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66925"/>
  <mc:AlternateContent xmlns:mc="http://schemas.openxmlformats.org/markup-compatibility/2006">
    <mc:Choice Requires="x15">
      <x15ac:absPath xmlns:x15ac="http://schemas.microsoft.com/office/spreadsheetml/2010/11/ac" url="\\marlon.ads.warwick.ac.uk\User55\u\u1374802\Documents\CRUK\Write up\Paper 2\"/>
    </mc:Choice>
  </mc:AlternateContent>
  <xr:revisionPtr revIDLastSave="0" documentId="13_ncr:1_{1BB180E5-7634-4B6E-8561-6D8F355CD977}" xr6:coauthVersionLast="47" xr6:coauthVersionMax="47" xr10:uidLastSave="{00000000-0000-0000-0000-000000000000}"/>
  <bookViews>
    <workbookView xWindow="-110" yWindow="-110" windowWidth="19420" windowHeight="10420" xr2:uid="{B80FAB21-1037-4D2C-9165-5024BFF61700}"/>
  </bookViews>
  <sheets>
    <sheet name="Master_Surrogate_Results" sheetId="6" r:id="rId1"/>
    <sheet name="Master_Mortality_Results" sheetId="2" r:id="rId2"/>
    <sheet name="Dropdown lists" sheetId="3" r:id="rId3"/>
  </sheets>
  <definedNames>
    <definedName name="_xlnm._FilterDatabase" localSheetId="1" hidden="1">Master_Mortality_Results!$A$1:$BF$1453</definedName>
    <definedName name="_xlnm._FilterDatabase" localSheetId="0" hidden="1">Master_Surrogate_Results!$A$1:$CL$2563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J2532" i="6" l="1"/>
  <c r="AI2532" i="6"/>
  <c r="AS2531" i="6"/>
  <c r="AO2531" i="6"/>
  <c r="AL42" i="6"/>
  <c r="AK42" i="6"/>
  <c r="AJ42" i="6"/>
  <c r="AI42" i="6"/>
  <c r="AB42" i="6"/>
  <c r="AA42" i="6"/>
  <c r="AI693" i="6"/>
  <c r="AO692" i="6"/>
  <c r="AI710" i="6"/>
  <c r="AO709" i="6"/>
  <c r="AX2531" i="6" l="1"/>
  <c r="AS42" i="6"/>
  <c r="AO42" i="6"/>
  <c r="AI727" i="6"/>
  <c r="AO726" i="6"/>
  <c r="AI1516" i="6"/>
  <c r="AO1516" i="6" s="1"/>
  <c r="AI1470" i="6"/>
  <c r="AO1469" i="6"/>
  <c r="AI404" i="6"/>
  <c r="AO403" i="6"/>
  <c r="AI1441" i="6"/>
  <c r="AI1440" i="6"/>
  <c r="AO1440" i="6" s="1"/>
  <c r="AI2066" i="6"/>
  <c r="AO2066" i="6" s="1"/>
  <c r="AI1189" i="6"/>
  <c r="AO1188" i="6"/>
  <c r="AJ231" i="6"/>
  <c r="AS231" i="6" s="1"/>
  <c r="AI231" i="6"/>
  <c r="AO231" i="6" s="1"/>
  <c r="AJ214" i="6"/>
  <c r="AS214" i="6" s="1"/>
  <c r="AI214" i="6"/>
  <c r="AO214" i="6" s="1"/>
  <c r="AJ275" i="6"/>
  <c r="AJ274" i="6"/>
  <c r="AS274" i="6" s="1"/>
  <c r="AJ979" i="6"/>
  <c r="AO555" i="6"/>
  <c r="AO969" i="6"/>
  <c r="AO142" i="6"/>
  <c r="AS888" i="6"/>
  <c r="AO888" i="6"/>
  <c r="AO402" i="6"/>
  <c r="AO1141" i="6"/>
  <c r="AJ529" i="6"/>
  <c r="AS529" i="6" s="1"/>
  <c r="AI529" i="6"/>
  <c r="AO529" i="6" s="1"/>
  <c r="AJ297" i="6"/>
  <c r="AI297" i="6"/>
  <c r="AJ296" i="6"/>
  <c r="AS296" i="6" s="1"/>
  <c r="AI296" i="6"/>
  <c r="AO296" i="6" s="1"/>
  <c r="AS295" i="6"/>
  <c r="AO295" i="6"/>
  <c r="AS1109" i="6"/>
  <c r="AO1109" i="6"/>
  <c r="AJ343" i="6"/>
  <c r="AI343" i="6"/>
  <c r="AS342" i="6"/>
  <c r="AO342" i="6"/>
  <c r="AI275" i="6"/>
  <c r="AI274" i="6"/>
  <c r="AO274" i="6" s="1"/>
  <c r="AS273" i="6"/>
  <c r="AO273" i="6"/>
  <c r="AJ1368" i="6"/>
  <c r="AI1368" i="6"/>
  <c r="AJ1367" i="6"/>
  <c r="AI1367" i="6"/>
  <c r="AE1367" i="6"/>
  <c r="AC1367" i="6"/>
  <c r="AJ421" i="6"/>
  <c r="AI421" i="6"/>
  <c r="AJ420" i="6"/>
  <c r="AS420" i="6" s="1"/>
  <c r="AI420" i="6"/>
  <c r="AO420" i="6" s="1"/>
  <c r="AJ848" i="6"/>
  <c r="AI848" i="6"/>
  <c r="AS847" i="6"/>
  <c r="AO847" i="6"/>
  <c r="AJ570" i="6"/>
  <c r="AI570" i="6"/>
  <c r="AS569" i="6"/>
  <c r="AO569" i="6"/>
  <c r="AJ177" i="6"/>
  <c r="AI177" i="6"/>
  <c r="AS176" i="6"/>
  <c r="AO176" i="6"/>
  <c r="AE176" i="6"/>
  <c r="AC176" i="6"/>
  <c r="AJ1229" i="6"/>
  <c r="AI1229" i="6"/>
  <c r="AS1228" i="6"/>
  <c r="AO1228" i="6"/>
  <c r="AJ1634" i="6"/>
  <c r="AS1634" i="6" s="1"/>
  <c r="AI1634" i="6"/>
  <c r="AO1634" i="6" s="1"/>
  <c r="AS1633" i="6"/>
  <c r="AO1633" i="6"/>
  <c r="AJ2140" i="6"/>
  <c r="AI2140" i="6"/>
  <c r="AS2139" i="6"/>
  <c r="AO2139" i="6"/>
  <c r="AJ1264" i="6"/>
  <c r="AI1264" i="6"/>
  <c r="AS1263" i="6"/>
  <c r="AO1263" i="6"/>
  <c r="AI979" i="6"/>
  <c r="AS978" i="6"/>
  <c r="AO978" i="6"/>
  <c r="AJ1522" i="6"/>
  <c r="AS1522" i="6" s="1"/>
  <c r="AI1522" i="6"/>
  <c r="AO1522" i="6" s="1"/>
  <c r="AJ1830" i="6"/>
  <c r="AI1830" i="6"/>
  <c r="AS1829" i="6"/>
  <c r="AO1829" i="6"/>
  <c r="AE1829" i="6"/>
  <c r="AC1829" i="6"/>
  <c r="AJ1482" i="6"/>
  <c r="AI1482" i="6"/>
  <c r="AS1481" i="6"/>
  <c r="AO1481" i="6"/>
  <c r="AJ2084" i="6"/>
  <c r="AS2084" i="6" s="1"/>
  <c r="AI2084" i="6"/>
  <c r="AO2084" i="6" s="1"/>
  <c r="AJ1193" i="6"/>
  <c r="AI1193" i="6"/>
  <c r="AS1192" i="6"/>
  <c r="AO1192" i="6"/>
  <c r="AJ532" i="6"/>
  <c r="AI532" i="6"/>
  <c r="AS531" i="6"/>
  <c r="AO531" i="6"/>
  <c r="AJ348" i="6"/>
  <c r="AI348" i="6"/>
  <c r="AS347" i="6"/>
  <c r="AO347" i="6"/>
  <c r="AJ350" i="6"/>
  <c r="AS350" i="6" s="1"/>
  <c r="AI350" i="6"/>
  <c r="AO350" i="6" s="1"/>
  <c r="AS349" i="6"/>
  <c r="AO349" i="6"/>
  <c r="AJ278" i="6"/>
  <c r="AS278" i="6" s="1"/>
  <c r="AI278" i="6"/>
  <c r="AO278" i="6" s="1"/>
  <c r="AJ1405" i="6"/>
  <c r="AI1405" i="6"/>
  <c r="AS1404" i="6"/>
  <c r="AO1404" i="6"/>
  <c r="AJ1394" i="6"/>
  <c r="AI1394" i="6"/>
  <c r="AS1393" i="6"/>
  <c r="AO1393" i="6"/>
  <c r="AJ1373" i="6"/>
  <c r="AI1373" i="6"/>
  <c r="AS1372" i="6"/>
  <c r="AO1372" i="6"/>
  <c r="AE1372" i="6"/>
  <c r="AC1372" i="6"/>
  <c r="AJ1907" i="6"/>
  <c r="AI1907" i="6"/>
  <c r="AS1906" i="6"/>
  <c r="AO1906" i="6"/>
  <c r="AJ852" i="6"/>
  <c r="AS852" i="6" s="1"/>
  <c r="AJ853" i="6"/>
  <c r="AI853" i="6"/>
  <c r="AI852" i="6"/>
  <c r="AO852" i="6" s="1"/>
  <c r="AJ181" i="6"/>
  <c r="AS181" i="6" s="1"/>
  <c r="AI181" i="6"/>
  <c r="AO181" i="6" s="1"/>
  <c r="AE181" i="6"/>
  <c r="AC181" i="6"/>
  <c r="AJ155" i="6"/>
  <c r="AI155" i="6"/>
  <c r="AS154" i="6"/>
  <c r="AO154" i="6"/>
  <c r="AJ884" i="6"/>
  <c r="AI884" i="6"/>
  <c r="AL883" i="6"/>
  <c r="AS883" i="6" s="1"/>
  <c r="AK883" i="6"/>
  <c r="AO883" i="6" s="1"/>
  <c r="AJ873" i="6"/>
  <c r="AI873" i="6"/>
  <c r="AL872" i="6"/>
  <c r="AS872" i="6" s="1"/>
  <c r="AK872" i="6"/>
  <c r="AO872" i="6" s="1"/>
  <c r="AJ864" i="6"/>
  <c r="AI864" i="6"/>
  <c r="AL863" i="6"/>
  <c r="AS863" i="6" s="1"/>
  <c r="AK863" i="6"/>
  <c r="AO863" i="6" s="1"/>
  <c r="AJ614" i="6"/>
  <c r="AI614" i="6"/>
  <c r="AS613" i="6"/>
  <c r="AO613" i="6"/>
  <c r="AJ1268" i="6"/>
  <c r="AI1268" i="6"/>
  <c r="AS1267" i="6"/>
  <c r="AO1267" i="6"/>
  <c r="AJ1833" i="6"/>
  <c r="AI1833" i="6"/>
  <c r="AS1832" i="6"/>
  <c r="AO1832" i="6"/>
  <c r="AE1832" i="6"/>
  <c r="AC1832" i="6"/>
  <c r="AW1849" i="6"/>
  <c r="AS1849" i="6"/>
  <c r="AO1849" i="6"/>
  <c r="AE1849" i="6"/>
  <c r="AC1849" i="6"/>
  <c r="AJ1347" i="6"/>
  <c r="AS1347" i="6" s="1"/>
  <c r="AI1347" i="6"/>
  <c r="AO1347" i="6" s="1"/>
  <c r="AJ1337" i="6"/>
  <c r="AI1337" i="6"/>
  <c r="AS1336" i="6"/>
  <c r="AO1336" i="6"/>
  <c r="AJ2087" i="6"/>
  <c r="AI2087" i="6"/>
  <c r="AS2086" i="6"/>
  <c r="AO2086" i="6"/>
  <c r="AJ2062" i="6"/>
  <c r="AI2062" i="6"/>
  <c r="AJ2061" i="6"/>
  <c r="AS2061" i="6" s="1"/>
  <c r="AI2061" i="6"/>
  <c r="AO2061" i="6" s="1"/>
  <c r="AJ2054" i="6"/>
  <c r="AI2054" i="6"/>
  <c r="AS2053" i="6"/>
  <c r="AO2053" i="6"/>
  <c r="AJ1160" i="6"/>
  <c r="AS1160" i="6" s="1"/>
  <c r="AI1160" i="6"/>
  <c r="AO1160" i="6" s="1"/>
  <c r="AJ1181" i="6"/>
  <c r="AS1181" i="6" s="1"/>
  <c r="AI1181" i="6"/>
  <c r="AO1181" i="6" s="1"/>
  <c r="AS913" i="6"/>
  <c r="AO913" i="6"/>
  <c r="AJ387" i="6"/>
  <c r="AS387" i="6" s="1"/>
  <c r="AI387" i="6"/>
  <c r="AO387" i="6" s="1"/>
  <c r="AO1223" i="2"/>
  <c r="AK1223" i="2"/>
  <c r="AO1217" i="2"/>
  <c r="AK1217" i="2"/>
  <c r="AO1216" i="2"/>
  <c r="AK1216" i="2"/>
  <c r="AO1215" i="2"/>
  <c r="AK1215" i="2"/>
  <c r="AO1214" i="2"/>
  <c r="AK1214" i="2"/>
  <c r="AO1213" i="2"/>
  <c r="AK1213" i="2"/>
  <c r="AO1212" i="2"/>
  <c r="AK1212" i="2"/>
  <c r="AF1203" i="2"/>
  <c r="AO1203" i="2" s="1"/>
  <c r="AE1203" i="2"/>
  <c r="AK1203" i="2" s="1"/>
  <c r="AO1202" i="2"/>
  <c r="AK1202" i="2"/>
  <c r="AO1201" i="2"/>
  <c r="AK1201" i="2"/>
  <c r="AF1200" i="2"/>
  <c r="AO1200" i="2" s="1"/>
  <c r="AE1200" i="2"/>
  <c r="AK1200" i="2" s="1"/>
  <c r="AO1199" i="2"/>
  <c r="AK1199" i="2"/>
  <c r="AO1198" i="2"/>
  <c r="AK1198" i="2"/>
  <c r="AO1197" i="2"/>
  <c r="AK1197" i="2"/>
  <c r="AO1196" i="2"/>
  <c r="AK1196" i="2"/>
  <c r="AO1195" i="2"/>
  <c r="AK1195" i="2"/>
  <c r="AO1194" i="2"/>
  <c r="AK1194" i="2"/>
  <c r="AO1193" i="2"/>
  <c r="AK1193" i="2"/>
  <c r="AO1192" i="2"/>
  <c r="AK1192" i="2"/>
  <c r="AO1191" i="2"/>
  <c r="AK1191" i="2"/>
  <c r="AO1190" i="2"/>
  <c r="AK1190" i="2"/>
  <c r="AO1189" i="2"/>
  <c r="AK1189" i="2"/>
  <c r="AO1188" i="2"/>
  <c r="AK1188" i="2"/>
  <c r="AO1187" i="2"/>
  <c r="AK1187" i="2"/>
  <c r="AO1186" i="2"/>
  <c r="AK1186" i="2"/>
  <c r="AO1185" i="2"/>
  <c r="AK1185" i="2"/>
  <c r="AO1184" i="2"/>
  <c r="AK1184" i="2"/>
  <c r="AF1183" i="2"/>
  <c r="AE1183" i="2"/>
  <c r="V1183" i="2"/>
  <c r="U1183" i="2"/>
  <c r="AF1178" i="2"/>
  <c r="AE1178" i="2"/>
  <c r="V1178" i="2"/>
  <c r="U1178" i="2"/>
  <c r="AF1177" i="2"/>
  <c r="AE1177" i="2"/>
  <c r="AF1172" i="2"/>
  <c r="AE1172" i="2"/>
  <c r="V1172" i="2"/>
  <c r="U1172" i="2"/>
  <c r="AF1171" i="2"/>
  <c r="AE1171" i="2"/>
  <c r="V1171" i="2"/>
  <c r="U1171" i="2"/>
  <c r="V1170" i="2"/>
  <c r="U1170" i="2"/>
  <c r="V1169" i="2"/>
  <c r="U1169" i="2"/>
  <c r="V1168" i="2"/>
  <c r="U1168" i="2"/>
  <c r="V1167" i="2"/>
  <c r="U1167" i="2"/>
  <c r="AO1166" i="2"/>
  <c r="AK1166" i="2"/>
  <c r="AO1163" i="2"/>
  <c r="AK1163" i="2"/>
  <c r="AO1162" i="2"/>
  <c r="AK1162" i="2"/>
  <c r="AO1161" i="2"/>
  <c r="AK1161" i="2"/>
  <c r="AO1160" i="2"/>
  <c r="AK1160" i="2"/>
  <c r="AO1159" i="2"/>
  <c r="AK1159" i="2"/>
  <c r="AO1158" i="2"/>
  <c r="AK1158" i="2"/>
  <c r="AO1157" i="2"/>
  <c r="AK1157" i="2"/>
  <c r="AK1156" i="2"/>
  <c r="AF1156" i="2"/>
  <c r="AO1156" i="2" s="1"/>
  <c r="AE1156" i="2"/>
  <c r="AF1155" i="2"/>
  <c r="AO1155" i="2" s="1"/>
  <c r="AE1155" i="2"/>
  <c r="AK1155" i="2" s="1"/>
  <c r="AO1154" i="2"/>
  <c r="AK1154" i="2"/>
  <c r="AF1154" i="2"/>
  <c r="AE1154" i="2"/>
  <c r="AF1153" i="2"/>
  <c r="AO1153" i="2" s="1"/>
  <c r="AE1153" i="2"/>
  <c r="AK1153" i="2" s="1"/>
  <c r="AO1152" i="2"/>
  <c r="AK1152" i="2"/>
  <c r="AO1151" i="2"/>
  <c r="AK1151" i="2"/>
  <c r="AO1148" i="2"/>
  <c r="AF1148" i="2"/>
  <c r="AE1148" i="2"/>
  <c r="AK1148" i="2" s="1"/>
  <c r="AF1147" i="2"/>
  <c r="AO1147" i="2" s="1"/>
  <c r="AE1147" i="2"/>
  <c r="AK1147" i="2" s="1"/>
  <c r="AK1146" i="2"/>
  <c r="AF1146" i="2"/>
  <c r="AO1146" i="2" s="1"/>
  <c r="AE1146" i="2"/>
  <c r="AF1145" i="2"/>
  <c r="AO1145" i="2" s="1"/>
  <c r="AE1145" i="2"/>
  <c r="AK1145" i="2" s="1"/>
  <c r="AO1144" i="2"/>
  <c r="AK1144" i="2"/>
  <c r="AF1144" i="2"/>
  <c r="AE1144" i="2"/>
  <c r="AF1143" i="2"/>
  <c r="AO1143" i="2" s="1"/>
  <c r="AE1143" i="2"/>
  <c r="AK1143" i="2" s="1"/>
  <c r="AO1142" i="2"/>
  <c r="AK1142" i="2"/>
  <c r="AF1142" i="2"/>
  <c r="AE1142" i="2"/>
  <c r="AO1141" i="2"/>
  <c r="AK1141" i="2"/>
  <c r="AF1141" i="2"/>
  <c r="AE1141" i="2"/>
  <c r="AF1140" i="2"/>
  <c r="AO1140" i="2" s="1"/>
  <c r="AE1140" i="2"/>
  <c r="AK1140" i="2" s="1"/>
  <c r="AO1139" i="2"/>
  <c r="AF1139" i="2"/>
  <c r="AE1139" i="2"/>
  <c r="AK1139" i="2" s="1"/>
  <c r="AF1138" i="2"/>
  <c r="AO1138" i="2" s="1"/>
  <c r="AE1138" i="2"/>
  <c r="AK1138" i="2" s="1"/>
  <c r="AK1137" i="2"/>
  <c r="AF1137" i="2"/>
  <c r="AO1137" i="2" s="1"/>
  <c r="AE1137" i="2"/>
  <c r="AO1136" i="2"/>
  <c r="AF1136" i="2"/>
  <c r="AE1136" i="2"/>
  <c r="AK1136" i="2" s="1"/>
  <c r="AK1135" i="2"/>
  <c r="AF1135" i="2"/>
  <c r="AO1135" i="2" s="1"/>
  <c r="AE1135" i="2"/>
  <c r="AK1134" i="2"/>
  <c r="AF1134" i="2"/>
  <c r="AO1134" i="2" s="1"/>
  <c r="AE1134" i="2"/>
  <c r="AF1133" i="2"/>
  <c r="AO1133" i="2" s="1"/>
  <c r="AE1133" i="2"/>
  <c r="AK1133" i="2" s="1"/>
  <c r="AO1132" i="2"/>
  <c r="AF1132" i="2"/>
  <c r="AE1132" i="2"/>
  <c r="AK1132" i="2" s="1"/>
  <c r="AF1131" i="2"/>
  <c r="AO1131" i="2" s="1"/>
  <c r="AE1131" i="2"/>
  <c r="AK1131" i="2" s="1"/>
  <c r="AF1130" i="2"/>
  <c r="AO1130" i="2" s="1"/>
  <c r="AE1130" i="2"/>
  <c r="AK1130" i="2" s="1"/>
  <c r="AO1129" i="2"/>
  <c r="AK1129" i="2"/>
  <c r="AF1129" i="2"/>
  <c r="AE1129" i="2"/>
  <c r="AK1128" i="2"/>
  <c r="AF1128" i="2"/>
  <c r="AO1128" i="2" s="1"/>
  <c r="AE1128" i="2"/>
  <c r="AF1127" i="2"/>
  <c r="AO1127" i="2" s="1"/>
  <c r="AE1127" i="2"/>
  <c r="AK1127" i="2" s="1"/>
  <c r="AF1126" i="2"/>
  <c r="AO1126" i="2" s="1"/>
  <c r="AE1126" i="2"/>
  <c r="AK1126" i="2" s="1"/>
  <c r="AO1125" i="2"/>
  <c r="AK1125" i="2"/>
  <c r="AF1125" i="2"/>
  <c r="AE1125" i="2"/>
  <c r="AO1124" i="2"/>
  <c r="AF1124" i="2"/>
  <c r="AE1124" i="2"/>
  <c r="AK1124" i="2" s="1"/>
  <c r="AO1123" i="2"/>
  <c r="AK1123" i="2"/>
  <c r="AF1123" i="2"/>
  <c r="AE1123" i="2"/>
  <c r="AK1122" i="2"/>
  <c r="AF1122" i="2"/>
  <c r="AO1122" i="2" s="1"/>
  <c r="AE1122" i="2"/>
  <c r="AF1121" i="2"/>
  <c r="AO1121" i="2" s="1"/>
  <c r="AE1121" i="2"/>
  <c r="AK1121" i="2" s="1"/>
  <c r="AO1120" i="2"/>
  <c r="AK1120" i="2"/>
  <c r="AF1120" i="2"/>
  <c r="AE1120" i="2"/>
  <c r="AF1119" i="2"/>
  <c r="AO1119" i="2" s="1"/>
  <c r="AE1119" i="2"/>
  <c r="AK1119" i="2" s="1"/>
  <c r="AF1118" i="2"/>
  <c r="AO1118" i="2" s="1"/>
  <c r="AE1118" i="2"/>
  <c r="AK1118" i="2" s="1"/>
  <c r="AO1117" i="2"/>
  <c r="AK1117" i="2"/>
  <c r="AF1117" i="2"/>
  <c r="AE1117" i="2"/>
  <c r="AF1116" i="2"/>
  <c r="AO1116" i="2" s="1"/>
  <c r="AE1116" i="2"/>
  <c r="AK1116" i="2" s="1"/>
  <c r="AF1115" i="2"/>
  <c r="AO1115" i="2" s="1"/>
  <c r="AE1115" i="2"/>
  <c r="AK1115" i="2" s="1"/>
  <c r="AF1114" i="2"/>
  <c r="AO1114" i="2" s="1"/>
  <c r="AE1114" i="2"/>
  <c r="AK1114" i="2" s="1"/>
  <c r="AO1113" i="2"/>
  <c r="AK1113" i="2"/>
  <c r="AF1113" i="2"/>
  <c r="AE1113" i="2"/>
  <c r="AO1112" i="2"/>
  <c r="AF1112" i="2"/>
  <c r="AE1112" i="2"/>
  <c r="AK1112" i="2" s="1"/>
  <c r="AF1111" i="2"/>
  <c r="AO1111" i="2" s="1"/>
  <c r="AE1111" i="2"/>
  <c r="AK1111" i="2" s="1"/>
  <c r="AK1110" i="2"/>
  <c r="AF1110" i="2"/>
  <c r="AO1110" i="2" s="1"/>
  <c r="AE1110" i="2"/>
  <c r="AF1109" i="2"/>
  <c r="AO1109" i="2" s="1"/>
  <c r="AE1109" i="2"/>
  <c r="AK1109" i="2" s="1"/>
  <c r="AO1108" i="2"/>
  <c r="AF1108" i="2"/>
  <c r="AE1108" i="2"/>
  <c r="AK1108" i="2" s="1"/>
  <c r="AF1107" i="2"/>
  <c r="AO1107" i="2" s="1"/>
  <c r="AE1107" i="2"/>
  <c r="AK1107" i="2" s="1"/>
  <c r="AO1106" i="2"/>
  <c r="AK1106" i="2"/>
  <c r="AF1106" i="2"/>
  <c r="AE1106" i="2"/>
  <c r="AO1105" i="2"/>
  <c r="AK1105" i="2"/>
  <c r="AF1105" i="2"/>
  <c r="AE1105" i="2"/>
  <c r="AK1104" i="2"/>
  <c r="AF1104" i="2"/>
  <c r="AO1104" i="2" s="1"/>
  <c r="AE1104" i="2"/>
  <c r="AF1103" i="2"/>
  <c r="AO1103" i="2" s="1"/>
  <c r="AE1103" i="2"/>
  <c r="AK1103" i="2" s="1"/>
  <c r="AF1102" i="2"/>
  <c r="AO1102" i="2" s="1"/>
  <c r="AE1102" i="2"/>
  <c r="AK1102" i="2" s="1"/>
  <c r="AK1101" i="2"/>
  <c r="AF1101" i="2"/>
  <c r="AO1101" i="2" s="1"/>
  <c r="AE1101" i="2"/>
  <c r="AO1100" i="2"/>
  <c r="AF1100" i="2"/>
  <c r="AE1100" i="2"/>
  <c r="AK1100" i="2" s="1"/>
  <c r="AO1099" i="2"/>
  <c r="AF1099" i="2"/>
  <c r="AE1099" i="2"/>
  <c r="AK1099" i="2" s="1"/>
  <c r="AK1098" i="2"/>
  <c r="AF1098" i="2"/>
  <c r="AO1098" i="2" s="1"/>
  <c r="AE1098" i="2"/>
  <c r="AF1097" i="2"/>
  <c r="AO1097" i="2" s="1"/>
  <c r="AE1097" i="2"/>
  <c r="AK1097" i="2" s="1"/>
  <c r="AO1096" i="2"/>
  <c r="AF1096" i="2"/>
  <c r="AE1096" i="2"/>
  <c r="AK1096" i="2" s="1"/>
  <c r="AF1095" i="2"/>
  <c r="AO1095" i="2" s="1"/>
  <c r="AE1095" i="2"/>
  <c r="AK1095" i="2" s="1"/>
  <c r="AO1094" i="2"/>
  <c r="AK1094" i="2"/>
  <c r="AO1093" i="2"/>
  <c r="AK1093" i="2"/>
  <c r="AF1093" i="2"/>
  <c r="AE1093" i="2"/>
  <c r="AF1092" i="2"/>
  <c r="AO1092" i="2" s="1"/>
  <c r="AE1092" i="2"/>
  <c r="AK1092" i="2" s="1"/>
  <c r="AO1091" i="2"/>
  <c r="AK1091" i="2"/>
  <c r="AF1091" i="2"/>
  <c r="AE1091" i="2"/>
  <c r="AO1090" i="2"/>
  <c r="AK1090" i="2"/>
  <c r="AF1090" i="2"/>
  <c r="AE1090" i="2"/>
  <c r="AF1089" i="2"/>
  <c r="AO1089" i="2" s="1"/>
  <c r="AE1089" i="2"/>
  <c r="AK1089" i="2" s="1"/>
  <c r="AO1088" i="2"/>
  <c r="AK1088" i="2"/>
  <c r="AF1088" i="2"/>
  <c r="AE1088" i="2"/>
  <c r="AK1087" i="2"/>
  <c r="AF1087" i="2"/>
  <c r="AO1087" i="2" s="1"/>
  <c r="AK1086" i="2"/>
  <c r="AF1086" i="2"/>
  <c r="AO1086" i="2" s="1"/>
  <c r="AO1085" i="2"/>
  <c r="AK1085" i="2"/>
  <c r="AO1084" i="2"/>
  <c r="AK1084" i="2"/>
  <c r="AF1084" i="2"/>
  <c r="AE1084" i="2"/>
  <c r="AK1083" i="2"/>
  <c r="AF1083" i="2"/>
  <c r="AO1083" i="2" s="1"/>
  <c r="AE1083" i="2"/>
  <c r="AF1082" i="2"/>
  <c r="AO1082" i="2" s="1"/>
  <c r="AE1082" i="2"/>
  <c r="AK1082" i="2" s="1"/>
  <c r="AF1081" i="2"/>
  <c r="AO1081" i="2" s="1"/>
  <c r="AE1081" i="2"/>
  <c r="AK1081" i="2" s="1"/>
  <c r="AO1080" i="2"/>
  <c r="AK1080" i="2"/>
  <c r="AF1080" i="2"/>
  <c r="AE1080" i="2"/>
  <c r="AO1079" i="2"/>
  <c r="AF1079" i="2"/>
  <c r="AE1079" i="2"/>
  <c r="AK1079" i="2" s="1"/>
  <c r="AO1078" i="2"/>
  <c r="AK1078" i="2"/>
  <c r="AF1078" i="2"/>
  <c r="AE1078" i="2"/>
  <c r="AO1077" i="2"/>
  <c r="AK1077" i="2"/>
  <c r="AO1076" i="2"/>
  <c r="AK1076" i="2"/>
  <c r="AF1075" i="2"/>
  <c r="AO1075" i="2" s="1"/>
  <c r="AE1075" i="2"/>
  <c r="AK1075" i="2" s="1"/>
  <c r="AO1074" i="2"/>
  <c r="AK1074" i="2"/>
  <c r="AF1074" i="2"/>
  <c r="AE1074" i="2"/>
  <c r="AF1073" i="2"/>
  <c r="AO1073" i="2" s="1"/>
  <c r="AE1073" i="2"/>
  <c r="AK1073" i="2" s="1"/>
  <c r="AF1072" i="2"/>
  <c r="AO1072" i="2" s="1"/>
  <c r="AE1072" i="2"/>
  <c r="AK1072" i="2" s="1"/>
  <c r="AO1071" i="2"/>
  <c r="AK1071" i="2"/>
  <c r="AF1071" i="2"/>
  <c r="AE1071" i="2"/>
  <c r="AK1070" i="2"/>
  <c r="AF1070" i="2"/>
  <c r="AO1070" i="2" s="1"/>
  <c r="AE1070" i="2"/>
  <c r="AF1069" i="2"/>
  <c r="AO1069" i="2" s="1"/>
  <c r="AE1069" i="2"/>
  <c r="AK1069" i="2" s="1"/>
  <c r="AF1068" i="2"/>
  <c r="AO1068" i="2" s="1"/>
  <c r="AE1068" i="2"/>
  <c r="AK1068" i="2" s="1"/>
  <c r="AO1067" i="2"/>
  <c r="AK1067" i="2"/>
  <c r="AO1066" i="2"/>
  <c r="AF1066" i="2"/>
  <c r="AE1066" i="2"/>
  <c r="AK1066" i="2" s="1"/>
  <c r="AF1065" i="2"/>
  <c r="AO1065" i="2" s="1"/>
  <c r="AE1065" i="2"/>
  <c r="AK1065" i="2" s="1"/>
  <c r="AO1064" i="2"/>
  <c r="AK1064" i="2"/>
  <c r="AF1064" i="2"/>
  <c r="AE1064" i="2"/>
  <c r="AO1063" i="2"/>
  <c r="AF1063" i="2"/>
  <c r="AE1063" i="2"/>
  <c r="AK1063" i="2" s="1"/>
  <c r="AF1062" i="2"/>
  <c r="AO1062" i="2" s="1"/>
  <c r="AE1062" i="2"/>
  <c r="AK1062" i="2" s="1"/>
  <c r="AO1061" i="2"/>
  <c r="AK1061" i="2"/>
  <c r="AF1061" i="2"/>
  <c r="AE1061" i="2"/>
  <c r="AF1060" i="2"/>
  <c r="AO1060" i="2" s="1"/>
  <c r="AE1060" i="2"/>
  <c r="AK1060" i="2" s="1"/>
  <c r="AO1059" i="2"/>
  <c r="AK1059" i="2"/>
  <c r="AO1058" i="2"/>
  <c r="AK1058" i="2"/>
  <c r="AF1057" i="2"/>
  <c r="AO1057" i="2" s="1"/>
  <c r="AE1057" i="2"/>
  <c r="AK1057" i="2" s="1"/>
  <c r="AO1056" i="2"/>
  <c r="AK1056" i="2"/>
  <c r="AF1056" i="2"/>
  <c r="AE1056" i="2"/>
  <c r="AO1055" i="2"/>
  <c r="AK1055" i="2"/>
  <c r="AF1055" i="2"/>
  <c r="AE1055" i="2"/>
  <c r="AK1054" i="2"/>
  <c r="AF1054" i="2"/>
  <c r="AO1054" i="2" s="1"/>
  <c r="AE1054" i="2"/>
  <c r="AO1053" i="2"/>
  <c r="AF1053" i="2"/>
  <c r="AE1053" i="2"/>
  <c r="AK1053" i="2" s="1"/>
  <c r="AF1052" i="2"/>
  <c r="AO1052" i="2" s="1"/>
  <c r="AE1052" i="2"/>
  <c r="AK1052" i="2" s="1"/>
  <c r="AO1051" i="2"/>
  <c r="AK1051" i="2"/>
  <c r="AF1051" i="2"/>
  <c r="AE1051" i="2"/>
  <c r="AO1050" i="2"/>
  <c r="AF1050" i="2"/>
  <c r="AE1050" i="2"/>
  <c r="AK1050" i="2" s="1"/>
  <c r="AO1049" i="2"/>
  <c r="AK1049" i="2"/>
  <c r="AO1048" i="2"/>
  <c r="AK1048" i="2"/>
  <c r="AF1048" i="2"/>
  <c r="AE1048" i="2"/>
  <c r="AO1047" i="2"/>
  <c r="AF1047" i="2"/>
  <c r="AE1047" i="2"/>
  <c r="AK1047" i="2" s="1"/>
  <c r="AF1046" i="2"/>
  <c r="AO1046" i="2" s="1"/>
  <c r="AE1046" i="2"/>
  <c r="AK1046" i="2" s="1"/>
  <c r="AO1045" i="2"/>
  <c r="AK1045" i="2"/>
  <c r="AF1045" i="2"/>
  <c r="AE1045" i="2"/>
  <c r="AF1044" i="2"/>
  <c r="AO1044" i="2" s="1"/>
  <c r="AE1044" i="2"/>
  <c r="AK1044" i="2" s="1"/>
  <c r="AF1043" i="2"/>
  <c r="AO1043" i="2" s="1"/>
  <c r="AE1043" i="2"/>
  <c r="AK1043" i="2" s="1"/>
  <c r="AF1042" i="2"/>
  <c r="AO1042" i="2" s="1"/>
  <c r="AE1042" i="2"/>
  <c r="AK1042" i="2" s="1"/>
  <c r="AO1041" i="2"/>
  <c r="AK1041" i="2"/>
  <c r="AO1040" i="2"/>
  <c r="AK1040" i="2"/>
  <c r="AO1039" i="2"/>
  <c r="AK1039" i="2"/>
  <c r="AF1039" i="2"/>
  <c r="AE1039" i="2"/>
  <c r="AK1038" i="2"/>
  <c r="AF1038" i="2"/>
  <c r="AO1038" i="2" s="1"/>
  <c r="AE1038" i="2"/>
  <c r="AO1037" i="2"/>
  <c r="AK1037" i="2"/>
  <c r="AF1037" i="2"/>
  <c r="AE1037" i="2"/>
  <c r="AF1036" i="2"/>
  <c r="AO1036" i="2" s="1"/>
  <c r="AE1036" i="2"/>
  <c r="AK1036" i="2" s="1"/>
  <c r="AO1035" i="2"/>
  <c r="AK1035" i="2"/>
  <c r="AF1035" i="2"/>
  <c r="AE1035" i="2"/>
  <c r="AO1034" i="2"/>
  <c r="AE1034" i="2"/>
  <c r="AK1034" i="2" s="1"/>
  <c r="AO1033" i="2"/>
  <c r="AE1033" i="2"/>
  <c r="AK1033" i="2" s="1"/>
  <c r="AO1032" i="2"/>
  <c r="AE1032" i="2"/>
  <c r="AK1032" i="2" s="1"/>
  <c r="AO1031" i="2"/>
  <c r="AK1031" i="2"/>
  <c r="AO1030" i="2"/>
  <c r="AF1030" i="2"/>
  <c r="AE1030" i="2"/>
  <c r="AK1030" i="2" s="1"/>
  <c r="AO1029" i="2"/>
  <c r="AF1029" i="2"/>
  <c r="AE1029" i="2"/>
  <c r="AK1029" i="2" s="1"/>
  <c r="AK1028" i="2"/>
  <c r="AF1028" i="2"/>
  <c r="AO1028" i="2" s="1"/>
  <c r="AE1028" i="2"/>
  <c r="AF1027" i="2"/>
  <c r="AO1027" i="2" s="1"/>
  <c r="AE1027" i="2"/>
  <c r="AK1027" i="2" s="1"/>
  <c r="AO1026" i="2"/>
  <c r="AF1026" i="2"/>
  <c r="AE1026" i="2"/>
  <c r="AK1026" i="2" s="1"/>
  <c r="AF1025" i="2"/>
  <c r="AO1025" i="2" s="1"/>
  <c r="AE1025" i="2"/>
  <c r="AK1025" i="2" s="1"/>
  <c r="AO1024" i="2"/>
  <c r="AF1024" i="2"/>
  <c r="AE1024" i="2"/>
  <c r="AK1024" i="2" s="1"/>
  <c r="AO1023" i="2"/>
  <c r="AK1023" i="2"/>
  <c r="AF1023" i="2"/>
  <c r="AE1023" i="2"/>
  <c r="AO1022" i="2"/>
  <c r="AK1022" i="2"/>
  <c r="AO1021" i="2"/>
  <c r="AF1021" i="2"/>
  <c r="AE1021" i="2"/>
  <c r="AK1021" i="2" s="1"/>
  <c r="AO1020" i="2"/>
  <c r="AK1020" i="2"/>
  <c r="AF1020" i="2"/>
  <c r="AE1020" i="2"/>
  <c r="AF1019" i="2"/>
  <c r="AO1019" i="2" s="1"/>
  <c r="AE1019" i="2"/>
  <c r="AK1019" i="2" s="1"/>
  <c r="AK1018" i="2"/>
  <c r="AF1018" i="2"/>
  <c r="AO1018" i="2" s="1"/>
  <c r="AE1018" i="2"/>
  <c r="AF1017" i="2"/>
  <c r="AO1017" i="2" s="1"/>
  <c r="AE1017" i="2"/>
  <c r="AK1017" i="2" s="1"/>
  <c r="AO1016" i="2"/>
  <c r="AE1016" i="2"/>
  <c r="AK1016" i="2" s="1"/>
  <c r="AO1015" i="2"/>
  <c r="AK1015" i="2"/>
  <c r="AO1014" i="2"/>
  <c r="AK1014" i="2"/>
  <c r="AO1013" i="2"/>
  <c r="AK1013" i="2"/>
  <c r="AF1012" i="2"/>
  <c r="AO1012" i="2" s="1"/>
  <c r="AE1012" i="2"/>
  <c r="AK1012" i="2" s="1"/>
  <c r="AO1011" i="2"/>
  <c r="AK1011" i="2"/>
  <c r="AF1011" i="2"/>
  <c r="AE1011" i="2"/>
  <c r="AF1010" i="2"/>
  <c r="AO1010" i="2" s="1"/>
  <c r="AE1010" i="2"/>
  <c r="AK1010" i="2" s="1"/>
  <c r="AF1009" i="2"/>
  <c r="AO1009" i="2" s="1"/>
  <c r="AE1009" i="2"/>
  <c r="AK1009" i="2" s="1"/>
  <c r="AF1008" i="2"/>
  <c r="AO1008" i="2" s="1"/>
  <c r="AE1008" i="2"/>
  <c r="AK1008" i="2" s="1"/>
  <c r="AK1007" i="2"/>
  <c r="AF1007" i="2"/>
  <c r="AO1007" i="2" s="1"/>
  <c r="AE1007" i="2"/>
  <c r="AO1006" i="2"/>
  <c r="AK1006" i="2"/>
  <c r="AF1006" i="2"/>
  <c r="AE1006" i="2"/>
  <c r="AK1005" i="2"/>
  <c r="AF1005" i="2"/>
  <c r="AO1005" i="2" s="1"/>
  <c r="AE1005" i="2"/>
  <c r="AO1004" i="2"/>
  <c r="AK1004" i="2"/>
  <c r="AF1004" i="2"/>
  <c r="AE1004" i="2"/>
  <c r="AF1003" i="2"/>
  <c r="AO1003" i="2" s="1"/>
  <c r="AE1003" i="2"/>
  <c r="AK1003" i="2" s="1"/>
  <c r="AF1002" i="2"/>
  <c r="AE1002" i="2"/>
  <c r="AO1001" i="2"/>
  <c r="AK1001" i="2"/>
  <c r="AF1001" i="2"/>
  <c r="AE1001" i="2"/>
  <c r="AF1000" i="2"/>
  <c r="AE1000" i="2"/>
  <c r="AF999" i="2"/>
  <c r="AO999" i="2" s="1"/>
  <c r="AE999" i="2"/>
  <c r="AK999" i="2" s="1"/>
  <c r="AO998" i="2"/>
  <c r="AK998" i="2"/>
  <c r="AO997" i="2"/>
  <c r="AK997" i="2"/>
  <c r="AO996" i="2"/>
  <c r="AK996" i="2"/>
  <c r="AO995" i="2"/>
  <c r="AK995" i="2"/>
  <c r="AO994" i="2"/>
  <c r="AK994" i="2"/>
  <c r="AO993" i="2"/>
  <c r="AK993" i="2"/>
  <c r="AK992" i="2"/>
  <c r="AH992" i="2"/>
  <c r="AO992" i="2" s="1"/>
  <c r="V992" i="2"/>
  <c r="AK991" i="2"/>
  <c r="AH991" i="2"/>
  <c r="AO991" i="2" s="1"/>
  <c r="V991" i="2"/>
  <c r="AK990" i="2"/>
  <c r="AH990" i="2"/>
  <c r="AO990" i="2" s="1"/>
  <c r="V990" i="2"/>
  <c r="AO989" i="2"/>
  <c r="AK989" i="2"/>
  <c r="AH989" i="2"/>
  <c r="V989" i="2"/>
  <c r="AO988" i="2"/>
  <c r="AK988" i="2"/>
  <c r="AH988" i="2"/>
  <c r="V988" i="2"/>
  <c r="AK987" i="2"/>
  <c r="AH987" i="2"/>
  <c r="AO987" i="2" s="1"/>
  <c r="V987" i="2"/>
  <c r="AO986" i="2"/>
  <c r="AK986" i="2"/>
  <c r="AH986" i="2"/>
  <c r="V986" i="2"/>
  <c r="AO985" i="2"/>
  <c r="AK985" i="2"/>
  <c r="AO984" i="2"/>
  <c r="AK984" i="2"/>
  <c r="AO983" i="2"/>
  <c r="AH983" i="2"/>
  <c r="AG983" i="2"/>
  <c r="AK983" i="2" s="1"/>
  <c r="AF983" i="2"/>
  <c r="AE983" i="2"/>
  <c r="V983" i="2"/>
  <c r="U983" i="2"/>
  <c r="AO982" i="2"/>
  <c r="AK982" i="2"/>
  <c r="AO981" i="2"/>
  <c r="AK981" i="2"/>
  <c r="AO980" i="2"/>
  <c r="AK980" i="2"/>
  <c r="AH980" i="2"/>
  <c r="AG980" i="2"/>
  <c r="V980" i="2"/>
  <c r="U980" i="2"/>
  <c r="AO979" i="2"/>
  <c r="AK979" i="2"/>
  <c r="AO978" i="2"/>
  <c r="AK978" i="2"/>
  <c r="AO977" i="2"/>
  <c r="AF977" i="2"/>
  <c r="AE977" i="2"/>
  <c r="AK977" i="2" s="1"/>
  <c r="AF976" i="2"/>
  <c r="AO976" i="2" s="1"/>
  <c r="AE976" i="2"/>
  <c r="AK976" i="2" s="1"/>
  <c r="AS1789" i="6"/>
  <c r="AI1789" i="6"/>
  <c r="AO1789" i="6" s="1"/>
  <c r="AS1788" i="6"/>
  <c r="AI1788" i="6"/>
  <c r="AO1788" i="6" s="1"/>
  <c r="AS1787" i="6"/>
  <c r="AI1787" i="6"/>
  <c r="AO1787" i="6" s="1"/>
  <c r="AS1786" i="6"/>
  <c r="AI1786" i="6"/>
  <c r="AO1786" i="6" s="1"/>
  <c r="AS1785" i="6"/>
  <c r="AO1785" i="6"/>
  <c r="AE1785" i="6"/>
  <c r="AC1785" i="6"/>
  <c r="AS1784" i="6"/>
  <c r="AO1784" i="6"/>
  <c r="AE1784" i="6"/>
  <c r="AC1784" i="6"/>
  <c r="AS1783" i="6"/>
  <c r="AO1783" i="6"/>
  <c r="AE1783" i="6"/>
  <c r="AC1783" i="6"/>
  <c r="AS1782" i="6"/>
  <c r="AO1782" i="6"/>
  <c r="AS1781" i="6"/>
  <c r="AO1781" i="6"/>
  <c r="AS1780" i="6"/>
  <c r="AO1780" i="6"/>
  <c r="AL1779" i="6"/>
  <c r="AS1779" i="6" s="1"/>
  <c r="AK1779" i="6"/>
  <c r="AO1779" i="6" s="1"/>
  <c r="Z1779" i="6"/>
  <c r="Y1779" i="6"/>
  <c r="AL1778" i="6"/>
  <c r="AS1778" i="6" s="1"/>
  <c r="AK1778" i="6"/>
  <c r="AO1778" i="6" s="1"/>
  <c r="Z1778" i="6"/>
  <c r="Y1778" i="6"/>
  <c r="AL1777" i="6"/>
  <c r="AK1777" i="6"/>
  <c r="AJ1777" i="6"/>
  <c r="AI1777" i="6"/>
  <c r="Z1777" i="6"/>
  <c r="Y1777" i="6"/>
  <c r="AL1776" i="6"/>
  <c r="AS1776" i="6" s="1"/>
  <c r="AK1776" i="6"/>
  <c r="AO1776" i="6" s="1"/>
  <c r="Z1776" i="6"/>
  <c r="Y1776" i="6"/>
  <c r="AL1775" i="6"/>
  <c r="AS1775" i="6" s="1"/>
  <c r="AK1775" i="6"/>
  <c r="AO1775" i="6" s="1"/>
  <c r="Z1775" i="6"/>
  <c r="Y1775" i="6"/>
  <c r="AL1774" i="6"/>
  <c r="AS1774" i="6" s="1"/>
  <c r="AK1774" i="6"/>
  <c r="AO1774" i="6" s="1"/>
  <c r="Z1774" i="6"/>
  <c r="Y1774" i="6"/>
  <c r="AL1773" i="6"/>
  <c r="AK1773" i="6"/>
  <c r="AJ1773" i="6"/>
  <c r="AI1773" i="6"/>
  <c r="Z1773" i="6"/>
  <c r="Y1773" i="6"/>
  <c r="AL1772" i="6"/>
  <c r="AS1772" i="6" s="1"/>
  <c r="AK1772" i="6"/>
  <c r="AO1772" i="6" s="1"/>
  <c r="Z1772" i="6"/>
  <c r="Y1772" i="6"/>
  <c r="AL1771" i="6"/>
  <c r="AS1771" i="6" s="1"/>
  <c r="AK1771" i="6"/>
  <c r="AO1771" i="6" s="1"/>
  <c r="Z1771" i="6"/>
  <c r="Y1771" i="6"/>
  <c r="AL1770" i="6"/>
  <c r="AS1770" i="6" s="1"/>
  <c r="AK1770" i="6"/>
  <c r="AO1770" i="6" s="1"/>
  <c r="Z1770" i="6"/>
  <c r="Y1770" i="6"/>
  <c r="AX1769" i="6"/>
  <c r="Z1769" i="6"/>
  <c r="Y1769" i="6"/>
  <c r="AX1768" i="6"/>
  <c r="Z1768" i="6"/>
  <c r="Y1768" i="6"/>
  <c r="AL1767" i="6"/>
  <c r="AS1767" i="6" s="1"/>
  <c r="AK1767" i="6"/>
  <c r="AO1767" i="6" s="1"/>
  <c r="Z1767" i="6"/>
  <c r="Y1767" i="6"/>
  <c r="AL1766" i="6"/>
  <c r="AS1766" i="6" s="1"/>
  <c r="AK1766" i="6"/>
  <c r="AO1766" i="6" s="1"/>
  <c r="Z1766" i="6"/>
  <c r="Y1766" i="6"/>
  <c r="AL1765" i="6"/>
  <c r="AK1765" i="6"/>
  <c r="AJ1765" i="6"/>
  <c r="AI1765" i="6"/>
  <c r="Z1765" i="6"/>
  <c r="Y1765" i="6"/>
  <c r="AL1764" i="6"/>
  <c r="AS1764" i="6" s="1"/>
  <c r="AK1764" i="6"/>
  <c r="AO1764" i="6" s="1"/>
  <c r="Z1764" i="6"/>
  <c r="Y1764" i="6"/>
  <c r="AL1763" i="6"/>
  <c r="AS1763" i="6" s="1"/>
  <c r="AK1763" i="6"/>
  <c r="AO1763" i="6" s="1"/>
  <c r="Z1763" i="6"/>
  <c r="Y1763" i="6"/>
  <c r="AL1762" i="6"/>
  <c r="AS1762" i="6" s="1"/>
  <c r="AK1762" i="6"/>
  <c r="AO1762" i="6" s="1"/>
  <c r="Z1762" i="6"/>
  <c r="Y1762" i="6"/>
  <c r="AL1761" i="6"/>
  <c r="AK1761" i="6"/>
  <c r="AJ1761" i="6"/>
  <c r="AI1761" i="6"/>
  <c r="Z1761" i="6"/>
  <c r="Y1761" i="6"/>
  <c r="AL1760" i="6"/>
  <c r="AS1760" i="6" s="1"/>
  <c r="AK1760" i="6"/>
  <c r="AO1760" i="6" s="1"/>
  <c r="Z1760" i="6"/>
  <c r="Y1760" i="6"/>
  <c r="AL1759" i="6"/>
  <c r="AS1759" i="6" s="1"/>
  <c r="AK1759" i="6"/>
  <c r="AO1759" i="6" s="1"/>
  <c r="Z1759" i="6"/>
  <c r="Y1759" i="6"/>
  <c r="AL1758" i="6"/>
  <c r="AS1758" i="6" s="1"/>
  <c r="AK1758" i="6"/>
  <c r="AO1758" i="6" s="1"/>
  <c r="Z1758" i="6"/>
  <c r="Y1758" i="6"/>
  <c r="AX1757" i="6"/>
  <c r="Z1757" i="6"/>
  <c r="Y1757" i="6"/>
  <c r="AX1756" i="6"/>
  <c r="Z1756" i="6"/>
  <c r="Y1756" i="6"/>
  <c r="AL1755" i="6"/>
  <c r="AS1755" i="6" s="1"/>
  <c r="AK1755" i="6"/>
  <c r="AO1755" i="6" s="1"/>
  <c r="Z1755" i="6"/>
  <c r="Y1755" i="6"/>
  <c r="AL1754" i="6"/>
  <c r="AS1754" i="6" s="1"/>
  <c r="AK1754" i="6"/>
  <c r="AO1754" i="6" s="1"/>
  <c r="Z1754" i="6"/>
  <c r="Y1754" i="6"/>
  <c r="AS1753" i="6"/>
  <c r="AO1753" i="6"/>
  <c r="AE1753" i="6"/>
  <c r="AC1753" i="6"/>
  <c r="AS1752" i="6"/>
  <c r="AO1752" i="6"/>
  <c r="AE1752" i="6"/>
  <c r="AC1752" i="6"/>
  <c r="AJ1751" i="6"/>
  <c r="AS1751" i="6" s="1"/>
  <c r="AI1751" i="6"/>
  <c r="AO1751" i="6" s="1"/>
  <c r="AE1751" i="6"/>
  <c r="AC1751" i="6"/>
  <c r="AS1750" i="6"/>
  <c r="AO1750" i="6"/>
  <c r="AE1750" i="6"/>
  <c r="AC1750" i="6"/>
  <c r="AS1749" i="6"/>
  <c r="AO1749" i="6"/>
  <c r="AE1749" i="6"/>
  <c r="AC1749" i="6"/>
  <c r="AS1748" i="6"/>
  <c r="AO1748" i="6"/>
  <c r="AE1748" i="6"/>
  <c r="AC1748" i="6"/>
  <c r="AJ1747" i="6"/>
  <c r="AS1747" i="6" s="1"/>
  <c r="AI1747" i="6"/>
  <c r="AO1747" i="6" s="1"/>
  <c r="AE1747" i="6"/>
  <c r="AC1747" i="6"/>
  <c r="AS1746" i="6"/>
  <c r="AO1746" i="6"/>
  <c r="AE1746" i="6"/>
  <c r="AC1746" i="6"/>
  <c r="AS1745" i="6"/>
  <c r="AO1745" i="6"/>
  <c r="AE1745" i="6"/>
  <c r="AC1745" i="6"/>
  <c r="AS1744" i="6"/>
  <c r="AO1744" i="6"/>
  <c r="AS1743" i="6"/>
  <c r="AO1743" i="6"/>
  <c r="AE1743" i="6"/>
  <c r="AC1743" i="6"/>
  <c r="AS1742" i="6"/>
  <c r="AO1742" i="6"/>
  <c r="AE1742" i="6"/>
  <c r="AC1742" i="6"/>
  <c r="AJ1741" i="6"/>
  <c r="AS1741" i="6" s="1"/>
  <c r="AI1741" i="6"/>
  <c r="AO1741" i="6" s="1"/>
  <c r="AE1741" i="6"/>
  <c r="AC1741" i="6"/>
  <c r="AS1740" i="6"/>
  <c r="AO1740" i="6"/>
  <c r="AE1740" i="6"/>
  <c r="AC1740" i="6"/>
  <c r="AS1739" i="6"/>
  <c r="AO1739" i="6"/>
  <c r="AE1739" i="6"/>
  <c r="AC1739" i="6"/>
  <c r="AS1738" i="6"/>
  <c r="AO1738" i="6"/>
  <c r="AE1738" i="6"/>
  <c r="AC1738" i="6"/>
  <c r="AJ1737" i="6"/>
  <c r="AS1737" i="6" s="1"/>
  <c r="AI1737" i="6"/>
  <c r="AO1737" i="6" s="1"/>
  <c r="AE1737" i="6"/>
  <c r="AC1737" i="6"/>
  <c r="AS1736" i="6"/>
  <c r="AO1736" i="6"/>
  <c r="AE1736" i="6"/>
  <c r="AC1736" i="6"/>
  <c r="AS1735" i="6"/>
  <c r="AO1735" i="6"/>
  <c r="AE1735" i="6"/>
  <c r="AC1735" i="6"/>
  <c r="AS1734" i="6"/>
  <c r="AO1734" i="6"/>
  <c r="AE1734" i="6"/>
  <c r="AC1734" i="6"/>
  <c r="AJ1732" i="6"/>
  <c r="AS1732" i="6" s="1"/>
  <c r="AI1732" i="6"/>
  <c r="AJ1731" i="6"/>
  <c r="AS1731" i="6" s="1"/>
  <c r="AI1731" i="6"/>
  <c r="AO1731" i="6" s="1"/>
  <c r="AJ1730" i="6"/>
  <c r="AS1730" i="6" s="1"/>
  <c r="AI1730" i="6"/>
  <c r="AO1730" i="6" s="1"/>
  <c r="AJ1728" i="6"/>
  <c r="AS1728" i="6" s="1"/>
  <c r="AI1728" i="6"/>
  <c r="AO1728" i="6" s="1"/>
  <c r="AJ1727" i="6"/>
  <c r="AS1727" i="6" s="1"/>
  <c r="AI1727" i="6"/>
  <c r="AO1727" i="6" s="1"/>
  <c r="AJ1726" i="6"/>
  <c r="AI1726" i="6"/>
  <c r="AO1726" i="6" s="1"/>
  <c r="AJ1725" i="6"/>
  <c r="AS1725" i="6" s="1"/>
  <c r="AI1725" i="6"/>
  <c r="AO1725" i="6" s="1"/>
  <c r="AJ1724" i="6"/>
  <c r="AS1724" i="6" s="1"/>
  <c r="AI1724" i="6"/>
  <c r="AO1724" i="6" s="1"/>
  <c r="AJ1723" i="6"/>
  <c r="AS1723" i="6" s="1"/>
  <c r="AI1723" i="6"/>
  <c r="AO1723" i="6" s="1"/>
  <c r="AJ1722" i="6"/>
  <c r="AS1722" i="6" s="1"/>
  <c r="AS1721" i="6"/>
  <c r="AI1721" i="6"/>
  <c r="AS1720" i="6"/>
  <c r="AI1720" i="6"/>
  <c r="AO1720" i="6" s="1"/>
  <c r="AS1719" i="6"/>
  <c r="AI1719" i="6"/>
  <c r="AO1719" i="6" s="1"/>
  <c r="AJ1718" i="6"/>
  <c r="AS1718" i="6" s="1"/>
  <c r="AS1717" i="6"/>
  <c r="AI1717" i="6"/>
  <c r="AO1717" i="6" s="1"/>
  <c r="AS1716" i="6"/>
  <c r="AI1716" i="6"/>
  <c r="AO1716" i="6" s="1"/>
  <c r="AS1715" i="6"/>
  <c r="AI1715" i="6"/>
  <c r="AO1715" i="6" s="1"/>
  <c r="AS1714" i="6"/>
  <c r="AI1714" i="6"/>
  <c r="AO1714" i="6" s="1"/>
  <c r="AS1713" i="6"/>
  <c r="AI1713" i="6"/>
  <c r="AO1713" i="6" s="1"/>
  <c r="AS1712" i="6"/>
  <c r="AI1712" i="6"/>
  <c r="AO1712" i="6" s="1"/>
  <c r="AI1711" i="6"/>
  <c r="AO1711" i="6" s="1"/>
  <c r="AI1710" i="6"/>
  <c r="AO1710" i="6" s="1"/>
  <c r="AI1709" i="6"/>
  <c r="AO1709" i="6" s="1"/>
  <c r="AI1708" i="6"/>
  <c r="AO1708" i="6" s="1"/>
  <c r="AI1707" i="6"/>
  <c r="AO1707" i="6" s="1"/>
  <c r="AI1706" i="6"/>
  <c r="AO1706" i="6" s="1"/>
  <c r="AI1705" i="6"/>
  <c r="AO1705" i="6" s="1"/>
  <c r="AI1704" i="6"/>
  <c r="AO1704" i="6" s="1"/>
  <c r="AK1703" i="6"/>
  <c r="AI1703" i="6"/>
  <c r="AK1702" i="6"/>
  <c r="AI1702" i="6"/>
  <c r="AO1701" i="6"/>
  <c r="AO1700" i="6"/>
  <c r="AS1699" i="6"/>
  <c r="AO1699" i="6"/>
  <c r="AS1698" i="6"/>
  <c r="AO1698" i="6"/>
  <c r="AS1697" i="6"/>
  <c r="AO1697" i="6"/>
  <c r="AJ1696" i="6"/>
  <c r="AS1696" i="6" s="1"/>
  <c r="AI1696" i="6"/>
  <c r="AO1696" i="6" s="1"/>
  <c r="AJ1695" i="6"/>
  <c r="AS1695" i="6" s="1"/>
  <c r="AI1695" i="6"/>
  <c r="AO1695" i="6" s="1"/>
  <c r="AS1694" i="6"/>
  <c r="AO1694" i="6"/>
  <c r="AS1693" i="6"/>
  <c r="AO1693" i="6"/>
  <c r="AS1692" i="6"/>
  <c r="AO1692" i="6"/>
  <c r="AS1691" i="6"/>
  <c r="AO1691" i="6"/>
  <c r="AS1690" i="6"/>
  <c r="AO1690" i="6"/>
  <c r="AS1689" i="6"/>
  <c r="AO1689" i="6"/>
  <c r="AI1688" i="6"/>
  <c r="AO1688" i="6" s="1"/>
  <c r="AK1687" i="6"/>
  <c r="AI1687" i="6"/>
  <c r="AI1686" i="6"/>
  <c r="AO1686" i="6" s="1"/>
  <c r="AK1685" i="6"/>
  <c r="AI1685" i="6"/>
  <c r="AK1684" i="6"/>
  <c r="AI1684" i="6"/>
  <c r="AC1684" i="6"/>
  <c r="AK1683" i="6"/>
  <c r="AI1683" i="6"/>
  <c r="AI1682" i="6"/>
  <c r="AO1682" i="6" s="1"/>
  <c r="AS1681" i="6"/>
  <c r="AO1681" i="6"/>
  <c r="AS1680" i="6"/>
  <c r="AO1680" i="6"/>
  <c r="AS1679" i="6"/>
  <c r="AO1679" i="6"/>
  <c r="AO1678" i="6"/>
  <c r="AL1678" i="6"/>
  <c r="AS1678" i="6" s="1"/>
  <c r="AO1677" i="6"/>
  <c r="AL1677" i="6"/>
  <c r="AS1677" i="6" s="1"/>
  <c r="AO1676" i="6"/>
  <c r="AL1676" i="6"/>
  <c r="AS1676" i="6" s="1"/>
  <c r="AO1675" i="6"/>
  <c r="AL1675" i="6"/>
  <c r="AS1675" i="6" s="1"/>
  <c r="AO1674" i="6"/>
  <c r="AL1674" i="6"/>
  <c r="AS1674" i="6" s="1"/>
  <c r="AO1673" i="6"/>
  <c r="AL1673" i="6"/>
  <c r="AS1673" i="6" s="1"/>
  <c r="AO1672" i="6"/>
  <c r="AL1672" i="6"/>
  <c r="AS1672" i="6" s="1"/>
  <c r="AO1671" i="6"/>
  <c r="AL1671" i="6"/>
  <c r="AS1671" i="6" s="1"/>
  <c r="AO1670" i="6"/>
  <c r="AL1670" i="6"/>
  <c r="AS1670" i="6" s="1"/>
  <c r="AO1669" i="6"/>
  <c r="AL1669" i="6"/>
  <c r="AS1669" i="6" s="1"/>
  <c r="AO1668" i="6"/>
  <c r="AL1668" i="6"/>
  <c r="AS1668" i="6" s="1"/>
  <c r="AO1667" i="6"/>
  <c r="AL1667" i="6"/>
  <c r="AS1667" i="6" s="1"/>
  <c r="AO1666" i="6"/>
  <c r="AL1666" i="6"/>
  <c r="AS1666" i="6" s="1"/>
  <c r="AO1665" i="6"/>
  <c r="AL1665" i="6"/>
  <c r="AS1665" i="6" s="1"/>
  <c r="AO1664" i="6"/>
  <c r="AL1664" i="6"/>
  <c r="AS1664" i="6" s="1"/>
  <c r="AO1663" i="6"/>
  <c r="AL1663" i="6"/>
  <c r="AS1663" i="6" s="1"/>
  <c r="AO1662" i="6"/>
  <c r="AL1662" i="6"/>
  <c r="AS1662" i="6" s="1"/>
  <c r="AO1661" i="6"/>
  <c r="AL1661" i="6"/>
  <c r="AS1661" i="6" s="1"/>
  <c r="AO1660" i="6"/>
  <c r="AL1660" i="6"/>
  <c r="AS1660" i="6" s="1"/>
  <c r="AO1659" i="6"/>
  <c r="AL1659" i="6"/>
  <c r="AS1659" i="6" s="1"/>
  <c r="AO1658" i="6"/>
  <c r="AL1658" i="6"/>
  <c r="AS1658" i="6" s="1"/>
  <c r="AO1657" i="6"/>
  <c r="AL1657" i="6"/>
  <c r="AS1657" i="6" s="1"/>
  <c r="AO1656" i="6"/>
  <c r="AL1656" i="6"/>
  <c r="AS1656" i="6" s="1"/>
  <c r="AO1655" i="6"/>
  <c r="AL1655" i="6"/>
  <c r="AS1655" i="6" s="1"/>
  <c r="AO1654" i="6"/>
  <c r="AL1654" i="6"/>
  <c r="AS1654" i="6" s="1"/>
  <c r="AO1653" i="6"/>
  <c r="AL1653" i="6"/>
  <c r="AS1653" i="6" s="1"/>
  <c r="AO1652" i="6"/>
  <c r="AL1652" i="6"/>
  <c r="AS1652" i="6" s="1"/>
  <c r="AO1651" i="6"/>
  <c r="AL1651" i="6"/>
  <c r="AS1651" i="6" s="1"/>
  <c r="AS1650" i="6"/>
  <c r="AO1650" i="6"/>
  <c r="AS1649" i="6"/>
  <c r="AO1649" i="6"/>
  <c r="AS1648" i="6"/>
  <c r="AO1648" i="6"/>
  <c r="AO1647" i="6"/>
  <c r="AO1646" i="6"/>
  <c r="AO1645" i="6"/>
  <c r="AO1644" i="6"/>
  <c r="AL1644" i="6"/>
  <c r="AS1644" i="6" s="1"/>
  <c r="Z1644" i="6"/>
  <c r="AO1643" i="6"/>
  <c r="AL1643" i="6"/>
  <c r="AS1643" i="6" s="1"/>
  <c r="Z1643" i="6"/>
  <c r="AO1642" i="6"/>
  <c r="AL1642" i="6"/>
  <c r="AS1642" i="6" s="1"/>
  <c r="Z1642" i="6"/>
  <c r="AO1641" i="6"/>
  <c r="AL1641" i="6"/>
  <c r="AS1641" i="6" s="1"/>
  <c r="Z1641" i="6"/>
  <c r="AO1640" i="6"/>
  <c r="AL1640" i="6"/>
  <c r="AS1640" i="6" s="1"/>
  <c r="Z1640" i="6"/>
  <c r="AO1639" i="6"/>
  <c r="AL1639" i="6"/>
  <c r="AS1639" i="6" s="1"/>
  <c r="Z1639" i="6"/>
  <c r="AO1638" i="6"/>
  <c r="AL1638" i="6"/>
  <c r="AS1638" i="6" s="1"/>
  <c r="Z1638" i="6"/>
  <c r="AO1637" i="6"/>
  <c r="AL1637" i="6"/>
  <c r="AS1637" i="6" s="1"/>
  <c r="Z1637" i="6"/>
  <c r="AS1636" i="6"/>
  <c r="AO1636" i="6"/>
  <c r="AJ1635" i="6"/>
  <c r="AS1635" i="6" s="1"/>
  <c r="AI1635" i="6"/>
  <c r="AO1635" i="6" s="1"/>
  <c r="AS1632" i="6"/>
  <c r="AO1632" i="6"/>
  <c r="AS1631" i="6"/>
  <c r="AO1631" i="6"/>
  <c r="AS1630" i="6"/>
  <c r="AO1630" i="6"/>
  <c r="AS1629" i="6"/>
  <c r="AO1629" i="6"/>
  <c r="AS1628" i="6"/>
  <c r="AO1628" i="6"/>
  <c r="AS1627" i="6"/>
  <c r="AO1627" i="6"/>
  <c r="AS1626" i="6"/>
  <c r="AO1626" i="6"/>
  <c r="AS1625" i="6"/>
  <c r="AO1625" i="6"/>
  <c r="AS1624" i="6"/>
  <c r="AO1624" i="6"/>
  <c r="AS1623" i="6"/>
  <c r="AO1623" i="6"/>
  <c r="AS1622" i="6"/>
  <c r="AO1622" i="6"/>
  <c r="AS1621" i="6"/>
  <c r="AO1621" i="6"/>
  <c r="AS1620" i="6"/>
  <c r="AO1620" i="6"/>
  <c r="AS1619" i="6"/>
  <c r="AO1619" i="6"/>
  <c r="AS1618" i="6"/>
  <c r="AO1618" i="6"/>
  <c r="AS1617" i="6"/>
  <c r="AO1617" i="6"/>
  <c r="AS1616" i="6"/>
  <c r="AO1616" i="6"/>
  <c r="AS1615" i="6"/>
  <c r="AO1615" i="6"/>
  <c r="AS1614" i="6"/>
  <c r="AO1614" i="6"/>
  <c r="AS1613" i="6"/>
  <c r="AO1613" i="6"/>
  <c r="AS1612" i="6"/>
  <c r="AO1612" i="6"/>
  <c r="AS1611" i="6"/>
  <c r="AO1611" i="6"/>
  <c r="AS1610" i="6"/>
  <c r="AO1610" i="6"/>
  <c r="AS1609" i="6"/>
  <c r="AO1609" i="6"/>
  <c r="AS1608" i="6"/>
  <c r="AO1608" i="6"/>
  <c r="AS1607" i="6"/>
  <c r="AO1607" i="6"/>
  <c r="AS1606" i="6"/>
  <c r="AO1606" i="6"/>
  <c r="AS1605" i="6"/>
  <c r="AO1605" i="6"/>
  <c r="AS1604" i="6"/>
  <c r="AO1604" i="6"/>
  <c r="AS1603" i="6"/>
  <c r="AO1603" i="6"/>
  <c r="AJ1602" i="6"/>
  <c r="AS1602" i="6" s="1"/>
  <c r="AI1602" i="6"/>
  <c r="AO1602" i="6" s="1"/>
  <c r="AJ1601" i="6"/>
  <c r="AS1601" i="6" s="1"/>
  <c r="AI1601" i="6"/>
  <c r="AO1601" i="6" s="1"/>
  <c r="AS1600" i="6"/>
  <c r="AO1600" i="6"/>
  <c r="AS1599" i="6"/>
  <c r="AO1599" i="6"/>
  <c r="AS1598" i="6"/>
  <c r="AO1598" i="6"/>
  <c r="AS1597" i="6"/>
  <c r="AO1597" i="6"/>
  <c r="AS1596" i="6"/>
  <c r="AO1596" i="6"/>
  <c r="AI1595" i="6"/>
  <c r="AO1595" i="6" s="1"/>
  <c r="AO1594" i="6"/>
  <c r="AO1593" i="6"/>
  <c r="AS1592" i="6"/>
  <c r="AO1592" i="6"/>
  <c r="AS1591" i="6"/>
  <c r="AO1591" i="6"/>
  <c r="AS1590" i="6"/>
  <c r="AO1590" i="6"/>
  <c r="AS1589" i="6"/>
  <c r="AO1589" i="6"/>
  <c r="AI1588" i="6"/>
  <c r="AO1588" i="6" s="1"/>
  <c r="AI1587" i="6"/>
  <c r="AO1587" i="6" s="1"/>
  <c r="AU800" i="2"/>
  <c r="AS800" i="2"/>
  <c r="AO800" i="2"/>
  <c r="AK800" i="2"/>
  <c r="AV799" i="2"/>
  <c r="AU799" i="2"/>
  <c r="AS799" i="2"/>
  <c r="AO799" i="2"/>
  <c r="AK799" i="2"/>
  <c r="AV798" i="2"/>
  <c r="AU798" i="2"/>
  <c r="AS798" i="2"/>
  <c r="AO798" i="2"/>
  <c r="AK798" i="2"/>
  <c r="AO797" i="2"/>
  <c r="AK797" i="2"/>
  <c r="AO796" i="2"/>
  <c r="AK796" i="2"/>
  <c r="AO795" i="2"/>
  <c r="AK795" i="2"/>
  <c r="AO794" i="2"/>
  <c r="AK794" i="2"/>
  <c r="AO793" i="2"/>
  <c r="AK793" i="2"/>
  <c r="AO792" i="2"/>
  <c r="AK792" i="2"/>
  <c r="AO791" i="2"/>
  <c r="AK791" i="2"/>
  <c r="AO790" i="2"/>
  <c r="AK790" i="2"/>
  <c r="AO789" i="2"/>
  <c r="AK789" i="2"/>
  <c r="AO788" i="2"/>
  <c r="AK788" i="2"/>
  <c r="AO787" i="2"/>
  <c r="AK787" i="2"/>
  <c r="AO786" i="2"/>
  <c r="AK786" i="2"/>
  <c r="AO785" i="2"/>
  <c r="AK785" i="2"/>
  <c r="AO784" i="2"/>
  <c r="AK784" i="2"/>
  <c r="AS783" i="2"/>
  <c r="AO783" i="2"/>
  <c r="AK783" i="2"/>
  <c r="AS782" i="2"/>
  <c r="AO782" i="2"/>
  <c r="AK782" i="2"/>
  <c r="AS781" i="2"/>
  <c r="AO781" i="2"/>
  <c r="AK781" i="2"/>
  <c r="AS780" i="2"/>
  <c r="AO780" i="2"/>
  <c r="AK780" i="2"/>
  <c r="AV779" i="2"/>
  <c r="AU779" i="2"/>
  <c r="AS779" i="2"/>
  <c r="AO779" i="2"/>
  <c r="AK779" i="2"/>
  <c r="AK778" i="2"/>
  <c r="AF778" i="2"/>
  <c r="AO778" i="2" s="1"/>
  <c r="AE778" i="2"/>
  <c r="AF777" i="2"/>
  <c r="AO777" i="2" s="1"/>
  <c r="AE777" i="2"/>
  <c r="AK777" i="2" s="1"/>
  <c r="AO776" i="2"/>
  <c r="AK776" i="2"/>
  <c r="AO775" i="2"/>
  <c r="AK775" i="2"/>
  <c r="AO774" i="2"/>
  <c r="AK774" i="2"/>
  <c r="AO773" i="2"/>
  <c r="AK773" i="2"/>
  <c r="AO772" i="2"/>
  <c r="AK772" i="2"/>
  <c r="AO771" i="2"/>
  <c r="AK771" i="2"/>
  <c r="AO770" i="2"/>
  <c r="AK770" i="2"/>
  <c r="AO769" i="2"/>
  <c r="AK769" i="2"/>
  <c r="AO768" i="2"/>
  <c r="AK768" i="2"/>
  <c r="AO767" i="2"/>
  <c r="AK767" i="2"/>
  <c r="AO766" i="2"/>
  <c r="AK766" i="2"/>
  <c r="AS765" i="2"/>
  <c r="AO765" i="2"/>
  <c r="AK765" i="2"/>
  <c r="AS764" i="2"/>
  <c r="AO764" i="2"/>
  <c r="AK764" i="2"/>
  <c r="AS763" i="2"/>
  <c r="AO763" i="2"/>
  <c r="AK763" i="2"/>
  <c r="AS762" i="2"/>
  <c r="AO762" i="2"/>
  <c r="AK762" i="2"/>
  <c r="AS761" i="2"/>
  <c r="AO761" i="2"/>
  <c r="AK761" i="2"/>
  <c r="AS760" i="2"/>
  <c r="AO760" i="2"/>
  <c r="AK760" i="2"/>
  <c r="AS759" i="2"/>
  <c r="AO759" i="2"/>
  <c r="AK759" i="2"/>
  <c r="AS758" i="2"/>
  <c r="AO758" i="2"/>
  <c r="AK758" i="2"/>
  <c r="AO757" i="2"/>
  <c r="AK757" i="2"/>
  <c r="AO756" i="2"/>
  <c r="AK756" i="2"/>
  <c r="AO755" i="2"/>
  <c r="AK755" i="2"/>
  <c r="AO754" i="2"/>
  <c r="AK754" i="2"/>
  <c r="AO753" i="2"/>
  <c r="AK753" i="2"/>
  <c r="AO752" i="2"/>
  <c r="AK752" i="2"/>
  <c r="AO751" i="2"/>
  <c r="AK751" i="2"/>
  <c r="AO750" i="2"/>
  <c r="AK750" i="2"/>
  <c r="AO749" i="2"/>
  <c r="AK749" i="2"/>
  <c r="AO748" i="2"/>
  <c r="AK748" i="2"/>
  <c r="AO747" i="2"/>
  <c r="AK747" i="2"/>
  <c r="AO746" i="2"/>
  <c r="AK746" i="2"/>
  <c r="AO745" i="2"/>
  <c r="AK745" i="2"/>
  <c r="AO744" i="2"/>
  <c r="AK744" i="2"/>
  <c r="AO743" i="2"/>
  <c r="AK743" i="2"/>
  <c r="AO742" i="2"/>
  <c r="AK742" i="2"/>
  <c r="AO741" i="2"/>
  <c r="AK741" i="2"/>
  <c r="AF741" i="2"/>
  <c r="AE741" i="2"/>
  <c r="AO740" i="2"/>
  <c r="AK740" i="2"/>
  <c r="AO739" i="2"/>
  <c r="AK739" i="2"/>
  <c r="AO738" i="2"/>
  <c r="AK738" i="2"/>
  <c r="AO737" i="2"/>
  <c r="AK737" i="2"/>
  <c r="AO736" i="2"/>
  <c r="AK736" i="2"/>
  <c r="AO735" i="2"/>
  <c r="AK735" i="2"/>
  <c r="AT734" i="2"/>
  <c r="AH734" i="2"/>
  <c r="AO734" i="2" s="1"/>
  <c r="AG734" i="2"/>
  <c r="AK734" i="2" s="1"/>
  <c r="AT733" i="2"/>
  <c r="AH733" i="2"/>
  <c r="AO733" i="2" s="1"/>
  <c r="AG733" i="2"/>
  <c r="AK733" i="2" s="1"/>
  <c r="AO732" i="2"/>
  <c r="AK732" i="2"/>
  <c r="AI1226" i="6"/>
  <c r="AO1226" i="6" s="1"/>
  <c r="AI1225" i="6"/>
  <c r="AO1225" i="6" s="1"/>
  <c r="AI1224" i="6"/>
  <c r="AO1224" i="6" s="1"/>
  <c r="AS1223" i="6"/>
  <c r="AO1223" i="6"/>
  <c r="AS1222" i="6"/>
  <c r="AO1222" i="6"/>
  <c r="AS1221" i="6"/>
  <c r="AO1221" i="6"/>
  <c r="AS1220" i="6"/>
  <c r="AO1220" i="6"/>
  <c r="AS1219" i="6"/>
  <c r="AO1219" i="6"/>
  <c r="AK1218" i="6"/>
  <c r="AI1218" i="6"/>
  <c r="AI1217" i="6"/>
  <c r="AO1217" i="6" s="1"/>
  <c r="AS1216" i="6"/>
  <c r="AO1216" i="6"/>
  <c r="AS1215" i="6"/>
  <c r="AI1215" i="6"/>
  <c r="AO1215" i="6" s="1"/>
  <c r="AK1214" i="6"/>
  <c r="AJ1214" i="6"/>
  <c r="AS1214" i="6" s="1"/>
  <c r="AI1214" i="6"/>
  <c r="AO1213" i="6"/>
  <c r="AK1212" i="6"/>
  <c r="AO1212" i="6" s="1"/>
  <c r="AS1211" i="6"/>
  <c r="AI1211" i="6"/>
  <c r="AO1211" i="6" s="1"/>
  <c r="AK1210" i="6"/>
  <c r="AO1210" i="6" s="1"/>
  <c r="AK1209" i="6"/>
  <c r="AO1209" i="6" s="1"/>
  <c r="AK1208" i="6"/>
  <c r="AO1208" i="6" s="1"/>
  <c r="AK1207" i="6"/>
  <c r="AO1207" i="6" s="1"/>
  <c r="AO1206" i="6"/>
  <c r="AS2563" i="6"/>
  <c r="AI2563" i="6"/>
  <c r="AO2563" i="6" s="1"/>
  <c r="AS2562" i="6"/>
  <c r="AI2562" i="6"/>
  <c r="AO2562" i="6" s="1"/>
  <c r="AS2561" i="6"/>
  <c r="AI2561" i="6"/>
  <c r="AO2561" i="6" s="1"/>
  <c r="AS2560" i="6"/>
  <c r="AO2560" i="6"/>
  <c r="AS2559" i="6"/>
  <c r="AO2559" i="6"/>
  <c r="AS2558" i="6"/>
  <c r="AO2558" i="6"/>
  <c r="AS2557" i="6"/>
  <c r="AO2557" i="6"/>
  <c r="AS2556" i="6"/>
  <c r="AO2556" i="6"/>
  <c r="AS2555" i="6"/>
  <c r="AO2555" i="6"/>
  <c r="AS2554" i="6"/>
  <c r="AO2554" i="6"/>
  <c r="AS2553" i="6"/>
  <c r="AO2553" i="6"/>
  <c r="AS2552" i="6"/>
  <c r="AO2552" i="6"/>
  <c r="AS2551" i="6"/>
  <c r="AO2551" i="6"/>
  <c r="AS2550" i="6"/>
  <c r="AO2550" i="6"/>
  <c r="AX2549" i="6"/>
  <c r="AX2548" i="6"/>
  <c r="AX2547" i="6"/>
  <c r="AJ2546" i="6"/>
  <c r="AS2546" i="6" s="1"/>
  <c r="AI2546" i="6"/>
  <c r="AO2546" i="6" s="1"/>
  <c r="AS2545" i="6"/>
  <c r="AO2545" i="6"/>
  <c r="AS2544" i="6"/>
  <c r="AO2544" i="6"/>
  <c r="AS2543" i="6"/>
  <c r="AO2543" i="6"/>
  <c r="AS2542" i="6"/>
  <c r="AO2542" i="6"/>
  <c r="AS2541" i="6"/>
  <c r="AO2541" i="6"/>
  <c r="AS2540" i="6"/>
  <c r="AO2540" i="6"/>
  <c r="AS2539" i="6"/>
  <c r="AO2539" i="6"/>
  <c r="AS2538" i="6"/>
  <c r="AO2538" i="6"/>
  <c r="AJ2537" i="6"/>
  <c r="AS2537" i="6" s="1"/>
  <c r="AI2537" i="6"/>
  <c r="AO2537" i="6" s="1"/>
  <c r="AE2537" i="6"/>
  <c r="AS2536" i="6"/>
  <c r="AO2536" i="6"/>
  <c r="AE2536" i="6"/>
  <c r="AS2535" i="6"/>
  <c r="AO2535" i="6"/>
  <c r="AE2535" i="6"/>
  <c r="K2535" i="6"/>
  <c r="AS2534" i="6"/>
  <c r="AO2534" i="6"/>
  <c r="AE2534" i="6"/>
  <c r="AS2533" i="6"/>
  <c r="AO2533" i="6"/>
  <c r="AS2532" i="6"/>
  <c r="AO2532" i="6"/>
  <c r="AS2530" i="6"/>
  <c r="AO2530" i="6"/>
  <c r="AS2529" i="6"/>
  <c r="AO2529" i="6"/>
  <c r="AS2528" i="6"/>
  <c r="AO2528" i="6"/>
  <c r="AS2527" i="6"/>
  <c r="AO2527" i="6"/>
  <c r="AS2526" i="6"/>
  <c r="AO2526" i="6"/>
  <c r="AS2525" i="6"/>
  <c r="AO2525" i="6"/>
  <c r="AS2524" i="6"/>
  <c r="AO2524" i="6"/>
  <c r="AS2523" i="6"/>
  <c r="AO2523" i="6"/>
  <c r="AS2522" i="6"/>
  <c r="AO2522" i="6"/>
  <c r="AS2521" i="6"/>
  <c r="AO2521" i="6"/>
  <c r="AS2520" i="6"/>
  <c r="AO2520" i="6"/>
  <c r="AS2519" i="6"/>
  <c r="AO2519" i="6"/>
  <c r="AS2518" i="6"/>
  <c r="AO2518" i="6"/>
  <c r="AS2517" i="6"/>
  <c r="AO2517" i="6"/>
  <c r="AS2516" i="6"/>
  <c r="AO2516" i="6"/>
  <c r="AS2515" i="6"/>
  <c r="AO2515" i="6"/>
  <c r="AS2514" i="6"/>
  <c r="AO2514" i="6"/>
  <c r="AS2513" i="6"/>
  <c r="AO2513" i="6"/>
  <c r="AS2512" i="6"/>
  <c r="AO2512" i="6"/>
  <c r="AS2511" i="6"/>
  <c r="AO2511" i="6"/>
  <c r="AS2510" i="6"/>
  <c r="AO2510" i="6"/>
  <c r="AS2509" i="6"/>
  <c r="AO2509" i="6"/>
  <c r="AS2508" i="6"/>
  <c r="AO2508" i="6"/>
  <c r="AS2507" i="6"/>
  <c r="AO2507" i="6"/>
  <c r="AS2506" i="6"/>
  <c r="AO2506" i="6"/>
  <c r="AS2505" i="6"/>
  <c r="AO2505" i="6"/>
  <c r="AS2504" i="6"/>
  <c r="AO2504" i="6"/>
  <c r="AS2503" i="6"/>
  <c r="AO2503" i="6"/>
  <c r="AS2502" i="6"/>
  <c r="AO2502" i="6"/>
  <c r="AS2501" i="6"/>
  <c r="AO2501" i="6"/>
  <c r="AS2500" i="6"/>
  <c r="AO2500" i="6"/>
  <c r="AJ2499" i="6"/>
  <c r="AS2499" i="6" s="1"/>
  <c r="AI2499" i="6"/>
  <c r="AO2499" i="6" s="1"/>
  <c r="AS2498" i="6"/>
  <c r="AO2498" i="6"/>
  <c r="AS2497" i="6"/>
  <c r="AO2497" i="6"/>
  <c r="AS2496" i="6"/>
  <c r="AO2496" i="6"/>
  <c r="AS2495" i="6"/>
  <c r="AO2495" i="6"/>
  <c r="AE2495" i="6"/>
  <c r="AC2495" i="6"/>
  <c r="AS2494" i="6"/>
  <c r="AO2494" i="6"/>
  <c r="AE2494" i="6"/>
  <c r="AC2494" i="6"/>
  <c r="AS2493" i="6"/>
  <c r="AO2493" i="6"/>
  <c r="AE2493" i="6"/>
  <c r="AC2493" i="6"/>
  <c r="AS2492" i="6"/>
  <c r="AO2492" i="6"/>
  <c r="AS2491" i="6"/>
  <c r="AO2491" i="6"/>
  <c r="AS2490" i="6"/>
  <c r="AO2490" i="6"/>
  <c r="AS2489" i="6"/>
  <c r="AO2489" i="6"/>
  <c r="AS2488" i="6"/>
  <c r="AO2488" i="6"/>
  <c r="AS2487" i="6"/>
  <c r="AO2487" i="6"/>
  <c r="AS2486" i="6"/>
  <c r="AO2486" i="6"/>
  <c r="AS2485" i="6"/>
  <c r="AI2485" i="6"/>
  <c r="AO2485" i="6" s="1"/>
  <c r="AC2485" i="6"/>
  <c r="AS2484" i="6"/>
  <c r="AI2484" i="6"/>
  <c r="AO2484" i="6" s="1"/>
  <c r="AC2484" i="6"/>
  <c r="AS2483" i="6"/>
  <c r="AI2483" i="6"/>
  <c r="AO2483" i="6" s="1"/>
  <c r="AC2483" i="6"/>
  <c r="AS2482" i="6"/>
  <c r="AI2482" i="6"/>
  <c r="AO2482" i="6" s="1"/>
  <c r="AC2482" i="6"/>
  <c r="AS2481" i="6"/>
  <c r="AO2481" i="6"/>
  <c r="AS2480" i="6"/>
  <c r="AO2480" i="6"/>
  <c r="AS2479" i="6"/>
  <c r="AO2479" i="6"/>
  <c r="AS2478" i="6"/>
  <c r="AO2478" i="6"/>
  <c r="AS2477" i="6"/>
  <c r="AO2477" i="6"/>
  <c r="AS2476" i="6"/>
  <c r="AO2476" i="6"/>
  <c r="AS2475" i="6"/>
  <c r="AO2475" i="6"/>
  <c r="AS2474" i="6"/>
  <c r="AO2474" i="6"/>
  <c r="AS2473" i="6"/>
  <c r="AO2473" i="6"/>
  <c r="AS2472" i="6"/>
  <c r="AO2472" i="6"/>
  <c r="AS2471" i="6"/>
  <c r="AO2471" i="6"/>
  <c r="AS2470" i="6"/>
  <c r="AO2470" i="6"/>
  <c r="AS2469" i="6"/>
  <c r="AO2469" i="6"/>
  <c r="AW2468" i="6"/>
  <c r="AS2468" i="6"/>
  <c r="AO2468" i="6"/>
  <c r="AS2467" i="6"/>
  <c r="AO2467" i="6"/>
  <c r="AS2466" i="6"/>
  <c r="AO2466" i="6"/>
  <c r="AS2465" i="6"/>
  <c r="AO2465" i="6"/>
  <c r="AS2464" i="6"/>
  <c r="AO2464" i="6"/>
  <c r="AS2463" i="6"/>
  <c r="AO2463" i="6"/>
  <c r="AS2462" i="6"/>
  <c r="AO2462" i="6"/>
  <c r="AS2461" i="6"/>
  <c r="AO2461" i="6"/>
  <c r="AS2460" i="6"/>
  <c r="AO2460" i="6"/>
  <c r="AJ2459" i="6"/>
  <c r="AS2459" i="6" s="1"/>
  <c r="AI2459" i="6"/>
  <c r="AO2459" i="6" s="1"/>
  <c r="AS2458" i="6"/>
  <c r="AO2458" i="6"/>
  <c r="AS2457" i="6"/>
  <c r="AO2457" i="6"/>
  <c r="AS2456" i="6"/>
  <c r="AO2456" i="6"/>
  <c r="AS2455" i="6"/>
  <c r="AO2455" i="6"/>
  <c r="AS2454" i="6"/>
  <c r="AO2454" i="6"/>
  <c r="AS2453" i="6"/>
  <c r="AO2453" i="6"/>
  <c r="AS2452" i="6"/>
  <c r="AO2452" i="6"/>
  <c r="AS2447" i="6"/>
  <c r="AO2447" i="6"/>
  <c r="AS2446" i="6"/>
  <c r="AO2446" i="6"/>
  <c r="AS2445" i="6"/>
  <c r="AO2445" i="6"/>
  <c r="AJ2440" i="6"/>
  <c r="AS2440" i="6" s="1"/>
  <c r="AI2440" i="6"/>
  <c r="AO2440" i="6" s="1"/>
  <c r="AE2440" i="6"/>
  <c r="AC2440" i="6"/>
  <c r="AJ2439" i="6"/>
  <c r="AS2439" i="6" s="1"/>
  <c r="AI2439" i="6"/>
  <c r="AO2439" i="6" s="1"/>
  <c r="AE2439" i="6"/>
  <c r="AC2439" i="6"/>
  <c r="AJ2438" i="6"/>
  <c r="AS2438" i="6" s="1"/>
  <c r="AI2438" i="6"/>
  <c r="AO2438" i="6" s="1"/>
  <c r="AE2438" i="6"/>
  <c r="AC2438" i="6"/>
  <c r="AS2437" i="6"/>
  <c r="AK2437" i="6"/>
  <c r="AI2437" i="6"/>
  <c r="AS2436" i="6"/>
  <c r="AI2436" i="6"/>
  <c r="AO2436" i="6" s="1"/>
  <c r="AS2435" i="6"/>
  <c r="AI2435" i="6"/>
  <c r="AO2435" i="6" s="1"/>
  <c r="AS2434" i="6"/>
  <c r="AI2434" i="6"/>
  <c r="AO2434" i="6" s="1"/>
  <c r="AS2433" i="6"/>
  <c r="AO2433" i="6"/>
  <c r="AS2432" i="6"/>
  <c r="AO2432" i="6"/>
  <c r="AS2431" i="6"/>
  <c r="AO2431" i="6"/>
  <c r="AS2430" i="6"/>
  <c r="AO2430" i="6"/>
  <c r="AS2429" i="6"/>
  <c r="AO2429" i="6"/>
  <c r="AS2428" i="6"/>
  <c r="AO2428" i="6"/>
  <c r="AS2427" i="6"/>
  <c r="AO2427" i="6"/>
  <c r="AS2426" i="6"/>
  <c r="AO2426" i="6"/>
  <c r="AS2425" i="6"/>
  <c r="AO2425" i="6"/>
  <c r="AS2424" i="6"/>
  <c r="AO2424" i="6"/>
  <c r="AS2423" i="6"/>
  <c r="AO2423" i="6"/>
  <c r="AS2422" i="6"/>
  <c r="AO2422" i="6"/>
  <c r="AS2421" i="6"/>
  <c r="AO2421" i="6"/>
  <c r="AS2420" i="6"/>
  <c r="AO2420" i="6"/>
  <c r="AS2419" i="6"/>
  <c r="AO2419" i="6"/>
  <c r="AS2418" i="6"/>
  <c r="AO2418" i="6"/>
  <c r="AS2417" i="6"/>
  <c r="AO2417" i="6"/>
  <c r="AS2416" i="6"/>
  <c r="AO2416" i="6"/>
  <c r="AS2415" i="6"/>
  <c r="AO2415" i="6"/>
  <c r="AS2414" i="6"/>
  <c r="AO2414" i="6"/>
  <c r="AS2413" i="6"/>
  <c r="AO2413" i="6"/>
  <c r="AS2412" i="6"/>
  <c r="AO2412" i="6"/>
  <c r="AS2411" i="6"/>
  <c r="AO2411" i="6"/>
  <c r="AS2410" i="6"/>
  <c r="AK2410" i="6"/>
  <c r="AI2410" i="6"/>
  <c r="AS2409" i="6"/>
  <c r="AI2409" i="6"/>
  <c r="AO2409" i="6" s="1"/>
  <c r="AS2408" i="6"/>
  <c r="AI2408" i="6"/>
  <c r="AO2408" i="6" s="1"/>
  <c r="AS2407" i="6"/>
  <c r="AI2407" i="6"/>
  <c r="AO2407" i="6" s="1"/>
  <c r="AS2406" i="6"/>
  <c r="AI2406" i="6"/>
  <c r="AO2406" i="6" s="1"/>
  <c r="AS2405" i="6"/>
  <c r="AO2405" i="6"/>
  <c r="AS2404" i="6"/>
  <c r="AO2404" i="6"/>
  <c r="AS2403" i="6"/>
  <c r="AO2403" i="6"/>
  <c r="AS2402" i="6"/>
  <c r="AO2402" i="6"/>
  <c r="AS2401" i="6"/>
  <c r="AO2401" i="6"/>
  <c r="AS2400" i="6"/>
  <c r="AO2400" i="6"/>
  <c r="AS2399" i="6"/>
  <c r="AO2399" i="6"/>
  <c r="AS2398" i="6"/>
  <c r="AO2398" i="6"/>
  <c r="AS2397" i="6"/>
  <c r="AO2397" i="6"/>
  <c r="AS2396" i="6"/>
  <c r="AO2396" i="6"/>
  <c r="AS2395" i="6"/>
  <c r="AO2395" i="6"/>
  <c r="AE2395" i="6"/>
  <c r="AX2394" i="6"/>
  <c r="AE2394" i="6"/>
  <c r="AS2393" i="6"/>
  <c r="AO2393" i="6"/>
  <c r="AE2393" i="6"/>
  <c r="AS2392" i="6"/>
  <c r="AO2392" i="6"/>
  <c r="AE2392" i="6"/>
  <c r="AS2391" i="6"/>
  <c r="AO2391" i="6"/>
  <c r="AE2391" i="6"/>
  <c r="AS2390" i="6"/>
  <c r="AO2390" i="6"/>
  <c r="AE2390" i="6"/>
  <c r="AS2389" i="6"/>
  <c r="AO2389" i="6"/>
  <c r="AS2388" i="6"/>
  <c r="AO2388" i="6"/>
  <c r="AS2387" i="6"/>
  <c r="AO2387" i="6"/>
  <c r="AS2386" i="6"/>
  <c r="AO2386" i="6"/>
  <c r="AS2385" i="6"/>
  <c r="AO2385" i="6"/>
  <c r="AS2384" i="6"/>
  <c r="AO2384" i="6"/>
  <c r="AS2383" i="6"/>
  <c r="AO2383" i="6"/>
  <c r="AS2382" i="6"/>
  <c r="AO2382" i="6"/>
  <c r="AS2381" i="6"/>
  <c r="AO2381" i="6"/>
  <c r="AS2380" i="6"/>
  <c r="AO2380" i="6"/>
  <c r="AS2379" i="6"/>
  <c r="AO2379" i="6"/>
  <c r="AS2378" i="6"/>
  <c r="AO2378" i="6"/>
  <c r="AS2377" i="6"/>
  <c r="AO2377" i="6"/>
  <c r="AS2376" i="6"/>
  <c r="AO2376" i="6"/>
  <c r="AS2375" i="6"/>
  <c r="AO2375" i="6"/>
  <c r="AS2374" i="6"/>
  <c r="AO2374" i="6"/>
  <c r="AS2373" i="6"/>
  <c r="AO2373" i="6"/>
  <c r="AS2372" i="6"/>
  <c r="AO2372" i="6"/>
  <c r="AS2371" i="6"/>
  <c r="AO2371" i="6"/>
  <c r="AS2370" i="6"/>
  <c r="AO2370" i="6"/>
  <c r="AS2369" i="6"/>
  <c r="AO2369" i="6"/>
  <c r="AS2368" i="6"/>
  <c r="AO2368" i="6"/>
  <c r="AS2367" i="6"/>
  <c r="AO2367" i="6"/>
  <c r="AS2366" i="6"/>
  <c r="AO2366" i="6"/>
  <c r="AS2365" i="6"/>
  <c r="AO2365" i="6"/>
  <c r="AS2364" i="6"/>
  <c r="AO2364" i="6"/>
  <c r="AS2363" i="6"/>
  <c r="AO2363" i="6"/>
  <c r="AS2362" i="6"/>
  <c r="AO2362" i="6"/>
  <c r="AS2361" i="6"/>
  <c r="AO2361" i="6"/>
  <c r="AS2360" i="6"/>
  <c r="AO2360" i="6"/>
  <c r="AS2359" i="6"/>
  <c r="AO2359" i="6"/>
  <c r="AS2358" i="6"/>
  <c r="AO2358" i="6"/>
  <c r="AS2357" i="6"/>
  <c r="AO2357" i="6"/>
  <c r="AS2356" i="6"/>
  <c r="AO2356" i="6"/>
  <c r="AS2355" i="6"/>
  <c r="AO2355" i="6"/>
  <c r="AS2354" i="6"/>
  <c r="AO2354" i="6"/>
  <c r="AS2353" i="6"/>
  <c r="AO2353" i="6"/>
  <c r="AS2352" i="6"/>
  <c r="AO2352" i="6"/>
  <c r="AS2351" i="6"/>
  <c r="AO2351" i="6"/>
  <c r="AS2350" i="6"/>
  <c r="AO2350" i="6"/>
  <c r="AS2349" i="6"/>
  <c r="AO2349" i="6"/>
  <c r="AS2348" i="6"/>
  <c r="AO2348" i="6"/>
  <c r="AS2347" i="6"/>
  <c r="AO2347" i="6"/>
  <c r="AS2346" i="6"/>
  <c r="AO2346" i="6"/>
  <c r="AS2345" i="6"/>
  <c r="AO2345" i="6"/>
  <c r="AS2344" i="6"/>
  <c r="AO2344" i="6"/>
  <c r="AS2343" i="6"/>
  <c r="AO2343" i="6"/>
  <c r="AS2342" i="6"/>
  <c r="AO2342" i="6"/>
  <c r="AS2341" i="6"/>
  <c r="AO2341" i="6"/>
  <c r="AS2340" i="6"/>
  <c r="AO2340" i="6"/>
  <c r="AS2339" i="6"/>
  <c r="AO2339" i="6"/>
  <c r="AS2338" i="6"/>
  <c r="AO2338" i="6"/>
  <c r="AS2337" i="6"/>
  <c r="AO2337" i="6"/>
  <c r="AS2336" i="6"/>
  <c r="AO2336" i="6"/>
  <c r="AS2335" i="6"/>
  <c r="AO2335" i="6"/>
  <c r="AS2334" i="6"/>
  <c r="AO2334" i="6"/>
  <c r="AS2333" i="6"/>
  <c r="AO2333" i="6"/>
  <c r="AS2332" i="6"/>
  <c r="AO2332" i="6"/>
  <c r="AS2331" i="6"/>
  <c r="AO2331" i="6"/>
  <c r="AS2330" i="6"/>
  <c r="AO2330" i="6"/>
  <c r="AS2329" i="6"/>
  <c r="AO2329" i="6"/>
  <c r="AS2328" i="6"/>
  <c r="AO2328" i="6"/>
  <c r="AS2327" i="6"/>
  <c r="AO2327" i="6"/>
  <c r="AS2326" i="6"/>
  <c r="AO2326" i="6"/>
  <c r="AS2325" i="6"/>
  <c r="AO2325" i="6"/>
  <c r="AS2324" i="6"/>
  <c r="AO2324" i="6"/>
  <c r="AS2323" i="6"/>
  <c r="AO2323" i="6"/>
  <c r="AS2322" i="6"/>
  <c r="AO2322" i="6"/>
  <c r="AS2321" i="6"/>
  <c r="AO2321" i="6"/>
  <c r="AS2320" i="6"/>
  <c r="AO2320" i="6"/>
  <c r="AS2319" i="6"/>
  <c r="AO2319" i="6"/>
  <c r="AS2318" i="6"/>
  <c r="AO2318" i="6"/>
  <c r="AS2317" i="6"/>
  <c r="AO2317" i="6"/>
  <c r="AS2316" i="6"/>
  <c r="AO2316" i="6"/>
  <c r="AS2315" i="6"/>
  <c r="AO2315" i="6"/>
  <c r="AS2314" i="6"/>
  <c r="AO2314" i="6"/>
  <c r="AX2313" i="6"/>
  <c r="AW2313" i="6"/>
  <c r="AS2312" i="6"/>
  <c r="AO2312" i="6"/>
  <c r="AS2311" i="6"/>
  <c r="AO2311" i="6"/>
  <c r="AS2310" i="6"/>
  <c r="AO2310" i="6"/>
  <c r="AS2309" i="6"/>
  <c r="AO2309" i="6"/>
  <c r="AS2308" i="6"/>
  <c r="AO2308" i="6"/>
  <c r="AO2307" i="6"/>
  <c r="AO2306" i="6"/>
  <c r="AO2305" i="6"/>
  <c r="AO2304" i="6"/>
  <c r="AO2303" i="6"/>
  <c r="AO2302" i="6"/>
  <c r="AO2301" i="6"/>
  <c r="AO2300" i="6"/>
  <c r="AI2299" i="6"/>
  <c r="AO2299" i="6" s="1"/>
  <c r="AI2298" i="6"/>
  <c r="AO2298" i="6" s="1"/>
  <c r="AI2297" i="6"/>
  <c r="AO2297" i="6" s="1"/>
  <c r="AI2296" i="6"/>
  <c r="AO2296" i="6" s="1"/>
  <c r="AK2295" i="6"/>
  <c r="AI2295" i="6"/>
  <c r="AO2294" i="6"/>
  <c r="AO2293" i="6"/>
  <c r="AO2292" i="6"/>
  <c r="AI2291" i="6"/>
  <c r="AO2291" i="6" s="1"/>
  <c r="AK2290" i="6"/>
  <c r="AI2290" i="6"/>
  <c r="AI2289" i="6"/>
  <c r="AO2289" i="6" s="1"/>
  <c r="AK2288" i="6"/>
  <c r="AI2288" i="6"/>
  <c r="AO2287" i="6"/>
  <c r="AO2286" i="6"/>
  <c r="AO2285" i="6"/>
  <c r="AO2284" i="6"/>
  <c r="AO2283" i="6"/>
  <c r="AO2282" i="6"/>
  <c r="AO2281" i="6"/>
  <c r="AO2280" i="6"/>
  <c r="AO2279" i="6"/>
  <c r="AO2278" i="6"/>
  <c r="AO2277" i="6"/>
  <c r="AO2276" i="6"/>
  <c r="AO2275" i="6"/>
  <c r="AO2274" i="6"/>
  <c r="AO2273" i="6"/>
  <c r="AO2272" i="6"/>
  <c r="AO2271" i="6"/>
  <c r="AO2270" i="6"/>
  <c r="AO2269" i="6"/>
  <c r="AO2268" i="6"/>
  <c r="AO2267" i="6"/>
  <c r="AO2266" i="6"/>
  <c r="AO2265" i="6"/>
  <c r="AO2264" i="6"/>
  <c r="AO2263" i="6"/>
  <c r="AO2262" i="6"/>
  <c r="AO2261" i="6"/>
  <c r="AO2260" i="6"/>
  <c r="AO2259" i="6"/>
  <c r="AO2258" i="6"/>
  <c r="AO2257" i="6"/>
  <c r="AO2256" i="6"/>
  <c r="AO2255" i="6"/>
  <c r="AO2254" i="6"/>
  <c r="AO2253" i="6"/>
  <c r="AO2252" i="6"/>
  <c r="AO2251" i="6"/>
  <c r="AO2250" i="6"/>
  <c r="AO2249" i="6"/>
  <c r="AO2248" i="6"/>
  <c r="AO2247" i="6"/>
  <c r="AO2246" i="6"/>
  <c r="AO2245" i="6"/>
  <c r="AO2244" i="6"/>
  <c r="AO2243" i="6"/>
  <c r="AO2242" i="6"/>
  <c r="AO2241" i="6"/>
  <c r="AO2240" i="6"/>
  <c r="AO2239" i="6"/>
  <c r="AO2238" i="6"/>
  <c r="AO2237" i="6"/>
  <c r="AO2236" i="6"/>
  <c r="AO2235" i="6"/>
  <c r="AO2234" i="6"/>
  <c r="AO2233" i="6"/>
  <c r="AO2232" i="6"/>
  <c r="AO2231" i="6"/>
  <c r="AO2230" i="6"/>
  <c r="AO2229" i="6"/>
  <c r="AO2228" i="6"/>
  <c r="AO2227" i="6"/>
  <c r="AO2226" i="6"/>
  <c r="AO2225" i="6"/>
  <c r="AO2224" i="6"/>
  <c r="AO2223" i="6"/>
  <c r="AO2222" i="6"/>
  <c r="AO2221" i="6"/>
  <c r="AO2220" i="6"/>
  <c r="AO2219" i="6"/>
  <c r="AO2218" i="6"/>
  <c r="AO2217" i="6"/>
  <c r="AO2216" i="6"/>
  <c r="AO2215" i="6"/>
  <c r="AO2214" i="6"/>
  <c r="AO2213" i="6"/>
  <c r="AO2212" i="6"/>
  <c r="AO2211" i="6"/>
  <c r="AO2210" i="6"/>
  <c r="AO2209" i="6"/>
  <c r="AO2208" i="6"/>
  <c r="AO2207" i="6"/>
  <c r="AO2206" i="6"/>
  <c r="AO2205" i="6"/>
  <c r="AO2204" i="6"/>
  <c r="AO2203" i="6"/>
  <c r="AO2202" i="6"/>
  <c r="AO2201" i="6"/>
  <c r="AO2200" i="6"/>
  <c r="AO2199" i="6"/>
  <c r="AO2198" i="6"/>
  <c r="AO2197" i="6"/>
  <c r="AO2196" i="6"/>
  <c r="AO2195" i="6"/>
  <c r="AO2194" i="6"/>
  <c r="AO2193" i="6"/>
  <c r="AO2192" i="6"/>
  <c r="AO2191" i="6"/>
  <c r="AO2190" i="6"/>
  <c r="AO2189" i="6"/>
  <c r="AO2188" i="6"/>
  <c r="AO2187" i="6"/>
  <c r="AO2186" i="6"/>
  <c r="AO2185" i="6"/>
  <c r="AO2184" i="6"/>
  <c r="AO2183" i="6"/>
  <c r="AO2182" i="6"/>
  <c r="AO2181" i="6"/>
  <c r="AO2180" i="6"/>
  <c r="AO2179" i="6"/>
  <c r="AO2178" i="6"/>
  <c r="AO2177" i="6"/>
  <c r="AO2176" i="6"/>
  <c r="AO2175" i="6"/>
  <c r="AO2174" i="6"/>
  <c r="AO2173" i="6"/>
  <c r="AO2172" i="6"/>
  <c r="AO2171" i="6"/>
  <c r="AO2170" i="6"/>
  <c r="AO2169" i="6"/>
  <c r="AO2168" i="6"/>
  <c r="AO2167" i="6"/>
  <c r="AO2166" i="6"/>
  <c r="AO2165" i="6"/>
  <c r="AO2164" i="6"/>
  <c r="AO2163" i="6"/>
  <c r="AO2162" i="6"/>
  <c r="AO2161" i="6"/>
  <c r="AO2160" i="6"/>
  <c r="AO2159" i="6"/>
  <c r="AO2158" i="6"/>
  <c r="AO2157" i="6"/>
  <c r="AO2156" i="6"/>
  <c r="AO2155" i="6"/>
  <c r="AO2154" i="6"/>
  <c r="AO2153" i="6"/>
  <c r="AO2152" i="6"/>
  <c r="AO2151" i="6"/>
  <c r="AO2150" i="6"/>
  <c r="AO2149" i="6"/>
  <c r="AO2148" i="6"/>
  <c r="AO2147" i="6"/>
  <c r="AO2146" i="6"/>
  <c r="AX42" i="6" l="1"/>
  <c r="AX231" i="6"/>
  <c r="AX214" i="6"/>
  <c r="AX888" i="6"/>
  <c r="AX529" i="6"/>
  <c r="AX296" i="6"/>
  <c r="AX295" i="6"/>
  <c r="AX1109" i="6"/>
  <c r="AX342" i="6"/>
  <c r="AX273" i="6"/>
  <c r="AX274" i="6"/>
  <c r="AX420" i="6"/>
  <c r="AX847" i="6"/>
  <c r="AX569" i="6"/>
  <c r="AX176" i="6"/>
  <c r="AX1228" i="6"/>
  <c r="AX1633" i="6"/>
  <c r="AX2139" i="6"/>
  <c r="AX1263" i="6"/>
  <c r="AX978" i="6"/>
  <c r="AX1522" i="6"/>
  <c r="AX1829" i="6"/>
  <c r="AX1481" i="6"/>
  <c r="AX2084" i="6"/>
  <c r="AX1192" i="6"/>
  <c r="AX349" i="6"/>
  <c r="AX531" i="6"/>
  <c r="AX347" i="6"/>
  <c r="AX350" i="6"/>
  <c r="AX278" i="6"/>
  <c r="AX1404" i="6"/>
  <c r="AX1393" i="6"/>
  <c r="AX1372" i="6"/>
  <c r="AX1906" i="6"/>
  <c r="AX852" i="6"/>
  <c r="AX181" i="6"/>
  <c r="AX154" i="6"/>
  <c r="AX883" i="6"/>
  <c r="AX872" i="6"/>
  <c r="AW863" i="6"/>
  <c r="AX613" i="6"/>
  <c r="AX1267" i="6"/>
  <c r="AX1832" i="6"/>
  <c r="AX1849" i="6"/>
  <c r="AX2053" i="6"/>
  <c r="AX1347" i="6"/>
  <c r="AX1336" i="6"/>
  <c r="AX2086" i="6"/>
  <c r="AX2061" i="6"/>
  <c r="AX1160" i="6"/>
  <c r="AS1765" i="6"/>
  <c r="AX1181" i="6"/>
  <c r="AI1722" i="6"/>
  <c r="AO1722" i="6" s="1"/>
  <c r="AX1722" i="6" s="1"/>
  <c r="AX913" i="6"/>
  <c r="AO1683" i="6"/>
  <c r="AO1218" i="6"/>
  <c r="AO1703" i="6"/>
  <c r="AO1685" i="6"/>
  <c r="AX387" i="6"/>
  <c r="AO1777" i="6"/>
  <c r="AO1214" i="6"/>
  <c r="AX1214" i="6" s="1"/>
  <c r="AO1761" i="6"/>
  <c r="AJ1729" i="6"/>
  <c r="AS1729" i="6" s="1"/>
  <c r="AI1733" i="6"/>
  <c r="AO1733" i="6" s="1"/>
  <c r="AJ1733" i="6"/>
  <c r="AS1733" i="6" s="1"/>
  <c r="AS1777" i="6"/>
  <c r="AO1687" i="6"/>
  <c r="AO1684" i="6"/>
  <c r="AO1702" i="6"/>
  <c r="AI1718" i="6"/>
  <c r="AO1718" i="6" s="1"/>
  <c r="AX1718" i="6" s="1"/>
  <c r="AO1765" i="6"/>
  <c r="AS1773" i="6"/>
  <c r="AT1195" i="2"/>
  <c r="AT1215" i="2"/>
  <c r="AX1786" i="6"/>
  <c r="AT984" i="2"/>
  <c r="AT997" i="2"/>
  <c r="AT1016" i="2"/>
  <c r="AT1055" i="2"/>
  <c r="AT1069" i="2"/>
  <c r="AT1082" i="2"/>
  <c r="AT1214" i="2"/>
  <c r="AT1156" i="2"/>
  <c r="AT985" i="2"/>
  <c r="AT1050" i="2"/>
  <c r="AX1784" i="6"/>
  <c r="AX1788" i="6"/>
  <c r="AT1161" i="2"/>
  <c r="AX1602" i="6"/>
  <c r="AX1652" i="6"/>
  <c r="AT1201" i="2"/>
  <c r="AT1009" i="2"/>
  <c r="AT1006" i="2"/>
  <c r="AT1078" i="2"/>
  <c r="AT1095" i="2"/>
  <c r="AT1047" i="2"/>
  <c r="AT1039" i="2"/>
  <c r="AT1061" i="2"/>
  <c r="AT1184" i="2"/>
  <c r="AT1196" i="2"/>
  <c r="AT1093" i="2"/>
  <c r="AT1106" i="2"/>
  <c r="AT983" i="2"/>
  <c r="AT1010" i="2"/>
  <c r="AT1116" i="2"/>
  <c r="AT1120" i="2"/>
  <c r="AT1133" i="2"/>
  <c r="AT1137" i="2"/>
  <c r="AT1157" i="2"/>
  <c r="AT978" i="2"/>
  <c r="AT982" i="2"/>
  <c r="AT993" i="2"/>
  <c r="AT1202" i="2"/>
  <c r="AT1216" i="2"/>
  <c r="AT1123" i="2"/>
  <c r="AT1192" i="2"/>
  <c r="AT1198" i="2"/>
  <c r="AX1746" i="6"/>
  <c r="AX1662" i="6"/>
  <c r="AX1730" i="6"/>
  <c r="AX1673" i="6"/>
  <c r="AX1690" i="6"/>
  <c r="AX1738" i="6"/>
  <c r="AX1604" i="6"/>
  <c r="AX1744" i="6"/>
  <c r="AX1598" i="6"/>
  <c r="AX1609" i="6"/>
  <c r="AX1621" i="6"/>
  <c r="AX1658" i="6"/>
  <c r="AX1668" i="6"/>
  <c r="AX1691" i="6"/>
  <c r="AX1748" i="6"/>
  <c r="AX1693" i="6"/>
  <c r="AT1112" i="2"/>
  <c r="AT1153" i="2"/>
  <c r="AT1163" i="2"/>
  <c r="AT1019" i="2"/>
  <c r="AT1023" i="2"/>
  <c r="AT1152" i="2"/>
  <c r="AX1589" i="6"/>
  <c r="AX1689" i="6"/>
  <c r="AX1766" i="6"/>
  <c r="AX1590" i="6"/>
  <c r="AX1638" i="6"/>
  <c r="AX1617" i="6"/>
  <c r="AX1629" i="6"/>
  <c r="AX1697" i="6"/>
  <c r="AX1742" i="6"/>
  <c r="AX1661" i="6"/>
  <c r="AX1671" i="6"/>
  <c r="AX1596" i="6"/>
  <c r="AX1601" i="6"/>
  <c r="AX1613" i="6"/>
  <c r="AX1625" i="6"/>
  <c r="AX1699" i="6"/>
  <c r="AX1740" i="6"/>
  <c r="AX1714" i="6"/>
  <c r="AX1776" i="6"/>
  <c r="AX1634" i="6"/>
  <c r="AX1759" i="6"/>
  <c r="AS1761" i="6"/>
  <c r="AX1783" i="6"/>
  <c r="AX1779" i="6"/>
  <c r="AX1616" i="6"/>
  <c r="AX1628" i="6"/>
  <c r="AX1648" i="6"/>
  <c r="AX1736" i="6"/>
  <c r="AX1762" i="6"/>
  <c r="AX1600" i="6"/>
  <c r="AX1611" i="6"/>
  <c r="AX1649" i="6"/>
  <c r="AX1636" i="6"/>
  <c r="AX1650" i="6"/>
  <c r="AX1676" i="6"/>
  <c r="AX1717" i="6"/>
  <c r="AX1754" i="6"/>
  <c r="AT1110" i="2"/>
  <c r="AT1151" i="2"/>
  <c r="AT1030" i="2"/>
  <c r="AT1154" i="2"/>
  <c r="AT1212" i="2"/>
  <c r="AT1118" i="2"/>
  <c r="AT1018" i="2"/>
  <c r="AT1131" i="2"/>
  <c r="AT1155" i="2"/>
  <c r="AT1057" i="2"/>
  <c r="AT1062" i="2"/>
  <c r="AT1185" i="2"/>
  <c r="AT1191" i="2"/>
  <c r="AT1197" i="2"/>
  <c r="AT1203" i="2"/>
  <c r="AT1217" i="2"/>
  <c r="AT1045" i="2"/>
  <c r="AT1159" i="2"/>
  <c r="AT995" i="2"/>
  <c r="AT1071" i="2"/>
  <c r="AT1084" i="2"/>
  <c r="AT976" i="2"/>
  <c r="AT1024" i="2"/>
  <c r="AT1028" i="2"/>
  <c r="AT1136" i="2"/>
  <c r="AT1148" i="2"/>
  <c r="AT1113" i="2"/>
  <c r="AT1020" i="2"/>
  <c r="AT1063" i="2"/>
  <c r="AT1073" i="2"/>
  <c r="AT1100" i="2"/>
  <c r="AT1038" i="2"/>
  <c r="AT999" i="2"/>
  <c r="AT1007" i="2"/>
  <c r="AT1065" i="2"/>
  <c r="AT1074" i="2"/>
  <c r="AT1079" i="2"/>
  <c r="AT1091" i="2"/>
  <c r="AT1096" i="2"/>
  <c r="AT1138" i="2"/>
  <c r="AT1199" i="2"/>
  <c r="AT1107" i="2"/>
  <c r="AT1034" i="2"/>
  <c r="AT1090" i="2"/>
  <c r="AT1128" i="2"/>
  <c r="AT981" i="2"/>
  <c r="AT994" i="2"/>
  <c r="AT1036" i="2"/>
  <c r="AT1066" i="2"/>
  <c r="AT1075" i="2"/>
  <c r="AT1092" i="2"/>
  <c r="AT1130" i="2"/>
  <c r="AT1134" i="2"/>
  <c r="AT1142" i="2"/>
  <c r="AT1147" i="2"/>
  <c r="AT1166" i="2"/>
  <c r="AT1188" i="2"/>
  <c r="AT1213" i="2"/>
  <c r="AT977" i="2"/>
  <c r="AT988" i="2"/>
  <c r="AT1001" i="2"/>
  <c r="AT1041" i="2"/>
  <c r="AT1070" i="2"/>
  <c r="AT1083" i="2"/>
  <c r="AT1117" i="2"/>
  <c r="AT1125" i="2"/>
  <c r="AT1146" i="2"/>
  <c r="AT1162" i="2"/>
  <c r="AT1029" i="2"/>
  <c r="AT1037" i="2"/>
  <c r="AT1054" i="2"/>
  <c r="AT1088" i="2"/>
  <c r="AT1122" i="2"/>
  <c r="AT1143" i="2"/>
  <c r="AT1158" i="2"/>
  <c r="AT998" i="2"/>
  <c r="AT1011" i="2"/>
  <c r="AT1017" i="2"/>
  <c r="AT1021" i="2"/>
  <c r="AT1042" i="2"/>
  <c r="AT1089" i="2"/>
  <c r="AT1139" i="2"/>
  <c r="AT1187" i="2"/>
  <c r="AT782" i="2"/>
  <c r="AT979" i="2"/>
  <c r="AT989" i="2"/>
  <c r="AT1025" i="2"/>
  <c r="AT1059" i="2"/>
  <c r="AT1080" i="2"/>
  <c r="AT1102" i="2"/>
  <c r="AT1114" i="2"/>
  <c r="AT1119" i="2"/>
  <c r="AT1140" i="2"/>
  <c r="AT1193" i="2"/>
  <c r="AT986" i="2"/>
  <c r="AT1026" i="2"/>
  <c r="AT1051" i="2"/>
  <c r="AT1077" i="2"/>
  <c r="AT1098" i="2"/>
  <c r="AT1132" i="2"/>
  <c r="AT990" i="2"/>
  <c r="AT1004" i="2"/>
  <c r="AT1008" i="2"/>
  <c r="AT1035" i="2"/>
  <c r="AT1048" i="2"/>
  <c r="AT1052" i="2"/>
  <c r="AT1099" i="2"/>
  <c r="AT1103" i="2"/>
  <c r="AT1115" i="2"/>
  <c r="AT1124" i="2"/>
  <c r="AT1144" i="2"/>
  <c r="AT1160" i="2"/>
  <c r="AT1189" i="2"/>
  <c r="AT987" i="2"/>
  <c r="AT1053" i="2"/>
  <c r="AT1108" i="2"/>
  <c r="AT980" i="2"/>
  <c r="AT991" i="2"/>
  <c r="AT996" i="2"/>
  <c r="AT1056" i="2"/>
  <c r="AT1064" i="2"/>
  <c r="AT1087" i="2"/>
  <c r="AT1223" i="2"/>
  <c r="AT1046" i="2"/>
  <c r="AT1101" i="2"/>
  <c r="AT1043" i="2"/>
  <c r="AT1127" i="2"/>
  <c r="AT1012" i="2"/>
  <c r="AT1072" i="2"/>
  <c r="AT1111" i="2"/>
  <c r="AT1003" i="2"/>
  <c r="AT1105" i="2"/>
  <c r="AT1121" i="2"/>
  <c r="AT1194" i="2"/>
  <c r="AT1005" i="2"/>
  <c r="AT1104" i="2"/>
  <c r="AT1060" i="2"/>
  <c r="AT1200" i="2"/>
  <c r="AT1044" i="2"/>
  <c r="AT1109" i="2"/>
  <c r="AT1141" i="2"/>
  <c r="AT1190" i="2"/>
  <c r="AT1027" i="2"/>
  <c r="AT1097" i="2"/>
  <c r="AT1135" i="2"/>
  <c r="AT992" i="2"/>
  <c r="AT1129" i="2"/>
  <c r="AT1145" i="2"/>
  <c r="AT1186" i="2"/>
  <c r="AT1068" i="2"/>
  <c r="AT1081" i="2"/>
  <c r="AT1126" i="2"/>
  <c r="AX1624" i="6"/>
  <c r="AX1723" i="6"/>
  <c r="AX1607" i="6"/>
  <c r="AX1619" i="6"/>
  <c r="AX1631" i="6"/>
  <c r="AX1694" i="6"/>
  <c r="AX1698" i="6"/>
  <c r="AX1712" i="6"/>
  <c r="AX1739" i="6"/>
  <c r="AX1745" i="6"/>
  <c r="AX1597" i="6"/>
  <c r="AX1608" i="6"/>
  <c r="AX1620" i="6"/>
  <c r="AX1632" i="6"/>
  <c r="AX1725" i="6"/>
  <c r="AX1780" i="6"/>
  <c r="AX1612" i="6"/>
  <c r="AX1592" i="6"/>
  <c r="AX1599" i="6"/>
  <c r="AO1773" i="6"/>
  <c r="AX1639" i="6"/>
  <c r="AX1680" i="6"/>
  <c r="AX1778" i="6"/>
  <c r="AX1785" i="6"/>
  <c r="AX1603" i="6"/>
  <c r="AX1615" i="6"/>
  <c r="AX1627" i="6"/>
  <c r="AX1678" i="6"/>
  <c r="AX1734" i="6"/>
  <c r="AX1767" i="6"/>
  <c r="AX1770" i="6"/>
  <c r="AX1641" i="6"/>
  <c r="AX1610" i="6"/>
  <c r="AX1622" i="6"/>
  <c r="AX1635" i="6"/>
  <c r="AX1653" i="6"/>
  <c r="AX1679" i="6"/>
  <c r="AX1713" i="6"/>
  <c r="AX1719" i="6"/>
  <c r="AX1724" i="6"/>
  <c r="AX1737" i="6"/>
  <c r="AX1751" i="6"/>
  <c r="AX1775" i="6"/>
  <c r="AX1787" i="6"/>
  <c r="AX1664" i="6"/>
  <c r="AX1674" i="6"/>
  <c r="AX1695" i="6"/>
  <c r="AX1760" i="6"/>
  <c r="AX1605" i="6"/>
  <c r="AX1659" i="6"/>
  <c r="AX1623" i="6"/>
  <c r="AX1654" i="6"/>
  <c r="AX1670" i="6"/>
  <c r="AX1696" i="6"/>
  <c r="AX1720" i="6"/>
  <c r="AX1735" i="6"/>
  <c r="AX1743" i="6"/>
  <c r="AX1771" i="6"/>
  <c r="AX1606" i="6"/>
  <c r="AX1618" i="6"/>
  <c r="AX1630" i="6"/>
  <c r="AX1643" i="6"/>
  <c r="AX1655" i="6"/>
  <c r="AX1665" i="6"/>
  <c r="AX1681" i="6"/>
  <c r="AX1692" i="6"/>
  <c r="AX1731" i="6"/>
  <c r="AX1749" i="6"/>
  <c r="AX1752" i="6"/>
  <c r="AX1758" i="6"/>
  <c r="AX1781" i="6"/>
  <c r="AX1715" i="6"/>
  <c r="AX1741" i="6"/>
  <c r="AX1755" i="6"/>
  <c r="AX1782" i="6"/>
  <c r="AX1591" i="6"/>
  <c r="AX1656" i="6"/>
  <c r="AX1716" i="6"/>
  <c r="AX1747" i="6"/>
  <c r="AX1789" i="6"/>
  <c r="AX1614" i="6"/>
  <c r="AX1626" i="6"/>
  <c r="AX1644" i="6"/>
  <c r="AX1667" i="6"/>
  <c r="AX1677" i="6"/>
  <c r="AX1750" i="6"/>
  <c r="AX1753" i="6"/>
  <c r="AX1764" i="6"/>
  <c r="AX1774" i="6"/>
  <c r="AX1651" i="6"/>
  <c r="AX1672" i="6"/>
  <c r="AX1727" i="6"/>
  <c r="AX1657" i="6"/>
  <c r="AX1772" i="6"/>
  <c r="AX1728" i="6"/>
  <c r="AX1642" i="6"/>
  <c r="AX1660" i="6"/>
  <c r="AX1640" i="6"/>
  <c r="AX1663" i="6"/>
  <c r="AX1669" i="6"/>
  <c r="AX1763" i="6"/>
  <c r="AX1675" i="6"/>
  <c r="AX1666" i="6"/>
  <c r="AX1637" i="6"/>
  <c r="AO1721" i="6"/>
  <c r="AX1721" i="6" s="1"/>
  <c r="AS1726" i="6"/>
  <c r="AX1726" i="6" s="1"/>
  <c r="AI1729" i="6"/>
  <c r="AO1729" i="6" s="1"/>
  <c r="AO1732" i="6"/>
  <c r="AX1732" i="6" s="1"/>
  <c r="AX2471" i="6"/>
  <c r="AX2416" i="6"/>
  <c r="AT745" i="2"/>
  <c r="AT751" i="2"/>
  <c r="AT785" i="2"/>
  <c r="AT797" i="2"/>
  <c r="AT800" i="2"/>
  <c r="AX2389" i="6"/>
  <c r="AT742" i="2"/>
  <c r="AT748" i="2"/>
  <c r="AT754" i="2"/>
  <c r="AT788" i="2"/>
  <c r="AT743" i="2"/>
  <c r="AT749" i="2"/>
  <c r="AT755" i="2"/>
  <c r="AT764" i="2"/>
  <c r="AT769" i="2"/>
  <c r="AT789" i="2"/>
  <c r="AT739" i="2"/>
  <c r="AT744" i="2"/>
  <c r="AT750" i="2"/>
  <c r="AT780" i="2"/>
  <c r="AT784" i="2"/>
  <c r="AT790" i="2"/>
  <c r="AX2411" i="6"/>
  <c r="AX1216" i="6"/>
  <c r="AX1223" i="6"/>
  <c r="AX2417" i="6"/>
  <c r="AT796" i="2"/>
  <c r="AT759" i="2"/>
  <c r="AT779" i="2"/>
  <c r="AT740" i="2"/>
  <c r="AT766" i="2"/>
  <c r="AT761" i="2"/>
  <c r="AT787" i="2"/>
  <c r="AT794" i="2"/>
  <c r="AT772" i="2"/>
  <c r="AT737" i="2"/>
  <c r="AT783" i="2"/>
  <c r="AT760" i="2"/>
  <c r="AT799" i="2"/>
  <c r="AT770" i="2"/>
  <c r="AT795" i="2"/>
  <c r="AT781" i="2"/>
  <c r="AT791" i="2"/>
  <c r="AT746" i="2"/>
  <c r="AT786" i="2"/>
  <c r="AT792" i="2"/>
  <c r="AT732" i="2"/>
  <c r="AT736" i="2"/>
  <c r="AT798" i="2"/>
  <c r="AT793" i="2"/>
  <c r="AT763" i="2"/>
  <c r="AT741" i="2"/>
  <c r="AT747" i="2"/>
  <c r="AT753" i="2"/>
  <c r="AT767" i="2"/>
  <c r="AT773" i="2"/>
  <c r="AT738" i="2"/>
  <c r="AT768" i="2"/>
  <c r="AT774" i="2"/>
  <c r="AT775" i="2"/>
  <c r="AT756" i="2"/>
  <c r="AT735" i="2"/>
  <c r="AT765" i="2"/>
  <c r="AT776" i="2"/>
  <c r="AT757" i="2"/>
  <c r="AT771" i="2"/>
  <c r="AT777" i="2"/>
  <c r="AT752" i="2"/>
  <c r="AT758" i="2"/>
  <c r="AT762" i="2"/>
  <c r="AT778" i="2"/>
  <c r="AX2534" i="6"/>
  <c r="AX2477" i="6"/>
  <c r="AX1221" i="6"/>
  <c r="AX2423" i="6"/>
  <c r="AX1222" i="6"/>
  <c r="AX1219" i="6"/>
  <c r="AX2317" i="6"/>
  <c r="AX2323" i="6"/>
  <c r="AX2329" i="6"/>
  <c r="AX2383" i="6"/>
  <c r="AX2434" i="6"/>
  <c r="AX2480" i="6"/>
  <c r="AX2490" i="6"/>
  <c r="AX1215" i="6"/>
  <c r="AX1211" i="6"/>
  <c r="AX1220" i="6"/>
  <c r="AX2318" i="6"/>
  <c r="AX2324" i="6"/>
  <c r="AX2386" i="6"/>
  <c r="AX2545" i="6"/>
  <c r="AX2413" i="6"/>
  <c r="AX2419" i="6"/>
  <c r="AX2330" i="6"/>
  <c r="AX2429" i="6"/>
  <c r="AX2469" i="6"/>
  <c r="AX2475" i="6"/>
  <c r="AX2333" i="6"/>
  <c r="AX2339" i="6"/>
  <c r="AX2345" i="6"/>
  <c r="AX2351" i="6"/>
  <c r="AX2357" i="6"/>
  <c r="AX2363" i="6"/>
  <c r="AX2381" i="6"/>
  <c r="AX2387" i="6"/>
  <c r="AX2420" i="6"/>
  <c r="AX2432" i="6"/>
  <c r="AX2562" i="6"/>
  <c r="AX2507" i="6"/>
  <c r="AX2519" i="6"/>
  <c r="AX2525" i="6"/>
  <c r="AX2532" i="6"/>
  <c r="AX2505" i="6"/>
  <c r="AX2319" i="6"/>
  <c r="AX2325" i="6"/>
  <c r="AX2331" i="6"/>
  <c r="AX2349" i="6"/>
  <c r="AX2355" i="6"/>
  <c r="AX2361" i="6"/>
  <c r="AX2367" i="6"/>
  <c r="AX2373" i="6"/>
  <c r="AX2379" i="6"/>
  <c r="AX2530" i="6"/>
  <c r="AX2541" i="6"/>
  <c r="AX2452" i="6"/>
  <c r="AX2458" i="6"/>
  <c r="AX2464" i="6"/>
  <c r="AX2500" i="6"/>
  <c r="AX2506" i="6"/>
  <c r="AX2554" i="6"/>
  <c r="AX2555" i="6"/>
  <c r="AX2551" i="6"/>
  <c r="AX2557" i="6"/>
  <c r="AX2510" i="6"/>
  <c r="AX2523" i="6"/>
  <c r="AX2395" i="6"/>
  <c r="AX2401" i="6"/>
  <c r="AX2407" i="6"/>
  <c r="AX2453" i="6"/>
  <c r="AX2459" i="6"/>
  <c r="AX2465" i="6"/>
  <c r="AX2501" i="6"/>
  <c r="AX2518" i="6"/>
  <c r="AX2524" i="6"/>
  <c r="AX2375" i="6"/>
  <c r="AX2370" i="6"/>
  <c r="AX2376" i="6"/>
  <c r="AX2392" i="6"/>
  <c r="AX2397" i="6"/>
  <c r="AX2403" i="6"/>
  <c r="AX2445" i="6"/>
  <c r="AX2455" i="6"/>
  <c r="AX2503" i="6"/>
  <c r="AX2508" i="6"/>
  <c r="AX2514" i="6"/>
  <c r="AX2561" i="6"/>
  <c r="AX2315" i="6"/>
  <c r="AX2365" i="6"/>
  <c r="AX2371" i="6"/>
  <c r="AX2377" i="6"/>
  <c r="AX2398" i="6"/>
  <c r="AX2473" i="6"/>
  <c r="AX2504" i="6"/>
  <c r="AX2509" i="6"/>
  <c r="AX2515" i="6"/>
  <c r="AX2521" i="6"/>
  <c r="AX2527" i="6"/>
  <c r="AX2533" i="6"/>
  <c r="AX2550" i="6"/>
  <c r="AX2556" i="6"/>
  <c r="AX2393" i="6"/>
  <c r="AX2494" i="6"/>
  <c r="AX2499" i="6"/>
  <c r="AX2543" i="6"/>
  <c r="AX2516" i="6"/>
  <c r="AX2528" i="6"/>
  <c r="AX2544" i="6"/>
  <c r="AX2535" i="6"/>
  <c r="AX2446" i="6"/>
  <c r="AX2327" i="6"/>
  <c r="AX2558" i="6"/>
  <c r="AX2322" i="6"/>
  <c r="AX2328" i="6"/>
  <c r="AX2454" i="6"/>
  <c r="AX2460" i="6"/>
  <c r="AX2502" i="6"/>
  <c r="AX2513" i="6"/>
  <c r="AX2540" i="6"/>
  <c r="AX2546" i="6"/>
  <c r="AX2559" i="6"/>
  <c r="AX2311" i="6"/>
  <c r="AX2312" i="6"/>
  <c r="AX2335" i="6"/>
  <c r="AX2341" i="6"/>
  <c r="AX2347" i="6"/>
  <c r="AX2382" i="6"/>
  <c r="AX2388" i="6"/>
  <c r="AX2421" i="6"/>
  <c r="AX2427" i="6"/>
  <c r="AX2479" i="6"/>
  <c r="AX2489" i="6"/>
  <c r="AX2498" i="6"/>
  <c r="AX2520" i="6"/>
  <c r="AX2526" i="6"/>
  <c r="AX2536" i="6"/>
  <c r="AX2343" i="6"/>
  <c r="AX2491" i="6"/>
  <c r="AX2522" i="6"/>
  <c r="AX2309" i="6"/>
  <c r="AX2338" i="6"/>
  <c r="AX2344" i="6"/>
  <c r="AX2424" i="6"/>
  <c r="AX2430" i="6"/>
  <c r="AX2476" i="6"/>
  <c r="AX2511" i="6"/>
  <c r="AX2529" i="6"/>
  <c r="AX2552" i="6"/>
  <c r="AX2563" i="6"/>
  <c r="AX2462" i="6"/>
  <c r="AX2350" i="6"/>
  <c r="AX2356" i="6"/>
  <c r="AX2362" i="6"/>
  <c r="AX2400" i="6"/>
  <c r="AX2412" i="6"/>
  <c r="AX2463" i="6"/>
  <c r="AX2474" i="6"/>
  <c r="AX2484" i="6"/>
  <c r="AX2512" i="6"/>
  <c r="AX2517" i="6"/>
  <c r="AX2334" i="6"/>
  <c r="AX2340" i="6"/>
  <c r="AX2346" i="6"/>
  <c r="AX2402" i="6"/>
  <c r="AX2408" i="6"/>
  <c r="AX2470" i="6"/>
  <c r="AX2481" i="6"/>
  <c r="AX2485" i="6"/>
  <c r="AX2553" i="6"/>
  <c r="AX2537" i="6"/>
  <c r="AX2426" i="6"/>
  <c r="AX2359" i="6"/>
  <c r="AX2354" i="6"/>
  <c r="AX2360" i="6"/>
  <c r="AX2404" i="6"/>
  <c r="AX2433" i="6"/>
  <c r="AX2487" i="6"/>
  <c r="AX2496" i="6"/>
  <c r="AX2538" i="6"/>
  <c r="AX2414" i="6"/>
  <c r="AX2542" i="6"/>
  <c r="AX2308" i="6"/>
  <c r="AX2314" i="6"/>
  <c r="AX2366" i="6"/>
  <c r="AX2372" i="6"/>
  <c r="AX2378" i="6"/>
  <c r="AX2428" i="6"/>
  <c r="AX2438" i="6"/>
  <c r="AX2488" i="6"/>
  <c r="AX2493" i="6"/>
  <c r="AX2497" i="6"/>
  <c r="AX2539" i="6"/>
  <c r="AX2560" i="6"/>
  <c r="AX2406" i="6"/>
  <c r="AO2437" i="6"/>
  <c r="AX2437" i="6" s="1"/>
  <c r="AX2422" i="6"/>
  <c r="AX2466" i="6"/>
  <c r="AX2391" i="6"/>
  <c r="AX2396" i="6"/>
  <c r="AX2418" i="6"/>
  <c r="AX2320" i="6"/>
  <c r="AX2336" i="6"/>
  <c r="AX2352" i="6"/>
  <c r="AX2368" i="6"/>
  <c r="AX2384" i="6"/>
  <c r="AX2461" i="6"/>
  <c r="AX2467" i="6"/>
  <c r="AX2472" i="6"/>
  <c r="AX2482" i="6"/>
  <c r="AO2290" i="6"/>
  <c r="AX2310" i="6"/>
  <c r="AX2326" i="6"/>
  <c r="AX2342" i="6"/>
  <c r="AX2358" i="6"/>
  <c r="AX2374" i="6"/>
  <c r="AX2399" i="6"/>
  <c r="AX2409" i="6"/>
  <c r="AX2425" i="6"/>
  <c r="AX2435" i="6"/>
  <c r="AX2456" i="6"/>
  <c r="AX2486" i="6"/>
  <c r="AX2492" i="6"/>
  <c r="AX2495" i="6"/>
  <c r="AX2321" i="6"/>
  <c r="AX2337" i="6"/>
  <c r="AX2353" i="6"/>
  <c r="AX2369" i="6"/>
  <c r="AX2385" i="6"/>
  <c r="AX2390" i="6"/>
  <c r="AX2405" i="6"/>
  <c r="AO2410" i="6"/>
  <c r="AX2410" i="6" s="1"/>
  <c r="AX2415" i="6"/>
  <c r="AX2447" i="6"/>
  <c r="AX2468" i="6"/>
  <c r="AX2478" i="6"/>
  <c r="AX2316" i="6"/>
  <c r="AX2332" i="6"/>
  <c r="AX2348" i="6"/>
  <c r="AX2364" i="6"/>
  <c r="AX2380" i="6"/>
  <c r="AX2431" i="6"/>
  <c r="AX2436" i="6"/>
  <c r="AX2439" i="6"/>
  <c r="AX2457" i="6"/>
  <c r="AX2483" i="6"/>
  <c r="AX2440" i="6"/>
  <c r="AO2295" i="6"/>
  <c r="AO2288" i="6"/>
  <c r="AX1765" i="6" l="1"/>
  <c r="AX1773" i="6"/>
  <c r="AX1733" i="6"/>
  <c r="AX1761" i="6"/>
  <c r="AX1777" i="6"/>
  <c r="AX1729" i="6"/>
  <c r="AO1245" i="2"/>
  <c r="AK1245" i="2"/>
  <c r="AO1244" i="2"/>
  <c r="AK1244" i="2"/>
  <c r="AS1827" i="6"/>
  <c r="AO1827" i="6"/>
  <c r="AR1826" i="6"/>
  <c r="AN1826" i="6"/>
  <c r="AJ1826" i="6"/>
  <c r="AS1826" i="6" s="1"/>
  <c r="AI1826" i="6"/>
  <c r="AO1826" i="6" s="1"/>
  <c r="AJ1825" i="6"/>
  <c r="AS1825" i="6" s="1"/>
  <c r="AI1825" i="6"/>
  <c r="AO1825" i="6" s="1"/>
  <c r="AS1824" i="6"/>
  <c r="AO1824" i="6"/>
  <c r="AS1823" i="6"/>
  <c r="AO1823" i="6"/>
  <c r="AS1822" i="6"/>
  <c r="AO1822" i="6"/>
  <c r="AS1821" i="6"/>
  <c r="AO1821" i="6"/>
  <c r="AS1820" i="6"/>
  <c r="AO1820" i="6"/>
  <c r="AS1819" i="6"/>
  <c r="AO1819" i="6"/>
  <c r="AS1818" i="6"/>
  <c r="AO1818" i="6"/>
  <c r="AO1817" i="6"/>
  <c r="AS1816" i="6"/>
  <c r="AO1816" i="6"/>
  <c r="AS1815" i="6"/>
  <c r="AO1815" i="6"/>
  <c r="AS1814" i="6"/>
  <c r="AO1814" i="6"/>
  <c r="AS1813" i="6"/>
  <c r="AO1813" i="6"/>
  <c r="AS1812" i="6"/>
  <c r="AO1812" i="6"/>
  <c r="AO1811" i="6"/>
  <c r="AS1810" i="6"/>
  <c r="AO1810" i="6"/>
  <c r="AS1809" i="6"/>
  <c r="AO1809" i="6"/>
  <c r="AS1808" i="6"/>
  <c r="AO1808" i="6"/>
  <c r="AS1807" i="6"/>
  <c r="AO1807" i="6"/>
  <c r="AS1806" i="6"/>
  <c r="AO1806" i="6"/>
  <c r="AS1805" i="6"/>
  <c r="AO1805" i="6"/>
  <c r="AX1812" i="6" l="1"/>
  <c r="AX1815" i="6"/>
  <c r="AX1810" i="6"/>
  <c r="AX1827" i="6"/>
  <c r="AT1244" i="2"/>
  <c r="AT1245" i="2"/>
  <c r="AX1806" i="6"/>
  <c r="AX1825" i="6"/>
  <c r="AX1816" i="6"/>
  <c r="AX1805" i="6"/>
  <c r="AX1818" i="6"/>
  <c r="AX1824" i="6"/>
  <c r="AX1826" i="6"/>
  <c r="AX1809" i="6"/>
  <c r="AX1822" i="6"/>
  <c r="AX1814" i="6"/>
  <c r="AX1813" i="6"/>
  <c r="AX1807" i="6"/>
  <c r="AX1820" i="6"/>
  <c r="AX1823" i="6"/>
  <c r="AX1808" i="6"/>
  <c r="AX1821" i="6"/>
  <c r="AS1329" i="6" l="1"/>
  <c r="AO1329" i="6"/>
  <c r="AS1328" i="6"/>
  <c r="AO1328" i="6"/>
  <c r="AS1327" i="6"/>
  <c r="AO1327" i="6"/>
  <c r="AS1326" i="6"/>
  <c r="AO1326" i="6"/>
  <c r="AS1325" i="6"/>
  <c r="AO1325" i="6"/>
  <c r="AS1324" i="6"/>
  <c r="AO1324" i="6"/>
  <c r="AO1323" i="6"/>
  <c r="AO1322" i="6"/>
  <c r="AS1321" i="6"/>
  <c r="AO1321" i="6"/>
  <c r="AS1320" i="6"/>
  <c r="AO1320" i="6"/>
  <c r="AS1319" i="6"/>
  <c r="AO1319" i="6"/>
  <c r="AS1318" i="6"/>
  <c r="AO1318" i="6"/>
  <c r="AS1317" i="6"/>
  <c r="AO1317" i="6"/>
  <c r="AS1316" i="6"/>
  <c r="AO1316" i="6"/>
  <c r="AS1315" i="6"/>
  <c r="AO1315" i="6"/>
  <c r="AS1314" i="6"/>
  <c r="AO1314" i="6"/>
  <c r="AS1313" i="6"/>
  <c r="AO1313" i="6"/>
  <c r="AO1312" i="6"/>
  <c r="AO1311" i="6"/>
  <c r="AJ1310" i="6"/>
  <c r="AS1310" i="6" s="1"/>
  <c r="AI1310" i="6"/>
  <c r="AO1310" i="6" s="1"/>
  <c r="AJ1309" i="6"/>
  <c r="AS1309" i="6" s="1"/>
  <c r="AI1309" i="6"/>
  <c r="AO1309" i="6" s="1"/>
  <c r="AJ1308" i="6"/>
  <c r="AS1308" i="6" s="1"/>
  <c r="AI1308" i="6"/>
  <c r="AO1308" i="6" s="1"/>
  <c r="AS1307" i="6"/>
  <c r="AO1307" i="6"/>
  <c r="AS1306" i="6"/>
  <c r="AO1306" i="6"/>
  <c r="AS1305" i="6"/>
  <c r="AO1305" i="6"/>
  <c r="AS1304" i="6"/>
  <c r="AO1304" i="6"/>
  <c r="AJ1303" i="6"/>
  <c r="AS1303" i="6" s="1"/>
  <c r="AI1303" i="6"/>
  <c r="AO1303" i="6" s="1"/>
  <c r="AJ1302" i="6"/>
  <c r="AS1302" i="6" s="1"/>
  <c r="AI1302" i="6"/>
  <c r="AO1302" i="6" s="1"/>
  <c r="AO1301" i="6"/>
  <c r="AO1300" i="6"/>
  <c r="AS1299" i="6"/>
  <c r="AO1299" i="6"/>
  <c r="AS1298" i="6"/>
  <c r="AO1298" i="6"/>
  <c r="AS1297" i="6"/>
  <c r="AO1297" i="6"/>
  <c r="AS1296" i="6"/>
  <c r="AO1296" i="6"/>
  <c r="AS1295" i="6"/>
  <c r="AO1295" i="6"/>
  <c r="AS1294" i="6"/>
  <c r="AO1294" i="6"/>
  <c r="AS1293" i="6"/>
  <c r="AO1293" i="6"/>
  <c r="AO1292" i="6"/>
  <c r="AO1291" i="6"/>
  <c r="AN1291" i="6"/>
  <c r="AS1290" i="6"/>
  <c r="AO1290" i="6"/>
  <c r="AS1289" i="6"/>
  <c r="AO1289" i="6"/>
  <c r="AS1288" i="6"/>
  <c r="AO1288" i="6"/>
  <c r="AS1287" i="6"/>
  <c r="AO1287" i="6"/>
  <c r="AS1286" i="6"/>
  <c r="AO1286" i="6"/>
  <c r="AS1285" i="6"/>
  <c r="AO1285" i="6"/>
  <c r="AS1284" i="6"/>
  <c r="AO1284" i="6"/>
  <c r="AN1283" i="6"/>
  <c r="AI1283" i="6"/>
  <c r="AO1283" i="6" s="1"/>
  <c r="AX1305" i="6" l="1"/>
  <c r="AX1325" i="6"/>
  <c r="AX1286" i="6"/>
  <c r="AX1316" i="6"/>
  <c r="AX1329" i="6"/>
  <c r="AX1306" i="6"/>
  <c r="AX1288" i="6"/>
  <c r="AX1307" i="6"/>
  <c r="AX1314" i="6"/>
  <c r="AX1320" i="6"/>
  <c r="AX1296" i="6"/>
  <c r="AX1285" i="6"/>
  <c r="AX1304" i="6"/>
  <c r="AX1317" i="6"/>
  <c r="AX1324" i="6"/>
  <c r="AX1298" i="6"/>
  <c r="AX1289" i="6"/>
  <c r="AX1315" i="6"/>
  <c r="AX1321" i="6"/>
  <c r="AX1328" i="6"/>
  <c r="AX1290" i="6"/>
  <c r="AX1297" i="6"/>
  <c r="AX1318" i="6"/>
  <c r="AX1294" i="6"/>
  <c r="AX1287" i="6"/>
  <c r="AX1293" i="6"/>
  <c r="AX1299" i="6"/>
  <c r="AX1284" i="6"/>
  <c r="AX1295" i="6"/>
  <c r="AX1313" i="6"/>
  <c r="AX1319" i="6"/>
  <c r="AX1326" i="6"/>
  <c r="AX1309" i="6"/>
  <c r="AX1308" i="6"/>
  <c r="AX1327" i="6"/>
  <c r="AX1302" i="6"/>
  <c r="AX1303" i="6"/>
  <c r="AX1310" i="6"/>
  <c r="AO975" i="2" l="1"/>
  <c r="AK975" i="2"/>
  <c r="AO974" i="2"/>
  <c r="AK974" i="2"/>
  <c r="AO973" i="2"/>
  <c r="AK973" i="2"/>
  <c r="AO972" i="2"/>
  <c r="AK972" i="2"/>
  <c r="AS1586" i="6"/>
  <c r="AO1586" i="6"/>
  <c r="AS1585" i="6"/>
  <c r="AO1585" i="6"/>
  <c r="AS1584" i="6"/>
  <c r="AO1584" i="6"/>
  <c r="AS1583" i="6"/>
  <c r="AO1583" i="6"/>
  <c r="AJ1582" i="6"/>
  <c r="AS1582" i="6" s="1"/>
  <c r="AI1582" i="6"/>
  <c r="AO1582" i="6" s="1"/>
  <c r="AJ1581" i="6"/>
  <c r="AS1581" i="6" s="1"/>
  <c r="AI1581" i="6"/>
  <c r="AO1581" i="6" s="1"/>
  <c r="AS1580" i="6"/>
  <c r="AO1580" i="6"/>
  <c r="AS1579" i="6"/>
  <c r="AO1579" i="6"/>
  <c r="AS1578" i="6"/>
  <c r="AO1578" i="6"/>
  <c r="AS1577" i="6"/>
  <c r="AO1577" i="6"/>
  <c r="AS1576" i="6"/>
  <c r="AO1576" i="6"/>
  <c r="AS1575" i="6"/>
  <c r="AO1575" i="6"/>
  <c r="AS1574" i="6"/>
  <c r="AO1574" i="6"/>
  <c r="AS1573" i="6"/>
  <c r="AO1573" i="6"/>
  <c r="AS1572" i="6"/>
  <c r="AO1572" i="6"/>
  <c r="AS1571" i="6"/>
  <c r="AO1571" i="6"/>
  <c r="AS1570" i="6"/>
  <c r="AO1570" i="6"/>
  <c r="AS1569" i="6"/>
  <c r="AO1569" i="6"/>
  <c r="AS1568" i="6"/>
  <c r="AO1568" i="6"/>
  <c r="AS1567" i="6"/>
  <c r="AO1567" i="6"/>
  <c r="AS1566" i="6"/>
  <c r="AO1566" i="6"/>
  <c r="AS1565" i="6"/>
  <c r="AO1565" i="6"/>
  <c r="AS1564" i="6"/>
  <c r="AO1564" i="6"/>
  <c r="AS1563" i="6"/>
  <c r="AO1563" i="6"/>
  <c r="AS1562" i="6"/>
  <c r="AO1562" i="6"/>
  <c r="AO1561" i="6"/>
  <c r="AO1560" i="6"/>
  <c r="AS1559" i="6"/>
  <c r="AO1559" i="6"/>
  <c r="AS1558" i="6"/>
  <c r="AO1558" i="6"/>
  <c r="AS1557" i="6"/>
  <c r="AO1557" i="6"/>
  <c r="AS1556" i="6"/>
  <c r="AO1556" i="6"/>
  <c r="AS1555" i="6"/>
  <c r="AO1555" i="6"/>
  <c r="AS1554" i="6"/>
  <c r="AO1554" i="6"/>
  <c r="AS1553" i="6"/>
  <c r="AO1553" i="6"/>
  <c r="AS1552" i="6"/>
  <c r="AO1552" i="6"/>
  <c r="AS1551" i="6"/>
  <c r="AO1551" i="6"/>
  <c r="AS1550" i="6"/>
  <c r="AO1550" i="6"/>
  <c r="BC1549" i="6"/>
  <c r="AS1549" i="6"/>
  <c r="AO1549" i="6"/>
  <c r="AS1548" i="6"/>
  <c r="AO1548" i="6"/>
  <c r="BC1547" i="6"/>
  <c r="AS1547" i="6"/>
  <c r="AO1547" i="6"/>
  <c r="AO1546" i="6"/>
  <c r="AO1545" i="6"/>
  <c r="AI1804" i="6"/>
  <c r="AO1804" i="6" s="1"/>
  <c r="AC1804" i="6"/>
  <c r="AI1803" i="6"/>
  <c r="AO1803" i="6" s="1"/>
  <c r="AC1803" i="6"/>
  <c r="AS1802" i="6"/>
  <c r="AO1802" i="6"/>
  <c r="AS1801" i="6"/>
  <c r="AO1801" i="6"/>
  <c r="AE1801" i="6"/>
  <c r="AC1801" i="6"/>
  <c r="AS1800" i="6"/>
  <c r="AO1800" i="6"/>
  <c r="AE1800" i="6"/>
  <c r="AC1800" i="6"/>
  <c r="AJ1799" i="6"/>
  <c r="AS1799" i="6" s="1"/>
  <c r="AI1799" i="6"/>
  <c r="AO1799" i="6" s="1"/>
  <c r="AE1799" i="6"/>
  <c r="AC1799" i="6"/>
  <c r="AJ1798" i="6"/>
  <c r="AS1798" i="6" s="1"/>
  <c r="AI1798" i="6"/>
  <c r="AO1798" i="6" s="1"/>
  <c r="AE1798" i="6"/>
  <c r="AC1798" i="6"/>
  <c r="AS1797" i="6"/>
  <c r="AO1797" i="6"/>
  <c r="AE1797" i="6"/>
  <c r="AC1797" i="6"/>
  <c r="AS1796" i="6"/>
  <c r="AO1796" i="6"/>
  <c r="AE1796" i="6"/>
  <c r="AC1796" i="6"/>
  <c r="AO1795" i="6"/>
  <c r="AC1795" i="6"/>
  <c r="AO1794" i="6"/>
  <c r="AC1794" i="6"/>
  <c r="AS1793" i="6"/>
  <c r="AO1793" i="6"/>
  <c r="AS1792" i="6"/>
  <c r="AO1792" i="6"/>
  <c r="AO1243" i="2"/>
  <c r="AK1243" i="2"/>
  <c r="AO1242" i="2"/>
  <c r="AK1242" i="2"/>
  <c r="AO1241" i="2"/>
  <c r="AK1241" i="2"/>
  <c r="AO1240" i="2"/>
  <c r="AK1240" i="2"/>
  <c r="AH1239" i="2"/>
  <c r="AG1239" i="2"/>
  <c r="AF1239" i="2"/>
  <c r="AO1239" i="2" s="1"/>
  <c r="AE1239" i="2"/>
  <c r="AH1238" i="2"/>
  <c r="AG1238" i="2"/>
  <c r="AF1238" i="2"/>
  <c r="AE1238" i="2"/>
  <c r="AH1237" i="2"/>
  <c r="AG1237" i="2"/>
  <c r="AK1237" i="2" s="1"/>
  <c r="AF1237" i="2"/>
  <c r="AE1237" i="2"/>
  <c r="AH1236" i="2"/>
  <c r="AG1236" i="2"/>
  <c r="AF1236" i="2"/>
  <c r="AO1236" i="2" s="1"/>
  <c r="AE1236" i="2"/>
  <c r="AO1235" i="2"/>
  <c r="AK1235" i="2"/>
  <c r="AF1234" i="2"/>
  <c r="AO1234" i="2" s="1"/>
  <c r="AE1234" i="2"/>
  <c r="AK1234" i="2" s="1"/>
  <c r="AF1233" i="2"/>
  <c r="AO1233" i="2" s="1"/>
  <c r="AE1233" i="2"/>
  <c r="AK1233" i="2" s="1"/>
  <c r="AF1232" i="2"/>
  <c r="AO1232" i="2" s="1"/>
  <c r="AE1232" i="2"/>
  <c r="AK1232" i="2" s="1"/>
  <c r="AO1231" i="2"/>
  <c r="AE1231" i="2"/>
  <c r="AK1231" i="2" s="1"/>
  <c r="AO1230" i="2"/>
  <c r="AK1230" i="2"/>
  <c r="AO1229" i="2"/>
  <c r="AK1229" i="2"/>
  <c r="AT839" i="2"/>
  <c r="AT838" i="2"/>
  <c r="AF837" i="2"/>
  <c r="AO837" i="2" s="1"/>
  <c r="AE837" i="2"/>
  <c r="AK837" i="2" s="1"/>
  <c r="AF834" i="2"/>
  <c r="AO834" i="2" s="1"/>
  <c r="AE834" i="2"/>
  <c r="AK834" i="2" s="1"/>
  <c r="AF833" i="2"/>
  <c r="AO833" i="2" s="1"/>
  <c r="AE833" i="2"/>
  <c r="AK833" i="2" s="1"/>
  <c r="AF832" i="2"/>
  <c r="AO832" i="2" s="1"/>
  <c r="AE832" i="2"/>
  <c r="AK832" i="2" s="1"/>
  <c r="AF831" i="2"/>
  <c r="AO831" i="2" s="1"/>
  <c r="AE831" i="2"/>
  <c r="AK831" i="2" s="1"/>
  <c r="AF830" i="2"/>
  <c r="AO830" i="2" s="1"/>
  <c r="AE830" i="2"/>
  <c r="AK830" i="2" s="1"/>
  <c r="AF829" i="2"/>
  <c r="AO829" i="2" s="1"/>
  <c r="AE829" i="2"/>
  <c r="AK829" i="2" s="1"/>
  <c r="AF828" i="2"/>
  <c r="AO828" i="2" s="1"/>
  <c r="AE828" i="2"/>
  <c r="AK828" i="2" s="1"/>
  <c r="AF827" i="2"/>
  <c r="AO827" i="2" s="1"/>
  <c r="AE827" i="2"/>
  <c r="AK827" i="2" s="1"/>
  <c r="AF826" i="2"/>
  <c r="AO826" i="2" s="1"/>
  <c r="AE826" i="2"/>
  <c r="AK826" i="2" s="1"/>
  <c r="AF825" i="2"/>
  <c r="AO825" i="2" s="1"/>
  <c r="AE825" i="2"/>
  <c r="AK825" i="2" s="1"/>
  <c r="AF824" i="2"/>
  <c r="AO824" i="2" s="1"/>
  <c r="AE824" i="2"/>
  <c r="AK824" i="2" s="1"/>
  <c r="AO823" i="2"/>
  <c r="AK823" i="2"/>
  <c r="AO822" i="2"/>
  <c r="AK822" i="2"/>
  <c r="AO821" i="2"/>
  <c r="AK821" i="2"/>
  <c r="AO820" i="2"/>
  <c r="AK820" i="2"/>
  <c r="AO819" i="2"/>
  <c r="AK819" i="2"/>
  <c r="AO818" i="2"/>
  <c r="AK818" i="2"/>
  <c r="AK817" i="2"/>
  <c r="AF817" i="2"/>
  <c r="AO817" i="2" s="1"/>
  <c r="AO816" i="2"/>
  <c r="AK816" i="2"/>
  <c r="AO815" i="2"/>
  <c r="AK815" i="2"/>
  <c r="AO814" i="2"/>
  <c r="AK814" i="2"/>
  <c r="AO813" i="2"/>
  <c r="AK813" i="2"/>
  <c r="AO812" i="2"/>
  <c r="AK812" i="2"/>
  <c r="AO811" i="2"/>
  <c r="AK811" i="2"/>
  <c r="AO810" i="2"/>
  <c r="AK810" i="2"/>
  <c r="AO809" i="2"/>
  <c r="AK809" i="2"/>
  <c r="AT808" i="2"/>
  <c r="AO807" i="2"/>
  <c r="AK807" i="2"/>
  <c r="AO806" i="2"/>
  <c r="AK806" i="2"/>
  <c r="AO805" i="2"/>
  <c r="AK805" i="2"/>
  <c r="AO804" i="2"/>
  <c r="AK804" i="2"/>
  <c r="AO803" i="2"/>
  <c r="AK803" i="2"/>
  <c r="AO802" i="2"/>
  <c r="AK802" i="2"/>
  <c r="AT801" i="2"/>
  <c r="AO1506" i="6"/>
  <c r="AO1505" i="6"/>
  <c r="AO1504" i="6"/>
  <c r="AI1503" i="6"/>
  <c r="AO1503" i="6" s="1"/>
  <c r="AO1502" i="6"/>
  <c r="AO1501" i="6"/>
  <c r="AJ1500" i="6"/>
  <c r="AS1500" i="6" s="1"/>
  <c r="AI1500" i="6"/>
  <c r="AO1500" i="6" s="1"/>
  <c r="AJ1499" i="6"/>
  <c r="AS1499" i="6" s="1"/>
  <c r="AI1499" i="6"/>
  <c r="AO1499" i="6" s="1"/>
  <c r="AS1498" i="6"/>
  <c r="AO1498" i="6"/>
  <c r="AS1497" i="6"/>
  <c r="AO1497" i="6"/>
  <c r="AS1496" i="6"/>
  <c r="AO1496" i="6"/>
  <c r="AS1495" i="6"/>
  <c r="AO1495" i="6"/>
  <c r="AO1494" i="6"/>
  <c r="AO1493" i="6"/>
  <c r="AR1492" i="6"/>
  <c r="AN1492" i="6"/>
  <c r="AJ1492" i="6"/>
  <c r="AS1492" i="6" s="1"/>
  <c r="AI1492" i="6"/>
  <c r="AO1492" i="6" s="1"/>
  <c r="AJ1491" i="6"/>
  <c r="AS1491" i="6" s="1"/>
  <c r="AI1491" i="6"/>
  <c r="AO1491" i="6" s="1"/>
  <c r="AS1490" i="6"/>
  <c r="AO1490" i="6"/>
  <c r="AS1489" i="6"/>
  <c r="AO1489" i="6"/>
  <c r="AS1488" i="6"/>
  <c r="AO1488" i="6"/>
  <c r="AS1487" i="6"/>
  <c r="AO1487" i="6"/>
  <c r="AJ1486" i="6"/>
  <c r="AS1486" i="6" s="1"/>
  <c r="AI1486" i="6"/>
  <c r="AO1486" i="6" s="1"/>
  <c r="AJ1485" i="6"/>
  <c r="AS1485" i="6" s="1"/>
  <c r="AI1485" i="6"/>
  <c r="AO1485" i="6" s="1"/>
  <c r="AS1484" i="6"/>
  <c r="AO1484" i="6"/>
  <c r="AS1483" i="6"/>
  <c r="AO1483" i="6"/>
  <c r="AS1482" i="6"/>
  <c r="AO1482" i="6"/>
  <c r="AS1480" i="6"/>
  <c r="AO1480" i="6"/>
  <c r="AJ1479" i="6"/>
  <c r="AS1479" i="6" s="1"/>
  <c r="AI1479" i="6"/>
  <c r="AO1479" i="6" s="1"/>
  <c r="AS1478" i="6"/>
  <c r="AO1478" i="6"/>
  <c r="AS1477" i="6"/>
  <c r="AO1477" i="6"/>
  <c r="AS1476" i="6"/>
  <c r="AO1476" i="6"/>
  <c r="AS1475" i="6"/>
  <c r="AO1475" i="6"/>
  <c r="AI1474" i="6"/>
  <c r="AO1474" i="6" s="1"/>
  <c r="AO1473" i="6"/>
  <c r="AO1472" i="6"/>
  <c r="AO1471" i="6"/>
  <c r="AO1470" i="6"/>
  <c r="AO1468" i="6"/>
  <c r="AO1467" i="6"/>
  <c r="AX1466" i="6"/>
  <c r="AS1465" i="6"/>
  <c r="AO1465" i="6"/>
  <c r="AS1464" i="6"/>
  <c r="AO1464" i="6"/>
  <c r="AS1463" i="6"/>
  <c r="AO1463" i="6"/>
  <c r="AS1462" i="6"/>
  <c r="AO1462" i="6"/>
  <c r="AO1461" i="6"/>
  <c r="AO1460" i="6"/>
  <c r="AO1459" i="6"/>
  <c r="AI1458" i="6"/>
  <c r="AO1458" i="6" s="1"/>
  <c r="AO1457" i="6"/>
  <c r="AO1456" i="6"/>
  <c r="AO1455" i="6"/>
  <c r="AO1454" i="6"/>
  <c r="AO1453" i="6"/>
  <c r="AI1452" i="6"/>
  <c r="AO1452" i="6" s="1"/>
  <c r="AO1451" i="6"/>
  <c r="AO1450" i="6"/>
  <c r="AO1449" i="6"/>
  <c r="AO1448" i="6"/>
  <c r="AO939" i="2"/>
  <c r="AK939" i="2"/>
  <c r="AO938" i="2"/>
  <c r="AK938" i="2"/>
  <c r="AO937" i="2"/>
  <c r="AK937" i="2"/>
  <c r="AO936" i="2"/>
  <c r="AK936" i="2"/>
  <c r="AO935" i="2"/>
  <c r="AK935" i="2"/>
  <c r="AO934" i="2"/>
  <c r="AK934" i="2"/>
  <c r="AO933" i="2"/>
  <c r="AK933" i="2"/>
  <c r="AO932" i="2"/>
  <c r="AK932" i="2"/>
  <c r="AO931" i="2"/>
  <c r="AK931" i="2"/>
  <c r="AO930" i="2"/>
  <c r="AK930" i="2"/>
  <c r="AS1447" i="6"/>
  <c r="AO1447" i="6"/>
  <c r="AS1446" i="6"/>
  <c r="AO1446" i="6"/>
  <c r="BC1445" i="6"/>
  <c r="AS1445" i="6"/>
  <c r="AO1445" i="6"/>
  <c r="AS1444" i="6"/>
  <c r="AO1444" i="6"/>
  <c r="BC1443" i="6"/>
  <c r="AS1443" i="6"/>
  <c r="AO1443" i="6"/>
  <c r="AO1442" i="6"/>
  <c r="AO1441" i="6"/>
  <c r="AI1439" i="6"/>
  <c r="AO1439" i="6" s="1"/>
  <c r="AI1438" i="6"/>
  <c r="AO1438" i="6" s="1"/>
  <c r="AS1437" i="6"/>
  <c r="AO1437" i="6"/>
  <c r="AS1436" i="6"/>
  <c r="AO1436" i="6"/>
  <c r="AS1435" i="6"/>
  <c r="AO1435" i="6"/>
  <c r="AS1434" i="6"/>
  <c r="AO1434" i="6"/>
  <c r="AS1433" i="6"/>
  <c r="AO1433" i="6"/>
  <c r="AS1432" i="6"/>
  <c r="AO1432" i="6"/>
  <c r="AS1431" i="6"/>
  <c r="AO1431" i="6"/>
  <c r="AO1430" i="6"/>
  <c r="AI1429" i="6"/>
  <c r="AO1429" i="6" s="1"/>
  <c r="AO1428" i="6"/>
  <c r="AO1427" i="6"/>
  <c r="AS1426" i="6"/>
  <c r="AO1426" i="6"/>
  <c r="AO1425" i="6"/>
  <c r="AO929" i="2"/>
  <c r="AK929" i="2"/>
  <c r="AO928" i="2"/>
  <c r="AK928" i="2"/>
  <c r="AT926" i="2"/>
  <c r="AO924" i="2"/>
  <c r="AK924" i="2"/>
  <c r="AO923" i="2"/>
  <c r="AK923" i="2"/>
  <c r="AO921" i="2"/>
  <c r="AE921" i="2"/>
  <c r="AK921" i="2" s="1"/>
  <c r="AO920" i="2"/>
  <c r="AE920" i="2"/>
  <c r="AK920" i="2" s="1"/>
  <c r="AO919" i="2"/>
  <c r="AK919" i="2"/>
  <c r="AO918" i="2"/>
  <c r="AK918" i="2"/>
  <c r="AO916" i="2"/>
  <c r="AK916" i="2"/>
  <c r="AT915" i="2"/>
  <c r="AO913" i="2"/>
  <c r="AK913" i="2"/>
  <c r="AO912" i="2"/>
  <c r="AK912" i="2"/>
  <c r="AO907" i="2"/>
  <c r="AK907" i="2"/>
  <c r="AO970" i="2"/>
  <c r="AK970" i="2"/>
  <c r="AO969" i="2"/>
  <c r="AK969" i="2"/>
  <c r="AO968" i="2"/>
  <c r="AK968" i="2"/>
  <c r="AO967" i="2"/>
  <c r="AK967" i="2"/>
  <c r="AO966" i="2"/>
  <c r="AK966" i="2"/>
  <c r="AO965" i="2"/>
  <c r="AK965" i="2"/>
  <c r="AO964" i="2"/>
  <c r="AK964" i="2"/>
  <c r="AO963" i="2"/>
  <c r="AK963" i="2"/>
  <c r="AO962" i="2"/>
  <c r="AK962" i="2"/>
  <c r="AO961" i="2"/>
  <c r="AK961" i="2"/>
  <c r="AO960" i="2"/>
  <c r="AK960" i="2"/>
  <c r="AO959" i="2"/>
  <c r="AK959" i="2"/>
  <c r="AS1543" i="6"/>
  <c r="AO1543" i="6"/>
  <c r="AS1542" i="6"/>
  <c r="AO1542" i="6"/>
  <c r="AS1541" i="6"/>
  <c r="AO1541" i="6"/>
  <c r="AS1540" i="6"/>
  <c r="AO1540" i="6"/>
  <c r="AS1539" i="6"/>
  <c r="AO1539" i="6"/>
  <c r="AO1538" i="6"/>
  <c r="AO1537" i="6"/>
  <c r="AO1536" i="6"/>
  <c r="AO1535" i="6"/>
  <c r="AS1534" i="6"/>
  <c r="AO1534" i="6"/>
  <c r="AS1533" i="6"/>
  <c r="AO1533" i="6"/>
  <c r="AS1532" i="6"/>
  <c r="AO1532" i="6"/>
  <c r="AS1531" i="6"/>
  <c r="AO1531" i="6"/>
  <c r="AS1530" i="6"/>
  <c r="AO1530" i="6"/>
  <c r="AS1529" i="6"/>
  <c r="AO1529" i="6"/>
  <c r="AS1528" i="6"/>
  <c r="AO1528" i="6"/>
  <c r="AS1527" i="6"/>
  <c r="AO1527" i="6"/>
  <c r="AS1526" i="6"/>
  <c r="AO1526" i="6"/>
  <c r="AS1525" i="6"/>
  <c r="AO1525" i="6"/>
  <c r="AS1524" i="6"/>
  <c r="AO1524" i="6"/>
  <c r="AS1523" i="6"/>
  <c r="AO1523" i="6"/>
  <c r="AS1521" i="6"/>
  <c r="AO1521" i="6"/>
  <c r="AS1520" i="6"/>
  <c r="AO1520" i="6"/>
  <c r="AS1519" i="6"/>
  <c r="AO1519" i="6"/>
  <c r="AO1518" i="6"/>
  <c r="AO1517" i="6"/>
  <c r="AO1515" i="6"/>
  <c r="AO1514" i="6"/>
  <c r="AO1513" i="6"/>
  <c r="AO1512" i="6"/>
  <c r="AI1511" i="6"/>
  <c r="AO1511" i="6" s="1"/>
  <c r="AI1510" i="6"/>
  <c r="AO1510" i="6" s="1"/>
  <c r="AI1509" i="6"/>
  <c r="AO1509" i="6" s="1"/>
  <c r="AO1508" i="6"/>
  <c r="AO1507" i="6"/>
  <c r="AO699" i="2"/>
  <c r="AK699" i="2"/>
  <c r="AO698" i="2"/>
  <c r="AK698" i="2"/>
  <c r="AO697" i="2"/>
  <c r="AK697" i="2"/>
  <c r="AO696" i="2"/>
  <c r="AK696" i="2"/>
  <c r="AO695" i="2"/>
  <c r="AK695" i="2"/>
  <c r="AO694" i="2"/>
  <c r="AK694" i="2"/>
  <c r="AO693" i="2"/>
  <c r="AK693" i="2"/>
  <c r="AO692" i="2"/>
  <c r="AK692" i="2"/>
  <c r="AO691" i="2"/>
  <c r="AK691" i="2"/>
  <c r="AO690" i="2"/>
  <c r="AK690" i="2"/>
  <c r="AO689" i="2"/>
  <c r="AK689" i="2"/>
  <c r="AO688" i="2"/>
  <c r="AK688" i="2"/>
  <c r="AO687" i="2"/>
  <c r="AK687" i="2"/>
  <c r="AO686" i="2"/>
  <c r="AK686" i="2"/>
  <c r="AO685" i="2"/>
  <c r="AK685" i="2"/>
  <c r="AO684" i="2"/>
  <c r="AK684" i="2"/>
  <c r="AO683" i="2"/>
  <c r="AK683" i="2"/>
  <c r="AO682" i="2"/>
  <c r="AK682" i="2"/>
  <c r="AO681" i="2"/>
  <c r="AK681" i="2"/>
  <c r="AO680" i="2"/>
  <c r="AK680" i="2"/>
  <c r="AO679" i="2"/>
  <c r="AK679" i="2"/>
  <c r="AO678" i="2"/>
  <c r="AK678" i="2"/>
  <c r="AO677" i="2"/>
  <c r="AK677" i="2"/>
  <c r="AS1205" i="6"/>
  <c r="AO1205" i="6"/>
  <c r="AO1204" i="6"/>
  <c r="AO1203" i="6"/>
  <c r="AO1202" i="6"/>
  <c r="AJ1201" i="6"/>
  <c r="AS1201" i="6" s="1"/>
  <c r="AI1201" i="6"/>
  <c r="AO1201" i="6" s="1"/>
  <c r="AJ1200" i="6"/>
  <c r="AS1200" i="6" s="1"/>
  <c r="AI1200" i="6"/>
  <c r="AO1200" i="6" s="1"/>
  <c r="AS1199" i="6"/>
  <c r="AO1199" i="6"/>
  <c r="AS1198" i="6"/>
  <c r="AO1198" i="6"/>
  <c r="AS1197" i="6"/>
  <c r="AO1197" i="6"/>
  <c r="AS1196" i="6"/>
  <c r="AO1196" i="6"/>
  <c r="AS1195" i="6"/>
  <c r="AO1195" i="6"/>
  <c r="AS1194" i="6"/>
  <c r="AO1194" i="6"/>
  <c r="AS1193" i="6"/>
  <c r="AO1193" i="6"/>
  <c r="AS1191" i="6"/>
  <c r="AO1191" i="6"/>
  <c r="AO1190" i="6"/>
  <c r="AO1189" i="6"/>
  <c r="AO1187" i="6"/>
  <c r="AS1186" i="6"/>
  <c r="AO1186" i="6"/>
  <c r="AS1185" i="6"/>
  <c r="AO1185" i="6"/>
  <c r="AS1184" i="6"/>
  <c r="AO1184" i="6"/>
  <c r="AS1183" i="6"/>
  <c r="AO1183" i="6"/>
  <c r="AS1182" i="6"/>
  <c r="AO1182" i="6"/>
  <c r="AS1180" i="6"/>
  <c r="AO1180" i="6"/>
  <c r="AS1179" i="6"/>
  <c r="AO1179" i="6"/>
  <c r="AS1178" i="6"/>
  <c r="AO1178" i="6"/>
  <c r="AS1177" i="6"/>
  <c r="AO1177" i="6"/>
  <c r="AS1176" i="6"/>
  <c r="AO1176" i="6"/>
  <c r="AS1175" i="6"/>
  <c r="AO1175" i="6"/>
  <c r="AS1174" i="6"/>
  <c r="AO1174" i="6"/>
  <c r="AS1173" i="6"/>
  <c r="AO1173" i="6"/>
  <c r="AS1172" i="6"/>
  <c r="AO1172" i="6"/>
  <c r="AO1171" i="6"/>
  <c r="AO1170" i="6"/>
  <c r="AO1169" i="6"/>
  <c r="AI1168" i="6"/>
  <c r="AO1168" i="6" s="1"/>
  <c r="AI1167" i="6"/>
  <c r="AO1167" i="6" s="1"/>
  <c r="AS1166" i="6"/>
  <c r="AI1166" i="6"/>
  <c r="AO1166" i="6" s="1"/>
  <c r="AS1165" i="6"/>
  <c r="AI1165" i="6"/>
  <c r="AO1165" i="6" s="1"/>
  <c r="AS1164" i="6"/>
  <c r="AO1164" i="6"/>
  <c r="AS1163" i="6"/>
  <c r="AO1163" i="6"/>
  <c r="AS1162" i="6"/>
  <c r="AO1162" i="6"/>
  <c r="AS1161" i="6"/>
  <c r="AO1161" i="6"/>
  <c r="AS1159" i="6"/>
  <c r="AO1159" i="6"/>
  <c r="AS1158" i="6"/>
  <c r="AO1158" i="6"/>
  <c r="AS1157" i="6"/>
  <c r="AO1157" i="6"/>
  <c r="AS1156" i="6"/>
  <c r="AO1156" i="6"/>
  <c r="AS1155" i="6"/>
  <c r="AO1155" i="6"/>
  <c r="AS1154" i="6"/>
  <c r="AO1154" i="6"/>
  <c r="AS1153" i="6"/>
  <c r="AO1153" i="6"/>
  <c r="AO1152" i="6"/>
  <c r="AO1151" i="6"/>
  <c r="AO1150" i="6"/>
  <c r="AO1149" i="6"/>
  <c r="AO1148" i="6"/>
  <c r="AO1147" i="6"/>
  <c r="AX1523" i="6" l="1"/>
  <c r="AX1586" i="6"/>
  <c r="AT973" i="2"/>
  <c r="AT975" i="2"/>
  <c r="AX1555" i="6"/>
  <c r="AX1568" i="6"/>
  <c r="AX1580" i="6"/>
  <c r="AX1559" i="6"/>
  <c r="AX1572" i="6"/>
  <c r="AT972" i="2"/>
  <c r="AT974" i="2"/>
  <c r="AX1800" i="6"/>
  <c r="AX1557" i="6"/>
  <c r="AX1564" i="6"/>
  <c r="AX1576" i="6"/>
  <c r="AX1565" i="6"/>
  <c r="AX1802" i="6"/>
  <c r="AX1554" i="6"/>
  <c r="AX1567" i="6"/>
  <c r="AX1570" i="6"/>
  <c r="AX1547" i="6"/>
  <c r="AX1571" i="6"/>
  <c r="AX1577" i="6"/>
  <c r="AX1553" i="6"/>
  <c r="AX1548" i="6"/>
  <c r="AX1573" i="6"/>
  <c r="AX1585" i="6"/>
  <c r="AX1550" i="6"/>
  <c r="AX1569" i="6"/>
  <c r="AX1575" i="6"/>
  <c r="AX1581" i="6"/>
  <c r="AX1549" i="6"/>
  <c r="AX1562" i="6"/>
  <c r="AX1578" i="6"/>
  <c r="AX1551" i="6"/>
  <c r="AX1556" i="6"/>
  <c r="AX1563" i="6"/>
  <c r="AX1579" i="6"/>
  <c r="AX1583" i="6"/>
  <c r="AX1566" i="6"/>
  <c r="AX1574" i="6"/>
  <c r="AX1552" i="6"/>
  <c r="AX1584" i="6"/>
  <c r="AX1558" i="6"/>
  <c r="AX1582" i="6"/>
  <c r="AX1490" i="6"/>
  <c r="AT1243" i="2"/>
  <c r="AT1231" i="2"/>
  <c r="AX1793" i="6"/>
  <c r="AX1480" i="6"/>
  <c r="AX1486" i="6"/>
  <c r="AX1492" i="6"/>
  <c r="AX1792" i="6"/>
  <c r="AX1798" i="6"/>
  <c r="AX1801" i="6"/>
  <c r="AX1796" i="6"/>
  <c r="AX1797" i="6"/>
  <c r="AX1496" i="6"/>
  <c r="AX1485" i="6"/>
  <c r="AX1491" i="6"/>
  <c r="AX1497" i="6"/>
  <c r="AX1799" i="6"/>
  <c r="AT1241" i="2"/>
  <c r="AT1232" i="2"/>
  <c r="AT1240" i="2"/>
  <c r="AT1234" i="2"/>
  <c r="AO1237" i="2"/>
  <c r="AT1237" i="2" s="1"/>
  <c r="AK1238" i="2"/>
  <c r="AT820" i="2"/>
  <c r="AT826" i="2"/>
  <c r="AO1238" i="2"/>
  <c r="AT1242" i="2"/>
  <c r="AK1236" i="2"/>
  <c r="AT1236" i="2" s="1"/>
  <c r="AK1239" i="2"/>
  <c r="AT1239" i="2" s="1"/>
  <c r="AT1233" i="2"/>
  <c r="AT810" i="2"/>
  <c r="AT816" i="2"/>
  <c r="AT822" i="2"/>
  <c r="AT828" i="2"/>
  <c r="AT833" i="2"/>
  <c r="AT933" i="2"/>
  <c r="AT817" i="2"/>
  <c r="AT805" i="2"/>
  <c r="AX1482" i="6"/>
  <c r="AX1499" i="6"/>
  <c r="AT813" i="2"/>
  <c r="AT819" i="2"/>
  <c r="AT825" i="2"/>
  <c r="AT831" i="2"/>
  <c r="AT832" i="2"/>
  <c r="AT804" i="2"/>
  <c r="AT823" i="2"/>
  <c r="AT803" i="2"/>
  <c r="AT821" i="2"/>
  <c r="AT812" i="2"/>
  <c r="AT818" i="2"/>
  <c r="AT824" i="2"/>
  <c r="AT806" i="2"/>
  <c r="AT827" i="2"/>
  <c r="AT807" i="2"/>
  <c r="AT802" i="2"/>
  <c r="AT814" i="2"/>
  <c r="AT937" i="2"/>
  <c r="AT809" i="2"/>
  <c r="AT815" i="2"/>
  <c r="AT829" i="2"/>
  <c r="AT834" i="2"/>
  <c r="AT830" i="2"/>
  <c r="AT837" i="2"/>
  <c r="AT935" i="2"/>
  <c r="AT934" i="2"/>
  <c r="AX1465" i="6"/>
  <c r="AX1495" i="6"/>
  <c r="AX1488" i="6"/>
  <c r="AX1463" i="6"/>
  <c r="AX1462" i="6"/>
  <c r="AX1426" i="6"/>
  <c r="AX1434" i="6"/>
  <c r="AX1443" i="6"/>
  <c r="AX1484" i="6"/>
  <c r="AX1478" i="6"/>
  <c r="AX1475" i="6"/>
  <c r="AX1489" i="6"/>
  <c r="AX1464" i="6"/>
  <c r="AX1479" i="6"/>
  <c r="AX1476" i="6"/>
  <c r="AX1445" i="6"/>
  <c r="AX1487" i="6"/>
  <c r="AX1477" i="6"/>
  <c r="AX1483" i="6"/>
  <c r="AX1498" i="6"/>
  <c r="AX1500" i="6"/>
  <c r="AX1433" i="6"/>
  <c r="AT928" i="2"/>
  <c r="AT930" i="2"/>
  <c r="AT938" i="2"/>
  <c r="AT939" i="2"/>
  <c r="AT936" i="2"/>
  <c r="AT931" i="2"/>
  <c r="AT932" i="2"/>
  <c r="AT929" i="2"/>
  <c r="AT912" i="2"/>
  <c r="AX1447" i="6"/>
  <c r="AX1527" i="6"/>
  <c r="AX1533" i="6"/>
  <c r="AX1444" i="6"/>
  <c r="AX1437" i="6"/>
  <c r="AX1153" i="6"/>
  <c r="AX1159" i="6"/>
  <c r="AX1166" i="6"/>
  <c r="AX1197" i="6"/>
  <c r="AX1529" i="6"/>
  <c r="AX1432" i="6"/>
  <c r="AX1431" i="6"/>
  <c r="AX1446" i="6"/>
  <c r="AX1435" i="6"/>
  <c r="AX1436" i="6"/>
  <c r="AX1534" i="6"/>
  <c r="AX1173" i="6"/>
  <c r="AX1179" i="6"/>
  <c r="AX1186" i="6"/>
  <c r="AX1524" i="6"/>
  <c r="AX1530" i="6"/>
  <c r="AX1174" i="6"/>
  <c r="AX1531" i="6"/>
  <c r="AX1539" i="6"/>
  <c r="AT916" i="2"/>
  <c r="AT919" i="2"/>
  <c r="AT918" i="2"/>
  <c r="AT921" i="2"/>
  <c r="AT907" i="2"/>
  <c r="AT920" i="2"/>
  <c r="AT924" i="2"/>
  <c r="AT913" i="2"/>
  <c r="AT923" i="2"/>
  <c r="AT964" i="2"/>
  <c r="AT681" i="2"/>
  <c r="AT960" i="2"/>
  <c r="AT966" i="2"/>
  <c r="AT959" i="2"/>
  <c r="AT965" i="2"/>
  <c r="AT963" i="2"/>
  <c r="AT969" i="2"/>
  <c r="AT684" i="2"/>
  <c r="AT677" i="2"/>
  <c r="AT689" i="2"/>
  <c r="AT962" i="2"/>
  <c r="AT967" i="2"/>
  <c r="AT961" i="2"/>
  <c r="AT685" i="2"/>
  <c r="AT688" i="2"/>
  <c r="AX1154" i="6"/>
  <c r="AX1161" i="6"/>
  <c r="AX1191" i="6"/>
  <c r="AX1532" i="6"/>
  <c r="AX1542" i="6"/>
  <c r="AX1182" i="6"/>
  <c r="AX1519" i="6"/>
  <c r="AX1541" i="6"/>
  <c r="AX1155" i="6"/>
  <c r="AX1162" i="6"/>
  <c r="AX1193" i="6"/>
  <c r="AX1199" i="6"/>
  <c r="AX1540" i="6"/>
  <c r="AX1156" i="6"/>
  <c r="AX1163" i="6"/>
  <c r="AX1194" i="6"/>
  <c r="AX1165" i="6"/>
  <c r="AX1196" i="6"/>
  <c r="AX1177" i="6"/>
  <c r="AX1157" i="6"/>
  <c r="AX1164" i="6"/>
  <c r="AX1195" i="6"/>
  <c r="AT696" i="2"/>
  <c r="AT693" i="2"/>
  <c r="AT697" i="2"/>
  <c r="AT686" i="2"/>
  <c r="AT698" i="2"/>
  <c r="AT687" i="2"/>
  <c r="AT699" i="2"/>
  <c r="AT682" i="2"/>
  <c r="AT694" i="2"/>
  <c r="AT683" i="2"/>
  <c r="AT695" i="2"/>
  <c r="AT678" i="2"/>
  <c r="AT679" i="2"/>
  <c r="AT680" i="2"/>
  <c r="AT692" i="2"/>
  <c r="AT690" i="2"/>
  <c r="AT691" i="2"/>
  <c r="AX1201" i="6"/>
  <c r="AX1176" i="6"/>
  <c r="AX1183" i="6"/>
  <c r="AX1175" i="6"/>
  <c r="AX1184" i="6"/>
  <c r="AX1200" i="6"/>
  <c r="AX1178" i="6"/>
  <c r="AX1185" i="6"/>
  <c r="AX1205" i="6"/>
  <c r="AX1180" i="6"/>
  <c r="AX1158" i="6"/>
  <c r="AX1172" i="6"/>
  <c r="AX1198" i="6"/>
  <c r="AX1359" i="6"/>
  <c r="AW1359" i="6"/>
  <c r="AE1359" i="6"/>
  <c r="AC1359" i="6"/>
  <c r="AX1358" i="6"/>
  <c r="AW1358" i="6"/>
  <c r="AE1358" i="6"/>
  <c r="AC1358" i="6"/>
  <c r="AX1357" i="6"/>
  <c r="AE1357" i="6"/>
  <c r="AC1357" i="6"/>
  <c r="AX1356" i="6"/>
  <c r="AE1356" i="6"/>
  <c r="AC1356" i="6"/>
  <c r="AX1355" i="6"/>
  <c r="AE1355" i="6"/>
  <c r="AC1355" i="6"/>
  <c r="AX1354" i="6"/>
  <c r="AE1354" i="6"/>
  <c r="AC1354" i="6"/>
  <c r="AX1353" i="6"/>
  <c r="AE1353" i="6"/>
  <c r="AC1353" i="6"/>
  <c r="AX1352" i="6"/>
  <c r="AE1352" i="6"/>
  <c r="AC1352" i="6"/>
  <c r="AS1351" i="6"/>
  <c r="AO1351" i="6"/>
  <c r="AS1350" i="6"/>
  <c r="AO1350" i="6"/>
  <c r="AS1349" i="6"/>
  <c r="AO1349" i="6"/>
  <c r="AX1348" i="6"/>
  <c r="AS1346" i="6"/>
  <c r="AO1346" i="6"/>
  <c r="AX1345" i="6"/>
  <c r="AS1344" i="6"/>
  <c r="AO1344" i="6"/>
  <c r="AX1343" i="6"/>
  <c r="AS1342" i="6"/>
  <c r="AO1342" i="6"/>
  <c r="AX1341" i="6"/>
  <c r="AS1340" i="6"/>
  <c r="AO1340" i="6"/>
  <c r="AS1339" i="6"/>
  <c r="AO1339" i="6"/>
  <c r="AX1338" i="6"/>
  <c r="AS1337" i="6"/>
  <c r="AO1337" i="6"/>
  <c r="AX1335" i="6"/>
  <c r="AS1334" i="6"/>
  <c r="AO1334" i="6"/>
  <c r="AX1333" i="6"/>
  <c r="AS1332" i="6"/>
  <c r="AO1332" i="6"/>
  <c r="AX1331" i="6"/>
  <c r="AS1330" i="6"/>
  <c r="AO1330" i="6"/>
  <c r="AT875" i="2"/>
  <c r="AO874" i="2"/>
  <c r="AK874" i="2"/>
  <c r="AO873" i="2"/>
  <c r="AK873" i="2"/>
  <c r="AT872" i="2"/>
  <c r="AO871" i="2"/>
  <c r="AK871" i="2"/>
  <c r="AO870" i="2"/>
  <c r="AK870" i="2"/>
  <c r="AO868" i="2"/>
  <c r="AK868" i="2"/>
  <c r="AO867" i="2"/>
  <c r="AK867" i="2"/>
  <c r="AO865" i="2"/>
  <c r="AK865" i="2"/>
  <c r="AO864" i="2"/>
  <c r="AK864" i="2"/>
  <c r="AT863" i="2"/>
  <c r="AO862" i="2"/>
  <c r="AK862" i="2"/>
  <c r="AO861" i="2"/>
  <c r="AK861" i="2"/>
  <c r="AT860" i="2"/>
  <c r="AO859" i="2"/>
  <c r="AK859" i="2"/>
  <c r="AO858" i="2"/>
  <c r="AK858" i="2"/>
  <c r="AT857" i="2"/>
  <c r="AO856" i="2"/>
  <c r="AK856" i="2"/>
  <c r="AO855" i="2"/>
  <c r="AK855" i="2"/>
  <c r="AT854" i="2"/>
  <c r="AO853" i="2"/>
  <c r="AK853" i="2"/>
  <c r="AO852" i="2"/>
  <c r="AK852" i="2"/>
  <c r="AT851" i="2"/>
  <c r="AO850" i="2"/>
  <c r="AK850" i="2"/>
  <c r="AO849" i="2"/>
  <c r="AK849" i="2"/>
  <c r="AT848" i="2"/>
  <c r="AO847" i="2"/>
  <c r="AK847" i="2"/>
  <c r="AO846" i="2"/>
  <c r="AK846" i="2"/>
  <c r="AT845" i="2"/>
  <c r="AO844" i="2"/>
  <c r="AK844" i="2"/>
  <c r="AO843" i="2"/>
  <c r="AK843" i="2"/>
  <c r="AT842" i="2"/>
  <c r="AO841" i="2"/>
  <c r="AK841" i="2"/>
  <c r="AO840" i="2"/>
  <c r="AK840" i="2"/>
  <c r="AH958" i="2"/>
  <c r="AG958" i="2"/>
  <c r="AF958" i="2"/>
  <c r="AE958" i="2"/>
  <c r="V958" i="2"/>
  <c r="U958" i="2"/>
  <c r="AO957" i="2"/>
  <c r="AK957" i="2"/>
  <c r="AO956" i="2"/>
  <c r="AK956" i="2"/>
  <c r="AO955" i="2"/>
  <c r="AK955" i="2"/>
  <c r="AO954" i="2"/>
  <c r="AK954" i="2"/>
  <c r="AO953" i="2"/>
  <c r="AK953" i="2"/>
  <c r="AO952" i="2"/>
  <c r="AK952" i="2"/>
  <c r="AO951" i="2"/>
  <c r="AK951" i="2"/>
  <c r="AO950" i="2"/>
  <c r="AK950" i="2"/>
  <c r="AO949" i="2"/>
  <c r="AK949" i="2"/>
  <c r="AO948" i="2"/>
  <c r="AK948" i="2"/>
  <c r="AO947" i="2"/>
  <c r="AK947" i="2"/>
  <c r="AO946" i="2"/>
  <c r="AK946" i="2"/>
  <c r="AO945" i="2"/>
  <c r="AK945" i="2"/>
  <c r="AO944" i="2"/>
  <c r="AK944" i="2"/>
  <c r="AO943" i="2"/>
  <c r="AK943" i="2"/>
  <c r="AO942" i="2"/>
  <c r="AK942" i="2"/>
  <c r="AO941" i="2"/>
  <c r="AK941" i="2"/>
  <c r="AL2145" i="6"/>
  <c r="AK2145" i="6"/>
  <c r="AJ2145" i="6"/>
  <c r="AI2145" i="6"/>
  <c r="AJ2144" i="6"/>
  <c r="AS2144" i="6" s="1"/>
  <c r="AI2144" i="6"/>
  <c r="AO2144" i="6" s="1"/>
  <c r="AJ2143" i="6"/>
  <c r="AS2143" i="6" s="1"/>
  <c r="AI2143" i="6"/>
  <c r="AO2143" i="6" s="1"/>
  <c r="AS2142" i="6"/>
  <c r="AO2142" i="6"/>
  <c r="AS2141" i="6"/>
  <c r="AO2141" i="6"/>
  <c r="AS2140" i="6"/>
  <c r="AO2140" i="6"/>
  <c r="AS2138" i="6"/>
  <c r="AO2138" i="6"/>
  <c r="AK2137" i="6"/>
  <c r="AI2137" i="6"/>
  <c r="AI2136" i="6"/>
  <c r="AO2136" i="6" s="1"/>
  <c r="AO2135" i="6"/>
  <c r="AO2134" i="6"/>
  <c r="AI2133" i="6"/>
  <c r="AO2133" i="6" s="1"/>
  <c r="AI2132" i="6"/>
  <c r="AO2132" i="6" s="1"/>
  <c r="AL2131" i="6"/>
  <c r="AJ2131" i="6"/>
  <c r="AI2131" i="6"/>
  <c r="AO2131" i="6" s="1"/>
  <c r="AL2130" i="6"/>
  <c r="AJ2130" i="6"/>
  <c r="AI2130" i="6"/>
  <c r="AO2130" i="6" s="1"/>
  <c r="AL2129" i="6"/>
  <c r="AJ2129" i="6"/>
  <c r="AI2129" i="6"/>
  <c r="AO2129" i="6" s="1"/>
  <c r="AL2128" i="6"/>
  <c r="AJ2128" i="6"/>
  <c r="AI2128" i="6"/>
  <c r="AO2128" i="6" s="1"/>
  <c r="AL2127" i="6"/>
  <c r="AJ2127" i="6"/>
  <c r="AI2127" i="6"/>
  <c r="AO2127" i="6" s="1"/>
  <c r="AL2126" i="6"/>
  <c r="AJ2126" i="6"/>
  <c r="AI2126" i="6"/>
  <c r="AO2126" i="6" s="1"/>
  <c r="AL2125" i="6"/>
  <c r="AJ2125" i="6"/>
  <c r="AI2125" i="6"/>
  <c r="AO2125" i="6" s="1"/>
  <c r="AL2124" i="6"/>
  <c r="AJ2124" i="6"/>
  <c r="AI2124" i="6"/>
  <c r="AO2124" i="6" s="1"/>
  <c r="AL2123" i="6"/>
  <c r="AJ2123" i="6"/>
  <c r="AI2123" i="6"/>
  <c r="AO2123" i="6" s="1"/>
  <c r="AL2122" i="6"/>
  <c r="AJ2122" i="6"/>
  <c r="AI2122" i="6"/>
  <c r="AO2122" i="6" s="1"/>
  <c r="AL2121" i="6"/>
  <c r="AJ2121" i="6"/>
  <c r="AI2121" i="6"/>
  <c r="AO2121" i="6" s="1"/>
  <c r="AL2120" i="6"/>
  <c r="AJ2120" i="6"/>
  <c r="AI2120" i="6"/>
  <c r="AO2120" i="6" s="1"/>
  <c r="AL2119" i="6"/>
  <c r="AJ2119" i="6"/>
  <c r="AI2119" i="6"/>
  <c r="AO2119" i="6" s="1"/>
  <c r="AL2118" i="6"/>
  <c r="AJ2118" i="6"/>
  <c r="AI2118" i="6"/>
  <c r="AO2118" i="6" s="1"/>
  <c r="AL2117" i="6"/>
  <c r="AJ2117" i="6"/>
  <c r="AI2117" i="6"/>
  <c r="AO2117" i="6" s="1"/>
  <c r="AL2116" i="6"/>
  <c r="AJ2116" i="6"/>
  <c r="AI2116" i="6"/>
  <c r="AO2116" i="6" s="1"/>
  <c r="AL2115" i="6"/>
  <c r="AJ2115" i="6"/>
  <c r="AI2115" i="6"/>
  <c r="AO2115" i="6" s="1"/>
  <c r="AO2114" i="6"/>
  <c r="AL2114" i="6"/>
  <c r="AS2114" i="6" s="1"/>
  <c r="AO2113" i="6"/>
  <c r="AL2113" i="6"/>
  <c r="AS2113" i="6" s="1"/>
  <c r="AO2112" i="6"/>
  <c r="AL2112" i="6"/>
  <c r="AS2112" i="6" s="1"/>
  <c r="AL2111" i="6"/>
  <c r="AK2111" i="6"/>
  <c r="AJ2111" i="6"/>
  <c r="AI2111" i="6"/>
  <c r="AW2110" i="6"/>
  <c r="AL2110" i="6"/>
  <c r="AJ2110" i="6"/>
  <c r="AI2110" i="6"/>
  <c r="AO2110" i="6" s="1"/>
  <c r="AO2109" i="6"/>
  <c r="AL2109" i="6"/>
  <c r="AS2109" i="6" s="1"/>
  <c r="AO2108" i="6"/>
  <c r="AL2108" i="6"/>
  <c r="AS2108" i="6" s="1"/>
  <c r="AO2107" i="6"/>
  <c r="AL2107" i="6"/>
  <c r="AS2107" i="6" s="1"/>
  <c r="AL2106" i="6"/>
  <c r="AJ2106" i="6"/>
  <c r="AI2106" i="6"/>
  <c r="AO2106" i="6" s="1"/>
  <c r="AL2105" i="6"/>
  <c r="AJ2105" i="6"/>
  <c r="AI2105" i="6"/>
  <c r="AO2105" i="6" s="1"/>
  <c r="AL2104" i="6"/>
  <c r="AJ2104" i="6"/>
  <c r="AI2104" i="6"/>
  <c r="AO2104" i="6" s="1"/>
  <c r="AL2103" i="6"/>
  <c r="AJ2103" i="6"/>
  <c r="AI2103" i="6"/>
  <c r="AO2103" i="6" s="1"/>
  <c r="AL2102" i="6"/>
  <c r="AJ2102" i="6"/>
  <c r="AI2102" i="6"/>
  <c r="AO2102" i="6" s="1"/>
  <c r="AL2101" i="6"/>
  <c r="AJ2101" i="6"/>
  <c r="AI2101" i="6"/>
  <c r="AO2101" i="6" s="1"/>
  <c r="AL2100" i="6"/>
  <c r="AJ2100" i="6"/>
  <c r="AI2100" i="6"/>
  <c r="AO2100" i="6" s="1"/>
  <c r="AO2099" i="6"/>
  <c r="AL2099" i="6"/>
  <c r="AS2099" i="6" s="1"/>
  <c r="AO2098" i="6"/>
  <c r="AL2098" i="6"/>
  <c r="AS2098" i="6" s="1"/>
  <c r="AO2097" i="6"/>
  <c r="AL2097" i="6"/>
  <c r="AS2097" i="6" s="1"/>
  <c r="AS2096" i="6"/>
  <c r="AI2096" i="6"/>
  <c r="AO2096" i="6" s="1"/>
  <c r="AK2095" i="6"/>
  <c r="AO2095" i="6" s="1"/>
  <c r="AI2094" i="6"/>
  <c r="AO2094" i="6" s="1"/>
  <c r="AS2093" i="6"/>
  <c r="AO2093" i="6"/>
  <c r="AS2092" i="6"/>
  <c r="AO2092" i="6"/>
  <c r="AS2091" i="6"/>
  <c r="AO2091" i="6"/>
  <c r="AI2090" i="6"/>
  <c r="AO2090" i="6" s="1"/>
  <c r="AK2089" i="6"/>
  <c r="AO2089" i="6" s="1"/>
  <c r="AO2088" i="6"/>
  <c r="AS1099" i="6"/>
  <c r="AO1099" i="6"/>
  <c r="AS1098" i="6"/>
  <c r="AO1098" i="6"/>
  <c r="AS1097" i="6"/>
  <c r="AI1097" i="6"/>
  <c r="AO1097" i="6" s="1"/>
  <c r="AS1096" i="6"/>
  <c r="AI1096" i="6"/>
  <c r="AO1096" i="6" s="1"/>
  <c r="AS1095" i="6"/>
  <c r="AI1095" i="6"/>
  <c r="AO1095" i="6" s="1"/>
  <c r="AS1094" i="6"/>
  <c r="AI1094" i="6"/>
  <c r="AO1094" i="6" s="1"/>
  <c r="AS1093" i="6"/>
  <c r="AI1093" i="6"/>
  <c r="AO1093" i="6" s="1"/>
  <c r="AS1092" i="6"/>
  <c r="AI1092" i="6"/>
  <c r="AO1092" i="6" s="1"/>
  <c r="AS1091" i="6"/>
  <c r="AI1091" i="6"/>
  <c r="AO1091" i="6" s="1"/>
  <c r="AS1090" i="6"/>
  <c r="AI1090" i="6"/>
  <c r="AO1090" i="6" s="1"/>
  <c r="AS1089" i="6"/>
  <c r="AO1089" i="6"/>
  <c r="AS1088" i="6"/>
  <c r="AI1088" i="6"/>
  <c r="AO1088" i="6" s="1"/>
  <c r="AS1087" i="6"/>
  <c r="AI1087" i="6"/>
  <c r="AO1087" i="6" s="1"/>
  <c r="AS1086" i="6"/>
  <c r="AI1086" i="6"/>
  <c r="AO1086" i="6" s="1"/>
  <c r="AS1085" i="6"/>
  <c r="AI1085" i="6"/>
  <c r="AO1085" i="6" s="1"/>
  <c r="AS1084" i="6"/>
  <c r="AI1084" i="6"/>
  <c r="AO1084" i="6" s="1"/>
  <c r="AS1083" i="6"/>
  <c r="AI1083" i="6"/>
  <c r="AO1083" i="6" s="1"/>
  <c r="AS1082" i="6"/>
  <c r="AI1082" i="6"/>
  <c r="AO1082" i="6" s="1"/>
  <c r="AJ1081" i="6"/>
  <c r="AS1081" i="6" s="1"/>
  <c r="AI1081" i="6"/>
  <c r="AO1081" i="6" s="1"/>
  <c r="AE1081" i="6"/>
  <c r="AC1081" i="6"/>
  <c r="AJ1080" i="6"/>
  <c r="AS1080" i="6" s="1"/>
  <c r="AI1080" i="6"/>
  <c r="AO1080" i="6" s="1"/>
  <c r="AE1080" i="6"/>
  <c r="AC1080" i="6"/>
  <c r="AJ1079" i="6"/>
  <c r="AS1079" i="6" s="1"/>
  <c r="AI1079" i="6"/>
  <c r="AO1079" i="6" s="1"/>
  <c r="AE1079" i="6"/>
  <c r="AC1079" i="6"/>
  <c r="AJ1078" i="6"/>
  <c r="AS1078" i="6" s="1"/>
  <c r="AI1078" i="6"/>
  <c r="AO1078" i="6" s="1"/>
  <c r="AE1078" i="6"/>
  <c r="AC1078" i="6"/>
  <c r="AJ1077" i="6"/>
  <c r="AS1077" i="6" s="1"/>
  <c r="AI1077" i="6"/>
  <c r="AO1077" i="6" s="1"/>
  <c r="AE1077" i="6"/>
  <c r="AC1077" i="6"/>
  <c r="AJ1076" i="6"/>
  <c r="AS1076" i="6" s="1"/>
  <c r="AI1076" i="6"/>
  <c r="AO1076" i="6" s="1"/>
  <c r="AE1076" i="6"/>
  <c r="AC1076" i="6"/>
  <c r="AJ1075" i="6"/>
  <c r="AS1075" i="6" s="1"/>
  <c r="AI1075" i="6"/>
  <c r="AO1075" i="6" s="1"/>
  <c r="AE1075" i="6"/>
  <c r="AC1075" i="6"/>
  <c r="AJ1074" i="6"/>
  <c r="AS1074" i="6" s="1"/>
  <c r="AI1074" i="6"/>
  <c r="AO1074" i="6" s="1"/>
  <c r="AE1074" i="6"/>
  <c r="AC1074" i="6"/>
  <c r="AJ1073" i="6"/>
  <c r="AS1073" i="6" s="1"/>
  <c r="AI1073" i="6"/>
  <c r="AO1073" i="6" s="1"/>
  <c r="AE1073" i="6"/>
  <c r="AC1073" i="6"/>
  <c r="AJ1072" i="6"/>
  <c r="AS1072" i="6" s="1"/>
  <c r="AI1072" i="6"/>
  <c r="AO1072" i="6" s="1"/>
  <c r="AE1072" i="6"/>
  <c r="AC1072" i="6"/>
  <c r="AJ1071" i="6"/>
  <c r="AS1071" i="6" s="1"/>
  <c r="AI1071" i="6"/>
  <c r="AO1071" i="6" s="1"/>
  <c r="AE1071" i="6"/>
  <c r="AC1071" i="6"/>
  <c r="AJ1070" i="6"/>
  <c r="AS1070" i="6" s="1"/>
  <c r="AI1070" i="6"/>
  <c r="AO1070" i="6" s="1"/>
  <c r="AE1070" i="6"/>
  <c r="AC1070" i="6"/>
  <c r="AJ1069" i="6"/>
  <c r="AS1069" i="6" s="1"/>
  <c r="AI1069" i="6"/>
  <c r="AO1069" i="6" s="1"/>
  <c r="AE1069" i="6"/>
  <c r="AC1069" i="6"/>
  <c r="AJ1068" i="6"/>
  <c r="AS1068" i="6" s="1"/>
  <c r="AI1068" i="6"/>
  <c r="AO1068" i="6" s="1"/>
  <c r="AE1068" i="6"/>
  <c r="AC1068" i="6"/>
  <c r="AJ1067" i="6"/>
  <c r="AS1067" i="6" s="1"/>
  <c r="AI1067" i="6"/>
  <c r="AO1067" i="6" s="1"/>
  <c r="AJ1066" i="6"/>
  <c r="AS1066" i="6" s="1"/>
  <c r="AI1066" i="6"/>
  <c r="AO1066" i="6" s="1"/>
  <c r="AJ1065" i="6"/>
  <c r="AS1065" i="6" s="1"/>
  <c r="AI1065" i="6"/>
  <c r="AO1065" i="6" s="1"/>
  <c r="AJ1064" i="6"/>
  <c r="AS1064" i="6" s="1"/>
  <c r="AI1064" i="6"/>
  <c r="AO1064" i="6" s="1"/>
  <c r="AJ1063" i="6"/>
  <c r="AS1063" i="6" s="1"/>
  <c r="AI1063" i="6"/>
  <c r="AO1063" i="6" s="1"/>
  <c r="AJ1062" i="6"/>
  <c r="AS1062" i="6" s="1"/>
  <c r="AI1062" i="6"/>
  <c r="AO1062" i="6" s="1"/>
  <c r="AJ1061" i="6"/>
  <c r="AS1061" i="6" s="1"/>
  <c r="AI1061" i="6"/>
  <c r="AO1061" i="6" s="1"/>
  <c r="AS1060" i="6"/>
  <c r="AO1060" i="6"/>
  <c r="AS1059" i="6"/>
  <c r="AO1059" i="6"/>
  <c r="AS1058" i="6"/>
  <c r="AO1058" i="6"/>
  <c r="AS1057" i="6"/>
  <c r="AO1057" i="6"/>
  <c r="AJ1056" i="6"/>
  <c r="AS1056" i="6" s="1"/>
  <c r="AI1056" i="6"/>
  <c r="AO1056" i="6" s="1"/>
  <c r="AJ1055" i="6"/>
  <c r="AS1055" i="6" s="1"/>
  <c r="AI1055" i="6"/>
  <c r="AO1055" i="6" s="1"/>
  <c r="AS1054" i="6"/>
  <c r="AO1054" i="6"/>
  <c r="AS1053" i="6"/>
  <c r="AO1053" i="6"/>
  <c r="AS1052" i="6"/>
  <c r="AO1052" i="6"/>
  <c r="AS1051" i="6"/>
  <c r="AO1051" i="6"/>
  <c r="AS1050" i="6"/>
  <c r="AO1050" i="6"/>
  <c r="AJ1049" i="6"/>
  <c r="AS1049" i="6" s="1"/>
  <c r="AI1049" i="6"/>
  <c r="AO1049" i="6" s="1"/>
  <c r="AE1049" i="6"/>
  <c r="AC1049" i="6"/>
  <c r="AJ1048" i="6"/>
  <c r="AS1048" i="6" s="1"/>
  <c r="AI1048" i="6"/>
  <c r="AO1048" i="6" s="1"/>
  <c r="AE1048" i="6"/>
  <c r="AC1048" i="6"/>
  <c r="AJ1047" i="6"/>
  <c r="AS1047" i="6" s="1"/>
  <c r="AI1047" i="6"/>
  <c r="AO1047" i="6" s="1"/>
  <c r="AE1047" i="6"/>
  <c r="AC1047" i="6"/>
  <c r="AJ1046" i="6"/>
  <c r="AS1046" i="6" s="1"/>
  <c r="AI1046" i="6"/>
  <c r="AO1046" i="6" s="1"/>
  <c r="AE1046" i="6"/>
  <c r="AC1046" i="6"/>
  <c r="AJ1045" i="6"/>
  <c r="AS1045" i="6" s="1"/>
  <c r="AI1045" i="6"/>
  <c r="AO1045" i="6" s="1"/>
  <c r="AE1045" i="6"/>
  <c r="AC1045" i="6"/>
  <c r="AJ1044" i="6"/>
  <c r="AS1044" i="6" s="1"/>
  <c r="AI1044" i="6"/>
  <c r="AO1044" i="6" s="1"/>
  <c r="AE1044" i="6"/>
  <c r="AC1044" i="6"/>
  <c r="AJ1043" i="6"/>
  <c r="AS1043" i="6" s="1"/>
  <c r="AI1043" i="6"/>
  <c r="AO1043" i="6" s="1"/>
  <c r="AE1043" i="6"/>
  <c r="AC1043" i="6"/>
  <c r="AJ1042" i="6"/>
  <c r="AS1042" i="6" s="1"/>
  <c r="AI1042" i="6"/>
  <c r="AO1042" i="6" s="1"/>
  <c r="AJ1041" i="6"/>
  <c r="AS1041" i="6" s="1"/>
  <c r="AI1041" i="6"/>
  <c r="AO1041" i="6" s="1"/>
  <c r="AS1040" i="6"/>
  <c r="AO1040" i="6"/>
  <c r="AS1039" i="6"/>
  <c r="AO1039" i="6"/>
  <c r="AS1038" i="6"/>
  <c r="AO1038" i="6"/>
  <c r="AS1037" i="6"/>
  <c r="AO1037" i="6"/>
  <c r="AS1036" i="6"/>
  <c r="AO1036" i="6"/>
  <c r="AS1035" i="6"/>
  <c r="AO1035" i="6"/>
  <c r="AE1035" i="6"/>
  <c r="AC1035" i="6"/>
  <c r="AS1034" i="6"/>
  <c r="AO1034" i="6"/>
  <c r="AE1034" i="6"/>
  <c r="AC1034" i="6"/>
  <c r="AS1033" i="6"/>
  <c r="AO1033" i="6"/>
  <c r="AS1032" i="6"/>
  <c r="AO1032" i="6"/>
  <c r="AS1031" i="6"/>
  <c r="AO1031" i="6"/>
  <c r="AS1030" i="6"/>
  <c r="AO1030" i="6"/>
  <c r="AS1029" i="6"/>
  <c r="AO1029" i="6"/>
  <c r="AS1028" i="6"/>
  <c r="AO1028" i="6"/>
  <c r="AS1027" i="6"/>
  <c r="AO1027" i="6"/>
  <c r="AS1026" i="6"/>
  <c r="AO1026" i="6"/>
  <c r="AS1025" i="6"/>
  <c r="AO1025" i="6"/>
  <c r="AS1024" i="6"/>
  <c r="AO1024" i="6"/>
  <c r="AS1023" i="6"/>
  <c r="AO1023" i="6"/>
  <c r="AS1022" i="6"/>
  <c r="AO1022" i="6"/>
  <c r="AS1021" i="6"/>
  <c r="AO1021" i="6"/>
  <c r="AS1020" i="6"/>
  <c r="AO1020" i="6"/>
  <c r="AO510" i="2"/>
  <c r="AK510" i="2"/>
  <c r="AO509" i="2"/>
  <c r="AK509" i="2"/>
  <c r="AO508" i="2"/>
  <c r="AK508" i="2"/>
  <c r="AO503" i="2"/>
  <c r="AK503" i="2"/>
  <c r="AO502" i="2"/>
  <c r="AK502" i="2"/>
  <c r="AO501" i="2"/>
  <c r="AK501" i="2"/>
  <c r="AO500" i="2"/>
  <c r="AK500" i="2"/>
  <c r="AO499" i="2"/>
  <c r="AK499" i="2"/>
  <c r="AO498" i="2"/>
  <c r="AK498" i="2"/>
  <c r="AO497" i="2"/>
  <c r="AK497" i="2"/>
  <c r="AO496" i="2"/>
  <c r="AK496" i="2"/>
  <c r="AO495" i="2"/>
  <c r="AK495" i="2"/>
  <c r="AO494" i="2"/>
  <c r="AK494" i="2"/>
  <c r="AO493" i="2"/>
  <c r="AK493" i="2"/>
  <c r="AO492" i="2"/>
  <c r="AK492" i="2"/>
  <c r="AO491" i="2"/>
  <c r="AK491" i="2"/>
  <c r="AO490" i="2"/>
  <c r="AK490" i="2"/>
  <c r="AO489" i="2"/>
  <c r="AK489" i="2"/>
  <c r="AO488" i="2"/>
  <c r="AK488" i="2"/>
  <c r="AO487" i="2"/>
  <c r="AK487" i="2"/>
  <c r="AO486" i="2"/>
  <c r="AK486" i="2"/>
  <c r="AO485" i="2"/>
  <c r="AK485" i="2"/>
  <c r="AO483" i="2"/>
  <c r="AK483" i="2"/>
  <c r="AO482" i="2"/>
  <c r="AK482" i="2"/>
  <c r="AO481" i="2"/>
  <c r="AK481" i="2"/>
  <c r="AO480" i="2"/>
  <c r="AK480" i="2"/>
  <c r="AT479" i="2"/>
  <c r="AO478" i="2"/>
  <c r="AK478" i="2"/>
  <c r="AO477" i="2"/>
  <c r="AK477" i="2"/>
  <c r="AO476" i="2"/>
  <c r="AK476" i="2"/>
  <c r="AT475" i="2"/>
  <c r="AS2087" i="6"/>
  <c r="AO2087" i="6"/>
  <c r="AS2085" i="6"/>
  <c r="AO2085" i="6"/>
  <c r="AS2083" i="6"/>
  <c r="AO2083" i="6"/>
  <c r="AS2082" i="6"/>
  <c r="AO2082" i="6"/>
  <c r="AS2081" i="6"/>
  <c r="AO2081" i="6"/>
  <c r="AS2080" i="6"/>
  <c r="AO2080" i="6"/>
  <c r="AS2079" i="6"/>
  <c r="AO2079" i="6"/>
  <c r="AS2078" i="6"/>
  <c r="AO2078" i="6"/>
  <c r="AS2077" i="6"/>
  <c r="AO2077" i="6"/>
  <c r="AS2076" i="6"/>
  <c r="AO2076" i="6"/>
  <c r="AS2075" i="6"/>
  <c r="AO2075" i="6"/>
  <c r="AS2074" i="6"/>
  <c r="AO2074" i="6"/>
  <c r="AS2073" i="6"/>
  <c r="AO2073" i="6"/>
  <c r="AS2072" i="6"/>
  <c r="AO2072" i="6"/>
  <c r="AS2071" i="6"/>
  <c r="AO2071" i="6"/>
  <c r="AS2070" i="6"/>
  <c r="AO2070" i="6"/>
  <c r="AS2069" i="6"/>
  <c r="AO2069" i="6"/>
  <c r="AO2068" i="6"/>
  <c r="AO2067" i="6"/>
  <c r="AO2065" i="6"/>
  <c r="AO2064" i="6"/>
  <c r="AJ2063" i="6"/>
  <c r="AS2063" i="6" s="1"/>
  <c r="AI2063" i="6"/>
  <c r="AO2063" i="6" s="1"/>
  <c r="AS2062" i="6"/>
  <c r="AO2062" i="6"/>
  <c r="AJ2060" i="6"/>
  <c r="AS2060" i="6" s="1"/>
  <c r="AI2060" i="6"/>
  <c r="AO2060" i="6" s="1"/>
  <c r="AJ2059" i="6"/>
  <c r="AS2059" i="6" s="1"/>
  <c r="AI2059" i="6"/>
  <c r="AO2059" i="6" s="1"/>
  <c r="AJ2058" i="6"/>
  <c r="AS2058" i="6" s="1"/>
  <c r="AI2058" i="6"/>
  <c r="AO2058" i="6" s="1"/>
  <c r="AJ2057" i="6"/>
  <c r="AS2057" i="6" s="1"/>
  <c r="AI2057" i="6"/>
  <c r="AO2057" i="6" s="1"/>
  <c r="AS2056" i="6"/>
  <c r="AO2056" i="6"/>
  <c r="AS2055" i="6"/>
  <c r="AO2055" i="6"/>
  <c r="AS2054" i="6"/>
  <c r="AO2054" i="6"/>
  <c r="AS2052" i="6"/>
  <c r="AO2052" i="6"/>
  <c r="AS2051" i="6"/>
  <c r="AO2051" i="6"/>
  <c r="AS2050" i="6"/>
  <c r="AO2050" i="6"/>
  <c r="AS2049" i="6"/>
  <c r="AO2049" i="6"/>
  <c r="AS2048" i="6"/>
  <c r="AO2048" i="6"/>
  <c r="AS2047" i="6"/>
  <c r="AO2047" i="6"/>
  <c r="AI2046" i="6"/>
  <c r="AO2046" i="6" s="1"/>
  <c r="AI2045" i="6"/>
  <c r="AO2045" i="6" s="1"/>
  <c r="AO2044" i="6"/>
  <c r="AI2043" i="6"/>
  <c r="AO2043" i="6" s="1"/>
  <c r="AJ2042" i="6"/>
  <c r="AS2042" i="6" s="1"/>
  <c r="AI2042" i="6"/>
  <c r="AO2042" i="6" s="1"/>
  <c r="AJ2041" i="6"/>
  <c r="AS2041" i="6" s="1"/>
  <c r="AI2041" i="6"/>
  <c r="AO2041" i="6" s="1"/>
  <c r="AJ2040" i="6"/>
  <c r="AS2040" i="6" s="1"/>
  <c r="AI2040" i="6"/>
  <c r="AO2040" i="6" s="1"/>
  <c r="AJ2039" i="6"/>
  <c r="AS2039" i="6" s="1"/>
  <c r="AI2039" i="6"/>
  <c r="AO2039" i="6" s="1"/>
  <c r="AJ2038" i="6"/>
  <c r="AS2038" i="6" s="1"/>
  <c r="AI2038" i="6"/>
  <c r="AO2038" i="6" s="1"/>
  <c r="AJ2037" i="6"/>
  <c r="AS2037" i="6" s="1"/>
  <c r="AI2037" i="6"/>
  <c r="AO2037" i="6" s="1"/>
  <c r="AJ2036" i="6"/>
  <c r="AS2036" i="6" s="1"/>
  <c r="AI2036" i="6"/>
  <c r="AO2036" i="6" s="1"/>
  <c r="AJ2035" i="6"/>
  <c r="AS2035" i="6" s="1"/>
  <c r="AI2035" i="6"/>
  <c r="AO2035" i="6" s="1"/>
  <c r="AJ2034" i="6"/>
  <c r="AS2034" i="6" s="1"/>
  <c r="AI2034" i="6"/>
  <c r="AO2034" i="6" s="1"/>
  <c r="AJ2033" i="6"/>
  <c r="AS2033" i="6" s="1"/>
  <c r="AI2033" i="6"/>
  <c r="AO2033" i="6" s="1"/>
  <c r="AJ2032" i="6"/>
  <c r="AS2032" i="6" s="1"/>
  <c r="AI2032" i="6"/>
  <c r="AO2032" i="6" s="1"/>
  <c r="AJ2031" i="6"/>
  <c r="AS2031" i="6" s="1"/>
  <c r="AI2031" i="6"/>
  <c r="AO2031" i="6" s="1"/>
  <c r="AJ2030" i="6"/>
  <c r="AS2030" i="6" s="1"/>
  <c r="AI2030" i="6"/>
  <c r="AO2030" i="6" s="1"/>
  <c r="AJ2029" i="6"/>
  <c r="AS2029" i="6" s="1"/>
  <c r="AI2029" i="6"/>
  <c r="AO2029" i="6" s="1"/>
  <c r="AJ2028" i="6"/>
  <c r="AS2028" i="6" s="1"/>
  <c r="AI2028" i="6"/>
  <c r="AO2028" i="6" s="1"/>
  <c r="AJ2027" i="6"/>
  <c r="AS2027" i="6" s="1"/>
  <c r="AI2027" i="6"/>
  <c r="AO2027" i="6" s="1"/>
  <c r="AJ2026" i="6"/>
  <c r="AS2026" i="6" s="1"/>
  <c r="AI2026" i="6"/>
  <c r="AO2026" i="6" s="1"/>
  <c r="AJ2025" i="6"/>
  <c r="AS2025" i="6" s="1"/>
  <c r="AI2025" i="6"/>
  <c r="AO2025" i="6" s="1"/>
  <c r="AJ2024" i="6"/>
  <c r="AS2024" i="6" s="1"/>
  <c r="AI2024" i="6"/>
  <c r="AO2024" i="6" s="1"/>
  <c r="AJ2023" i="6"/>
  <c r="AS2023" i="6" s="1"/>
  <c r="AI2023" i="6"/>
  <c r="AO2023" i="6" s="1"/>
  <c r="AJ2022" i="6"/>
  <c r="AS2022" i="6" s="1"/>
  <c r="AI2022" i="6"/>
  <c r="AO2022" i="6" s="1"/>
  <c r="AL2021" i="6"/>
  <c r="AS2021" i="6" s="1"/>
  <c r="AK2021" i="6"/>
  <c r="AO2021" i="6" s="1"/>
  <c r="AS2020" i="6"/>
  <c r="AO2020" i="6"/>
  <c r="AS2019" i="6"/>
  <c r="AO2019" i="6"/>
  <c r="AS2018" i="6"/>
  <c r="AO2018" i="6"/>
  <c r="AS2017" i="6"/>
  <c r="AO2017" i="6"/>
  <c r="AL2016" i="6"/>
  <c r="AS2016" i="6" s="1"/>
  <c r="AK2016" i="6"/>
  <c r="AO2016" i="6" s="1"/>
  <c r="AS2015" i="6"/>
  <c r="AO2015" i="6"/>
  <c r="AS2014" i="6"/>
  <c r="AO2014" i="6"/>
  <c r="AS2013" i="6"/>
  <c r="AO2013" i="6"/>
  <c r="AS2012" i="6"/>
  <c r="AO2012" i="6"/>
  <c r="AL2011" i="6"/>
  <c r="AS2011" i="6" s="1"/>
  <c r="AK2011" i="6"/>
  <c r="AO2011" i="6" s="1"/>
  <c r="AS2010" i="6"/>
  <c r="AO2010" i="6"/>
  <c r="AS2009" i="6"/>
  <c r="AO2009" i="6"/>
  <c r="AS2008" i="6"/>
  <c r="AO2008" i="6"/>
  <c r="AS2007" i="6"/>
  <c r="AO2007" i="6"/>
  <c r="AL2006" i="6"/>
  <c r="AS2006" i="6" s="1"/>
  <c r="AK2006" i="6"/>
  <c r="AO2006" i="6" s="1"/>
  <c r="AS2005" i="6"/>
  <c r="AO2005" i="6"/>
  <c r="AS2004" i="6"/>
  <c r="AO2004" i="6"/>
  <c r="AS2003" i="6"/>
  <c r="AO2003" i="6"/>
  <c r="AS2002" i="6"/>
  <c r="AO2002" i="6"/>
  <c r="AL2001" i="6"/>
  <c r="AS2001" i="6" s="1"/>
  <c r="AK2001" i="6"/>
  <c r="AO2001" i="6" s="1"/>
  <c r="AS2000" i="6"/>
  <c r="AO2000" i="6"/>
  <c r="AS1999" i="6"/>
  <c r="AO1999" i="6"/>
  <c r="AS1998" i="6"/>
  <c r="AO1998" i="6"/>
  <c r="AS1997" i="6"/>
  <c r="AO1997" i="6"/>
  <c r="AL1996" i="6"/>
  <c r="AS1996" i="6" s="1"/>
  <c r="AK1996" i="6"/>
  <c r="AO1996" i="6" s="1"/>
  <c r="AS1995" i="6"/>
  <c r="AO1995" i="6"/>
  <c r="AS1994" i="6"/>
  <c r="AO1994" i="6"/>
  <c r="AS1993" i="6"/>
  <c r="AO1993" i="6"/>
  <c r="AS1992" i="6"/>
  <c r="AO1992" i="6"/>
  <c r="AL1991" i="6"/>
  <c r="AS1991" i="6" s="1"/>
  <c r="AK1991" i="6"/>
  <c r="AO1991" i="6" s="1"/>
  <c r="AS1990" i="6"/>
  <c r="AO1990" i="6"/>
  <c r="AS1989" i="6"/>
  <c r="AO1989" i="6"/>
  <c r="AS1988" i="6"/>
  <c r="AO1988" i="6"/>
  <c r="AS1987" i="6"/>
  <c r="AO1987" i="6"/>
  <c r="AS1986" i="6"/>
  <c r="AO1986" i="6"/>
  <c r="AS1985" i="6"/>
  <c r="AO1985" i="6"/>
  <c r="AS1984" i="6"/>
  <c r="AO1984" i="6"/>
  <c r="AS1983" i="6"/>
  <c r="AO1983" i="6"/>
  <c r="AS1982" i="6"/>
  <c r="AO1982" i="6"/>
  <c r="AS1981" i="6"/>
  <c r="AO1981" i="6"/>
  <c r="AS1980" i="6"/>
  <c r="AO1980" i="6"/>
  <c r="AO1979" i="6"/>
  <c r="AI1978" i="6"/>
  <c r="AO1978" i="6" s="1"/>
  <c r="AO1977" i="6"/>
  <c r="AO1976" i="6"/>
  <c r="AO731" i="2"/>
  <c r="AK731" i="2"/>
  <c r="AO730" i="2"/>
  <c r="AK730" i="2"/>
  <c r="AO729" i="2"/>
  <c r="AK729" i="2"/>
  <c r="AO728" i="2"/>
  <c r="AK728" i="2"/>
  <c r="AO1452" i="2"/>
  <c r="AK1452" i="2"/>
  <c r="AO1451" i="2"/>
  <c r="AK1451" i="2"/>
  <c r="AO1450" i="2"/>
  <c r="AK1450" i="2"/>
  <c r="AO1449" i="2"/>
  <c r="AK1449" i="2"/>
  <c r="AO1448" i="2"/>
  <c r="AK1448" i="2"/>
  <c r="AO1447" i="2"/>
  <c r="AK1447" i="2"/>
  <c r="AO1446" i="2"/>
  <c r="AK1446" i="2"/>
  <c r="AO1445" i="2"/>
  <c r="AK1445" i="2"/>
  <c r="AO1444" i="2"/>
  <c r="AK1444" i="2"/>
  <c r="AO1443" i="2"/>
  <c r="AK1443" i="2"/>
  <c r="AO1442" i="2"/>
  <c r="AK1442" i="2"/>
  <c r="AO1441" i="2"/>
  <c r="AK1441" i="2"/>
  <c r="AO1440" i="2"/>
  <c r="AK1440" i="2"/>
  <c r="AO1439" i="2"/>
  <c r="AK1439" i="2"/>
  <c r="AO1438" i="2"/>
  <c r="AK1438" i="2"/>
  <c r="AO1437" i="2"/>
  <c r="AK1437" i="2"/>
  <c r="AO1436" i="2"/>
  <c r="AK1436" i="2"/>
  <c r="AO1435" i="2"/>
  <c r="AK1435" i="2"/>
  <c r="AT1434" i="2"/>
  <c r="AF1434" i="2"/>
  <c r="AE1434" i="2"/>
  <c r="AT1433" i="2"/>
  <c r="AF1433" i="2"/>
  <c r="AE1433" i="2"/>
  <c r="AT1432" i="2"/>
  <c r="AF1432" i="2"/>
  <c r="AE1432" i="2"/>
  <c r="AT1431" i="2"/>
  <c r="AF1431" i="2"/>
  <c r="AE1431" i="2"/>
  <c r="AT1430" i="2"/>
  <c r="AF1430" i="2"/>
  <c r="AE1430" i="2"/>
  <c r="AT1429" i="2"/>
  <c r="AF1429" i="2"/>
  <c r="AE1429" i="2"/>
  <c r="AT1428" i="2"/>
  <c r="AF1428" i="2"/>
  <c r="AE1428" i="2"/>
  <c r="AT1427" i="2"/>
  <c r="AF1427" i="2"/>
  <c r="AE1427" i="2"/>
  <c r="AT1426" i="2"/>
  <c r="AE1426" i="2"/>
  <c r="AO1424" i="2"/>
  <c r="AK1424" i="2"/>
  <c r="AO1423" i="2"/>
  <c r="AK1423" i="2"/>
  <c r="AL1975" i="6"/>
  <c r="AS1975" i="6" s="1"/>
  <c r="AK1975" i="6"/>
  <c r="AO1975" i="6" s="1"/>
  <c r="AS1974" i="6"/>
  <c r="AO1974" i="6"/>
  <c r="AS1973" i="6"/>
  <c r="AO1973" i="6"/>
  <c r="AL1972" i="6"/>
  <c r="AS1972" i="6" s="1"/>
  <c r="AK1972" i="6"/>
  <c r="AO1972" i="6" s="1"/>
  <c r="AS1971" i="6"/>
  <c r="AO1971" i="6"/>
  <c r="AS1970" i="6"/>
  <c r="AO1970" i="6"/>
  <c r="AS1969" i="6"/>
  <c r="AK1969" i="6"/>
  <c r="AO1969" i="6" s="1"/>
  <c r="AS1968" i="6"/>
  <c r="AO1968" i="6"/>
  <c r="AS1967" i="6"/>
  <c r="AO1967" i="6"/>
  <c r="AL1966" i="6"/>
  <c r="AS1966" i="6" s="1"/>
  <c r="AK1966" i="6"/>
  <c r="AI1966" i="6"/>
  <c r="AS1965" i="6"/>
  <c r="AI1965" i="6"/>
  <c r="AO1965" i="6" s="1"/>
  <c r="AS1964" i="6"/>
  <c r="AO1964" i="6"/>
  <c r="Z1964" i="6"/>
  <c r="Y1964" i="6"/>
  <c r="AL1963" i="6"/>
  <c r="AS1963" i="6" s="1"/>
  <c r="AK1963" i="6"/>
  <c r="AO1963" i="6" s="1"/>
  <c r="AL1962" i="6"/>
  <c r="AS1962" i="6" s="1"/>
  <c r="AK1962" i="6"/>
  <c r="AO1962" i="6" s="1"/>
  <c r="AS1961" i="6"/>
  <c r="AO1961" i="6"/>
  <c r="Z1961" i="6"/>
  <c r="Y1961" i="6"/>
  <c r="AL1960" i="6"/>
  <c r="AS1960" i="6" s="1"/>
  <c r="AK1960" i="6"/>
  <c r="AO1960" i="6" s="1"/>
  <c r="AS1959" i="6"/>
  <c r="AO1959" i="6"/>
  <c r="AS1958" i="6"/>
  <c r="AO1958" i="6"/>
  <c r="AL1957" i="6"/>
  <c r="AS1957" i="6" s="1"/>
  <c r="AK1957" i="6"/>
  <c r="AO1957" i="6" s="1"/>
  <c r="AS1956" i="6"/>
  <c r="AO1956" i="6"/>
  <c r="AS1955" i="6"/>
  <c r="AO1955" i="6"/>
  <c r="AL1954" i="6"/>
  <c r="AS1954" i="6" s="1"/>
  <c r="AK1954" i="6"/>
  <c r="AO1954" i="6" s="1"/>
  <c r="AS1953" i="6"/>
  <c r="AO1953" i="6"/>
  <c r="AS1952" i="6"/>
  <c r="AO1952" i="6"/>
  <c r="AL1951" i="6"/>
  <c r="AS1951" i="6" s="1"/>
  <c r="AK1951" i="6"/>
  <c r="AO1951" i="6" s="1"/>
  <c r="AS1950" i="6"/>
  <c r="AO1950" i="6"/>
  <c r="AS1949" i="6"/>
  <c r="AO1949" i="6"/>
  <c r="AL1948" i="6"/>
  <c r="AS1948" i="6" s="1"/>
  <c r="AK1948" i="6"/>
  <c r="AO1948" i="6" s="1"/>
  <c r="AS1947" i="6"/>
  <c r="AO1947" i="6"/>
  <c r="AS1946" i="6"/>
  <c r="AO1946" i="6"/>
  <c r="AK1945" i="6"/>
  <c r="AI1945" i="6"/>
  <c r="AI1944" i="6"/>
  <c r="AO1944" i="6" s="1"/>
  <c r="AR1943" i="6"/>
  <c r="AI1943" i="6"/>
  <c r="AO1943" i="6" s="1"/>
  <c r="AI1942" i="6"/>
  <c r="AO1942" i="6" s="1"/>
  <c r="AK1941" i="6"/>
  <c r="AI1941" i="6"/>
  <c r="AI1940" i="6"/>
  <c r="AO1940" i="6" s="1"/>
  <c r="AR1939" i="6"/>
  <c r="AI1939" i="6"/>
  <c r="AO1939" i="6" s="1"/>
  <c r="AI1938" i="6"/>
  <c r="AO1938" i="6" s="1"/>
  <c r="AK1937" i="6"/>
  <c r="AI1937" i="6"/>
  <c r="AI1936" i="6"/>
  <c r="AO1936" i="6" s="1"/>
  <c r="AR1935" i="6"/>
  <c r="AI1935" i="6"/>
  <c r="AO1935" i="6" s="1"/>
  <c r="AI1934" i="6"/>
  <c r="AO1934" i="6" s="1"/>
  <c r="AK1933" i="6"/>
  <c r="AI1933" i="6"/>
  <c r="AI1932" i="6"/>
  <c r="AO1932" i="6" s="1"/>
  <c r="AR1931" i="6"/>
  <c r="AI1931" i="6"/>
  <c r="AO1931" i="6" s="1"/>
  <c r="AI1930" i="6"/>
  <c r="AO1930" i="6" s="1"/>
  <c r="AI1929" i="6"/>
  <c r="AO1929" i="6" s="1"/>
  <c r="AI1928" i="6"/>
  <c r="AO1928" i="6" s="1"/>
  <c r="AI1927" i="6"/>
  <c r="AO1927" i="6" s="1"/>
  <c r="AR1926" i="6"/>
  <c r="AI1926" i="6"/>
  <c r="AO1926" i="6" s="1"/>
  <c r="AI1925" i="6"/>
  <c r="AO1925" i="6" s="1"/>
  <c r="AS1924" i="6"/>
  <c r="AO1924" i="6"/>
  <c r="AL1923" i="6"/>
  <c r="AS1923" i="6" s="1"/>
  <c r="AK1923" i="6"/>
  <c r="AO1923" i="6" s="1"/>
  <c r="AS1922" i="6"/>
  <c r="AO1922" i="6"/>
  <c r="AJ1921" i="6"/>
  <c r="AS1921" i="6" s="1"/>
  <c r="AI1921" i="6"/>
  <c r="AO1921" i="6" s="1"/>
  <c r="AS1920" i="6"/>
  <c r="AO1920" i="6"/>
  <c r="AJ1919" i="6"/>
  <c r="AS1919" i="6" s="1"/>
  <c r="AI1919" i="6"/>
  <c r="AO1919" i="6" s="1"/>
  <c r="AS1918" i="6"/>
  <c r="AI1918" i="6"/>
  <c r="AO1918" i="6" s="1"/>
  <c r="AO727" i="2"/>
  <c r="AK727" i="2"/>
  <c r="AO726" i="2"/>
  <c r="AK726" i="2"/>
  <c r="AO725" i="2"/>
  <c r="AK725" i="2"/>
  <c r="AO723" i="2"/>
  <c r="AK723" i="2"/>
  <c r="AO722" i="2"/>
  <c r="AK722" i="2"/>
  <c r="AO721" i="2"/>
  <c r="AK721" i="2"/>
  <c r="AO720" i="2"/>
  <c r="AK720" i="2"/>
  <c r="AO719" i="2"/>
  <c r="AK719" i="2"/>
  <c r="AO718" i="2"/>
  <c r="AK718" i="2"/>
  <c r="AO717" i="2"/>
  <c r="AK717" i="2"/>
  <c r="AO716" i="2"/>
  <c r="AK716" i="2"/>
  <c r="AO715" i="2"/>
  <c r="AK715" i="2"/>
  <c r="AO714" i="2"/>
  <c r="AK714" i="2"/>
  <c r="AO713" i="2"/>
  <c r="AK713" i="2"/>
  <c r="AO712" i="2"/>
  <c r="AK712" i="2"/>
  <c r="AO711" i="2"/>
  <c r="AK711" i="2"/>
  <c r="AO710" i="2"/>
  <c r="AK710" i="2"/>
  <c r="AO709" i="2"/>
  <c r="AK709" i="2"/>
  <c r="AO708" i="2"/>
  <c r="AK708" i="2"/>
  <c r="AO707" i="2"/>
  <c r="AK707" i="2"/>
  <c r="AO706" i="2"/>
  <c r="AK706" i="2"/>
  <c r="AO705" i="2"/>
  <c r="AK705" i="2"/>
  <c r="AO704" i="2"/>
  <c r="AK704" i="2"/>
  <c r="AO703" i="2"/>
  <c r="AK703" i="2"/>
  <c r="AO702" i="2"/>
  <c r="AK702" i="2"/>
  <c r="AO701" i="2"/>
  <c r="AK701" i="2"/>
  <c r="AX1282" i="6"/>
  <c r="AS1282" i="6"/>
  <c r="AO1282" i="6"/>
  <c r="AX1281" i="6"/>
  <c r="AX1280" i="6"/>
  <c r="AX1279" i="6"/>
  <c r="AX1278" i="6"/>
  <c r="AX1277" i="6"/>
  <c r="AX1276" i="6"/>
  <c r="AX1275" i="6"/>
  <c r="AX1274" i="6"/>
  <c r="AX1273" i="6"/>
  <c r="AX1272" i="6"/>
  <c r="AJ1271" i="6"/>
  <c r="AS1271" i="6" s="1"/>
  <c r="AI1271" i="6"/>
  <c r="AO1271" i="6" s="1"/>
  <c r="AJ1270" i="6"/>
  <c r="AS1270" i="6" s="1"/>
  <c r="AI1270" i="6"/>
  <c r="AO1270" i="6" s="1"/>
  <c r="AJ1269" i="6"/>
  <c r="AS1269" i="6" s="1"/>
  <c r="AI1269" i="6"/>
  <c r="AO1269" i="6" s="1"/>
  <c r="AS1268" i="6"/>
  <c r="AO1268" i="6"/>
  <c r="AS1266" i="6"/>
  <c r="AO1266" i="6"/>
  <c r="AS1265" i="6"/>
  <c r="AO1265" i="6"/>
  <c r="AS1264" i="6"/>
  <c r="AO1264" i="6"/>
  <c r="AS1262" i="6"/>
  <c r="AO1262" i="6"/>
  <c r="AO1261" i="6"/>
  <c r="AO1260" i="6"/>
  <c r="AS1259" i="6"/>
  <c r="AO1259" i="6"/>
  <c r="AS1258" i="6"/>
  <c r="AO1258" i="6"/>
  <c r="AO1257" i="6"/>
  <c r="AO1256" i="6"/>
  <c r="AS1255" i="6"/>
  <c r="AO1255" i="6"/>
  <c r="AS1254" i="6"/>
  <c r="AI1254" i="6"/>
  <c r="AO1254" i="6" s="1"/>
  <c r="AS1253" i="6"/>
  <c r="AO1253" i="6"/>
  <c r="AS1252" i="6"/>
  <c r="AI1252" i="6"/>
  <c r="AO1252" i="6" s="1"/>
  <c r="AS1251" i="6"/>
  <c r="AI1251" i="6"/>
  <c r="AO1251" i="6" s="1"/>
  <c r="AS1250" i="6"/>
  <c r="AI1250" i="6"/>
  <c r="AO1250" i="6" s="1"/>
  <c r="AI1249" i="6"/>
  <c r="AO1249" i="6" s="1"/>
  <c r="AI1248" i="6"/>
  <c r="AO1248" i="6" s="1"/>
  <c r="AL1424" i="6"/>
  <c r="AS1424" i="6" s="1"/>
  <c r="AK1424" i="6"/>
  <c r="AO1424" i="6" s="1"/>
  <c r="Z1424" i="6"/>
  <c r="Y1424" i="6"/>
  <c r="AL1423" i="6"/>
  <c r="AS1423" i="6" s="1"/>
  <c r="AK1423" i="6"/>
  <c r="AO1423" i="6" s="1"/>
  <c r="Z1423" i="6"/>
  <c r="Y1423" i="6"/>
  <c r="AL1422" i="6"/>
  <c r="AS1422" i="6" s="1"/>
  <c r="AK1422" i="6"/>
  <c r="AO1422" i="6" s="1"/>
  <c r="Z1422" i="6"/>
  <c r="Y1422" i="6"/>
  <c r="AL1421" i="6"/>
  <c r="AS1421" i="6" s="1"/>
  <c r="AK1421" i="6"/>
  <c r="AO1421" i="6" s="1"/>
  <c r="Z1421" i="6"/>
  <c r="Y1421" i="6"/>
  <c r="AS1420" i="6"/>
  <c r="AO1420" i="6"/>
  <c r="AS1419" i="6"/>
  <c r="AO1419" i="6"/>
  <c r="AS1418" i="6"/>
  <c r="AO1418" i="6"/>
  <c r="AS1417" i="6"/>
  <c r="AO1417" i="6"/>
  <c r="AS1416" i="6"/>
  <c r="AO1416" i="6"/>
  <c r="AS1415" i="6"/>
  <c r="AO1415" i="6"/>
  <c r="AS1414" i="6"/>
  <c r="AO1414" i="6"/>
  <c r="AS1413" i="6"/>
  <c r="AO1413" i="6"/>
  <c r="AS1412" i="6"/>
  <c r="AO1412" i="6"/>
  <c r="AS1411" i="6"/>
  <c r="AO1411" i="6"/>
  <c r="AS1410" i="6"/>
  <c r="AO1410" i="6"/>
  <c r="AS1409" i="6"/>
  <c r="AO1409" i="6"/>
  <c r="AS1408" i="6"/>
  <c r="AO1408" i="6"/>
  <c r="AS1407" i="6"/>
  <c r="AO1407" i="6"/>
  <c r="AS1406" i="6"/>
  <c r="AO1406" i="6"/>
  <c r="AS1405" i="6"/>
  <c r="AO1405" i="6"/>
  <c r="AJ1403" i="6"/>
  <c r="AS1403" i="6" s="1"/>
  <c r="AI1403" i="6"/>
  <c r="AO1403" i="6" s="1"/>
  <c r="AS1402" i="6"/>
  <c r="AO1402" i="6"/>
  <c r="AS1401" i="6"/>
  <c r="AO1401" i="6"/>
  <c r="AJ1400" i="6"/>
  <c r="AS1400" i="6" s="1"/>
  <c r="AI1400" i="6"/>
  <c r="AO1400" i="6" s="1"/>
  <c r="AS1399" i="6"/>
  <c r="AO1399" i="6"/>
  <c r="AS1398" i="6"/>
  <c r="AO1398" i="6"/>
  <c r="AJ1397" i="6"/>
  <c r="AS1397" i="6" s="1"/>
  <c r="AI1397" i="6"/>
  <c r="AO1397" i="6" s="1"/>
  <c r="AS1396" i="6"/>
  <c r="AO1396" i="6"/>
  <c r="AS1395" i="6"/>
  <c r="AO1395" i="6"/>
  <c r="AS1394" i="6"/>
  <c r="AO1394" i="6"/>
  <c r="AJ1392" i="6"/>
  <c r="AS1392" i="6" s="1"/>
  <c r="AI1392" i="6"/>
  <c r="AO1392" i="6" s="1"/>
  <c r="AS1391" i="6"/>
  <c r="AO1391" i="6"/>
  <c r="AS1390" i="6"/>
  <c r="AO1390" i="6"/>
  <c r="AJ1389" i="6"/>
  <c r="AS1389" i="6" s="1"/>
  <c r="AI1389" i="6"/>
  <c r="AO1389" i="6" s="1"/>
  <c r="AS1388" i="6"/>
  <c r="AO1388" i="6"/>
  <c r="AS1387" i="6"/>
  <c r="AO1387" i="6"/>
  <c r="AJ1386" i="6"/>
  <c r="AS1386" i="6" s="1"/>
  <c r="AI1386" i="6"/>
  <c r="AO1386" i="6" s="1"/>
  <c r="AS1385" i="6"/>
  <c r="AO1385" i="6"/>
  <c r="AS1384" i="6"/>
  <c r="AO1384" i="6"/>
  <c r="AS1383" i="6"/>
  <c r="AO1383" i="6"/>
  <c r="AJ1382" i="6"/>
  <c r="AS1382" i="6" s="1"/>
  <c r="AI1382" i="6"/>
  <c r="AO1382" i="6" s="1"/>
  <c r="AS1381" i="6"/>
  <c r="AO1381" i="6"/>
  <c r="AS1380" i="6"/>
  <c r="AO1380" i="6"/>
  <c r="AJ1379" i="6"/>
  <c r="AS1379" i="6" s="1"/>
  <c r="AI1379" i="6"/>
  <c r="AO1379" i="6" s="1"/>
  <c r="AS1378" i="6"/>
  <c r="AO1378" i="6"/>
  <c r="AS1377" i="6"/>
  <c r="AO1377" i="6"/>
  <c r="AJ1376" i="6"/>
  <c r="AS1376" i="6" s="1"/>
  <c r="AI1376" i="6"/>
  <c r="AO1376" i="6" s="1"/>
  <c r="AS1375" i="6"/>
  <c r="AO1375" i="6"/>
  <c r="AS1374" i="6"/>
  <c r="AO1374" i="6"/>
  <c r="AS1373" i="6"/>
  <c r="AO1373" i="6"/>
  <c r="AE1373" i="6"/>
  <c r="AC1373" i="6"/>
  <c r="AJ1371" i="6"/>
  <c r="AS1371" i="6" s="1"/>
  <c r="AI1371" i="6"/>
  <c r="AO1371" i="6" s="1"/>
  <c r="AE1371" i="6"/>
  <c r="AC1371" i="6"/>
  <c r="AS1370" i="6"/>
  <c r="AO1370" i="6"/>
  <c r="AE1370" i="6"/>
  <c r="AC1370" i="6"/>
  <c r="AS1369" i="6"/>
  <c r="AO1369" i="6"/>
  <c r="AE1369" i="6"/>
  <c r="AC1369" i="6"/>
  <c r="AS1368" i="6"/>
  <c r="AO1368" i="6"/>
  <c r="AE1368" i="6"/>
  <c r="AC1368" i="6"/>
  <c r="AS1366" i="6"/>
  <c r="AO1366" i="6"/>
  <c r="AE1366" i="6"/>
  <c r="AC1366" i="6"/>
  <c r="AS1365" i="6"/>
  <c r="AO1365" i="6"/>
  <c r="AE1365" i="6"/>
  <c r="AC1365" i="6"/>
  <c r="AJ1364" i="6"/>
  <c r="AI1364" i="6"/>
  <c r="AE1364" i="6"/>
  <c r="AC1364" i="6"/>
  <c r="AS1363" i="6"/>
  <c r="AO1363" i="6"/>
  <c r="AE1363" i="6"/>
  <c r="AC1363" i="6"/>
  <c r="AS1362" i="6"/>
  <c r="AO1362" i="6"/>
  <c r="AE1362" i="6"/>
  <c r="AC1362" i="6"/>
  <c r="AS1361" i="6"/>
  <c r="AO1361" i="6"/>
  <c r="AS1360" i="6"/>
  <c r="AO1360" i="6"/>
  <c r="AH906" i="2"/>
  <c r="AO906" i="2" s="1"/>
  <c r="AG906" i="2"/>
  <c r="AK906" i="2" s="1"/>
  <c r="V906" i="2"/>
  <c r="U906" i="2"/>
  <c r="AH905" i="2"/>
  <c r="AO905" i="2" s="1"/>
  <c r="AG905" i="2"/>
  <c r="AK905" i="2" s="1"/>
  <c r="V905" i="2"/>
  <c r="U905" i="2"/>
  <c r="AH904" i="2"/>
  <c r="AO904" i="2" s="1"/>
  <c r="AG904" i="2"/>
  <c r="AK904" i="2" s="1"/>
  <c r="V904" i="2"/>
  <c r="U904" i="2"/>
  <c r="AH903" i="2"/>
  <c r="AO903" i="2" s="1"/>
  <c r="AG903" i="2"/>
  <c r="AK903" i="2" s="1"/>
  <c r="V903" i="2"/>
  <c r="U903" i="2"/>
  <c r="AO902" i="2"/>
  <c r="AK902" i="2"/>
  <c r="AO901" i="2"/>
  <c r="AK901" i="2"/>
  <c r="AO900" i="2"/>
  <c r="AK900" i="2"/>
  <c r="AO899" i="2"/>
  <c r="AK899" i="2"/>
  <c r="AO898" i="2"/>
  <c r="AK898" i="2"/>
  <c r="AO897" i="2"/>
  <c r="AK897" i="2"/>
  <c r="AO896" i="2"/>
  <c r="AK896" i="2"/>
  <c r="AO895" i="2"/>
  <c r="AK895" i="2"/>
  <c r="AO894" i="2"/>
  <c r="AK894" i="2"/>
  <c r="AO893" i="2"/>
  <c r="AK893" i="2"/>
  <c r="AO892" i="2"/>
  <c r="AK892" i="2"/>
  <c r="AO891" i="2"/>
  <c r="AK891" i="2"/>
  <c r="AO885" i="2"/>
  <c r="AK885" i="2"/>
  <c r="AO884" i="2"/>
  <c r="AK884" i="2"/>
  <c r="AO883" i="2"/>
  <c r="AK883" i="2"/>
  <c r="AT882" i="2"/>
  <c r="AO881" i="2"/>
  <c r="AK881" i="2"/>
  <c r="AT880" i="2"/>
  <c r="AO879" i="2"/>
  <c r="AK879" i="2"/>
  <c r="AO878" i="2"/>
  <c r="AK878" i="2"/>
  <c r="AO877" i="2"/>
  <c r="AK877" i="2"/>
  <c r="AO876" i="2"/>
  <c r="AK876" i="2"/>
  <c r="AS1917" i="6"/>
  <c r="AO1917" i="6"/>
  <c r="AS1916" i="6"/>
  <c r="AO1916" i="6"/>
  <c r="AS1915" i="6"/>
  <c r="AO1915" i="6"/>
  <c r="AS1914" i="6"/>
  <c r="AO1914" i="6"/>
  <c r="AS1913" i="6"/>
  <c r="AO1913" i="6"/>
  <c r="AI1912" i="6"/>
  <c r="AO1912" i="6" s="1"/>
  <c r="AI1911" i="6"/>
  <c r="AO1911" i="6" s="1"/>
  <c r="AS1910" i="6"/>
  <c r="AO1910" i="6"/>
  <c r="AS1909" i="6"/>
  <c r="AO1909" i="6"/>
  <c r="AJ1908" i="6"/>
  <c r="AS1908" i="6" s="1"/>
  <c r="AI1908" i="6"/>
  <c r="AO1908" i="6" s="1"/>
  <c r="AS1907" i="6"/>
  <c r="AO1907" i="6"/>
  <c r="AS1905" i="6"/>
  <c r="AO1905" i="6"/>
  <c r="AS1904" i="6"/>
  <c r="AO1904" i="6"/>
  <c r="AS1903" i="6"/>
  <c r="AO1903" i="6"/>
  <c r="AS1902" i="6"/>
  <c r="AO1902" i="6"/>
  <c r="AS1901" i="6"/>
  <c r="AO1901" i="6"/>
  <c r="AS1900" i="6"/>
  <c r="AO1900" i="6"/>
  <c r="AS1899" i="6"/>
  <c r="AO1899" i="6"/>
  <c r="AS1898" i="6"/>
  <c r="AO1898" i="6"/>
  <c r="AS1897" i="6"/>
  <c r="AI1897" i="6"/>
  <c r="AO1897" i="6" s="1"/>
  <c r="AS1896" i="6"/>
  <c r="AO1896" i="6"/>
  <c r="AS1895" i="6"/>
  <c r="AO1895" i="6"/>
  <c r="AK1894" i="6"/>
  <c r="AO1894" i="6" s="1"/>
  <c r="AO1893" i="6"/>
  <c r="AS1892" i="6"/>
  <c r="AO1892" i="6"/>
  <c r="AS1891" i="6"/>
  <c r="AO1891" i="6"/>
  <c r="AS1890" i="6"/>
  <c r="AO1890" i="6"/>
  <c r="AS1889" i="6"/>
  <c r="AO1889" i="6"/>
  <c r="AS1888" i="6"/>
  <c r="AO1888" i="6"/>
  <c r="AS1887" i="6"/>
  <c r="AO1887" i="6"/>
  <c r="AS1886" i="6"/>
  <c r="AO1886" i="6"/>
  <c r="AJ1885" i="6"/>
  <c r="AS1885" i="6" s="1"/>
  <c r="AI1885" i="6"/>
  <c r="AO1885" i="6" s="1"/>
  <c r="AJ1884" i="6"/>
  <c r="AS1884" i="6" s="1"/>
  <c r="AI1884" i="6"/>
  <c r="AO1884" i="6" s="1"/>
  <c r="AX1883" i="6"/>
  <c r="AS1882" i="6"/>
  <c r="AO1882" i="6"/>
  <c r="AK1881" i="6"/>
  <c r="AI1881" i="6"/>
  <c r="AI1880" i="6"/>
  <c r="AO1880" i="6" s="1"/>
  <c r="AL1879" i="6"/>
  <c r="AS1879" i="6" s="1"/>
  <c r="AK1879" i="6"/>
  <c r="AO1879" i="6" s="1"/>
  <c r="AS1878" i="6"/>
  <c r="AO1878" i="6"/>
  <c r="AK1877" i="6"/>
  <c r="AO1877" i="6" s="1"/>
  <c r="AS1876" i="6"/>
  <c r="AO1876" i="6"/>
  <c r="AO1875" i="6"/>
  <c r="Y1875" i="6"/>
  <c r="AS1874" i="6"/>
  <c r="AO1874" i="6"/>
  <c r="AO1422" i="2"/>
  <c r="AK1422" i="2"/>
  <c r="AO1421" i="2"/>
  <c r="AK1421" i="2"/>
  <c r="AV1420" i="2"/>
  <c r="AU1420" i="2"/>
  <c r="AT1420" i="2"/>
  <c r="AO1420" i="2"/>
  <c r="AK1420" i="2"/>
  <c r="AO1419" i="2"/>
  <c r="AK1419" i="2"/>
  <c r="AO1418" i="2"/>
  <c r="AK1418" i="2"/>
  <c r="AV1417" i="2"/>
  <c r="AU1417" i="2"/>
  <c r="AT1417" i="2"/>
  <c r="AO1417" i="2"/>
  <c r="AK1417" i="2"/>
  <c r="AO1416" i="2"/>
  <c r="AK1416" i="2"/>
  <c r="AO1415" i="2"/>
  <c r="AK1415" i="2"/>
  <c r="AO1414" i="2"/>
  <c r="AK1414" i="2"/>
  <c r="AO1413" i="2"/>
  <c r="AK1413" i="2"/>
  <c r="AO1412" i="2"/>
  <c r="AK1412" i="2"/>
  <c r="AO1411" i="2"/>
  <c r="AK1411" i="2"/>
  <c r="AO1410" i="2"/>
  <c r="AK1410" i="2"/>
  <c r="AO1409" i="2"/>
  <c r="AK1409" i="2"/>
  <c r="AO1408" i="2"/>
  <c r="AK1408" i="2"/>
  <c r="AO1407" i="2"/>
  <c r="AK1407" i="2"/>
  <c r="AO1406" i="2"/>
  <c r="AK1406" i="2"/>
  <c r="AO1405" i="2"/>
  <c r="AK1405" i="2"/>
  <c r="AO1404" i="2"/>
  <c r="AE1404" i="2"/>
  <c r="AK1404" i="2" s="1"/>
  <c r="AO1403" i="2"/>
  <c r="AG1403" i="2"/>
  <c r="AK1403" i="2" s="1"/>
  <c r="AO1402" i="2"/>
  <c r="AG1402" i="2"/>
  <c r="AK1402" i="2" s="1"/>
  <c r="AO1401" i="2"/>
  <c r="AK1401" i="2"/>
  <c r="AO1400" i="2"/>
  <c r="AK1400" i="2"/>
  <c r="AO1399" i="2"/>
  <c r="AK1399" i="2"/>
  <c r="AO1398" i="2"/>
  <c r="AK1398" i="2"/>
  <c r="AO1397" i="2"/>
  <c r="AK1397" i="2"/>
  <c r="AO1396" i="2"/>
  <c r="AK1396" i="2"/>
  <c r="AO1395" i="2"/>
  <c r="AE1395" i="2"/>
  <c r="AK1395" i="2" s="1"/>
  <c r="AO1394" i="2"/>
  <c r="AG1394" i="2"/>
  <c r="AE1394" i="2"/>
  <c r="AO1393" i="2"/>
  <c r="AG1393" i="2"/>
  <c r="AE1393" i="2"/>
  <c r="AO1392" i="2"/>
  <c r="AK1392" i="2"/>
  <c r="AO1391" i="2"/>
  <c r="AK1391" i="2"/>
  <c r="AO1390" i="2"/>
  <c r="AK1390" i="2"/>
  <c r="AO1389" i="2"/>
  <c r="AK1389" i="2"/>
  <c r="AO1388" i="2"/>
  <c r="AK1388" i="2"/>
  <c r="AO1387" i="2"/>
  <c r="AK1387" i="2"/>
  <c r="AO1386" i="2"/>
  <c r="AK1386" i="2"/>
  <c r="AO1385" i="2"/>
  <c r="AK1385" i="2"/>
  <c r="AF1384" i="2"/>
  <c r="AO1384" i="2" s="1"/>
  <c r="AE1384" i="2"/>
  <c r="AK1384" i="2" s="1"/>
  <c r="AF1383" i="2"/>
  <c r="AO1383" i="2" s="1"/>
  <c r="AE1383" i="2"/>
  <c r="AK1383" i="2" s="1"/>
  <c r="AF1382" i="2"/>
  <c r="AO1382" i="2" s="1"/>
  <c r="AE1382" i="2"/>
  <c r="AK1382" i="2" s="1"/>
  <c r="AF1381" i="2"/>
  <c r="AO1381" i="2" s="1"/>
  <c r="AE1381" i="2"/>
  <c r="AK1381" i="2" s="1"/>
  <c r="AF1380" i="2"/>
  <c r="AO1380" i="2" s="1"/>
  <c r="AE1380" i="2"/>
  <c r="AK1380" i="2" s="1"/>
  <c r="AF1379" i="2"/>
  <c r="AO1379" i="2" s="1"/>
  <c r="AE1379" i="2"/>
  <c r="AK1379" i="2" s="1"/>
  <c r="AF1378" i="2"/>
  <c r="AO1378" i="2" s="1"/>
  <c r="AE1378" i="2"/>
  <c r="AK1378" i="2" s="1"/>
  <c r="AF1377" i="2"/>
  <c r="AO1377" i="2" s="1"/>
  <c r="AE1377" i="2"/>
  <c r="AK1377" i="2" s="1"/>
  <c r="AO1376" i="2"/>
  <c r="AK1376" i="2"/>
  <c r="AO1375" i="2"/>
  <c r="AK1375" i="2"/>
  <c r="AO1374" i="2"/>
  <c r="AK1374" i="2"/>
  <c r="AF1373" i="2"/>
  <c r="AO1373" i="2" s="1"/>
  <c r="AE1373" i="2"/>
  <c r="AK1373" i="2" s="1"/>
  <c r="AF1372" i="2"/>
  <c r="AO1372" i="2" s="1"/>
  <c r="AE1372" i="2"/>
  <c r="AK1372" i="2" s="1"/>
  <c r="AF1371" i="2"/>
  <c r="AO1371" i="2" s="1"/>
  <c r="AE1371" i="2"/>
  <c r="AK1371" i="2" s="1"/>
  <c r="AF1370" i="2"/>
  <c r="AO1370" i="2" s="1"/>
  <c r="AE1370" i="2"/>
  <c r="AK1370" i="2" s="1"/>
  <c r="AF1369" i="2"/>
  <c r="AO1369" i="2" s="1"/>
  <c r="AE1369" i="2"/>
  <c r="AK1369" i="2" s="1"/>
  <c r="AF1368" i="2"/>
  <c r="AO1368" i="2" s="1"/>
  <c r="AE1368" i="2"/>
  <c r="AK1368" i="2" s="1"/>
  <c r="AF1367" i="2"/>
  <c r="AO1367" i="2" s="1"/>
  <c r="AE1367" i="2"/>
  <c r="AK1367" i="2" s="1"/>
  <c r="AF1366" i="2"/>
  <c r="AO1366" i="2" s="1"/>
  <c r="AE1366" i="2"/>
  <c r="AK1366" i="2" s="1"/>
  <c r="AO1365" i="2"/>
  <c r="AK1365" i="2"/>
  <c r="AO1364" i="2"/>
  <c r="AK1364" i="2"/>
  <c r="AO1363" i="2"/>
  <c r="AK1363" i="2"/>
  <c r="AS1247" i="6"/>
  <c r="AO1247" i="6"/>
  <c r="AS1246" i="6"/>
  <c r="AO1246" i="6"/>
  <c r="AJ1245" i="6"/>
  <c r="AS1245" i="6" s="1"/>
  <c r="AS1244" i="6"/>
  <c r="AO1244" i="6"/>
  <c r="AS1243" i="6"/>
  <c r="AI1243" i="6"/>
  <c r="AO1243" i="6" s="1"/>
  <c r="AS1242" i="6"/>
  <c r="AO1242" i="6"/>
  <c r="AS1241" i="6"/>
  <c r="AI1241" i="6"/>
  <c r="AO1241" i="6" s="1"/>
  <c r="AS1240" i="6"/>
  <c r="AO1240" i="6"/>
  <c r="AS1239" i="6"/>
  <c r="AI1239" i="6"/>
  <c r="AO1239" i="6" s="1"/>
  <c r="AS1238" i="6"/>
  <c r="AI1238" i="6"/>
  <c r="AO1238" i="6" s="1"/>
  <c r="AS1237" i="6"/>
  <c r="AI1237" i="6"/>
  <c r="AO1237" i="6" s="1"/>
  <c r="AK1236" i="6"/>
  <c r="AO1236" i="6" s="1"/>
  <c r="AO1235" i="6"/>
  <c r="AO1234" i="6"/>
  <c r="AS1233" i="6"/>
  <c r="AO1233" i="6"/>
  <c r="AJ1232" i="6"/>
  <c r="AS1232" i="6" s="1"/>
  <c r="AI1232" i="6"/>
  <c r="AO1232" i="6" s="1"/>
  <c r="AS1231" i="6"/>
  <c r="AO1231" i="6"/>
  <c r="AS1230" i="6"/>
  <c r="AO1230" i="6"/>
  <c r="AS1229" i="6"/>
  <c r="AO1229" i="6"/>
  <c r="AS1227" i="6"/>
  <c r="AO1227" i="6"/>
  <c r="AS1873" i="6"/>
  <c r="AO1873" i="6"/>
  <c r="AS1872" i="6"/>
  <c r="AO1872" i="6"/>
  <c r="AS1871" i="6"/>
  <c r="AO1871" i="6"/>
  <c r="AS1870" i="6"/>
  <c r="AO1870" i="6"/>
  <c r="AS1869" i="6"/>
  <c r="AO1869" i="6"/>
  <c r="AS1868" i="6"/>
  <c r="AO1868" i="6"/>
  <c r="AS1867" i="6"/>
  <c r="AO1867" i="6"/>
  <c r="AS1866" i="6"/>
  <c r="AO1866" i="6"/>
  <c r="AX1865" i="6"/>
  <c r="AX1864" i="6"/>
  <c r="AX1863" i="6"/>
  <c r="AX1862" i="6"/>
  <c r="AX1861" i="6"/>
  <c r="AX1860" i="6"/>
  <c r="AX1859" i="6"/>
  <c r="AX1858" i="6"/>
  <c r="AS1857" i="6"/>
  <c r="AO1857" i="6"/>
  <c r="AS1856" i="6"/>
  <c r="AO1856" i="6"/>
  <c r="AS1855" i="6"/>
  <c r="AO1855" i="6"/>
  <c r="AS1854" i="6"/>
  <c r="AO1854" i="6"/>
  <c r="AX1853" i="6"/>
  <c r="AX1852" i="6"/>
  <c r="AX1851" i="6"/>
  <c r="AX1850" i="6"/>
  <c r="AW1848" i="6"/>
  <c r="AS1848" i="6"/>
  <c r="AO1848" i="6"/>
  <c r="AE1848" i="6"/>
  <c r="AC1848" i="6"/>
  <c r="AW1847" i="6"/>
  <c r="AS1847" i="6"/>
  <c r="AO1847" i="6"/>
  <c r="AE1847" i="6"/>
  <c r="AC1847" i="6"/>
  <c r="AW1846" i="6"/>
  <c r="AS1846" i="6"/>
  <c r="AO1846" i="6"/>
  <c r="AW1845" i="6"/>
  <c r="AS1845" i="6"/>
  <c r="AO1845" i="6"/>
  <c r="AE1845" i="6"/>
  <c r="AC1845" i="6"/>
  <c r="AW1844" i="6"/>
  <c r="AS1844" i="6"/>
  <c r="AO1844" i="6"/>
  <c r="AE1844" i="6"/>
  <c r="AC1844" i="6"/>
  <c r="AW1843" i="6"/>
  <c r="AS1843" i="6"/>
  <c r="AO1843" i="6"/>
  <c r="AW1842" i="6"/>
  <c r="AS1842" i="6"/>
  <c r="AO1842" i="6"/>
  <c r="AO1841" i="6"/>
  <c r="AO1840" i="6"/>
  <c r="AO1839" i="6"/>
  <c r="AO1838" i="6"/>
  <c r="AO1837" i="6"/>
  <c r="AO1836" i="6"/>
  <c r="AS1835" i="6"/>
  <c r="AO1835" i="6"/>
  <c r="AE1835" i="6"/>
  <c r="AC1835" i="6"/>
  <c r="AS1834" i="6"/>
  <c r="AO1834" i="6"/>
  <c r="AE1834" i="6"/>
  <c r="AC1834" i="6"/>
  <c r="AS1833" i="6"/>
  <c r="AO1833" i="6"/>
  <c r="AE1833" i="6"/>
  <c r="AC1833" i="6"/>
  <c r="AS1831" i="6"/>
  <c r="AO1831" i="6"/>
  <c r="AE1831" i="6"/>
  <c r="AC1831" i="6"/>
  <c r="AS1830" i="6"/>
  <c r="AO1830" i="6"/>
  <c r="AE1830" i="6"/>
  <c r="AC1830" i="6"/>
  <c r="AS1828" i="6"/>
  <c r="AO1828" i="6"/>
  <c r="AE1828" i="6"/>
  <c r="AC1828" i="6"/>
  <c r="AT1362" i="2"/>
  <c r="AT1361" i="2"/>
  <c r="AT1360" i="2"/>
  <c r="AT1359" i="2"/>
  <c r="AT1358" i="2"/>
  <c r="AT1357" i="2"/>
  <c r="AT1356" i="2"/>
  <c r="AT1355" i="2"/>
  <c r="AT1354" i="2"/>
  <c r="AT1353" i="2"/>
  <c r="AT1352" i="2"/>
  <c r="AT1351" i="2"/>
  <c r="AO1350" i="2"/>
  <c r="AK1350" i="2"/>
  <c r="AO1349" i="2"/>
  <c r="AK1349" i="2"/>
  <c r="AO1348" i="2"/>
  <c r="AK1348" i="2"/>
  <c r="AO1347" i="2"/>
  <c r="AK1347" i="2"/>
  <c r="AO1346" i="2"/>
  <c r="AK1346" i="2"/>
  <c r="AO1345" i="2"/>
  <c r="AK1345" i="2"/>
  <c r="AO1344" i="2"/>
  <c r="AK1344" i="2"/>
  <c r="AO1343" i="2"/>
  <c r="AK1343" i="2"/>
  <c r="AO1342" i="2"/>
  <c r="AK1342" i="2"/>
  <c r="AO1341" i="2"/>
  <c r="AK1341" i="2"/>
  <c r="AO1340" i="2"/>
  <c r="AK1340" i="2"/>
  <c r="AO1339" i="2"/>
  <c r="AK1339" i="2"/>
  <c r="AO1338" i="2"/>
  <c r="AK1338" i="2"/>
  <c r="AO1337" i="2"/>
  <c r="AK1337" i="2"/>
  <c r="AO1336" i="2"/>
  <c r="AK1336" i="2"/>
  <c r="AO1335" i="2"/>
  <c r="AK1335" i="2"/>
  <c r="AO1334" i="2"/>
  <c r="AK1334" i="2"/>
  <c r="AO1333" i="2"/>
  <c r="AK1333" i="2"/>
  <c r="AO1332" i="2"/>
  <c r="AK1332" i="2"/>
  <c r="AO1331" i="2"/>
  <c r="AK1331" i="2"/>
  <c r="AO1330" i="2"/>
  <c r="AK1330" i="2"/>
  <c r="AT1329" i="2"/>
  <c r="AT1328" i="2"/>
  <c r="AT1327" i="2"/>
  <c r="AO1326" i="2"/>
  <c r="AK1326" i="2"/>
  <c r="AO1325" i="2"/>
  <c r="AK1325" i="2"/>
  <c r="AO1324" i="2"/>
  <c r="AK1324" i="2"/>
  <c r="AO1323" i="2"/>
  <c r="AK1323" i="2"/>
  <c r="AO1322" i="2"/>
  <c r="AK1322" i="2"/>
  <c r="AO1321" i="2"/>
  <c r="AK1321" i="2"/>
  <c r="AO1320" i="2"/>
  <c r="AK1320" i="2"/>
  <c r="AO1319" i="2"/>
  <c r="AK1319" i="2"/>
  <c r="AO1318" i="2"/>
  <c r="AK1318" i="2"/>
  <c r="AO1317" i="2"/>
  <c r="AK1317" i="2"/>
  <c r="AO1316" i="2"/>
  <c r="AK1316" i="2"/>
  <c r="AO1315" i="2"/>
  <c r="AK1315" i="2"/>
  <c r="AO1314" i="2"/>
  <c r="AK1314" i="2"/>
  <c r="AO1313" i="2"/>
  <c r="AK1313" i="2"/>
  <c r="AO1312" i="2"/>
  <c r="AK1312" i="2"/>
  <c r="AO1311" i="2"/>
  <c r="AK1311" i="2"/>
  <c r="AO1310" i="2"/>
  <c r="AK1310" i="2"/>
  <c r="AO1309" i="2"/>
  <c r="AK1309" i="2"/>
  <c r="AO1308" i="2"/>
  <c r="AK1308" i="2"/>
  <c r="AO1307" i="2"/>
  <c r="AK1307" i="2"/>
  <c r="AO1306" i="2"/>
  <c r="AK1306" i="2"/>
  <c r="AT1305" i="2"/>
  <c r="AO1304" i="2"/>
  <c r="AK1304" i="2"/>
  <c r="AO1303" i="2"/>
  <c r="AK1303" i="2"/>
  <c r="AO1302" i="2"/>
  <c r="AK1302" i="2"/>
  <c r="AO1301" i="2"/>
  <c r="AK1301" i="2"/>
  <c r="AO1300" i="2"/>
  <c r="AK1300" i="2"/>
  <c r="AO1299" i="2"/>
  <c r="AK1299" i="2"/>
  <c r="AO1298" i="2"/>
  <c r="AK1298" i="2"/>
  <c r="AO1297" i="2"/>
  <c r="AK1297" i="2"/>
  <c r="AO1296" i="2"/>
  <c r="AK1296" i="2"/>
  <c r="AO1295" i="2"/>
  <c r="AK1295" i="2"/>
  <c r="AO1294" i="2"/>
  <c r="AK1294" i="2"/>
  <c r="AO1293" i="2"/>
  <c r="AK1293" i="2"/>
  <c r="AO1292" i="2"/>
  <c r="AK1292" i="2"/>
  <c r="AO1291" i="2"/>
  <c r="AK1291" i="2"/>
  <c r="AO1290" i="2"/>
  <c r="AK1290" i="2"/>
  <c r="AO1289" i="2"/>
  <c r="AK1289" i="2"/>
  <c r="AO1288" i="2"/>
  <c r="AK1288" i="2"/>
  <c r="AO1287" i="2"/>
  <c r="AK1287" i="2"/>
  <c r="AO1286" i="2"/>
  <c r="AK1286" i="2"/>
  <c r="AO1285" i="2"/>
  <c r="AK1285" i="2"/>
  <c r="AO1284" i="2"/>
  <c r="AK1284" i="2"/>
  <c r="AT1283" i="2"/>
  <c r="AO1280" i="2"/>
  <c r="AK1280" i="2"/>
  <c r="AO1277" i="2"/>
  <c r="AK1277" i="2"/>
  <c r="AO1274" i="2"/>
  <c r="AK1274" i="2"/>
  <c r="AO1271" i="2"/>
  <c r="AK1271" i="2"/>
  <c r="AT1270" i="2"/>
  <c r="AT1269" i="2"/>
  <c r="AT1268" i="2"/>
  <c r="AT1267" i="2"/>
  <c r="AO1266" i="2"/>
  <c r="AK1266" i="2"/>
  <c r="AO1265" i="2"/>
  <c r="AK1265" i="2"/>
  <c r="AO1264" i="2"/>
  <c r="AK1264" i="2"/>
  <c r="AO1263" i="2"/>
  <c r="AK1263" i="2"/>
  <c r="AO1262" i="2"/>
  <c r="AK1262" i="2"/>
  <c r="AO1261" i="2"/>
  <c r="AK1261" i="2"/>
  <c r="AO1260" i="2"/>
  <c r="AK1260" i="2"/>
  <c r="AO1259" i="2"/>
  <c r="AK1259" i="2"/>
  <c r="AO1258" i="2"/>
  <c r="AK1258" i="2"/>
  <c r="AO1257" i="2"/>
  <c r="AK1257" i="2"/>
  <c r="AO1256" i="2"/>
  <c r="AK1256" i="2"/>
  <c r="AO1255" i="2"/>
  <c r="AK1255" i="2"/>
  <c r="AO1254" i="2"/>
  <c r="AK1254" i="2"/>
  <c r="AO1253" i="2"/>
  <c r="AK1253" i="2"/>
  <c r="AO1252" i="2"/>
  <c r="AK1252" i="2"/>
  <c r="AO1251" i="2"/>
  <c r="AK1251" i="2"/>
  <c r="AO1250" i="2"/>
  <c r="AK1250" i="2"/>
  <c r="AO1249" i="2"/>
  <c r="AK1249" i="2"/>
  <c r="AO1248" i="2"/>
  <c r="AK1248" i="2"/>
  <c r="AO1247" i="2"/>
  <c r="AK1247" i="2"/>
  <c r="AO1246" i="2"/>
  <c r="AK1246" i="2"/>
  <c r="AU1146" i="6"/>
  <c r="AK1146" i="6"/>
  <c r="AO1146" i="6" s="1"/>
  <c r="AU1145" i="6"/>
  <c r="AK1145" i="6"/>
  <c r="AO1145" i="6" s="1"/>
  <c r="AU1144" i="6"/>
  <c r="AK1144" i="6"/>
  <c r="AO1144" i="6" s="1"/>
  <c r="AU1143" i="6"/>
  <c r="AO1143" i="6"/>
  <c r="AU1142" i="6"/>
  <c r="AO1142" i="6"/>
  <c r="AU1141" i="6"/>
  <c r="AS1140" i="6"/>
  <c r="AO1140" i="6"/>
  <c r="AS1139" i="6"/>
  <c r="AO1139" i="6"/>
  <c r="AS1138" i="6"/>
  <c r="AO1138" i="6"/>
  <c r="AS1137" i="6"/>
  <c r="AO1137" i="6"/>
  <c r="AS1136" i="6"/>
  <c r="AO1136" i="6"/>
  <c r="AS1135" i="6"/>
  <c r="AO1135" i="6"/>
  <c r="AS1134" i="6"/>
  <c r="AO1134" i="6"/>
  <c r="AS1133" i="6"/>
  <c r="AO1133" i="6"/>
  <c r="AS1132" i="6"/>
  <c r="AO1132" i="6"/>
  <c r="AS1131" i="6"/>
  <c r="AO1131" i="6"/>
  <c r="AS1130" i="6"/>
  <c r="AO1130" i="6"/>
  <c r="AS1129" i="6"/>
  <c r="AO1129" i="6"/>
  <c r="AS1128" i="6"/>
  <c r="AO1128" i="6"/>
  <c r="AS1127" i="6"/>
  <c r="AO1127" i="6"/>
  <c r="AS1126" i="6"/>
  <c r="AO1126" i="6"/>
  <c r="AS1125" i="6"/>
  <c r="AO1125" i="6"/>
  <c r="AS1124" i="6"/>
  <c r="AO1124" i="6"/>
  <c r="AS1123" i="6"/>
  <c r="AO1123" i="6"/>
  <c r="AO1122" i="6"/>
  <c r="AO1121" i="6"/>
  <c r="AS1120" i="6"/>
  <c r="AI1120" i="6"/>
  <c r="AO1120" i="6" s="1"/>
  <c r="AS1119" i="6"/>
  <c r="AI1119" i="6"/>
  <c r="AO1119" i="6" s="1"/>
  <c r="AS1118" i="6"/>
  <c r="AI1118" i="6"/>
  <c r="AO1118" i="6" s="1"/>
  <c r="AO1117" i="6"/>
  <c r="AI1116" i="6"/>
  <c r="AO1116" i="6" s="1"/>
  <c r="AO1115" i="6"/>
  <c r="AO1114" i="6"/>
  <c r="AS1113" i="6"/>
  <c r="AO1113" i="6"/>
  <c r="AS1112" i="6"/>
  <c r="AO1112" i="6"/>
  <c r="AS1111" i="6"/>
  <c r="AO1111" i="6"/>
  <c r="AO676" i="2"/>
  <c r="AK676" i="2"/>
  <c r="AO675" i="2"/>
  <c r="AK675" i="2"/>
  <c r="AO674" i="2"/>
  <c r="AK674" i="2"/>
  <c r="AO673" i="2"/>
  <c r="AK673" i="2"/>
  <c r="AO672" i="2"/>
  <c r="AK672" i="2"/>
  <c r="AO671" i="2"/>
  <c r="AK671" i="2"/>
  <c r="AS1110" i="6"/>
  <c r="AO1110" i="6"/>
  <c r="AS1108" i="6"/>
  <c r="AO1108" i="6"/>
  <c r="AS1107" i="6"/>
  <c r="AO1107" i="6"/>
  <c r="AS1106" i="6"/>
  <c r="AO1106" i="6"/>
  <c r="AS1105" i="6"/>
  <c r="AO1105" i="6"/>
  <c r="AS1104" i="6"/>
  <c r="AO1104" i="6"/>
  <c r="AS1103" i="6"/>
  <c r="AO1103" i="6"/>
  <c r="AS1102" i="6"/>
  <c r="AO1102" i="6"/>
  <c r="AS1101" i="6"/>
  <c r="AO1101" i="6"/>
  <c r="AS1100" i="6"/>
  <c r="AO1100" i="6"/>
  <c r="AF670" i="2"/>
  <c r="AO670" i="2" s="1"/>
  <c r="AE670" i="2"/>
  <c r="AK670" i="2" s="1"/>
  <c r="AO669" i="2"/>
  <c r="AK669" i="2"/>
  <c r="X669" i="2"/>
  <c r="W669" i="2"/>
  <c r="AF668" i="2"/>
  <c r="AO668" i="2" s="1"/>
  <c r="AE668" i="2"/>
  <c r="AK668" i="2" s="1"/>
  <c r="AF667" i="2"/>
  <c r="AO667" i="2" s="1"/>
  <c r="AE667" i="2"/>
  <c r="AK667" i="2" s="1"/>
  <c r="AF666" i="2"/>
  <c r="AO666" i="2" s="1"/>
  <c r="AE666" i="2"/>
  <c r="AK666" i="2" s="1"/>
  <c r="AF665" i="2"/>
  <c r="AO665" i="2" s="1"/>
  <c r="AE665" i="2"/>
  <c r="AK665" i="2" s="1"/>
  <c r="AF664" i="2"/>
  <c r="AO664" i="2" s="1"/>
  <c r="AE664" i="2"/>
  <c r="AK664" i="2" s="1"/>
  <c r="AH663" i="2"/>
  <c r="AG663" i="2"/>
  <c r="AF663" i="2"/>
  <c r="AE663" i="2"/>
  <c r="AH662" i="2"/>
  <c r="AG662" i="2"/>
  <c r="AF662" i="2"/>
  <c r="AE662" i="2"/>
  <c r="AH661" i="2"/>
  <c r="AG661" i="2"/>
  <c r="AF661" i="2"/>
  <c r="AE661" i="2"/>
  <c r="AH660" i="2"/>
  <c r="AG660" i="2"/>
  <c r="AF660" i="2"/>
  <c r="AE660" i="2"/>
  <c r="AO659" i="2"/>
  <c r="AK659" i="2"/>
  <c r="AO658" i="2"/>
  <c r="AK658" i="2"/>
  <c r="AO657" i="2"/>
  <c r="AK657" i="2"/>
  <c r="AO656" i="2"/>
  <c r="AK656" i="2"/>
  <c r="AO655" i="2"/>
  <c r="AK655" i="2"/>
  <c r="AO654" i="2"/>
  <c r="AK654" i="2"/>
  <c r="AO653" i="2"/>
  <c r="AK653" i="2"/>
  <c r="AO652" i="2"/>
  <c r="AK652" i="2"/>
  <c r="AO651" i="2"/>
  <c r="AK651" i="2"/>
  <c r="AO650" i="2"/>
  <c r="AK650" i="2"/>
  <c r="AO649" i="2"/>
  <c r="AK649" i="2"/>
  <c r="AO648" i="2"/>
  <c r="AK648" i="2"/>
  <c r="AO647" i="2"/>
  <c r="AK647" i="2"/>
  <c r="AO646" i="2"/>
  <c r="AK646" i="2"/>
  <c r="AO645" i="2"/>
  <c r="AK645" i="2"/>
  <c r="AO644" i="2"/>
  <c r="AK644" i="2"/>
  <c r="AO643" i="2"/>
  <c r="AK643" i="2"/>
  <c r="AT642" i="2"/>
  <c r="AT641" i="2"/>
  <c r="AT640" i="2"/>
  <c r="AO639" i="2"/>
  <c r="AE639" i="2"/>
  <c r="AK639" i="2" s="1"/>
  <c r="AT638" i="2"/>
  <c r="AT637" i="2"/>
  <c r="AT636" i="2"/>
  <c r="AF635" i="2"/>
  <c r="AO635" i="2" s="1"/>
  <c r="AE635" i="2"/>
  <c r="AK635" i="2" s="1"/>
  <c r="AO634" i="2"/>
  <c r="AE634" i="2"/>
  <c r="AK634" i="2" s="1"/>
  <c r="AO633" i="2"/>
  <c r="AK633" i="2"/>
  <c r="AO629" i="2"/>
  <c r="AK629" i="2"/>
  <c r="AO628" i="2"/>
  <c r="AK628" i="2"/>
  <c r="AH627" i="2"/>
  <c r="AG627" i="2"/>
  <c r="V627" i="2"/>
  <c r="U627" i="2"/>
  <c r="AO625" i="2"/>
  <c r="AK625" i="2"/>
  <c r="AT624" i="2"/>
  <c r="AT623" i="2"/>
  <c r="AT622" i="2"/>
  <c r="AT621" i="2"/>
  <c r="AO620" i="2"/>
  <c r="AK620" i="2"/>
  <c r="AO619" i="2"/>
  <c r="AK619" i="2"/>
  <c r="AO618" i="2"/>
  <c r="AK618" i="2"/>
  <c r="AO617" i="2"/>
  <c r="AK617" i="2"/>
  <c r="AO616" i="2"/>
  <c r="AK616" i="2"/>
  <c r="AO615" i="2"/>
  <c r="AK615" i="2"/>
  <c r="AO614" i="2"/>
  <c r="AK614" i="2"/>
  <c r="AT613" i="2"/>
  <c r="AO612" i="2"/>
  <c r="AK612" i="2"/>
  <c r="AT611" i="2"/>
  <c r="AO603" i="2"/>
  <c r="AK603" i="2"/>
  <c r="AO602" i="2"/>
  <c r="AK602" i="2"/>
  <c r="AO601" i="2"/>
  <c r="AK601" i="2"/>
  <c r="AO600" i="2"/>
  <c r="AK600" i="2"/>
  <c r="AO599" i="2"/>
  <c r="AK599" i="2"/>
  <c r="AO598" i="2"/>
  <c r="AK598" i="2"/>
  <c r="AO597" i="2"/>
  <c r="AK597" i="2"/>
  <c r="AO596" i="2"/>
  <c r="AK596" i="2"/>
  <c r="AO595" i="2"/>
  <c r="AK595" i="2"/>
  <c r="AO594" i="2"/>
  <c r="AK594" i="2"/>
  <c r="AO593" i="2"/>
  <c r="AK593" i="2"/>
  <c r="AO592" i="2"/>
  <c r="AK592" i="2"/>
  <c r="AO591" i="2"/>
  <c r="AK591" i="2"/>
  <c r="AO590" i="2"/>
  <c r="AK590" i="2"/>
  <c r="AO589" i="2"/>
  <c r="AK589" i="2"/>
  <c r="AO588" i="2"/>
  <c r="AK588" i="2"/>
  <c r="AO587" i="2"/>
  <c r="AK587" i="2"/>
  <c r="AO586" i="2"/>
  <c r="AK586" i="2"/>
  <c r="AO585" i="2"/>
  <c r="AK585" i="2"/>
  <c r="AO584" i="2"/>
  <c r="AK584" i="2"/>
  <c r="AO583" i="2"/>
  <c r="AK583" i="2"/>
  <c r="AO582" i="2"/>
  <c r="AK582" i="2"/>
  <c r="AO581" i="2"/>
  <c r="AK581" i="2"/>
  <c r="AO580" i="2"/>
  <c r="AK580" i="2"/>
  <c r="AO579" i="2"/>
  <c r="AK579" i="2"/>
  <c r="AO578" i="2"/>
  <c r="AK578" i="2"/>
  <c r="AO577" i="2"/>
  <c r="AK577" i="2"/>
  <c r="AO576" i="2"/>
  <c r="AK576" i="2"/>
  <c r="AO575" i="2"/>
  <c r="AK575" i="2"/>
  <c r="AO574" i="2"/>
  <c r="AK574" i="2"/>
  <c r="AO573" i="2"/>
  <c r="AK573" i="2"/>
  <c r="AO572" i="2"/>
  <c r="AK572" i="2"/>
  <c r="AO541" i="2"/>
  <c r="AK541" i="2"/>
  <c r="AO540" i="2"/>
  <c r="AK540" i="2"/>
  <c r="AO539" i="2"/>
  <c r="AK539" i="2"/>
  <c r="AO538" i="2"/>
  <c r="AK538" i="2"/>
  <c r="AO537" i="2"/>
  <c r="AK537" i="2"/>
  <c r="AO536" i="2"/>
  <c r="AK536" i="2"/>
  <c r="AO535" i="2"/>
  <c r="AK535" i="2"/>
  <c r="AO534" i="2"/>
  <c r="AK534" i="2"/>
  <c r="AO533" i="2"/>
  <c r="AK533" i="2"/>
  <c r="AO532" i="2"/>
  <c r="AK532" i="2"/>
  <c r="AO531" i="2"/>
  <c r="AK531" i="2"/>
  <c r="AO530" i="2"/>
  <c r="AK530" i="2"/>
  <c r="AO529" i="2"/>
  <c r="AK529" i="2"/>
  <c r="AO528" i="2"/>
  <c r="AK528" i="2"/>
  <c r="AO527" i="2"/>
  <c r="AK527" i="2"/>
  <c r="AO526" i="2"/>
  <c r="AK526" i="2"/>
  <c r="AO525" i="2"/>
  <c r="AK525" i="2"/>
  <c r="AO524" i="2"/>
  <c r="AK524" i="2"/>
  <c r="AO523" i="2"/>
  <c r="AK523" i="2"/>
  <c r="AO522" i="2"/>
  <c r="AK522" i="2"/>
  <c r="AO521" i="2"/>
  <c r="AK521" i="2"/>
  <c r="AO520" i="2"/>
  <c r="AK520" i="2"/>
  <c r="AO519" i="2"/>
  <c r="AK519" i="2"/>
  <c r="AH518" i="2"/>
  <c r="AG518" i="2"/>
  <c r="AO517" i="2"/>
  <c r="AK517" i="2"/>
  <c r="AO516" i="2"/>
  <c r="AK516" i="2"/>
  <c r="AO515" i="2"/>
  <c r="AK515" i="2"/>
  <c r="AO514" i="2"/>
  <c r="AK514" i="2"/>
  <c r="AO513" i="2"/>
  <c r="AK513" i="2"/>
  <c r="AO512" i="2"/>
  <c r="AK512" i="2"/>
  <c r="AH511" i="2"/>
  <c r="AO511" i="2" s="1"/>
  <c r="AG511" i="2"/>
  <c r="AK511" i="2" s="1"/>
  <c r="AS1019" i="6"/>
  <c r="AO1019" i="6"/>
  <c r="AS1018" i="6"/>
  <c r="AO1018" i="6"/>
  <c r="AK1017" i="6"/>
  <c r="AI1017" i="6"/>
  <c r="AK1016" i="6"/>
  <c r="AI1016" i="6"/>
  <c r="AI1015" i="6"/>
  <c r="AO1015" i="6" s="1"/>
  <c r="AI1014" i="6"/>
  <c r="AO1014" i="6" s="1"/>
  <c r="AI1013" i="6"/>
  <c r="AO1013" i="6" s="1"/>
  <c r="AS1012" i="6"/>
  <c r="AI1012" i="6"/>
  <c r="AO1012" i="6" s="1"/>
  <c r="AE1012" i="6"/>
  <c r="AC1012" i="6"/>
  <c r="AS1011" i="6"/>
  <c r="AI1011" i="6"/>
  <c r="AO1011" i="6" s="1"/>
  <c r="AS1010" i="6"/>
  <c r="AI1010" i="6"/>
  <c r="AO1010" i="6" s="1"/>
  <c r="AS1009" i="6"/>
  <c r="AO1009" i="6"/>
  <c r="AS1008" i="6"/>
  <c r="AO1008" i="6"/>
  <c r="AS1007" i="6"/>
  <c r="AO1007" i="6"/>
  <c r="AS1006" i="6"/>
  <c r="AO1006" i="6"/>
  <c r="AS1005" i="6"/>
  <c r="AO1005" i="6"/>
  <c r="AS1004" i="6"/>
  <c r="AO1004" i="6"/>
  <c r="AS1001" i="6"/>
  <c r="AO1001" i="6"/>
  <c r="AS1000" i="6"/>
  <c r="AO1000" i="6"/>
  <c r="AM999" i="6"/>
  <c r="AL999" i="6"/>
  <c r="AS999" i="6" s="1"/>
  <c r="AK999" i="6"/>
  <c r="AO999" i="6" s="1"/>
  <c r="AM998" i="6"/>
  <c r="AM1000" i="6" s="1"/>
  <c r="AL998" i="6"/>
  <c r="AS998" i="6" s="1"/>
  <c r="AK998" i="6"/>
  <c r="AO998" i="6" s="1"/>
  <c r="AM997" i="6"/>
  <c r="AL997" i="6"/>
  <c r="AS997" i="6" s="1"/>
  <c r="AK997" i="6"/>
  <c r="AO997" i="6" s="1"/>
  <c r="AM996" i="6"/>
  <c r="AL996" i="6"/>
  <c r="AS996" i="6" s="1"/>
  <c r="AK996" i="6"/>
  <c r="AO996" i="6" s="1"/>
  <c r="AM995" i="6"/>
  <c r="AL995" i="6"/>
  <c r="AS995" i="6" s="1"/>
  <c r="AK995" i="6"/>
  <c r="AO995" i="6" s="1"/>
  <c r="AM994" i="6"/>
  <c r="AM1002" i="6" s="1"/>
  <c r="AM1004" i="6" s="1"/>
  <c r="AL994" i="6"/>
  <c r="AL1002" i="6" s="1"/>
  <c r="AS1002" i="6" s="1"/>
  <c r="AK994" i="6"/>
  <c r="AK1002" i="6" s="1"/>
  <c r="AO1002" i="6" s="1"/>
  <c r="AM993" i="6"/>
  <c r="AM1003" i="6" s="1"/>
  <c r="AL993" i="6"/>
  <c r="AL1003" i="6" s="1"/>
  <c r="AS1003" i="6" s="1"/>
  <c r="AK993" i="6"/>
  <c r="AO993" i="6" s="1"/>
  <c r="AS992" i="6"/>
  <c r="AO992" i="6"/>
  <c r="AS991" i="6"/>
  <c r="AO991" i="6"/>
  <c r="AS990" i="6"/>
  <c r="AO990" i="6"/>
  <c r="AO989" i="6"/>
  <c r="AO988" i="6"/>
  <c r="AJ987" i="6"/>
  <c r="AS987" i="6" s="1"/>
  <c r="AI987" i="6"/>
  <c r="AO987" i="6" s="1"/>
  <c r="AS986" i="6"/>
  <c r="AO986" i="6"/>
  <c r="AS985" i="6"/>
  <c r="AO985" i="6"/>
  <c r="AJ984" i="6"/>
  <c r="AS984" i="6" s="1"/>
  <c r="AI984" i="6"/>
  <c r="AO984" i="6" s="1"/>
  <c r="AS983" i="6"/>
  <c r="AO983" i="6"/>
  <c r="AS982" i="6"/>
  <c r="AO982" i="6"/>
  <c r="AS981" i="6"/>
  <c r="AO981" i="6"/>
  <c r="AS980" i="6"/>
  <c r="AO980" i="6"/>
  <c r="AS979" i="6"/>
  <c r="AO979" i="6"/>
  <c r="AS977" i="6"/>
  <c r="AO977" i="6"/>
  <c r="AS976" i="6"/>
  <c r="AO976" i="6"/>
  <c r="AS975" i="6"/>
  <c r="AO975" i="6"/>
  <c r="AS974" i="6"/>
  <c r="AO974" i="6"/>
  <c r="AS973" i="6"/>
  <c r="AO973" i="6"/>
  <c r="AO474" i="2"/>
  <c r="AK474" i="2"/>
  <c r="AO473" i="2"/>
  <c r="AK473" i="2"/>
  <c r="AO471" i="2"/>
  <c r="AK471" i="2"/>
  <c r="AO470" i="2"/>
  <c r="AK470" i="2"/>
  <c r="AO469" i="2"/>
  <c r="AK469" i="2"/>
  <c r="AO468" i="2"/>
  <c r="AK468" i="2"/>
  <c r="AO467" i="2"/>
  <c r="AK467" i="2"/>
  <c r="AO466" i="2"/>
  <c r="AK466" i="2"/>
  <c r="AO465" i="2"/>
  <c r="AK465" i="2"/>
  <c r="AO464" i="2"/>
  <c r="AK464" i="2"/>
  <c r="AO463" i="2"/>
  <c r="AK463" i="2"/>
  <c r="AS462" i="2"/>
  <c r="AO462" i="2"/>
  <c r="AK462" i="2"/>
  <c r="AO972" i="6"/>
  <c r="AK971" i="6"/>
  <c r="AO971" i="6" s="1"/>
  <c r="AO970" i="6"/>
  <c r="AO968" i="6"/>
  <c r="AL967" i="6"/>
  <c r="AK967" i="6"/>
  <c r="AJ967" i="6"/>
  <c r="AI967" i="6"/>
  <c r="AL966" i="6"/>
  <c r="AK966" i="6"/>
  <c r="AJ966" i="6"/>
  <c r="AI966" i="6"/>
  <c r="AL965" i="6"/>
  <c r="AS965" i="6" s="1"/>
  <c r="AK965" i="6"/>
  <c r="AO965" i="6" s="1"/>
  <c r="AJ964" i="6"/>
  <c r="AS964" i="6" s="1"/>
  <c r="AI964" i="6"/>
  <c r="AO964" i="6" s="1"/>
  <c r="AJ963" i="6"/>
  <c r="AS963" i="6" s="1"/>
  <c r="AI963" i="6"/>
  <c r="AO963" i="6" s="1"/>
  <c r="AS962" i="6"/>
  <c r="AO962" i="6"/>
  <c r="AS961" i="6"/>
  <c r="AO961" i="6"/>
  <c r="AS960" i="6"/>
  <c r="AO960" i="6"/>
  <c r="AS959" i="6"/>
  <c r="AO959" i="6"/>
  <c r="AS958" i="6"/>
  <c r="AO958" i="6"/>
  <c r="AS957" i="6"/>
  <c r="AO957" i="6"/>
  <c r="AJ956" i="6"/>
  <c r="AS956" i="6" s="1"/>
  <c r="AI956" i="6"/>
  <c r="AO956" i="6" s="1"/>
  <c r="AJ955" i="6"/>
  <c r="AS955" i="6" s="1"/>
  <c r="AI955" i="6"/>
  <c r="AO955" i="6" s="1"/>
  <c r="AO954" i="6"/>
  <c r="AL954" i="6"/>
  <c r="AS954" i="6" s="1"/>
  <c r="AJ953" i="6"/>
  <c r="AS953" i="6" s="1"/>
  <c r="AI953" i="6"/>
  <c r="AO953" i="6" s="1"/>
  <c r="AJ952" i="6"/>
  <c r="AS952" i="6" s="1"/>
  <c r="AI952" i="6"/>
  <c r="AO952" i="6" s="1"/>
  <c r="AS951" i="6"/>
  <c r="AO951" i="6"/>
  <c r="AS950" i="6"/>
  <c r="AO950" i="6"/>
  <c r="AS949" i="6"/>
  <c r="AO949" i="6"/>
  <c r="AS948" i="6"/>
  <c r="AO948" i="6"/>
  <c r="AS947" i="6"/>
  <c r="AO947" i="6"/>
  <c r="AS946" i="6"/>
  <c r="AO946" i="6"/>
  <c r="AJ945" i="6"/>
  <c r="AS945" i="6" s="1"/>
  <c r="AI945" i="6"/>
  <c r="AO945" i="6" s="1"/>
  <c r="AJ944" i="6"/>
  <c r="AS944" i="6" s="1"/>
  <c r="AI944" i="6"/>
  <c r="AO944" i="6" s="1"/>
  <c r="AS943" i="6"/>
  <c r="AO943" i="6"/>
  <c r="AS942" i="6"/>
  <c r="AO942" i="6"/>
  <c r="AS941" i="6"/>
  <c r="AO941" i="6"/>
  <c r="AS940" i="6"/>
  <c r="AO940" i="6"/>
  <c r="AS939" i="6"/>
  <c r="AO939" i="6"/>
  <c r="AJ938" i="6"/>
  <c r="AS938" i="6" s="1"/>
  <c r="AI938" i="6"/>
  <c r="AO938" i="6" s="1"/>
  <c r="AJ937" i="6"/>
  <c r="AS937" i="6" s="1"/>
  <c r="AI937" i="6"/>
  <c r="AO937" i="6" s="1"/>
  <c r="AS936" i="6"/>
  <c r="AO936" i="6"/>
  <c r="AS935" i="6"/>
  <c r="AO935" i="6"/>
  <c r="AS934" i="6"/>
  <c r="AO934" i="6"/>
  <c r="AS933" i="6"/>
  <c r="AO933" i="6"/>
  <c r="AS932" i="6"/>
  <c r="AO932" i="6"/>
  <c r="AS931" i="6"/>
  <c r="AO931" i="6"/>
  <c r="AJ930" i="6"/>
  <c r="AS930" i="6" s="1"/>
  <c r="AI930" i="6"/>
  <c r="AO930" i="6" s="1"/>
  <c r="AJ929" i="6"/>
  <c r="AS929" i="6" s="1"/>
  <c r="AI929" i="6"/>
  <c r="AO929" i="6" s="1"/>
  <c r="AS928" i="6"/>
  <c r="AO928" i="6"/>
  <c r="AS927" i="6"/>
  <c r="AO927" i="6"/>
  <c r="AS926" i="6"/>
  <c r="AO926" i="6"/>
  <c r="AS925" i="6"/>
  <c r="AO925" i="6"/>
  <c r="AS924" i="6"/>
  <c r="AO924" i="6"/>
  <c r="AJ923" i="6"/>
  <c r="AS923" i="6" s="1"/>
  <c r="AI923" i="6"/>
  <c r="AO923" i="6" s="1"/>
  <c r="AJ922" i="6"/>
  <c r="AS922" i="6" s="1"/>
  <c r="AI922" i="6"/>
  <c r="AO922" i="6" s="1"/>
  <c r="AS921" i="6"/>
  <c r="AO921" i="6"/>
  <c r="AS920" i="6"/>
  <c r="AO920" i="6"/>
  <c r="AS919" i="6"/>
  <c r="AO919" i="6"/>
  <c r="AS918" i="6"/>
  <c r="AO918" i="6"/>
  <c r="AS917" i="6"/>
  <c r="AO917" i="6"/>
  <c r="AS916" i="6"/>
  <c r="AO916" i="6"/>
  <c r="AS915" i="6"/>
  <c r="AO915" i="6"/>
  <c r="AS914" i="6"/>
  <c r="AO914" i="6"/>
  <c r="AS912" i="6"/>
  <c r="AO912" i="6"/>
  <c r="AS911" i="6"/>
  <c r="AO911" i="6"/>
  <c r="AJ910" i="6"/>
  <c r="AS910" i="6" s="1"/>
  <c r="AI910" i="6"/>
  <c r="AO910" i="6" s="1"/>
  <c r="AJ909" i="6"/>
  <c r="AS909" i="6" s="1"/>
  <c r="AI909" i="6"/>
  <c r="AO909" i="6" s="1"/>
  <c r="AO908" i="6"/>
  <c r="AL908" i="6"/>
  <c r="AS908" i="6" s="1"/>
  <c r="AJ907" i="6"/>
  <c r="AS907" i="6" s="1"/>
  <c r="AI907" i="6"/>
  <c r="AO907" i="6" s="1"/>
  <c r="AJ906" i="6"/>
  <c r="AS906" i="6" s="1"/>
  <c r="AI906" i="6"/>
  <c r="AO906" i="6" s="1"/>
  <c r="AS905" i="6"/>
  <c r="AO905" i="6"/>
  <c r="AS904" i="6"/>
  <c r="AO904" i="6"/>
  <c r="AS903" i="6"/>
  <c r="AO903" i="6"/>
  <c r="AS902" i="6"/>
  <c r="AO902" i="6"/>
  <c r="AS901" i="6"/>
  <c r="AO901" i="6"/>
  <c r="AS900" i="6"/>
  <c r="AO900" i="6"/>
  <c r="AL899" i="6"/>
  <c r="AK899" i="6"/>
  <c r="AJ899" i="6"/>
  <c r="AI899" i="6"/>
  <c r="AL898" i="6"/>
  <c r="AK898" i="6"/>
  <c r="AJ898" i="6"/>
  <c r="AI898" i="6"/>
  <c r="AL897" i="6"/>
  <c r="AS897" i="6" s="1"/>
  <c r="AK897" i="6"/>
  <c r="AO897" i="6" s="1"/>
  <c r="AJ896" i="6"/>
  <c r="AS896" i="6" s="1"/>
  <c r="AI896" i="6"/>
  <c r="AO896" i="6" s="1"/>
  <c r="AJ895" i="6"/>
  <c r="AS895" i="6" s="1"/>
  <c r="AI895" i="6"/>
  <c r="AO895" i="6" s="1"/>
  <c r="AS894" i="6"/>
  <c r="AO894" i="6"/>
  <c r="AS893" i="6"/>
  <c r="AO893" i="6"/>
  <c r="AS892" i="6"/>
  <c r="AO892" i="6"/>
  <c r="AB892" i="6"/>
  <c r="AA892" i="6"/>
  <c r="AS891" i="6"/>
  <c r="AO891" i="6"/>
  <c r="AB891" i="6"/>
  <c r="AA891" i="6"/>
  <c r="AO461" i="2"/>
  <c r="AK461" i="2"/>
  <c r="AO460" i="2"/>
  <c r="AK460" i="2"/>
  <c r="AO459" i="2"/>
  <c r="AK459" i="2"/>
  <c r="AO458" i="2"/>
  <c r="AK458" i="2"/>
  <c r="AO457" i="2"/>
  <c r="AK457" i="2"/>
  <c r="AO456" i="2"/>
  <c r="AK456" i="2"/>
  <c r="AO455" i="2"/>
  <c r="AK455" i="2"/>
  <c r="AO454" i="2"/>
  <c r="AK454" i="2"/>
  <c r="AO453" i="2"/>
  <c r="AK453" i="2"/>
  <c r="AO452" i="2"/>
  <c r="AK452" i="2"/>
  <c r="AO451" i="2"/>
  <c r="AK451" i="2"/>
  <c r="AO450" i="2"/>
  <c r="AK450" i="2"/>
  <c r="AO449" i="2"/>
  <c r="AK449" i="2"/>
  <c r="AO448" i="2"/>
  <c r="AK448" i="2"/>
  <c r="AO447" i="2"/>
  <c r="AK447" i="2"/>
  <c r="AO446" i="2"/>
  <c r="AK446" i="2"/>
  <c r="AO445" i="2"/>
  <c r="AK445" i="2"/>
  <c r="AO444" i="2"/>
  <c r="AK444" i="2"/>
  <c r="AO443" i="2"/>
  <c r="AK443" i="2"/>
  <c r="AO442" i="2"/>
  <c r="AK442" i="2"/>
  <c r="AO441" i="2"/>
  <c r="AK441" i="2"/>
  <c r="AO440" i="2"/>
  <c r="AK440" i="2"/>
  <c r="AO439" i="2"/>
  <c r="AK439" i="2"/>
  <c r="AO438" i="2"/>
  <c r="AK438" i="2"/>
  <c r="AO437" i="2"/>
  <c r="AK437" i="2"/>
  <c r="AO436" i="2"/>
  <c r="AK436" i="2"/>
  <c r="AO435" i="2"/>
  <c r="AK435" i="2"/>
  <c r="AO434" i="2"/>
  <c r="AK434" i="2"/>
  <c r="AO433" i="2"/>
  <c r="AK433" i="2"/>
  <c r="AO432" i="2"/>
  <c r="AK432" i="2"/>
  <c r="AO431" i="2"/>
  <c r="AK431" i="2"/>
  <c r="AO430" i="2"/>
  <c r="AK430" i="2"/>
  <c r="AO429" i="2"/>
  <c r="AK429" i="2"/>
  <c r="AO428" i="2"/>
  <c r="AK428" i="2"/>
  <c r="AO427" i="2"/>
  <c r="AK427" i="2"/>
  <c r="AO426" i="2"/>
  <c r="AK426" i="2"/>
  <c r="AO425" i="2"/>
  <c r="AK425" i="2"/>
  <c r="AO424" i="2"/>
  <c r="AK424" i="2"/>
  <c r="AO423" i="2"/>
  <c r="AK423" i="2"/>
  <c r="AO422" i="2"/>
  <c r="AK422" i="2"/>
  <c r="AO421" i="2"/>
  <c r="AK421" i="2"/>
  <c r="AO420" i="2"/>
  <c r="AK420" i="2"/>
  <c r="AO419" i="2"/>
  <c r="AK419" i="2"/>
  <c r="AO418" i="2"/>
  <c r="AK418" i="2"/>
  <c r="AO417" i="2"/>
  <c r="AK417" i="2"/>
  <c r="AO416" i="2"/>
  <c r="AK416" i="2"/>
  <c r="AO415" i="2"/>
  <c r="AK415" i="2"/>
  <c r="AO414" i="2"/>
  <c r="AK414" i="2"/>
  <c r="AO413" i="2"/>
  <c r="AK413" i="2"/>
  <c r="AO412" i="2"/>
  <c r="AK412" i="2"/>
  <c r="AN164" i="2"/>
  <c r="AK164" i="2"/>
  <c r="AL890" i="6"/>
  <c r="AS890" i="6" s="1"/>
  <c r="AK890" i="6"/>
  <c r="AO890" i="6" s="1"/>
  <c r="AS889" i="6"/>
  <c r="AO889" i="6"/>
  <c r="AS887" i="6"/>
  <c r="AO887" i="6"/>
  <c r="AL886" i="6"/>
  <c r="AK886" i="6"/>
  <c r="AJ886" i="6"/>
  <c r="AI886" i="6"/>
  <c r="AS885" i="6"/>
  <c r="AO885" i="6"/>
  <c r="AL884" i="6"/>
  <c r="AS884" i="6" s="1"/>
  <c r="AK884" i="6"/>
  <c r="AO884" i="6" s="1"/>
  <c r="AL882" i="6"/>
  <c r="AS882" i="6" s="1"/>
  <c r="AK882" i="6"/>
  <c r="AO882" i="6" s="1"/>
  <c r="AL881" i="6"/>
  <c r="AS881" i="6" s="1"/>
  <c r="AK881" i="6"/>
  <c r="AO881" i="6" s="1"/>
  <c r="AL880" i="6"/>
  <c r="AS880" i="6" s="1"/>
  <c r="AK880" i="6"/>
  <c r="AO880" i="6" s="1"/>
  <c r="AL879" i="6"/>
  <c r="AS879" i="6" s="1"/>
  <c r="AK879" i="6"/>
  <c r="AO879" i="6" s="1"/>
  <c r="AL878" i="6"/>
  <c r="AS878" i="6" s="1"/>
  <c r="AK878" i="6"/>
  <c r="AO878" i="6" s="1"/>
  <c r="AL877" i="6"/>
  <c r="AS877" i="6" s="1"/>
  <c r="AK877" i="6"/>
  <c r="AO877" i="6" s="1"/>
  <c r="AS876" i="6"/>
  <c r="AO876" i="6"/>
  <c r="AS875" i="6"/>
  <c r="AO875" i="6"/>
  <c r="AL874" i="6"/>
  <c r="AS874" i="6" s="1"/>
  <c r="AK874" i="6"/>
  <c r="AO874" i="6" s="1"/>
  <c r="AL873" i="6"/>
  <c r="AS873" i="6" s="1"/>
  <c r="AK873" i="6"/>
  <c r="AO873" i="6" s="1"/>
  <c r="AL871" i="6"/>
  <c r="AS871" i="6" s="1"/>
  <c r="AK871" i="6"/>
  <c r="AO871" i="6" s="1"/>
  <c r="AL870" i="6"/>
  <c r="AS870" i="6" s="1"/>
  <c r="AK870" i="6"/>
  <c r="AO870" i="6" s="1"/>
  <c r="AL869" i="6"/>
  <c r="AS869" i="6" s="1"/>
  <c r="AK869" i="6"/>
  <c r="AO869" i="6" s="1"/>
  <c r="AL868" i="6"/>
  <c r="AS868" i="6" s="1"/>
  <c r="AK868" i="6"/>
  <c r="AO868" i="6" s="1"/>
  <c r="AL867" i="6"/>
  <c r="AS867" i="6" s="1"/>
  <c r="AK867" i="6"/>
  <c r="AO867" i="6" s="1"/>
  <c r="AL866" i="6"/>
  <c r="AS866" i="6" s="1"/>
  <c r="AK866" i="6"/>
  <c r="AO866" i="6" s="1"/>
  <c r="AS865" i="6"/>
  <c r="AO865" i="6"/>
  <c r="AL864" i="6"/>
  <c r="AS864" i="6" s="1"/>
  <c r="AK864" i="6"/>
  <c r="AO864" i="6" s="1"/>
  <c r="AL862" i="6"/>
  <c r="AS862" i="6" s="1"/>
  <c r="AK862" i="6"/>
  <c r="AO862" i="6" s="1"/>
  <c r="AL861" i="6"/>
  <c r="AS861" i="6" s="1"/>
  <c r="AK861" i="6"/>
  <c r="AO861" i="6" s="1"/>
  <c r="AL860" i="6"/>
  <c r="AS860" i="6" s="1"/>
  <c r="AK860" i="6"/>
  <c r="AO860" i="6" s="1"/>
  <c r="AL859" i="6"/>
  <c r="AS859" i="6" s="1"/>
  <c r="AK859" i="6"/>
  <c r="AO859" i="6" s="1"/>
  <c r="AL858" i="6"/>
  <c r="AK858" i="6"/>
  <c r="AJ858" i="6"/>
  <c r="AI858" i="6"/>
  <c r="AL857" i="6"/>
  <c r="AS857" i="6" s="1"/>
  <c r="AK857" i="6"/>
  <c r="AO857" i="6" s="1"/>
  <c r="AL856" i="6"/>
  <c r="AS856" i="6" s="1"/>
  <c r="AK856" i="6"/>
  <c r="AO856" i="6" s="1"/>
  <c r="AH411" i="2"/>
  <c r="AO411" i="2" s="1"/>
  <c r="AG411" i="2"/>
  <c r="AK411" i="2" s="1"/>
  <c r="AO410" i="2"/>
  <c r="AK410" i="2"/>
  <c r="AO409" i="2"/>
  <c r="AK409" i="2"/>
  <c r="AH408" i="2"/>
  <c r="AO408" i="2" s="1"/>
  <c r="AG408" i="2"/>
  <c r="AK408" i="2" s="1"/>
  <c r="AO407" i="2"/>
  <c r="AK407" i="2"/>
  <c r="AO406" i="2"/>
  <c r="AK406" i="2"/>
  <c r="AH405" i="2"/>
  <c r="AO405" i="2" s="1"/>
  <c r="AG405" i="2"/>
  <c r="AK405" i="2" s="1"/>
  <c r="AH404" i="2"/>
  <c r="AO404" i="2" s="1"/>
  <c r="AG404" i="2"/>
  <c r="AK404" i="2" s="1"/>
  <c r="AJ855" i="6"/>
  <c r="AS855" i="6" s="1"/>
  <c r="AI855" i="6"/>
  <c r="AO855" i="6" s="1"/>
  <c r="AS854" i="6"/>
  <c r="AO854" i="6"/>
  <c r="AS853" i="6"/>
  <c r="AO853" i="6"/>
  <c r="AS851" i="6"/>
  <c r="AO851" i="6"/>
  <c r="AS850" i="6"/>
  <c r="AO850" i="6"/>
  <c r="AS849" i="6"/>
  <c r="AO849" i="6"/>
  <c r="AS848" i="6"/>
  <c r="AO848" i="6"/>
  <c r="AS846" i="6"/>
  <c r="AO846" i="6"/>
  <c r="AS845" i="6"/>
  <c r="AO845" i="6"/>
  <c r="AS844" i="6"/>
  <c r="AO844" i="6"/>
  <c r="AJ843" i="6"/>
  <c r="AS843" i="6" s="1"/>
  <c r="AI843" i="6"/>
  <c r="AO843" i="6" s="1"/>
  <c r="AS842" i="6"/>
  <c r="AO842" i="6"/>
  <c r="AS841" i="6"/>
  <c r="AO841" i="6"/>
  <c r="AS840" i="6"/>
  <c r="AO840" i="6"/>
  <c r="AS839" i="6"/>
  <c r="AO839" i="6"/>
  <c r="AJ838" i="6"/>
  <c r="AS838" i="6" s="1"/>
  <c r="AI838" i="6"/>
  <c r="AO838" i="6" s="1"/>
  <c r="AS837" i="6"/>
  <c r="AO837" i="6"/>
  <c r="AS836" i="6"/>
  <c r="AO836" i="6"/>
  <c r="AS835" i="6"/>
  <c r="AO835" i="6"/>
  <c r="AJ834" i="6"/>
  <c r="AS834" i="6" s="1"/>
  <c r="AI834" i="6"/>
  <c r="AO834" i="6" s="1"/>
  <c r="AJ833" i="6"/>
  <c r="AS833" i="6" s="1"/>
  <c r="AI833" i="6"/>
  <c r="AO833" i="6" s="1"/>
  <c r="AJ832" i="6"/>
  <c r="AS832" i="6" s="1"/>
  <c r="AI832" i="6"/>
  <c r="AO832" i="6" s="1"/>
  <c r="AS831" i="6"/>
  <c r="AO831" i="6"/>
  <c r="AS830" i="6"/>
  <c r="AO830" i="6"/>
  <c r="AS829" i="6"/>
  <c r="AO829" i="6"/>
  <c r="AS828" i="6"/>
  <c r="AO828" i="6"/>
  <c r="AS827" i="6"/>
  <c r="AO827" i="6"/>
  <c r="AS826" i="6"/>
  <c r="AO826" i="6"/>
  <c r="AS825" i="6"/>
  <c r="AO825" i="6"/>
  <c r="AT403" i="2"/>
  <c r="AO402" i="2"/>
  <c r="AK402" i="2"/>
  <c r="AO401" i="2"/>
  <c r="AK401" i="2"/>
  <c r="AO400" i="2"/>
  <c r="AK400" i="2"/>
  <c r="AO399" i="2"/>
  <c r="AK399" i="2"/>
  <c r="AF398" i="2"/>
  <c r="AO398" i="2" s="1"/>
  <c r="AE398" i="2"/>
  <c r="AK398" i="2" s="1"/>
  <c r="AO824" i="6"/>
  <c r="AK823" i="6"/>
  <c r="AO823" i="6" s="1"/>
  <c r="AC823" i="6"/>
  <c r="AO822" i="6"/>
  <c r="AS821" i="6"/>
  <c r="AI821" i="6"/>
  <c r="AO821" i="6" s="1"/>
  <c r="AC821" i="6"/>
  <c r="AS820" i="6"/>
  <c r="AI820" i="6"/>
  <c r="AO820" i="6" s="1"/>
  <c r="AS819" i="6"/>
  <c r="AI819" i="6"/>
  <c r="AO819" i="6" s="1"/>
  <c r="AC819" i="6"/>
  <c r="AS818" i="6"/>
  <c r="AI818" i="6"/>
  <c r="AO818" i="6" s="1"/>
  <c r="AC818" i="6"/>
  <c r="AS817" i="6"/>
  <c r="AI817" i="6"/>
  <c r="AO817" i="6" s="1"/>
  <c r="AS816" i="6"/>
  <c r="AI816" i="6"/>
  <c r="AO816" i="6" s="1"/>
  <c r="AO815" i="6"/>
  <c r="AK814" i="6"/>
  <c r="AO814" i="6" s="1"/>
  <c r="AL813" i="6"/>
  <c r="AS813" i="6" s="1"/>
  <c r="AK813" i="6"/>
  <c r="AO813" i="6" s="1"/>
  <c r="AL812" i="6"/>
  <c r="AS812" i="6" s="1"/>
  <c r="AK812" i="6"/>
  <c r="AO812" i="6" s="1"/>
  <c r="AL811" i="6"/>
  <c r="AS811" i="6" s="1"/>
  <c r="AK811" i="6"/>
  <c r="AO811" i="6" s="1"/>
  <c r="AS810" i="6"/>
  <c r="AO810" i="6"/>
  <c r="AC810" i="6"/>
  <c r="Y810" i="6" s="1"/>
  <c r="Z810" i="6"/>
  <c r="AS809" i="6"/>
  <c r="AO809" i="6"/>
  <c r="AS808" i="6"/>
  <c r="AO808" i="6"/>
  <c r="AJ807" i="6"/>
  <c r="AS807" i="6" s="1"/>
  <c r="AI807" i="6"/>
  <c r="AO807" i="6" s="1"/>
  <c r="AS806" i="6"/>
  <c r="AO806" i="6"/>
  <c r="AS805" i="6"/>
  <c r="AO805" i="6"/>
  <c r="AS804" i="6"/>
  <c r="AO804" i="6"/>
  <c r="AS803" i="6"/>
  <c r="AO803" i="6"/>
  <c r="AS802" i="6"/>
  <c r="AO802" i="6"/>
  <c r="AS801" i="6"/>
  <c r="AO801" i="6"/>
  <c r="AS800" i="6"/>
  <c r="AO800" i="6"/>
  <c r="AS799" i="6"/>
  <c r="AO799" i="6"/>
  <c r="AL798" i="6"/>
  <c r="AI798" i="6"/>
  <c r="AO798" i="6" s="1"/>
  <c r="AL797" i="6"/>
  <c r="AI797" i="6"/>
  <c r="AO797" i="6" s="1"/>
  <c r="AL796" i="6"/>
  <c r="AI796" i="6"/>
  <c r="AO796" i="6" s="1"/>
  <c r="AC796" i="6"/>
  <c r="AL795" i="6"/>
  <c r="AK795" i="6"/>
  <c r="AI795" i="6"/>
  <c r="AL794" i="6"/>
  <c r="AI794" i="6"/>
  <c r="AO794" i="6" s="1"/>
  <c r="AL793" i="6"/>
  <c r="AK793" i="6"/>
  <c r="AJ793" i="6"/>
  <c r="AI793" i="6"/>
  <c r="AL792" i="6"/>
  <c r="AK792" i="6"/>
  <c r="AJ792" i="6"/>
  <c r="AI792" i="6"/>
  <c r="AL791" i="6"/>
  <c r="AS791" i="6" s="1"/>
  <c r="AK791" i="6"/>
  <c r="AO791" i="6" s="1"/>
  <c r="AL790" i="6"/>
  <c r="AK790" i="6"/>
  <c r="AJ790" i="6"/>
  <c r="AI790" i="6"/>
  <c r="AL789" i="6"/>
  <c r="AK789" i="6"/>
  <c r="AJ789" i="6"/>
  <c r="AI789" i="6"/>
  <c r="AL788" i="6"/>
  <c r="AK788" i="6"/>
  <c r="AJ788" i="6"/>
  <c r="AI788" i="6"/>
  <c r="AL787" i="6"/>
  <c r="AS787" i="6" s="1"/>
  <c r="AK787" i="6"/>
  <c r="AO787" i="6" s="1"/>
  <c r="AL786" i="6"/>
  <c r="AS786" i="6" s="1"/>
  <c r="AK786" i="6"/>
  <c r="AO786" i="6" s="1"/>
  <c r="AL785" i="6"/>
  <c r="AS785" i="6" s="1"/>
  <c r="AK785" i="6"/>
  <c r="AO785" i="6" s="1"/>
  <c r="AL784" i="6"/>
  <c r="AS784" i="6" s="1"/>
  <c r="AK784" i="6"/>
  <c r="AO784" i="6" s="1"/>
  <c r="AL783" i="6"/>
  <c r="AS783" i="6" s="1"/>
  <c r="AK783" i="6"/>
  <c r="AO783" i="6" s="1"/>
  <c r="AL782" i="6"/>
  <c r="AS782" i="6" s="1"/>
  <c r="AK782" i="6"/>
  <c r="AO782" i="6" s="1"/>
  <c r="AL781" i="6"/>
  <c r="AS781" i="6" s="1"/>
  <c r="AK781" i="6"/>
  <c r="AO781" i="6" s="1"/>
  <c r="AO397" i="2"/>
  <c r="AK397" i="2"/>
  <c r="AK396" i="2"/>
  <c r="AF396" i="2"/>
  <c r="AO396" i="2" s="1"/>
  <c r="AO395" i="2"/>
  <c r="AK395" i="2"/>
  <c r="AO393" i="2"/>
  <c r="AK393" i="2"/>
  <c r="AO392" i="2"/>
  <c r="AK392" i="2"/>
  <c r="AO387" i="2"/>
  <c r="AK387" i="2"/>
  <c r="AH386" i="2"/>
  <c r="AG386" i="2"/>
  <c r="AF386" i="2"/>
  <c r="AE386" i="2"/>
  <c r="AH385" i="2"/>
  <c r="AG385" i="2"/>
  <c r="AF385" i="2"/>
  <c r="AE385" i="2"/>
  <c r="AO384" i="2"/>
  <c r="AK384" i="2"/>
  <c r="AO383" i="2"/>
  <c r="AK383" i="2"/>
  <c r="AO382" i="2"/>
  <c r="AK382" i="2"/>
  <c r="AO381" i="2"/>
  <c r="AK381" i="2"/>
  <c r="AO380" i="2"/>
  <c r="AK380" i="2"/>
  <c r="AO376" i="2"/>
  <c r="AK376" i="2"/>
  <c r="AS780" i="6"/>
  <c r="AO780" i="6"/>
  <c r="AU779" i="6"/>
  <c r="AT779" i="6"/>
  <c r="AS779" i="6"/>
  <c r="AR779" i="6"/>
  <c r="AQ779" i="6"/>
  <c r="AP779" i="6"/>
  <c r="AO779" i="6"/>
  <c r="AN779" i="6"/>
  <c r="AS778" i="6"/>
  <c r="AO778" i="6"/>
  <c r="AO375" i="2"/>
  <c r="AK375" i="2"/>
  <c r="AO374" i="2"/>
  <c r="AK374" i="2"/>
  <c r="AO777" i="6"/>
  <c r="AO776" i="6"/>
  <c r="AO775" i="6"/>
  <c r="AO774" i="6"/>
  <c r="AO773" i="6"/>
  <c r="AO772" i="6"/>
  <c r="AO771" i="6"/>
  <c r="AO770" i="6"/>
  <c r="AO769" i="6"/>
  <c r="AO768" i="6"/>
  <c r="AO767" i="6"/>
  <c r="AO766" i="6"/>
  <c r="AO765" i="6"/>
  <c r="AO764" i="6"/>
  <c r="AO757" i="6"/>
  <c r="AO756" i="6"/>
  <c r="AO755" i="6"/>
  <c r="AS745" i="6"/>
  <c r="AO745" i="6"/>
  <c r="AS743" i="6"/>
  <c r="AO743" i="6"/>
  <c r="AS741" i="6"/>
  <c r="AO741" i="6"/>
  <c r="AS739" i="6"/>
  <c r="AO739" i="6"/>
  <c r="AS738" i="6"/>
  <c r="AO738" i="6"/>
  <c r="AS734" i="6"/>
  <c r="AO734" i="6"/>
  <c r="AS733" i="6"/>
  <c r="AO733" i="6"/>
  <c r="AS732" i="6"/>
  <c r="AO732" i="6"/>
  <c r="AS731" i="6"/>
  <c r="AO731" i="6"/>
  <c r="AO730" i="6"/>
  <c r="AO729" i="6"/>
  <c r="AO728" i="6"/>
  <c r="AO727" i="6"/>
  <c r="AO725" i="6"/>
  <c r="AO354" i="2"/>
  <c r="AK354" i="2"/>
  <c r="AO352" i="2"/>
  <c r="AK352" i="2"/>
  <c r="AO350" i="2"/>
  <c r="AK350" i="2"/>
  <c r="AO347" i="2"/>
  <c r="AK347" i="2"/>
  <c r="AO345" i="2"/>
  <c r="AK345" i="2"/>
  <c r="AO343" i="2"/>
  <c r="AK343" i="2"/>
  <c r="AO341" i="2"/>
  <c r="AK341" i="2"/>
  <c r="AO339" i="2"/>
  <c r="AK339" i="2"/>
  <c r="AO338" i="2"/>
  <c r="AK338" i="2"/>
  <c r="AO333" i="2"/>
  <c r="AE333" i="2"/>
  <c r="AK333" i="2" s="1"/>
  <c r="AO332" i="2"/>
  <c r="AE332" i="2"/>
  <c r="AK332" i="2" s="1"/>
  <c r="AO331" i="2"/>
  <c r="AG331" i="2"/>
  <c r="AK331" i="2" s="1"/>
  <c r="AO330" i="2"/>
  <c r="AG330" i="2"/>
  <c r="AK330" i="2" s="1"/>
  <c r="AO329" i="2"/>
  <c r="AG329" i="2"/>
  <c r="AK329" i="2" s="1"/>
  <c r="AO328" i="2"/>
  <c r="AK328" i="2"/>
  <c r="AY327" i="2"/>
  <c r="AO327" i="2"/>
  <c r="AK327" i="2"/>
  <c r="AO326" i="2"/>
  <c r="AK326" i="2"/>
  <c r="AO325" i="2"/>
  <c r="AK325" i="2"/>
  <c r="AO324" i="2"/>
  <c r="AK324" i="2"/>
  <c r="AO323" i="2"/>
  <c r="AK323" i="2"/>
  <c r="AS724" i="6"/>
  <c r="AO724" i="6"/>
  <c r="AS723" i="6"/>
  <c r="AO723" i="6"/>
  <c r="AS722" i="6"/>
  <c r="AO722" i="6"/>
  <c r="AS721" i="6"/>
  <c r="AO721" i="6"/>
  <c r="AS720" i="6"/>
  <c r="AO720" i="6"/>
  <c r="AS719" i="6"/>
  <c r="AO719" i="6"/>
  <c r="AS718" i="6"/>
  <c r="AO718" i="6"/>
  <c r="AJ717" i="6"/>
  <c r="AS717" i="6" s="1"/>
  <c r="AI717" i="6"/>
  <c r="AO717" i="6" s="1"/>
  <c r="AJ716" i="6"/>
  <c r="AS716" i="6" s="1"/>
  <c r="AI716" i="6"/>
  <c r="AO716" i="6" s="1"/>
  <c r="AS715" i="6"/>
  <c r="AO715" i="6"/>
  <c r="AS714" i="6"/>
  <c r="AO714" i="6"/>
  <c r="AS713" i="6"/>
  <c r="AO713" i="6"/>
  <c r="AS712" i="6"/>
  <c r="AO712" i="6"/>
  <c r="AO711" i="6"/>
  <c r="AO710" i="6"/>
  <c r="AO708" i="6"/>
  <c r="AJ707" i="6"/>
  <c r="AS707" i="6" s="1"/>
  <c r="AI707" i="6"/>
  <c r="AO707" i="6" s="1"/>
  <c r="AJ706" i="6"/>
  <c r="AS706" i="6" s="1"/>
  <c r="AI706" i="6"/>
  <c r="AO706" i="6" s="1"/>
  <c r="AJ705" i="6"/>
  <c r="AS705" i="6" s="1"/>
  <c r="AI705" i="6"/>
  <c r="AO705" i="6" s="1"/>
  <c r="AS704" i="6"/>
  <c r="AO704" i="6"/>
  <c r="AS703" i="6"/>
  <c r="AO703" i="6"/>
  <c r="AS702" i="6"/>
  <c r="AO702" i="6"/>
  <c r="AS701" i="6"/>
  <c r="AO701" i="6"/>
  <c r="AJ700" i="6"/>
  <c r="AS700" i="6" s="1"/>
  <c r="AI700" i="6"/>
  <c r="AO700" i="6" s="1"/>
  <c r="AJ699" i="6"/>
  <c r="AS699" i="6" s="1"/>
  <c r="AI699" i="6"/>
  <c r="AO699" i="6" s="1"/>
  <c r="AS698" i="6"/>
  <c r="AO698" i="6"/>
  <c r="AS697" i="6"/>
  <c r="AO697" i="6"/>
  <c r="AS696" i="6"/>
  <c r="AO696" i="6"/>
  <c r="AS695" i="6"/>
  <c r="AO695" i="6"/>
  <c r="AO694" i="6"/>
  <c r="AO693" i="6"/>
  <c r="AO691" i="6"/>
  <c r="AR690" i="6"/>
  <c r="AN690" i="6"/>
  <c r="AJ690" i="6"/>
  <c r="AS690" i="6" s="1"/>
  <c r="AI690" i="6"/>
  <c r="AO690" i="6" s="1"/>
  <c r="AJ689" i="6"/>
  <c r="AS689" i="6" s="1"/>
  <c r="AI689" i="6"/>
  <c r="AO689" i="6" s="1"/>
  <c r="AJ688" i="6"/>
  <c r="AS688" i="6" s="1"/>
  <c r="AI688" i="6"/>
  <c r="AO688" i="6" s="1"/>
  <c r="AS687" i="6"/>
  <c r="AO687" i="6"/>
  <c r="AS686" i="6"/>
  <c r="AO686" i="6"/>
  <c r="AS685" i="6"/>
  <c r="AO685" i="6"/>
  <c r="AS684" i="6"/>
  <c r="AO684" i="6"/>
  <c r="AJ683" i="6"/>
  <c r="AS683" i="6" s="1"/>
  <c r="AI683" i="6"/>
  <c r="AO683" i="6" s="1"/>
  <c r="AJ682" i="6"/>
  <c r="AS682" i="6" s="1"/>
  <c r="AI682" i="6"/>
  <c r="AO682" i="6" s="1"/>
  <c r="AS681" i="6"/>
  <c r="AO681" i="6"/>
  <c r="AS680" i="6"/>
  <c r="AO680" i="6"/>
  <c r="AS679" i="6"/>
  <c r="AO679" i="6"/>
  <c r="AS678" i="6"/>
  <c r="AO678" i="6"/>
  <c r="AO677" i="6"/>
  <c r="AO676" i="6"/>
  <c r="AO675" i="6"/>
  <c r="AS674" i="6"/>
  <c r="AO674" i="6"/>
  <c r="AS673" i="6"/>
  <c r="AO673" i="6"/>
  <c r="AR672" i="6"/>
  <c r="AN672" i="6"/>
  <c r="AJ672" i="6"/>
  <c r="AS672" i="6" s="1"/>
  <c r="AI672" i="6"/>
  <c r="AO672" i="6" s="1"/>
  <c r="AJ671" i="6"/>
  <c r="AS671" i="6" s="1"/>
  <c r="AI671" i="6"/>
  <c r="AO671" i="6" s="1"/>
  <c r="AJ670" i="6"/>
  <c r="AS670" i="6" s="1"/>
  <c r="AI670" i="6"/>
  <c r="AO670" i="6" s="1"/>
  <c r="AS669" i="6"/>
  <c r="AO669" i="6"/>
  <c r="AS668" i="6"/>
  <c r="AO668" i="6"/>
  <c r="AS667" i="6"/>
  <c r="AO667" i="6"/>
  <c r="AS666" i="6"/>
  <c r="AO666" i="6"/>
  <c r="AS665" i="6"/>
  <c r="AI665" i="6"/>
  <c r="AO665" i="6" s="1"/>
  <c r="AS664" i="6"/>
  <c r="AI664" i="6"/>
  <c r="AO664" i="6" s="1"/>
  <c r="AS663" i="6"/>
  <c r="AO663" i="6"/>
  <c r="AS662" i="6"/>
  <c r="AO662" i="6"/>
  <c r="AS661" i="6"/>
  <c r="AO661" i="6"/>
  <c r="AS660" i="6"/>
  <c r="AO660" i="6"/>
  <c r="AS659" i="6"/>
  <c r="AR659" i="6"/>
  <c r="AO659" i="6"/>
  <c r="AN659" i="6"/>
  <c r="AS658" i="6"/>
  <c r="AO658" i="6"/>
  <c r="AS657" i="6"/>
  <c r="AO657" i="6"/>
  <c r="AS656" i="6"/>
  <c r="AI656" i="6"/>
  <c r="AO656" i="6" s="1"/>
  <c r="AS655" i="6"/>
  <c r="AI655" i="6"/>
  <c r="AO655" i="6" s="1"/>
  <c r="AS654" i="6"/>
  <c r="AO654" i="6"/>
  <c r="AS653" i="6"/>
  <c r="AO653" i="6"/>
  <c r="AS652" i="6"/>
  <c r="AO652" i="6"/>
  <c r="AS651" i="6"/>
  <c r="AO651" i="6"/>
  <c r="AO650" i="6"/>
  <c r="AO649" i="6"/>
  <c r="AO648" i="6"/>
  <c r="AI647" i="6"/>
  <c r="AO647" i="6" s="1"/>
  <c r="AO646" i="6"/>
  <c r="AO645" i="6"/>
  <c r="AI644" i="6"/>
  <c r="AO644" i="6" s="1"/>
  <c r="AO643" i="6"/>
  <c r="AO642" i="6"/>
  <c r="AI641" i="6"/>
  <c r="AO641" i="6" s="1"/>
  <c r="AO640" i="6"/>
  <c r="AO639" i="6"/>
  <c r="AS632" i="6"/>
  <c r="AO632" i="6"/>
  <c r="AS631" i="6"/>
  <c r="AO631" i="6"/>
  <c r="AS630" i="6"/>
  <c r="AO630" i="6"/>
  <c r="BC629" i="6"/>
  <c r="AS629" i="6"/>
  <c r="AO629" i="6"/>
  <c r="AS628" i="6"/>
  <c r="AO628" i="6"/>
  <c r="AJ627" i="6"/>
  <c r="AS627" i="6" s="1"/>
  <c r="AI627" i="6"/>
  <c r="AO627" i="6" s="1"/>
  <c r="AJ626" i="6"/>
  <c r="AS626" i="6" s="1"/>
  <c r="AI626" i="6"/>
  <c r="AO626" i="6" s="1"/>
  <c r="AS625" i="6"/>
  <c r="AO625" i="6"/>
  <c r="AS624" i="6"/>
  <c r="AO624" i="6"/>
  <c r="AS623" i="6"/>
  <c r="AO623" i="6"/>
  <c r="AS622" i="6"/>
  <c r="AO622" i="6"/>
  <c r="AO621" i="6"/>
  <c r="AO620" i="6"/>
  <c r="AO619" i="6"/>
  <c r="AO618" i="6"/>
  <c r="AJ617" i="6"/>
  <c r="AS617" i="6" s="1"/>
  <c r="AI617" i="6"/>
  <c r="AO617" i="6" s="1"/>
  <c r="AJ616" i="6"/>
  <c r="AS616" i="6" s="1"/>
  <c r="AI616" i="6"/>
  <c r="AO616" i="6" s="1"/>
  <c r="AJ615" i="6"/>
  <c r="AS615" i="6" s="1"/>
  <c r="AI615" i="6"/>
  <c r="AO615" i="6" s="1"/>
  <c r="AS614" i="6"/>
  <c r="AO614" i="6"/>
  <c r="AS612" i="6"/>
  <c r="AO612" i="6"/>
  <c r="AS611" i="6"/>
  <c r="AO611" i="6"/>
  <c r="AS610" i="6"/>
  <c r="AO610" i="6"/>
  <c r="AS609" i="6"/>
  <c r="AO609" i="6"/>
  <c r="AS608" i="6"/>
  <c r="AO608" i="6"/>
  <c r="AS607" i="6"/>
  <c r="AO607" i="6"/>
  <c r="AS606" i="6"/>
  <c r="AO606" i="6"/>
  <c r="AO605" i="6"/>
  <c r="AO604" i="6"/>
  <c r="AO603" i="6"/>
  <c r="AO602" i="6"/>
  <c r="AO322" i="2"/>
  <c r="AK322" i="2"/>
  <c r="AO321" i="2"/>
  <c r="AK321" i="2"/>
  <c r="AY320" i="2"/>
  <c r="AO320" i="2"/>
  <c r="AK320" i="2"/>
  <c r="AO313" i="2"/>
  <c r="AK313" i="2"/>
  <c r="AO312" i="2"/>
  <c r="AK312" i="2"/>
  <c r="AO311" i="2"/>
  <c r="AK311" i="2"/>
  <c r="AY310" i="2"/>
  <c r="AO310" i="2"/>
  <c r="AK310" i="2"/>
  <c r="AH309" i="2"/>
  <c r="AO309" i="2" s="1"/>
  <c r="AG309" i="2"/>
  <c r="AK309" i="2" s="1"/>
  <c r="AO308" i="2"/>
  <c r="AK308" i="2"/>
  <c r="AL601" i="6"/>
  <c r="AS601" i="6" s="1"/>
  <c r="AK601" i="6"/>
  <c r="AO601" i="6" s="1"/>
  <c r="AS600" i="6"/>
  <c r="AO600" i="6"/>
  <c r="AL599" i="6"/>
  <c r="AS599" i="6" s="1"/>
  <c r="AK599" i="6"/>
  <c r="AO599" i="6" s="1"/>
  <c r="AL598" i="6"/>
  <c r="AS598" i="6" s="1"/>
  <c r="AK598" i="6"/>
  <c r="AO598" i="6" s="1"/>
  <c r="AL597" i="6"/>
  <c r="AS597" i="6" s="1"/>
  <c r="AK597" i="6"/>
  <c r="AO597" i="6" s="1"/>
  <c r="AK596" i="6"/>
  <c r="AO596" i="6" s="1"/>
  <c r="AO595" i="6"/>
  <c r="AS594" i="6"/>
  <c r="AO594" i="6"/>
  <c r="AS593" i="6"/>
  <c r="AO593" i="6"/>
  <c r="AS592" i="6"/>
  <c r="AO592" i="6"/>
  <c r="AS591" i="6"/>
  <c r="AO591" i="6"/>
  <c r="AS590" i="6"/>
  <c r="AO590" i="6"/>
  <c r="AO307" i="2"/>
  <c r="AK307" i="2"/>
  <c r="AO306" i="2"/>
  <c r="AK306" i="2"/>
  <c r="AO589" i="6"/>
  <c r="AO588" i="6"/>
  <c r="AS587" i="6"/>
  <c r="AO587" i="6"/>
  <c r="AS586" i="6"/>
  <c r="AO586" i="6"/>
  <c r="AS585" i="6"/>
  <c r="AO585" i="6"/>
  <c r="AS584" i="6"/>
  <c r="AO584" i="6"/>
  <c r="AS583" i="6"/>
  <c r="AO583" i="6"/>
  <c r="AS582" i="6"/>
  <c r="AO582" i="6"/>
  <c r="AS581" i="6"/>
  <c r="AO581" i="6"/>
  <c r="AS580" i="6"/>
  <c r="AO580" i="6"/>
  <c r="AS579" i="6"/>
  <c r="AO579" i="6"/>
  <c r="AO578" i="6"/>
  <c r="AO577" i="6"/>
  <c r="AO576" i="6"/>
  <c r="AO575" i="6"/>
  <c r="AO305" i="2"/>
  <c r="AK305" i="2"/>
  <c r="AO304" i="2"/>
  <c r="AK304" i="2"/>
  <c r="AO303" i="2"/>
  <c r="AK303" i="2"/>
  <c r="AO302" i="2"/>
  <c r="AK302" i="2"/>
  <c r="AO301" i="2"/>
  <c r="AK301" i="2"/>
  <c r="AO300" i="2"/>
  <c r="AK300" i="2"/>
  <c r="AO299" i="2"/>
  <c r="AK299" i="2"/>
  <c r="AO298" i="2"/>
  <c r="AK298" i="2"/>
  <c r="AO297" i="2"/>
  <c r="AK297" i="2"/>
  <c r="AO295" i="2"/>
  <c r="AK295" i="2"/>
  <c r="AO294" i="2"/>
  <c r="AK294" i="2"/>
  <c r="AO293" i="2"/>
  <c r="AK293" i="2"/>
  <c r="AO292" i="2"/>
  <c r="AK292" i="2"/>
  <c r="AO291" i="2"/>
  <c r="AK291" i="2"/>
  <c r="AO290" i="2"/>
  <c r="AK290" i="2"/>
  <c r="AO289" i="2"/>
  <c r="AK289" i="2"/>
  <c r="AO288" i="2"/>
  <c r="AK288" i="2"/>
  <c r="AO1364" i="6" l="1"/>
  <c r="AO1367" i="6"/>
  <c r="AS1364" i="6"/>
  <c r="AS1367" i="6"/>
  <c r="AT1238" i="2"/>
  <c r="AS2129" i="6"/>
  <c r="AX2129" i="6" s="1"/>
  <c r="AX1943" i="6"/>
  <c r="AS2124" i="6"/>
  <c r="AX2124" i="6" s="1"/>
  <c r="AS2130" i="6"/>
  <c r="AX2130" i="6" s="1"/>
  <c r="AS2103" i="6"/>
  <c r="AX2103" i="6" s="1"/>
  <c r="AT871" i="2"/>
  <c r="AT856" i="2"/>
  <c r="AT870" i="2"/>
  <c r="AT941" i="2"/>
  <c r="AT947" i="2"/>
  <c r="AT953" i="2"/>
  <c r="AT852" i="2"/>
  <c r="AT847" i="2"/>
  <c r="AT855" i="2"/>
  <c r="AS2111" i="6"/>
  <c r="AS2101" i="6"/>
  <c r="AX2101" i="6" s="1"/>
  <c r="AS2126" i="6"/>
  <c r="AX2126" i="6" s="1"/>
  <c r="AS2102" i="6"/>
  <c r="AX2102" i="6" s="1"/>
  <c r="AS2115" i="6"/>
  <c r="AX2115" i="6" s="1"/>
  <c r="AS2119" i="6"/>
  <c r="AX2119" i="6" s="1"/>
  <c r="AS2131" i="6"/>
  <c r="AX2131" i="6" s="1"/>
  <c r="AS2145" i="6"/>
  <c r="AS2128" i="6"/>
  <c r="AX2128" i="6" s="1"/>
  <c r="AS2104" i="6"/>
  <c r="AX2104" i="6" s="1"/>
  <c r="AS2125" i="6"/>
  <c r="AX2125" i="6" s="1"/>
  <c r="AS2105" i="6"/>
  <c r="AX2105" i="6" s="1"/>
  <c r="AS2110" i="6"/>
  <c r="AX2110" i="6" s="1"/>
  <c r="AS2122" i="6"/>
  <c r="AX2122" i="6" s="1"/>
  <c r="AX1337" i="6"/>
  <c r="AX1346" i="6"/>
  <c r="AX1332" i="6"/>
  <c r="AX1339" i="6"/>
  <c r="AX1340" i="6"/>
  <c r="AX1349" i="6"/>
  <c r="AX1351" i="6"/>
  <c r="AX1334" i="6"/>
  <c r="AS2118" i="6"/>
  <c r="AX2118" i="6" s="1"/>
  <c r="AX1330" i="6"/>
  <c r="AO2111" i="6"/>
  <c r="AS2123" i="6"/>
  <c r="AX2123" i="6" s="1"/>
  <c r="AS2127" i="6"/>
  <c r="AX2127" i="6" s="1"/>
  <c r="AX1350" i="6"/>
  <c r="AS2116" i="6"/>
  <c r="AX2116" i="6" s="1"/>
  <c r="AO2145" i="6"/>
  <c r="AX1342" i="6"/>
  <c r="AS2120" i="6"/>
  <c r="AX2120" i="6" s="1"/>
  <c r="AS2117" i="6"/>
  <c r="AX2117" i="6" s="1"/>
  <c r="AS2121" i="6"/>
  <c r="AX2121" i="6" s="1"/>
  <c r="AX1344" i="6"/>
  <c r="AO2137" i="6"/>
  <c r="AS2100" i="6"/>
  <c r="AX2100" i="6" s="1"/>
  <c r="AS2106" i="6"/>
  <c r="AX2106" i="6" s="1"/>
  <c r="AT840" i="2"/>
  <c r="AT868" i="2"/>
  <c r="AT849" i="2"/>
  <c r="AT843" i="2"/>
  <c r="AT850" i="2"/>
  <c r="AT864" i="2"/>
  <c r="AT859" i="2"/>
  <c r="AT861" i="2"/>
  <c r="AT862" i="2"/>
  <c r="AT844" i="2"/>
  <c r="AT858" i="2"/>
  <c r="AT846" i="2"/>
  <c r="AT874" i="2"/>
  <c r="AT478" i="2"/>
  <c r="AT955" i="2"/>
  <c r="AT943" i="2"/>
  <c r="AT865" i="2"/>
  <c r="AT841" i="2"/>
  <c r="AT853" i="2"/>
  <c r="AT873" i="2"/>
  <c r="AT867" i="2"/>
  <c r="AT493" i="2"/>
  <c r="AT945" i="2"/>
  <c r="AT957" i="2"/>
  <c r="AT502" i="2"/>
  <c r="AT497" i="2"/>
  <c r="AT950" i="2"/>
  <c r="AT948" i="2"/>
  <c r="AT954" i="2"/>
  <c r="AT952" i="2"/>
  <c r="AT951" i="2"/>
  <c r="AT942" i="2"/>
  <c r="AO958" i="2"/>
  <c r="AT949" i="2"/>
  <c r="AT946" i="2"/>
  <c r="AT956" i="2"/>
  <c r="AT944" i="2"/>
  <c r="AK958" i="2"/>
  <c r="AX2099" i="6"/>
  <c r="AX2097" i="6"/>
  <c r="AX2098" i="6"/>
  <c r="AX2109" i="6"/>
  <c r="AX1025" i="6"/>
  <c r="AX2107" i="6"/>
  <c r="AX2114" i="6"/>
  <c r="AX2091" i="6"/>
  <c r="AX1022" i="6"/>
  <c r="AX2138" i="6"/>
  <c r="AX2112" i="6"/>
  <c r="AX2141" i="6"/>
  <c r="AX2096" i="6"/>
  <c r="AX2143" i="6"/>
  <c r="AX2093" i="6"/>
  <c r="AX2140" i="6"/>
  <c r="AX1020" i="6"/>
  <c r="AX2144" i="6"/>
  <c r="AX1080" i="6"/>
  <c r="AX2142" i="6"/>
  <c r="AX2092" i="6"/>
  <c r="AX2113" i="6"/>
  <c r="AX2108" i="6"/>
  <c r="AX2027" i="6"/>
  <c r="AX1097" i="6"/>
  <c r="AX2019" i="6"/>
  <c r="AX1082" i="6"/>
  <c r="AX2057" i="6"/>
  <c r="AX1075" i="6"/>
  <c r="AX1027" i="6"/>
  <c r="AX1033" i="6"/>
  <c r="AX1023" i="6"/>
  <c r="AX1047" i="6"/>
  <c r="AX1024" i="6"/>
  <c r="AX1073" i="6"/>
  <c r="AX1092" i="6"/>
  <c r="AX1035" i="6"/>
  <c r="AX1048" i="6"/>
  <c r="AX1093" i="6"/>
  <c r="AX1099" i="6"/>
  <c r="AX1064" i="6"/>
  <c r="AX1050" i="6"/>
  <c r="AX1055" i="6"/>
  <c r="AX1079" i="6"/>
  <c r="AX1081" i="6"/>
  <c r="AX1091" i="6"/>
  <c r="AX2001" i="6"/>
  <c r="AX1045" i="6"/>
  <c r="AX1041" i="6"/>
  <c r="AX1052" i="6"/>
  <c r="AX1057" i="6"/>
  <c r="AX1083" i="6"/>
  <c r="AX1088" i="6"/>
  <c r="AX1026" i="6"/>
  <c r="AX1032" i="6"/>
  <c r="AX1063" i="6"/>
  <c r="AX1066" i="6"/>
  <c r="AX1071" i="6"/>
  <c r="AX1078" i="6"/>
  <c r="AX1094" i="6"/>
  <c r="AX1037" i="6"/>
  <c r="AX1054" i="6"/>
  <c r="AX1028" i="6"/>
  <c r="AX1042" i="6"/>
  <c r="AX1049" i="6"/>
  <c r="AX1067" i="6"/>
  <c r="AX1069" i="6"/>
  <c r="AX1074" i="6"/>
  <c r="AX1089" i="6"/>
  <c r="AX1095" i="6"/>
  <c r="AX1029" i="6"/>
  <c r="AX1034" i="6"/>
  <c r="AX1039" i="6"/>
  <c r="AX1096" i="6"/>
  <c r="AX1030" i="6"/>
  <c r="AX1051" i="6"/>
  <c r="AX1086" i="6"/>
  <c r="AX1031" i="6"/>
  <c r="AX1068" i="6"/>
  <c r="AX1077" i="6"/>
  <c r="AX1098" i="6"/>
  <c r="AX1021" i="6"/>
  <c r="AX1053" i="6"/>
  <c r="AX1065" i="6"/>
  <c r="AX1085" i="6"/>
  <c r="AX1090" i="6"/>
  <c r="AX2005" i="6"/>
  <c r="AX1070" i="6"/>
  <c r="AX1038" i="6"/>
  <c r="AX1058" i="6"/>
  <c r="AX2071" i="6"/>
  <c r="AX2077" i="6"/>
  <c r="AX2083" i="6"/>
  <c r="AX1043" i="6"/>
  <c r="AX1059" i="6"/>
  <c r="AX1087" i="6"/>
  <c r="AX1040" i="6"/>
  <c r="AX1060" i="6"/>
  <c r="AX1061" i="6"/>
  <c r="AX1036" i="6"/>
  <c r="AX1044" i="6"/>
  <c r="AX1056" i="6"/>
  <c r="AX1084" i="6"/>
  <c r="AX1046" i="6"/>
  <c r="AX1072" i="6"/>
  <c r="AX1062" i="6"/>
  <c r="AX1076" i="6"/>
  <c r="AX1995" i="6"/>
  <c r="AT485" i="2"/>
  <c r="AT492" i="2"/>
  <c r="AT498" i="2"/>
  <c r="AT488" i="2"/>
  <c r="AT495" i="2"/>
  <c r="AT501" i="2"/>
  <c r="AT477" i="2"/>
  <c r="AT483" i="2"/>
  <c r="AT486" i="2"/>
  <c r="AT480" i="2"/>
  <c r="AT481" i="2"/>
  <c r="AT476" i="2"/>
  <c r="AT489" i="2"/>
  <c r="AT500" i="2"/>
  <c r="AT496" i="2"/>
  <c r="AT491" i="2"/>
  <c r="AT487" i="2"/>
  <c r="AT482" i="2"/>
  <c r="AT499" i="2"/>
  <c r="AT494" i="2"/>
  <c r="AT490" i="2"/>
  <c r="AT729" i="2"/>
  <c r="AT730" i="2"/>
  <c r="AT731" i="2"/>
  <c r="AX1998" i="6"/>
  <c r="AX2041" i="6"/>
  <c r="AX1981" i="6"/>
  <c r="AX1987" i="6"/>
  <c r="AX1992" i="6"/>
  <c r="AX2032" i="6"/>
  <c r="AX2036" i="6"/>
  <c r="AX2076" i="6"/>
  <c r="AX2006" i="6"/>
  <c r="AX1985" i="6"/>
  <c r="AX2012" i="6"/>
  <c r="AX2026" i="6"/>
  <c r="AX2037" i="6"/>
  <c r="AX2058" i="6"/>
  <c r="AX2078" i="6"/>
  <c r="AX1997" i="6"/>
  <c r="AX2002" i="6"/>
  <c r="AX1984" i="6"/>
  <c r="AX1990" i="6"/>
  <c r="AX2010" i="6"/>
  <c r="AX2081" i="6"/>
  <c r="AX1986" i="6"/>
  <c r="AX2007" i="6"/>
  <c r="AX2085" i="6"/>
  <c r="AX2003" i="6"/>
  <c r="AX2008" i="6"/>
  <c r="AX2014" i="6"/>
  <c r="AX2055" i="6"/>
  <c r="AX2059" i="6"/>
  <c r="AX2073" i="6"/>
  <c r="AX2079" i="6"/>
  <c r="AX2087" i="6"/>
  <c r="AX2049" i="6"/>
  <c r="AX2060" i="6"/>
  <c r="AX1983" i="6"/>
  <c r="AX1994" i="6"/>
  <c r="AX2009" i="6"/>
  <c r="AX2050" i="6"/>
  <c r="AX2069" i="6"/>
  <c r="AX2075" i="6"/>
  <c r="AX2070" i="6"/>
  <c r="AX2011" i="6"/>
  <c r="AX2016" i="6"/>
  <c r="AX2025" i="6"/>
  <c r="AX2062" i="6"/>
  <c r="AX2082" i="6"/>
  <c r="AX2029" i="6"/>
  <c r="AX1991" i="6"/>
  <c r="AX2022" i="6"/>
  <c r="AX2047" i="6"/>
  <c r="AX2054" i="6"/>
  <c r="AX2072" i="6"/>
  <c r="AX2013" i="6"/>
  <c r="AX2034" i="6"/>
  <c r="AX2048" i="6"/>
  <c r="AX1988" i="6"/>
  <c r="AX2023" i="6"/>
  <c r="AX1993" i="6"/>
  <c r="AX2056" i="6"/>
  <c r="AX2074" i="6"/>
  <c r="AX1999" i="6"/>
  <c r="AX2004" i="6"/>
  <c r="AX2015" i="6"/>
  <c r="AX2020" i="6"/>
  <c r="AX2035" i="6"/>
  <c r="AX2080" i="6"/>
  <c r="AX1980" i="6"/>
  <c r="AX2017" i="6"/>
  <c r="AX2033" i="6"/>
  <c r="AX2000" i="6"/>
  <c r="AX2018" i="6"/>
  <c r="AX2051" i="6"/>
  <c r="AX2039" i="6"/>
  <c r="AX2030" i="6"/>
  <c r="AX1982" i="6"/>
  <c r="AX1996" i="6"/>
  <c r="AX2052" i="6"/>
  <c r="AX2038" i="6"/>
  <c r="AX2024" i="6"/>
  <c r="AX2042" i="6"/>
  <c r="AX2063" i="6"/>
  <c r="AX1989" i="6"/>
  <c r="AX2021" i="6"/>
  <c r="AX2028" i="6"/>
  <c r="AX2040" i="6"/>
  <c r="AX2031" i="6"/>
  <c r="AO1966" i="6"/>
  <c r="AX1966" i="6" s="1"/>
  <c r="AO1933" i="6"/>
  <c r="AX1926" i="6"/>
  <c r="AX1935" i="6"/>
  <c r="AX1931" i="6"/>
  <c r="AX1939" i="6"/>
  <c r="AO1937" i="6"/>
  <c r="AO1945" i="6"/>
  <c r="AO1941" i="6"/>
  <c r="AT728" i="2"/>
  <c r="AT1441" i="2"/>
  <c r="AT1436" i="2"/>
  <c r="AT1442" i="2"/>
  <c r="AT1448" i="2"/>
  <c r="AT1423" i="2"/>
  <c r="AX1950" i="6"/>
  <c r="AX1956" i="6"/>
  <c r="AX1975" i="6"/>
  <c r="AX1946" i="6"/>
  <c r="AX1972" i="6"/>
  <c r="AT1443" i="2"/>
  <c r="AT702" i="2"/>
  <c r="AX1921" i="6"/>
  <c r="AX1968" i="6"/>
  <c r="AX1974" i="6"/>
  <c r="AX1962" i="6"/>
  <c r="AX1965" i="6"/>
  <c r="AX1970" i="6"/>
  <c r="AX1953" i="6"/>
  <c r="AX1924" i="6"/>
  <c r="AX1949" i="6"/>
  <c r="AX1967" i="6"/>
  <c r="AX1961" i="6"/>
  <c r="AX1964" i="6"/>
  <c r="AX1958" i="6"/>
  <c r="AX1919" i="6"/>
  <c r="AX1971" i="6"/>
  <c r="AX1954" i="6"/>
  <c r="AX1955" i="6"/>
  <c r="AT1424" i="2"/>
  <c r="AT1445" i="2"/>
  <c r="AT1440" i="2"/>
  <c r="AT1446" i="2"/>
  <c r="AT1452" i="2"/>
  <c r="AT1435" i="2"/>
  <c r="AT1447" i="2"/>
  <c r="AT1437" i="2"/>
  <c r="AT1449" i="2"/>
  <c r="AT1438" i="2"/>
  <c r="AT1444" i="2"/>
  <c r="AT1450" i="2"/>
  <c r="AT1439" i="2"/>
  <c r="AT1451" i="2"/>
  <c r="AT723" i="2"/>
  <c r="AT720" i="2"/>
  <c r="AT706" i="2"/>
  <c r="AT718" i="2"/>
  <c r="AT704" i="2"/>
  <c r="AT716" i="2"/>
  <c r="AT722" i="2"/>
  <c r="AT705" i="2"/>
  <c r="AT711" i="2"/>
  <c r="AT717" i="2"/>
  <c r="AT712" i="2"/>
  <c r="AT701" i="2"/>
  <c r="AT707" i="2"/>
  <c r="AT709" i="2"/>
  <c r="AT725" i="2"/>
  <c r="AT703" i="2"/>
  <c r="AT708" i="2"/>
  <c r="AT713" i="2"/>
  <c r="AT726" i="2"/>
  <c r="AT727" i="2"/>
  <c r="AT721" i="2"/>
  <c r="AX1951" i="6"/>
  <c r="AX1973" i="6"/>
  <c r="AX1922" i="6"/>
  <c r="AX1918" i="6"/>
  <c r="AX1947" i="6"/>
  <c r="AX1952" i="6"/>
  <c r="AX1957" i="6"/>
  <c r="AX1969" i="6"/>
  <c r="AX1948" i="6"/>
  <c r="AX1920" i="6"/>
  <c r="AX1959" i="6"/>
  <c r="AX1963" i="6"/>
  <c r="AX1960" i="6"/>
  <c r="AX1923" i="6"/>
  <c r="AX1253" i="6"/>
  <c r="AX1252" i="6"/>
  <c r="AX1259" i="6"/>
  <c r="AX1268" i="6"/>
  <c r="AX1266" i="6"/>
  <c r="AO1881" i="6"/>
  <c r="AX1270" i="6"/>
  <c r="AX1265" i="6"/>
  <c r="AX1380" i="6"/>
  <c r="AX1386" i="6"/>
  <c r="AX1422" i="6"/>
  <c r="AT714" i="2"/>
  <c r="AT719" i="2"/>
  <c r="AT710" i="2"/>
  <c r="AT715" i="2"/>
  <c r="AT904" i="2"/>
  <c r="AK1393" i="2"/>
  <c r="AU1407" i="2"/>
  <c r="AT1413" i="2"/>
  <c r="AX1254" i="6"/>
  <c r="AX1262" i="6"/>
  <c r="AX1251" i="6"/>
  <c r="AX1258" i="6"/>
  <c r="AX1269" i="6"/>
  <c r="AX1255" i="6"/>
  <c r="AX1264" i="6"/>
  <c r="AX1250" i="6"/>
  <c r="AX1271" i="6"/>
  <c r="AX1373" i="6"/>
  <c r="AX1378" i="6"/>
  <c r="AX1424" i="6"/>
  <c r="AX1413" i="6"/>
  <c r="AX1383" i="6"/>
  <c r="AX1409" i="6"/>
  <c r="AX1916" i="6"/>
  <c r="AX1375" i="6"/>
  <c r="AX1361" i="6"/>
  <c r="AX1376" i="6"/>
  <c r="AX1377" i="6"/>
  <c r="AX1362" i="6"/>
  <c r="AX1365" i="6"/>
  <c r="AX1363" i="6"/>
  <c r="AX1399" i="6"/>
  <c r="AX1387" i="6"/>
  <c r="AX1395" i="6"/>
  <c r="AX1900" i="6"/>
  <c r="AX1907" i="6"/>
  <c r="AX1389" i="6"/>
  <c r="AX1396" i="6"/>
  <c r="AX1402" i="6"/>
  <c r="AX1384" i="6"/>
  <c r="AX1410" i="6"/>
  <c r="AX1416" i="6"/>
  <c r="AX1385" i="6"/>
  <c r="AX1398" i="6"/>
  <c r="AX1411" i="6"/>
  <c r="AT884" i="2"/>
  <c r="AT901" i="2"/>
  <c r="AT885" i="2"/>
  <c r="AT902" i="2"/>
  <c r="AT881" i="2"/>
  <c r="AT1392" i="2"/>
  <c r="AT897" i="2"/>
  <c r="AT905" i="2"/>
  <c r="AK1394" i="2"/>
  <c r="AT1394" i="2" s="1"/>
  <c r="AT903" i="2"/>
  <c r="AT894" i="2"/>
  <c r="AT906" i="2"/>
  <c r="AT879" i="2"/>
  <c r="AT892" i="2"/>
  <c r="AT876" i="2"/>
  <c r="AT1419" i="2"/>
  <c r="AT896" i="2"/>
  <c r="AT891" i="2"/>
  <c r="AT898" i="2"/>
  <c r="AT893" i="2"/>
  <c r="AT899" i="2"/>
  <c r="AT1364" i="2"/>
  <c r="AT877" i="2"/>
  <c r="AT883" i="2"/>
  <c r="AT900" i="2"/>
  <c r="AT878" i="2"/>
  <c r="AT895" i="2"/>
  <c r="AX1897" i="6"/>
  <c r="AX1910" i="6"/>
  <c r="AX1917" i="6"/>
  <c r="AX1388" i="6"/>
  <c r="AX1401" i="6"/>
  <c r="AX1408" i="6"/>
  <c r="AX1414" i="6"/>
  <c r="AX1420" i="6"/>
  <c r="AX1369" i="6"/>
  <c r="AX1415" i="6"/>
  <c r="AX1390" i="6"/>
  <c r="AX1397" i="6"/>
  <c r="AX1423" i="6"/>
  <c r="AX1360" i="6"/>
  <c r="AX1366" i="6"/>
  <c r="AX1374" i="6"/>
  <c r="AX1391" i="6"/>
  <c r="AX1370" i="6"/>
  <c r="AX1405" i="6"/>
  <c r="AX1417" i="6"/>
  <c r="AX1381" i="6"/>
  <c r="AX1406" i="6"/>
  <c r="AX1412" i="6"/>
  <c r="AX1418" i="6"/>
  <c r="AX1368" i="6"/>
  <c r="AX1382" i="6"/>
  <c r="AX1394" i="6"/>
  <c r="AX1400" i="6"/>
  <c r="AX1407" i="6"/>
  <c r="AX1419" i="6"/>
  <c r="AX1371" i="6"/>
  <c r="AX1379" i="6"/>
  <c r="AX1403" i="6"/>
  <c r="AX1421" i="6"/>
  <c r="AX1392" i="6"/>
  <c r="AT1391" i="2"/>
  <c r="AT1395" i="2"/>
  <c r="AT1401" i="2"/>
  <c r="AT1406" i="2"/>
  <c r="AX1914" i="6"/>
  <c r="AX1913" i="6"/>
  <c r="AX1915" i="6"/>
  <c r="AX1878" i="6"/>
  <c r="AX1890" i="6"/>
  <c r="AX1887" i="6"/>
  <c r="AX1888" i="6"/>
  <c r="AX1895" i="6"/>
  <c r="AX1241" i="6"/>
  <c r="AX1902" i="6"/>
  <c r="AX1891" i="6"/>
  <c r="AX1899" i="6"/>
  <c r="AX1884" i="6"/>
  <c r="AX1885" i="6"/>
  <c r="AX1903" i="6"/>
  <c r="AX1874" i="6"/>
  <c r="AX1886" i="6"/>
  <c r="AX1876" i="6"/>
  <c r="AX1882" i="6"/>
  <c r="AX1905" i="6"/>
  <c r="AX1889" i="6"/>
  <c r="AX1901" i="6"/>
  <c r="AX1896" i="6"/>
  <c r="AX1908" i="6"/>
  <c r="AX1879" i="6"/>
  <c r="AX1909" i="6"/>
  <c r="AX1892" i="6"/>
  <c r="AX1898" i="6"/>
  <c r="AX1904" i="6"/>
  <c r="AT1390" i="2"/>
  <c r="AT1405" i="2"/>
  <c r="AT1421" i="2"/>
  <c r="AT1418" i="2"/>
  <c r="AT1415" i="2"/>
  <c r="AT1397" i="2"/>
  <c r="AU1408" i="2"/>
  <c r="AU1409" i="2"/>
  <c r="AT1400" i="2"/>
  <c r="AT1422" i="2"/>
  <c r="AT1403" i="2"/>
  <c r="AT1389" i="2"/>
  <c r="AU1410" i="2"/>
  <c r="AT1412" i="2"/>
  <c r="AT1398" i="2"/>
  <c r="AT1399" i="2"/>
  <c r="AT1404" i="2"/>
  <c r="AT1380" i="2"/>
  <c r="AT1388" i="2"/>
  <c r="AT1396" i="2"/>
  <c r="AT1416" i="2"/>
  <c r="AI1245" i="6"/>
  <c r="AO1245" i="6" s="1"/>
  <c r="AX1245" i="6" s="1"/>
  <c r="AT1366" i="2"/>
  <c r="AT1381" i="2"/>
  <c r="AT1387" i="2"/>
  <c r="AT1386" i="2"/>
  <c r="AT1363" i="2"/>
  <c r="AT1367" i="2"/>
  <c r="AT1371" i="2"/>
  <c r="AT1376" i="2"/>
  <c r="AT1385" i="2"/>
  <c r="AT1370" i="2"/>
  <c r="AT1375" i="2"/>
  <c r="AT1368" i="2"/>
  <c r="AT1372" i="2"/>
  <c r="AT1378" i="2"/>
  <c r="AT1382" i="2"/>
  <c r="AT1369" i="2"/>
  <c r="AT1383" i="2"/>
  <c r="AT1365" i="2"/>
  <c r="AT1374" i="2"/>
  <c r="AX1247" i="6"/>
  <c r="AX1230" i="6"/>
  <c r="AX1232" i="6"/>
  <c r="AX1227" i="6"/>
  <c r="AX1246" i="6"/>
  <c r="AX1231" i="6"/>
  <c r="AX1242" i="6"/>
  <c r="AX1243" i="6"/>
  <c r="AX1233" i="6"/>
  <c r="AX1239" i="6"/>
  <c r="AX1244" i="6"/>
  <c r="AX1828" i="6"/>
  <c r="AX1240" i="6"/>
  <c r="AX1237" i="6"/>
  <c r="AX1238" i="6"/>
  <c r="AX1229" i="6"/>
  <c r="AX1856" i="6"/>
  <c r="AT1384" i="2"/>
  <c r="AT1377" i="2"/>
  <c r="AT1373" i="2"/>
  <c r="AT1379" i="2"/>
  <c r="AX1871" i="6"/>
  <c r="AX1848" i="6"/>
  <c r="AX1873" i="6"/>
  <c r="AX1869" i="6"/>
  <c r="AX1846" i="6"/>
  <c r="AX1830" i="6"/>
  <c r="AX1843" i="6"/>
  <c r="AX1834" i="6"/>
  <c r="AX1845" i="6"/>
  <c r="AX1854" i="6"/>
  <c r="AX1844" i="6"/>
  <c r="AX1867" i="6"/>
  <c r="AX1847" i="6"/>
  <c r="AX1833" i="6"/>
  <c r="AX1855" i="6"/>
  <c r="AX1870" i="6"/>
  <c r="AX1842" i="6"/>
  <c r="AX1866" i="6"/>
  <c r="AX1831" i="6"/>
  <c r="AX1857" i="6"/>
  <c r="AX1872" i="6"/>
  <c r="AX1835" i="6"/>
  <c r="AX1868" i="6"/>
  <c r="AT1263" i="2"/>
  <c r="AT1271" i="2"/>
  <c r="AT1315" i="2"/>
  <c r="AT1309" i="2"/>
  <c r="AT1334" i="2"/>
  <c r="AT1307" i="2"/>
  <c r="AT1344" i="2"/>
  <c r="AT1350" i="2"/>
  <c r="AT1255" i="2"/>
  <c r="AT1284" i="2"/>
  <c r="AT1346" i="2"/>
  <c r="AT1246" i="2"/>
  <c r="AT1252" i="2"/>
  <c r="AT1342" i="2"/>
  <c r="AT1259" i="2"/>
  <c r="AT1300" i="2"/>
  <c r="AT1289" i="2"/>
  <c r="AT1301" i="2"/>
  <c r="AT1326" i="2"/>
  <c r="AT1310" i="2"/>
  <c r="AT1317" i="2"/>
  <c r="AT1323" i="2"/>
  <c r="AT1318" i="2"/>
  <c r="AT1324" i="2"/>
  <c r="AT1337" i="2"/>
  <c r="AT1254" i="2"/>
  <c r="AT1280" i="2"/>
  <c r="AT1285" i="2"/>
  <c r="AT1250" i="2"/>
  <c r="AT1251" i="2"/>
  <c r="AT1333" i="2"/>
  <c r="AT1262" i="2"/>
  <c r="AT1247" i="2"/>
  <c r="AT1253" i="2"/>
  <c r="AT1292" i="2"/>
  <c r="AT1298" i="2"/>
  <c r="AT1335" i="2"/>
  <c r="AT1336" i="2"/>
  <c r="AT1296" i="2"/>
  <c r="AT1348" i="2"/>
  <c r="AT1341" i="2"/>
  <c r="AT1274" i="2"/>
  <c r="AT1291" i="2"/>
  <c r="AT1297" i="2"/>
  <c r="AT1302" i="2"/>
  <c r="AT1308" i="2"/>
  <c r="AT1319" i="2"/>
  <c r="AT1325" i="2"/>
  <c r="AT1349" i="2"/>
  <c r="AT1261" i="2"/>
  <c r="AT1293" i="2"/>
  <c r="AT1299" i="2"/>
  <c r="AT1345" i="2"/>
  <c r="AT1256" i="2"/>
  <c r="AT1311" i="2"/>
  <c r="AT1306" i="2"/>
  <c r="AX1131" i="6"/>
  <c r="AT1266" i="2"/>
  <c r="AT1330" i="2"/>
  <c r="AT1340" i="2"/>
  <c r="AT468" i="2"/>
  <c r="AT538" i="2"/>
  <c r="AT574" i="2"/>
  <c r="AT1288" i="2"/>
  <c r="AT1314" i="2"/>
  <c r="AT1248" i="2"/>
  <c r="AT1258" i="2"/>
  <c r="AT1294" i="2"/>
  <c r="AT1304" i="2"/>
  <c r="AT1320" i="2"/>
  <c r="AT1332" i="2"/>
  <c r="AT1343" i="2"/>
  <c r="AT1264" i="2"/>
  <c r="AT1290" i="2"/>
  <c r="AT1316" i="2"/>
  <c r="AT1338" i="2"/>
  <c r="AT1260" i="2"/>
  <c r="AT413" i="2"/>
  <c r="AT419" i="2"/>
  <c r="AT1277" i="2"/>
  <c r="AT1286" i="2"/>
  <c r="AT1312" i="2"/>
  <c r="AT1322" i="2"/>
  <c r="AT1249" i="2"/>
  <c r="AT1257" i="2"/>
  <c r="AT1265" i="2"/>
  <c r="AT1287" i="2"/>
  <c r="AT1295" i="2"/>
  <c r="AT1303" i="2"/>
  <c r="AT1313" i="2"/>
  <c r="AT1321" i="2"/>
  <c r="AT1331" i="2"/>
  <c r="AT1339" i="2"/>
  <c r="AT1347" i="2"/>
  <c r="AT341" i="2"/>
  <c r="AT395" i="2"/>
  <c r="AT426" i="2"/>
  <c r="AT438" i="2"/>
  <c r="AT444" i="2"/>
  <c r="AT450" i="2"/>
  <c r="AT601" i="2"/>
  <c r="AT380" i="2"/>
  <c r="AX1128" i="6"/>
  <c r="AX1134" i="6"/>
  <c r="AX1140" i="6"/>
  <c r="AT466" i="2"/>
  <c r="AT473" i="2"/>
  <c r="AT524" i="2"/>
  <c r="AT596" i="2"/>
  <c r="AT602" i="2"/>
  <c r="AT616" i="2"/>
  <c r="AT644" i="2"/>
  <c r="AT669" i="2"/>
  <c r="AT671" i="2"/>
  <c r="AT587" i="2"/>
  <c r="AT593" i="2"/>
  <c r="AT619" i="2"/>
  <c r="AT657" i="2"/>
  <c r="AT652" i="2"/>
  <c r="AX1123" i="6"/>
  <c r="AT514" i="2"/>
  <c r="AK661" i="2"/>
  <c r="AT522" i="2"/>
  <c r="AT528" i="2"/>
  <c r="AT534" i="2"/>
  <c r="AT582" i="2"/>
  <c r="AT535" i="2"/>
  <c r="AT583" i="2"/>
  <c r="AT589" i="2"/>
  <c r="AT653" i="2"/>
  <c r="AT654" i="2"/>
  <c r="AK660" i="2"/>
  <c r="AK663" i="2"/>
  <c r="AT425" i="2"/>
  <c r="AT443" i="2"/>
  <c r="AO660" i="2"/>
  <c r="AO663" i="2"/>
  <c r="AT675" i="2"/>
  <c r="AT525" i="2"/>
  <c r="AT531" i="2"/>
  <c r="AT537" i="2"/>
  <c r="AT573" i="2"/>
  <c r="AT579" i="2"/>
  <c r="AT585" i="2"/>
  <c r="AT591" i="2"/>
  <c r="AT597" i="2"/>
  <c r="AT603" i="2"/>
  <c r="AT634" i="2"/>
  <c r="AT655" i="2"/>
  <c r="AX1118" i="6"/>
  <c r="AX1111" i="6"/>
  <c r="AX1119" i="6"/>
  <c r="AX1112" i="6"/>
  <c r="AX1120" i="6"/>
  <c r="AX1133" i="6"/>
  <c r="AT530" i="2"/>
  <c r="AT673" i="2"/>
  <c r="AT572" i="2"/>
  <c r="AT578" i="2"/>
  <c r="AT584" i="2"/>
  <c r="AT674" i="2"/>
  <c r="AT527" i="2"/>
  <c r="AT592" i="2"/>
  <c r="AT598" i="2"/>
  <c r="AT618" i="2"/>
  <c r="AT650" i="2"/>
  <c r="AT656" i="2"/>
  <c r="AT676" i="2"/>
  <c r="AT539" i="2"/>
  <c r="AT581" i="2"/>
  <c r="AT612" i="2"/>
  <c r="AO661" i="2"/>
  <c r="AT410" i="2"/>
  <c r="AT442" i="2"/>
  <c r="AT523" i="2"/>
  <c r="AT529" i="2"/>
  <c r="AT614" i="2"/>
  <c r="AT670" i="2"/>
  <c r="AT672" i="2"/>
  <c r="AX1103" i="6"/>
  <c r="AX1129" i="6"/>
  <c r="AX1135" i="6"/>
  <c r="AX1124" i="6"/>
  <c r="AX1130" i="6"/>
  <c r="AX1136" i="6"/>
  <c r="AX1125" i="6"/>
  <c r="AX1137" i="6"/>
  <c r="AX1113" i="6"/>
  <c r="AX1126" i="6"/>
  <c r="AX1132" i="6"/>
  <c r="AX1138" i="6"/>
  <c r="AX1101" i="6"/>
  <c r="AX1102" i="6"/>
  <c r="AX1108" i="6"/>
  <c r="AX1127" i="6"/>
  <c r="AX1139" i="6"/>
  <c r="AX1105" i="6"/>
  <c r="AX1100" i="6"/>
  <c r="AX1106" i="6"/>
  <c r="AX1107" i="6"/>
  <c r="AX902" i="6"/>
  <c r="AX1110" i="6"/>
  <c r="AX1104" i="6"/>
  <c r="AT519" i="2"/>
  <c r="AT577" i="2"/>
  <c r="AT600" i="2"/>
  <c r="AT665" i="2"/>
  <c r="AT463" i="2"/>
  <c r="AT520" i="2"/>
  <c r="AK662" i="2"/>
  <c r="AT452" i="2"/>
  <c r="AT464" i="2"/>
  <c r="AT515" i="2"/>
  <c r="AT521" i="2"/>
  <c r="AT526" i="2"/>
  <c r="AT532" i="2"/>
  <c r="AT633" i="2"/>
  <c r="AT648" i="2"/>
  <c r="AT465" i="2"/>
  <c r="AT533" i="2"/>
  <c r="AT580" i="2"/>
  <c r="AT586" i="2"/>
  <c r="AT617" i="2"/>
  <c r="AT625" i="2"/>
  <c r="AT511" i="2"/>
  <c r="AT512" i="2"/>
  <c r="AT576" i="2"/>
  <c r="AT588" i="2"/>
  <c r="AT645" i="2"/>
  <c r="AX889" i="6"/>
  <c r="AX900" i="6"/>
  <c r="AX904" i="6"/>
  <c r="AT288" i="2"/>
  <c r="AT307" i="2"/>
  <c r="AT516" i="2"/>
  <c r="AT540" i="2"/>
  <c r="AT575" i="2"/>
  <c r="AT594" i="2"/>
  <c r="AT599" i="2"/>
  <c r="AT639" i="2"/>
  <c r="AT646" i="2"/>
  <c r="AT517" i="2"/>
  <c r="AT536" i="2"/>
  <c r="AT541" i="2"/>
  <c r="AT590" i="2"/>
  <c r="AT595" i="2"/>
  <c r="AT647" i="2"/>
  <c r="AT658" i="2"/>
  <c r="AT397" i="2"/>
  <c r="AT469" i="2"/>
  <c r="AT513" i="2"/>
  <c r="AT643" i="2"/>
  <c r="AT659" i="2"/>
  <c r="AO662" i="2"/>
  <c r="AT429" i="2"/>
  <c r="AT615" i="2"/>
  <c r="AT635" i="2"/>
  <c r="AT649" i="2"/>
  <c r="AT651" i="2"/>
  <c r="AX895" i="6"/>
  <c r="AX961" i="6"/>
  <c r="AO1016" i="6"/>
  <c r="AX975" i="6"/>
  <c r="AX909" i="6"/>
  <c r="AX964" i="6"/>
  <c r="AX976" i="6"/>
  <c r="AX995" i="6"/>
  <c r="AX959" i="6"/>
  <c r="AX960" i="6"/>
  <c r="AX979" i="6"/>
  <c r="AX827" i="6"/>
  <c r="AX901" i="6"/>
  <c r="AX939" i="6"/>
  <c r="AX1000" i="6"/>
  <c r="AX1012" i="6"/>
  <c r="AX845" i="6"/>
  <c r="AX918" i="6"/>
  <c r="AX941" i="6"/>
  <c r="AX1004" i="6"/>
  <c r="AX1010" i="6"/>
  <c r="AX804" i="6"/>
  <c r="AX816" i="6"/>
  <c r="AX919" i="6"/>
  <c r="AX925" i="6"/>
  <c r="AX942" i="6"/>
  <c r="AX977" i="6"/>
  <c r="AX990" i="6"/>
  <c r="AO994" i="6"/>
  <c r="AX1005" i="6"/>
  <c r="AX1011" i="6"/>
  <c r="AX817" i="6"/>
  <c r="AX835" i="6"/>
  <c r="AX949" i="6"/>
  <c r="AX984" i="6"/>
  <c r="AX999" i="6"/>
  <c r="AX1006" i="6"/>
  <c r="AX842" i="6"/>
  <c r="AX885" i="6"/>
  <c r="AX927" i="6"/>
  <c r="AX956" i="6"/>
  <c r="AX980" i="6"/>
  <c r="AX985" i="6"/>
  <c r="AX992" i="6"/>
  <c r="AX1007" i="6"/>
  <c r="AX1018" i="6"/>
  <c r="AX996" i="6"/>
  <c r="AX981" i="6"/>
  <c r="AX986" i="6"/>
  <c r="AO899" i="6"/>
  <c r="AO967" i="6"/>
  <c r="AW861" i="6"/>
  <c r="AX874" i="6"/>
  <c r="AX929" i="6"/>
  <c r="AX940" i="6"/>
  <c r="AX997" i="6"/>
  <c r="AX1001" i="6"/>
  <c r="AX1009" i="6"/>
  <c r="AT666" i="2"/>
  <c r="AT667" i="2"/>
  <c r="AT664" i="2"/>
  <c r="AT668" i="2"/>
  <c r="AT470" i="2"/>
  <c r="AT440" i="2"/>
  <c r="AT445" i="2"/>
  <c r="AT451" i="2"/>
  <c r="AT441" i="2"/>
  <c r="AT446" i="2"/>
  <c r="AT462" i="2"/>
  <c r="AT467" i="2"/>
  <c r="AT393" i="2"/>
  <c r="AT474" i="2"/>
  <c r="AT431" i="2"/>
  <c r="AS899" i="6"/>
  <c r="AS966" i="6"/>
  <c r="AX983" i="6"/>
  <c r="AX987" i="6"/>
  <c r="AX932" i="6"/>
  <c r="AS788" i="6"/>
  <c r="AX928" i="6"/>
  <c r="AX933" i="6"/>
  <c r="AX973" i="6"/>
  <c r="AX944" i="6"/>
  <c r="AO966" i="6"/>
  <c r="AO792" i="6"/>
  <c r="AX837" i="6"/>
  <c r="AX878" i="6"/>
  <c r="AX891" i="6"/>
  <c r="AX923" i="6"/>
  <c r="AX945" i="6"/>
  <c r="AS967" i="6"/>
  <c r="AX1008" i="6"/>
  <c r="AO1017" i="6"/>
  <c r="AK1003" i="6"/>
  <c r="AO1003" i="6" s="1"/>
  <c r="AX1003" i="6" s="1"/>
  <c r="AX935" i="6"/>
  <c r="AX946" i="6"/>
  <c r="AX974" i="6"/>
  <c r="AX998" i="6"/>
  <c r="AS789" i="6"/>
  <c r="AX658" i="6"/>
  <c r="AX663" i="6"/>
  <c r="AX669" i="6"/>
  <c r="AX674" i="6"/>
  <c r="AO793" i="6"/>
  <c r="AX892" i="6"/>
  <c r="AX991" i="6"/>
  <c r="AX1019" i="6"/>
  <c r="AX834" i="6"/>
  <c r="AX840" i="6"/>
  <c r="AX887" i="6"/>
  <c r="AS898" i="6"/>
  <c r="AX937" i="6"/>
  <c r="AX948" i="6"/>
  <c r="AO898" i="6"/>
  <c r="AX903" i="6"/>
  <c r="AX982" i="6"/>
  <c r="AT422" i="2"/>
  <c r="AT435" i="2"/>
  <c r="AT412" i="2"/>
  <c r="AT424" i="2"/>
  <c r="AT439" i="2"/>
  <c r="AT325" i="2"/>
  <c r="AT430" i="2"/>
  <c r="AT436" i="2"/>
  <c r="AT460" i="2"/>
  <c r="AT455" i="2"/>
  <c r="AT461" i="2"/>
  <c r="AT471" i="2"/>
  <c r="AT427" i="2"/>
  <c r="AX963" i="6"/>
  <c r="AX953" i="6"/>
  <c r="AX1002" i="6"/>
  <c r="AS993" i="6"/>
  <c r="AX993" i="6" s="1"/>
  <c r="AS858" i="6"/>
  <c r="AX879" i="6"/>
  <c r="AX896" i="6"/>
  <c r="AX910" i="6"/>
  <c r="AX922" i="6"/>
  <c r="AX926" i="6"/>
  <c r="AX952" i="6"/>
  <c r="AX782" i="6"/>
  <c r="AO788" i="6"/>
  <c r="AX806" i="6"/>
  <c r="AX811" i="6"/>
  <c r="AX931" i="6"/>
  <c r="AX957" i="6"/>
  <c r="AX825" i="6"/>
  <c r="AX875" i="6"/>
  <c r="AX897" i="6"/>
  <c r="AX906" i="6"/>
  <c r="AX911" i="6"/>
  <c r="AX947" i="6"/>
  <c r="AX958" i="6"/>
  <c r="AX843" i="6"/>
  <c r="AX706" i="6"/>
  <c r="AX819" i="6"/>
  <c r="AX876" i="6"/>
  <c r="AX912" i="6"/>
  <c r="AX938" i="6"/>
  <c r="AX943" i="6"/>
  <c r="AS994" i="6"/>
  <c r="AX820" i="6"/>
  <c r="AX844" i="6"/>
  <c r="AX851" i="6"/>
  <c r="AW856" i="6"/>
  <c r="AX893" i="6"/>
  <c r="AX907" i="6"/>
  <c r="AX914" i="6"/>
  <c r="AX924" i="6"/>
  <c r="AX954" i="6"/>
  <c r="AX839" i="6"/>
  <c r="AX920" i="6"/>
  <c r="AX934" i="6"/>
  <c r="AX950" i="6"/>
  <c r="AX884" i="6"/>
  <c r="AX965" i="6"/>
  <c r="AX779" i="6"/>
  <c r="AX915" i="6"/>
  <c r="AT398" i="2"/>
  <c r="AT428" i="2"/>
  <c r="AT454" i="2"/>
  <c r="AT328" i="2"/>
  <c r="AT402" i="2"/>
  <c r="AT164" i="2"/>
  <c r="AT417" i="2"/>
  <c r="AT449" i="2"/>
  <c r="AT420" i="2"/>
  <c r="AT457" i="2"/>
  <c r="AO386" i="2"/>
  <c r="AT414" i="2"/>
  <c r="AT437" i="2"/>
  <c r="AT456" i="2"/>
  <c r="AT415" i="2"/>
  <c r="AT421" i="2"/>
  <c r="AT432" i="2"/>
  <c r="AT458" i="2"/>
  <c r="AT404" i="2"/>
  <c r="AT407" i="2"/>
  <c r="AT453" i="2"/>
  <c r="AT418" i="2"/>
  <c r="AT347" i="2"/>
  <c r="AT374" i="2"/>
  <c r="AT383" i="2"/>
  <c r="AT387" i="2"/>
  <c r="AT416" i="2"/>
  <c r="AT433" i="2"/>
  <c r="AX908" i="6"/>
  <c r="AX955" i="6"/>
  <c r="AX930" i="6"/>
  <c r="AX882" i="6"/>
  <c r="AW857" i="6"/>
  <c r="AW859" i="6"/>
  <c r="AX865" i="6"/>
  <c r="AX590" i="6"/>
  <c r="AX607" i="6"/>
  <c r="AX681" i="6"/>
  <c r="AX687" i="6"/>
  <c r="AX831" i="6"/>
  <c r="AX848" i="6"/>
  <c r="AO858" i="6"/>
  <c r="AX866" i="6"/>
  <c r="AX870" i="6"/>
  <c r="AW864" i="6"/>
  <c r="AX849" i="6"/>
  <c r="AX781" i="6"/>
  <c r="AX787" i="6"/>
  <c r="AX850" i="6"/>
  <c r="AX877" i="6"/>
  <c r="AX881" i="6"/>
  <c r="AS886" i="6"/>
  <c r="AX868" i="6"/>
  <c r="AX833" i="6"/>
  <c r="AW862" i="6"/>
  <c r="AO886" i="6"/>
  <c r="AT401" i="2"/>
  <c r="AT411" i="2"/>
  <c r="AT384" i="2"/>
  <c r="AT392" i="2"/>
  <c r="AT396" i="2"/>
  <c r="AT376" i="2"/>
  <c r="AT400" i="2"/>
  <c r="AT308" i="2"/>
  <c r="AX890" i="6"/>
  <c r="AX880" i="6"/>
  <c r="AW860" i="6"/>
  <c r="AX871" i="6"/>
  <c r="AX873" i="6"/>
  <c r="AX867" i="6"/>
  <c r="AX869" i="6"/>
  <c r="AX830" i="6"/>
  <c r="AO795" i="6"/>
  <c r="AX826" i="6"/>
  <c r="AS792" i="6"/>
  <c r="AX716" i="6"/>
  <c r="AX784" i="6"/>
  <c r="AX812" i="6"/>
  <c r="AX836" i="6"/>
  <c r="AX841" i="6"/>
  <c r="AX689" i="6"/>
  <c r="AX802" i="6"/>
  <c r="AX818" i="6"/>
  <c r="AX828" i="6"/>
  <c r="AX854" i="6"/>
  <c r="AX665" i="6"/>
  <c r="AX671" i="6"/>
  <c r="AX813" i="6"/>
  <c r="AX610" i="6"/>
  <c r="AX718" i="6"/>
  <c r="AX786" i="6"/>
  <c r="AO790" i="6"/>
  <c r="AX809" i="6"/>
  <c r="AX829" i="6"/>
  <c r="AX838" i="6"/>
  <c r="AX855" i="6"/>
  <c r="AX799" i="6"/>
  <c r="AT408" i="2"/>
  <c r="AT405" i="2"/>
  <c r="AT354" i="2"/>
  <c r="AT399" i="2"/>
  <c r="AT382" i="2"/>
  <c r="AT345" i="2"/>
  <c r="AX832" i="6"/>
  <c r="AX853" i="6"/>
  <c r="AX783" i="6"/>
  <c r="AX791" i="6"/>
  <c r="AX805" i="6"/>
  <c r="AX632" i="6"/>
  <c r="AX667" i="6"/>
  <c r="AX780" i="6"/>
  <c r="AX785" i="6"/>
  <c r="AX800" i="6"/>
  <c r="AO789" i="6"/>
  <c r="AX801" i="6"/>
  <c r="AX810" i="6"/>
  <c r="AX807" i="6"/>
  <c r="AS790" i="6"/>
  <c r="AX609" i="6"/>
  <c r="AX616" i="6"/>
  <c r="AX683" i="6"/>
  <c r="AX696" i="6"/>
  <c r="AX702" i="6"/>
  <c r="AS793" i="6"/>
  <c r="AX803" i="6"/>
  <c r="AX808" i="6"/>
  <c r="AX821" i="6"/>
  <c r="AT375" i="2"/>
  <c r="AK385" i="2"/>
  <c r="AT310" i="2"/>
  <c r="AO385" i="2"/>
  <c r="AT381" i="2"/>
  <c r="AK386" i="2"/>
  <c r="AX679" i="6"/>
  <c r="AX698" i="6"/>
  <c r="AX704" i="6"/>
  <c r="AX741" i="6"/>
  <c r="AX606" i="6"/>
  <c r="AX680" i="6"/>
  <c r="AX686" i="6"/>
  <c r="AX705" i="6"/>
  <c r="AX732" i="6"/>
  <c r="AX743" i="6"/>
  <c r="AX651" i="6"/>
  <c r="AX668" i="6"/>
  <c r="AX673" i="6"/>
  <c r="AX714" i="6"/>
  <c r="AX720" i="6"/>
  <c r="AX778" i="6"/>
  <c r="AX591" i="6"/>
  <c r="AX608" i="6"/>
  <c r="AX615" i="6"/>
  <c r="AX715" i="6"/>
  <c r="AT326" i="2"/>
  <c r="AT332" i="2"/>
  <c r="AT313" i="2"/>
  <c r="AT338" i="2"/>
  <c r="AT350" i="2"/>
  <c r="AT309" i="2"/>
  <c r="AT352" i="2"/>
  <c r="AX672" i="6"/>
  <c r="AX697" i="6"/>
  <c r="AX738" i="6"/>
  <c r="AX583" i="6"/>
  <c r="AX594" i="6"/>
  <c r="AX739" i="6"/>
  <c r="AX712" i="6"/>
  <c r="AX653" i="6"/>
  <c r="AX664" i="6"/>
  <c r="AX670" i="6"/>
  <c r="AX682" i="6"/>
  <c r="AX745" i="6"/>
  <c r="AX662" i="6"/>
  <c r="AX624" i="6"/>
  <c r="AX701" i="6"/>
  <c r="AX707" i="6"/>
  <c r="AT343" i="2"/>
  <c r="AT322" i="2"/>
  <c r="AT306" i="2"/>
  <c r="AT323" i="2"/>
  <c r="AT324" i="2"/>
  <c r="AT339" i="2"/>
  <c r="AT333" i="2"/>
  <c r="AX690" i="6"/>
  <c r="AX625" i="6"/>
  <c r="AX654" i="6"/>
  <c r="AX721" i="6"/>
  <c r="AX659" i="6"/>
  <c r="AX611" i="6"/>
  <c r="AX626" i="6"/>
  <c r="AX655" i="6"/>
  <c r="AX660" i="6"/>
  <c r="AX703" i="6"/>
  <c r="AX722" i="6"/>
  <c r="AX652" i="6"/>
  <c r="AX699" i="6"/>
  <c r="AX717" i="6"/>
  <c r="AX612" i="6"/>
  <c r="AX627" i="6"/>
  <c r="AX656" i="6"/>
  <c r="AX661" i="6"/>
  <c r="AX666" i="6"/>
  <c r="AX723" i="6"/>
  <c r="AX614" i="6"/>
  <c r="AX657" i="6"/>
  <c r="AX678" i="6"/>
  <c r="AX695" i="6"/>
  <c r="AX700" i="6"/>
  <c r="AX713" i="6"/>
  <c r="AX724" i="6"/>
  <c r="AX684" i="6"/>
  <c r="AX719" i="6"/>
  <c r="AX685" i="6"/>
  <c r="AX623" i="6"/>
  <c r="AT327" i="2"/>
  <c r="AT320" i="2"/>
  <c r="AX688" i="6"/>
  <c r="AX592" i="6"/>
  <c r="AX599" i="6"/>
  <c r="AX622" i="6"/>
  <c r="AX628" i="6"/>
  <c r="AX593" i="6"/>
  <c r="AX600" i="6"/>
  <c r="AX629" i="6"/>
  <c r="AX617" i="6"/>
  <c r="AX598" i="6"/>
  <c r="AX581" i="6"/>
  <c r="AT293" i="2"/>
  <c r="AT300" i="2"/>
  <c r="AX582" i="6"/>
  <c r="AT301" i="2"/>
  <c r="AX580" i="6"/>
  <c r="AT292" i="2"/>
  <c r="AT304" i="2"/>
  <c r="AX584" i="6"/>
  <c r="AX586" i="6"/>
  <c r="AT297" i="2"/>
  <c r="AT291" i="2"/>
  <c r="AT298" i="2"/>
  <c r="AT289" i="2"/>
  <c r="AT295" i="2"/>
  <c r="AT302" i="2"/>
  <c r="AT305" i="2"/>
  <c r="AT299" i="2"/>
  <c r="AT294" i="2"/>
  <c r="AT290" i="2"/>
  <c r="AT303" i="2"/>
  <c r="AX587" i="6"/>
  <c r="AX579" i="6"/>
  <c r="AX585" i="6"/>
  <c r="AS574" i="6"/>
  <c r="AO574" i="6"/>
  <c r="AS573" i="6"/>
  <c r="AO573" i="6"/>
  <c r="AS572" i="6"/>
  <c r="AO572" i="6"/>
  <c r="AS571" i="6"/>
  <c r="AO571" i="6"/>
  <c r="AS570" i="6"/>
  <c r="AO570" i="6"/>
  <c r="AS568" i="6"/>
  <c r="AO568" i="6"/>
  <c r="AO567" i="6"/>
  <c r="AJ567" i="6"/>
  <c r="AS567" i="6" s="1"/>
  <c r="AS566" i="6"/>
  <c r="AO566" i="6"/>
  <c r="AS565" i="6"/>
  <c r="AO565" i="6"/>
  <c r="AS564" i="6"/>
  <c r="AO564" i="6"/>
  <c r="AS563" i="6"/>
  <c r="AO563" i="6"/>
  <c r="AS562" i="6"/>
  <c r="AO562" i="6"/>
  <c r="AS561" i="6"/>
  <c r="AO561" i="6"/>
  <c r="AS560" i="6"/>
  <c r="AO560" i="6"/>
  <c r="AS559" i="6"/>
  <c r="AO559" i="6"/>
  <c r="AS558" i="6"/>
  <c r="AO558" i="6"/>
  <c r="AS557" i="6"/>
  <c r="AO557" i="6"/>
  <c r="AO287" i="2"/>
  <c r="AK287" i="2"/>
  <c r="AO286" i="2"/>
  <c r="AK286" i="2"/>
  <c r="AO285" i="2"/>
  <c r="AK285" i="2"/>
  <c r="AO284" i="2"/>
  <c r="AK284" i="2"/>
  <c r="AX1364" i="6" l="1"/>
  <c r="AX1367" i="6"/>
  <c r="AX2111" i="6"/>
  <c r="AX2145" i="6"/>
  <c r="AT958" i="2"/>
  <c r="AT661" i="2"/>
  <c r="AT660" i="2"/>
  <c r="AT662" i="2"/>
  <c r="AT663" i="2"/>
  <c r="AX994" i="6"/>
  <c r="AX898" i="6"/>
  <c r="AX966" i="6"/>
  <c r="AX967" i="6"/>
  <c r="AX792" i="6"/>
  <c r="AX793" i="6"/>
  <c r="AX788" i="6"/>
  <c r="AX899" i="6"/>
  <c r="AX789" i="6"/>
  <c r="AX886" i="6"/>
  <c r="AW858" i="6"/>
  <c r="AX790" i="6"/>
  <c r="AT386" i="2"/>
  <c r="AT385" i="2"/>
  <c r="AX557" i="6"/>
  <c r="AX559" i="6"/>
  <c r="AX565" i="6"/>
  <c r="AT286" i="2"/>
  <c r="AT287" i="2"/>
  <c r="AT284" i="2"/>
  <c r="AX572" i="6"/>
  <c r="AX574" i="6"/>
  <c r="AX564" i="6"/>
  <c r="AX571" i="6"/>
  <c r="AX566" i="6"/>
  <c r="AX573" i="6"/>
  <c r="AX568" i="6"/>
  <c r="AX558" i="6"/>
  <c r="AX570" i="6"/>
  <c r="AX560" i="6"/>
  <c r="AT285" i="2"/>
  <c r="AX567" i="6"/>
  <c r="AO556" i="6" l="1"/>
  <c r="AS554" i="6"/>
  <c r="AO554" i="6"/>
  <c r="AA554" i="6"/>
  <c r="AL553" i="6"/>
  <c r="AS553" i="6" s="1"/>
  <c r="AK553" i="6"/>
  <c r="AO553" i="6" s="1"/>
  <c r="AA553" i="6"/>
  <c r="AL552" i="6"/>
  <c r="AS552" i="6" s="1"/>
  <c r="AK552" i="6"/>
  <c r="AO552" i="6" s="1"/>
  <c r="AA552" i="6"/>
  <c r="AS551" i="6"/>
  <c r="AO551" i="6"/>
  <c r="AA551" i="6"/>
  <c r="AL550" i="6"/>
  <c r="AK550" i="6"/>
  <c r="AJ550" i="6"/>
  <c r="AI550" i="6"/>
  <c r="AA550" i="6"/>
  <c r="AL549" i="6"/>
  <c r="AS549" i="6" s="1"/>
  <c r="AK549" i="6"/>
  <c r="AO549" i="6" s="1"/>
  <c r="AA549" i="6"/>
  <c r="AL548" i="6"/>
  <c r="AS548" i="6" s="1"/>
  <c r="AK548" i="6"/>
  <c r="AO548" i="6" s="1"/>
  <c r="AA548" i="6"/>
  <c r="AL547" i="6"/>
  <c r="AS547" i="6" s="1"/>
  <c r="AK547" i="6"/>
  <c r="AO547" i="6" s="1"/>
  <c r="AA547" i="6"/>
  <c r="AL546" i="6"/>
  <c r="AS546" i="6" s="1"/>
  <c r="AK546" i="6"/>
  <c r="AO546" i="6" s="1"/>
  <c r="AA546" i="6"/>
  <c r="AL545" i="6"/>
  <c r="AS545" i="6" s="1"/>
  <c r="AK545" i="6"/>
  <c r="AO545" i="6" s="1"/>
  <c r="AA545" i="6"/>
  <c r="AL544" i="6"/>
  <c r="AS544" i="6" s="1"/>
  <c r="AK544" i="6"/>
  <c r="AO544" i="6" s="1"/>
  <c r="AA544" i="6"/>
  <c r="AL543" i="6"/>
  <c r="AS543" i="6" s="1"/>
  <c r="AK543" i="6"/>
  <c r="AO543" i="6" s="1"/>
  <c r="AA543" i="6"/>
  <c r="AL542" i="6"/>
  <c r="AS542" i="6" s="1"/>
  <c r="AK542" i="6"/>
  <c r="AO542" i="6" s="1"/>
  <c r="AA542" i="6"/>
  <c r="AS541" i="6"/>
  <c r="AO541" i="6"/>
  <c r="AA541" i="6"/>
  <c r="AJ540" i="6"/>
  <c r="AS540" i="6" s="1"/>
  <c r="AI540" i="6"/>
  <c r="AO540" i="6" s="1"/>
  <c r="AA540" i="6"/>
  <c r="AL539" i="6"/>
  <c r="AK539" i="6"/>
  <c r="AJ539" i="6"/>
  <c r="AI539" i="6"/>
  <c r="AA539" i="6"/>
  <c r="AL538" i="6"/>
  <c r="AS538" i="6" s="1"/>
  <c r="AK538" i="6"/>
  <c r="AO538" i="6" s="1"/>
  <c r="AA538" i="6"/>
  <c r="AL537" i="6"/>
  <c r="AS537" i="6" s="1"/>
  <c r="AK537" i="6"/>
  <c r="AO537" i="6" s="1"/>
  <c r="AA537" i="6"/>
  <c r="AL536" i="6"/>
  <c r="AK536" i="6"/>
  <c r="AJ536" i="6"/>
  <c r="AI536" i="6"/>
  <c r="AA536" i="6"/>
  <c r="AL535" i="6"/>
  <c r="AS535" i="6" s="1"/>
  <c r="AK535" i="6"/>
  <c r="AO535" i="6" s="1"/>
  <c r="AA535" i="6"/>
  <c r="AL534" i="6"/>
  <c r="AS534" i="6" s="1"/>
  <c r="AK534" i="6"/>
  <c r="AO534" i="6" s="1"/>
  <c r="AA534" i="6"/>
  <c r="AH283" i="2"/>
  <c r="AG283" i="2"/>
  <c r="AF283" i="2"/>
  <c r="AE283" i="2"/>
  <c r="AT282" i="2"/>
  <c r="AF282" i="2"/>
  <c r="AE282" i="2"/>
  <c r="AH281" i="2"/>
  <c r="AO281" i="2" s="1"/>
  <c r="AG281" i="2"/>
  <c r="AK281" i="2" s="1"/>
  <c r="W281" i="2"/>
  <c r="AO280" i="2"/>
  <c r="AK280" i="2"/>
  <c r="W280" i="2"/>
  <c r="AS533" i="6"/>
  <c r="AO533" i="6"/>
  <c r="AS532" i="6"/>
  <c r="AO532" i="6"/>
  <c r="AS530" i="6"/>
  <c r="AO530" i="6"/>
  <c r="AS528" i="6"/>
  <c r="AO528" i="6"/>
  <c r="AS527" i="6"/>
  <c r="AO527" i="6"/>
  <c r="AO526" i="6"/>
  <c r="AO525" i="6"/>
  <c r="AO279" i="2"/>
  <c r="AK279" i="2"/>
  <c r="AO278" i="2"/>
  <c r="AK278" i="2"/>
  <c r="AX540" i="6" l="1"/>
  <c r="AX527" i="6"/>
  <c r="AO539" i="6"/>
  <c r="AK283" i="2"/>
  <c r="AX530" i="6"/>
  <c r="AT279" i="2"/>
  <c r="AT278" i="2"/>
  <c r="AO283" i="2"/>
  <c r="AS536" i="6"/>
  <c r="AO550" i="6"/>
  <c r="AX532" i="6"/>
  <c r="AX541" i="6"/>
  <c r="AX533" i="6"/>
  <c r="AX554" i="6"/>
  <c r="AX551" i="6"/>
  <c r="AX543" i="6"/>
  <c r="AX547" i="6"/>
  <c r="AO536" i="6"/>
  <c r="AX544" i="6"/>
  <c r="AS550" i="6"/>
  <c r="AX553" i="6"/>
  <c r="AX537" i="6"/>
  <c r="AX545" i="6"/>
  <c r="AS539" i="6"/>
  <c r="AX542" i="6"/>
  <c r="AX548" i="6"/>
  <c r="AX534" i="6"/>
  <c r="AX549" i="6"/>
  <c r="AX528" i="6"/>
  <c r="AX546" i="6"/>
  <c r="AX552" i="6"/>
  <c r="AX538" i="6"/>
  <c r="AT280" i="2"/>
  <c r="AT281" i="2"/>
  <c r="AX535" i="6"/>
  <c r="AS524" i="6"/>
  <c r="AO524" i="6"/>
  <c r="AS523" i="6"/>
  <c r="AO523" i="6"/>
  <c r="AS522" i="6"/>
  <c r="AO522" i="6"/>
  <c r="AO521" i="6"/>
  <c r="AO520" i="6"/>
  <c r="AO277" i="2"/>
  <c r="AK277" i="2"/>
  <c r="AS519" i="6"/>
  <c r="AO519" i="6"/>
  <c r="AS518" i="6"/>
  <c r="AO518" i="6"/>
  <c r="AS517" i="6"/>
  <c r="AO517" i="6"/>
  <c r="AS516" i="6"/>
  <c r="AO516" i="6"/>
  <c r="AJ515" i="6"/>
  <c r="AS515" i="6" s="1"/>
  <c r="AI515" i="6"/>
  <c r="AO515" i="6" s="1"/>
  <c r="AJ514" i="6"/>
  <c r="AS514" i="6" s="1"/>
  <c r="AI514" i="6"/>
  <c r="AO514" i="6" s="1"/>
  <c r="AS513" i="6"/>
  <c r="AO513" i="6"/>
  <c r="AS512" i="6"/>
  <c r="AO512" i="6"/>
  <c r="AS511" i="6"/>
  <c r="AO511" i="6"/>
  <c r="AS510" i="6"/>
  <c r="AO510" i="6"/>
  <c r="AS509" i="6"/>
  <c r="AO509" i="6"/>
  <c r="AS508" i="6"/>
  <c r="AO508" i="6"/>
  <c r="AS507" i="6"/>
  <c r="AO507" i="6"/>
  <c r="AS506" i="6"/>
  <c r="AO506" i="6"/>
  <c r="AJ505" i="6"/>
  <c r="AS505" i="6" s="1"/>
  <c r="AI505" i="6"/>
  <c r="AO505" i="6" s="1"/>
  <c r="AJ504" i="6"/>
  <c r="AS504" i="6" s="1"/>
  <c r="AI504" i="6"/>
  <c r="AO504" i="6" s="1"/>
  <c r="AS503" i="6"/>
  <c r="AO503" i="6"/>
  <c r="AS502" i="6"/>
  <c r="AO502" i="6"/>
  <c r="AS501" i="6"/>
  <c r="AO501" i="6"/>
  <c r="AS500" i="6"/>
  <c r="AO500" i="6"/>
  <c r="AS499" i="6"/>
  <c r="AO499" i="6"/>
  <c r="AS498" i="6"/>
  <c r="AO498" i="6"/>
  <c r="AS497" i="6"/>
  <c r="AO497" i="6"/>
  <c r="AS496" i="6"/>
  <c r="AO496" i="6"/>
  <c r="AJ495" i="6"/>
  <c r="AS495" i="6" s="1"/>
  <c r="AI495" i="6"/>
  <c r="AO495" i="6" s="1"/>
  <c r="AJ494" i="6"/>
  <c r="AS494" i="6" s="1"/>
  <c r="AI494" i="6"/>
  <c r="AO494" i="6" s="1"/>
  <c r="AS493" i="6"/>
  <c r="AO493" i="6"/>
  <c r="AS492" i="6"/>
  <c r="AO492" i="6"/>
  <c r="AS491" i="6"/>
  <c r="AO491" i="6"/>
  <c r="AS490" i="6"/>
  <c r="AO490" i="6"/>
  <c r="AO489" i="6"/>
  <c r="AO488" i="6"/>
  <c r="AO487" i="6"/>
  <c r="AO486" i="6"/>
  <c r="AO485" i="6"/>
  <c r="AO484" i="6"/>
  <c r="AO483" i="6"/>
  <c r="AO482" i="6"/>
  <c r="AO481" i="6"/>
  <c r="AX480" i="6"/>
  <c r="AS480" i="6"/>
  <c r="AO480" i="6"/>
  <c r="AX479" i="6"/>
  <c r="AS479" i="6"/>
  <c r="AO479" i="6"/>
  <c r="AX478" i="6"/>
  <c r="AS478" i="6"/>
  <c r="AO478" i="6"/>
  <c r="AS477" i="6"/>
  <c r="AO477" i="6"/>
  <c r="AS476" i="6"/>
  <c r="AO476" i="6"/>
  <c r="AS475" i="6"/>
  <c r="AO475" i="6"/>
  <c r="AS474" i="6"/>
  <c r="AO474" i="6"/>
  <c r="AS473" i="6"/>
  <c r="AO473" i="6"/>
  <c r="AS472" i="6"/>
  <c r="AO472" i="6"/>
  <c r="AS471" i="6"/>
  <c r="AO471" i="6"/>
  <c r="AS470" i="6"/>
  <c r="AO470" i="6"/>
  <c r="AS469" i="6"/>
  <c r="AO469" i="6"/>
  <c r="AO468" i="6"/>
  <c r="AO467" i="6"/>
  <c r="AK466" i="6"/>
  <c r="AO466" i="6" s="1"/>
  <c r="AO465" i="6"/>
  <c r="AO464" i="6"/>
  <c r="AO463" i="6"/>
  <c r="AO462" i="6"/>
  <c r="AO461" i="6"/>
  <c r="AK460" i="6"/>
  <c r="AO460" i="6" s="1"/>
  <c r="AO459" i="6"/>
  <c r="AO458" i="6"/>
  <c r="AO457" i="6"/>
  <c r="AO456" i="6"/>
  <c r="AO455" i="6"/>
  <c r="AK454" i="6"/>
  <c r="AO454" i="6" s="1"/>
  <c r="AO453" i="6"/>
  <c r="AO452" i="6"/>
  <c r="AO451" i="6"/>
  <c r="AO276" i="2"/>
  <c r="AK276" i="2"/>
  <c r="AO275" i="2"/>
  <c r="AK275" i="2"/>
  <c r="AO274" i="2"/>
  <c r="AK274" i="2"/>
  <c r="AO273" i="2"/>
  <c r="AK273" i="2"/>
  <c r="AO272" i="2"/>
  <c r="AK272" i="2"/>
  <c r="AO271" i="2"/>
  <c r="AK271" i="2"/>
  <c r="AO270" i="2"/>
  <c r="AK270" i="2"/>
  <c r="AO269" i="2"/>
  <c r="AK269" i="2"/>
  <c r="AO268" i="2"/>
  <c r="AK268" i="2"/>
  <c r="AX539" i="6" l="1"/>
  <c r="AT283" i="2"/>
  <c r="AX505" i="6"/>
  <c r="AX511" i="6"/>
  <c r="AX471" i="6"/>
  <c r="AT269" i="2"/>
  <c r="AT275" i="2"/>
  <c r="AT270" i="2"/>
  <c r="AT273" i="2"/>
  <c r="AX536" i="6"/>
  <c r="AX550" i="6"/>
  <c r="AT276" i="2"/>
  <c r="AT277" i="2"/>
  <c r="AX473" i="6"/>
  <c r="AX494" i="6"/>
  <c r="AX501" i="6"/>
  <c r="AX507" i="6"/>
  <c r="AX513" i="6"/>
  <c r="AX469" i="6"/>
  <c r="AX475" i="6"/>
  <c r="AX490" i="6"/>
  <c r="AX495" i="6"/>
  <c r="AX510" i="6"/>
  <c r="AX500" i="6"/>
  <c r="AX512" i="6"/>
  <c r="AX476" i="6"/>
  <c r="AX491" i="6"/>
  <c r="AX502" i="6"/>
  <c r="AX508" i="6"/>
  <c r="AX477" i="6"/>
  <c r="AX497" i="6"/>
  <c r="AX509" i="6"/>
  <c r="AX515" i="6"/>
  <c r="AX522" i="6"/>
  <c r="AX523" i="6"/>
  <c r="AX519" i="6"/>
  <c r="AX470" i="6"/>
  <c r="AX492" i="6"/>
  <c r="AX503" i="6"/>
  <c r="AX472" i="6"/>
  <c r="AX493" i="6"/>
  <c r="AX498" i="6"/>
  <c r="AX504" i="6"/>
  <c r="AX499" i="6"/>
  <c r="AX517" i="6"/>
  <c r="AX474" i="6"/>
  <c r="AX518" i="6"/>
  <c r="AX524" i="6"/>
  <c r="AT272" i="2"/>
  <c r="AX514" i="6"/>
  <c r="AS450" i="6"/>
  <c r="AO450" i="6"/>
  <c r="AS449" i="6"/>
  <c r="AO449" i="6"/>
  <c r="AS448" i="6"/>
  <c r="AO448" i="6"/>
  <c r="AS447" i="6"/>
  <c r="AO447" i="6"/>
  <c r="AS446" i="6"/>
  <c r="AO446" i="6"/>
  <c r="AS445" i="6"/>
  <c r="AO445" i="6"/>
  <c r="AS444" i="6"/>
  <c r="AO444" i="6"/>
  <c r="AS443" i="6"/>
  <c r="AO443" i="6"/>
  <c r="AS442" i="6"/>
  <c r="AO442" i="6"/>
  <c r="AS441" i="6"/>
  <c r="AO441" i="6"/>
  <c r="AS440" i="6"/>
  <c r="AO440" i="6"/>
  <c r="AO439" i="6"/>
  <c r="AO438" i="6"/>
  <c r="AS437" i="6"/>
  <c r="AO437" i="6"/>
  <c r="AS436" i="6"/>
  <c r="AO436" i="6"/>
  <c r="AS435" i="6"/>
  <c r="AO435" i="6"/>
  <c r="AS434" i="6"/>
  <c r="AO434" i="6"/>
  <c r="AS433" i="6"/>
  <c r="AO433" i="6"/>
  <c r="AO267" i="2"/>
  <c r="AK267" i="2"/>
  <c r="AO266" i="2"/>
  <c r="AK266" i="2"/>
  <c r="AO265" i="2"/>
  <c r="AK265" i="2"/>
  <c r="AO264" i="2"/>
  <c r="AK264" i="2"/>
  <c r="AO263" i="2"/>
  <c r="AK263" i="2"/>
  <c r="AO262" i="2"/>
  <c r="AK262" i="2"/>
  <c r="AO261" i="2"/>
  <c r="AK261" i="2"/>
  <c r="AO260" i="2"/>
  <c r="AK260" i="2"/>
  <c r="AO259" i="2"/>
  <c r="AK259" i="2"/>
  <c r="AO258" i="2"/>
  <c r="AK258" i="2"/>
  <c r="AO257" i="2"/>
  <c r="AK257" i="2"/>
  <c r="AO256" i="2"/>
  <c r="AK256" i="2"/>
  <c r="AO255" i="2"/>
  <c r="AK255" i="2"/>
  <c r="AO254" i="2"/>
  <c r="AK254" i="2"/>
  <c r="AO253" i="2"/>
  <c r="AK253" i="2"/>
  <c r="AO252" i="2"/>
  <c r="AK252" i="2"/>
  <c r="AS432" i="6"/>
  <c r="AO432" i="6"/>
  <c r="AS431" i="6"/>
  <c r="AO431" i="6"/>
  <c r="AS430" i="6"/>
  <c r="AO430" i="6"/>
  <c r="AS429" i="6"/>
  <c r="AO429" i="6"/>
  <c r="AS428" i="6"/>
  <c r="AO428" i="6"/>
  <c r="AO251" i="2"/>
  <c r="AK251" i="2"/>
  <c r="AO250" i="2"/>
  <c r="AK250" i="2"/>
  <c r="AO249" i="2"/>
  <c r="AK249" i="2"/>
  <c r="AO248" i="2"/>
  <c r="AK248" i="2"/>
  <c r="AJ427" i="6"/>
  <c r="AS427" i="6" s="1"/>
  <c r="AI427" i="6"/>
  <c r="AO427" i="6" s="1"/>
  <c r="AJ426" i="6"/>
  <c r="AS426" i="6" s="1"/>
  <c r="AI426" i="6"/>
  <c r="AO426" i="6" s="1"/>
  <c r="AS425" i="6"/>
  <c r="AO425" i="6"/>
  <c r="AJ424" i="6"/>
  <c r="AS424" i="6" s="1"/>
  <c r="AI424" i="6"/>
  <c r="AO424" i="6" s="1"/>
  <c r="AS423" i="6"/>
  <c r="AO423" i="6"/>
  <c r="AS422" i="6"/>
  <c r="AO422" i="6"/>
  <c r="AS421" i="6"/>
  <c r="AO421" i="6"/>
  <c r="AS419" i="6"/>
  <c r="AO419" i="6"/>
  <c r="AS418" i="6"/>
  <c r="AO418" i="6"/>
  <c r="AJ417" i="6"/>
  <c r="AS417" i="6" s="1"/>
  <c r="AI417" i="6"/>
  <c r="AO417" i="6" s="1"/>
  <c r="AS416" i="6"/>
  <c r="AO416" i="6"/>
  <c r="AS415" i="6"/>
  <c r="AO415" i="6"/>
  <c r="AO414" i="6"/>
  <c r="AO413" i="6"/>
  <c r="AO247" i="2"/>
  <c r="AK247" i="2"/>
  <c r="AO246" i="2"/>
  <c r="AK246" i="2"/>
  <c r="AO245" i="2"/>
  <c r="AK245" i="2"/>
  <c r="AO244" i="2"/>
  <c r="AK244" i="2"/>
  <c r="AO243" i="2"/>
  <c r="AK243" i="2"/>
  <c r="AO242" i="2"/>
  <c r="AK242" i="2"/>
  <c r="AO241" i="2"/>
  <c r="AK241" i="2"/>
  <c r="AO240" i="2"/>
  <c r="AK240" i="2"/>
  <c r="AO239" i="2"/>
  <c r="AK239" i="2"/>
  <c r="AO238" i="2"/>
  <c r="AK238" i="2"/>
  <c r="AO237" i="2"/>
  <c r="AK237" i="2"/>
  <c r="AO236" i="2"/>
  <c r="AK236" i="2"/>
  <c r="AO235" i="2"/>
  <c r="AK235" i="2"/>
  <c r="AO234" i="2"/>
  <c r="AK234" i="2"/>
  <c r="AO233" i="2"/>
  <c r="AK233" i="2"/>
  <c r="AO232" i="2"/>
  <c r="AK232" i="2"/>
  <c r="AJ412" i="6"/>
  <c r="AS412" i="6" s="1"/>
  <c r="AI412" i="6"/>
  <c r="AO412" i="6" s="1"/>
  <c r="AJ411" i="6"/>
  <c r="AS411" i="6" s="1"/>
  <c r="AI411" i="6"/>
  <c r="AO411" i="6" s="1"/>
  <c r="AS410" i="6"/>
  <c r="AO410" i="6"/>
  <c r="AS409" i="6"/>
  <c r="AO409" i="6"/>
  <c r="AJ408" i="6"/>
  <c r="AS408" i="6" s="1"/>
  <c r="AI408" i="6"/>
  <c r="AO408" i="6" s="1"/>
  <c r="AS407" i="6"/>
  <c r="AO407" i="6"/>
  <c r="AS406" i="6"/>
  <c r="AO406" i="6"/>
  <c r="AO405" i="6"/>
  <c r="AO404" i="6"/>
  <c r="AO229" i="2"/>
  <c r="AK229" i="2"/>
  <c r="AO228" i="2"/>
  <c r="AK228" i="2"/>
  <c r="AS401" i="6"/>
  <c r="AO401" i="6"/>
  <c r="AS400" i="6"/>
  <c r="AO400" i="6"/>
  <c r="AS399" i="6"/>
  <c r="AO399" i="6"/>
  <c r="AS398" i="6"/>
  <c r="AO398" i="6"/>
  <c r="AS397" i="6"/>
  <c r="AO397" i="6"/>
  <c r="AS396" i="6"/>
  <c r="AO396" i="6"/>
  <c r="AS395" i="6"/>
  <c r="AO395" i="6"/>
  <c r="AO394" i="6"/>
  <c r="AO393" i="6"/>
  <c r="AO227" i="2"/>
  <c r="AK227" i="2"/>
  <c r="AO226" i="2"/>
  <c r="AK226" i="2"/>
  <c r="AO225" i="2"/>
  <c r="AK225" i="2"/>
  <c r="AO224" i="2"/>
  <c r="AK224" i="2"/>
  <c r="AJ392" i="6"/>
  <c r="AS392" i="6" s="1"/>
  <c r="AI392" i="6"/>
  <c r="AO392" i="6" s="1"/>
  <c r="AJ391" i="6"/>
  <c r="AS391" i="6" s="1"/>
  <c r="AI391" i="6"/>
  <c r="AO391" i="6" s="1"/>
  <c r="AJ390" i="6"/>
  <c r="AS390" i="6" s="1"/>
  <c r="AI390" i="6"/>
  <c r="AO390" i="6" s="1"/>
  <c r="AJ389" i="6"/>
  <c r="AS389" i="6" s="1"/>
  <c r="AI389" i="6"/>
  <c r="AO389" i="6" s="1"/>
  <c r="AJ388" i="6"/>
  <c r="AS388" i="6" s="1"/>
  <c r="AI388" i="6"/>
  <c r="AA388" i="6" s="1"/>
  <c r="AJ386" i="6"/>
  <c r="AS386" i="6" s="1"/>
  <c r="AI386" i="6"/>
  <c r="AA386" i="6" s="1"/>
  <c r="AJ385" i="6"/>
  <c r="AB385" i="6" s="1"/>
  <c r="AI385" i="6"/>
  <c r="AO385" i="6" s="1"/>
  <c r="AJ384" i="6"/>
  <c r="AS384" i="6" s="1"/>
  <c r="AI384" i="6"/>
  <c r="AO384" i="6" s="1"/>
  <c r="AS383" i="6"/>
  <c r="AO383" i="6"/>
  <c r="AB383" i="6"/>
  <c r="AA383" i="6"/>
  <c r="AS382" i="6"/>
  <c r="AO382" i="6"/>
  <c r="AB382" i="6"/>
  <c r="AA382" i="6"/>
  <c r="AJ381" i="6"/>
  <c r="AB381" i="6" s="1"/>
  <c r="AI381" i="6"/>
  <c r="AO381" i="6" s="1"/>
  <c r="AS380" i="6"/>
  <c r="AO380" i="6"/>
  <c r="AS379" i="6"/>
  <c r="AO379" i="6"/>
  <c r="AS378" i="6"/>
  <c r="AO378" i="6"/>
  <c r="AS377" i="6"/>
  <c r="AO377" i="6"/>
  <c r="AS376" i="6"/>
  <c r="AO376" i="6"/>
  <c r="AS375" i="6"/>
  <c r="AO375" i="6"/>
  <c r="AS374" i="6"/>
  <c r="AO374" i="6"/>
  <c r="AS373" i="6"/>
  <c r="AO373" i="6"/>
  <c r="AS372" i="6"/>
  <c r="AO372" i="6"/>
  <c r="AS371" i="6"/>
  <c r="AO371" i="6"/>
  <c r="AS370" i="6"/>
  <c r="AO370" i="6"/>
  <c r="AS369" i="6"/>
  <c r="AO369" i="6"/>
  <c r="AS368" i="6"/>
  <c r="AO368" i="6"/>
  <c r="AS367" i="6"/>
  <c r="AO367" i="6"/>
  <c r="AJ366" i="6"/>
  <c r="AS366" i="6" s="1"/>
  <c r="AI366" i="6"/>
  <c r="AO366" i="6" s="1"/>
  <c r="AS365" i="6"/>
  <c r="AO365" i="6"/>
  <c r="AS364" i="6"/>
  <c r="AO364" i="6"/>
  <c r="AJ363" i="6"/>
  <c r="AS363" i="6" s="1"/>
  <c r="AI363" i="6"/>
  <c r="AO363" i="6" s="1"/>
  <c r="AS362" i="6"/>
  <c r="AO362" i="6"/>
  <c r="AS361" i="6"/>
  <c r="AO361" i="6"/>
  <c r="AO360" i="6"/>
  <c r="AO359" i="6"/>
  <c r="AO223" i="2"/>
  <c r="AK223" i="2"/>
  <c r="AO222" i="2"/>
  <c r="AK222" i="2"/>
  <c r="AF221" i="2"/>
  <c r="X221" i="2" s="1"/>
  <c r="AE221" i="2"/>
  <c r="AK221" i="2" s="1"/>
  <c r="AF220" i="2"/>
  <c r="AO220" i="2" s="1"/>
  <c r="AE220" i="2"/>
  <c r="AK220" i="2" s="1"/>
  <c r="AF219" i="2"/>
  <c r="AO219" i="2" s="1"/>
  <c r="AE219" i="2"/>
  <c r="AK219" i="2" s="1"/>
  <c r="AF218" i="2"/>
  <c r="AO218" i="2" s="1"/>
  <c r="AE218" i="2"/>
  <c r="AK218" i="2" s="1"/>
  <c r="AF217" i="2"/>
  <c r="AO217" i="2" s="1"/>
  <c r="AE217" i="2"/>
  <c r="AK217" i="2" s="1"/>
  <c r="AF216" i="2"/>
  <c r="X216" i="2" s="1"/>
  <c r="AE216" i="2"/>
  <c r="W216" i="2" s="1"/>
  <c r="AO215" i="2"/>
  <c r="AK215" i="2"/>
  <c r="X215" i="2"/>
  <c r="W215" i="2"/>
  <c r="AO214" i="2"/>
  <c r="AK214" i="2"/>
  <c r="AO213" i="2"/>
  <c r="AK213" i="2"/>
  <c r="AS358" i="6"/>
  <c r="AO358" i="6"/>
  <c r="AC358" i="6"/>
  <c r="AO357" i="6"/>
  <c r="AI356" i="6"/>
  <c r="AO356" i="6" s="1"/>
  <c r="AO355" i="6"/>
  <c r="AS354" i="6"/>
  <c r="AO354" i="6"/>
  <c r="AS353" i="6"/>
  <c r="AO353" i="6"/>
  <c r="AS352" i="6"/>
  <c r="AO352" i="6"/>
  <c r="AS351" i="6"/>
  <c r="AO351" i="6"/>
  <c r="AS348" i="6"/>
  <c r="AO348" i="6"/>
  <c r="AS346" i="6"/>
  <c r="AO346" i="6"/>
  <c r="AS345" i="6"/>
  <c r="AO345" i="6"/>
  <c r="AS344" i="6"/>
  <c r="AO344" i="6"/>
  <c r="AS343" i="6"/>
  <c r="AO343" i="6"/>
  <c r="AS341" i="6"/>
  <c r="AO341" i="6"/>
  <c r="AS340" i="6"/>
  <c r="AO340" i="6"/>
  <c r="AT211" i="2"/>
  <c r="AT210" i="2"/>
  <c r="AT209" i="2"/>
  <c r="AO208" i="2"/>
  <c r="AK208" i="2"/>
  <c r="AO206" i="2"/>
  <c r="AK206" i="2"/>
  <c r="AO205" i="2"/>
  <c r="AK205" i="2"/>
  <c r="AO204" i="2"/>
  <c r="AK204" i="2"/>
  <c r="AO203" i="2"/>
  <c r="AK203" i="2"/>
  <c r="AO202" i="2"/>
  <c r="AK202" i="2"/>
  <c r="AO201" i="2"/>
  <c r="AK201" i="2"/>
  <c r="AO200" i="2"/>
  <c r="AK200" i="2"/>
  <c r="AO199" i="2"/>
  <c r="AK199" i="2"/>
  <c r="AO198" i="2"/>
  <c r="AK198" i="2"/>
  <c r="AS339" i="6"/>
  <c r="AO339" i="6"/>
  <c r="AS338" i="6"/>
  <c r="AO338" i="6"/>
  <c r="AS337" i="6"/>
  <c r="AO337" i="6"/>
  <c r="AS336" i="6"/>
  <c r="AO336" i="6"/>
  <c r="AS335" i="6"/>
  <c r="AO335" i="6"/>
  <c r="AS334" i="6"/>
  <c r="AO334" i="6"/>
  <c r="AS332" i="6"/>
  <c r="AO332" i="6"/>
  <c r="AS331" i="6"/>
  <c r="AO331" i="6"/>
  <c r="AX330" i="6"/>
  <c r="AX329" i="6"/>
  <c r="AX328" i="6"/>
  <c r="AX327" i="6"/>
  <c r="AS326" i="6"/>
  <c r="AO326" i="6"/>
  <c r="AX325" i="6"/>
  <c r="AR324" i="6"/>
  <c r="AN324" i="6"/>
  <c r="AL324" i="6"/>
  <c r="AK324" i="6"/>
  <c r="AJ324" i="6"/>
  <c r="AI324" i="6"/>
  <c r="Z324" i="6"/>
  <c r="Y324" i="6"/>
  <c r="AL323" i="6"/>
  <c r="AK323" i="6"/>
  <c r="AJ323" i="6"/>
  <c r="AI323" i="6"/>
  <c r="Z323" i="6"/>
  <c r="Y323" i="6"/>
  <c r="AL322" i="6"/>
  <c r="AK322" i="6"/>
  <c r="AJ322" i="6"/>
  <c r="AI322" i="6"/>
  <c r="Z322" i="6"/>
  <c r="Y322" i="6"/>
  <c r="AO321" i="6"/>
  <c r="AO320" i="6"/>
  <c r="AS319" i="6"/>
  <c r="AO319" i="6"/>
  <c r="AS318" i="6"/>
  <c r="AO318" i="6"/>
  <c r="AS317" i="6"/>
  <c r="AO317" i="6"/>
  <c r="AS316" i="6"/>
  <c r="AO316" i="6"/>
  <c r="AS315" i="6"/>
  <c r="AO315" i="6"/>
  <c r="AS314" i="6"/>
  <c r="AO314" i="6"/>
  <c r="AS313" i="6"/>
  <c r="AO313" i="6"/>
  <c r="AS312" i="6"/>
  <c r="AO312" i="6"/>
  <c r="AS311" i="6"/>
  <c r="AO311" i="6"/>
  <c r="AS310" i="6"/>
  <c r="AO310" i="6"/>
  <c r="AS309" i="6"/>
  <c r="AO309" i="6"/>
  <c r="AS308" i="6"/>
  <c r="AO308" i="6"/>
  <c r="AS307" i="6"/>
  <c r="AO307" i="6"/>
  <c r="AS306" i="6"/>
  <c r="AO306" i="6"/>
  <c r="AS305" i="6"/>
  <c r="AO305" i="6"/>
  <c r="AS304" i="6"/>
  <c r="AO304" i="6"/>
  <c r="AS303" i="6"/>
  <c r="AO303" i="6"/>
  <c r="AO302" i="6"/>
  <c r="AO301" i="6"/>
  <c r="AS300" i="6"/>
  <c r="AO300" i="6"/>
  <c r="AS299" i="6"/>
  <c r="AO299" i="6"/>
  <c r="AS298" i="6"/>
  <c r="AO298" i="6"/>
  <c r="AS297" i="6"/>
  <c r="AO297" i="6"/>
  <c r="AS294" i="6"/>
  <c r="AO294" i="6"/>
  <c r="AS293" i="6"/>
  <c r="AO293" i="6"/>
  <c r="AS292" i="6"/>
  <c r="AO292" i="6"/>
  <c r="AS291" i="6"/>
  <c r="AO291" i="6"/>
  <c r="AS290" i="6"/>
  <c r="AO290" i="6"/>
  <c r="AS289" i="6"/>
  <c r="AO289" i="6"/>
  <c r="AS288" i="6"/>
  <c r="AO288" i="6"/>
  <c r="AH194" i="2"/>
  <c r="AG194" i="2"/>
  <c r="AF194" i="2"/>
  <c r="AE194" i="2"/>
  <c r="V194" i="2"/>
  <c r="U194" i="2"/>
  <c r="AO193" i="2"/>
  <c r="AK193" i="2"/>
  <c r="AO192" i="2"/>
  <c r="AK192" i="2"/>
  <c r="AO188" i="2"/>
  <c r="AK188" i="2"/>
  <c r="AO187" i="2"/>
  <c r="AK187" i="2"/>
  <c r="AO186" i="2"/>
  <c r="AK186" i="2"/>
  <c r="AO185" i="2"/>
  <c r="AK185" i="2"/>
  <c r="AO184" i="2"/>
  <c r="AK184" i="2"/>
  <c r="AO183" i="2"/>
  <c r="AK183" i="2"/>
  <c r="AO182" i="2"/>
  <c r="AK182" i="2"/>
  <c r="AO181" i="2"/>
  <c r="AK181" i="2"/>
  <c r="AO180" i="2"/>
  <c r="AK180" i="2"/>
  <c r="AO179" i="2"/>
  <c r="AK179" i="2"/>
  <c r="AO178" i="2"/>
  <c r="AK178" i="2"/>
  <c r="AO177" i="2"/>
  <c r="AK177" i="2"/>
  <c r="AO176" i="2"/>
  <c r="AK176" i="2"/>
  <c r="AO175" i="2"/>
  <c r="AK175" i="2"/>
  <c r="AO174" i="2"/>
  <c r="AK174" i="2"/>
  <c r="AO173" i="2"/>
  <c r="AK173" i="2"/>
  <c r="AO172" i="2"/>
  <c r="AK172" i="2"/>
  <c r="AO171" i="2"/>
  <c r="AK171" i="2"/>
  <c r="AO170" i="2"/>
  <c r="AK170" i="2"/>
  <c r="AO169" i="2"/>
  <c r="AK169" i="2"/>
  <c r="AO168" i="2"/>
  <c r="AK168" i="2"/>
  <c r="AO167" i="2"/>
  <c r="AK167" i="2"/>
  <c r="AO166" i="2"/>
  <c r="AK166" i="2"/>
  <c r="AO165" i="2"/>
  <c r="AK165" i="2"/>
  <c r="AO287" i="6"/>
  <c r="AO286" i="6"/>
  <c r="AS285" i="6"/>
  <c r="AO285" i="6"/>
  <c r="AS284" i="6"/>
  <c r="AO284" i="6"/>
  <c r="AS283" i="6"/>
  <c r="AO283" i="6"/>
  <c r="AS282" i="6"/>
  <c r="AO282" i="6"/>
  <c r="AS281" i="6"/>
  <c r="AO281" i="6"/>
  <c r="AS277" i="6"/>
  <c r="AO277" i="6"/>
  <c r="AS276" i="6"/>
  <c r="AO276" i="6"/>
  <c r="AS275" i="6"/>
  <c r="AO275" i="6"/>
  <c r="AS272" i="6"/>
  <c r="AO272" i="6"/>
  <c r="AT163" i="2"/>
  <c r="AT162" i="2"/>
  <c r="AO159" i="2"/>
  <c r="AK159" i="2"/>
  <c r="AO158" i="2"/>
  <c r="AK158" i="2"/>
  <c r="AO157" i="2"/>
  <c r="AK157" i="2"/>
  <c r="AO156" i="2"/>
  <c r="AK156" i="2"/>
  <c r="AO155" i="2"/>
  <c r="AK155" i="2"/>
  <c r="AO154" i="2"/>
  <c r="AK154" i="2"/>
  <c r="AO153" i="2"/>
  <c r="AK153" i="2"/>
  <c r="AO152" i="2"/>
  <c r="AK152" i="2"/>
  <c r="AO151" i="2"/>
  <c r="AK151" i="2"/>
  <c r="AO150" i="2"/>
  <c r="AK150" i="2"/>
  <c r="AO149" i="2"/>
  <c r="AK149" i="2"/>
  <c r="AO148" i="2"/>
  <c r="AK148" i="2"/>
  <c r="AO147" i="2"/>
  <c r="AK147" i="2"/>
  <c r="AI205" i="6"/>
  <c r="AO205" i="6" s="1"/>
  <c r="AO204" i="6"/>
  <c r="AO203" i="6"/>
  <c r="AO202" i="6"/>
  <c r="AO201" i="6"/>
  <c r="AO200" i="6"/>
  <c r="AO199" i="6"/>
  <c r="AS198" i="6"/>
  <c r="AO198" i="6"/>
  <c r="AS197" i="6"/>
  <c r="AO197" i="6"/>
  <c r="AS196" i="6"/>
  <c r="AO196" i="6"/>
  <c r="AS195" i="6"/>
  <c r="AO195" i="6"/>
  <c r="AS194" i="6"/>
  <c r="AO194" i="6"/>
  <c r="AS193" i="6"/>
  <c r="AO193" i="6"/>
  <c r="AS192" i="6"/>
  <c r="AK192" i="6"/>
  <c r="AO192" i="6" s="1"/>
  <c r="AS191" i="6"/>
  <c r="AO191" i="6"/>
  <c r="AS190" i="6"/>
  <c r="AO190" i="6"/>
  <c r="AS189" i="6"/>
  <c r="AO189" i="6"/>
  <c r="AS188" i="6"/>
  <c r="AO188" i="6"/>
  <c r="AS187" i="6"/>
  <c r="AO187" i="6"/>
  <c r="AX186" i="6"/>
  <c r="AS186" i="6"/>
  <c r="AO186" i="6"/>
  <c r="AT94" i="2"/>
  <c r="AO94" i="2"/>
  <c r="AK94" i="2"/>
  <c r="AO93" i="2"/>
  <c r="AK93" i="2"/>
  <c r="AO92" i="2"/>
  <c r="AK92" i="2"/>
  <c r="AS185" i="6"/>
  <c r="AO185" i="6"/>
  <c r="AS184" i="6"/>
  <c r="AO184" i="6"/>
  <c r="AS183" i="6"/>
  <c r="AO183" i="6"/>
  <c r="AE183" i="6"/>
  <c r="AC183" i="6"/>
  <c r="AJ182" i="6"/>
  <c r="AS182" i="6" s="1"/>
  <c r="AI182" i="6"/>
  <c r="AO182" i="6" s="1"/>
  <c r="AE182" i="6"/>
  <c r="AC182" i="6"/>
  <c r="AS180" i="6"/>
  <c r="AO180" i="6"/>
  <c r="AE180" i="6"/>
  <c r="AC180" i="6"/>
  <c r="AS179" i="6"/>
  <c r="AO179" i="6"/>
  <c r="AE179" i="6"/>
  <c r="AC179" i="6"/>
  <c r="AS178" i="6"/>
  <c r="AO178" i="6"/>
  <c r="AE178" i="6"/>
  <c r="AC178" i="6"/>
  <c r="AS177" i="6"/>
  <c r="AO177" i="6"/>
  <c r="AE177" i="6"/>
  <c r="AC177" i="6"/>
  <c r="AS175" i="6"/>
  <c r="AO175" i="6"/>
  <c r="AE175" i="6"/>
  <c r="AC175" i="6"/>
  <c r="AS174" i="6"/>
  <c r="AO174" i="6"/>
  <c r="AS173" i="6"/>
  <c r="AO173" i="6"/>
  <c r="AS172" i="6"/>
  <c r="AO172" i="6"/>
  <c r="AS171" i="6"/>
  <c r="AO171" i="6"/>
  <c r="AS170" i="6"/>
  <c r="AO170" i="6"/>
  <c r="AL169" i="6"/>
  <c r="AS169" i="6" s="1"/>
  <c r="AK169" i="6"/>
  <c r="AO169" i="6" s="1"/>
  <c r="AO91" i="2"/>
  <c r="AK91" i="2"/>
  <c r="AT90" i="2"/>
  <c r="AO89" i="2"/>
  <c r="AK89" i="2"/>
  <c r="AO88" i="2"/>
  <c r="AK88" i="2"/>
  <c r="AS168" i="6"/>
  <c r="AO168" i="6"/>
  <c r="AS166" i="6"/>
  <c r="AO166" i="6"/>
  <c r="AJ165" i="6"/>
  <c r="AS165" i="6" s="1"/>
  <c r="AI165" i="6"/>
  <c r="AI167" i="6" s="1"/>
  <c r="AO167" i="6" s="1"/>
  <c r="AS164" i="6"/>
  <c r="AO164" i="6"/>
  <c r="AS163" i="6"/>
  <c r="AO163" i="6"/>
  <c r="AJ162" i="6"/>
  <c r="AS162" i="6" s="1"/>
  <c r="AI162" i="6"/>
  <c r="AO162" i="6" s="1"/>
  <c r="AS161" i="6"/>
  <c r="AO161" i="6"/>
  <c r="AS160" i="6"/>
  <c r="AO160" i="6"/>
  <c r="AS159" i="6"/>
  <c r="AO159" i="6"/>
  <c r="AS158" i="6"/>
  <c r="AO158" i="6"/>
  <c r="AS157" i="6"/>
  <c r="AO157" i="6"/>
  <c r="AS156" i="6"/>
  <c r="AO156" i="6"/>
  <c r="AS155" i="6"/>
  <c r="AO155" i="6"/>
  <c r="AJ153" i="6"/>
  <c r="AS153" i="6" s="1"/>
  <c r="AI153" i="6"/>
  <c r="AO153" i="6" s="1"/>
  <c r="AS152" i="6"/>
  <c r="AO152" i="6"/>
  <c r="AS151" i="6"/>
  <c r="AO151" i="6"/>
  <c r="AJ150" i="6"/>
  <c r="AS150" i="6" s="1"/>
  <c r="AI150" i="6"/>
  <c r="AO150" i="6" s="1"/>
  <c r="AS149" i="6"/>
  <c r="AO149" i="6"/>
  <c r="AJ147" i="6"/>
  <c r="AS147" i="6" s="1"/>
  <c r="AI147" i="6"/>
  <c r="AO147" i="6" s="1"/>
  <c r="AS146" i="6"/>
  <c r="AO146" i="6"/>
  <c r="AS145" i="6"/>
  <c r="AO145" i="6"/>
  <c r="AS144" i="6"/>
  <c r="AO144" i="6"/>
  <c r="AS143" i="6"/>
  <c r="AO143" i="6"/>
  <c r="AS141" i="6"/>
  <c r="AO141" i="6"/>
  <c r="AO140" i="6"/>
  <c r="AI139" i="6"/>
  <c r="AO139" i="6" s="1"/>
  <c r="AO138" i="6"/>
  <c r="AO137" i="6"/>
  <c r="AO87" i="2"/>
  <c r="AK87" i="2"/>
  <c r="AO86" i="2"/>
  <c r="AK86" i="2"/>
  <c r="AO85" i="2"/>
  <c r="AK85" i="2"/>
  <c r="AO84" i="2"/>
  <c r="AK84" i="2"/>
  <c r="AO83" i="2"/>
  <c r="AK83" i="2"/>
  <c r="AO82" i="2"/>
  <c r="AK82" i="2"/>
  <c r="AO81" i="2"/>
  <c r="AK81" i="2"/>
  <c r="AO80" i="2"/>
  <c r="AK80" i="2"/>
  <c r="AO79" i="2"/>
  <c r="AK79" i="2"/>
  <c r="AO78" i="2"/>
  <c r="AK78" i="2"/>
  <c r="AO136" i="6"/>
  <c r="AS135" i="6"/>
  <c r="AO135" i="6"/>
  <c r="AS134" i="6"/>
  <c r="AO134" i="6"/>
  <c r="AS133" i="6"/>
  <c r="AO133" i="6"/>
  <c r="AL132" i="6"/>
  <c r="AS132" i="6" s="1"/>
  <c r="AK132" i="6"/>
  <c r="AO132" i="6" s="1"/>
  <c r="AS131" i="6"/>
  <c r="AO131" i="6"/>
  <c r="AL130" i="6"/>
  <c r="AS130" i="6" s="1"/>
  <c r="AK130" i="6"/>
  <c r="AO130" i="6" s="1"/>
  <c r="AJ129" i="6"/>
  <c r="AS129" i="6" s="1"/>
  <c r="AI129" i="6"/>
  <c r="AO129" i="6" s="1"/>
  <c r="AL128" i="6"/>
  <c r="AK128" i="6"/>
  <c r="AJ128" i="6"/>
  <c r="AI128" i="6"/>
  <c r="AL127" i="6"/>
  <c r="AK127" i="6"/>
  <c r="AJ127" i="6"/>
  <c r="AI127" i="6"/>
  <c r="AL126" i="6"/>
  <c r="AK126" i="6"/>
  <c r="AJ126" i="6"/>
  <c r="AI126" i="6"/>
  <c r="AS125" i="6"/>
  <c r="AO125" i="6"/>
  <c r="AH77" i="2"/>
  <c r="AO77" i="2" s="1"/>
  <c r="AG77" i="2"/>
  <c r="AK77" i="2" s="1"/>
  <c r="AH76" i="2"/>
  <c r="AO76" i="2" s="1"/>
  <c r="AG76" i="2"/>
  <c r="AK76" i="2" s="1"/>
  <c r="AH75" i="2"/>
  <c r="AO75" i="2" s="1"/>
  <c r="AG75" i="2"/>
  <c r="AK75" i="2" s="1"/>
  <c r="AH74" i="2"/>
  <c r="AO74" i="2" s="1"/>
  <c r="AG74" i="2"/>
  <c r="AK74" i="2" s="1"/>
  <c r="AH73" i="2"/>
  <c r="AO73" i="2" s="1"/>
  <c r="AG73" i="2"/>
  <c r="AK73" i="2" s="1"/>
  <c r="AH72" i="2"/>
  <c r="AO72" i="2" s="1"/>
  <c r="AG72" i="2"/>
  <c r="AK72" i="2" s="1"/>
  <c r="AH71" i="2"/>
  <c r="AO71" i="2" s="1"/>
  <c r="AG71" i="2"/>
  <c r="AK71" i="2" s="1"/>
  <c r="AH70" i="2"/>
  <c r="AO70" i="2" s="1"/>
  <c r="AG70" i="2"/>
  <c r="AK70" i="2" s="1"/>
  <c r="AH69" i="2"/>
  <c r="AO69" i="2" s="1"/>
  <c r="AG69" i="2"/>
  <c r="AK69" i="2" s="1"/>
  <c r="AH68" i="2"/>
  <c r="AG68" i="2"/>
  <c r="AF68" i="2"/>
  <c r="AE68" i="2"/>
  <c r="AH67" i="2"/>
  <c r="AG67" i="2"/>
  <c r="AF67" i="2"/>
  <c r="AE67" i="2"/>
  <c r="AH66" i="2"/>
  <c r="AG66" i="2"/>
  <c r="AF66" i="2"/>
  <c r="AE66" i="2"/>
  <c r="AH65" i="2"/>
  <c r="AG65" i="2"/>
  <c r="AF65" i="2"/>
  <c r="AE65" i="2"/>
  <c r="AH64" i="2"/>
  <c r="AG64" i="2"/>
  <c r="AF64" i="2"/>
  <c r="AE64" i="2"/>
  <c r="AH63" i="2"/>
  <c r="AG63" i="2"/>
  <c r="AF63" i="2"/>
  <c r="AE63" i="2"/>
  <c r="AH62" i="2"/>
  <c r="AO62" i="2" s="1"/>
  <c r="AG62" i="2"/>
  <c r="AK62" i="2" s="1"/>
  <c r="AH61" i="2"/>
  <c r="AO61" i="2" s="1"/>
  <c r="AG61" i="2"/>
  <c r="AK61" i="2" s="1"/>
  <c r="AH60" i="2"/>
  <c r="AO60" i="2" s="1"/>
  <c r="AG60" i="2"/>
  <c r="AK60" i="2" s="1"/>
  <c r="AH59" i="2"/>
  <c r="AO59" i="2" s="1"/>
  <c r="AG59" i="2"/>
  <c r="AK59" i="2" s="1"/>
  <c r="AH58" i="2"/>
  <c r="AO58" i="2" s="1"/>
  <c r="AG58" i="2"/>
  <c r="AK58" i="2" s="1"/>
  <c r="AH57" i="2"/>
  <c r="AO57" i="2" s="1"/>
  <c r="AG57" i="2"/>
  <c r="AK57" i="2" s="1"/>
  <c r="AH56" i="2"/>
  <c r="AG56" i="2"/>
  <c r="AF56" i="2"/>
  <c r="AE56" i="2"/>
  <c r="AT55" i="2"/>
  <c r="AF55" i="2"/>
  <c r="AE55" i="2"/>
  <c r="AH54" i="2"/>
  <c r="AO54" i="2" s="1"/>
  <c r="AG54" i="2"/>
  <c r="AK54" i="2" s="1"/>
  <c r="AH53" i="2"/>
  <c r="AO53" i="2" s="1"/>
  <c r="AG53" i="2"/>
  <c r="AK53" i="2" s="1"/>
  <c r="AH52" i="2"/>
  <c r="AO52" i="2" s="1"/>
  <c r="AG52" i="2"/>
  <c r="AK52" i="2" s="1"/>
  <c r="AH51" i="2"/>
  <c r="AO51" i="2" s="1"/>
  <c r="AG51" i="2"/>
  <c r="AK51" i="2" s="1"/>
  <c r="AH50" i="2"/>
  <c r="AO50" i="2" s="1"/>
  <c r="AG50" i="2"/>
  <c r="AK50" i="2" s="1"/>
  <c r="AH49" i="2"/>
  <c r="AO49" i="2" s="1"/>
  <c r="AG49" i="2"/>
  <c r="AK49" i="2" s="1"/>
  <c r="AH48" i="2"/>
  <c r="AO48" i="2" s="1"/>
  <c r="AG48" i="2"/>
  <c r="AK48" i="2" s="1"/>
  <c r="AT47" i="2"/>
  <c r="AH46" i="2"/>
  <c r="AO46" i="2" s="1"/>
  <c r="AG46" i="2"/>
  <c r="AK46" i="2" s="1"/>
  <c r="AH45" i="2"/>
  <c r="AO45" i="2" s="1"/>
  <c r="AG45" i="2"/>
  <c r="AK45" i="2" s="1"/>
  <c r="AH44" i="2"/>
  <c r="AO44" i="2" s="1"/>
  <c r="AG44" i="2"/>
  <c r="AK44" i="2" s="1"/>
  <c r="AH43" i="2"/>
  <c r="AO43" i="2" s="1"/>
  <c r="AG43" i="2"/>
  <c r="AK43" i="2" s="1"/>
  <c r="AH42" i="2"/>
  <c r="AO42" i="2" s="1"/>
  <c r="AG42" i="2"/>
  <c r="AK42" i="2" s="1"/>
  <c r="AH41" i="2"/>
  <c r="AO41" i="2" s="1"/>
  <c r="AG41" i="2"/>
  <c r="AK41" i="2" s="1"/>
  <c r="AT40" i="2"/>
  <c r="AH39" i="2"/>
  <c r="AO39" i="2" s="1"/>
  <c r="AG39" i="2"/>
  <c r="AK39" i="2" s="1"/>
  <c r="AH38" i="2"/>
  <c r="AO38" i="2" s="1"/>
  <c r="AG38" i="2"/>
  <c r="AK38" i="2" s="1"/>
  <c r="AT37" i="2"/>
  <c r="AH36" i="2"/>
  <c r="AO36" i="2" s="1"/>
  <c r="AG36" i="2"/>
  <c r="AK36" i="2" s="1"/>
  <c r="AH35" i="2"/>
  <c r="AO35" i="2" s="1"/>
  <c r="AG35" i="2"/>
  <c r="AK35" i="2" s="1"/>
  <c r="AL124" i="6"/>
  <c r="AK124" i="6"/>
  <c r="AJ124" i="6"/>
  <c r="AI124" i="6"/>
  <c r="AB124" i="6"/>
  <c r="AA124" i="6"/>
  <c r="AL123" i="6"/>
  <c r="AK123" i="6"/>
  <c r="AJ123" i="6"/>
  <c r="AI123" i="6"/>
  <c r="AB123" i="6"/>
  <c r="AA123" i="6"/>
  <c r="AL122" i="6"/>
  <c r="AK122" i="6"/>
  <c r="AJ122" i="6"/>
  <c r="AI122" i="6"/>
  <c r="AB122" i="6"/>
  <c r="AA122" i="6"/>
  <c r="AL121" i="6"/>
  <c r="AK121" i="6"/>
  <c r="AJ121" i="6"/>
  <c r="AI121" i="6"/>
  <c r="AB121" i="6"/>
  <c r="AA121" i="6"/>
  <c r="AL120" i="6"/>
  <c r="AK120" i="6"/>
  <c r="AJ120" i="6"/>
  <c r="AI120" i="6"/>
  <c r="AB120" i="6"/>
  <c r="AA120" i="6"/>
  <c r="AL119" i="6"/>
  <c r="AK119" i="6"/>
  <c r="AJ119" i="6"/>
  <c r="AI119" i="6"/>
  <c r="AB119" i="6"/>
  <c r="AA119" i="6"/>
  <c r="AL118" i="6"/>
  <c r="AK118" i="6"/>
  <c r="AJ118" i="6"/>
  <c r="AI118" i="6"/>
  <c r="AB118" i="6"/>
  <c r="AA118" i="6"/>
  <c r="AL117" i="6"/>
  <c r="AK117" i="6"/>
  <c r="AJ117" i="6"/>
  <c r="AI117" i="6"/>
  <c r="AB117" i="6"/>
  <c r="AA117" i="6"/>
  <c r="AL116" i="6"/>
  <c r="AK116" i="6"/>
  <c r="AJ116" i="6"/>
  <c r="AI116" i="6"/>
  <c r="AB116" i="6"/>
  <c r="AA116" i="6"/>
  <c r="AL115" i="6"/>
  <c r="AK115" i="6"/>
  <c r="AJ115" i="6"/>
  <c r="AI115" i="6"/>
  <c r="AB115" i="6"/>
  <c r="AA115" i="6"/>
  <c r="AL114" i="6"/>
  <c r="AK114" i="6"/>
  <c r="AJ114" i="6"/>
  <c r="AI114" i="6"/>
  <c r="AB114" i="6"/>
  <c r="AA114" i="6"/>
  <c r="AL113" i="6"/>
  <c r="AK113" i="6"/>
  <c r="AJ113" i="6"/>
  <c r="AI113" i="6"/>
  <c r="AB113" i="6"/>
  <c r="AA113" i="6"/>
  <c r="AL112" i="6"/>
  <c r="AK112" i="6"/>
  <c r="AJ112" i="6"/>
  <c r="AI112" i="6"/>
  <c r="AB112" i="6"/>
  <c r="AA112" i="6"/>
  <c r="AL111" i="6"/>
  <c r="AK111" i="6"/>
  <c r="AJ111" i="6"/>
  <c r="AI111" i="6"/>
  <c r="AB111" i="6"/>
  <c r="AA111" i="6"/>
  <c r="AL110" i="6"/>
  <c r="AK110" i="6"/>
  <c r="AJ110" i="6"/>
  <c r="AI110" i="6"/>
  <c r="AB110" i="6"/>
  <c r="AA110" i="6"/>
  <c r="AL109" i="6"/>
  <c r="AK109" i="6"/>
  <c r="AJ109" i="6"/>
  <c r="AI109" i="6"/>
  <c r="AB109" i="6"/>
  <c r="AA109" i="6"/>
  <c r="AL108" i="6"/>
  <c r="AK108" i="6"/>
  <c r="AJ108" i="6"/>
  <c r="AI108" i="6"/>
  <c r="AB108" i="6"/>
  <c r="AA108" i="6"/>
  <c r="AL107" i="6"/>
  <c r="AK107" i="6"/>
  <c r="AJ107" i="6"/>
  <c r="AI107" i="6"/>
  <c r="AB107" i="6"/>
  <c r="AA107" i="6"/>
  <c r="AL106" i="6"/>
  <c r="AK106" i="6"/>
  <c r="AJ106" i="6"/>
  <c r="AI106" i="6"/>
  <c r="AB106" i="6"/>
  <c r="AA106" i="6"/>
  <c r="AL105" i="6"/>
  <c r="AK105" i="6"/>
  <c r="AJ105" i="6"/>
  <c r="AI105" i="6"/>
  <c r="AB105" i="6"/>
  <c r="AA105" i="6"/>
  <c r="AL104" i="6"/>
  <c r="AK104" i="6"/>
  <c r="AJ104" i="6"/>
  <c r="AI104" i="6"/>
  <c r="AB104" i="6"/>
  <c r="AA104" i="6"/>
  <c r="AL103" i="6"/>
  <c r="AK103" i="6"/>
  <c r="AJ103" i="6"/>
  <c r="AI103" i="6"/>
  <c r="AB103" i="6"/>
  <c r="AA103" i="6"/>
  <c r="AL102" i="6"/>
  <c r="AK102" i="6"/>
  <c r="AJ102" i="6"/>
  <c r="AI102" i="6"/>
  <c r="AB102" i="6"/>
  <c r="AA102" i="6"/>
  <c r="AL101" i="6"/>
  <c r="AK101" i="6"/>
  <c r="AJ101" i="6"/>
  <c r="AI101" i="6"/>
  <c r="AB101" i="6"/>
  <c r="AA101" i="6"/>
  <c r="AL100" i="6"/>
  <c r="AK100" i="6"/>
  <c r="AJ100" i="6"/>
  <c r="AI100" i="6"/>
  <c r="AB100" i="6"/>
  <c r="AA100" i="6"/>
  <c r="AL99" i="6"/>
  <c r="AK99" i="6"/>
  <c r="AJ99" i="6"/>
  <c r="AI99" i="6"/>
  <c r="AB99" i="6"/>
  <c r="AA99" i="6"/>
  <c r="AL98" i="6"/>
  <c r="AK98" i="6"/>
  <c r="AJ98" i="6"/>
  <c r="AI98" i="6"/>
  <c r="AB98" i="6"/>
  <c r="AA98" i="6"/>
  <c r="AL97" i="6"/>
  <c r="AK97" i="6"/>
  <c r="AJ97" i="6"/>
  <c r="AI97" i="6"/>
  <c r="AB97" i="6"/>
  <c r="AA97" i="6"/>
  <c r="AL96" i="6"/>
  <c r="AK96" i="6"/>
  <c r="AJ96" i="6"/>
  <c r="AI96" i="6"/>
  <c r="AB96" i="6"/>
  <c r="AA96" i="6"/>
  <c r="AL95" i="6"/>
  <c r="AK95" i="6"/>
  <c r="AJ95" i="6"/>
  <c r="AI95" i="6"/>
  <c r="AB95" i="6"/>
  <c r="AA95" i="6"/>
  <c r="AL94" i="6"/>
  <c r="AK94" i="6"/>
  <c r="AJ94" i="6"/>
  <c r="AI94" i="6"/>
  <c r="AB94" i="6"/>
  <c r="AA94" i="6"/>
  <c r="AL93" i="6"/>
  <c r="AK93" i="6"/>
  <c r="AJ93" i="6"/>
  <c r="AI93" i="6"/>
  <c r="AB93" i="6"/>
  <c r="AA93" i="6"/>
  <c r="AL92" i="6"/>
  <c r="AK92" i="6"/>
  <c r="AJ92" i="6"/>
  <c r="AI92" i="6"/>
  <c r="AB92" i="6"/>
  <c r="AA92" i="6"/>
  <c r="AL91" i="6"/>
  <c r="AK91" i="6"/>
  <c r="AJ91" i="6"/>
  <c r="AI91" i="6"/>
  <c r="AB91" i="6"/>
  <c r="AA91" i="6"/>
  <c r="AL90" i="6"/>
  <c r="AK90" i="6"/>
  <c r="AJ90" i="6"/>
  <c r="AI90" i="6"/>
  <c r="AB90" i="6"/>
  <c r="AA90" i="6"/>
  <c r="AL89" i="6"/>
  <c r="AK89" i="6"/>
  <c r="AJ89" i="6"/>
  <c r="AI89" i="6"/>
  <c r="AB89" i="6"/>
  <c r="AA89" i="6"/>
  <c r="AL88" i="6"/>
  <c r="AK88" i="6"/>
  <c r="AJ88" i="6"/>
  <c r="AI88" i="6"/>
  <c r="AB88" i="6"/>
  <c r="AA88" i="6"/>
  <c r="AL87" i="6"/>
  <c r="AK87" i="6"/>
  <c r="AJ87" i="6"/>
  <c r="AI87" i="6"/>
  <c r="AB87" i="6"/>
  <c r="AA87" i="6"/>
  <c r="AL86" i="6"/>
  <c r="AK86" i="6"/>
  <c r="AJ86" i="6"/>
  <c r="AI86" i="6"/>
  <c r="AB86" i="6"/>
  <c r="AA86" i="6"/>
  <c r="AL85" i="6"/>
  <c r="AS85" i="6" s="1"/>
  <c r="AK85" i="6"/>
  <c r="AO85" i="6" s="1"/>
  <c r="AB85" i="6"/>
  <c r="AA85" i="6"/>
  <c r="AL84" i="6"/>
  <c r="AS84" i="6" s="1"/>
  <c r="AK84" i="6"/>
  <c r="AO84" i="6" s="1"/>
  <c r="AB84" i="6"/>
  <c r="AA84" i="6"/>
  <c r="AL83" i="6"/>
  <c r="AS83" i="6" s="1"/>
  <c r="AK83" i="6"/>
  <c r="AO83" i="6" s="1"/>
  <c r="AB83" i="6"/>
  <c r="AA83" i="6"/>
  <c r="AL82" i="6"/>
  <c r="AS82" i="6" s="1"/>
  <c r="AK82" i="6"/>
  <c r="AO82" i="6" s="1"/>
  <c r="AL81" i="6"/>
  <c r="AS81" i="6" s="1"/>
  <c r="AK81" i="6"/>
  <c r="AO81" i="6" s="1"/>
  <c r="AS80" i="6"/>
  <c r="AO80" i="6"/>
  <c r="AL79" i="6"/>
  <c r="AS79" i="6" s="1"/>
  <c r="AK79" i="6"/>
  <c r="AO79" i="6" s="1"/>
  <c r="AS78" i="6"/>
  <c r="AO78" i="6"/>
  <c r="AL77" i="6"/>
  <c r="AS77" i="6" s="1"/>
  <c r="AK77" i="6"/>
  <c r="AO77" i="6" s="1"/>
  <c r="AS76" i="6"/>
  <c r="AO76" i="6"/>
  <c r="AS75" i="6"/>
  <c r="AO75" i="6"/>
  <c r="AE75" i="6"/>
  <c r="AC75" i="6"/>
  <c r="AL74" i="6"/>
  <c r="AS74" i="6" s="1"/>
  <c r="AK74" i="6"/>
  <c r="AO74" i="6" s="1"/>
  <c r="AE74" i="6"/>
  <c r="AC74" i="6"/>
  <c r="AS73" i="6"/>
  <c r="AO73" i="6"/>
  <c r="AE73" i="6"/>
  <c r="AC73" i="6"/>
  <c r="AL72" i="6"/>
  <c r="AS72" i="6" s="1"/>
  <c r="AK72" i="6"/>
  <c r="AO72" i="6" s="1"/>
  <c r="AE72" i="6"/>
  <c r="AC72" i="6"/>
  <c r="AS71" i="6"/>
  <c r="AO71" i="6"/>
  <c r="AE71" i="6"/>
  <c r="AC71" i="6"/>
  <c r="AL70" i="6"/>
  <c r="AS70" i="6" s="1"/>
  <c r="AK70" i="6"/>
  <c r="AO70" i="6" s="1"/>
  <c r="AE70" i="6"/>
  <c r="AC70" i="6"/>
  <c r="AS69" i="6"/>
  <c r="AO69" i="6"/>
  <c r="AE69" i="6"/>
  <c r="AC69" i="6"/>
  <c r="AL68" i="6"/>
  <c r="AK68" i="6"/>
  <c r="AJ68" i="6"/>
  <c r="AI68" i="6"/>
  <c r="AB68" i="6"/>
  <c r="AA68" i="6"/>
  <c r="AL67" i="6"/>
  <c r="AK67" i="6"/>
  <c r="AJ67" i="6"/>
  <c r="AI67" i="6"/>
  <c r="AB67" i="6"/>
  <c r="AA67" i="6"/>
  <c r="AL66" i="6"/>
  <c r="AK66" i="6"/>
  <c r="AJ66" i="6"/>
  <c r="AI66" i="6"/>
  <c r="AB66" i="6"/>
  <c r="AA66" i="6"/>
  <c r="AL65" i="6"/>
  <c r="AK65" i="6"/>
  <c r="AJ65" i="6"/>
  <c r="AI65" i="6"/>
  <c r="AB65" i="6"/>
  <c r="AA65" i="6"/>
  <c r="AL64" i="6"/>
  <c r="AK64" i="6"/>
  <c r="AJ64" i="6"/>
  <c r="AI64" i="6"/>
  <c r="AB64" i="6"/>
  <c r="AA64" i="6"/>
  <c r="AL63" i="6"/>
  <c r="AK63" i="6"/>
  <c r="AJ63" i="6"/>
  <c r="AI63" i="6"/>
  <c r="AB63" i="6"/>
  <c r="AA63" i="6"/>
  <c r="AL62" i="6"/>
  <c r="AK62" i="6"/>
  <c r="AJ62" i="6"/>
  <c r="AI62" i="6"/>
  <c r="AB62" i="6"/>
  <c r="AA62" i="6"/>
  <c r="AL61" i="6"/>
  <c r="AK61" i="6"/>
  <c r="AJ61" i="6"/>
  <c r="AI61" i="6"/>
  <c r="AB61" i="6"/>
  <c r="AA61" i="6"/>
  <c r="AL60" i="6"/>
  <c r="AK60" i="6"/>
  <c r="AJ60" i="6"/>
  <c r="AI60" i="6"/>
  <c r="AB60" i="6"/>
  <c r="AA60" i="6"/>
  <c r="AL59" i="6"/>
  <c r="AK59" i="6"/>
  <c r="AJ59" i="6"/>
  <c r="AI59" i="6"/>
  <c r="AB59" i="6"/>
  <c r="AA59" i="6"/>
  <c r="AL58" i="6"/>
  <c r="AK58" i="6"/>
  <c r="AJ58" i="6"/>
  <c r="AI58" i="6"/>
  <c r="AB58" i="6"/>
  <c r="AA58" i="6"/>
  <c r="AL57" i="6"/>
  <c r="AK57" i="6"/>
  <c r="AJ57" i="6"/>
  <c r="AI57" i="6"/>
  <c r="AB57" i="6"/>
  <c r="AA57" i="6"/>
  <c r="AL56" i="6"/>
  <c r="AK56" i="6"/>
  <c r="AJ56" i="6"/>
  <c r="AI56" i="6"/>
  <c r="AB56" i="6"/>
  <c r="AA56" i="6"/>
  <c r="AL55" i="6"/>
  <c r="AK55" i="6"/>
  <c r="AJ55" i="6"/>
  <c r="AI55" i="6"/>
  <c r="AB55" i="6"/>
  <c r="AA55" i="6"/>
  <c r="AL54" i="6"/>
  <c r="AK54" i="6"/>
  <c r="AJ54" i="6"/>
  <c r="AI54" i="6"/>
  <c r="AB54" i="6"/>
  <c r="AA54" i="6"/>
  <c r="AL53" i="6"/>
  <c r="AK53" i="6"/>
  <c r="AJ53" i="6"/>
  <c r="AI53" i="6"/>
  <c r="AB53" i="6"/>
  <c r="AA53" i="6"/>
  <c r="AL52" i="6"/>
  <c r="AK52" i="6"/>
  <c r="AJ52" i="6"/>
  <c r="AI52" i="6"/>
  <c r="AB52" i="6"/>
  <c r="AA52" i="6"/>
  <c r="AL51" i="6"/>
  <c r="AK51" i="6"/>
  <c r="AJ51" i="6"/>
  <c r="AI51" i="6"/>
  <c r="AB51" i="6"/>
  <c r="AA51" i="6"/>
  <c r="AL50" i="6"/>
  <c r="AK50" i="6"/>
  <c r="AJ50" i="6"/>
  <c r="AI50" i="6"/>
  <c r="AB50" i="6"/>
  <c r="AA50" i="6"/>
  <c r="AL49" i="6"/>
  <c r="AK49" i="6"/>
  <c r="AJ49" i="6"/>
  <c r="AI49" i="6"/>
  <c r="AB49" i="6"/>
  <c r="AA49" i="6"/>
  <c r="AL48" i="6"/>
  <c r="AK48" i="6"/>
  <c r="AJ48" i="6"/>
  <c r="AI48" i="6"/>
  <c r="AB48" i="6"/>
  <c r="AA48" i="6"/>
  <c r="AL47" i="6"/>
  <c r="AK47" i="6"/>
  <c r="AJ47" i="6"/>
  <c r="AI47" i="6"/>
  <c r="AB47" i="6"/>
  <c r="AA47" i="6"/>
  <c r="AL46" i="6"/>
  <c r="AK46" i="6"/>
  <c r="AJ46" i="6"/>
  <c r="AI46" i="6"/>
  <c r="AB46" i="6"/>
  <c r="AA46" i="6"/>
  <c r="AL45" i="6"/>
  <c r="AK45" i="6"/>
  <c r="AJ45" i="6"/>
  <c r="AI45" i="6"/>
  <c r="AB45" i="6"/>
  <c r="AA45" i="6"/>
  <c r="AL44" i="6"/>
  <c r="AK44" i="6"/>
  <c r="AJ44" i="6"/>
  <c r="AI44" i="6"/>
  <c r="AB44" i="6"/>
  <c r="AA44" i="6"/>
  <c r="AL43" i="6"/>
  <c r="AK43" i="6"/>
  <c r="AB43" i="6"/>
  <c r="AA43" i="6"/>
  <c r="AL41" i="6"/>
  <c r="AK41" i="6"/>
  <c r="AJ41" i="6"/>
  <c r="AJ43" i="6" s="1"/>
  <c r="AI41" i="6"/>
  <c r="AI43" i="6" s="1"/>
  <c r="AB41" i="6"/>
  <c r="AA41" i="6"/>
  <c r="AL40" i="6"/>
  <c r="AK40" i="6"/>
  <c r="AJ40" i="6"/>
  <c r="AI40" i="6"/>
  <c r="AB40" i="6"/>
  <c r="AA40" i="6"/>
  <c r="AL39" i="6"/>
  <c r="AK39" i="6"/>
  <c r="AJ39" i="6"/>
  <c r="AI39" i="6"/>
  <c r="AB39" i="6"/>
  <c r="AA39" i="6"/>
  <c r="AL38" i="6"/>
  <c r="AK38" i="6"/>
  <c r="AJ38" i="6"/>
  <c r="AI38" i="6"/>
  <c r="AB38" i="6"/>
  <c r="AA38" i="6"/>
  <c r="AL37" i="6"/>
  <c r="AK37" i="6"/>
  <c r="AJ37" i="6"/>
  <c r="AI37" i="6"/>
  <c r="AB37" i="6"/>
  <c r="AA37" i="6"/>
  <c r="AL36" i="6"/>
  <c r="AK36" i="6"/>
  <c r="AJ36" i="6"/>
  <c r="AI36" i="6"/>
  <c r="AB36" i="6"/>
  <c r="AA36" i="6"/>
  <c r="AL35" i="6"/>
  <c r="AK35" i="6"/>
  <c r="AJ35" i="6"/>
  <c r="AI35" i="6"/>
  <c r="AB35" i="6"/>
  <c r="AA35" i="6"/>
  <c r="AL34" i="6"/>
  <c r="AK34" i="6"/>
  <c r="AJ34" i="6"/>
  <c r="AI34" i="6"/>
  <c r="AB34" i="6"/>
  <c r="AA34" i="6"/>
  <c r="AL33" i="6"/>
  <c r="AK33" i="6"/>
  <c r="AJ33" i="6"/>
  <c r="AI33" i="6"/>
  <c r="AB33" i="6"/>
  <c r="AA33" i="6"/>
  <c r="AL32" i="6"/>
  <c r="AK32" i="6"/>
  <c r="AJ32" i="6"/>
  <c r="AI32" i="6"/>
  <c r="AB32" i="6"/>
  <c r="AA32" i="6"/>
  <c r="AL31" i="6"/>
  <c r="AK31" i="6"/>
  <c r="AJ31" i="6"/>
  <c r="AI31" i="6"/>
  <c r="AB31" i="6"/>
  <c r="AA31" i="6"/>
  <c r="AL30" i="6"/>
  <c r="AK30" i="6"/>
  <c r="AJ30" i="6"/>
  <c r="AI30" i="6"/>
  <c r="AB30" i="6"/>
  <c r="AA30" i="6"/>
  <c r="AL29" i="6"/>
  <c r="AK29" i="6"/>
  <c r="AJ29" i="6"/>
  <c r="AI29" i="6"/>
  <c r="AB29" i="6"/>
  <c r="AA29" i="6"/>
  <c r="AL28" i="6"/>
  <c r="AS28" i="6" s="1"/>
  <c r="AK28" i="6"/>
  <c r="AO28" i="6" s="1"/>
  <c r="AB28" i="6"/>
  <c r="AA28" i="6"/>
  <c r="AL27" i="6"/>
  <c r="AS27" i="6" s="1"/>
  <c r="AK27" i="6"/>
  <c r="AO27" i="6" s="1"/>
  <c r="AB27" i="6"/>
  <c r="AA27" i="6"/>
  <c r="AL26" i="6"/>
  <c r="AS26" i="6" s="1"/>
  <c r="AK26" i="6"/>
  <c r="AO26" i="6" s="1"/>
  <c r="AB26" i="6"/>
  <c r="AA26" i="6"/>
  <c r="AO25" i="6"/>
  <c r="AL25" i="6"/>
  <c r="AS25" i="6" s="1"/>
  <c r="AL24" i="6"/>
  <c r="AS24" i="6" s="1"/>
  <c r="AK24" i="6"/>
  <c r="AO24" i="6" s="1"/>
  <c r="AS23" i="6"/>
  <c r="AO23" i="6"/>
  <c r="AL22" i="6"/>
  <c r="AS22" i="6" s="1"/>
  <c r="AK22" i="6"/>
  <c r="AO22" i="6" s="1"/>
  <c r="AS21" i="6"/>
  <c r="AO21" i="6"/>
  <c r="AL20" i="6"/>
  <c r="AS20" i="6" s="1"/>
  <c r="AK20" i="6"/>
  <c r="AO20" i="6" s="1"/>
  <c r="AS19" i="6"/>
  <c r="AO19" i="6"/>
  <c r="AS18" i="6"/>
  <c r="AO18" i="6"/>
  <c r="AE18" i="6"/>
  <c r="AC18" i="6"/>
  <c r="AL17" i="6"/>
  <c r="AS17" i="6" s="1"/>
  <c r="AK17" i="6"/>
  <c r="AO17" i="6" s="1"/>
  <c r="AE17" i="6"/>
  <c r="AC17" i="6"/>
  <c r="AS16" i="6"/>
  <c r="AO16" i="6"/>
  <c r="AE16" i="6"/>
  <c r="AC16" i="6"/>
  <c r="AL15" i="6"/>
  <c r="AS15" i="6" s="1"/>
  <c r="AK15" i="6"/>
  <c r="AO15" i="6" s="1"/>
  <c r="AE15" i="6"/>
  <c r="AC15" i="6"/>
  <c r="AS14" i="6"/>
  <c r="AO14" i="6"/>
  <c r="AE14" i="6"/>
  <c r="AC14" i="6"/>
  <c r="AL13" i="6"/>
  <c r="AS13" i="6" s="1"/>
  <c r="AK13" i="6"/>
  <c r="AO13" i="6" s="1"/>
  <c r="AE13" i="6"/>
  <c r="AC13" i="6"/>
  <c r="AS12" i="6"/>
  <c r="AO12" i="6"/>
  <c r="AE12" i="6"/>
  <c r="AC12" i="6"/>
  <c r="AF34" i="2"/>
  <c r="AO34" i="2" s="1"/>
  <c r="AE34" i="2"/>
  <c r="AK34" i="2" s="1"/>
  <c r="X34" i="2"/>
  <c r="W34" i="2"/>
  <c r="AF33" i="2"/>
  <c r="AO33" i="2" s="1"/>
  <c r="AE33" i="2"/>
  <c r="AK33" i="2" s="1"/>
  <c r="X33" i="2"/>
  <c r="W33" i="2"/>
  <c r="AF32" i="2"/>
  <c r="AO32" i="2" s="1"/>
  <c r="AE32" i="2"/>
  <c r="AK32" i="2" s="1"/>
  <c r="X32" i="2"/>
  <c r="W32" i="2"/>
  <c r="AF31" i="2"/>
  <c r="AO31" i="2" s="1"/>
  <c r="AE31" i="2"/>
  <c r="AK31" i="2" s="1"/>
  <c r="X31" i="2"/>
  <c r="W31" i="2"/>
  <c r="AF30" i="2"/>
  <c r="AO30" i="2" s="1"/>
  <c r="AE30" i="2"/>
  <c r="AK30" i="2" s="1"/>
  <c r="X30" i="2"/>
  <c r="W30" i="2"/>
  <c r="AF29" i="2"/>
  <c r="AO29" i="2" s="1"/>
  <c r="AE29" i="2"/>
  <c r="AK29" i="2" s="1"/>
  <c r="X29" i="2"/>
  <c r="W29" i="2"/>
  <c r="AF28" i="2"/>
  <c r="AO28" i="2" s="1"/>
  <c r="AE28" i="2"/>
  <c r="AK28" i="2" s="1"/>
  <c r="X28" i="2"/>
  <c r="W28" i="2"/>
  <c r="AF27" i="2"/>
  <c r="AO27" i="2" s="1"/>
  <c r="AE27" i="2"/>
  <c r="AK27" i="2" s="1"/>
  <c r="X27" i="2"/>
  <c r="W27" i="2"/>
  <c r="AF26" i="2"/>
  <c r="AO26" i="2" s="1"/>
  <c r="AE26" i="2"/>
  <c r="AK26" i="2" s="1"/>
  <c r="X26" i="2"/>
  <c r="W26" i="2"/>
  <c r="AF25" i="2"/>
  <c r="AO25" i="2" s="1"/>
  <c r="AE25" i="2"/>
  <c r="AK25" i="2" s="1"/>
  <c r="X25" i="2"/>
  <c r="W25" i="2"/>
  <c r="AF24" i="2"/>
  <c r="AO24" i="2" s="1"/>
  <c r="AE24" i="2"/>
  <c r="AK24" i="2" s="1"/>
  <c r="X24" i="2"/>
  <c r="W24" i="2"/>
  <c r="AF23" i="2"/>
  <c r="AO23" i="2" s="1"/>
  <c r="AE23" i="2"/>
  <c r="AK23" i="2" s="1"/>
  <c r="X23" i="2"/>
  <c r="W23" i="2"/>
  <c r="AF22" i="2"/>
  <c r="AO22" i="2" s="1"/>
  <c r="AE22" i="2"/>
  <c r="AK22" i="2" s="1"/>
  <c r="X22" i="2"/>
  <c r="W22" i="2"/>
  <c r="AO21" i="2"/>
  <c r="AK21" i="2"/>
  <c r="X21" i="2"/>
  <c r="W21" i="2"/>
  <c r="AO20" i="2"/>
  <c r="AK20" i="2"/>
  <c r="AO19" i="2"/>
  <c r="AK19" i="2"/>
  <c r="AO18" i="2"/>
  <c r="AK18" i="2"/>
  <c r="AO17" i="2"/>
  <c r="AK17" i="2"/>
  <c r="AO16" i="2"/>
  <c r="AK16" i="2"/>
  <c r="AO15" i="2"/>
  <c r="AK15" i="2"/>
  <c r="AO14" i="2"/>
  <c r="AK14" i="2"/>
  <c r="AO13" i="2"/>
  <c r="AK13" i="2"/>
  <c r="AF12" i="2"/>
  <c r="AO12" i="2" s="1"/>
  <c r="AE12" i="2"/>
  <c r="AK12" i="2" s="1"/>
  <c r="X12" i="2"/>
  <c r="W12" i="2"/>
  <c r="AF11" i="2"/>
  <c r="AO11" i="2" s="1"/>
  <c r="AE11" i="2"/>
  <c r="AK11" i="2" s="1"/>
  <c r="X11" i="2"/>
  <c r="W11" i="2"/>
  <c r="AF10" i="2"/>
  <c r="AO10" i="2" s="1"/>
  <c r="AE10" i="2"/>
  <c r="AK10" i="2" s="1"/>
  <c r="X10" i="2"/>
  <c r="W10" i="2"/>
  <c r="AF9" i="2"/>
  <c r="AO9" i="2" s="1"/>
  <c r="AE9" i="2"/>
  <c r="AK9" i="2" s="1"/>
  <c r="X9" i="2"/>
  <c r="W9" i="2"/>
  <c r="AF8" i="2"/>
  <c r="AO8" i="2" s="1"/>
  <c r="AE8" i="2"/>
  <c r="AK8" i="2" s="1"/>
  <c r="X8" i="2"/>
  <c r="W8" i="2"/>
  <c r="AF7" i="2"/>
  <c r="AO7" i="2" s="1"/>
  <c r="AE7" i="2"/>
  <c r="AK7" i="2" s="1"/>
  <c r="X7" i="2"/>
  <c r="W7" i="2"/>
  <c r="AO6" i="2"/>
  <c r="AK6" i="2"/>
  <c r="X6" i="2"/>
  <c r="W6" i="2"/>
  <c r="AO5" i="2"/>
  <c r="AK5" i="2"/>
  <c r="AO4" i="2"/>
  <c r="AK4" i="2"/>
  <c r="AS11" i="6"/>
  <c r="AO11" i="6"/>
  <c r="AS10" i="6"/>
  <c r="AO10" i="6"/>
  <c r="AS9" i="6"/>
  <c r="AO9" i="6"/>
  <c r="AS8" i="6"/>
  <c r="AO8" i="6"/>
  <c r="AS7" i="6"/>
  <c r="AO7" i="6"/>
  <c r="AS6" i="6"/>
  <c r="AO6" i="6"/>
  <c r="AO5" i="6"/>
  <c r="AO4" i="6"/>
  <c r="AO3" i="6"/>
  <c r="AV3" i="2"/>
  <c r="AU3" i="2"/>
  <c r="AS3" i="2"/>
  <c r="AO3" i="2"/>
  <c r="AK3" i="2"/>
  <c r="AB388" i="6" l="1"/>
  <c r="AT6" i="2"/>
  <c r="AT9" i="2"/>
  <c r="AT18" i="2"/>
  <c r="AT28" i="2"/>
  <c r="AT31" i="2"/>
  <c r="AT245" i="2"/>
  <c r="AT226" i="2"/>
  <c r="AT235" i="2"/>
  <c r="AT241" i="2"/>
  <c r="AT236" i="2"/>
  <c r="AT34" i="2"/>
  <c r="AT151" i="2"/>
  <c r="AT157" i="2"/>
  <c r="AT240" i="2"/>
  <c r="AT246" i="2"/>
  <c r="AT251" i="2"/>
  <c r="AT252" i="2"/>
  <c r="AT264" i="2"/>
  <c r="AT250" i="2"/>
  <c r="X219" i="2"/>
  <c r="AT254" i="2"/>
  <c r="AT266" i="2"/>
  <c r="AT173" i="2"/>
  <c r="AT237" i="2"/>
  <c r="AT243" i="2"/>
  <c r="AX275" i="6"/>
  <c r="AX284" i="6"/>
  <c r="AX341" i="6"/>
  <c r="AX440" i="6"/>
  <c r="AX449" i="6"/>
  <c r="AX272" i="6"/>
  <c r="AO115" i="6"/>
  <c r="AO117" i="6"/>
  <c r="AO119" i="6"/>
  <c r="AO123" i="6"/>
  <c r="AX125" i="6"/>
  <c r="AX134" i="6"/>
  <c r="AX429" i="6"/>
  <c r="AX437" i="6"/>
  <c r="AX170" i="6"/>
  <c r="AX446" i="6"/>
  <c r="AX409" i="6"/>
  <c r="AX277" i="6"/>
  <c r="AX418" i="6"/>
  <c r="AX435" i="6"/>
  <c r="AX448" i="6"/>
  <c r="AX406" i="6"/>
  <c r="AX400" i="6"/>
  <c r="AX412" i="6"/>
  <c r="AX415" i="6"/>
  <c r="AX445" i="6"/>
  <c r="AX431" i="6"/>
  <c r="AX417" i="6"/>
  <c r="AX424" i="6"/>
  <c r="AX432" i="6"/>
  <c r="AX447" i="6"/>
  <c r="AX419" i="6"/>
  <c r="AX436" i="6"/>
  <c r="AX443" i="6"/>
  <c r="AX382" i="6"/>
  <c r="AX433" i="6"/>
  <c r="AT253" i="2"/>
  <c r="AT259" i="2"/>
  <c r="AT265" i="2"/>
  <c r="AT255" i="2"/>
  <c r="AT261" i="2"/>
  <c r="AT238" i="2"/>
  <c r="AT244" i="2"/>
  <c r="AT262" i="2"/>
  <c r="AT223" i="2"/>
  <c r="AT257" i="2"/>
  <c r="AT263" i="2"/>
  <c r="AX426" i="6"/>
  <c r="AX362" i="6"/>
  <c r="AX368" i="6"/>
  <c r="AX374" i="6"/>
  <c r="AX428" i="6"/>
  <c r="AX442" i="6"/>
  <c r="AS323" i="6"/>
  <c r="AX23" i="6"/>
  <c r="AX343" i="6"/>
  <c r="AX351" i="6"/>
  <c r="AX358" i="6"/>
  <c r="AX416" i="6"/>
  <c r="AX430" i="6"/>
  <c r="AX444" i="6"/>
  <c r="AX408" i="6"/>
  <c r="AX450" i="6"/>
  <c r="AX361" i="6"/>
  <c r="AX367" i="6"/>
  <c r="AX373" i="6"/>
  <c r="AX410" i="6"/>
  <c r="AX434" i="6"/>
  <c r="AX441" i="6"/>
  <c r="AT242" i="2"/>
  <c r="AT258" i="2"/>
  <c r="AT234" i="2"/>
  <c r="AT170" i="2"/>
  <c r="AT176" i="2"/>
  <c r="AT248" i="2"/>
  <c r="AT260" i="2"/>
  <c r="AT267" i="2"/>
  <c r="AT249" i="2"/>
  <c r="AT154" i="2"/>
  <c r="AT166" i="2"/>
  <c r="AT256" i="2"/>
  <c r="AX423" i="6"/>
  <c r="AX27" i="6"/>
  <c r="AA385" i="6"/>
  <c r="AX425" i="6"/>
  <c r="AX364" i="6"/>
  <c r="AX198" i="6"/>
  <c r="AX407" i="6"/>
  <c r="AX395" i="6"/>
  <c r="AX401" i="6"/>
  <c r="AX422" i="6"/>
  <c r="AT202" i="2"/>
  <c r="AT247" i="2"/>
  <c r="AT203" i="2"/>
  <c r="AT232" i="2"/>
  <c r="W221" i="2"/>
  <c r="AT224" i="2"/>
  <c r="AT228" i="2"/>
  <c r="AT233" i="2"/>
  <c r="AT180" i="2"/>
  <c r="AK194" i="2"/>
  <c r="AO194" i="2"/>
  <c r="AT199" i="2"/>
  <c r="AT205" i="2"/>
  <c r="AT229" i="2"/>
  <c r="AT239" i="2"/>
  <c r="AX427" i="6"/>
  <c r="AX421" i="6"/>
  <c r="AO386" i="6"/>
  <c r="AX386" i="6" s="1"/>
  <c r="AX383" i="6"/>
  <c r="AX375" i="6"/>
  <c r="AA381" i="6"/>
  <c r="AA384" i="6"/>
  <c r="AX396" i="6"/>
  <c r="AO322" i="6"/>
  <c r="AX380" i="6"/>
  <c r="AS324" i="6"/>
  <c r="AX376" i="6"/>
  <c r="AX397" i="6"/>
  <c r="AX365" i="6"/>
  <c r="AX371" i="6"/>
  <c r="AX398" i="6"/>
  <c r="AO88" i="6"/>
  <c r="AO92" i="6"/>
  <c r="AO96" i="6"/>
  <c r="AO100" i="6"/>
  <c r="AO104" i="6"/>
  <c r="AO108" i="6"/>
  <c r="AO112" i="6"/>
  <c r="AX194" i="6"/>
  <c r="AO37" i="6"/>
  <c r="AO86" i="6"/>
  <c r="AO90" i="6"/>
  <c r="AO94" i="6"/>
  <c r="AO98" i="6"/>
  <c r="AO102" i="6"/>
  <c r="AO106" i="6"/>
  <c r="AO110" i="6"/>
  <c r="AX372" i="6"/>
  <c r="AX399" i="6"/>
  <c r="AX391" i="6"/>
  <c r="AX319" i="6"/>
  <c r="AT225" i="2"/>
  <c r="AO216" i="2"/>
  <c r="W220" i="2"/>
  <c r="AT213" i="2"/>
  <c r="W217" i="2"/>
  <c r="X220" i="2"/>
  <c r="AT219" i="2"/>
  <c r="AK216" i="2"/>
  <c r="AT177" i="2"/>
  <c r="AT192" i="2"/>
  <c r="X217" i="2"/>
  <c r="AT214" i="2"/>
  <c r="AT217" i="2"/>
  <c r="AT227" i="2"/>
  <c r="AT184" i="2"/>
  <c r="W219" i="2"/>
  <c r="AO221" i="2"/>
  <c r="AT221" i="2" s="1"/>
  <c r="AX366" i="6"/>
  <c r="AX411" i="6"/>
  <c r="AX384" i="6"/>
  <c r="AS114" i="6"/>
  <c r="AX378" i="6"/>
  <c r="AO323" i="6"/>
  <c r="AX174" i="6"/>
  <c r="AX178" i="6"/>
  <c r="AX189" i="6"/>
  <c r="AX195" i="6"/>
  <c r="AX308" i="6"/>
  <c r="AX326" i="6"/>
  <c r="AX335" i="6"/>
  <c r="AX379" i="6"/>
  <c r="AS38" i="6"/>
  <c r="AS40" i="6"/>
  <c r="AS43" i="6"/>
  <c r="AS45" i="6"/>
  <c r="AS47" i="6"/>
  <c r="AS49" i="6"/>
  <c r="AS63" i="6"/>
  <c r="AS65" i="6"/>
  <c r="AS67" i="6"/>
  <c r="AS87" i="6"/>
  <c r="AS99" i="6"/>
  <c r="AS103" i="6"/>
  <c r="AS107" i="6"/>
  <c r="AS111" i="6"/>
  <c r="AS115" i="6"/>
  <c r="AS119" i="6"/>
  <c r="AS123" i="6"/>
  <c r="AX146" i="6"/>
  <c r="AX303" i="6"/>
  <c r="AX309" i="6"/>
  <c r="AX315" i="6"/>
  <c r="AX336" i="6"/>
  <c r="AX369" i="6"/>
  <c r="AX76" i="6"/>
  <c r="AX82" i="6"/>
  <c r="AX85" i="6"/>
  <c r="AB386" i="6"/>
  <c r="AX370" i="6"/>
  <c r="AX338" i="6"/>
  <c r="AB384" i="6"/>
  <c r="AX172" i="6"/>
  <c r="AX177" i="6"/>
  <c r="AX180" i="6"/>
  <c r="AX312" i="6"/>
  <c r="AX377" i="6"/>
  <c r="AX363" i="6"/>
  <c r="AX389" i="6"/>
  <c r="AX390" i="6"/>
  <c r="AX392" i="6"/>
  <c r="AS381" i="6"/>
  <c r="AX381" i="6" s="1"/>
  <c r="AO388" i="6"/>
  <c r="AX388" i="6" s="1"/>
  <c r="AS385" i="6"/>
  <c r="AX385" i="6" s="1"/>
  <c r="AA389" i="6"/>
  <c r="AB389" i="6"/>
  <c r="AX175" i="6"/>
  <c r="AX179" i="6"/>
  <c r="AX183" i="6"/>
  <c r="AX191" i="6"/>
  <c r="AX197" i="6"/>
  <c r="AX304" i="6"/>
  <c r="AX316" i="6"/>
  <c r="AX344" i="6"/>
  <c r="AX352" i="6"/>
  <c r="AX171" i="6"/>
  <c r="AX305" i="6"/>
  <c r="AX311" i="6"/>
  <c r="AX317" i="6"/>
  <c r="AX331" i="6"/>
  <c r="AX345" i="6"/>
  <c r="AX353" i="6"/>
  <c r="AX193" i="6"/>
  <c r="AX346" i="6"/>
  <c r="AX354" i="6"/>
  <c r="AX164" i="6"/>
  <c r="AX173" i="6"/>
  <c r="AX307" i="6"/>
  <c r="AX340" i="6"/>
  <c r="AX348" i="6"/>
  <c r="AX133" i="6"/>
  <c r="AX285" i="6"/>
  <c r="AT17" i="2"/>
  <c r="AT193" i="2"/>
  <c r="AT220" i="2"/>
  <c r="AT168" i="2"/>
  <c r="AT174" i="2"/>
  <c r="AT179" i="2"/>
  <c r="AT93" i="2"/>
  <c r="AT169" i="2"/>
  <c r="AT215" i="2"/>
  <c r="AT152" i="2"/>
  <c r="AT158" i="2"/>
  <c r="AT222" i="2"/>
  <c r="AT218" i="2"/>
  <c r="W218" i="2"/>
  <c r="X218" i="2"/>
  <c r="AO128" i="6"/>
  <c r="AO67" i="6"/>
  <c r="AX69" i="6"/>
  <c r="AX72" i="6"/>
  <c r="AX75" i="6"/>
  <c r="AO87" i="6"/>
  <c r="AO91" i="6"/>
  <c r="AO103" i="6"/>
  <c r="AO107" i="6"/>
  <c r="AO109" i="6"/>
  <c r="AO111" i="6"/>
  <c r="AO113" i="6"/>
  <c r="AX145" i="6"/>
  <c r="AX291" i="6"/>
  <c r="AX299" i="6"/>
  <c r="AO126" i="6"/>
  <c r="AX169" i="6"/>
  <c r="AX318" i="6"/>
  <c r="AX7" i="6"/>
  <c r="AX70" i="6"/>
  <c r="AX73" i="6"/>
  <c r="AX77" i="6"/>
  <c r="AS126" i="6"/>
  <c r="AX190" i="6"/>
  <c r="AX196" i="6"/>
  <c r="AX334" i="6"/>
  <c r="AX332" i="6"/>
  <c r="AX314" i="6"/>
  <c r="AX163" i="6"/>
  <c r="AX184" i="6"/>
  <c r="AX282" i="6"/>
  <c r="AX289" i="6"/>
  <c r="AX297" i="6"/>
  <c r="AT156" i="2"/>
  <c r="AT186" i="2"/>
  <c r="AT147" i="2"/>
  <c r="AT159" i="2"/>
  <c r="AT182" i="2"/>
  <c r="AT188" i="2"/>
  <c r="AT198" i="2"/>
  <c r="AT204" i="2"/>
  <c r="AT171" i="2"/>
  <c r="AT148" i="2"/>
  <c r="AT172" i="2"/>
  <c r="AT178" i="2"/>
  <c r="AT206" i="2"/>
  <c r="AT155" i="2"/>
  <c r="AT200" i="2"/>
  <c r="AT81" i="2"/>
  <c r="AT150" i="2"/>
  <c r="AT181" i="2"/>
  <c r="AT201" i="2"/>
  <c r="AT208" i="2"/>
  <c r="AT167" i="2"/>
  <c r="AT187" i="2"/>
  <c r="AT183" i="2"/>
  <c r="AT153" i="2"/>
  <c r="AT165" i="2"/>
  <c r="AT149" i="2"/>
  <c r="AT175" i="2"/>
  <c r="AT185" i="2"/>
  <c r="AX153" i="6"/>
  <c r="AX283" i="6"/>
  <c r="AX276" i="6"/>
  <c r="AO165" i="6"/>
  <c r="AX165" i="6" s="1"/>
  <c r="AX292" i="6"/>
  <c r="AX300" i="6"/>
  <c r="AX337" i="6"/>
  <c r="AX166" i="6"/>
  <c r="AX192" i="6"/>
  <c r="AX293" i="6"/>
  <c r="AS322" i="6"/>
  <c r="AO324" i="6"/>
  <c r="AX298" i="6"/>
  <c r="AX306" i="6"/>
  <c r="AX8" i="6"/>
  <c r="AX21" i="6"/>
  <c r="AX26" i="6"/>
  <c r="AX141" i="6"/>
  <c r="AX149" i="6"/>
  <c r="AX155" i="6"/>
  <c r="AX161" i="6"/>
  <c r="AX185" i="6"/>
  <c r="AX187" i="6"/>
  <c r="AX281" i="6"/>
  <c r="AX313" i="6"/>
  <c r="AX310" i="6"/>
  <c r="AS86" i="6"/>
  <c r="AS88" i="6"/>
  <c r="AS90" i="6"/>
  <c r="AS92" i="6"/>
  <c r="AS94" i="6"/>
  <c r="AS96" i="6"/>
  <c r="AS98" i="6"/>
  <c r="AS100" i="6"/>
  <c r="AS102" i="6"/>
  <c r="AS104" i="6"/>
  <c r="AS106" i="6"/>
  <c r="AS108" i="6"/>
  <c r="AS110" i="6"/>
  <c r="AX14" i="6"/>
  <c r="AS127" i="6"/>
  <c r="AX143" i="6"/>
  <c r="AX162" i="6"/>
  <c r="AX188" i="6"/>
  <c r="AX288" i="6"/>
  <c r="AX294" i="6"/>
  <c r="AX339" i="6"/>
  <c r="AX290" i="6"/>
  <c r="AT57" i="2"/>
  <c r="AT62" i="2"/>
  <c r="AT10" i="2"/>
  <c r="AT14" i="2"/>
  <c r="AT20" i="2"/>
  <c r="AT29" i="2"/>
  <c r="AT32" i="2"/>
  <c r="AT43" i="2"/>
  <c r="AO63" i="2"/>
  <c r="AK67" i="2"/>
  <c r="AT91" i="2"/>
  <c r="AT70" i="2"/>
  <c r="AT79" i="2"/>
  <c r="AT85" i="2"/>
  <c r="AT88" i="2"/>
  <c r="AT77" i="2"/>
  <c r="AO68" i="2"/>
  <c r="AT23" i="2"/>
  <c r="AT36" i="2"/>
  <c r="AT5" i="2"/>
  <c r="AT8" i="2"/>
  <c r="AT11" i="2"/>
  <c r="AT16" i="2"/>
  <c r="AT21" i="2"/>
  <c r="AT27" i="2"/>
  <c r="AT87" i="2"/>
  <c r="AT89" i="2"/>
  <c r="AT51" i="2"/>
  <c r="AK65" i="2"/>
  <c r="AK68" i="2"/>
  <c r="AT82" i="2"/>
  <c r="AX182" i="6"/>
  <c r="AO41" i="6"/>
  <c r="AO66" i="6"/>
  <c r="AX152" i="6"/>
  <c r="AX158" i="6"/>
  <c r="AS41" i="6"/>
  <c r="AX159" i="6"/>
  <c r="AX12" i="6"/>
  <c r="AO127" i="6"/>
  <c r="AX147" i="6"/>
  <c r="AX160" i="6"/>
  <c r="AO29" i="6"/>
  <c r="AO31" i="6"/>
  <c r="AO33" i="6"/>
  <c r="AO35" i="6"/>
  <c r="AX144" i="6"/>
  <c r="AX156" i="6"/>
  <c r="AJ167" i="6"/>
  <c r="AS167" i="6" s="1"/>
  <c r="AX167" i="6" s="1"/>
  <c r="AX151" i="6"/>
  <c r="AX157" i="6"/>
  <c r="AX168" i="6"/>
  <c r="AT60" i="2"/>
  <c r="AT58" i="2"/>
  <c r="AK66" i="2"/>
  <c r="AT69" i="2"/>
  <c r="AT46" i="2"/>
  <c r="AT54" i="2"/>
  <c r="AO66" i="2"/>
  <c r="AT78" i="2"/>
  <c r="AT84" i="2"/>
  <c r="AT44" i="2"/>
  <c r="AT50" i="2"/>
  <c r="AO67" i="2"/>
  <c r="AT80" i="2"/>
  <c r="AX150" i="6"/>
  <c r="AX20" i="6"/>
  <c r="AO97" i="6"/>
  <c r="AO105" i="6"/>
  <c r="AS93" i="6"/>
  <c r="AS97" i="6"/>
  <c r="AS128" i="6"/>
  <c r="AO101" i="6"/>
  <c r="AS31" i="6"/>
  <c r="AS35" i="6"/>
  <c r="AO44" i="6"/>
  <c r="AO46" i="6"/>
  <c r="AO48" i="6"/>
  <c r="AO50" i="6"/>
  <c r="AO52" i="6"/>
  <c r="AO54" i="6"/>
  <c r="AO56" i="6"/>
  <c r="AO58" i="6"/>
  <c r="AO60" i="6"/>
  <c r="AO62" i="6"/>
  <c r="AO64" i="6"/>
  <c r="AX22" i="6"/>
  <c r="AS44" i="6"/>
  <c r="AS48" i="6"/>
  <c r="AS50" i="6"/>
  <c r="AS52" i="6"/>
  <c r="AS56" i="6"/>
  <c r="AS60" i="6"/>
  <c r="AS64" i="6"/>
  <c r="AO68" i="6"/>
  <c r="AX130" i="6"/>
  <c r="AX135" i="6"/>
  <c r="AX18" i="6"/>
  <c r="AO120" i="6"/>
  <c r="AO122" i="6"/>
  <c r="AO124" i="6"/>
  <c r="AX131" i="6"/>
  <c r="AX6" i="6"/>
  <c r="AO30" i="6"/>
  <c r="AO32" i="6"/>
  <c r="AO34" i="6"/>
  <c r="AO36" i="6"/>
  <c r="AX80" i="6"/>
  <c r="AS118" i="6"/>
  <c r="AS120" i="6"/>
  <c r="AS122" i="6"/>
  <c r="AS124" i="6"/>
  <c r="AS30" i="6"/>
  <c r="AS32" i="6"/>
  <c r="AS34" i="6"/>
  <c r="AS36" i="6"/>
  <c r="AO38" i="6"/>
  <c r="AO40" i="6"/>
  <c r="AO43" i="6"/>
  <c r="AO47" i="6"/>
  <c r="AO51" i="6"/>
  <c r="AO53" i="6"/>
  <c r="AO63" i="6"/>
  <c r="AO65" i="6"/>
  <c r="AX84" i="6"/>
  <c r="AX132" i="6"/>
  <c r="AT38" i="2"/>
  <c r="AT39" i="2"/>
  <c r="AK63" i="2"/>
  <c r="AO65" i="2"/>
  <c r="AT73" i="2"/>
  <c r="AT49" i="2"/>
  <c r="AT45" i="2"/>
  <c r="AT41" i="2"/>
  <c r="AK56" i="2"/>
  <c r="AK64" i="2"/>
  <c r="AT13" i="2"/>
  <c r="AO56" i="2"/>
  <c r="AO64" i="2"/>
  <c r="AT42" i="2"/>
  <c r="AT61" i="2"/>
  <c r="AT76" i="2"/>
  <c r="AS46" i="6"/>
  <c r="AX83" i="6"/>
  <c r="AO61" i="6"/>
  <c r="AX16" i="6"/>
  <c r="AS59" i="6"/>
  <c r="AS61" i="6"/>
  <c r="AX81" i="6"/>
  <c r="AX129" i="6"/>
  <c r="AS101" i="6"/>
  <c r="AX17" i="6"/>
  <c r="AS54" i="6"/>
  <c r="AS113" i="6"/>
  <c r="AX15" i="6"/>
  <c r="AS58" i="6"/>
  <c r="AS117" i="6"/>
  <c r="AS29" i="6"/>
  <c r="AS62" i="6"/>
  <c r="AO121" i="6"/>
  <c r="AX13" i="6"/>
  <c r="AS33" i="6"/>
  <c r="AO39" i="6"/>
  <c r="AS51" i="6"/>
  <c r="AS53" i="6"/>
  <c r="AO55" i="6"/>
  <c r="AO57" i="6"/>
  <c r="AS68" i="6"/>
  <c r="AX78" i="6"/>
  <c r="AO89" i="6"/>
  <c r="AS91" i="6"/>
  <c r="AO95" i="6"/>
  <c r="AS112" i="6"/>
  <c r="AO114" i="6"/>
  <c r="AS121" i="6"/>
  <c r="AX19" i="6"/>
  <c r="AS37" i="6"/>
  <c r="AS39" i="6"/>
  <c r="AS55" i="6"/>
  <c r="AS57" i="6"/>
  <c r="AO59" i="6"/>
  <c r="AS66" i="6"/>
  <c r="AX71" i="6"/>
  <c r="AX74" i="6"/>
  <c r="AS89" i="6"/>
  <c r="AO93" i="6"/>
  <c r="AS95" i="6"/>
  <c r="AO99" i="6"/>
  <c r="AO116" i="6"/>
  <c r="AS116" i="6"/>
  <c r="AO118" i="6"/>
  <c r="AS109" i="6"/>
  <c r="AS105" i="6"/>
  <c r="AT72" i="2"/>
  <c r="AT35" i="2"/>
  <c r="AT59" i="2"/>
  <c r="AT74" i="2"/>
  <c r="AT75" i="2"/>
  <c r="AT52" i="2"/>
  <c r="AT53" i="2"/>
  <c r="AT71" i="2"/>
  <c r="AT48" i="2"/>
  <c r="AT4" i="2"/>
  <c r="AT25" i="2"/>
  <c r="AT19" i="2"/>
  <c r="AT15" i="2"/>
  <c r="AT24" i="2"/>
  <c r="AX11" i="6"/>
  <c r="AX24" i="6"/>
  <c r="AX79" i="6"/>
  <c r="AO45" i="6"/>
  <c r="AX25" i="6"/>
  <c r="AX28" i="6"/>
  <c r="AO49" i="6"/>
  <c r="AX9" i="6"/>
  <c r="AX10" i="6"/>
  <c r="AT33" i="2"/>
  <c r="AT26" i="2"/>
  <c r="AT7" i="2"/>
  <c r="AT12" i="2"/>
  <c r="AT22" i="2"/>
  <c r="AT30" i="2"/>
  <c r="AT3" i="2"/>
  <c r="AX128" i="6" l="1"/>
  <c r="AX63" i="6"/>
  <c r="AX65" i="6"/>
  <c r="AX110" i="6"/>
  <c r="AX117" i="6"/>
  <c r="AX115" i="6"/>
  <c r="AX119" i="6"/>
  <c r="AX123" i="6"/>
  <c r="AX47" i="6"/>
  <c r="AX113" i="6"/>
  <c r="AX100" i="6"/>
  <c r="AX108" i="6"/>
  <c r="AX322" i="6"/>
  <c r="AX86" i="6"/>
  <c r="AX87" i="6"/>
  <c r="AX67" i="6"/>
  <c r="AX323" i="6"/>
  <c r="AX40" i="6"/>
  <c r="AX94" i="6"/>
  <c r="AX90" i="6"/>
  <c r="AX104" i="6"/>
  <c r="AT68" i="2"/>
  <c r="AT194" i="2"/>
  <c r="AX324" i="6"/>
  <c r="AX45" i="6"/>
  <c r="AX49" i="6"/>
  <c r="AX112" i="6"/>
  <c r="AX92" i="6"/>
  <c r="AX88" i="6"/>
  <c r="AX102" i="6"/>
  <c r="AX98" i="6"/>
  <c r="AX106" i="6"/>
  <c r="AX37" i="6"/>
  <c r="AX38" i="6"/>
  <c r="AX96" i="6"/>
  <c r="AX107" i="6"/>
  <c r="AT216" i="2"/>
  <c r="AX35" i="6"/>
  <c r="AX53" i="6"/>
  <c r="AX99" i="6"/>
  <c r="AX111" i="6"/>
  <c r="AX114" i="6"/>
  <c r="AX122" i="6"/>
  <c r="AX103" i="6"/>
  <c r="AX43" i="6"/>
  <c r="AX51" i="6"/>
  <c r="AX93" i="6"/>
  <c r="AX126" i="6"/>
  <c r="AX120" i="6"/>
  <c r="AX91" i="6"/>
  <c r="AX66" i="6"/>
  <c r="AX109" i="6"/>
  <c r="AX127" i="6"/>
  <c r="AX116" i="6"/>
  <c r="AT65" i="2"/>
  <c r="AX97" i="6"/>
  <c r="AX41" i="6"/>
  <c r="AX34" i="6"/>
  <c r="AX56" i="6"/>
  <c r="AX32" i="6"/>
  <c r="AX30" i="6"/>
  <c r="AX31" i="6"/>
  <c r="AX33" i="6"/>
  <c r="AT63" i="2"/>
  <c r="AT67" i="2"/>
  <c r="AX95" i="6"/>
  <c r="AX62" i="6"/>
  <c r="AX101" i="6"/>
  <c r="AX46" i="6"/>
  <c r="AX36" i="6"/>
  <c r="AX68" i="6"/>
  <c r="AX60" i="6"/>
  <c r="AX52" i="6"/>
  <c r="AX29" i="6"/>
  <c r="AX50" i="6"/>
  <c r="AX118" i="6"/>
  <c r="AX124" i="6"/>
  <c r="AT64" i="2"/>
  <c r="AT56" i="2"/>
  <c r="AT66" i="2"/>
  <c r="AX58" i="6"/>
  <c r="AX48" i="6"/>
  <c r="AX105" i="6"/>
  <c r="AX54" i="6"/>
  <c r="AX39" i="6"/>
  <c r="AX44" i="6"/>
  <c r="AX89" i="6"/>
  <c r="AX64" i="6"/>
  <c r="AX57" i="6"/>
  <c r="AX55" i="6"/>
  <c r="AX59" i="6"/>
  <c r="AX61" i="6"/>
  <c r="AX121"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tc={7B8221EC-B87A-44F2-9BF0-EC94526641F2}</author>
    <author>tc={48714943-A07C-488D-AE57-1A53612A0A3E}</author>
    <author>tc={EEFAA51A-D515-4A99-8436-3BC2593ECE32}</author>
    <author>tc={3CFFE7C5-5F41-49DE-8495-6FBB4794465A}</author>
    <author>tc={036F5518-5E9F-4F68-898F-F9F47B701044}</author>
    <author>tc={E05B91A1-CDD3-4C23-8495-1BA56D5F3DC3}</author>
    <author>tc={472E3F06-273F-4321-AA99-C34299C76952}</author>
    <author>tc={6E41814A-8981-41AD-8CCC-1B341F5B7F6C}</author>
    <author>tc={B54D4CBC-7C2B-49F7-92C6-B7711442F0FA}</author>
    <author>tc={B8DE8598-FC3A-47A3-9D0F-CA22B448F2C7}</author>
    <author>tc={43AEC330-DBF2-4997-9DC7-6B667DB3D98D}</author>
    <author>tc={4D5535AD-4E1E-4E3E-9D34-FDFC89614BED}</author>
    <author>tc={5405CC65-B00C-4555-BCEF-10D979738C28}</author>
    <author>tc={D1CD88C0-D713-4A20-8A3B-6CABD7AD25FF}</author>
    <author>tc={100B679F-38DB-4D85-9740-D1EFBE333F9D}</author>
    <author>tc={32EDC187-F63D-4390-8824-8224AD88B0D9}</author>
    <author>tc={87945A82-6962-4D95-950E-76B160C05CAE}</author>
    <author>tc={46168B82-419B-4FA4-A8DB-19AFF4108FCC}</author>
    <author>tc={CC30A732-6B2C-4B47-81CB-248D2C8B3D16}</author>
    <author>tc={C6080588-17B7-40F8-B689-302617CF4CB8}</author>
    <author>tc={4F7A13A5-83E4-4BF3-A6BA-CAF5D96E3084}</author>
    <author>tc={D48CD06E-F4AF-43B0-8277-9A98D6D66389}</author>
    <author>tc={13FDF980-5B3C-4D47-8274-520B39421F8A}</author>
    <author>tc={28ECA70C-3483-49CF-A23E-528FE571BCCA}</author>
    <author>tc={EA5101F5-EBD0-4B8C-929C-18E1100F37E9}</author>
    <author>tc={13B43232-E9C7-4A34-B19A-5B8EFE8649E2}</author>
    <author>tc={79B62C9E-5240-4785-8EB7-43148A4153B2}</author>
    <author>tc={A0DB645C-64B5-4454-9C5C-4F2B448E7911}</author>
    <author>tc={6D136F05-1183-4313-A49C-713C452A5E53}</author>
    <author>tc={54AC7729-B3C8-4306-AC54-1477EA6440BE}</author>
    <author>tc={6F894D8D-F66F-4E62-955E-B98E176999B5}</author>
    <author>tc={8D7B5500-89C9-4540-AC80-14240FE945B5}</author>
    <author>tc={969FEA8C-1CC4-47B1-A220-5A19CCEC541B}</author>
    <author>tc={937DE4AF-B871-444C-9A15-0E21B56DB49E}</author>
    <author>tc={7C70D405-83C5-451A-8D60-3CAF72375892}</author>
    <author>tc={B281471D-9EB7-4FF0-8A93-CE1523EE0AA9}</author>
    <author>tc={C1CDEC60-00A6-4C0D-9282-487C39C8DA4D}</author>
    <author>tc={424B5220-BCA2-4110-AEE2-BF5480CBE87E}</author>
    <author>tc={E9C2E08E-8965-4D94-824C-EEEDB69F53DD}</author>
    <author>tc={F5BBB22B-6C97-45AC-81BF-57043C831F9C}</author>
    <author>tc={651EA90A-7F46-430A-A5A6-DBF2C112A8EB}</author>
    <author>tc={7CCD0D21-9C0D-46B1-AD2C-F261D008238E}</author>
    <author>tc={E3B60DD4-4FA9-48E8-A127-914E6A136A38}</author>
    <author>tc={C4484879-B420-4291-89EF-0FC2946F4EB2}</author>
    <author>tc={C8158865-9DEC-4664-84E4-A15E9178BB43}</author>
    <author>tc={4B730A50-3E37-4229-8A64-3FFE1C1566ED}</author>
    <author>tc={D46BA75D-5E69-4D89-9BEB-189442D5CB37}</author>
    <author>tc={0013FC85-F741-4E87-9590-6D9B503DEFA5}</author>
    <author>tc={DF59F7EA-BFAD-4EAF-B485-46A55712F67D}</author>
    <author>tc={0B5C8B7E-591E-444A-973F-1AEE6AA34180}</author>
    <author>tc={948D8CB9-0EAE-4B06-A285-7BA9177D1116}</author>
    <author>tc={ECF0FED7-6772-431F-8466-6D7C4ACB49B7}</author>
    <author>tc={F7B19FB4-3CDA-483B-A333-F3E58B9BC9F1}</author>
    <author>tc={5255164B-7788-4870-B27B-88ECAFE39DA4}</author>
    <author>tc={145B2340-65AB-41F0-86BA-75ACEFCCD927}</author>
    <author>tc={5D287253-2252-482D-A120-FCD780626BAF}</author>
    <author>tc={BB3EB2E1-C540-4DCB-8733-9A629B7DD4FF}</author>
    <author>tc={E25830FB-5CE8-49CD-80B5-B588850C21E0}</author>
    <author>tc={DCA1A185-7259-4196-BBB6-BF21741A03A0}</author>
    <author>tc={68BD1DAD-2E15-4536-9E3D-8F5B8FE7FA14}</author>
    <author>tc={527FCAF7-DCA8-4285-A2A4-0316CC7ECB11}</author>
    <author>tc={CA7F954C-22ED-417E-9F85-B1AB93A12690}</author>
    <author>tc={EB249CF9-DF2F-4454-A762-39C118D16F7C}</author>
    <author>tc={E5564EAC-DFDC-4757-8520-41E17D35CB02}</author>
    <author>tc={E21F2C39-81EC-4F55-A33F-8B59BF374FB9}</author>
    <author>tc={57D619CC-AEC3-478B-98C8-4E500E1C39CA}</author>
    <author>tc={89E1EDE1-D1AB-4373-A9A4-E1ADF6328934}</author>
    <author>tc={5D8F5EE9-20DD-44FF-B134-D466FE384409}</author>
    <author>tc={48B80CF3-1EC3-4ED0-BF84-A319EFCCD67A}</author>
    <author>tc={F514A00D-2FB9-4F67-BAB6-F1A718879DC3}</author>
    <author>tc={A54B7282-92AB-4061-84CC-8E2D25935DAD}</author>
    <author>tc={EB99752F-DB3F-4DA5-9C2B-986F479C6652}</author>
    <author>tc={F4C2E280-D363-4DBF-A77F-3B452F3780E0}</author>
    <author>tc={F0D7AAA9-67F6-4B39-93D9-C2F45FDBA00C}</author>
    <author>tc={E5471728-2B87-45FE-913F-DA882A79E93C}</author>
    <author>tc={9B87B891-A4F6-4429-88D2-4CD0A4003DB9}</author>
    <author>tc={66DBECA4-FAEC-4915-8336-B1A345E9C9F0}</author>
    <author>tc={FA493FDB-B08A-41C2-AACD-C89016380C72}</author>
    <author>tc={D05F520D-EA4C-455B-A0BF-E8EAAB61FD32}</author>
    <author>tc={3D81D527-C1B5-447F-B053-3EC3902227C8}</author>
    <author>tc={8033EB26-81A0-44EE-ABFD-7C44E197AC36}</author>
    <author>tc={762EB3F8-9660-48FC-9B56-529711CF4A6D}</author>
    <author>tc={78BE6850-C2F7-43CB-B0DF-4B2463CB4E09}</author>
    <author>tc={777CD94B-D251-4A86-89C2-7F061C85E8CF}</author>
    <author>tc={CBC82188-86E1-4318-BF79-B29C1536D73E}</author>
    <author>tc={9850C949-8035-4478-9E53-2269CD983BC4}</author>
    <author>tc={85CCB87F-66E3-4292-8AF6-D79CC8E05E10}</author>
    <author>tc={E48C0DEC-23BF-4E01-9B23-906F5DA7F023}</author>
    <author>tc={3DC1E510-6A6A-4722-A1E9-F5B86DE00326}</author>
    <author>tc={D19843F2-FD2A-4C51-8806-3A28BEAA9730}</author>
    <author>tc={1BC03B13-D509-4CB7-AC0A-5C7036E29513}</author>
    <author>tc={541D72F6-78CD-400B-B7B0-BD4FB03E3203}</author>
    <author>tc={A07C12FD-1FA5-490A-B382-8D49D9858B4F}</author>
    <author>tc={E39B7618-2AD1-4349-A0A8-0D80D747F9BD}</author>
    <author>tc={58474EC7-C4DC-4350-A3CE-E1A548A5F685}</author>
    <author>tc={B0DDF14D-FF08-4A92-B1B3-0E221E40A6D6}</author>
    <author>tc={476937D8-FAEE-4FB4-BF27-F00376834D66}</author>
    <author>tc={29664A04-B2DC-4EA6-AA5F-A54645D6D96D}</author>
    <author>tc={815A5B0E-AA5D-45FC-9231-7C4574927639}</author>
    <author>tc={3D6D8014-4521-4888-9A26-E556680C3408}</author>
    <author>tc={D766E4E3-1BE9-4A49-B1FA-578AD5308D40}</author>
    <author>tc={E9EE6C47-2272-49B5-85A7-A7B0A5F7B245}</author>
    <author>tc={BD74DA12-8CA1-4EF1-B301-01669299525D}</author>
    <author>tc={00A6E773-4552-4417-9594-305A984E8726}</author>
    <author>tc={DC1C629D-1C14-4AE4-9483-B33AED2609A7}</author>
    <author>tc={F798A48A-F2B5-4BEA-AFDD-0CC797238ACA}</author>
    <author>tc={91EEFF15-84BA-4220-A264-155AEB4FF5F5}</author>
    <author>tc={B7E7D48B-E9A9-4531-9367-15087F2C3013}</author>
    <author>tc={621C8942-B48B-4BBB-8118-0E4DA9E39683}</author>
    <author>tc={A83725AA-EC6D-4982-81EC-2EB52C1EE685}</author>
    <author>tc={55840A2B-5079-4AF9-BBBD-B4BAD610FD6C}</author>
    <author>tc={15252509-128D-4F88-8857-4DB32E7635D4}</author>
    <author>tc={9785B0D5-652B-4322-AEF0-379FB6423CCC}</author>
    <author>tc={737A82D3-EFAA-4D3E-927C-3B7FA5954B52}</author>
    <author>tc={C1EB108B-8CAD-4D0E-8585-8C35E71A9942}</author>
    <author>tc={DD210AAD-DA4D-420B-A4DB-E48A21592728}</author>
    <author>tc={8C96CE27-C67B-4E79-97F2-83C3C850838B}</author>
    <author>tc={10D3DDA0-11AD-4CE0-87C5-0A05EA16EA5A}</author>
    <author>tc={8E1A7234-0CC4-420C-A343-49EC3E7B19D6}</author>
    <author>tc={00A12A8C-FF93-45BA-9F8A-C45291E5E794}</author>
    <author>tc={B4EFA908-EA8B-4E3A-B6A3-7DF0C02719FD}</author>
    <author>tc={13323DE9-AD7A-4647-9469-523555943155}</author>
    <author>tc={C31CE5F0-3DE3-4F7B-99C6-48A55A70BB76}</author>
    <author>tc={5ABDA025-9DE9-4739-AA52-92AF57570959}</author>
    <author>tc={53FFA43F-F427-4571-A2ED-563415D28A3D}</author>
    <author>tc={9110CE2D-5731-4D85-94F4-6EE73521BC93}</author>
    <author>tc={12B59497-9DF3-476C-9C25-4673B192741F}</author>
    <author>tc={FAAEF872-ED06-4EFF-AE6E-327F08A57639}</author>
    <author>tc={224B6811-966A-458F-87FA-323A2E1DFF57}</author>
    <author>tc={008D131D-A449-45DB-AD49-2B2B7FE9989C}</author>
    <author>tc={5A182455-3A52-437E-AA8E-AF721C3F191F}</author>
    <author>tc={D2B5AC06-26D0-4864-AA6F-29FD9DE0BCE9}</author>
    <author>tc={205A53F2-B423-4763-8C90-0CEB8DFB02DA}</author>
    <author>tc={5E3EDD4B-4299-4FBE-B6CC-03E4E9648B03}</author>
    <author>tc={49527B3F-4E12-4398-913E-A40DCA437C0E}</author>
    <author>tc={320D8E6A-68B9-4079-A7F7-9AC0346B1C7E}</author>
    <author>tc={7B24BF47-141C-4DAA-8380-5C5F30FD5796}</author>
    <author>tc={70DA3394-0AC0-4E7D-B4F7-78090ACB334D}</author>
    <author>tc={4538BE05-4736-4797-A828-697347F355F9}</author>
    <author>tc={41C9D011-4CFC-4FDE-850F-2D707226F8D3}</author>
    <author>tc={F61E5A55-6542-42A1-9117-251C4468AB3B}</author>
    <author>tc={435DD480-5335-4F58-B036-1755BAC84A23}</author>
    <author>tc={5A511083-A86A-40A6-8DBF-16DE35824D74}</author>
    <author>tc={4E9B6294-3FB9-4B6A-A940-532C9600A41F}</author>
    <author>tc={CE53C639-1E95-45D3-BD1D-668AE8EFC5A3}</author>
    <author>tc={C43658C3-2CE2-47D8-AA6D-860B01617AE4}</author>
    <author>tc={C2A1EBE5-E5B8-44D1-BB18-B6DF25621C3D}</author>
    <author>tc={094FA329-8FA5-4BF0-9566-3F32AA006897}</author>
    <author>tc={343C28EC-2D58-453C-8388-4ABB664BA2A3}</author>
    <author>tc={EE8BD21B-F9A6-44CB-AE12-5A6442FAE976}</author>
    <author>tc={8A0214CD-6365-4A87-A1C3-5E694001E5D1}</author>
    <author>tc={D7F4C40F-0810-4CAE-91D9-82E706B26DC7}</author>
    <author>tc={909985ED-AEE8-4DA1-87EF-0AE669F818D3}</author>
    <author>tc={75C66235-3489-4348-BB86-8826698B6261}</author>
    <author>tc={7474069B-DFA5-4856-84DB-D0C7FB56A982}</author>
    <author>tc={58B042CB-CC07-4D8A-872A-DE49E6021CC9}</author>
    <author>tc={968439E6-4C41-4FDB-A73C-C3E8A69C0488}</author>
    <author>tc={E0A204F1-C621-4265-AD0D-E7F9A2E993B3}</author>
    <author>tc={AF696B0A-72DF-4D1E-AB45-0361CD3FAE6A}</author>
    <author>tc={E3AD68FF-E90E-40CE-8419-817FC5EF7CCC}</author>
    <author>tc={7C8237A1-0C9C-4645-9A66-B473A7C779CB}</author>
    <author>tc={F858FEF4-CDC6-4FF9-8061-C353CA694EDA}</author>
    <author>tc={A7FB0BAA-589E-4454-8F97-EF5FCB8004E6}</author>
    <author>tc={F78EC3AA-463E-4E2A-ABE4-D2E98527926B}</author>
    <author>tc={0EEB17F5-EFA1-4EFC-B269-852F20143D11}</author>
    <author>tc={B9A134D6-65C8-4B7C-B1B1-EE52AB1742E8}</author>
    <author>tc={3CB47D2D-2FDC-4410-AF5A-0D4839D691F4}</author>
    <author>tc={78E1F881-C87F-4574-9EF6-F9F6778F6524}</author>
    <author>tc={17781DA2-2026-4D19-AE86-A3F83825EFA3}</author>
    <author>tc={30A29B29-58A4-427C-8E65-7C8CE86C141B}</author>
    <author>tc={AD68612C-AD2F-448C-8D14-604523166C61}</author>
    <author>tc={FA822E19-5501-4407-B638-84A824BD8449}</author>
    <author>tc={DF0CFB80-8DF4-4A8A-AFB6-366D634738F4}</author>
    <author>tc={DE21F9B3-1A1C-45DE-8494-77BD844EFF43}</author>
    <author>tc={8C64B96B-9AB5-4EC2-8F0F-889E0F2BF391}</author>
    <author>tc={F8A35F82-7E73-4116-85D7-37BC17D694BE}</author>
    <author>tc={2BE0948C-C4D0-4DF1-BB05-CABE293E16F1}</author>
    <author>tc={627074C8-9671-44B7-8B21-E45B49F62D88}</author>
    <author>tc={30CCCC49-8AFC-4B1F-9857-2E1EAC3644E9}</author>
    <author>tc={518A9B3E-B3E6-4C59-9B3E-D1E0ED9E7D63}</author>
    <author>tc={8C029691-4730-44AE-A8E3-ACDC8EEDB03F}</author>
    <author>tc={538999A3-ADAA-49ED-BC45-1FD966C62280}</author>
    <author>tc={8CB5F5BC-5898-42D2-84D7-E1E6C17ED5F2}</author>
    <author>tc={3F804E06-386A-4511-9AB8-BA0F3D20A320}</author>
    <author>tc={C8429341-E1A9-4AF9-9A4A-8A2D06BF39D3}</author>
    <author>tc={A542FBF6-1F3B-435C-8025-77FA4B275583}</author>
    <author>tc={9568C6A7-A8BB-4772-ADF3-4CB13E0DAE61}</author>
    <author>tc={4891D9BF-154B-4168-AC35-CD52E642A340}</author>
    <author>tc={AA62CA00-F6B0-4755-B585-DA1F7CF72DF5}</author>
    <author>tc={80BFA3A3-32E7-44BA-BBE0-EA2B9ABF1959}</author>
    <author>tc={70ED2984-7FDA-4F06-89E5-E9A6825CDABB}</author>
    <author>tc={A3C146AF-5638-4BFB-9071-8056EF524AA9}</author>
    <author>tc={93FDC0F8-C3DF-41F5-B863-F4C63BF4ADD1}</author>
    <author>tc={52925797-5540-4AE1-BFD9-7A53FB924114}</author>
    <author>tc={A7B38F11-2590-45D6-A5E8-C455B73B2669}</author>
    <author>tc={573B3726-82E5-42F3-8A8B-3C122D0B36A8}</author>
    <author>tc={DC2F1868-2282-4529-8866-39C328969169}</author>
    <author>tc={EEF24BA9-6EEA-49B8-A8B1-63AF925B9257}</author>
    <author>tc={F2CBD169-68F8-4797-9CFA-A4FC5E0210AD}</author>
    <author>tc={1380CE61-B263-4B58-A64F-BB2ADAAFE95A}</author>
    <author>tc={3DFDF7E7-B7E8-4097-80E6-B53C8563270F}</author>
    <author>tc={5AED5EF4-9BDF-496B-BD1F-98A401F3FA97}</author>
    <author>tc={BE37F8CC-701A-431A-87B4-CF05A8E3BA8E}</author>
    <author>tc={5E111D87-579F-47C4-82A2-5C05711A0A1F}</author>
    <author>tc={C4B4F54D-3CED-4648-9C78-D7A817246A52}</author>
    <author>tc={AEC73804-55A8-4153-B404-13E8B8016573}</author>
    <author>tc={B9130CE9-03C7-4A77-9BBD-6E9BC7F4744C}</author>
    <author>tc={F12E0AF5-C39A-4771-840B-27B08D6AE2C1}</author>
    <author>tc={DD80BA95-8CE8-4699-BF36-0552BB9B44CF}</author>
    <author>tc={DDFC0713-E9EE-4D1A-B00C-817FF1935A01}</author>
    <author>tc={37705B64-E782-4D08-9E6A-F904B33AC0EC}</author>
    <author>tc={D605F85D-7F42-40D5-8858-FC1C9A2B430C}</author>
    <author>tc={D41784FC-58B4-45C7-B039-F95045139E79}</author>
    <author>tc={B603C68D-0223-4DBE-ACC0-BF62BFA73672}</author>
    <author>tc={CEA16E7F-B3E5-48E4-8765-DCA373690DF0}</author>
    <author>tc={6DF19B00-7759-43A2-91C7-86509CB3949B}</author>
    <author>tc={DA1C0BB6-C304-42B1-A4C1-5E9BFECA6910}</author>
    <author>tc={F093D181-D3CB-48C1-BA1D-567E563B40C7}</author>
    <author>tc={34746BA6-B173-43D2-AA1A-3CD5662B5D73}</author>
    <author>tc={420F3BB4-B6E8-4A56-87C8-0E18C518D1FB}</author>
    <author>tc={A0F73D6E-C13B-41AF-A121-4AACCC6D9A95}</author>
    <author>tc={7C00F1C1-E546-4470-A308-9E8B4867F2BA}</author>
    <author>tc={9505D83E-7105-440D-BD18-F26432AC7833}</author>
    <author>tc={49E23937-87FA-4E0D-AA7B-FCEDEA327555}</author>
    <author>tc={8FD0B4C5-9DC6-43D6-BE96-57D56B0ADA1A}</author>
    <author>tc={D5F82F4E-1805-4C0F-A941-5A09D67D6C70}</author>
    <author>tc={B0879226-BFC6-4382-9444-8F6F19B735A3}</author>
    <author>tc={3E723484-5C75-4F2D-89DE-081680F7B951}</author>
    <author>tc={126640BA-2327-4B52-B614-FC685D4CD505}</author>
    <author>tc={75C11044-7C3B-44E2-A39F-CB540F907410}</author>
    <author>tc={EDF088C0-AF16-4A19-9A31-06F5D7923D3D}</author>
    <author>tc={B612521D-17AD-4C54-BF41-251C96A1E56E}</author>
    <author>tc={91B42703-5193-4A55-AF6E-84AAF7CC4606}</author>
    <author>tc={BDB09AD9-7BB3-4B0D-926C-D32DB3723747}</author>
    <author>tc={1359DF3B-E4D1-48AF-B177-111A83035E22}</author>
    <author>tc={96B05759-4E8A-4658-86B8-0ECFBECB2F81}</author>
    <author>tc={0C75B949-A0A0-4386-8B82-F63FE39DC829}</author>
    <author>tc={65BB3154-18EB-44A8-8540-883AFFE89A53}</author>
    <author>tc={6D6E2A0C-13E1-42AE-A98D-DC7016A63068}</author>
    <author>tc={706F426E-3B8C-4A2B-B0E5-1F22C1546E80}</author>
    <author>tc={CE56DBB4-05F6-45F4-8073-84E0AD376273}</author>
    <author>tc={DD16ADB5-AE46-4F45-B3B6-0DCD482BB77E}</author>
    <author>tc={1AF8AEE0-FB8A-4421-988E-3EF8892585DA}</author>
    <author>tc={BD0E18A7-6377-4CBD-917D-D41DE172F3BC}</author>
    <author>tc={FB1DF4E6-0021-4897-B8D7-2966AEF68499}</author>
    <author>tc={214F68C6-9BE5-4887-9492-292E6FA8AFDF}</author>
    <author>tc={6FFC1D55-6973-4789-80E9-F4D80F82F1B1}</author>
    <author>tc={3B638B6C-3A62-4F4B-B2A3-F15F11B41301}</author>
    <author>tc={C2729D61-87BD-4C51-BD58-22A2B1CEA465}</author>
    <author>tc={0F5C9268-9485-4C4C-9B82-08AF5C433D54}</author>
    <author>tc={FE6E3A3E-97E5-4C52-8B94-AFD4CD7D178A}</author>
    <author>tc={3C5C9EAF-1F12-4395-BBAF-7E45973B8EAA}</author>
    <author>tc={6D018346-6D81-49E0-AD4F-D009C559847E}</author>
    <author>tc={05731A4A-4262-46A0-B701-CCCEAE57E3BB}</author>
    <author>tc={05BEA970-1111-49E3-B255-310D02606848}</author>
    <author>tc={DD70BE15-741C-4410-860A-C5895EECAD8A}</author>
    <author>tc={6E5DC5ED-3050-44E4-9F7B-C5C0C84FE822}</author>
    <author>tc={365EC673-9D98-4B29-9448-D90673131AD9}</author>
    <author>tc={AC5B7A17-8B45-4177-82CF-0E119D957404}</author>
    <author>tc={8C9D05FE-92F0-4544-8DE7-927977AC812A}</author>
    <author>tc={7EC70263-28AB-4819-B8B1-41231CB5B192}</author>
    <author>tc={0C8FEF1E-2FBF-4F62-9CD6-ADB20A2B64B1}</author>
    <author>tc={52E29E4A-1036-40D4-8F46-666B3820CEE5}</author>
    <author>tc={6FFF4350-C3DA-4B8D-8EAE-E6EB2C0D289B}</author>
    <author>tc={D0444CD2-53F8-4D70-8BF8-9F723A828F08}</author>
    <author>tc={A3E3EA83-CEEA-4F86-B0D2-A36222D05AE6}</author>
    <author>tc={A1682FD6-192A-481F-8A04-719BC697A7C4}</author>
    <author>tc={90C4FABA-3010-493F-AF0B-5523AAA7F616}</author>
    <author>tc={7D4892FC-60EB-4E2B-9DD2-C6735FC7465F}</author>
    <author>tc={52F5AE70-4736-43A6-B748-1E073871C54F}</author>
    <author>tc={F830CD25-B57C-4513-B5ED-1BAF9C01DFBB}</author>
    <author>tc={D48AFA19-8C3F-42A1-88D7-75D177619210}</author>
    <author>tc={B1340D6E-3222-4D25-BACA-3F899061195C}</author>
    <author>tc={A95DD118-5B90-48E2-B2D7-39070AC3BACE}</author>
    <author>tc={E8E85180-18A6-4E75-9D34-300FCE7C9307}</author>
    <author>tc={5A2A307A-D4F2-4500-8747-A009B1FA59DC}</author>
    <author>tc={39636723-477E-4FC2-8431-645D177CA177}</author>
    <author>tc={E2E9BCCE-B1BB-4362-B009-B6EAC3C29B0B}</author>
    <author>tc={52BEE41E-177E-4D6D-9DFD-DFF567B24CE3}</author>
    <author>tc={91A457FF-3A1A-4B52-9032-A8B1EE455C1D}</author>
    <author>tc={906D063E-9956-4964-A388-C13C6AB0581B}</author>
    <author>tc={E34AF1EF-6838-4025-A78D-DFEC311E37B6}</author>
    <author>tc={498FB116-28BC-4F4A-AAA9-8011F7437A8A}</author>
    <author>tc={519B1BD6-D9EF-4F2E-B0E6-3657FA8DABA2}</author>
    <author>tc={EE24F39D-0E1A-4C80-8D7C-1BCB92C64EAD}</author>
    <author>tc={61C41B91-B192-4900-B49B-5419DE616018}</author>
    <author>tc={816A059B-5C4C-499B-8A97-016A007CE627}</author>
    <author>tc={DEEC9393-6B80-4A89-A907-0C28D5D938AA}</author>
    <author>tc={0289F287-BD2C-4AA4-BD69-2DF7F409BEEC}</author>
    <author>tc={B835EBBE-F666-4D80-B2BD-B7DFF93E5DB1}</author>
    <author>tc={8AD723F6-A595-4337-BE31-77F56E1E32F9}</author>
    <author>tc={808FB1B1-B503-49FB-A87B-60ABED3C9E3A}</author>
    <author>tc={F58D399C-FD26-4DE5-ACAD-99885D01E1A1}</author>
    <author>tc={41961928-9844-4DDA-A2D3-1ACEA060E035}</author>
    <author>tc={7432C16B-DD08-4FB5-9010-41CF57E8A634}</author>
    <author>tc={DAA7A13B-89E7-4C85-9185-84E9EFB278DB}</author>
    <author>tc={454A401D-D9C3-49E5-A912-39CC05722D7B}</author>
    <author>tc={7D842230-2534-438F-9DB6-2A9F757066EF}</author>
    <author>tc={92F34C4D-983F-4F1E-A32A-6B9E6E6018C4}</author>
    <author>tc={3C2BBEC1-ACFB-48DC-8C0C-2DD3CFA98513}</author>
    <author>tc={850F9951-62C1-47F5-82B4-D443E57D0689}</author>
    <author>tc={AE4800A4-83E2-47F8-BC83-52AF67AB5993}</author>
    <author>tc={FF014E72-A48B-468C-B044-42E420A640D1}</author>
    <author>tc={6850A21C-941F-4727-A4F0-3DB14ADDDE94}</author>
    <author>tc={EC6083EE-8CFB-47EA-94F5-25D94EACA03A}</author>
    <author>tc={123834BF-01D2-4CB6-B915-F78E87CB8ECF}</author>
    <author>tc={CCE132F6-1E40-4B32-9362-55E923FB7933}</author>
    <author>tc={24252402-8782-4C8A-8079-1D864AE57B37}</author>
    <author>tc={2A658B87-C91A-4802-9FCB-AE947373F5E1}</author>
    <author>tc={B3A40D44-F2E8-43BF-93E2-731CCCC8D350}</author>
    <author>tc={C3CC597D-D57D-48FA-B746-DF2832F8D687}</author>
    <author>tc={FAFBDD8C-CDAD-46CA-B0FE-1681F67B18DC}</author>
    <author>tc={F1F451F7-DD83-4988-A4BD-53F43B1A087A}</author>
    <author>tc={38847C0C-3E95-4B71-9078-3ED5A956289E}</author>
    <author>tc={1D9E82EE-DEFD-4FC6-98E6-E20CF27C3D57}</author>
    <author>tc={B48BD62B-9774-40AA-B94D-01F1DA94FF03}</author>
    <author>tc={9550FEE2-05CC-4F3B-9BA6-C1F234AC945B}</author>
    <author>tc={E0ED2DC4-B0DF-48BC-92C9-26211CC0451D}</author>
    <author>tc={FC7D101B-A04C-446F-AFCC-B063EC4180B2}</author>
    <author>tc={46F02858-1265-469A-99F4-71D46F83D60B}</author>
    <author>tc={A606527B-0B72-48C9-A4AF-46F899263DE8}</author>
    <author>tc={5EFEDACB-8386-4537-AB2C-6F44362F4F04}</author>
    <author>tc={3F5E903D-0BC3-4BF6-896F-4CF55C0B63E9}</author>
    <author>tc={A2FC1DE9-18BB-4009-BB27-FD26377B6BAB}</author>
    <author>tc={5FF5AFBE-70FF-4C80-80F5-1A0CD25EB7B3}</author>
    <author>tc={EE71A0F3-9F12-4DF6-B605-F60225A0A33B}</author>
    <author>tc={37C12E6B-80AC-44BB-BBAE-3B384FFA41C6}</author>
    <author>tc={D5C11FF8-F3F9-4614-8465-831845A09F61}</author>
    <author>tc={99E73646-7087-400B-94ED-BC1630592409}</author>
    <author>tc={99F972BB-9DCB-4BED-A0AA-5774253BC788}</author>
    <author>tc={FBFF409E-9923-4DC1-A990-9666CE4CE923}</author>
    <author>tc={7929FF13-1185-4E21-AACC-42F4E6656F64}</author>
    <author>tc={6F5BA50D-3579-4D93-AA33-AB479EA4B5E2}</author>
    <author>tc={B8A56A64-8675-4CFC-931B-40D352F37063}</author>
    <author>tc={ACC30742-936D-4885-A112-14C386291D69}</author>
    <author>tc={84CB4FB9-B241-4299-BB3F-9D598ED16A85}</author>
    <author>tc={22EC8268-E97B-4F65-BA4C-0E89A0A91E71}</author>
    <author>tc={F9EE7E48-2CF3-4D61-9053-DD7D35CF9122}</author>
    <author>tc={B1954CB1-B32D-4DE0-93DC-0130CE75DF5C}</author>
    <author>tc={E7B99A1C-3F46-43AE-B994-E1DE50E34BBF}</author>
    <author>tc={F0938279-5F8B-4AAC-A1F7-41F47CC8F3A5}</author>
    <author>tc={112BF5A8-9D2C-421D-9C76-2CF00F719103}</author>
    <author>tc={208FE9F3-91A1-4FC3-8DD9-26D6D0B82DD7}</author>
    <author>tc={87663D76-33D7-40D3-8947-7E1FBF6CD547}</author>
    <author>tc={BB7E2C45-5FE3-4853-8454-646529A3C821}</author>
    <author>tc={CAC4C67C-A3E5-4D31-B7F3-FF788DBB565A}</author>
    <author>tc={E8834D76-531F-4491-966A-051CCCDB4D67}</author>
    <author>tc={76AA5DC9-7F56-4F8C-824E-DC5187455E9D}</author>
    <author>tc={17E1B4F4-9711-4895-9292-EA8A552CCCA7}</author>
    <author>tc={855DCE24-82BD-4949-B461-CAAD314351A7}</author>
    <author>tc={A74FCB00-00A6-4D52-8393-F2DA1F213A8D}</author>
    <author>tc={134561AA-C58B-4809-96D3-EABC5A28B203}</author>
    <author>tc={A123D8D9-7707-449B-B241-C1A54ED42001}</author>
    <author>tc={F7A20BC0-AEBC-47F5-AF6F-04B7CFB4E34E}</author>
    <author>tc={3B697868-C2AE-4A7B-9927-4F7D27F292B2}</author>
    <author>tc={A51FF084-4562-46CD-ABD4-C55872235FE7}</author>
    <author>tc={262354FC-155E-4D61-82D3-2C2D71B75891}</author>
    <author>tc={FAA521B8-224E-4C3B-9FB9-7C16AF928D53}</author>
    <author>tc={AF8A97D7-F2CA-44E1-A9F2-1E2287437762}</author>
    <author>tc={C16B1899-200F-4527-BF99-E4BB4E6AB15C}</author>
    <author>tc={95DE774A-CCC9-46B9-BC3E-6074463EFDD1}</author>
    <author>tc={90B07C64-2C63-44DE-9977-4F26541CB712}</author>
    <author>tc={44D1CD20-9AA1-4CAF-A9D5-43F4932381B8}</author>
    <author>tc={DEDA54AC-7EF7-4EA8-A6A5-9866FAC2A04E}</author>
    <author>tc={C2513B9D-306B-48C1-B0D5-9239FC9AB5B3}</author>
    <author>tc={54D14E6B-5C95-4366-A927-2E725AF81875}</author>
    <author>tc={9B7E023F-C66C-44CA-9B6C-E0326E8BBEE9}</author>
    <author>tc={1750BD34-1404-4B17-BBB6-228D19E9082E}</author>
    <author>tc={8C85FF79-D292-4528-90DF-86353789976F}</author>
    <author>tc={AE1A4965-F64D-4966-B970-14ECFD9679F5}</author>
    <author>tc={5152DE24-F85B-4A9D-956A-E61D180CCCAB}</author>
    <author>tc={FC4CE69A-F955-4244-B043-75E7D25D955A}</author>
    <author>tc={20C8A46D-4217-41E5-A7E1-C8B89671CB07}</author>
    <author>tc={4DC3FDBB-6B2D-418F-B33A-6DAE34939946}</author>
    <author>tc={DF11D242-5AE1-4F44-8742-DCF7431FDCA5}</author>
    <author>tc={4735BBA0-5BEE-46BD-98B4-70434A37CB87}</author>
    <author>tc={3A4614DD-54C7-4E9D-BB5C-6428EAD4D7F6}</author>
    <author>tc={6214FB69-1B8F-42A4-9887-748F09F8A220}</author>
    <author>tc={1143C040-0DB0-42A3-83C1-C937371ED7A9}</author>
    <author>tc={A3CE872E-7759-415D-93F5-B423A4B6E3CE}</author>
    <author>tc={190BF987-C1BA-44E0-9C4D-A690A6C51CF3}</author>
    <author>tc={73A7BA8C-4742-49F4-8AFE-0FFE91A5251E}</author>
    <author>tc={B981DCC8-89FD-4B42-85F8-AF4B91C58873}</author>
    <author>tc={5066CCD3-F533-4A41-A27B-563739BE7353}</author>
    <author>tc={75CF190B-0B52-4545-9661-A8C05978E8DF}</author>
    <author>tc={612E5500-587B-4302-BF8D-D21A9CE6D6AA}</author>
    <author>tc={AB6D51DB-4931-4EB2-9519-AEE91A84FBC6}</author>
    <author>tc={AD68C7EC-98D5-4251-B5DF-FE6F1AA9C3F3}</author>
    <author>tc={FFEF26A1-0605-4AC4-93DD-2337C705D5DF}</author>
    <author>tc={981A7ED4-DC95-4FE7-8CC8-26A36BA12350}</author>
    <author>tc={F8431FFF-FC25-4A72-8D89-1C3D3E9D3974}</author>
    <author>tc={FAB298D7-788A-4879-A777-C497E1C03B40}</author>
    <author>tc={C0DB40A1-8C36-4F3E-B6B7-EC08F9CD976B}</author>
    <author>tc={25BB7B44-6323-437A-9031-30A6B2E43CDC}</author>
    <author>tc={7D509D88-6EF1-475D-9C09-493B730113E9}</author>
    <author>tc={3EA1819E-DA7C-45D5-B2CE-1CEA253642EE}</author>
    <author>tc={288B0FF6-48DE-4342-A83C-B5FEDEEFD8FC}</author>
    <author>tc={2BD72DD2-193A-4872-A44A-4869A3A29235}</author>
    <author>tc={BBB9C6BB-876F-4807-8656-431FEA315427}</author>
    <author>tc={8132BB1C-A3B3-40C2-B7B3-DA33FF99A2A6}</author>
    <author>tc={FA452095-BF75-4FAA-92A8-2E0CF0D109A1}</author>
    <author>tc={BEAA0623-0E07-4ED2-BDF5-6A7370A73DB5}</author>
    <author>tc={3F3B9DA9-99D1-4E22-8ED3-3AD24710EB84}</author>
    <author>tc={64DF6622-CCFC-433F-AE77-483C71B80607}</author>
    <author>tc={5D825355-2D0D-407C-97A6-24A16A6D0002}</author>
    <author>tc={6E0E0460-C334-43B2-B375-389189761FE5}</author>
    <author>tc={B62EBB9A-0C89-4DC5-9C85-B3756676A875}</author>
    <author>tc={3D63BB3D-198A-4EF7-A7B0-6542E972550D}</author>
    <author>tc={076FB76F-A7C2-4F0F-8A83-6748E1CD2A4C}</author>
    <author>tc={848A2E56-1C09-4FD8-8B1E-6FD5B6406183}</author>
    <author>tc={643D8D2F-0163-4AFF-A2F9-ADE68A86B71E}</author>
    <author>tc={9A2FCC68-DC49-4F82-B80F-F0E984F9D82A}</author>
    <author>tc={C07B158C-F36A-444C-B80B-D1ACFBA249A0}</author>
    <author>tc={5DA31884-B7F9-47AC-8709-BFF2DB4505C0}</author>
    <author>tc={992E100E-D09F-4341-A4BB-A964F2FCC034}</author>
    <author>tc={E9B20D7B-1F6B-45E3-A152-2D09AF842FE3}</author>
    <author>tc={505A711E-C83E-4F38-8DCA-1B23CAB423C1}</author>
    <author>tc={6900E025-1983-4196-BC13-EFC1BBB63D9C}</author>
    <author>tc={74658A97-BC98-4A36-AA63-E961FE4084DC}</author>
    <author>tc={11DD7D3C-4E75-498E-AD75-BD54895B74BA}</author>
    <author>tc={6698D995-4956-447D-8EE6-C72769DB67B2}</author>
    <author>tc={4DB2C723-C48F-41F8-986F-B97FFF2AAD19}</author>
    <author>tc={B3317525-2952-464E-BA29-5857A4BD42D7}</author>
    <author>tc={94D0C7E8-7D6B-4CC2-8DB1-E293BA15536D}</author>
    <author>tc={6018966F-087A-4AC4-BE5C-981D39909D2D}</author>
    <author>tc={B5CCC41F-65D7-43F4-A733-42C671EB576E}</author>
    <author>tc={2D0B25E5-E4D2-412A-9E12-B93D549E5192}</author>
    <author>tc={156BA573-06C1-421A-AE64-C8DCCABDF44A}</author>
    <author>tc={7D1DED95-FE0D-48FD-B3A1-D2F62F4B58E4}</author>
    <author>tc={7850F5E8-DE72-4CA4-BDE9-3486DF77AFAD}</author>
    <author>tc={46299E89-8E84-4E8E-B33D-0BF420898CEC}</author>
    <author>tc={625B1530-7D9A-45D0-93E3-147098BE515E}</author>
    <author>tc={4B45D59F-5333-40F3-AEE1-14F260D38B64}</author>
    <author>tc={C541CB6B-2F2D-4B44-B1FA-3F11BEAA8E8B}</author>
    <author>tc={1CA032FD-BAB0-47A4-80FD-8A63E78C4989}</author>
    <author>tc={7FAA60A4-AE62-44F9-9407-3EEA63AF63FA}</author>
    <author>tc={413B6135-D46E-42CA-BA13-5C7788CB3D5B}</author>
    <author>tc={C2F7A67F-69E8-4391-84FF-140C6FF0BD01}</author>
    <author>tc={E907244B-148E-41E1-9E01-BD11DB75E09C}</author>
    <author>tc={B2E104B0-D2B9-46B3-BAA9-08497300D028}</author>
    <author>tc={EB3AB83C-3123-4A22-A650-A17356A86C1B}</author>
    <author>tc={A2E2A985-8911-4B29-AA47-FBF2DF57716F}</author>
    <author>tc={C6869071-7E98-4B39-9CDE-A1E86D969917}</author>
    <author>tc={1E16586D-6E10-49ED-9319-1B2DD490C63E}</author>
    <author>tc={5DAA2BF1-EEC5-4DD2-B667-0DE77221495E}</author>
    <author>tc={57772B9D-2E0E-4D4D-B99F-D3DCEF0C11EA}</author>
    <author>tc={D6C9D1E1-04D2-4465-B740-AA25E7FBCBB3}</author>
    <author>tc={C6F5B990-8AEF-4721-85CA-BCC692DF28E5}</author>
    <author>tc={3BF42740-8A84-461A-ADE5-8B347539BA74}</author>
    <author>tc={D40F084A-0F0D-4503-8620-BA3503A81AF6}</author>
    <author>tc={C5EDED71-5D2A-40FF-82CF-00F17780F937}</author>
    <author>tc={77EB3523-32E0-471E-B412-F3864885BFFF}</author>
    <author>tc={50911EAA-072D-4242-AAA8-1490759D4A18}</author>
    <author>tc={0B3DD8AD-1409-4F44-BB6F-A33C394B9F76}</author>
    <author>tc={C56690D0-2E6E-4E0D-970C-5C1DD60CB411}</author>
    <author>tc={ABD19D12-A65B-40CC-A53D-E8ADD584F471}</author>
    <author>tc={FAF470C7-0F41-4C1E-8D98-B19281749E0A}</author>
    <author>tc={227B5DF7-6B79-4594-A211-F11078B6E6F0}</author>
    <author>tc={7DD60C1F-B65E-4D20-B12F-449076EEBD05}</author>
    <author>tc={DCA4BE96-E3AF-4886-AFF4-84DF26CEDA2B}</author>
    <author>tc={D17A45B8-28DF-48E4-8B09-132BE5B21268}</author>
    <author>tc={890D4309-86D7-4E6C-851D-B6070E71E404}</author>
    <author>tc={6BFA41F2-4555-4AEC-AACE-C8587229BAAA}</author>
    <author>tc={490461A8-C40D-4E2B-BD9B-454FA7497DF9}</author>
    <author>tc={B2CA36C8-8C6A-4452-94C4-D90FB1700474}</author>
    <author>tc={073BA49F-DDA4-4D87-996A-28037A8631D4}</author>
    <author>tc={B73AD746-B246-42B9-9162-B2D732E6922E}</author>
    <author>tc={113382C9-189F-4A8C-811B-FB0AD4D69CFC}</author>
    <author>tc={2347DD01-B2EC-428B-93FC-959341DFC387}</author>
    <author>tc={89F0ADBC-A930-46AF-AC43-60AC31F7D80D}</author>
    <author>tc={B7F44FD5-1F34-4EAF-952D-5DA4E5050F03}</author>
    <author>tc={3A550D62-C22E-4733-9D0D-2C8DD4C396BA}</author>
    <author>tc={5818C147-6FCE-4E52-A7F0-23B5C882E15C}</author>
    <author>tc={8AAD8448-417F-4FCE-AE8E-1B97B3EE8047}</author>
    <author>tc={1A4CE527-353E-4066-8451-7200842F708D}</author>
    <author>tc={378BBC96-F2CE-4FDA-B67F-F1565423FBE0}</author>
    <author>tc={DBC7D95F-0B63-4A51-A124-967276068C5F}</author>
    <author>tc={0A1B86BA-D002-4E5D-98E5-BD9E0A9A4AF1}</author>
    <author>tc={7E7A34F6-D218-4AB8-9C56-73421F74BEF2}</author>
    <author>tc={961C46AB-9ABE-43B5-B123-1A3BA4CBCA0E}</author>
    <author>tc={581CD356-522E-4D4B-A438-AF77EE64AE01}</author>
    <author>tc={D0D71FC7-5D9E-4231-AFD0-8751C1D16F35}</author>
    <author>tc={18B37DC3-8421-407D-9C55-F3056EE7C4BA}</author>
    <author>tc={4B4A6244-9D4E-411E-BE5A-51F2391CA8EC}</author>
    <author>tc={85F0629C-E4FC-4AD1-8B74-72208E07956D}</author>
    <author>tc={A76073BB-1C39-4BDF-956B-A7A4C4FEC9F7}</author>
    <author>tc={98374CAF-F936-4C60-A3AC-31DC1BBA4A14}</author>
    <author>tc={E8870312-44D0-4E7F-95C1-3DD39BC93ED0}</author>
    <author>tc={057724EB-A84C-4BE1-ACE7-BF0DB83F12FD}</author>
    <author>tc={65FB387C-DEC1-4670-AEE9-EFB579AF284E}</author>
    <author>tc={B2D24FDB-261E-4A10-9422-D7DCD646A2BE}</author>
    <author>tc={B53596D1-E106-4466-BB2B-56166C7C5681}</author>
    <author>tc={020822D6-11CF-4A5A-B363-C5904A24C925}</author>
    <author>tc={3812FE5C-66D9-4D1E-ADCD-330C9092D798}</author>
    <author>tc={7B32D2D1-4E89-4281-83DF-099D4FC8FF28}</author>
    <author>tc={EB7BF91B-891F-4F51-96F0-8332B687A071}</author>
    <author>tc={C980462C-DA5D-4A4D-B1AF-F6EDF9E7D135}</author>
    <author>tc={D43A3462-CB07-4B83-A756-BD478FAC7AC5}</author>
    <author>tc={222AB6F5-63AF-4F07-A988-29212393C64A}</author>
    <author>tc={455A667A-AA68-4777-A770-03CE411F2CA9}</author>
    <author>tc={58DB2777-FB81-4682-ABAC-4EDBA1966F01}</author>
    <author>tc={8571122E-4D2A-4DF5-BF27-C7725BFD79FF}</author>
    <author>tc={56F7E570-6E19-45FD-9FAF-25ABD7C21D06}</author>
    <author>tc={F09D7E8E-54D3-4422-B7FC-7CF0BFE6E69E}</author>
    <author>tc={CFB2AE14-9383-4351-B741-A5BE4F01D375}</author>
    <author>tc={2D086F86-AA6E-44BD-9D0D-44D652ED2569}</author>
    <author>tc={22146453-7845-48E4-8D90-F6BA2691DFB1}</author>
    <author>tc={0A69B9B8-040B-4BC0-98EA-4CB55B518ADB}</author>
    <author>tc={DB05A715-72EC-4B5E-96DB-784A7FF6724B}</author>
    <author>tc={DBAF9B37-BF72-41F4-AFD6-AE35BFCA12E3}</author>
    <author>tc={25F249AD-9310-4AE7-803D-1B265F8401F7}</author>
    <author>tc={83F49335-98DA-4737-8693-3319E8B1D0DF}</author>
    <author>tc={A43A66A6-CBE9-42F8-B167-4EDEE4E92B1E}</author>
    <author>tc={218418FC-06BB-4CB2-8571-F30EA39B1D73}</author>
    <author>tc={5732FD27-4A22-4962-9CC7-E6A617C8BC29}</author>
    <author>tc={51E06113-8555-45E6-AA43-CE2F7A30848D}</author>
    <author>tc={581B4420-DB51-44DD-985F-F0B6C6122C0D}</author>
    <author>tc={200308D4-B3E8-49DB-A61D-4C7A109EB132}</author>
    <author>tc={6810B681-96A7-4A9C-847C-BD32289B04AA}</author>
    <author>tc={023EFEC6-686B-485A-AADA-41DF01ECD12E}</author>
    <author>tc={26E9844C-4305-4816-AE85-25ADC97C2230}</author>
    <author>tc={051F601C-4F2C-4B2F-9426-A227D50E8701}</author>
    <author>tc={19602A59-340F-40B7-AD17-84462C720C39}</author>
    <author>tc={B806D2A7-A9E8-41A1-AFCD-95E2C4607A59}</author>
    <author>tc={E18ECFAD-A92A-4BC0-A045-92F795E00DA9}</author>
    <author>tc={B9372440-7432-4C95-8639-C9CFC2053034}</author>
    <author>tc={868ABF76-8D07-4934-BD73-56A267D24C02}</author>
    <author>tc={42F4234E-C31E-46E9-8BC7-D33A44043252}</author>
    <author>tc={921F3917-BF09-4CB0-9AE6-C08B95ED1A8E}</author>
    <author>tc={0C87CE83-FBE6-4FCD-82BD-B3E41E8589EC}</author>
    <author>tc={94985D09-8ECC-40C0-BF32-E5DC97722374}</author>
    <author>tc={C3B1ABAD-B5EF-4EF2-9E16-97BC8A1A24A7}</author>
    <author>tc={0BACEF75-0DA0-47D3-94BE-D6DC5797BB9A}</author>
    <author>tc={F0F856F9-4142-451D-A639-7C193DD68A09}</author>
    <author>tc={CB8D6911-A1F2-453F-ABB0-5F86049E496A}</author>
    <author>tc={74768960-ABC2-4A4E-AE2D-AC04DAE93998}</author>
    <author>tc={E02EA4F3-CA1F-4241-930C-279CCD9DEB76}</author>
    <author>tc={9FAD29CC-54D0-4D37-8A7A-2F47A2EA428C}</author>
    <author>tc={150F0DB8-6868-4EC1-A26E-A8905A9E531F}</author>
    <author>tc={421FE37F-4C57-41DD-B2FF-2CDFCF67A7F7}</author>
    <author>tc={E3C0A576-5F4C-4A55-8020-2D0F60A2231D}</author>
    <author>tc={8BBFA1C2-B70C-4B62-B267-D753C31EA369}</author>
    <author>tc={D25BB964-CA07-4C45-98BC-37380FA5836D}</author>
    <author>tc={C5AF2636-453D-4684-9A59-8DB225CBBAD2}</author>
    <author>tc={D4DEBE4D-E672-41BC-B4FB-232ABF65AD35}</author>
    <author>tc={11B43C57-9149-4609-A7A6-9CE1BFE33663}</author>
    <author>tc={5D498998-6D46-45C5-9F28-048264422C11}</author>
    <author>tc={E5E2EBBB-703C-43C0-B10F-C888F83A1EF2}</author>
    <author>tc={5372CB6C-007E-4792-9041-B48341AD30CF}</author>
    <author>tc={D587AB16-50DD-46AB-A960-FE25FC87FA70}</author>
    <author>tc={D8B710EF-34D4-4770-AE27-6AF3CD1EF5A4}</author>
    <author>tc={0E132BCB-CDF6-4B4D-ACCB-C86312E25594}</author>
    <author>tc={C3460769-71C0-48E0-B037-81743518B40E}</author>
    <author>tc={AE9E6E3F-868A-4FDA-98FC-DB6C4CBA69C6}</author>
    <author>tc={539DB8AC-75BD-4C9F-95AE-61FB788EF452}</author>
    <author>tc={DE2EBFB1-7244-4DE9-A3AD-732D5C40585F}</author>
    <author>tc={A9DAF7E2-8EE4-4226-938C-F237C6AC3785}</author>
    <author>tc={14BF210F-325C-45BC-8611-C0CF53970359}</author>
    <author>tc={3BCD0824-3E69-4FB6-99AF-6A278E9FC2BB}</author>
    <author>tc={F08D6164-F93B-42AE-9B03-2A74E365FF93}</author>
    <author>tc={9A7145D6-4B9E-4A94-96D8-053B54FD56F2}</author>
    <author>tc={78056FC8-4ED0-4772-A7B2-855EAB768704}</author>
    <author>tc={7BCC1E98-3660-43DF-8EB2-882F53651650}</author>
    <author>tc={6642C15A-7622-429B-AD32-27DD5E2BC352}</author>
    <author>tc={1ACBEACD-53DA-4FF1-BA54-204C4C61AA4B}</author>
    <author>tc={9E72FF8B-91E9-450D-B565-2E57CB8BCEB8}</author>
    <author>tc={91FB79BD-32C4-4522-8ED0-9BAB5B528DFC}</author>
    <author>tc={2D357727-49C7-4E1F-B66A-D405461CDBCB}</author>
    <author>tc={2AA9D88A-6D26-4A07-9743-2A1D142700D2}</author>
    <author>tc={E76DC8EE-4823-443A-9A6C-BD360B4D2F51}</author>
    <author>tc={EB21E027-21A9-4FF4-900E-D3CB464E4651}</author>
    <author>tc={F855BF2C-5DF8-4A7F-A6D1-9DB480A79CB9}</author>
    <author>tc={C1AA68ED-676B-416E-8C2F-61007AFB0B4F}</author>
    <author>tc={0EF0A45E-C07C-41D2-96AC-3BB627403E6F}</author>
    <author>tc={1FAF746E-7FE7-41F2-8C58-F1995DA15936}</author>
    <author>tc={FBBB29E0-9C65-419D-A001-0E8B0E9D2BAB}</author>
    <author>tc={979F70A9-96B3-4784-8691-30FB9E67D133}</author>
    <author>tc={553DE8EF-48D4-42D2-AA61-87CCB17D2835}</author>
    <author>tc={4139298F-93A7-4B1C-BB6A-3E0F4FC4882F}</author>
    <author>tc={ABDA7E56-18B8-443F-B09F-4D6EDA6A7297}</author>
    <author>tc={AD1DC1F5-BE1A-4D6B-89A9-0C0FE20A1675}</author>
    <author>tc={49D227F1-A9E1-4D16-808F-4FAABBF12DC9}</author>
    <author>tc={3DB27FE4-C30F-4E27-9717-6CE567244A28}</author>
    <author>tc={5BF824BD-D6D5-4BB3-86F8-76C42D18CCEA}</author>
    <author>tc={AF6F6889-587A-47A3-9DD0-644B983E06B9}</author>
    <author>tc={C80A1083-5BA3-4FC4-BF40-8268D4F68A7F}</author>
    <author>tc={0BF120C1-510F-4825-82FB-70AA613C3DED}</author>
    <author>tc={33D31DA1-E381-4B80-8D6E-C8CB253F7B51}</author>
    <author>tc={AFAFC505-9151-43E0-BA3B-13EE6945674C}</author>
    <author>tc={A800CC8B-1100-4CCF-A944-C151DE1CCC97}</author>
    <author>tc={46297D80-8D54-4C36-B29B-4F062BA91FBB}</author>
    <author>tc={0CD191B9-A7A3-4A9B-9874-C2975B80B791}</author>
    <author>tc={75FF6EDD-2E55-451F-B0FF-95486F5C06D8}</author>
    <author>tc={46BF1E9B-89A0-45A0-9A33-74D783EB4115}</author>
    <author>tc={C7D94AD1-4EB4-445C-BB5A-95DB293AC270}</author>
    <author>tc={F9ED25EA-5050-4ADD-BC11-A232F9A796E0}</author>
    <author>tc={E08E3642-CD55-4C86-A3DF-CFD027B5C5C3}</author>
    <author>tc={C983CE8D-0711-46D9-8DCB-A314F874B9A7}</author>
    <author>tc={6F2A0EC6-C42D-4D86-99B0-5849F83B2693}</author>
    <author>tc={8AD0A4A6-F3F6-47EC-BD41-89C4A4AFB2F1}</author>
    <author>tc={21F5ADE5-93CA-42C8-9C47-466FDA9C8F13}</author>
    <author>tc={8DD4EA8C-E749-40CA-926A-19F26771CF72}</author>
    <author>tc={450C0E99-8A10-459F-8B0A-E2DC03F85472}</author>
    <author>tc={C13DB517-043C-4444-A887-905C07A3F308}</author>
    <author>tc={4FF9406C-B4DF-4F69-B7CA-3117B26E87ED}</author>
    <author>tc={938AB33D-18A1-4737-9E53-0A9A121D2735}</author>
    <author>tc={F8E3BEF5-D036-4252-A3E8-28FB41098B70}</author>
    <author>tc={CBEC69AA-6CDB-4885-8FC4-DA625873BF17}</author>
    <author>tc={A936A244-8E53-46E3-80E6-EE18A1A723D7}</author>
    <author>tc={ACC5356D-166E-4DC7-A643-AE7BD94B42B1}</author>
    <author>tc={620DCB9F-F561-4A29-A705-70ED6111CB3D}</author>
    <author>tc={8B44EE34-491C-4539-ABB2-DDE3B4E0E900}</author>
    <author>tc={E4AB87A1-66D4-439B-98FF-11CD07DEA6EF}</author>
    <author>tc={D4D3F777-0A3B-406D-BCF5-27EBE238737B}</author>
    <author>tc={83DE71E0-3BE1-41F0-839F-8ED7DD3F2319}</author>
    <author>tc={74D1F1FC-8B7C-4940-905E-B39772DA6661}</author>
    <author>tc={322C41B8-77CE-4EAB-8548-DF7C1B61742B}</author>
    <author>tc={70E01A17-798F-4661-B782-439BE0A07BA4}</author>
    <author>tc={E0064818-4304-4C1A-A20D-69D53E516198}</author>
    <author>tc={C7FD9D40-D21A-48D0-9BB5-22F185AF0919}</author>
    <author>tc={BAA45C69-A1EF-4621-B85B-8392ABCD4E80}</author>
    <author>tc={C8E1BA61-DD85-4266-844B-FBE12126C7A7}</author>
    <author>tc={B1628DBC-1E2B-4F53-B729-DAC619769AFB}</author>
    <author>tc={CE6BB9AD-6C03-4B7E-99E9-818DDBAADFDE}</author>
    <author>tc={C25794B7-52C5-4DD8-B508-4F8842957083}</author>
    <author>tc={B4A0107B-4045-4BDF-9485-0AF1B480140A}</author>
    <author>tc={81B980AF-C9F7-4EDA-85DA-89E95AD3500C}</author>
    <author>tc={0A7FA8B7-85FE-41BB-B88D-E5310CEF5A18}</author>
    <author>tc={C93E6A4A-67F2-4A2F-AE5B-97B6B4D9FB6E}</author>
    <author>tc={1BD76A18-3933-4C03-A800-5DD63894FA0A}</author>
    <author>tc={920DAD73-1AB1-40FB-A475-CB22DD8B4238}</author>
    <author>tc={AE02681D-A933-48F9-A820-62A3A1DDE5AB}</author>
    <author>tc={59F734DB-4559-4E35-9E42-0FC675D1AB0A}</author>
    <author>tc={751ECB6A-2900-4F2E-9AFF-904E5367E510}</author>
    <author>tc={F6F838F2-54C3-414B-A09D-0917F66D0B65}</author>
    <author>tc={97E8E0C5-FAF6-493A-AA80-0A826A7A1380}</author>
    <author>tc={082994A7-4C84-45AE-A7C5-C1F9DC89C5F7}</author>
    <author>tc={22C1774D-27B9-487E-BD3A-E9937FF34112}</author>
    <author>tc={703B6560-3AA8-405B-B22A-2A716AA5BB00}</author>
    <author>tc={6CF53FA7-A5C2-4AA1-94FC-AA69C8505288}</author>
    <author>tc={1B07CCC8-5368-4F21-9514-912AD22B60B5}</author>
    <author>tc={48EDB60E-FEAB-4CC3-9D98-97564FA1CCCE}</author>
    <author>tc={689CF49B-16FE-4910-8331-FFA56C98BC19}</author>
    <author>tc={1E04E098-E836-4D1B-85C0-ECDBA9C5A901}</author>
    <author>tc={3530B067-9144-49CC-9B9A-F2A1D1CA58D3}</author>
    <author>tc={4A2FD4DD-FE52-419B-8514-DB8A850ABF7A}</author>
    <author>tc={28B07B20-6AC6-48A6-A484-51624F448C28}</author>
    <author>tc={C83CEC03-8AA6-4C39-AF1B-E49EA7376B7C}</author>
    <author>tc={A6292F0E-B9F8-4AC7-A44B-095A6A6BC285}</author>
    <author>tc={E2AD283F-01D0-460A-A320-A6A86FC9D669}</author>
    <author>tc={2224DAA0-9C30-4326-9EF5-85F4FF97B036}</author>
    <author>tc={ED5849A2-DA3A-4FE5-A487-FDF659E8DE9E}</author>
    <author>tc={DE49D973-80C2-4039-A8E8-660736CC7469}</author>
    <author>tc={AA092186-5ED9-4984-AE42-305AE37A416E}</author>
    <author>tc={7D526899-1B34-4337-A7E3-59A9C6C9E815}</author>
    <author>tc={FA59D4CB-6F1B-4816-AD65-E3DBCFF88DD5}</author>
    <author>tc={6348A245-9D11-4FEC-86D1-8A32B7505C8F}</author>
    <author>tc={72559BB0-2EB2-4C00-B9A4-F54D37DD3640}</author>
    <author>tc={493B2CDE-3847-407D-B418-41B84EEB6DF3}</author>
    <author>tc={3BA535EE-CFA5-44DB-8FD0-F31BFF8ABB06}</author>
    <author>tc={2977C06D-1CD2-4B91-A076-D0969D8F26EE}</author>
    <author>tc={16462F47-AF71-4BD8-B632-2A41D96AF906}</author>
    <author>tc={C210D252-CAD0-43AC-85C5-1B0C601C376A}</author>
    <author>tc={2A3BB533-3CD9-405F-80D6-7B54264F1D11}</author>
    <author>tc={57D35DD1-00FD-4E98-AA1D-80FFC6C165D7}</author>
    <author>tc={3E0E368F-3BE9-474D-AFF9-7D426188CC9B}</author>
    <author>tc={F6497815-EE22-4DAA-A66E-26E650B2ED3F}</author>
    <author>tc={6E5EE9A6-A14B-48F2-A855-D390AC0BC841}</author>
    <author>tc={670210AF-ED59-40D5-8144-33C5EB066BA7}</author>
    <author>tc={CF418A5F-6D52-4516-A995-C062A1D52CD0}</author>
    <author>tc={B0349921-F0FB-4C9E-BEA6-BCAF0B1A1708}</author>
    <author>tc={111143FC-9F26-4DF7-BFDA-E9876C0CC628}</author>
    <author>tc={D6C52795-1001-4FD3-9E89-839349DA9BCA}</author>
    <author>tc={59483BE9-8353-4B27-992F-29F1DAC3D0AF}</author>
    <author>tc={A6CBF230-36E4-4CBC-B0E1-8241810E8156}</author>
    <author>tc={91FFB783-9EBC-413F-A532-1CDDF171FC02}</author>
    <author>tc={C21C4C5F-C5DC-412B-8ABC-68D0589102AA}</author>
    <author>Randell, Matthew</author>
    <author>tc={A3D9FA1F-E47C-49BC-B77E-8AE531B8D722}</author>
    <author>tc={AB8474D8-8D1E-43D7-A761-694F88F368AE}</author>
    <author>tc={0AB6E7FE-BBEF-4D0C-8F24-F4C0AAF67F91}</author>
    <author>tc={94D418F8-4ED6-4C4D-A25C-3A43761A0CD1}</author>
    <author>tc={84A11E9A-2EA4-4184-B565-BFF179321EE3}</author>
    <author>tc={3F41D7D5-6FD2-4AAD-9BEE-BE1926605590}</author>
    <author>tc={9F409E32-B8AB-4404-90A9-8AA3AAB4EBFA}</author>
    <author>tc={32BBA61D-B36C-432B-A0D5-10D376FC7244}</author>
    <author>tc={9095E25D-CF8B-450F-8C27-2A37601A6C3F}</author>
    <author>tc={0BD7DFF8-617D-4569-8D21-32FC7565A660}</author>
    <author>tc={FE19CE16-B2AD-41E4-A57D-C6CA374D3CE9}</author>
    <author>tc={3148F673-70E7-4256-B1D5-E5BBDDDB16D0}</author>
    <author>tc={E3EC9E15-0B2D-4E40-BFFA-7C3EB49D8C03}</author>
    <author>tc={59EC19CC-DA39-4B06-ADF9-4EEB9B2FD250}</author>
    <author>tc={94A91E57-9B24-4256-B429-67D87D0F4D40}</author>
    <author>tc={12587D20-E266-4FE1-8C5C-3C7EC1202C15}</author>
    <author>tc={5FFB73F8-9DC3-48AE-B18D-B858A4572C67}</author>
    <author>tc={B0EC9D10-6EBD-4A7B-B783-897341C6116A}</author>
    <author>tc={C38CB802-7401-45D6-A821-A1F3774BF8BB}</author>
    <author>tc={2DF43369-5D31-45B5-91B0-DC36EB9DF1AC}</author>
    <author>tc={26F82917-3B91-4038-AF5D-BF627BCF8762}</author>
    <author>tc={A1A5B275-E8D7-4364-82F2-393E7A66A498}</author>
    <author>tc={3E9ED415-DEB4-41F7-ABDF-D8465EF371CA}</author>
    <author>tc={587A32BC-3482-4FC2-8C00-667198EA144B}</author>
    <author>tc={79239905-F7ED-4B0C-85C3-7FCFC1F43AB1}</author>
    <author>tc={BCD22484-A4C5-4CE7-83F5-0EBA94AD5512}</author>
    <author>tc={E0EF6650-E811-4C01-B88E-49DEFACA8240}</author>
    <author>tc={C0C6D921-B2DD-4F60-B26E-428F9BCCF41C}</author>
    <author>tc={B45D08BD-745A-4FC6-B00E-E952EFC42C46}</author>
    <author>tc={823595E9-F0DD-4D74-B758-4D7B0B777051}</author>
    <author>tc={C16EB227-DEED-48E3-A06D-DBDE96E7214C}</author>
    <author>tc={F692F56C-96A1-4E9A-B0C8-F4255F6EF30B}</author>
    <author>tc={2EB7FE9E-A436-4462-8F7F-2CA91AB660CA}</author>
    <author>tc={B7695B44-7BCA-480A-B647-70EF8BC6EE71}</author>
    <author>tc={02E9AAC0-C61D-4FC7-AD42-1D6CB22DD850}</author>
    <author>tc={0320DE1A-F6A4-49E9-88F1-02156A8E6E67}</author>
    <author>tc={F7952F2F-E397-409B-A2C5-649D04E1662B}</author>
    <author>tc={F4C892C6-C81D-44B2-8109-8CDC0760FEB3}</author>
    <author>tc={2974D086-2BD9-4058-A860-203C57B16222}</author>
    <author>tc={18E6BECC-67DB-491F-8682-D6903BDFFC82}</author>
    <author>tc={FC380A41-115B-4896-AD78-A40E1493EA03}</author>
    <author>tc={E976EE52-F535-4781-B5D0-CA358449F725}</author>
    <author>tc={EE56A240-DFB1-445D-8D67-874378416079}</author>
    <author>tc={8FA26B95-76DE-43F2-9AB8-E67983D6C77B}</author>
    <author>tc={4272AF94-CDDB-4864-A162-7EFAA7D189D4}</author>
    <author>tc={D9CB1E26-415A-4DAB-9AD0-BDCBEDAF62CE}</author>
    <author>tc={763A797B-B0EC-47B4-8909-C3B174CF2736}</author>
    <author>tc={1C59A8AC-8BEC-430E-BECF-A31B550CA55D}</author>
    <author>tc={FAF18715-B881-4CFC-9E2B-9E24A547FED7}</author>
    <author>tc={62B75724-0D78-452F-8213-2EFF0F1BB594}</author>
    <author>tc={75E89C0C-035E-4CFE-935F-B255A4545056}</author>
    <author>tc={324BFF93-2105-4629-8E16-46D52918D76D}</author>
    <author>tc={36360272-34C6-484C-8567-7CBC29233A95}</author>
    <author>tc={148AD45D-AD0C-4293-81DA-AD138667AAB9}</author>
    <author>tc={DA301AC4-F193-448F-A6F9-B80665E266A5}</author>
    <author>tc={FF14DDF3-EAEC-4C7C-B112-829190755CB2}</author>
    <author>tc={A87DD29E-D520-4709-BB68-4CB48282C254}</author>
    <author>tc={68109046-09B7-4111-A915-E11383221880}</author>
    <author>tc={F7217390-9373-4C80-8BC5-613AAE9A8A13}</author>
    <author>tc={6C22B892-3E17-4E3E-9042-88D0D6FB90B9}</author>
    <author>tc={3E9AD39A-3BF5-4F58-8F79-8923877696DA}</author>
    <author>tc={6F8E1671-D3DC-42D3-8A19-13FEC4591C08}</author>
    <author>tc={BD057DC6-530D-4DCC-AAE9-DB5C144E387F}</author>
    <author>tc={9B8A48DF-E222-41C3-B800-600792E07F12}</author>
    <author>tc={233A30EC-7128-4237-81BD-E078562477F5}</author>
    <author>tc={D9A5FDB6-42DD-4899-A8B8-E18C16D8BADE}</author>
    <author>tc={F96E1DF6-E2AA-4BA7-A7CA-E2B8C85EC7DB}</author>
    <author>tc={1826703F-225D-49AD-9E5D-B157B78B066F}</author>
    <author>tc={45F5FB78-F0A9-4A20-816B-574C2ECE8574}</author>
    <author>tc={7949A562-7122-4F36-862E-E97862DA1CAF}</author>
    <author>tc={BD4099B1-F661-475E-912E-8820895064BD}</author>
    <author>tc={2F693F20-E5E8-4BE2-BB22-4ECD4D15759F}</author>
    <author>tc={9A1993A1-B661-4DEB-A2AC-E3B04635E11F}</author>
    <author>tc={FC0AF47E-9011-4C50-A187-C97CC109285E}</author>
    <author>tc={4F07FCE1-D0B8-4DC2-B3A4-B4D992714265}</author>
    <author>tc={9205E6F0-51A1-4F31-986B-FF40E6069FAF}</author>
    <author>tc={12FF9CE3-8116-4AA7-B624-8DFABD0730CE}</author>
    <author>tc={BE60DF43-528F-4972-B0DB-7F664DD5F035}</author>
    <author>tc={9B3CE045-F31A-42D0-8765-8966E82A28E6}</author>
    <author>tc={7F99802A-0266-4AB0-B9E8-A07B0580DAB8}</author>
    <author>tc={4CDB407E-D479-4F65-BD65-6161EB77FA4B}</author>
    <author>tc={54481FC1-16B8-445C-9547-4FF87BAEE65B}</author>
    <author>tc={8C1FCAD9-4B98-4166-9C04-8895B87A8CC7}</author>
    <author>tc={93D8B623-4CD5-4C9C-ACB3-89C89C60F07E}</author>
    <author>tc={0E8757CE-257D-4B5F-A5C1-5BCCB18496FD}</author>
    <author>tc={8128ED83-9E0A-46D9-9D71-6335FE6D206E}</author>
    <author>tc={1F749A86-707E-4CD9-AEE2-0B0CE8D8AE4D}</author>
    <author>tc={5FA56660-5255-478A-884E-D915E6F82E2A}</author>
    <author>tc={AD667CD8-00D9-4602-B22E-D7ADC97F0078}</author>
    <author>tc={CB2D3AC6-F57E-40DE-B95A-16BD730FE821}</author>
    <author>tc={45840A33-6141-438D-861C-57150AEA0FEC}</author>
    <author>tc={9AF7EFA4-C310-4AE1-A9BC-4A3B558C9429}</author>
    <author>tc={C625242C-48BF-40B3-A37E-476D41609DE0}</author>
    <author>tc={C16E8039-46B1-47F8-92F4-A67259FDD687}</author>
    <author>tc={1A4AF844-5D7F-4430-AAC8-5E71AE7F3A4D}</author>
    <author>tc={292AC43F-78D0-4B6B-8659-DD53CE4CA326}</author>
    <author>tc={6C4E6364-6BDB-4E49-AEC5-130552D59614}</author>
    <author>tc={667834DC-DE75-4EBE-B217-047B2C8BEFFF}</author>
    <author>tc={468AC98B-79B3-44B0-AFDC-6DC7B372902D}</author>
    <author>tc={89B3EBC3-3B38-490B-BE58-8B57DC3E5A6F}</author>
    <author>tc={1A976C04-4F5D-48CC-ACD2-76A8250CCC37}</author>
    <author>tc={C560263E-8190-46EA-85D4-DC6CAB89646F}</author>
    <author>tc={A841E4DC-E54A-4985-AE2D-44BD5C806026}</author>
    <author>tc={05B291B8-A3D5-4460-B000-7DBB4DD846B0}</author>
    <author>tc={9047B32B-3BAD-457D-B497-0D708D7EF9AE}</author>
    <author>tc={463D3810-6C87-4E88-8197-2301D6D9FF0C}</author>
    <author>tc={20D58201-1E60-45E8-B4E7-BE0C2B942C5C}</author>
    <author>tc={A61395F8-E110-4B93-8C46-E55880602818}</author>
    <author>tc={D39BE0F9-1C9C-41FF-967C-0484DAC6BB85}</author>
    <author>tc={4A62E1F6-217F-4B28-8ACF-491902FBBE1C}</author>
    <author>tc={96AFABDC-A67B-4E82-980E-3E419E0DEB1C}</author>
    <author>tc={385357C9-95A5-49DB-9575-F2246FA08B54}</author>
    <author>tc={856AA934-F5D8-4E1B-B59C-10831FE244FA}</author>
    <author>tc={5E2496EF-DE65-4577-BCCF-78200072F02B}</author>
    <author>tc={AC92B964-D27C-454A-8EF3-C79163F0121E}</author>
    <author>tc={A90C3FD8-7C5D-49D7-8EF1-EA53D7C89533}</author>
    <author>tc={A21520D1-7033-4CE5-97C5-23580E41E90F}</author>
    <author>tc={74D51355-D086-406E-99EC-F63FFAC47087}</author>
    <author>tc={62B46CCB-E8E5-4975-A3FF-1CA2A77F590B}</author>
    <author>tc={E84AA140-9C0E-42DD-B718-D4EFA2915514}</author>
    <author>tc={EFFE3A0D-4964-4C89-A874-F289134CFA21}</author>
    <author>tc={FBF46C05-1210-4FFC-BB00-D9AE0F92A983}</author>
    <author>tc={7362A9BF-0527-41E7-B719-FDB3F786284E}</author>
    <author>tc={3734E5CA-00EE-4326-810F-FF3EED724EE3}</author>
    <author>tc={3475A739-F4A9-476F-B62F-D83FFD71600B}</author>
    <author>tc={D5148D90-6192-45D8-8CE4-B5088D250D01}</author>
    <author>tc={5EC40EAA-7455-40F6-8D3D-FEDC9E3D71CD}</author>
    <author>tc={B113D9A2-C1F8-42AB-93AE-5092681BE028}</author>
    <author>tc={FD0496AC-4651-4538-A096-FA24990FDBCA}</author>
    <author>tc={AB7C3CD6-7B5E-4E11-A139-05073BC06F35}</author>
    <author>tc={CC018C81-B624-4698-914E-9621DE715DAB}</author>
    <author>tc={E4CF2748-BED7-466E-933F-72289C67799A}</author>
    <author>tc={01EE36F8-A617-4D79-9F3C-69140DCD3423}</author>
    <author>tc={586259E2-9D11-47E8-BE1E-E19E5ECBB227}</author>
    <author>tc={5E777174-228B-45CC-BB27-9215A752CC13}</author>
    <author>tc={4B6BD890-1C51-4754-A224-B449CB2AB644}</author>
    <author>tc={01364894-CF8D-4E25-8404-0D20400BEFC3}</author>
    <author>tc={0E02E40D-4C7E-4B19-AAD2-9B74C7F0D6B4}</author>
    <author>tc={0763236C-46CC-4947-B9E6-0B47AE81BC0F}</author>
    <author>tc={D1BF3C99-328B-438C-999C-8BF30E7C520B}</author>
    <author>tc={50B504F3-0472-43E5-94A9-C5C2A1736DDD}</author>
    <author>tc={B8872BD9-75C6-4593-A3D4-5A569C7D9E17}</author>
    <author>tc={D9AAC116-A8CE-44C5-9EDF-E7C5D6F4A1EC}</author>
    <author>tc={891F5959-0427-47EF-BC97-DE53AC507932}</author>
    <author>tc={D10744CA-9450-402D-933D-0D61611B237A}</author>
    <author>tc={A85C4358-454A-48E6-B3CF-CF682B271EB1}</author>
    <author>tc={369BF810-A097-43D0-98CD-39D460D89124}</author>
    <author>tc={9563E455-1704-430C-A82F-A991683C8064}</author>
    <author>tc={2DC3C8E8-B16C-417C-B8C0-820FA169DA96}</author>
    <author>tc={8048ECA6-755E-433A-AC11-B5B44488B0A5}</author>
    <author>tc={8BA795BA-E127-49DA-A398-F27A72CC3ADA}</author>
    <author>tc={CAFD2845-77FB-4C67-9D99-3B9BA1E70405}</author>
    <author>tc={8CDBB0C4-3037-4CF8-B6AD-436D62044C83}</author>
    <author>tc={B142A4A2-A399-4CDC-9391-78C8C1255CD4}</author>
    <author>tc={00997BE1-859D-472B-88FF-6A82AD8C5610}</author>
    <author>tc={32DD65A3-636A-433B-B7F0-A446DF91D7AD}</author>
    <author>tc={B3FC62E2-81D7-4DF9-AF48-051FB7A3F982}</author>
    <author>tc={06587943-69F6-4A2D-AE2E-18B736AE7407}</author>
    <author>tc={291E8339-5D10-4312-A155-74D4B6C61AB8}</author>
    <author>tc={7E6DCA2C-2017-4A80-90F1-D5CCCC8E1140}</author>
    <author>tc={B3A775C1-C57A-47BD-8FF3-F6125DC421DC}</author>
    <author>tc={36B938BD-5B84-4F02-B5E9-AFB0DDD3F086}</author>
    <author>tc={AA9A8ED0-27B9-410A-BB02-881579DEB1CF}</author>
    <author>tc={F68A97E7-FD2A-4F23-B826-932507DD1AFC}</author>
    <author>tc={D86E10B7-5933-416D-91FF-60F0CACB226D}</author>
    <author>tc={C21387C7-74EF-46E0-91D4-8638A9E678A0}</author>
    <author>tc={37A846F1-834B-45BD-91C8-ABD3A001FC23}</author>
    <author>tc={D316CA9F-2449-4B0C-BB57-388E4FAAF5AF}</author>
    <author>tc={9C721D77-0200-43B5-844D-E8A50F2E73C4}</author>
    <author>tc={4E24795E-6103-4017-A534-22976EDA433A}</author>
    <author>tc={00E8777C-6D40-4D74-BE13-E6E30055632D}</author>
    <author>tc={1044B1D4-C2B7-4BFB-93F3-8AC8B8E61763}</author>
    <author>tc={D6E3EBEC-CEA0-4F2E-947B-98675967AC10}</author>
    <author>tc={1C7BE7FB-E381-4D3D-B6E5-93EFAA71A860}</author>
    <author>tc={92E74B58-5422-49AB-ABF5-8DB7FE3AE4AC}</author>
    <author>tc={210CA1DB-1348-4F47-88CA-E24E94761A9E}</author>
    <author>tc={DD6A3911-81DA-496D-B639-E191F6C26409}</author>
    <author>tc={F0107BB1-C65D-4E82-997B-5AD172731407}</author>
    <author>tc={D664D62E-ECE2-4D7B-B303-485953444E8B}</author>
    <author>tc={5AC0B2EF-C880-4927-AC1A-8D1D612186C9}</author>
    <author>tc={E9A6D8BE-EBB3-47A4-8DC3-03467EC6FED4}</author>
    <author>tc={EC0458C2-EA1C-4FCB-9B1C-8748E20BD94D}</author>
    <author>tc={6AECC046-E6AD-4785-A47A-A5BF01C0D627}</author>
    <author>tc={2C361647-42A8-4C8D-87B2-03FEB47D2351}</author>
    <author>tc={E98E1E72-158F-4DA1-B842-1994A4E6CF7F}</author>
    <author>tc={1CC90B1E-B2B4-4F45-B02C-5DB5FFEEA5ED}</author>
    <author>tc={A19E9C11-712E-4728-88EF-E0AE34F02A93}</author>
    <author>tc={C8207331-0EFE-467E-92F5-9CD77001C52E}</author>
    <author>tc={2F52F045-0756-4135-BA08-E332F04BD2B0}</author>
    <author>tc={1E7CB0EE-13FA-42CA-BB36-A2FC03DABB28}</author>
    <author>tc={7FF943F2-0B33-43DB-AEA9-751E47E56CB4}</author>
    <author>tc={A3DA766F-7EA7-4425-B22E-B729E49DEC1B}</author>
    <author>tc={56D42485-CEE7-4872-8B4C-3982259563F5}</author>
    <author>tc={43C7299D-12A6-4B14-B70B-C29EA0C0AA69}</author>
    <author>tc={9C502002-851E-4A95-92F5-13B4C0E85AFB}</author>
    <author>tc={EB005BEC-19FD-4EF6-BAD7-E320C9AF0624}</author>
    <author>tc={9A1C461C-D8ED-474D-B530-12E9BD9D1D46}</author>
    <author>tc={DE42328B-1B92-4D43-8B6F-950D6B97BCE5}</author>
    <author>tc={723F64BB-805C-4F51-A3D4-D831100F9769}</author>
    <author>tc={A2475BEE-BE47-45B4-9293-2E0351FAD65C}</author>
    <author>tc={95DC61E7-EFB6-4C03-B57F-FE71151F7B24}</author>
    <author>tc={068D47B0-B052-482B-B351-9A35DF89F922}</author>
    <author>tc={E73AC714-DC5F-4964-82A8-A75C57C90870}</author>
    <author>tc={645F61AA-E8BC-421B-A647-D108A01EB56B}</author>
    <author>tc={F8D51F8B-1AE0-4768-9DCB-02AB2CC32140}</author>
    <author>tc={24D4CE05-9BE8-4116-B4CD-FEB4B53941D4}</author>
    <author>tc={E5AAE3AA-1A33-4DE8-A6A3-19E058FDF0F9}</author>
    <author>tc={2C09C35B-91F0-40CA-80BE-C6A73EE6D2F7}</author>
    <author>tc={534F5F8B-AC1B-48F4-9962-772C2E4AB690}</author>
    <author>tc={03BBB331-88CB-47B4-BFA7-9EE640FDE85B}</author>
    <author>tc={AAFEF6FD-C696-4979-89BE-33B9B2900063}</author>
    <author>tc={FEA60E13-0D66-40ED-8712-70BF7664B719}</author>
    <author>tc={7BF311BA-1E28-4DCC-8658-BDB57BED2B0C}</author>
    <author>tc={765DC14F-3060-4799-A194-D347A22409AD}</author>
    <author>tc={84D0DF89-FC0A-4A40-BBE6-029AE24F6936}</author>
    <author>tc={13A0EB6F-A5C3-4E12-8623-2728DEDE62A5}</author>
    <author>tc={5F5CC65E-4C1C-4E61-BED7-CCB5012AAC37}</author>
    <author>tc={611AB1F4-9EB6-4715-9982-E5AEC2013B5D}</author>
    <author>tc={6E6C330F-725B-45C1-89BC-D068BD389B58}</author>
    <author>tc={54D45297-4ACC-4DB1-9048-80718F38851D}</author>
    <author>tc={0BDD8322-8067-4830-A0E4-FF1237ED25E7}</author>
    <author>tc={1723325E-CC75-475B-8F23-FD1EB9EEA0A9}</author>
    <author>tc={B29D3453-AF9B-486F-9399-5D71E0376229}</author>
    <author>tc={5E7A71DB-3BB9-4F87-9C27-B4DD7C9F955F}</author>
    <author>tc={C9AAFFCA-96E6-4458-B893-11F73818A1A1}</author>
    <author>tc={48BF4BC7-CAFF-4767-A778-D5E5D3AAC3CB}</author>
    <author>tc={F5EBFEA1-60F0-468B-8C0C-50BEFEBF47F5}</author>
    <author>tc={8585859E-D976-4D09-AE5B-589D25F1007B}</author>
    <author>tc={C5AC1AAC-4542-4567-8283-5F1F5A6DCF0E}</author>
    <author>tc={C7E16644-55B8-4CB0-8A6C-AAD62B01D5E8}</author>
    <author>tc={658207CF-ADD5-4151-B860-A70B96883602}</author>
    <author>tc={024AFD3D-984A-4696-83B6-87EFE536C83E}</author>
    <author>tc={890E5AA9-8109-473C-9C08-37326CC6DD3A}</author>
    <author>tc={F1417B42-1075-4F38-9077-0DC046E2BEFA}</author>
    <author>tc={4DFF8AB7-03E6-4AD0-A797-900B52AF5FDE}</author>
    <author>tc={8E909BB4-C47B-4723-950A-7C12168A0484}</author>
    <author>tc={48C30595-05DC-4DB7-AD52-6E8B4D969CF0}</author>
    <author>tc={4683056F-13FA-4B82-95AA-F2516348F615}</author>
    <author>tc={D1AEFA11-9C72-445F-A74B-419E7F64C97D}</author>
    <author>tc={8E5596FA-79A9-48C3-87C9-522B5A9F72E6}</author>
    <author>tc={B560DA53-7064-4FDF-AA67-BFFEAA655EF7}</author>
    <author>tc={F4FE12DD-3572-48C9-AB08-D6C2A3A021ED}</author>
    <author>tc={B94C4326-1E6C-4396-AEEC-F9C7B12C86E3}</author>
    <author>tc={ECE5C354-4187-4D5A-952E-ACDC5E8B8556}</author>
    <author>tc={4042707D-79FC-4D26-B341-D8DC3B053196}</author>
    <author>tc={057A63E9-8370-4CB9-B59C-C5F8FEF2CC9E}</author>
    <author>tc={A7B9CE59-7DBC-4241-ABE6-5BE376C8DBA1}</author>
    <author>tc={21898089-1BE1-412D-8C65-7BB8C51C549D}</author>
    <author>tc={E9D239E7-DC79-4C90-848A-66E4FFA88119}</author>
    <author>tc={9F114BDC-7EE8-4C43-9CB9-BBC17D961769}</author>
    <author>tc={EB7A26DD-3A12-44C2-8C1D-46AB1B182FA8}</author>
    <author>tc={47163862-B8BE-4896-BD97-F49085E0F3AF}</author>
    <author>tc={B0B8554D-51BB-4082-BB70-F17A9DAB2066}</author>
    <author>tc={231F02BB-4764-4A54-B678-4BF5807AA673}</author>
    <author>tc={BC37BB30-709D-4DD5-8D2E-7F3687EB370C}</author>
    <author>tc={08CFD47F-8471-4575-92DB-57A4A1C495F4}</author>
    <author>tc={9F0FD960-5407-4336-88B6-96BDBFAD3FFC}</author>
    <author>tc={D7DD6502-2C9C-4276-9E25-8F72AF5285DC}</author>
    <author>tc={757B363E-8261-4CF5-AF79-5D1A16B9746D}</author>
    <author>tc={A1C49ACB-8383-4EFD-9C1B-FE9B23D88E7F}</author>
    <author>tc={F13F70CC-76FF-45D1-AD07-DD0D94538D18}</author>
    <author>tc={00BE00E9-5C48-4808-A0F0-5EA2E4DD351C}</author>
    <author>tc={64D2C7F6-7DB2-415B-9C6D-B94CE9975043}</author>
    <author>tc={74A55EE4-A650-4096-9466-018F99EA5DCA}</author>
    <author>tc={2885C01C-2950-4D25-BEB0-AC1521931DDE}</author>
    <author>tc={1FC468A2-70EA-4F5E-820A-36294AF93368}</author>
    <author>tc={EEB88342-9DBB-45C9-A2CD-432E618D0C12}</author>
    <author>tc={CF1D8B9D-D35E-4871-B145-DB7DC6233352}</author>
    <author>tc={32D35F42-1FC9-4FE1-A5EE-5B9CD5EB2BDE}</author>
    <author>tc={AC8CF518-46EB-444B-95FF-572AE6762036}</author>
    <author>tc={CD553419-01BA-47C9-90D0-74D2BECE028C}</author>
    <author>tc={ABFAC049-E8E7-45B2-AD29-3617DD2A1325}</author>
    <author>tc={D23BEF42-B29E-46D9-B369-E36324BD05C0}</author>
    <author>tc={DE45CE19-6D07-4129-909A-C5A63EE84FAE}</author>
    <author>tc={DD39B7E9-43F5-4822-84F4-9075EE5A0AF8}</author>
    <author>tc={C5117872-F984-47A4-A0C7-10DB70EA745D}</author>
    <author>tc={BAE38C89-2673-45DB-B34D-9D1C530BEC02}</author>
    <author>tc={2703B6AF-6804-408A-BB6F-01E15E1C5428}</author>
    <author>tc={F1DAF855-250A-4938-8BFF-6F507163B547}</author>
    <author>tc={9F7BA524-B9E9-4215-96DC-217001CEE7C1}</author>
    <author>tc={C1A189B7-2BF0-419D-88EA-132F57880548}</author>
    <author>tc={F701C04D-E14E-4EB8-BDAA-35C9634A819B}</author>
    <author>tc={57F41181-3F1B-40A0-AB41-E8D075B3EBD1}</author>
    <author>tc={D02E3600-FF7C-40B4-96C3-19EAB39A3370}</author>
    <author>tc={6F75C73D-EE4B-4024-8DB0-F0714F301045}</author>
    <author>tc={17066271-A0B6-4990-B564-494A717C6494}</author>
    <author>tc={4EEE7C43-9705-4D40-A785-C69D583B8FBF}</author>
    <author>tc={77311390-6CBF-499D-A8EE-73728C106E00}</author>
    <author>tc={F3CED8EF-8305-4465-BDCD-2608A9CACC52}</author>
    <author>tc={FD941249-F7B5-4B8F-A59B-82C931304CBE}</author>
    <author>tc={3CFEBF4A-D9F7-4053-ACFA-502FA769075D}</author>
    <author>tc={196599C9-D1DD-499D-9BBF-DCEB6D7104F4}</author>
    <author>tc={A3961629-7C9B-4758-BF1A-22C54714C306}</author>
    <author>tc={8E6DC65E-ED42-467B-8459-4AB01DA2F877}</author>
    <author>tc={F656B711-9D92-434C-9FE7-E6FCC306CD5C}</author>
    <author>tc={36AD79C0-A6E0-4E63-9E21-DEE1AE7C8A9B}</author>
    <author>tc={898BF20B-839B-4115-8813-87121CE9AE29}</author>
    <author>tc={92CC6D97-1D72-4A27-BF27-8DEA87B10AF5}</author>
    <author>tc={6DC3F0D1-C401-4ADE-9512-4B961D91C9F4}</author>
    <author>tc={2DAD0760-5687-4E9E-81A1-48C136AD7567}</author>
    <author>tc={9EDFECDA-BD9C-4534-8290-51CB125ED511}</author>
    <author>tc={A6B50E89-DE29-4D72-8144-1C8A3D7A8E87}</author>
    <author>tc={4A93B33E-71B7-40A7-89F4-51FF3A3B40AF}</author>
    <author>tc={466F8370-AADF-42CD-AAE4-C41CE7730A73}</author>
    <author>tc={BBD1F04C-E2FD-42C6-88EB-29466A3B89E6}</author>
    <author>tc={2D00E5CC-989E-4D08-ACC8-B09197B1BF43}</author>
    <author>tc={D7AC9E53-6FC7-47D2-A7A7-4752D07E88C6}</author>
    <author>tc={4D090127-2EEB-4FEF-937D-B51239A4BA05}</author>
    <author>tc={6051E53B-7466-4351-B937-56DC7615B812}</author>
    <author>tc={B61C5D1B-0962-4A3C-8F3E-0F4C2EE9F1DB}</author>
    <author>tc={1CEF62B4-1223-4ADA-AFB5-921493E17931}</author>
    <author>tc={C0064B7E-A8F2-4EA4-BE4F-3F8CBD74A00A}</author>
    <author>tc={45D0C6B0-1757-4172-9775-817377267B6B}</author>
    <author>tc={18DBE1E9-E270-45FC-83E2-B3DFF856FE21}</author>
    <author>tc={991FCCE6-64AD-46C4-A830-6851518DC05D}</author>
    <author>tc={819E9B65-6A20-4021-83E8-87F2028B3CAE}</author>
    <author>tc={3302AF68-3E5D-4CD7-BF7B-C7E787B62F9D}</author>
    <author>tc={9A644654-132E-44B4-951F-A76DD3B04DEE}</author>
    <author>tc={8A94ACD7-337B-487B-99EC-B49A27BB6F33}</author>
    <author>tc={080CBAD5-42CC-473B-83F4-5018AC6F3EE8}</author>
    <author>tc={B1BAF2DB-7B45-4C14-8AB9-EF149388A827}</author>
    <author>tc={7A081088-4629-41BD-AE36-5BA04AE9E7A9}</author>
    <author>tc={E2D93797-A64B-443A-80CE-B75B49486D5F}</author>
    <author>tc={03A33705-D826-4D67-8B23-1816EAC0C1F1}</author>
    <author>tc={9B35D4D3-1C57-4BA0-9A0B-68C3B4449D39}</author>
    <author>tc={A75EB847-39BB-4E8E-A88B-AED07003C9FF}</author>
    <author>tc={F7F1295B-42D9-4082-9D8F-C06BA946738C}</author>
    <author>tc={6D16481C-080E-4854-BE75-F16C2B2452C8}</author>
    <author>tc={28C85D8A-E513-4337-9F47-941D88335A78}</author>
    <author>tc={F7C9AB81-442E-4AF0-A65C-C84952ADA694}</author>
    <author>tc={ADBCD99C-6F43-4E23-9756-C3EB50AD2744}</author>
    <author>tc={0E3C0E86-6D08-4A79-BE2E-69EDCA8F2550}</author>
    <author>tc={7544CC58-28A5-442B-B9B5-58E248E847C6}</author>
    <author>tc={ACC15255-49C5-41A1-BDA7-7BD9B47EB890}</author>
    <author>tc={6B0789B2-1720-4DBA-AAF9-A9BAD0BD5B86}</author>
    <author>tc={BF2D77F9-597D-4D84-80D3-1B051D530BC8}</author>
    <author>tc={C80D69E0-0BAE-41D0-881D-5D390F8F6599}</author>
    <author>tc={B031896A-2342-4EFE-AD5C-47F04AB05609}</author>
    <author>tc={D4250FBC-CF36-41CE-A5D3-9F4507D13956}</author>
    <author>tc={72C34482-996D-4313-BE73-EAFAD3056140}</author>
    <author>tc={4B48803B-8CDE-4484-9CE2-3F7893AF9529}</author>
    <author>tc={6CF69C55-6940-406B-B504-A53161DAE1EC}</author>
    <author>tc={30957318-03E7-445D-9E48-4AA7F6C2887A}</author>
    <author>tc={9E595EEE-F3E1-4F86-BBE6-1E30BA794DDE}</author>
    <author>tc={CF3CFF0B-AC6E-47B7-82BD-A8951C549FE5}</author>
    <author>tc={272E4E9B-A45E-4A9D-BA5C-8E51E316514F}</author>
    <author>tc={7431E74E-F666-4F3B-BE0A-7191F3C8588E}</author>
    <author>tc={E9C33E12-16A5-4392-84D7-7F6AEB0EAE4B}</author>
    <author>tc={D5505E3E-FCD7-4C3D-AF9E-8EBC8685344F}</author>
    <author>tc={65811B31-4622-4395-A98F-F068CAC18D5E}</author>
    <author>tc={1539F409-E2AD-49F5-9F04-D0C5BEA3D67E}</author>
    <author>tc={613997F0-DDB3-4453-90D3-5F3F11C97571}</author>
    <author>tc={00F5E83C-C09C-46E3-8C79-1EF0B661F515}</author>
    <author>tc={65C13A8D-72EE-4970-9486-AC3FDAF8D27A}</author>
    <author>tc={62E330C7-6B1C-4C0D-BC64-B809CBF8A935}</author>
    <author>tc={157E251A-260E-4AD5-A2D3-BA10DC4A9EE3}</author>
    <author>tc={2260AFA5-B9CB-453F-81CB-3B4186A68FA9}</author>
    <author>tc={96F6AD71-9E9D-4AE6-9C95-932D29DAEF79}</author>
    <author>tc={0A6242BB-0569-4448-B03D-FCCE2FD62AFC}</author>
    <author>tc={4E5BA9DA-C907-498D-BD09-015D8512B56B}</author>
    <author>tc={49B5DBD5-7691-499B-9E01-CD0D900BEB3F}</author>
    <author>tc={7A7589F3-C55F-478C-9F70-313B3C0856AB}</author>
    <author>tc={CBBDC8C6-2C41-42C6-AB03-D04DEE0D4AE4}</author>
    <author>tc={4E399F73-ACD7-443E-B4EC-3DB3DABCB13E}</author>
    <author>tc={C4F04593-AC03-4C75-8633-C145199C612C}</author>
    <author>tc={C4B696C2-374C-4849-80A1-896B9668B983}</author>
    <author>tc={AE94881C-2CA8-431C-83B3-2202C438E394}</author>
    <author>tc={0EE54A59-F384-45D3-8884-07FF8FB3DA9E}</author>
    <author>tc={CC714C61-E9AC-45F4-A883-24C59CFAE125}</author>
    <author>tc={104BD505-FD4C-4C40-9B9C-02B14FB361B7}</author>
    <author>tc={14046445-414A-4364-B741-A429B7F4022A}</author>
    <author>tc={ADE16869-B4A4-4E8B-9427-DD3ABB2B72C1}</author>
    <author>tc={624F399D-7F0E-442C-AEFF-F99F47BDB499}</author>
    <author>tc={ABDA39FB-F04C-488C-8F7C-F2B6EE8F183A}</author>
    <author>tc={64864BBE-D01C-4BE5-995F-938E0547B63D}</author>
    <author>tc={340203D2-DF38-41E6-8BE5-35ED68F8F9DD}</author>
    <author>tc={F96DFE83-24FA-44F6-BC7F-A5FB855C6441}</author>
    <author>tc={86E832FD-A6C5-49DD-BF21-35743D0EFDC3}</author>
    <author>tc={4CDDA359-37C4-4CFA-839B-570F76EC3D5F}</author>
    <author>tc={CC3E8A47-F916-4346-81F9-4CD03646AB8E}</author>
    <author>tc={70FAB8AF-0469-4899-933B-E8BAB14D6264}</author>
    <author>tc={6AB96C32-CD88-4FB8-B72D-978A123CDD63}</author>
    <author>tc={6E7313C8-F4B8-490F-A6DE-F303AE18FBCF}</author>
    <author>tc={07F71110-0DC0-4433-96B0-6F19805BA3D1}</author>
    <author>tc={3A671BF0-CF6C-40CB-8CA3-330EC146901B}</author>
    <author>tc={01006FE6-853E-4C3D-A990-C60DC7BA0ADA}</author>
    <author>tc={6296CBB9-40D1-4FD6-AF58-87D7004DD196}</author>
    <author>tc={4590715A-8C36-4EC2-8C48-94B870CD82B1}</author>
    <author>tc={AE83ABEF-852E-4029-A5FA-A8470768CF8D}</author>
    <author>tc={99F522B6-DA23-468A-88CD-72F716B6DCCE}</author>
    <author>tc={FEFC3E93-E94E-4AA2-A6BF-4D61E49FD835}</author>
    <author>tc={BBA18664-0286-4547-B0D1-7829704AFE2F}</author>
    <author>tc={FDB14AE3-19D1-4E75-875D-F063BEB9C515}</author>
    <author>tc={94FCC85A-89BD-40A1-9570-1FBEF77634D9}</author>
    <author>tc={7768AD12-F7AB-46A6-95AC-A4BD43B82781}</author>
    <author>tc={70338A75-A8E6-4E2C-A596-E8076DFC11BB}</author>
    <author>tc={BC111718-5DB6-4B3C-82A4-69D8CB6CEE93}</author>
    <author>tc={FAFF8409-FE7A-43A0-9B5A-2ECA8271D8B3}</author>
    <author>tc={D97332A2-D01F-4514-9349-6D43E6ED432C}</author>
    <author>tc={0D33B80A-CE76-46ED-8955-A2198B2EA451}</author>
    <author>tc={BA565657-9E21-4692-BC67-81A391560871}</author>
    <author>tc={A5ADD07D-1787-4BC3-9278-93B801041E42}</author>
    <author>tc={41162E3E-3166-4892-B16B-9F716FA2F056}</author>
    <author>tc={F10896D1-C675-4B42-8560-AB8DEDBDAE67}</author>
    <author>tc={D9B5A129-B588-430F-902A-575C79BF45C4}</author>
    <author>tc={F0165156-94A0-4792-8DFA-E666EC9D3A64}</author>
    <author>tc={371439EF-42BD-4B83-849F-BBBAD95BB0D9}</author>
    <author>tc={0EF2B3E9-0FC9-491B-A604-243FDA963431}</author>
    <author>tc={A54618BC-4ADB-42BA-BF41-8D1B3B21E0F9}</author>
    <author>tc={70220A40-05B9-4A73-90B5-D223C4D38F12}</author>
    <author>tc={9AD8B705-4E02-42BC-B338-7C80F1659F1C}</author>
    <author>tc={DC383015-89CD-4012-B478-7C9C94C39E73}</author>
    <author>tc={FA9728FE-D0A7-4CC1-AE10-3895936348A7}</author>
    <author>tc={1C65457F-BCC9-4ED5-854D-AECCFF79BB10}</author>
    <author>tc={4C034252-B897-4445-BFB4-20B0D9B8528A}</author>
    <author>tc={0A10B6EC-1AA6-4114-82D0-B7C5883D9CFF}</author>
    <author>tc={D99B5BD3-C7D9-44CD-97D6-29E74B9DD6A6}</author>
    <author>tc={D8A1EC91-6871-4E93-AE96-6795D2D505CC}</author>
    <author>tc={0D3F80AD-989A-4321-B74B-BAE01F56A5B0}</author>
    <author>tc={6E11C648-BE34-4E92-91CA-FFA30F46119D}</author>
    <author>tc={8C20AD3C-BF43-46C4-BDDB-9FB083136E88}</author>
    <author>tc={EF5C4126-99E6-4629-91DE-2B7CF44BC963}</author>
    <author>tc={03510C1F-534F-40E6-98F6-872BFBE6055F}</author>
    <author>tc={9F4EB6B1-A8DA-4B61-8761-B404E52CA0D7}</author>
    <author>tc={D4B454EF-A68D-4308-9900-2353CA3196F6}</author>
    <author>tc={00347CCF-50A3-4234-AF8A-3E8CFFA4A8C7}</author>
    <author>tc={DA56778E-FAC4-4864-8587-A849A38A550B}</author>
    <author>tc={DFEE2E30-1047-4FE7-84E2-C33C8E7586BA}</author>
    <author>tc={198D7CE5-8380-4FB0-91FB-0E0382A03EC0}</author>
    <author>tc={876D2062-5A38-4BE5-AA9A-DB7AB0E1B981}</author>
    <author>tc={A5DAEC6E-24EB-4882-9391-C95EE392B996}</author>
    <author>tc={1B9BE82F-BB11-4FFF-9953-C768BDFA95ED}</author>
    <author>tc={DE57CA7A-9087-4B12-BAC0-29EA49B50E1C}</author>
    <author>tc={9CDD5C78-D1EA-45EF-B01B-D8898A873778}</author>
    <author>tc={EB43216A-2207-4D97-B3B8-8534313956F9}</author>
    <author>tc={47AFB935-9EF9-41F0-97BD-B4BBAF7E411C}</author>
    <author>tc={677252B5-48A0-4CF1-9ECE-EBE0497ACD02}</author>
    <author>tc={210F81D8-D513-4157-A570-4644D398B789}</author>
    <author>tc={B2E23728-B265-48A4-9768-D6213CD0A6C9}</author>
    <author>tc={5DF1C5DF-D5FB-41E7-BDFA-97847623A356}</author>
    <author>tc={8927D40C-E732-4447-87EF-BA68A502A769}</author>
    <author>tc={5D3F3328-CBC4-4227-B64F-7B1F9E8F2766}</author>
    <author>tc={4FF118B5-9F27-4F76-BB11-611DA908196B}</author>
    <author>tc={F3096CFE-5FB3-4CB1-BC92-D6AEF7D08EFD}</author>
    <author>tc={3196EA17-7566-4760-B037-2D17EBF82679}</author>
    <author>tc={3C1B9D1C-BDF7-4A01-A80E-E85B7A8A94F0}</author>
    <author>tc={2A6D1AF5-2033-4D18-8CB5-049DC5B73BD7}</author>
    <author>tc={D470A973-E2A4-431D-B505-F1A54EE98890}</author>
    <author>tc={5C0F0A24-8049-4FDA-971A-A51ADB6B80F8}</author>
    <author>tc={26669624-B260-4CF6-996C-A63AB085210E}</author>
    <author>tc={71826207-03E8-42AF-AA4E-6D18AC9536E5}</author>
    <author>tc={C07D55C3-4EAE-4266-9AAA-331A72BF0128}</author>
    <author>tc={39590655-980A-4703-8FA3-D097CBD3CDC6}</author>
    <author>tc={F5B64FFD-6037-4979-8AF9-EA110DE35364}</author>
    <author>tc={8E4C3DB2-2268-43EF-8A8E-CCF636533991}</author>
    <author>tc={C2994B98-A58E-484F-8004-0EF0D3DBB89D}</author>
    <author>tc={25A1C02A-BFF8-42DC-88F5-26B4D37E4CDE}</author>
    <author>tc={26692B7C-4823-4394-B2B8-80B14123D0A0}</author>
    <author>tc={8FBF0A5B-CBC1-43B9-9752-555BBAAC5392}</author>
    <author>tc={761AAEE3-A9E1-469C-9172-D1D57BCCF5B2}</author>
    <author>tc={D4DE6CF6-D7B4-455E-85EE-991D8C9C5FFE}</author>
    <author>tc={850546A6-8DD3-4432-8664-3A8CD8BB4C2B}</author>
    <author>tc={351A0806-09E0-4F7E-8B51-CF6AA1697679}</author>
    <author>tc={36F98DC7-0205-492A-AA8D-5572B0199FAB}</author>
    <author>tc={C9423808-64A1-4D0D-96EB-B39F7AC95CD3}</author>
    <author>tc={9424EB35-892E-4821-A7C0-6FF6426637D5}</author>
    <author>tc={370BDC2C-0338-4AD5-A858-1ACA396DE920}</author>
    <author>tc={72EB6E79-D5D1-461B-87F8-C81750E65845}</author>
    <author>tc={3A88DBE0-61D3-4C9B-8DBC-8D2E79D8CA1F}</author>
    <author>tc={DC6174D9-FF3A-4EC5-93B9-F7509EB67C15}</author>
    <author>tc={8CA3E34F-569B-4AAE-A338-0192B7A7893E}</author>
    <author>tc={F611F661-D380-4748-AA76-2CF86CFC9C7C}</author>
    <author>tc={F6D96764-FE13-4B97-AD0F-00EDF6B36541}</author>
    <author>tc={311506C0-B66A-4B1D-829D-FD136EA1B019}</author>
    <author>tc={673C9671-71C3-422A-B726-CC199CE7BDB4}</author>
    <author>tc={09E63CDA-E750-4217-A890-FCEB73AE18F5}</author>
    <author>tc={A60E7369-4B81-4EE3-B035-719F2AE6FE2F}</author>
    <author>tc={95DAA0FD-DF7B-446E-8C98-731DC4FBE582}</author>
    <author>tc={969B4D0D-2286-48DC-86C0-C8AF57717D60}</author>
    <author>tc={1B5E0528-A783-402F-BF92-97A4EF65DC20}</author>
    <author>tc={2149515C-76F9-439A-B33C-A53BAEA3C8BE}</author>
    <author>tc={D91B6388-1E5A-4493-AA13-BBEBFA7B0B1A}</author>
    <author>tc={125CE9B2-A76E-4776-AF0C-F52EC58FFBC6}</author>
    <author>tc={D783E299-7E80-4072-B741-4D577BD8DEF8}</author>
    <author>tc={B53235D6-4478-4BC9-96A5-1F27523FFB58}</author>
    <author>tc={EDA30400-3546-41BB-9010-5618B725D4DF}</author>
    <author>tc={5698E3F9-72FE-4FDA-B821-5800CAD7706D}</author>
    <author>tc={958AF2B7-11E4-4B57-9A09-3B6960C57758}</author>
    <author>tc={E258E172-CE19-4EEF-A74C-552345485448}</author>
    <author>tc={0664036F-919C-4D61-99B0-32B04EE9FB08}</author>
    <author>tc={8840D28C-BAC8-4577-8373-F78307C6E60F}</author>
    <author>tc={585AD457-51AE-4F83-AF7D-272087C48F27}</author>
    <author>tc={E2EC5325-31F4-4317-B0B8-EE7226C0BF43}</author>
    <author>tc={0877EFA3-2102-4199-958A-06A5AD4509C5}</author>
    <author>tc={7DA7F495-E2FA-4B16-9AF0-2108B6E35588}</author>
    <author>tc={94BD81C2-1919-468D-B16D-CF2664ED8805}</author>
    <author>tc={F8A25DE9-2B0E-4EC0-A55D-CE80D27C2498}</author>
    <author>tc={5BC8EBA9-371D-4E91-BE2C-18A5C8EA8326}</author>
    <author>tc={D746CD03-F79B-4DFB-B994-78666D021150}</author>
    <author>tc={B6596CC3-6E81-4766-9902-60D1A9B8C0EE}</author>
    <author>tc={A93688F4-E6E1-4BEF-903F-CF907F4B1F5F}</author>
    <author>tc={498006DF-87B4-4BBF-ADA8-10ADC6C37369}</author>
    <author>tc={CF85595C-FB2F-4722-BA42-428125D05599}</author>
    <author>tc={DF385869-6B0D-41C3-8E0B-D1A959D23748}</author>
    <author>tc={6B498AED-1DF4-4BEA-80B4-C83B9183EE11}</author>
    <author>tc={C6FD9648-AB25-4ED0-9987-079E49F0FAC8}</author>
    <author>tc={9E5F23A1-FE11-420D-B9A2-75930233ED63}</author>
    <author>tc={10D35D50-F221-4B40-8FAB-964DA40BD534}</author>
    <author>tc={001D825B-73BE-4CD6-AEA4-55623C9AF3C5}</author>
    <author>tc={668F9F92-13D5-4032-9ED2-FA0848776D9D}</author>
    <author>tc={E8C75D00-6414-4D93-AD69-A0D5BEFD0F65}</author>
    <author>tc={8719FA98-E8D8-4E87-92FA-AC3DDC64119B}</author>
    <author>tc={B855316A-895A-40BC-963C-9E8E308A429D}</author>
    <author>tc={E98A744D-B1FA-4C36-B72B-520AE99BA9CC}</author>
    <author>tc={7DCE8314-E42A-4219-A656-D7285EB496D4}</author>
    <author>tc={CB39FF68-AABD-4F2B-B518-BAB0F74D12F9}</author>
    <author>tc={373146F8-F507-414E-BBDD-3640C63A7FBC}</author>
    <author>tc={9567CF9B-A10D-422F-ABDA-DA5A781580B5}</author>
    <author>tc={C9ABFE91-E10B-448C-A318-EAEFADB37769}</author>
    <author>tc={568A9BF0-46A2-4633-90D9-0BB8E0435C84}</author>
    <author>tc={F124204D-6C1E-4A6E-A30C-60C6FF3EDF62}</author>
    <author>tc={1D5FE209-23F9-4C8F-8A40-B5985DDA022F}</author>
    <author>tc={3A7EF6E8-E775-4A9B-9B48-D1BCE9FCF65B}</author>
    <author>tc={CDF91751-BC5E-44E9-8A81-AB70802E37D4}</author>
    <author>tc={AF0FA6CF-7CDE-45CF-BB26-5A27EC54E0A4}</author>
    <author>tc={BE138EEE-0453-4298-8909-D531D246E9EB}</author>
    <author>tc={8F8245D4-97BF-4A25-ABDA-77C0D457819F}</author>
    <author>tc={7587ED36-B7A0-4830-9709-6065B160E134}</author>
    <author>tc={548822B8-8631-481A-83A0-B1DDE96E50BB}</author>
    <author>tc={47040A0F-1785-401B-91A0-3E705418EDA8}</author>
    <author>tc={1DE29FE7-88FB-40CE-91F2-5D7F3C72228C}</author>
    <author>tc={88920796-381C-479C-A38C-C123A562C037}</author>
    <author>tc={FE3E2FC2-3CA9-4F02-B750-8F1CD80FE9CE}</author>
    <author>tc={2C535741-4DD9-4701-9833-8DA8012E51DB}</author>
    <author>tc={B45D07D9-90CC-4D3D-A2EE-810048FD7AEB}</author>
    <author>tc={7D16012B-E63E-47B7-BFE0-3E0F90F73D74}</author>
    <author>tc={658098A1-1510-4B79-A983-CD7BA6EB8E8A}</author>
    <author>tc={EB346E3E-5FBE-48EB-B2A0-64B5F8FBDCFD}</author>
    <author>tc={AA22C2AE-55C4-47C8-9DA1-4BE1EE3BCD5C}</author>
    <author>tc={21950230-73C0-465B-8389-BD7C82F156E0}</author>
    <author>tc={162E4DFA-2ECF-4CD1-8652-5FC803499C62}</author>
    <author>tc={D3970AA4-D1C9-4618-A17D-FA19039FCA2F}</author>
    <author>tc={C477F476-8414-4AAF-BC45-C38282EAAAEC}</author>
    <author>tc={01885406-B457-4323-BC56-D07D7E3C618F}</author>
    <author>tc={0296FACE-3BF2-4236-B285-AF52882CFDCD}</author>
    <author>tc={3BF947F8-68DE-44A8-A1DA-9C1F184EAADE}</author>
    <author>tc={22081B41-68E8-4653-869C-5EDDAD1F8334}</author>
    <author>tc={8DF52435-9549-4D72-9619-DD435D19D46C}</author>
    <author>tc={86000E32-7BBE-4E9F-90F6-620DE0784B00}</author>
    <author>tc={068CD587-7252-496C-817D-2566213CE232}</author>
    <author>tc={3CBBD6B4-04D8-44B7-B8CC-B0BBDB599B52}</author>
    <author>tc={BECAE8E4-F167-4090-8893-283A3304ADEE}</author>
    <author>tc={29815071-1D2B-4F1E-8755-C0555F924A20}</author>
    <author>tc={77D35CF0-2272-4A5A-B95A-812AA1E79B4C}</author>
    <author>tc={B258CECD-6A17-49CB-BC9A-A0B35D08BC72}</author>
    <author>tc={01FC4DC8-D2BD-44CE-8720-B9C0D2E4BA20}</author>
    <author>tc={DA7EEACB-3BA2-4489-958C-31C83894587C}</author>
    <author>tc={CC0A853C-6F19-4F92-B960-38DFAE9CE40C}</author>
    <author>tc={E97FDF47-27B0-498A-AF23-4C9DCDBEECA6}</author>
    <author>tc={0D7A0CA4-8881-4881-A1EF-60CD1C35CC82}</author>
    <author>tc={DC2D9EDB-2964-4BD5-B00A-4B77F1C8D946}</author>
    <author>tc={0F597309-D034-4A28-A0B0-B53609D9756D}</author>
    <author>tc={C037AC86-51C6-4F7E-8951-C855DFD4FBC8}</author>
    <author>tc={BF6B0B5E-372C-498C-8144-E3C856B4A785}</author>
    <author>tc={5C92AAC4-8F8E-4B49-8A25-B31FF8437705}</author>
    <author>tc={572D0A7B-B29F-403B-A3BD-08FE0032CA9E}</author>
    <author>tc={643BDE04-ADC1-4B26-8B15-1D91C98746C9}</author>
    <author>tc={F870A5E3-6D89-4B5A-A481-68BAD6547A0A}</author>
    <author>tc={88CE612D-DE98-4E0C-8E7E-2C21CC8D7F85}</author>
    <author>tc={25440DC3-C4BF-42C2-8E13-C57129EB82A9}</author>
    <author>tc={F408EBF4-BDFA-438B-BC05-96C594E1055B}</author>
    <author>tc={ED658547-2A39-4E00-82D2-D8F90D216E28}</author>
    <author>tc={0B5DE418-DD5E-49F3-95BE-1C0F362FB9B1}</author>
    <author>tc={E17F388C-04C2-4E65-A2FC-0A68D2AD0B16}</author>
    <author>tc={9C4827C7-40DA-4A4A-A9B3-7F173ED1E634}</author>
    <author>tc={C05283D3-4475-4B63-BF38-AD26333E238C}</author>
    <author>tc={B926F356-69DB-44F7-B4B6-6ACF18CB5971}</author>
    <author>tc={CB81660E-9373-448C-95B6-ABD235C0C1F0}</author>
    <author>tc={EB2815DA-FDBC-43B5-960F-CC02243C7030}</author>
    <author>tc={CA86215E-077B-4C1D-90E6-4F179D566016}</author>
    <author>tc={481F08F1-151E-47CB-BC4F-31054D84B9D5}</author>
    <author>tc={BB46D78C-B827-48DE-B0B7-7A7063118DD1}</author>
    <author>tc={C1CF9406-3417-44DC-B29D-0403B1B250CB}</author>
    <author>tc={5CE785C9-2E48-43C7-984F-6BEEF0F327B8}</author>
    <author>tc={449CD505-E073-42F8-91D5-ED707E78B07F}</author>
    <author>tc={36BBAA55-A81C-4452-970D-886A0F1445B5}</author>
    <author>tc={58DDF06A-B126-4286-9A0D-2E504ED1F96D}</author>
    <author>tc={1094920B-826F-458C-806F-37B6AB683BBC}</author>
    <author>tc={5B9CB7C3-690D-4D5F-8827-8641B1C0AF0E}</author>
    <author>tc={67D019C6-A5A4-43C4-A14A-356AD35B464E}</author>
    <author>tc={0B21FD5A-47C2-4BD2-AB6A-1F1FDA79F884}</author>
    <author>tc={51BF5470-5962-489E-92F0-1CC751543056}</author>
    <author>tc={03074956-7D98-4734-B0F6-02BC7E322F2A}</author>
    <author>tc={1B3F9D93-7465-475E-8E61-047A8CE8E028}</author>
    <author>tc={BEFA8908-1686-4199-B916-9BAEEF30973C}</author>
    <author>tc={7EB3C945-BFE8-40E8-AA74-A5948FD806C5}</author>
    <author>tc={26675522-8C37-4949-AB48-76D94635CA52}</author>
    <author>tc={E6481988-566A-49AB-AC87-0374576CB9D8}</author>
    <author>tc={9F130322-7117-4673-8FA4-8399757F19D0}</author>
    <author>tc={D7153E05-C01E-4703-AA4D-09B65B4EE2FB}</author>
    <author>tc={36A7159A-CF48-46AD-ADA5-141F4B7F932F}</author>
    <author>tc={596FB99D-AB18-4884-927C-7D17B8539857}</author>
    <author>tc={7D49A627-0762-4EB4-8216-5C00285549EE}</author>
    <author>tc={E8780D38-31D0-484C-B3C6-ACF25B9DAA7B}</author>
    <author>tc={A4B491A3-0DB0-42A4-9117-EC78094847DC}</author>
    <author>tc={378B68FB-89C4-4B58-AC07-47FC9E34E5AB}</author>
    <author>tc={6036877F-8FFB-44B5-AFB8-0BC0ACC1DAB3}</author>
    <author>tc={45C4173A-6827-47AC-91AC-1876F067BA64}</author>
    <author>tc={5ED836FC-D023-4BB4-BFCC-314FCABD5ED4}</author>
    <author>tc={77BEE244-755E-4278-8398-01B46834B2A5}</author>
    <author>tc={93A54EF8-5F87-453B-AA34-A6257FF1F62E}</author>
    <author>tc={BEB656E8-9E31-4578-AC53-CB9D4CA1A84C}</author>
    <author>tc={F115BCA5-736E-49AD-B324-30FAD0CCF251}</author>
    <author>tc={05787FAE-5233-4C7E-8ADA-E14C4A41DABA}</author>
    <author>tc={785A127A-45ED-4BC1-A2C2-352D7A7BDB9B}</author>
    <author>tc={DBF91179-EA66-4206-805F-9110940FC332}</author>
    <author>tc={297756FF-B9B6-4F17-A805-D52B3B4463E4}</author>
    <author>tc={944E25D1-1370-442D-AA83-B3EB69BC38AA}</author>
    <author>tc={2FB45D5E-9CC0-4DF6-94E4-CD5A812159EE}</author>
    <author>tc={56568030-EA66-41B1-9875-4B0073C58A84}</author>
    <author>tc={5B92113A-7AE3-4F24-8786-0A531E54247A}</author>
    <author>tc={305BA75B-5A8E-4412-9757-2B0403DD8BB6}</author>
    <author>tc={5BB64AED-5687-42CB-BA85-D18946E3ED28}</author>
    <author>tc={E7EFADC9-8DDB-4AA0-B828-2EA293540CDF}</author>
    <author>tc={99874B65-5051-4E1D-B523-F54A3F23D145}</author>
    <author>tc={3DC07970-18A7-495B-943A-083503A15BA5}</author>
    <author>tc={770E57B7-F39F-490F-95EE-EFDFB254766C}</author>
    <author>tc={E24FC4DB-920C-4256-8668-DC5CB5324732}</author>
    <author>tc={E78D5687-C68D-47BE-83C9-FECC2917A70C}</author>
    <author>tc={57F516F2-E151-469F-AA84-6866AE6D75DD}</author>
    <author>tc={A150779E-9C09-4C65-BF4C-88D752C5C650}</author>
    <author>tc={1C9AB708-7ACF-4A69-953C-43F3A14E1DC0}</author>
    <author>tc={BAE7BA7D-6C45-4793-B938-5C6326A82A7F}</author>
    <author>tc={A41AA393-EB96-462A-9086-3025024BEC79}</author>
    <author>tc={EE0F800B-D211-49DA-B1BE-0AF55711D182}</author>
    <author>tc={55502484-719E-4A32-9941-A91D0AE95C93}</author>
    <author>tc={945E4A2E-1536-476A-9DD8-BEE8043485E6}</author>
    <author>tc={3ED0BAC0-669F-442B-AF53-0BAAF0AC24D0}</author>
    <author>tc={86CEF993-9797-4751-9273-CCF675791FB1}</author>
    <author>tc={31DCA8DC-9A35-41D2-8534-818DA4F58DCC}</author>
    <author>tc={EBB6C298-2CBA-4943-B3F7-96ABE4D44083}</author>
    <author>tc={C20BBBC1-C11A-43DF-8A3E-9A748B96809F}</author>
    <author>tc={8BA51DDA-2E28-44BA-8718-C9E9FFCFB97D}</author>
    <author>tc={4AD3E4A3-1ADF-4AB1-A12A-E804B199290B}</author>
    <author>tc={C7B785CE-316C-4859-85A6-6400CA4B88A1}</author>
    <author>tc={ACF6FE3C-6653-4421-A55B-5497C88406CB}</author>
    <author>tc={F57B6EB3-A690-419E-9704-6508E8B6FF12}</author>
    <author>tc={C287A551-50B5-4DF7-87B5-3BEF188BDADE}</author>
    <author>tc={99712688-A95A-4ED8-A1EC-974CCA7F9163}</author>
    <author>tc={7E703D60-A34A-4E2F-98BE-303BC30AE612}</author>
    <author>tc={6B47284B-1D9E-4E1A-9628-E47E9FC3234E}</author>
    <author>tc={C1464E50-4FF7-4AB3-8839-4F292E4EB18D}</author>
    <author>tc={D7948A3E-2B8E-4158-A072-C9211F45F534}</author>
    <author>tc={D5EC035E-3710-4E69-8ABB-6730E688B028}</author>
    <author>tc={2B5C1F8F-6F06-42BD-BEA0-C24050C02BAF}</author>
    <author>tc={D617884B-EE8F-4B81-9F28-E8BD28943FCD}</author>
    <author>tc={E61A5A7A-960E-4FAA-9A55-ED14A1E927EA}</author>
    <author>tc={064FAD0C-E38C-4785-BF14-2F0E27986B8B}</author>
    <author>tc={3A07528A-CF7B-4ACC-956D-8F7183153787}</author>
    <author>tc={676F9FDE-187B-44C3-91AB-0FDA7AFDEB6E}</author>
    <author>tc={32F0E931-3BC1-4236-9377-C843D1408263}</author>
    <author>tc={D59290EA-3BCB-48E3-8BC9-EF7344D7C76E}</author>
    <author>tc={5EB278A5-FA15-4672-BC7B-FFD43DC90A86}</author>
    <author>tc={594C8CCF-8E0B-410B-B4E9-682FD30764A8}</author>
    <author>tc={B74C911C-54FA-4762-9073-034FE4240996}</author>
    <author>tc={C48C7ACE-3119-4C45-A6F5-BEAE47B5B6F7}</author>
    <author>tc={F090B6C5-5F88-44D6-8703-BC29055B5F6D}</author>
    <author>tc={D0D2ABAF-E83C-4301-94A0-ED1E5541CD29}</author>
    <author>tc={546744EB-B8F5-4005-86F9-189CBBCC08BD}</author>
    <author>tc={765E5B29-E834-4D89-87F6-64BEE4D78C56}</author>
    <author>tc={1ABCD79C-1CEF-4348-A6ED-07D6E069D805}</author>
    <author>tc={079B2CE7-6930-4584-9D96-20D8753C2B7F}</author>
    <author>tc={AA67EE15-AC63-42B0-A02E-144F73B16851}</author>
    <author>tc={780D64E2-B812-4579-8BD2-0F98B61B6DC6}</author>
    <author>tc={9BA42E9F-25F0-4743-9B38-E37C1B4793A5}</author>
    <author>tc={40A6ABF1-3D06-4920-849E-FFCB5F969E93}</author>
    <author>tc={154A6802-5261-4398-A749-500C73DD44E8}</author>
    <author>tc={6B1CA00F-9C14-4DEC-A35B-9B1A46CC802C}</author>
    <author>tc={079AC3A8-1BE4-4720-BC42-F41E2647C0CA}</author>
    <author>tc={9D29BBF8-9B1A-4A1F-8E25-AA4A9CA316DC}</author>
    <author>tc={7B38176A-6951-4D01-B3B6-B6759A509CD5}</author>
    <author>tc={F290D62D-821D-4F0C-B978-12859A198C6F}</author>
    <author>tc={869F52C8-70B6-46AD-AE92-CF2D16DCCB2D}</author>
    <author>tc={EBE9A336-0DF0-4FC2-B276-A4EAC3017695}</author>
    <author>tc={97C30567-1F4F-4C78-80F9-016C4D4E09DD}</author>
    <author>tc={BCF7E395-D4F8-424D-8990-84DC34A6BE8D}</author>
    <author>tc={24D4BAF3-AB0F-4E4F-8F98-19788C430907}</author>
  </authors>
  <commentList>
    <comment ref="D1" authorId="0" shapeId="0" xr:uid="{7B8221EC-B87A-44F2-9BF0-EC94526641F2}">
      <text>
        <t>[Threaded comment]
Your version of Excel allows you to read this threaded comment; however, any edits to it will get removed if the file is opened in a newer version of Excel. Learn more: https://go.microsoft.com/fwlink/?linkid=870924
Comment:
    Short summary of the indicator, not the results, e.g. 'Mortality from breast cancer diagnosed in the intervention period; follow-up until 31/12/2000; per 1,000 PY, screening vs. control'</t>
      </text>
    </comment>
    <comment ref="G1" authorId="1" shapeId="0" xr:uid="{48714943-A07C-488D-AE57-1A53612A0A3E}">
      <text>
        <t>[Threaded comment]
Your version of Excel allows you to read this threaded comment; however, any edits to it will get removed if the file is opened in a newer version of Excel. Learn more: https://go.microsoft.com/fwlink/?linkid=870924
Comment:
    Rate 'Not applicable' if the comparator was 'No screening' or 'Usual care'.</t>
      </text>
    </comment>
    <comment ref="H1" authorId="2" shapeId="0" xr:uid="{EEFAA51A-D515-4A99-8436-3BC2593ECE32}">
      <text>
        <t>[Threaded comment]
Your version of Excel allows you to read this threaded comment; however, any edits to it will get removed if the file is opened in a newer version of Excel. Learn more: https://go.microsoft.com/fwlink/?linkid=870924
Comment:
    Rate as 'Not applicable' of the comparator was another screening test and/or interval.</t>
      </text>
    </comment>
    <comment ref="I1" authorId="3" shapeId="0" xr:uid="{3CFFE7C5-5F41-49DE-8495-6FBB4794465A}">
      <text>
        <t>[Threaded comment]
Your version of Excel allows you to read this threaded comment; however, any edits to it will get removed if the file is opened in a newer version of Excel. Learn more: https://go.microsoft.com/fwlink/?linkid=870924
Comment:
    Answer for the timepoint that you are extracting in that row.</t>
      </text>
    </comment>
    <comment ref="K1" authorId="4" shapeId="0" xr:uid="{036F5518-5E9F-4F68-898F-F9F47B701044}">
      <text>
        <t>[Threaded comment]
Your version of Excel allows you to read this threaded comment; however, any edits to it will get removed if the file is opened in a newer version of Excel. Learn more: https://go.microsoft.com/fwlink/?linkid=870924
Comment:
    Stage category (or its approximation) for the surrogate in question (relating to the extracted results in this row).</t>
      </text>
    </comment>
    <comment ref="Q1" authorId="5" shapeId="0" xr:uid="{E05B91A1-CDD3-4C23-8495-1BA56D5F3DC3}">
      <text>
        <t>[Threaded comment]
Your version of Excel allows you to read this threaded comment; however, any edits to it will get removed if the file is opened in a newer version of Excel. Learn more: https://go.microsoft.com/fwlink/?linkid=870924
Comment:
    Date or 'NR'.</t>
      </text>
    </comment>
    <comment ref="S1" authorId="6" shapeId="0" xr:uid="{472E3F06-273F-4321-AA99-C34299C76952}">
      <text>
        <t>[Threaded comment]
Your version of Excel allows you to read this threaded comment; however, any edits to it will get removed if the file is opened in a newer version of Excel. Learn more: https://go.microsoft.com/fwlink/?linkid=870924
Comment:
    E.g. reported mean (SD) or median (IQR, range).</t>
      </text>
    </comment>
    <comment ref="T1" authorId="7" shapeId="0" xr:uid="{6E41814A-8981-41AD-8CCC-1B341F5B7F6C}">
      <text>
        <t>[Threaded comment]
Your version of Excel allows you to read this threaded comment; however, any edits to it will get removed if the file is opened in a newer version of Excel. Learn more: https://go.microsoft.com/fwlink/?linkid=870924
Comment:
    E.g. reported mean (SD) or median (IQR, range).</t>
      </text>
    </comment>
    <comment ref="U1" authorId="8" shapeId="0" xr:uid="{B54D4CBC-7C2B-49F7-92C6-B7711442F0FA}">
      <text>
        <t>[Threaded comment]
Your version of Excel allows you to read this threaded comment; however, any edits to it will get removed if the file is opened in a newer version of Excel. Learn more: https://go.microsoft.com/fwlink/?linkid=870924
Comment:
    Number of rounds within the trial after which the analysis was done.</t>
      </text>
    </comment>
    <comment ref="W1" authorId="9" shapeId="0" xr:uid="{B8DE8598-FC3A-47A3-9D0F-CA22B448F2C7}">
      <text>
        <t>[Threaded comment]
Your version of Excel allows you to read this threaded comment; however, any edits to it will get removed if the file is opened in a newer version of Excel. Learn more: https://go.microsoft.com/fwlink/?linkid=870924
Comment:
    Free text field to give more details for column V.</t>
      </text>
    </comment>
    <comment ref="Y1" authorId="10" shapeId="0" xr:uid="{43AEC330-DBF2-4997-9DC7-6B667DB3D98D}">
      <text>
        <t>[Threaded comment]
Your version of Excel allows you to read this threaded comment; however, any edits to it will get removed if the file is opened in a newer version of Excel. Learn more: https://go.microsoft.com/fwlink/?linkid=870924
Comment:
    Put 'NA' for surrogates 3, 5 and 6 as they only include people with target cancer.</t>
      </text>
    </comment>
    <comment ref="Z1" authorId="11" shapeId="0" xr:uid="{4D5535AD-4E1E-4E3E-9D34-FDFC89614BED}">
      <text>
        <t xml:space="preserve">[Threaded comment]
Your version of Excel allows you to read this threaded comment; however, any edits to it will get removed if the file is opened in a newer version of Excel. Learn more: https://go.microsoft.com/fwlink/?linkid=870924
Comment:
    Put 'NA' for surrogates 3, 5 and 6 as they only include people with target cancer.
</t>
      </text>
    </comment>
    <comment ref="AK1" authorId="12" shapeId="0" xr:uid="{5405CC65-B00C-4555-BCEF-10D979738C28}">
      <text>
        <t>[Threaded comment]
Your version of Excel allows you to read this threaded comment; however, any edits to it will get removed if the file is opened in a newer version of Excel. Learn more: https://go.microsoft.com/fwlink/?linkid=870924
Comment:
    If person years, n randomised, and n target cancers are reported, please extract all using separate rows.</t>
      </text>
    </comment>
    <comment ref="AL1" authorId="13" shapeId="0" xr:uid="{D1CD88C0-D713-4A20-8A3B-6CABD7AD25FF}">
      <text>
        <t>[Threaded comment]
Your version of Excel allows you to read this threaded comment; however, any edits to it will get removed if the file is opened in a newer version of Excel. Learn more: https://go.microsoft.com/fwlink/?linkid=870924
Comment:
    If person years, n randomised, and n target cancers are reported, please extract all using separate rows.</t>
      </text>
    </comment>
    <comment ref="AM1" authorId="14" shapeId="0" xr:uid="{100B679F-38DB-4D85-9740-D1EFBE333F9D}">
      <text>
        <t>[Threaded comment]
Your version of Excel allows you to read this threaded comment; however, any edits to it will get removed if the file is opened in a newer version of Excel. Learn more: https://go.microsoft.com/fwlink/?linkid=870924
Comment:
    Unit for rate reported in column AN and AR and/or calculated in columns AO and AS.</t>
      </text>
    </comment>
    <comment ref="AN1" authorId="15" shapeId="0" xr:uid="{32EDC187-F63D-4390-8824-8224AD88B0D9}">
      <text>
        <t>[Threaded comment]
Your version of Excel allows you to read this threaded comment; however, any edits to it will get removed if the file is opened in a newer version of Excel. Learn more: https://go.microsoft.com/fwlink/?linkid=870924
Comment:
    Extract rate as reported in paper or fill as 'NR'.</t>
      </text>
    </comment>
    <comment ref="AO1" authorId="16" shapeId="0" xr:uid="{87945A82-6962-4D95-950E-76B160C05CAE}">
      <text>
        <t>[Threaded comment]
Your version of Excel allows you to read this threaded comment; however, any edits to it will get removed if the file is opened in a newer version of Excel. Learn more: https://go.microsoft.com/fwlink/?linkid=870924
Comment:
    Calculate rate yourself in Excel (e.g. =AI*1000/AK) to check reported rate or to obtain rate if not reported in paper.</t>
      </text>
    </comment>
    <comment ref="AP1" authorId="17" shapeId="0" xr:uid="{46168B82-419B-4FA4-A8DB-19AFF4108FCC}">
      <text>
        <t>[Threaded comment]
Your version of Excel allows you to read this threaded comment; however, any edits to it will get removed if the file is opened in a newer version of Excel. Learn more: https://go.microsoft.com/fwlink/?linkid=870924
Comment:
    Extract the reported lower 95% confidence interval for the rate.</t>
      </text>
    </comment>
    <comment ref="AQ1" authorId="18" shapeId="0" xr:uid="{CC30A732-6B2C-4B47-81CB-248D2C8B3D16}">
      <text>
        <t>[Threaded comment]
Your version of Excel allows you to read this threaded comment; however, any edits to it will get removed if the file is opened in a newer version of Excel. Learn more: https://go.microsoft.com/fwlink/?linkid=870924
Comment:
    Extract the reported upper 95% confidence interval for the rate.</t>
      </text>
    </comment>
    <comment ref="AR1" authorId="19" shapeId="0" xr:uid="{C6080588-17B7-40F8-B689-302617CF4CB8}">
      <text>
        <t>[Threaded comment]
Your version of Excel allows you to read this threaded comment; however, any edits to it will get removed if the file is opened in a newer version of Excel. Learn more: https://go.microsoft.com/fwlink/?linkid=870924
Comment:
    Extracted rate as reported in paper, or fill as 'NR'.</t>
      </text>
    </comment>
    <comment ref="AS1" authorId="20" shapeId="0" xr:uid="{4F7A13A5-83E4-4BF3-A6BA-CAF5D96E3084}">
      <text>
        <t>[Threaded comment]
Your version of Excel allows you to read this threaded comment; however, any edits to it will get removed if the file is opened in a newer version of Excel. Learn more: https://go.microsoft.com/fwlink/?linkid=870924
Comment:
    Calculate rate yourself in Excel (e.g. =AJ*1000/AL) to check reported rate or to obtain rate if not reported in paper.</t>
      </text>
    </comment>
    <comment ref="AT1" authorId="21" shapeId="0" xr:uid="{D48CD06E-F4AF-43B0-8277-9A98D6D66389}">
      <text>
        <t>[Threaded comment]
Your version of Excel allows you to read this threaded comment; however, any edits to it will get removed if the file is opened in a newer version of Excel. Learn more: https://go.microsoft.com/fwlink/?linkid=870924
Comment:
    Extract the reported lower 95% confidence interval for the rate.</t>
      </text>
    </comment>
    <comment ref="AU1" authorId="22" shapeId="0" xr:uid="{13FDF980-5B3C-4D47-8274-520B39421F8A}">
      <text>
        <t>[Threaded comment]
Your version of Excel allows you to read this threaded comment; however, any edits to it will get removed if the file is opened in a newer version of Excel. Learn more: https://go.microsoft.com/fwlink/?linkid=870924
Comment:
    Extract the reported upper 95% confidence interval for the rate.</t>
      </text>
    </comment>
    <comment ref="AV1" authorId="23" shapeId="0" xr:uid="{28ECA70C-3483-49CF-A23E-528FE571BCCA}">
      <text>
        <t>[Threaded comment]
Your version of Excel allows you to read this threaded comment; however, any edits to it will get removed if the file is opened in a newer version of Excel. Learn more: https://go.microsoft.com/fwlink/?linkid=870924
Comment:
    RR = Risk ratio. OR = Odds ratio. HR = Hazard ratio.</t>
      </text>
    </comment>
    <comment ref="AW1" authorId="24" shapeId="0" xr:uid="{EA5101F5-EBD0-4B8C-929C-18E1100F37E9}">
      <text>
        <t>[Threaded comment]
Your version of Excel allows you to read this threaded comment; however, any edits to it will get removed if the file is opened in a newer version of Excel. Learn more: https://go.microsoft.com/fwlink/?linkid=870924
Comment:
    For the chosen indicator in column AV (e.g. RR), extract the reported, unadjusted value from the paper.</t>
      </text>
    </comment>
    <comment ref="AX1" authorId="25" shapeId="0" xr:uid="{13B43232-E9C7-4A34-B19A-5B8EFE8649E2}">
      <text>
        <t>[Threaded comment]
Your version of Excel allows you to read this threaded comment; however, any edits to it will get removed if the file is opened in a newer version of Excel. Learn more: https://go.microsoft.com/fwlink/?linkid=870924
Comment:
    Calculate RR or OR yourself in Excel, e.g. =AO/AS. No need to calculate HR.</t>
      </text>
    </comment>
    <comment ref="AY1" authorId="26" shapeId="0" xr:uid="{79B62C9E-5240-4785-8EB7-43148A4153B2}">
      <text>
        <t>[Threaded comment]
Your version of Excel allows you to read this threaded comment; however, any edits to it will get removed if the file is opened in a newer version of Excel. Learn more: https://go.microsoft.com/fwlink/?linkid=870924
Comment:
    Extract the lower 95% confidence interval for AW from the paper.</t>
      </text>
    </comment>
    <comment ref="AZ1" authorId="27" shapeId="0" xr:uid="{A0DB645C-64B5-4454-9C5C-4F2B448E7911}">
      <text>
        <t>[Threaded comment]
Your version of Excel allows you to read this threaded comment; however, any edits to it will get removed if the file is opened in a newer version of Excel. Learn more: https://go.microsoft.com/fwlink/?linkid=870924
Comment:
    Extract the upper 95% confidence interval for AW from the paper.</t>
      </text>
    </comment>
    <comment ref="BA1" authorId="28" shapeId="0" xr:uid="{6D136F05-1183-4313-A49C-713C452A5E53}">
      <text>
        <t>[Threaded comment]
Your version of Excel allows you to read this threaded comment; however, any edits to it will get removed if the file is opened in a newer version of Excel. Learn more: https://go.microsoft.com/fwlink/?linkid=870924
Comment:
    Extract the reported p value for the comparison in this row, or use 'NR'.</t>
      </text>
    </comment>
    <comment ref="BB1" authorId="29" shapeId="0" xr:uid="{54AC7729-B3C8-4306-AC54-1477EA6440BE}">
      <text>
        <t>[Threaded comment]
Your version of Excel allows you to read this threaded comment; however, any edits to it will get removed if the file is opened in a newer version of Excel. Learn more: https://go.microsoft.com/fwlink/?linkid=870924
Comment:
    Which variable(s) have been adjusted for? Methods?</t>
      </text>
    </comment>
    <comment ref="AX135" authorId="30" shapeId="0" xr:uid="{6F894D8D-F66F-4E62-955E-B98E176999B5}">
      <text>
        <t>[Threaded comment]
Your version of Excel allows you to read this threaded comment; however, any edits to it will get removed if the file is opened in a newer version of Excel. Learn more: https://go.microsoft.com/fwlink/?linkid=870924
Comment:
    1.92/1.20 = 1.60</t>
      </text>
    </comment>
    <comment ref="AX149" authorId="31" shapeId="0" xr:uid="{8D7B5500-89C9-4540-AC80-14240FE945B5}">
      <text>
        <t>[Threaded comment]
Your version of Excel allows you to read this threaded comment; however, any edits to it will get removed if the file is opened in a newer version of Excel. Learn more: https://go.microsoft.com/fwlink/?linkid=870924
Comment:
    Need to check with Adam if this is appropriate given one arm has zero events so the estimate would be zero no matter how many events there were in the other arm.</t>
      </text>
    </comment>
    <comment ref="AX150" authorId="32" shapeId="0" xr:uid="{969FEA8C-1CC4-47B1-A220-5A19CCEC541B}">
      <text>
        <t>[Threaded comment]
Your version of Excel allows you to read this threaded comment; however, any edits to it will get removed if the file is opened in a newer version of Excel. Learn more: https://go.microsoft.com/fwlink/?linkid=870924
Comment:
    Need to check with Adam if this is appropriate given one arm has zero events so the estimate would be zero no matter how many events there were in the other arm.</t>
      </text>
    </comment>
    <comment ref="AI219" authorId="33" shapeId="0" xr:uid="{937DE4AF-B871-444C-9A15-0E21B56DB49E}">
      <text>
        <t>[Threaded comment]
Your version of Excel allows you to read this threaded comment; however, any edits to it will get removed if the file is opened in a newer version of Excel. Learn more: https://go.microsoft.com/fwlink/?linkid=870924
Comment:
    Same comment as above: report these together with ovarian+tubal? I agree with the numbers otherwise
Reply:
    Agree, I will add them together.</t>
      </text>
    </comment>
    <comment ref="AI236" authorId="34" shapeId="0" xr:uid="{7C70D405-83C5-451A-8D60-3CAF72375892}">
      <text>
        <t>[Threaded comment]
Your version of Excel allows you to read this threaded comment; however, any edits to it will get removed if the file is opened in a newer version of Excel. Learn more: https://go.microsoft.com/fwlink/?linkid=870924
Comment:
    Same as above, but I agree with the numbers
Reply:
    I have added numbers for primary ovarian and peritoneal cancer together as suggested.</t>
      </text>
    </comment>
    <comment ref="A246" authorId="35" shapeId="0" xr:uid="{B281471D-9EB7-4FF0-8A93-CE1523EE0AA9}">
      <text>
        <t>[Threaded comment]
Your version of Excel allows you to read this threaded comment; however, any edits to it will get removed if the file is opened in a newer version of Excel. Learn more: https://go.microsoft.com/fwlink/?linkid=870924
Comment:
    Table 2 also reports the stage for the subgroup of  invasive epithelial ovarian or tubal cancers. Not extracted yet. Web Table 3 also reports substages (a, b, c) for invasive epithelial ovarian and tubal cancers. Not extracted yet.
Reply:
    I wouldn't worry about those for now, as they are just subgroups of the overall ovarian cancer group</t>
      </text>
    </comment>
    <comment ref="AX246" authorId="36" shapeId="0" xr:uid="{C1CDEC60-00A6-4C0D-9282-487C39C8DA4D}">
      <text>
        <t>[Threaded comment]
Your version of Excel allows you to read this threaded comment; however, any edits to it will get removed if the file is opened in a newer version of Excel. Learn more: https://go.microsoft.com/fwlink/?linkid=870924
Comment:
    Slightly different to reported rate. Think they have used 50,618 (MMS), 50,614 (USS) and 101,297 (no screening) as denominators (see Figure 2A)?</t>
      </text>
    </comment>
    <comment ref="AX250" authorId="37" shapeId="0" xr:uid="{424B5220-BCA2-4110-AEE2-BF5480CBE87E}">
      <text>
        <t>[Threaded comment]
Your version of Excel allows you to read this threaded comment; however, any edits to it will get removed if the file is opened in a newer version of Excel. Learn more: https://go.microsoft.com/fwlink/?linkid=870924
Comment:
    Slightly different to reported value.</t>
      </text>
    </comment>
    <comment ref="AX254" authorId="38" shapeId="0" xr:uid="{E9C2E08E-8965-4D94-824C-EEEDB69F53DD}">
      <text>
        <t>[Threaded comment]
Your version of Excel allows you to read this threaded comment; however, any edits to it will get removed if the file is opened in a newer version of Excel. Learn more: https://go.microsoft.com/fwlink/?linkid=870924
Comment:
    Slightly different to reported rate.</t>
      </text>
    </comment>
    <comment ref="AX256" authorId="39" shapeId="0" xr:uid="{F5BBB22B-6C97-45AC-81BF-57043C831F9C}">
      <text>
        <t>[Threaded comment]
Your version of Excel allows you to read this threaded comment; however, any edits to it will get removed if the file is opened in a newer version of Excel. Learn more: https://go.microsoft.com/fwlink/?linkid=870924
Comment:
    Slightly different to reported rate.</t>
      </text>
    </comment>
    <comment ref="A259" authorId="40" shapeId="0" xr:uid="{651EA90A-7F46-430A-A5A6-DBF2C112A8EB}">
      <text>
        <t>[Threaded comment]
Your version of Excel allows you to read this threaded comment; however, any edits to it will get removed if the file is opened in a newer version of Excel. Learn more: https://go.microsoft.com/fwlink/?linkid=870924
Comment:
    Table 2 also reports the stage for the subgroup of  invasive epithelial ovarian or tubal cancers. Not extracted yet. Web Table 3 also reports substages (a, b, c) for invasive epithelial ovarian and tubal cancers. Not extracted yet.</t>
      </text>
    </comment>
    <comment ref="D283" authorId="41" shapeId="0" xr:uid="{7CCD0D21-9C0D-46B1-AD2C-F261D008238E}">
      <text>
        <t>[Threaded comment]
Your version of Excel allows you to read this threaded comment; however, any edits to it will get removed if the file is opened in a newer version of Excel. Learn more: https://go.microsoft.com/fwlink/?linkid=870924
Comment:
    Not sure about the denominator. Maybe we can check with Matejka, if it should be just total number of NSCLC or the total number of lung cancers (so NSCLC + SCLC).
Reply:
    Maybe it does not really matter as long as we are stating in the denominator column what we have used? Let's split it up in NSCLC and SCLC, then you have the individual numbers and can add them together later if you want to create a late stage that is defined as stage III-IV or extensive lung cancer.</t>
      </text>
    </comment>
    <comment ref="AI311" authorId="42" shapeId="0" xr:uid="{E3B60DD4-4FA9-48E8-A127-914E6A136A38}">
      <text>
        <t>[Threaded comment]
Your version of Excel allows you to read this threaded comment; however, any edits to it will get removed if the file is opened in a newer version of Excel. Learn more: https://go.microsoft.com/fwlink/?linkid=870924
Comment:
    Andriole 2012 reports 401 prostate cancers with Gleason score 8-10.</t>
      </text>
    </comment>
    <comment ref="AJ311" authorId="43" shapeId="0" xr:uid="{C4484879-B420-4291-89EF-0FC2946F4EB2}">
      <text>
        <t>[Threaded comment]
Your version of Excel allows you to read this threaded comment; however, any edits to it will get removed if the file is opened in a newer version of Excel. Learn more: https://go.microsoft.com/fwlink/?linkid=870924
Comment:
    Andriole 2012 reports 454 prostate cancers with Gleason score 8-10.</t>
      </text>
    </comment>
    <comment ref="AI314" authorId="44" shapeId="0" xr:uid="{C8158865-9DEC-4664-84E4-A15E9178BB43}">
      <text>
        <t>[Threaded comment]
Your version of Excel allows you to read this threaded comment; however, any edits to it will get removed if the file is opened in a newer version of Excel. Learn more: https://go.microsoft.com/fwlink/?linkid=870924
Comment:
    Andriole 2012 reports 401 prostate cancers with Gleason score 8-10.</t>
      </text>
    </comment>
    <comment ref="AJ314" authorId="45" shapeId="0" xr:uid="{4B730A50-3E37-4229-8A64-3FFE1C1566ED}">
      <text>
        <t>[Threaded comment]
Your version of Excel allows you to read this threaded comment; however, any edits to it will get removed if the file is opened in a newer version of Excel. Learn more: https://go.microsoft.com/fwlink/?linkid=870924
Comment:
    Andriole 2012 reports 454 prostate cancers with Gleason score 8-10.</t>
      </text>
    </comment>
    <comment ref="D322" authorId="46" shapeId="0" xr:uid="{D46BA75D-5E69-4D89-9BEB-189442D5CB37}">
      <text>
        <t>[Threaded comment]
Your version of Excel allows you to read this threaded comment; however, any edits to it will get removed if the file is opened in a newer version of Excel. Learn more: https://go.microsoft.com/fwlink/?linkid=870924
Comment:
    I don't think we are interested in subgroups other than 'centre', 'sex' or 'age group'. I have therefore added people with and without comorbidities together. Still not sure this paper should be included at all.
Reply:
    Matejka's reply was: "We agreed at one of the group meetings that we will not extract data for groups other than sex, age, and centre. But I’m not sure whether this means that the Crawford paper could not be used, if this is the only paper providing data at 10 years post-randomisation. If you sum up those with no or minimal comorbidities and those with comorbidities by arm, could you get useful data? These data seem to be available in Table 3. BUT if you have another publication that is directly looking at mortality at 10 years, then I’d exclude Crawford for duplication."
Reply:
    We have data for 10-year mortality reported by Andriole 2012 and Pinsky 2017. But that paper also reports surrogate data up to 31/08/2009, an analysis date that is not covered by other publications. So we might want to leave it in...</t>
      </text>
    </comment>
    <comment ref="D323" authorId="47" shapeId="0" xr:uid="{0013FC85-F741-4E87-9590-6D9B503DEFA5}">
      <text>
        <t>[Threaded comment]
Your version of Excel allows you to read this threaded comment; however, any edits to it will get removed if the file is opened in a newer version of Excel. Learn more: https://go.microsoft.com/fwlink/?linkid=870924
Comment:
    I don't think we are interested in subgroups other than 'centre', 'sex' or 'age group'. I have therefore added people with and without comorbidities together. Still not sure this paper should be included at all.</t>
      </text>
    </comment>
    <comment ref="D324" authorId="48" shapeId="0" xr:uid="{DF59F7EA-BFAD-4EAF-B485-46A55712F67D}">
      <text>
        <t>[Threaded comment]
Your version of Excel allows you to read this threaded comment; however, any edits to it will get removed if the file is opened in a newer version of Excel. Learn more: https://go.microsoft.com/fwlink/?linkid=870924
Comment:
    I don't think we are interested in subgroups other than 'centre', 'sex' or 'age group'. I have therefore added people with and without comorbidities together. Still not sure this paper should be included at all.</t>
      </text>
    </comment>
    <comment ref="A331" authorId="49" shapeId="0" xr:uid="{0B5C8B7E-591E-444A-973F-1AEE6AA34180}">
      <text>
        <t>[Threaded comment]
Your version of Excel allows you to read this threaded comment; however, any edits to it will get removed if the file is opened in a newer version of Excel. Learn more: https://go.microsoft.com/fwlink/?linkid=870924
Comment:
    I have added another row for Gleason score 8-10 based on biopsy only!</t>
      </text>
    </comment>
    <comment ref="AN333" authorId="50" shapeId="0" xr:uid="{948D8CB9-0EAE-4B06-A285-7BA9177D1116}">
      <text>
        <t>[Threaded comment]
Your version of Excel allows you to read this threaded comment; however, any edits to it will get removed if the file is opened in a newer version of Excel. Learn more: https://go.microsoft.com/fwlink/?linkid=870924
Comment:
    Assuming screen detected = total- symptomatic
Reply:
    I don't think we can do this as the PCLO abstractors categorised mode of detection into screen-detected, symptomatically detected, other-detected and not ascertained. I suggest to use the number from Figure 3 instead.</t>
      </text>
    </comment>
    <comment ref="AH356" authorId="51" shapeId="0" xr:uid="{ECF0FED7-6772-431F-8466-6D7C4ACB49B7}">
      <text>
        <t>[Threaded comment]
Your version of Excel allows you to read this threaded comment; however, any edits to it will get removed if the file is opened in a newer version of Excel. Learn more: https://go.microsoft.com/fwlink/?linkid=870924
Comment:
    We agreed to change the denominator to "N randomised" in one of our meetings.</t>
      </text>
    </comment>
    <comment ref="D358" authorId="52" shapeId="0" xr:uid="{F7B19FB4-3CDA-483B-A333-F3E58B9BC9F1}">
      <text>
        <t>[Threaded comment]
Your version of Excel allows you to read this threaded comment; however, any edits to it will get removed if the file is opened in a newer version of Excel. Learn more: https://go.microsoft.com/fwlink/?linkid=870924
Comment:
    The protocol states for surrogate 4: "If data permit also evaluate absolute incidence of early-stage high grade cancer detection defined as: 
Grade 3 and stage I or II; 
Grade 2+ and stage I or II; 
Or cancer-specific, e.g. prostate cancer Gleason 7+ or Gleason 8+ and stage I or II." So, was wondering if we could use these data as cancer-specific alternative???</t>
      </text>
    </comment>
    <comment ref="AC359" authorId="53" shapeId="0" xr:uid="{5255164B-7788-4870-B27B-88ECAFE39DA4}">
      <text>
        <t>[Threaded comment]
Your version of Excel allows you to read this threaded comment; however, any edits to it will get removed if the file is opened in a newer version of Excel. Learn more: https://go.microsoft.com/fwlink/?linkid=870924
Comment:
    Are these individuals those that were excluded from the ITT analysis because of consent and censoring events before consent (=not eligible for the trial according to this design)? If so, I'd not report it here as the ITT analysis excludes them
Reply:
    Agree. Mentioned them in Notes field.</t>
      </text>
    </comment>
    <comment ref="AH359" authorId="54" shapeId="0" xr:uid="{145B2340-65AB-41F0-86BA-75ACEFCCD927}">
      <text>
        <t>[Threaded comment]
Your version of Excel allows you to read this threaded comment; however, any edits to it will get removed if the file is opened in a newer version of Excel. Learn more: https://go.microsoft.com/fwlink/?linkid=870924
Comment:
    Should it be number of people randomised (2028) or analysed (1987)?
Reply:
    Analysed
Reply:
    Corrected.</t>
      </text>
    </comment>
    <comment ref="AK359" authorId="55" shapeId="0" xr:uid="{5D287253-2252-482D-A120-FCD780626BAF}">
      <text>
        <t>[Threaded comment]
Your version of Excel allows you to read this threaded comment; however, any edits to it will get removed if the file is opened in a newer version of Excel. Learn more: https://go.microsoft.com/fwlink/?linkid=870924
Comment:
    1987
Reply:
    Corrected.</t>
      </text>
    </comment>
    <comment ref="AC360" authorId="56" shapeId="0" xr:uid="{BB3EB2E1-C540-4DCB-8733-9A629B7DD4FF}">
      <text>
        <t>[Threaded comment]
Your version of Excel allows you to read this threaded comment; however, any edits to it will get removed if the file is opened in a newer version of Excel. Learn more: https://go.microsoft.com/fwlink/?linkid=870924
Comment:
    Are these individuals those that were excluded from the ITT analysis because of consent and censoring events before consent (=not eligible for the trial according to this design)? If so, I'd not report it here as the ITT analysis excludes them
Reply:
    Agree. Mentioned them in Notes field.</t>
      </text>
    </comment>
    <comment ref="AA361" authorId="57" shapeId="0" xr:uid="{E25830FB-5CE8-49CD-80B5-B588850C21E0}">
      <text>
        <t>[Threaded comment]
Your version of Excel allows you to read this threaded comment; however, any edits to it will get removed if the file is opened in a newer version of Excel. Learn more: https://go.microsoft.com/fwlink/?linkid=870924
Comment:
    Can we get number censored from Figure 3 as it gives number at risk and number diagnosed with lung cancer?
Reply:
    I'm not sure it is completely correct. Fig 3 only reports up until 7 years of FU, whereas incidence was established in a median of just over 7 years
Reply:
    Think I made this comment before Adam suggested only to put a number here, if we don't have person-year or median (IQR, range) follow-up time. So, think we can leave as NR.</t>
      </text>
    </comment>
    <comment ref="AH361" authorId="58" shapeId="0" xr:uid="{DCA1A185-7259-4196-BBB6-BF21741A03A0}">
      <text>
        <t>[Threaded comment]
Your version of Excel allows you to read this threaded comment; however, any edits to it will get removed if the file is opened in a newer version of Excel. Learn more: https://go.microsoft.com/fwlink/?linkid=870924
Comment:
    Or should it be number of people randomised?
Reply:
    Analysed</t>
      </text>
    </comment>
    <comment ref="AA362" authorId="59" shapeId="0" xr:uid="{68BD1DAD-2E15-4536-9E3D-8F5B8FE7FA14}">
      <text>
        <t>[Threaded comment]
Your version of Excel allows you to read this threaded comment; however, any edits to it will get removed if the file is opened in a newer version of Excel. Learn more: https://go.microsoft.com/fwlink/?linkid=870924
Comment:
    Can we get number censored from Figure 3 as it gives number at risk and number diagnosed with lung cancer?
Reply:
    I'm not sure it is completely correct. Fig 3 only reports up until 7 years of FU, whereas incidence was established in a median of just over 7 years
Reply:
    Think I made this comment before Adam suggested only to put a number here, if we don't have person-year or median (IQR, range) follow-up time. So, think we can leave as NR.</t>
      </text>
    </comment>
    <comment ref="AH362" authorId="60" shapeId="0" xr:uid="{527FCAF7-DCA8-4285-A2A4-0316CC7ECB11}">
      <text>
        <t>[Threaded comment]
Your version of Excel allows you to read this threaded comment; however, any edits to it will get removed if the file is opened in a newer version of Excel. Learn more: https://go.microsoft.com/fwlink/?linkid=870924
Comment:
    Or should it be number of people randomised?
Reply:
    Analysed</t>
      </text>
    </comment>
    <comment ref="AA363" authorId="61" shapeId="0" xr:uid="{CA7F954C-22ED-417E-9F85-B1AB93A12690}">
      <text>
        <t>[Threaded comment]
Your version of Excel allows you to read this threaded comment; however, any edits to it will get removed if the file is opened in a newer version of Excel. Learn more: https://go.microsoft.com/fwlink/?linkid=870924
Comment:
    Can we get number censored from Figure 3 as it gives number at risk and number diagnosed with lung cancer?
Reply:
    I'm not sure it is completely correct. Fig 3 only reports up until 7 years of FU, whereas incidence was established in a median of just over 7 years
Reply:
    Think I made this comment before Adam suggested only to put a number here, if we don't have person-year or median (IQR, range) follow-up time. So, think we can leave as NR.</t>
      </text>
    </comment>
    <comment ref="AH363" authorId="62" shapeId="0" xr:uid="{EB249CF9-DF2F-4454-A762-39C118D16F7C}">
      <text>
        <t>[Threaded comment]
Your version of Excel allows you to read this threaded comment; however, any edits to it will get removed if the file is opened in a newer version of Excel. Learn more: https://go.microsoft.com/fwlink/?linkid=870924
Comment:
    Or should it be number of people randomised?
Reply:
    Analysed</t>
      </text>
    </comment>
    <comment ref="AA364" authorId="63" shapeId="0" xr:uid="{E5564EAC-DFDC-4757-8520-41E17D35CB02}">
      <text>
        <t>[Threaded comment]
Your version of Excel allows you to read this threaded comment; however, any edits to it will get removed if the file is opened in a newer version of Excel. Learn more: https://go.microsoft.com/fwlink/?linkid=870924
Comment:
    Can we get number censored from Figure 3 as it gives number at risk and number diagnosed with lung cancer?
Reply:
    I'm not sure it is completely correct. Fig 3 only reports up until 7 years of FU, whereas incidence was established in a median of just over 7 years
Reply:
    Think I made this comment before Adam suggested only to put a number here, if we don't have person-year or median (IQR, range) follow-up time. So, think we can leave as NR.</t>
      </text>
    </comment>
    <comment ref="AA365" authorId="64" shapeId="0" xr:uid="{E21F2C39-81EC-4F55-A33F-8B59BF374FB9}">
      <text>
        <t>[Threaded comment]
Your version of Excel allows you to read this threaded comment; however, any edits to it will get removed if the file is opened in a newer version of Excel. Learn more: https://go.microsoft.com/fwlink/?linkid=870924
Comment:
    Can we get number censored from Figure 3 as it gives number at risk and number diagnosed with lung cancer?
Reply:
    I'm not sure it is completely correct. Fig 3 only reports up until 7 years of FU, whereas incidence was established in a median of just over 7 years
Reply:
    Think I made this comment before Adam suggested only to put a number here, if we don't have person-year or median (IQR, range) follow-up time. So, think we can leave as NR.</t>
      </text>
    </comment>
    <comment ref="AA366" authorId="65" shapeId="0" xr:uid="{57D619CC-AEC3-478B-98C8-4E500E1C39CA}">
      <text>
        <t>[Threaded comment]
Your version of Excel allows you to read this threaded comment; however, any edits to it will get removed if the file is opened in a newer version of Excel. Learn more: https://go.microsoft.com/fwlink/?linkid=870924
Comment:
    Can we get number censored from Figure 3 as it gives number at risk and number diagnosed with lung cancer?
Reply:
    I'm not sure it is completely correct. Fig 3 only reports up until 7 years of FU, whereas incidence was established in a median of just over 7 years
Reply:
    Think I made this comment before Adam suggested only to put a number here, if we don't have person-year or median (IQR, range) follow-up time. So, think we can leave as NR.</t>
      </text>
    </comment>
    <comment ref="AA367" authorId="66" shapeId="0" xr:uid="{89E1EDE1-D1AB-4373-A9A4-E1ADF6328934}">
      <text>
        <t>[Threaded comment]
Your version of Excel allows you to read this threaded comment; however, any edits to it will get removed if the file is opened in a newer version of Excel. Learn more: https://go.microsoft.com/fwlink/?linkid=870924
Comment:
    Can we get number censored from Figure 3 as it gives number at risk and number diagnosed with lung cancer?
Reply:
    I'm not sure it is completely correct. Fig 3 only reports up until 7 years of FU, whereas incidence was established in a median of just over 7 years
Reply:
    Think I made this comment before Adam suggested only to put a number here, if we don't have person-year or median (IQR, range) follow-up time. So, think we can leave as NR.</t>
      </text>
    </comment>
    <comment ref="AH367" authorId="67" shapeId="0" xr:uid="{5D8F5EE9-20DD-44FF-B134-D466FE384409}">
      <text>
        <t>[Threaded comment]
Your version of Excel allows you to read this threaded comment; however, any edits to it will get removed if the file is opened in a newer version of Excel. Learn more: https://go.microsoft.com/fwlink/?linkid=870924
Comment:
    Or should it be number of people randomised?
Reply:
    As above (everywhere below in this column)</t>
      </text>
    </comment>
    <comment ref="AA368" authorId="68" shapeId="0" xr:uid="{48B80CF3-1EC3-4ED0-BF84-A319EFCCD67A}">
      <text>
        <t>[Threaded comment]
Your version of Excel allows you to read this threaded comment; however, any edits to it will get removed if the file is opened in a newer version of Excel. Learn more: https://go.microsoft.com/fwlink/?linkid=870924
Comment:
    Can we get number censored from Figure 3 as it gives number at risk and number diagnosed with lung cancer?
Reply:
    I'm not sure it is completely correct. Fig 3 only reports up until 7 years of FU, whereas incidence was established in a median of just over 7 years
Reply:
    Think I made this comment before Adam suggested only to put a number here, if we don't have person-year or median (IQR, range) follow-up time. So, think we can leave as NR.</t>
      </text>
    </comment>
    <comment ref="AH368" authorId="69" shapeId="0" xr:uid="{F514A00D-2FB9-4F67-BAB6-F1A718879DC3}">
      <text>
        <t>[Threaded comment]
Your version of Excel allows you to read this threaded comment; however, any edits to it will get removed if the file is opened in a newer version of Excel. Learn more: https://go.microsoft.com/fwlink/?linkid=870924
Comment:
    Or should it be number of people randomised?
Reply:
    As above (everywhere below in this column)</t>
      </text>
    </comment>
    <comment ref="AA369" authorId="70" shapeId="0" xr:uid="{A54B7282-92AB-4061-84CC-8E2D25935DAD}">
      <text>
        <t>[Threaded comment]
Your version of Excel allows you to read this threaded comment; however, any edits to it will get removed if the file is opened in a newer version of Excel. Learn more: https://go.microsoft.com/fwlink/?linkid=870924
Comment:
    Can we get number censored from Figure 3 as it gives number at risk and number diagnosed with lung cancer?
Reply:
    I'm not sure it is completely correct. Fig 3 only reports up until 7 years of FU, whereas incidence was established in a median of just over 7 years
Reply:
    Think I made this comment before Adam suggested only to put a number here, if we don't have person-year or median (IQR, range) follow-up time. So, think we can leave as NR.</t>
      </text>
    </comment>
    <comment ref="AH369" authorId="71" shapeId="0" xr:uid="{EB99752F-DB3F-4DA5-9C2B-986F479C6652}">
      <text>
        <t>[Threaded comment]
Your version of Excel allows you to read this threaded comment; however, any edits to it will get removed if the file is opened in a newer version of Excel. Learn more: https://go.microsoft.com/fwlink/?linkid=870924
Comment:
    Or should it be number of people randomised?
Reply:
    As above (everywhere below in this column)</t>
      </text>
    </comment>
    <comment ref="AA370" authorId="72" shapeId="0" xr:uid="{F4C2E280-D363-4DBF-A77F-3B452F3780E0}">
      <text>
        <t>[Threaded comment]
Your version of Excel allows you to read this threaded comment; however, any edits to it will get removed if the file is opened in a newer version of Excel. Learn more: https://go.microsoft.com/fwlink/?linkid=870924
Comment:
    Can we get number censored from Figure 3 as it gives number at risk and number diagnosed with lung cancer?
Reply:
    I'm not sure it is completely correct. Fig 3 only reports up until 7 years of FU, whereas incidence was established in a median of just over 7 years
Reply:
    Think I made this comment before Adam suggested only to put a number here, if we don't have person-year or median (IQR, range) follow-up time. So, think we can leave as NR.</t>
      </text>
    </comment>
    <comment ref="AA371" authorId="73" shapeId="0" xr:uid="{F0D7AAA9-67F6-4B39-93D9-C2F45FDBA00C}">
      <text>
        <t>[Threaded comment]
Your version of Excel allows you to read this threaded comment; however, any edits to it will get removed if the file is opened in a newer version of Excel. Learn more: https://go.microsoft.com/fwlink/?linkid=870924
Comment:
    Can we get number censored from Figure 3 as it gives number at risk and number diagnosed with lung cancer?
Reply:
    I'm not sure it is completely correct. Fig 3 only reports up until 7 years of FU, whereas incidence was established in a median of just over 7 years
Reply:
    Think I made this comment before Adam suggested only to put a number here, if we don't have person-year or median (IQR, range) follow-up time. So, think we can leave as NR.</t>
      </text>
    </comment>
    <comment ref="AA372" authorId="74" shapeId="0" xr:uid="{E5471728-2B87-45FE-913F-DA882A79E93C}">
      <text>
        <t>[Threaded comment]
Your version of Excel allows you to read this threaded comment; however, any edits to it will get removed if the file is opened in a newer version of Excel. Learn more: https://go.microsoft.com/fwlink/?linkid=870924
Comment:
    Can we get number censored from Figure 3 as it gives number at risk and number diagnosed with lung cancer?
Reply:
    I'm not sure it is completely correct. Fig 3 only reports up until 7 years of FU, whereas incidence was established in a median of just over 7 years
Reply:
    Think I made this comment before Adam suggested only to put a number here, if we don't have person-year or median (IQR, range) follow-up time. So, think we can leave as NR.</t>
      </text>
    </comment>
    <comment ref="AA373" authorId="75" shapeId="0" xr:uid="{9B87B891-A4F6-4429-88D2-4CD0A4003DB9}">
      <text>
        <t>[Threaded comment]
Your version of Excel allows you to read this threaded comment; however, any edits to it will get removed if the file is opened in a newer version of Excel. Learn more: https://go.microsoft.com/fwlink/?linkid=870924
Comment:
    Can we get number censored from Figure 3 as it gives number at risk and number diagnosed with lung cancer?
Reply:
    I'm not sure it is completely correct. Fig 3 only reports up until 7 years of FU, whereas incidence was established in a median of just over 7 years
Reply:
    Think I made this comment before Adam suggested only to put a number here, if we don't have person-year or median (IQR, range) follow-up time. So, think we can leave as NR.</t>
      </text>
    </comment>
    <comment ref="AH373" authorId="76" shapeId="0" xr:uid="{66DBECA4-FAEC-4915-8336-B1A345E9C9F0}">
      <text>
        <t>[Threaded comment]
Your version of Excel allows you to read this threaded comment; however, any edits to it will get removed if the file is opened in a newer version of Excel. Learn more: https://go.microsoft.com/fwlink/?linkid=870924
Comment:
    Or should it be number of people randomised?
Reply:
    As above (everywhere below in this column)</t>
      </text>
    </comment>
    <comment ref="AA374" authorId="77" shapeId="0" xr:uid="{FA493FDB-B08A-41C2-AACD-C89016380C72}">
      <text>
        <t>[Threaded comment]
Your version of Excel allows you to read this threaded comment; however, any edits to it will get removed if the file is opened in a newer version of Excel. Learn more: https://go.microsoft.com/fwlink/?linkid=870924
Comment:
    Can we get number censored from Figure 3 as it gives number at risk and number diagnosed with lung cancer?
Reply:
    I'm not sure it is completely correct. Fig 3 only reports up until 7 years of FU, whereas incidence was established in a median of just over 7 years
Reply:
    Think I made this comment before Adam suggested only to put a number here, if we don't have person-year or median (IQR, range) follow-up time. So, think we can leave as NR.</t>
      </text>
    </comment>
    <comment ref="AH374" authorId="78" shapeId="0" xr:uid="{D05F520D-EA4C-455B-A0BF-E8EAAB61FD32}">
      <text>
        <t>[Threaded comment]
Your version of Excel allows you to read this threaded comment; however, any edits to it will get removed if the file is opened in a newer version of Excel. Learn more: https://go.microsoft.com/fwlink/?linkid=870924
Comment:
    Or should it be number of people randomised?
Reply:
    As above (everywhere below in this column)</t>
      </text>
    </comment>
    <comment ref="AA375" authorId="79" shapeId="0" xr:uid="{3D81D527-C1B5-447F-B053-3EC3902227C8}">
      <text>
        <t>[Threaded comment]
Your version of Excel allows you to read this threaded comment; however, any edits to it will get removed if the file is opened in a newer version of Excel. Learn more: https://go.microsoft.com/fwlink/?linkid=870924
Comment:
    Can we get number censored from Figure 3 as it gives number at risk and number diagnosed with lung cancer?
Reply:
    I'm not sure it is completely correct. Fig 3 only reports up until 7 years of FU, whereas incidence was established in a median of just over 7 years
Reply:
    Think I made this comment before Adam suggested only to put a number here, if we don't have person-year or median (IQR, range) follow-up time. So, think we can leave as NR.</t>
      </text>
    </comment>
    <comment ref="AH375" authorId="80" shapeId="0" xr:uid="{8033EB26-81A0-44EE-ABFD-7C44E197AC36}">
      <text>
        <t>[Threaded comment]
Your version of Excel allows you to read this threaded comment; however, any edits to it will get removed if the file is opened in a newer version of Excel. Learn more: https://go.microsoft.com/fwlink/?linkid=870924
Comment:
    Or should it be number of people randomised?
Reply:
    As above (everywhere below in this column)</t>
      </text>
    </comment>
    <comment ref="AA376" authorId="81" shapeId="0" xr:uid="{762EB3F8-9660-48FC-9B56-529711CF4A6D}">
      <text>
        <t>[Threaded comment]
Your version of Excel allows you to read this threaded comment; however, any edits to it will get removed if the file is opened in a newer version of Excel. Learn more: https://go.microsoft.com/fwlink/?linkid=870924
Comment:
    Can we get number censored from Figure 3 as it gives number at risk and number diagnosed with lung cancer?
Reply:
    I'm not sure it is completely correct. Fig 3 only reports up until 7 years of FU, whereas incidence was established in a median of just over 7 years
Reply:
    Think I made this comment before Adam suggested only to put a number here, if we don't have person-year or median (IQR, range) follow-up time. So, think we can leave as NR.</t>
      </text>
    </comment>
    <comment ref="AA377" authorId="82" shapeId="0" xr:uid="{78BE6850-C2F7-43CB-B0DF-4B2463CB4E09}">
      <text>
        <t>[Threaded comment]
Your version of Excel allows you to read this threaded comment; however, any edits to it will get removed if the file is opened in a newer version of Excel. Learn more: https://go.microsoft.com/fwlink/?linkid=870924
Comment:
    Can we get number censored from Figure 3 as it gives number at risk and number diagnosed with lung cancer?
Reply:
    I'm not sure it is completely correct. Fig 3 only reports up until 7 years of FU, whereas incidence was established in a median of just over 7 years
Reply:
    Think I made this comment before Adam suggested only to put a number here, if we don't have person-year or median (IQR, range) follow-up time. So, think we can leave as NR.</t>
      </text>
    </comment>
    <comment ref="AA378" authorId="83" shapeId="0" xr:uid="{777CD94B-D251-4A86-89C2-7F061C85E8CF}">
      <text>
        <t>[Threaded comment]
Your version of Excel allows you to read this threaded comment; however, any edits to it will get removed if the file is opened in a newer version of Excel. Learn more: https://go.microsoft.com/fwlink/?linkid=870924
Comment:
    Can we get number censored from Figure 3 as it gives number at risk and number diagnosed with lung cancer?
Reply:
    I'm not sure it is completely correct. Fig 3 only reports up until 7 years of FU, whereas incidence was established in a median of just over 7 years
Reply:
    Think I made this comment before Adam suggested only to put a number here, if we don't have person-year or median (IQR, range) follow-up time. So, think we can leave as NR.</t>
      </text>
    </comment>
    <comment ref="AA379" authorId="84" shapeId="0" xr:uid="{CBC82188-86E1-4318-BF79-B29C1536D73E}">
      <text>
        <t>[Threaded comment]
Your version of Excel allows you to read this threaded comment; however, any edits to it will get removed if the file is opened in a newer version of Excel. Learn more: https://go.microsoft.com/fwlink/?linkid=870924
Comment:
    Can we get number censored from Figure 3 as it gives number at risk and number diagnosed with lung cancer?
Reply:
    I'm not sure it is completely correct. Fig 3 only reports up until 7 years of FU, whereas incidence was established in a median of just over 7 years
Reply:
    Think I made this comment before Adam suggested only to put a number here, if we don't have person-year or median (IQR, range) follow-up time. So, think we can leave as NR.</t>
      </text>
    </comment>
    <comment ref="AH379" authorId="85" shapeId="0" xr:uid="{9850C949-8035-4478-9E53-2269CD983BC4}">
      <text>
        <t>[Threaded comment]
Your version of Excel allows you to read this threaded comment; however, any edits to it will get removed if the file is opened in a newer version of Excel. Learn more: https://go.microsoft.com/fwlink/?linkid=870924
Comment:
    Or should it be number of people randomised?
Reply:
    As above (everywhere below in this column)</t>
      </text>
    </comment>
    <comment ref="AA380" authorId="86" shapeId="0" xr:uid="{85CCB87F-66E3-4292-8AF6-D79CC8E05E10}">
      <text>
        <t>[Threaded comment]
Your version of Excel allows you to read this threaded comment; however, any edits to it will get removed if the file is opened in a newer version of Excel. Learn more: https://go.microsoft.com/fwlink/?linkid=870924
Comment:
    Can we get number censored from Figure 3 as it gives number at risk and number diagnosed with lung cancer?
Reply:
    I'm not sure it is completely correct. Fig 3 only reports up until 7 years of FU, whereas incidence was established in a median of just over 7 years
Reply:
    Think I made this comment before Adam suggested only to put a number here, if we don't have person-year or median (IQR, range) follow-up time. So, think we can leave as NR.</t>
      </text>
    </comment>
    <comment ref="AH381" authorId="87" shapeId="0" xr:uid="{E48C0DEC-23BF-4E01-9B23-906F5DA7F023}">
      <text>
        <t>[Threaded comment]
Your version of Excel allows you to read this threaded comment; however, any edits to it will get removed if the file is opened in a newer version of Excel. Learn more: https://go.microsoft.com/fwlink/?linkid=870924
Comment:
    Or should it be number of people randomised?
Reply:
    As above (everywhere below in this column)</t>
      </text>
    </comment>
    <comment ref="BA382" authorId="88" shapeId="0" xr:uid="{3DC1E510-6A6A-4722-A1E9-F5B86DE00326}">
      <text>
        <t>[Threaded comment]
Your version of Excel allows you to read this threaded comment; however, any edits to it will get removed if the file is opened in a newer version of Excel. Learn more: https://go.microsoft.com/fwlink/?linkid=870924
Comment:
    0.005
Reply:
    Corrected.</t>
      </text>
    </comment>
    <comment ref="AH383" authorId="89" shapeId="0" xr:uid="{D19843F2-FD2A-4C51-8806-3A28BEAA9730}">
      <text>
        <t>[Threaded comment]
Your version of Excel allows you to read this threaded comment; however, any edits to it will get removed if the file is opened in a newer version of Excel. Learn more: https://go.microsoft.com/fwlink/?linkid=870924
Comment:
    Or should it be number of people randomised?
Reply:
    As above (everywhere below in this column)</t>
      </text>
    </comment>
    <comment ref="AH384" authorId="90" shapeId="0" xr:uid="{1BC03B13-D509-4CB7-AC0A-5C7036E29513}">
      <text>
        <t>[Threaded comment]
Your version of Excel allows you to read this threaded comment; however, any edits to it will get removed if the file is opened in a newer version of Excel. Learn more: https://go.microsoft.com/fwlink/?linkid=870924
Comment:
    Or should it be number of people randomised?
Reply:
    As above (everywhere below in this column)</t>
      </text>
    </comment>
    <comment ref="AH385" authorId="91" shapeId="0" xr:uid="{541D72F6-78CD-400B-B7B0-BD4FB03E3203}">
      <text>
        <t>[Threaded comment]
Your version of Excel allows you to read this threaded comment; however, any edits to it will get removed if the file is opened in a newer version of Excel. Learn more: https://go.microsoft.com/fwlink/?linkid=870924
Comment:
    Or should it be number of people randomised?
Reply:
    As above (everywhere below in this column)</t>
      </text>
    </comment>
    <comment ref="AH386" authorId="92" shapeId="0" xr:uid="{A07C12FD-1FA5-490A-B382-8D49D9858B4F}">
      <text>
        <t>[Threaded comment]
Your version of Excel allows you to read this threaded comment; however, any edits to it will get removed if the file is opened in a newer version of Excel. Learn more: https://go.microsoft.com/fwlink/?linkid=870924
Comment:
    Or should it be number of people randomised?
Reply:
    As above (everywhere below in this column)</t>
      </text>
    </comment>
    <comment ref="AH388" authorId="93" shapeId="0" xr:uid="{E39B7618-2AD1-4349-A0A8-0D80D747F9BD}">
      <text>
        <t>[Threaded comment]
Your version of Excel allows you to read this threaded comment; however, any edits to it will get removed if the file is opened in a newer version of Excel. Learn more: https://go.microsoft.com/fwlink/?linkid=870924
Comment:
    Or should it be number of people randomised?
Reply:
    As above (everywhere below in this column)</t>
      </text>
    </comment>
    <comment ref="AH389" authorId="94" shapeId="0" xr:uid="{58474EC7-C4DC-4350-A3CE-E1A548A5F685}">
      <text>
        <t>[Threaded comment]
Your version of Excel allows you to read this threaded comment; however, any edits to it will get removed if the file is opened in a newer version of Excel. Learn more: https://go.microsoft.com/fwlink/?linkid=870924
Comment:
    Or should it be number of people randomised?
Reply:
    As above (everywhere below in this column)</t>
      </text>
    </comment>
    <comment ref="AH391" authorId="95" shapeId="0" xr:uid="{B0DDF14D-FF08-4A92-B1B3-0E221E40A6D6}">
      <text>
        <t>[Threaded comment]
Your version of Excel allows you to read this threaded comment; however, any edits to it will get removed if the file is opened in a newer version of Excel. Learn more: https://go.microsoft.com/fwlink/?linkid=870924
Comment:
    Or should it be number of people randomised?
Reply:
    As above (everywhere below in this column)</t>
      </text>
    </comment>
    <comment ref="AK393" authorId="96" shapeId="0" xr:uid="{476937D8-FAEE-4FB4-BF27-F00376834D66}">
      <text>
        <t>[Threaded comment]
Your version of Excel allows you to read this threaded comment; however, any edits to it will get removed if the file is opened in a newer version of Excel. Learn more: https://go.microsoft.com/fwlink/?linkid=870924
Comment:
    2554+1158?
Reply:
    Corrected.</t>
      </text>
    </comment>
    <comment ref="Y394" authorId="97" shapeId="0" xr:uid="{29664A04-B2DC-4EA6-AA5F-A54645D6D96D}">
      <text>
        <t>[Threaded comment]
Your version of Excel allows you to read this threaded comment; however, any edits to it will get removed if the file is opened in a newer version of Excel. Learn more: https://go.microsoft.com/fwlink/?linkid=870924
Comment:
    2554+1158?
Reply:
    Corrected.</t>
      </text>
    </comment>
    <comment ref="Y395" authorId="98" shapeId="0" xr:uid="{815A5B0E-AA5D-45FC-9231-7C4574927639}">
      <text>
        <t>[Threaded comment]
Your version of Excel allows you to read this threaded comment; however, any edits to it will get removed if the file is opened in a newer version of Excel. Learn more: https://go.microsoft.com/fwlink/?linkid=870924
Comment:
    As above</t>
      </text>
    </comment>
    <comment ref="AK395" authorId="99" shapeId="0" xr:uid="{3D6D8014-4521-4888-9A26-E556680C3408}">
      <text>
        <t>[Threaded comment]
Your version of Excel allows you to read this threaded comment; however, any edits to it will get removed if the file is opened in a newer version of Excel. Learn more: https://go.microsoft.com/fwlink/?linkid=870924
Comment:
    2554+1158?
Reply:
    Agree.</t>
      </text>
    </comment>
    <comment ref="Y396" authorId="100" shapeId="0" xr:uid="{D766E4E3-1BE9-4A49-B1FA-578AD5308D40}">
      <text>
        <t>[Threaded comment]
Your version of Excel allows you to read this threaded comment; however, any edits to it will get removed if the file is opened in a newer version of Excel. Learn more: https://go.microsoft.com/fwlink/?linkid=870924
Comment:
    As above</t>
      </text>
    </comment>
    <comment ref="AL396" authorId="101" shapeId="0" xr:uid="{E9EE6C47-2272-49B5-85A7-A7B0A5F7B245}">
      <text>
        <t>[Threaded comment]
Your version of Excel allows you to read this threaded comment; however, any edits to it will get removed if the file is opened in a newer version of Excel. Learn more: https://go.microsoft.com/fwlink/?linkid=870924
Comment:
    In Table 1, the same number of person-years is used as denominator for cancer incidence as well as for mortality.
Reply:
    OK</t>
      </text>
    </comment>
    <comment ref="AK397" authorId="102" shapeId="0" xr:uid="{BD74DA12-8CA1-4EF1-B301-01669299525D}">
      <text>
        <t>[Threaded comment]
Your version of Excel allows you to read this threaded comment; however, any edits to it will get removed if the file is opened in a newer version of Excel. Learn more: https://go.microsoft.com/fwlink/?linkid=870924
Comment:
    As above</t>
      </text>
    </comment>
    <comment ref="AL398" authorId="103" shapeId="0" xr:uid="{00A6E773-4552-4417-9594-305A984E8726}">
      <text>
        <t>[Threaded comment]
Your version of Excel allows you to read this threaded comment; however, any edits to it will get removed if the file is opened in a newer version of Excel. Learn more: https://go.microsoft.com/fwlink/?linkid=870924
Comment:
    In Table 1, the same number of person-years is used as denominator for cancer incidence as well as for mortality.</t>
      </text>
    </comment>
    <comment ref="AK399" authorId="104" shapeId="0" xr:uid="{DC1C629D-1C14-4AE4-9483-B33AED2609A7}">
      <text>
        <t>[Threaded comment]
Your version of Excel allows you to read this threaded comment; however, any edits to it will get removed if the file is opened in a newer version of Excel. Learn more: https://go.microsoft.com/fwlink/?linkid=870924
Comment:
    As above</t>
      </text>
    </comment>
    <comment ref="AL400" authorId="105" shapeId="0" xr:uid="{F798A48A-F2B5-4BEA-AFDD-0CC797238ACA}">
      <text>
        <t>[Threaded comment]
Your version of Excel allows you to read this threaded comment; however, any edits to it will get removed if the file is opened in a newer version of Excel. Learn more: https://go.microsoft.com/fwlink/?linkid=870924
Comment:
    In Table 1, the same number of person-years is used as denominator for cancer incidence as well as for mortality.</t>
      </text>
    </comment>
    <comment ref="P401" authorId="106" shapeId="0" xr:uid="{91EEFF15-84BA-4220-A264-155AEB4FF5F5}">
      <text>
        <t>[Threaded comment]
Your version of Excel allows you to read this threaded comment; however, any edits to it will get removed if the file is opened in a newer version of Excel. Learn more: https://go.microsoft.com/fwlink/?linkid=870924
Comment:
    #3?
Reply:
    Corrected.</t>
      </text>
    </comment>
    <comment ref="P405" authorId="107" shapeId="0" xr:uid="{B7E7D48B-E9A9-4531-9367-15087F2C3013}">
      <text>
        <t>[Threaded comment]
Your version of Excel allows you to read this threaded comment; however, any edits to it will get removed if the file is opened in a newer version of Excel. Learn more: https://go.microsoft.com/fwlink/?linkid=870924
Comment:
    #5?
Reply:
    Corrected.</t>
      </text>
    </comment>
    <comment ref="P412" authorId="108" shapeId="0" xr:uid="{621C8942-B48B-4BBB-8118-0E4DA9E39683}">
      <text>
        <t>[Threaded comment]
Your version of Excel allows you to read this threaded comment; however, any edits to it will get removed if the file is opened in a newer version of Excel. Learn more: https://go.microsoft.com/fwlink/?linkid=870924
Comment:
    #3?
Reply:
    Yeah… sorry. Forgot to change it after copying.</t>
      </text>
    </comment>
    <comment ref="BF413" authorId="109" shapeId="0" xr:uid="{A83725AA-EC6D-4982-81EC-2EB52C1EE685}">
      <text>
        <t>[Threaded comment]
Your version of Excel allows you to read this threaded comment; however, any edits to it will get removed if the file is opened in a newer version of Excel. Learn more: https://go.microsoft.com/fwlink/?linkid=870924
Comment:
    Table 2 rather than Table 1 ☺️
Reply:
    Corrected.</t>
      </text>
    </comment>
    <comment ref="Z415" authorId="110" shapeId="0" xr:uid="{55840A2B-5079-4AF9-BBBD-B4BAD610FD6C}">
      <text>
        <t>[Threaded comment]
Your version of Excel allows you to read this threaded comment; however, any edits to it will get removed if the file is opened in a newer version of Excel. Learn more: https://go.microsoft.com/fwlink/?linkid=870924
Comment:
    13 could not be linked to national registries.</t>
      </text>
    </comment>
    <comment ref="AL415" authorId="111" shapeId="0" xr:uid="{15252509-128D-4F88-8857-4DB32E7635D4}">
      <text>
        <t>[Threaded comment]
Your version of Excel allows you to read this threaded comment; however, any edits to it will get removed if the file is opened in a newer version of Excel. Learn more: https://go.microsoft.com/fwlink/?linkid=870924
Comment:
    13 could not be linked to national registries.</t>
      </text>
    </comment>
    <comment ref="Z416" authorId="112" shapeId="0" xr:uid="{9785B0D5-652B-4322-AEF0-379FB6423CCC}">
      <text>
        <t>[Threaded comment]
Your version of Excel allows you to read this threaded comment; however, any edits to it will get removed if the file is opened in a newer version of Excel. Learn more: https://go.microsoft.com/fwlink/?linkid=870924
Comment:
    13 could not be linked to national registries.</t>
      </text>
    </comment>
    <comment ref="AL416" authorId="113" shapeId="0" xr:uid="{737A82D3-EFAA-4D3E-927C-3B7FA5954B52}">
      <text>
        <t>[Threaded comment]
Your version of Excel allows you to read this threaded comment; however, any edits to it will get removed if the file is opened in a newer version of Excel. Learn more: https://go.microsoft.com/fwlink/?linkid=870924
Comment:
    13 could not be linked to national registries.</t>
      </text>
    </comment>
    <comment ref="Z417" authorId="114" shapeId="0" xr:uid="{C1EB108B-8CAD-4D0E-8585-8C35E71A9942}">
      <text>
        <t>[Threaded comment]
Your version of Excel allows you to read this threaded comment; however, any edits to it will get removed if the file is opened in a newer version of Excel. Learn more: https://go.microsoft.com/fwlink/?linkid=870924
Comment:
    13 could not be linked to national registries.</t>
      </text>
    </comment>
    <comment ref="AL417" authorId="115" shapeId="0" xr:uid="{DD210AAD-DA4D-420B-A4DB-E48A21592728}">
      <text>
        <t>[Threaded comment]
Your version of Excel allows you to read this threaded comment; however, any edits to it will get removed if the file is opened in a newer version of Excel. Learn more: https://go.microsoft.com/fwlink/?linkid=870924
Comment:
    13 could not be linked to national registries.</t>
      </text>
    </comment>
    <comment ref="Z418" authorId="116" shapeId="0" xr:uid="{8C96CE27-C67B-4E79-97F2-83C3C850838B}">
      <text>
        <t>[Threaded comment]
Your version of Excel allows you to read this threaded comment; however, any edits to it will get removed if the file is opened in a newer version of Excel. Learn more: https://go.microsoft.com/fwlink/?linkid=870924
Comment:
    13 could not be linked to national registries.</t>
      </text>
    </comment>
    <comment ref="AL418" authorId="117" shapeId="0" xr:uid="{10D3DDA0-11AD-4CE0-87C5-0A05EA16EA5A}">
      <text>
        <t>[Threaded comment]
Your version of Excel allows you to read this threaded comment; however, any edits to it will get removed if the file is opened in a newer version of Excel. Learn more: https://go.microsoft.com/fwlink/?linkid=870924
Comment:
    13 could not be linked to national registries.</t>
      </text>
    </comment>
    <comment ref="Z419" authorId="118" shapeId="0" xr:uid="{8E1A7234-0CC4-420C-A343-49EC3E7B19D6}">
      <text>
        <t>[Threaded comment]
Your version of Excel allows you to read this threaded comment; however, any edits to it will get removed if the file is opened in a newer version of Excel. Learn more: https://go.microsoft.com/fwlink/?linkid=870924
Comment:
    13 could not be linked to national registries.</t>
      </text>
    </comment>
    <comment ref="AL419" authorId="119" shapeId="0" xr:uid="{00A12A8C-FF93-45BA-9F8A-C45291E5E794}">
      <text>
        <t>[Threaded comment]
Your version of Excel allows you to read this threaded comment; however, any edits to it will get removed if the file is opened in a newer version of Excel. Learn more: https://go.microsoft.com/fwlink/?linkid=870924
Comment:
    13 could not be linked to national registries.</t>
      </text>
    </comment>
    <comment ref="Z420" authorId="120" shapeId="0" xr:uid="{B4EFA908-EA8B-4E3A-B6A3-7DF0C02719FD}">
      <text>
        <t>[Threaded comment]
Your version of Excel allows you to read this threaded comment; however, any edits to it will get removed if the file is opened in a newer version of Excel. Learn more: https://go.microsoft.com/fwlink/?linkid=870924
Comment:
    13 could not be linked to national registries.</t>
      </text>
    </comment>
    <comment ref="AL420" authorId="121" shapeId="0" xr:uid="{13323DE9-AD7A-4647-9469-523555943155}">
      <text>
        <t>[Threaded comment]
Your version of Excel allows you to read this threaded comment; however, any edits to it will get removed if the file is opened in a newer version of Excel. Learn more: https://go.microsoft.com/fwlink/?linkid=870924
Comment:
    13 could not be linked to national registries.</t>
      </text>
    </comment>
    <comment ref="Z421" authorId="122" shapeId="0" xr:uid="{C31CE5F0-3DE3-4F7B-99C6-48A55A70BB76}">
      <text>
        <t>[Threaded comment]
Your version of Excel allows you to read this threaded comment; however, any edits to it will get removed if the file is opened in a newer version of Excel. Learn more: https://go.microsoft.com/fwlink/?linkid=870924
Comment:
    13 could not be linked to national registries.</t>
      </text>
    </comment>
    <comment ref="AL421" authorId="123" shapeId="0" xr:uid="{5ABDA025-9DE9-4739-AA52-92AF57570959}">
      <text>
        <t>[Threaded comment]
Your version of Excel allows you to read this threaded comment; however, any edits to it will get removed if the file is opened in a newer version of Excel. Learn more: https://go.microsoft.com/fwlink/?linkid=870924
Comment:
    13 could not be linked to national registries.</t>
      </text>
    </comment>
    <comment ref="Z422" authorId="124" shapeId="0" xr:uid="{53FFA43F-F427-4571-A2ED-563415D28A3D}">
      <text>
        <t>[Threaded comment]
Your version of Excel allows you to read this threaded comment; however, any edits to it will get removed if the file is opened in a newer version of Excel. Learn more: https://go.microsoft.com/fwlink/?linkid=870924
Comment:
    13 could not be linked to national registries.</t>
      </text>
    </comment>
    <comment ref="AL422" authorId="125" shapeId="0" xr:uid="{9110CE2D-5731-4D85-94F4-6EE73521BC93}">
      <text>
        <t>[Threaded comment]
Your version of Excel allows you to read this threaded comment; however, any edits to it will get removed if the file is opened in a newer version of Excel. Learn more: https://go.microsoft.com/fwlink/?linkid=870924
Comment:
    13 could not be linked to national registries.</t>
      </text>
    </comment>
    <comment ref="Z423" authorId="126" shapeId="0" xr:uid="{12B59497-9DF3-476C-9C25-4673B192741F}">
      <text>
        <t>[Threaded comment]
Your version of Excel allows you to read this threaded comment; however, any edits to it will get removed if the file is opened in a newer version of Excel. Learn more: https://go.microsoft.com/fwlink/?linkid=870924
Comment:
    13 could not be linked to national registries.</t>
      </text>
    </comment>
    <comment ref="AL423" authorId="127" shapeId="0" xr:uid="{FAAEF872-ED06-4EFF-AE6E-327F08A57639}">
      <text>
        <t>[Threaded comment]
Your version of Excel allows you to read this threaded comment; however, any edits to it will get removed if the file is opened in a newer version of Excel. Learn more: https://go.microsoft.com/fwlink/?linkid=870924
Comment:
    13 could not be linked to national registries.</t>
      </text>
    </comment>
    <comment ref="Z424" authorId="128" shapeId="0" xr:uid="{224B6811-966A-458F-87FA-323A2E1DFF57}">
      <text>
        <t>[Threaded comment]
Your version of Excel allows you to read this threaded comment; however, any edits to it will get removed if the file is opened in a newer version of Excel. Learn more: https://go.microsoft.com/fwlink/?linkid=870924
Comment:
    13 could not be linked to national registries.</t>
      </text>
    </comment>
    <comment ref="AL424" authorId="129" shapeId="0" xr:uid="{008D131D-A449-45DB-AD49-2B2B7FE9989C}">
      <text>
        <t>[Threaded comment]
Your version of Excel allows you to read this threaded comment; however, any edits to it will get removed if the file is opened in a newer version of Excel. Learn more: https://go.microsoft.com/fwlink/?linkid=870924
Comment:
    13 could not be linked to national registries.</t>
      </text>
    </comment>
    <comment ref="Z425" authorId="130" shapeId="0" xr:uid="{5A182455-3A52-437E-AA8E-AF721C3F191F}">
      <text>
        <t>[Threaded comment]
Your version of Excel allows you to read this threaded comment; however, any edits to it will get removed if the file is opened in a newer version of Excel. Learn more: https://go.microsoft.com/fwlink/?linkid=870924
Comment:
    13 could not be linked to national registries.</t>
      </text>
    </comment>
    <comment ref="AL425" authorId="131" shapeId="0" xr:uid="{D2B5AC06-26D0-4864-AA6F-29FD9DE0BCE9}">
      <text>
        <t>[Threaded comment]
Your version of Excel allows you to read this threaded comment; however, any edits to it will get removed if the file is opened in a newer version of Excel. Learn more: https://go.microsoft.com/fwlink/?linkid=870924
Comment:
    13 could not be linked to national registries.</t>
      </text>
    </comment>
    <comment ref="Z426" authorId="132" shapeId="0" xr:uid="{205A53F2-B423-4763-8C90-0CEB8DFB02DA}">
      <text>
        <t>[Threaded comment]
Your version of Excel allows you to read this threaded comment; however, any edits to it will get removed if the file is opened in a newer version of Excel. Learn more: https://go.microsoft.com/fwlink/?linkid=870924
Comment:
    13 could not be linked to national registries.</t>
      </text>
    </comment>
    <comment ref="AL426" authorId="133" shapeId="0" xr:uid="{5E3EDD4B-4299-4FBE-B6CC-03E4E9648B03}">
      <text>
        <t>[Threaded comment]
Your version of Excel allows you to read this threaded comment; however, any edits to it will get removed if the file is opened in a newer version of Excel. Learn more: https://go.microsoft.com/fwlink/?linkid=870924
Comment:
    13 could not be linked to national registries.</t>
      </text>
    </comment>
    <comment ref="D430" authorId="134" shapeId="0" xr:uid="{49527B3F-4E12-4398-913E-A40DCA437C0E}">
      <text>
        <t>[Threaded comment]
Your version of Excel allows you to read this threaded comment; however, any edits to it will get removed if the file is opened in a newer version of Excel. Learn more: https://go.microsoft.com/fwlink/?linkid=870924
Comment:
    Incidence of invasive cervical cancers used as surrogate 1 and incidence of CIN3/AIS as surrogate 4.
Reply:
    I agree</t>
      </text>
    </comment>
    <comment ref="S433" authorId="135" shapeId="0" xr:uid="{320D8E6A-68B9-4079-A7F7-9AC0346B1C7E}">
      <text>
        <t>[Threaded comment]
Your version of Excel allows you to read this threaded comment; however, any edits to it will get removed if the file is opened in a newer version of Excel. Learn more: https://go.microsoft.com/fwlink/?linkid=870924
Comment:
    602,152.3 PY / 75,360???</t>
      </text>
    </comment>
    <comment ref="T433" authorId="136" shapeId="0" xr:uid="{7B24BF47-141C-4DAA-8380-5C5F30FD5796}">
      <text>
        <t>[Threaded comment]
Your version of Excel allows you to read this threaded comment; however, any edits to it will get removed if the file is opened in a newer version of Excel. Learn more: https://go.microsoft.com/fwlink/?linkid=870924
Comment:
    603,811.8 PY / 76,178???</t>
      </text>
    </comment>
    <comment ref="S434" authorId="137" shapeId="0" xr:uid="{70DA3394-0AC0-4E7D-B4F7-78090ACB334D}">
      <text>
        <t>[Threaded comment]
Your version of Excel allows you to read this threaded comment; however, any edits to it will get removed if the file is opened in a newer version of Excel. Learn more: https://go.microsoft.com/fwlink/?linkid=870924
Comment:
    602,152.3 PY / 75,360???</t>
      </text>
    </comment>
    <comment ref="T434" authorId="138" shapeId="0" xr:uid="{4538BE05-4736-4797-A828-697347F355F9}">
      <text>
        <t>[Threaded comment]
Your version of Excel allows you to read this threaded comment; however, any edits to it will get removed if the file is opened in a newer version of Excel. Learn more: https://go.microsoft.com/fwlink/?linkid=870924
Comment:
    603,811.8 PY / 76,178???</t>
      </text>
    </comment>
    <comment ref="S435" authorId="139" shapeId="0" xr:uid="{41C9D011-4CFC-4FDE-850F-2D707226F8D3}">
      <text>
        <t>[Threaded comment]
Your version of Excel allows you to read this threaded comment; however, any edits to it will get removed if the file is opened in a newer version of Excel. Learn more: https://go.microsoft.com/fwlink/?linkid=870924
Comment:
    602,152.3 PY / 75,360???</t>
      </text>
    </comment>
    <comment ref="T435" authorId="140" shapeId="0" xr:uid="{F61E5A55-6542-42A1-9117-251C4468AB3B}">
      <text>
        <t>[Threaded comment]
Your version of Excel allows you to read this threaded comment; however, any edits to it will get removed if the file is opened in a newer version of Excel. Learn more: https://go.microsoft.com/fwlink/?linkid=870924
Comment:
    603,811.8 PY / 76,178???</t>
      </text>
    </comment>
    <comment ref="S436" authorId="141" shapeId="0" xr:uid="{435DD480-5335-4F58-B036-1755BAC84A23}">
      <text>
        <t>[Threaded comment]
Your version of Excel allows you to read this threaded comment; however, any edits to it will get removed if the file is opened in a newer version of Excel. Learn more: https://go.microsoft.com/fwlink/?linkid=870924
Comment:
    602,152.3 PY / 75,360???</t>
      </text>
    </comment>
    <comment ref="T436" authorId="142" shapeId="0" xr:uid="{5A511083-A86A-40A6-8DBF-16DE35824D74}">
      <text>
        <t>[Threaded comment]
Your version of Excel allows you to read this threaded comment; however, any edits to it will get removed if the file is opened in a newer version of Excel. Learn more: https://go.microsoft.com/fwlink/?linkid=870924
Comment:
    603,811.8 PY / 76,178???</t>
      </text>
    </comment>
    <comment ref="S437" authorId="143" shapeId="0" xr:uid="{4E9B6294-3FB9-4B6A-A940-532C9600A41F}">
      <text>
        <t>[Threaded comment]
Your version of Excel allows you to read this threaded comment; however, any edits to it will get removed if the file is opened in a newer version of Excel. Learn more: https://go.microsoft.com/fwlink/?linkid=870924
Comment:
    602,152.3 PY / 75,360???</t>
      </text>
    </comment>
    <comment ref="T437" authorId="144" shapeId="0" xr:uid="{CE53C639-1E95-45D3-BD1D-668AE8EFC5A3}">
      <text>
        <t>[Threaded comment]
Your version of Excel allows you to read this threaded comment; however, any edits to it will get removed if the file is opened in a newer version of Excel. Learn more: https://go.microsoft.com/fwlink/?linkid=870924
Comment:
    603,811.8 PY / 76,178???</t>
      </text>
    </comment>
    <comment ref="AK439" authorId="145" shapeId="0" xr:uid="{C43658C3-2CE2-47D8-AA6D-860B01617AE4}">
      <text>
        <t>[Threaded comment]
Your version of Excel allows you to read this threaded comment; however, any edits to it will get removed if the file is opened in a newer version of Excel. Learn more: https://go.microsoft.com/fwlink/?linkid=870924
Comment:
    Or 198 women: 1 women with bilateral breast cancer.
Reply:
    It's annoying how they report it. I'd say 198 but it could be either
Reply:
    Changed denominator to 198 and numerator to 113.</t>
      </text>
    </comment>
    <comment ref="AK442" authorId="146" shapeId="0" xr:uid="{C2A1EBE5-E5B8-44D1-BB18-B6DF25621C3D}">
      <text>
        <t>[Threaded comment]
Your version of Excel allows you to read this threaded comment; however, any edits to it will get removed if the file is opened in a newer version of Excel. Learn more: https://go.microsoft.com/fwlink/?linkid=870924
Comment:
    Of the 641 women with breast cancer in the screening arm, one had bilateral breast cancer, who was considered only once.
Reply:
    As above - as long as we use a consistent definition throughout the trial</t>
      </text>
    </comment>
    <comment ref="AN442" authorId="147" shapeId="0" xr:uid="{094FA329-8FA5-4BF0-9566-3F32AA006897}">
      <text>
        <t>[Threaded comment]
Your version of Excel allows you to read this threaded comment; however, any edits to it will get removed if the file is opened in a newer version of Excel. Learn more: https://go.microsoft.com/fwlink/?linkid=870924
Comment:
    Excluding 41 cancers with missing stage data.
Reply:
    OK</t>
      </text>
    </comment>
    <comment ref="AR442" authorId="148" shapeId="0" xr:uid="{343C28EC-2D58-453C-8388-4ABB664BA2A3}">
      <text>
        <t>[Threaded comment]
Your version of Excel allows you to read this threaded comment; however, any edits to it will get removed if the file is opened in a newer version of Excel. Learn more: https://go.microsoft.com/fwlink/?linkid=870924
Comment:
    Excluding 73 cancers with missing stage data.
Reply:
    OK</t>
      </text>
    </comment>
    <comment ref="AN447" authorId="149" shapeId="0" xr:uid="{EE8BD21B-F9A6-44CB-AE12-5A6442FAE976}">
      <text>
        <t>[Threaded comment]
Your version of Excel allows you to read this threaded comment; however, any edits to it will get removed if the file is opened in a newer version of Excel. Learn more: https://go.microsoft.com/fwlink/?linkid=870924
Comment:
    Excluding 6 cancers with missing stage data.
Reply:
    OK</t>
      </text>
    </comment>
    <comment ref="AR447" authorId="150" shapeId="0" xr:uid="{8A0214CD-6365-4A87-A1C3-5E694001E5D1}">
      <text>
        <t>[Threaded comment]
Your version of Excel allows you to read this threaded comment; however, any edits to it will get removed if the file is opened in a newer version of Excel. Learn more: https://go.microsoft.com/fwlink/?linkid=870924
Comment:
    Excluding 12 cancers with missing stage data.
Reply:
    OK</t>
      </text>
    </comment>
    <comment ref="AN450" authorId="151" shapeId="0" xr:uid="{D7F4C40F-0810-4CAE-91D9-82E706B26DC7}">
      <text>
        <t>[Threaded comment]
Your version of Excel allows you to read this threaded comment; however, any edits to it will get removed if the file is opened in a newer version of Excel. Learn more: https://go.microsoft.com/fwlink/?linkid=870924
Comment:
    Excluding 35 cancers with missing stage data.
Reply:
    OK</t>
      </text>
    </comment>
    <comment ref="AR450" authorId="152" shapeId="0" xr:uid="{909985ED-AEE8-4DA1-87EF-0AE669F818D3}">
      <text>
        <t>[Threaded comment]
Your version of Excel allows you to read this threaded comment; however, any edits to it will get removed if the file is opened in a newer version of Excel. Learn more: https://go.microsoft.com/fwlink/?linkid=870924
Comment:
    Excluding 61 cancers with missing stage data.
Reply:
    OK</t>
      </text>
    </comment>
    <comment ref="D454" authorId="153" shapeId="0" xr:uid="{75C66235-3489-4348-BB86-8826698B6261}">
      <text>
        <t>[Threaded comment]
Your version of Excel allows you to read this threaded comment; however, any edits to it will get removed if the file is opened in a newer version of Excel. Learn more: https://go.microsoft.com/fwlink/?linkid=870924
Comment:
    Technically, the extracted numbers are correct, but I'm not sure this indicator makes sense. When you add CIN2/3 and cancers, with CIN2/3 almost always being screen-detected (not symptomatic) and their number is (in a normal screening population) much larger than that of cancers, this proportion will not tell you much. It will be very high just because of the nature of CIN rather than tell you whether screening worked or not</t>
      </text>
    </comment>
    <comment ref="D456" authorId="154" shapeId="0" xr:uid="{7474069B-DFA5-4856-84DB-D0C7FB56A982}">
      <text>
        <t>[Threaded comment]
Your version of Excel allows you to read this threaded comment; however, any edits to it will get removed if the file is opened in a newer version of Excel. Learn more: https://go.microsoft.com/fwlink/?linkid=870924
Comment:
    Same as above, this indicator is not really informative though the numbers you extracted are correct</t>
      </text>
    </comment>
    <comment ref="D460" authorId="155" shapeId="0" xr:uid="{58B042CB-CC07-4D8A-872A-DE49E6021CC9}">
      <text>
        <t>[Threaded comment]
Your version of Excel allows you to read this threaded comment; however, any edits to it will get removed if the file is opened in a newer version of Excel. Learn more: https://go.microsoft.com/fwlink/?linkid=870924
Comment:
    Same as above</t>
      </text>
    </comment>
    <comment ref="D462" authorId="156" shapeId="0" xr:uid="{968439E6-4C41-4FDB-A73C-C3E8A69C0488}">
      <text>
        <t>[Threaded comment]
Your version of Excel allows you to read this threaded comment; however, any edits to it will get removed if the file is opened in a newer version of Excel. Learn more: https://go.microsoft.com/fwlink/?linkid=870924
Comment:
    Same as above</t>
      </text>
    </comment>
    <comment ref="D466" authorId="157" shapeId="0" xr:uid="{E0A204F1-C621-4265-AD0D-E7F9A2E993B3}">
      <text>
        <t>[Threaded comment]
Your version of Excel allows you to read this threaded comment; however, any edits to it will get removed if the file is opened in a newer version of Excel. Learn more: https://go.microsoft.com/fwlink/?linkid=870924
Comment:
    Same as above</t>
      </text>
    </comment>
    <comment ref="D468" authorId="158" shapeId="0" xr:uid="{AF696B0A-72DF-4D1E-AB45-0361CD3FAE6A}">
      <text>
        <t>[Threaded comment]
Your version of Excel allows you to read this threaded comment; however, any edits to it will get removed if the file is opened in a newer version of Excel. Learn more: https://go.microsoft.com/fwlink/?linkid=870924
Comment:
    Same as above</t>
      </text>
    </comment>
    <comment ref="AN471" authorId="159" shapeId="0" xr:uid="{E3AD68FF-E90E-40CE-8419-817FC5EF7CCC}">
      <text>
        <t>[Threaded comment]
Your version of Excel allows you to read this threaded comment; however, any edits to it will get removed if the file is opened in a newer version of Excel. Learn more: https://go.microsoft.com/fwlink/?linkid=870924
Comment:
    Think the reported rates are the average of the cluster %.
Reply:
    OK, so perhaps slightly different weighting? We probably won't be able to reconstruct it ourselves as we don't have the necessary data</t>
      </text>
    </comment>
    <comment ref="AN472" authorId="160" shapeId="0" xr:uid="{7C8237A1-0C9C-4645-9A66-B473A7C779CB}">
      <text>
        <t>[Threaded comment]
Your version of Excel allows you to read this threaded comment; however, any edits to it will get removed if the file is opened in a newer version of Excel. Learn more: https://go.microsoft.com/fwlink/?linkid=870924
Comment:
    Think the reported rates are the average of the cluster %.</t>
      </text>
    </comment>
    <comment ref="AR472" authorId="161" shapeId="0" xr:uid="{F858FEF4-CDC6-4FF9-8061-C353CA694EDA}">
      <text>
        <t>[Threaded comment]
Your version of Excel allows you to read this threaded comment; however, any edits to it will get removed if the file is opened in a newer version of Excel. Learn more: https://go.microsoft.com/fwlink/?linkid=870924
Comment:
    Think the reported rates are the average of the cluster %.</t>
      </text>
    </comment>
    <comment ref="AN477" authorId="162" shapeId="0" xr:uid="{A7FB0BAA-589E-4454-8F97-EF5FCB8004E6}">
      <text>
        <t>[Threaded comment]
Your version of Excel allows you to read this threaded comment; however, any edits to it will get removed if the file is opened in a newer version of Excel. Learn more: https://go.microsoft.com/fwlink/?linkid=870924
Comment:
    Think the reported rates are the average of the cluster %.</t>
      </text>
    </comment>
    <comment ref="AN478" authorId="163" shapeId="0" xr:uid="{F78EC3AA-463E-4E2A-ABE4-D2E98527926B}">
      <text>
        <t>[Threaded comment]
Your version of Excel allows you to read this threaded comment; however, any edits to it will get removed if the file is opened in a newer version of Excel. Learn more: https://go.microsoft.com/fwlink/?linkid=870924
Comment:
    Think the reported rates are the average from the 13 clusters (so analysed by cluster, not by women)? Not sure though...</t>
      </text>
    </comment>
    <comment ref="AR478" authorId="164" shapeId="0" xr:uid="{0EEB17F5-EFA1-4EFC-B269-852F20143D11}">
      <text>
        <t>[Threaded comment]
Your version of Excel allows you to read this threaded comment; however, any edits to it will get removed if the file is opened in a newer version of Excel. Learn more: https://go.microsoft.com/fwlink/?linkid=870924
Comment:
    Think the reported rates are the average from the 13 clusters (so analysed by cluster, not by women)? Not sure though...</t>
      </text>
    </comment>
    <comment ref="A481" authorId="165" shapeId="0" xr:uid="{B9A134D6-65C8-4B7C-B1B1-EE52AB1742E8}">
      <text>
        <t>[Threaded comment]
Your version of Excel allows you to read this threaded comment; however, any edits to it will get removed if the file is opened in a newer version of Excel. Learn more: https://go.microsoft.com/fwlink/?linkid=870924
Comment:
    Numbers of screen-detected cancers and precancers different to numbers reported in #5969.</t>
      </text>
    </comment>
    <comment ref="A482" authorId="166" shapeId="0" xr:uid="{3CB47D2D-2FDC-4410-AF5A-0D4839D691F4}">
      <text>
        <t>[Threaded comment]
Your version of Excel allows you to read this threaded comment; however, any edits to it will get removed if the file is opened in a newer version of Excel. Learn more: https://go.microsoft.com/fwlink/?linkid=870924
Comment:
    Numbers of screen-detected cancers and precancers different to numbers reported in #5969.</t>
      </text>
    </comment>
    <comment ref="A483" authorId="167" shapeId="0" xr:uid="{78E1F881-C87F-4574-9EF6-F9F6778F6524}">
      <text>
        <t>[Threaded comment]
Your version of Excel allows you to read this threaded comment; however, any edits to it will get removed if the file is opened in a newer version of Excel. Learn more: https://go.microsoft.com/fwlink/?linkid=870924
Comment:
    Numbers of screen-detected cancers and precancers different to numbers reported in #5969.</t>
      </text>
    </comment>
    <comment ref="A484" authorId="168" shapeId="0" xr:uid="{17781DA2-2026-4D19-AE86-A3F83825EFA3}">
      <text>
        <t>[Threaded comment]
Your version of Excel allows you to read this threaded comment; however, any edits to it will get removed if the file is opened in a newer version of Excel. Learn more: https://go.microsoft.com/fwlink/?linkid=870924
Comment:
    Numbers of screen-detected cancers and precancers different to numbers reported in #5969.</t>
      </text>
    </comment>
    <comment ref="A485" authorId="169" shapeId="0" xr:uid="{30A29B29-58A4-427C-8E65-7C8CE86C141B}">
      <text>
        <t>[Threaded comment]
Your version of Excel allows you to read this threaded comment; however, any edits to it will get removed if the file is opened in a newer version of Excel. Learn more: https://go.microsoft.com/fwlink/?linkid=870924
Comment:
    Numbers of screen-detected cancers and precancers different to numbers reported in #5969.</t>
      </text>
    </comment>
    <comment ref="A486" authorId="170" shapeId="0" xr:uid="{AD68612C-AD2F-448C-8D14-604523166C61}">
      <text>
        <t>[Threaded comment]
Your version of Excel allows you to read this threaded comment; however, any edits to it will get removed if the file is opened in a newer version of Excel. Learn more: https://go.microsoft.com/fwlink/?linkid=870924
Comment:
    Numbers of screen-detected cancers and precancers different to numbers reported in #5969.</t>
      </text>
    </comment>
    <comment ref="A519" authorId="171" shapeId="0" xr:uid="{FA822E19-5501-4407-B638-84A824BD8449}">
      <text>
        <t>[Threaded comment]
Your version of Excel allows you to read this threaded comment; however, any edits to it will get removed if the file is opened in a newer version of Excel. Learn more: https://go.microsoft.com/fwlink/?linkid=870924
Comment:
    Figure 2 reports the cumulative incidence of stage II+ cancers as well as cumulative cervical cancer mortality per year after randomisation (1-8 years). No numbers reported though, just a graph.</t>
      </text>
    </comment>
    <comment ref="P525" authorId="172" shapeId="0" xr:uid="{DF0CFB80-8DF4-4A8A-AFB6-366D634738F4}">
      <text>
        <t>[Threaded comment]
Your version of Excel allows you to read this threaded comment; however, any edits to it will get removed if the file is opened in a newer version of Excel. Learn more: https://go.microsoft.com/fwlink/?linkid=870924
Comment:
    Should be #7?
Reply:
    Yes, corrected.</t>
      </text>
    </comment>
    <comment ref="AJ525" authorId="173" shapeId="0" xr:uid="{DE21F9B3-1A1C-45DE-8494-77BD844EFF43}">
      <text>
        <t>[Threaded comment]
Your version of Excel allows you to read this threaded comment; however, any edits to it will get removed if the file is opened in a newer version of Excel. Learn more: https://go.microsoft.com/fwlink/?linkid=870924
Comment:
    Is this relevant if this is the control group. Note: this is surrogate #7, not #1 or#4, as stated in column D. Same comment for the green cells on the right
Reply:
    Only if we class the comparator group as "Another type of screening".</t>
      </text>
    </comment>
    <comment ref="P526" authorId="174" shapeId="0" xr:uid="{8C64B96B-9AB5-4EC2-8F0F-889E0F2BF391}">
      <text>
        <t>[Threaded comment]
Your version of Excel allows you to read this threaded comment; however, any edits to it will get removed if the file is opened in a newer version of Excel. Learn more: https://go.microsoft.com/fwlink/?linkid=870924
Comment:
    Given outcome description, should be surrogate #5? (and so no relevant data needed from the control group)?
Reply:
    Yes, should be surrogate 5. But the comparator group for me is "limited screening", not usual care.</t>
      </text>
    </comment>
    <comment ref="AA526" authorId="175" shapeId="0" xr:uid="{F8A35F82-7E73-4116-85D7-37BC17D694BE}">
      <text>
        <t>[Threaded comment]
Your version of Excel allows you to read this threaded comment; however, any edits to it will get removed if the file is opened in a newer version of Excel. Learn more: https://go.microsoft.com/fwlink/?linkid=870924
Comment:
    Same comment as for mortality: could you please help me locate these numbers?
Reply:
    I think they are the people who died of other causes then cancer: 7-2=5 got the extensive screening group? For the comparator, should it be 11-4=7 non-cancer death plus 1 LTFU? But maybe, for this outcome, should it be 7 deaths for the extensive screening group and 11 deaths in the limited screening group plus 1 LTFU in the limited screening group, so 12?</t>
      </text>
    </comment>
    <comment ref="AJ526" authorId="176" shapeId="0" xr:uid="{2BE0948C-C4D0-4DF1-BB05-CABE293E16F1}">
      <text>
        <t>[Threaded comment]
Your version of Excel allows you to read this threaded comment; however, any edits to it will get removed if the file is opened in a newer version of Excel. Learn more: https://go.microsoft.com/fwlink/?linkid=870924
Comment:
    Control arm data not relevant here? Also relates to cells on the right
Reply:
    Comparator = limited screening?</t>
      </text>
    </comment>
    <comment ref="D542" authorId="177" shapeId="0" xr:uid="{627074C8-9671-44B7-8B21-E45B49F62D88}">
      <text>
        <t>[Threaded comment]
Your version of Excel allows you to read this threaded comment; however, any edits to it will get removed if the file is opened in a newer version of Excel. Learn more: https://go.microsoft.com/fwlink/?linkid=870924
Comment:
    I wonder if we need these? They were not crosstabbed by T, N, M category - I don't think each category on its own tells us much?
Reply:
    We are using a size cut-off or node status as stage approximation for breast cancer. 
Do you think we should say that we only extract other stage approximations if the numerical stage is not reported?
Reply:
    I think that you do this as size and node status have been described as of prognostic value in breast cancer. I wonder if we have that certainty for the NPC cancer as well? 
In any case - you have them in now, I wouldn't delete it. Let Adam and Nefeli decide what they want to do with it at a later point?
Reply:
    Agree. ☺️</t>
      </text>
    </comment>
    <comment ref="A554" authorId="178" shapeId="0" xr:uid="{30CCCC49-8AFC-4B1F-9857-2E1EAC3644E9}">
      <text>
        <t>[Threaded comment]
Your version of Excel allows you to read this threaded comment; however, any edits to it will get removed if the file is opened in a newer version of Excel. Learn more: https://go.microsoft.com/fwlink/?linkid=870924
Comment:
    Table S2 also reports 'Histology type'. Relevant for stage???
Reply:
    No</t>
      </text>
    </comment>
    <comment ref="D555" authorId="179" shapeId="0" xr:uid="{518A9B3E-B3E6-4C59-9B3E-D1E0ED9E7D63}">
      <text>
        <t>[Threaded comment]
Your version of Excel allows you to read this threaded comment; however, any edits to it will get removed if the file is opened in a newer version of Excel. Learn more: https://go.microsoft.com/fwlink/?linkid=870924
Comment:
    This is a single round, the rest are rescreens as part of the diagnostic process
Reply:
    Reworded.</t>
      </text>
    </comment>
    <comment ref="D556" authorId="180" shapeId="0" xr:uid="{8C029691-4730-44AE-A8E3-ACDC8EEDB03F}">
      <text>
        <t>[Threaded comment]
Your version of Excel allows you to read this threaded comment; however, any edits to it will get removed if the file is opened in a newer version of Excel. Learn more: https://go.microsoft.com/fwlink/?linkid=870924
Comment:
    Idem
Reply:
    Reworded.</t>
      </text>
    </comment>
    <comment ref="B558" authorId="181" shapeId="0" xr:uid="{538999A3-ADAA-49ED-BC45-1FD966C62280}">
      <text>
        <t>[Threaded comment]
Your version of Excel allows you to read this threaded comment; however, any edits to it will get removed if the file is opened in a newer version of Excel. Learn more: https://go.microsoft.com/fwlink/?linkid=870924
Comment:
    For this paper, should we not also report by categories of early/late stage, i.e. stage 2+, stage 3+ etc. That's what is says in the protocol.
Reply:
    I have discussed that with Matejka and Nefeli, and Adam/Nefeli can do this playing around with stage cut-offs at the analysis stage.
Reply:
    Yay!</t>
      </text>
    </comment>
    <comment ref="AX561" authorId="182" shapeId="0" xr:uid="{8CB5F5BC-5898-42D2-84D7-E1E6C17ED5F2}">
      <text>
        <t>[Threaded comment]
Your version of Excel allows you to read this threaded comment; however, any edits to it will get removed if the file is opened in a newer version of Excel. Learn more: https://go.microsoft.com/fwlink/?linkid=870924
Comment:
    Should this be NA or have a zero cell correction?</t>
      </text>
    </comment>
    <comment ref="AX562" authorId="183" shapeId="0" xr:uid="{3F804E06-386A-4511-9AB8-BA0F3D20A320}">
      <text>
        <t>[Threaded comment]
Your version of Excel allows you to read this threaded comment; however, any edits to it will get removed if the file is opened in a newer version of Excel. Learn more: https://go.microsoft.com/fwlink/?linkid=870924
Comment:
    Should this be NA or have a zero cell correction?</t>
      </text>
    </comment>
    <comment ref="AX563" authorId="184" shapeId="0" xr:uid="{C8429341-E1A9-4AF9-9A4A-8A2D06BF39D3}">
      <text>
        <t>[Threaded comment]
Your version of Excel allows you to read this threaded comment; however, any edits to it will get removed if the file is opened in a newer version of Excel. Learn more: https://go.microsoft.com/fwlink/?linkid=870924
Comment:
    Should this be NA or have a zero cell correction?</t>
      </text>
    </comment>
    <comment ref="L564" authorId="185" shapeId="0" xr:uid="{A542FBF6-1F3B-435C-8025-77FA4B275583}">
      <text>
        <t>[Threaded comment]
Your version of Excel allows you to read this threaded comment; however, any edits to it will get removed if the file is opened in a newer version of Excel. Learn more: https://go.microsoft.com/fwlink/?linkid=870924
Comment:
    It suggests 3/4 is late stage on page 13 &amp; in the abstract:
"all were late stage (one was stage III and three were stage IV)."
Reply:
    That's right, and I have used that cut-off for surrogates 1 and 4 below (cell colour is darker green for these outcomes). But in the rows here, I have extracted surrogates 5 and 7 which are not on late or early stage. This is why I then have put 'NA'.
Reply:
    Shouldn't we report that here?</t>
      </text>
    </comment>
    <comment ref="L565" authorId="186" shapeId="0" xr:uid="{9568C6A7-A8BB-4772-ADF3-4CB13E0DAE61}">
      <text>
        <t xml:space="preserve">[Threaded comment]
Your version of Excel allows you to read this threaded comment; however, any edits to it will get removed if the file is opened in a newer version of Excel. Learn more: https://go.microsoft.com/fwlink/?linkid=870924
Comment:
    As above
Reply:
    Shouldn't we report that here?
</t>
      </text>
    </comment>
    <comment ref="L566" authorId="187" shapeId="0" xr:uid="{4891D9BF-154B-4168-AC35-CD52E642A340}">
      <text>
        <t xml:space="preserve">[Threaded comment]
Your version of Excel allows you to read this threaded comment; however, any edits to it will get removed if the file is opened in a newer version of Excel. Learn more: https://go.microsoft.com/fwlink/?linkid=870924
Comment:
    As above
Reply:
    Shouldn't we report that here?
</t>
      </text>
    </comment>
    <comment ref="AK566" authorId="188" shapeId="0" xr:uid="{AA62CA00-F6B0-4755-B585-DA1F7CF72DF5}">
      <text>
        <t>[Threaded comment]
Your version of Excel allows you to read this threaded comment; however, any edits to it will get removed if the file is opened in a newer version of Excel. Learn more: https://go.microsoft.com/fwlink/?linkid=870924
Comment:
    I don't think this is right. 
First, can you have an interval cancer if looking at baseline cancers?
Second, neither of the interval cancer in the LDCT are actually interval cancers. One was in a person who didn't have a baseline screen so there was no 'interval'. The other was in a person who had a positive screen result, it just took a year to receive the diagnosis.
Reply:
    For surrogate 5, the denominator is defined in the protocol as "Total number of target cancers detected (screen-detected and symptomatically detected) in intervention arm." I understood that surrogate 5 is NOT sensitivity but the proportion of all target cancers (screen-detected or other way of detection) detected in a certain time period (here 1 year after baseline screen, but before year 1 screen) that are screen-detected. Screen-detected in this paper is defined as diagnosis within 1 year of a positive test. All others are called in this paper "interval cancers"...
Reply:
    I agree with you on the basis that we're accepting the paper's definition of interval cancers. But I don't think their definition is correct!</t>
      </text>
    </comment>
    <comment ref="AL566" authorId="189" shapeId="0" xr:uid="{80BFA3A3-32E7-44BA-BBE0-EA2B9ABF1959}">
      <text>
        <t>[Threaded comment]
Your version of Excel allows you to read this threaded comment; however, any edits to it will get removed if the file is opened in a newer version of Excel. Learn more: https://go.microsoft.com/fwlink/?linkid=870924
Comment:
    Can you have an interval cancer if looking at baseline cancers?
Reply:
    This is the total number of cancers detected within 1 year of follow-up (but before the year 1 screen). Maybe the term "interval cases" is not correct but used throughout this paper.
Reply:
    I agree with you on the basis that we're accepting the paper's definition of interval cancers. But I don't think their definition is correct!</t>
      </text>
    </comment>
    <comment ref="AO566" authorId="190" shapeId="0" xr:uid="{70ED2984-7FDA-4F06-89E5-E9A6825CDABB}">
      <text>
        <t>[Threaded comment]
Your version of Excel allows you to read this threaded comment; however, any edits to it will get removed if the file is opened in a newer version of Excel. Learn more: https://go.microsoft.com/fwlink/?linkid=870924
Comment:
    Depend on denominator discussion
Reply:
    Agree with you based on interval cancer definition convo.</t>
      </text>
    </comment>
    <comment ref="AS566" authorId="191" shapeId="0" xr:uid="{A3C146AF-5638-4BFB-9071-8056EF524AA9}">
      <text>
        <t>[Threaded comment]
Your version of Excel allows you to read this threaded comment; however, any edits to it will get removed if the file is opened in a newer version of Excel. Learn more: https://go.microsoft.com/fwlink/?linkid=870924
Comment:
    Depend on denominator discussion
Reply:
    Agree with you based on interval cancer definition convo.</t>
      </text>
    </comment>
    <comment ref="AX566" authorId="192" shapeId="0" xr:uid="{93FDC0F8-C3DF-41F5-B863-F4C63BF4ADD1}">
      <text>
        <t>[Threaded comment]
Your version of Excel allows you to read this threaded comment; however, any edits to it will get removed if the file is opened in a newer version of Excel. Learn more: https://go.microsoft.com/fwlink/?linkid=870924
Comment:
    Depend on denominator discussion
Reply:
    Agree with you based on interval cancer definition convo.</t>
      </text>
    </comment>
    <comment ref="L567" authorId="193" shapeId="0" xr:uid="{52925797-5540-4AE1-BFD9-7A53FB924114}">
      <text>
        <t xml:space="preserve">[Threaded comment]
Your version of Excel allows you to read this threaded comment; however, any edits to it will get removed if the file is opened in a newer version of Excel. Learn more: https://go.microsoft.com/fwlink/?linkid=870924
Comment:
    As above
Reply:
    Shouldn't we report that here?
</t>
      </text>
    </comment>
    <comment ref="AI567" authorId="194" shapeId="0" xr:uid="{A7B38F11-2590-45D6-A5E8-C455B73B2669}">
      <text>
        <t>[Threaded comment]
Your version of Excel allows you to read this threaded comment; however, any edits to it will get removed if the file is opened in a newer version of Excel. Learn more: https://go.microsoft.com/fwlink/?linkid=870924
Comment:
    I think there are 39 screen detected cancer, because the stage IV 'interval' cancer was detected by screening.
Reply:
    The definition of "screen-detected" in this papers was "... being diagnosed within one year of a positive screen." Possibly because there was already the next screening round after 1 year? According to this definition, this 1 case counts not as screen-detected.
Reply:
    I see. Happy to go with that. But I don't agree with how they've defined it!
Reply:
    I have put some information on that case in the "Notes" so Adam and Nefeli can add it in if they want to.</t>
      </text>
    </comment>
    <comment ref="AO567" authorId="195" shapeId="0" xr:uid="{573B3726-82E5-42F3-8A8B-3C122D0B36A8}">
      <text>
        <t xml:space="preserve">[Threaded comment]
Your version of Excel allows you to read this threaded comment; however, any edits to it will get removed if the file is opened in a newer version of Excel. Learn more: https://go.microsoft.com/fwlink/?linkid=870924
Comment:
    97.5% if one of the interval cancers is really screen detected.
Reply:
    Agree with you based on interval cancer definition convo.
</t>
      </text>
    </comment>
    <comment ref="AX567" authorId="196" shapeId="0" xr:uid="{DC2F1868-2282-4529-8866-39C328969169}">
      <text>
        <t>[Threaded comment]
Your version of Excel allows you to read this threaded comment; however, any edits to it will get removed if the file is opened in a newer version of Excel. Learn more: https://go.microsoft.com/fwlink/?linkid=870924
Comment:
    1.22 if one of the LDCT interval cancers is really screen detected.
Reply:
    Agree with you based on interval cancer definition convo.</t>
      </text>
    </comment>
    <comment ref="AC576" authorId="197" shapeId="0" xr:uid="{EEF24BA9-6EEA-49B8-A8B1-63AF925B9257}">
      <text>
        <t>[Threaded comment]
Your version of Excel allows you to read this threaded comment; however, any edits to it will get removed if the file is opened in a newer version of Excel. Learn more: https://go.microsoft.com/fwlink/?linkid=870924
Comment:
    Reported in Senore 2022 (#283)
Reply:
    OK</t>
      </text>
    </comment>
    <comment ref="AI576" authorId="198" shapeId="0" xr:uid="{F2CBD169-68F8-4797-9CFA-A4FC5E0210AD}">
      <text>
        <t>[Threaded comment]
Your version of Excel allows you to read this threaded comment; however, any edits to it will get removed if the file is opened in a newer version of Excel. Learn more: https://go.microsoft.com/fwlink/?linkid=870924
Comment:
    Senore 2022 (#283) reports 47 screen-detected cases with distal CRC.
Reply:
    OK. Let's stick to the Segnan 2011 report - might have been an earlier version of the data</t>
      </text>
    </comment>
    <comment ref="AI578" authorId="199" shapeId="0" xr:uid="{1380CE61-B263-4B58-A64F-BB2ADAAFE95A}">
      <text>
        <t>[Threaded comment]
Your version of Excel allows you to read this threaded comment; however, any edits to it will get removed if the file is opened in a newer version of Excel. Learn more: https://go.microsoft.com/fwlink/?linkid=870924
Comment:
    Senore 2022 (#283) reports 47 screen-detected cases with distal CRC.
Reply:
    OK, see above</t>
      </text>
    </comment>
    <comment ref="AY579" authorId="200" shapeId="0" xr:uid="{3DFDF7E7-B7E8-4097-80E6-B53C8563270F}">
      <text>
        <t>[Threaded comment]
Your version of Excel allows you to read this threaded comment; however, any edits to it will get removed if the file is opened in a newer version of Excel. Learn more: https://go.microsoft.com/fwlink/?linkid=870924
Comment:
    Text says 0.58
Reply:
    Let's stick to the one from the table</t>
      </text>
    </comment>
    <comment ref="D595" authorId="201" shapeId="0" xr:uid="{5AED5EF4-9BDF-496B-BD1F-98A401F3FA97}">
      <text>
        <t>[Threaded comment]
Your version of Excel allows you to read this threaded comment; however, any edits to it will get removed if the file is opened in a newer version of Excel. Learn more: https://go.microsoft.com/fwlink/?linkid=870924
Comment:
    Just to say it's unclear (?) whether the data were until end of 1997 or end of 1998
Reply:
    Possibly more likely to be end of 1997.</t>
      </text>
    </comment>
    <comment ref="O595" authorId="202" shapeId="0" xr:uid="{BE37F8CC-701A-431A-87B4-CF05A8E3BA8E}">
      <text>
        <t>[Threaded comment]
Your version of Excel allows you to read this threaded comment; however, any edits to it will get removed if the file is opened in a newer version of Excel. Learn more: https://go.microsoft.com/fwlink/?linkid=870924
Comment:
    Same again: 1997 or 1998?
Reply:
    Agree, think it's more likely to be 1997.</t>
      </text>
    </comment>
    <comment ref="Q595" authorId="203" shapeId="0" xr:uid="{5E111D87-579F-47C4-82A2-5C05711A0A1F}">
      <text>
        <t>[Threaded comment]
Your version of Excel allows you to read this threaded comment; however, any edits to it will get removed if the file is opened in a newer version of Excel. Learn more: https://go.microsoft.com/fwlink/?linkid=870924
Comment:
    Same again, 1997 or 1998?</t>
      </text>
    </comment>
    <comment ref="R595" authorId="204" shapeId="0" xr:uid="{C4B4F54D-3CED-4648-9C78-D7A817246A52}">
      <text>
        <t>[Threaded comment]
Your version of Excel allows you to read this threaded comment; however, any edits to it will get removed if the file is opened in a newer version of Excel. Learn more: https://go.microsoft.com/fwlink/?linkid=870924
Comment:
    Up to 5 years? (If FU until end of 1997)</t>
      </text>
    </comment>
    <comment ref="S595" authorId="205" shapeId="0" xr:uid="{AEC73804-55A8-4153-B404-13E8B8016573}">
      <text>
        <t>[Threaded comment]
Your version of Excel allows you to read this threaded comment; however, any edits to it will get removed if the file is opened in a newer version of Excel. Learn more: https://go.microsoft.com/fwlink/?linkid=870924
Comment:
    I have added these. Please check!</t>
      </text>
    </comment>
    <comment ref="Y595" authorId="206" shapeId="0" xr:uid="{B9130CE9-03C7-4A77-9BBD-6E9BC7F4744C}">
      <text>
        <t>[Threaded comment]
Your version of Excel allows you to read this threaded comment; however, any edits to it will get removed if the file is opened in a newer version of Excel. Learn more: https://go.microsoft.com/fwlink/?linkid=870924
Comment:
    I guess we accept throughout that they didn't report data for the entire randomised group, but only for compliers with the first screening round?
Reply:
    Agree.</t>
      </text>
    </comment>
    <comment ref="AG595" authorId="207" shapeId="0" xr:uid="{F12E0AF5-C39A-4771-840B-27B08D6AE2C1}">
      <text>
        <t>[Threaded comment]
Your version of Excel allows you to read this threaded comment; however, any edits to it will get removed if the file is opened in a newer version of Excel. Learn more: https://go.microsoft.com/fwlink/?linkid=870924
Comment:
    Same again, 1997 or 1998?
Reply:
    I think it should be 1997.</t>
      </text>
    </comment>
    <comment ref="S596" authorId="208" shapeId="0" xr:uid="{DD80BA95-8CE8-4699-BF36-0552BB9B44CF}">
      <text>
        <t>[Threaded comment]
Your version of Excel allows you to read this threaded comment; however, any edits to it will get removed if the file is opened in a newer version of Excel. Learn more: https://go.microsoft.com/fwlink/?linkid=870924
Comment:
    I have added these. Please check!</t>
      </text>
    </comment>
    <comment ref="AH596" authorId="209" shapeId="0" xr:uid="{DDFC0713-E9EE-4D1A-B00C-817FF1935A01}">
      <text>
        <t>[Threaded comment]
Your version of Excel allows you to read this threaded comment; however, any edits to it will get removed if the file is opened in a newer version of Excel. Learn more: https://go.microsoft.com/fwlink/?linkid=870924
Comment:
    1997 or 1998?</t>
      </text>
    </comment>
    <comment ref="J597" authorId="210" shapeId="0" xr:uid="{37705B64-E782-4D08-9E6A-F904B33AC0EC}">
      <text>
        <t>[Threaded comment]
Your version of Excel allows you to read this threaded comment; however, any edits to it will get removed if the file is opened in a newer version of Excel. Learn more: https://go.microsoft.com/fwlink/?linkid=870924
Comment:
    Using the Chinese staging categorisation?
Reply:
    Added.</t>
      </text>
    </comment>
    <comment ref="S597" authorId="211" shapeId="0" xr:uid="{D605F85D-7F42-40D5-8858-FC1C9A2B430C}">
      <text>
        <t>[Threaded comment]
Your version of Excel allows you to read this threaded comment; however, any edits to it will get removed if the file is opened in a newer version of Excel. Learn more: https://go.microsoft.com/fwlink/?linkid=870924
Comment:
    I have added these. Please check!</t>
      </text>
    </comment>
    <comment ref="S598" authorId="212" shapeId="0" xr:uid="{D41784FC-58B4-45C7-B039-F95045139E79}">
      <text>
        <t>[Threaded comment]
Your version of Excel allows you to read this threaded comment; however, any edits to it will get removed if the file is opened in a newer version of Excel. Learn more: https://go.microsoft.com/fwlink/?linkid=870924
Comment:
    I have added these. Please check!</t>
      </text>
    </comment>
    <comment ref="S599" authorId="213" shapeId="0" xr:uid="{B603C68D-0223-4DBE-ACC0-BF62BFA73672}">
      <text>
        <t>[Threaded comment]
Your version of Excel allows you to read this threaded comment; however, any edits to it will get removed if the file is opened in a newer version of Excel. Learn more: https://go.microsoft.com/fwlink/?linkid=870924
Comment:
    I have added these. Please check!</t>
      </text>
    </comment>
    <comment ref="S600" authorId="214" shapeId="0" xr:uid="{CEA16E7F-B3E5-48E4-8765-DCA373690DF0}">
      <text>
        <t>[Threaded comment]
Your version of Excel allows you to read this threaded comment; however, any edits to it will get removed if the file is opened in a newer version of Excel. Learn more: https://go.microsoft.com/fwlink/?linkid=870924
Comment:
    I have added these. Please check!</t>
      </text>
    </comment>
    <comment ref="AH600" authorId="215" shapeId="0" xr:uid="{6DF19B00-7759-43A2-91C7-86509CB3949B}">
      <text>
        <t>[Threaded comment]
Your version of Excel allows you to read this threaded comment; however, any edits to it will get removed if the file is opened in a newer version of Excel. Learn more: https://go.microsoft.com/fwlink/?linkid=870924
Comment:
    Same, 1997 or 1998?</t>
      </text>
    </comment>
    <comment ref="S601" authorId="216" shapeId="0" xr:uid="{DA1C0BB6-C304-42B1-A4C1-5E9BFECA6910}">
      <text>
        <t>[Threaded comment]
Your version of Excel allows you to read this threaded comment; however, any edits to it will get removed if the file is opened in a newer version of Excel. Learn more: https://go.microsoft.com/fwlink/?linkid=870924
Comment:
    I have added these. Please check!</t>
      </text>
    </comment>
    <comment ref="A618" authorId="217" shapeId="0" xr:uid="{F093D181-D3CB-48C1-BA1D-567E563B40C7}">
      <text>
        <t>[Threaded comment]
Your version of Excel allows you to read this threaded comment; however, any edits to it will get removed if the file is opened in a newer version of Excel. Learn more: https://go.microsoft.com/fwlink/?linkid=870924
Comment:
    Also reported in Sankar 2004 (#2596) above but numbers differ slightly. #2594 only reports results for screen-positive women whereas #2596 also included biopsies and CIN cases detected in screen-negative women. Better to use data reported in #2594.
Reply:
    Maybe we should just accept that cleaning of data happens all the time while publishing in a typical trial
Reply:
    Should we delete one set of data? If yes, which ones to keep?
Reply:
    Agreed to keep both.</t>
      </text>
    </comment>
    <comment ref="A619" authorId="218" shapeId="0" xr:uid="{34746BA6-B173-43D2-AA1A-3CD5662B5D73}">
      <text>
        <t>[Threaded comment]
Your version of Excel allows you to read this threaded comment; however, any edits to it will get removed if the file is opened in a newer version of Excel. Learn more: https://go.microsoft.com/fwlink/?linkid=870924
Comment:
    Also reported in Sankar 2004 (#2596) above but numbers differ slightly. #2594 only reports results for screen-positive women whereas #2596 also included biopsies and CIN cases detected in screen-negative women. Better to use data reported in #2594.
Reply:
    Maybe we should just accept that cleaning of data happens all the time while publishing in a typical trial
Reply:
    Should we delete one set of data? If yes, which ones to keep?
Reply:
    Agreed to keep both.</t>
      </text>
    </comment>
    <comment ref="A620" authorId="219" shapeId="0" xr:uid="{420F3BB4-B6E8-4A56-87C8-0E18C518D1FB}">
      <text>
        <t>[Threaded comment]
Your version of Excel allows you to read this threaded comment; however, any edits to it will get removed if the file is opened in a newer version of Excel. Learn more: https://go.microsoft.com/fwlink/?linkid=870924
Comment:
    Also reported in Sankar 2004 (#2596) above but numbers differ slightly. #2594 only reports results for screen-positive women whereas #2596 also included biopsies and CIN cases detected in screen-negative women. Better to use data reported in #2594.
Reply:
    Maybe we should just accept that cleaning of data happens all the time while publishing in a typical trial
Reply:
    Should we delete one set of data? If yes, which ones to keep?
Reply:
    Agreed to keep both.</t>
      </text>
    </comment>
    <comment ref="A638" authorId="220" shapeId="0" xr:uid="{A0F73D6E-C13B-41AF-A121-4AACCC6D9A95}">
      <text>
        <t>[Threaded comment]
Your version of Excel allows you to read this threaded comment; however, any edits to it will get removed if the file is opened in a newer version of Excel. Learn more: https://go.microsoft.com/fwlink/?linkid=870924
Comment:
    The discussion reports additional data for the subgroup of 34 803 eligible women in the intervention and 30 770 eligible women in the control group identified by the initial single enumeration in the year 2000, before screening was initiated.
Reply:
    I wouldn't prioritise extracting these data</t>
      </text>
    </comment>
    <comment ref="AI641" authorId="221" shapeId="0" xr:uid="{7C00F1C1-E546-4470-A308-9E8B4867F2BA}">
      <text>
        <t>[Threaded comment]
Your version of Excel allows you to read this threaded comment; however, any edits to it will get removed if the file is opened in a newer version of Excel. Learn more: https://go.microsoft.com/fwlink/?linkid=870924
Comment:
    Should be 172+21?
Reply:
    Corrected.</t>
      </text>
    </comment>
    <comment ref="AI644" authorId="222" shapeId="0" xr:uid="{9505D83E-7105-440D-BD18-F26432AC7833}">
      <text>
        <t>[Threaded comment]
Your version of Excel allows you to read this threaded comment; however, any edits to it will get removed if the file is opened in a newer version of Excel. Learn more: https://go.microsoft.com/fwlink/?linkid=870924
Comment:
    Should be 34+22?
Reply:
    Corrected.</t>
      </text>
    </comment>
    <comment ref="AI647" authorId="223" shapeId="0" xr:uid="{49E23937-87FA-4E0D-AA7B-FCEDEA327555}">
      <text>
        <t>[Threaded comment]
Your version of Excel allows you to read this threaded comment; however, any edits to it will get removed if the file is opened in a newer version of Excel. Learn more: https://go.microsoft.com/fwlink/?linkid=870924
Comment:
    Should be 12+24?
Reply:
    Corrected.</t>
      </text>
    </comment>
    <comment ref="S648" authorId="224" shapeId="0" xr:uid="{8FD0B4C5-9DC6-43D6-BE96-57D56B0ADA1A}">
      <text>
        <t>[Threaded comment]
Your version of Excel allows you to read this threaded comment; however, any edits to it will get removed if the file is opened in a newer version of Excel. Learn more: https://go.microsoft.com/fwlink/?linkid=870924
Comment:
    83,764 PY / 59,894???
Reply:
    I agree</t>
      </text>
    </comment>
    <comment ref="S649" authorId="225" shapeId="0" xr:uid="{D5F82F4E-1805-4C0F-A941-5A09D67D6C70}">
      <text>
        <t>[Threaded comment]
Your version of Excel allows you to read this threaded comment; however, any edits to it will get removed if the file is opened in a newer version of Excel. Learn more: https://go.microsoft.com/fwlink/?linkid=870924
Comment:
    83,764 PY / 59,894???
Reply:
    I agree</t>
      </text>
    </comment>
    <comment ref="S650" authorId="226" shapeId="0" xr:uid="{B0879226-BFC6-4382-9444-8F6F19B735A3}">
      <text>
        <t>[Threaded comment]
Your version of Excel allows you to read this threaded comment; however, any edits to it will get removed if the file is opened in a newer version of Excel. Learn more: https://go.microsoft.com/fwlink/?linkid=870924
Comment:
    83,764 PY / 59,894???
Reply:
    I agree</t>
      </text>
    </comment>
    <comment ref="S651" authorId="227" shapeId="0" xr:uid="{3E723484-5C75-4F2D-89DE-081680F7B951}">
      <text>
        <t>[Threaded comment]
Your version of Excel allows you to read this threaded comment; however, any edits to it will get removed if the file is opened in a newer version of Excel. Learn more: https://go.microsoft.com/fwlink/?linkid=870924
Comment:
    83,764 PY / 59,894???
Reply:
    I agree</t>
      </text>
    </comment>
    <comment ref="T651" authorId="228" shapeId="0" xr:uid="{126640BA-2327-4B52-B614-FC685D4CD505}">
      <text>
        <t>[Threaded comment]
Your version of Excel allows you to read this threaded comment; however, any edits to it will get removed if the file is opened in a newer version of Excel. Learn more: https://go.microsoft.com/fwlink/?linkid=870924
Comment:
    78,754 PY / 54,707???
Reply:
    I agree</t>
      </text>
    </comment>
    <comment ref="S652" authorId="229" shapeId="0" xr:uid="{75C11044-7C3B-44E2-A39F-CB540F907410}">
      <text>
        <t>[Threaded comment]
Your version of Excel allows you to read this threaded comment; however, any edits to it will get removed if the file is opened in a newer version of Excel. Learn more: https://go.microsoft.com/fwlink/?linkid=870924
Comment:
    83,764 PY / 59,894???
Reply:
    I agree</t>
      </text>
    </comment>
    <comment ref="T652" authorId="230" shapeId="0" xr:uid="{EDF088C0-AF16-4A19-9A31-06F5D7923D3D}">
      <text>
        <t>[Threaded comment]
Your version of Excel allows you to read this threaded comment; however, any edits to it will get removed if the file is opened in a newer version of Excel. Learn more: https://go.microsoft.com/fwlink/?linkid=870924
Comment:
    78,754 PY / 54,707???
Reply:
    I agree</t>
      </text>
    </comment>
    <comment ref="S653" authorId="231" shapeId="0" xr:uid="{B612521D-17AD-4C54-BF41-251C96A1E56E}">
      <text>
        <t>[Threaded comment]
Your version of Excel allows you to read this threaded comment; however, any edits to it will get removed if the file is opened in a newer version of Excel. Learn more: https://go.microsoft.com/fwlink/?linkid=870924
Comment:
    83,764 PY / 59,894???
Reply:
    I agree</t>
      </text>
    </comment>
    <comment ref="T653" authorId="232" shapeId="0" xr:uid="{91B42703-5193-4A55-AF6E-84AAF7CC4606}">
      <text>
        <t>[Threaded comment]
Your version of Excel allows you to read this threaded comment; however, any edits to it will get removed if the file is opened in a newer version of Excel. Learn more: https://go.microsoft.com/fwlink/?linkid=870924
Comment:
    78,754 PY / 54,707???
Reply:
    I agree</t>
      </text>
    </comment>
    <comment ref="S654" authorId="233" shapeId="0" xr:uid="{BDB09AD9-7BB3-4B0D-926C-D32DB3723747}">
      <text>
        <t>[Threaded comment]
Your version of Excel allows you to read this threaded comment; however, any edits to it will get removed if the file is opened in a newer version of Excel. Learn more: https://go.microsoft.com/fwlink/?linkid=870924
Comment:
    83,764 PY / 59,894???
Reply:
    I agree</t>
      </text>
    </comment>
    <comment ref="T654" authorId="234" shapeId="0" xr:uid="{1359DF3B-E4D1-48AF-B177-111A83035E22}">
      <text>
        <t>[Threaded comment]
Your version of Excel allows you to read this threaded comment; however, any edits to it will get removed if the file is opened in a newer version of Excel. Learn more: https://go.microsoft.com/fwlink/?linkid=870924
Comment:
    78,754 PY / 54,707???
Reply:
    I agree</t>
      </text>
    </comment>
    <comment ref="S655" authorId="235" shapeId="0" xr:uid="{96B05759-4E8A-4658-86B8-0ECFBECB2F81}">
      <text>
        <t>[Threaded comment]
Your version of Excel allows you to read this threaded comment; however, any edits to it will get removed if the file is opened in a newer version of Excel. Learn more: https://go.microsoft.com/fwlink/?linkid=870924
Comment:
    83,764 PY / 59,894???
Reply:
    I agree</t>
      </text>
    </comment>
    <comment ref="T655" authorId="236" shapeId="0" xr:uid="{0C75B949-A0A0-4386-8B82-F63FE39DC829}">
      <text>
        <t>[Threaded comment]
Your version of Excel allows you to read this threaded comment; however, any edits to it will get removed if the file is opened in a newer version of Excel. Learn more: https://go.microsoft.com/fwlink/?linkid=870924
Comment:
    78,754 PY / 54,707???
Reply:
    I agree</t>
      </text>
    </comment>
    <comment ref="S656" authorId="237" shapeId="0" xr:uid="{65BB3154-18EB-44A8-8540-883AFFE89A53}">
      <text>
        <t>[Threaded comment]
Your version of Excel allows you to read this threaded comment; however, any edits to it will get removed if the file is opened in a newer version of Excel. Learn more: https://go.microsoft.com/fwlink/?linkid=870924
Comment:
    83,764 PY / 59,894???
Reply:
    I agree</t>
      </text>
    </comment>
    <comment ref="T656" authorId="238" shapeId="0" xr:uid="{6D6E2A0C-13E1-42AE-A98D-DC7016A63068}">
      <text>
        <t>[Threaded comment]
Your version of Excel allows you to read this threaded comment; however, any edits to it will get removed if the file is opened in a newer version of Excel. Learn more: https://go.microsoft.com/fwlink/?linkid=870924
Comment:
    78,754 PY / 54,707???
Reply:
    I agree</t>
      </text>
    </comment>
    <comment ref="S657" authorId="239" shapeId="0" xr:uid="{706F426E-3B8C-4A2B-B0E5-1F22C1546E80}">
      <text>
        <t>[Threaded comment]
Your version of Excel allows you to read this threaded comment; however, any edits to it will get removed if the file is opened in a newer version of Excel. Learn more: https://go.microsoft.com/fwlink/?linkid=870924
Comment:
    83,764 PY / 59,894???
Reply:
    I agree</t>
      </text>
    </comment>
    <comment ref="T657" authorId="240" shapeId="0" xr:uid="{CE56DBB4-05F6-45F4-8073-84E0AD376273}">
      <text>
        <t>[Threaded comment]
Your version of Excel allows you to read this threaded comment; however, any edits to it will get removed if the file is opened in a newer version of Excel. Learn more: https://go.microsoft.com/fwlink/?linkid=870924
Comment:
    78,754 PY / 54,707???
Reply:
    I agree</t>
      </text>
    </comment>
    <comment ref="S658" authorId="241" shapeId="0" xr:uid="{DD16ADB5-AE46-4F45-B3B6-0DCD482BB77E}">
      <text>
        <t>[Threaded comment]
Your version of Excel allows you to read this threaded comment; however, any edits to it will get removed if the file is opened in a newer version of Excel. Learn more: https://go.microsoft.com/fwlink/?linkid=870924
Comment:
    83,764 PY / 59,894???
Reply:
    I agree</t>
      </text>
    </comment>
    <comment ref="T658" authorId="242" shapeId="0" xr:uid="{1AF8AEE0-FB8A-4421-988E-3EF8892585DA}">
      <text>
        <t>[Threaded comment]
Your version of Excel allows you to read this threaded comment; however, any edits to it will get removed if the file is opened in a newer version of Excel. Learn more: https://go.microsoft.com/fwlink/?linkid=870924
Comment:
    78,754 PY / 54,707???
Reply:
    I agree</t>
      </text>
    </comment>
    <comment ref="S659" authorId="243" shapeId="0" xr:uid="{BD0E18A7-6377-4CBD-917D-D41DE172F3BC}">
      <text>
        <t>[Threaded comment]
Your version of Excel allows you to read this threaded comment; however, any edits to it will get removed if the file is opened in a newer version of Excel. Learn more: https://go.microsoft.com/fwlink/?linkid=870924
Comment:
    83,764 PY / 59,894???
Reply:
    I agree</t>
      </text>
    </comment>
    <comment ref="T659" authorId="244" shapeId="0" xr:uid="{FB1DF4E6-0021-4897-B8D7-2966AEF68499}">
      <text>
        <t>[Threaded comment]
Your version of Excel allows you to read this threaded comment; however, any edits to it will get removed if the file is opened in a newer version of Excel. Learn more: https://go.microsoft.com/fwlink/?linkid=870924
Comment:
    78,754 PY / 54,707???
Reply:
    I agree</t>
      </text>
    </comment>
    <comment ref="A660" authorId="245" shapeId="0" xr:uid="{214F68C6-9BE5-4887-9492-292E6FA8AFDF}">
      <text>
        <t>[Threaded comment]
Your version of Excel allows you to read this threaded comment; however, any edits to it will get removed if the file is opened in a newer version of Excel. Learn more: https://go.microsoft.com/fwlink/?linkid=870924
Comment:
    Paper also reports number of oral cancer cases with palpable lymph nodes. Is this a surrogate we are interested in?
Reply:
    Might be worth the while of extracting it (as we likely will with breast cancer), and then we see whether it will be used in the analysis
Reply:
    Done.</t>
      </text>
    </comment>
    <comment ref="S660" authorId="246" shapeId="0" xr:uid="{6FFC1D55-6973-4789-80E9-F4D80F82F1B1}">
      <text>
        <t>[Threaded comment]
Your version of Excel allows you to read this threaded comment; however, any edits to it will get removed if the file is opened in a newer version of Excel. Learn more: https://go.microsoft.com/fwlink/?linkid=870924
Comment:
    83,764 PY / 59,894???
Reply:
    I agree</t>
      </text>
    </comment>
    <comment ref="T660" authorId="247" shapeId="0" xr:uid="{3B638B6C-3A62-4F4B-B2A3-F15F11B41301}">
      <text>
        <t>[Threaded comment]
Your version of Excel allows you to read this threaded comment; however, any edits to it will get removed if the file is opened in a newer version of Excel. Learn more: https://go.microsoft.com/fwlink/?linkid=870924
Comment:
    78,754 PY / 54,707???
Reply:
    I agree</t>
      </text>
    </comment>
    <comment ref="S661" authorId="248" shapeId="0" xr:uid="{C2729D61-87BD-4C51-BD58-22A2B1CEA465}">
      <text>
        <t>[Threaded comment]
Your version of Excel allows you to read this threaded comment; however, any edits to it will get removed if the file is opened in a newer version of Excel. Learn more: https://go.microsoft.com/fwlink/?linkid=870924
Comment:
    83,764 PY / 59,894???
Reply:
    I agree</t>
      </text>
    </comment>
    <comment ref="T661" authorId="249" shapeId="0" xr:uid="{0F5C9268-9485-4C4C-9B82-08AF5C433D54}">
      <text>
        <t>[Threaded comment]
Your version of Excel allows you to read this threaded comment; however, any edits to it will get removed if the file is opened in a newer version of Excel. Learn more: https://go.microsoft.com/fwlink/?linkid=870924
Comment:
    78,754 PY / 54,707???
Reply:
    I agree</t>
      </text>
    </comment>
    <comment ref="S662" authorId="250" shapeId="0" xr:uid="{FE6E3A3E-97E5-4C52-8B94-AFD4CD7D178A}">
      <text>
        <t>[Threaded comment]
Your version of Excel allows you to read this threaded comment; however, any edits to it will get removed if the file is opened in a newer version of Excel. Learn more: https://go.microsoft.com/fwlink/?linkid=870924
Comment:
    83,764 PY / 59,894???
Reply:
    I agree</t>
      </text>
    </comment>
    <comment ref="T662" authorId="251" shapeId="0" xr:uid="{3C5C9EAF-1F12-4395-BBAF-7E45973B8EAA}">
      <text>
        <t>[Threaded comment]
Your version of Excel allows you to read this threaded comment; however, any edits to it will get removed if the file is opened in a newer version of Excel. Learn more: https://go.microsoft.com/fwlink/?linkid=870924
Comment:
    78,754 PY / 54,707???
Reply:
    I agree</t>
      </text>
    </comment>
    <comment ref="S663" authorId="252" shapeId="0" xr:uid="{6D018346-6D81-49E0-AD4F-D009C559847E}">
      <text>
        <t>[Threaded comment]
Your version of Excel allows you to read this threaded comment; however, any edits to it will get removed if the file is opened in a newer version of Excel. Learn more: https://go.microsoft.com/fwlink/?linkid=870924
Comment:
    83,764 PY / 59,894???
Reply:
    I agree</t>
      </text>
    </comment>
    <comment ref="T663" authorId="253" shapeId="0" xr:uid="{05731A4A-4262-46A0-B701-CCCEAE57E3BB}">
      <text>
        <t>[Threaded comment]
Your version of Excel allows you to read this threaded comment; however, any edits to it will get removed if the file is opened in a newer version of Excel. Learn more: https://go.microsoft.com/fwlink/?linkid=870924
Comment:
    78,754 PY / 54,707???
Reply:
    I agree</t>
      </text>
    </comment>
    <comment ref="S664" authorId="254" shapeId="0" xr:uid="{05BEA970-1111-49E3-B255-310D02606848}">
      <text>
        <t>[Threaded comment]
Your version of Excel allows you to read this threaded comment; however, any edits to it will get removed if the file is opened in a newer version of Excel. Learn more: https://go.microsoft.com/fwlink/?linkid=870924
Comment:
    83,764 PY / 59,894???
Reply:
    I agree</t>
      </text>
    </comment>
    <comment ref="T664" authorId="255" shapeId="0" xr:uid="{DD70BE15-741C-4410-860A-C5895EECAD8A}">
      <text>
        <t>[Threaded comment]
Your version of Excel allows you to read this threaded comment; however, any edits to it will get removed if the file is opened in a newer version of Excel. Learn more: https://go.microsoft.com/fwlink/?linkid=870924
Comment:
    78,754 PY / 54,707???
Reply:
    I agree</t>
      </text>
    </comment>
    <comment ref="S665" authorId="256" shapeId="0" xr:uid="{6E5DC5ED-3050-44E4-9F7B-C5C0C84FE822}">
      <text>
        <t>[Threaded comment]
Your version of Excel allows you to read this threaded comment; however, any edits to it will get removed if the file is opened in a newer version of Excel. Learn more: https://go.microsoft.com/fwlink/?linkid=870924
Comment:
    83,764 PY / 59,894???
Reply:
    I agree</t>
      </text>
    </comment>
    <comment ref="T665" authorId="257" shapeId="0" xr:uid="{365EC673-9D98-4B29-9448-D90673131AD9}">
      <text>
        <t>[Threaded comment]
Your version of Excel allows you to read this threaded comment; however, any edits to it will get removed if the file is opened in a newer version of Excel. Learn more: https://go.microsoft.com/fwlink/?linkid=870924
Comment:
    78,754 PY / 54,707???
Reply:
    I agree</t>
      </text>
    </comment>
    <comment ref="S666" authorId="258" shapeId="0" xr:uid="{AC5B7A17-8B45-4177-82CF-0E119D957404}">
      <text>
        <t>[Threaded comment]
Your version of Excel allows you to read this threaded comment; however, any edits to it will get removed if the file is opened in a newer version of Excel. Learn more: https://go.microsoft.com/fwlink/?linkid=870924
Comment:
    83,764 PY / 59,894???
Reply:
    I agree</t>
      </text>
    </comment>
    <comment ref="T666" authorId="259" shapeId="0" xr:uid="{8C9D05FE-92F0-4544-8DE7-927977AC812A}">
      <text>
        <t>[Threaded comment]
Your version of Excel allows you to read this threaded comment; however, any edits to it will get removed if the file is opened in a newer version of Excel. Learn more: https://go.microsoft.com/fwlink/?linkid=870924
Comment:
    78,754 PY / 54,707???
Reply:
    I agree</t>
      </text>
    </comment>
    <comment ref="S667" authorId="260" shapeId="0" xr:uid="{7EC70263-28AB-4819-B8B1-41231CB5B192}">
      <text>
        <t>[Threaded comment]
Your version of Excel allows you to read this threaded comment; however, any edits to it will get removed if the file is opened in a newer version of Excel. Learn more: https://go.microsoft.com/fwlink/?linkid=870924
Comment:
    83,764 PY / 59,894???
Reply:
    I agree</t>
      </text>
    </comment>
    <comment ref="T667" authorId="261" shapeId="0" xr:uid="{0C8FEF1E-2FBF-4F62-9CD6-ADB20A2B64B1}">
      <text>
        <t>[Threaded comment]
Your version of Excel allows you to read this threaded comment; however, any edits to it will get removed if the file is opened in a newer version of Excel. Learn more: https://go.microsoft.com/fwlink/?linkid=870924
Comment:
    78,754 PY / 54,707???
Reply:
    I agree</t>
      </text>
    </comment>
    <comment ref="S668" authorId="262" shapeId="0" xr:uid="{52E29E4A-1036-40D4-8F46-666B3820CEE5}">
      <text>
        <t>[Threaded comment]
Your version of Excel allows you to read this threaded comment; however, any edits to it will get removed if the file is opened in a newer version of Excel. Learn more: https://go.microsoft.com/fwlink/?linkid=870924
Comment:
    83,764 PY / 59,894???
Reply:
    I agree</t>
      </text>
    </comment>
    <comment ref="T668" authorId="263" shapeId="0" xr:uid="{6FFF4350-C3DA-4B8D-8EAE-E6EB2C0D289B}">
      <text>
        <t>[Threaded comment]
Your version of Excel allows you to read this threaded comment; however, any edits to it will get removed if the file is opened in a newer version of Excel. Learn more: https://go.microsoft.com/fwlink/?linkid=870924
Comment:
    78,754 PY / 54,707???
Reply:
    I agree</t>
      </text>
    </comment>
    <comment ref="S669" authorId="264" shapeId="0" xr:uid="{D0444CD2-53F8-4D70-8BF8-9F723A828F08}">
      <text>
        <t>[Threaded comment]
Your version of Excel allows you to read this threaded comment; however, any edits to it will get removed if the file is opened in a newer version of Excel. Learn more: https://go.microsoft.com/fwlink/?linkid=870924
Comment:
    83,764 PY / 59,894???
Reply:
    I agree</t>
      </text>
    </comment>
    <comment ref="T669" authorId="265" shapeId="0" xr:uid="{A3E3EA83-CEEA-4F86-B0D2-A36222D05AE6}">
      <text>
        <t>[Threaded comment]
Your version of Excel allows you to read this threaded comment; however, any edits to it will get removed if the file is opened in a newer version of Excel. Learn more: https://go.microsoft.com/fwlink/?linkid=870924
Comment:
    78,754 PY / 54,707???
Reply:
    I agree</t>
      </text>
    </comment>
    <comment ref="S670" authorId="266" shapeId="0" xr:uid="{A1682FD6-192A-481F-8A04-719BC697A7C4}">
      <text>
        <t>[Threaded comment]
Your version of Excel allows you to read this threaded comment; however, any edits to it will get removed if the file is opened in a newer version of Excel. Learn more: https://go.microsoft.com/fwlink/?linkid=870924
Comment:
    83,764 PY / 59,894???
Reply:
    I agree</t>
      </text>
    </comment>
    <comment ref="T670" authorId="267" shapeId="0" xr:uid="{90C4FABA-3010-493F-AF0B-5523AAA7F616}">
      <text>
        <t>[Threaded comment]
Your version of Excel allows you to read this threaded comment; however, any edits to it will get removed if the file is opened in a newer version of Excel. Learn more: https://go.microsoft.com/fwlink/?linkid=870924
Comment:
    78,754 PY / 54,707???
Reply:
    I agree</t>
      </text>
    </comment>
    <comment ref="S671" authorId="268" shapeId="0" xr:uid="{7D4892FC-60EB-4E2B-9DD2-C6735FC7465F}">
      <text>
        <t>[Threaded comment]
Your version of Excel allows you to read this threaded comment; however, any edits to it will get removed if the file is opened in a newer version of Excel. Learn more: https://go.microsoft.com/fwlink/?linkid=870924
Comment:
    83,764 PY / 59,894???
Reply:
    I agree</t>
      </text>
    </comment>
    <comment ref="T671" authorId="269" shapeId="0" xr:uid="{52F5AE70-4736-43A6-B748-1E073871C54F}">
      <text>
        <t>[Threaded comment]
Your version of Excel allows you to read this threaded comment; however, any edits to it will get removed if the file is opened in a newer version of Excel. Learn more: https://go.microsoft.com/fwlink/?linkid=870924
Comment:
    78,754 PY / 54,707???
Reply:
    I agree</t>
      </text>
    </comment>
    <comment ref="S672" authorId="270" shapeId="0" xr:uid="{F830CD25-B57C-4513-B5ED-1BAF9C01DFBB}">
      <text>
        <t>[Threaded comment]
Your version of Excel allows you to read this threaded comment; however, any edits to it will get removed if the file is opened in a newer version of Excel. Learn more: https://go.microsoft.com/fwlink/?linkid=870924
Comment:
    83,764 PY / 59,894???
Reply:
    I agree</t>
      </text>
    </comment>
    <comment ref="T672" authorId="271" shapeId="0" xr:uid="{D48AFA19-8C3F-42A1-88D7-75D177619210}">
      <text>
        <t>[Threaded comment]
Your version of Excel allows you to read this threaded comment; however, any edits to it will get removed if the file is opened in a newer version of Excel. Learn more: https://go.microsoft.com/fwlink/?linkid=870924
Comment:
    78,754 PY / 54,707???
Reply:
    I agree</t>
      </text>
    </comment>
    <comment ref="A673" authorId="272" shapeId="0" xr:uid="{B1340D6E-3222-4D25-BACA-3F899061195C}">
      <text>
        <t>[Threaded comment]
Your version of Excel allows you to read this threaded comment; however, any edits to it will get removed if the file is opened in a newer version of Excel. Learn more: https://go.microsoft.com/fwlink/?linkid=870924
Comment:
    I agree</t>
      </text>
    </comment>
    <comment ref="S673" authorId="273" shapeId="0" xr:uid="{A95DD118-5B90-48E2-B2D7-39070AC3BACE}">
      <text>
        <t>[Threaded comment]
Your version of Excel allows you to read this threaded comment; however, any edits to it will get removed if the file is opened in a newer version of Excel. Learn more: https://go.microsoft.com/fwlink/?linkid=870924
Comment:
    83,764 PY / 59,894???
Reply:
    I agree</t>
      </text>
    </comment>
    <comment ref="T673" authorId="274" shapeId="0" xr:uid="{E8E85180-18A6-4E75-9D34-300FCE7C9307}">
      <text>
        <t>[Threaded comment]
Your version of Excel allows you to read this threaded comment; however, any edits to it will get removed if the file is opened in a newer version of Excel. Learn more: https://go.microsoft.com/fwlink/?linkid=870924
Comment:
    78,754 PY / 54,707???
Reply:
    I agree</t>
      </text>
    </comment>
    <comment ref="S674" authorId="275" shapeId="0" xr:uid="{5A2A307A-D4F2-4500-8747-A009B1FA59DC}">
      <text>
        <t>[Threaded comment]
Your version of Excel allows you to read this threaded comment; however, any edits to it will get removed if the file is opened in a newer version of Excel. Learn more: https://go.microsoft.com/fwlink/?linkid=870924
Comment:
    83,764 PY / 59,894???
Reply:
    I agree</t>
      </text>
    </comment>
    <comment ref="T674" authorId="276" shapeId="0" xr:uid="{39636723-477E-4FC2-8431-645D177CA177}">
      <text>
        <t>[Threaded comment]
Your version of Excel allows you to read this threaded comment; however, any edits to it will get removed if the file is opened in a newer version of Excel. Learn more: https://go.microsoft.com/fwlink/?linkid=870924
Comment:
    78,754 PY / 54,707???
Reply:
    I agree</t>
      </text>
    </comment>
    <comment ref="S675" authorId="277" shapeId="0" xr:uid="{E2E9BCCE-B1BB-4362-B009-B6EAC3C29B0B}">
      <text>
        <t>[Threaded comment]
Your version of Excel allows you to read this threaded comment; however, any edits to it will get removed if the file is opened in a newer version of Excel. Learn more: https://go.microsoft.com/fwlink/?linkid=870924
Comment:
    344,404 PY / 78,969???
Reply:
    I agree</t>
      </text>
    </comment>
    <comment ref="S676" authorId="278" shapeId="0" xr:uid="{52BEE41E-177E-4D6D-9DFD-DFF567B24CE3}">
      <text>
        <t>[Threaded comment]
Your version of Excel allows you to read this threaded comment; however, any edits to it will get removed if the file is opened in a newer version of Excel. Learn more: https://go.microsoft.com/fwlink/?linkid=870924
Comment:
    344,404 PY / 78,969???
Reply:
    I agree</t>
      </text>
    </comment>
    <comment ref="S677" authorId="279" shapeId="0" xr:uid="{91A457FF-3A1A-4B52-9032-A8B1EE455C1D}">
      <text>
        <t>[Threaded comment]
Your version of Excel allows you to read this threaded comment; however, any edits to it will get removed if the file is opened in a newer version of Excel. Learn more: https://go.microsoft.com/fwlink/?linkid=870924
Comment:
    344,404 PY / 78,969???
Reply:
    I agree</t>
      </text>
    </comment>
    <comment ref="S678" authorId="280" shapeId="0" xr:uid="{906D063E-9956-4964-A388-C13C6AB0581B}">
      <text>
        <t>[Threaded comment]
Your version of Excel allows you to read this threaded comment; however, any edits to it will get removed if the file is opened in a newer version of Excel. Learn more: https://go.microsoft.com/fwlink/?linkid=870924
Comment:
    344,404 PY / 78,969???
Reply:
    I agree</t>
      </text>
    </comment>
    <comment ref="T678" authorId="281" shapeId="0" xr:uid="{E34AF1EF-6838-4025-A78D-DFEC311E37B6}">
      <text>
        <t>[Threaded comment]
Your version of Excel allows you to read this threaded comment; however, any edits to it will get removed if the file is opened in a newer version of Excel. Learn more: https://go.microsoft.com/fwlink/?linkid=870924
Comment:
    329,326 PY / 74,739???
Reply:
    OK</t>
      </text>
    </comment>
    <comment ref="S679" authorId="282" shapeId="0" xr:uid="{498FB116-28BC-4F4A-AAA9-8011F7437A8A}">
      <text>
        <t>[Threaded comment]
Your version of Excel allows you to read this threaded comment; however, any edits to it will get removed if the file is opened in a newer version of Excel. Learn more: https://go.microsoft.com/fwlink/?linkid=870924
Comment:
    344,404 PY / 78,969???
Reply:
    I agree</t>
      </text>
    </comment>
    <comment ref="T679" authorId="283" shapeId="0" xr:uid="{519B1BD6-D9EF-4F2E-B0E6-3657FA8DABA2}">
      <text>
        <t>[Threaded comment]
Your version of Excel allows you to read this threaded comment; however, any edits to it will get removed if the file is opened in a newer version of Excel. Learn more: https://go.microsoft.com/fwlink/?linkid=870924
Comment:
    329,326 PY / 74,739???
Reply:
    OK</t>
      </text>
    </comment>
    <comment ref="S680" authorId="284" shapeId="0" xr:uid="{EE24F39D-0E1A-4C80-8D7C-1BCB92C64EAD}">
      <text>
        <t>[Threaded comment]
Your version of Excel allows you to read this threaded comment; however, any edits to it will get removed if the file is opened in a newer version of Excel. Learn more: https://go.microsoft.com/fwlink/?linkid=870924
Comment:
    344,404 PY / 78,969???
Reply:
    I agree</t>
      </text>
    </comment>
    <comment ref="T680" authorId="285" shapeId="0" xr:uid="{61C41B91-B192-4900-B49B-5419DE616018}">
      <text>
        <t>[Threaded comment]
Your version of Excel allows you to read this threaded comment; however, any edits to it will get removed if the file is opened in a newer version of Excel. Learn more: https://go.microsoft.com/fwlink/?linkid=870924
Comment:
    329,326 PY / 74,739???
Reply:
    OK</t>
      </text>
    </comment>
    <comment ref="S681" authorId="286" shapeId="0" xr:uid="{816A059B-5C4C-499B-8A97-016A007CE627}">
      <text>
        <t>[Threaded comment]
Your version of Excel allows you to read this threaded comment; however, any edits to it will get removed if the file is opened in a newer version of Excel. Learn more: https://go.microsoft.com/fwlink/?linkid=870924
Comment:
    344,404 PY / 78,969???
Reply:
    I agree</t>
      </text>
    </comment>
    <comment ref="T681" authorId="287" shapeId="0" xr:uid="{DEEC9393-6B80-4A89-A907-0C28D5D938AA}">
      <text>
        <t>[Threaded comment]
Your version of Excel allows you to read this threaded comment; however, any edits to it will get removed if the file is opened in a newer version of Excel. Learn more: https://go.microsoft.com/fwlink/?linkid=870924
Comment:
    329,326 PY / 74,739???
Reply:
    OK</t>
      </text>
    </comment>
    <comment ref="S682" authorId="288" shapeId="0" xr:uid="{0289F287-BD2C-4AA4-BD69-2DF7F409BEEC}">
      <text>
        <t>[Threaded comment]
Your version of Excel allows you to read this threaded comment; however, any edits to it will get removed if the file is opened in a newer version of Excel. Learn more: https://go.microsoft.com/fwlink/?linkid=870924
Comment:
    344,404 PY / 78,969???
Reply:
    I agree</t>
      </text>
    </comment>
    <comment ref="T682" authorId="289" shapeId="0" xr:uid="{B835EBBE-F666-4D80-B2BD-B7DFF93E5DB1}">
      <text>
        <t>[Threaded comment]
Your version of Excel allows you to read this threaded comment; however, any edits to it will get removed if the file is opened in a newer version of Excel. Learn more: https://go.microsoft.com/fwlink/?linkid=870924
Comment:
    329,326 PY / 74,739???
Reply:
    OK</t>
      </text>
    </comment>
    <comment ref="S683" authorId="290" shapeId="0" xr:uid="{8AD723F6-A595-4337-BE31-77F56E1E32F9}">
      <text>
        <t>[Threaded comment]
Your version of Excel allows you to read this threaded comment; however, any edits to it will get removed if the file is opened in a newer version of Excel. Learn more: https://go.microsoft.com/fwlink/?linkid=870924
Comment:
    344,404 PY / 78,969???
Reply:
    I agree</t>
      </text>
    </comment>
    <comment ref="T683" authorId="291" shapeId="0" xr:uid="{808FB1B1-B503-49FB-A87B-60ABED3C9E3A}">
      <text>
        <t>[Threaded comment]
Your version of Excel allows you to read this threaded comment; however, any edits to it will get removed if the file is opened in a newer version of Excel. Learn more: https://go.microsoft.com/fwlink/?linkid=870924
Comment:
    329,326 PY / 74,739???
Reply:
    OK</t>
      </text>
    </comment>
    <comment ref="S684" authorId="292" shapeId="0" xr:uid="{F58D399C-FD26-4DE5-ACAD-99885D01E1A1}">
      <text>
        <t>[Threaded comment]
Your version of Excel allows you to read this threaded comment; however, any edits to it will get removed if the file is opened in a newer version of Excel. Learn more: https://go.microsoft.com/fwlink/?linkid=870924
Comment:
    344,404 PY / 78,969???
Reply:
    I agree</t>
      </text>
    </comment>
    <comment ref="T684" authorId="293" shapeId="0" xr:uid="{41961928-9844-4DDA-A2D3-1ACEA060E035}">
      <text>
        <t>[Threaded comment]
Your version of Excel allows you to read this threaded comment; however, any edits to it will get removed if the file is opened in a newer version of Excel. Learn more: https://go.microsoft.com/fwlink/?linkid=870924
Comment:
    329,326 PY / 74,739???
Reply:
    OK</t>
      </text>
    </comment>
    <comment ref="S685" authorId="294" shapeId="0" xr:uid="{7432C16B-DD08-4FB5-9010-41CF57E8A634}">
      <text>
        <t>[Threaded comment]
Your version of Excel allows you to read this threaded comment; however, any edits to it will get removed if the file is opened in a newer version of Excel. Learn more: https://go.microsoft.com/fwlink/?linkid=870924
Comment:
    344,404 PY / 78,969???
Reply:
    I agree</t>
      </text>
    </comment>
    <comment ref="T685" authorId="295" shapeId="0" xr:uid="{DAA7A13B-89E7-4C85-9185-84E9EFB278DB}">
      <text>
        <t>[Threaded comment]
Your version of Excel allows you to read this threaded comment; however, any edits to it will get removed if the file is opened in a newer version of Excel. Learn more: https://go.microsoft.com/fwlink/?linkid=870924
Comment:
    329,326 PY / 74,739???
Reply:
    OK</t>
      </text>
    </comment>
    <comment ref="S686" authorId="296" shapeId="0" xr:uid="{454A401D-D9C3-49E5-A912-39CC05722D7B}">
      <text>
        <t>[Threaded comment]
Your version of Excel allows you to read this threaded comment; however, any edits to it will get removed if the file is opened in a newer version of Excel. Learn more: https://go.microsoft.com/fwlink/?linkid=870924
Comment:
    344,404 PY / 78,969???
Reply:
    I agree</t>
      </text>
    </comment>
    <comment ref="T686" authorId="297" shapeId="0" xr:uid="{7D842230-2534-438F-9DB6-2A9F757066EF}">
      <text>
        <t>[Threaded comment]
Your version of Excel allows you to read this threaded comment; however, any edits to it will get removed if the file is opened in a newer version of Excel. Learn more: https://go.microsoft.com/fwlink/?linkid=870924
Comment:
    329,326 PY / 74,739???
Reply:
    OK</t>
      </text>
    </comment>
    <comment ref="S687" authorId="298" shapeId="0" xr:uid="{92F34C4D-983F-4F1E-A32A-6B9E6E6018C4}">
      <text>
        <t>[Threaded comment]
Your version of Excel allows you to read this threaded comment; however, any edits to it will get removed if the file is opened in a newer version of Excel. Learn more: https://go.microsoft.com/fwlink/?linkid=870924
Comment:
    344,404 PY / 78,969???
Reply:
    I agree</t>
      </text>
    </comment>
    <comment ref="T687" authorId="299" shapeId="0" xr:uid="{3C2BBEC1-ACFB-48DC-8C0C-2DD3CFA98513}">
      <text>
        <t>[Threaded comment]
Your version of Excel allows you to read this threaded comment; however, any edits to it will get removed if the file is opened in a newer version of Excel. Learn more: https://go.microsoft.com/fwlink/?linkid=870924
Comment:
    329,326 PY / 74,739???
Reply:
    OK</t>
      </text>
    </comment>
    <comment ref="S688" authorId="300" shapeId="0" xr:uid="{850F9951-62C1-47F5-82B4-D443E57D0689}">
      <text>
        <t>[Threaded comment]
Your version of Excel allows you to read this threaded comment; however, any edits to it will get removed if the file is opened in a newer version of Excel. Learn more: https://go.microsoft.com/fwlink/?linkid=870924
Comment:
    344,404 PY / 78,969???
Reply:
    I agree</t>
      </text>
    </comment>
    <comment ref="T688" authorId="301" shapeId="0" xr:uid="{AE4800A4-83E2-47F8-BC83-52AF67AB5993}">
      <text>
        <t>[Threaded comment]
Your version of Excel allows you to read this threaded comment; however, any edits to it will get removed if the file is opened in a newer version of Excel. Learn more: https://go.microsoft.com/fwlink/?linkid=870924
Comment:
    329,326 PY / 74,739???
Reply:
    OK</t>
      </text>
    </comment>
    <comment ref="S689" authorId="302" shapeId="0" xr:uid="{FF014E72-A48B-468C-B044-42E420A640D1}">
      <text>
        <t>[Threaded comment]
Your version of Excel allows you to read this threaded comment; however, any edits to it will get removed if the file is opened in a newer version of Excel. Learn more: https://go.microsoft.com/fwlink/?linkid=870924
Comment:
    344,404 PY / 78,969???
Reply:
    I agree</t>
      </text>
    </comment>
    <comment ref="T689" authorId="303" shapeId="0" xr:uid="{6850A21C-941F-4727-A4F0-3DB14ADDDE94}">
      <text>
        <t>[Threaded comment]
Your version of Excel allows you to read this threaded comment; however, any edits to it will get removed if the file is opened in a newer version of Excel. Learn more: https://go.microsoft.com/fwlink/?linkid=870924
Comment:
    329,326 PY / 74,739???
Reply:
    OK</t>
      </text>
    </comment>
    <comment ref="S690" authorId="304" shapeId="0" xr:uid="{EC6083EE-8CFB-47EA-94F5-25D94EACA03A}">
      <text>
        <t>[Threaded comment]
Your version of Excel allows you to read this threaded comment; however, any edits to it will get removed if the file is opened in a newer version of Excel. Learn more: https://go.microsoft.com/fwlink/?linkid=870924
Comment:
    344,404 PY / 78,969???
Reply:
    I agree</t>
      </text>
    </comment>
    <comment ref="T690" authorId="305" shapeId="0" xr:uid="{123834BF-01D2-4CB6-B915-F78E87CB8ECF}">
      <text>
        <t>[Threaded comment]
Your version of Excel allows you to read this threaded comment; however, any edits to it will get removed if the file is opened in a newer version of Excel. Learn more: https://go.microsoft.com/fwlink/?linkid=870924
Comment:
    329,326 PY / 74,739???
Reply:
    OK</t>
      </text>
    </comment>
    <comment ref="S691" authorId="306" shapeId="0" xr:uid="{CCE132F6-1E40-4B32-9362-55E923FB7933}">
      <text>
        <t>[Threaded comment]
Your version of Excel allows you to read this threaded comment; however, any edits to it will get removed if the file is opened in a newer version of Excel. Learn more: https://go.microsoft.com/fwlink/?linkid=870924
Comment:
    469,089 PY / 96,517???
Reply:
    I agree</t>
      </text>
    </comment>
    <comment ref="AN691" authorId="307" shapeId="0" xr:uid="{24252402-8782-4C8A-8079-1D864AE57B37}">
      <text>
        <t>[Threaded comment]
Your version of Excel allows you to read this threaded comment; however, any edits to it will get removed if the file is opened in a newer version of Excel. Learn more: https://go.microsoft.com/fwlink/?linkid=870924
Comment:
    Per 1,000 SCREENED subjects.</t>
      </text>
    </comment>
    <comment ref="S692" authorId="308" shapeId="0" xr:uid="{2A658B87-C91A-4802-9FCB-AE947373F5E1}">
      <text>
        <t>[Threaded comment]
Your version of Excel allows you to read this threaded comment; however, any edits to it will get removed if the file is opened in a newer version of Excel. Learn more: https://go.microsoft.com/fwlink/?linkid=870924
Comment:
    469,089 PY / 96,517???
Reply:
    I agree</t>
      </text>
    </comment>
    <comment ref="S693" authorId="309" shapeId="0" xr:uid="{B3A40D44-F2E8-43BF-93E2-731CCCC8D350}">
      <text>
        <t>[Threaded comment]
Your version of Excel allows you to read this threaded comment; however, any edits to it will get removed if the file is opened in a newer version of Excel. Learn more: https://go.microsoft.com/fwlink/?linkid=870924
Comment:
    469,089 PY / 96,517???
Reply:
    I agree</t>
      </text>
    </comment>
    <comment ref="S694" authorId="310" shapeId="0" xr:uid="{C3CC597D-D57D-48FA-B746-DF2832F8D687}">
      <text>
        <t>[Threaded comment]
Your version of Excel allows you to read this threaded comment; however, any edits to it will get removed if the file is opened in a newer version of Excel. Learn more: https://go.microsoft.com/fwlink/?linkid=870924
Comment:
    469,089 PY / 96,517???
Reply:
    I agree</t>
      </text>
    </comment>
    <comment ref="S695" authorId="311" shapeId="0" xr:uid="{FAFBDD8C-CDAD-46CA-B0FE-1681F67B18DC}">
      <text>
        <t>[Threaded comment]
Your version of Excel allows you to read this threaded comment; however, any edits to it will get removed if the file is opened in a newer version of Excel. Learn more: https://go.microsoft.com/fwlink/?linkid=870924
Comment:
    469,089 PY / 96,517???
Reply:
    I agree</t>
      </text>
    </comment>
    <comment ref="T695" authorId="312" shapeId="0" xr:uid="{F1F451F7-DD83-4988-A4BD-53F43B1A087A}">
      <text>
        <t>[Threaded comment]
Your version of Excel allows you to read this threaded comment; however, any edits to it will get removed if the file is opened in a newer version of Excel. Learn more: https://go.microsoft.com/fwlink/?linkid=870924
Comment:
    419,748 PY / 95,356???
Reply:
    I agree</t>
      </text>
    </comment>
    <comment ref="S696" authorId="313" shapeId="0" xr:uid="{38847C0C-3E95-4B71-9078-3ED5A956289E}">
      <text>
        <t>[Threaded comment]
Your version of Excel allows you to read this threaded comment; however, any edits to it will get removed if the file is opened in a newer version of Excel. Learn more: https://go.microsoft.com/fwlink/?linkid=870924
Comment:
    469,089 PY / 96,517???
Reply:
    I agree</t>
      </text>
    </comment>
    <comment ref="T696" authorId="314" shapeId="0" xr:uid="{1D9E82EE-DEFD-4FC6-98E6-E20CF27C3D57}">
      <text>
        <t>[Threaded comment]
Your version of Excel allows you to read this threaded comment; however, any edits to it will get removed if the file is opened in a newer version of Excel. Learn more: https://go.microsoft.com/fwlink/?linkid=870924
Comment:
    419,748 PY / 95,356???
Reply:
    I agree</t>
      </text>
    </comment>
    <comment ref="S697" authorId="315" shapeId="0" xr:uid="{B48BD62B-9774-40AA-B94D-01F1DA94FF03}">
      <text>
        <t>[Threaded comment]
Your version of Excel allows you to read this threaded comment; however, any edits to it will get removed if the file is opened in a newer version of Excel. Learn more: https://go.microsoft.com/fwlink/?linkid=870924
Comment:
    469,089 PY / 96,517???
Reply:
    I agree</t>
      </text>
    </comment>
    <comment ref="T697" authorId="316" shapeId="0" xr:uid="{9550FEE2-05CC-4F3B-9BA6-C1F234AC945B}">
      <text>
        <t>[Threaded comment]
Your version of Excel allows you to read this threaded comment; however, any edits to it will get removed if the file is opened in a newer version of Excel. Learn more: https://go.microsoft.com/fwlink/?linkid=870924
Comment:
    419,748 PY / 95,356???
Reply:
    I agree</t>
      </text>
    </comment>
    <comment ref="S698" authorId="317" shapeId="0" xr:uid="{E0ED2DC4-B0DF-48BC-92C9-26211CC0451D}">
      <text>
        <t>[Threaded comment]
Your version of Excel allows you to read this threaded comment; however, any edits to it will get removed if the file is opened in a newer version of Excel. Learn more: https://go.microsoft.com/fwlink/?linkid=870924
Comment:
    469,089 PY / 96,517???
Reply:
    I agree</t>
      </text>
    </comment>
    <comment ref="T698" authorId="318" shapeId="0" xr:uid="{FC7D101B-A04C-446F-AFCC-B063EC4180B2}">
      <text>
        <t>[Threaded comment]
Your version of Excel allows you to read this threaded comment; however, any edits to it will get removed if the file is opened in a newer version of Excel. Learn more: https://go.microsoft.com/fwlink/?linkid=870924
Comment:
    419,748 PY / 95,356???
Reply:
    I agree</t>
      </text>
    </comment>
    <comment ref="S699" authorId="319" shapeId="0" xr:uid="{46F02858-1265-469A-99F4-71D46F83D60B}">
      <text>
        <t>[Threaded comment]
Your version of Excel allows you to read this threaded comment; however, any edits to it will get removed if the file is opened in a newer version of Excel. Learn more: https://go.microsoft.com/fwlink/?linkid=870924
Comment:
    469,089 PY / 96,517???
Reply:
    I agree</t>
      </text>
    </comment>
    <comment ref="T699" authorId="320" shapeId="0" xr:uid="{A606527B-0B72-48C9-A4AF-46F899263DE8}">
      <text>
        <t>[Threaded comment]
Your version of Excel allows you to read this threaded comment; however, any edits to it will get removed if the file is opened in a newer version of Excel. Learn more: https://go.microsoft.com/fwlink/?linkid=870924
Comment:
    419,748 PY / 95,356???
Reply:
    I agree</t>
      </text>
    </comment>
    <comment ref="S700" authorId="321" shapeId="0" xr:uid="{5EFEDACB-8386-4537-AB2C-6F44362F4F04}">
      <text>
        <t>[Threaded comment]
Your version of Excel allows you to read this threaded comment; however, any edits to it will get removed if the file is opened in a newer version of Excel. Learn more: https://go.microsoft.com/fwlink/?linkid=870924
Comment:
    469,089 PY / 96,517???
Reply:
    I agree</t>
      </text>
    </comment>
    <comment ref="T700" authorId="322" shapeId="0" xr:uid="{3F5E903D-0BC3-4BF6-896F-4CF55C0B63E9}">
      <text>
        <t>[Threaded comment]
Your version of Excel allows you to read this threaded comment; however, any edits to it will get removed if the file is opened in a newer version of Excel. Learn more: https://go.microsoft.com/fwlink/?linkid=870924
Comment:
    419,748 PY / 95,356???
Reply:
    I agree</t>
      </text>
    </comment>
    <comment ref="S701" authorId="323" shapeId="0" xr:uid="{A2FC1DE9-18BB-4009-BB27-FD26377B6BAB}">
      <text>
        <t>[Threaded comment]
Your version of Excel allows you to read this threaded comment; however, any edits to it will get removed if the file is opened in a newer version of Excel. Learn more: https://go.microsoft.com/fwlink/?linkid=870924
Comment:
    469,089 PY / 96,517???
Reply:
    I agree</t>
      </text>
    </comment>
    <comment ref="T701" authorId="324" shapeId="0" xr:uid="{5FF5AFBE-70FF-4C80-80F5-1A0CD25EB7B3}">
      <text>
        <t>[Threaded comment]
Your version of Excel allows you to read this threaded comment; however, any edits to it will get removed if the file is opened in a newer version of Excel. Learn more: https://go.microsoft.com/fwlink/?linkid=870924
Comment:
    419,748 PY / 95,356???
Reply:
    I agree</t>
      </text>
    </comment>
    <comment ref="S702" authorId="325" shapeId="0" xr:uid="{EE71A0F3-9F12-4DF6-B605-F60225A0A33B}">
      <text>
        <t>[Threaded comment]
Your version of Excel allows you to read this threaded comment; however, any edits to it will get removed if the file is opened in a newer version of Excel. Learn more: https://go.microsoft.com/fwlink/?linkid=870924
Comment:
    469,089 PY / 96,517???
Reply:
    I agree</t>
      </text>
    </comment>
    <comment ref="T702" authorId="326" shapeId="0" xr:uid="{37C12E6B-80AC-44BB-BBAE-3B384FFA41C6}">
      <text>
        <t>[Threaded comment]
Your version of Excel allows you to read this threaded comment; however, any edits to it will get removed if the file is opened in a newer version of Excel. Learn more: https://go.microsoft.com/fwlink/?linkid=870924
Comment:
    419,748 PY / 95,356???
Reply:
    I agree</t>
      </text>
    </comment>
    <comment ref="S703" authorId="327" shapeId="0" xr:uid="{D5C11FF8-F3F9-4614-8465-831845A09F61}">
      <text>
        <t>[Threaded comment]
Your version of Excel allows you to read this threaded comment; however, any edits to it will get removed if the file is opened in a newer version of Excel. Learn more: https://go.microsoft.com/fwlink/?linkid=870924
Comment:
    469,089 PY / 96,517???
Reply:
    I agree</t>
      </text>
    </comment>
    <comment ref="T703" authorId="328" shapeId="0" xr:uid="{99E73646-7087-400B-94ED-BC1630592409}">
      <text>
        <t>[Threaded comment]
Your version of Excel allows you to read this threaded comment; however, any edits to it will get removed if the file is opened in a newer version of Excel. Learn more: https://go.microsoft.com/fwlink/?linkid=870924
Comment:
    419,748 PY / 95,356???
Reply:
    I agree</t>
      </text>
    </comment>
    <comment ref="S704" authorId="329" shapeId="0" xr:uid="{99F972BB-9DCB-4BED-A0AA-5774253BC788}">
      <text>
        <t>[Threaded comment]
Your version of Excel allows you to read this threaded comment; however, any edits to it will get removed if the file is opened in a newer version of Excel. Learn more: https://go.microsoft.com/fwlink/?linkid=870924
Comment:
    469,089 PY / 96,517???
Reply:
    I agree</t>
      </text>
    </comment>
    <comment ref="T704" authorId="330" shapeId="0" xr:uid="{FBFF409E-9923-4DC1-A990-9666CE4CE923}">
      <text>
        <t>[Threaded comment]
Your version of Excel allows you to read this threaded comment; however, any edits to it will get removed if the file is opened in a newer version of Excel. Learn more: https://go.microsoft.com/fwlink/?linkid=870924
Comment:
    419,748 PY / 95,356???
Reply:
    I agree</t>
      </text>
    </comment>
    <comment ref="S705" authorId="331" shapeId="0" xr:uid="{7929FF13-1185-4E21-AACC-42F4E6656F64}">
      <text>
        <t>[Threaded comment]
Your version of Excel allows you to read this threaded comment; however, any edits to it will get removed if the file is opened in a newer version of Excel. Learn more: https://go.microsoft.com/fwlink/?linkid=870924
Comment:
    469,089 PY / 96,517???
Reply:
    I agree</t>
      </text>
    </comment>
    <comment ref="T705" authorId="332" shapeId="0" xr:uid="{6F5BA50D-3579-4D93-AA33-AB479EA4B5E2}">
      <text>
        <t>[Threaded comment]
Your version of Excel allows you to read this threaded comment; however, any edits to it will get removed if the file is opened in a newer version of Excel. Learn more: https://go.microsoft.com/fwlink/?linkid=870924
Comment:
    419,748 PY / 95,356???
Reply:
    I agree</t>
      </text>
    </comment>
    <comment ref="S706" authorId="333" shapeId="0" xr:uid="{B8A56A64-8675-4CFC-931B-40D352F37063}">
      <text>
        <t>[Threaded comment]
Your version of Excel allows you to read this threaded comment; however, any edits to it will get removed if the file is opened in a newer version of Excel. Learn more: https://go.microsoft.com/fwlink/?linkid=870924
Comment:
    469,089 PY / 96,517???
Reply:
    I agree</t>
      </text>
    </comment>
    <comment ref="T706" authorId="334" shapeId="0" xr:uid="{ACC30742-936D-4885-A112-14C386291D69}">
      <text>
        <t>[Threaded comment]
Your version of Excel allows you to read this threaded comment; however, any edits to it will get removed if the file is opened in a newer version of Excel. Learn more: https://go.microsoft.com/fwlink/?linkid=870924
Comment:
    419,748 PY / 95,356???
Reply:
    I agree</t>
      </text>
    </comment>
    <comment ref="S707" authorId="335" shapeId="0" xr:uid="{84CB4FB9-B241-4299-BB3F-9D598ED16A85}">
      <text>
        <t>[Threaded comment]
Your version of Excel allows you to read this threaded comment; however, any edits to it will get removed if the file is opened in a newer version of Excel. Learn more: https://go.microsoft.com/fwlink/?linkid=870924
Comment:
    469,089 PY / 96,517???
Reply:
    I agree</t>
      </text>
    </comment>
    <comment ref="T707" authorId="336" shapeId="0" xr:uid="{22EC8268-E97B-4F65-BA4C-0E89A0A91E71}">
      <text>
        <t>[Threaded comment]
Your version of Excel allows you to read this threaded comment; however, any edits to it will get removed if the file is opened in a newer version of Excel. Learn more: https://go.microsoft.com/fwlink/?linkid=870924
Comment:
    419,748 PY / 95,356???
Reply:
    I agree</t>
      </text>
    </comment>
    <comment ref="S708" authorId="337" shapeId="0" xr:uid="{F9EE7E48-2CF3-4D61-9053-DD7D35CF9122}">
      <text>
        <t>[Threaded comment]
Your version of Excel allows you to read this threaded comment; however, any edits to it will get removed if the file is opened in a newer version of Excel. Learn more: https://go.microsoft.com/fwlink/?linkid=870924
Comment:
    895,310 PY / 96,517 ???
Reply:
    I agree, but I'm unsure why PY are reported differently in Fig1</t>
      </text>
    </comment>
    <comment ref="S709" authorId="338" shapeId="0" xr:uid="{B1954CB1-B32D-4DE0-93DC-0130CE75DF5C}">
      <text>
        <t>[Threaded comment]
Your version of Excel allows you to read this threaded comment; however, any edits to it will get removed if the file is opened in a newer version of Excel. Learn more: https://go.microsoft.com/fwlink/?linkid=870924
Comment:
    895,310 PY / 96,517 ???
Reply:
    I agree, but I'm unsure why PY are reported differently in Fig1</t>
      </text>
    </comment>
    <comment ref="S710" authorId="339" shapeId="0" xr:uid="{E7B99A1C-3F46-43AE-B994-E1DE50E34BBF}">
      <text>
        <t>[Threaded comment]
Your version of Excel allows you to read this threaded comment; however, any edits to it will get removed if the file is opened in a newer version of Excel. Learn more: https://go.microsoft.com/fwlink/?linkid=870924
Comment:
    895,310 PY / 96,517 ???
Reply:
    I agree, but I'm unsure why PY are reported differently in Fig1</t>
      </text>
    </comment>
    <comment ref="S711" authorId="340" shapeId="0" xr:uid="{F0938279-5F8B-4AAC-A1F7-41F47CC8F3A5}">
      <text>
        <t>[Threaded comment]
Your version of Excel allows you to read this threaded comment; however, any edits to it will get removed if the file is opened in a newer version of Excel. Learn more: https://go.microsoft.com/fwlink/?linkid=870924
Comment:
    895,310 PY / 96,517 ???
Reply:
    I agree, but I'm unsure why PY are reported differently in Fig1</t>
      </text>
    </comment>
    <comment ref="S712" authorId="341" shapeId="0" xr:uid="{112BF5A8-9D2C-421D-9C76-2CF00F719103}">
      <text>
        <t>[Threaded comment]
Your version of Excel allows you to read this threaded comment; however, any edits to it will get removed if the file is opened in a newer version of Excel. Learn more: https://go.microsoft.com/fwlink/?linkid=870924
Comment:
    895,310 PY / 96,517 ???
Reply:
    I agree, but I'm unsure why PY are reported differently in Fig1</t>
      </text>
    </comment>
    <comment ref="T712" authorId="342" shapeId="0" xr:uid="{208FE9F3-91A1-4FC3-8DD9-26D6D0B82DD7}">
      <text>
        <t>[Threaded comment]
Your version of Excel allows you to read this threaded comment; however, any edits to it will get removed if the file is opened in a newer version of Excel. Learn more: https://go.microsoft.com/fwlink/?linkid=870924
Comment:
    897,610 PY / 95,356???
Reply:
    I agree, but I am confused why the number of PY is reported differently in Fig1</t>
      </text>
    </comment>
    <comment ref="S713" authorId="343" shapeId="0" xr:uid="{87663D76-33D7-40D3-8947-7E1FBF6CD547}">
      <text>
        <t>[Threaded comment]
Your version of Excel allows you to read this threaded comment; however, any edits to it will get removed if the file is opened in a newer version of Excel. Learn more: https://go.microsoft.com/fwlink/?linkid=870924
Comment:
    895,310 PY / 96,517 ???
Reply:
    I agree, but I'm unsure why PY are reported differently in Fig1</t>
      </text>
    </comment>
    <comment ref="T713" authorId="344" shapeId="0" xr:uid="{BB7E2C45-5FE3-4853-8454-646529A3C821}">
      <text>
        <t>[Threaded comment]
Your version of Excel allows you to read this threaded comment; however, any edits to it will get removed if the file is opened in a newer version of Excel. Learn more: https://go.microsoft.com/fwlink/?linkid=870924
Comment:
    897,610 PY / 95,356???
Reply:
    I agree, but I am confused why the number of PY is reported differently in Fig1</t>
      </text>
    </comment>
    <comment ref="S714" authorId="345" shapeId="0" xr:uid="{CAC4C67C-A3E5-4D31-B7F3-FF788DBB565A}">
      <text>
        <t>[Threaded comment]
Your version of Excel allows you to read this threaded comment; however, any edits to it will get removed if the file is opened in a newer version of Excel. Learn more: https://go.microsoft.com/fwlink/?linkid=870924
Comment:
    895,310 PY / 96,517 ???
Reply:
    I agree, but I'm unsure why PY are reported differently in Fig1</t>
      </text>
    </comment>
    <comment ref="T714" authorId="346" shapeId="0" xr:uid="{E8834D76-531F-4491-966A-051CCCDB4D67}">
      <text>
        <t>[Threaded comment]
Your version of Excel allows you to read this threaded comment; however, any edits to it will get removed if the file is opened in a newer version of Excel. Learn more: https://go.microsoft.com/fwlink/?linkid=870924
Comment:
    897,610 PY / 95,356???
Reply:
    I agree, but I am confused why the number of PY is reported differently in Fig1</t>
      </text>
    </comment>
    <comment ref="S715" authorId="347" shapeId="0" xr:uid="{76AA5DC9-7F56-4F8C-824E-DC5187455E9D}">
      <text>
        <t>[Threaded comment]
Your version of Excel allows you to read this threaded comment; however, any edits to it will get removed if the file is opened in a newer version of Excel. Learn more: https://go.microsoft.com/fwlink/?linkid=870924
Comment:
    895,310 PY / 96,517 ???
Reply:
    I agree, but I'm unsure why PY are reported differently in Fig1</t>
      </text>
    </comment>
    <comment ref="T715" authorId="348" shapeId="0" xr:uid="{17E1B4F4-9711-4895-9292-EA8A552CCCA7}">
      <text>
        <t>[Threaded comment]
Your version of Excel allows you to read this threaded comment; however, any edits to it will get removed if the file is opened in a newer version of Excel. Learn more: https://go.microsoft.com/fwlink/?linkid=870924
Comment:
    897,610 PY / 95,356???
Reply:
    I agree, but I am confused why the number of PY is reported differently in Fig1</t>
      </text>
    </comment>
    <comment ref="S716" authorId="349" shapeId="0" xr:uid="{855DCE24-82BD-4949-B461-CAAD314351A7}">
      <text>
        <t>[Threaded comment]
Your version of Excel allows you to read this threaded comment; however, any edits to it will get removed if the file is opened in a newer version of Excel. Learn more: https://go.microsoft.com/fwlink/?linkid=870924
Comment:
    895,310 PY / 96,517 ???
Reply:
    I agree, but I'm unsure why PY are reported differently in Fig1</t>
      </text>
    </comment>
    <comment ref="T716" authorId="350" shapeId="0" xr:uid="{A74FCB00-00A6-4D52-8393-F2DA1F213A8D}">
      <text>
        <t>[Threaded comment]
Your version of Excel allows you to read this threaded comment; however, any edits to it will get removed if the file is opened in a newer version of Excel. Learn more: https://go.microsoft.com/fwlink/?linkid=870924
Comment:
    897,610 PY / 95,356???
Reply:
    I agree, but I am confused why the number of PY is reported differently in Fig1</t>
      </text>
    </comment>
    <comment ref="S717" authorId="351" shapeId="0" xr:uid="{134561AA-C58B-4809-96D3-EABC5A28B203}">
      <text>
        <t>[Threaded comment]
Your version of Excel allows you to read this threaded comment; however, any edits to it will get removed if the file is opened in a newer version of Excel. Learn more: https://go.microsoft.com/fwlink/?linkid=870924
Comment:
    895,310 PY / 96,517 ???
Reply:
    I agree, but I'm unsure why PY are reported differently in Fig1</t>
      </text>
    </comment>
    <comment ref="T717" authorId="352" shapeId="0" xr:uid="{A123D8D9-7707-449B-B241-C1A54ED42001}">
      <text>
        <t>[Threaded comment]
Your version of Excel allows you to read this threaded comment; however, any edits to it will get removed if the file is opened in a newer version of Excel. Learn more: https://go.microsoft.com/fwlink/?linkid=870924
Comment:
    897,610 PY / 95,356???
Reply:
    I agree, but I am confused why the number of PY is reported differently in Fig1</t>
      </text>
    </comment>
    <comment ref="S718" authorId="353" shapeId="0" xr:uid="{F7A20BC0-AEBC-47F5-AF6F-04B7CFB4E34E}">
      <text>
        <t>[Threaded comment]
Your version of Excel allows you to read this threaded comment; however, any edits to it will get removed if the file is opened in a newer version of Excel. Learn more: https://go.microsoft.com/fwlink/?linkid=870924
Comment:
    895,310 PY / 96,517 ???
Reply:
    I agree, but I'm unsure why PY are reported differently in Fig1</t>
      </text>
    </comment>
    <comment ref="T718" authorId="354" shapeId="0" xr:uid="{3B697868-C2AE-4A7B-9927-4F7D27F292B2}">
      <text>
        <t>[Threaded comment]
Your version of Excel allows you to read this threaded comment; however, any edits to it will get removed if the file is opened in a newer version of Excel. Learn more: https://go.microsoft.com/fwlink/?linkid=870924
Comment:
    897,610 PY / 95,356???
Reply:
    I agree, but I am confused why the number of PY is reported differently in Fig1</t>
      </text>
    </comment>
    <comment ref="S719" authorId="355" shapeId="0" xr:uid="{A51FF084-4562-46CD-ABD4-C55872235FE7}">
      <text>
        <t>[Threaded comment]
Your version of Excel allows you to read this threaded comment; however, any edits to it will get removed if the file is opened in a newer version of Excel. Learn more: https://go.microsoft.com/fwlink/?linkid=870924
Comment:
    895,310 PY / 96,517 ???
Reply:
    I agree, but I'm unsure why PY are reported differently in Fig1</t>
      </text>
    </comment>
    <comment ref="T719" authorId="356" shapeId="0" xr:uid="{262354FC-155E-4D61-82D3-2C2D71B75891}">
      <text>
        <t>[Threaded comment]
Your version of Excel allows you to read this threaded comment; however, any edits to it will get removed if the file is opened in a newer version of Excel. Learn more: https://go.microsoft.com/fwlink/?linkid=870924
Comment:
    897,610 PY / 95,356???
Reply:
    I agree, but I am confused why the number of PY is reported differently in Fig1</t>
      </text>
    </comment>
    <comment ref="S720" authorId="357" shapeId="0" xr:uid="{FAA521B8-224E-4C3B-9FB9-7C16AF928D53}">
      <text>
        <t>[Threaded comment]
Your version of Excel allows you to read this threaded comment; however, any edits to it will get removed if the file is opened in a newer version of Excel. Learn more: https://go.microsoft.com/fwlink/?linkid=870924
Comment:
    895,310 PY / 96,517 ???
Reply:
    I agree, but I'm unsure why PY are reported differently in Fig1</t>
      </text>
    </comment>
    <comment ref="T720" authorId="358" shapeId="0" xr:uid="{AF8A97D7-F2CA-44E1-A9F2-1E2287437762}">
      <text>
        <t>[Threaded comment]
Your version of Excel allows you to read this threaded comment; however, any edits to it will get removed if the file is opened in a newer version of Excel. Learn more: https://go.microsoft.com/fwlink/?linkid=870924
Comment:
    897,610 PY / 95,356???
Reply:
    I agree, but I am confused why the number of PY is reported differently in Fig1</t>
      </text>
    </comment>
    <comment ref="S721" authorId="359" shapeId="0" xr:uid="{C16B1899-200F-4527-BF99-E4BB4E6AB15C}">
      <text>
        <t>[Threaded comment]
Your version of Excel allows you to read this threaded comment; however, any edits to it will get removed if the file is opened in a newer version of Excel. Learn more: https://go.microsoft.com/fwlink/?linkid=870924
Comment:
    895,310 PY / 96,517 ???
Reply:
    I agree, but I'm unsure why PY are reported differently in Fig1</t>
      </text>
    </comment>
    <comment ref="T721" authorId="360" shapeId="0" xr:uid="{95DE774A-CCC9-46B9-BC3E-6074463EFDD1}">
      <text>
        <t>[Threaded comment]
Your version of Excel allows you to read this threaded comment; however, any edits to it will get removed if the file is opened in a newer version of Excel. Learn more: https://go.microsoft.com/fwlink/?linkid=870924
Comment:
    897,610 PY / 95,356???
Reply:
    I agree, but I am confused why the number of PY is reported differently in Fig1</t>
      </text>
    </comment>
    <comment ref="S722" authorId="361" shapeId="0" xr:uid="{90B07C64-2C63-44DE-9977-4F26541CB712}">
      <text>
        <t>[Threaded comment]
Your version of Excel allows you to read this threaded comment; however, any edits to it will get removed if the file is opened in a newer version of Excel. Learn more: https://go.microsoft.com/fwlink/?linkid=870924
Comment:
    895,310 PY / 96,517 ???
Reply:
    I agree, but I'm unsure why PY are reported differently in Fig1</t>
      </text>
    </comment>
    <comment ref="T722" authorId="362" shapeId="0" xr:uid="{44D1CD20-9AA1-4CAF-A9D5-43F4932381B8}">
      <text>
        <t>[Threaded comment]
Your version of Excel allows you to read this threaded comment; however, any edits to it will get removed if the file is opened in a newer version of Excel. Learn more: https://go.microsoft.com/fwlink/?linkid=870924
Comment:
    897,610 PY / 95,356???
Reply:
    I agree, but I am confused why the number of PY is reported differently in Fig1</t>
      </text>
    </comment>
    <comment ref="S723" authorId="363" shapeId="0" xr:uid="{DEDA54AC-7EF7-4EA8-A6A5-9866FAC2A04E}">
      <text>
        <t>[Threaded comment]
Your version of Excel allows you to read this threaded comment; however, any edits to it will get removed if the file is opened in a newer version of Excel. Learn more: https://go.microsoft.com/fwlink/?linkid=870924
Comment:
    895,310 PY / 96,517 ???
Reply:
    I agree, but I'm unsure why PY are reported differently in Fig1</t>
      </text>
    </comment>
    <comment ref="T723" authorId="364" shapeId="0" xr:uid="{C2513B9D-306B-48C1-B0D5-9239FC9AB5B3}">
      <text>
        <t>[Threaded comment]
Your version of Excel allows you to read this threaded comment; however, any edits to it will get removed if the file is opened in a newer version of Excel. Learn more: https://go.microsoft.com/fwlink/?linkid=870924
Comment:
    897,610 PY / 95,356???
Reply:
    I agree, but I am confused why the number of PY is reported differently in Fig1</t>
      </text>
    </comment>
    <comment ref="AW723" authorId="365" shapeId="0" xr:uid="{54D14E6B-5C95-4366-A927-2E725AF81875}">
      <text>
        <t>[Threaded comment]
Your version of Excel allows you to read this threaded comment; however, any edits to it will get removed if the file is opened in a newer version of Excel. Learn more: https://go.microsoft.com/fwlink/?linkid=870924
Comment:
    Slightly different to calculated RR.
Reply:
    Same as for mortality - I'm not sure why. Maybe the different reported PY at risk give ever so slightly different RRs?</t>
      </text>
    </comment>
    <comment ref="A724" authorId="366" shapeId="0" xr:uid="{9B7E023F-C66C-44CA-9B6C-E0326E8BBEE9}">
      <text>
        <t>[Threaded comment]
Your version of Excel allows you to read this threaded comment; however, any edits to it will get removed if the file is opened in a newer version of Excel. Learn more: https://go.microsoft.com/fwlink/?linkid=870924
Comment:
    I have not extracted data for the subgroups "Tobacco or alcohol users or both" and "People with no habits".
Reply:
    Perhaps we should? 
Reply:
    We've now agreed we won't</t>
      </text>
    </comment>
    <comment ref="S724" authorId="367" shapeId="0" xr:uid="{1750BD34-1404-4B17-BBB6-228D19E9082E}">
      <text>
        <t>[Threaded comment]
Your version of Excel allows you to read this threaded comment; however, any edits to it will get removed if the file is opened in a newer version of Excel. Learn more: https://go.microsoft.com/fwlink/?linkid=870924
Comment:
    895,310 PY / 96,517 ???
Reply:
    I agree, but I'm unsure why PY are reported differently in Fig1</t>
      </text>
    </comment>
    <comment ref="T724" authorId="368" shapeId="0" xr:uid="{8C85FF79-D292-4528-90DF-86353789976F}">
      <text>
        <t>[Threaded comment]
Your version of Excel allows you to read this threaded comment; however, any edits to it will get removed if the file is opened in a newer version of Excel. Learn more: https://go.microsoft.com/fwlink/?linkid=870924
Comment:
    897,610 PY / 95,356???
Reply:
    I agree, but I am confused why the number of PY is reported differently in Fig1</t>
      </text>
    </comment>
    <comment ref="S735" authorId="369" shapeId="0" xr:uid="{AE1A4965-F64D-4966-B970-14ECFD9679F5}">
      <text>
        <t>[Threaded comment]
Your version of Excel allows you to read this threaded comment; however, any edits to it will get removed if the file is opened in a newer version of Excel. Learn more: https://go.microsoft.com/fwlink/?linkid=870924
Comment:
    Follow-up until death, emigration or 31/12/2014; follow-up time until CRC diagnosis should be a bit shorter.
Reply:
    I agree</t>
      </text>
    </comment>
    <comment ref="S738" authorId="370" shapeId="0" xr:uid="{5152DE24-F85B-4A9D-956A-E61D180CCCAB}">
      <text>
        <t>[Threaded comment]
Your version of Excel allows you to read this threaded comment; however, any edits to it will get removed if the file is opened in a newer version of Excel. Learn more: https://go.microsoft.com/fwlink/?linkid=870924
Comment:
    Follow-up until death, emigration or 31/12/2014; follow-up time until CRC diagnosis should be a bit shorter.</t>
      </text>
    </comment>
    <comment ref="A754" authorId="371" shapeId="0" xr:uid="{FC4CE69A-F955-4244-B043-75E7D25D955A}">
      <text>
        <t>[Threaded comment]
Your version of Excel allows you to read this threaded comment; however, any edits to it will get removed if the file is opened in a newer version of Excel. Learn more: https://go.microsoft.com/fwlink/?linkid=870924
Comment:
    Supplementary Table 1 also reports cancer incidence and mortality by "Sex and age group" which I have not extracted.
Reply:
    OK</t>
      </text>
    </comment>
    <comment ref="Z758" authorId="372" shapeId="0" xr:uid="{20C8A46D-4217-41E5-A7E1-C8B89671CB07}">
      <text>
        <t>[Threaded comment]
Your version of Excel allows you to read this threaded comment; however, any edits to it will get removed if the file is opened in a newer version of Excel. Learn more: https://go.microsoft.com/fwlink/?linkid=870924
Comment:
    Where does this N come from? Should it not be 111,503?
Reply:
    Yes, sorry, it's the total number.</t>
      </text>
    </comment>
    <comment ref="AI780" authorId="373" shapeId="0" xr:uid="{4DC3FDBB-6B2D-418F-B33A-6DAE34939946}">
      <text>
        <t>[Threaded comment]
Your version of Excel allows you to read this threaded comment; however, any edits to it will get removed if the file is opened in a newer version of Excel. Learn more: https://go.microsoft.com/fwlink/?linkid=870924
Comment:
    0.71% of 423
Reply:
    I agree</t>
      </text>
    </comment>
    <comment ref="AJ780" authorId="374" shapeId="0" xr:uid="{DF11D242-5AE1-4F44-8742-DCF7431FDCA5}">
      <text>
        <t>[Threaded comment]
Your version of Excel allows you to read this threaded comment; however, any edits to it will get removed if the file is opened in a newer version of Excel. Learn more: https://go.microsoft.com/fwlink/?linkid=870924
Comment:
    0.23% of 431
Reply:
    I agree</t>
      </text>
    </comment>
    <comment ref="A781" authorId="375" shapeId="0" xr:uid="{4735BBA0-5BEE-46BD-98B4-70434A37CB87}">
      <text>
        <t>[Threaded comment]
Your version of Excel allows you to read this threaded comment; however, any edits to it will get removed if the file is opened in a newer version of Excel. Learn more: https://go.microsoft.com/fwlink/?linkid=870924
Comment:
    Looks good</t>
      </text>
    </comment>
    <comment ref="A782" authorId="376" shapeId="0" xr:uid="{3A4614DD-54C7-4E9D-BB5C-6428EAD4D7F6}">
      <text>
        <t>[Threaded comment]
Your version of Excel allows you to read this threaded comment; however, any edits to it will get removed if the file is opened in a newer version of Excel. Learn more: https://go.microsoft.com/fwlink/?linkid=870924
Comment:
    Perhaps we should also include CIS cases separately? 69 in the int arm, 54 in the control arm
Reply:
    Added above.</t>
      </text>
    </comment>
    <comment ref="A799" authorId="377" shapeId="0" xr:uid="{6214FB69-1B8F-42A4-9887-748F09F8A220}">
      <text>
        <t>[Threaded comment]
Your version of Excel allows you to read this threaded comment; however, any edits to it will get removed if the file is opened in a newer version of Excel. Learn more: https://go.microsoft.com/fwlink/?linkid=870924
Comment:
    Looks good</t>
      </text>
    </comment>
    <comment ref="A800" authorId="378" shapeId="0" xr:uid="{1143C040-0DB0-42A3-83C1-C937371ED7A9}">
      <text>
        <t>[Threaded comment]
Your version of Excel allows you to read this threaded comment; however, any edits to it will get removed if the file is opened in a newer version of Excel. Learn more: https://go.microsoft.com/fwlink/?linkid=870924
Comment:
    Perhaps we should also include DCIS cases? 69 in the int arm, 54 in the control arm
Reply:
    Added above.</t>
      </text>
    </comment>
    <comment ref="A806" authorId="379" shapeId="0" xr:uid="{A3CE872E-7759-415D-93F5-B423A4B6E3CE}">
      <text>
        <t>[Threaded comment]
Your version of Excel allows you to read this threaded comment; however, any edits to it will get removed if the file is opened in a newer version of Excel. Learn more: https://go.microsoft.com/fwlink/?linkid=870924
Comment:
    Looks good</t>
      </text>
    </comment>
    <comment ref="A810" authorId="380" shapeId="0" xr:uid="{190BF987-C1BA-44E0-9C4D-A690A6C51CF3}">
      <text>
        <t>[Threaded comment]
Your version of Excel allows you to read this threaded comment; however, any edits to it will get removed if the file is opened in a newer version of Excel. Learn more: https://go.microsoft.com/fwlink/?linkid=870924
Comment:
    Perhaps we could also include "advanced" cases from this excerpt:
"A total of 68 cases (50 in the control arm and 18 in the intervention arm) have been classified as ‘advanced’ by one of the review panels on the basis of information from the pathology report on clinical details (e.g. treatment by chemotherapy of large tumour, cytology/core biopsy only)."
Reply:
    Added above.</t>
      </text>
    </comment>
    <comment ref="D811" authorId="381" shapeId="0" xr:uid="{73A7BA8C-4742-49F4-8AFE-0FFE91A5251E}">
      <text>
        <t>[Threaded comment]
Your version of Excel allows you to read this threaded comment; however, any edits to it will get removed if the file is opened in a newer version of Excel. Learn more: https://go.microsoft.com/fwlink/?linkid=870924
Comment:
    Unsure how to extract "Predicted mortality"!
Reply:
    It looks good to me the way you did it. But this is the calculation that is adjusted for excess diagnosis in the intervention arm; in the Discussion they say that unadjusted estimates were similar but were not reported. You explain this in column BB, but maybe we could also emphasise it here, in column D?
Reply:
    Added.</t>
      </text>
    </comment>
    <comment ref="D812" authorId="382" shapeId="0" xr:uid="{B981DCC8-89FD-4B42-85F8-AF4B91C58873}">
      <text>
        <t>[Threaded comment]
Your version of Excel allows you to read this threaded comment; however, any edits to it will get removed if the file is opened in a newer version of Excel. Learn more: https://go.microsoft.com/fwlink/?linkid=870924
Comment:
    Unsure how to extract "Predicted mortality"!</t>
      </text>
    </comment>
    <comment ref="D813" authorId="383" shapeId="0" xr:uid="{5066CCD3-F533-4A41-A27B-563739BE7353}">
      <text>
        <t>[Threaded comment]
Your version of Excel allows you to read this threaded comment; however, any edits to it will get removed if the file is opened in a newer version of Excel. Learn more: https://go.microsoft.com/fwlink/?linkid=870924
Comment:
    Unsure how to extract "Predicted mortality"!</t>
      </text>
    </comment>
    <comment ref="K830" authorId="384" shapeId="0" xr:uid="{75CF190B-0B52-4545-9661-A8C05978E8DF}">
      <text>
        <t>[Threaded comment]
Your version of Excel allows you to read this threaded comment; however, any edits to it will get removed if the file is opened in a newer version of Excel. Learn more: https://go.microsoft.com/fwlink/?linkid=870924
Comment:
    Stage 2 or 3
Reply:
    Corrected.</t>
      </text>
    </comment>
    <comment ref="K831" authorId="385" shapeId="0" xr:uid="{612E5500-587B-4302-BF8D-D21A9CE6D6AA}">
      <text>
        <t>[Threaded comment]
Your version of Excel allows you to read this threaded comment; however, any edits to it will get removed if the file is opened in a newer version of Excel. Learn more: https://go.microsoft.com/fwlink/?linkid=870924
Comment:
    Stage 2 or 3
Reply:
    Corrected.</t>
      </text>
    </comment>
    <comment ref="A832" authorId="386" shapeId="0" xr:uid="{AB6D51DB-4931-4EB2-9519-AEE91A84FBC6}">
      <text>
        <t>[Threaded comment]
Your version of Excel allows you to read this threaded comment; however, any edits to it will get removed if the file is opened in a newer version of Excel. Learn more: https://go.microsoft.com/fwlink/?linkid=870924
Comment:
    Same data reported in Melamed 1987 (#10871), Table 5.
Reply:
    But with occasional differences in numbers of cancers detected.</t>
      </text>
    </comment>
    <comment ref="A833" authorId="387" shapeId="0" xr:uid="{AD68C7EC-98D5-4251-B5DF-FE6F1AA9C3F3}">
      <text>
        <t>[Threaded comment]
Your version of Excel allows you to read this threaded comment; however, any edits to it will get removed if the file is opened in a newer version of Excel. Learn more: https://go.microsoft.com/fwlink/?linkid=870924
Comment:
    Same data reported in Melamed 1987 (#10871), Table 5.
Reply:
    But with occasional differences in numbers of cancers detected.</t>
      </text>
    </comment>
    <comment ref="AI833" authorId="388" shapeId="0" xr:uid="{FFEF26A1-0605-4AC4-93DD-2337C705D5DF}">
      <text>
        <t>[Threaded comment]
Your version of Excel allows you to read this threaded comment; however, any edits to it will get removed if the file is opened in a newer version of Excel. Learn more: https://go.microsoft.com/fwlink/?linkid=870924
Comment:
    100+88=188;
Melamed 1987 (#10871 and #10870) reports a total of 190 screen-detected lung cancers though.
Reply:
    Agreed. 
The numbers are the same in tables 3 (M 84) and 5 (M 87). But in table 4 of M 87,  there are an additional 2 stage 1 cancers and they refer to 190 screen detected cancers in the text (M 84 gives 198).
It might be that Melamed 1987 had followed up more of the participants ("more than 99.5%") compared to 94.45% in the earlier paper.
Do we need to report these data from Melamed 1987 too?
Reply:
    Table 4 in M87 reports overall an additional 3 stage I cancers and 2 stage 3 cancers. But we don't know in which of the 2 intervention groups they occurred, so can't really extract the data by group...</t>
      </text>
    </comment>
    <comment ref="A834" authorId="389" shapeId="0" xr:uid="{981A7ED4-DC95-4FE7-8CC8-26A36BA12350}">
      <text>
        <t>[Threaded comment]
Your version of Excel allows you to read this threaded comment; however, any edits to it will get removed if the file is opened in a newer version of Excel. Learn more: https://go.microsoft.com/fwlink/?linkid=870924
Comment:
    Same data reported in Melamed 1987 (#10871), Table 5.
Reply:
    But with occasional differences in numbers of cancers detected.</t>
      </text>
    </comment>
    <comment ref="AI834" authorId="390" shapeId="0" xr:uid="{F8431FFF-FC25-4A72-8D89-1C3D3E9D3974}">
      <text>
        <t>[Threaded comment]
Your version of Excel allows you to read this threaded comment; however, any edits to it will get removed if the file is opened in a newer version of Excel. Learn more: https://go.microsoft.com/fwlink/?linkid=870924
Comment:
    As above cell</t>
      </text>
    </comment>
    <comment ref="AL834" authorId="391" shapeId="0" xr:uid="{FAB298D7-788A-4879-A777-C497E1C03B40}">
      <text>
        <t>[Threaded comment]
Your version of Excel allows you to read this threaded comment; however, any edits to it will get removed if the file is opened in a newer version of Excel. Learn more: https://go.microsoft.com/fwlink/?linkid=870924
Comment:
    Melamed 1987 (#10870) reports 293 lung cancers detected during the screening period though.
Reply:
    Agreed. As previous comment. 
I think table 5 in Melamed 1987 is incorrectly copied and pasted from table  2 in Melamed 1984. The reason I think this is because the text in Melamed 1987 consistently refers to the large number of cancers. 
Do we need to report these data from Melamed 1987 too?
Reply:
    Agreed.</t>
      </text>
    </comment>
    <comment ref="A835" authorId="392" shapeId="0" xr:uid="{C0DB40A1-8C36-4F3E-B6B7-EC08F9CD976B}">
      <text>
        <t>[Threaded comment]
Your version of Excel allows you to read this threaded comment; however, any edits to it will get removed if the file is opened in a newer version of Excel. Learn more: https://go.microsoft.com/fwlink/?linkid=870924
Comment:
    Same data reported in Melamed 1987 (#10871), Table 5.</t>
      </text>
    </comment>
    <comment ref="A836" authorId="393" shapeId="0" xr:uid="{25BB7B44-6323-437A-9031-30A6B2E43CDC}">
      <text>
        <t>[Threaded comment]
Your version of Excel allows you to read this threaded comment; however, any edits to it will get removed if the file is opened in a newer version of Excel. Learn more: https://go.microsoft.com/fwlink/?linkid=870924
Comment:
    Same data reported in Melamed 1987 (#10871), Table 5.</t>
      </text>
    </comment>
    <comment ref="A837" authorId="394" shapeId="0" xr:uid="{7D509D88-6EF1-475D-9C09-493B730113E9}">
      <text>
        <t>[Threaded comment]
Your version of Excel allows you to read this threaded comment; however, any edits to it will get removed if the file is opened in a newer version of Excel. Learn more: https://go.microsoft.com/fwlink/?linkid=870924
Comment:
    Same data reported in Melamed 1987 (#10871), Table 5.</t>
      </text>
    </comment>
    <comment ref="A838" authorId="395" shapeId="0" xr:uid="{3EA1819E-DA7C-45D5-B2CE-1CEA253642EE}">
      <text>
        <t>[Threaded comment]
Your version of Excel allows you to read this threaded comment; however, any edits to it will get removed if the file is opened in a newer version of Excel. Learn more: https://go.microsoft.com/fwlink/?linkid=870924
Comment:
    Same data reported in Melamed 1987 (#10871), Table 5.</t>
      </text>
    </comment>
    <comment ref="A839" authorId="396" shapeId="0" xr:uid="{288B0FF6-48DE-4342-A83C-B5FEDEEFD8FC}">
      <text>
        <t>[Threaded comment]
Your version of Excel allows you to read this threaded comment; however, any edits to it will get removed if the file is opened in a newer version of Excel. Learn more: https://go.microsoft.com/fwlink/?linkid=870924
Comment:
    Same data reported in Melamed 1987 (#10871), Table 5.</t>
      </text>
    </comment>
    <comment ref="K839" authorId="397" shapeId="0" xr:uid="{2BD72DD2-193A-4872-A44A-4869A3A29235}">
      <text>
        <t>[Threaded comment]
Your version of Excel allows you to read this threaded comment; however, any edits to it will get removed if the file is opened in a newer version of Excel. Learn more: https://go.microsoft.com/fwlink/?linkid=870924
Comment:
    Stage 2 or 3</t>
      </text>
    </comment>
    <comment ref="AH839" authorId="398" shapeId="0" xr:uid="{BBB9C6BB-876F-4807-8656-431FEA315427}">
      <text>
        <t>[Threaded comment]
Your version of Excel allows you to read this threaded comment; however, any edits to it will get removed if the file is opened in a newer version of Excel. Learn more: https://go.microsoft.com/fwlink/?linkid=870924
Comment:
    Isn't baseline the prevalent round?
Reply:
    Corrected.</t>
      </text>
    </comment>
    <comment ref="A840" authorId="399" shapeId="0" xr:uid="{8132BB1C-A3B3-40C2-B7B3-DA33FF99A2A6}">
      <text>
        <t>[Threaded comment]
Your version of Excel allows you to read this threaded comment; however, any edits to it will get removed if the file is opened in a newer version of Excel. Learn more: https://go.microsoft.com/fwlink/?linkid=870924
Comment:
    Same data reported in Melamed 1987 (#10871), Table 5.</t>
      </text>
    </comment>
    <comment ref="A841" authorId="400" shapeId="0" xr:uid="{FA452095-BF75-4FAA-92A8-2E0CF0D109A1}">
      <text>
        <t>[Threaded comment]
Your version of Excel allows you to read this threaded comment; however, any edits to it will get removed if the file is opened in a newer version of Excel. Learn more: https://go.microsoft.com/fwlink/?linkid=870924
Comment:
    Same data reported in Melamed 1987 (#10871), Table 5.</t>
      </text>
    </comment>
    <comment ref="A842" authorId="401" shapeId="0" xr:uid="{BEAA0623-0E07-4ED2-BDF5-6A7370A73DB5}">
      <text>
        <t>[Threaded comment]
Your version of Excel allows you to read this threaded comment; however, any edits to it will get removed if the file is opened in a newer version of Excel. Learn more: https://go.microsoft.com/fwlink/?linkid=870924
Comment:
    Same data reported in Melamed 1987 (#10871), Table 5.</t>
      </text>
    </comment>
    <comment ref="A843" authorId="402" shapeId="0" xr:uid="{3F3B9DA9-99D1-4E22-8ED3-3AD24710EB84}">
      <text>
        <t>[Threaded comment]
Your version of Excel allows you to read this threaded comment; however, any edits to it will get removed if the file is opened in a newer version of Excel. Learn more: https://go.microsoft.com/fwlink/?linkid=870924
Comment:
    Same data reported in Melamed 1987 (#10871), Table 5.</t>
      </text>
    </comment>
    <comment ref="A844" authorId="403" shapeId="0" xr:uid="{64DF6622-CCFC-433F-AE77-483C71B80607}">
      <text>
        <t>[Threaded comment]
Your version of Excel allows you to read this threaded comment; however, any edits to it will get removed if the file is opened in a newer version of Excel. Learn more: https://go.microsoft.com/fwlink/?linkid=870924
Comment:
    Same data reported in Melamed 1987 (#10871), Table 5.</t>
      </text>
    </comment>
    <comment ref="A845" authorId="404" shapeId="0" xr:uid="{5D825355-2D0D-407C-97A6-24A16A6D0002}">
      <text>
        <t>[Threaded comment]
Your version of Excel allows you to read this threaded comment; however, any edits to it will get removed if the file is opened in a newer version of Excel. Learn more: https://go.microsoft.com/fwlink/?linkid=870924
Comment:
    Same data reported in Melamed 1987 (#10871), Table 5.</t>
      </text>
    </comment>
    <comment ref="AX846" authorId="405" shapeId="0" xr:uid="{6E0E0460-C334-43B2-B375-389189761FE5}">
      <text>
        <t>[Threaded comment]
Your version of Excel allows you to read this threaded comment; however, any edits to it will get removed if the file is opened in a newer version of Excel. Learn more: https://go.microsoft.com/fwlink/?linkid=870924
Comment:
    Do we have a rule for what to do with the ones with 0 events in one of the arms?
Reply:
    That's for Adam and Nefeli to decide.</t>
      </text>
    </comment>
    <comment ref="AI855" authorId="406" shapeId="0" xr:uid="{B62EBB9A-0C89-4DC5-9C85-B3756676A875}">
      <text>
        <t>[Threaded comment]
Your version of Excel allows you to read this threaded comment; however, any edits to it will get removed if the file is opened in a newer version of Excel. Learn more: https://go.microsoft.com/fwlink/?linkid=870924
Comment:
    Yep, 100. 59+27+14 (from table 4)</t>
      </text>
    </comment>
    <comment ref="AJ855" authorId="407" shapeId="0" xr:uid="{3D63BB3D-198A-4EF7-A7B0-6542E972550D}">
      <text>
        <t>[Threaded comment]
Your version of Excel allows you to read this threaded comment; however, any edits to it will get removed if the file is opened in a newer version of Excel. Learn more: https://go.microsoft.com/fwlink/?linkid=870924
Comment:
    Melamed 1987 (#10871 and #10870) reports 190 screen-detected lung cancers though. Melamed 1984 (#10872) reports 188 screen-detected cancers.
Reply:
    Different % of people followed up at each time point?</t>
      </text>
    </comment>
    <comment ref="AJ865" authorId="408" shapeId="0" xr:uid="{076FB76F-A7C2-4F0F-8A83-6748E1CD2A4C}">
      <text>
        <t>[Threaded comment]
Your version of Excel allows you to read this threaded comment; however, any edits to it will get removed if the file is opened in a newer version of Excel. Learn more: https://go.microsoft.com/fwlink/?linkid=870924
Comment:
    Different to numbers reported in #643, Table 3 (see row 33 below) - 30 and 10.
Reply:
    Agreed. I can't see the difference explained anywhere. Perhaps not everyone had had their baseline assessment in Infante 2008?</t>
      </text>
    </comment>
    <comment ref="AC866" authorId="409" shapeId="0" xr:uid="{848A2E56-1C09-4FD8-8B1E-6FD5B6406183}">
      <text>
        <t>[Threaded comment]
Your version of Excel allows you to read this threaded comment; however, any edits to it will get removed if the file is opened in a newer version of Excel. Learn more: https://go.microsoft.com/fwlink/?linkid=870924
Comment:
    "… updated information regarding their vital status, causes of death and occurrence of any newly diagnosed malignancy was available for 96.6% of LDCT patients and 94.7% of controls."
Reply:
    Looks correct to me.</t>
      </text>
    </comment>
    <comment ref="AE866" authorId="410" shapeId="0" xr:uid="{643D8D2F-0163-4AFF-A2F9-ADE68A86B71E}">
      <text>
        <t>[Threaded comment]
Your version of Excel allows you to read this threaded comment; however, any edits to it will get removed if the file is opened in a newer version of Excel. Learn more: https://go.microsoft.com/fwlink/?linkid=870924
Comment:
    "… updated information regarding their vital status, causes of death and occurrence of any newly diagnosed malignancy was available for 96.6% of LDCT patients and 94.7% of controls."
Reply:
    Looks correct to me.</t>
      </text>
    </comment>
    <comment ref="AC867" authorId="411" shapeId="0" xr:uid="{9A2FCC68-DC49-4F82-B80F-F0E984F9D82A}">
      <text>
        <t>[Threaded comment]
Your version of Excel allows you to read this threaded comment; however, any edits to it will get removed if the file is opened in a newer version of Excel. Learn more: https://go.microsoft.com/fwlink/?linkid=870924
Comment:
    "… updated information regarding their vital status, causes of death and occurrence of any newly diagnosed malignancy was available for 96.6% of LDCT patients and 94.7% of controls."
Reply:
    Looks correct to me.</t>
      </text>
    </comment>
    <comment ref="AE867" authorId="412" shapeId="0" xr:uid="{C07B158C-F36A-444C-B80B-D1ACFBA249A0}">
      <text>
        <t>[Threaded comment]
Your version of Excel allows you to read this threaded comment; however, any edits to it will get removed if the file is opened in a newer version of Excel. Learn more: https://go.microsoft.com/fwlink/?linkid=870924
Comment:
    "… updated information regarding their vital status, causes of death and occurrence of any newly diagnosed malignancy was available for 96.6% of LDCT patients and 94.7% of controls."
Reply:
    Looks correct to me.</t>
      </text>
    </comment>
    <comment ref="AC868" authorId="413" shapeId="0" xr:uid="{5DA31884-B7F9-47AC-8709-BFF2DB4505C0}">
      <text>
        <t>[Threaded comment]
Your version of Excel allows you to read this threaded comment; however, any edits to it will get removed if the file is opened in a newer version of Excel. Learn more: https://go.microsoft.com/fwlink/?linkid=870924
Comment:
    "… updated information regarding their vital status, causes of death and occurrence of any newly diagnosed malignancy was available for 96.6% of LDCT patients and 94.7% of controls."
Reply:
    Looks correct to me.</t>
      </text>
    </comment>
    <comment ref="AE868" authorId="414" shapeId="0" xr:uid="{992E100E-D09F-4341-A4BB-A964F2FCC034}">
      <text>
        <t>[Threaded comment]
Your version of Excel allows you to read this threaded comment; however, any edits to it will get removed if the file is opened in a newer version of Excel. Learn more: https://go.microsoft.com/fwlink/?linkid=870924
Comment:
    "… updated information regarding their vital status, causes of death and occurrence of any newly diagnosed malignancy was available for 96.6% of LDCT patients and 94.7% of controls."
Reply:
    Looks correct to me.</t>
      </text>
    </comment>
    <comment ref="AC869" authorId="415" shapeId="0" xr:uid="{E9B20D7B-1F6B-45E3-A152-2D09AF842FE3}">
      <text>
        <t>[Threaded comment]
Your version of Excel allows you to read this threaded comment; however, any edits to it will get removed if the file is opened in a newer version of Excel. Learn more: https://go.microsoft.com/fwlink/?linkid=870924
Comment:
    "… updated information regarding their vital status, causes of death and occurrence of any newly diagnosed malignancy was available for 96.6% of LDCT patients and 94.7% of controls."
Reply:
    Looks correct to me.</t>
      </text>
    </comment>
    <comment ref="AE869" authorId="416" shapeId="0" xr:uid="{505A711E-C83E-4F38-8DCA-1B23CAB423C1}">
      <text>
        <t>[Threaded comment]
Your version of Excel allows you to read this threaded comment; however, any edits to it will get removed if the file is opened in a newer version of Excel. Learn more: https://go.microsoft.com/fwlink/?linkid=870924
Comment:
    "… updated information regarding their vital status, causes of death and occurrence of any newly diagnosed malignancy was available for 96.6% of LDCT patients and 94.7% of controls."
Reply:
    Looks correct to me.</t>
      </text>
    </comment>
    <comment ref="BA869" authorId="417" shapeId="0" xr:uid="{6900E025-1983-4196-BC13-EFC1BBB63D9C}">
      <text>
        <t>[Threaded comment]
Your version of Excel allows you to read this threaded comment; however, any edits to it will get removed if the file is opened in a newer version of Excel. Learn more: https://go.microsoft.com/fwlink/?linkid=870924
Comment:
    I can't see this for stage 2 in the paper. Only stage 1.</t>
      </text>
    </comment>
    <comment ref="AC870" authorId="418" shapeId="0" xr:uid="{74658A97-BC98-4A36-AA63-E961FE4084DC}">
      <text>
        <t>[Threaded comment]
Your version of Excel allows you to read this threaded comment; however, any edits to it will get removed if the file is opened in a newer version of Excel. Learn more: https://go.microsoft.com/fwlink/?linkid=870924
Comment:
    "… updated information regarding their vital status, causes of death and occurrence of any newly diagnosed malignancy was available for 96.6% of LDCT patients and 94.7% of controls."
Reply:
    Looks correct to me.</t>
      </text>
    </comment>
    <comment ref="AE870" authorId="419" shapeId="0" xr:uid="{11DD7D3C-4E75-498E-AD75-BD54895B74BA}">
      <text>
        <t>[Threaded comment]
Your version of Excel allows you to read this threaded comment; however, any edits to it will get removed if the file is opened in a newer version of Excel. Learn more: https://go.microsoft.com/fwlink/?linkid=870924
Comment:
    "… updated information regarding their vital status, causes of death and occurrence of any newly diagnosed malignancy was available for 96.6% of LDCT patients and 94.7% of controls."
Reply:
    Looks correct to me.</t>
      </text>
    </comment>
    <comment ref="AC871" authorId="420" shapeId="0" xr:uid="{6698D995-4956-447D-8EE6-C72769DB67B2}">
      <text>
        <t>[Threaded comment]
Your version of Excel allows you to read this threaded comment; however, any edits to it will get removed if the file is opened in a newer version of Excel. Learn more: https://go.microsoft.com/fwlink/?linkid=870924
Comment:
    "… updated information regarding their vital status, causes of death and occurrence of any newly diagnosed malignancy was available for 96.6% of LDCT patients and 94.7% of controls."
Reply:
    Looks correct to me.</t>
      </text>
    </comment>
    <comment ref="AE871" authorId="421" shapeId="0" xr:uid="{4DB2C723-C48F-41F8-986F-B97FFF2AAD19}">
      <text>
        <t>[Threaded comment]
Your version of Excel allows you to read this threaded comment; however, any edits to it will get removed if the file is opened in a newer version of Excel. Learn more: https://go.microsoft.com/fwlink/?linkid=870924
Comment:
    "… updated information regarding their vital status, causes of death and occurrence of any newly diagnosed malignancy was available for 96.6% of LDCT patients and 94.7% of controls."
Reply:
    Looks correct to me.</t>
      </text>
    </comment>
    <comment ref="AC872" authorId="422" shapeId="0" xr:uid="{B3317525-2952-464E-BA29-5857A4BD42D7}">
      <text>
        <t>[Threaded comment]
Your version of Excel allows you to read this threaded comment; however, any edits to it will get removed if the file is opened in a newer version of Excel. Learn more: https://go.microsoft.com/fwlink/?linkid=870924
Comment:
    "… updated information regarding their vital status, causes of death and occurrence of any newly diagnosed malignancy was available for 96.6% of LDCT patients and 94.7% of controls."
Reply:
    Looks correct to me.</t>
      </text>
    </comment>
    <comment ref="AE872" authorId="423" shapeId="0" xr:uid="{94D0C7E8-7D6B-4CC2-8DB1-E293BA15536D}">
      <text>
        <t>[Threaded comment]
Your version of Excel allows you to read this threaded comment; however, any edits to it will get removed if the file is opened in a newer version of Excel. Learn more: https://go.microsoft.com/fwlink/?linkid=870924
Comment:
    "… updated information regarding their vital status, causes of death and occurrence of any newly diagnosed malignancy was available for 96.6% of LDCT patients and 94.7% of controls."
Reply:
    Looks correct to me.</t>
      </text>
    </comment>
    <comment ref="AC873" authorId="424" shapeId="0" xr:uid="{6018966F-087A-4AC4-BE5C-981D39909D2D}">
      <text>
        <t>[Threaded comment]
Your version of Excel allows you to read this threaded comment; however, any edits to it will get removed if the file is opened in a newer version of Excel. Learn more: https://go.microsoft.com/fwlink/?linkid=870924
Comment:
    "… updated information regarding their vital status, causes of death and occurrence of any newly diagnosed malignancy was available for 96.6% of LDCT patients and 94.7% of controls."
Reply:
    Looks correct to me.</t>
      </text>
    </comment>
    <comment ref="AE873" authorId="425" shapeId="0" xr:uid="{B5CCC41F-65D7-43F4-A733-42C671EB576E}">
      <text>
        <t>[Threaded comment]
Your version of Excel allows you to read this threaded comment; however, any edits to it will get removed if the file is opened in a newer version of Excel. Learn more: https://go.microsoft.com/fwlink/?linkid=870924
Comment:
    "… updated information regarding their vital status, causes of death and occurrence of any newly diagnosed malignancy was available for 96.6% of LDCT patients and 94.7% of controls."
Reply:
    Looks correct to me.</t>
      </text>
    </comment>
    <comment ref="AC874" authorId="426" shapeId="0" xr:uid="{2D0B25E5-E4D2-412A-9E12-B93D549E5192}">
      <text>
        <t>[Threaded comment]
Your version of Excel allows you to read this threaded comment; however, any edits to it will get removed if the file is opened in a newer version of Excel. Learn more: https://go.microsoft.com/fwlink/?linkid=870924
Comment:
    "… updated information regarding their vital status, causes of death and occurrence of any newly diagnosed malignancy was available for 96.6% of LDCT patients and 94.7% of controls."
Reply:
    Looks correct to me.</t>
      </text>
    </comment>
    <comment ref="AE874" authorId="427" shapeId="0" xr:uid="{156BA573-06C1-421A-AE64-C8DCCABDF44A}">
      <text>
        <t>[Threaded comment]
Your version of Excel allows you to read this threaded comment; however, any edits to it will get removed if the file is opened in a newer version of Excel. Learn more: https://go.microsoft.com/fwlink/?linkid=870924
Comment:
    "… updated information regarding their vital status, causes of death and occurrence of any newly diagnosed malignancy was available for 96.6% of LDCT patients and 94.7% of controls."
Reply:
    Looks correct to me.</t>
      </text>
    </comment>
    <comment ref="AC875" authorId="428" shapeId="0" xr:uid="{7D1DED95-FE0D-48FD-B3A1-D2F62F4B58E4}">
      <text>
        <t>[Threaded comment]
Your version of Excel allows you to read this threaded comment; however, any edits to it will get removed if the file is opened in a newer version of Excel. Learn more: https://go.microsoft.com/fwlink/?linkid=870924
Comment:
    "… updated information regarding their vital status, causes of death and occurrence of any newly diagnosed malignancy was available for 96.6% of LDCT patients and 94.7% of controls."
Reply:
    Looks correct to me.</t>
      </text>
    </comment>
    <comment ref="AE875" authorId="429" shapeId="0" xr:uid="{7850F5E8-DE72-4CA4-BDE9-3486DF77AFAD}">
      <text>
        <t>[Threaded comment]
Your version of Excel allows you to read this threaded comment; however, any edits to it will get removed if the file is opened in a newer version of Excel. Learn more: https://go.microsoft.com/fwlink/?linkid=870924
Comment:
    "… updated information regarding their vital status, causes of death and occurrence of any newly diagnosed malignancy was available for 96.6% of LDCT patients and 94.7% of controls."
Reply:
    Looks correct to me.</t>
      </text>
    </comment>
    <comment ref="AJ888" authorId="430" shapeId="0" xr:uid="{46299E89-8E84-4E8E-B33D-0BF420898CEC}">
      <text>
        <t xml:space="preserve">[Threaded comment]
Your version of Excel allows you to read this threaded comment; however, any edits to it will get removed if the file is opened in a newer version of Excel. Learn more: https://go.microsoft.com/fwlink/?linkid=870924
Comment:
    Or 10 if only including the cancers detected at the baseline screen. 3 additional cancers have been detected after annual clinical review.
Reply:
    I think 10. It does specifically separate those 3 from the number with CSR/sputum detected cancer in the text. </t>
      </text>
    </comment>
    <comment ref="AS888" authorId="431" shapeId="0" xr:uid="{625B1530-7D9A-45D0-93E3-147098BE515E}">
      <text>
        <t>[Threaded comment]
Your version of Excel allows you to read this threaded comment; however, any edits to it will get removed if the file is opened in a newer version of Excel. Learn more: https://go.microsoft.com/fwlink/?linkid=870924
Comment:
    13.89 with 10 as the numerator</t>
      </text>
    </comment>
    <comment ref="AX888" authorId="432" shapeId="0" xr:uid="{4B45D59F-5333-40F3-AEE1-14F260D38B64}">
      <text>
        <t>[Threaded comment]
Your version of Excel allows you to read this threaded comment; however, any edits to it will get removed if the file is opened in a newer version of Excel. Learn more: https://go.microsoft.com/fwlink/?linkid=870924
Comment:
    4.64, if we're using 10 as the numerator in the control group.</t>
      </text>
    </comment>
    <comment ref="AJ889" authorId="433" shapeId="0" xr:uid="{C541CB6B-2F2D-4B44-B1FA-3F11BEAA8E8B}">
      <text>
        <t xml:space="preserve">[Threaded comment]
Your version of Excel allows you to read this threaded comment; however, any edits to it will get removed if the file is opened in a newer version of Excel. Learn more: https://go.microsoft.com/fwlink/?linkid=870924
Comment:
    Or 10 if only including the cancers detected at the baseline screen. 3 additional cancers have been detected after annual clinical review.
Reply:
    I think 10. It does specifically separate those 3 from the number with CSR/sputum detected cancer in the text. </t>
      </text>
    </comment>
    <comment ref="AJ890" authorId="434" shapeId="0" xr:uid="{1CA032FD-BAB0-47A4-80FD-8A63E78C4989}">
      <text>
        <t>[Threaded comment]
Your version of Excel allows you to read this threaded comment; however, any edits to it will get removed if the file is opened in a newer version of Excel. Learn more: https://go.microsoft.com/fwlink/?linkid=870924
Comment:
    Number reported in #646 different (see row 11 above) - 28 and 8.
Reply:
    Agreed. I can't see the difference explained anywhere. Perhaps not everyone had had their baseline assessment in Infante 2008?</t>
      </text>
    </comment>
    <comment ref="A891" authorId="435" shapeId="0" xr:uid="{7FAA60A4-AE62-44F9-9407-3EEA63AF63FA}">
      <text>
        <t>[Threaded comment]
Your version of Excel allows you to read this threaded comment; however, any edits to it will get removed if the file is opened in a newer version of Excel. Learn more: https://go.microsoft.com/fwlink/?linkid=870924
Comment:
    Hi Julia. The numbers of advanced cancers in the text and table of this paper are not consistent. In the text, it's as you've reported, but using the data from Table 3 we would get as shown in tab I created called "Becker 2015 inconsistencies". Further, as you mention, the data in Becker 2015 are not consistent with those in Becker 2020. Should we disregard Becker 2015 and only use Becker 2020?
Note. I haven't looked any further at Becker 2015. I'll need to come back to this if we're using these data.
Reply:
    Fine with me to use data from Becker 2020 for 1-5 years after randomisation. I have deleted the data that have been extracted from Becker 2015.
Reply:
    Perfect</t>
      </text>
    </comment>
    <comment ref="A900" authorId="436" shapeId="0" xr:uid="{413B6135-D46E-42CA-BA13-5C7788CB3D5B}">
      <text>
        <t>[Threaded comment]
Your version of Excel allows you to read this threaded comment; however, any edits to it will get removed if the file is opened in a newer version of Excel. Learn more: https://go.microsoft.com/fwlink/?linkid=870924
Comment:
    1-3 years after randomisation already extracted from #434 above.
Reply:
    But see my comment above about inconsistent reporting in Becker 2015. I think we should extract these data from Becker 2020 and delete data from Becker 2015.
Reply:
    Agree. I have added data for 1-3 years after randomisation from Becker 2020. Please check!
Reply:
    Checked. I agree with your extract for rows 12, 13, &amp; 14</t>
      </text>
    </comment>
    <comment ref="AC900" authorId="437" shapeId="0" xr:uid="{C2F7A67F-69E8-4391-84FF-140C6FF0BD01}">
      <text>
        <t>[Threaded comment]
Your version of Excel allows you to read this threaded comment; however, any edits to it will get removed if the file is opened in a newer version of Excel. Learn more: https://go.microsoft.com/fwlink/?linkid=870924
Comment:
    The text under figure 1 says "For one incident lung cancer case, in the
LDCT arm, stage information was missing"
Reply:
    Yes, but we don't know at which time point that cancer was diagnosed…
Supplementary Table 3 reports 1 with missing stage data in the LDCT group 0-5 years after randomisation, and 1 with missing stage data in the control group &gt;5 years since randomisation.</t>
      </text>
    </comment>
    <comment ref="AC901" authorId="438" shapeId="0" xr:uid="{E907244B-148E-41E1-9E01-BD11DB75E09C}">
      <text>
        <t>[Threaded comment]
Your version of Excel allows you to read this threaded comment; however, any edits to it will get removed if the file is opened in a newer version of Excel. Learn more: https://go.microsoft.com/fwlink/?linkid=870924
Comment:
    The text under figure 1 says "For one incident lung cancer case, in the
LDCT arm, stage information was missing"
Reply:
    Yes, but we don't know at which time point that cancer was diagnosed…
Supplementary Table 3 reports 1 with missing stage data in the LDCT group 0-5 years after randomisation, and 1 with missing stage data in the control group &gt;5 years since randomisation.</t>
      </text>
    </comment>
    <comment ref="AC902" authorId="439" shapeId="0" xr:uid="{B2E104B0-D2B9-46B3-BAA9-08497300D028}">
      <text>
        <t>[Threaded comment]
Your version of Excel allows you to read this threaded comment; however, any edits to it will get removed if the file is opened in a newer version of Excel. Learn more: https://go.microsoft.com/fwlink/?linkid=870924
Comment:
    The text under figure 1 says "For one incident lung cancer case, in the
LDCT arm, stage information was missing"
Reply:
    Yes, but we don't know at which time point that cancer was diagnosed…
Supplementary Table 3 reports 1 with missing stage data in the LDCT group 0-5 years after randomisation, and 1 with missing stage data in the control group &gt;5 years since randomisation.</t>
      </text>
    </comment>
    <comment ref="AC903" authorId="440" shapeId="0" xr:uid="{EB3AB83C-3123-4A22-A650-A17356A86C1B}">
      <text>
        <t>[Threaded comment]
Your version of Excel allows you to read this threaded comment; however, any edits to it will get removed if the file is opened in a newer version of Excel. Learn more: https://go.microsoft.com/fwlink/?linkid=870924
Comment:
    The text under figure 1 says "For one incident lung cancer case, in the
LDCT arm, stage information was missing"
Reply:
    Yes, but we don't know at which time point that cancer was diagnosed…
Supplementary Table 3 reports 1 with missing stage data in the LDCT group 0-5 years after randomisation, and 1 with missing stage data in the control group &gt;5 years since randomisation.</t>
      </text>
    </comment>
    <comment ref="AE903" authorId="441" shapeId="0" xr:uid="{A2E2A985-8911-4B29-AA47-FBF2DF57716F}">
      <text>
        <t>[Threaded comment]
Your version of Excel allows you to read this threaded comment; however, any edits to it will get removed if the file is opened in a newer version of Excel. Learn more: https://go.microsoft.com/fwlink/?linkid=870924
Comment:
    agreeed</t>
      </text>
    </comment>
    <comment ref="AC904" authorId="442" shapeId="0" xr:uid="{C6869071-7E98-4B39-9CDE-A1E86D969917}">
      <text>
        <t>[Threaded comment]
Your version of Excel allows you to read this threaded comment; however, any edits to it will get removed if the file is opened in a newer version of Excel. Learn more: https://go.microsoft.com/fwlink/?linkid=870924
Comment:
    The text under figure 1 says "For one incident lung cancer case, in the
LDCT arm, stage information was missing"
Reply:
    Yes, but we don't know at which time point that cancer was diagnosed…
Supplementary Table 3 reports 1 with missing stage data in the LDCT group 0-5 years after randomisation, and 1 with missing stage data in the control group &gt;5 years since randomisation.</t>
      </text>
    </comment>
    <comment ref="AL913" authorId="443" shapeId="0" xr:uid="{1E16586D-6E10-49ED-9319-1B2DD490C63E}">
      <text>
        <t>[Threaded comment]
Your version of Excel allows you to read this threaded comment; however, any edits to it will get removed if the file is opened in a newer version of Excel. Learn more: https://go.microsoft.com/fwlink/?linkid=870924
Comment:
    Or 55 from Supplementary Figures IIa and IIB?</t>
      </text>
    </comment>
    <comment ref="AC916" authorId="444" shapeId="0" xr:uid="{5DAA2BF1-EEC5-4DD2-B667-0DE77221495E}">
      <text>
        <t>[Threaded comment]
Your version of Excel allows you to read this threaded comment; however, any edits to it will get removed if the file is opened in a newer version of Excel. Learn more: https://go.microsoft.com/fwlink/?linkid=870924
Comment:
    We know there 1 cancer with missing stage data from supplemental table 3
Reply:
    Yes, but we don't know which year that cancer was detected; it only says 0-5 years since randomisation.
Reply:
    agreed</t>
      </text>
    </comment>
    <comment ref="AE916" authorId="445" shapeId="0" xr:uid="{57772B9D-2E0E-4D4D-B99F-D3DCEF0C11EA}">
      <text>
        <t xml:space="preserve">[Threaded comment]
Your version of Excel allows you to read this threaded comment; however, any edits to it will get removed if the file is opened in a newer version of Excel. Learn more: https://go.microsoft.com/fwlink/?linkid=870924
Comment:
    agreed
</t>
      </text>
    </comment>
    <comment ref="AF916" authorId="446" shapeId="0" xr:uid="{D6C9D1E1-04D2-4465-B740-AA25E7FBCBB3}">
      <text>
        <t xml:space="preserve">[Threaded comment]
Your version of Excel allows you to read this threaded comment; however, any edits to it will get removed if the file is opened in a newer version of Excel. Learn more: https://go.microsoft.com/fwlink/?linkid=870924
Comment:
    agreed
</t>
      </text>
    </comment>
    <comment ref="AC917" authorId="447" shapeId="0" xr:uid="{C6F5B990-8AEF-4721-85CA-BCC692DF28E5}">
      <text>
        <t>[Threaded comment]
Your version of Excel allows you to read this threaded comment; however, any edits to it will get removed if the file is opened in a newer version of Excel. Learn more: https://go.microsoft.com/fwlink/?linkid=870924
Comment:
    We know there 1 cancer with missing stage data from supplemental table 3
Reply:
    Yes, but we don't know which year that cancer was detected; it only says 0-5 years since randomisation.
Reply:
    agreed</t>
      </text>
    </comment>
    <comment ref="AE917" authorId="448" shapeId="0" xr:uid="{3BF42740-8A84-461A-ADE5-8B347539BA74}">
      <text>
        <t xml:space="preserve">[Threaded comment]
Your version of Excel allows you to read this threaded comment; however, any edits to it will get removed if the file is opened in a newer version of Excel. Learn more: https://go.microsoft.com/fwlink/?linkid=870924
Comment:
    agreed
</t>
      </text>
    </comment>
    <comment ref="AF917" authorId="449" shapeId="0" xr:uid="{D40F084A-0F0D-4503-8620-BA3503A81AF6}">
      <text>
        <t xml:space="preserve">[Threaded comment]
Your version of Excel allows you to read this threaded comment; however, any edits to it will get removed if the file is opened in a newer version of Excel. Learn more: https://go.microsoft.com/fwlink/?linkid=870924
Comment:
    agreed
</t>
      </text>
    </comment>
    <comment ref="AC918" authorId="450" shapeId="0" xr:uid="{C5EDED71-5D2A-40FF-82CF-00F17780F937}">
      <text>
        <t>[Threaded comment]
Your version of Excel allows you to read this threaded comment; however, any edits to it will get removed if the file is opened in a newer version of Excel. Learn more: https://go.microsoft.com/fwlink/?linkid=870924
Comment:
    We know there 1 cancer with missing stage data from supplemental table 3
Reply:
    Yes, but we don't know which year that cancer was detected; it only says 0-5 years since randomisation.
Reply:
    agreed</t>
      </text>
    </comment>
    <comment ref="AE918" authorId="451" shapeId="0" xr:uid="{77EB3523-32E0-471E-B412-F3864885BFFF}">
      <text>
        <t xml:space="preserve">[Threaded comment]
Your version of Excel allows you to read this threaded comment; however, any edits to it will get removed if the file is opened in a newer version of Excel. Learn more: https://go.microsoft.com/fwlink/?linkid=870924
Comment:
    agreed
</t>
      </text>
    </comment>
    <comment ref="AF918" authorId="452" shapeId="0" xr:uid="{50911EAA-072D-4242-AAA8-1490759D4A18}">
      <text>
        <t xml:space="preserve">[Threaded comment]
Your version of Excel allows you to read this threaded comment; however, any edits to it will get removed if the file is opened in a newer version of Excel. Learn more: https://go.microsoft.com/fwlink/?linkid=870924
Comment:
    agreed
</t>
      </text>
    </comment>
    <comment ref="AC919" authorId="453" shapeId="0" xr:uid="{0B3DD8AD-1409-4F44-BB6F-A33C394B9F76}">
      <text>
        <t>[Threaded comment]
Your version of Excel allows you to read this threaded comment; however, any edits to it will get removed if the file is opened in a newer version of Excel. Learn more: https://go.microsoft.com/fwlink/?linkid=870924
Comment:
    We know there 1 cancer with missing stage data from supplemental table 3
Reply:
    Yes, but we don't know which year that cancer was detected; it only says 0-5 years since randomisation.
Reply:
    agreed</t>
      </text>
    </comment>
    <comment ref="AE919" authorId="454" shapeId="0" xr:uid="{C56690D0-2E6E-4E0D-970C-5C1DD60CB411}">
      <text>
        <t xml:space="preserve">[Threaded comment]
Your version of Excel allows you to read this threaded comment; however, any edits to it will get removed if the file is opened in a newer version of Excel. Learn more: https://go.microsoft.com/fwlink/?linkid=870924
Comment:
    agreed
</t>
      </text>
    </comment>
    <comment ref="AF919" authorId="455" shapeId="0" xr:uid="{ABD19D12-A65B-40CC-A53D-E8ADD584F471}">
      <text>
        <t xml:space="preserve">[Threaded comment]
Your version of Excel allows you to read this threaded comment; however, any edits to it will get removed if the file is opened in a newer version of Excel. Learn more: https://go.microsoft.com/fwlink/?linkid=870924
Comment:
    agreed
</t>
      </text>
    </comment>
    <comment ref="AC924" authorId="456" shapeId="0" xr:uid="{FAF470C7-0F41-4C1E-8D98-B19281749E0A}">
      <text>
        <t xml:space="preserve">[Threaded comment]
Your version of Excel allows you to read this threaded comment; however, any edits to it will get removed if the file is opened in a newer version of Excel. Learn more: https://go.microsoft.com/fwlink/?linkid=870924
Comment:
    agreed
</t>
      </text>
    </comment>
    <comment ref="AD924" authorId="457" shapeId="0" xr:uid="{227B5DF7-6B79-4594-A211-F11078B6E6F0}">
      <text>
        <t xml:space="preserve">[Threaded comment]
Your version of Excel allows you to read this threaded comment; however, any edits to it will get removed if the file is opened in a newer version of Excel. Learn more: https://go.microsoft.com/fwlink/?linkid=870924
Comment:
    agreed
</t>
      </text>
    </comment>
    <comment ref="AC925" authorId="458" shapeId="0" xr:uid="{7DD60C1F-B65E-4D20-B12F-449076EEBD05}">
      <text>
        <t xml:space="preserve">[Threaded comment]
Your version of Excel allows you to read this threaded comment; however, any edits to it will get removed if the file is opened in a newer version of Excel. Learn more: https://go.microsoft.com/fwlink/?linkid=870924
Comment:
    agreed
</t>
      </text>
    </comment>
    <comment ref="AD925" authorId="459" shapeId="0" xr:uid="{DCA4BE96-E3AF-4886-AFF4-84DF26CEDA2B}">
      <text>
        <t xml:space="preserve">[Threaded comment]
Your version of Excel allows you to read this threaded comment; however, any edits to it will get removed if the file is opened in a newer version of Excel. Learn more: https://go.microsoft.com/fwlink/?linkid=870924
Comment:
    agreed
</t>
      </text>
    </comment>
    <comment ref="AC926" authorId="460" shapeId="0" xr:uid="{D17A45B8-28DF-48E4-8B09-132BE5B21268}">
      <text>
        <t xml:space="preserve">[Threaded comment]
Your version of Excel allows you to read this threaded comment; however, any edits to it will get removed if the file is opened in a newer version of Excel. Learn more: https://go.microsoft.com/fwlink/?linkid=870924
Comment:
    agreed
</t>
      </text>
    </comment>
    <comment ref="AD926" authorId="461" shapeId="0" xr:uid="{890D4309-86D7-4E6C-851D-B6070E71E404}">
      <text>
        <t xml:space="preserve">[Threaded comment]
Your version of Excel allows you to read this threaded comment; however, any edits to it will get removed if the file is opened in a newer version of Excel. Learn more: https://go.microsoft.com/fwlink/?linkid=870924
Comment:
    agreed
</t>
      </text>
    </comment>
    <comment ref="AC927" authorId="462" shapeId="0" xr:uid="{6BFA41F2-4555-4AEC-AACE-C8587229BAAA}">
      <text>
        <t xml:space="preserve">[Threaded comment]
Your version of Excel allows you to read this threaded comment; however, any edits to it will get removed if the file is opened in a newer version of Excel. Learn more: https://go.microsoft.com/fwlink/?linkid=870924
Comment:
    agreed
</t>
      </text>
    </comment>
    <comment ref="AD927" authorId="463" shapeId="0" xr:uid="{490461A8-C40D-4E2B-BD9B-454FA7497DF9}">
      <text>
        <t xml:space="preserve">[Threaded comment]
Your version of Excel allows you to read this threaded comment; however, any edits to it will get removed if the file is opened in a newer version of Excel. Learn more: https://go.microsoft.com/fwlink/?linkid=870924
Comment:
    agreed
</t>
      </text>
    </comment>
    <comment ref="AE931" authorId="464" shapeId="0" xr:uid="{B2CA36C8-8C6A-4452-94C4-D90FB1700474}">
      <text>
        <t xml:space="preserve">[Threaded comment]
Your version of Excel allows you to read this threaded comment; however, any edits to it will get removed if the file is opened in a newer version of Excel. Learn more: https://go.microsoft.com/fwlink/?linkid=870924
Comment:
    agreed
</t>
      </text>
    </comment>
    <comment ref="AF931" authorId="465" shapeId="0" xr:uid="{073BA49F-DDA4-4D87-996A-28037A8631D4}">
      <text>
        <t xml:space="preserve">[Threaded comment]
Your version of Excel allows you to read this threaded comment; however, any edits to it will get removed if the file is opened in a newer version of Excel. Learn more: https://go.microsoft.com/fwlink/?linkid=870924
Comment:
    agreed
</t>
      </text>
    </comment>
    <comment ref="AE932" authorId="466" shapeId="0" xr:uid="{B73AD746-B246-42B9-9162-B2D732E6922E}">
      <text>
        <t xml:space="preserve">[Threaded comment]
Your version of Excel allows you to read this threaded comment; however, any edits to it will get removed if the file is opened in a newer version of Excel. Learn more: https://go.microsoft.com/fwlink/?linkid=870924
Comment:
    agreed
</t>
      </text>
    </comment>
    <comment ref="AF932" authorId="467" shapeId="0" xr:uid="{113382C9-189F-4A8C-811B-FB0AD4D69CFC}">
      <text>
        <t xml:space="preserve">[Threaded comment]
Your version of Excel allows you to read this threaded comment; however, any edits to it will get removed if the file is opened in a newer version of Excel. Learn more: https://go.microsoft.com/fwlink/?linkid=870924
Comment:
    agreed
</t>
      </text>
    </comment>
    <comment ref="AE933" authorId="468" shapeId="0" xr:uid="{2347DD01-B2EC-428B-93FC-959341DFC387}">
      <text>
        <t xml:space="preserve">[Threaded comment]
Your version of Excel allows you to read this threaded comment; however, any edits to it will get removed if the file is opened in a newer version of Excel. Learn more: https://go.microsoft.com/fwlink/?linkid=870924
Comment:
    agreed
</t>
      </text>
    </comment>
    <comment ref="AF933" authorId="469" shapeId="0" xr:uid="{89F0ADBC-A930-46AF-AC43-60AC31F7D80D}">
      <text>
        <t xml:space="preserve">[Threaded comment]
Your version of Excel allows you to read this threaded comment; however, any edits to it will get removed if the file is opened in a newer version of Excel. Learn more: https://go.microsoft.com/fwlink/?linkid=870924
Comment:
    agreed
</t>
      </text>
    </comment>
    <comment ref="AE934" authorId="470" shapeId="0" xr:uid="{B7F44FD5-1F34-4EAF-952D-5DA4E5050F03}">
      <text>
        <t xml:space="preserve">[Threaded comment]
Your version of Excel allows you to read this threaded comment; however, any edits to it will get removed if the file is opened in a newer version of Excel. Learn more: https://go.microsoft.com/fwlink/?linkid=870924
Comment:
    agreed
</t>
      </text>
    </comment>
    <comment ref="AF934" authorId="471" shapeId="0" xr:uid="{3A550D62-C22E-4733-9D0D-2C8DD4C396BA}">
      <text>
        <t xml:space="preserve">[Threaded comment]
Your version of Excel allows you to read this threaded comment; however, any edits to it will get removed if the file is opened in a newer version of Excel. Learn more: https://go.microsoft.com/fwlink/?linkid=870924
Comment:
    agreed
</t>
      </text>
    </comment>
    <comment ref="AC939" authorId="472" shapeId="0" xr:uid="{5818C147-6FCE-4E52-A7F0-23B5C882E15C}">
      <text>
        <t xml:space="preserve">[Threaded comment]
Your version of Excel allows you to read this threaded comment; however, any edits to it will get removed if the file is opened in a newer version of Excel. Learn more: https://go.microsoft.com/fwlink/?linkid=870924
Comment:
    agreed
</t>
      </text>
    </comment>
    <comment ref="AD939" authorId="473" shapeId="0" xr:uid="{8AAD8448-417F-4FCE-AE8E-1B97B3EE8047}">
      <text>
        <t xml:space="preserve">[Threaded comment]
Your version of Excel allows you to read this threaded comment; however, any edits to it will get removed if the file is opened in a newer version of Excel. Learn more: https://go.microsoft.com/fwlink/?linkid=870924
Comment:
    agreed
</t>
      </text>
    </comment>
    <comment ref="AC940" authorId="474" shapeId="0" xr:uid="{1A4CE527-353E-4066-8451-7200842F708D}">
      <text>
        <t xml:space="preserve">[Threaded comment]
Your version of Excel allows you to read this threaded comment; however, any edits to it will get removed if the file is opened in a newer version of Excel. Learn more: https://go.microsoft.com/fwlink/?linkid=870924
Comment:
    agreed
</t>
      </text>
    </comment>
    <comment ref="AD940" authorId="475" shapeId="0" xr:uid="{378BBC96-F2CE-4FDA-B67F-F1565423FBE0}">
      <text>
        <t xml:space="preserve">[Threaded comment]
Your version of Excel allows you to read this threaded comment; however, any edits to it will get removed if the file is opened in a newer version of Excel. Learn more: https://go.microsoft.com/fwlink/?linkid=870924
Comment:
    agreed
</t>
      </text>
    </comment>
    <comment ref="AC941" authorId="476" shapeId="0" xr:uid="{DBC7D95F-0B63-4A51-A124-967276068C5F}">
      <text>
        <t xml:space="preserve">[Threaded comment]
Your version of Excel allows you to read this threaded comment; however, any edits to it will get removed if the file is opened in a newer version of Excel. Learn more: https://go.microsoft.com/fwlink/?linkid=870924
Comment:
    agreed
</t>
      </text>
    </comment>
    <comment ref="AD941" authorId="477" shapeId="0" xr:uid="{0A1B86BA-D002-4E5D-98E5-BD9E0A9A4AF1}">
      <text>
        <t xml:space="preserve">[Threaded comment]
Your version of Excel allows you to read this threaded comment; however, any edits to it will get removed if the file is opened in a newer version of Excel. Learn more: https://go.microsoft.com/fwlink/?linkid=870924
Comment:
    agreed
</t>
      </text>
    </comment>
    <comment ref="AC942" authorId="478" shapeId="0" xr:uid="{7E7A34F6-D218-4AB8-9C56-73421F74BEF2}">
      <text>
        <t xml:space="preserve">[Threaded comment]
Your version of Excel allows you to read this threaded comment; however, any edits to it will get removed if the file is opened in a newer version of Excel. Learn more: https://go.microsoft.com/fwlink/?linkid=870924
Comment:
    agreed
</t>
      </text>
    </comment>
    <comment ref="AD942" authorId="479" shapeId="0" xr:uid="{961C46AB-9ABE-43B5-B123-1A3BA4CBCA0E}">
      <text>
        <t xml:space="preserve">[Threaded comment]
Your version of Excel allows you to read this threaded comment; however, any edits to it will get removed if the file is opened in a newer version of Excel. Learn more: https://go.microsoft.com/fwlink/?linkid=870924
Comment:
    agreed
</t>
      </text>
    </comment>
    <comment ref="AE946" authorId="480" shapeId="0" xr:uid="{581CD356-522E-4D4B-A438-AF77EE64AE01}">
      <text>
        <t xml:space="preserve">[Threaded comment]
Your version of Excel allows you to read this threaded comment; however, any edits to it will get removed if the file is opened in a newer version of Excel. Learn more: https://go.microsoft.com/fwlink/?linkid=870924
Comment:
    agreed
</t>
      </text>
    </comment>
    <comment ref="AF946" authorId="481" shapeId="0" xr:uid="{D0D71FC7-5D9E-4231-AFD0-8751C1D16F35}">
      <text>
        <t xml:space="preserve">[Threaded comment]
Your version of Excel allows you to read this threaded comment; however, any edits to it will get removed if the file is opened in a newer version of Excel. Learn more: https://go.microsoft.com/fwlink/?linkid=870924
Comment:
    agreed
</t>
      </text>
    </comment>
    <comment ref="AE947" authorId="482" shapeId="0" xr:uid="{18B37DC3-8421-407D-9C55-F3056EE7C4BA}">
      <text>
        <t xml:space="preserve">[Threaded comment]
Your version of Excel allows you to read this threaded comment; however, any edits to it will get removed if the file is opened in a newer version of Excel. Learn more: https://go.microsoft.com/fwlink/?linkid=870924
Comment:
    agreed
</t>
      </text>
    </comment>
    <comment ref="AF947" authorId="483" shapeId="0" xr:uid="{4B4A6244-9D4E-411E-BE5A-51F2391CA8EC}">
      <text>
        <t xml:space="preserve">[Threaded comment]
Your version of Excel allows you to read this threaded comment; however, any edits to it will get removed if the file is opened in a newer version of Excel. Learn more: https://go.microsoft.com/fwlink/?linkid=870924
Comment:
    agreed
</t>
      </text>
    </comment>
    <comment ref="AE948" authorId="484" shapeId="0" xr:uid="{85F0629C-E4FC-4AD1-8B74-72208E07956D}">
      <text>
        <t xml:space="preserve">[Threaded comment]
Your version of Excel allows you to read this threaded comment; however, any edits to it will get removed if the file is opened in a newer version of Excel. Learn more: https://go.microsoft.com/fwlink/?linkid=870924
Comment:
    agreed
</t>
      </text>
    </comment>
    <comment ref="AF948" authorId="485" shapeId="0" xr:uid="{A76073BB-1C39-4BDF-956B-A7A4C4FEC9F7}">
      <text>
        <t xml:space="preserve">[Threaded comment]
Your version of Excel allows you to read this threaded comment; however, any edits to it will get removed if the file is opened in a newer version of Excel. Learn more: https://go.microsoft.com/fwlink/?linkid=870924
Comment:
    agreed
</t>
      </text>
    </comment>
    <comment ref="AE949" authorId="486" shapeId="0" xr:uid="{98374CAF-F936-4C60-A3AC-31DC1BBA4A14}">
      <text>
        <t xml:space="preserve">[Threaded comment]
Your version of Excel allows you to read this threaded comment; however, any edits to it will get removed if the file is opened in a newer version of Excel. Learn more: https://go.microsoft.com/fwlink/?linkid=870924
Comment:
    agreed
</t>
      </text>
    </comment>
    <comment ref="AF949" authorId="487" shapeId="0" xr:uid="{E8870312-44D0-4E7F-95C1-3DD39BC93ED0}">
      <text>
        <t xml:space="preserve">[Threaded comment]
Your version of Excel allows you to read this threaded comment; however, any edits to it will get removed if the file is opened in a newer version of Excel. Learn more: https://go.microsoft.com/fwlink/?linkid=870924
Comment:
    agreed
</t>
      </text>
    </comment>
    <comment ref="AC957" authorId="488" shapeId="0" xr:uid="{057724EB-A84C-4BE1-ACE7-BF0DB83F12FD}">
      <text>
        <t xml:space="preserve">[Threaded comment]
Your version of Excel allows you to read this threaded comment; however, any edits to it will get removed if the file is opened in a newer version of Excel. Learn more: https://go.microsoft.com/fwlink/?linkid=870924
Comment:
    agreed
</t>
      </text>
    </comment>
    <comment ref="AD957" authorId="489" shapeId="0" xr:uid="{65FB387C-DEC1-4670-AEE9-EFB579AF284E}">
      <text>
        <t xml:space="preserve">[Threaded comment]
Your version of Excel allows you to read this threaded comment; however, any edits to it will get removed if the file is opened in a newer version of Excel. Learn more: https://go.microsoft.com/fwlink/?linkid=870924
Comment:
    agreed
</t>
      </text>
    </comment>
    <comment ref="AC958" authorId="490" shapeId="0" xr:uid="{B2D24FDB-261E-4A10-9422-D7DCD646A2BE}">
      <text>
        <t xml:space="preserve">[Threaded comment]
Your version of Excel allows you to read this threaded comment; however, any edits to it will get removed if the file is opened in a newer version of Excel. Learn more: https://go.microsoft.com/fwlink/?linkid=870924
Comment:
    agreed
</t>
      </text>
    </comment>
    <comment ref="AD958" authorId="491" shapeId="0" xr:uid="{B53596D1-E106-4466-BB2B-56166C7C5681}">
      <text>
        <t xml:space="preserve">[Threaded comment]
Your version of Excel allows you to read this threaded comment; however, any edits to it will get removed if the file is opened in a newer version of Excel. Learn more: https://go.microsoft.com/fwlink/?linkid=870924
Comment:
    agreed
</t>
      </text>
    </comment>
    <comment ref="AC959" authorId="492" shapeId="0" xr:uid="{020822D6-11CF-4A5A-B363-C5904A24C925}">
      <text>
        <t xml:space="preserve">[Threaded comment]
Your version of Excel allows you to read this threaded comment; however, any edits to it will get removed if the file is opened in a newer version of Excel. Learn more: https://go.microsoft.com/fwlink/?linkid=870924
Comment:
    agreed
</t>
      </text>
    </comment>
    <comment ref="AD959" authorId="493" shapeId="0" xr:uid="{3812FE5C-66D9-4D1E-ADCD-330C9092D798}">
      <text>
        <t xml:space="preserve">[Threaded comment]
Your version of Excel allows you to read this threaded comment; however, any edits to it will get removed if the file is opened in a newer version of Excel. Learn more: https://go.microsoft.com/fwlink/?linkid=870924
Comment:
    agreed
</t>
      </text>
    </comment>
    <comment ref="AC960" authorId="494" shapeId="0" xr:uid="{7B32D2D1-4E89-4281-83DF-099D4FC8FF28}">
      <text>
        <t xml:space="preserve">[Threaded comment]
Your version of Excel allows you to read this threaded comment; however, any edits to it will get removed if the file is opened in a newer version of Excel. Learn more: https://go.microsoft.com/fwlink/?linkid=870924
Comment:
    agreed
</t>
      </text>
    </comment>
    <comment ref="AD960" authorId="495" shapeId="0" xr:uid="{EB7BF91B-891F-4F51-96F0-8332B687A071}">
      <text>
        <t xml:space="preserve">[Threaded comment]
Your version of Excel allows you to read this threaded comment; however, any edits to it will get removed if the file is opened in a newer version of Excel. Learn more: https://go.microsoft.com/fwlink/?linkid=870924
Comment:
    agreed
</t>
      </text>
    </comment>
    <comment ref="AI968" authorId="496" shapeId="0" xr:uid="{C980462C-DA5D-4A4D-B1AF-F6EDF9E7D135}">
      <text>
        <t>[Threaded comment]
Your version of Excel allows you to read this threaded comment; however, any edits to it will get removed if the file is opened in a newer version of Excel. Learn more: https://go.microsoft.com/fwlink/?linkid=870924
Comment:
    Is 63 from supplemental table 2?
Using the data from Table 2 of the main papers, I make this 69.
T1 = 25
T2 = 11
T3 = 12
T4 = 10
T5 = 11
Reply:
    Not sure now. Think I might have calculated it from Table 2 subtracting the 6 interval cancers from the reported 69 cancers. That would also fit with the reported sensitivity of 91.3%. I am confused now as Supplemental Table III only reports 63 lung cancers 0-5 years after randomisation. If we use the number of malignant biopsies from Table 2, I am getting 67 screen-detected cancers… Which number to use??? Or leave out as we don't know the number???
Reply:
    I understand. The interval cancers are not in addition to the confirmed cancers, they are part of that number. Ie
At T1, there were 25 confirmed lung cancers, of which 1 was an interval cancer.
At T2, there were 11 confirmed cancers, of which 0 were intervals.
I agree with your numbers here.</t>
      </text>
    </comment>
    <comment ref="AO968" authorId="497" shapeId="0" xr:uid="{D43A3462-CB07-4B83-A756-BD478FAC7AC5}">
      <text>
        <t>[Threaded comment]
Your version of Excel allows you to read this threaded comment; however, any edits to it will get removed if the file is opened in a newer version of Excel. Learn more: https://go.microsoft.com/fwlink/?linkid=870924
Comment:
    3.4 (if the numerator is 69)
Reply:
    I agree with you</t>
      </text>
    </comment>
    <comment ref="AI969" authorId="498" shapeId="0" xr:uid="{222AB6F5-63AF-4F07-A988-29212393C64A}">
      <text>
        <t>[Threaded comment]
Your version of Excel allows you to read this threaded comment; however, any edits to it will get removed if the file is opened in a newer version of Excel. Learn more: https://go.microsoft.com/fwlink/?linkid=870924
Comment:
    Is 63 from supplemental table 2?
Using the data from Table 2 of the main papers, I make this 69.
T1 = 25
T2 = 11
T3 = 12
T4 = 10
T5 = 11
Reply:
    Not sure now. Think I might have calculated it from Table 2 subtracting the 6 interval cancers from the reported 69 cancers. That would also fit with the reported sensitivity of 91.3%. I am confused now as Supplemental Table III only reports 63 lung cancers 0-5 years after randomisation. If we use the number of malignant biopsies from Table 2, I am getting 67 screen-detected cancers… Which number to use??? Or leave out as we don't know the number???
Reply:
    I understand. The interval cancers are not in addition to the confirmed cancers, they are part of that number. Ie
At T1, there were 25 confirmed lung cancers, of which 1 was an interval cancer.
At T2, there were 11 confirmed cancers, of which 0 were intervals.
I agree with your numbers here.</t>
      </text>
    </comment>
    <comment ref="AO969" authorId="499" shapeId="0" xr:uid="{455A667A-AA68-4777-A770-03CE411F2CA9}">
      <text>
        <t xml:space="preserve">[Threaded comment]
Your version of Excel allows you to read this threaded comment; however, any edits to it will get removed if the file is opened in a newer version of Excel. Learn more: https://go.microsoft.com/fwlink/?linkid=870924
Comment:
    Or 81, if the numerator is 69.
Reply:
    I agree with you
</t>
      </text>
    </comment>
    <comment ref="AI970" authorId="500" shapeId="0" xr:uid="{58DB2777-FB81-4682-ABAC-4EDBA1966F01}">
      <text>
        <t>[Threaded comment]
Your version of Excel allows you to read this threaded comment; however, any edits to it will get removed if the file is opened in a newer version of Excel. Learn more: https://go.microsoft.com/fwlink/?linkid=870924
Comment:
    Is 63 from supplemental table 2?
Using the data from Table 2 of the main papers, I make this 69.
T1 = 25
T2 = 11
T3 = 12
T4 = 10
T5 = 11
Reply:
    Not sure now. Think I might have calculated it from Table 2 subtracting the 6 interval cancers from the reported 69 cancers. That would also fit with the reported sensitivity of 91.3%. I am confused now as Supplemental Table III only reports 63 lung cancers 0-5 years after randomisation. If we use the number of malignant biopsies from Table 2, I am getting 67 screen-detected cancers… Which number to use??? Or leave out as we don't know the number???
Reply:
    I understand. The interval cancers are not in addition to the confirmed cancers, they are part of that number. Ie
At T1, there were 25 confirmed lung cancers, of which 1 was an interval cancer.
At T2, there were 11 confirmed cancers, of which 0 were intervals.
I agree with your numbers here.</t>
      </text>
    </comment>
    <comment ref="AI971" authorId="501" shapeId="0" xr:uid="{8571122E-4D2A-4DF5-BF27-C7725BFD79FF}">
      <text>
        <t>[Threaded comment]
Your version of Excel allows you to read this threaded comment; however, any edits to it will get removed if the file is opened in a newer version of Excel. Learn more: https://go.microsoft.com/fwlink/?linkid=870924
Comment:
    Is 63 from supplemental table 2?
Using the data from Table 2 of the main papers, I make this 69.
T1 = 25
T2 = 11
T3 = 12
T4 = 10
T5 = 11
Reply:
    Not sure now. Think I might have calculated it from Table 2 subtracting the 6 interval cancers from the reported 69 cancers. That would also fit with the reported sensitivity of 91.3%. I am confused now as Supplemental Table III only reports 63 lung cancers 0-5 years after randomisation. If we use the number of malignant biopsies from Table 2, I am getting 67 screen-detected cancers… Which number to use??? Or leave out as we don't know the number???
Reply:
    I understand. The interval cancers are not in addition to the confirmed cancers, they are part of that number. Ie
At T1, there were 25 confirmed lung cancers, of which 1 was an interval cancer.
At T2, there were 11 confirmed cancers, of which 0 were intervals.
I agree with your numbers here.</t>
      </text>
    </comment>
    <comment ref="J973" authorId="502" shapeId="0" xr:uid="{56F7E570-6E19-45FD-9FAF-25ABD7C21D06}">
      <text>
        <t>[Threaded comment]
Your version of Excel allows you to read this threaded comment; however, any edits to it will get removed if the file is opened in a newer version of Excel. Learn more: https://go.microsoft.com/fwlink/?linkid=870924
Comment:
    TNM stage for me would be if they report stage as T1N0M0 for example. You can then convert this TNM stage into a numerical stage; this is what we have here.
Reply:
    Ok, I looked up IUCC clinical staging and it referred me to TNM staging.</t>
      </text>
    </comment>
    <comment ref="U973" authorId="503" shapeId="0" xr:uid="{F09D7E8E-54D3-4422-B7FC-7CF0BFE6E69E}">
      <text>
        <t>[Threaded comment]
Your version of Excel allows you to read this threaded comment; however, any edits to it will get removed if the file is opened in a newer version of Excel. Learn more: https://go.microsoft.com/fwlink/?linkid=870924
Comment:
    Alternating mammography+clinical assessment and clinical assessment only</t>
      </text>
    </comment>
    <comment ref="Y973" authorId="504" shapeId="0" xr:uid="{CFB2AE14-9383-4351-B741-A5BE4F01D375}">
      <text>
        <t>[Threaded comment]
Your version of Excel allows you to read this threaded comment; however, any edits to it will get removed if the file is opened in a newer version of Excel. Learn more: https://go.microsoft.com/fwlink/?linkid=870924
Comment:
    With caveat that there is uncertainty what this includes see paper level info</t>
      </text>
    </comment>
    <comment ref="Z973" authorId="505" shapeId="0" xr:uid="{2D086F86-AA6E-44BD-9D0D-44D652ED2569}">
      <text>
        <t>[Threaded comment]
Your version of Excel allows you to read this threaded comment; however, any edits to it will get removed if the file is opened in a newer version of Excel. Learn more: https://go.microsoft.com/fwlink/?linkid=870924
Comment:
    With caveat that there is uncertainty what this includes see paper level info</t>
      </text>
    </comment>
    <comment ref="AK974" authorId="506" shapeId="0" xr:uid="{22146453-7845-48E4-8D90-F6BA2691DFB1}">
      <text>
        <t>[Threaded comment]
Your version of Excel allows you to read this threaded comment; however, any edits to it will get removed if the file is opened in a newer version of Excel. Learn more: https://go.microsoft.com/fwlink/?linkid=870924
Comment:
    Requires assumption that person years and cancers after 7 years, not clearly reported
Reply:
    That's okay. I had this in other trials as well.</t>
      </text>
    </comment>
    <comment ref="AL974" authorId="507" shapeId="0" xr:uid="{0A69B9B8-040B-4BC0-98EA-4CB55B518ADB}">
      <text>
        <t>[Threaded comment]
Your version of Excel allows you to read this threaded comment; however, any edits to it will get removed if the file is opened in a newer version of Excel. Learn more: https://go.microsoft.com/fwlink/?linkid=870924
Comment:
    Requires assumption that person years and cancers after 7 years, not clearly reported
Reply:
    That's okay. I had this in other trials as well.</t>
      </text>
    </comment>
    <comment ref="A985" authorId="508" shapeId="0" xr:uid="{DB05A715-72EC-4B5E-96DB-784A7FF6724B}">
      <text>
        <t>[Threaded comment]
Your version of Excel allows you to read this threaded comment; however, any edits to it will get removed if the file is opened in a newer version of Excel. Learn more: https://go.microsoft.com/fwlink/?linkid=870924
Comment:
    I added this row. Please check!</t>
      </text>
    </comment>
    <comment ref="A986" authorId="509" shapeId="0" xr:uid="{DBAF9B37-BF72-41F4-AFD6-AE35BFCA12E3}">
      <text>
        <t>[Threaded comment]
Your version of Excel allows you to read this threaded comment; however, any edits to it will get removed if the file is opened in a newer version of Excel. Learn more: https://go.microsoft.com/fwlink/?linkid=870924
Comment:
    I added this row. Please check!</t>
      </text>
    </comment>
    <comment ref="A987" authorId="510" shapeId="0" xr:uid="{25F249AD-9310-4AE7-803D-1B265F8401F7}">
      <text>
        <t>[Threaded comment]
Your version of Excel allows you to read this threaded comment; however, any edits to it will get removed if the file is opened in a newer version of Excel. Learn more: https://go.microsoft.com/fwlink/?linkid=870924
Comment:
    I added this row. Please check!</t>
      </text>
    </comment>
    <comment ref="AI988" authorId="511" shapeId="0" xr:uid="{83F49335-98DA-4737-8693-3319E8B1D0DF}">
      <text>
        <t>[Threaded comment]
Your version of Excel allows you to read this threaded comment; however, any edits to it will get removed if the file is opened in a newer version of Excel. Learn more: https://go.microsoft.com/fwlink/?linkid=870924
Comment:
    2 phyllodes tumours of the breast omitted.</t>
      </text>
    </comment>
    <comment ref="AI989" authorId="512" shapeId="0" xr:uid="{A43A66A6-CBE9-42F8-B167-4EDEE4E92B1E}">
      <text>
        <t>[Threaded comment]
Your version of Excel allows you to read this threaded comment; however, any edits to it will get removed if the file is opened in a newer version of Excel. Learn more: https://go.microsoft.com/fwlink/?linkid=870924
Comment:
    2 phyllodes tumours of the breast omitted.</t>
      </text>
    </comment>
    <comment ref="AR1005" authorId="513" shapeId="0" xr:uid="{218418FC-06BB-4CB2-8571-F30EA39B1D73}">
      <text>
        <t>[Threaded comment]
Your version of Excel allows you to read this threaded comment; however, any edits to it will get removed if the file is opened in a newer version of Excel. Learn more: https://go.microsoft.com/fwlink/?linkid=870924
Comment:
    Please check numbers. Not the same % as reported in text.</t>
      </text>
    </comment>
    <comment ref="AN1006" authorId="514" shapeId="0" xr:uid="{5732FD27-4A22-4962-9CC7-E6A617C8BC29}">
      <text>
        <t>[Threaded comment]
Your version of Excel allows you to read this threaded comment; however, any edits to it will get removed if the file is opened in a newer version of Excel. Learn more: https://go.microsoft.com/fwlink/?linkid=870924
Comment:
    Think it's a type in the paper and should say 18.7 as % don't add up to 100% in table 1.</t>
      </text>
    </comment>
    <comment ref="AC1010" authorId="515" shapeId="0" xr:uid="{51E06113-8555-45E6-AA43-CE2F7A30848D}">
      <text>
        <t>[Threaded comment]
Your version of Excel allows you to read this threaded comment; however, any edits to it will get removed if the file is opened in a newer version of Excel. Learn more: https://go.microsoft.com/fwlink/?linkid=870924
Comment:
    +1, so 100?? One more unknown occult cancer in non-attenders pT1 table 1. However, row totals for unknowns only add up for screen detected - an issue???
Reply:
    You are right. Think the numbers don't add up to the totals as there were an additional 9 cases in each group with clinical diagnosis only and another 7 cases in the control group where stage was unknown.</t>
      </text>
    </comment>
    <comment ref="AJ1020" authorId="516" shapeId="0" xr:uid="{581B4420-DB51-44DD-985F-F0B6C6122C0D}">
      <text>
        <t>[Threaded comment]
Your version of Excel allows you to read this threaded comment; however, any edits to it will get removed if the file is opened in a newer version of Excel. Learn more: https://go.microsoft.com/fwlink/?linkid=870924
Comment:
    Miller 2000 reports 267 and 148 screen-detected cancers, respectively.
Reply:
    Table 7 of #4473 states one additional screen detected cancer (through physical exam) in year one.
Reply:
    I can't see anything that explains the discrepancy.</t>
      </text>
    </comment>
    <comment ref="AC1034" authorId="517" shapeId="0" xr:uid="{200308D4-B3E8-49DB-A61D-4C7A109EB132}">
      <text>
        <t>[Threaded comment]
Your version of Excel allows you to read this threaded comment; however, any edits to it will get removed if the file is opened in a newer version of Excel. Learn more: https://go.microsoft.com/fwlink/?linkid=870924
Comment:
    I couldn't find this info
Reply:
    Sorry, I have clarified it using a formular in Excel.
There are 156 cancers &lt;20mm plus 119 cancers &gt;=20 mm, equalling 275 with nodule size.
In total, there have been 331 cancers detected (Table 7).
331-275=56
Reply:
    Got it. Agreed.</t>
      </text>
    </comment>
    <comment ref="AE1034" authorId="518" shapeId="0" xr:uid="{6810B681-96A7-4A9C-847C-BD32289B04AA}">
      <text>
        <t xml:space="preserve">[Threaded comment]
Your version of Excel allows you to read this threaded comment; however, any edits to it will get removed if the file is opened in a newer version of Excel. Learn more: https://go.microsoft.com/fwlink/?linkid=870924
Comment:
    I couldn't find this info
Reply:
    Sorry, I have clarified it using a formular in Excel.
There are 116 cancers &lt;20mm plus 101 cancers &gt;=20 mm, equalling 217with nodule size.
In total, there have been 272 cancers detected (from Table 7).
272-217=55
Reply:
    Got it. Agreed.
</t>
      </text>
    </comment>
    <comment ref="AC1035" authorId="519" shapeId="0" xr:uid="{023EFEC6-686B-485A-AADA-41DF01ECD12E}">
      <text>
        <t xml:space="preserve">[Threaded comment]
Your version of Excel allows you to read this threaded comment; however, any edits to it will get removed if the file is opened in a newer version of Excel. Learn more: https://go.microsoft.com/fwlink/?linkid=870924
Comment:
    I couldn't find this info
Reply:
    Sorry, I have clarified it using a formular in Excel.
It's 156 cancers &lt;20mm plus 119 cancers &gt;=20 mm, equals 275 with nodule size.
In total, there have been 331 cancers detected.
331-275=56
Reply:
    Got it. Agreed.
</t>
      </text>
    </comment>
    <comment ref="AE1035" authorId="520" shapeId="0" xr:uid="{26E9844C-4305-4816-AE85-25ADC97C2230}">
      <text>
        <t xml:space="preserve">[Threaded comment]
Your version of Excel allows you to read this threaded comment; however, any edits to it will get removed if the file is opened in a newer version of Excel. Learn more: https://go.microsoft.com/fwlink/?linkid=870924
Comment:
    I couldn't find this info
Reply:
    Sorry, I have clarified it using a formular in Excel.
There are 116 cancers &lt;20mm plus 101 cancers &gt;=20 mm, equalling 217with nodule size.
In total, there have been 272 cancers detected (from Table 7).
272-217=55
Reply:
    Got it. Agreed.
</t>
      </text>
    </comment>
    <comment ref="D1059" authorId="521" shapeId="0" xr:uid="{051F601C-4F2C-4B2F-9426-A227D50E8701}">
      <text>
        <t>[Threaded comment]
Your version of Excel allows you to read this threaded comment; however, any edits to it will get removed if the file is opened in a newer version of Excel. Learn more: https://go.microsoft.com/fwlink/?linkid=870924
Comment:
    Numbers slightly different to Miller 1992; therefore extracted again.
Reply:
    okay</t>
      </text>
    </comment>
    <comment ref="AL1082" authorId="522" shapeId="0" xr:uid="{19602A59-340F-40B7-AD17-84462C720C39}">
      <text>
        <t>[Threaded comment]
Your version of Excel allows you to read this threaded comment; however, any edits to it will get removed if the file is opened in a newer version of Excel. Learn more: https://go.microsoft.com/fwlink/?linkid=870924
Comment:
    This is the number randomised by arm. Number analysed is not reported, but we could use the numbers from one of the other papers?
Reply:
    But isn't it number randomised that we want? 'cos ITT is less biased.</t>
      </text>
    </comment>
    <comment ref="AL1083" authorId="523" shapeId="0" xr:uid="{B806D2A7-A9E8-41A1-AFCD-95E2C4607A59}">
      <text>
        <t>[Threaded comment]
Your version of Excel allows you to read this threaded comment; however, any edits to it will get removed if the file is opened in a newer version of Excel. Learn more: https://go.microsoft.com/fwlink/?linkid=870924
Comment:
    This is the number randomised by arm. Number analysed is not reported, but we could use the numbers from one of the other papers?
Reply:
    But isn't it number randomised that we want? 'cos ITT is less biased.</t>
      </text>
    </comment>
    <comment ref="AL1084" authorId="524" shapeId="0" xr:uid="{E18ECFAD-A92A-4BC0-A045-92F795E00DA9}">
      <text>
        <t>[Threaded comment]
Your version of Excel allows you to read this threaded comment; however, any edits to it will get removed if the file is opened in a newer version of Excel. Learn more: https://go.microsoft.com/fwlink/?linkid=870924
Comment:
    This is the number randomised by arm. Number analysed is not reported, but we could use the numbers from one of the other papers?
Reply:
    But isn't it number randomised that we want? 'cos ITT is less biased.</t>
      </text>
    </comment>
    <comment ref="AL1086" authorId="525" shapeId="0" xr:uid="{B9372440-7432-4C95-8639-C9CFC2053034}">
      <text>
        <t xml:space="preserve">[Threaded comment]
Your version of Excel allows you to read this threaded comment; however, any edits to it will get removed if the file is opened in a newer version of Excel. Learn more: https://go.microsoft.com/fwlink/?linkid=870924
Comment:
    This is the number randomised by arm. Number analysed is not reported, but we could use the numbers from one of the other papers?
Reply:
    But isn't it number randomised that we want? 'cos ITT is less biased.
</t>
      </text>
    </comment>
    <comment ref="AL1087" authorId="526" shapeId="0" xr:uid="{868ABF76-8D07-4934-BD73-56A267D24C02}">
      <text>
        <t xml:space="preserve">[Threaded comment]
Your version of Excel allows you to read this threaded comment; however, any edits to it will get removed if the file is opened in a newer version of Excel. Learn more: https://go.microsoft.com/fwlink/?linkid=870924
Comment:
    This is the number randomised by arm. Number analysed is not reported, but we could use the numbers from one of the other papers?
Reply:
    But isn't it number randomised that we want? 'cos ITT is less biased.
</t>
      </text>
    </comment>
    <comment ref="AL1088" authorId="527" shapeId="0" xr:uid="{42F4234E-C31E-46E9-8BC7-D33A44043252}">
      <text>
        <t xml:space="preserve">[Threaded comment]
Your version of Excel allows you to read this threaded comment; however, any edits to it will get removed if the file is opened in a newer version of Excel. Learn more: https://go.microsoft.com/fwlink/?linkid=870924
Comment:
    This is the number randomised by arm. Number analysed is not reported, but we could use the numbers from one of the other papers?
Reply:
    But isn't it number randomised that we want? 'cos ITT is less biased.
</t>
      </text>
    </comment>
    <comment ref="AL1090" authorId="528" shapeId="0" xr:uid="{921F3917-BF09-4CB0-9AE6-C08B95ED1A8E}">
      <text>
        <t xml:space="preserve">[Threaded comment]
Your version of Excel allows you to read this threaded comment; however, any edits to it will get removed if the file is opened in a newer version of Excel. Learn more: https://go.microsoft.com/fwlink/?linkid=870924
Comment:
    This is the number randomised by arm. Number analysed is not reported, but we could use the numbers from one of the other papers?
Reply:
    But isn't it number randomised that we want? 'cos ITT is less biased.
</t>
      </text>
    </comment>
    <comment ref="AL1091" authorId="529" shapeId="0" xr:uid="{0C87CE83-FBE6-4FCD-82BD-B3E41E8589EC}">
      <text>
        <t xml:space="preserve">[Threaded comment]
Your version of Excel allows you to read this threaded comment; however, any edits to it will get removed if the file is opened in a newer version of Excel. Learn more: https://go.microsoft.com/fwlink/?linkid=870924
Comment:
    This is the number randomised by arm. Number analysed is not reported, but we could use the numbers from one of the other papers?
Reply:
    But isn't it number randomised that we want? 'cos ITT is less biased.
</t>
      </text>
    </comment>
    <comment ref="AL1092" authorId="530" shapeId="0" xr:uid="{94985D09-8ECC-40C0-BF32-E5DC97722374}">
      <text>
        <t xml:space="preserve">[Threaded comment]
Your version of Excel allows you to read this threaded comment; however, any edits to it will get removed if the file is opened in a newer version of Excel. Learn more: https://go.microsoft.com/fwlink/?linkid=870924
Comment:
    This is the number randomised by arm. Number analysed is not reported, but we could use the numbers from one of the other papers?
Reply:
    But isn't it number randomised that we want? 'cos ITT is less biased.
</t>
      </text>
    </comment>
    <comment ref="AL1093" authorId="531" shapeId="0" xr:uid="{C3B1ABAD-B5EF-4EF2-9E16-97BC8A1A24A7}">
      <text>
        <t xml:space="preserve">[Threaded comment]
Your version of Excel allows you to read this threaded comment; however, any edits to it will get removed if the file is opened in a newer version of Excel. Learn more: https://go.microsoft.com/fwlink/?linkid=870924
Comment:
    This is the number randomised by arm. Number analysed is not reported, but we could use the numbers from one of the other papers?
Reply:
    But isn't it number randomised that we want? 'cos ITT is less biased.
</t>
      </text>
    </comment>
    <comment ref="AJ1094" authorId="532" shapeId="0" xr:uid="{0BACEF75-0DA0-47D3-94BE-D6DC5797BB9A}">
      <text>
        <t>[Threaded comment]
Your version of Excel allows you to read this threaded comment; however, any edits to it will get removed if the file is opened in a newer version of Excel. Learn more: https://go.microsoft.com/fwlink/?linkid=870924
Comment:
    Same numbers reported for size and node status???
Reply:
    Coincidence?</t>
      </text>
    </comment>
    <comment ref="AL1094" authorId="533" shapeId="0" xr:uid="{F0F856F9-4142-451D-A639-7C193DD68A09}">
      <text>
        <t xml:space="preserve">[Threaded comment]
Your version of Excel allows you to read this threaded comment; however, any edits to it will get removed if the file is opened in a newer version of Excel. Learn more: https://go.microsoft.com/fwlink/?linkid=870924
Comment:
    This is the number randomised by arm. Number analysed is not reported, but we could use the numbers from one of the other papers?
Reply:
    But isn't it number randomised that we want? 'cos ITT is less biased.
</t>
      </text>
    </comment>
    <comment ref="AL1095" authorId="534" shapeId="0" xr:uid="{CB8D6911-A1F2-453F-ABB0-5F86049E496A}">
      <text>
        <t xml:space="preserve">[Threaded comment]
Your version of Excel allows you to read this threaded comment; however, any edits to it will get removed if the file is opened in a newer version of Excel. Learn more: https://go.microsoft.com/fwlink/?linkid=870924
Comment:
    This is the number randomised by arm. Number analysed is not reported, but we could use the numbers from one of the other papers?
Reply:
    But isn't it number randomised that we want? 'cos ITT is less biased.
</t>
      </text>
    </comment>
    <comment ref="AL1096" authorId="535" shapeId="0" xr:uid="{74768960-ABC2-4A4E-AE2D-AC04DAE93998}">
      <text>
        <t xml:space="preserve">[Threaded comment]
Your version of Excel allows you to read this threaded comment; however, any edits to it will get removed if the file is opened in a newer version of Excel. Learn more: https://go.microsoft.com/fwlink/?linkid=870924
Comment:
    This is the number randomised by arm. Number analysed is not reported, but we could use the numbers from one of the other papers?
Reply:
    But isn't it number randomised that we want? 'cos ITT is less biased.
</t>
      </text>
    </comment>
    <comment ref="AL1097" authorId="536" shapeId="0" xr:uid="{E02EA4F3-CA1F-4241-930C-279CCD9DEB76}">
      <text>
        <t xml:space="preserve">[Threaded comment]
Your version of Excel allows you to read this threaded comment; however, any edits to it will get removed if the file is opened in a newer version of Excel. Learn more: https://go.microsoft.com/fwlink/?linkid=870924
Comment:
    This is the number randomised by arm. Number analysed is not reported, but we could use the numbers from one of the other papers?
Reply:
    But isn't it number randomised that we want? 'cos ITT is less biased.
</t>
      </text>
    </comment>
    <comment ref="AN1145" authorId="537" shapeId="0" xr:uid="{9FAD29CC-54D0-4D37-8A7A-2F47A2EA428C}">
      <text>
        <t>[Threaded comment]
Your version of Excel allows you to read this threaded comment; however, any edits to it will get removed if the file is opened in a newer version of Excel. Learn more: https://go.microsoft.com/fwlink/?linkid=870924
Comment:
    Slightly different to calculated %.</t>
      </text>
    </comment>
    <comment ref="D1148" authorId="538" shapeId="0" xr:uid="{150F0DB8-6868-4EC1-A26E-A8905A9E531F}">
      <text>
        <t>[Threaded comment]
Your version of Excel allows you to read this threaded comment; however, any edits to it will get removed if the file is opened in a newer version of Excel. Learn more: https://go.microsoft.com/fwlink/?linkid=870924
Comment:
    Adenoma alone, not including CRC+adenoma
Reply:
    Added.</t>
      </text>
    </comment>
    <comment ref="D1151" authorId="539" shapeId="0" xr:uid="{421FE37F-4C57-41DD-B2FF-2CDFCF67A7F7}">
      <text>
        <t>[Threaded comment]
Your version of Excel allows you to read this threaded comment; however, any edits to it will get removed if the file is opened in a newer version of Excel. Learn more: https://go.microsoft.com/fwlink/?linkid=870924
Comment:
    Just for my knowledge, why are we extracting this? I didn't think we had paid much attention to subgroup analyses previously, especially when they report the combined outcome
Reply:
    Think as Kronborg 1987 was the first paper for that trial that I had extracted, I wasn't sure what other surrogate and mortality outcomes will be reported by gender in the papers to come.
In general, we can only use subgroups (on centre, gender, age, or combined) if we have surrogate and mortality data for the same subgroup.</t>
      </text>
    </comment>
    <comment ref="AR1153" authorId="540" shapeId="0" xr:uid="{E3C0A576-5F4C-4A55-8020-2D0F60A2231D}">
      <text>
        <t>[Threaded comment]
Your version of Excel allows you to read this threaded comment; however, any edits to it will get removed if the file is opened in a newer version of Excel. Learn more: https://go.microsoft.com/fwlink/?linkid=870924
Comment:
    These are calculated rates?</t>
      </text>
    </comment>
    <comment ref="AI1157" authorId="541" shapeId="0" xr:uid="{8BBFA1C2-B70C-4B62-B267-D753C31EA369}">
      <text>
        <t>[Threaded comment]
Your version of Excel allows you to read this threaded comment; however, any edits to it will get removed if the file is opened in a newer version of Excel. Learn more: https://go.microsoft.com/fwlink/?linkid=870924
Comment:
    23
Reply:
    11+12
Reply:
    Corrected.</t>
      </text>
    </comment>
    <comment ref="D1164" authorId="542" shapeId="0" xr:uid="{D25BB964-CA07-4C45-98BC-37380FA5836D}">
      <text>
        <t>[Threaded comment]
Your version of Excel allows you to read this threaded comment; however, any edits to it will get removed if the file is opened in a newer version of Excel. Learn more: https://go.microsoft.com/fwlink/?linkid=870924
Comment:
    Why do we not separately extract 1 adenoma and 2 or more adenomas?
Reply:
    We have added the 2 rows as I am not sure if useful or not. Please check them!
Reply:
    Done</t>
      </text>
    </comment>
    <comment ref="AI1171" authorId="543" shapeId="0" xr:uid="{C5AF2636-453D-4684-9A59-8DB225CBBAD2}">
      <text>
        <t>[Threaded comment]
Your version of Excel allows you to read this threaded comment; however, any edits to it will get removed if the file is opened in a newer version of Excel. Learn more: https://go.microsoft.com/fwlink/?linkid=870924
Comment:
    20
Reply:
    Corrected.</t>
      </text>
    </comment>
    <comment ref="AR1172" authorId="544" shapeId="0" xr:uid="{D4DEBE4D-E672-41BC-B4FB-232ABF65AD35}">
      <text>
        <t>[Threaded comment]
Your version of Excel allows you to read this threaded comment; however, any edits to it will get removed if the file is opened in a newer version of Excel. Learn more: https://go.microsoft.com/fwlink/?linkid=870924
Comment:
    as above, should this be swapped with column AS?
Reply:
    Corrected.</t>
      </text>
    </comment>
    <comment ref="AG1182" authorId="545" shapeId="0" xr:uid="{11B43C57-9149-4609-A7A6-9CE1BFE33663}">
      <text>
        <t>[Threaded comment]
Your version of Excel allows you to read this threaded comment; however, any edits to it will get removed if the file is opened in a newer version of Excel. Learn more: https://go.microsoft.com/fwlink/?linkid=870924
Comment:
    Number of people with adenomas? As some people had multiple
Reply:
    Agree.</t>
      </text>
    </comment>
    <comment ref="Q1186" authorId="546" shapeId="0" xr:uid="{5D498998-6D46-45C5-9F28-048264422C11}">
      <text>
        <t>[Threaded comment]
Your version of Excel allows you to read this threaded comment; however, any edits to it will get removed if the file is opened in a newer version of Excel. Learn more: https://go.microsoft.com/fwlink/?linkid=870924
Comment:
    I think they should all be through August 1989?
Reply:
    Corrected.</t>
      </text>
    </comment>
    <comment ref="S1187" authorId="547" shapeId="0" xr:uid="{E5E2EBBB-703C-43C0-B10F-C888F83A1EF2}">
      <text>
        <t>[Threaded comment]
Your version of Excel allows you to read this threaded comment; however, any edits to it will get removed if the file is opened in a newer version of Excel. Learn more: https://go.microsoft.com/fwlink/?linkid=870924
Comment:
    Again I must be missing something with these mean times, sorry
Reply:
    No worries. I have calculated it. 😊</t>
      </text>
    </comment>
    <comment ref="M1191" authorId="548" shapeId="0" xr:uid="{5372CB6C-007E-4792-9041-B48341AD30CF}">
      <text>
        <t>[Threaded comment]
Your version of Excel allows you to read this threaded comment; however, any edits to it will get removed if the file is opened in a newer version of Excel. Learn more: https://go.microsoft.com/fwlink/?linkid=870924
Comment:
    This is late stage not early
Reply:
    Corrected.</t>
      </text>
    </comment>
    <comment ref="S1211" authorId="549" shapeId="0" xr:uid="{D587AB16-50DD-46AB-A960-FE25FC87FA70}">
      <text>
        <t>[Threaded comment]
Your version of Excel allows you to read this threaded comment; however, any edits to it will get removed if the file is opened in a newer version of Excel. Learn more: https://go.microsoft.com/fwlink/?linkid=870924
Comment:
    From Aron 1986 (#11132).
Reply:
    I think it was wrong to use the FU from Aron 1986 for the screening population here as this paper only reports on the subgroup recruited until 31/03/1965 not on the whole screening group. Think I copied it in this row by mistake.
Changed to "NR".</t>
      </text>
    </comment>
    <comment ref="T1211" authorId="550" shapeId="0" xr:uid="{D8B710EF-34D4-4770-AE27-6AF3CD1EF5A4}">
      <text>
        <t>[Threaded comment]
Your version of Excel allows you to read this threaded comment; however, any edits to it will get removed if the file is opened in a newer version of Excel. Learn more: https://go.microsoft.com/fwlink/?linkid=870924
Comment:
    If we're using the screening FU time from Aron, why don't we do the same for the comparator arm?
Reply:
    I think it was wrong to use the FU time from Aron 1986 for the screening group.</t>
      </text>
    </comment>
    <comment ref="S1212" authorId="551" shapeId="0" xr:uid="{0E132BCB-CDF6-4B4D-ACCB-C86312E25594}">
      <text>
        <t>[Threaded comment]
Your version of Excel allows you to read this threaded comment; however, any edits to it will get removed if the file is opened in a newer version of Excel. Learn more: https://go.microsoft.com/fwlink/?linkid=870924
Comment:
    From Aron 1986 (#11132).
Reply:
    agreed</t>
      </text>
    </comment>
    <comment ref="T1212" authorId="552" shapeId="0" xr:uid="{C3460769-71C0-48E0-B037-81743518B40E}">
      <text>
        <t>[Threaded comment]
Your version of Excel allows you to read this threaded comment; however, any edits to it will get removed if the file is opened in a newer version of Excel. Learn more: https://go.microsoft.com/fwlink/?linkid=870924
Comment:
    If we're using the screening FU time from Aron, why don't we do the same for the comparator arm?
Reply:
    "NA" for the comparator for surrogate 5.</t>
      </text>
    </comment>
    <comment ref="A1213" authorId="553" shapeId="0" xr:uid="{AE9E6E3F-868A-4FDA-98FC-DB6C4CBA69C6}">
      <text>
        <t>[Threaded comment]
Your version of Excel allows you to read this threaded comment; however, any edits to it will get removed if the file is opened in a newer version of Excel. Learn more: https://go.microsoft.com/fwlink/?linkid=870924
Comment:
    I agree with this row</t>
      </text>
    </comment>
    <comment ref="S1213" authorId="554" shapeId="0" xr:uid="{539DB8AC-75BD-4C9F-95AE-61FB788EF452}">
      <text>
        <t>[Threaded comment]
Your version of Excel allows you to read this threaded comment; however, any edits to it will get removed if the file is opened in a newer version of Excel. Learn more: https://go.microsoft.com/fwlink/?linkid=870924
Comment:
    From Aron 1986 (#11132).
Reply:
    agreed</t>
      </text>
    </comment>
    <comment ref="T1213" authorId="555" shapeId="0" xr:uid="{DE2EBFB1-7244-4DE9-A3AD-732D5C40585F}">
      <text>
        <t>[Threaded comment]
Your version of Excel allows you to read this threaded comment; however, any edits to it will get removed if the file is opened in a newer version of Excel. Learn more: https://go.microsoft.com/fwlink/?linkid=870924
Comment:
    If we're using the screening FU time from Aron, why don't we do the same for the comparator arm?
Reply:
    "NA" for the comparator for surrogate 5.</t>
      </text>
    </comment>
    <comment ref="A1214" authorId="556" shapeId="0" xr:uid="{A9DAF7E2-8EE4-4226-938C-F237C6AC3785}">
      <text>
        <t>[Threaded comment]
Your version of Excel allows you to read this threaded comment; however, any edits to it will get removed if the file is opened in a newer version of Excel. Learn more: https://go.microsoft.com/fwlink/?linkid=870924
Comment:
    Can't calculate the absolute incidence of node-positive breast cancers as we don't have exact numbers for the denominator (number of women randomised, by arm, or person years).
Reply:
    In other cases, we've taking this info from other papers, or estimated it. Could do that?
Reply:
    Think you have found the numbers and added them to the "Mapping" sheet. 
I have used these numbers for surrogate 1 and 4 below and surrogate 7 above. Please check the added rows (yellow highlighted).</t>
      </text>
    </comment>
    <comment ref="S1214" authorId="557" shapeId="0" xr:uid="{14BF210F-325C-45BC-8611-C0CF53970359}">
      <text>
        <t>[Threaded comment]
Your version of Excel allows you to read this threaded comment; however, any edits to it will get removed if the file is opened in a newer version of Excel. Learn more: https://go.microsoft.com/fwlink/?linkid=870924
Comment:
    From Aron 1986 (#11132).</t>
      </text>
    </comment>
    <comment ref="T1214" authorId="558" shapeId="0" xr:uid="{3BCD0824-3E69-4FB6-99AF-6A278E9FC2BB}">
      <text>
        <t>[Threaded comment]
Your version of Excel allows you to read this threaded comment; however, any edits to it will get removed if the file is opened in a newer version of Excel. Learn more: https://go.microsoft.com/fwlink/?linkid=870924
Comment:
    If we're using the screening FU time from Aron, why don't we do the same for the comparator arm?
Reply:
    Added.</t>
      </text>
    </comment>
    <comment ref="AI1214" authorId="559" shapeId="0" xr:uid="{F08D6164-F93B-42AE-9B03-2A74E365FF93}">
      <text>
        <t>[Threaded comment]
Your version of Excel allows you to read this threaded comment; however, any edits to it will get removed if the file is opened in a newer version of Excel. Learn more: https://go.microsoft.com/fwlink/?linkid=870924
Comment:
    I made this 49
55 * 0.81 = 36
11 * 0.45 = 5
12 * 0.67 = 8
Could be rounding, cos I used whole numbers.
Reply:
    Agree with your calculation. It's 49 with "no nodule involvement". But I think we forgot to subtract that number from the total number of cancers (78) to get the number of node-positive cancers? 
Should it be 78-49=29?
Reply:
    agreed</t>
      </text>
    </comment>
    <comment ref="AJ1214" authorId="560" shapeId="0" xr:uid="{9A7145D6-4B9E-4A94-96D8-053B54FD56F2}">
      <text>
        <t xml:space="preserve">[Threaded comment]
Your version of Excel allows you to read this threaded comment; however, any edits to it will get removed if the file is opened in a newer version of Excel. Learn more: https://go.microsoft.com/fwlink/?linkid=870924
Comment:
    Think I did a mistake here and reported the number of cancers with "no node involvement". 
Should be 46-19=27 with node involvement?
Reply:
    Agreed. </t>
      </text>
    </comment>
    <comment ref="AO1214" authorId="561" shapeId="0" xr:uid="{78056FC8-4ED0-4772-A7B2-855EAB768704}">
      <text>
        <t>[Threaded comment]
Your version of Excel allows you to read this threaded comment; however, any edits to it will get removed if the file is opened in a newer version of Excel. Learn more: https://go.microsoft.com/fwlink/?linkid=870924
Comment:
    62.82, if the 49 events is correct
Reply:
    Please recheck new value.
Reply:
    agreed</t>
      </text>
    </comment>
    <comment ref="AS1214" authorId="562" shapeId="0" xr:uid="{7BCC1E98-3660-43DF-8EB2-882F53651650}">
      <text>
        <t>[Threaded comment]
Your version of Excel allows you to read this threaded comment; however, any edits to it will get removed if the file is opened in a newer version of Excel. Learn more: https://go.microsoft.com/fwlink/?linkid=870924
Comment:
    Please recheck new value.
Reply:
    agreed</t>
      </text>
    </comment>
    <comment ref="AX1214" authorId="563" shapeId="0" xr:uid="{6642C15A-7622-429B-AD32-27DD5E2BC352}">
      <text>
        <t>[Threaded comment]
Your version of Excel allows you to read this threaded comment; however, any edits to it will get removed if the file is opened in a newer version of Excel. Learn more: https://go.microsoft.com/fwlink/?linkid=870924
Comment:
    1.52, if the 49 events is correct
Reply:
    Please recheck new value.
Reply:
    agreed</t>
      </text>
    </comment>
    <comment ref="A1215" authorId="564" shapeId="0" xr:uid="{1ACBEACD-53DA-4FF1-BA54-204C4C61AA4B}">
      <text>
        <t>[Threaded comment]
Your version of Excel allows you to read this threaded comment; however, any edits to it will get removed if the file is opened in a newer version of Excel. Learn more: https://go.microsoft.com/fwlink/?linkid=870924
Comment:
    I agree with this row</t>
      </text>
    </comment>
    <comment ref="S1215" authorId="565" shapeId="0" xr:uid="{9E72FF8B-91E9-450D-B565-2E57CB8BCEB8}">
      <text>
        <t>[Threaded comment]
Your version of Excel allows you to read this threaded comment; however, any edits to it will get removed if the file is opened in a newer version of Excel. Learn more: https://go.microsoft.com/fwlink/?linkid=870924
Comment:
    From Aron 1986 (#11132).</t>
      </text>
    </comment>
    <comment ref="T1215" authorId="566" shapeId="0" xr:uid="{91FB79BD-32C4-4522-8ED0-9BAB5B528DFC}">
      <text>
        <t>[Threaded comment]
Your version of Excel allows you to read this threaded comment; however, any edits to it will get removed if the file is opened in a newer version of Excel. Learn more: https://go.microsoft.com/fwlink/?linkid=870924
Comment:
    If we're using the screening FU time from Aron, why don't we do the same for the comparator arm?
Reply:
    Added.</t>
      </text>
    </comment>
    <comment ref="A1216" authorId="567" shapeId="0" xr:uid="{2D357727-49C7-4E1F-B66A-D405461CDBCB}">
      <text>
        <t xml:space="preserve">[Threaded comment]
Your version of Excel allows you to read this threaded comment; however, any edits to it will get removed if the file is opened in a newer version of Excel. Learn more: https://go.microsoft.com/fwlink/?linkid=870924
Comment:
    I agree with this row
</t>
      </text>
    </comment>
    <comment ref="S1216" authorId="568" shapeId="0" xr:uid="{2AA9D88A-6D26-4A07-9743-2A1D142700D2}">
      <text>
        <t>[Threaded comment]
Your version of Excel allows you to read this threaded comment; however, any edits to it will get removed if the file is opened in a newer version of Excel. Learn more: https://go.microsoft.com/fwlink/?linkid=870924
Comment:
    From Aron 1986 (#11132).</t>
      </text>
    </comment>
    <comment ref="T1216" authorId="569" shapeId="0" xr:uid="{E76DC8EE-4823-443A-9A6C-BD360B4D2F51}">
      <text>
        <t>[Threaded comment]
Your version of Excel allows you to read this threaded comment; however, any edits to it will get removed if the file is opened in a newer version of Excel. Learn more: https://go.microsoft.com/fwlink/?linkid=870924
Comment:
    If we're using the screening FU time from Aron, why don't we do the same for the comparator arm?
Reply:
    Added.</t>
      </text>
    </comment>
    <comment ref="S1217" authorId="570" shapeId="0" xr:uid="{EB21E027-21A9-4FF4-900E-D3CB464E4651}">
      <text>
        <t>[Threaded comment]
Your version of Excel allows you to read this threaded comment; however, any edits to it will get removed if the file is opened in a newer version of Excel. Learn more: https://go.microsoft.com/fwlink/?linkid=870924
Comment:
    From Aron 1986 (#11132).
Reply:
    agreed</t>
      </text>
    </comment>
    <comment ref="S1218" authorId="571" shapeId="0" xr:uid="{F855BF2C-5DF8-4A7F-A6D1-9DB480A79CB9}">
      <text>
        <t>[Threaded comment]
Your version of Excel allows you to read this threaded comment; however, any edits to it will get removed if the file is opened in a newer version of Excel. Learn more: https://go.microsoft.com/fwlink/?linkid=870924
Comment:
    From Aron 1986 (#11132).
Reply:
    agreed</t>
      </text>
    </comment>
    <comment ref="S1219" authorId="572" shapeId="0" xr:uid="{C1AA68ED-676B-416E-8C2F-61007AFB0B4F}">
      <text>
        <t>[Threaded comment]
Your version of Excel allows you to read this threaded comment; however, any edits to it will get removed if the file is opened in a newer version of Excel. Learn more: https://go.microsoft.com/fwlink/?linkid=870924
Comment:
    From Aron 1986 (#11132).
Reply:
    agreed</t>
      </text>
    </comment>
    <comment ref="T1219" authorId="573" shapeId="0" xr:uid="{0EF0A45E-C07C-41D2-96AC-3BB627403E6F}">
      <text>
        <t>[Threaded comment]
Your version of Excel allows you to read this threaded comment; however, any edits to it will get removed if the file is opened in a newer version of Excel. Learn more: https://go.microsoft.com/fwlink/?linkid=870924
Comment:
    From Aron 1986 (#11132).
Reply:
    agreed</t>
      </text>
    </comment>
    <comment ref="AE1219" authorId="574" shapeId="0" xr:uid="{1FAF746E-7FE7-41F2-8C58-F1995DA15936}">
      <text>
        <t xml:space="preserve">[Threaded comment]
Your version of Excel allows you to read this threaded comment; however, any edits to it will get removed if the file is opened in a newer version of Excel. Learn more: https://go.microsoft.com/fwlink/?linkid=870924
Comment:
    Shapiro 1982 (#3896) reports 35 cancers with unknown nodal involvement.
Reply:
    Agreed. Can't see anything to explain this
</t>
      </text>
    </comment>
    <comment ref="AJ1219" authorId="575" shapeId="0" xr:uid="{FBBB29E0-9C65-419D-A001-0E8B0E9D2BAB}">
      <text>
        <t xml:space="preserve">[Threaded comment]
Your version of Excel allows you to read this threaded comment; however, any edits to it will get removed if the file is opened in a newer version of Excel. Learn more: https://go.microsoft.com/fwlink/?linkid=870924
Comment:
    Shapiro 1982 (#3896) reports 136 cancers with negative nodes.
Reply:
    Agreed. Can't see anything to explain this
</t>
      </text>
    </comment>
    <comment ref="BF1219" authorId="576" shapeId="0" xr:uid="{979F70A9-96B3-4784-8691-30FB9E67D133}">
      <text>
        <t>[Threaded comment]
Your version of Excel allows you to read this threaded comment; however, any edits to it will get removed if the file is opened in a newer version of Excel. Learn more: https://go.microsoft.com/fwlink/?linkid=870924
Comment:
    Table 12
Reply:
    Corrected.</t>
      </text>
    </comment>
    <comment ref="S1220" authorId="577" shapeId="0" xr:uid="{553DE8EF-48D4-42D2-AA61-87CCB17D2835}">
      <text>
        <t>[Threaded comment]
Your version of Excel allows you to read this threaded comment; however, any edits to it will get removed if the file is opened in a newer version of Excel. Learn more: https://go.microsoft.com/fwlink/?linkid=870924
Comment:
    From Aron 1986 (#11132).
Reply:
    agreed</t>
      </text>
    </comment>
    <comment ref="T1220" authorId="578" shapeId="0" xr:uid="{4139298F-93A7-4B1C-BB6A-3E0F4FC4882F}">
      <text>
        <t>[Threaded comment]
Your version of Excel allows you to read this threaded comment; however, any edits to it will get removed if the file is opened in a newer version of Excel. Learn more: https://go.microsoft.com/fwlink/?linkid=870924
Comment:
    From Aron 1986 (#11132).
Reply:
    agreed</t>
      </text>
    </comment>
    <comment ref="AE1220" authorId="579" shapeId="0" xr:uid="{ABDA7E56-18B8-443F-B09F-4D6EDA6A7297}">
      <text>
        <t>[Threaded comment]
Your version of Excel allows you to read this threaded comment; however, any edits to it will get removed if the file is opened in a newer version of Excel. Learn more: https://go.microsoft.com/fwlink/?linkid=870924
Comment:
    Shapiro 1982 (#3896) reports 35 cancers with unknown nodal involvement.
Reply:
    Agreed. Can't see anything to explain this</t>
      </text>
    </comment>
    <comment ref="AJ1220" authorId="580" shapeId="0" xr:uid="{AD1DC1F5-BE1A-4D6B-89A9-0C0FE20A1675}">
      <text>
        <t xml:space="preserve">[Threaded comment]
Your version of Excel allows you to read this threaded comment; however, any edits to it will get removed if the file is opened in a newer version of Excel. Learn more: https://go.microsoft.com/fwlink/?linkid=870924
Comment:
    Shapiro 1982 (#3896) reports 123 cancers with positive nodes.
Reply:
    Agreed. Can't see anything to explain this
</t>
      </text>
    </comment>
    <comment ref="BF1220" authorId="581" shapeId="0" xr:uid="{49D227F1-A9E1-4D16-808F-4FAABBF12DC9}">
      <text>
        <t>[Threaded comment]
Your version of Excel allows you to read this threaded comment; however, any edits to it will get removed if the file is opened in a newer version of Excel. Learn more: https://go.microsoft.com/fwlink/?linkid=870924
Comment:
    Table 12
Reply:
    Corrected.</t>
      </text>
    </comment>
    <comment ref="S1221" authorId="582" shapeId="0" xr:uid="{3DB27FE4-C30F-4E27-9717-6CE567244A28}">
      <text>
        <t>[Threaded comment]
Your version of Excel allows you to read this threaded comment; however, any edits to it will get removed if the file is opened in a newer version of Excel. Learn more: https://go.microsoft.com/fwlink/?linkid=870924
Comment:
    From Aron 1986 (#11132).
Reply:
    agreed</t>
      </text>
    </comment>
    <comment ref="T1221" authorId="583" shapeId="0" xr:uid="{5BF824BD-D6D5-4BB3-86F8-76C42D18CCEA}">
      <text>
        <t>[Threaded comment]
Your version of Excel allows you to read this threaded comment; however, any edits to it will get removed if the file is opened in a newer version of Excel. Learn more: https://go.microsoft.com/fwlink/?linkid=870924
Comment:
    From Aron 1986 (#11132).
Reply:
    agreed</t>
      </text>
    </comment>
    <comment ref="S1222" authorId="584" shapeId="0" xr:uid="{AF6F6889-587A-47A3-9DD0-644B983E06B9}">
      <text>
        <t>[Threaded comment]
Your version of Excel allows you to read this threaded comment; however, any edits to it will get removed if the file is opened in a newer version of Excel. Learn more: https://go.microsoft.com/fwlink/?linkid=870924
Comment:
    From Aron 1986 (#11132).</t>
      </text>
    </comment>
    <comment ref="T1222" authorId="585" shapeId="0" xr:uid="{C80A1083-5BA3-4FC4-BF40-8268D4F68A7F}">
      <text>
        <t>[Threaded comment]
Your version of Excel allows you to read this threaded comment; however, any edits to it will get removed if the file is opened in a newer version of Excel. Learn more: https://go.microsoft.com/fwlink/?linkid=870924
Comment:
    From Aron 1986 (#11132).</t>
      </text>
    </comment>
    <comment ref="S1223" authorId="586" shapeId="0" xr:uid="{0BF120C1-510F-4825-82FB-70AA613C3DED}">
      <text>
        <t>[Threaded comment]
Your version of Excel allows you to read this threaded comment; however, any edits to it will get removed if the file is opened in a newer version of Excel. Learn more: https://go.microsoft.com/fwlink/?linkid=870924
Comment:
    From Aron 1986 (#11132).</t>
      </text>
    </comment>
    <comment ref="T1223" authorId="587" shapeId="0" xr:uid="{33D31DA1-E381-4B80-8D6E-C8CB253F7B51}">
      <text>
        <t>[Threaded comment]
Your version of Excel allows you to read this threaded comment; however, any edits to it will get removed if the file is opened in a newer version of Excel. Learn more: https://go.microsoft.com/fwlink/?linkid=870924
Comment:
    From Aron 1986 (#11132).</t>
      </text>
    </comment>
    <comment ref="A1224" authorId="588" shapeId="0" xr:uid="{AFAFC505-9151-43E0-BA3B-13EE6945674C}">
      <text>
        <t>[Threaded comment]
Your version of Excel allows you to read this threaded comment; however, any edits to it will get removed if the file is opened in a newer version of Excel. Learn more: https://go.microsoft.com/fwlink/?linkid=870924
Comment:
    Extracted again as this paper reports the exact number of women analysed in the screening arm.
Reply:
    agreed</t>
      </text>
    </comment>
    <comment ref="S1224" authorId="589" shapeId="0" xr:uid="{A800CC8B-1100-4CCF-A944-C151DE1CCC97}">
      <text>
        <t xml:space="preserve">[Threaded comment]
Your version of Excel allows you to read this threaded comment; however, any edits to it will get removed if the file is opened in a newer version of Excel. Learn more: https://go.microsoft.com/fwlink/?linkid=870924
Comment:
    From Aron 1986 (#11132).
Reply:
    Table 12
</t>
      </text>
    </comment>
    <comment ref="T1224" authorId="590" shapeId="0" xr:uid="{46297D80-8D54-4C36-B29B-4F062BA91FBB}">
      <text>
        <t xml:space="preserve">[Threaded comment]
Your version of Excel allows you to read this threaded comment; however, any edits to it will get removed if the file is opened in a newer version of Excel. Learn more: https://go.microsoft.com/fwlink/?linkid=870924
Comment:
    From Aron 1986 (#11132).
Reply:
    Table 12
</t>
      </text>
    </comment>
    <comment ref="A1225" authorId="591" shapeId="0" xr:uid="{0CD191B9-A7A3-4A9B-9874-C2975B80B791}">
      <text>
        <t>[Threaded comment]
Your version of Excel allows you to read this threaded comment; however, any edits to it will get removed if the file is opened in a newer version of Excel. Learn more: https://go.microsoft.com/fwlink/?linkid=870924
Comment:
    Extracted again as earlier publications reported a total number of 299 cancers in the study arm. Here, they now report 303 cancers in total.
Reply:
    agreed</t>
      </text>
    </comment>
    <comment ref="S1225" authorId="592" shapeId="0" xr:uid="{75FF6EDD-2E55-451F-B0FF-95486F5C06D8}">
      <text>
        <t xml:space="preserve">[Threaded comment]
Your version of Excel allows you to read this threaded comment; however, any edits to it will get removed if the file is opened in a newer version of Excel. Learn more: https://go.microsoft.com/fwlink/?linkid=870924
Comment:
    From Aron 1986 (#11132).
Reply:
    Table 12
</t>
      </text>
    </comment>
    <comment ref="T1225" authorId="593" shapeId="0" xr:uid="{46BF1E9B-89A0-45A0-9A33-74D783EB4115}">
      <text>
        <t xml:space="preserve">[Threaded comment]
Your version of Excel allows you to read this threaded comment; however, any edits to it will get removed if the file is opened in a newer version of Excel. Learn more: https://go.microsoft.com/fwlink/?linkid=870924
Comment:
    From Aron 1986 (#11132).
Reply:
    Table 12
</t>
      </text>
    </comment>
    <comment ref="M1227" authorId="594" shapeId="0" xr:uid="{C7D94AD1-4EB4-445C-BB5A-95DB293AC270}">
      <text>
        <t>[Threaded comment]
Your version of Excel allows you to read this threaded comment; however, any edits to it will get removed if the file is opened in a newer version of Excel. Learn more: https://go.microsoft.com/fwlink/?linkid=870924
Comment:
     "... with 36% and 11% of LC cases diagnosed at an early stage in the active and control groups, respectively." 8/71 (11%) and 24/67 (36%) reported in Table 2 as stage I.
Reply:
    agreed</t>
      </text>
    </comment>
    <comment ref="T1227" authorId="595" shapeId="0" xr:uid="{F9ED25EA-5050-4ADD-BC11-A232F9A796E0}">
      <text>
        <t>[Threaded comment]
Your version of Excel allows you to read this threaded comment; however, any edits to it will get removed if the file is opened in a newer version of Excel. Learn more: https://go.microsoft.com/fwlink/?linkid=870924
Comment:
    This is for both groups together. NR by arm.
Reply:
    agreed</t>
      </text>
    </comment>
    <comment ref="M1228" authorId="596" shapeId="0" xr:uid="{E08E3642-CD55-4C86-A3DF-CFD027B5C5C3}">
      <text>
        <t>[Threaded comment]
Your version of Excel allows you to read this threaded comment; however, any edits to it will get removed if the file is opened in a newer version of Excel. Learn more: https://go.microsoft.com/fwlink/?linkid=870924
Comment:
     "... with 36% and 11% of LC cases diagnosed at an early stage in the active and control groups, respectively." 8/71 (11%) and 24/67 (36%) reported in Table 2 as stage I.
Reply:
    agreed</t>
      </text>
    </comment>
    <comment ref="T1228" authorId="597" shapeId="0" xr:uid="{C983CE8D-0711-46D9-8DCB-A314F874B9A7}">
      <text>
        <t>[Threaded comment]
Your version of Excel allows you to read this threaded comment; however, any edits to it will get removed if the file is opened in a newer version of Excel. Learn more: https://go.microsoft.com/fwlink/?linkid=870924
Comment:
    This is for both groups together. NR by arm.
Reply:
    agreed</t>
      </text>
    </comment>
    <comment ref="M1229" authorId="598" shapeId="0" xr:uid="{6F2A0EC6-C42D-4D86-99B0-5849F83B2693}">
      <text>
        <t>[Threaded comment]
Your version of Excel allows you to read this threaded comment; however, any edits to it will get removed if the file is opened in a newer version of Excel. Learn more: https://go.microsoft.com/fwlink/?linkid=870924
Comment:
     "... with 36% and 11% of LC cases diagnosed at an early stage in the active and control groups, respectively." 8/71 (11%) and 24/67 (36%) reported in Table 2 as stage I.
Reply:
    agreed</t>
      </text>
    </comment>
    <comment ref="T1229" authorId="599" shapeId="0" xr:uid="{8AD0A4A6-F3F6-47EC-BD41-89C4A4AFB2F1}">
      <text>
        <t>[Threaded comment]
Your version of Excel allows you to read this threaded comment; however, any edits to it will get removed if the file is opened in a newer version of Excel. Learn more: https://go.microsoft.com/fwlink/?linkid=870924
Comment:
    This is for both groups together. NR by arm.
Reply:
    agreed</t>
      </text>
    </comment>
    <comment ref="M1230" authorId="600" shapeId="0" xr:uid="{21F5ADE5-93CA-42C8-9C47-466FDA9C8F13}">
      <text>
        <t>[Threaded comment]
Your version of Excel allows you to read this threaded comment; however, any edits to it will get removed if the file is opened in a newer version of Excel. Learn more: https://go.microsoft.com/fwlink/?linkid=870924
Comment:
     "... with 36% and 11% of LC cases diagnosed at an early stage in the active and control groups, respectively." 8/71 (11%) and 24/67 (36%) reported in Table 2 as stage I.
Reply:
    agreed</t>
      </text>
    </comment>
    <comment ref="T1230" authorId="601" shapeId="0" xr:uid="{8DD4EA8C-E749-40CA-926A-19F26771CF72}">
      <text>
        <t>[Threaded comment]
Your version of Excel allows you to read this threaded comment; however, any edits to it will get removed if the file is opened in a newer version of Excel. Learn more: https://go.microsoft.com/fwlink/?linkid=870924
Comment:
    This is for both groups together. NR by arm.
Reply:
    agreed</t>
      </text>
    </comment>
    <comment ref="M1231" authorId="602" shapeId="0" xr:uid="{450C0E99-8A10-459F-8B0A-E2DC03F85472}">
      <text>
        <t>[Threaded comment]
Your version of Excel allows you to read this threaded comment; however, any edits to it will get removed if the file is opened in a newer version of Excel. Learn more: https://go.microsoft.com/fwlink/?linkid=870924
Comment:
     "... with 36% and 11% of LC cases diagnosed at an early stage in the active and control groups, respectively." 8/71 (11%) and 24/67 (36%) reported in Table 2 as stage I.
Reply:
    agreed</t>
      </text>
    </comment>
    <comment ref="T1231" authorId="603" shapeId="0" xr:uid="{C13DB517-043C-4444-A887-905C07A3F308}">
      <text>
        <t>[Threaded comment]
Your version of Excel allows you to read this threaded comment; however, any edits to it will get removed if the file is opened in a newer version of Excel. Learn more: https://go.microsoft.com/fwlink/?linkid=870924
Comment:
    This is for both groups together. NR by arm.
Reply:
    agreed</t>
      </text>
    </comment>
    <comment ref="M1232" authorId="604" shapeId="0" xr:uid="{4FF9406C-B4DF-4F69-B7CA-3117B26E87ED}">
      <text>
        <t>[Threaded comment]
Your version of Excel allows you to read this threaded comment; however, any edits to it will get removed if the file is opened in a newer version of Excel. Learn more: https://go.microsoft.com/fwlink/?linkid=870924
Comment:
     "... with 36% and 11% of LC cases diagnosed at an early stage in the active and control groups, respectively." 8/71 (11%) and 24/67 (36%) reported in Table 2 as stage I.
Reply:
    agreed</t>
      </text>
    </comment>
    <comment ref="T1232" authorId="605" shapeId="0" xr:uid="{938AB33D-18A1-4737-9E53-0A9A121D2735}">
      <text>
        <t>[Threaded comment]
Your version of Excel allows you to read this threaded comment; however, any edits to it will get removed if the file is opened in a newer version of Excel. Learn more: https://go.microsoft.com/fwlink/?linkid=870924
Comment:
    This is for both groups together. NR by arm.
Reply:
    agreed</t>
      </text>
    </comment>
    <comment ref="M1233" authorId="606" shapeId="0" xr:uid="{F8E3BEF5-D036-4252-A3E8-28FB41098B70}">
      <text>
        <t>[Threaded comment]
Your version of Excel allows you to read this threaded comment; however, any edits to it will get removed if the file is opened in a newer version of Excel. Learn more: https://go.microsoft.com/fwlink/?linkid=870924
Comment:
     "... with 36% and 11% of LC cases diagnosed at an early stage in the active and control groups, respectively." 8/71 (11%) and 24/67 (36%) reported in Table 2 as stage I.
Reply:
    agreed</t>
      </text>
    </comment>
    <comment ref="T1233" authorId="607" shapeId="0" xr:uid="{CBEC69AA-6CDB-4885-8FC4-DA625873BF17}">
      <text>
        <t>[Threaded comment]
Your version of Excel allows you to read this threaded comment; however, any edits to it will get removed if the file is opened in a newer version of Excel. Learn more: https://go.microsoft.com/fwlink/?linkid=870924
Comment:
    This is for both groups together. NR by arm.
Reply:
    agreed</t>
      </text>
    </comment>
    <comment ref="R1234" authorId="608" shapeId="0" xr:uid="{A936A244-8E53-46E3-80E6-EE18A1A723D7}">
      <text>
        <t>[Threaded comment]
Your version of Excel allows you to read this threaded comment; however, any edits to it will get removed if the file is opened in a newer version of Excel. Learn more: https://go.microsoft.com/fwlink/?linkid=870924
Comment:
    Screening period defined as 4 years after randomisation. Or should it be 3 years? 1 baseline screening and 3 annual repeat screens?
Reply:
    Looks like 4 years: baseline CT then 4 years of annual screening.</t>
      </text>
    </comment>
    <comment ref="AH1235" authorId="609" shapeId="0" xr:uid="{ACC5356D-166E-4DC7-A643-AE7BD94B42B1}">
      <text>
        <t>[Threaded comment]
Your version of Excel allows you to read this threaded comment; however, any edits to it will get removed if the file is opened in a newer version of Excel. Learn more: https://go.microsoft.com/fwlink/?linkid=870924
Comment:
    Should the denominator also include cancers identified in the post-screening period or should it be only screen-detected plus interval cancers?
Reply:
    Logically it should be during the screening period, or you couldn't accurately determine the number of screen-detected cancers.</t>
      </text>
    </comment>
    <comment ref="AN1235" authorId="610" shapeId="0" xr:uid="{620DCB9F-F561-4A29-A705-70ED6111CB3D}">
      <text>
        <t>[Threaded comment]
Your version of Excel allows you to read this threaded comment; however, any edits to it will get removed if the file is opened in a newer version of Excel. Learn more: https://go.microsoft.com/fwlink/?linkid=870924
Comment:
    We haven't previously used % symbol. Might cause problems with analysis. Suggest we remove it.</t>
      </text>
    </comment>
    <comment ref="S1236" authorId="611" shapeId="0" xr:uid="{8B44EE34-491C-4539-ABB2-DDE3B4E0E900}">
      <text>
        <t>[Threaded comment]
Your version of Excel allows you to read this threaded comment; however, any edits to it will get removed if the file is opened in a newer version of Excel. Learn more: https://go.microsoft.com/fwlink/?linkid=870924
Comment:
    Median follow-up for the whole study, not by arm.</t>
      </text>
    </comment>
    <comment ref="T1236" authorId="612" shapeId="0" xr:uid="{E4AB87A1-66D4-439B-98FF-11CD07DEA6EF}">
      <text>
        <t>[Threaded comment]
Your version of Excel allows you to read this threaded comment; however, any edits to it will get removed if the file is opened in a newer version of Excel. Learn more: https://go.microsoft.com/fwlink/?linkid=870924
Comment:
    Median follow-up for the whole study, not by arm.</t>
      </text>
    </comment>
    <comment ref="AN1236" authorId="613" shapeId="0" xr:uid="{D4D3F777-0A3B-406D-BCF5-27EBE238737B}">
      <text>
        <t>[Threaded comment]
Your version of Excel allows you to read this threaded comment; however, any edits to it will get removed if the file is opened in a newer version of Excel. Learn more: https://go.microsoft.com/fwlink/?linkid=870924
Comment:
    We haven't previously used % symbol. Might cause problems with analysis. Suggest we remove it.</t>
      </text>
    </comment>
    <comment ref="S1237" authorId="614" shapeId="0" xr:uid="{83DE71E0-3BE1-41F0-839F-8ED7DD3F2319}">
      <text>
        <t>[Threaded comment]
Your version of Excel allows you to read this threaded comment; however, any edits to it will get removed if the file is opened in a newer version of Excel. Learn more: https://go.microsoft.com/fwlink/?linkid=870924
Comment:
    Median follow-up for the whole study, not by arm.</t>
      </text>
    </comment>
    <comment ref="T1237" authorId="615" shapeId="0" xr:uid="{74D1F1FC-8B7C-4940-905E-B39772DA6661}">
      <text>
        <t>[Threaded comment]
Your version of Excel allows you to read this threaded comment; however, any edits to it will get removed if the file is opened in a newer version of Excel. Learn more: https://go.microsoft.com/fwlink/?linkid=870924
Comment:
    Median follow-up for the whole study, not by arm.</t>
      </text>
    </comment>
    <comment ref="S1238" authorId="616" shapeId="0" xr:uid="{322C41B8-77CE-4EAB-8548-DF7C1B61742B}">
      <text>
        <t>[Threaded comment]
Your version of Excel allows you to read this threaded comment; however, any edits to it will get removed if the file is opened in a newer version of Excel. Learn more: https://go.microsoft.com/fwlink/?linkid=870924
Comment:
    Median follow-up for the whole study, not by arm.</t>
      </text>
    </comment>
    <comment ref="T1238" authorId="617" shapeId="0" xr:uid="{70E01A17-798F-4661-B782-439BE0A07BA4}">
      <text>
        <t>[Threaded comment]
Your version of Excel allows you to read this threaded comment; however, any edits to it will get removed if the file is opened in a newer version of Excel. Learn more: https://go.microsoft.com/fwlink/?linkid=870924
Comment:
    Median follow-up for the whole study, not by arm.</t>
      </text>
    </comment>
    <comment ref="S1239" authorId="618" shapeId="0" xr:uid="{E0064818-4304-4C1A-A20D-69D53E516198}">
      <text>
        <t>[Threaded comment]
Your version of Excel allows you to read this threaded comment; however, any edits to it will get removed if the file is opened in a newer version of Excel. Learn more: https://go.microsoft.com/fwlink/?linkid=870924
Comment:
    Median follow-up for the whole study, not by arm.</t>
      </text>
    </comment>
    <comment ref="T1239" authorId="619" shapeId="0" xr:uid="{C7FD9D40-D21A-48D0-9BB5-22F185AF0919}">
      <text>
        <t>[Threaded comment]
Your version of Excel allows you to read this threaded comment; however, any edits to it will get removed if the file is opened in a newer version of Excel. Learn more: https://go.microsoft.com/fwlink/?linkid=870924
Comment:
    Median follow-up for the whole study, not by arm.</t>
      </text>
    </comment>
    <comment ref="S1240" authorId="620" shapeId="0" xr:uid="{BAA45C69-A1EF-4621-B85B-8392ABCD4E80}">
      <text>
        <t>[Threaded comment]
Your version of Excel allows you to read this threaded comment; however, any edits to it will get removed if the file is opened in a newer version of Excel. Learn more: https://go.microsoft.com/fwlink/?linkid=870924
Comment:
    Median follow-up for the whole study, not by arm.</t>
      </text>
    </comment>
    <comment ref="T1240" authorId="621" shapeId="0" xr:uid="{C8E1BA61-DD85-4266-844B-FBE12126C7A7}">
      <text>
        <t>[Threaded comment]
Your version of Excel allows you to read this threaded comment; however, any edits to it will get removed if the file is opened in a newer version of Excel. Learn more: https://go.microsoft.com/fwlink/?linkid=870924
Comment:
    Median follow-up for the whole study, not by arm.</t>
      </text>
    </comment>
    <comment ref="S1241" authorId="622" shapeId="0" xr:uid="{B1628DBC-1E2B-4F53-B729-DAC619769AFB}">
      <text>
        <t>[Threaded comment]
Your version of Excel allows you to read this threaded comment; however, any edits to it will get removed if the file is opened in a newer version of Excel. Learn more: https://go.microsoft.com/fwlink/?linkid=870924
Comment:
    Median follow-up for the whole study, not by arm.</t>
      </text>
    </comment>
    <comment ref="T1241" authorId="623" shapeId="0" xr:uid="{CE6BB9AD-6C03-4B7E-99E9-818DDBAADFDE}">
      <text>
        <t>[Threaded comment]
Your version of Excel allows you to read this threaded comment; however, any edits to it will get removed if the file is opened in a newer version of Excel. Learn more: https://go.microsoft.com/fwlink/?linkid=870924
Comment:
    Median follow-up for the whole study, not by arm.</t>
      </text>
    </comment>
    <comment ref="S1242" authorId="624" shapeId="0" xr:uid="{C25794B7-52C5-4DD8-B508-4F8842957083}">
      <text>
        <t>[Threaded comment]
Your version of Excel allows you to read this threaded comment; however, any edits to it will get removed if the file is opened in a newer version of Excel. Learn more: https://go.microsoft.com/fwlink/?linkid=870924
Comment:
    Median follow-up for the whole study, not by arm.</t>
      </text>
    </comment>
    <comment ref="T1242" authorId="625" shapeId="0" xr:uid="{B4A0107B-4045-4BDF-9485-0AF1B480140A}">
      <text>
        <t>[Threaded comment]
Your version of Excel allows you to read this threaded comment; however, any edits to it will get removed if the file is opened in a newer version of Excel. Learn more: https://go.microsoft.com/fwlink/?linkid=870924
Comment:
    Median follow-up for the whole study, not by arm.</t>
      </text>
    </comment>
    <comment ref="S1243" authorId="626" shapeId="0" xr:uid="{81B980AF-C9F7-4EDA-85DA-89E95AD3500C}">
      <text>
        <t>[Threaded comment]
Your version of Excel allows you to read this threaded comment; however, any edits to it will get removed if the file is opened in a newer version of Excel. Learn more: https://go.microsoft.com/fwlink/?linkid=870924
Comment:
    Median follow-up for the whole study, not by arm.</t>
      </text>
    </comment>
    <comment ref="T1243" authorId="627" shapeId="0" xr:uid="{0A7FA8B7-85FE-41BB-B88D-E5310CEF5A18}">
      <text>
        <t>[Threaded comment]
Your version of Excel allows you to read this threaded comment; however, any edits to it will get removed if the file is opened in a newer version of Excel. Learn more: https://go.microsoft.com/fwlink/?linkid=870924
Comment:
    Median follow-up for the whole study, not by arm.</t>
      </text>
    </comment>
    <comment ref="S1244" authorId="628" shapeId="0" xr:uid="{C93E6A4A-67F2-4A2F-AE5B-97B6B4D9FB6E}">
      <text>
        <t>[Threaded comment]
Your version of Excel allows you to read this threaded comment; however, any edits to it will get removed if the file is opened in a newer version of Excel. Learn more: https://go.microsoft.com/fwlink/?linkid=870924
Comment:
    Median follow-up for the whole study, not by arm.</t>
      </text>
    </comment>
    <comment ref="T1244" authorId="629" shapeId="0" xr:uid="{1BD76A18-3933-4C03-A800-5DD63894FA0A}">
      <text>
        <t>[Threaded comment]
Your version of Excel allows you to read this threaded comment; however, any edits to it will get removed if the file is opened in a newer version of Excel. Learn more: https://go.microsoft.com/fwlink/?linkid=870924
Comment:
    Median follow-up for the whole study, not by arm.</t>
      </text>
    </comment>
    <comment ref="S1245" authorId="630" shapeId="0" xr:uid="{920DAD73-1AB1-40FB-A475-CB22DD8B4238}">
      <text>
        <t>[Threaded comment]
Your version of Excel allows you to read this threaded comment; however, any edits to it will get removed if the file is opened in a newer version of Excel. Learn more: https://go.microsoft.com/fwlink/?linkid=870924
Comment:
    Median follow-up for the whole study, not by arm.</t>
      </text>
    </comment>
    <comment ref="T1245" authorId="631" shapeId="0" xr:uid="{AE02681D-A933-48F9-A820-62A3A1DDE5AB}">
      <text>
        <t>[Threaded comment]
Your version of Excel allows you to read this threaded comment; however, any edits to it will get removed if the file is opened in a newer version of Excel. Learn more: https://go.microsoft.com/fwlink/?linkid=870924
Comment:
    Median follow-up for the whole study, not by arm.</t>
      </text>
    </comment>
    <comment ref="S1246" authorId="632" shapeId="0" xr:uid="{59F734DB-4559-4E35-9E42-0FC675D1AB0A}">
      <text>
        <t>[Threaded comment]
Your version of Excel allows you to read this threaded comment; however, any edits to it will get removed if the file is opened in a newer version of Excel. Learn more: https://go.microsoft.com/fwlink/?linkid=870924
Comment:
    Median follow-up for the whole study, not by arm.</t>
      </text>
    </comment>
    <comment ref="T1246" authorId="633" shapeId="0" xr:uid="{751ECB6A-2900-4F2E-9AFF-904E5367E510}">
      <text>
        <t>[Threaded comment]
Your version of Excel allows you to read this threaded comment; however, any edits to it will get removed if the file is opened in a newer version of Excel. Learn more: https://go.microsoft.com/fwlink/?linkid=870924
Comment:
    Median follow-up for the whole study, not by arm.</t>
      </text>
    </comment>
    <comment ref="S1247" authorId="634" shapeId="0" xr:uid="{F6F838F2-54C3-414B-A09D-0917F66D0B65}">
      <text>
        <t>[Threaded comment]
Your version of Excel allows you to read this threaded comment; however, any edits to it will get removed if the file is opened in a newer version of Excel. Learn more: https://go.microsoft.com/fwlink/?linkid=870924
Comment:
    Median follow-up for the whole study, not by arm.</t>
      </text>
    </comment>
    <comment ref="T1247" authorId="635" shapeId="0" xr:uid="{97E8E0C5-FAF6-493A-AA80-0A826A7A1380}">
      <text>
        <t>[Threaded comment]
Your version of Excel allows you to read this threaded comment; however, any edits to it will get removed if the file is opened in a newer version of Excel. Learn more: https://go.microsoft.com/fwlink/?linkid=870924
Comment:
    Median follow-up for the whole study, not by arm.</t>
      </text>
    </comment>
    <comment ref="Y1248" authorId="636" shapeId="0" xr:uid="{082994A7-4C84-45AE-A7C5-C1F9DC89C5F7}">
      <text>
        <t>[Threaded comment]
Your version of Excel allows you to read this threaded comment; however, any edits to it will get removed if the file is opened in a newer version of Excel. Learn more: https://go.microsoft.com/fwlink/?linkid=870924
Comment:
    "approximately" 21,000!
Reply:
    Nothing we can do about that though.</t>
      </text>
    </comment>
    <comment ref="AI1250" authorId="637" shapeId="0" xr:uid="{22C1774D-27B9-487E-BD3A-E9937FF34112}">
      <text>
        <t>[Threaded comment]
Your version of Excel allows you to read this threaded comment; however, any edits to it will get removed if the file is opened in a newer version of Excel. Learn more: https://go.microsoft.com/fwlink/?linkid=870924
Comment:
    Estimated from % reported in Table III.
Reply:
    I make it 111.
	N	n	%
s1	118	51	0.43
s2	58	28	0.48
s3	46	21	0.46
interval	50	7	0.14
non-part	46	4	0.09
all	318	111	
Reply:
    Agree.</t>
      </text>
    </comment>
    <comment ref="AJ1250" authorId="638" shapeId="0" xr:uid="{703B6560-3AA8-405B-B22A-2A716AA5BB00}">
      <text>
        <t>[Threaded comment]
Your version of Excel allows you to read this threaded comment; however, any edits to it will get removed if the file is opened in a newer version of Excel. Learn more: https://go.microsoft.com/fwlink/?linkid=870924
Comment:
    Estimated from % reported in Table III.
Reply:
    agree</t>
      </text>
    </comment>
    <comment ref="AO1250" authorId="639" shapeId="0" xr:uid="{6CF53FA7-A5C2-4AA1-94FC-AA69C8505288}">
      <text>
        <t>[Threaded comment]
Your version of Excel allows you to read this threaded comment; however, any edits to it will get removed if the file is opened in a newer version of Excel. Learn more: https://go.microsoft.com/fwlink/?linkid=870924
Comment:
    5.29 if it's 211/21000</t>
      </text>
    </comment>
    <comment ref="AI1251" authorId="640" shapeId="0" xr:uid="{1B07CCC8-5368-4F21-9514-912AD22B60B5}">
      <text>
        <t>[Threaded comment]
Your version of Excel allows you to read this threaded comment; however, any edits to it will get removed if the file is opened in a newer version of Excel. Learn more: https://go.microsoft.com/fwlink/?linkid=870924
Comment:
    Estimated from % reported in Table III.
Reply:
    agree</t>
      </text>
    </comment>
    <comment ref="AJ1251" authorId="641" shapeId="0" xr:uid="{48EDB60E-FEAB-4CC3-9D98-97564FA1CCCE}">
      <text>
        <t>[Threaded comment]
Your version of Excel allows you to read this threaded comment; however, any edits to it will get removed if the file is opened in a newer version of Excel. Learn more: https://go.microsoft.com/fwlink/?linkid=870924
Comment:
    Estimated from % reported in Table III.
Reply:
    agree</t>
      </text>
    </comment>
    <comment ref="AI1252" authorId="642" shapeId="0" xr:uid="{689CF49B-16FE-4910-8331-FFA56C98BC19}">
      <text>
        <t>[Threaded comment]
Your version of Excel allows you to read this threaded comment; however, any edits to it will get removed if the file is opened in a newer version of Excel. Learn more: https://go.microsoft.com/fwlink/?linkid=870924
Comment:
    Estimated from % reported in Table IV.
Reply:
    agree</t>
      </text>
    </comment>
    <comment ref="AJ1252" authorId="643" shapeId="0" xr:uid="{1E04E098-E836-4D1B-85C0-ECDBA9C5A901}">
      <text>
        <t>[Threaded comment]
Your version of Excel allows you to read this threaded comment; however, any edits to it will get removed if the file is opened in a newer version of Excel. Learn more: https://go.microsoft.com/fwlink/?linkid=870924
Comment:
    Estimated from % reported in Table IV.
Reply:
    agree</t>
      </text>
    </comment>
    <comment ref="AI1253" authorId="644" shapeId="0" xr:uid="{3530B067-9144-49CC-9B9A-F2A1D1CA58D3}">
      <text>
        <t xml:space="preserve">[Threaded comment]
Your version of Excel allows you to read this threaded comment; however, any edits to it will get removed if the file is opened in a newer version of Excel. Learn more: https://go.microsoft.com/fwlink/?linkid=870924
Comment:
    Estimated from % reported in Table IV.
Reply:
    I made it 97.
	%	N	n
s1	0.2	118	24
s2	0.26	58	15
s3	0.17	46	8
interval	0.42	50	21
non-part	0.65	46	30
cont	0.52	204	106
s1-3 + int + non			97
Reply:
    Agree with your numbers, but they add up to 98?
Reply:
    You're right. Oh dear. My poor brain!
</t>
      </text>
    </comment>
    <comment ref="AJ1253" authorId="645" shapeId="0" xr:uid="{4A2FD4DD-FE52-419B-8514-DB8A850ABF7A}">
      <text>
        <t>[Threaded comment]
Your version of Excel allows you to read this threaded comment; however, any edits to it will get removed if the file is opened in a newer version of Excel. Learn more: https://go.microsoft.com/fwlink/?linkid=870924
Comment:
    Estimated from % reported in Table IV.
Reply:
    agree</t>
      </text>
    </comment>
    <comment ref="AI1254" authorId="646" shapeId="0" xr:uid="{28B07B20-6AC6-48A6-A484-51624F448C28}">
      <text>
        <t>[Threaded comment]
Your version of Excel allows you to read this threaded comment; however, any edits to it will get removed if the file is opened in a newer version of Excel. Learn more: https://go.microsoft.com/fwlink/?linkid=870924
Comment:
    Estimated from % reported in Table IV.
Reply:
    I made it 97.
	%	N	n
s1	0.2	118	24
s2	0.26	58	15
s3	0.17	46	8
interval	0.42	50	21
non-part	0.65	46	30
cont	0.52	204	106
s1-3 + int + non			97
Reply:
    Agree with your numbers, but they add up to 98?
Reply:
    You're right. Oh dear. My poor brain!</t>
      </text>
    </comment>
    <comment ref="AJ1254" authorId="647" shapeId="0" xr:uid="{C83CEC03-8AA6-4C39-AF1B-E49EA7376B7C}">
      <text>
        <t>[Threaded comment]
Your version of Excel allows you to read this threaded comment; however, any edits to it will get removed if the file is opened in a newer version of Excel. Learn more: https://go.microsoft.com/fwlink/?linkid=870924
Comment:
    Estimated from % reported in Table IV.
Reply:
    agree</t>
      </text>
    </comment>
    <comment ref="AI1256" authorId="648" shapeId="0" xr:uid="{A6292F0E-B9F8-4AC7-A44B-095A6A6BC285}">
      <text>
        <t>[Threaded comment]
Your version of Excel allows you to read this threaded comment; however, any edits to it will get removed if the file is opened in a newer version of Excel. Learn more: https://go.microsoft.com/fwlink/?linkid=870924
Comment:
    222?
From Table 2
Screening 1 n = 118
Screening 2 n = 58
Screening 3 n = 46
118+58+46 = 222
Reply:
    Sorry, data in columns A and B are wrong. Should be Andersson 1987 (#3853).
The 222 from Andersson 1985 has been extracted above.
Reply:
    Whoops! Agree with you</t>
      </text>
    </comment>
    <comment ref="BF1256" authorId="649" shapeId="0" xr:uid="{E2AD283F-01D0-460A-A320-A6A86FC9D669}">
      <text>
        <t>[Threaded comment]
Your version of Excel allows you to read this threaded comment; however, any edits to it will get removed if the file is opened in a newer version of Excel. Learn more: https://go.microsoft.com/fwlink/?linkid=870924
Comment:
    I can't see this line in the paper
Reply:
    Corrected paper and Endnote ID in columns A and B.
Reply:
    Got it</t>
      </text>
    </comment>
    <comment ref="AI1257" authorId="650" shapeId="0" xr:uid="{2224DAA0-9C30-4326-9EF5-85F4FF97B036}">
      <text>
        <t xml:space="preserve">[Threaded comment]
Your version of Excel allows you to read this threaded comment; however, any edits to it will get removed if the file is opened in a newer version of Excel. Learn more: https://go.microsoft.com/fwlink/?linkid=870924
Comment:
    222?
From Table 2
Screening 1 n = 118
Screening 2 n = 58
Screening 3 n = 46
118+58+46 = 222
Reply:
    Sorry, data in columns A and B are wrong. Should be Andersson 1987 (#3853).
The 222 from Andersson 1985 has been extracted above.
Reply:
    Whoops! Agree with you
</t>
      </text>
    </comment>
    <comment ref="AK1257" authorId="651" shapeId="0" xr:uid="{ED5849A2-DA3A-4FE5-A487-FDF659E8DE9E}">
      <text>
        <t>[Threaded comment]
Your version of Excel allows you to read this threaded comment; however, any edits to it will get removed if the file is opened in a newer version of Excel. Learn more: https://go.microsoft.com/fwlink/?linkid=870924
Comment:
    318?
From table 2
Total invited group n = 318
Reply:
    That was already extracted above.
From the colouring of the lines (green), this row reports data from Andersson 1987 (#3853). I corrected columns A and B.
Reply:
    Got it. Agree with you.</t>
      </text>
    </comment>
    <comment ref="AO1257" authorId="652" shapeId="0" xr:uid="{DE49D973-80C2-4039-A8E8-660736CC7469}">
      <text>
        <t>[Threaded comment]
Your version of Excel allows you to read this threaded comment; however, any edits to it will get removed if the file is opened in a newer version of Excel. Learn more: https://go.microsoft.com/fwlink/?linkid=870924
Comment:
    69.8%
222*100/318 = 69.8%
Reply:
    That has been extracted above. Please check paper Andersson 1987 (#2853).
Should be 332/509=65.2%.
Reply:
    My mistake. Agree with you.</t>
      </text>
    </comment>
    <comment ref="BF1257" authorId="653" shapeId="0" xr:uid="{AA092186-5ED9-4984-AE42-305AE37A416E}">
      <text>
        <t>[Threaded comment]
Your version of Excel allows you to read this threaded comment; however, any edits to it will get removed if the file is opened in a newer version of Excel. Learn more: https://go.microsoft.com/fwlink/?linkid=870924
Comment:
    I can't see this line in the paper
Reply:
    Corrected paper and Endnote ID in columns A and B.
Reply:
    Got it</t>
      </text>
    </comment>
    <comment ref="A1259" authorId="654" shapeId="0" xr:uid="{7D526899-1B34-4337-A7E3-59A9C6C9E815}">
      <text>
        <t>[Threaded comment]
Your version of Excel allows you to read this threaded comment; however, any edits to it will get removed if the file is opened in a newer version of Excel. Learn more: https://go.microsoft.com/fwlink/?linkid=870924
Comment:
    Also reports numbers with stage II-IV cancers by age group, but we don't have a denominator.
I haven't extracted data where cancers detected in the first screening round have been excluded.
Reply:
    agreed</t>
      </text>
    </comment>
    <comment ref="A1282" authorId="655" shapeId="0" xr:uid="{FA59D4CB-6F1B-4816-AD65-E3DBCFF88DD5}">
      <text>
        <t>[Threaded comment]
Your version of Excel allows you to read this threaded comment; however, any edits to it will get removed if the file is opened in a newer version of Excel. Learn more: https://go.microsoft.com/fwlink/?linkid=870924
Comment:
    I agree with this row of info.</t>
      </text>
    </comment>
    <comment ref="AG1286" authorId="656" shapeId="0" xr:uid="{6348A245-9D11-4FEC-86D1-8A32B7505C8F}">
      <text>
        <t xml:space="preserve">[Threaded comment]
Your version of Excel allows you to read this threaded comment; however, any edits to it will get removed if the file is opened in a newer version of Excel. Learn more: https://go.microsoft.com/fwlink/?linkid=870924
Comment:
    I can't understand this table! 
There were 59 cancers total in the screening arms: 36 stage 1, 20 stage 3. So I assume 3 stage 2. But what the heck are the "curative" ones?! Any stage?
Reply:
    These are cancers that could be resected, I suppose. Possibly the stage I ones and some stage II cancers?
Reply:
    That makes sense. </t>
      </text>
    </comment>
    <comment ref="BF1291" authorId="657" shapeId="0" xr:uid="{72559BB0-2EB2-4C00-B9A4-F54D37DD3640}">
      <text>
        <t>[Threaded comment]
Your version of Excel allows you to read this threaded comment; however, any edits to it will get removed if the file is opened in a newer version of Excel. Learn more: https://go.microsoft.com/fwlink/?linkid=870924
Comment:
    Text in abstract and numbers in Table 1 are not consistent???
Reply:
    And they're not even just a little bit different!
The table and text are consistent.
Reply:
    Added the issue to the notes field.</t>
      </text>
    </comment>
    <comment ref="BF1292" authorId="658" shapeId="0" xr:uid="{493B2CDE-3847-407D-B418-41B84EEB6DF3}">
      <text>
        <t>[Threaded comment]
Your version of Excel allows you to read this threaded comment; however, any edits to it will get removed if the file is opened in a newer version of Excel. Learn more: https://go.microsoft.com/fwlink/?linkid=870924
Comment:
    Text in abstract and numbers in Table 1 are not consistent???
Reply:
    And they're not even just a little bit different!
The table and text are consistent.
Reply:
    Added the issue to the notes field.</t>
      </text>
    </comment>
    <comment ref="S1311" authorId="659" shapeId="0" xr:uid="{3BA535EE-CFA5-44DB-8FD0-F31BFF8ABB06}">
      <text>
        <t>[Threaded comment]
Your version of Excel allows you to read this threaded comment; however, any edits to it will get removed if the file is opened in a newer version of Excel. Learn more: https://go.microsoft.com/fwlink/?linkid=870924
Comment:
    "Postscreening observation in both groups ranged from 1 to 5.5 years (average, 3 years)." plus 6 year screening period?
Reply:
    Sounds reasonable.
Reply:
    Added to notes field.</t>
      </text>
    </comment>
    <comment ref="S1312" authorId="660" shapeId="0" xr:uid="{2977C06D-1CD2-4B91-A076-D0969D8F26EE}">
      <text>
        <t>[Threaded comment]
Your version of Excel allows you to read this threaded comment; however, any edits to it will get removed if the file is opened in a newer version of Excel. Learn more: https://go.microsoft.com/fwlink/?linkid=870924
Comment:
    "Postscreening observation in both groups ranged from 1 to 5.5 years (average, 3 years)." plus 6 year screening period?
Reply:
    Sounds reasonable.
Reply:
    Added to notes field.</t>
      </text>
    </comment>
    <comment ref="S1314" authorId="661" shapeId="0" xr:uid="{16462F47-AF71-4BD8-B632-2A41D96AF906}">
      <text>
        <t>[Threaded comment]
Your version of Excel allows you to read this threaded comment; however, any edits to it will get removed if the file is opened in a newer version of Excel. Learn more: https://go.microsoft.com/fwlink/?linkid=870924
Comment:
    "Postscreening observation in both groups ranged from 1 to 5.5 years (average, 3 years)." plus 6 year screening period?
Reply:
    Sounds reasonable.
Reply:
    Added to notes field.</t>
      </text>
    </comment>
    <comment ref="T1314" authorId="662" shapeId="0" xr:uid="{C210D252-CAD0-43AC-85C5-1B0C601C376A}">
      <text>
        <t>[Threaded comment]
Your version of Excel allows you to read this threaded comment; however, any edits to it will get removed if the file is opened in a newer version of Excel. Learn more: https://go.microsoft.com/fwlink/?linkid=870924
Comment:
    "Postscreening observation in both groups ranged from 1 to 5.5 years (average, 3 years)." plus 6 year screening period?
Reply:
    Sounds reasonable.
Reply:
    Added to notes field.</t>
      </text>
    </comment>
    <comment ref="S1316" authorId="663" shapeId="0" xr:uid="{2A3BB533-3CD9-405F-80D6-7B54264F1D11}">
      <text>
        <t>[Threaded comment]
Your version of Excel allows you to read this threaded comment; however, any edits to it will get removed if the file is opened in a newer version of Excel. Learn more: https://go.microsoft.com/fwlink/?linkid=870924
Comment:
    "Postscreening observation in both groups ranged from 1 to 5.5 years (average, 3 years)." plus 6 year screening period?
Reply:
    Sounds reasonable.
Reply:
    Added to notes field.</t>
      </text>
    </comment>
    <comment ref="T1316" authorId="664" shapeId="0" xr:uid="{57D35DD1-00FD-4E98-AA1D-80FFC6C165D7}">
      <text>
        <t>[Threaded comment]
Your version of Excel allows you to read this threaded comment; however, any edits to it will get removed if the file is opened in a newer version of Excel. Learn more: https://go.microsoft.com/fwlink/?linkid=870924
Comment:
    "Postscreening observation in both groups ranged from 1 to 5.5 years (average, 3 years)." plus 6 year screening period?
Reply:
    Sounds reasonable.
Reply:
    Added to notes field.</t>
      </text>
    </comment>
    <comment ref="A1317" authorId="665" shapeId="0" xr:uid="{3E0E368F-3BE9-474D-AFF9-7D426188CC9B}">
      <text>
        <t>[Threaded comment]
Your version of Excel allows you to read this threaded comment; however, any edits to it will get removed if the file is opened in a newer version of Excel. Learn more: https://go.microsoft.com/fwlink/?linkid=870924
Comment:
    Same numbers reported in Marcus 2000 (#524), Table 4.
Reply:
    agreed</t>
      </text>
    </comment>
    <comment ref="S1317" authorId="666" shapeId="0" xr:uid="{F6497815-EE22-4DAA-A66E-26E650B2ED3F}">
      <text>
        <t>[Threaded comment]
Your version of Excel allows you to read this threaded comment; however, any edits to it will get removed if the file is opened in a newer version of Excel. Learn more: https://go.microsoft.com/fwlink/?linkid=870924
Comment:
    "Postscreening observation in both groups ranged from 1 to 5.5 years (average, 3 years)." plus 6 year screening period?
Reply:
    Sounds reasonable.
Reply:
    Added to notes field.</t>
      </text>
    </comment>
    <comment ref="T1317" authorId="667" shapeId="0" xr:uid="{6E5EE9A6-A14B-48F2-A855-D390AC0BC841}">
      <text>
        <t>[Threaded comment]
Your version of Excel allows you to read this threaded comment; however, any edits to it will get removed if the file is opened in a newer version of Excel. Learn more: https://go.microsoft.com/fwlink/?linkid=870924
Comment:
    "Postscreening observation in both groups ranged from 1 to 5.5 years (average, 3 years)." plus 6 year screening period?
Reply:
    Sounds reasonable.
Reply:
    Added to notes field.</t>
      </text>
    </comment>
    <comment ref="A1318" authorId="668" shapeId="0" xr:uid="{670210AF-ED59-40D5-8144-33C5EB066BA7}">
      <text>
        <t>[Threaded comment]
Your version of Excel allows you to read this threaded comment; however, any edits to it will get removed if the file is opened in a newer version of Excel. Learn more: https://go.microsoft.com/fwlink/?linkid=870924
Comment:
    As above cell</t>
      </text>
    </comment>
    <comment ref="S1318" authorId="669" shapeId="0" xr:uid="{CF418A5F-6D52-4516-A995-C062A1D52CD0}">
      <text>
        <t>[Threaded comment]
Your version of Excel allows you to read this threaded comment; however, any edits to it will get removed if the file is opened in a newer version of Excel. Learn more: https://go.microsoft.com/fwlink/?linkid=870924
Comment:
    "Postscreening observation in both groups ranged from 1 to 5.5 years (average, 3 years)." plus 6 year screening period?
Reply:
    Sounds reasonable.
Reply:
    Added to notes field.</t>
      </text>
    </comment>
    <comment ref="T1318" authorId="670" shapeId="0" xr:uid="{B0349921-F0FB-4C9E-BEA6-BCAF0B1A1708}">
      <text>
        <t>[Threaded comment]
Your version of Excel allows you to read this threaded comment; however, any edits to it will get removed if the file is opened in a newer version of Excel. Learn more: https://go.microsoft.com/fwlink/?linkid=870924
Comment:
    "Postscreening observation in both groups ranged from 1 to 5.5 years (average, 3 years)." plus 6 year screening period?
Reply:
    Sounds reasonable.
Reply:
    Added to notes field.</t>
      </text>
    </comment>
    <comment ref="S1319" authorId="671" shapeId="0" xr:uid="{111143FC-9F26-4DF7-BFDA-E9876C0CC628}">
      <text>
        <t>[Threaded comment]
Your version of Excel allows you to read this threaded comment; however, any edits to it will get removed if the file is opened in a newer version of Excel. Learn more: https://go.microsoft.com/fwlink/?linkid=870924
Comment:
    "Postscreening observation in both groups ranged from 1 to 5.5 years (average, 3 years)." plus 6 year screening period?
Reply:
    Sounds reasonable.
Reply:
    Added to notes field.</t>
      </text>
    </comment>
    <comment ref="T1319" authorId="672" shapeId="0" xr:uid="{D6C52795-1001-4FD3-9E89-839349DA9BCA}">
      <text>
        <t>[Threaded comment]
Your version of Excel allows you to read this threaded comment; however, any edits to it will get removed if the file is opened in a newer version of Excel. Learn more: https://go.microsoft.com/fwlink/?linkid=870924
Comment:
    "Postscreening observation in both groups ranged from 1 to 5.5 years (average, 3 years)." plus 6 year screening period?
Reply:
    Sounds reasonable.
Reply:
    Added to notes field.</t>
      </text>
    </comment>
    <comment ref="S1320" authorId="673" shapeId="0" xr:uid="{59483BE9-8353-4B27-992F-29F1DAC3D0AF}">
      <text>
        <t>[Threaded comment]
Your version of Excel allows you to read this threaded comment; however, any edits to it will get removed if the file is opened in a newer version of Excel. Learn more: https://go.microsoft.com/fwlink/?linkid=870924
Comment:
    "Postscreening observation in both groups ranged from 1 to 5.5 years (average, 3 years)." plus 6 year screening period?
Reply:
    Sounds reasonable.
Reply:
    Added to notes field.</t>
      </text>
    </comment>
    <comment ref="T1320" authorId="674" shapeId="0" xr:uid="{A6CBF230-36E4-4CBC-B0E1-8241810E8156}">
      <text>
        <t>[Threaded comment]
Your version of Excel allows you to read this threaded comment; however, any edits to it will get removed if the file is opened in a newer version of Excel. Learn more: https://go.microsoft.com/fwlink/?linkid=870924
Comment:
    "Postscreening observation in both groups ranged from 1 to 5.5 years (average, 3 years)." plus 6 year screening period?
Reply:
    Sounds reasonable.
Reply:
    Added to notes field.</t>
      </text>
    </comment>
    <comment ref="S1321" authorId="675" shapeId="0" xr:uid="{91FFB783-9EBC-413F-A532-1CDDF171FC02}">
      <text>
        <t>[Threaded comment]
Your version of Excel allows you to read this threaded comment; however, any edits to it will get removed if the file is opened in a newer version of Excel. Learn more: https://go.microsoft.com/fwlink/?linkid=870924
Comment:
    "Postscreening observation in both groups ranged from 1 to 5.5 years (average, 3 years)." plus 6 year screening period?
Reply:
    Sounds reasonable.
Reply:
    Added to notes field.</t>
      </text>
    </comment>
    <comment ref="T1321" authorId="676" shapeId="0" xr:uid="{C21C4C5F-C5DC-412B-8ABC-68D0589102AA}">
      <text>
        <t>[Threaded comment]
Your version of Excel allows you to read this threaded comment; however, any edits to it will get removed if the file is opened in a newer version of Excel. Learn more: https://go.microsoft.com/fwlink/?linkid=870924
Comment:
    "Postscreening observation in both groups ranged from 1 to 5.5 years (average, 3 years)." plus 6 year screening period?
Reply:
    Sounds reasonable.
Reply:
    Added to notes field.</t>
      </text>
    </comment>
    <comment ref="L1330" authorId="677" shapeId="0" xr:uid="{EBD996B1-B0DF-4C29-BD04-A40CD2B98A53}">
      <text>
        <r>
          <rPr>
            <sz val="11"/>
            <color theme="1"/>
            <rFont val="Calibri"/>
            <family val="2"/>
            <scheme val="minor"/>
          </rPr>
          <t>Randell, Matthew:
Agree with the question mark, it doesn't define these explicitly it just refers to stages A-C as "earlier".</t>
        </r>
      </text>
    </comment>
    <comment ref="AK1331" authorId="678" shapeId="0" xr:uid="{A3D9FA1F-E47C-49BC-B77E-8AE531B8D722}">
      <text>
        <t>[Threaded comment]
Your version of Excel allows you to read this threaded comment; however, any edits to it will get removed if the file is opened in a newer version of Excel. Learn more: https://go.microsoft.com/fwlink/?linkid=870924
Comment:
    Randell, Matthew:
Are we interested in absolute incidence only, not cumulative incidence? We don't seem to have extracted that data at all and I'm a bit confused. In the surrogates tab I would have expected the numbers from figure 2, e.g. n=15,534 for annual and n=15,364 from control, rather than these which are from figure 1 about mortality? Potentially affects columns Y and Z as well and have highlighted all relevant cells from AK and AL.
Reply:
    And the incidence and CIs from table 4?
Reply:
    I don't think we need to extract the total cancer incidence from Table 4 if we have incidence data by stage from Table 5 and Fig 5.
I am confused with the reporting of this paper. In Table 5, Fig. 3 and Fig. 4, the number of cancers adds up to 1,116, whereas the text and Table 4 report 1,002 cancers.
I think you are right to use the numbers from Fig. 2 as denominator here. I have changed it throughout, please check yellow highlighted fields.
Regarding "cumulative incidence" vs "absolute incidence" - not sure what the difference is???
Reply:
    I agree, I don't understand it either</t>
      </text>
    </comment>
    <comment ref="AS1331" authorId="679" shapeId="0" xr:uid="{AB8474D8-8D1E-43D7-A761-694F88F368AE}">
      <text>
        <t>[Threaded comment]
Your version of Excel allows you to read this threaded comment; however, any edits to it will get removed if the file is opened in a newer version of Excel. Learn more: https://go.microsoft.com/fwlink/?linkid=870924
Comment:
    Different to reported rate.</t>
      </text>
    </comment>
    <comment ref="BF1331" authorId="680" shapeId="0" xr:uid="{0AB6E7FE-BBEF-4D0C-8F24-F4C0AAF67F91}">
      <text>
        <t>[Threaded comment]
Your version of Excel allows you to read this threaded comment; however, any edits to it will get removed if the file is opened in a newer version of Excel. Learn more: https://go.microsoft.com/fwlink/?linkid=870924
Comment:
    +figure 2
Reply:
    Added.</t>
      </text>
    </comment>
    <comment ref="AO1333" authorId="681" shapeId="0" xr:uid="{94D418F8-4ED6-4C4D-A25C-3A43761A0CD1}">
      <text>
        <t>[Threaded comment]
Your version of Excel allows you to read this threaded comment; however, any edits to it will get removed if the file is opened in a newer version of Excel. Learn more: https://go.microsoft.com/fwlink/?linkid=870924
Comment:
    Different to reported rate.</t>
      </text>
    </comment>
    <comment ref="AS1333" authorId="682" shapeId="0" xr:uid="{84A11E9A-2EA4-4184-B565-BFF179321EE3}">
      <text>
        <t>[Threaded comment]
Your version of Excel allows you to read this threaded comment; however, any edits to it will get removed if the file is opened in a newer version of Excel. Learn more: https://go.microsoft.com/fwlink/?linkid=870924
Comment:
    Different to reported rate.</t>
      </text>
    </comment>
    <comment ref="AO1335" authorId="683" shapeId="0" xr:uid="{3F41D7D5-6FD2-4AAD-9BEE-BE1926605590}">
      <text>
        <t>[Threaded comment]
Your version of Excel allows you to read this threaded comment; however, any edits to it will get removed if the file is opened in a newer version of Excel. Learn more: https://go.microsoft.com/fwlink/?linkid=870924
Comment:
    Different to reported rate.</t>
      </text>
    </comment>
    <comment ref="AS1335" authorId="684" shapeId="0" xr:uid="{9F409E32-B8AB-4404-90A9-8AA3AAB4EBFA}">
      <text>
        <t>[Threaded comment]
Your version of Excel allows you to read this threaded comment; however, any edits to it will get removed if the file is opened in a newer version of Excel. Learn more: https://go.microsoft.com/fwlink/?linkid=870924
Comment:
    Different to reported rate.</t>
      </text>
    </comment>
    <comment ref="AO1338" authorId="685" shapeId="0" xr:uid="{32BBA61D-B36C-432B-A0D5-10D376FC7244}">
      <text>
        <t>[Threaded comment]
Your version of Excel allows you to read this threaded comment; however, any edits to it will get removed if the file is opened in a newer version of Excel. Learn more: https://go.microsoft.com/fwlink/?linkid=870924
Comment:
    Different to reported rate.</t>
      </text>
    </comment>
    <comment ref="AS1338" authorId="686" shapeId="0" xr:uid="{9095E25D-CF8B-450F-8C27-2A37601A6C3F}">
      <text>
        <t>[Threaded comment]
Your version of Excel allows you to read this threaded comment; however, any edits to it will get removed if the file is opened in a newer version of Excel. Learn more: https://go.microsoft.com/fwlink/?linkid=870924
Comment:
    Different to reported rate.</t>
      </text>
    </comment>
    <comment ref="AO1341" authorId="687" shapeId="0" xr:uid="{0BD7DFF8-617D-4569-8D21-32FC7565A660}">
      <text>
        <t>[Threaded comment]
Your version of Excel allows you to read this threaded comment; however, any edits to it will get removed if the file is opened in a newer version of Excel. Learn more: https://go.microsoft.com/fwlink/?linkid=870924
Comment:
    Different to reported rate.</t>
      </text>
    </comment>
    <comment ref="AS1341" authorId="688" shapeId="0" xr:uid="{FE19CE16-B2AD-41E4-A57D-C6CA374D3CE9}">
      <text>
        <t>[Threaded comment]
Your version of Excel allows you to read this threaded comment; however, any edits to it will get removed if the file is opened in a newer version of Excel. Learn more: https://go.microsoft.com/fwlink/?linkid=870924
Comment:
    Different to reported rate.</t>
      </text>
    </comment>
    <comment ref="P1342" authorId="677" shapeId="0" xr:uid="{DE9D91E9-D1ED-4A5A-9FD2-989A136115C3}">
      <text>
        <r>
          <rPr>
            <sz val="11"/>
            <color theme="1"/>
            <rFont val="Calibri"/>
            <family val="2"/>
            <scheme val="minor"/>
          </rPr>
          <t>Randell, Matthew:
This is a sort of middling stage cancer, does that matter?
JG - NO, THIS IS WHY I CALLED IT "1./4." SO THAT WE CAN DECIDE LATER IF WE USE IT AS SURROGATE 1 OR SURROGATE 4.</t>
        </r>
      </text>
    </comment>
    <comment ref="AO1343" authorId="689" shapeId="0" xr:uid="{3148F673-70E7-4256-B1D5-E5BBDDDB16D0}">
      <text>
        <t>[Threaded comment]
Your version of Excel allows you to read this threaded comment; however, any edits to it will get removed if the file is opened in a newer version of Excel. Learn more: https://go.microsoft.com/fwlink/?linkid=870924
Comment:
    Different to reported rate.</t>
      </text>
    </comment>
    <comment ref="AS1343" authorId="690" shapeId="0" xr:uid="{E3EC9E15-0B2D-4E40-BFFA-7C3EB49D8C03}">
      <text>
        <t>[Threaded comment]
Your version of Excel allows you to read this threaded comment; however, any edits to it will get removed if the file is opened in a newer version of Excel. Learn more: https://go.microsoft.com/fwlink/?linkid=870924
Comment:
    Different to reported rate.</t>
      </text>
    </comment>
    <comment ref="AO1345" authorId="691" shapeId="0" xr:uid="{59EC19CC-DA39-4B06-ADF9-4EEB9B2FD250}">
      <text>
        <t>[Threaded comment]
Your version of Excel allows you to read this threaded comment; however, any edits to it will get removed if the file is opened in a newer version of Excel. Learn more: https://go.microsoft.com/fwlink/?linkid=870924
Comment:
    Different to reported rate.</t>
      </text>
    </comment>
    <comment ref="AS1345" authorId="692" shapeId="0" xr:uid="{94A91E57-9B24-4256-B429-67D87D0F4D40}">
      <text>
        <t>[Threaded comment]
Your version of Excel allows you to read this threaded comment; however, any edits to it will get removed if the file is opened in a newer version of Excel. Learn more: https://go.microsoft.com/fwlink/?linkid=870924
Comment:
    Different to reported rate.</t>
      </text>
    </comment>
    <comment ref="AO1348" authorId="693" shapeId="0" xr:uid="{12587D20-E266-4FE1-8C5C-3C7EC1202C15}">
      <text>
        <t>[Threaded comment]
Your version of Excel allows you to read this threaded comment; however, any edits to it will get removed if the file is opened in a newer version of Excel. Learn more: https://go.microsoft.com/fwlink/?linkid=870924
Comment:
    Different to reported rate.</t>
      </text>
    </comment>
    <comment ref="AS1348" authorId="694" shapeId="0" xr:uid="{5FFB73F8-9DC3-48AE-B18D-B858A4572C67}">
      <text>
        <t>[Threaded comment]
Your version of Excel allows you to read this threaded comment; however, any edits to it will get removed if the file is opened in a newer version of Excel. Learn more: https://go.microsoft.com/fwlink/?linkid=870924
Comment:
    Different to reported rate.</t>
      </text>
    </comment>
    <comment ref="BA1348" authorId="695" shapeId="0" xr:uid="{B0EC9D10-6EBD-4A7B-B783-897341C6116A}">
      <text>
        <t>[Threaded comment]
Your version of Excel allows you to read this threaded comment; however, any edits to it will get removed if the file is opened in a newer version of Excel. Learn more: https://go.microsoft.com/fwlink/?linkid=870924
Comment:
    Where is this? I can't see it
Reply:
    Or is it just assumed because the text says "significantly"? 
Reply:
    Assumed as the text says "significantly".</t>
      </text>
    </comment>
    <comment ref="AC1352" authorId="696" shapeId="0" xr:uid="{C38CB802-7401-45D6-A821-A1F3774BF8BB}">
      <text>
        <t>[Threaded comment]
Your version of Excel allows you to read this threaded comment; however, any edits to it will get removed if the file is opened in a newer version of Excel. Learn more: https://go.microsoft.com/fwlink/?linkid=870924
Comment:
    Estimated from Fig. 2.</t>
      </text>
    </comment>
    <comment ref="AE1352" authorId="697" shapeId="0" xr:uid="{2DF43369-5D31-45B5-91B0-DC36EB9DF1AC}">
      <text>
        <t>[Threaded comment]
Your version of Excel allows you to read this threaded comment; however, any edits to it will get removed if the file is opened in a newer version of Excel. Learn more: https://go.microsoft.com/fwlink/?linkid=870924
Comment:
    Estimated from Fig. 2.</t>
      </text>
    </comment>
    <comment ref="AN1352" authorId="698" shapeId="0" xr:uid="{26F82917-3B91-4038-AF5D-BF627BCF8762}">
      <text>
        <t>[Threaded comment]
Your version of Excel allows you to read this threaded comment; however, any edits to it will get removed if the file is opened in a newer version of Excel. Learn more: https://go.microsoft.com/fwlink/?linkid=870924
Comment:
    Ah these are the ones where you used a software to get the precise numbers from the bars of figure 2? I have not checked them with any software but have eyeballed the graphs to check that they at least look plausible. Let me know if you need more than that
Reply:
    Oh sorry, I forgot about these. Please use the figure and Excel file that I have emailed you to check these data.</t>
      </text>
    </comment>
    <comment ref="AI1374" authorId="699" shapeId="0" xr:uid="{A1A5B275-E8D7-4364-82F2-393E7A66A498}">
      <text>
        <t>[Threaded comment]
Your version of Excel allows you to read this threaded comment; however, any edits to it will get removed if the file is opened in a newer version of Excel. Learn more: https://go.microsoft.com/fwlink/?linkid=870924
Comment:
    #397 (Table 4) reports 132 cases.
Reply:
    Agreed. I can't see anything in the papers that explains this difference.</t>
      </text>
    </comment>
    <comment ref="AI1375" authorId="700" shapeId="0" xr:uid="{3E9ED415-DEB4-41F7-ABDF-D8465EF371CA}">
      <text>
        <t>[Threaded comment]
Your version of Excel allows you to read this threaded comment; however, any edits to it will get removed if the file is opened in a newer version of Excel. Learn more: https://go.microsoft.com/fwlink/?linkid=870924
Comment:
    #397 (Table 4) reports 26 cases.
Reply:
    Agreed. I can't see anything in the papers that explains this difference.</t>
      </text>
    </comment>
    <comment ref="AJ1380" authorId="701" shapeId="0" xr:uid="{587A32BC-3482-4FC2-8C00-667198EA144B}">
      <text>
        <t xml:space="preserve">[Threaded comment]
Your version of Excel allows you to read this threaded comment; however, any edits to it will get removed if the file is opened in a newer version of Excel. Learn more: https://go.microsoft.com/fwlink/?linkid=870924
Comment:
    #397 (Table 4) reports 29 cases.
Reply:
    Agreed. I can't see anything in the papers that explains this difference.
</t>
      </text>
    </comment>
    <comment ref="AJ1381" authorId="702" shapeId="0" xr:uid="{79239905-F7ED-4B0C-85C3-7FCFC1F43AB1}">
      <text>
        <t xml:space="preserve">[Threaded comment]
Your version of Excel allows you to read this threaded comment; however, any edits to it will get removed if the file is opened in a newer version of Excel. Learn more: https://go.microsoft.com/fwlink/?linkid=870924
Comment:
    #397 (Table 4) reports 27 cases.
Reply:
    Agreed. I can't see anything in the papers that explains this difference.
</t>
      </text>
    </comment>
    <comment ref="AI1383" authorId="703" shapeId="0" xr:uid="{BCD22484-A4C5-4CE7-83F5-0EBA94AD5512}">
      <text>
        <t>[Threaded comment]
Your version of Excel allows you to read this threaded comment; however, any edits to it will get removed if the file is opened in a newer version of Excel. Learn more: https://go.microsoft.com/fwlink/?linkid=870924
Comment:
    #397 (Table 4) reports 44 and 46 cases, respectively.
Reply:
    Agreed. I can't see anything in the papers that explains this difference.</t>
      </text>
    </comment>
    <comment ref="U1384" authorId="704" shapeId="0" xr:uid="{E0EF6650-E811-4C01-B88E-49DEFACA8240}">
      <text>
        <t>[Threaded comment]
Your version of Excel allows you to read this threaded comment; however, any edits to it will get removed if the file is opened in a newer version of Excel. Learn more: https://go.microsoft.com/fwlink/?linkid=870924
Comment:
    2? One at baseline, one at T1.
Reply:
    Are the reported number of events cumulative (T0 and T1)?
I understood that the reported events are only from T1, which would be 1 screening round?
Reply:
    I see. Yes, they're reported one round at a time. So although it is the 2nd round overall it is data from a single round.</t>
      </text>
    </comment>
    <comment ref="U1385" authorId="705" shapeId="0" xr:uid="{C0C6D921-B2DD-4F60-B26E-428F9BCCF41C}">
      <text>
        <t>[Threaded comment]
Your version of Excel allows you to read this threaded comment; however, any edits to it will get removed if the file is opened in a newer version of Excel. Learn more: https://go.microsoft.com/fwlink/?linkid=870924
Comment:
    2? One at baseline, one at T1.
Reply:
    Are the reported number of events cumulative (T0 and T1)?
I understood that the reported events are only from T1, which would be 1 screening round?
Reply:
    I see. Yes, they're reported one round at a time. So although it is the 2nd round overall it is data from a single round.</t>
      </text>
    </comment>
    <comment ref="U1386" authorId="706" shapeId="0" xr:uid="{B45D08BD-745A-4FC6-B00E-E952EFC42C46}">
      <text>
        <t>[Threaded comment]
Your version of Excel allows you to read this threaded comment; however, any edits to it will get removed if the file is opened in a newer version of Excel. Learn more: https://go.microsoft.com/fwlink/?linkid=870924
Comment:
    2? One at baseline, one at T1.
Reply:
    Are the reported number of events cumulative (T0 and T1)?
I understood that the reported events are only from T1, which would be 1 screening round?
Reply:
    I see. Yes, they're reported one round at a time. So although it is the 2nd round overall it is data from a single round.</t>
      </text>
    </comment>
    <comment ref="U1387" authorId="707" shapeId="0" xr:uid="{823595E9-F0DD-4D74-B758-4D7B0B777051}">
      <text>
        <t xml:space="preserve">[Threaded comment]
Your version of Excel allows you to read this threaded comment; however, any edits to it will get removed if the file is opened in a newer version of Excel. Learn more: https://go.microsoft.com/fwlink/?linkid=870924
Comment:
    3? Baseline, T1, and T2.
Reply:
    Are the reported number of events cumulative (T0, T1 and T2)?
I understood that the reported events are only from T2, which would be 1 screening round?
</t>
      </text>
    </comment>
    <comment ref="U1388" authorId="708" shapeId="0" xr:uid="{C16EB227-DEED-48E3-A06D-DBDE96E7214C}">
      <text>
        <t xml:space="preserve">[Threaded comment]
Your version of Excel allows you to read this threaded comment; however, any edits to it will get removed if the file is opened in a newer version of Excel. Learn more: https://go.microsoft.com/fwlink/?linkid=870924
Comment:
    3? Baseline, T1, and T2.
Reply:
    Are the reported number of events cumulative (T0, T1 and T2)?
I understood that the reported events are only from T2, which would be 1 screening round?
</t>
      </text>
    </comment>
    <comment ref="U1389" authorId="709" shapeId="0" xr:uid="{F692F56C-96A1-4E9A-B0C8-F4255F6EF30B}">
      <text>
        <t xml:space="preserve">[Threaded comment]
Your version of Excel allows you to read this threaded comment; however, any edits to it will get removed if the file is opened in a newer version of Excel. Learn more: https://go.microsoft.com/fwlink/?linkid=870924
Comment:
    3? Baseline, T1, and T2.
Reply:
    Are the reported number of events cumulative (T0, T1 and T2)?
I understood that the reported events are only from T2, which would be 1 screening round?
</t>
      </text>
    </comment>
    <comment ref="U1390" authorId="710" shapeId="0" xr:uid="{2EB7FE9E-A436-4462-8F7F-2CA91AB660CA}">
      <text>
        <t>[Threaded comment]
Your version of Excel allows you to read this threaded comment; however, any edits to it will get removed if the file is opened in a newer version of Excel. Learn more: https://go.microsoft.com/fwlink/?linkid=870924
Comment:
    2? One at baseline, one at T1.
Reply:
    Are the reported number of events cumulative (T0 and T1)?
I understood that the reported events are only from T1, which would be 1 screening round?
Reply:
    I see. Yes, they're reported one round at a time. So although it is the 2nd round overall it is data from a single round.</t>
      </text>
    </comment>
    <comment ref="U1391" authorId="711" shapeId="0" xr:uid="{B7695B44-7BCA-480A-B647-70EF8BC6EE71}">
      <text>
        <t>[Threaded comment]
Your version of Excel allows you to read this threaded comment; however, any edits to it will get removed if the file is opened in a newer version of Excel. Learn more: https://go.microsoft.com/fwlink/?linkid=870924
Comment:
    2? One at baseline, one at T1.
Reply:
    Are the reported number of events cumulative (T0 and T1)?
I understood that the reported events are only from T1, which would be 1 screening round?
Reply:
    I see. Yes, they're reported one round at a time. So although it is the 2nd round overall it is data from a single round.</t>
      </text>
    </comment>
    <comment ref="U1392" authorId="712" shapeId="0" xr:uid="{02E9AAC0-C61D-4FC7-AD42-1D6CB22DD850}">
      <text>
        <t>[Threaded comment]
Your version of Excel allows you to read this threaded comment; however, any edits to it will get removed if the file is opened in a newer version of Excel. Learn more: https://go.microsoft.com/fwlink/?linkid=870924
Comment:
    2? One at baseline, one at T1.
Reply:
    Are the reported number of events cumulative (T0 and T1)?
I understood that the reported events are only from T1, which would be 1 screening round?
Reply:
    I see. Yes, they're reported one round at a time. So although it is the 2nd round overall it is data from a single round.</t>
      </text>
    </comment>
    <comment ref="U1393" authorId="713" shapeId="0" xr:uid="{0320DE1A-F6A4-49E9-88F1-02156A8E6E67}">
      <text>
        <t xml:space="preserve">[Threaded comment]
Your version of Excel allows you to read this threaded comment; however, any edits to it will get removed if the file is opened in a newer version of Excel. Learn more: https://go.microsoft.com/fwlink/?linkid=870924
Comment:
    3? Baseline, T1, and T2.
Reply:
    Are the reported number of events cumulative (T0, T1 and T2)?
I understood that the reported events are only from T2, which would be 1 screening round?
</t>
      </text>
    </comment>
    <comment ref="U1394" authorId="714" shapeId="0" xr:uid="{F7952F2F-E397-409B-A2C5-649D04E1662B}">
      <text>
        <t xml:space="preserve">[Threaded comment]
Your version of Excel allows you to read this threaded comment; however, any edits to it will get removed if the file is opened in a newer version of Excel. Learn more: https://go.microsoft.com/fwlink/?linkid=870924
Comment:
    3? Baseline, T1, and T2.
Reply:
    Are the reported number of events cumulative (T0, T1 and T2)?
I understood that the reported events are only from T2, which would be 1 screening round?
</t>
      </text>
    </comment>
    <comment ref="U1395" authorId="715" shapeId="0" xr:uid="{F4C892C6-C81D-44B2-8109-8CDC0760FEB3}">
      <text>
        <t>[Threaded comment]
Your version of Excel allows you to read this threaded comment; however, any edits to it will get removed if the file is opened in a newer version of Excel. Learn more: https://go.microsoft.com/fwlink/?linkid=870924
Comment:
    2? One at baseline, one at T1.
Reply:
    Are the reported number of events cumulative (T0 and T1)?
I understood that the reported events are only from T1, which would be 1 screening round?
Reply:
    I see. Yes, they're reported one round at a time. So although it is the 2nd round overall it is data from a single round.</t>
      </text>
    </comment>
    <comment ref="U1396" authorId="716" shapeId="0" xr:uid="{2974D086-2BD9-4058-A860-203C57B16222}">
      <text>
        <t>[Threaded comment]
Your version of Excel allows you to read this threaded comment; however, any edits to it will get removed if the file is opened in a newer version of Excel. Learn more: https://go.microsoft.com/fwlink/?linkid=870924
Comment:
    2? One at baseline, one at T1.
Reply:
    Are the reported number of events cumulative (T0 and T1)?
I understood that the reported events are only from T1, which would be 1 screening round?
Reply:
    I see. Yes, they're reported one round at a time. So although it is the 2nd round overall it is data from a single round.</t>
      </text>
    </comment>
    <comment ref="U1397" authorId="717" shapeId="0" xr:uid="{18E6BECC-67DB-491F-8682-D6903BDFFC82}">
      <text>
        <t>[Threaded comment]
Your version of Excel allows you to read this threaded comment; however, any edits to it will get removed if the file is opened in a newer version of Excel. Learn more: https://go.microsoft.com/fwlink/?linkid=870924
Comment:
    2? One at baseline, one at T1.
Reply:
    Are the reported number of events cumulative (T0 and T1)?
I understood that the reported events are only from T1, which would be 1 screening round?
Reply:
    I see. Yes, they're reported one round at a time. So although it is the 2nd round overall it is data from a single round.</t>
      </text>
    </comment>
    <comment ref="U1398" authorId="718" shapeId="0" xr:uid="{FC380A41-115B-4896-AD78-A40E1493EA03}">
      <text>
        <t xml:space="preserve">[Threaded comment]
Your version of Excel allows you to read this threaded comment; however, any edits to it will get removed if the file is opened in a newer version of Excel. Learn more: https://go.microsoft.com/fwlink/?linkid=870924
Comment:
    3? Baseline, T1, and T2.
Reply:
    Are the reported number of events cumulative (T0, T1 and T2)?
I understood that the reported events are only from T2, which would be 1 screening round?
</t>
      </text>
    </comment>
    <comment ref="U1399" authorId="719" shapeId="0" xr:uid="{E976EE52-F535-4781-B5D0-CA358449F725}">
      <text>
        <t xml:space="preserve">[Threaded comment]
Your version of Excel allows you to read this threaded comment; however, any edits to it will get removed if the file is opened in a newer version of Excel. Learn more: https://go.microsoft.com/fwlink/?linkid=870924
Comment:
    3? Baseline, T1, and T2.
Reply:
    Are the reported number of events cumulative (T0, T1 and T2)?
I understood that the reported events are only from T2, which would be 1 screening round?
</t>
      </text>
    </comment>
    <comment ref="U1400" authorId="720" shapeId="0" xr:uid="{EE56A240-DFB1-445D-8D67-874378416079}">
      <text>
        <t xml:space="preserve">[Threaded comment]
Your version of Excel allows you to read this threaded comment; however, any edits to it will get removed if the file is opened in a newer version of Excel. Learn more: https://go.microsoft.com/fwlink/?linkid=870924
Comment:
    3? Baseline, T1, and T2.
Reply:
    Are the reported number of events cumulative (T0, T1 and T2)?
I understood that the reported events are only from T2, which would be 1 screening round?
</t>
      </text>
    </comment>
    <comment ref="U1401" authorId="721" shapeId="0" xr:uid="{8FA26B95-76DE-43F2-9AB8-E67983D6C77B}">
      <text>
        <t>[Threaded comment]
Your version of Excel allows you to read this threaded comment; however, any edits to it will get removed if the file is opened in a newer version of Excel. Learn more: https://go.microsoft.com/fwlink/?linkid=870924
Comment:
    2? One at baseline, one at T1.
Reply:
    Are the reported number of events cumulative (T0 and T1)?
I understood that the reported events are only from T1, which would be 1 screening round?
Reply:
    I see. Yes, they're reported one round at a time. So although it is the 2nd round overall it is data from a single round.</t>
      </text>
    </comment>
    <comment ref="U1402" authorId="722" shapeId="0" xr:uid="{4272AF94-CDDB-4864-A162-7EFAA7D189D4}">
      <text>
        <t>[Threaded comment]
Your version of Excel allows you to read this threaded comment; however, any edits to it will get removed if the file is opened in a newer version of Excel. Learn more: https://go.microsoft.com/fwlink/?linkid=870924
Comment:
    2? One at baseline, one at T1.
Reply:
    Are the reported number of events cumulative (T0 and T1)?
I understood that the reported events are only from T1, which would be 1 screening round?
Reply:
    I see. Yes, they're reported one round at a time. So although it is the 2nd round overall it is data from a single round.</t>
      </text>
    </comment>
    <comment ref="U1403" authorId="723" shapeId="0" xr:uid="{D9CB1E26-415A-4DAB-9AD0-BDCBEDAF62CE}">
      <text>
        <t>[Threaded comment]
Your version of Excel allows you to read this threaded comment; however, any edits to it will get removed if the file is opened in a newer version of Excel. Learn more: https://go.microsoft.com/fwlink/?linkid=870924
Comment:
    2? One at baseline, one at T1.
Reply:
    Are the reported number of events cumulative (T0 and T1)?
I understood that the reported events are only from T1, which would be 1 screening round?
Reply:
    I see. Yes, they're reported one round at a time. So although it is the 2nd round overall it is data from a single round.</t>
      </text>
    </comment>
    <comment ref="U1404" authorId="724" shapeId="0" xr:uid="{763A797B-B0EC-47B4-8909-C3B174CF2736}">
      <text>
        <t xml:space="preserve">[Threaded comment]
Your version of Excel allows you to read this threaded comment; however, any edits to it will get removed if the file is opened in a newer version of Excel. Learn more: https://go.microsoft.com/fwlink/?linkid=870924
Comment:
    3? Baseline, T1, and T2.
Reply:
    Are the reported number of events cumulative (T0, T1 and T2)?
I understood that the reported events are only from T2, which would be 1 screening round?
</t>
      </text>
    </comment>
    <comment ref="U1405" authorId="725" shapeId="0" xr:uid="{1C59A8AC-8BEC-430E-BECF-A31B550CA55D}">
      <text>
        <t xml:space="preserve">[Threaded comment]
Your version of Excel allows you to read this threaded comment; however, any edits to it will get removed if the file is opened in a newer version of Excel. Learn more: https://go.microsoft.com/fwlink/?linkid=870924
Comment:
    3? Baseline, T1, and T2.
Reply:
    Are the reported number of events cumulative (T0, T1 and T2)?
I understood that the reported events are only from T2, which would be 1 screening round?
</t>
      </text>
    </comment>
    <comment ref="Z1406" authorId="726" shapeId="0" xr:uid="{FAF18715-B881-4CFC-9E2B-9E24A547FED7}">
      <text>
        <t>[Threaded comment]
Your version of Excel allows you to read this threaded comment; however, any edits to it will get removed if the file is opened in a newer version of Excel. Learn more: https://go.microsoft.com/fwlink/?linkid=870924
Comment:
    26,730
Reply:
    Corrected.</t>
      </text>
    </comment>
    <comment ref="AL1406" authorId="727" shapeId="0" xr:uid="{62B75724-0D78-452F-8213-2EFF0F1BB594}">
      <text>
        <t>[Threaded comment]
Your version of Excel allows you to read this threaded comment; however, any edits to it will get removed if the file is opened in a newer version of Excel. Learn more: https://go.microsoft.com/fwlink/?linkid=870924
Comment:
    26,730
Reply:
    Corrected.</t>
      </text>
    </comment>
    <comment ref="Z1407" authorId="728" shapeId="0" xr:uid="{75E89C0C-035E-4CFE-935F-B255A4545056}">
      <text>
        <t>[Threaded comment]
Your version of Excel allows you to read this threaded comment; however, any edits to it will get removed if the file is opened in a newer version of Excel. Learn more: https://go.microsoft.com/fwlink/?linkid=870924
Comment:
    26,730
Reply:
    Corrected.</t>
      </text>
    </comment>
    <comment ref="AL1407" authorId="729" shapeId="0" xr:uid="{324BFF93-2105-4629-8E16-46D52918D76D}">
      <text>
        <t>[Threaded comment]
Your version of Excel allows you to read this threaded comment; however, any edits to it will get removed if the file is opened in a newer version of Excel. Learn more: https://go.microsoft.com/fwlink/?linkid=870924
Comment:
    26,730
Reply:
    Corrected.</t>
      </text>
    </comment>
    <comment ref="Z1408" authorId="730" shapeId="0" xr:uid="{36360272-34C6-484C-8567-7CBC29233A95}">
      <text>
        <t>[Threaded comment]
Your version of Excel allows you to read this threaded comment; however, any edits to it will get removed if the file is opened in a newer version of Excel. Learn more: https://go.microsoft.com/fwlink/?linkid=870924
Comment:
    26,730
Reply:
    Corrected.</t>
      </text>
    </comment>
    <comment ref="AL1408" authorId="731" shapeId="0" xr:uid="{148AD45D-AD0C-4293-81DA-AD138667AAB9}">
      <text>
        <t>[Threaded comment]
Your version of Excel allows you to read this threaded comment; however, any edits to it will get removed if the file is opened in a newer version of Excel. Learn more: https://go.microsoft.com/fwlink/?linkid=870924
Comment:
    26,730
Reply:
    Corrected.</t>
      </text>
    </comment>
    <comment ref="Z1409" authorId="732" shapeId="0" xr:uid="{DA301AC4-F193-448F-A6F9-B80665E266A5}">
      <text>
        <t xml:space="preserve">[Threaded comment]
Your version of Excel allows you to read this threaded comment; however, any edits to it will get removed if the file is opened in a newer version of Excel. Learn more: https://go.microsoft.com/fwlink/?linkid=870924
Comment:
    26,730
</t>
      </text>
    </comment>
    <comment ref="AL1409" authorId="733" shapeId="0" xr:uid="{FF14DDF3-EAEC-4C7C-B112-829190755CB2}">
      <text>
        <t xml:space="preserve">[Threaded comment]
Your version of Excel allows you to read this threaded comment; however, any edits to it will get removed if the file is opened in a newer version of Excel. Learn more: https://go.microsoft.com/fwlink/?linkid=870924
Comment:
    26,730
</t>
      </text>
    </comment>
    <comment ref="Z1410" authorId="734" shapeId="0" xr:uid="{A87DD29E-D520-4709-BB68-4CB48282C254}">
      <text>
        <t xml:space="preserve">[Threaded comment]
Your version of Excel allows you to read this threaded comment; however, any edits to it will get removed if the file is opened in a newer version of Excel. Learn more: https://go.microsoft.com/fwlink/?linkid=870924
Comment:
    26,730
</t>
      </text>
    </comment>
    <comment ref="AL1410" authorId="735" shapeId="0" xr:uid="{68109046-09B7-4111-A915-E11383221880}">
      <text>
        <t xml:space="preserve">[Threaded comment]
Your version of Excel allows you to read this threaded comment; however, any edits to it will get removed if the file is opened in a newer version of Excel. Learn more: https://go.microsoft.com/fwlink/?linkid=870924
Comment:
    26,730
</t>
      </text>
    </comment>
    <comment ref="Z1411" authorId="736" shapeId="0" xr:uid="{F7217390-9373-4C80-8BC5-613AAE9A8A13}">
      <text>
        <t xml:space="preserve">[Threaded comment]
Your version of Excel allows you to read this threaded comment; however, any edits to it will get removed if the file is opened in a newer version of Excel. Learn more: https://go.microsoft.com/fwlink/?linkid=870924
Comment:
    26,730
</t>
      </text>
    </comment>
    <comment ref="AL1411" authorId="737" shapeId="0" xr:uid="{6C22B892-3E17-4E3E-9042-88D0D6FB90B9}">
      <text>
        <t xml:space="preserve">[Threaded comment]
Your version of Excel allows you to read this threaded comment; however, any edits to it will get removed if the file is opened in a newer version of Excel. Learn more: https://go.microsoft.com/fwlink/?linkid=870924
Comment:
    26,730
</t>
      </text>
    </comment>
    <comment ref="Z1412" authorId="738" shapeId="0" xr:uid="{3E9AD39A-3BF5-4F58-8F79-8923877696DA}">
      <text>
        <t xml:space="preserve">[Threaded comment]
Your version of Excel allows you to read this threaded comment; however, any edits to it will get removed if the file is opened in a newer version of Excel. Learn more: https://go.microsoft.com/fwlink/?linkid=870924
Comment:
    26,730
</t>
      </text>
    </comment>
    <comment ref="AL1412" authorId="739" shapeId="0" xr:uid="{6F8E1671-D3DC-42D3-8A19-13FEC4591C08}">
      <text>
        <t xml:space="preserve">[Threaded comment]
Your version of Excel allows you to read this threaded comment; however, any edits to it will get removed if the file is opened in a newer version of Excel. Learn more: https://go.microsoft.com/fwlink/?linkid=870924
Comment:
    26,730
</t>
      </text>
    </comment>
    <comment ref="Z1413" authorId="740" shapeId="0" xr:uid="{BD057DC6-530D-4DCC-AAE9-DB5C144E387F}">
      <text>
        <t xml:space="preserve">[Threaded comment]
Your version of Excel allows you to read this threaded comment; however, any edits to it will get removed if the file is opened in a newer version of Excel. Learn more: https://go.microsoft.com/fwlink/?linkid=870924
Comment:
    26,730
</t>
      </text>
    </comment>
    <comment ref="AL1413" authorId="741" shapeId="0" xr:uid="{9B8A48DF-E222-41C3-B800-600792E07F12}">
      <text>
        <t xml:space="preserve">[Threaded comment]
Your version of Excel allows you to read this threaded comment; however, any edits to it will get removed if the file is opened in a newer version of Excel. Learn more: https://go.microsoft.com/fwlink/?linkid=870924
Comment:
    26,730
</t>
      </text>
    </comment>
    <comment ref="Z1414" authorId="742" shapeId="0" xr:uid="{233A30EC-7128-4237-81BD-E078562477F5}">
      <text>
        <t xml:space="preserve">[Threaded comment]
Your version of Excel allows you to read this threaded comment; however, any edits to it will get removed if the file is opened in a newer version of Excel. Learn more: https://go.microsoft.com/fwlink/?linkid=870924
Comment:
    26,730
</t>
      </text>
    </comment>
    <comment ref="AL1414" authorId="743" shapeId="0" xr:uid="{D9A5FDB6-42DD-4899-A8B8-E18C16D8BADE}">
      <text>
        <t xml:space="preserve">[Threaded comment]
Your version of Excel allows you to read this threaded comment; however, any edits to it will get removed if the file is opened in a newer version of Excel. Learn more: https://go.microsoft.com/fwlink/?linkid=870924
Comment:
    26,730
</t>
      </text>
    </comment>
    <comment ref="Z1415" authorId="744" shapeId="0" xr:uid="{F96E1DF6-E2AA-4BA7-A7CA-E2B8C85EC7DB}">
      <text>
        <t xml:space="preserve">[Threaded comment]
Your version of Excel allows you to read this threaded comment; however, any edits to it will get removed if the file is opened in a newer version of Excel. Learn more: https://go.microsoft.com/fwlink/?linkid=870924
Comment:
    26,730
</t>
      </text>
    </comment>
    <comment ref="AL1415" authorId="745" shapeId="0" xr:uid="{1826703F-225D-49AD-9E5D-B157B78B066F}">
      <text>
        <t xml:space="preserve">[Threaded comment]
Your version of Excel allows you to read this threaded comment; however, any edits to it will get removed if the file is opened in a newer version of Excel. Learn more: https://go.microsoft.com/fwlink/?linkid=870924
Comment:
    26,730
</t>
      </text>
    </comment>
    <comment ref="AX1415" authorId="746" shapeId="0" xr:uid="{45F5FB78-F0A9-4A20-816B-574C2ECE8574}">
      <text>
        <t>[Threaded comment]
Your version of Excel allows you to read this threaded comment; however, any edits to it will get removed if the file is opened in a newer version of Excel. Learn more: https://go.microsoft.com/fwlink/?linkid=870924
Comment:
    Slightly different from reported value.
Reply:
    Agreed. Rounding?</t>
      </text>
    </comment>
    <comment ref="Z1416" authorId="747" shapeId="0" xr:uid="{7949A562-7122-4F36-862E-E97862DA1CAF}">
      <text>
        <t xml:space="preserve">[Threaded comment]
Your version of Excel allows you to read this threaded comment; however, any edits to it will get removed if the file is opened in a newer version of Excel. Learn more: https://go.microsoft.com/fwlink/?linkid=870924
Comment:
    26,730
</t>
      </text>
    </comment>
    <comment ref="AL1416" authorId="748" shapeId="0" xr:uid="{BD4099B1-F661-475E-912E-8820895064BD}">
      <text>
        <t xml:space="preserve">[Threaded comment]
Your version of Excel allows you to read this threaded comment; however, any edits to it will get removed if the file is opened in a newer version of Excel. Learn more: https://go.microsoft.com/fwlink/?linkid=870924
Comment:
    26,730
</t>
      </text>
    </comment>
    <comment ref="AX1416" authorId="749" shapeId="0" xr:uid="{2F693F20-E5E8-4BE2-BB22-4ECD4D15759F}">
      <text>
        <t>[Threaded comment]
Your version of Excel allows you to read this threaded comment; however, any edits to it will get removed if the file is opened in a newer version of Excel. Learn more: https://go.microsoft.com/fwlink/?linkid=870924
Comment:
    Slightly different from reported value.
Reply:
    Agreed. Weirdly the paper text says 0.72, but the table says 0.71.</t>
      </text>
    </comment>
    <comment ref="AY1416" authorId="750" shapeId="0" xr:uid="{9A1993A1-B661-4DEB-A2AC-E3B04635E11F}">
      <text>
        <t>[Threaded comment]
Your version of Excel allows you to read this threaded comment; however, any edits to it will get removed if the file is opened in a newer version of Excel. Learn more: https://go.microsoft.com/fwlink/?linkid=870924
Comment:
    Text says 0.61, table says 0.60.</t>
      </text>
    </comment>
    <comment ref="AN1448" authorId="751" shapeId="0" xr:uid="{FC0AF47E-9011-4C50-A187-C97CC109285E}">
      <text>
        <t>[Threaded comment]
Your version of Excel allows you to read this threaded comment; however, any edits to it will get removed if the file is opened in a newer version of Excel. Learn more: https://go.microsoft.com/fwlink/?linkid=870924
Comment:
    2.3 per 1000 accepting the test? Or is that not helpful because it doesn't include those in the screening arm who didn't get tested?
Reply:
    It's another denominator, so not helpful.</t>
      </text>
    </comment>
    <comment ref="D1451" authorId="752" shapeId="0" xr:uid="{4F07FCE1-D0B8-4DC2-B3A4-B4D992714265}">
      <text>
        <t xml:space="preserve">[Threaded comment]
Your version of Excel allows you to read this threaded comment; however, any edits to it will get removed if the file is opened in a newer version of Excel. Learn more: https://go.microsoft.com/fwlink/?linkid=870924
Comment:
    Last time I remember we did end up extracting something similar to this, so I went ahead. Please check or remove if you don't feel it's appropriate
Reply:
    Do we also want to extract adenomas &lt;1cm or is there no point?
Reply:
    Not sure. I have added them as well, just in case. </t>
      </text>
    </comment>
    <comment ref="D1457" authorId="753" shapeId="0" xr:uid="{9205E6F0-51A1-4F31-986B-FF40E6069FAF}">
      <text>
        <t>[Threaded comment]
Your version of Excel allows you to read this threaded comment; however, any edits to it will get removed if the file is opened in a newer version of Excel. Learn more: https://go.microsoft.com/fwlink/?linkid=870924
Comment:
    As row 6 above
Reply:
    Agree with your numbers. Not sure if we need it, but have ow also extracted adenomas &lt;1cm. Please check row below.</t>
      </text>
    </comment>
    <comment ref="AK1461" authorId="754" shapeId="0" xr:uid="{12FF9CE3-8116-4AA7-B624-8DFABD0730CE}">
      <text>
        <t>[Threaded comment]
Your version of Excel allows you to read this threaded comment; however, any edits to it will get removed if the file is opened in a newer version of Excel. Learn more: https://go.microsoft.com/fwlink/?linkid=870924
Comment:
    20 cancers were
negative haemoccult test but should the dominator not be the total number, so 28?
Reply:
    The denominator should be the total number of CRC with poor differentiation.
Think Table V reports that there were 20 in total?
Reply:
    You're right, I was confused by text describing 20 false negatives, but that is the total interval cancers not just high-grade! Agree with 20</t>
      </text>
    </comment>
    <comment ref="Q1487" authorId="755" shapeId="0" xr:uid="{BE60DF43-528F-4972-B0DB-7F664DD5F035}">
      <text>
        <t>[Threaded comment]
Your version of Excel allows you to read this threaded comment; however, any edits to it will get removed if the file is opened in a newer version of Excel. Learn more: https://go.microsoft.com/fwlink/?linkid=870924
Comment:
    Is this date only for mortality or also for cancer incidence?
Reply:
    It's a good point, I don't think it says. I hope if it was different they would have made sure to report it, but they haven't. Can we assume? Or should this be NR?</t>
      </text>
    </comment>
    <comment ref="Y1487" authorId="756" shapeId="0" xr:uid="{9B3CE045-F31A-42D0-8765-8966E82A28E6}">
      <text>
        <t>[Threaded comment]
Your version of Excel allows you to read this threaded comment; however, any edits to it will get removed if the file is opened in a newer version of Excel. Learn more: https://go.microsoft.com/fwlink/?linkid=870924
Comment:
    Different to number reported by Hardcastle 1996 (#165).</t>
      </text>
    </comment>
    <comment ref="Z1487" authorId="757" shapeId="0" xr:uid="{7F99802A-0266-4AB0-B9E8-A07B0580DAB8}">
      <text>
        <t>[Threaded comment]
Your version of Excel allows you to read this threaded comment; however, any edits to it will get removed if the file is opened in a newer version of Excel. Learn more: https://go.microsoft.com/fwlink/?linkid=870924
Comment:
    Different to number reported by Hardcastle 1996 (#165).</t>
      </text>
    </comment>
    <comment ref="AK1487" authorId="758" shapeId="0" xr:uid="{4CDB407E-D479-4F65-BD65-6161EB77FA4B}">
      <text>
        <t>[Threaded comment]
Your version of Excel allows you to read this threaded comment; however, any edits to it will get removed if the file is opened in a newer version of Excel. Learn more: https://go.microsoft.com/fwlink/?linkid=870924
Comment:
    Different to number reported by Hardcastle 1996 (#165).</t>
      </text>
    </comment>
    <comment ref="AL1487" authorId="759" shapeId="0" xr:uid="{54481FC1-16B8-445C-9547-4FF87BAEE65B}">
      <text>
        <t>[Threaded comment]
Your version of Excel allows you to read this threaded comment; however, any edits to it will get removed if the file is opened in a newer version of Excel. Learn more: https://go.microsoft.com/fwlink/?linkid=870924
Comment:
    Different to number reported by Hardcastle 1996 (#165).</t>
      </text>
    </comment>
    <comment ref="Q1488" authorId="760" shapeId="0" xr:uid="{8C1FCAD9-4B98-4166-9C04-8895B87A8CC7}">
      <text>
        <t>[Threaded comment]
Your version of Excel allows you to read this threaded comment; however, any edits to it will get removed if the file is opened in a newer version of Excel. Learn more: https://go.microsoft.com/fwlink/?linkid=870924
Comment:
    Is this date only for mortality or also for cancer incidence?
Reply:
    It's a good point, I don't think it says. I hope if it was different they would have made sure to report it, but they haven't. Can we assume? Or should this be NR?</t>
      </text>
    </comment>
    <comment ref="Y1488" authorId="761" shapeId="0" xr:uid="{93D8B623-4CD5-4C9C-ACB3-89C89C60F07E}">
      <text>
        <t>[Threaded comment]
Your version of Excel allows you to read this threaded comment; however, any edits to it will get removed if the file is opened in a newer version of Excel. Learn more: https://go.microsoft.com/fwlink/?linkid=870924
Comment:
    Different to number reported by Hardcastle 1996 (#165).</t>
      </text>
    </comment>
    <comment ref="Z1488" authorId="762" shapeId="0" xr:uid="{0E8757CE-257D-4B5F-A5C1-5BCCB18496FD}">
      <text>
        <t>[Threaded comment]
Your version of Excel allows you to read this threaded comment; however, any edits to it will get removed if the file is opened in a newer version of Excel. Learn more: https://go.microsoft.com/fwlink/?linkid=870924
Comment:
    Different to number reported by Hardcastle 1996 (#165).</t>
      </text>
    </comment>
    <comment ref="AK1488" authorId="763" shapeId="0" xr:uid="{8128ED83-9E0A-46D9-9D71-6335FE6D206E}">
      <text>
        <t>[Threaded comment]
Your version of Excel allows you to read this threaded comment; however, any edits to it will get removed if the file is opened in a newer version of Excel. Learn more: https://go.microsoft.com/fwlink/?linkid=870924
Comment:
    Different to number reported by Hardcastle 1996 (#165).</t>
      </text>
    </comment>
    <comment ref="AL1488" authorId="764" shapeId="0" xr:uid="{1F749A86-707E-4CD9-AEE2-0B0CE8D8AE4D}">
      <text>
        <t>[Threaded comment]
Your version of Excel allows you to read this threaded comment; however, any edits to it will get removed if the file is opened in a newer version of Excel. Learn more: https://go.microsoft.com/fwlink/?linkid=870924
Comment:
    Different to number reported by Hardcastle 1996 (#165).</t>
      </text>
    </comment>
    <comment ref="Q1489" authorId="765" shapeId="0" xr:uid="{5FA56660-5255-478A-884E-D915E6F82E2A}">
      <text>
        <t>[Threaded comment]
Your version of Excel allows you to read this threaded comment; however, any edits to it will get removed if the file is opened in a newer version of Excel. Learn more: https://go.microsoft.com/fwlink/?linkid=870924
Comment:
    Is this date only for mortality or also for cancer incidence?
Reply:
    It's a good point, I don't think it says. I hope if it was different they would have made sure to report it, but they haven't. Can we assume? Or should this be NR?</t>
      </text>
    </comment>
    <comment ref="Y1489" authorId="766" shapeId="0" xr:uid="{AD667CD8-00D9-4602-B22E-D7ADC97F0078}">
      <text>
        <t>[Threaded comment]
Your version of Excel allows you to read this threaded comment; however, any edits to it will get removed if the file is opened in a newer version of Excel. Learn more: https://go.microsoft.com/fwlink/?linkid=870924
Comment:
    Different to number reported by Hardcastle 1996 (#165).</t>
      </text>
    </comment>
    <comment ref="Z1489" authorId="767" shapeId="0" xr:uid="{CB2D3AC6-F57E-40DE-B95A-16BD730FE821}">
      <text>
        <t>[Threaded comment]
Your version of Excel allows you to read this threaded comment; however, any edits to it will get removed if the file is opened in a newer version of Excel. Learn more: https://go.microsoft.com/fwlink/?linkid=870924
Comment:
    Different to number reported by Hardcastle 1996 (#165).</t>
      </text>
    </comment>
    <comment ref="AK1489" authorId="768" shapeId="0" xr:uid="{45840A33-6141-438D-861C-57150AEA0FEC}">
      <text>
        <t>[Threaded comment]
Your version of Excel allows you to read this threaded comment; however, any edits to it will get removed if the file is opened in a newer version of Excel. Learn more: https://go.microsoft.com/fwlink/?linkid=870924
Comment:
    Different to number reported by Hardcastle 1996 (#165).</t>
      </text>
    </comment>
    <comment ref="AL1489" authorId="769" shapeId="0" xr:uid="{9AF7EFA4-C310-4AE1-A9BC-4A3B558C9429}">
      <text>
        <t>[Threaded comment]
Your version of Excel allows you to read this threaded comment; however, any edits to it will get removed if the file is opened in a newer version of Excel. Learn more: https://go.microsoft.com/fwlink/?linkid=870924
Comment:
    Different to number reported by Hardcastle 1996 (#165).</t>
      </text>
    </comment>
    <comment ref="Q1490" authorId="770" shapeId="0" xr:uid="{C625242C-48BF-40B3-A37E-476D41609DE0}">
      <text>
        <t>[Threaded comment]
Your version of Excel allows you to read this threaded comment; however, any edits to it will get removed if the file is opened in a newer version of Excel. Learn more: https://go.microsoft.com/fwlink/?linkid=870924
Comment:
    Is this date only for mortality or also for cancer incidence?
Reply:
    It's a good point, I don't think it says. I hope if it was different they would have made sure to report it, but they haven't. Can we assume? Or should this be NR?</t>
      </text>
    </comment>
    <comment ref="Y1490" authorId="771" shapeId="0" xr:uid="{C16E8039-46B1-47F8-92F4-A67259FDD687}">
      <text>
        <t>[Threaded comment]
Your version of Excel allows you to read this threaded comment; however, any edits to it will get removed if the file is opened in a newer version of Excel. Learn more: https://go.microsoft.com/fwlink/?linkid=870924
Comment:
    Different to number reported by Hardcastle 1996 (#165).</t>
      </text>
    </comment>
    <comment ref="Z1490" authorId="772" shapeId="0" xr:uid="{1A4AF844-5D7F-4430-AAC8-5E71AE7F3A4D}">
      <text>
        <t>[Threaded comment]
Your version of Excel allows you to read this threaded comment; however, any edits to it will get removed if the file is opened in a newer version of Excel. Learn more: https://go.microsoft.com/fwlink/?linkid=870924
Comment:
    Different to number reported by Hardcastle 1996 (#165).</t>
      </text>
    </comment>
    <comment ref="AK1490" authorId="773" shapeId="0" xr:uid="{292AC43F-78D0-4B6B-8659-DD53CE4CA326}">
      <text>
        <t>[Threaded comment]
Your version of Excel allows you to read this threaded comment; however, any edits to it will get removed if the file is opened in a newer version of Excel. Learn more: https://go.microsoft.com/fwlink/?linkid=870924
Comment:
    Different to number reported by Hardcastle 1996 (#165).</t>
      </text>
    </comment>
    <comment ref="AL1490" authorId="774" shapeId="0" xr:uid="{6C4E6364-6BDB-4E49-AEC5-130552D59614}">
      <text>
        <t>[Threaded comment]
Your version of Excel allows you to read this threaded comment; however, any edits to it will get removed if the file is opened in a newer version of Excel. Learn more: https://go.microsoft.com/fwlink/?linkid=870924
Comment:
    Different to number reported by Hardcastle 1996 (#165).</t>
      </text>
    </comment>
    <comment ref="Q1491" authorId="775" shapeId="0" xr:uid="{667834DC-DE75-4EBE-B217-047B2C8BEFFF}">
      <text>
        <t>[Threaded comment]
Your version of Excel allows you to read this threaded comment; however, any edits to it will get removed if the file is opened in a newer version of Excel. Learn more: https://go.microsoft.com/fwlink/?linkid=870924
Comment:
    Is this date only for mortality or also for cancer incidence?
Reply:
    It's a good point, I don't think it says. I hope if it was different they would have made sure to report it, but they haven't. Can we assume? Or should this be NR?</t>
      </text>
    </comment>
    <comment ref="Y1491" authorId="776" shapeId="0" xr:uid="{468AC98B-79B3-44B0-AFDC-6DC7B372902D}">
      <text>
        <t>[Threaded comment]
Your version of Excel allows you to read this threaded comment; however, any edits to it will get removed if the file is opened in a newer version of Excel. Learn more: https://go.microsoft.com/fwlink/?linkid=870924
Comment:
    Different to number reported by Hardcastle 1996 (#165).</t>
      </text>
    </comment>
    <comment ref="Z1491" authorId="777" shapeId="0" xr:uid="{89B3EBC3-3B38-490B-BE58-8B57DC3E5A6F}">
      <text>
        <t>[Threaded comment]
Your version of Excel allows you to read this threaded comment; however, any edits to it will get removed if the file is opened in a newer version of Excel. Learn more: https://go.microsoft.com/fwlink/?linkid=870924
Comment:
    Different to number reported by Hardcastle 1996 (#165).</t>
      </text>
    </comment>
    <comment ref="AK1491" authorId="778" shapeId="0" xr:uid="{1A976C04-4F5D-48CC-ACD2-76A8250CCC37}">
      <text>
        <t>[Threaded comment]
Your version of Excel allows you to read this threaded comment; however, any edits to it will get removed if the file is opened in a newer version of Excel. Learn more: https://go.microsoft.com/fwlink/?linkid=870924
Comment:
    Different to number reported by Hardcastle 1996 (#165).</t>
      </text>
    </comment>
    <comment ref="AL1491" authorId="779" shapeId="0" xr:uid="{C560263E-8190-46EA-85D4-DC6CAB89646F}">
      <text>
        <t>[Threaded comment]
Your version of Excel allows you to read this threaded comment; however, any edits to it will get removed if the file is opened in a newer version of Excel. Learn more: https://go.microsoft.com/fwlink/?linkid=870924
Comment:
    Different to number reported by Hardcastle 1996 (#165).</t>
      </text>
    </comment>
    <comment ref="Q1492" authorId="780" shapeId="0" xr:uid="{A841E4DC-E54A-4985-AE2D-44BD5C806026}">
      <text>
        <t>[Threaded comment]
Your version of Excel allows you to read this threaded comment; however, any edits to it will get removed if the file is opened in a newer version of Excel. Learn more: https://go.microsoft.com/fwlink/?linkid=870924
Comment:
    Is this date only for mortality or also for cancer incidence?
Reply:
    It's a good point, I don't think it says. I hope if it was different they would have made sure to report it, but they haven't. Can we assume? Or should this be NR?</t>
      </text>
    </comment>
    <comment ref="Y1492" authorId="781" shapeId="0" xr:uid="{05B291B8-A3D5-4460-B000-7DBB4DD846B0}">
      <text>
        <t>[Threaded comment]
Your version of Excel allows you to read this threaded comment; however, any edits to it will get removed if the file is opened in a newer version of Excel. Learn more: https://go.microsoft.com/fwlink/?linkid=870924
Comment:
    Different to number reported by Hardcastle 1996 (#165).</t>
      </text>
    </comment>
    <comment ref="Z1492" authorId="782" shapeId="0" xr:uid="{9047B32B-3BAD-457D-B497-0D708D7EF9AE}">
      <text>
        <t>[Threaded comment]
Your version of Excel allows you to read this threaded comment; however, any edits to it will get removed if the file is opened in a newer version of Excel. Learn more: https://go.microsoft.com/fwlink/?linkid=870924
Comment:
    Different to number reported by Hardcastle 1996 (#165).</t>
      </text>
    </comment>
    <comment ref="Q1493" authorId="783" shapeId="0" xr:uid="{463D3810-6C87-4E88-8197-2301D6D9FF0C}">
      <text>
        <t>[Threaded comment]
Your version of Excel allows you to read this threaded comment; however, any edits to it will get removed if the file is opened in a newer version of Excel. Learn more: https://go.microsoft.com/fwlink/?linkid=870924
Comment:
    Is this date only for mortality or also for cancer incidence?
Reply:
    It's a good point, I don't think it says. I hope if it was different they would have made sure to report it, but they haven't. Can we assume? Or should this be NR?</t>
      </text>
    </comment>
    <comment ref="Q1494" authorId="784" shapeId="0" xr:uid="{20D58201-1E60-45E8-B4E7-BE0C2B942C5C}">
      <text>
        <t>[Threaded comment]
Your version of Excel allows you to read this threaded comment; however, any edits to it will get removed if the file is opened in a newer version of Excel. Learn more: https://go.microsoft.com/fwlink/?linkid=870924
Comment:
    Is this date only for mortality or also for cancer incidence?
Reply:
    It's a good point, I don't think it says. I hope if it was different they would have made sure to report it, but they haven't. Can we assume? Or should this be NR?</t>
      </text>
    </comment>
    <comment ref="A1502" authorId="785" shapeId="0" xr:uid="{A61395F8-E110-4B93-8C46-E55880602818}">
      <text>
        <t>[Threaded comment]
Your version of Excel allows you to read this threaded comment; however, any edits to it will get removed if the file is opened in a newer version of Excel. Learn more: https://go.microsoft.com/fwlink/?linkid=870924
Comment:
    Numbers different to Hardcastle 1996 (#165)</t>
      </text>
    </comment>
    <comment ref="A1503" authorId="786" shapeId="0" xr:uid="{D39BE0F9-1C9C-41FF-967C-0484DAC6BB85}">
      <text>
        <t>[Threaded comment]
Your version of Excel allows you to read this threaded comment; however, any edits to it will get removed if the file is opened in a newer version of Excel. Learn more: https://go.microsoft.com/fwlink/?linkid=870924
Comment:
    Numbers different to Hardcastle 1996 (#165)</t>
      </text>
    </comment>
    <comment ref="AG1503" authorId="787" shapeId="0" xr:uid="{4A62E1F6-217F-4B28-8ACF-491902FBBE1C}">
      <text>
        <t>[Threaded comment]
Your version of Excel allows you to read this threaded comment; however, any edits to it will get removed if the file is opened in a newer version of Excel. Learn more: https://go.microsoft.com/fwlink/?linkid=870924
Comment:
    I think we should specify the sizes here
Reply:
    Agree.</t>
      </text>
    </comment>
    <comment ref="A1504" authorId="788" shapeId="0" xr:uid="{96AFABDC-A67B-4E82-980E-3E419E0DEB1C}">
      <text>
        <t>[Threaded comment]
Your version of Excel allows you to read this threaded comment; however, any edits to it will get removed if the file is opened in a newer version of Excel. Learn more: https://go.microsoft.com/fwlink/?linkid=870924
Comment:
    Numbers different to Hardcastle 1996 (#165)</t>
      </text>
    </comment>
    <comment ref="A1505" authorId="789" shapeId="0" xr:uid="{385357C9-95A5-49DB-9575-F2246FA08B54}">
      <text>
        <t>[Threaded comment]
Your version of Excel allows you to read this threaded comment; however, any edits to it will get removed if the file is opened in a newer version of Excel. Learn more: https://go.microsoft.com/fwlink/?linkid=870924
Comment:
    Numbers different to Hardcastle 1996 (#165)</t>
      </text>
    </comment>
    <comment ref="A1506" authorId="790" shapeId="0" xr:uid="{856AA934-F5D8-4E1B-B59C-10831FE244FA}">
      <text>
        <t>[Threaded comment]
Your version of Excel allows you to read this threaded comment; however, any edits to it will get removed if the file is opened in a newer version of Excel. Learn more: https://go.microsoft.com/fwlink/?linkid=870924
Comment:
    Numbers different to Hardcastle 1996 (#165)</t>
      </text>
    </comment>
    <comment ref="AI1509" authorId="791" shapeId="0" xr:uid="{5E2496EF-DE65-4577-BCCF-78200072F02B}">
      <text>
        <t>[Threaded comment]
Your version of Excel allows you to read this threaded comment; however, any edits to it will get removed if the file is opened in a newer version of Excel. Learn more: https://go.microsoft.com/fwlink/?linkid=870924
Comment:
    If this is for 1983 AND 1985 it should be 37?
Reply:
    Corrected.</t>
      </text>
    </comment>
    <comment ref="AI1510" authorId="792" shapeId="0" xr:uid="{AC92B964-D27C-454A-8EF3-C79163F0121E}">
      <text>
        <t>[Threaded comment]
Your version of Excel allows you to read this threaded comment; however, any edits to it will get removed if the file is opened in a newer version of Excel. Learn more: https://go.microsoft.com/fwlink/?linkid=870924
Comment:
    Likewise if we include 1985 this would be 25
Reply:
    Corrected.</t>
      </text>
    </comment>
    <comment ref="AI1511" authorId="793" shapeId="0" xr:uid="{A90C3FD8-7C5D-49D7-8EF1-EA53D7C89533}">
      <text>
        <t>[Threaded comment]
Your version of Excel allows you to read this threaded comment; however, any edits to it will get removed if the file is opened in a newer version of Excel. Learn more: https://go.microsoft.com/fwlink/?linkid=870924
Comment:
    63
Reply:
    Corrected.</t>
      </text>
    </comment>
    <comment ref="AI1521" authorId="794" shapeId="0" xr:uid="{A21520D1-7033-4CE5-97C5-23580E41E90F}">
      <text>
        <t>[Threaded comment]
Your version of Excel allows you to read this threaded comment; however, any edits to it will get removed if the file is opened in a newer version of Excel. Learn more: https://go.microsoft.com/fwlink/?linkid=870924
Comment:
    NR? Or can we assume they would have mentioned if they'd found any?
Reply:
    Yes that's what I am thinking. The text tells us what they found: 1 Dukes A CRC and 1 Dukes C CRC. 
Table IV also reports that there were 2 CRC cases in total in the screening group.
So, no Dukes B CRC. 😊
Reply:
    Makes sense</t>
      </text>
    </comment>
    <comment ref="AI1522" authorId="795" shapeId="0" xr:uid="{74D51355-D086-406E-99EC-F63FFAC47087}">
      <text>
        <t>[Threaded comment]
Your version of Excel allows you to read this threaded comment; however, any edits to it will get removed if the file is opened in a newer version of Excel. Learn more: https://go.microsoft.com/fwlink/?linkid=870924
Comment:
    NR? Or can we assume they would have mentioned if they'd found any?
Reply:
    Yes that's what I am thinking. The text tells us what they found: 1 Dukes A CRC and 1 Dukes C CRC. 
Table IV also reports that there were 2 CRC cases in total in the screening group.
So, no Dukes B CRC. 😊
Reply:
    Makes sense</t>
      </text>
    </comment>
    <comment ref="AI1523" authorId="796" shapeId="0" xr:uid="{62B46CCB-E8E5-4975-A3FF-1CA2A77F590B}">
      <text>
        <t>[Threaded comment]
Your version of Excel allows you to read this threaded comment; however, any edits to it will get removed if the file is opened in a newer version of Excel. Learn more: https://go.microsoft.com/fwlink/?linkid=870924
Comment:
    In the group of non-attendants 1 case was found but what about those who did attend?
Reply:
    Table IV and text report consistently that there were 2 CRC cases diagnosed in the screening group: 1 among the attenders (Dukes A) and 1 among the non-attenders (Dukes C).
Reply:
    Smart!</t>
      </text>
    </comment>
    <comment ref="A1531" authorId="797" shapeId="0" xr:uid="{E84AA140-9C0E-42DD-B718-D4EFA2915514}">
      <text>
        <t>[Threaded comment]
Your version of Excel allows you to read this threaded comment; however, any edits to it will get removed if the file is opened in a newer version of Excel. Learn more: https://go.microsoft.com/fwlink/?linkid=870924
Comment:
    From Table III, we could get surrogate 1 and CRC mortality by year. But numbers are so small, I have not extracted it yet. Only extracted data with follow-up until 1995 to exclude the exit screen and until 1994 to match the analysis date for all-cause mortality.</t>
      </text>
    </comment>
    <comment ref="A1532" authorId="798" shapeId="0" xr:uid="{EFFE3A0D-4964-4C89-A874-F289134CFA21}">
      <text>
        <t>[Threaded comment]
Your version of Excel allows you to read this threaded comment; however, any edits to it will get removed if the file is opened in a newer version of Excel. Learn more: https://go.microsoft.com/fwlink/?linkid=870924
Comment:
    From Table III, we could get surrogate 1 and CRC mortality by year. But numbers are so small, I have not extracted it yet. Only extracted data with follow-up until 1995 to exclude the exit screen and until 1994 to match the analysis date for all-cause mortality.</t>
      </text>
    </comment>
    <comment ref="A1533" authorId="799" shapeId="0" xr:uid="{FBF46C05-1210-4FFC-BB00-D9AE0F92A983}">
      <text>
        <t>[Threaded comment]
Your version of Excel allows you to read this threaded comment; however, any edits to it will get removed if the file is opened in a newer version of Excel. Learn more: https://go.microsoft.com/fwlink/?linkid=870924
Comment:
    From Table III, we could get surrogate 1 and CRC mortality by year. But numbers are so small, I have not extracted it yet. Only extracted data with follow-up until 1995 to exclude the exit screen and until 1994 to match the analysis date for all-cause mortality.</t>
      </text>
    </comment>
    <comment ref="A1534" authorId="800" shapeId="0" xr:uid="{7362A9BF-0527-41E7-B719-FDB3F786284E}">
      <text>
        <t>[Threaded comment]
Your version of Excel allows you to read this threaded comment; however, any edits to it will get removed if the file is opened in a newer version of Excel. Learn more: https://go.microsoft.com/fwlink/?linkid=870924
Comment:
    From Table III, we could get surrogate 1 and CRC mortality by year. But numbers are so small, I have not extracted it yet. Only extracted data with follow-up until 1995 to exclude the exit screen and until 1994 to match the analysis date for all-cause mortality.</t>
      </text>
    </comment>
    <comment ref="AO1543" authorId="801" shapeId="0" xr:uid="{3734E5CA-00EE-4326-810F-FF3EED724EE3}">
      <text>
        <t>[Threaded comment]
Your version of Excel allows you to read this threaded comment; however, any edits to it will get removed if the file is opened in a newer version of Excel. Learn more: https://go.microsoft.com/fwlink/?linkid=870924
Comment:
    Slightly different to reported rate.</t>
      </text>
    </comment>
    <comment ref="AS1543" authorId="802" shapeId="0" xr:uid="{3475A739-F4A9-476F-B62F-D83FFD71600B}">
      <text>
        <t>[Threaded comment]
Your version of Excel allows you to read this threaded comment; however, any edits to it will get removed if the file is opened in a newer version of Excel. Learn more: https://go.microsoft.com/fwlink/?linkid=870924
Comment:
    Slightly different to reported rate.</t>
      </text>
    </comment>
    <comment ref="D1544" authorId="803" shapeId="0" xr:uid="{D5148D90-6192-45D8-8CE4-B5088D250D01}">
      <text>
        <t>[Threaded comment]
Your version of Excel allows you to read this threaded comment; however, any edits to it will get removed if the file is opened in a newer version of Excel. Learn more: https://go.microsoft.com/fwlink/?linkid=870924
Comment:
    Number of events could be taken from row 24.
Reply:
    I always feel like if we have to take numbers from other papers then this one doesn't really report it</t>
      </text>
    </comment>
    <comment ref="AH1546" authorId="804" shapeId="0" xr:uid="{5EC40EAA-7455-40F6-8D3D-FEDC9E3D71CD}">
      <text>
        <t>[Threaded comment]
Your version of Excel allows you to read this threaded comment; however, any edits to it will get removed if the file is opened in a newer version of Excel. Learn more: https://go.microsoft.com/fwlink/?linkid=870924
Comment:
    In screening arm
Reply:
    Added.</t>
      </text>
    </comment>
    <comment ref="S1561" authorId="805" shapeId="0" xr:uid="{B113D9A2-C1F8-42AB-93AE-5092681BE028}">
      <text>
        <t>[Threaded comment]
Your version of Excel allows you to read this threaded comment; however, any edits to it will get removed if the file is opened in a newer version of Excel. Learn more: https://go.microsoft.com/fwlink/?linkid=870924
Comment:
    687215 PY / 55,843???</t>
      </text>
    </comment>
    <comment ref="AK1561" authorId="806" shapeId="0" xr:uid="{FD0496AC-4651-4538-A096-FA24990FDBCA}">
      <text>
        <t>[Threaded comment]
Your version of Excel allows you to read this threaded comment; however, any edits to it will get removed if the file is opened in a newer version of Excel. Learn more: https://go.microsoft.com/fwlink/?linkid=870924
Comment:
    335 as in table 3??
Reply:
    Agree.</t>
      </text>
    </comment>
    <comment ref="S1562" authorId="807" shapeId="0" xr:uid="{AB7C3CD6-7B5E-4E11-A139-05073BC06F35}">
      <text>
        <t>[Threaded comment]
Your version of Excel allows you to read this threaded comment; however, any edits to it will get removed if the file is opened in a newer version of Excel. Learn more: https://go.microsoft.com/fwlink/?linkid=870924
Comment:
    687215 PY / 55,843???</t>
      </text>
    </comment>
    <comment ref="T1562" authorId="808" shapeId="0" xr:uid="{CC018C81-B624-4698-914E-9621DE715DAB}">
      <text>
        <t>[Threaded comment]
Your version of Excel allows you to read this threaded comment; however, any edits to it will get removed if the file is opened in a newer version of Excel. Learn more: https://go.microsoft.com/fwlink/?linkid=870924
Comment:
    734,925 PY / 59447???</t>
      </text>
    </comment>
    <comment ref="S1563" authorId="809" shapeId="0" xr:uid="{E4CF2748-BED7-466E-933F-72289C67799A}">
      <text>
        <t>[Threaded comment]
Your version of Excel allows you to read this threaded comment; however, any edits to it will get removed if the file is opened in a newer version of Excel. Learn more: https://go.microsoft.com/fwlink/?linkid=870924
Comment:
    687215 PY / 55,843???</t>
      </text>
    </comment>
    <comment ref="T1563" authorId="810" shapeId="0" xr:uid="{01EE36F8-A617-4D79-9F3C-69140DCD3423}">
      <text>
        <t>[Threaded comment]
Your version of Excel allows you to read this threaded comment; however, any edits to it will get removed if the file is opened in a newer version of Excel. Learn more: https://go.microsoft.com/fwlink/?linkid=870924
Comment:
    734,925 PY / 59447???</t>
      </text>
    </comment>
    <comment ref="S1564" authorId="811" shapeId="0" xr:uid="{586259E2-9D11-47E8-BE1E-E19E5ECBB227}">
      <text>
        <t>[Threaded comment]
Your version of Excel allows you to read this threaded comment; however, any edits to it will get removed if the file is opened in a newer version of Excel. Learn more: https://go.microsoft.com/fwlink/?linkid=870924
Comment:
    687215 PY / 55,843???</t>
      </text>
    </comment>
    <comment ref="T1564" authorId="812" shapeId="0" xr:uid="{5E777174-228B-45CC-BB27-9215A752CC13}">
      <text>
        <t>[Threaded comment]
Your version of Excel allows you to read this threaded comment; however, any edits to it will get removed if the file is opened in a newer version of Excel. Learn more: https://go.microsoft.com/fwlink/?linkid=870924
Comment:
    734,925 PY / 59447???</t>
      </text>
    </comment>
    <comment ref="S1565" authorId="813" shapeId="0" xr:uid="{4B6BD890-1C51-4754-A224-B449CB2AB644}">
      <text>
        <t>[Threaded comment]
Your version of Excel allows you to read this threaded comment; however, any edits to it will get removed if the file is opened in a newer version of Excel. Learn more: https://go.microsoft.com/fwlink/?linkid=870924
Comment:
    687215 PY / 55,843???</t>
      </text>
    </comment>
    <comment ref="T1565" authorId="814" shapeId="0" xr:uid="{01364894-CF8D-4E25-8404-0D20400BEFC3}">
      <text>
        <t>[Threaded comment]
Your version of Excel allows you to read this threaded comment; however, any edits to it will get removed if the file is opened in a newer version of Excel. Learn more: https://go.microsoft.com/fwlink/?linkid=870924
Comment:
    734,925 PY / 59447???</t>
      </text>
    </comment>
    <comment ref="S1566" authorId="815" shapeId="0" xr:uid="{0E02E40D-4C7E-4B19-AAD2-9B74C7F0D6B4}">
      <text>
        <t>[Threaded comment]
Your version of Excel allows you to read this threaded comment; however, any edits to it will get removed if the file is opened in a newer version of Excel. Learn more: https://go.microsoft.com/fwlink/?linkid=870924
Comment:
    687215 PY / 55,843???</t>
      </text>
    </comment>
    <comment ref="T1566" authorId="816" shapeId="0" xr:uid="{0763236C-46CC-4947-B9E6-0B47AE81BC0F}">
      <text>
        <t>[Threaded comment]
Your version of Excel allows you to read this threaded comment; however, any edits to it will get removed if the file is opened in a newer version of Excel. Learn more: https://go.microsoft.com/fwlink/?linkid=870924
Comment:
    734,925 PY / 59447???</t>
      </text>
    </comment>
    <comment ref="S1567" authorId="817" shapeId="0" xr:uid="{D1BF3C99-328B-438C-999C-8BF30E7C520B}">
      <text>
        <t>[Threaded comment]
Your version of Excel allows you to read this threaded comment; however, any edits to it will get removed if the file is opened in a newer version of Excel. Learn more: https://go.microsoft.com/fwlink/?linkid=870924
Comment:
    687215 PY / 55,843???</t>
      </text>
    </comment>
    <comment ref="T1567" authorId="818" shapeId="0" xr:uid="{50B504F3-0472-43E5-94A9-C5C2A1736DDD}">
      <text>
        <t>[Threaded comment]
Your version of Excel allows you to read this threaded comment; however, any edits to it will get removed if the file is opened in a newer version of Excel. Learn more: https://go.microsoft.com/fwlink/?linkid=870924
Comment:
    734,925 PY / 59447???</t>
      </text>
    </comment>
    <comment ref="S1568" authorId="819" shapeId="0" xr:uid="{B8872BD9-75C6-4593-A3D4-5A569C7D9E17}">
      <text>
        <t>[Threaded comment]
Your version of Excel allows you to read this threaded comment; however, any edits to it will get removed if the file is opened in a newer version of Excel. Learn more: https://go.microsoft.com/fwlink/?linkid=870924
Comment:
    687215 PY / 55,843???</t>
      </text>
    </comment>
    <comment ref="T1568" authorId="820" shapeId="0" xr:uid="{D9AAC116-A8CE-44C5-9EDF-E7C5D6F4A1EC}">
      <text>
        <t>[Threaded comment]
Your version of Excel allows you to read this threaded comment; however, any edits to it will get removed if the file is opened in a newer version of Excel. Learn more: https://go.microsoft.com/fwlink/?linkid=870924
Comment:
    734,925 PY / 59447???</t>
      </text>
    </comment>
    <comment ref="S1569" authorId="821" shapeId="0" xr:uid="{891F5959-0427-47EF-BC97-DE53AC507932}">
      <text>
        <t>[Threaded comment]
Your version of Excel allows you to read this threaded comment; however, any edits to it will get removed if the file is opened in a newer version of Excel. Learn more: https://go.microsoft.com/fwlink/?linkid=870924
Comment:
    687215 PY / 55,843???</t>
      </text>
    </comment>
    <comment ref="T1569" authorId="822" shapeId="0" xr:uid="{D10744CA-9450-402D-933D-0D61611B237A}">
      <text>
        <t>[Threaded comment]
Your version of Excel allows you to read this threaded comment; however, any edits to it will get removed if the file is opened in a newer version of Excel. Learn more: https://go.microsoft.com/fwlink/?linkid=870924
Comment:
    734,925 PY / 59447???</t>
      </text>
    </comment>
    <comment ref="S1570" authorId="823" shapeId="0" xr:uid="{A85C4358-454A-48E6-B3CF-CF682B271EB1}">
      <text>
        <t>[Threaded comment]
Your version of Excel allows you to read this threaded comment; however, any edits to it will get removed if the file is opened in a newer version of Excel. Learn more: https://go.microsoft.com/fwlink/?linkid=870924
Comment:
    687215 PY / 55,843???</t>
      </text>
    </comment>
    <comment ref="T1570" authorId="824" shapeId="0" xr:uid="{369BF810-A097-43D0-98CD-39D460D89124}">
      <text>
        <t>[Threaded comment]
Your version of Excel allows you to read this threaded comment; however, any edits to it will get removed if the file is opened in a newer version of Excel. Learn more: https://go.microsoft.com/fwlink/?linkid=870924
Comment:
    734,925 PY / 59447???</t>
      </text>
    </comment>
    <comment ref="S1571" authorId="825" shapeId="0" xr:uid="{9563E455-1704-430C-A82F-A991683C8064}">
      <text>
        <t>[Threaded comment]
Your version of Excel allows you to read this threaded comment; however, any edits to it will get removed if the file is opened in a newer version of Excel. Learn more: https://go.microsoft.com/fwlink/?linkid=870924
Comment:
    687215 PY / 55,843???</t>
      </text>
    </comment>
    <comment ref="T1571" authorId="826" shapeId="0" xr:uid="{2DC3C8E8-B16C-417C-B8C0-820FA169DA96}">
      <text>
        <t>[Threaded comment]
Your version of Excel allows you to read this threaded comment; however, any edits to it will get removed if the file is opened in a newer version of Excel. Learn more: https://go.microsoft.com/fwlink/?linkid=870924
Comment:
    734,925 PY / 59447???</t>
      </text>
    </comment>
    <comment ref="S1572" authorId="827" shapeId="0" xr:uid="{8048ECA6-755E-433A-AC11-B5B44488B0A5}">
      <text>
        <t>[Threaded comment]
Your version of Excel allows you to read this threaded comment; however, any edits to it will get removed if the file is opened in a newer version of Excel. Learn more: https://go.microsoft.com/fwlink/?linkid=870924
Comment:
    687215 PY / 55,843???</t>
      </text>
    </comment>
    <comment ref="T1572" authorId="828" shapeId="0" xr:uid="{8BA795BA-E127-49DA-A398-F27A72CC3ADA}">
      <text>
        <t>[Threaded comment]
Your version of Excel allows you to read this threaded comment; however, any edits to it will get removed if the file is opened in a newer version of Excel. Learn more: https://go.microsoft.com/fwlink/?linkid=870924
Comment:
    734,925 PY / 59447???</t>
      </text>
    </comment>
    <comment ref="S1573" authorId="829" shapeId="0" xr:uid="{CAFD2845-77FB-4C67-9D99-3B9BA1E70405}">
      <text>
        <t>[Threaded comment]
Your version of Excel allows you to read this threaded comment; however, any edits to it will get removed if the file is opened in a newer version of Excel. Learn more: https://go.microsoft.com/fwlink/?linkid=870924
Comment:
    687215 PY / 55,843???</t>
      </text>
    </comment>
    <comment ref="T1573" authorId="830" shapeId="0" xr:uid="{8CDBB0C4-3037-4CF8-B6AD-436D62044C83}">
      <text>
        <t>[Threaded comment]
Your version of Excel allows you to read this threaded comment; however, any edits to it will get removed if the file is opened in a newer version of Excel. Learn more: https://go.microsoft.com/fwlink/?linkid=870924
Comment:
    734,925 PY / 59447???</t>
      </text>
    </comment>
    <comment ref="AO1573" authorId="831" shapeId="0" xr:uid="{B142A4A2-A399-4CDC-9391-78C8C1255CD4}">
      <text>
        <t>[Threaded comment]
Your version of Excel allows you to read this threaded comment; however, any edits to it will get removed if the file is opened in a newer version of Excel. Learn more: https://go.microsoft.com/fwlink/?linkid=870924
Comment:
    Slightly different to reported rate in Table 4.</t>
      </text>
    </comment>
    <comment ref="S1574" authorId="832" shapeId="0" xr:uid="{00997BE1-859D-472B-88FF-6A82AD8C5610}">
      <text>
        <t>[Threaded comment]
Your version of Excel allows you to read this threaded comment; however, any edits to it will get removed if the file is opened in a newer version of Excel. Learn more: https://go.microsoft.com/fwlink/?linkid=870924
Comment:
    687215 PY / 55,843???</t>
      </text>
    </comment>
    <comment ref="T1574" authorId="833" shapeId="0" xr:uid="{32DD65A3-636A-433B-B7F0-A446DF91D7AD}">
      <text>
        <t>[Threaded comment]
Your version of Excel allows you to read this threaded comment; however, any edits to it will get removed if the file is opened in a newer version of Excel. Learn more: https://go.microsoft.com/fwlink/?linkid=870924
Comment:
    734,925 PY / 59447???</t>
      </text>
    </comment>
    <comment ref="S1575" authorId="834" shapeId="0" xr:uid="{B3FC62E2-81D7-4DF9-AF48-051FB7A3F982}">
      <text>
        <t>[Threaded comment]
Your version of Excel allows you to read this threaded comment; however, any edits to it will get removed if the file is opened in a newer version of Excel. Learn more: https://go.microsoft.com/fwlink/?linkid=870924
Comment:
    687215 PY / 55,843???</t>
      </text>
    </comment>
    <comment ref="T1575" authorId="835" shapeId="0" xr:uid="{06587943-69F6-4A2D-AE2E-18B736AE7407}">
      <text>
        <t>[Threaded comment]
Your version of Excel allows you to read this threaded comment; however, any edits to it will get removed if the file is opened in a newer version of Excel. Learn more: https://go.microsoft.com/fwlink/?linkid=870924
Comment:
    734,925 PY / 59447???</t>
      </text>
    </comment>
    <comment ref="S1576" authorId="836" shapeId="0" xr:uid="{291E8339-5D10-4312-A155-74D4B6C61AB8}">
      <text>
        <t>[Threaded comment]
Your version of Excel allows you to read this threaded comment; however, any edits to it will get removed if the file is opened in a newer version of Excel. Learn more: https://go.microsoft.com/fwlink/?linkid=870924
Comment:
    687215 PY / 55,843???</t>
      </text>
    </comment>
    <comment ref="T1576" authorId="837" shapeId="0" xr:uid="{7E6DCA2C-2017-4A80-90F1-D5CCCC8E1140}">
      <text>
        <t>[Threaded comment]
Your version of Excel allows you to read this threaded comment; however, any edits to it will get removed if the file is opened in a newer version of Excel. Learn more: https://go.microsoft.com/fwlink/?linkid=870924
Comment:
    734,925 PY / 59447???</t>
      </text>
    </comment>
    <comment ref="S1577" authorId="838" shapeId="0" xr:uid="{B3A775C1-C57A-47BD-8FF3-F6125DC421DC}">
      <text>
        <t>[Threaded comment]
Your version of Excel allows you to read this threaded comment; however, any edits to it will get removed if the file is opened in a newer version of Excel. Learn more: https://go.microsoft.com/fwlink/?linkid=870924
Comment:
    687215 PY / 55,843???</t>
      </text>
    </comment>
    <comment ref="T1577" authorId="839" shapeId="0" xr:uid="{36B938BD-5B84-4F02-B5E9-AFB0DDD3F086}">
      <text>
        <t>[Threaded comment]
Your version of Excel allows you to read this threaded comment; however, any edits to it will get removed if the file is opened in a newer version of Excel. Learn more: https://go.microsoft.com/fwlink/?linkid=870924
Comment:
    734,925 PY / 59447???</t>
      </text>
    </comment>
    <comment ref="S1578" authorId="840" shapeId="0" xr:uid="{AA9A8ED0-27B9-410A-BB02-881579DEB1CF}">
      <text>
        <t>[Threaded comment]
Your version of Excel allows you to read this threaded comment; however, any edits to it will get removed if the file is opened in a newer version of Excel. Learn more: https://go.microsoft.com/fwlink/?linkid=870924
Comment:
    687215 PY / 55,843???</t>
      </text>
    </comment>
    <comment ref="T1578" authorId="841" shapeId="0" xr:uid="{F68A97E7-FD2A-4F23-B826-932507DD1AFC}">
      <text>
        <t>[Threaded comment]
Your version of Excel allows you to read this threaded comment; however, any edits to it will get removed if the file is opened in a newer version of Excel. Learn more: https://go.microsoft.com/fwlink/?linkid=870924
Comment:
    734,925 PY / 59447???</t>
      </text>
    </comment>
    <comment ref="S1579" authorId="842" shapeId="0" xr:uid="{D86E10B7-5933-416D-91FF-60F0CACB226D}">
      <text>
        <t>[Threaded comment]
Your version of Excel allows you to read this threaded comment; however, any edits to it will get removed if the file is opened in a newer version of Excel. Learn more: https://go.microsoft.com/fwlink/?linkid=870924
Comment:
    687215 PY / 55,843???</t>
      </text>
    </comment>
    <comment ref="T1579" authorId="843" shapeId="0" xr:uid="{C21387C7-74EF-46E0-91D4-8638A9E678A0}">
      <text>
        <t>[Threaded comment]
Your version of Excel allows you to read this threaded comment; however, any edits to it will get removed if the file is opened in a newer version of Excel. Learn more: https://go.microsoft.com/fwlink/?linkid=870924
Comment:
    734,925 PY / 59447???</t>
      </text>
    </comment>
    <comment ref="S1580" authorId="844" shapeId="0" xr:uid="{37A846F1-834B-45BD-91C8-ABD3A001FC23}">
      <text>
        <t>[Threaded comment]
Your version of Excel allows you to read this threaded comment; however, any edits to it will get removed if the file is opened in a newer version of Excel. Learn more: https://go.microsoft.com/fwlink/?linkid=870924
Comment:
    687215 PY / 55,843???</t>
      </text>
    </comment>
    <comment ref="T1580" authorId="845" shapeId="0" xr:uid="{D316CA9F-2449-4B0C-BB57-388E4FAAF5AF}">
      <text>
        <t>[Threaded comment]
Your version of Excel allows you to read this threaded comment; however, any edits to it will get removed if the file is opened in a newer version of Excel. Learn more: https://go.microsoft.com/fwlink/?linkid=870924
Comment:
    734,925 PY / 59447???</t>
      </text>
    </comment>
    <comment ref="D1581" authorId="846" shapeId="0" xr:uid="{9C721D77-0200-43B5-844D-E8A50F2E73C4}">
      <text>
        <t>[Threaded comment]
Your version of Excel allows you to read this threaded comment; however, any edits to it will get removed if the file is opened in a newer version of Excel. Learn more: https://go.microsoft.com/fwlink/?linkid=870924
Comment:
    &gt;= 2 cm
Reply:
    Not sure as they have a category &lt;=2 cm, then 2-5 cm and &gt;5cm.
So, 2 cm seems to be included in category &lt;=2, and the next category should then start with cancers &gt;2 cm.</t>
      </text>
    </comment>
    <comment ref="S1581" authorId="847" shapeId="0" xr:uid="{4E24795E-6103-4017-A534-22976EDA433A}">
      <text>
        <t>[Threaded comment]
Your version of Excel allows you to read this threaded comment; however, any edits to it will get removed if the file is opened in a newer version of Excel. Learn more: https://go.microsoft.com/fwlink/?linkid=870924
Comment:
    687215 PY / 55,843???</t>
      </text>
    </comment>
    <comment ref="T1581" authorId="848" shapeId="0" xr:uid="{00E8777C-6D40-4D74-BE13-E6E30055632D}">
      <text>
        <t>[Threaded comment]
Your version of Excel allows you to read this threaded comment; however, any edits to it will get removed if the file is opened in a newer version of Excel. Learn more: https://go.microsoft.com/fwlink/?linkid=870924
Comment:
    734,925 PY / 59447???</t>
      </text>
    </comment>
    <comment ref="S1582" authorId="849" shapeId="0" xr:uid="{1044B1D4-C2B7-4BFB-93F3-8AC8B8E61763}">
      <text>
        <t>[Threaded comment]
Your version of Excel allows you to read this threaded comment; however, any edits to it will get removed if the file is opened in a newer version of Excel. Learn more: https://go.microsoft.com/fwlink/?linkid=870924
Comment:
    687215 PY / 55,843???</t>
      </text>
    </comment>
    <comment ref="T1582" authorId="850" shapeId="0" xr:uid="{D6E3EBEC-CEA0-4F2E-947B-98675967AC10}">
      <text>
        <t>[Threaded comment]
Your version of Excel allows you to read this threaded comment; however, any edits to it will get removed if the file is opened in a newer version of Excel. Learn more: https://go.microsoft.com/fwlink/?linkid=870924
Comment:
    734,925 PY / 59447???</t>
      </text>
    </comment>
    <comment ref="S1583" authorId="851" shapeId="0" xr:uid="{1C7BE7FB-E381-4D3D-B6E5-93EFAA71A860}">
      <text>
        <t>[Threaded comment]
Your version of Excel allows you to read this threaded comment; however, any edits to it will get removed if the file is opened in a newer version of Excel. Learn more: https://go.microsoft.com/fwlink/?linkid=870924
Comment:
    687215 PY / 55,843???</t>
      </text>
    </comment>
    <comment ref="T1583" authorId="852" shapeId="0" xr:uid="{92E74B58-5422-49AB-ABF5-8DB7FE3AE4AC}">
      <text>
        <t>[Threaded comment]
Your version of Excel allows you to read this threaded comment; however, any edits to it will get removed if the file is opened in a newer version of Excel. Learn more: https://go.microsoft.com/fwlink/?linkid=870924
Comment:
    734,925 PY / 59447???</t>
      </text>
    </comment>
    <comment ref="S1584" authorId="853" shapeId="0" xr:uid="{210CA1DB-1348-4F47-88CA-E24E94761A9E}">
      <text>
        <t>[Threaded comment]
Your version of Excel allows you to read this threaded comment; however, any edits to it will get removed if the file is opened in a newer version of Excel. Learn more: https://go.microsoft.com/fwlink/?linkid=870924
Comment:
    687215 PY / 55,843???</t>
      </text>
    </comment>
    <comment ref="T1584" authorId="854" shapeId="0" xr:uid="{DD6A3911-81DA-496D-B639-E191F6C26409}">
      <text>
        <t>[Threaded comment]
Your version of Excel allows you to read this threaded comment; however, any edits to it will get removed if the file is opened in a newer version of Excel. Learn more: https://go.microsoft.com/fwlink/?linkid=870924
Comment:
    734,925 PY / 59447???</t>
      </text>
    </comment>
    <comment ref="S1585" authorId="855" shapeId="0" xr:uid="{F0107BB1-C65D-4E82-997B-5AD172731407}">
      <text>
        <t>[Threaded comment]
Your version of Excel allows you to read this threaded comment; however, any edits to it will get removed if the file is opened in a newer version of Excel. Learn more: https://go.microsoft.com/fwlink/?linkid=870924
Comment:
    687215 PY / 55,843???</t>
      </text>
    </comment>
    <comment ref="T1585" authorId="856" shapeId="0" xr:uid="{D664D62E-ECE2-4D7B-B303-485953444E8B}">
      <text>
        <t>[Threaded comment]
Your version of Excel allows you to read this threaded comment; however, any edits to it will get removed if the file is opened in a newer version of Excel. Learn more: https://go.microsoft.com/fwlink/?linkid=870924
Comment:
    734,925 PY / 59447???</t>
      </text>
    </comment>
    <comment ref="S1586" authorId="857" shapeId="0" xr:uid="{5AC0B2EF-C880-4927-AC1A-8D1D612186C9}">
      <text>
        <t>[Threaded comment]
Your version of Excel allows you to read this threaded comment; however, any edits to it will get removed if the file is opened in a newer version of Excel. Learn more: https://go.microsoft.com/fwlink/?linkid=870924
Comment:
    687215 PY / 55,843???</t>
      </text>
    </comment>
    <comment ref="T1586" authorId="858" shapeId="0" xr:uid="{E9A6D8BE-EBB3-47A4-8DC3-03467EC6FED4}">
      <text>
        <t>[Threaded comment]
Your version of Excel allows you to read this threaded comment; however, any edits to it will get removed if the file is opened in a newer version of Excel. Learn more: https://go.microsoft.com/fwlink/?linkid=870924
Comment:
    734,925 PY / 59447???</t>
      </text>
    </comment>
    <comment ref="AI1588" authorId="859" shapeId="0" xr:uid="{EC0458C2-EA1C-4FCB-9B1C-8748E20BD94D}">
      <text>
        <t>[Threaded comment]
Your version of Excel allows you to read this threaded comment; however, any edits to it will get removed if the file is opened in a newer version of Excel. Learn more: https://go.microsoft.com/fwlink/?linkid=870924
Comment:
    Includes TIS is that ok?
Reply:
    I have added it to the outcome description, numerator and denominator.</t>
      </text>
    </comment>
    <comment ref="Y1589" authorId="860" shapeId="0" xr:uid="{6AECC046-E6AD-4785-A47A-A5BF01C0D627}">
      <text>
        <t>[Threaded comment]
Your version of Excel allows you to read this threaded comment; however, any edits to it will get removed if the file is opened in a newer version of Excel. Learn more: https://go.microsoft.com/fwlink/?linkid=870924
Comment:
    Still don't like the totals for the two arms, I would be very cautious using these numbers in an analysis
Reply:
    Agree, but we don't have other numbers reported.</t>
      </text>
    </comment>
    <comment ref="D1601" authorId="861" shapeId="0" xr:uid="{2C361647-42A8-4C8D-87B2-03FEB47D2351}">
      <text>
        <t>[Threaded comment]
Your version of Excel allows you to read this threaded comment; however, any edits to it will get removed if the file is opened in a newer version of Excel. Learn more: https://go.microsoft.com/fwlink/?linkid=870924
Comment:
    &gt;20, i.e. 21mm+
Reply:
    Agree.</t>
      </text>
    </comment>
    <comment ref="D1631" authorId="862" shapeId="0" xr:uid="{E98E1E72-158F-4DA1-B842-1994A4E6CF7F}">
      <text>
        <t>[Threaded comment]
Your version of Excel allows you to read this threaded comment; however, any edits to it will get removed if the file is opened in a newer version of Excel. Learn more: https://go.microsoft.com/fwlink/?linkid=870924
Comment:
    Table IV reports "Stage II" as column heading only, but think it should be "Stage II+" as Table V reports 228+181=409 stage II+ cancers for ASP and 151+225=376 for PSP.
Reply:
    Plus, stage 1, stage 2 and invasive&lt;20mm add up to total invasive in table IV, so there can't be another invasive category</t>
      </text>
    </comment>
    <comment ref="AR1633" authorId="863" shapeId="0" xr:uid="{1CC90B1E-B2B4-4F45-B02C-5DB5FFEEA5ED}">
      <text>
        <t>[Threaded comment]
Your version of Excel allows you to read this threaded comment; however, any edits to it will get removed if the file is opened in a newer version of Excel. Learn more: https://go.microsoft.com/fwlink/?linkid=870924
Comment:
    Different to calculated rate.
Reply:
    Can't get this either</t>
      </text>
    </comment>
    <comment ref="AR1634" authorId="864" shapeId="0" xr:uid="{A19E9C11-712E-4728-88EF-E0AE34F02A93}">
      <text>
        <t>[Threaded comment]
Your version of Excel allows you to read this threaded comment; however, any edits to it will get removed if the file is opened in a newer version of Excel. Learn more: https://go.microsoft.com/fwlink/?linkid=870924
Comment:
    Different to calculated rate.
Reply:
    Can't get this either</t>
      </text>
    </comment>
    <comment ref="C1636" authorId="865" shapeId="0" xr:uid="{C8207331-0EFE-467E-92F5-9CD77001C52E}">
      <text>
        <t>[Threaded comment]
Your version of Excel allows you to read this threaded comment; however, any edits to it will get removed if the file is opened in a newer version of Excel. Learn more: https://go.microsoft.com/fwlink/?linkid=870924
Comment:
    Numbers for Ostergotland already extracted from Fagerberg 1985 (#5202).</t>
      </text>
    </comment>
    <comment ref="AJ1648" authorId="866" shapeId="0" xr:uid="{2F52F045-0756-4135-BA08-E332F04BD2B0}">
      <text>
        <t>[Threaded comment]
Your version of Excel allows you to read this threaded comment; however, any edits to it will get removed if the file is opened in a newer version of Excel. Learn more: https://go.microsoft.com/fwlink/?linkid=870924
Comment:
    62 as per table IV
Reply:
    Corrected.</t>
      </text>
    </comment>
    <comment ref="A1734" authorId="867" shapeId="0" xr:uid="{1E7CB0EE-13FA-42CA-BB36-A2FC03DABB28}">
      <text>
        <t>[Threaded comment]
Your version of Excel allows you to read this threaded comment; however, any edits to it will get removed if the file is opened in a newer version of Excel. Learn more: https://go.microsoft.com/fwlink/?linkid=870924
Comment:
    Table 2 also reports cumulative incidence rate (per 100,000 PY) but number of PY not reported.</t>
      </text>
    </comment>
    <comment ref="A1735" authorId="868" shapeId="0" xr:uid="{7FF943F2-0B33-43DB-AEA9-751E47E56CB4}">
      <text>
        <t>[Threaded comment]
Your version of Excel allows you to read this threaded comment; however, any edits to it will get removed if the file is opened in a newer version of Excel. Learn more: https://go.microsoft.com/fwlink/?linkid=870924
Comment:
    Table 2 also reports cumulative incidence rate (per 100,000 PY) but number of PY not reported.</t>
      </text>
    </comment>
    <comment ref="A1736" authorId="869" shapeId="0" xr:uid="{A3DA766F-7EA7-4425-B22E-B729E49DEC1B}">
      <text>
        <t>[Threaded comment]
Your version of Excel allows you to read this threaded comment; however, any edits to it will get removed if the file is opened in a newer version of Excel. Learn more: https://go.microsoft.com/fwlink/?linkid=870924
Comment:
    Table 2 also reports cumulative incidence rate (per 100,000 PY) but number of PY not reported.</t>
      </text>
    </comment>
    <comment ref="A1737" authorId="870" shapeId="0" xr:uid="{56D42485-CEE7-4872-8B4C-3982259563F5}">
      <text>
        <t>[Threaded comment]
Your version of Excel allows you to read this threaded comment; however, any edits to it will get removed if the file is opened in a newer version of Excel. Learn more: https://go.microsoft.com/fwlink/?linkid=870924
Comment:
    Table 2 also reports cumulative incidence rate (per 100,000 PY) but number of PY not reported.</t>
      </text>
    </comment>
    <comment ref="A1738" authorId="871" shapeId="0" xr:uid="{43C7299D-12A6-4B14-B70B-C29EA0C0AA69}">
      <text>
        <t>[Threaded comment]
Your version of Excel allows you to read this threaded comment; however, any edits to it will get removed if the file is opened in a newer version of Excel. Learn more: https://go.microsoft.com/fwlink/?linkid=870924
Comment:
    Table 2 also reports cumulative incidence rate (per 100,000 PY) but number of PY not reported.</t>
      </text>
    </comment>
    <comment ref="A1739" authorId="872" shapeId="0" xr:uid="{9C502002-851E-4A95-92F5-13B4C0E85AFB}">
      <text>
        <t>[Threaded comment]
Your version of Excel allows you to read this threaded comment; however, any edits to it will get removed if the file is opened in a newer version of Excel. Learn more: https://go.microsoft.com/fwlink/?linkid=870924
Comment:
    Table 2 also reports cumulative incidence rate (per 100,000 PY) but number of PY not reported.</t>
      </text>
    </comment>
    <comment ref="A1740" authorId="873" shapeId="0" xr:uid="{EB005BEC-19FD-4EF6-BAD7-E320C9AF0624}">
      <text>
        <t>[Threaded comment]
Your version of Excel allows you to read this threaded comment; however, any edits to it will get removed if the file is opened in a newer version of Excel. Learn more: https://go.microsoft.com/fwlink/?linkid=870924
Comment:
    Table 2 also reports cumulative incidence rate (per 100,000 PY) but number of PY not reported.</t>
      </text>
    </comment>
    <comment ref="A1741" authorId="874" shapeId="0" xr:uid="{9A1C461C-D8ED-474D-B530-12E9BD9D1D46}">
      <text>
        <t>[Threaded comment]
Your version of Excel allows you to read this threaded comment; however, any edits to it will get removed if the file is opened in a newer version of Excel. Learn more: https://go.microsoft.com/fwlink/?linkid=870924
Comment:
    Table 2 also reports cumulative incidence rate (per 100,000 PY) but number of PY not reported.</t>
      </text>
    </comment>
    <comment ref="A1742" authorId="875" shapeId="0" xr:uid="{DE42328B-1B92-4D43-8B6F-950D6B97BCE5}">
      <text>
        <t>[Threaded comment]
Your version of Excel allows you to read this threaded comment; however, any edits to it will get removed if the file is opened in a newer version of Excel. Learn more: https://go.microsoft.com/fwlink/?linkid=870924
Comment:
    Table 2 also reports cumulative incidence rate (per 100,000 PY) but number of PY not reported.</t>
      </text>
    </comment>
    <comment ref="A1743" authorId="876" shapeId="0" xr:uid="{723F64BB-805C-4F51-A3D4-D831100F9769}">
      <text>
        <t>[Threaded comment]
Your version of Excel allows you to read this threaded comment; however, any edits to it will get removed if the file is opened in a newer version of Excel. Learn more: https://go.microsoft.com/fwlink/?linkid=870924
Comment:
    Table 2 also reports cumulative incidence rate (per 100,000 PY) but number of PY not reported.</t>
      </text>
    </comment>
    <comment ref="A1744" authorId="877" shapeId="0" xr:uid="{A2475BEE-BE47-45B4-9293-2E0351FAD65C}">
      <text>
        <t>[Threaded comment]
Your version of Excel allows you to read this threaded comment; however, any edits to it will get removed if the file is opened in a newer version of Excel. Learn more: https://go.microsoft.com/fwlink/?linkid=870924
Comment:
    Table 2 also reports cumulative incidence rate (per 100,000 PY) but number of PY not reported.</t>
      </text>
    </comment>
    <comment ref="A1745" authorId="878" shapeId="0" xr:uid="{95DC61E7-EFB6-4C03-B57F-FE71151F7B24}">
      <text>
        <t>[Threaded comment]
Your version of Excel allows you to read this threaded comment; however, any edits to it will get removed if the file is opened in a newer version of Excel. Learn more: https://go.microsoft.com/fwlink/?linkid=870924
Comment:
    Table 2 also reports cumulative incidence rate (per 100,000 PY) but number of PY not reported.</t>
      </text>
    </comment>
    <comment ref="A1746" authorId="879" shapeId="0" xr:uid="{068D47B0-B052-482B-B351-9A35DF89F922}">
      <text>
        <t>[Threaded comment]
Your version of Excel allows you to read this threaded comment; however, any edits to it will get removed if the file is opened in a newer version of Excel. Learn more: https://go.microsoft.com/fwlink/?linkid=870924
Comment:
    Table 2 also reports cumulative incidence rate (per 100,000 PY) but number of PY not reported.</t>
      </text>
    </comment>
    <comment ref="A1747" authorId="880" shapeId="0" xr:uid="{E73AC714-DC5F-4964-82A8-A75C57C90870}">
      <text>
        <t>[Threaded comment]
Your version of Excel allows you to read this threaded comment; however, any edits to it will get removed if the file is opened in a newer version of Excel. Learn more: https://go.microsoft.com/fwlink/?linkid=870924
Comment:
    Table 2 also reports cumulative incidence rate (per 100,000 PY) but number of PY not reported.</t>
      </text>
    </comment>
    <comment ref="A1748" authorId="881" shapeId="0" xr:uid="{645F61AA-E8BC-421B-A647-D108A01EB56B}">
      <text>
        <t>[Threaded comment]
Your version of Excel allows you to read this threaded comment; however, any edits to it will get removed if the file is opened in a newer version of Excel. Learn more: https://go.microsoft.com/fwlink/?linkid=870924
Comment:
    Table 2 also reports cumulative incidence rate (per 100,000 PY) but number of PY not reported.</t>
      </text>
    </comment>
    <comment ref="A1749" authorId="882" shapeId="0" xr:uid="{F8D51F8B-1AE0-4768-9DCB-02AB2CC32140}">
      <text>
        <t>[Threaded comment]
Your version of Excel allows you to read this threaded comment; however, any edits to it will get removed if the file is opened in a newer version of Excel. Learn more: https://go.microsoft.com/fwlink/?linkid=870924
Comment:
    Table 2 also reports cumulative incidence rate (per 100,000 PY) but number of PY not reported.</t>
      </text>
    </comment>
    <comment ref="A1750" authorId="883" shapeId="0" xr:uid="{24D4CE05-9BE8-4116-B4CD-FEB4B53941D4}">
      <text>
        <t>[Threaded comment]
Your version of Excel allows you to read this threaded comment; however, any edits to it will get removed if the file is opened in a newer version of Excel. Learn more: https://go.microsoft.com/fwlink/?linkid=870924
Comment:
    Table 2 also reports cumulative incidence rate (per 100,000 PY) but number of PY not reported.</t>
      </text>
    </comment>
    <comment ref="A1751" authorId="884" shapeId="0" xr:uid="{E5AAE3AA-1A33-4DE8-A6A3-19E058FDF0F9}">
      <text>
        <t>[Threaded comment]
Your version of Excel allows you to read this threaded comment; however, any edits to it will get removed if the file is opened in a newer version of Excel. Learn more: https://go.microsoft.com/fwlink/?linkid=870924
Comment:
    Table 2 also reports cumulative incidence rate (per 100,000 PY) but number of PY not reported.</t>
      </text>
    </comment>
    <comment ref="A1752" authorId="885" shapeId="0" xr:uid="{2C09C35B-91F0-40CA-80BE-C6A73EE6D2F7}">
      <text>
        <t>[Threaded comment]
Your version of Excel allows you to read this threaded comment; however, any edits to it will get removed if the file is opened in a newer version of Excel. Learn more: https://go.microsoft.com/fwlink/?linkid=870924
Comment:
    Table 2 also reports cumulative incidence rate (per 100,000 PY) but number of PY not reported.</t>
      </text>
    </comment>
    <comment ref="A1753" authorId="886" shapeId="0" xr:uid="{534F5F8B-AC1B-48F4-9962-772C2E4AB690}">
      <text>
        <t>[Threaded comment]
Your version of Excel allows you to read this threaded comment; however, any edits to it will get removed if the file is opened in a newer version of Excel. Learn more: https://go.microsoft.com/fwlink/?linkid=870924
Comment:
    Table 2 also reports cumulative incidence rate (per 100,000 PY) but number of PY not reported.</t>
      </text>
    </comment>
    <comment ref="Y1779" authorId="887" shapeId="0" xr:uid="{03BBB331-88CB-47B4-BFA7-9EE640FDE85B}">
      <text>
        <t>[Threaded comment]
Your version of Excel allows you to read this threaded comment; however, any edits to it will get removed if the file is opened in a newer version of Excel. Learn more: https://go.microsoft.com/fwlink/?linkid=870924
Comment:
    Table 6 reports 57,296. Seems to be a type as numbers would not add up to 133,065 women aged 40-74 years.</t>
      </text>
    </comment>
    <comment ref="A1780" authorId="888" shapeId="0" xr:uid="{AAFEF6FD-C696-4979-89BE-33B9B2900063}">
      <text>
        <t>[Threaded comment]
Your version of Excel allows you to read this threaded comment; however, any edits to it will get removed if the file is opened in a newer version of Excel. Learn more: https://go.microsoft.com/fwlink/?linkid=870924
Comment:
    Delete es we don't have the exact number of events?</t>
      </text>
    </comment>
    <comment ref="AJ1780" authorId="889" shapeId="0" xr:uid="{FEA60E13-0D66-40ED-8712-70BF7664B719}">
      <text>
        <t>[Threaded comment]
Your version of Excel allows you to read this threaded comment; however, any edits to it will get removed if the file is opened in a newer version of Excel. Learn more: https://go.microsoft.com/fwlink/?linkid=870924
Comment:
    Figure 12: should add up to 857.</t>
      </text>
    </comment>
    <comment ref="A1781" authorId="890" shapeId="0" xr:uid="{7BF311BA-1E28-4DCC-8658-BDB57BED2B0C}">
      <text>
        <t>[Threaded comment]
Your version of Excel allows you to read this threaded comment; however, any edits to it will get removed if the file is opened in a newer version of Excel. Learn more: https://go.microsoft.com/fwlink/?linkid=870924
Comment:
    Delete es we don't have the exact number of events?</t>
      </text>
    </comment>
    <comment ref="AI1781" authorId="891" shapeId="0" xr:uid="{765DC14F-3060-4799-A194-D347A22409AD}">
      <text>
        <t>[Threaded comment]
Your version of Excel allows you to read this threaded comment; however, any edits to it will get removed if the file is opened in a newer version of Excel. Learn more: https://go.microsoft.com/fwlink/?linkid=870924
Comment:
    Figure 12: should add up to 808.</t>
      </text>
    </comment>
    <comment ref="A1782" authorId="892" shapeId="0" xr:uid="{84D0DF89-FC0A-4A40-BBE6-029AE24F6936}">
      <text>
        <t>[Threaded comment]
Your version of Excel allows you to read this threaded comment; however, any edits to it will get removed if the file is opened in a newer version of Excel. Learn more: https://go.microsoft.com/fwlink/?linkid=870924
Comment:
    Delete es we don't have the exact number of events?</t>
      </text>
    </comment>
    <comment ref="AJ1782" authorId="893" shapeId="0" xr:uid="{13A0EB6F-A5C3-4E12-8623-2728DEDE62A5}">
      <text>
        <t>[Threaded comment]
Your version of Excel allows you to read this threaded comment; however, any edits to it will get removed if the file is opened in a newer version of Excel. Learn more: https://go.microsoft.com/fwlink/?linkid=870924
Comment:
    Figure 12: should add up to 798.</t>
      </text>
    </comment>
    <comment ref="AJ1784" authorId="894" shapeId="0" xr:uid="{5F5CC65E-4C1C-4E61-BED7-CCB5012AAC37}">
      <text>
        <t>[Threaded comment]
Your version of Excel allows you to read this threaded comment; however, any edits to it will get removed if the file is opened in a newer version of Excel. Learn more: https://go.microsoft.com/fwlink/?linkid=870924
Comment:
    Number for "Medullary" PSP says 1025??? Used 10 now.</t>
      </text>
    </comment>
    <comment ref="AI1796" authorId="895" shapeId="0" xr:uid="{611AB1F4-9EB6-4715-9982-E5AEC2013B5D}">
      <text>
        <t>[Threaded comment]
Your version of Excel allows you to read this threaded comment; however, any edits to it will get removed if the file is opened in a newer version of Excel. Learn more: https://go.microsoft.com/fwlink/?linkid=870924
Comment:
    44.9% of 864 = 388?? Or of 857=385??
Using Table 5 totals works for in situ cancer in text and table.
Reply:
    I understood that Table 6 excludes the 7 cancer with clinical diagnosis only, so is based on 864-7=857 histologically confirmed cancer cases (bottom, left column). 
The reported % (right column) are then based on the 857-19=838 cancer cases with known T stage.
44.9% of 838=376.</t>
      </text>
    </comment>
    <comment ref="AJ1796" authorId="896" shapeId="0" xr:uid="{6E6C330F-725B-45C1-89BC-D068BD389B58}">
      <text>
        <t>[Threaded comment]
Your version of Excel allows you to read this threaded comment; however, any edits to it will get removed if the file is opened in a newer version of Excel. Learn more: https://go.microsoft.com/fwlink/?linkid=870924
Comment:
    41.6% of 896 = 373??
Reply:
    Think the 6 cases with clinical diagnosis only are excluded from all the analyses (see text and Table 6), as were the 19 cases with unknown T classification from the reported %.
So, 896-6-19=871.
41.6% of 871=362.</t>
      </text>
    </comment>
    <comment ref="BF1796" authorId="897" shapeId="0" xr:uid="{54D45297-4ACC-4DB1-9048-80718F38851D}">
      <text>
        <t>[Threaded comment]
Your version of Excel allows you to read this threaded comment; however, any edits to it will get removed if the file is opened in a newer version of Excel. Learn more: https://go.microsoft.com/fwlink/?linkid=870924
Comment:
    Does this mean the rest (100% - 3.9% - 44.9% = 51.2%) are &gt;T1 stage???
Reply:
    Yes, I think so. I have added a row reporting these numbers (yellow highlighted). Please check!</t>
      </text>
    </comment>
    <comment ref="A1797" authorId="898" shapeId="0" xr:uid="{0BDD8322-8067-4830-A0E4-FF1237ED25E7}">
      <text>
        <t>[Threaded comment]
Your version of Excel allows you to read this threaded comment; however, any edits to it will get removed if the file is opened in a newer version of Excel. Learn more: https://go.microsoft.com/fwlink/?linkid=870924
Comment:
    Table 6 reports % of carcinomas with Tis or T1 by time since entry for each year until 11 years. Should we calculate absolute numbers even if we don't know the number with unknown T stage for each time period?</t>
      </text>
    </comment>
    <comment ref="AI1797" authorId="899" shapeId="0" xr:uid="{1723325E-CC75-475B-8F23-FD1EB9EEA0A9}">
      <text>
        <t>[Threaded comment]
Your version of Excel allows you to read this threaded comment; however, any edits to it will get removed if the file is opened in a newer version of Excel. Learn more: https://go.microsoft.com/fwlink/?linkid=870924
Comment:
    48.8% (table 6) of 864-19 =412??
Reply:
    I understood that the reported % in Table 6 are based on the 864-7-19=838 breast cancers with known T stage.
So, 48.8%*838=409</t>
      </text>
    </comment>
    <comment ref="AJ1797" authorId="900" shapeId="0" xr:uid="{B29D3453-AF9B-486F-9399-5D71E0376229}">
      <text>
        <t>[Threaded comment]
Your version of Excel allows you to read this threaded comment; however, any edits to it will get removed if the file is opened in a newer version of Excel. Learn more: https://go.microsoft.com/fwlink/?linkid=870924
Comment:
    41.6% of 896-19 = 365??
Reply:
    I understood that Table 6 only reports on the 890 cancers that had been histologically diagnosed. The reported % then exclude the 19 cases with unknown T stage, so 890-19=871.
44.8%*871=390.</t>
      </text>
    </comment>
    <comment ref="AI1800" authorId="901" shapeId="0" xr:uid="{5E7A71DB-3BB9-4F87-9C27-B4DD7C9F955F}">
      <text>
        <t>[Threaded comment]
Your version of Excel allows you to read this threaded comment; however, any edits to it will get removed if the file is opened in a newer version of Excel. Learn more: https://go.microsoft.com/fwlink/?linkid=870924
Comment:
    I calculated them all differently. Can't quite work out which numbers you used:
I used table 5 for total cancers and percentages from text, so for N status: 
N0: 47%
N+: 53%
Total 864
Control:
N0: 48.3%
N+: 51.6%
Total 896
Option to: totals is histological confirmed only
Reply:
    I have used the info from the text: "Among the 797 (92.2%) women with breast cancer in the instruction group and 844 (93.8%) women with breast cancer in the control group with histologically ascertained nodal status, evidence of tumor was found in 314 (39.4%) and 342 (40.5%), respectively."
The text reports 314 and 342 node-positive cases.</t>
      </text>
    </comment>
    <comment ref="A1805" authorId="902" shapeId="0" xr:uid="{C9AAFFCA-96E6-4458-B893-11F73818A1A1}">
      <text>
        <t>[Threaded comment]
Your version of Excel allows you to read this threaded comment; however, any edits to it will get removed if the file is opened in a newer version of Excel. Learn more: https://go.microsoft.com/fwlink/?linkid=870924
Comment:
    These are all breast cancers detected during BSE (so screen-detected). There are no "interval cancers" as BSE can always be performed by the woman...</t>
      </text>
    </comment>
    <comment ref="F1805" authorId="903" shapeId="0" xr:uid="{48BF4BC7-CAFF-4767-A778-D5E5D3AAC3CB}">
      <text>
        <t>[Threaded comment]
Your version of Excel allows you to read this threaded comment; however, any edits to it will get removed if the file is opened in a newer version of Excel. Learn more: https://go.microsoft.com/fwlink/?linkid=870924
Comment:
    I have changed the screening test from "Breast self-examination instruction" to "Breast self-examination".</t>
      </text>
    </comment>
    <comment ref="A1806" authorId="904" shapeId="0" xr:uid="{F5EBFEA1-60F0-468B-8C0C-50BEFEBF47F5}">
      <text>
        <t>[Threaded comment]
Your version of Excel allows you to read this threaded comment; however, any edits to it will get removed if the file is opened in a newer version of Excel. Learn more: https://go.microsoft.com/fwlink/?linkid=870924
Comment:
    These are all breast cancers detected during BSE (so screen-detected). There are no "interval cancers" as BSE can always be performed by the woman...</t>
      </text>
    </comment>
    <comment ref="F1806" authorId="905" shapeId="0" xr:uid="{8585859E-D976-4D09-AE5B-589D25F1007B}">
      <text>
        <t>[Threaded comment]
Your version of Excel allows you to read this threaded comment; however, any edits to it will get removed if the file is opened in a newer version of Excel. Learn more: https://go.microsoft.com/fwlink/?linkid=870924
Comment:
    I have changed the screening test from "Breast self-examination instruction" to "Breast self-examination".</t>
      </text>
    </comment>
    <comment ref="A1807" authorId="906" shapeId="0" xr:uid="{C5AC1AAC-4542-4567-8283-5F1F5A6DCF0E}">
      <text>
        <t>[Threaded comment]
Your version of Excel allows you to read this threaded comment; however, any edits to it will get removed if the file is opened in a newer version of Excel. Learn more: https://go.microsoft.com/fwlink/?linkid=870924
Comment:
    These are all breast cancers detected during BSE (so screen-detected). There are no "interval cancers" as BSE can always be performed by the woman...</t>
      </text>
    </comment>
    <comment ref="F1807" authorId="907" shapeId="0" xr:uid="{C7E16644-55B8-4CB0-8A6C-AAD62B01D5E8}">
      <text>
        <t>[Threaded comment]
Your version of Excel allows you to read this threaded comment; however, any edits to it will get removed if the file is opened in a newer version of Excel. Learn more: https://go.microsoft.com/fwlink/?linkid=870924
Comment:
    I have changed the screening test from "Breast self-examination instruction" to "Breast self-examination".</t>
      </text>
    </comment>
    <comment ref="W1807" authorId="908" shapeId="0" xr:uid="{658207CF-ADD5-4151-B860-A70B96883602}">
      <text>
        <t>[Threaded comment]
Your version of Excel allows you to read this threaded comment; however, any edits to it will get removed if the file is opened in a newer version of Excel. Learn more: https://go.microsoft.com/fwlink/?linkid=870924
Comment:
    Changing here to St Peterburg - consistency question
Reply:
    Made consistent throughout.</t>
      </text>
    </comment>
    <comment ref="A1808" authorId="909" shapeId="0" xr:uid="{024AFD3D-984A-4696-83B6-87EFE536C83E}">
      <text>
        <t>[Threaded comment]
Your version of Excel allows you to read this threaded comment; however, any edits to it will get removed if the file is opened in a newer version of Excel. Learn more: https://go.microsoft.com/fwlink/?linkid=870924
Comment:
    These are all breast cancers detected during BSE (so screen-detected). There are no "interval cancers" as BSE can always be performed by the woman...</t>
      </text>
    </comment>
    <comment ref="D1808" authorId="910" shapeId="0" xr:uid="{890E5AA9-8109-473C-9C08-37326CC6DD3A}">
      <text>
        <t>[Threaded comment]
Your version of Excel allows you to read this threaded comment; however, any edits to it will get removed if the file is opened in a newer version of Excel. Learn more: https://go.microsoft.com/fwlink/?linkid=870924
Comment:
    What's the reason of putting these together?
Reply:
    To have the total number of node-positive cancers.</t>
      </text>
    </comment>
    <comment ref="F1808" authorId="911" shapeId="0" xr:uid="{F1417B42-1075-4F38-9077-0DC046E2BEFA}">
      <text>
        <t>[Threaded comment]
Your version of Excel allows you to read this threaded comment; however, any edits to it will get removed if the file is opened in a newer version of Excel. Learn more: https://go.microsoft.com/fwlink/?linkid=870924
Comment:
    I have changed the screening test from "Breast self-examination instruction" to "Breast self-examination".</t>
      </text>
    </comment>
    <comment ref="A1809" authorId="912" shapeId="0" xr:uid="{4DFF8AB7-03E6-4AD0-A797-900B52AF5FDE}">
      <text>
        <t>[Threaded comment]
Your version of Excel allows you to read this threaded comment; however, any edits to it will get removed if the file is opened in a newer version of Excel. Learn more: https://go.microsoft.com/fwlink/?linkid=870924
Comment:
    These are all breast cancers detected during BSE (so screen-detected). There are no "interval cancers" as BSE can always be performed by the woman...</t>
      </text>
    </comment>
    <comment ref="F1809" authorId="913" shapeId="0" xr:uid="{8E909BB4-C47B-4723-950A-7C12168A0484}">
      <text>
        <t>[Threaded comment]
Your version of Excel allows you to read this threaded comment; however, any edits to it will get removed if the file is opened in a newer version of Excel. Learn more: https://go.microsoft.com/fwlink/?linkid=870924
Comment:
    I have changed the screening test from "Breast self-examination instruction" to "Breast self-examination".</t>
      </text>
    </comment>
    <comment ref="F1810" authorId="914" shapeId="0" xr:uid="{48C30595-05DC-4DB7-AD52-6E8B4D969CF0}">
      <text>
        <t>[Threaded comment]
Your version of Excel allows you to read this threaded comment; however, any edits to it will get removed if the file is opened in a newer version of Excel. Learn more: https://go.microsoft.com/fwlink/?linkid=870924
Comment:
    I have changed the screening test from "Breast self-examination instruction" to "Breast self-examination".</t>
      </text>
    </comment>
    <comment ref="F1811" authorId="915" shapeId="0" xr:uid="{4683056F-13FA-4B82-95AA-F2516348F615}">
      <text>
        <t>[Threaded comment]
Your version of Excel allows you to read this threaded comment; however, any edits to it will get removed if the file is opened in a newer version of Excel. Learn more: https://go.microsoft.com/fwlink/?linkid=870924
Comment:
    I have changed the screening test from "Breast self-examination instruction" to "Breast self-examination".</t>
      </text>
    </comment>
    <comment ref="F1812" authorId="916" shapeId="0" xr:uid="{D1AEFA11-9C72-445F-A74B-419E7F64C97D}">
      <text>
        <t>[Threaded comment]
Your version of Excel allows you to read this threaded comment; however, any edits to it will get removed if the file is opened in a newer version of Excel. Learn more: https://go.microsoft.com/fwlink/?linkid=870924
Comment:
    I have changed the screening test from "Breast self-examination instruction" to "Breast self-examination".</t>
      </text>
    </comment>
    <comment ref="F1813" authorId="917" shapeId="0" xr:uid="{8E5596FA-79A9-48C3-87C9-522B5A9F72E6}">
      <text>
        <t>[Threaded comment]
Your version of Excel allows you to read this threaded comment; however, any edits to it will get removed if the file is opened in a newer version of Excel. Learn more: https://go.microsoft.com/fwlink/?linkid=870924
Comment:
    I have changed the screening test from "Breast self-examination instruction" to "Breast self-examination".</t>
      </text>
    </comment>
    <comment ref="F1814" authorId="918" shapeId="0" xr:uid="{B560DA53-7064-4FDF-AA67-BFFEAA655EF7}">
      <text>
        <t>[Threaded comment]
Your version of Excel allows you to read this threaded comment; however, any edits to it will get removed if the file is opened in a newer version of Excel. Learn more: https://go.microsoft.com/fwlink/?linkid=870924
Comment:
    I have changed the screening test from "Breast self-examination instruction" to "Breast self-examination".</t>
      </text>
    </comment>
    <comment ref="F1815" authorId="919" shapeId="0" xr:uid="{F4FE12DD-3572-48C9-AB08-D6C2A3A021ED}">
      <text>
        <t>[Threaded comment]
Your version of Excel allows you to read this threaded comment; however, any edits to it will get removed if the file is opened in a newer version of Excel. Learn more: https://go.microsoft.com/fwlink/?linkid=870924
Comment:
    I have changed the screening test from "Breast self-examination instruction" to "Breast self-examination".</t>
      </text>
    </comment>
    <comment ref="F1816" authorId="920" shapeId="0" xr:uid="{B94C4326-1E6C-4396-AEEC-F9C7B12C86E3}">
      <text>
        <t>[Threaded comment]
Your version of Excel allows you to read this threaded comment; however, any edits to it will get removed if the file is opened in a newer version of Excel. Learn more: https://go.microsoft.com/fwlink/?linkid=870924
Comment:
    I have changed the screening test from "Breast self-examination instruction" to "Breast self-examination".</t>
      </text>
    </comment>
    <comment ref="F1817" authorId="921" shapeId="0" xr:uid="{ECE5C354-4187-4D5A-952E-ACDC5E8B8556}">
      <text>
        <t>[Threaded comment]
Your version of Excel allows you to read this threaded comment; however, any edits to it will get removed if the file is opened in a newer version of Excel. Learn more: https://go.microsoft.com/fwlink/?linkid=870924
Comment:
    I have changed the screening test from "Breast self-examination instruction" to "Breast self-examination".</t>
      </text>
    </comment>
    <comment ref="F1818" authorId="922" shapeId="0" xr:uid="{4042707D-79FC-4D26-B341-D8DC3B053196}">
      <text>
        <t>[Threaded comment]
Your version of Excel allows you to read this threaded comment; however, any edits to it will get removed if the file is opened in a newer version of Excel. Learn more: https://go.microsoft.com/fwlink/?linkid=870924
Comment:
    I have changed the screening test from "Breast self-examination instruction" to "Breast self-examination".</t>
      </text>
    </comment>
    <comment ref="F1819" authorId="923" shapeId="0" xr:uid="{057A63E9-8370-4CB9-B59C-C5F8FEF2CC9E}">
      <text>
        <t>[Threaded comment]
Your version of Excel allows you to read this threaded comment; however, any edits to it will get removed if the file is opened in a newer version of Excel. Learn more: https://go.microsoft.com/fwlink/?linkid=870924
Comment:
    I have changed the screening test from "Breast self-examination instruction" to "Breast self-examination".</t>
      </text>
    </comment>
    <comment ref="F1820" authorId="924" shapeId="0" xr:uid="{A7B9CE59-7DBC-4241-ABE6-5BE376C8DBA1}">
      <text>
        <t>[Threaded comment]
Your version of Excel allows you to read this threaded comment; however, any edits to it will get removed if the file is opened in a newer version of Excel. Learn more: https://go.microsoft.com/fwlink/?linkid=870924
Comment:
    I have changed the screening test from "Breast self-examination instruction" to "Breast self-examination".</t>
      </text>
    </comment>
    <comment ref="F1821" authorId="925" shapeId="0" xr:uid="{21898089-1BE1-412D-8C65-7BB8C51C549D}">
      <text>
        <t>[Threaded comment]
Your version of Excel allows you to read this threaded comment; however, any edits to it will get removed if the file is opened in a newer version of Excel. Learn more: https://go.microsoft.com/fwlink/?linkid=870924
Comment:
    I have changed the screening test from "Breast self-examination instruction" to "Breast self-examination".</t>
      </text>
    </comment>
    <comment ref="F1822" authorId="926" shapeId="0" xr:uid="{E9D239E7-DC79-4C90-848A-66E4FFA88119}">
      <text>
        <t>[Threaded comment]
Your version of Excel allows you to read this threaded comment; however, any edits to it will get removed if the file is opened in a newer version of Excel. Learn more: https://go.microsoft.com/fwlink/?linkid=870924
Comment:
    I have changed the screening test from "Breast self-examination instruction" to "Breast self-examination".</t>
      </text>
    </comment>
    <comment ref="F1823" authorId="927" shapeId="0" xr:uid="{9F114BDC-7EE8-4C43-9CB9-BBC17D961769}">
      <text>
        <t>[Threaded comment]
Your version of Excel allows you to read this threaded comment; however, any edits to it will get removed if the file is opened in a newer version of Excel. Learn more: https://go.microsoft.com/fwlink/?linkid=870924
Comment:
    I have changed the screening test from "Breast self-examination instruction" to "Breast self-examination".</t>
      </text>
    </comment>
    <comment ref="F1824" authorId="928" shapeId="0" xr:uid="{EB7A26DD-3A12-44C2-8C1D-46AB1B182FA8}">
      <text>
        <t>[Threaded comment]
Your version of Excel allows you to read this threaded comment; however, any edits to it will get removed if the file is opened in a newer version of Excel. Learn more: https://go.microsoft.com/fwlink/?linkid=870924
Comment:
    I have changed the screening test from "Breast self-examination instruction" to "Breast self-examination".</t>
      </text>
    </comment>
    <comment ref="F1825" authorId="929" shapeId="0" xr:uid="{47163862-B8BE-4896-BD97-F49085E0F3AF}">
      <text>
        <t>[Threaded comment]
Your version of Excel allows you to read this threaded comment; however, any edits to it will get removed if the file is opened in a newer version of Excel. Learn more: https://go.microsoft.com/fwlink/?linkid=870924
Comment:
    I have changed the screening test from "Breast self-examination instruction" to "Breast self-examination".</t>
      </text>
    </comment>
    <comment ref="AK1825" authorId="930" shapeId="0" xr:uid="{B0B8554D-51BB-4082-BB70-F17A9DAB2066}">
      <text>
        <t>[Threaded comment]
Your version of Excel allows you to read this threaded comment; however, any edits to it will get removed if the file is opened in a newer version of Excel. Learn more: https://go.microsoft.com/fwlink/?linkid=870924
Comment:
    57712
Reply:
    Corrected.</t>
      </text>
    </comment>
    <comment ref="AL1825" authorId="931" shapeId="0" xr:uid="{231F02BB-4764-4A54-B678-4BF5807AA673}">
      <text>
        <t>[Threaded comment]
Your version of Excel allows you to read this threaded comment; however, any edits to it will get removed if the file is opened in a newer version of Excel. Learn more: https://go.microsoft.com/fwlink/?linkid=870924
Comment:
    64759
Reply:
    Corrected.</t>
      </text>
    </comment>
    <comment ref="F1826" authorId="932" shapeId="0" xr:uid="{BC37BB30-709D-4DD5-8D2E-7F3687EB370C}">
      <text>
        <t>[Threaded comment]
Your version of Excel allows you to read this threaded comment; however, any edits to it will get removed if the file is opened in a newer version of Excel. Learn more: https://go.microsoft.com/fwlink/?linkid=870924
Comment:
    I have changed the screening test from "Breast self-examination instruction" to "Breast self-examination".</t>
      </text>
    </comment>
    <comment ref="P1826" authorId="933" shapeId="0" xr:uid="{08CFD47F-8471-4575-92DB-57A4A1C495F4}">
      <text>
        <t>[Threaded comment]
Your version of Excel allows you to read this threaded comment; however, any edits to it will get removed if the file is opened in a newer version of Excel. Learn more: https://go.microsoft.com/fwlink/?linkid=870924
Comment:
    Why pick N1+N2 for this one and not for instance M stage (in definition of numerator column AG)? 
Reply:
    And why calculate surrogate 3 for this study and surrogate 7 for the other 2?
Reply:
    We decided to use N stage over T stage. 
My understanding is that M stage is very late, but could be used as well. Nefeli can explore other cut-offs.
You are right, for the other 2 studies we could calculate surrogate 3 as well.
I have added 2 rows. Please check!</t>
      </text>
    </comment>
    <comment ref="AH1826" authorId="934" shapeId="0" xr:uid="{9F0FD960-5407-4336-88B6-96BDBFAD3FFC}">
      <text>
        <t>[Threaded comment]
Your version of Excel allows you to read this threaded comment; however, any edits to it will get removed if the file is opened in a newer version of Excel. Learn more: https://go.microsoft.com/fwlink/?linkid=870924
Comment:
    Add: by arm?
Reply:
    Done.</t>
      </text>
    </comment>
    <comment ref="F1827" authorId="935" shapeId="0" xr:uid="{D7DD6502-2C9C-4276-9E25-8F72AF5285DC}">
      <text>
        <t>[Threaded comment]
Your version of Excel allows you to read this threaded comment; however, any edits to it will get removed if the file is opened in a newer version of Excel. Learn more: https://go.microsoft.com/fwlink/?linkid=870924
Comment:
    I have changed the screening test from "Breast self-examination instruction" to "Breast self-examination".</t>
      </text>
    </comment>
    <comment ref="L1828" authorId="936" shapeId="0" xr:uid="{757B363E-8261-4CF5-AF79-5D1A16B9746D}">
      <text>
        <t>[Threaded comment]
Your version of Excel allows you to read this threaded comment; however, any edits to it will get removed if the file is opened in a newer version of Excel. Learn more: https://go.microsoft.com/fwlink/?linkid=870924
Comment:
    Discussion says: "Much of the benefit in reducing colorectal-cancer mortality
from screening derives from a reduction in stage IV disease,4 which has a much higher mortality than lower stages. In the PLCO trial, 79.1%
of participants with stage IV disease died of colorectal cancer."
Reply:
    Not sure about this one, it doesn't define it as late stage, just mentions where most of the reduction comes from?
Reply:
    True, this is why I have put a '?'. Maybe we just leave it as 'NR' then.</t>
      </text>
    </comment>
    <comment ref="L1829" authorId="937" shapeId="0" xr:uid="{A1C49ACB-8383-4EFD-9C1B-FE9B23D88E7F}">
      <text>
        <t>[Threaded comment]
Your version of Excel allows you to read this threaded comment; however, any edits to it will get removed if the file is opened in a newer version of Excel. Learn more: https://go.microsoft.com/fwlink/?linkid=870924
Comment:
    Discussion says: "Much of the benefit in reducing colorectal-cancer mortality
from screening derives from a reduction in stage IV disease,4 which has a much higher mortality than lower stages. In the PLCO trial, 79.1%
of participants with stage IV disease died of colorectal cancer."
Reply:
    Not sure about this one, it doesn't define it as late stage, just mentions where most of the reduction comes from?
Reply:
    True, this is why I have put a '?'. Maybe we just leave it as 'NR' then.</t>
      </text>
    </comment>
    <comment ref="L1830" authorId="938" shapeId="0" xr:uid="{F13F70CC-76FF-45D1-AD07-DD0D94538D18}">
      <text>
        <t>[Threaded comment]
Your version of Excel allows you to read this threaded comment; however, any edits to it will get removed if the file is opened in a newer version of Excel. Learn more: https://go.microsoft.com/fwlink/?linkid=870924
Comment:
    Discussion says: "Much of the benefit in reducing colorectal-cancer mortality
from screening derives from a reduction in stage IV disease,4 which has a much higher mortality than lower stages. In the PLCO trial, 79.1%
of participants with stage IV disease died of colorectal cancer."
Reply:
    Not sure about this one, it doesn't define it as late stage, just mentions where most of the reduction comes from?
Reply:
    True, this is why I have put a '?'. Maybe we just leave it as 'NR' then.</t>
      </text>
    </comment>
    <comment ref="L1831" authorId="939" shapeId="0" xr:uid="{00BE00E9-5C48-4808-A0F0-5EA2E4DD351C}">
      <text>
        <t>[Threaded comment]
Your version of Excel allows you to read this threaded comment; however, any edits to it will get removed if the file is opened in a newer version of Excel. Learn more: https://go.microsoft.com/fwlink/?linkid=870924
Comment:
    Discussion says: "Much of the benefit in reducing colorectal-cancer mortality
from screening derives from a reduction in stage IV disease,4 which has a much higher mortality than lower stages. In the PLCO trial, 79.1%
of participants with stage IV disease died of colorectal cancer."
Reply:
    Not sure about this one, it doesn't define it as late stage, just mentions where most of the reduction comes from?
Reply:
    True, this is why I have put a '?'. Maybe we just leave it as 'NR' then.</t>
      </text>
    </comment>
    <comment ref="L1832" authorId="940" shapeId="0" xr:uid="{64D2C7F6-7DB2-415B-9C6D-B94CE9975043}">
      <text>
        <t>[Threaded comment]
Your version of Excel allows you to read this threaded comment; however, any edits to it will get removed if the file is opened in a newer version of Excel. Learn more: https://go.microsoft.com/fwlink/?linkid=870924
Comment:
    Discussion says: "Much of the benefit in reducing colorectal-cancer mortality
from screening derives from a reduction in stage IV disease,4 which has a much higher mortality than lower stages. In the PLCO trial, 79.1%
of participants with stage IV disease died of colorectal cancer."
Reply:
    Not sure about this one, it doesn't define it as late stage, just mentions where most of the reduction comes from?
Reply:
    True, this is why I have put a '?'. Maybe we just leave it as 'NR' then.</t>
      </text>
    </comment>
    <comment ref="L1833" authorId="941" shapeId="0" xr:uid="{74A55EE4-A650-4096-9466-018F99EA5DCA}">
      <text>
        <t>[Threaded comment]
Your version of Excel allows you to read this threaded comment; however, any edits to it will get removed if the file is opened in a newer version of Excel. Learn more: https://go.microsoft.com/fwlink/?linkid=870924
Comment:
    Discussion says: "Much of the benefit in reducing colorectal-cancer mortality
from screening derives from a reduction in stage IV disease,4 which has a much higher mortality than lower stages. In the PLCO trial, 79.1%
of participants with stage IV disease died of colorectal cancer."
Reply:
    Not sure about this one, it doesn't define it as late stage, just mentions where most of the reduction comes from?
Reply:
    True, this is why I have put a '?'. Maybe we just leave it as 'NR' then.</t>
      </text>
    </comment>
    <comment ref="L1834" authorId="942" shapeId="0" xr:uid="{2885C01C-2950-4D25-BEB0-AC1521931DDE}">
      <text>
        <t>[Threaded comment]
Your version of Excel allows you to read this threaded comment; however, any edits to it will get removed if the file is opened in a newer version of Excel. Learn more: https://go.microsoft.com/fwlink/?linkid=870924
Comment:
    Discussion says: "Much of the benefit in reducing colorectal-cancer mortality
from screening derives from a reduction in stage IV disease,4 which has a much higher mortality than lower stages. In the PLCO trial, 79.1%
of participants with stage IV disease died of colorectal cancer."
Reply:
    Not sure about this one, it doesn't define it as late stage, just mentions where most of the reduction comes from?
Reply:
    True, this is why I have put a '?'. Maybe we just leave it as 'NR' then.</t>
      </text>
    </comment>
    <comment ref="L1835" authorId="943" shapeId="0" xr:uid="{1FC468A2-70EA-4F5E-820A-36294AF93368}">
      <text>
        <t>[Threaded comment]
Your version of Excel allows you to read this threaded comment; however, any edits to it will get removed if the file is opened in a newer version of Excel. Learn more: https://go.microsoft.com/fwlink/?linkid=870924
Comment:
    Discussion says: "Much of the benefit in reducing colorectal-cancer mortality
from screening derives from a reduction in stage IV disease,4 which has a much higher mortality than lower stages. In the PLCO trial, 79.1%
of participants with stage IV disease died of colorectal cancer."
Reply:
    Not sure about this one, it doesn't define it as late stage, just mentions where most of the reduction comes from?
Reply:
    True, this is why I have put a '?'. Maybe we just leave it as 'NR' then.</t>
      </text>
    </comment>
    <comment ref="D1840" authorId="944" shapeId="0" xr:uid="{EEB88342-9DBB-45C9-A2CD-432E618D0C12}">
      <text>
        <t>[Threaded comment]
Your version of Excel allows you to read this threaded comment; however, any edits to it will get removed if the file is opened in a newer version of Excel. Learn more: https://go.microsoft.com/fwlink/?linkid=870924
Comment:
    1 screening round, year 3 OR year 5?</t>
      </text>
    </comment>
    <comment ref="D1841" authorId="945" shapeId="0" xr:uid="{CF1D8B9D-D35E-4871-B145-DB7DC6233352}">
      <text>
        <t>[Threaded comment]
Your version of Excel allows you to read this threaded comment; however, any edits to it will get removed if the file is opened in a newer version of Excel. Learn more: https://go.microsoft.com/fwlink/?linkid=870924
Comment:
    2 screening rounds?</t>
      </text>
    </comment>
    <comment ref="L1842" authorId="946" shapeId="0" xr:uid="{32D35F42-1FC9-4FE1-A5EE-5B9CD5EB2BDE}">
      <text>
        <t>[Threaded comment]
Your version of Excel allows you to read this threaded comment; however, any edits to it will get removed if the file is opened in a newer version of Excel. Learn more: https://go.microsoft.com/fwlink/?linkid=870924
Comment:
    Discussion says: "Much of the benefit in reducing colorectal-cancer mortality
from screening derives from a reduction in stage IV disease,4 which has a much higher mortality than lower stages. In the PLCO trial, 79.1%
of participants with stage IV disease died of colorectal cancer."
Reply:
    Not sure about this one, it doesn't define it as late stage, just mentions where most of the reduction comes from?
Reply:
    True, this is why I have put a '?'. Maybe we just leave it as 'NR' then.</t>
      </text>
    </comment>
    <comment ref="L1843" authorId="947" shapeId="0" xr:uid="{AC8CF518-46EB-444B-95FF-572AE6762036}">
      <text>
        <t>[Threaded comment]
Your version of Excel allows you to read this threaded comment; however, any edits to it will get removed if the file is opened in a newer version of Excel. Learn more: https://go.microsoft.com/fwlink/?linkid=870924
Comment:
    Discussion says: "Much of the benefit in reducing colorectal-cancer mortality
from screening derives from a reduction in stage IV disease,4 which has a much higher mortality than lower stages. In the PLCO trial, 79.1%
of participants with stage IV disease died of colorectal cancer."
Reply:
    Not sure about this one, it doesn't define it as late stage, just mentions where most of the reduction comes from?
Reply:
    True, this is why I have put a '?'. Maybe we just leave it as 'NR' then.</t>
      </text>
    </comment>
    <comment ref="L1844" authorId="948" shapeId="0" xr:uid="{CD553419-01BA-47C9-90D0-74D2BECE028C}">
      <text>
        <t>[Threaded comment]
Your version of Excel allows you to read this threaded comment; however, any edits to it will get removed if the file is opened in a newer version of Excel. Learn more: https://go.microsoft.com/fwlink/?linkid=870924
Comment:
    Discussion says: "Much of the benefit in reducing colorectal-cancer mortality
from screening derives from a reduction in stage IV disease,4 which has a much higher mortality than lower stages. In the PLCO trial, 79.1%
of participants with stage IV disease died of colorectal cancer."
Reply:
    Not sure about this one, it doesn't define it as late stage, just mentions where most of the reduction comes from?
Reply:
    True, this is why I have put a '?'. Maybe we just leave it as 'NR' then.</t>
      </text>
    </comment>
    <comment ref="L1845" authorId="949" shapeId="0" xr:uid="{ABFAC049-E8E7-45B2-AD29-3617DD2A1325}">
      <text>
        <t>[Threaded comment]
Your version of Excel allows you to read this threaded comment; however, any edits to it will get removed if the file is opened in a newer version of Excel. Learn more: https://go.microsoft.com/fwlink/?linkid=870924
Comment:
    Discussion says: "Much of the benefit in reducing colorectal-cancer mortality
from screening derives from a reduction in stage IV disease,4 which has a much higher mortality than lower stages. In the PLCO trial, 79.1%
of participants with stage IV disease died of colorectal cancer."
Reply:
    Not sure about this one, it doesn't define it as late stage, just mentions where most of the reduction comes from?
Reply:
    True, this is why I have put a '?'. Maybe we just leave it as 'NR' then.</t>
      </text>
    </comment>
    <comment ref="L1846" authorId="950" shapeId="0" xr:uid="{D23BEF42-B29E-46D9-B369-E36324BD05C0}">
      <text>
        <t>[Threaded comment]
Your version of Excel allows you to read this threaded comment; however, any edits to it will get removed if the file is opened in a newer version of Excel. Learn more: https://go.microsoft.com/fwlink/?linkid=870924
Comment:
    Discussion says: "Much of the benefit in reducing colorectal-cancer mortality
from screening derives from a reduction in stage IV disease,4 which has a much higher mortality than lower stages. In the PLCO trial, 79.1%
of participants with stage IV disease died of colorectal cancer."
Reply:
    Not sure about this one, it doesn't define it as late stage, just mentions where most of the reduction comes from?
Reply:
    True, this is why I have put a '?'. Maybe we just leave it as 'NR' then.</t>
      </text>
    </comment>
    <comment ref="L1847" authorId="951" shapeId="0" xr:uid="{DE45CE19-6D07-4129-909A-C5A63EE84FAE}">
      <text>
        <t>[Threaded comment]
Your version of Excel allows you to read this threaded comment; however, any edits to it will get removed if the file is opened in a newer version of Excel. Learn more: https://go.microsoft.com/fwlink/?linkid=870924
Comment:
    Discussion says: "Much of the benefit in reducing colorectal-cancer mortality
from screening derives from a reduction in stage IV disease,4 which has a much higher mortality than lower stages. In the PLCO trial, 79.1%
of participants with stage IV disease died of colorectal cancer."
Reply:
    Not sure about this one, it doesn't define it as late stage, just mentions where most of the reduction comes from?
Reply:
    True, this is why I have put a '?'. Maybe we just leave it as 'NR' then.</t>
      </text>
    </comment>
    <comment ref="L1848" authorId="952" shapeId="0" xr:uid="{DD39B7E9-43F5-4822-84F4-9075EE5A0AF8}">
      <text>
        <t>[Threaded comment]
Your version of Excel allows you to read this threaded comment; however, any edits to it will get removed if the file is opened in a newer version of Excel. Learn more: https://go.microsoft.com/fwlink/?linkid=870924
Comment:
    Discussion says: "Much of the benefit in reducing colorectal-cancer mortality
from screening derives from a reduction in stage IV disease,4 which has a much higher mortality than lower stages. In the PLCO trial, 79.1%
of participants with stage IV disease died of colorectal cancer."
Reply:
    Not sure about this one, it doesn't define it as late stage, just mentions where most of the reduction comes from?
Reply:
    True, this is why I have put a '?'. Maybe we just leave it as 'NR' then.</t>
      </text>
    </comment>
    <comment ref="L1849" authorId="953" shapeId="0" xr:uid="{C5117872-F984-47A4-A0C7-10DB70EA745D}">
      <text>
        <t>[Threaded comment]
Your version of Excel allows you to read this threaded comment; however, any edits to it will get removed if the file is opened in a newer version of Excel. Learn more: https://go.microsoft.com/fwlink/?linkid=870924
Comment:
    Discussion says: "Much of the benefit in reducing colorectal-cancer mortality
from screening derives from a reduction in stage IV disease,4 which has a much higher mortality than lower stages. In the PLCO trial, 79.1%
of participants with stage IV disease died of colorectal cancer."
Reply:
    Not sure about this one, it doesn't define it as late stage, just mentions where most of the reduction comes from?
Reply:
    True, this is why I have put a '?'. Maybe we just leave it as 'NR' then.</t>
      </text>
    </comment>
    <comment ref="AD1850" authorId="954" shapeId="0" xr:uid="{BAE38C89-2673-45DB-B34D-9D1C530BEC02}">
      <text>
        <t>[Threaded comment]
Your version of Excel allows you to read this threaded comment; however, any edits to it will get removed if the file is opened in a newer version of Excel. Learn more: https://go.microsoft.com/fwlink/?linkid=870924
Comment:
    Total incidence (fig.2) - total incidence with stage information (fig.3)</t>
      </text>
    </comment>
    <comment ref="BA1850" authorId="955" shapeId="0" xr:uid="{2703B6AF-6804-408A-BB6F-01E15E1C5428}">
      <text>
        <t>[Threaded comment]
Your version of Excel allows you to read this threaded comment; however, any edits to it will get removed if the file is opened in a newer version of Excel. Learn more: https://go.microsoft.com/fwlink/?linkid=870924
Comment:
    Think this is the p value for a difference in distribution of tumour stage overall, not only for the stage I incidence.
Reply:
    Happy to remove it</t>
      </text>
    </comment>
    <comment ref="BA1851" authorId="956" shapeId="0" xr:uid="{F1DAF855-250A-4938-8BFF-6F507163B547}">
      <text>
        <t>[Threaded comment]
Your version of Excel allows you to read this threaded comment; however, any edits to it will get removed if the file is opened in a newer version of Excel. Learn more: https://go.microsoft.com/fwlink/?linkid=870924
Comment:
    Think this is the p value for a difference in distribution of tumour stage overall, not only for the stage II incidence.</t>
      </text>
    </comment>
    <comment ref="BA1852" authorId="957" shapeId="0" xr:uid="{9F7BA524-B9E9-4215-96DC-217001CEE7C1}">
      <text>
        <t>[Threaded comment]
Your version of Excel allows you to read this threaded comment; however, any edits to it will get removed if the file is opened in a newer version of Excel. Learn more: https://go.microsoft.com/fwlink/?linkid=870924
Comment:
    Think this is the p value for a difference in distribution of tumour stage overall, not only for the stage III incidence.</t>
      </text>
    </comment>
    <comment ref="BA1853" authorId="958" shapeId="0" xr:uid="{C1A189B7-2BF0-419D-88EA-132F57880548}">
      <text>
        <t>[Threaded comment]
Your version of Excel allows you to read this threaded comment; however, any edits to it will get removed if the file is opened in a newer version of Excel. Learn more: https://go.microsoft.com/fwlink/?linkid=870924
Comment:
    Think this is the p value for a difference in distribution of tumour stage overall, not only for the stage IV incidence.</t>
      </text>
    </comment>
    <comment ref="A1854" authorId="959" shapeId="0" xr:uid="{F701C04D-E14E-4EB8-BDAA-35C9634A819B}">
      <text>
        <t>[Threaded comment]
Your version of Excel allows you to read this threaded comment; however, any edits to it will get removed if the file is opened in a newer version of Excel. Learn more: https://go.microsoft.com/fwlink/?linkid=870924
Comment:
    Think we only need to extract surrogate 3 for stages that could be classed as late-stage.
Reply:
    They could be useful when looking at different definitions of late stage in the analysis (e.g. decide to include stage II). We already have the numbers from surrogate 1/4 though, so happy to both remove/keep.
Reply:
    Okay, let's keep them.</t>
      </text>
    </comment>
    <comment ref="AD1854" authorId="960" shapeId="0" xr:uid="{57F41181-3F1B-40A0-AB41-E8D075B3EBD1}">
      <text>
        <t>[Threaded comment]
Your version of Excel allows you to read this threaded comment; however, any edits to it will get removed if the file is opened in a newer version of Excel. Learn more: https://go.microsoft.com/fwlink/?linkid=870924
Comment:
    Total incidence (fig.2) - total incidence with stage information (fig.3)</t>
      </text>
    </comment>
    <comment ref="A1855" authorId="961" shapeId="0" xr:uid="{D02E3600-FF7C-40B4-96C3-19EAB39A3370}">
      <text>
        <t>[Threaded comment]
Your version of Excel allows you to read this threaded comment; however, any edits to it will get removed if the file is opened in a newer version of Excel. Learn more: https://go.microsoft.com/fwlink/?linkid=870924
Comment:
    Think we only need to extract surrogate 3 for stages that could be classed as late-stage.
Reply:
    They could be useful when looking at different definitions of late stage in the analysis (e.g. decide to include stage II). We already have the numbers from surrogate 1/4 though, so happy to both remove/keep.
Reply:
    Okay, let's keep them.</t>
      </text>
    </comment>
    <comment ref="AD1866" authorId="962" shapeId="0" xr:uid="{6F75C73D-EE4B-4024-8DB0-F0714F301045}">
      <text>
        <t>[Threaded comment]
Your version of Excel allows you to read this threaded comment; however, any edits to it will get removed if the file is opened in a newer version of Excel. Learn more: https://go.microsoft.com/fwlink/?linkid=870924
Comment:
    Total incidence (fig.2) - total incidence with stage information (fig.3)</t>
      </text>
    </comment>
    <comment ref="A1870" authorId="963" shapeId="0" xr:uid="{17066271-A0B6-4990-B564-494A717C6494}">
      <text>
        <t>[Threaded comment]
Your version of Excel allows you to read this threaded comment; however, any edits to it will get removed if the file is opened in a newer version of Excel. Learn more: https://go.microsoft.com/fwlink/?linkid=870924
Comment:
    Calculated surrogate 3 for distal (similar to above, happy to remove/keep stage I/II for this one)</t>
      </text>
    </comment>
    <comment ref="AD1870" authorId="964" shapeId="0" xr:uid="{4EEE7C43-9705-4D40-A785-C69D583B8FBF}">
      <text>
        <t>[Threaded comment]
Your version of Excel allows you to read this threaded comment; however, any edits to it will get removed if the file is opened in a newer version of Excel. Learn more: https://go.microsoft.com/fwlink/?linkid=870924
Comment:
    Total incidence (fig.2) - total incidence with stage information (fig.3)</t>
      </text>
    </comment>
    <comment ref="A1874" authorId="965" shapeId="0" xr:uid="{77311390-6CBF-499D-A8EE-73728C106E00}">
      <text>
        <t>[Threaded comment]
Your version of Excel allows you to read this threaded comment; however, any edits to it will get removed if the file is opened in a newer version of Excel. Learn more: https://go.microsoft.com/fwlink/?linkid=870924
Comment:
    Only reports stage for the screen-detected cancers, not for all cancers. Lung cancer mortality is for all cancers only, so not extracted.
Reply:
    Agreed.</t>
      </text>
    </comment>
    <comment ref="AB1874" authorId="966" shapeId="0" xr:uid="{F3CED8EF-8305-4465-BDCD-2608A9CACC52}">
      <text>
        <t>[Threaded comment]
Your version of Excel allows you to read this threaded comment; however, any edits to it will get removed if the file is opened in a newer version of Excel. Learn more: https://go.microsoft.com/fwlink/?linkid=870924
Comment:
    2 censored in total because of missing information - unclear from which group.
Reply:
    agreed</t>
      </text>
    </comment>
    <comment ref="AC1874" authorId="967" shapeId="0" xr:uid="{FD941249-F7B5-4B8F-A59B-82C931304CBE}">
      <text>
        <t>[Threaded comment]
Your version of Excel allows you to read this threaded comment; however, any edits to it will get removed if the file is opened in a newer version of Excel. Learn more: https://go.microsoft.com/fwlink/?linkid=870924
Comment:
    10 cancers from the LCDT arms are missing stage information.
Table 3 
LC incidence
Annual CT n = 34
Biennial CT n = 25
Table 2 
Cancer stage
Annual CT n = 29
Biennial CT n = 20
Reply:
    Agree, but this row reports diagnostic yield, nothing on stage. So, the only missing data here would be when they way of detection was unknown. I have clarified columns AD and AF.
Reply:
    I understand. Agreed.</t>
      </text>
    </comment>
    <comment ref="AE1874" authorId="968" shapeId="0" xr:uid="{3CFEBF4A-D9F7-4053-ACFA-502FA769075D}">
      <text>
        <t>[Threaded comment]
Your version of Excel allows you to read this threaded comment; however, any edits to it will get removed if the file is opened in a newer version of Excel. Learn more: https://go.microsoft.com/fwlink/?linkid=870924
Comment:
    10 cancers from the LCDT arms are missing stage information.
Table 3 
LC incidence
Annual CT n = 34
Biennial CT n = 25
Table 2 
Cancer stage
Annual CT n = 29
Biennial CT n = 20
Reply:
    Agree, but this row reports diagnostic yield, nothing on stage. So, the only missing data here would be when they way of detection was unknown. I have clarified columns AD and AF.
Reply:
    I understand. Agreed.</t>
      </text>
    </comment>
    <comment ref="AA1875" authorId="969" shapeId="0" xr:uid="{196599C9-D1DD-499D-9BBF-DCEB6D7104F4}">
      <text>
        <t>[Threaded comment]
Your version of Excel allows you to read this threaded comment; however, any edits to it will get removed if the file is opened in a newer version of Excel. Learn more: https://go.microsoft.com/fwlink/?linkid=870924
Comment:
    2 censored in total because of missing information - unclear from which group.</t>
      </text>
    </comment>
    <comment ref="AC1875" authorId="970" shapeId="0" xr:uid="{A3961629-7C9B-4758-BF1A-22C54714C306}">
      <text>
        <t>[Threaded comment]
Your version of Excel allows you to read this threaded comment; however, any edits to it will get removed if the file is opened in a newer version of Excel. Learn more: https://go.microsoft.com/fwlink/?linkid=870924
Comment:
    See above</t>
      </text>
    </comment>
    <comment ref="AB1876" authorId="971" shapeId="0" xr:uid="{8E6DC65E-ED42-467B-8459-4AB01DA2F877}">
      <text>
        <t>[Threaded comment]
Your version of Excel allows you to read this threaded comment; however, any edits to it will get removed if the file is opened in a newer version of Excel. Learn more: https://go.microsoft.com/fwlink/?linkid=870924
Comment:
    2 censored in total because of missing information - unclear from which group.
Reply:
    agreed</t>
      </text>
    </comment>
    <comment ref="AC1876" authorId="972" shapeId="0" xr:uid="{F656B711-9D92-434C-9FE7-E6FCC306CD5C}">
      <text>
        <t>[Threaded comment]
Your version of Excel allows you to read this threaded comment; however, any edits to it will get removed if the file is opened in a newer version of Excel. Learn more: https://go.microsoft.com/fwlink/?linkid=870924
Comment:
    See above</t>
      </text>
    </comment>
    <comment ref="AE1876" authorId="973" shapeId="0" xr:uid="{36AD79C0-A6E0-4E63-9E21-DEE1AE7C8A9B}">
      <text>
        <t>[Threaded comment]
Your version of Excel allows you to read this threaded comment; however, any edits to it will get removed if the file is opened in a newer version of Excel. Learn more: https://go.microsoft.com/fwlink/?linkid=870924
Comment:
    10 cancers from the LCDT arms are missing stage information.
Table 3 
LC incidence
Annual CT n = 34
Biennial CT n = 25
Table 2 
Cancer stage
Annual CT n = 29
Biennial CT n = 20
Reply:
    Agree, but this row reports diagnostic yield, nothing on stage. So, the only missing data here would be when they way of detection was unknown. I have clarified columns AD and AF.
Reply:
    I understand. Agreed.</t>
      </text>
    </comment>
    <comment ref="AA1877" authorId="974" shapeId="0" xr:uid="{898BF20B-839B-4115-8813-87121CE9AE29}">
      <text>
        <t>[Threaded comment]
Your version of Excel allows you to read this threaded comment; however, any edits to it will get removed if the file is opened in a newer version of Excel. Learn more: https://go.microsoft.com/fwlink/?linkid=870924
Comment:
    2 censored in total because of missing information - unclear from which group.
Reply:
    agreed</t>
      </text>
    </comment>
    <comment ref="AC1877" authorId="975" shapeId="0" xr:uid="{92CC6D97-1D72-4A27-BF27-8DEA87B10AF5}">
      <text>
        <t>[Threaded comment]
Your version of Excel allows you to read this threaded comment; however, any edits to it will get removed if the file is opened in a newer version of Excel. Learn more: https://go.microsoft.com/fwlink/?linkid=870924
Comment:
    See above</t>
      </text>
    </comment>
    <comment ref="S1899" authorId="976" shapeId="0" xr:uid="{6DC3F0D1-C401-4ADE-9512-4B961D91C9F4}">
      <text>
        <t>[Threaded comment]
Your version of Excel allows you to read this threaded comment; however, any edits to it will get removed if the file is opened in a newer version of Excel. Learn more: https://go.microsoft.com/fwlink/?linkid=870924
Comment:
    22,714 PY / 2,376
Reply:
    I'm not sure about this. Isn't 22,714 the person time to cancer detection and 23,083 the person time to mortality? So we should use mortality or say NR?
6.2 is years of screening. Do we need that?
Reply:
    My comment applies to this column for whole of extraction for #725
Reply:
    Why should we use the person time to mortality when for this outcome, the person is censored at cancer diagnosis?
Think follow-up time for cancer incidence should be shorter than follow-up time for mortality (as then the person is only censored at death).
Agree to remove the years of screening here.
Reply:
    Ah yes. That makes sense. I was thinking final analysis not surrogate analysis.</t>
      </text>
    </comment>
    <comment ref="T1899" authorId="977" shapeId="0" xr:uid="{2DAD0760-5687-4E9E-81A1-48C136AD7567}">
      <text>
        <t>[Threaded comment]
Your version of Excel allows you to read this threaded comment; however, any edits to it will get removed if the file is opened in a newer version of Excel. Learn more: https://go.microsoft.com/fwlink/?linkid=870924
Comment:
    16,102 PY / 1,723
Reply:
    See comment in cell to left.
Reply:
    My comment applies to this column for whole of extraction for #725</t>
      </text>
    </comment>
    <comment ref="S1900" authorId="978" shapeId="0" xr:uid="{9EDFECDA-BD9C-4534-8290-51CB125ED511}">
      <text>
        <t>[Threaded comment]
Your version of Excel allows you to read this threaded comment; however, any edits to it will get removed if the file is opened in a newer version of Excel. Learn more: https://go.microsoft.com/fwlink/?linkid=870924
Comment:
    22,714 PY / 2,376</t>
      </text>
    </comment>
    <comment ref="T1900" authorId="979" shapeId="0" xr:uid="{A6B50E89-DE29-4D72-8144-1C8A3D7A8E87}">
      <text>
        <t>[Threaded comment]
Your version of Excel allows you to read this threaded comment; however, any edits to it will get removed if the file is opened in a newer version of Excel. Learn more: https://go.microsoft.com/fwlink/?linkid=870924
Comment:
    16,102 PY / 1,723</t>
      </text>
    </comment>
    <comment ref="S1901" authorId="980" shapeId="0" xr:uid="{4A93B33E-71B7-40A7-89F4-51FF3A3B40AF}">
      <text>
        <t>[Threaded comment]
Your version of Excel allows you to read this threaded comment; however, any edits to it will get removed if the file is opened in a newer version of Excel. Learn more: https://go.microsoft.com/fwlink/?linkid=870924
Comment:
    22,714 PY / 2,376</t>
      </text>
    </comment>
    <comment ref="T1901" authorId="981" shapeId="0" xr:uid="{466F8370-AADF-42CD-AAE4-C41CE7730A73}">
      <text>
        <t>[Threaded comment]
Your version of Excel allows you to read this threaded comment; however, any edits to it will get removed if the file is opened in a newer version of Excel. Learn more: https://go.microsoft.com/fwlink/?linkid=870924
Comment:
    16,102 PY / 1,723</t>
      </text>
    </comment>
    <comment ref="S1902" authorId="982" shapeId="0" xr:uid="{BBD1F04C-E2FD-42C6-88EB-29466A3B89E6}">
      <text>
        <t>[Threaded comment]
Your version of Excel allows you to read this threaded comment; however, any edits to it will get removed if the file is opened in a newer version of Excel. Learn more: https://go.microsoft.com/fwlink/?linkid=870924
Comment:
    22,714 PY / 2,376</t>
      </text>
    </comment>
    <comment ref="T1902" authorId="983" shapeId="0" xr:uid="{2D00E5CC-989E-4D08-ACC8-B09197B1BF43}">
      <text>
        <t>[Threaded comment]
Your version of Excel allows you to read this threaded comment; however, any edits to it will get removed if the file is opened in a newer version of Excel. Learn more: https://go.microsoft.com/fwlink/?linkid=870924
Comment:
    16,102 PY / 1,723</t>
      </text>
    </comment>
    <comment ref="S1903" authorId="984" shapeId="0" xr:uid="{D7AC9E53-6FC7-47D2-A7A7-4752D07E88C6}">
      <text>
        <t>[Threaded comment]
Your version of Excel allows you to read this threaded comment; however, any edits to it will get removed if the file is opened in a newer version of Excel. Learn more: https://go.microsoft.com/fwlink/?linkid=870924
Comment:
    22,714 PY / 2,376</t>
      </text>
    </comment>
    <comment ref="T1903" authorId="985" shapeId="0" xr:uid="{4D090127-2EEB-4FEF-937D-B51239A4BA05}">
      <text>
        <t>[Threaded comment]
Your version of Excel allows you to read this threaded comment; however, any edits to it will get removed if the file is opened in a newer version of Excel. Learn more: https://go.microsoft.com/fwlink/?linkid=870924
Comment:
    16,102 PY / 1,723</t>
      </text>
    </comment>
    <comment ref="S1904" authorId="986" shapeId="0" xr:uid="{6051E53B-7466-4351-B937-56DC7615B812}">
      <text>
        <t>[Threaded comment]
Your version of Excel allows you to read this threaded comment; however, any edits to it will get removed if the file is opened in a newer version of Excel. Learn more: https://go.microsoft.com/fwlink/?linkid=870924
Comment:
    22,714 PY / 2,376</t>
      </text>
    </comment>
    <comment ref="T1904" authorId="987" shapeId="0" xr:uid="{B61C5D1B-0962-4A3C-8F3E-0F4C2EE9F1DB}">
      <text>
        <t>[Threaded comment]
Your version of Excel allows you to read this threaded comment; however, any edits to it will get removed if the file is opened in a newer version of Excel. Learn more: https://go.microsoft.com/fwlink/?linkid=870924
Comment:
    16,102 PY / 1,723</t>
      </text>
    </comment>
    <comment ref="S1905" authorId="988" shapeId="0" xr:uid="{1CEF62B4-1223-4ADA-AFB5-921493E17931}">
      <text>
        <t>[Threaded comment]
Your version of Excel allows you to read this threaded comment; however, any edits to it will get removed if the file is opened in a newer version of Excel. Learn more: https://go.microsoft.com/fwlink/?linkid=870924
Comment:
    22,714 PY / 2,376</t>
      </text>
    </comment>
    <comment ref="T1905" authorId="989" shapeId="0" xr:uid="{C0064B7E-A8F2-4EA4-BE4F-3F8CBD74A00A}">
      <text>
        <t>[Threaded comment]
Your version of Excel allows you to read this threaded comment; however, any edits to it will get removed if the file is opened in a newer version of Excel. Learn more: https://go.microsoft.com/fwlink/?linkid=870924
Comment:
    16,102 PY / 1,723</t>
      </text>
    </comment>
    <comment ref="S1906" authorId="990" shapeId="0" xr:uid="{45D0C6B0-1757-4172-9775-817377267B6B}">
      <text>
        <t>[Threaded comment]
Your version of Excel allows you to read this threaded comment; however, any edits to it will get removed if the file is opened in a newer version of Excel. Learn more: https://go.microsoft.com/fwlink/?linkid=870924
Comment:
    22,714 PY / 2,376</t>
      </text>
    </comment>
    <comment ref="T1906" authorId="991" shapeId="0" xr:uid="{18DBE1E9-E270-45FC-83E2-B3DFF856FE21}">
      <text>
        <t>[Threaded comment]
Your version of Excel allows you to read this threaded comment; however, any edits to it will get removed if the file is opened in a newer version of Excel. Learn more: https://go.microsoft.com/fwlink/?linkid=870924
Comment:
    16,102 PY / 1,723</t>
      </text>
    </comment>
    <comment ref="S1907" authorId="992" shapeId="0" xr:uid="{991FCCE6-64AD-46C4-A830-6851518DC05D}">
      <text>
        <t>[Threaded comment]
Your version of Excel allows you to read this threaded comment; however, any edits to it will get removed if the file is opened in a newer version of Excel. Learn more: https://go.microsoft.com/fwlink/?linkid=870924
Comment:
    22,714 PY / 2,376</t>
      </text>
    </comment>
    <comment ref="T1907" authorId="993" shapeId="0" xr:uid="{819E9B65-6A20-4021-83E8-87F2028B3CAE}">
      <text>
        <t>[Threaded comment]
Your version of Excel allows you to read this threaded comment; however, any edits to it will get removed if the file is opened in a newer version of Excel. Learn more: https://go.microsoft.com/fwlink/?linkid=870924
Comment:
    16,102 PY / 1,723</t>
      </text>
    </comment>
    <comment ref="S1908" authorId="994" shapeId="0" xr:uid="{3302AF68-3E5D-4CD7-BF7B-C7E787B62F9D}">
      <text>
        <t>[Threaded comment]
Your version of Excel allows you to read this threaded comment; however, any edits to it will get removed if the file is opened in a newer version of Excel. Learn more: https://go.microsoft.com/fwlink/?linkid=870924
Comment:
    22,714 PY / 2,376</t>
      </text>
    </comment>
    <comment ref="T1908" authorId="995" shapeId="0" xr:uid="{9A644654-132E-44B4-951F-A76DD3B04DEE}">
      <text>
        <t>[Threaded comment]
Your version of Excel allows you to read this threaded comment; however, any edits to it will get removed if the file is opened in a newer version of Excel. Learn more: https://go.microsoft.com/fwlink/?linkid=870924
Comment:
    16,102 PY / 1,723</t>
      </text>
    </comment>
    <comment ref="S1909" authorId="996" shapeId="0" xr:uid="{8A94ACD7-337B-487B-99EC-B49A27BB6F33}">
      <text>
        <t>[Threaded comment]
Your version of Excel allows you to read this threaded comment; however, any edits to it will get removed if the file is opened in a newer version of Excel. Learn more: https://go.microsoft.com/fwlink/?linkid=870924
Comment:
    22,714 PY / 2,376</t>
      </text>
    </comment>
    <comment ref="T1909" authorId="997" shapeId="0" xr:uid="{080CBAD5-42CC-473B-83F4-5018AC6F3EE8}">
      <text>
        <t>[Threaded comment]
Your version of Excel allows you to read this threaded comment; however, any edits to it will get removed if the file is opened in a newer version of Excel. Learn more: https://go.microsoft.com/fwlink/?linkid=870924
Comment:
    16,102 PY / 1,723</t>
      </text>
    </comment>
    <comment ref="S1910" authorId="998" shapeId="0" xr:uid="{B1BAF2DB-7B45-4C14-8AB9-EF149388A827}">
      <text>
        <t>[Threaded comment]
Your version of Excel allows you to read this threaded comment; however, any edits to it will get removed if the file is opened in a newer version of Excel. Learn more: https://go.microsoft.com/fwlink/?linkid=870924
Comment:
    22,714 PY / 2,376</t>
      </text>
    </comment>
    <comment ref="T1910" authorId="999" shapeId="0" xr:uid="{7A081088-4629-41BD-AE36-5BA04AE9E7A9}">
      <text>
        <t>[Threaded comment]
Your version of Excel allows you to read this threaded comment; however, any edits to it will get removed if the file is opened in a newer version of Excel. Learn more: https://go.microsoft.com/fwlink/?linkid=870924
Comment:
    16,102 PY / 1,723</t>
      </text>
    </comment>
    <comment ref="S1911" authorId="1000" shapeId="0" xr:uid="{E2D93797-A64B-443A-80CE-B75B49486D5F}">
      <text>
        <t>[Threaded comment]
Your version of Excel allows you to read this threaded comment; however, any edits to it will get removed if the file is opened in a newer version of Excel. Learn more: https://go.microsoft.com/fwlink/?linkid=870924
Comment:
    22,714 PY / 2,376</t>
      </text>
    </comment>
    <comment ref="S1912" authorId="1001" shapeId="0" xr:uid="{03A33705-D826-4D67-8B23-1816EAC0C1F1}">
      <text>
        <t>[Threaded comment]
Your version of Excel allows you to read this threaded comment; however, any edits to it will get removed if the file is opened in a newer version of Excel. Learn more: https://go.microsoft.com/fwlink/?linkid=870924
Comment:
    22,714 PY / 2,376</t>
      </text>
    </comment>
    <comment ref="A1913" authorId="1002" shapeId="0" xr:uid="{9B35D4D3-1C57-4BA0-9A0B-68C3B4449D39}">
      <text>
        <t>[Threaded comment]
Your version of Excel allows you to read this threaded comment; however, any edits to it will get removed if the file is opened in a newer version of Excel. Learn more: https://go.microsoft.com/fwlink/?linkid=870924
Comment:
    Number of stage I lung cancers also reported for 1,974 participants with negative baseline LDCT (Table S1).
Reply:
    Do we need that information?
Reply:
    Don't think so.</t>
      </text>
    </comment>
    <comment ref="F1913" authorId="1003" shapeId="0" xr:uid="{A75EB847-39BB-4E8E-A88B-AED07003C9FF}">
      <text>
        <t>[Threaded comment]
Your version of Excel allows you to read this threaded comment; however, any edits to it will get removed if the file is opened in a newer version of Excel. Learn more: https://go.microsoft.com/fwlink/?linkid=870924
Comment:
    Up to this point in the extraction for, the annual screening arm has been the 'screening test' and the 'biennial test' has been the comparator test. Risk of arms being mixed up in the analysis.
Reply:
    Comment appliable for cells F41-45 and G41-45.
Reply:
    Agree. Swapped them round, please check.</t>
      </text>
    </comment>
    <comment ref="AH1923" authorId="1004" shapeId="0" xr:uid="{F7F1295B-42D9-4082-9D8F-C06BA946738C}">
      <text>
        <t>[Threaded comment]
Your version of Excel allows you to read this threaded comment; however, any edits to it will get removed if the file is opened in a newer version of Excel. Learn more: https://go.microsoft.com/fwlink/?linkid=870924
Comment:
    Or should it be the total number of INVASIVE breast cancers only?
Reply:
    I think it has to be just invasive. By definition, you can't have DCIS with lymph node involvement (or it would invasive not DCIS)</t>
      </text>
    </comment>
    <comment ref="AK1923" authorId="1005" shapeId="0" xr:uid="{6D16481C-080E-4854-BE75-F16C2B2452C8}">
      <text>
        <t>[Threaded comment]
Your version of Excel allows you to read this threaded comment; however, any edits to it will get removed if the file is opened in a newer version of Excel. Learn more: https://go.microsoft.com/fwlink/?linkid=870924
Comment:
    124, invasive cancers</t>
      </text>
    </comment>
    <comment ref="AL1923" authorId="1006" shapeId="0" xr:uid="{28C85D8A-E513-4337-9F47-941D88335A78}">
      <text>
        <t>[Threaded comment]
Your version of Excel allows you to read this threaded comment; however, any edits to it will get removed if the file is opened in a newer version of Excel. Learn more: https://go.microsoft.com/fwlink/?linkid=870924
Comment:
    182, invasive cancers</t>
      </text>
    </comment>
    <comment ref="AO1923" authorId="1007" shapeId="0" xr:uid="{F7C9AB81-442E-4AF0-A65C-C84952ADA694}">
      <text>
        <t>[Threaded comment]
Your version of Excel allows you to read this threaded comment; however, any edits to it will get removed if the file is opened in a newer version of Excel. Learn more: https://go.microsoft.com/fwlink/?linkid=870924
Comment:
    31.452
39*100/124</t>
      </text>
    </comment>
    <comment ref="AS1923" authorId="1008" shapeId="0" xr:uid="{ADBCD99C-6F43-4E23-9756-C3EB50AD2744}">
      <text>
        <t>[Threaded comment]
Your version of Excel allows you to read this threaded comment; however, any edits to it will get removed if the file is opened in a newer version of Excel. Learn more: https://go.microsoft.com/fwlink/?linkid=870924
Comment:
    45.604
83*100/182
Reply:
    73*100/182=40.110
Reply:
    Ha! Doesn't bode well that I can't tell the difference between 8s and 7s!</t>
      </text>
    </comment>
    <comment ref="AX1923" authorId="1009" shapeId="0" xr:uid="{0E3C0E86-6D08-4A79-BE2E-69EDCA8F2550}">
      <text>
        <t>[Threaded comment]
Your version of Excel allows you to read this threaded comment; however, any edits to it will get removed if the file is opened in a newer version of Excel. Learn more: https://go.microsoft.com/fwlink/?linkid=870924
Comment:
    0.690
31.452/45.604
Reply:
    31.452/40.110=0.784
Reply:
    agreed</t>
      </text>
    </comment>
    <comment ref="X1926" authorId="1010" shapeId="0" xr:uid="{7544CC58-28A5-442B-B9B5-58E248E847C6}">
      <text>
        <t>[Threaded comment]
Your version of Excel allows you to read this threaded comment; however, any edits to it will get removed if the file is opened in a newer version of Excel. Learn more: https://go.microsoft.com/fwlink/?linkid=870924
Comment:
    Diagnostic yield is just about the screening arm.
Reply:
    Here we also report results from screen 1 in the controls.
Reply:
    Ah. I see.</t>
      </text>
    </comment>
    <comment ref="Z1926" authorId="1011" shapeId="0" xr:uid="{ACC15255-49C5-41A1-BDA7-7BD9B47EB890}">
      <text>
        <t>[Threaded comment]
Your version of Excel allows you to read this threaded comment; however, any edits to it will get removed if the file is opened in a newer version of Excel. Learn more: https://go.microsoft.com/fwlink/?linkid=870924
Comment:
    Number invited from Table 2.
Reply:
    We don't need because diagnostic yield is about the intervention arm only.
Reply:
    Here we also report results from screen 1 in the controls.</t>
      </text>
    </comment>
    <comment ref="AL1926" authorId="1012" shapeId="0" xr:uid="{6B0789B2-1720-4DBA-AAF9-A9BAD0BD5B86}">
      <text>
        <t>[Threaded comment]
Your version of Excel allows you to read this threaded comment; however, any edits to it will get removed if the file is opened in a newer version of Excel. Learn more: https://go.microsoft.com/fwlink/?linkid=870924
Comment:
    Number invited from Table 2.
Reply:
    We don't need because diagnostic yield is about the intervention arm only.
Reply:
    Here we also report results from screen 1 in the controls.
Reply:
    agreed</t>
      </text>
    </comment>
    <comment ref="AR1926" authorId="1013" shapeId="0" xr:uid="{BF2D77F9-597D-4D84-80D3-1B051D530BC8}">
      <text>
        <t>[Threaded comment]
Your version of Excel allows you to read this threaded comment; however, any edits to it will get removed if the file is opened in a newer version of Excel. Learn more: https://go.microsoft.com/fwlink/?linkid=870924
Comment:
    We don't need because diagnostic yield is about the intervention arm only.
Reply:
    Not sure. The comparator arm was screened as well (exit screen), and I have reported data from screen 1 in the control arm here.
Reply:
    agreed</t>
      </text>
    </comment>
    <comment ref="AX1926" authorId="1014" shapeId="0" xr:uid="{C80D69E0-0BAE-41D0-881D-5D390F8F6599}">
      <text>
        <t>[Threaded comment]
Your version of Excel allows you to read this threaded comment; however, any edits to it will get removed if the file is opened in a newer version of Excel. Learn more: https://go.microsoft.com/fwlink/?linkid=870924
Comment:
    We don't need because diagnostic yield is about the intervention arm only.
Reply:
    Not sure. The comparator arm was screened as well (exit screen), and I have reported data from screen 1 in the control arm here.
Reply:
    agreed</t>
      </text>
    </comment>
    <comment ref="X1931" authorId="1015" shapeId="0" xr:uid="{B031896A-2342-4EFE-AD5C-47F04AB05609}">
      <text>
        <t>[Threaded comment]
Your version of Excel allows you to read this threaded comment; however, any edits to it will get removed if the file is opened in a newer version of Excel. Learn more: https://go.microsoft.com/fwlink/?linkid=870924
Comment:
    We don't need because diagnostic yield is about the intervention arm only.
Reply:
    But there was an exit screen in the control group (screen 1)?</t>
      </text>
    </comment>
    <comment ref="Z1931" authorId="1016" shapeId="0" xr:uid="{D4250FBC-CF36-41CE-A5D3-9F4507D13956}">
      <text>
        <t>[Threaded comment]
Your version of Excel allows you to read this threaded comment; however, any edits to it will get removed if the file is opened in a newer version of Excel. Learn more: https://go.microsoft.com/fwlink/?linkid=870924
Comment:
    Number invited from Table 2.
Reply:
    We don't need because diagnostic yield is about the intervention arm only.
Reply:
    But there was an exit screen in the control group (screen 1)?</t>
      </text>
    </comment>
    <comment ref="AL1931" authorId="1017" shapeId="0" xr:uid="{72C34482-996D-4313-BE73-EAFAD3056140}">
      <text>
        <t>[Threaded comment]
Your version of Excel allows you to read this threaded comment; however, any edits to it will get removed if the file is opened in a newer version of Excel. Learn more: https://go.microsoft.com/fwlink/?linkid=870924
Comment:
    Number invited from Table 2.
Reply:
    We don't need because diagnostic yield is about the intervention arm only.
Reply:
    But there was an exit screen in the control group (screen 1)?
Reply:
    I understand. Agree.</t>
      </text>
    </comment>
    <comment ref="AR1931" authorId="1018" shapeId="0" xr:uid="{4B48803B-8CDE-4484-9CE2-3F7893AF9529}">
      <text>
        <t>[Threaded comment]
Your version of Excel allows you to read this threaded comment; however, any edits to it will get removed if the file is opened in a newer version of Excel. Learn more: https://go.microsoft.com/fwlink/?linkid=870924
Comment:
    We don't need because diagnostic yield is about the intervention arm only.
Reply:
    But there was an exit screen in the control group (screen 1)?
Reply:
    I understand. Agree.</t>
      </text>
    </comment>
    <comment ref="AV1931" authorId="1019" shapeId="0" xr:uid="{6CF69C55-6940-406B-B504-A53161DAE1EC}">
      <text>
        <t xml:space="preserve">[Threaded comment]
Your version of Excel allows you to read this threaded comment; however, any edits to it will get removed if the file is opened in a newer version of Excel. Learn more: https://go.microsoft.com/fwlink/?linkid=870924
Comment:
    We don't need because diagnostic yield is about the intervention arm only.
Reply:
    But there was an exit screen in the control group (screen 1)?
Reply:
    I understand. Agree.
</t>
      </text>
    </comment>
    <comment ref="AX1931" authorId="1020" shapeId="0" xr:uid="{30957318-03E7-445D-9E48-4AA7F6C2887A}">
      <text>
        <t xml:space="preserve">[Threaded comment]
Your version of Excel allows you to read this threaded comment; however, any edits to it will get removed if the file is opened in a newer version of Excel. Learn more: https://go.microsoft.com/fwlink/?linkid=870924
Comment:
    We don't need because diagnostic yield is about the intervention arm only.
Reply:
    But there was an exit screen in the control group (screen 1)?
Reply:
    I understand. Agree.
</t>
      </text>
    </comment>
    <comment ref="Z1935" authorId="1021" shapeId="0" xr:uid="{9E595EEE-F3E1-4F86-BBE6-1E30BA794DDE}">
      <text>
        <t>[Threaded comment]
Your version of Excel allows you to read this threaded comment; however, any edits to it will get removed if the file is opened in a newer version of Excel. Learn more: https://go.microsoft.com/fwlink/?linkid=870924
Comment:
    Number invited from Table 2.
Reply:
    We don't need because diagnostic yield is about the intervention arm only.
Reply:
    But there was an exit screen in the control group (screen 1)?</t>
      </text>
    </comment>
    <comment ref="AL1935" authorId="1022" shapeId="0" xr:uid="{CF3CFF0B-AC6E-47B7-82BD-A8951C549FE5}">
      <text>
        <t xml:space="preserve">[Threaded comment]
Your version of Excel allows you to read this threaded comment; however, any edits to it will get removed if the file is opened in a newer version of Excel. Learn more: https://go.microsoft.com/fwlink/?linkid=870924
Comment:
    Number invited from Table 2.
Reply:
    We don't need because diagnostic yield is about the intervention arm only.
Reply:
    But there was an exit screen in the control group (screen 1)?
Reply:
    I understand. Agree.
</t>
      </text>
    </comment>
    <comment ref="AR1935" authorId="1023" shapeId="0" xr:uid="{272E4E9B-A45E-4A9D-BA5C-8E51E316514F}">
      <text>
        <t xml:space="preserve">[Threaded comment]
Your version of Excel allows you to read this threaded comment; however, any edits to it will get removed if the file is opened in a newer version of Excel. Learn more: https://go.microsoft.com/fwlink/?linkid=870924
Comment:
    We don't need because diagnostic yield is about the intervention arm only.
Reply:
    But there was an exit screen in the control group (screen 1)?
Reply:
    I understand. Agree.
</t>
      </text>
    </comment>
    <comment ref="AV1935" authorId="1024" shapeId="0" xr:uid="{7431E74E-F666-4F3B-BE0A-7191F3C8588E}">
      <text>
        <t xml:space="preserve">[Threaded comment]
Your version of Excel allows you to read this threaded comment; however, any edits to it will get removed if the file is opened in a newer version of Excel. Learn more: https://go.microsoft.com/fwlink/?linkid=870924
Comment:
    We don't need because diagnostic yield is about the intervention arm only.
Reply:
    But there was an exit screen in the control group (screen 1)?
Reply:
    I understand. Agree.
</t>
      </text>
    </comment>
    <comment ref="AX1935" authorId="1025" shapeId="0" xr:uid="{E9C33E12-16A5-4392-84D7-7F6AEB0EAE4B}">
      <text>
        <t xml:space="preserve">[Threaded comment]
Your version of Excel allows you to read this threaded comment; however, any edits to it will get removed if the file is opened in a newer version of Excel. Learn more: https://go.microsoft.com/fwlink/?linkid=870924
Comment:
    We don't need because diagnostic yield is about the intervention arm only.
Reply:
    But there was an exit screen in the control group (screen 1)?
Reply:
    I understand. Agree.
</t>
      </text>
    </comment>
    <comment ref="Z1939" authorId="1026" shapeId="0" xr:uid="{D5505E3E-FCD7-4C3D-AF9E-8EBC8685344F}">
      <text>
        <t xml:space="preserve">[Threaded comment]
Your version of Excel allows you to read this threaded comment; however, any edits to it will get removed if the file is opened in a newer version of Excel. Learn more: https://go.microsoft.com/fwlink/?linkid=870924
Comment:
    Number invited from Table 2.
Reply:
    We don't need because diagnostic yield is about the intervention arm only.
Reply:
    But there was an exit screen in the control group (screen 1)?
Reply:
    I understand. Agree.
</t>
      </text>
    </comment>
    <comment ref="AL1939" authorId="1027" shapeId="0" xr:uid="{65811B31-4622-4395-A98F-F068CAC18D5E}">
      <text>
        <t xml:space="preserve">[Threaded comment]
Your version of Excel allows you to read this threaded comment; however, any edits to it will get removed if the file is opened in a newer version of Excel. Learn more: https://go.microsoft.com/fwlink/?linkid=870924
Comment:
    Number invited from Table 2.
Reply:
    We don't need because diagnostic yield is about the intervention arm only.
Reply:
    But there was an exit screen in the control group (screen 1)?
Reply:
    I understand. Agree.
</t>
      </text>
    </comment>
    <comment ref="AR1939" authorId="1028" shapeId="0" xr:uid="{1539F409-E2AD-49F5-9F04-D0C5BEA3D67E}">
      <text>
        <t xml:space="preserve">[Threaded comment]
Your version of Excel allows you to read this threaded comment; however, any edits to it will get removed if the file is opened in a newer version of Excel. Learn more: https://go.microsoft.com/fwlink/?linkid=870924
Comment:
    We don't need because diagnostic yield is about the intervention arm only.
Reply:
    But there was an exit screen in the control group (screen 1)?
Reply:
    I understand. Agree.
</t>
      </text>
    </comment>
    <comment ref="AV1939" authorId="1029" shapeId="0" xr:uid="{613997F0-DDB3-4453-90D3-5F3F11C97571}">
      <text>
        <t xml:space="preserve">[Threaded comment]
Your version of Excel allows you to read this threaded comment; however, any edits to it will get removed if the file is opened in a newer version of Excel. Learn more: https://go.microsoft.com/fwlink/?linkid=870924
Comment:
    We don't need because diagnostic yield is about the intervention arm only.
Reply:
    But there was an exit screen in the control group (screen 1)?
Reply:
    I understand. Agree.
</t>
      </text>
    </comment>
    <comment ref="AX1939" authorId="1030" shapeId="0" xr:uid="{00F5E83C-C09C-46E3-8C79-1EF0B661F515}">
      <text>
        <t xml:space="preserve">[Threaded comment]
Your version of Excel allows you to read this threaded comment; however, any edits to it will get removed if the file is opened in a newer version of Excel. Learn more: https://go.microsoft.com/fwlink/?linkid=870924
Comment:
    We don't need because diagnostic yield is about the intervention arm only.
Reply:
    But there was an exit screen in the control group (screen 1)?
Reply:
    I understand. Agree.
</t>
      </text>
    </comment>
    <comment ref="Z1943" authorId="1031" shapeId="0" xr:uid="{65C13A8D-72EE-4970-9486-AC3FDAF8D27A}">
      <text>
        <t xml:space="preserve">[Threaded comment]
Your version of Excel allows you to read this threaded comment; however, any edits to it will get removed if the file is opened in a newer version of Excel. Learn more: https://go.microsoft.com/fwlink/?linkid=870924
Comment:
    Number invited from Table 2.
Reply:
    We don't need because diagnostic yield is about the intervention arm only.
Reply:
    But there was an exit screen in the control group (screen 1)?
Reply:
    I understand. Agree.
</t>
      </text>
    </comment>
    <comment ref="AL1943" authorId="1032" shapeId="0" xr:uid="{62E330C7-6B1C-4C0D-BC64-B809CBF8A935}">
      <text>
        <t xml:space="preserve">[Threaded comment]
Your version of Excel allows you to read this threaded comment; however, any edits to it will get removed if the file is opened in a newer version of Excel. Learn more: https://go.microsoft.com/fwlink/?linkid=870924
Comment:
    Number invited from Table 2.
Reply:
    We don't need because diagnostic yield is about the intervention arm only.
Reply:
    I understand. Agree.
</t>
      </text>
    </comment>
    <comment ref="AR1943" authorId="1033" shapeId="0" xr:uid="{157E251A-260E-4AD5-A2D3-BA10DC4A9EE3}">
      <text>
        <t xml:space="preserve">[Threaded comment]
Your version of Excel allows you to read this threaded comment; however, any edits to it will get removed if the file is opened in a newer version of Excel. Learn more: https://go.microsoft.com/fwlink/?linkid=870924
Comment:
    We don't need because diagnostic yield is about the intervention arm only.
Reply:
    But there was an exit screen in the control group (screen 1)?
Reply:
    I understand. Agree.
</t>
      </text>
    </comment>
    <comment ref="AV1943" authorId="1034" shapeId="0" xr:uid="{2260AFA5-B9CB-453F-81CB-3B4186A68FA9}">
      <text>
        <t xml:space="preserve">[Threaded comment]
Your version of Excel allows you to read this threaded comment; however, any edits to it will get removed if the file is opened in a newer version of Excel. Learn more: https://go.microsoft.com/fwlink/?linkid=870924
Comment:
    We don't need because diagnostic yield is about the intervention arm only.
Reply:
    But there was an exit screen in the control group (screen 1)?
Reply:
    I understand. Agree.
</t>
      </text>
    </comment>
    <comment ref="AX1943" authorId="1035" shapeId="0" xr:uid="{96F6AD71-9E9D-4AE6-9C95-932D29DAEF79}">
      <text>
        <t xml:space="preserve">[Threaded comment]
Your version of Excel allows you to read this threaded comment; however, any edits to it will get removed if the file is opened in a newer version of Excel. Learn more: https://go.microsoft.com/fwlink/?linkid=870924
Comment:
    We don't need because diagnostic yield is about the intervention arm only.
Reply:
    But there was an exit screen in the control group (screen 1)?
Reply:
    I understand. Agree.
</t>
      </text>
    </comment>
    <comment ref="AH1947" authorId="1036" shapeId="0" xr:uid="{0A6242BB-0569-4448-B03D-FCCE2FD62AFC}">
      <text>
        <t xml:space="preserve">[Threaded comment]
Your version of Excel allows you to read this threaded comment; however, any edits to it will get removed if the file is opened in a newer version of Excel. Learn more: https://go.microsoft.com/fwlink/?linkid=870924
Comment:
    Or should it be the number of invasive breast cancers only?
Reply:
    I think it has to be just invasive. By definition, you can't have DCIS with lymph node involvement (or it would invasive not DCIS)
</t>
      </text>
    </comment>
    <comment ref="AK1947" authorId="1037" shapeId="0" xr:uid="{4E5BA9DA-C907-498D-BD09-015D8512B56B}">
      <text>
        <t>[Threaded comment]
Your version of Excel allows you to read this threaded comment; however, any edits to it will get removed if the file is opened in a newer version of Excel. Learn more: https://go.microsoft.com/fwlink/?linkid=870924
Comment:
    271, invasive</t>
      </text>
    </comment>
    <comment ref="AL1947" authorId="1038" shapeId="0" xr:uid="{49B5DBD5-7691-499B-9E01-CD0D900BEB3F}">
      <text>
        <t>[Threaded comment]
Your version of Excel allows you to read this threaded comment; however, any edits to it will get removed if the file is opened in a newer version of Excel. Learn more: https://go.microsoft.com/fwlink/?linkid=870924
Comment:
    415, invasive</t>
      </text>
    </comment>
    <comment ref="AO1947" authorId="1039" shapeId="0" xr:uid="{7A7589F3-C55F-478C-9F70-313B3C0856AB}">
      <text>
        <t>[Threaded comment]
Your version of Excel allows you to read this threaded comment; however, any edits to it will get removed if the file is opened in a newer version of Excel. Learn more: https://go.microsoft.com/fwlink/?linkid=870924
Comment:
    31.365
85*100/271</t>
      </text>
    </comment>
    <comment ref="AS1947" authorId="1040" shapeId="0" xr:uid="{CBBDC8C6-2C41-42C6-AB03-D04DEE0D4AE4}">
      <text>
        <t>[Threaded comment]
Your version of Excel allows you to read this threaded comment; however, any edits to it will get removed if the file is opened in a newer version of Excel. Learn more: https://go.microsoft.com/fwlink/?linkid=870924
Comment:
    34.699
144*100/415</t>
      </text>
    </comment>
    <comment ref="AX1947" authorId="1041" shapeId="0" xr:uid="{4E399F73-ACD7-443E-B4EC-3DB3DABCB13E}">
      <text>
        <t>[Threaded comment]
Your version of Excel allows you to read this threaded comment; however, any edits to it will get removed if the file is opened in a newer version of Excel. Learn more: https://go.microsoft.com/fwlink/?linkid=870924
Comment:
    0.904
31.365/34.699</t>
      </text>
    </comment>
    <comment ref="AO1949" authorId="1042" shapeId="0" xr:uid="{C4F04593-AC03-4C75-8633-C145199C612C}">
      <text>
        <t>[Threaded comment]
Your version of Excel allows you to read this threaded comment; however, any edits to it will get removed if the file is opened in a newer version of Excel. Learn more: https://go.microsoft.com/fwlink/?linkid=870924
Comment:
    Slightly different to reported rate. Why???
Reply:
    Poisson regression perhaps.</t>
      </text>
    </comment>
    <comment ref="AH1950" authorId="1043" shapeId="0" xr:uid="{C4B696C2-374C-4849-80A1-896B9668B983}">
      <text>
        <t xml:space="preserve">[Threaded comment]
Your version of Excel allows you to read this threaded comment; however, any edits to it will get removed if the file is opened in a newer version of Excel. Learn more: https://go.microsoft.com/fwlink/?linkid=870924
Comment:
    Or should it be the number of invasive breast cancers only?
Reply:
    I think it has to be just invasive. By definition, you can't have DCIS with lymph node involvement (or it would invasive not DCIS)
</t>
      </text>
    </comment>
    <comment ref="AK1950" authorId="1044" shapeId="0" xr:uid="{AE94881C-2CA8-431C-83B3-2202C438E394}">
      <text>
        <t>[Threaded comment]
Your version of Excel allows you to read this threaded comment; however, any edits to it will get removed if the file is opened in a newer version of Excel. Learn more: https://go.microsoft.com/fwlink/?linkid=870924
Comment:
    67, invasive</t>
      </text>
    </comment>
    <comment ref="AL1950" authorId="1045" shapeId="0" xr:uid="{0EE54A59-F384-45D3-8884-07FF8FB3DA9E}">
      <text>
        <t>[Threaded comment]
Your version of Excel allows you to read this threaded comment; however, any edits to it will get removed if the file is opened in a newer version of Excel. Learn more: https://go.microsoft.com/fwlink/?linkid=870924
Comment:
    106, invasive</t>
      </text>
    </comment>
    <comment ref="AO1950" authorId="1046" shapeId="0" xr:uid="{CC714C61-E9AC-45F4-A883-24C59CFAE125}">
      <text>
        <t>[Threaded comment]
Your version of Excel allows you to read this threaded comment; however, any edits to it will get removed if the file is opened in a newer version of Excel. Learn more: https://go.microsoft.com/fwlink/?linkid=870924
Comment:
    35.821
24*100/67</t>
      </text>
    </comment>
    <comment ref="AS1950" authorId="1047" shapeId="0" xr:uid="{104BD505-FD4C-4C40-9B9C-02B14FB361B7}">
      <text>
        <t>[Threaded comment]
Your version of Excel allows you to read this threaded comment; however, any edits to it will get removed if the file is opened in a newer version of Excel. Learn more: https://go.microsoft.com/fwlink/?linkid=870924
Comment:
    38.679
41*100/106</t>
      </text>
    </comment>
    <comment ref="AX1950" authorId="1048" shapeId="0" xr:uid="{14046445-414A-4364-B741-A429B7F4022A}">
      <text>
        <t>[Threaded comment]
Your version of Excel allows you to read this threaded comment; however, any edits to it will get removed if the file is opened in a newer version of Excel. Learn more: https://go.microsoft.com/fwlink/?linkid=870924
Comment:
    0.926
35.821/38.679</t>
      </text>
    </comment>
    <comment ref="AH1953" authorId="1049" shapeId="0" xr:uid="{ADE16869-B4A4-4E8B-9427-DD3ABB2B72C1}">
      <text>
        <t xml:space="preserve">[Threaded comment]
Your version of Excel allows you to read this threaded comment; however, any edits to it will get removed if the file is opened in a newer version of Excel. Learn more: https://go.microsoft.com/fwlink/?linkid=870924
Comment:
    Or should it be the number of invasive breast cancers only?
Reply:
    I think it has to be just invasive. By definition, you can't have DCIS with lymph node involvement (or it would invasive not DCIS)
</t>
      </text>
    </comment>
    <comment ref="AK1953" authorId="1050" shapeId="0" xr:uid="{624F399D-7F0E-442C-AEFF-F99F47BDB499}">
      <text>
        <t>[Threaded comment]
Your version of Excel allows you to read this threaded comment; however, any edits to it will get removed if the file is opened in a newer version of Excel. Learn more: https://go.microsoft.com/fwlink/?linkid=870924
Comment:
    57, invasive</t>
      </text>
    </comment>
    <comment ref="AL1953" authorId="1051" shapeId="0" xr:uid="{ABDA39FB-F04C-488C-8F7C-F2B6EE8F183A}">
      <text>
        <t>[Threaded comment]
Your version of Excel allows you to read this threaded comment; however, any edits to it will get removed if the file is opened in a newer version of Excel. Learn more: https://go.microsoft.com/fwlink/?linkid=870924
Comment:
    78, invasive</t>
      </text>
    </comment>
    <comment ref="AO1953" authorId="1052" shapeId="0" xr:uid="{64864BBE-D01C-4BE5-995F-938E0547B63D}">
      <text>
        <t>[Threaded comment]
Your version of Excel allows you to read this threaded comment; however, any edits to it will get removed if the file is opened in a newer version of Excel. Learn more: https://go.microsoft.com/fwlink/?linkid=870924
Comment:
    26.316
15*100/57</t>
      </text>
    </comment>
    <comment ref="AS1953" authorId="1053" shapeId="0" xr:uid="{340203D2-DF38-41E6-8BE5-35ED68F8F9DD}">
      <text>
        <t>[Threaded comment]
Your version of Excel allows you to read this threaded comment; however, any edits to it will get removed if the file is opened in a newer version of Excel. Learn more: https://go.microsoft.com/fwlink/?linkid=870924
Comment:
    41.026
32*100/78</t>
      </text>
    </comment>
    <comment ref="AX1953" authorId="1054" shapeId="0" xr:uid="{F96DFE83-24FA-44F6-BC7F-A5FB855C6441}">
      <text>
        <t>[Threaded comment]
Your version of Excel allows you to read this threaded comment; however, any edits to it will get removed if the file is opened in a newer version of Excel. Learn more: https://go.microsoft.com/fwlink/?linkid=870924
Comment:
    0.641
26.316/41.026</t>
      </text>
    </comment>
    <comment ref="AH1956" authorId="1055" shapeId="0" xr:uid="{86E832FD-A6C5-49DD-BF21-35743D0EFDC3}">
      <text>
        <t xml:space="preserve">[Threaded comment]
Your version of Excel allows you to read this threaded comment; however, any edits to it will get removed if the file is opened in a newer version of Excel. Learn more: https://go.microsoft.com/fwlink/?linkid=870924
Comment:
    Or should it be the number of invasive breast cancers only?
Reply:
    I think it has to be just invasive. By definition, you can't have DCIS with lymph node involvement (or it would invasive not DCIS)
</t>
      </text>
    </comment>
    <comment ref="AK1956" authorId="1056" shapeId="0" xr:uid="{4CDDA359-37C4-4CFA-839B-570F76EC3D5F}">
      <text>
        <t>[Threaded comment]
Your version of Excel allows you to read this threaded comment; however, any edits to it will get removed if the file is opened in a newer version of Excel. Learn more: https://go.microsoft.com/fwlink/?linkid=870924
Comment:
    74 invasive</t>
      </text>
    </comment>
    <comment ref="AL1956" authorId="1057" shapeId="0" xr:uid="{CC3E8A47-F916-4346-81F9-4CD03646AB8E}">
      <text>
        <t>[Threaded comment]
Your version of Excel allows you to read this threaded comment; however, any edits to it will get removed if the file is opened in a newer version of Excel. Learn more: https://go.microsoft.com/fwlink/?linkid=870924
Comment:
    101 invasive</t>
      </text>
    </comment>
    <comment ref="AO1956" authorId="1058" shapeId="0" xr:uid="{70FAB8AF-0469-4899-933B-E8BAB14D6264}">
      <text>
        <t>[Threaded comment]
Your version of Excel allows you to read this threaded comment; however, any edits to it will get removed if the file is opened in a newer version of Excel. Learn more: https://go.microsoft.com/fwlink/?linkid=870924
Comment:
    36.486
27*100/74</t>
      </text>
    </comment>
    <comment ref="AS1956" authorId="1059" shapeId="0" xr:uid="{6AB96C32-CD88-4FB8-B72D-978A123CDD63}">
      <text>
        <t>[Threaded comment]
Your version of Excel allows you to read this threaded comment; however, any edits to it will get removed if the file is opened in a newer version of Excel. Learn more: https://go.microsoft.com/fwlink/?linkid=870924
Comment:
    35.644
36*100/101</t>
      </text>
    </comment>
    <comment ref="AX1956" authorId="1060" shapeId="0" xr:uid="{6E7313C8-F4B8-490F-A6DE-F303AE18FBCF}">
      <text>
        <t>[Threaded comment]
Your version of Excel allows you to read this threaded comment; however, any edits to it will get removed if the file is opened in a newer version of Excel. Learn more: https://go.microsoft.com/fwlink/?linkid=870924
Comment:
    1.024
36.486/35.644</t>
      </text>
    </comment>
    <comment ref="AH1959" authorId="1061" shapeId="0" xr:uid="{07F71110-0DC0-4433-96B0-6F19805BA3D1}">
      <text>
        <t xml:space="preserve">[Threaded comment]
Your version of Excel allows you to read this threaded comment; however, any edits to it will get removed if the file is opened in a newer version of Excel. Learn more: https://go.microsoft.com/fwlink/?linkid=870924
Comment:
    Or should it be the number of invasive breast cancers only?
Reply:
    I think it has to be just invasive. By definition, you can't have DCIS with lymph node involvement (or it would invasive not DCIS)
</t>
      </text>
    </comment>
    <comment ref="AK1959" authorId="1062" shapeId="0" xr:uid="{3A671BF0-CF6C-40CB-8CA3-330EC146901B}">
      <text>
        <t>[Threaded comment]
Your version of Excel allows you to read this threaded comment; however, any edits to it will get removed if the file is opened in a newer version of Excel. Learn more: https://go.microsoft.com/fwlink/?linkid=870924
Comment:
    73 invasive</t>
      </text>
    </comment>
    <comment ref="AL1959" authorId="1063" shapeId="0" xr:uid="{01006FE6-853E-4C3D-A990-C60DC7BA0ADA}">
      <text>
        <t>[Threaded comment]
Your version of Excel allows you to read this threaded comment; however, any edits to it will get removed if the file is opened in a newer version of Excel. Learn more: https://go.microsoft.com/fwlink/?linkid=870924
Comment:
    130 invasive</t>
      </text>
    </comment>
    <comment ref="AO1959" authorId="1064" shapeId="0" xr:uid="{6296CBB9-40D1-4FD6-AF58-87D7004DD196}">
      <text>
        <t>[Threaded comment]
Your version of Excel allows you to read this threaded comment; however, any edits to it will get removed if the file is opened in a newer version of Excel. Learn more: https://go.microsoft.com/fwlink/?linkid=870924
Comment:
    26.027
19*100/73</t>
      </text>
    </comment>
    <comment ref="AS1959" authorId="1065" shapeId="0" xr:uid="{4590715A-8C36-4EC2-8C48-94B870CD82B1}">
      <text>
        <t>[Threaded comment]
Your version of Excel allows you to read this threaded comment; however, any edits to it will get removed if the file is opened in a newer version of Excel. Learn more: https://go.microsoft.com/fwlink/?linkid=870924
Comment:
    26.923
35*100/130</t>
      </text>
    </comment>
    <comment ref="AX1959" authorId="1066" shapeId="0" xr:uid="{AE83ABEF-852E-4029-A5FA-A8470768CF8D}">
      <text>
        <t>[Threaded comment]
Your version of Excel allows you to read this threaded comment; however, any edits to it will get removed if the file is opened in a newer version of Excel. Learn more: https://go.microsoft.com/fwlink/?linkid=870924
Comment:
    0.967
26.027/26.923</t>
      </text>
    </comment>
    <comment ref="AH1962" authorId="1067" shapeId="0" xr:uid="{99F522B6-DA23-468A-88CD-72F716B6DCCE}">
      <text>
        <t>[Threaded comment]
Your version of Excel allows you to read this threaded comment; however, any edits to it will get removed if the file is opened in a newer version of Excel. Learn more: https://go.microsoft.com/fwlink/?linkid=870924
Comment:
    Or should it be the number of invasive breast cancers only?
Reply:
    I think it has to be just invasive. By definition, you can't have DCIS with lymph node involvement (or it would invasive not DCIS)</t>
      </text>
    </comment>
    <comment ref="AK1962" authorId="1068" shapeId="0" xr:uid="{FEFC3E93-E94E-4AA2-A6BF-4D61E49FD835}">
      <text>
        <t>[Threaded comment]
Your version of Excel allows you to read this threaded comment; however, any edits to it will get removed if the file is opened in a newer version of Excel. Learn more: https://go.microsoft.com/fwlink/?linkid=870924
Comment:
    124 invasive</t>
      </text>
    </comment>
    <comment ref="AL1962" authorId="1069" shapeId="0" xr:uid="{BBA18664-0286-4547-B0D1-7829704AFE2F}">
      <text>
        <t>[Threaded comment]
Your version of Excel allows you to read this threaded comment; however, any edits to it will get removed if the file is opened in a newer version of Excel. Learn more: https://go.microsoft.com/fwlink/?linkid=870924
Comment:
    184 invasive</t>
      </text>
    </comment>
    <comment ref="AO1962" authorId="1070" shapeId="0" xr:uid="{FDB14AE3-19D1-4E75-875D-F063BEB9C515}">
      <text>
        <t>[Threaded comment]
Your version of Excel allows you to read this threaded comment; however, any edits to it will get removed if the file is opened in a newer version of Excel. Learn more: https://go.microsoft.com/fwlink/?linkid=870924
Comment:
    31.452
39*100/124</t>
      </text>
    </comment>
    <comment ref="AS1962" authorId="1071" shapeId="0" xr:uid="{94FCC85A-89BD-40A1-9570-1FBEF77634D9}">
      <text>
        <t>[Threaded comment]
Your version of Excel allows you to read this threaded comment; however, any edits to it will get removed if the file is opened in a newer version of Excel. Learn more: https://go.microsoft.com/fwlink/?linkid=870924
Comment:
    39.674
73*100/184</t>
      </text>
    </comment>
    <comment ref="AX1962" authorId="1072" shapeId="0" xr:uid="{7768AD12-F7AB-46A6-95AC-A4BD43B82781}">
      <text>
        <t>[Threaded comment]
Your version of Excel allows you to read this threaded comment; however, any edits to it will get removed if the file is opened in a newer version of Excel. Learn more: https://go.microsoft.com/fwlink/?linkid=870924
Comment:
    0.793
31.452/39.674</t>
      </text>
    </comment>
    <comment ref="D1965" authorId="1073" shapeId="0" xr:uid="{70338A75-A8E6-4E2C-A596-E8076DFC11BB}">
      <text>
        <t xml:space="preserve">[Threaded comment]
Your version of Excel allows you to read this threaded comment; however, any edits to it will get removed if the file is opened in a newer version of Excel. Learn more: https://go.microsoft.com/fwlink/?linkid=870924
Comment:
    The protocol says diagnostic yield is intervention arm only
Reply:
    Yes, but in some trials, both arms receive a screening test. Or like here, there is an exit screen...
Reply:
    I understand. Agree.
</t>
      </text>
    </comment>
    <comment ref="AG1965" authorId="1074" shapeId="0" xr:uid="{BC111718-5DB6-4B3C-82A4-69D8CB6CEE93}">
      <text>
        <t xml:space="preserve">[Threaded comment]
Your version of Excel allows you to read this threaded comment; however, any edits to it will get removed if the file is opened in a newer version of Excel. Learn more: https://go.microsoft.com/fwlink/?linkid=870924
Comment:
    The protocol says diagnostic yield is intervention arm only
Reply:
    If the comparator arm received a screening test, I have included them as well.
Reply:
    I understand. Agree.
</t>
      </text>
    </comment>
    <comment ref="AJ1965" authorId="1075" shapeId="0" xr:uid="{FAFF8409-FE7A-43A0-9B5A-2ECA8271D8B3}">
      <text>
        <t xml:space="preserve">[Threaded comment]
Your version of Excel allows you to read this threaded comment; however, any edits to it will get removed if the file is opened in a newer version of Excel. Learn more: https://go.microsoft.com/fwlink/?linkid=870924
Comment:
    The protocol says diagnostic yield is intervention arm only
Reply:
    If the comparator arm received a screening test, I have included them as well.
Reply:
    I understand. Agree.
</t>
      </text>
    </comment>
    <comment ref="AL1965" authorId="1076" shapeId="0" xr:uid="{D97332A2-D01F-4514-9349-6D43E6ED432C}">
      <text>
        <t xml:space="preserve">[Threaded comment]
Your version of Excel allows you to read this threaded comment; however, any edits to it will get removed if the file is opened in a newer version of Excel. Learn more: https://go.microsoft.com/fwlink/?linkid=870924
Comment:
    The protocol says diagnostic yield is intervention arm only
Reply:
    If the comparator arm received a screening test, I have included them as well.
Reply:
    I understand. Agree.
</t>
      </text>
    </comment>
    <comment ref="AS1965" authorId="1077" shapeId="0" xr:uid="{0D33B80A-CE76-46ED-8955-A2198B2EA451}">
      <text>
        <t xml:space="preserve">[Threaded comment]
Your version of Excel allows you to read this threaded comment; however, any edits to it will get removed if the file is opened in a newer version of Excel. Learn more: https://go.microsoft.com/fwlink/?linkid=870924
Comment:
    The protocol says diagnostic yield is intervention arm only
Reply:
    I understand. Agree.
</t>
      </text>
    </comment>
    <comment ref="AV1965" authorId="1078" shapeId="0" xr:uid="{BA565657-9E21-4692-BC67-81A391560871}">
      <text>
        <t xml:space="preserve">[Threaded comment]
Your version of Excel allows you to read this threaded comment; however, any edits to it will get removed if the file is opened in a newer version of Excel. Learn more: https://go.microsoft.com/fwlink/?linkid=870924
Comment:
    Shouldn't need this 'cos diagnostic yield is about intervention arm only
Reply:
    I understand. Agree.
</t>
      </text>
    </comment>
    <comment ref="AX1965" authorId="1079" shapeId="0" xr:uid="{A5ADD07D-1787-4BC3-9278-93B801041E42}">
      <text>
        <t xml:space="preserve">[Threaded comment]
Your version of Excel allows you to read this threaded comment; however, any edits to it will get removed if the file is opened in a newer version of Excel. Learn more: https://go.microsoft.com/fwlink/?linkid=870924
Comment:
    Shouldn't need this 'cos diagnostic yield is about intervention arm only
Reply:
    I understand. Agree.
</t>
      </text>
    </comment>
    <comment ref="X1966" authorId="1080" shapeId="0" xr:uid="{41162E3E-3166-4892-B16B-9F716FA2F056}">
      <text>
        <t xml:space="preserve">[Threaded comment]
Your version of Excel allows you to read this threaded comment; however, any edits to it will get removed if the file is opened in a newer version of Excel. Learn more: https://go.microsoft.com/fwlink/?linkid=870924
Comment:
    Surrogate 5 is only about the intervention arm. Is the control arm included because they had 1 screening round?
Reply:
    Yes.
Reply:
    I understand. Agree.
</t>
      </text>
    </comment>
    <comment ref="AH1966" authorId="1081" shapeId="0" xr:uid="{F10896D1-C675-4B42-8560-AB8DEDBDAE67}">
      <text>
        <t>[Threaded comment]
Your version of Excel allows you to read this threaded comment; however, any edits to it will get removed if the file is opened in a newer version of Excel. Learn more: https://go.microsoft.com/fwlink/?linkid=870924
Comment:
    agreed</t>
      </text>
    </comment>
    <comment ref="AL1966" authorId="1082" shapeId="0" xr:uid="{D9B5A129-B588-430F-902A-575C79BF45C4}">
      <text>
        <t>[Threaded comment]
Your version of Excel allows you to read this threaded comment; however, any edits to it will get removed if the file is opened in a newer version of Excel. Learn more: https://go.microsoft.com/fwlink/?linkid=870924
Comment:
    Is this right? The 326 were symptomatic before screening, not during the screening period.
Reply:
    Yes. See my suggested rewording of the denominator.
Reply:
    agreed</t>
      </text>
    </comment>
    <comment ref="AS1966" authorId="1083" shapeId="0" xr:uid="{F0165156-94A0-4792-8DFA-E666EC9D3A64}">
      <text>
        <t>[Threaded comment]
Your version of Excel allows you to read this threaded comment; however, any edits to it will get removed if the file is opened in a newer version of Excel. Learn more: https://go.microsoft.com/fwlink/?linkid=870924
Comment:
    Depends on queries to:
1) whether data for the control arm should be extracted.
2) whether the people who were symptomatic before the screening period should be included
Reply:
    I think YES to both. 😊
Reply:
    agreed</t>
      </text>
    </comment>
    <comment ref="AX1966" authorId="1084" shapeId="0" xr:uid="{371439EF-42BD-4B83-849F-BBBAD95BB0D9}">
      <text>
        <t>[Threaded comment]
Your version of Excel allows you to read this threaded comment; however, any edits to it will get removed if the file is opened in a newer version of Excel. Learn more: https://go.microsoft.com/fwlink/?linkid=870924
Comment:
    Depends on queries to:
1) whether data for the control arm should be extracted.
2) whether the people who were symptomatic before the screening period should be included
Reply:
    I think YES to both.
Reply:
    agreed</t>
      </text>
    </comment>
    <comment ref="AW1967" authorId="1085" shapeId="0" xr:uid="{0EF2B3E9-0FC9-491B-A604-243FDA963431}">
      <text>
        <t>[Threaded comment]
Your version of Excel allows you to read this threaded comment; however, any edits to it will get removed if the file is opened in a newer version of Excel. Learn more: https://go.microsoft.com/fwlink/?linkid=870924
Comment:
    Says RR 0.80 in the paragraph above Table 2
Reply:
    Added.</t>
      </text>
    </comment>
    <comment ref="BC1967" authorId="1086" shapeId="0" xr:uid="{A54618BC-4ADB-42BA-BF41-8D1B3B21E0F9}">
      <text>
        <t>[Threaded comment]
Your version of Excel allows you to read this threaded comment; however, any edits to it will get removed if the file is opened in a newer version of Excel. Learn more: https://go.microsoft.com/fwlink/?linkid=870924
Comment:
    Isn't this just the unadjusted estimate?
Reply:
    Corrected.</t>
      </text>
    </comment>
    <comment ref="D1976" authorId="677" shapeId="0" xr:uid="{C89BB93B-8BE1-4831-BB95-D808E9534B0E}">
      <text>
        <r>
          <rPr>
            <b/>
            <sz val="9"/>
            <color indexed="81"/>
            <rFont val="Tahoma"/>
            <family val="2"/>
          </rPr>
          <t>Randell, Matthew:</t>
        </r>
        <r>
          <rPr>
            <sz val="9"/>
            <color indexed="81"/>
            <rFont val="Tahoma"/>
            <family val="2"/>
          </rPr>
          <t xml:space="preserve">
This is what we are calculating maybe, but the paper doesn't report diagnostic yield per 1000 people, it just gives the n of CRC incidence?
JG - THAT'S CORRECT. WE ARE USING THE REPORTED RESULTS TO CALCULATE THE 7 SURROGATE OUTCOMES WE ARE INTERESTED IN.
MJR - I understand now</t>
        </r>
      </text>
    </comment>
    <comment ref="BF1976" authorId="677" shapeId="0" xr:uid="{5A40568E-18D2-4B3B-9C29-CEBBC7231BF0}">
      <text>
        <r>
          <rPr>
            <b/>
            <sz val="9"/>
            <color indexed="81"/>
            <rFont val="Tahoma"/>
            <family val="2"/>
          </rPr>
          <t>Randell, Matthew:</t>
        </r>
        <r>
          <rPr>
            <sz val="9"/>
            <color indexed="81"/>
            <rFont val="Tahoma"/>
            <family val="2"/>
          </rPr>
          <t xml:space="preserve">
Table 5? I am struggling to see the 35 CRCs in table 2.
JG - I HAVE USED TABLE 2 HERE: 4+12+12+7=35.
MJR - I see it now.</t>
        </r>
      </text>
    </comment>
    <comment ref="BF1977" authorId="677" shapeId="0" xr:uid="{1B3FDA5B-3549-4E4F-B885-E07C480B757D}">
      <text>
        <r>
          <rPr>
            <b/>
            <sz val="9"/>
            <color indexed="81"/>
            <rFont val="Tahoma"/>
            <family val="2"/>
          </rPr>
          <t>Randell, Matthew:</t>
        </r>
        <r>
          <rPr>
            <sz val="9"/>
            <color indexed="81"/>
            <rFont val="Tahoma"/>
            <family val="2"/>
          </rPr>
          <t xml:space="preserve">
Table 5? I am struggling to see the 149 adenomas in table 2.
JG - I HAVE USED TABLE 2 HERE: 20+38+59+32=149.
MJR - I see it now.</t>
        </r>
      </text>
    </comment>
    <comment ref="BA1985" authorId="677" shapeId="0" xr:uid="{409FEE2B-3BD7-4C2A-AA5B-1CF946312660}">
      <text>
        <r>
          <rPr>
            <b/>
            <sz val="9"/>
            <color indexed="81"/>
            <rFont val="Tahoma"/>
            <family val="2"/>
          </rPr>
          <t>Randell, Matthew:</t>
        </r>
        <r>
          <rPr>
            <sz val="9"/>
            <color indexed="81"/>
            <rFont val="Tahoma"/>
            <family val="2"/>
          </rPr>
          <t xml:space="preserve">
p&lt;0.01, table 2?
JG - AGREE. THE TEXT REPORTS IT AS WELL (SEE COLUMN BF).</t>
        </r>
      </text>
    </comment>
    <comment ref="J1986" authorId="1087" shapeId="0" xr:uid="{70220A40-05B9-4A73-90B5-D223C4D38F12}">
      <text>
        <t>[Threaded comment]
Your version of Excel allows you to read this threaded comment; however, any edits to it will get removed if the file is opened in a newer version of Excel. Learn more: https://go.microsoft.com/fwlink/?linkid=870924
Comment:
    I have added a new category to the dropdown menu. Does "Invasiveness &amp; size" make sense?
Reply:
    I think so</t>
      </text>
    </comment>
    <comment ref="Y1987" authorId="1088" shapeId="0" xr:uid="{9AD8B705-4E02-42BC-B338-7C80F1659F1C}">
      <text>
        <t>[Threaded comment]
Your version of Excel allows you to read this threaded comment; however, any edits to it will get removed if the file is opened in a newer version of Excel. Learn more: https://go.microsoft.com/fwlink/?linkid=870924
Comment:
    NR but used number from #246.</t>
      </text>
    </comment>
    <comment ref="Z1987" authorId="1089" shapeId="0" xr:uid="{DC383015-89CD-4012-B478-7C9C94C39E73}">
      <text>
        <t>[Threaded comment]
Your version of Excel allows you to read this threaded comment; however, any edits to it will get removed if the file is opened in a newer version of Excel. Learn more: https://go.microsoft.com/fwlink/?linkid=870924
Comment:
    NR but used number from #246.</t>
      </text>
    </comment>
    <comment ref="AI1987" authorId="677" shapeId="0" xr:uid="{DCEC8280-1D04-4AF2-B155-0C31CE73FD7F}">
      <text>
        <r>
          <rPr>
            <b/>
            <sz val="9"/>
            <color indexed="81"/>
            <rFont val="Tahoma"/>
            <family val="2"/>
          </rPr>
          <t>Randell, Matthew:</t>
        </r>
        <r>
          <rPr>
            <sz val="9"/>
            <color indexed="81"/>
            <rFont val="Tahoma"/>
            <family val="2"/>
          </rPr>
          <t xml:space="preserve">
Do we not want to distinguish between the number identified during the screening periods and the number identified in follow-up?
JG - THE NUMBER IDENTIFIED DURING THE SCREENING PERIOD WAS ALREADY EXTRACTED FROM KEWENTER 1988 (SEE ROWS ABOVE)?
MJR - You're right. I thought it might be interesting to report them separately but if we have the screening period numbers extracted above then I think it's clear.</t>
        </r>
      </text>
    </comment>
    <comment ref="AL1987" authorId="1090" shapeId="0" xr:uid="{FA9728FE-D0A7-4CC1-AE10-3895936348A7}">
      <text>
        <t>[Threaded comment]
Your version of Excel allows you to read this threaded comment; however, any edits to it will get removed if the file is opened in a newer version of Excel. Learn more: https://go.microsoft.com/fwlink/?linkid=870924
Comment:
    From #246</t>
      </text>
    </comment>
    <comment ref="BF1987" authorId="677" shapeId="0" xr:uid="{DF702216-11B3-41DC-B78F-8D386436B2C8}">
      <text>
        <r>
          <rPr>
            <b/>
            <sz val="9"/>
            <color indexed="81"/>
            <rFont val="Tahoma"/>
            <family val="2"/>
          </rPr>
          <t>Randell, Matthew:</t>
        </r>
        <r>
          <rPr>
            <sz val="9"/>
            <color indexed="81"/>
            <rFont val="Tahoma"/>
            <family val="2"/>
          </rPr>
          <t xml:space="preserve">
*numerator? Unless I'm very confused.
JG - LOL… YOU ARE RIGHT. I KEEP USING THE WRONG TERM AS IT IS USED IN GERMAN.
CORRECTED THROUGHOUT.</t>
        </r>
      </text>
    </comment>
    <comment ref="Y1988" authorId="1091" shapeId="0" xr:uid="{1C65457F-BCC9-4ED5-854D-AECCFF79BB10}">
      <text>
        <t>[Threaded comment]
Your version of Excel allows you to read this threaded comment; however, any edits to it will get removed if the file is opened in a newer version of Excel. Learn more: https://go.microsoft.com/fwlink/?linkid=870924
Comment:
    NR but used number from #246.</t>
      </text>
    </comment>
    <comment ref="Z1988" authorId="1092" shapeId="0" xr:uid="{4C034252-B897-4445-BFB4-20B0D9B8528A}">
      <text>
        <t>[Threaded comment]
Your version of Excel allows you to read this threaded comment; however, any edits to it will get removed if the file is opened in a newer version of Excel. Learn more: https://go.microsoft.com/fwlink/?linkid=870924
Comment:
    NR but used number from #246.</t>
      </text>
    </comment>
    <comment ref="AL1988" authorId="1093" shapeId="0" xr:uid="{0A10B6EC-1AA6-4114-82D0-B7C5883D9CFF}">
      <text>
        <t>[Threaded comment]
Your version of Excel allows you to read this threaded comment; however, any edits to it will get removed if the file is opened in a newer version of Excel. Learn more: https://go.microsoft.com/fwlink/?linkid=870924
Comment:
    From #246</t>
      </text>
    </comment>
    <comment ref="Y1989" authorId="1094" shapeId="0" xr:uid="{D99B5BD3-C7D9-44CD-97D6-29E74B9DD6A6}">
      <text>
        <t>[Threaded comment]
Your version of Excel allows you to read this threaded comment; however, any edits to it will get removed if the file is opened in a newer version of Excel. Learn more: https://go.microsoft.com/fwlink/?linkid=870924
Comment:
    NR but used number from #246.</t>
      </text>
    </comment>
    <comment ref="Z1989" authorId="1095" shapeId="0" xr:uid="{D8A1EC91-6871-4E93-AE96-6795D2D505CC}">
      <text>
        <t>[Threaded comment]
Your version of Excel allows you to read this threaded comment; however, any edits to it will get removed if the file is opened in a newer version of Excel. Learn more: https://go.microsoft.com/fwlink/?linkid=870924
Comment:
    NR but used number from #246.</t>
      </text>
    </comment>
    <comment ref="AL1989" authorId="1096" shapeId="0" xr:uid="{0D3F80AD-989A-4321-B74B-BAE01F56A5B0}">
      <text>
        <t>[Threaded comment]
Your version of Excel allows you to read this threaded comment; however, any edits to it will get removed if the file is opened in a newer version of Excel. Learn more: https://go.microsoft.com/fwlink/?linkid=870924
Comment:
    From #246</t>
      </text>
    </comment>
    <comment ref="Y1990" authorId="1097" shapeId="0" xr:uid="{6E11C648-BE34-4E92-91CA-FFA30F46119D}">
      <text>
        <t>[Threaded comment]
Your version of Excel allows you to read this threaded comment; however, any edits to it will get removed if the file is opened in a newer version of Excel. Learn more: https://go.microsoft.com/fwlink/?linkid=870924
Comment:
    NR but used number from #246.</t>
      </text>
    </comment>
    <comment ref="Z1990" authorId="1098" shapeId="0" xr:uid="{8C20AD3C-BF43-46C4-BDDB-9FB083136E88}">
      <text>
        <t>[Threaded comment]
Your version of Excel allows you to read this threaded comment; however, any edits to it will get removed if the file is opened in a newer version of Excel. Learn more: https://go.microsoft.com/fwlink/?linkid=870924
Comment:
    NR but used number from #246.</t>
      </text>
    </comment>
    <comment ref="AL1990" authorId="1099" shapeId="0" xr:uid="{EF5C4126-99E6-4629-91DE-2B7CF44BC963}">
      <text>
        <t>[Threaded comment]
Your version of Excel allows you to read this threaded comment; however, any edits to it will get removed if the file is opened in a newer version of Excel. Learn more: https://go.microsoft.com/fwlink/?linkid=870924
Comment:
    From #246</t>
      </text>
    </comment>
    <comment ref="Y1992" authorId="1100" shapeId="0" xr:uid="{03510C1F-534F-40E6-98F6-872BFBE6055F}">
      <text>
        <t>[Threaded comment]
Your version of Excel allows you to read this threaded comment; however, any edits to it will get removed if the file is opened in a newer version of Excel. Learn more: https://go.microsoft.com/fwlink/?linkid=870924
Comment:
    NR but used number from #246.</t>
      </text>
    </comment>
    <comment ref="Z1992" authorId="1101" shapeId="0" xr:uid="{9F4EB6B1-A8DA-4B61-8761-B404E52CA0D7}">
      <text>
        <t>[Threaded comment]
Your version of Excel allows you to read this threaded comment; however, any edits to it will get removed if the file is opened in a newer version of Excel. Learn more: https://go.microsoft.com/fwlink/?linkid=870924
Comment:
    NR but used number from #246.</t>
      </text>
    </comment>
    <comment ref="AL1992" authorId="1102" shapeId="0" xr:uid="{D4B454EF-A68D-4308-9900-2353CA3196F6}">
      <text>
        <t>[Threaded comment]
Your version of Excel allows you to read this threaded comment; however, any edits to it will get removed if the file is opened in a newer version of Excel. Learn more: https://go.microsoft.com/fwlink/?linkid=870924
Comment:
    From #246</t>
      </text>
    </comment>
    <comment ref="Y1993" authorId="1103" shapeId="0" xr:uid="{00347CCF-50A3-4234-AF8A-3E8CFFA4A8C7}">
      <text>
        <t>[Threaded comment]
Your version of Excel allows you to read this threaded comment; however, any edits to it will get removed if the file is opened in a newer version of Excel. Learn more: https://go.microsoft.com/fwlink/?linkid=870924
Comment:
    NR but used number from #246.</t>
      </text>
    </comment>
    <comment ref="Z1993" authorId="1104" shapeId="0" xr:uid="{DA56778E-FAC4-4864-8587-A849A38A550B}">
      <text>
        <t>[Threaded comment]
Your version of Excel allows you to read this threaded comment; however, any edits to it will get removed if the file is opened in a newer version of Excel. Learn more: https://go.microsoft.com/fwlink/?linkid=870924
Comment:
    NR but used number from #246.</t>
      </text>
    </comment>
    <comment ref="AL1993" authorId="1105" shapeId="0" xr:uid="{DFEE2E30-1047-4FE7-84E2-C33C8E7586BA}">
      <text>
        <t>[Threaded comment]
Your version of Excel allows you to read this threaded comment; however, any edits to it will get removed if the file is opened in a newer version of Excel. Learn more: https://go.microsoft.com/fwlink/?linkid=870924
Comment:
    From #246</t>
      </text>
    </comment>
    <comment ref="Y1994" authorId="1106" shapeId="0" xr:uid="{198D7CE5-8380-4FB0-91FB-0E0382A03EC0}">
      <text>
        <t>[Threaded comment]
Your version of Excel allows you to read this threaded comment; however, any edits to it will get removed if the file is opened in a newer version of Excel. Learn more: https://go.microsoft.com/fwlink/?linkid=870924
Comment:
    NR but used number from #246.</t>
      </text>
    </comment>
    <comment ref="Z1994" authorId="1107" shapeId="0" xr:uid="{876D2062-5A38-4BE5-AA9A-DB7AB0E1B981}">
      <text>
        <t>[Threaded comment]
Your version of Excel allows you to read this threaded comment; however, any edits to it will get removed if the file is opened in a newer version of Excel. Learn more: https://go.microsoft.com/fwlink/?linkid=870924
Comment:
    NR but used number from #246.</t>
      </text>
    </comment>
    <comment ref="AL1994" authorId="1108" shapeId="0" xr:uid="{A5DAEC6E-24EB-4882-9391-C95EE392B996}">
      <text>
        <t>[Threaded comment]
Your version of Excel allows you to read this threaded comment; however, any edits to it will get removed if the file is opened in a newer version of Excel. Learn more: https://go.microsoft.com/fwlink/?linkid=870924
Comment:
    From #246</t>
      </text>
    </comment>
    <comment ref="Y1995" authorId="1109" shapeId="0" xr:uid="{1B9BE82F-BB11-4FFF-9953-C768BDFA95ED}">
      <text>
        <t>[Threaded comment]
Your version of Excel allows you to read this threaded comment; however, any edits to it will get removed if the file is opened in a newer version of Excel. Learn more: https://go.microsoft.com/fwlink/?linkid=870924
Comment:
    NR but used number from #246.</t>
      </text>
    </comment>
    <comment ref="Z1995" authorId="1110" shapeId="0" xr:uid="{DE57CA7A-9087-4B12-BAC0-29EA49B50E1C}">
      <text>
        <t>[Threaded comment]
Your version of Excel allows you to read this threaded comment; however, any edits to it will get removed if the file is opened in a newer version of Excel. Learn more: https://go.microsoft.com/fwlink/?linkid=870924
Comment:
    NR but used number from #246.</t>
      </text>
    </comment>
    <comment ref="AL1995" authorId="1111" shapeId="0" xr:uid="{9CDD5C78-D1EA-45EF-B01B-D8898A873778}">
      <text>
        <t>[Threaded comment]
Your version of Excel allows you to read this threaded comment; however, any edits to it will get removed if the file is opened in a newer version of Excel. Learn more: https://go.microsoft.com/fwlink/?linkid=870924
Comment:
    From #246</t>
      </text>
    </comment>
    <comment ref="Y1997" authorId="1112" shapeId="0" xr:uid="{EB43216A-2207-4D97-B3B8-8534313956F9}">
      <text>
        <t>[Threaded comment]
Your version of Excel allows you to read this threaded comment; however, any edits to it will get removed if the file is opened in a newer version of Excel. Learn more: https://go.microsoft.com/fwlink/?linkid=870924
Comment:
    NR but used number from #246.</t>
      </text>
    </comment>
    <comment ref="Z1997" authorId="1113" shapeId="0" xr:uid="{47AFB935-9EF9-41F0-97BD-B4BBAF7E411C}">
      <text>
        <t>[Threaded comment]
Your version of Excel allows you to read this threaded comment; however, any edits to it will get removed if the file is opened in a newer version of Excel. Learn more: https://go.microsoft.com/fwlink/?linkid=870924
Comment:
    NR but used number from #246.</t>
      </text>
    </comment>
    <comment ref="AL1997" authorId="1114" shapeId="0" xr:uid="{677252B5-48A0-4CF1-9ECE-EBE0497ACD02}">
      <text>
        <t>[Threaded comment]
Your version of Excel allows you to read this threaded comment; however, any edits to it will get removed if the file is opened in a newer version of Excel. Learn more: https://go.microsoft.com/fwlink/?linkid=870924
Comment:
    From #246</t>
      </text>
    </comment>
    <comment ref="Y1998" authorId="1115" shapeId="0" xr:uid="{210F81D8-D513-4157-A570-4644D398B789}">
      <text>
        <t>[Threaded comment]
Your version of Excel allows you to read this threaded comment; however, any edits to it will get removed if the file is opened in a newer version of Excel. Learn more: https://go.microsoft.com/fwlink/?linkid=870924
Comment:
    NR but used number from #246.</t>
      </text>
    </comment>
    <comment ref="Z1998" authorId="1116" shapeId="0" xr:uid="{B2E23728-B265-48A4-9768-D6213CD0A6C9}">
      <text>
        <t>[Threaded comment]
Your version of Excel allows you to read this threaded comment; however, any edits to it will get removed if the file is opened in a newer version of Excel. Learn more: https://go.microsoft.com/fwlink/?linkid=870924
Comment:
    NR but used number from #246.</t>
      </text>
    </comment>
    <comment ref="AL1998" authorId="1117" shapeId="0" xr:uid="{5DF1C5DF-D5FB-41E7-BDFA-97847623A356}">
      <text>
        <t>[Threaded comment]
Your version of Excel allows you to read this threaded comment; however, any edits to it will get removed if the file is opened in a newer version of Excel. Learn more: https://go.microsoft.com/fwlink/?linkid=870924
Comment:
    From #246</t>
      </text>
    </comment>
    <comment ref="Y1999" authorId="1118" shapeId="0" xr:uid="{8927D40C-E732-4447-87EF-BA68A502A769}">
      <text>
        <t>[Threaded comment]
Your version of Excel allows you to read this threaded comment; however, any edits to it will get removed if the file is opened in a newer version of Excel. Learn more: https://go.microsoft.com/fwlink/?linkid=870924
Comment:
    NR but used number from #246.</t>
      </text>
    </comment>
    <comment ref="Z1999" authorId="1119" shapeId="0" xr:uid="{5D3F3328-CBC4-4227-B64F-7B1F9E8F2766}">
      <text>
        <t>[Threaded comment]
Your version of Excel allows you to read this threaded comment; however, any edits to it will get removed if the file is opened in a newer version of Excel. Learn more: https://go.microsoft.com/fwlink/?linkid=870924
Comment:
    NR but used number from #246.</t>
      </text>
    </comment>
    <comment ref="AL1999" authorId="1120" shapeId="0" xr:uid="{4FF118B5-9F27-4F76-BB11-611DA908196B}">
      <text>
        <t>[Threaded comment]
Your version of Excel allows you to read this threaded comment; however, any edits to it will get removed if the file is opened in a newer version of Excel. Learn more: https://go.microsoft.com/fwlink/?linkid=870924
Comment:
    From #246</t>
      </text>
    </comment>
    <comment ref="Y2000" authorId="1121" shapeId="0" xr:uid="{F3096CFE-5FB3-4CB1-BC92-D6AEF7D08EFD}">
      <text>
        <t>[Threaded comment]
Your version of Excel allows you to read this threaded comment; however, any edits to it will get removed if the file is opened in a newer version of Excel. Learn more: https://go.microsoft.com/fwlink/?linkid=870924
Comment:
    NR but used number from #246.</t>
      </text>
    </comment>
    <comment ref="Z2000" authorId="1122" shapeId="0" xr:uid="{3196EA17-7566-4760-B037-2D17EBF82679}">
      <text>
        <t>[Threaded comment]
Your version of Excel allows you to read this threaded comment; however, any edits to it will get removed if the file is opened in a newer version of Excel. Learn more: https://go.microsoft.com/fwlink/?linkid=870924
Comment:
    NR but used number from #246.</t>
      </text>
    </comment>
    <comment ref="AL2000" authorId="1123" shapeId="0" xr:uid="{3C1B9D1C-BDF7-4A01-A80E-E85B7A8A94F0}">
      <text>
        <t>[Threaded comment]
Your version of Excel allows you to read this threaded comment; however, any edits to it will get removed if the file is opened in a newer version of Excel. Learn more: https://go.microsoft.com/fwlink/?linkid=870924
Comment:
    From #246</t>
      </text>
    </comment>
    <comment ref="Y2002" authorId="1124" shapeId="0" xr:uid="{2A6D1AF5-2033-4D18-8CB5-049DC5B73BD7}">
      <text>
        <t>[Threaded comment]
Your version of Excel allows you to read this threaded comment; however, any edits to it will get removed if the file is opened in a newer version of Excel. Learn more: https://go.microsoft.com/fwlink/?linkid=870924
Comment:
    NR but used number from #246.</t>
      </text>
    </comment>
    <comment ref="Z2002" authorId="1125" shapeId="0" xr:uid="{D470A973-E2A4-431D-B505-F1A54EE98890}">
      <text>
        <t>[Threaded comment]
Your version of Excel allows you to read this threaded comment; however, any edits to it will get removed if the file is opened in a newer version of Excel. Learn more: https://go.microsoft.com/fwlink/?linkid=870924
Comment:
    NR but used number from #246.</t>
      </text>
    </comment>
    <comment ref="AL2002" authorId="1126" shapeId="0" xr:uid="{5C0F0A24-8049-4FDA-971A-A51ADB6B80F8}">
      <text>
        <t>[Threaded comment]
Your version of Excel allows you to read this threaded comment; however, any edits to it will get removed if the file is opened in a newer version of Excel. Learn more: https://go.microsoft.com/fwlink/?linkid=870924
Comment:
    From #246</t>
      </text>
    </comment>
    <comment ref="Y2003" authorId="1127" shapeId="0" xr:uid="{26669624-B260-4CF6-996C-A63AB085210E}">
      <text>
        <t>[Threaded comment]
Your version of Excel allows you to read this threaded comment; however, any edits to it will get removed if the file is opened in a newer version of Excel. Learn more: https://go.microsoft.com/fwlink/?linkid=870924
Comment:
    NR but used number from #246.</t>
      </text>
    </comment>
    <comment ref="Z2003" authorId="1128" shapeId="0" xr:uid="{71826207-03E8-42AF-AA4E-6D18AC9536E5}">
      <text>
        <t>[Threaded comment]
Your version of Excel allows you to read this threaded comment; however, any edits to it will get removed if the file is opened in a newer version of Excel. Learn more: https://go.microsoft.com/fwlink/?linkid=870924
Comment:
    NR but used number from #246.</t>
      </text>
    </comment>
    <comment ref="AL2003" authorId="1129" shapeId="0" xr:uid="{C07D55C3-4EAE-4266-9AAA-331A72BF0128}">
      <text>
        <t>[Threaded comment]
Your version of Excel allows you to read this threaded comment; however, any edits to it will get removed if the file is opened in a newer version of Excel. Learn more: https://go.microsoft.com/fwlink/?linkid=870924
Comment:
    From #246</t>
      </text>
    </comment>
    <comment ref="Y2004" authorId="1130" shapeId="0" xr:uid="{39590655-980A-4703-8FA3-D097CBD3CDC6}">
      <text>
        <t>[Threaded comment]
Your version of Excel allows you to read this threaded comment; however, any edits to it will get removed if the file is opened in a newer version of Excel. Learn more: https://go.microsoft.com/fwlink/?linkid=870924
Comment:
    NR but used number from #246.</t>
      </text>
    </comment>
    <comment ref="Z2004" authorId="1131" shapeId="0" xr:uid="{F5B64FFD-6037-4979-8AF9-EA110DE35364}">
      <text>
        <t>[Threaded comment]
Your version of Excel allows you to read this threaded comment; however, any edits to it will get removed if the file is opened in a newer version of Excel. Learn more: https://go.microsoft.com/fwlink/?linkid=870924
Comment:
    NR but used number from #246.</t>
      </text>
    </comment>
    <comment ref="AL2004" authorId="1132" shapeId="0" xr:uid="{8E4C3DB2-2268-43EF-8A8E-CCF636533991}">
      <text>
        <t>[Threaded comment]
Your version of Excel allows you to read this threaded comment; however, any edits to it will get removed if the file is opened in a newer version of Excel. Learn more: https://go.microsoft.com/fwlink/?linkid=870924
Comment:
    From #246</t>
      </text>
    </comment>
    <comment ref="Y2005" authorId="1133" shapeId="0" xr:uid="{C2994B98-A58E-484F-8004-0EF0D3DBB89D}">
      <text>
        <t>[Threaded comment]
Your version of Excel allows you to read this threaded comment; however, any edits to it will get removed if the file is opened in a newer version of Excel. Learn more: https://go.microsoft.com/fwlink/?linkid=870924
Comment:
    NR but used number from #246.</t>
      </text>
    </comment>
    <comment ref="Z2005" authorId="1134" shapeId="0" xr:uid="{25A1C02A-BFF8-42DC-88F5-26B4D37E4CDE}">
      <text>
        <t>[Threaded comment]
Your version of Excel allows you to read this threaded comment; however, any edits to it will get removed if the file is opened in a newer version of Excel. Learn more: https://go.microsoft.com/fwlink/?linkid=870924
Comment:
    NR but used number from #246.</t>
      </text>
    </comment>
    <comment ref="AL2005" authorId="1135" shapeId="0" xr:uid="{26692B7C-4823-4394-B2B8-80B14123D0A0}">
      <text>
        <t>[Threaded comment]
Your version of Excel allows you to read this threaded comment; however, any edits to it will get removed if the file is opened in a newer version of Excel. Learn more: https://go.microsoft.com/fwlink/?linkid=870924
Comment:
    From #246</t>
      </text>
    </comment>
    <comment ref="Y2007" authorId="1136" shapeId="0" xr:uid="{8FBF0A5B-CBC1-43B9-9752-555BBAAC5392}">
      <text>
        <t>[Threaded comment]
Your version of Excel allows you to read this threaded comment; however, any edits to it will get removed if the file is opened in a newer version of Excel. Learn more: https://go.microsoft.com/fwlink/?linkid=870924
Comment:
    NR but used number from #246.</t>
      </text>
    </comment>
    <comment ref="Z2007" authorId="1137" shapeId="0" xr:uid="{761AAEE3-A9E1-469C-9172-D1D57BCCF5B2}">
      <text>
        <t>[Threaded comment]
Your version of Excel allows you to read this threaded comment; however, any edits to it will get removed if the file is opened in a newer version of Excel. Learn more: https://go.microsoft.com/fwlink/?linkid=870924
Comment:
    NR but used number from #246.</t>
      </text>
    </comment>
    <comment ref="AL2007" authorId="1138" shapeId="0" xr:uid="{D4DE6CF6-D7B4-455E-85EE-991D8C9C5FFE}">
      <text>
        <t>[Threaded comment]
Your version of Excel allows you to read this threaded comment; however, any edits to it will get removed if the file is opened in a newer version of Excel. Learn more: https://go.microsoft.com/fwlink/?linkid=870924
Comment:
    From #246</t>
      </text>
    </comment>
    <comment ref="Y2008" authorId="1139" shapeId="0" xr:uid="{850546A6-8DD3-4432-8664-3A8CD8BB4C2B}">
      <text>
        <t>[Threaded comment]
Your version of Excel allows you to read this threaded comment; however, any edits to it will get removed if the file is opened in a newer version of Excel. Learn more: https://go.microsoft.com/fwlink/?linkid=870924
Comment:
    NR but used number from #246.</t>
      </text>
    </comment>
    <comment ref="Z2008" authorId="1140" shapeId="0" xr:uid="{351A0806-09E0-4F7E-8B51-CF6AA1697679}">
      <text>
        <t>[Threaded comment]
Your version of Excel allows you to read this threaded comment; however, any edits to it will get removed if the file is opened in a newer version of Excel. Learn more: https://go.microsoft.com/fwlink/?linkid=870924
Comment:
    NR but used number from #246.</t>
      </text>
    </comment>
    <comment ref="AL2008" authorId="1141" shapeId="0" xr:uid="{36F98DC7-0205-492A-AA8D-5572B0199FAB}">
      <text>
        <t>[Threaded comment]
Your version of Excel allows you to read this threaded comment; however, any edits to it will get removed if the file is opened in a newer version of Excel. Learn more: https://go.microsoft.com/fwlink/?linkid=870924
Comment:
    From #246</t>
      </text>
    </comment>
    <comment ref="Y2009" authorId="1142" shapeId="0" xr:uid="{C9423808-64A1-4D0D-96EB-B39F7AC95CD3}">
      <text>
        <t>[Threaded comment]
Your version of Excel allows you to read this threaded comment; however, any edits to it will get removed if the file is opened in a newer version of Excel. Learn more: https://go.microsoft.com/fwlink/?linkid=870924
Comment:
    NR but used number from #246.</t>
      </text>
    </comment>
    <comment ref="Z2009" authorId="1143" shapeId="0" xr:uid="{9424EB35-892E-4821-A7C0-6FF6426637D5}">
      <text>
        <t>[Threaded comment]
Your version of Excel allows you to read this threaded comment; however, any edits to it will get removed if the file is opened in a newer version of Excel. Learn more: https://go.microsoft.com/fwlink/?linkid=870924
Comment:
    NR but used number from #246.</t>
      </text>
    </comment>
    <comment ref="AL2009" authorId="1144" shapeId="0" xr:uid="{370BDC2C-0338-4AD5-A858-1ACA396DE920}">
      <text>
        <t>[Threaded comment]
Your version of Excel allows you to read this threaded comment; however, any edits to it will get removed if the file is opened in a newer version of Excel. Learn more: https://go.microsoft.com/fwlink/?linkid=870924
Comment:
    From #246</t>
      </text>
    </comment>
    <comment ref="Y2010" authorId="1145" shapeId="0" xr:uid="{72EB6E79-D5D1-461B-87F8-C81750E65845}">
      <text>
        <t>[Threaded comment]
Your version of Excel allows you to read this threaded comment; however, any edits to it will get removed if the file is opened in a newer version of Excel. Learn more: https://go.microsoft.com/fwlink/?linkid=870924
Comment:
    NR but used number from #246.</t>
      </text>
    </comment>
    <comment ref="Z2010" authorId="1146" shapeId="0" xr:uid="{3A88DBE0-61D3-4C9B-8DBC-8D2E79D8CA1F}">
      <text>
        <t>[Threaded comment]
Your version of Excel allows you to read this threaded comment; however, any edits to it will get removed if the file is opened in a newer version of Excel. Learn more: https://go.microsoft.com/fwlink/?linkid=870924
Comment:
    NR but used number from #246.</t>
      </text>
    </comment>
    <comment ref="AL2010" authorId="1147" shapeId="0" xr:uid="{DC6174D9-FF3A-4EC5-93B9-F7509EB67C15}">
      <text>
        <t>[Threaded comment]
Your version of Excel allows you to read this threaded comment; however, any edits to it will get removed if the file is opened in a newer version of Excel. Learn more: https://go.microsoft.com/fwlink/?linkid=870924
Comment:
    From #246</t>
      </text>
    </comment>
    <comment ref="Y2012" authorId="1148" shapeId="0" xr:uid="{8CA3E34F-569B-4AAE-A338-0192B7A7893E}">
      <text>
        <t>[Threaded comment]
Your version of Excel allows you to read this threaded comment; however, any edits to it will get removed if the file is opened in a newer version of Excel. Learn more: https://go.microsoft.com/fwlink/?linkid=870924
Comment:
    NR but used number from #246.</t>
      </text>
    </comment>
    <comment ref="Z2012" authorId="1149" shapeId="0" xr:uid="{F611F661-D380-4748-AA76-2CF86CFC9C7C}">
      <text>
        <t>[Threaded comment]
Your version of Excel allows you to read this threaded comment; however, any edits to it will get removed if the file is opened in a newer version of Excel. Learn more: https://go.microsoft.com/fwlink/?linkid=870924
Comment:
    NR but used number from #246.</t>
      </text>
    </comment>
    <comment ref="AL2012" authorId="1150" shapeId="0" xr:uid="{F6D96764-FE13-4B97-AD0F-00EDF6B36541}">
      <text>
        <t>[Threaded comment]
Your version of Excel allows you to read this threaded comment; however, any edits to it will get removed if the file is opened in a newer version of Excel. Learn more: https://go.microsoft.com/fwlink/?linkid=870924
Comment:
    From #246</t>
      </text>
    </comment>
    <comment ref="Y2013" authorId="1151" shapeId="0" xr:uid="{311506C0-B66A-4B1D-829D-FD136EA1B019}">
      <text>
        <t>[Threaded comment]
Your version of Excel allows you to read this threaded comment; however, any edits to it will get removed if the file is opened in a newer version of Excel. Learn more: https://go.microsoft.com/fwlink/?linkid=870924
Comment:
    NR but used number from #246.</t>
      </text>
    </comment>
    <comment ref="Z2013" authorId="1152" shapeId="0" xr:uid="{673C9671-71C3-422A-B726-CC199CE7BDB4}">
      <text>
        <t>[Threaded comment]
Your version of Excel allows you to read this threaded comment; however, any edits to it will get removed if the file is opened in a newer version of Excel. Learn more: https://go.microsoft.com/fwlink/?linkid=870924
Comment:
    NR but used number from #246.</t>
      </text>
    </comment>
    <comment ref="AL2013" authorId="1153" shapeId="0" xr:uid="{09E63CDA-E750-4217-A890-FCEB73AE18F5}">
      <text>
        <t>[Threaded comment]
Your version of Excel allows you to read this threaded comment; however, any edits to it will get removed if the file is opened in a newer version of Excel. Learn more: https://go.microsoft.com/fwlink/?linkid=870924
Comment:
    From #246</t>
      </text>
    </comment>
    <comment ref="Y2014" authorId="1154" shapeId="0" xr:uid="{A60E7369-4B81-4EE3-B035-719F2AE6FE2F}">
      <text>
        <t>[Threaded comment]
Your version of Excel allows you to read this threaded comment; however, any edits to it will get removed if the file is opened in a newer version of Excel. Learn more: https://go.microsoft.com/fwlink/?linkid=870924
Comment:
    NR but used number from #246.</t>
      </text>
    </comment>
    <comment ref="Z2014" authorId="1155" shapeId="0" xr:uid="{95DAA0FD-DF7B-446E-8C98-731DC4FBE582}">
      <text>
        <t>[Threaded comment]
Your version of Excel allows you to read this threaded comment; however, any edits to it will get removed if the file is opened in a newer version of Excel. Learn more: https://go.microsoft.com/fwlink/?linkid=870924
Comment:
    NR but used number from #246.</t>
      </text>
    </comment>
    <comment ref="AL2014" authorId="1156" shapeId="0" xr:uid="{969B4D0D-2286-48DC-86C0-C8AF57717D60}">
      <text>
        <t>[Threaded comment]
Your version of Excel allows you to read this threaded comment; however, any edits to it will get removed if the file is opened in a newer version of Excel. Learn more: https://go.microsoft.com/fwlink/?linkid=870924
Comment:
    From #246</t>
      </text>
    </comment>
    <comment ref="Y2015" authorId="1157" shapeId="0" xr:uid="{1B5E0528-A783-402F-BF92-97A4EF65DC20}">
      <text>
        <t>[Threaded comment]
Your version of Excel allows you to read this threaded comment; however, any edits to it will get removed if the file is opened in a newer version of Excel. Learn more: https://go.microsoft.com/fwlink/?linkid=870924
Comment:
    NR but used number from #246.</t>
      </text>
    </comment>
    <comment ref="Z2015" authorId="1158" shapeId="0" xr:uid="{2149515C-76F9-439A-B33C-A53BAEA3C8BE}">
      <text>
        <t>[Threaded comment]
Your version of Excel allows you to read this threaded comment; however, any edits to it will get removed if the file is opened in a newer version of Excel. Learn more: https://go.microsoft.com/fwlink/?linkid=870924
Comment:
    NR but used number from #246.</t>
      </text>
    </comment>
    <comment ref="AL2015" authorId="1159" shapeId="0" xr:uid="{D91B6388-1E5A-4493-AA13-BBEBFA7B0B1A}">
      <text>
        <t>[Threaded comment]
Your version of Excel allows you to read this threaded comment; however, any edits to it will get removed if the file is opened in a newer version of Excel. Learn more: https://go.microsoft.com/fwlink/?linkid=870924
Comment:
    From #246</t>
      </text>
    </comment>
    <comment ref="Y2017" authorId="1160" shapeId="0" xr:uid="{125CE9B2-A76E-4776-AF0C-F52EC58FFBC6}">
      <text>
        <t>[Threaded comment]
Your version of Excel allows you to read this threaded comment; however, any edits to it will get removed if the file is opened in a newer version of Excel. Learn more: https://go.microsoft.com/fwlink/?linkid=870924
Comment:
    NR but used number from #246.</t>
      </text>
    </comment>
    <comment ref="Z2017" authorId="1161" shapeId="0" xr:uid="{D783E299-7E80-4072-B741-4D577BD8DEF8}">
      <text>
        <t>[Threaded comment]
Your version of Excel allows you to read this threaded comment; however, any edits to it will get removed if the file is opened in a newer version of Excel. Learn more: https://go.microsoft.com/fwlink/?linkid=870924
Comment:
    NR but used number from #246.</t>
      </text>
    </comment>
    <comment ref="AL2017" authorId="1162" shapeId="0" xr:uid="{B53235D6-4478-4BC9-96A5-1F27523FFB58}">
      <text>
        <t>[Threaded comment]
Your version of Excel allows you to read this threaded comment; however, any edits to it will get removed if the file is opened in a newer version of Excel. Learn more: https://go.microsoft.com/fwlink/?linkid=870924
Comment:
    From #246</t>
      </text>
    </comment>
    <comment ref="Y2018" authorId="1163" shapeId="0" xr:uid="{EDA30400-3546-41BB-9010-5618B725D4DF}">
      <text>
        <t>[Threaded comment]
Your version of Excel allows you to read this threaded comment; however, any edits to it will get removed if the file is opened in a newer version of Excel. Learn more: https://go.microsoft.com/fwlink/?linkid=870924
Comment:
    NR but used number from #246.</t>
      </text>
    </comment>
    <comment ref="Z2018" authorId="1164" shapeId="0" xr:uid="{5698E3F9-72FE-4FDA-B821-5800CAD7706D}">
      <text>
        <t>[Threaded comment]
Your version of Excel allows you to read this threaded comment; however, any edits to it will get removed if the file is opened in a newer version of Excel. Learn more: https://go.microsoft.com/fwlink/?linkid=870924
Comment:
    NR but used number from #246.</t>
      </text>
    </comment>
    <comment ref="AL2018" authorId="1165" shapeId="0" xr:uid="{958AF2B7-11E4-4B57-9A09-3B6960C57758}">
      <text>
        <t>[Threaded comment]
Your version of Excel allows you to read this threaded comment; however, any edits to it will get removed if the file is opened in a newer version of Excel. Learn more: https://go.microsoft.com/fwlink/?linkid=870924
Comment:
    From #246</t>
      </text>
    </comment>
    <comment ref="Y2019" authorId="1166" shapeId="0" xr:uid="{E258E172-CE19-4EEF-A74C-552345485448}">
      <text>
        <t>[Threaded comment]
Your version of Excel allows you to read this threaded comment; however, any edits to it will get removed if the file is opened in a newer version of Excel. Learn more: https://go.microsoft.com/fwlink/?linkid=870924
Comment:
    NR but used number from #246.</t>
      </text>
    </comment>
    <comment ref="Z2019" authorId="1167" shapeId="0" xr:uid="{0664036F-919C-4D61-99B0-32B04EE9FB08}">
      <text>
        <t>[Threaded comment]
Your version of Excel allows you to read this threaded comment; however, any edits to it will get removed if the file is opened in a newer version of Excel. Learn more: https://go.microsoft.com/fwlink/?linkid=870924
Comment:
    NR but used number from #246.</t>
      </text>
    </comment>
    <comment ref="AL2019" authorId="1168" shapeId="0" xr:uid="{8840D28C-BAC8-4577-8373-F78307C6E60F}">
      <text>
        <t>[Threaded comment]
Your version of Excel allows you to read this threaded comment; however, any edits to it will get removed if the file is opened in a newer version of Excel. Learn more: https://go.microsoft.com/fwlink/?linkid=870924
Comment:
    From #246</t>
      </text>
    </comment>
    <comment ref="Y2020" authorId="1169" shapeId="0" xr:uid="{585AD457-51AE-4F83-AF7D-272087C48F27}">
      <text>
        <t>[Threaded comment]
Your version of Excel allows you to read this threaded comment; however, any edits to it will get removed if the file is opened in a newer version of Excel. Learn more: https://go.microsoft.com/fwlink/?linkid=870924
Comment:
    NR but used number from #246.</t>
      </text>
    </comment>
    <comment ref="Z2020" authorId="1170" shapeId="0" xr:uid="{E2EC5325-31F4-4317-B0B8-EE7226C0BF43}">
      <text>
        <t>[Threaded comment]
Your version of Excel allows you to read this threaded comment; however, any edits to it will get removed if the file is opened in a newer version of Excel. Learn more: https://go.microsoft.com/fwlink/?linkid=870924
Comment:
    NR but used number from #246.</t>
      </text>
    </comment>
    <comment ref="AL2020" authorId="1171" shapeId="0" xr:uid="{0877EFA3-2102-4199-958A-06A5AD4509C5}">
      <text>
        <t>[Threaded comment]
Your version of Excel allows you to read this threaded comment; however, any edits to it will get removed if the file is opened in a newer version of Excel. Learn more: https://go.microsoft.com/fwlink/?linkid=870924
Comment:
    From #246</t>
      </text>
    </comment>
    <comment ref="Y2022" authorId="1172" shapeId="0" xr:uid="{7DA7F495-E2FA-4B16-9AF0-2108B6E35588}">
      <text>
        <t>[Threaded comment]
Your version of Excel allows you to read this threaded comment; however, any edits to it will get removed if the file is opened in a newer version of Excel. Learn more: https://go.microsoft.com/fwlink/?linkid=870924
Comment:
    NR but used number from #246.</t>
      </text>
    </comment>
    <comment ref="Z2022" authorId="1173" shapeId="0" xr:uid="{94BD81C2-1919-468D-B16D-CF2664ED8805}">
      <text>
        <t>[Threaded comment]
Your version of Excel allows you to read this threaded comment; however, any edits to it will get removed if the file is opened in a newer version of Excel. Learn more: https://go.microsoft.com/fwlink/?linkid=870924
Comment:
    NR but used number from #246.</t>
      </text>
    </comment>
    <comment ref="AL2022" authorId="1174" shapeId="0" xr:uid="{F8A25DE9-2B0E-4EC0-A55D-CE80D27C2498}">
      <text>
        <t>[Threaded comment]
Your version of Excel allows you to read this threaded comment; however, any edits to it will get removed if the file is opened in a newer version of Excel. Learn more: https://go.microsoft.com/fwlink/?linkid=870924
Comment:
    From #246</t>
      </text>
    </comment>
    <comment ref="Y2023" authorId="1175" shapeId="0" xr:uid="{5BC8EBA9-371D-4E91-BE2C-18A5C8EA8326}">
      <text>
        <t>[Threaded comment]
Your version of Excel allows you to read this threaded comment; however, any edits to it will get removed if the file is opened in a newer version of Excel. Learn more: https://go.microsoft.com/fwlink/?linkid=870924
Comment:
    NR but used number from #246.</t>
      </text>
    </comment>
    <comment ref="Z2023" authorId="1176" shapeId="0" xr:uid="{D746CD03-F79B-4DFB-B994-78666D021150}">
      <text>
        <t>[Threaded comment]
Your version of Excel allows you to read this threaded comment; however, any edits to it will get removed if the file is opened in a newer version of Excel. Learn more: https://go.microsoft.com/fwlink/?linkid=870924
Comment:
    NR but used number from #246.</t>
      </text>
    </comment>
    <comment ref="AL2023" authorId="1177" shapeId="0" xr:uid="{B6596CC3-6E81-4766-9902-60D1A9B8C0EE}">
      <text>
        <t>[Threaded comment]
Your version of Excel allows you to read this threaded comment; however, any edits to it will get removed if the file is opened in a newer version of Excel. Learn more: https://go.microsoft.com/fwlink/?linkid=870924
Comment:
    From #246</t>
      </text>
    </comment>
    <comment ref="J2024" authorId="1178" shapeId="0" xr:uid="{A93688F4-E6E1-4BEF-903F-CF907F4B1F5F}">
      <text>
        <t>[Threaded comment]
Your version of Excel allows you to read this threaded comment; however, any edits to it will get removed if the file is opened in a newer version of Excel. Learn more: https://go.microsoft.com/fwlink/?linkid=870924
Comment:
    I have added a new category to the dropdown menu. Does "Invasiveness &amp; size" make sense?</t>
      </text>
    </comment>
    <comment ref="Y2024" authorId="1179" shapeId="0" xr:uid="{498006DF-87B4-4BBF-ADA8-10ADC6C37369}">
      <text>
        <t>[Threaded comment]
Your version of Excel allows you to read this threaded comment; however, any edits to it will get removed if the file is opened in a newer version of Excel. Learn more: https://go.microsoft.com/fwlink/?linkid=870924
Comment:
    NR but used number from #246.</t>
      </text>
    </comment>
    <comment ref="Z2024" authorId="1180" shapeId="0" xr:uid="{CF85595C-FB2F-4722-BA42-428125D05599}">
      <text>
        <t>[Threaded comment]
Your version of Excel allows you to read this threaded comment; however, any edits to it will get removed if the file is opened in a newer version of Excel. Learn more: https://go.microsoft.com/fwlink/?linkid=870924
Comment:
    NR but used number from #246.</t>
      </text>
    </comment>
    <comment ref="AL2024" authorId="1181" shapeId="0" xr:uid="{DF385869-6B0D-41C3-8E0B-D1A959D23748}">
      <text>
        <t>[Threaded comment]
Your version of Excel allows you to read this threaded comment; however, any edits to it will get removed if the file is opened in a newer version of Excel. Learn more: https://go.microsoft.com/fwlink/?linkid=870924
Comment:
    From #246</t>
      </text>
    </comment>
    <comment ref="Y2025" authorId="1182" shapeId="0" xr:uid="{6B498AED-1DF4-4BEA-80B4-C83B9183EE11}">
      <text>
        <t>[Threaded comment]
Your version of Excel allows you to read this threaded comment; however, any edits to it will get removed if the file is opened in a newer version of Excel. Learn more: https://go.microsoft.com/fwlink/?linkid=870924
Comment:
    NR but used number from #246.</t>
      </text>
    </comment>
    <comment ref="Z2025" authorId="1183" shapeId="0" xr:uid="{C6FD9648-AB25-4ED0-9987-079E49F0FAC8}">
      <text>
        <t>[Threaded comment]
Your version of Excel allows you to read this threaded comment; however, any edits to it will get removed if the file is opened in a newer version of Excel. Learn more: https://go.microsoft.com/fwlink/?linkid=870924
Comment:
    NR but used number from #246.</t>
      </text>
    </comment>
    <comment ref="AL2025" authorId="1184" shapeId="0" xr:uid="{9E5F23A1-FE11-420D-B9A2-75930233ED63}">
      <text>
        <t>[Threaded comment]
Your version of Excel allows you to read this threaded comment; however, any edits to it will get removed if the file is opened in a newer version of Excel. Learn more: https://go.microsoft.com/fwlink/?linkid=870924
Comment:
    From #246</t>
      </text>
    </comment>
    <comment ref="Y2026" authorId="1185" shapeId="0" xr:uid="{10D35D50-F221-4B40-8FAB-964DA40BD534}">
      <text>
        <t>[Threaded comment]
Your version of Excel allows you to read this threaded comment; however, any edits to it will get removed if the file is opened in a newer version of Excel. Learn more: https://go.microsoft.com/fwlink/?linkid=870924
Comment:
    NR but used number from #246.</t>
      </text>
    </comment>
    <comment ref="Z2026" authorId="1186" shapeId="0" xr:uid="{001D825B-73BE-4CD6-AEA4-55623C9AF3C5}">
      <text>
        <t>[Threaded comment]
Your version of Excel allows you to read this threaded comment; however, any edits to it will get removed if the file is opened in a newer version of Excel. Learn more: https://go.microsoft.com/fwlink/?linkid=870924
Comment:
    NR but used number from #246.</t>
      </text>
    </comment>
    <comment ref="AL2026" authorId="1187" shapeId="0" xr:uid="{668F9F92-13D5-4032-9ED2-FA0848776D9D}">
      <text>
        <t>[Threaded comment]
Your version of Excel allows you to read this threaded comment; however, any edits to it will get removed if the file is opened in a newer version of Excel. Learn more: https://go.microsoft.com/fwlink/?linkid=870924
Comment:
    From #246</t>
      </text>
    </comment>
    <comment ref="J2027" authorId="1188" shapeId="0" xr:uid="{E8C75D00-6414-4D93-AD69-A0D5BEFD0F65}">
      <text>
        <t>[Threaded comment]
Your version of Excel allows you to read this threaded comment; however, any edits to it will get removed if the file is opened in a newer version of Excel. Learn more: https://go.microsoft.com/fwlink/?linkid=870924
Comment:
    I have added a new category to the dropdown menu. Does "Invasiveness &amp; size" make sense?</t>
      </text>
    </comment>
    <comment ref="Y2027" authorId="1189" shapeId="0" xr:uid="{8719FA98-E8D8-4E87-92FA-AC3DDC64119B}">
      <text>
        <t>[Threaded comment]
Your version of Excel allows you to read this threaded comment; however, any edits to it will get removed if the file is opened in a newer version of Excel. Learn more: https://go.microsoft.com/fwlink/?linkid=870924
Comment:
    NR but used number from #246.</t>
      </text>
    </comment>
    <comment ref="Z2027" authorId="1190" shapeId="0" xr:uid="{B855316A-895A-40BC-963C-9E8E308A429D}">
      <text>
        <t>[Threaded comment]
Your version of Excel allows you to read this threaded comment; however, any edits to it will get removed if the file is opened in a newer version of Excel. Learn more: https://go.microsoft.com/fwlink/?linkid=870924
Comment:
    NR but used number from #246.</t>
      </text>
    </comment>
    <comment ref="AL2027" authorId="1191" shapeId="0" xr:uid="{E98A744D-B1FA-4C36-B72B-520AE99BA9CC}">
      <text>
        <t>[Threaded comment]
Your version of Excel allows you to read this threaded comment; however, any edits to it will get removed if the file is opened in a newer version of Excel. Learn more: https://go.microsoft.com/fwlink/?linkid=870924
Comment:
    From #246</t>
      </text>
    </comment>
    <comment ref="Y2028" authorId="1192" shapeId="0" xr:uid="{7DCE8314-E42A-4219-A656-D7285EB496D4}">
      <text>
        <t>[Threaded comment]
Your version of Excel allows you to read this threaded comment; however, any edits to it will get removed if the file is opened in a newer version of Excel. Learn more: https://go.microsoft.com/fwlink/?linkid=870924
Comment:
    NR but used number from #246.</t>
      </text>
    </comment>
    <comment ref="Z2028" authorId="1193" shapeId="0" xr:uid="{CB39FF68-AABD-4F2B-B518-BAB0F74D12F9}">
      <text>
        <t>[Threaded comment]
Your version of Excel allows you to read this threaded comment; however, any edits to it will get removed if the file is opened in a newer version of Excel. Learn more: https://go.microsoft.com/fwlink/?linkid=870924
Comment:
    NR but used number from #246.</t>
      </text>
    </comment>
    <comment ref="AL2028" authorId="1194" shapeId="0" xr:uid="{373146F8-F507-414E-BBDD-3640C63A7FBC}">
      <text>
        <t>[Threaded comment]
Your version of Excel allows you to read this threaded comment; however, any edits to it will get removed if the file is opened in a newer version of Excel. Learn more: https://go.microsoft.com/fwlink/?linkid=870924
Comment:
    From #246</t>
      </text>
    </comment>
    <comment ref="Y2029" authorId="1195" shapeId="0" xr:uid="{9567CF9B-A10D-422F-ABDA-DA5A781580B5}">
      <text>
        <t>[Threaded comment]
Your version of Excel allows you to read this threaded comment; however, any edits to it will get removed if the file is opened in a newer version of Excel. Learn more: https://go.microsoft.com/fwlink/?linkid=870924
Comment:
    NR but used number from #246.</t>
      </text>
    </comment>
    <comment ref="Z2029" authorId="1196" shapeId="0" xr:uid="{C9ABFE91-E10B-448C-A318-EAEFADB37769}">
      <text>
        <t>[Threaded comment]
Your version of Excel allows you to read this threaded comment; however, any edits to it will get removed if the file is opened in a newer version of Excel. Learn more: https://go.microsoft.com/fwlink/?linkid=870924
Comment:
    NR but used number from #246.</t>
      </text>
    </comment>
    <comment ref="AL2029" authorId="1197" shapeId="0" xr:uid="{568A9BF0-46A2-4633-90D9-0BB8E0435C84}">
      <text>
        <t>[Threaded comment]
Your version of Excel allows you to read this threaded comment; however, any edits to it will get removed if the file is opened in a newer version of Excel. Learn more: https://go.microsoft.com/fwlink/?linkid=870924
Comment:
    From #246</t>
      </text>
    </comment>
    <comment ref="J2030" authorId="1198" shapeId="0" xr:uid="{F124204D-6C1E-4A6E-A30C-60C6FF3EDF62}">
      <text>
        <t>[Threaded comment]
Your version of Excel allows you to read this threaded comment; however, any edits to it will get removed if the file is opened in a newer version of Excel. Learn more: https://go.microsoft.com/fwlink/?linkid=870924
Comment:
    I have added a new category to the dropdown menu. Does "Invasiveness &amp; size" make sense?</t>
      </text>
    </comment>
    <comment ref="Y2030" authorId="1199" shapeId="0" xr:uid="{1D5FE209-23F9-4C8F-8A40-B5985DDA022F}">
      <text>
        <t>[Threaded comment]
Your version of Excel allows you to read this threaded comment; however, any edits to it will get removed if the file is opened in a newer version of Excel. Learn more: https://go.microsoft.com/fwlink/?linkid=870924
Comment:
    NR but used number from #246.</t>
      </text>
    </comment>
    <comment ref="Z2030" authorId="1200" shapeId="0" xr:uid="{3A7EF6E8-E775-4A9B-9B48-D1BCE9FCF65B}">
      <text>
        <t>[Threaded comment]
Your version of Excel allows you to read this threaded comment; however, any edits to it will get removed if the file is opened in a newer version of Excel. Learn more: https://go.microsoft.com/fwlink/?linkid=870924
Comment:
    NR but used number from #246.</t>
      </text>
    </comment>
    <comment ref="AL2030" authorId="1201" shapeId="0" xr:uid="{CDF91751-BC5E-44E9-8A81-AB70802E37D4}">
      <text>
        <t>[Threaded comment]
Your version of Excel allows you to read this threaded comment; however, any edits to it will get removed if the file is opened in a newer version of Excel. Learn more: https://go.microsoft.com/fwlink/?linkid=870924
Comment:
    From #246</t>
      </text>
    </comment>
    <comment ref="Y2031" authorId="1202" shapeId="0" xr:uid="{AF0FA6CF-7CDE-45CF-BB26-5A27EC54E0A4}">
      <text>
        <t>[Threaded comment]
Your version of Excel allows you to read this threaded comment; however, any edits to it will get removed if the file is opened in a newer version of Excel. Learn more: https://go.microsoft.com/fwlink/?linkid=870924
Comment:
    NR but used number from #246.</t>
      </text>
    </comment>
    <comment ref="Z2031" authorId="1203" shapeId="0" xr:uid="{BE138EEE-0453-4298-8909-D531D246E9EB}">
      <text>
        <t>[Threaded comment]
Your version of Excel allows you to read this threaded comment; however, any edits to it will get removed if the file is opened in a newer version of Excel. Learn more: https://go.microsoft.com/fwlink/?linkid=870924
Comment:
    NR but used number from #246.</t>
      </text>
    </comment>
    <comment ref="AL2031" authorId="1204" shapeId="0" xr:uid="{8F8245D4-97BF-4A25-ABDA-77C0D457819F}">
      <text>
        <t>[Threaded comment]
Your version of Excel allows you to read this threaded comment; however, any edits to it will get removed if the file is opened in a newer version of Excel. Learn more: https://go.microsoft.com/fwlink/?linkid=870924
Comment:
    From #246</t>
      </text>
    </comment>
    <comment ref="Y2032" authorId="1205" shapeId="0" xr:uid="{7587ED36-B7A0-4830-9709-6065B160E134}">
      <text>
        <t>[Threaded comment]
Your version of Excel allows you to read this threaded comment; however, any edits to it will get removed if the file is opened in a newer version of Excel. Learn more: https://go.microsoft.com/fwlink/?linkid=870924
Comment:
    NR but used number from #246.</t>
      </text>
    </comment>
    <comment ref="Z2032" authorId="1206" shapeId="0" xr:uid="{548822B8-8631-481A-83A0-B1DDE96E50BB}">
      <text>
        <t>[Threaded comment]
Your version of Excel allows you to read this threaded comment; however, any edits to it will get removed if the file is opened in a newer version of Excel. Learn more: https://go.microsoft.com/fwlink/?linkid=870924
Comment:
    NR but used number from #246.</t>
      </text>
    </comment>
    <comment ref="AL2032" authorId="1207" shapeId="0" xr:uid="{47040A0F-1785-401B-91A0-3E705418EDA8}">
      <text>
        <t>[Threaded comment]
Your version of Excel allows you to read this threaded comment; however, any edits to it will get removed if the file is opened in a newer version of Excel. Learn more: https://go.microsoft.com/fwlink/?linkid=870924
Comment:
    From #246</t>
      </text>
    </comment>
    <comment ref="J2033" authorId="1208" shapeId="0" xr:uid="{1DE29FE7-88FB-40CE-91F2-5D7F3C72228C}">
      <text>
        <t>[Threaded comment]
Your version of Excel allows you to read this threaded comment; however, any edits to it will get removed if the file is opened in a newer version of Excel. Learn more: https://go.microsoft.com/fwlink/?linkid=870924
Comment:
    I have added a new category to the dropdown menu. Does "Invasiveness &amp; size" make sense?</t>
      </text>
    </comment>
    <comment ref="Y2033" authorId="1209" shapeId="0" xr:uid="{88920796-381C-479C-A38C-C123A562C037}">
      <text>
        <t>[Threaded comment]
Your version of Excel allows you to read this threaded comment; however, any edits to it will get removed if the file is opened in a newer version of Excel. Learn more: https://go.microsoft.com/fwlink/?linkid=870924
Comment:
    NR but used number from #246.</t>
      </text>
    </comment>
    <comment ref="Z2033" authorId="1210" shapeId="0" xr:uid="{FE3E2FC2-3CA9-4F02-B750-8F1CD80FE9CE}">
      <text>
        <t>[Threaded comment]
Your version of Excel allows you to read this threaded comment; however, any edits to it will get removed if the file is opened in a newer version of Excel. Learn more: https://go.microsoft.com/fwlink/?linkid=870924
Comment:
    NR but used number from #246.</t>
      </text>
    </comment>
    <comment ref="AL2033" authorId="1211" shapeId="0" xr:uid="{2C535741-4DD9-4701-9833-8DA8012E51DB}">
      <text>
        <t>[Threaded comment]
Your version of Excel allows you to read this threaded comment; however, any edits to it will get removed if the file is opened in a newer version of Excel. Learn more: https://go.microsoft.com/fwlink/?linkid=870924
Comment:
    From #246</t>
      </text>
    </comment>
    <comment ref="Y2034" authorId="1212" shapeId="0" xr:uid="{B45D07D9-90CC-4D3D-A2EE-810048FD7AEB}">
      <text>
        <t>[Threaded comment]
Your version of Excel allows you to read this threaded comment; however, any edits to it will get removed if the file is opened in a newer version of Excel. Learn more: https://go.microsoft.com/fwlink/?linkid=870924
Comment:
    NR but used number from #246.</t>
      </text>
    </comment>
    <comment ref="Z2034" authorId="1213" shapeId="0" xr:uid="{7D16012B-E63E-47B7-BFE0-3E0F90F73D74}">
      <text>
        <t>[Threaded comment]
Your version of Excel allows you to read this threaded comment; however, any edits to it will get removed if the file is opened in a newer version of Excel. Learn more: https://go.microsoft.com/fwlink/?linkid=870924
Comment:
    NR but used number from #246.</t>
      </text>
    </comment>
    <comment ref="AL2034" authorId="1214" shapeId="0" xr:uid="{658098A1-1510-4B79-A983-CD7BA6EB8E8A}">
      <text>
        <t>[Threaded comment]
Your version of Excel allows you to read this threaded comment; however, any edits to it will get removed if the file is opened in a newer version of Excel. Learn more: https://go.microsoft.com/fwlink/?linkid=870924
Comment:
    From #246</t>
      </text>
    </comment>
    <comment ref="Y2035" authorId="1215" shapeId="0" xr:uid="{EB346E3E-5FBE-48EB-B2A0-64B5F8FBDCFD}">
      <text>
        <t>[Threaded comment]
Your version of Excel allows you to read this threaded comment; however, any edits to it will get removed if the file is opened in a newer version of Excel. Learn more: https://go.microsoft.com/fwlink/?linkid=870924
Comment:
    NR but used number from #246.</t>
      </text>
    </comment>
    <comment ref="Z2035" authorId="1216" shapeId="0" xr:uid="{AA22C2AE-55C4-47C8-9DA1-4BE1EE3BCD5C}">
      <text>
        <t>[Threaded comment]
Your version of Excel allows you to read this threaded comment; however, any edits to it will get removed if the file is opened in a newer version of Excel. Learn more: https://go.microsoft.com/fwlink/?linkid=870924
Comment:
    NR but used number from #246.</t>
      </text>
    </comment>
    <comment ref="AL2035" authorId="1217" shapeId="0" xr:uid="{21950230-73C0-465B-8389-BD7C82F156E0}">
      <text>
        <t>[Threaded comment]
Your version of Excel allows you to read this threaded comment; however, any edits to it will get removed if the file is opened in a newer version of Excel. Learn more: https://go.microsoft.com/fwlink/?linkid=870924
Comment:
    From #246</t>
      </text>
    </comment>
    <comment ref="J2036" authorId="1218" shapeId="0" xr:uid="{162E4DFA-2ECF-4CD1-8652-5FC803499C62}">
      <text>
        <t>[Threaded comment]
Your version of Excel allows you to read this threaded comment; however, any edits to it will get removed if the file is opened in a newer version of Excel. Learn more: https://go.microsoft.com/fwlink/?linkid=870924
Comment:
    I have added a new category to the dropdown menu. Does "Invasiveness &amp; size" make sense?</t>
      </text>
    </comment>
    <comment ref="Y2036" authorId="1219" shapeId="0" xr:uid="{D3970AA4-D1C9-4618-A17D-FA19039FCA2F}">
      <text>
        <t>[Threaded comment]
Your version of Excel allows you to read this threaded comment; however, any edits to it will get removed if the file is opened in a newer version of Excel. Learn more: https://go.microsoft.com/fwlink/?linkid=870924
Comment:
    NR but used number from #246.</t>
      </text>
    </comment>
    <comment ref="Z2036" authorId="1220" shapeId="0" xr:uid="{C477F476-8414-4AAF-BC45-C38282EAAAEC}">
      <text>
        <t>[Threaded comment]
Your version of Excel allows you to read this threaded comment; however, any edits to it will get removed if the file is opened in a newer version of Excel. Learn more: https://go.microsoft.com/fwlink/?linkid=870924
Comment:
    NR but used number from #246.</t>
      </text>
    </comment>
    <comment ref="AL2036" authorId="1221" shapeId="0" xr:uid="{01885406-B457-4323-BC56-D07D7E3C618F}">
      <text>
        <t>[Threaded comment]
Your version of Excel allows you to read this threaded comment; however, any edits to it will get removed if the file is opened in a newer version of Excel. Learn more: https://go.microsoft.com/fwlink/?linkid=870924
Comment:
    From #246</t>
      </text>
    </comment>
    <comment ref="Y2037" authorId="1222" shapeId="0" xr:uid="{0296FACE-3BF2-4236-B285-AF52882CFDCD}">
      <text>
        <t>[Threaded comment]
Your version of Excel allows you to read this threaded comment; however, any edits to it will get removed if the file is opened in a newer version of Excel. Learn more: https://go.microsoft.com/fwlink/?linkid=870924
Comment:
    NR but used number from #246.</t>
      </text>
    </comment>
    <comment ref="Z2037" authorId="1223" shapeId="0" xr:uid="{3BF947F8-68DE-44A8-A1DA-9C1F184EAADE}">
      <text>
        <t>[Threaded comment]
Your version of Excel allows you to read this threaded comment; however, any edits to it will get removed if the file is opened in a newer version of Excel. Learn more: https://go.microsoft.com/fwlink/?linkid=870924
Comment:
    NR but used number from #246.</t>
      </text>
    </comment>
    <comment ref="AL2037" authorId="1224" shapeId="0" xr:uid="{22081B41-68E8-4653-869C-5EDDAD1F8334}">
      <text>
        <t>[Threaded comment]
Your version of Excel allows you to read this threaded comment; however, any edits to it will get removed if the file is opened in a newer version of Excel. Learn more: https://go.microsoft.com/fwlink/?linkid=870924
Comment:
    From #246</t>
      </text>
    </comment>
    <comment ref="Y2038" authorId="1225" shapeId="0" xr:uid="{8DF52435-9549-4D72-9619-DD435D19D46C}">
      <text>
        <t>[Threaded comment]
Your version of Excel allows you to read this threaded comment; however, any edits to it will get removed if the file is opened in a newer version of Excel. Learn more: https://go.microsoft.com/fwlink/?linkid=870924
Comment:
    NR but used number from #246.</t>
      </text>
    </comment>
    <comment ref="Z2038" authorId="1226" shapeId="0" xr:uid="{86000E32-7BBE-4E9F-90F6-620DE0784B00}">
      <text>
        <t>[Threaded comment]
Your version of Excel allows you to read this threaded comment; however, any edits to it will get removed if the file is opened in a newer version of Excel. Learn more: https://go.microsoft.com/fwlink/?linkid=870924
Comment:
    NR but used number from #246.</t>
      </text>
    </comment>
    <comment ref="AL2038" authorId="1227" shapeId="0" xr:uid="{068CD587-7252-496C-817D-2566213CE232}">
      <text>
        <t>[Threaded comment]
Your version of Excel allows you to read this threaded comment; however, any edits to it will get removed if the file is opened in a newer version of Excel. Learn more: https://go.microsoft.com/fwlink/?linkid=870924
Comment:
    From #246</t>
      </text>
    </comment>
    <comment ref="J2039" authorId="1228" shapeId="0" xr:uid="{3CBBD6B4-04D8-44B7-B8CC-B0BBDB599B52}">
      <text>
        <t>[Threaded comment]
Your version of Excel allows you to read this threaded comment; however, any edits to it will get removed if the file is opened in a newer version of Excel. Learn more: https://go.microsoft.com/fwlink/?linkid=870924
Comment:
    I have added a new category to the dropdown menu. Does "Invasiveness &amp; size" make sense?</t>
      </text>
    </comment>
    <comment ref="Y2039" authorId="1229" shapeId="0" xr:uid="{BECAE8E4-F167-4090-8893-283A3304ADEE}">
      <text>
        <t>[Threaded comment]
Your version of Excel allows you to read this threaded comment; however, any edits to it will get removed if the file is opened in a newer version of Excel. Learn more: https://go.microsoft.com/fwlink/?linkid=870924
Comment:
    NR but used number from #246.</t>
      </text>
    </comment>
    <comment ref="Z2039" authorId="1230" shapeId="0" xr:uid="{29815071-1D2B-4F1E-8755-C0555F924A20}">
      <text>
        <t>[Threaded comment]
Your version of Excel allows you to read this threaded comment; however, any edits to it will get removed if the file is opened in a newer version of Excel. Learn more: https://go.microsoft.com/fwlink/?linkid=870924
Comment:
    NR but used number from #246.</t>
      </text>
    </comment>
    <comment ref="AL2039" authorId="1231" shapeId="0" xr:uid="{77D35CF0-2272-4A5A-B95A-812AA1E79B4C}">
      <text>
        <t>[Threaded comment]
Your version of Excel allows you to read this threaded comment; however, any edits to it will get removed if the file is opened in a newer version of Excel. Learn more: https://go.microsoft.com/fwlink/?linkid=870924
Comment:
    From #246</t>
      </text>
    </comment>
    <comment ref="Y2040" authorId="1232" shapeId="0" xr:uid="{B258CECD-6A17-49CB-BC9A-A0B35D08BC72}">
      <text>
        <t>[Threaded comment]
Your version of Excel allows you to read this threaded comment; however, any edits to it will get removed if the file is opened in a newer version of Excel. Learn more: https://go.microsoft.com/fwlink/?linkid=870924
Comment:
    NR but used number from #246.</t>
      </text>
    </comment>
    <comment ref="Z2040" authorId="1233" shapeId="0" xr:uid="{01FC4DC8-D2BD-44CE-8720-B9C0D2E4BA20}">
      <text>
        <t>[Threaded comment]
Your version of Excel allows you to read this threaded comment; however, any edits to it will get removed if the file is opened in a newer version of Excel. Learn more: https://go.microsoft.com/fwlink/?linkid=870924
Comment:
    NR but used number from #246.</t>
      </text>
    </comment>
    <comment ref="AL2040" authorId="1234" shapeId="0" xr:uid="{DA7EEACB-3BA2-4489-958C-31C83894587C}">
      <text>
        <t>[Threaded comment]
Your version of Excel allows you to read this threaded comment; however, any edits to it will get removed if the file is opened in a newer version of Excel. Learn more: https://go.microsoft.com/fwlink/?linkid=870924
Comment:
    From #246</t>
      </text>
    </comment>
    <comment ref="Y2041" authorId="1235" shapeId="0" xr:uid="{CC0A853C-6F19-4F92-B960-38DFAE9CE40C}">
      <text>
        <t>[Threaded comment]
Your version of Excel allows you to read this threaded comment; however, any edits to it will get removed if the file is opened in a newer version of Excel. Learn more: https://go.microsoft.com/fwlink/?linkid=870924
Comment:
    NR but used number from #246.</t>
      </text>
    </comment>
    <comment ref="Z2041" authorId="1236" shapeId="0" xr:uid="{E97FDF47-27B0-498A-AF23-4C9DCDBEECA6}">
      <text>
        <t>[Threaded comment]
Your version of Excel allows you to read this threaded comment; however, any edits to it will get removed if the file is opened in a newer version of Excel. Learn more: https://go.microsoft.com/fwlink/?linkid=870924
Comment:
    NR but used number from #246.</t>
      </text>
    </comment>
    <comment ref="AL2041" authorId="1237" shapeId="0" xr:uid="{0D7A0CA4-8881-4881-A1EF-60CD1C35CC82}">
      <text>
        <t>[Threaded comment]
Your version of Excel allows you to read this threaded comment; however, any edits to it will get removed if the file is opened in a newer version of Excel. Learn more: https://go.microsoft.com/fwlink/?linkid=870924
Comment:
    From #246</t>
      </text>
    </comment>
    <comment ref="J2042" authorId="677" shapeId="0" xr:uid="{0FE5FCCF-5396-41F7-B8AF-8F4AEF2C4B72}">
      <text>
        <r>
          <rPr>
            <b/>
            <sz val="9"/>
            <color indexed="81"/>
            <rFont val="Tahoma"/>
            <family val="2"/>
          </rPr>
          <t>Randell, Matthew:</t>
        </r>
        <r>
          <rPr>
            <sz val="9"/>
            <color indexed="81"/>
            <rFont val="Tahoma"/>
            <family val="2"/>
          </rPr>
          <t xml:space="preserve">
Size.
JG - I HAVE ADDED A NEW CATEGORY TO THE DROPDOWN MENU "INVASIVENESS &amp; SIZE". WOULD THAT WORK?</t>
        </r>
      </text>
    </comment>
    <comment ref="K2042" authorId="677" shapeId="0" xr:uid="{D42EDE1A-6522-46F0-9B9E-3F89AAA87649}">
      <text>
        <r>
          <rPr>
            <b/>
            <sz val="9"/>
            <color indexed="81"/>
            <rFont val="Tahoma"/>
            <family val="2"/>
          </rPr>
          <t>Randell, Matthew:</t>
        </r>
        <r>
          <rPr>
            <sz val="9"/>
            <color indexed="81"/>
            <rFont val="Tahoma"/>
            <family val="2"/>
          </rPr>
          <t xml:space="preserve">
Adenoma ≥1 cm.
JG - CORRECTED.</t>
        </r>
      </text>
    </comment>
    <comment ref="Y2042" authorId="1238" shapeId="0" xr:uid="{DC2D9EDB-2964-4BD5-B00A-4B77F1C8D946}">
      <text>
        <t>[Threaded comment]
Your version of Excel allows you to read this threaded comment; however, any edits to it will get removed if the file is opened in a newer version of Excel. Learn more: https://go.microsoft.com/fwlink/?linkid=870924
Comment:
    NR but used number from #246.</t>
      </text>
    </comment>
    <comment ref="Z2042" authorId="1239" shapeId="0" xr:uid="{0F597309-D034-4A28-A0B0-B53609D9756D}">
      <text>
        <t>[Threaded comment]
Your version of Excel allows you to read this threaded comment; however, any edits to it will get removed if the file is opened in a newer version of Excel. Learn more: https://go.microsoft.com/fwlink/?linkid=870924
Comment:
    NR but used number from #246.</t>
      </text>
    </comment>
    <comment ref="AL2042" authorId="1240" shapeId="0" xr:uid="{C037AC86-51C6-4F7E-8951-C855DFD4FBC8}">
      <text>
        <t>[Threaded comment]
Your version of Excel allows you to read this threaded comment; however, any edits to it will get removed if the file is opened in a newer version of Excel. Learn more: https://go.microsoft.com/fwlink/?linkid=870924
Comment:
    From #246</t>
      </text>
    </comment>
    <comment ref="J2049" authorId="677" shapeId="0" xr:uid="{0EB91825-9537-4111-B3C3-F35647CF1ED6}">
      <text>
        <r>
          <rPr>
            <b/>
            <sz val="9"/>
            <color indexed="81"/>
            <rFont val="Tahoma"/>
            <family val="2"/>
          </rPr>
          <t>Randell, Matthew:</t>
        </r>
        <r>
          <rPr>
            <sz val="9"/>
            <color indexed="81"/>
            <rFont val="Tahoma"/>
            <family val="2"/>
          </rPr>
          <t xml:space="preserve">
Size?
JG - I HAVE ADDED A NEW CATEGORY TO THE DROPDOWN MENU "INVASIVENESS &amp; SIZE". WOULD THAT WORK?</t>
        </r>
      </text>
    </comment>
    <comment ref="BA2050" authorId="677" shapeId="0" xr:uid="{A553962D-DC3A-4DE3-B190-87907DA70238}">
      <text>
        <r>
          <rPr>
            <b/>
            <sz val="9"/>
            <color indexed="81"/>
            <rFont val="Tahoma"/>
            <family val="2"/>
          </rPr>
          <t>Randell, Matthew:</t>
        </r>
        <r>
          <rPr>
            <sz val="9"/>
            <color indexed="81"/>
            <rFont val="Tahoma"/>
            <family val="2"/>
          </rPr>
          <t xml:space="preserve">
p&lt;0.03.
JG - ADDED.</t>
        </r>
      </text>
    </comment>
    <comment ref="BA2053" authorId="677" shapeId="0" xr:uid="{4036C721-C12E-4695-B417-D7338404E4DB}">
      <text>
        <r>
          <rPr>
            <b/>
            <sz val="9"/>
            <color indexed="81"/>
            <rFont val="Tahoma"/>
            <family val="2"/>
          </rPr>
          <t>Randell, Matthew:</t>
        </r>
        <r>
          <rPr>
            <sz val="9"/>
            <color indexed="81"/>
            <rFont val="Tahoma"/>
            <family val="2"/>
          </rPr>
          <t xml:space="preserve">
p&lt;0.04.
JG - THINK THIS P-VALUE IS ONLY FOR THE SCREEN-DETECTED CARCINOMAS VERSUS THE CONTROL GROUP.
MJR - I checked again and I agree with you</t>
        </r>
      </text>
    </comment>
    <comment ref="BA2054" authorId="677" shapeId="0" xr:uid="{549F0353-5C74-4956-87C6-0FAC58FE1EA5}">
      <text>
        <r>
          <rPr>
            <b/>
            <sz val="9"/>
            <color indexed="81"/>
            <rFont val="Tahoma"/>
            <family val="2"/>
          </rPr>
          <t>Randell, Matthew:</t>
        </r>
        <r>
          <rPr>
            <sz val="9"/>
            <color indexed="81"/>
            <rFont val="Tahoma"/>
            <family val="2"/>
          </rPr>
          <t xml:space="preserve">
p&lt;0.04.
JG - THINK THIS P-VALUE IS ONLY FOR THE SCREEN-DETECTED CARCINOMAS VERSUS THE CONTROL GROUP.
MJR - I checked again and I agree with you</t>
        </r>
      </text>
    </comment>
    <comment ref="P2055" authorId="677" shapeId="0" xr:uid="{CAE7B49A-BD2D-4625-8FCF-93DCA7824ACF}">
      <text>
        <r>
          <rPr>
            <b/>
            <sz val="9"/>
            <color indexed="81"/>
            <rFont val="Tahoma"/>
            <family val="2"/>
          </rPr>
          <t>Randell, Matthew:</t>
        </r>
        <r>
          <rPr>
            <sz val="9"/>
            <color indexed="81"/>
            <rFont val="Tahoma"/>
            <family val="2"/>
          </rPr>
          <t xml:space="preserve">
3. % of target cancers diagnosed at late stage.
JG - CORRECTED.</t>
        </r>
      </text>
    </comment>
    <comment ref="J2057" authorId="677" shapeId="0" xr:uid="{F6A0E997-8023-4861-A868-011AB250011E}">
      <text>
        <r>
          <rPr>
            <b/>
            <sz val="9"/>
            <color indexed="81"/>
            <rFont val="Tahoma"/>
            <family val="2"/>
          </rPr>
          <t>Randell, Matthew:</t>
        </r>
        <r>
          <rPr>
            <sz val="9"/>
            <color indexed="81"/>
            <rFont val="Tahoma"/>
            <family val="2"/>
          </rPr>
          <t xml:space="preserve">
Size?
JG - I HAVE ADDED A NEW CATEGORY TO THE DROPDOWN MENU "INVASIVENESS &amp; SIZE". WOULD THAT WORK?</t>
        </r>
      </text>
    </comment>
    <comment ref="P2063" authorId="677" shapeId="0" xr:uid="{F53F2241-2740-4D49-911A-EB2F03B2EFEC}">
      <text>
        <r>
          <rPr>
            <b/>
            <sz val="9"/>
            <color indexed="81"/>
            <rFont val="Tahoma"/>
            <family val="2"/>
          </rPr>
          <t>Randell, Matthew:</t>
        </r>
        <r>
          <rPr>
            <sz val="9"/>
            <color indexed="81"/>
            <rFont val="Tahoma"/>
            <family val="2"/>
          </rPr>
          <t xml:space="preserve">
3. % of target cancers diagnosed at late stage.
JG - CORRECTED.</t>
        </r>
      </text>
    </comment>
    <comment ref="J2070" authorId="677" shapeId="0" xr:uid="{430330DB-9163-467C-9ECF-4E1DE9553AA1}">
      <text>
        <r>
          <rPr>
            <b/>
            <sz val="9"/>
            <color indexed="81"/>
            <rFont val="Tahoma"/>
            <family val="2"/>
          </rPr>
          <t>Randell, Matthew:</t>
        </r>
        <r>
          <rPr>
            <sz val="9"/>
            <color indexed="81"/>
            <rFont val="Tahoma"/>
            <family val="2"/>
          </rPr>
          <t xml:space="preserve">
Size?
JG - I HAVE ADDED A NEW CATEGORY TO THE DROPDOWN MENU "INVASIVENESS &amp; SIZE". WOULD THAT WORK?</t>
        </r>
      </text>
    </comment>
    <comment ref="BA2070" authorId="1241" shapeId="0" xr:uid="{BF6B0B5E-372C-498C-8144-E3C856B4A785}">
      <text>
        <t>[Threaded comment]
Your version of Excel allows you to read this threaded comment; however, any edits to it will get removed if the file is opened in a newer version of Excel. Learn more: https://go.microsoft.com/fwlink/?linkid=870924
Comment:
    Changed from 'NR' as the text says: "At the end of follow-up, 515 individuals in the screening group had an adenoma of 1・0 cm or larger compared with
317 of the controls (P &lt; 0・001) (Table 3)."
Reply:
    agree</t>
      </text>
    </comment>
    <comment ref="A2071" authorId="1242" shapeId="0" xr:uid="{5C92AAC4-8F8E-4B49-8A25-B31FF8437705}">
      <text>
        <t>[Threaded comment]
Your version of Excel allows you to read this threaded comment; however, any edits to it will get removed if the file is opened in a newer version of Excel. Learn more: https://go.microsoft.com/fwlink/?linkid=870924
Comment:
    I have extracted the incidence of adenomas with size between 10-20mm here. Please check!
Reply:
    Checked</t>
      </text>
    </comment>
    <comment ref="D2072" authorId="677" shapeId="0" xr:uid="{59291919-3701-42D4-924F-606E35CDE1E9}">
      <text>
        <r>
          <rPr>
            <b/>
            <sz val="9"/>
            <color indexed="81"/>
            <rFont val="Tahoma"/>
            <family val="2"/>
          </rPr>
          <t>Randell, Matthew:</t>
        </r>
        <r>
          <rPr>
            <sz val="9"/>
            <color indexed="81"/>
            <rFont val="Tahoma"/>
            <family val="2"/>
          </rPr>
          <t xml:space="preserve">
Why are we interested in greater than 1cm and greater than 2cm but not between 1-2cm, which the paper also reports?
JG - ADDED.</t>
        </r>
      </text>
    </comment>
    <comment ref="J2072" authorId="677" shapeId="0" xr:uid="{0F6F0083-E041-4699-86A7-60D927990287}">
      <text>
        <r>
          <rPr>
            <b/>
            <sz val="9"/>
            <color indexed="81"/>
            <rFont val="Tahoma"/>
            <family val="2"/>
          </rPr>
          <t>Randell, Matthew:</t>
        </r>
        <r>
          <rPr>
            <sz val="9"/>
            <color indexed="81"/>
            <rFont val="Tahoma"/>
            <family val="2"/>
          </rPr>
          <t xml:space="preserve">
Size?
JG - I HAVE ADDED A NEW CATEGORY TO THE DROPDOWN MENU "INVASIVENESS &amp; SIZE". WOULD THAT WORK?</t>
        </r>
      </text>
    </comment>
    <comment ref="J2079" authorId="677" shapeId="0" xr:uid="{DCAA79EA-DF12-4411-9288-FACDF86E14BB}">
      <text>
        <r>
          <rPr>
            <b/>
            <sz val="9"/>
            <color indexed="81"/>
            <rFont val="Tahoma"/>
            <family val="2"/>
          </rPr>
          <t>Randell, Matthew:</t>
        </r>
        <r>
          <rPr>
            <sz val="9"/>
            <color indexed="81"/>
            <rFont val="Tahoma"/>
            <family val="2"/>
          </rPr>
          <t xml:space="preserve">
Size? This is consistently being set to Invasiveness so I'm starting to doubt muself but I thought early on it was size, and that makes sense to me.
JG - I HAVE ADDED A NEW CATEGORY "INVASIVENESS &amp; SIZE". WOULD THAT WORK?</t>
        </r>
      </text>
    </comment>
    <comment ref="A2080" authorId="1243" shapeId="0" xr:uid="{572D0A7B-B29F-403B-A3BD-08FE0032CA9E}">
      <text>
        <t>[Threaded comment]
Your version of Excel allows you to read this threaded comment; however, any edits to it will get removed if the file is opened in a newer version of Excel. Learn more: https://go.microsoft.com/fwlink/?linkid=870924
Comment:
    I have extracted the incidence of adenomas with size between 10-20mm here. Please check!
Reply:
    Checked</t>
      </text>
    </comment>
    <comment ref="J2081" authorId="677" shapeId="0" xr:uid="{BDAE87FE-941D-4408-9B00-70209F56FDA7}">
      <text>
        <r>
          <rPr>
            <b/>
            <sz val="9"/>
            <color indexed="81"/>
            <rFont val="Tahoma"/>
            <family val="2"/>
          </rPr>
          <t>Randell, Matthew:</t>
        </r>
        <r>
          <rPr>
            <sz val="9"/>
            <color indexed="81"/>
            <rFont val="Tahoma"/>
            <family val="2"/>
          </rPr>
          <t xml:space="preserve">
Size? As above.
JG - I HAVE ADDED A NEW CATEGORY TO THE DROPDOWN MENU. DOES "INVASIVENESS &amp; SIZE" WORK?</t>
        </r>
      </text>
    </comment>
    <comment ref="AK2094" authorId="1244" shapeId="0" xr:uid="{643BDE04-ADC1-4B26-8B15-1D91C98746C9}">
      <text>
        <t>[Threaded comment]
Your version of Excel allows you to read this threaded comment; however, any edits to it will get removed if the file is opened in a newer version of Excel. Learn more: https://go.microsoft.com/fwlink/?linkid=870924
Comment:
    Should it be 39,164 women? See Table 2, 19,813 + 19,351? Frisell 1989 seem to only include women born 1-10 and 21-30 in the SP group, not the women born on the 31st "to simplify the numerical comparisons" with the control group.
Reply:
    That is weird. Though the women born on the 31st are included in Table 5.
Given that cancers and their stage are reported, I think that 40,318 is the correct denominator.</t>
      </text>
    </comment>
    <comment ref="Y2095" authorId="1245" shapeId="0" xr:uid="{F870A5E3-6D89-4B5A-A481-68BAD6547A0A}">
      <text>
        <t>[Threaded comment]
Your version of Excel allows you to read this threaded comment; however, any edits to it will get removed if the file is opened in a newer version of Excel. Learn more: https://go.microsoft.com/fwlink/?linkid=870924
Comment:
    40,318
Reply:
    We agreed that we rate that field as "NA" for surrogates 3 and 5 as the denominator is the total number of breast cancers.
Reply:
    agreed</t>
      </text>
    </comment>
    <comment ref="D2096" authorId="1246" shapeId="0" xr:uid="{88CE612D-DE98-4E0C-8E7E-2C21CC8D7F85}">
      <text>
        <t>[Threaded comment]
Your version of Excel allows you to read this threaded comment; however, any edits to it will get removed if the file is opened in a newer version of Excel. Learn more: https://go.microsoft.com/fwlink/?linkid=870924
Comment:
    Tried to clarify in this row that we are here including all women in the SP group (so also the ones born on the 31st).
Reply:
    I understand</t>
      </text>
    </comment>
    <comment ref="A2097" authorId="1247" shapeId="0" xr:uid="{25440DC3-C4BF-42C2-8E13-C57129EB82A9}">
      <text>
        <t>[Threaded comment]
Your version of Excel allows you to read this threaded comment; however, any edits to it will get removed if the file is opened in a newer version of Excel. Learn more: https://go.microsoft.com/fwlink/?linkid=870924
Comment:
    Not quite sure if we need these data???
Reply:
    Hi Julia,
I don't understand/can't find the 'adjusted for size' info, so need to talk this through with you before I check these ones.
Reply:
    Well, Frisell 1989 only say "Total CP (corrected for size)" in Table 5, but they have talked in the 'Methods' bit about excluding SP women born on the 31st "to simplify the numerical comparisons".
I understood that 
19,813 SP women born 1-10 were matched with 19,943 CP women born 11-20 AND
19,351 SP women born 21-30 were matched with 19,859 CP women born 11-20 (see Table 2 and Fig 1).
They seem to have excluded the 1,154 SP women born on the 31st and report their results separately in brackets in Table 5.
The number of new stage II+ cancer cases per year after randomisation reported in Table 6 adds up to the total number reported in Table 5 (143 for SP and 150 for CP), so I was assuming we could use these?
The number of all new cancer cases reported in Table 6 adds up to the total number reported in Table 5 for CP (257) but is out by 1 for SP (372 vs 371).
Reply:
    It's the "corrected" bit that I can't get my head around. Corrected how? Does it mean that the 257 is not the actual number of cancers?
Reply:
    Why do you think we don't need these data?
Reply:
    I think we need this data if we can figure out how they were calculated?
I tried to explain what I think they did in the "Notes" cell.</t>
      </text>
    </comment>
    <comment ref="D2097" authorId="1248" shapeId="0" xr:uid="{F408EBF4-BDFA-438B-BC05-96C594E1055B}">
      <text>
        <t>[Threaded comment]
Your version of Excel allows you to read this threaded comment; however, any edits to it will get removed if the file is opened in a newer version of Excel. Learn more: https://go.microsoft.com/fwlink/?linkid=870924
Comment:
    I tried to clarify which women the reported outcome includes.
Reply:
    Looks good to me (excluding that I have no idea how they 'corrected' the sample size!)</t>
      </text>
    </comment>
    <comment ref="AG2097" authorId="1249" shapeId="0" xr:uid="{ED658547-2A39-4E00-82D2-D8F90D216E28}">
      <text>
        <t>[Threaded comment]
Your version of Excel allows you to read this threaded comment; however, any edits to it will get removed if the file is opened in a newer version of Excel. Learn more: https://go.microsoft.com/fwlink/?linkid=870924
Comment:
    Looks good to me (whole column)</t>
      </text>
    </comment>
    <comment ref="AH2097" authorId="1250" shapeId="0" xr:uid="{0B5DE418-DD5E-49F3-95BE-1C0F362FB9B1}">
      <text>
        <t>[Threaded comment]
Your version of Excel allows you to read this threaded comment; however, any edits to it will get removed if the file is opened in a newer version of Excel. Learn more: https://go.microsoft.com/fwlink/?linkid=870924
Comment:
    agreed</t>
      </text>
    </comment>
    <comment ref="AL2097" authorId="1251" shapeId="0" xr:uid="{E17F388C-04C2-4E65-A2FC-0A68D2AD0B16}">
      <text>
        <t>[Threaded comment]
Your version of Excel allows you to read this threaded comment; however, any edits to it will get removed if the file is opened in a newer version of Excel. Learn more: https://go.microsoft.com/fwlink/?linkid=870924
Comment:
    agreed</t>
      </text>
    </comment>
    <comment ref="BG2097" authorId="1252" shapeId="0" xr:uid="{9C4827C7-40DA-4A4A-A9B3-7F173ED1E634}">
      <text>
        <t>[Threaded comment]
Your version of Excel allows you to read this threaded comment; however, any edits to it will get removed if the file is opened in a newer version of Excel. Learn more: https://go.microsoft.com/fwlink/?linkid=870924
Comment:
    Agree for whole column</t>
      </text>
    </comment>
    <comment ref="A2098" authorId="1253" shapeId="0" xr:uid="{C05283D3-4475-4B63-BF38-AD26333E238C}">
      <text>
        <t>[Threaded comment]
Your version of Excel allows you to read this threaded comment; however, any edits to it will get removed if the file is opened in a newer version of Excel. Learn more: https://go.microsoft.com/fwlink/?linkid=870924
Comment:
    Not quite sure if we need these data???</t>
      </text>
    </comment>
    <comment ref="D2098" authorId="1254" shapeId="0" xr:uid="{B926F356-69DB-44F7-B4B6-6ACF18CB5971}">
      <text>
        <t>[Threaded comment]
Your version of Excel allows you to read this threaded comment; however, any edits to it will get removed if the file is opened in a newer version of Excel. Learn more: https://go.microsoft.com/fwlink/?linkid=870924
Comment:
    I tried to clarify which women the reported outcome includes.
Reply:
    Looks good to me (whole column)</t>
      </text>
    </comment>
    <comment ref="AL2098" authorId="1255" shapeId="0" xr:uid="{CB81660E-9373-448C-95B6-ABD235C0C1F0}">
      <text>
        <t>[Threaded comment]
Your version of Excel allows you to read this threaded comment; however, any edits to it will get removed if the file is opened in a newer version of Excel. Learn more: https://go.microsoft.com/fwlink/?linkid=870924
Comment:
    agreed</t>
      </text>
    </comment>
    <comment ref="A2099" authorId="1256" shapeId="0" xr:uid="{EB2815DA-FDBC-43B5-960F-CC02243C7030}">
      <text>
        <t>[Threaded comment]
Your version of Excel allows you to read this threaded comment; however, any edits to it will get removed if the file is opened in a newer version of Excel. Learn more: https://go.microsoft.com/fwlink/?linkid=870924
Comment:
    Not quite sure if we need these data???</t>
      </text>
    </comment>
    <comment ref="AL2099" authorId="1257" shapeId="0" xr:uid="{CA86215E-077B-4C1D-90E6-4F179D566016}">
      <text>
        <t>[Threaded comment]
Your version of Excel allows you to read this threaded comment; however, any edits to it will get removed if the file is opened in a newer version of Excel. Learn more: https://go.microsoft.com/fwlink/?linkid=870924
Comment:
    Agreed</t>
      </text>
    </comment>
    <comment ref="A2100" authorId="1258" shapeId="0" xr:uid="{481F08F1-151E-47CB-BC4F-31054D84B9D5}">
      <text>
        <t>[Threaded comment]
Your version of Excel allows you to read this threaded comment; however, any edits to it will get removed if the file is opened in a newer version of Excel. Learn more: https://go.microsoft.com/fwlink/?linkid=870924
Comment:
    Not quite sure if we need these data???</t>
      </text>
    </comment>
    <comment ref="AL2100" authorId="1259" shapeId="0" xr:uid="{BB46D78C-B827-48DE-B0B7-7A7063118DD1}">
      <text>
        <t>[Threaded comment]
Your version of Excel allows you to read this threaded comment; however, any edits to it will get removed if the file is opened in a newer version of Excel. Learn more: https://go.microsoft.com/fwlink/?linkid=870924
Comment:
    Agreed</t>
      </text>
    </comment>
    <comment ref="A2101" authorId="1260" shapeId="0" xr:uid="{C1CF9406-3417-44DC-B29D-0403B1B250CB}">
      <text>
        <t>[Threaded comment]
Your version of Excel allows you to read this threaded comment; however, any edits to it will get removed if the file is opened in a newer version of Excel. Learn more: https://go.microsoft.com/fwlink/?linkid=870924
Comment:
    Not quite sure if we need these data???</t>
      </text>
    </comment>
    <comment ref="AL2101" authorId="1261" shapeId="0" xr:uid="{5CE785C9-2E48-43C7-984F-6BEEF0F327B8}">
      <text>
        <t>[Threaded comment]
Your version of Excel allows you to read this threaded comment; however, any edits to it will get removed if the file is opened in a newer version of Excel. Learn more: https://go.microsoft.com/fwlink/?linkid=870924
Comment:
    Agreed</t>
      </text>
    </comment>
    <comment ref="A2102" authorId="1262" shapeId="0" xr:uid="{449CD505-E073-42F8-91D5-ED707E78B07F}">
      <text>
        <t>[Threaded comment]
Your version of Excel allows you to read this threaded comment; however, any edits to it will get removed if the file is opened in a newer version of Excel. Learn more: https://go.microsoft.com/fwlink/?linkid=870924
Comment:
    Not quite sure if we need these data???</t>
      </text>
    </comment>
    <comment ref="AL2102" authorId="1263" shapeId="0" xr:uid="{36BBAA55-A81C-4452-970D-886A0F1445B5}">
      <text>
        <t>[Threaded comment]
Your version of Excel allows you to read this threaded comment; however, any edits to it will get removed if the file is opened in a newer version of Excel. Learn more: https://go.microsoft.com/fwlink/?linkid=870924
Comment:
    Agreed</t>
      </text>
    </comment>
    <comment ref="A2103" authorId="1264" shapeId="0" xr:uid="{58DDF06A-B126-4286-9A0D-2E504ED1F96D}">
      <text>
        <t>[Threaded comment]
Your version of Excel allows you to read this threaded comment; however, any edits to it will get removed if the file is opened in a newer version of Excel. Learn more: https://go.microsoft.com/fwlink/?linkid=870924
Comment:
    Not quite sure if we need these data???</t>
      </text>
    </comment>
    <comment ref="AL2103" authorId="1265" shapeId="0" xr:uid="{1094920B-826F-458C-806F-37B6AB683BBC}">
      <text>
        <t>[Threaded comment]
Your version of Excel allows you to read this threaded comment; however, any edits to it will get removed if the file is opened in a newer version of Excel. Learn more: https://go.microsoft.com/fwlink/?linkid=870924
Comment:
    Agreed</t>
      </text>
    </comment>
    <comment ref="A2104" authorId="1266" shapeId="0" xr:uid="{5B9CB7C3-690D-4D5F-8827-8641B1C0AF0E}">
      <text>
        <t>[Threaded comment]
Your version of Excel allows you to read this threaded comment; however, any edits to it will get removed if the file is opened in a newer version of Excel. Learn more: https://go.microsoft.com/fwlink/?linkid=870924
Comment:
    Not quite sure if we need these data???</t>
      </text>
    </comment>
    <comment ref="AL2104" authorId="1267" shapeId="0" xr:uid="{67D019C6-A5A4-43C4-A14A-356AD35B464E}">
      <text>
        <t>[Threaded comment]
Your version of Excel allows you to read this threaded comment; however, any edits to it will get removed if the file is opened in a newer version of Excel. Learn more: https://go.microsoft.com/fwlink/?linkid=870924
Comment:
    Agreed</t>
      </text>
    </comment>
    <comment ref="A2105" authorId="1268" shapeId="0" xr:uid="{0B21FD5A-47C2-4BD2-AB6A-1F1FDA79F884}">
      <text>
        <t>[Threaded comment]
Your version of Excel allows you to read this threaded comment; however, any edits to it will get removed if the file is opened in a newer version of Excel. Learn more: https://go.microsoft.com/fwlink/?linkid=870924
Comment:
    Not quite sure if we need these data???</t>
      </text>
    </comment>
    <comment ref="AL2105" authorId="1269" shapeId="0" xr:uid="{51BF5470-5962-489E-92F0-1CC751543056}">
      <text>
        <t>[Threaded comment]
Your version of Excel allows you to read this threaded comment; however, any edits to it will get removed if the file is opened in a newer version of Excel. Learn more: https://go.microsoft.com/fwlink/?linkid=870924
Comment:
    Agreed</t>
      </text>
    </comment>
    <comment ref="A2106" authorId="1270" shapeId="0" xr:uid="{03074956-7D98-4734-B0F6-02BC7E322F2A}">
      <text>
        <t>[Threaded comment]
Your version of Excel allows you to read this threaded comment; however, any edits to it will get removed if the file is opened in a newer version of Excel. Learn more: https://go.microsoft.com/fwlink/?linkid=870924
Comment:
    Not quite sure if we need these data???</t>
      </text>
    </comment>
    <comment ref="AL2106" authorId="1271" shapeId="0" xr:uid="{1B3F9D93-7465-475E-8E61-047A8CE8E028}">
      <text>
        <t>[Threaded comment]
Your version of Excel allows you to read this threaded comment; however, any edits to it will get removed if the file is opened in a newer version of Excel. Learn more: https://go.microsoft.com/fwlink/?linkid=870924
Comment:
    Agreed</t>
      </text>
    </comment>
    <comment ref="D2107" authorId="1272" shapeId="0" xr:uid="{BEFA8908-1686-4199-B916-9BAEEF30973C}">
      <text>
        <t>[Threaded comment]
Your version of Excel allows you to read this threaded comment; however, any edits to it will get removed if the file is opened in a newer version of Excel. Learn more: https://go.microsoft.com/fwlink/?linkid=870924
Comment:
    Agree with all this</t>
      </text>
    </comment>
    <comment ref="AK2107" authorId="1273" shapeId="0" xr:uid="{7EB3C945-BFE8-40E8-AA74-A5948FD806C5}">
      <text>
        <t>[Threaded comment]
Your version of Excel allows you to read this threaded comment; however, any edits to it will get removed if the file is opened in a newer version of Excel. Learn more: https://go.microsoft.com/fwlink/?linkid=870924
Comment:
    Throughout this file … I don't know where this number comes from.
Reply:
    40,318 minus 1,154 (born on the 31st were also offered mammography but were excluded from the SP in order to simplify the numerical comparisons) = 39,164.
Or Table 1:
19,813 (DoB 1-10) +  19,351 (DoB 21-30) = 39,164.
Reply:
    I understand</t>
      </text>
    </comment>
    <comment ref="AL2107" authorId="1274" shapeId="0" xr:uid="{26675522-8C37-4949-AB48-76D94635CA52}">
      <text>
        <t>[Threaded comment]
Your version of Excel allows you to read this threaded comment; however, any edits to it will get removed if the file is opened in a newer version of Excel. Learn more: https://go.microsoft.com/fwlink/?linkid=870924
Comment:
    agreed</t>
      </text>
    </comment>
    <comment ref="BG2107" authorId="1275" shapeId="0" xr:uid="{E6481988-566A-49AB-AC87-0374576CB9D8}">
      <text>
        <t>[Threaded comment]
Your version of Excel allows you to read this threaded comment; however, any edits to it will get removed if the file is opened in a newer version of Excel. Learn more: https://go.microsoft.com/fwlink/?linkid=870924
Comment:
    I don't understand/can't see an explanation of what they've done here.
Reply:
    I thought it is the same as in Frisell 1991:
"Women born on the 31st were also offered mammography but were excluded from the
SP in order to simplify the numerical comparisons."
"The control women were matched to the screened
women, those born on the llth being matched with
SP women born on the 1st and 21st, and so on."
Table 1 then reports the resulting numbers for both groups.
The CP group now seems to contain 19,943+19,859 women (so 39,802).
Reply:
    I understand.</t>
      </text>
    </comment>
    <comment ref="AL2108" authorId="1276" shapeId="0" xr:uid="{9F130322-7117-4673-8FA4-8399757F19D0}">
      <text>
        <t>[Threaded comment]
Your version of Excel allows you to read this threaded comment; however, any edits to it will get removed if the file is opened in a newer version of Excel. Learn more: https://go.microsoft.com/fwlink/?linkid=870924
Comment:
    agreed</t>
      </text>
    </comment>
    <comment ref="AL2109" authorId="1277" shapeId="0" xr:uid="{D7153E05-C01E-4703-AA4D-09B65B4EE2FB}">
      <text>
        <t>[Threaded comment]
Your version of Excel allows you to read this threaded comment; however, any edits to it will get removed if the file is opened in a newer version of Excel. Learn more: https://go.microsoft.com/fwlink/?linkid=870924
Comment:
    agreed</t>
      </text>
    </comment>
    <comment ref="AL2110" authorId="1278" shapeId="0" xr:uid="{36A7159A-CF48-46AD-ADA5-141F4B7F932F}">
      <text>
        <t>[Threaded comment]
Your version of Excel allows you to read this threaded comment; however, any edits to it will get removed if the file is opened in a newer version of Excel. Learn more: https://go.microsoft.com/fwlink/?linkid=870924
Comment:
    agreed</t>
      </text>
    </comment>
    <comment ref="AL2112" authorId="1279" shapeId="0" xr:uid="{596FB99D-AB18-4884-927C-7D17B8539857}">
      <text>
        <t>[Threaded comment]
Your version of Excel allows you to read this threaded comment; however, any edits to it will get removed if the file is opened in a newer version of Excel. Learn more: https://go.microsoft.com/fwlink/?linkid=870924
Comment:
    agreed</t>
      </text>
    </comment>
    <comment ref="AL2113" authorId="1280" shapeId="0" xr:uid="{7D49A627-0762-4EB4-8216-5C00285549EE}">
      <text>
        <t>[Threaded comment]
Your version of Excel allows you to read this threaded comment; however, any edits to it will get removed if the file is opened in a newer version of Excel. Learn more: https://go.microsoft.com/fwlink/?linkid=870924
Comment:
    agreed</t>
      </text>
    </comment>
    <comment ref="AL2114" authorId="1281" shapeId="0" xr:uid="{E8780D38-31D0-484C-B3C6-ACF25B9DAA7B}">
      <text>
        <t>[Threaded comment]
Your version of Excel allows you to read this threaded comment; however, any edits to it will get removed if the file is opened in a newer version of Excel. Learn more: https://go.microsoft.com/fwlink/?linkid=870924
Comment:
    agreed</t>
      </text>
    </comment>
    <comment ref="AJ2115" authorId="1282" shapeId="0" xr:uid="{A4B491A3-0DB0-42A4-9117-EC78094847DC}">
      <text>
        <t>[Threaded comment]
Your version of Excel allows you to read this threaded comment; however, any edits to it will get removed if the file is opened in a newer version of Excel. Learn more: https://go.microsoft.com/fwlink/?linkid=870924
Comment:
    N = 3
Stage 2 n = 2
Stage 3-4 n = 1
Reply:
    Corrected.</t>
      </text>
    </comment>
    <comment ref="AL2115" authorId="1283" shapeId="0" xr:uid="{378B68FB-89C4-4B58-AC07-47FC9E34E5AB}">
      <text>
        <t>[Threaded comment]
Your version of Excel allows you to read this threaded comment; however, any edits to it will get removed if the file is opened in a newer version of Excel. Learn more: https://go.microsoft.com/fwlink/?linkid=870924
Comment:
    agreed</t>
      </text>
    </comment>
    <comment ref="AS2115" authorId="1284" shapeId="0" xr:uid="{6036877F-8FFB-44B5-AFB8-0BC0ACC1DAB3}">
      <text>
        <t>[Threaded comment]
Your version of Excel allows you to read this threaded comment; however, any edits to it will get removed if the file is opened in a newer version of Excel. Learn more: https://go.microsoft.com/fwlink/?linkid=870924
Comment:
    0.77
3*10000/	39164 = 0.76601
Reply:
    Agree.</t>
      </text>
    </comment>
    <comment ref="AX2115" authorId="1285" shapeId="0" xr:uid="{45C4173A-6827-47AC-91AC-1876F067BA64}">
      <text>
        <t>[Threaded comment]
Your version of Excel allows you to read this threaded comment; however, any edits to it will get removed if the file is opened in a newer version of Excel. Learn more: https://go.microsoft.com/fwlink/?linkid=870924
Comment:
    3
2.298/0.766
Reply:
    Agree.</t>
      </text>
    </comment>
    <comment ref="AL2116" authorId="1286" shapeId="0" xr:uid="{5ED836FC-D023-4BB4-BFCC-314FCABD5ED4}">
      <text>
        <t>[Threaded comment]
Your version of Excel allows you to read this threaded comment; however, any edits to it will get removed if the file is opened in a newer version of Excel. Learn more: https://go.microsoft.com/fwlink/?linkid=870924
Comment:
    agreed</t>
      </text>
    </comment>
    <comment ref="AL2117" authorId="1287" shapeId="0" xr:uid="{77BEE244-755E-4278-8398-01B46834B2A5}">
      <text>
        <t>[Threaded comment]
Your version of Excel allows you to read this threaded comment; however, any edits to it will get removed if the file is opened in a newer version of Excel. Learn more: https://go.microsoft.com/fwlink/?linkid=870924
Comment:
    agreed</t>
      </text>
    </comment>
    <comment ref="AL2118" authorId="1288" shapeId="0" xr:uid="{93A54EF8-5F87-453B-AA34-A6257FF1F62E}">
      <text>
        <t>[Threaded comment]
Your version of Excel allows you to read this threaded comment; however, any edits to it will get removed if the file is opened in a newer version of Excel. Learn more: https://go.microsoft.com/fwlink/?linkid=870924
Comment:
    agreed</t>
      </text>
    </comment>
    <comment ref="AL2119" authorId="1289" shapeId="0" xr:uid="{BEB656E8-9E31-4578-AC53-CB9D4CA1A84C}">
      <text>
        <t>[Threaded comment]
Your version of Excel allows you to read this threaded comment; however, any edits to it will get removed if the file is opened in a newer version of Excel. Learn more: https://go.microsoft.com/fwlink/?linkid=870924
Comment:
    agreed</t>
      </text>
    </comment>
    <comment ref="AL2120" authorId="1290" shapeId="0" xr:uid="{F115BCA5-736E-49AD-B324-30FAD0CCF251}">
      <text>
        <t>[Threaded comment]
Your version of Excel allows you to read this threaded comment; however, any edits to it will get removed if the file is opened in a newer version of Excel. Learn more: https://go.microsoft.com/fwlink/?linkid=870924
Comment:
    agreed</t>
      </text>
    </comment>
    <comment ref="AL2121" authorId="1291" shapeId="0" xr:uid="{05787FAE-5233-4C7E-8ADA-E14C4A41DABA}">
      <text>
        <t>[Threaded comment]
Your version of Excel allows you to read this threaded comment; however, any edits to it will get removed if the file is opened in a newer version of Excel. Learn more: https://go.microsoft.com/fwlink/?linkid=870924
Comment:
    agreed</t>
      </text>
    </comment>
    <comment ref="AL2122" authorId="1292" shapeId="0" xr:uid="{785A127A-45ED-4BC1-A2C2-352D7A7BDB9B}">
      <text>
        <t>[Threaded comment]
Your version of Excel allows you to read this threaded comment; however, any edits to it will get removed if the file is opened in a newer version of Excel. Learn more: https://go.microsoft.com/fwlink/?linkid=870924
Comment:
    agreed</t>
      </text>
    </comment>
    <comment ref="AL2123" authorId="1293" shapeId="0" xr:uid="{DBF91179-EA66-4206-805F-9110940FC332}">
      <text>
        <t>[Threaded comment]
Your version of Excel allows you to read this threaded comment; however, any edits to it will get removed if the file is opened in a newer version of Excel. Learn more: https://go.microsoft.com/fwlink/?linkid=870924
Comment:
    agreed</t>
      </text>
    </comment>
    <comment ref="AL2124" authorId="1294" shapeId="0" xr:uid="{297756FF-B9B6-4F17-A805-D52B3B4463E4}">
      <text>
        <t>[Threaded comment]
Your version of Excel allows you to read this threaded comment; however, any edits to it will get removed if the file is opened in a newer version of Excel. Learn more: https://go.microsoft.com/fwlink/?linkid=870924
Comment:
    agreed</t>
      </text>
    </comment>
    <comment ref="AL2125" authorId="1295" shapeId="0" xr:uid="{944E25D1-1370-442D-AA83-B3EB69BC38AA}">
      <text>
        <t>[Threaded comment]
Your version of Excel allows you to read this threaded comment; however, any edits to it will get removed if the file is opened in a newer version of Excel. Learn more: https://go.microsoft.com/fwlink/?linkid=870924
Comment:
    agreed</t>
      </text>
    </comment>
    <comment ref="AL2126" authorId="1296" shapeId="0" xr:uid="{2FB45D5E-9CC0-4DF6-94E4-CD5A812159EE}">
      <text>
        <t>[Threaded comment]
Your version of Excel allows you to read this threaded comment; however, any edits to it will get removed if the file is opened in a newer version of Excel. Learn more: https://go.microsoft.com/fwlink/?linkid=870924
Comment:
    agreed</t>
      </text>
    </comment>
    <comment ref="AL2127" authorId="1297" shapeId="0" xr:uid="{56568030-EA66-41B1-9875-4B0073C58A84}">
      <text>
        <t>[Threaded comment]
Your version of Excel allows you to read this threaded comment; however, any edits to it will get removed if the file is opened in a newer version of Excel. Learn more: https://go.microsoft.com/fwlink/?linkid=870924
Comment:
    agreed</t>
      </text>
    </comment>
    <comment ref="AL2128" authorId="1298" shapeId="0" xr:uid="{5B92113A-7AE3-4F24-8786-0A531E54247A}">
      <text>
        <t>[Threaded comment]
Your version of Excel allows you to read this threaded comment; however, any edits to it will get removed if the file is opened in a newer version of Excel. Learn more: https://go.microsoft.com/fwlink/?linkid=870924
Comment:
    agreed</t>
      </text>
    </comment>
    <comment ref="AL2129" authorId="1299" shapeId="0" xr:uid="{305BA75B-5A8E-4412-9757-2B0403DD8BB6}">
      <text>
        <t>[Threaded comment]
Your version of Excel allows you to read this threaded comment; however, any edits to it will get removed if the file is opened in a newer version of Excel. Learn more: https://go.microsoft.com/fwlink/?linkid=870924
Comment:
    agreed</t>
      </text>
    </comment>
    <comment ref="AL2130" authorId="1300" shapeId="0" xr:uid="{5BB64AED-5687-42CB-BA85-D18946E3ED28}">
      <text>
        <t>[Threaded comment]
Your version of Excel allows you to read this threaded comment; however, any edits to it will get removed if the file is opened in a newer version of Excel. Learn more: https://go.microsoft.com/fwlink/?linkid=870924
Comment:
    agreed</t>
      </text>
    </comment>
    <comment ref="AL2131" authorId="1301" shapeId="0" xr:uid="{E7EFADC9-8DDB-4AA0-B828-2EA293540CDF}">
      <text>
        <t>[Threaded comment]
Your version of Excel allows you to read this threaded comment; however, any edits to it will get removed if the file is opened in a newer version of Excel. Learn more: https://go.microsoft.com/fwlink/?linkid=870924
Comment:
    agreed</t>
      </text>
    </comment>
    <comment ref="D2132" authorId="1302" shapeId="0" xr:uid="{99874B65-5051-4E1D-B523-F54A3F23D145}">
      <text>
        <t>[Threaded comment]
Your version of Excel allows you to read this threaded comment; however, any edits to it will get removed if the file is opened in a newer version of Excel. Learn more: https://go.microsoft.com/fwlink/?linkid=870924
Comment:
    Do we know this includes DCIS?</t>
      </text>
    </comment>
    <comment ref="Y2132" authorId="1303" shapeId="0" xr:uid="{3DC07970-18A7-495B-943A-083503A15BA5}">
      <text>
        <t>[Threaded comment]
Your version of Excel allows you to read this threaded comment; however, any edits to it will get removed if the file is opened in a newer version of Excel. Learn more: https://go.microsoft.com/fwlink/?linkid=870924
Comment:
    Why have the groups been combined?
I realise the control group gets screening at the end of the trial, but shouldn't the results be kept separate?
They aren't combined for #4366
Reply:
    Not sure what I did. Corrected to only include the number of women in the screening arm (14,842).
Reply:
    agreed</t>
      </text>
    </comment>
    <comment ref="AG2132" authorId="1304" shapeId="0" xr:uid="{770E57B7-F39F-490F-95EE-EFDFB254766C}">
      <text>
        <t>[Threaded comment]
Your version of Excel allows you to read this threaded comment; however, any edits to it will get removed if the file is opened in a newer version of Excel. Learn more: https://go.microsoft.com/fwlink/?linkid=870924
Comment:
    Clarified numerator by adding "in women aged 40-49 years".</t>
      </text>
    </comment>
    <comment ref="AH2132" authorId="1305" shapeId="0" xr:uid="{E24FC4DB-920C-4256-8668-DC5CB5324732}">
      <text>
        <t>[Threaded comment]
Your version of Excel allows you to read this threaded comment; however, any edits to it will get removed if the file is opened in a newer version of Excel. Learn more: https://go.microsoft.com/fwlink/?linkid=870924
Comment:
    Clarified denominator by adding "aged 40-49 years".</t>
      </text>
    </comment>
    <comment ref="AK2132" authorId="1306" shapeId="0" xr:uid="{E78D5687-C68D-47BE-83C9-FECC2917A70C}">
      <text>
        <t>[Threaded comment]
Your version of Excel allows you to read this threaded comment; however, any edits to it will get removed if the file is opened in a newer version of Excel. Learn more: https://go.microsoft.com/fwlink/?linkid=870924
Comment:
    Corrected from 21,945 to 14,842.
Reply:
    agreed</t>
      </text>
    </comment>
    <comment ref="AG2133" authorId="1307" shapeId="0" xr:uid="{57F516F2-E151-469F-AA84-6866AE6D75DD}">
      <text>
        <t>[Threaded comment]
Your version of Excel allows you to read this threaded comment; however, any edits to it will get removed if the file is opened in a newer version of Excel. Learn more: https://go.microsoft.com/fwlink/?linkid=870924
Comment:
    Clarified numerator by adding "(women aged 40-49 years)".</t>
      </text>
    </comment>
    <comment ref="AH2133" authorId="1308" shapeId="0" xr:uid="{A150779E-9C09-4C65-BF4C-88D752C5C650}">
      <text>
        <t>[Threaded comment]
Your version of Excel allows you to read this threaded comment; however, any edits to it will get removed if the file is opened in a newer version of Excel. Learn more: https://go.microsoft.com/fwlink/?linkid=870924
Comment:
    Clarified denominator by adding "(women aged 40-49 years)".</t>
      </text>
    </comment>
    <comment ref="A2138" authorId="1309" shapeId="0" xr:uid="{1C9AB708-7ACF-4A69-953C-43F3A14E1DC0}">
      <text>
        <t>[Threaded comment]
Your version of Excel allows you to read this threaded comment; however, any edits to it will get removed if the file is opened in a newer version of Excel. Learn more: https://go.microsoft.com/fwlink/?linkid=870924
Comment:
    Added that outcome as I think Nefeli wanted to combine stage I and CIS for surrogate 4.
Reply:
    I agree with this row</t>
      </text>
    </comment>
    <comment ref="AI2139" authorId="1310" shapeId="0" xr:uid="{BAE7BA7D-6C45-4793-B938-5C6326A82A7F}">
      <text>
        <t>[Threaded comment]
Your version of Excel allows you to read this threaded comment; however, any edits to it will get removed if the file is opened in a newer version of Excel. Learn more: https://go.microsoft.com/fwlink/?linkid=870924
Comment:
    #4368 reports 224 stage I invasive cancers in a smaller number of women???
Reply:
    Agreed. While the totals are the same, all of the stage data are different between the two papers.
Reply:
    The only thing I could see which might explain it is…
"To assure completeness of
the followup, all breast cancer cases were also
checked against the official population registers
and a computerised register covering 95% of the
patients in care in the Stockholm region."
Perhaps the cancers had been reassessed and some restaged (quality assurance)? But I'm guessing.</t>
      </text>
    </comment>
    <comment ref="AI2140" authorId="1311" shapeId="0" xr:uid="{A41AA393-EB96-462A-9086-3025024BEC79}">
      <text>
        <t>[Threaded comment]
Your version of Excel allows you to read this threaded comment; however, any edits to it will get removed if the file is opened in a newer version of Excel. Learn more: https://go.microsoft.com/fwlink/?linkid=870924
Comment:
    #4368 reports 224 stage I invasive cancers in a smaller number of women???
Reply:
    Agreed. While the totals are the same, all of the stage data are different between the two papers.
Reply:
    The only thing I could see which might explain it is…
"To assure completeness of
the followup, all breast cancer cases were also
checked against the official population registers
and a computerised register covering 95% of the
patients in care in the Stockholm region."
Perhaps the cancers had been reassessed and some restaged (quality assurance)? But I'm guessing.</t>
      </text>
    </comment>
    <comment ref="AI2141" authorId="1312" shapeId="0" xr:uid="{EE0F800B-D211-49DA-B1BE-0AF55711D182}">
      <text>
        <t xml:space="preserve">[Threaded comment]
Your version of Excel allows you to read this threaded comment; however, any edits to it will get removed if the file is opened in a newer version of Excel. Learn more: https://go.microsoft.com/fwlink/?linkid=870924
Comment:
    139 in #4368 </t>
      </text>
    </comment>
    <comment ref="AI2142" authorId="1313" shapeId="0" xr:uid="{55502484-719E-4A32-9941-A91D0AE95C93}">
      <text>
        <t>[Threaded comment]
Your version of Excel allows you to read this threaded comment; however, any edits to it will get removed if the file is opened in a newer version of Excel. Learn more: https://go.microsoft.com/fwlink/?linkid=870924
Comment:
    #4368 reports 34 stage III-IV cancers in a smaller number of women though???</t>
      </text>
    </comment>
    <comment ref="D2144" authorId="1314" shapeId="0" xr:uid="{945E4A2E-1536-476A-9DD8-BEE8043485E6}">
      <text>
        <t>[Threaded comment]
Your version of Excel allows you to read this threaded comment; however, any edits to it will get removed if the file is opened in a newer version of Excel. Learn more: https://go.microsoft.com/fwlink/?linkid=870924
Comment:
    Added "(invasive + CIS)" for clarification.
Reply:
    agreed</t>
      </text>
    </comment>
    <comment ref="AH2144" authorId="1315" shapeId="0" xr:uid="{3ED0BAC0-669F-442B-AF53-0BAAF0AC24D0}">
      <text>
        <t>[Threaded comment]
Your version of Excel allows you to read this threaded comment; however, any edits to it will get removed if the file is opened in a newer version of Excel. Learn more: https://go.microsoft.com/fwlink/?linkid=870924
Comment:
    Should the denominator be number of invasive cancers+ CIS or just invasive cancers?
Reply:
    I think it was decided it should be both.
Reply:
    Agree, we decided we wanted both outcomes. Added it in the row below. Please check!
Reply:
    Will do!</t>
      </text>
    </comment>
    <comment ref="A2145" authorId="1316" shapeId="0" xr:uid="{86CEF993-9797-4751-9273-CCF675791FB1}">
      <text>
        <t>[Threaded comment]
Your version of Excel allows you to read this threaded comment; however, any edits to it will get removed if the file is opened in a newer version of Excel. Learn more: https://go.microsoft.com/fwlink/?linkid=870924
Comment:
    Added surrogate 3 with invasive cancers as denominator.
Reply:
    I agree with this row</t>
      </text>
    </comment>
    <comment ref="D2146" authorId="1317" shapeId="0" xr:uid="{31DCA8DC-9A35-41D2-8534-818DA4F58DCC}">
      <text>
        <t xml:space="preserve">[Threaded comment]
Your version of Excel allows you to read this threaded comment; however, any edits to it will get removed if the file is opened in a newer version of Excel. Learn more: https://go.microsoft.com/fwlink/?linkid=870924
Comment:
    Would be good to give more information in this column as this is where the row freezes when scrolling more to the right.
Just put enough information in to know which results this row is reporting.
</t>
      </text>
    </comment>
    <comment ref="AI2147" authorId="1318" shapeId="0" xr:uid="{EBB6C298-2CBA-4943-B3F7-96ABE4D44083}">
      <text>
        <t>[Threaded comment]
Your version of Excel allows you to read this threaded comment; however, any edits to it will get removed if the file is opened in a newer version of Excel. Learn more: https://go.microsoft.com/fwlink/?linkid=870924
Comment:
    Typo in table?
Reply:
    I've checked and the other rows add up to the total, so I have back-calculated to get 1830. This works if you back-calculate across and by the column so I think correct</t>
      </text>
    </comment>
    <comment ref="AI2163" authorId="1319" shapeId="0" xr:uid="{C20BBBC1-C11A-43DF-8A3E-9A748B96809F}">
      <text>
        <t>[Threaded comment]
Your version of Excel allows you to read this threaded comment; however, any edits to it will get removed if the file is opened in a newer version of Excel. Learn more: https://go.microsoft.com/fwlink/?linkid=870924
Comment:
    Typo in table?
Reply:
    See above</t>
      </text>
    </comment>
    <comment ref="S2273" authorId="1320" shapeId="0" xr:uid="{8BA51DDA-2E28-44BA-8718-C9E9FFCFB97D}">
      <text>
        <t>[Threaded comment]
Your version of Excel allows you to read this threaded comment; however, any edits to it will get removed if the file is opened in a newer version of Excel. Learn more: https://go.microsoft.com/fwlink/?linkid=870924
Comment:
    Median higher than 75th percentile?
Reply:
    Yep, looks like an error</t>
      </text>
    </comment>
    <comment ref="S2276" authorId="1321" shapeId="0" xr:uid="{4AD3E4A3-1ADF-4AB1-A12A-E804B199290B}">
      <text>
        <t>[Threaded comment]
Your version of Excel allows you to read this threaded comment; however, any edits to it will get removed if the file is opened in a newer version of Excel. Learn more: https://go.microsoft.com/fwlink/?linkid=870924
Comment:
    Median higher than 75th percentile???
Reply:
    Maybe we should delete IQR if not reliable?</t>
      </text>
    </comment>
    <comment ref="S2284" authorId="1322" shapeId="0" xr:uid="{C7B785CE-316C-4859-85A6-6400CA4B88A1}">
      <text>
        <t>[Threaded comment]
Your version of Excel allows you to read this threaded comment; however, any edits to it will get removed if the file is opened in a newer version of Excel. Learn more: https://go.microsoft.com/fwlink/?linkid=870924
Comment:
    Median higher than 75th percentile?</t>
      </text>
    </comment>
    <comment ref="S2287" authorId="1323" shapeId="0" xr:uid="{ACF6FE3C-6653-4421-A55B-5497C88406CB}">
      <text>
        <t>[Threaded comment]
Your version of Excel allows you to read this threaded comment; however, any edits to it will get removed if the file is opened in a newer version of Excel. Learn more: https://go.microsoft.com/fwlink/?linkid=870924
Comment:
    Median higher than 75th percentile???</t>
      </text>
    </comment>
    <comment ref="AI2288" authorId="1324" shapeId="0" xr:uid="{F57B6EB3-A690-419E-9704-6508E8B6FF12}">
      <text>
        <t>[Threaded comment]
Your version of Excel allows you to read this threaded comment; however, any edits to it will get removed if the file is opened in a newer version of Excel. Learn more: https://go.microsoft.com/fwlink/?linkid=870924
Comment:
    There was a typo in your formula - should 336 (Table 1)
Reply:
    Agree.</t>
      </text>
    </comment>
    <comment ref="AI2291" authorId="1325" shapeId="0" xr:uid="{C287A551-50B5-4DF7-87B5-3BEF188BDADE}">
      <text>
        <t>[Threaded comment]
Your version of Excel allows you to read this threaded comment; however, any edits to it will get removed if the file is opened in a newer version of Excel. Learn more: https://go.microsoft.com/fwlink/?linkid=870924
Comment:
    Corrected typo</t>
      </text>
    </comment>
    <comment ref="D2308" authorId="1326" shapeId="0" xr:uid="{99712688-A95A-4ED8-A1EC-974CCA7F9163}">
      <text>
        <t xml:space="preserve">[Threaded comment]
Your version of Excel allows you to read this threaded comment; however, any edits to it will get removed if the file is opened in a newer version of Excel. Learn more: https://go.microsoft.com/fwlink/?linkid=870924
Comment:
    Would be good to give more information in this column as this is where the row freezes when scrolling more to the right.
Just put enough information in to know which results this row is reporting.
</t>
      </text>
    </comment>
    <comment ref="AI2380" authorId="1327" shapeId="0" xr:uid="{7E703D60-A34A-4E2F-98BE-303BC30AE612}">
      <text>
        <t>[Threaded comment]
Your version of Excel allows you to read this threaded comment; however, any edits to it will get removed if the file is opened in a newer version of Excel. Learn more: https://go.microsoft.com/fwlink/?linkid=870924
Comment:
    Corrected typo</t>
      </text>
    </comment>
    <comment ref="BG2486" authorId="1328" shapeId="0" xr:uid="{6B47284B-1D9E-4E1A-9628-E47E9FC3234E}">
      <text>
        <t>[Threaded comment]
Your version of Excel allows you to read this threaded comment; however, any edits to it will get removed if the file is opened in a newer version of Excel. Learn more: https://go.microsoft.com/fwlink/?linkid=870924
Comment:
    Is this okay, or can't we use these data?</t>
      </text>
    </comment>
    <comment ref="BG2487" authorId="1329" shapeId="0" xr:uid="{C1464E50-4FF7-4AB3-8839-4F292E4EB18D}">
      <text>
        <t>[Threaded comment]
Your version of Excel allows you to read this threaded comment; however, any edits to it will get removed if the file is opened in a newer version of Excel. Learn more: https://go.microsoft.com/fwlink/?linkid=870924
Comment:
    Is this okay, or can't we use these data?</t>
      </text>
    </comment>
    <comment ref="BG2488" authorId="1330" shapeId="0" xr:uid="{D7948A3E-2B8E-4158-A072-C9211F45F534}">
      <text>
        <t>[Threaded comment]
Your version of Excel allows you to read this threaded comment; however, any edits to it will get removed if the file is opened in a newer version of Excel. Learn more: https://go.microsoft.com/fwlink/?linkid=870924
Comment:
    Is this okay, or can't we use these data?</t>
      </text>
    </comment>
    <comment ref="BG2489" authorId="1331" shapeId="0" xr:uid="{D5EC035E-3710-4E69-8ABB-6730E688B028}">
      <text>
        <t>[Threaded comment]
Your version of Excel allows you to read this threaded comment; however, any edits to it will get removed if the file is opened in a newer version of Excel. Learn more: https://go.microsoft.com/fwlink/?linkid=870924
Comment:
    Is this okay, or can't we use these data?</t>
      </text>
    </comment>
    <comment ref="BG2490" authorId="1332" shapeId="0" xr:uid="{2B5C1F8F-6F06-42BD-BEA0-C24050C02BAF}">
      <text>
        <t>[Threaded comment]
Your version of Excel allows you to read this threaded comment; however, any edits to it will get removed if the file is opened in a newer version of Excel. Learn more: https://go.microsoft.com/fwlink/?linkid=870924
Comment:
    Is this okay, or can't we use these data?</t>
      </text>
    </comment>
    <comment ref="BG2491" authorId="1333" shapeId="0" xr:uid="{D617884B-EE8F-4B81-9F28-E8BD28943FCD}">
      <text>
        <t>[Threaded comment]
Your version of Excel allows you to read this threaded comment; however, any edits to it will get removed if the file is opened in a newer version of Excel. Learn more: https://go.microsoft.com/fwlink/?linkid=870924
Comment:
    Is this okay, or can't we use these data?</t>
      </text>
    </comment>
    <comment ref="BG2492" authorId="1334" shapeId="0" xr:uid="{E61A5A7A-960E-4FAA-9A55-ED14A1E927EA}">
      <text>
        <t>[Threaded comment]
Your version of Excel allows you to read this threaded comment; however, any edits to it will get removed if the file is opened in a newer version of Excel. Learn more: https://go.microsoft.com/fwlink/?linkid=870924
Comment:
    Is this okay, or can't we use these data?</t>
      </text>
    </comment>
    <comment ref="BG2493" authorId="1335" shapeId="0" xr:uid="{064FAD0C-E38C-4785-BF14-2F0E27986B8B}">
      <text>
        <t>[Threaded comment]
Your version of Excel allows you to read this threaded comment; however, any edits to it will get removed if the file is opened in a newer version of Excel. Learn more: https://go.microsoft.com/fwlink/?linkid=870924
Comment:
    Is this okay, or can't we use these data?</t>
      </text>
    </comment>
    <comment ref="BG2494" authorId="1336" shapeId="0" xr:uid="{3A07528A-CF7B-4ACC-956D-8F7183153787}">
      <text>
        <t>[Threaded comment]
Your version of Excel allows you to read this threaded comment; however, any edits to it will get removed if the file is opened in a newer version of Excel. Learn more: https://go.microsoft.com/fwlink/?linkid=870924
Comment:
    Is this okay, or can't we use these data?</t>
      </text>
    </comment>
    <comment ref="BG2495" authorId="1337" shapeId="0" xr:uid="{676F9FDE-187B-44C3-91AB-0FDA7AFDEB6E}">
      <text>
        <t>[Threaded comment]
Your version of Excel allows you to read this threaded comment; however, any edits to it will get removed if the file is opened in a newer version of Excel. Learn more: https://go.microsoft.com/fwlink/?linkid=870924
Comment:
    Is this okay, or can't we use these data?</t>
      </text>
    </comment>
    <comment ref="D2496" authorId="1338" shapeId="0" xr:uid="{32F0E931-3BC1-4236-9377-C843D1408263}">
      <text>
        <t xml:space="preserve">[Threaded comment]
Your version of Excel allows you to read this threaded comment; however, any edits to it will get removed if the file is opened in a newer version of Excel. Learn more: https://go.microsoft.com/fwlink/?linkid=870924
Comment:
    Would be good to give more information in this column as this is where the row freezes when scrolling more to the right.
Just put enough information in to know which results this row is reporting.
</t>
      </text>
    </comment>
    <comment ref="AH2534" authorId="1339" shapeId="0" xr:uid="{D59290EA-3BCB-48E3-8BC9-EF7344D7C76E}">
      <text>
        <t>[Threaded comment]
Your version of Excel allows you to read this threaded comment; however, any edits to it will get removed if the file is opened in a newer version of Excel. Learn more: https://go.microsoft.com/fwlink/?linkid=870924
Comment:
    The denominator for surrogate 1 or 4 is number of person years or, if we don't have that, number of people randomdised (or analysed) in arm.
Only surrogate 3 has total number of cancers as denominator.</t>
      </text>
    </comment>
    <comment ref="AH2535" authorId="1340" shapeId="0" xr:uid="{5EB278A5-FA15-4672-BC7B-FFD43DC90A86}">
      <text>
        <t>[Threaded comment]
Your version of Excel allows you to read this threaded comment; however, any edits to it will get removed if the file is opened in a newer version of Excel. Learn more: https://go.microsoft.com/fwlink/?linkid=870924
Comment:
    The denominator for surrogate 1 or 4 is number of person years or, if we don't have that, number of people randomdised (or analysed) in arm.
Only surrogate 3 has total number of cancers as denominator.</t>
      </text>
    </comment>
    <comment ref="AH2536" authorId="1341" shapeId="0" xr:uid="{594C8CCF-8E0B-410B-B4E9-682FD30764A8}">
      <text>
        <t>[Threaded comment]
Your version of Excel allows you to read this threaded comment; however, any edits to it will get removed if the file is opened in a newer version of Excel. Learn more: https://go.microsoft.com/fwlink/?linkid=870924
Comment:
    The denominator for surrogate 1 or 4 is number of person years or, if we don't have that, number of people randomdised (or analysed) in arm.
Only surrogate 3 has total number of cancers as denominator.</t>
      </text>
    </comment>
    <comment ref="AH2538" authorId="1342" shapeId="0" xr:uid="{B74C911C-54FA-4762-9073-034FE4240996}">
      <text>
        <t>[Threaded comment]
Your version of Excel allows you to read this threaded comment; however, any edits to it will get removed if the file is opened in a newer version of Excel. Learn more: https://go.microsoft.com/fwlink/?linkid=870924
Comment:
    The denominator for surrogate 1 or 4 is number of person years or, if we don't have that, number of people randomdised (or analysed) in arm.
Only surrogate 3 has total number of cancers as denominator.</t>
      </text>
    </comment>
    <comment ref="AH2539" authorId="1343" shapeId="0" xr:uid="{C48C7ACE-3119-4C45-A6F5-BEAE47B5B6F7}">
      <text>
        <t>[Threaded comment]
Your version of Excel allows you to read this threaded comment; however, any edits to it will get removed if the file is opened in a newer version of Excel. Learn more: https://go.microsoft.com/fwlink/?linkid=870924
Comment:
    The denominator for surrogate 1 or 4 is number of person years or, if we don't have that, number of people randomdised (or analysed) in arm.
Only surrogate 3 has total number of cancers as denominator.</t>
      </text>
    </comment>
    <comment ref="AH2540" authorId="1344" shapeId="0" xr:uid="{F090B6C5-5F88-44D6-8703-BC29055B5F6D}">
      <text>
        <t>[Threaded comment]
Your version of Excel allows you to read this threaded comment; however, any edits to it will get removed if the file is opened in a newer version of Excel. Learn more: https://go.microsoft.com/fwlink/?linkid=870924
Comment:
    The denominator for surrogate 1 or 4 is number of person years or, if we don't have that, number of people randomdised (or analysed) in arm.
Only surrogate 3 has total number of cancers as denominator.</t>
      </text>
    </comment>
    <comment ref="AH2541" authorId="1345" shapeId="0" xr:uid="{D0D2ABAF-E83C-4301-94A0-ED1E5541CD29}">
      <text>
        <t>[Threaded comment]
Your version of Excel allows you to read this threaded comment; however, any edits to it will get removed if the file is opened in a newer version of Excel. Learn more: https://go.microsoft.com/fwlink/?linkid=870924
Comment:
    The denominator for surrogate 1 or 4 is number of person years or, if we don't have that, number of people randomdised (or analysed) in arm.
Only surrogate 3 has total number of cancers as denominator.</t>
      </text>
    </comment>
    <comment ref="AH2542" authorId="1346" shapeId="0" xr:uid="{546744EB-B8F5-4005-86F9-189CBBCC08BD}">
      <text>
        <t>[Threaded comment]
Your version of Excel allows you to read this threaded comment; however, any edits to it will get removed if the file is opened in a newer version of Excel. Learn more: https://go.microsoft.com/fwlink/?linkid=870924
Comment:
    The denominator for surrogate 1 or 4 is number of person years or, if we don't have that, number of people randomdised (or analysed) in arm.
Only surrogate 3 has total number of cancers as denominator.</t>
      </text>
    </comment>
    <comment ref="AH2543" authorId="1347" shapeId="0" xr:uid="{765E5B29-E834-4D89-87F6-64BEE4D78C56}">
      <text>
        <t>[Threaded comment]
Your version of Excel allows you to read this threaded comment; however, any edits to it will get removed if the file is opened in a newer version of Excel. Learn more: https://go.microsoft.com/fwlink/?linkid=870924
Comment:
    The denominator for surrogate 1 or 4 is number of person years or, if we don't have that, number of people randomdised (or analysed) in arm.
Only surrogate 3 has total number of cancers as denominator.</t>
      </text>
    </comment>
    <comment ref="AH2544" authorId="1348" shapeId="0" xr:uid="{1ABCD79C-1CEF-4348-A6ED-07D6E069D805}">
      <text>
        <t>[Threaded comment]
Your version of Excel allows you to read this threaded comment; however, any edits to it will get removed if the file is opened in a newer version of Excel. Learn more: https://go.microsoft.com/fwlink/?linkid=870924
Comment:
    The denominator for surrogate 1 or 4 is number of person years or, if we don't have that, number of people randomdised (or analysed) in arm.
Only surrogate 3 has total number of cancers as denominator.</t>
      </text>
    </comment>
    <comment ref="AH2545" authorId="1349" shapeId="0" xr:uid="{079B2CE7-6930-4584-9D96-20D8753C2B7F}">
      <text>
        <t>[Threaded comment]
Your version of Excel allows you to read this threaded comment; however, any edits to it will get removed if the file is opened in a newer version of Excel. Learn more: https://go.microsoft.com/fwlink/?linkid=870924
Comment:
    The denominator for surrogate 1 or 4 is number of person years or, if we don't have that, number of people randomdised (or analysed) in arm.
Only surrogate 3 has total number of cancers as denominator.</t>
      </text>
    </comment>
    <comment ref="AH2550" authorId="1350" shapeId="0" xr:uid="{AA67EE15-AC63-42B0-A02E-144F73B16851}">
      <text>
        <t>[Threaded comment]
Your version of Excel allows you to read this threaded comment; however, any edits to it will get removed if the file is opened in a newer version of Excel. Learn more: https://go.microsoft.com/fwlink/?linkid=870924
Comment:
    The denominator for surrogate 1 or 4 is number of person years or, if we don't have that, number of people randomdised (or analysed) in arm.
Only surrogate 3 has total number of cancers as denominator.</t>
      </text>
    </comment>
    <comment ref="AH2551" authorId="1351" shapeId="0" xr:uid="{780D64E2-B812-4579-8BD2-0F98B61B6DC6}">
      <text>
        <t>[Threaded comment]
Your version of Excel allows you to read this threaded comment; however, any edits to it will get removed if the file is opened in a newer version of Excel. Learn more: https://go.microsoft.com/fwlink/?linkid=870924
Comment:
    The denominator for surrogate 1 or 4 is number of person years or, if we don't have that, number of people randomdised (or analysed) in arm.
Only surrogate 3 has total number of cancers as denominator.</t>
      </text>
    </comment>
    <comment ref="AH2552" authorId="1352" shapeId="0" xr:uid="{9BA42E9F-25F0-4743-9B38-E37C1B4793A5}">
      <text>
        <t>[Threaded comment]
Your version of Excel allows you to read this threaded comment; however, any edits to it will get removed if the file is opened in a newer version of Excel. Learn more: https://go.microsoft.com/fwlink/?linkid=870924
Comment:
    The denominator for surrogate 1 or 4 is number of person years or, if we don't have that, number of people randomdised (or analysed) in arm.
Only surrogate 3 has total number of cancers as denominator.</t>
      </text>
    </comment>
    <comment ref="AH2553" authorId="1353" shapeId="0" xr:uid="{40A6ABF1-3D06-4920-849E-FFCB5F969E93}">
      <text>
        <t>[Threaded comment]
Your version of Excel allows you to read this threaded comment; however, any edits to it will get removed if the file is opened in a newer version of Excel. Learn more: https://go.microsoft.com/fwlink/?linkid=870924
Comment:
    The denominator for surrogate 1 or 4 is number of person years or, if we don't have that, number of people randomdised (or analysed) in arm.
Only surrogate 3 has total number of cancers as denominator.</t>
      </text>
    </comment>
    <comment ref="AH2554" authorId="1354" shapeId="0" xr:uid="{154A6802-5261-4398-A749-500C73DD44E8}">
      <text>
        <t>[Threaded comment]
Your version of Excel allows you to read this threaded comment; however, any edits to it will get removed if the file is opened in a newer version of Excel. Learn more: https://go.microsoft.com/fwlink/?linkid=870924
Comment:
    The denominator for surrogate 1 or 4 is number of person years or, if we don't have that, number of people randomdised (or analysed) in arm.
Only surrogate 3 has total number of cancers as denominator.</t>
      </text>
    </comment>
    <comment ref="AH2555" authorId="1355" shapeId="0" xr:uid="{6B1CA00F-9C14-4DEC-A35B-9B1A46CC802C}">
      <text>
        <t>[Threaded comment]
Your version of Excel allows you to read this threaded comment; however, any edits to it will get removed if the file is opened in a newer version of Excel. Learn more: https://go.microsoft.com/fwlink/?linkid=870924
Comment:
    The denominator for surrogate 1 or 4 is number of person years or, if we don't have that, number of people randomdised (or analysed) in arm.
Only surrogate 3 has total number of cancers as denominator.</t>
      </text>
    </comment>
    <comment ref="AH2556" authorId="1356" shapeId="0" xr:uid="{079AC3A8-1BE4-4720-BC42-F41E2647C0CA}">
      <text>
        <t>[Threaded comment]
Your version of Excel allows you to read this threaded comment; however, any edits to it will get removed if the file is opened in a newer version of Excel. Learn more: https://go.microsoft.com/fwlink/?linkid=870924
Comment:
    The denominator for surrogate 1 or 4 is number of person years or, if we don't have that, number of people randomdised (or analysed) in arm.
Only surrogate 3 has total number of cancers as denominator.</t>
      </text>
    </comment>
    <comment ref="AH2557" authorId="1357" shapeId="0" xr:uid="{9D29BBF8-9B1A-4A1F-8E25-AA4A9CA316DC}">
      <text>
        <t>[Threaded comment]
Your version of Excel allows you to read this threaded comment; however, any edits to it will get removed if the file is opened in a newer version of Excel. Learn more: https://go.microsoft.com/fwlink/?linkid=870924
Comment:
    The denominator for surrogate 1 or 4 is number of person years or, if we don't have that, number of people randomdised (or analysed) in arm.
Only surrogate 3 has total number of cancers as denominator.</t>
      </text>
    </comment>
    <comment ref="AH2558" authorId="1358" shapeId="0" xr:uid="{7B38176A-6951-4D01-B3B6-B6759A509CD5}">
      <text>
        <t>[Threaded comment]
Your version of Excel allows you to read this threaded comment; however, any edits to it will get removed if the file is opened in a newer version of Excel. Learn more: https://go.microsoft.com/fwlink/?linkid=870924
Comment:
    The denominator for surrogate 1 or 4 is number of person years or, if we don't have that, number of people randomdised (or analysed) in arm.
Only surrogate 3 has total number of cancers as denominator.</t>
      </text>
    </comment>
    <comment ref="BG2558" authorId="1359" shapeId="0" xr:uid="{F290D62D-821D-4F0C-B978-12859A198C6F}">
      <text>
        <t>[Threaded comment]
Your version of Excel allows you to read this threaded comment; however, any edits to it will get removed if the file is opened in a newer version of Excel. Learn more: https://go.microsoft.com/fwlink/?linkid=870924
Comment:
    Is this okay, or can't we use these data?</t>
      </text>
    </comment>
    <comment ref="AH2559" authorId="1360" shapeId="0" xr:uid="{869F52C8-70B6-46AD-AE92-CF2D16DCCB2D}">
      <text>
        <t>[Threaded comment]
Your version of Excel allows you to read this threaded comment; however, any edits to it will get removed if the file is opened in a newer version of Excel. Learn more: https://go.microsoft.com/fwlink/?linkid=870924
Comment:
    The denominator for surrogate 1 or 4 is number of person years or, if we don't have that, number of people randomdised (or analysed) in arm.
Only surrogate 3 has total number of cancers as denominator.</t>
      </text>
    </comment>
    <comment ref="BG2559" authorId="1361" shapeId="0" xr:uid="{EBE9A336-0DF0-4FC2-B276-A4EAC3017695}">
      <text>
        <t>[Threaded comment]
Your version of Excel allows you to read this threaded comment; however, any edits to it will get removed if the file is opened in a newer version of Excel. Learn more: https://go.microsoft.com/fwlink/?linkid=870924
Comment:
    Is this okay, or can't we use these data?</t>
      </text>
    </comment>
    <comment ref="AH2560" authorId="1362" shapeId="0" xr:uid="{97C30567-1F4F-4C78-80F9-016C4D4E09DD}">
      <text>
        <t>[Threaded comment]
Your version of Excel allows you to read this threaded comment; however, any edits to it will get removed if the file is opened in a newer version of Excel. Learn more: https://go.microsoft.com/fwlink/?linkid=870924
Comment:
    The denominator for surrogate 1 or 4 is number of person years or, if we don't have that, number of people randomdised (or analysed) in arm.
Only surrogate 3 has total number of cancers as denominator.</t>
      </text>
    </comment>
    <comment ref="BG2560" authorId="1363" shapeId="0" xr:uid="{BCF7E395-D4F8-424D-8990-84DC34A6BE8D}">
      <text>
        <t>[Threaded comment]
Your version of Excel allows you to read this threaded comment; however, any edits to it will get removed if the file is opened in a newer version of Excel. Learn more: https://go.microsoft.com/fwlink/?linkid=870924
Comment:
    Is this okay, or can't we use these data?</t>
      </text>
    </comment>
    <comment ref="D2561" authorId="1364" shapeId="0" xr:uid="{24D4BAF3-AB0F-4E4F-8F98-19788C430907}">
      <text>
        <t xml:space="preserve">[Threaded comment]
Your version of Excel allows you to read this threaded comment; however, any edits to it will get removed if the file is opened in a newer version of Excel. Learn more: https://go.microsoft.com/fwlink/?linkid=870924
Comment:
    Would be good to give more information in this column as this is where the row freezes when scrolling more to the right.
Just put enough information in to know which results this row is reporting.
</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tc={57C6B605-428E-4D3D-BE67-EF92B0363A9E}</author>
    <author>tc={B37AD1D5-DFF6-4944-A986-10BAE97436A9}</author>
    <author>tc={B4651FC3-5C56-4F61-B938-D8C49B771160}</author>
    <author>tc={8D498E7A-59C5-4E1A-B15E-32A64AA46E11}</author>
    <author>tc={4E173CAC-7F9C-42A3-9056-B312D47375B9}</author>
    <author>tc={6A32973F-58A5-41EC-BA4E-7E9637C92F6B}</author>
    <author>tc={E4220D52-7775-4099-AD90-DC5D7F3F2697}</author>
    <author>tc={B37153C5-29AB-4DD3-B69F-DC2E10F16145}</author>
    <author>tc={91EA7984-93A1-41C8-82F9-EB8B54F0C5B7}</author>
    <author>tc={57E1495E-7885-4FA2-AEC7-D9533880A4E5}</author>
    <author>tc={7D7D06FC-A050-490D-BFEB-FE48DBD0B0EF}</author>
    <author>tc={6EE7E725-71A2-471A-AC55-776521D4AFAE}</author>
    <author>tc={5890B278-581B-4BFD-971D-E731EC957A54}</author>
    <author>tc={1DBC96E8-F902-4025-B0A4-9BB48E65FE4E}</author>
    <author>tc={58AF02A2-D991-40A2-A6AF-0B06C6849C0F}</author>
    <author>tc={89760E72-A1E0-4EDB-9909-522C55431CBE}</author>
    <author>tc={BAE939FB-D0EB-493A-868E-772293C59296}</author>
    <author>tc={86F42810-C267-4A23-8613-C2F7F7FFD9EE}</author>
    <author>tc={5D8495AD-D808-4181-B7E5-C0E0C242352F}</author>
    <author>tc={B7805E4D-6B21-4FB3-9526-EB626D6FCA2B}</author>
    <author>tc={6E3D6FA5-6FCF-47B2-BC3D-6B1D80C2EB39}</author>
    <author>tc={F93D2216-34C8-4775-814C-81894724FBB3}</author>
    <author>tc={967070F2-D983-49BC-8D5C-9A38D151FC10}</author>
    <author>tc={9D25C7A8-AE9F-4DC5-BB01-FE0FED6ADEF1}</author>
    <author>tc={FBB3A1ED-160C-4D3A-B0C6-E086FFC158C5}</author>
    <author>tc={AD7F9E5A-A21E-4527-B842-F6061CDA3E90}</author>
    <author>tc={7E5D62B2-BB20-45F3-9F78-A9CB4CB0522B}</author>
    <author>tc={384CE717-257A-4363-8B4D-70032B3B0CB7}</author>
    <author>tc={991F7833-B16D-484F-B60A-212FDC3B63CA}</author>
    <author>tc={4B0FB14F-ED74-4910-8B01-2FFAE91A6E77}</author>
    <author>tc={3B5191A6-6CE3-4F42-842F-E4689542F1A2}</author>
    <author>tc={0EFD548F-438E-4647-B0D4-5D0F8E330E8D}</author>
    <author>tc={4217D654-E855-4FA0-981A-C20975002ECF}</author>
    <author>tc={6C97E7CD-593D-496C-979A-FB58BEAA1D0C}</author>
    <author>tc={23D06529-5DE1-4804-B541-107B165D3AB5}</author>
    <author>tc={8A6484D1-A5F0-426E-87A8-06914D8E0A10}</author>
    <author>tc={E1360977-AC92-434E-A2BB-6C7608DD77A9}</author>
    <author>tc={895AADCF-2D8E-4834-9CF6-1D28F412A159}</author>
    <author>tc={17FC2F42-A530-45E8-9D4E-4D58A8368239}</author>
    <author>tc={5B30A5CB-1CA0-41C8-850C-F568568A5945}</author>
    <author>tc={3684C62B-0ABE-4A93-A95B-085CE01239C5}</author>
    <author>tc={FA989B5E-32A8-4C74-90E8-186820A7C96C}</author>
    <author>tc={21781BBB-663A-4D90-AFB2-2452F56FC1B2}</author>
    <author>tc={473319DF-4FD9-4243-B6CF-73F4B185C84A}</author>
    <author>tc={795C2C50-15E8-4124-857A-CFA97C444DD1}</author>
    <author>tc={0CCC2F73-81E1-47EE-9D5D-3A6E9D1E8982}</author>
    <author>tc={CA399B10-586A-440A-96E1-B11A97CBAEED}</author>
    <author>tc={3D87EE87-4991-4B8F-8E90-04089B10E6ED}</author>
    <author>tc={9CAE4395-F3FD-4EDD-AD9B-490529F99963}</author>
    <author>tc={69EF5B98-B305-477D-8573-0E572C986CB5}</author>
    <author>tc={CCD6E452-9B91-4684-B1DE-E91A5C4EBB4E}</author>
    <author>tc={E6BA1092-A204-49A8-A4F6-714A1FB1C174}</author>
    <author>tc={60641EF4-6BB2-462A-81EA-DFB6236D3987}</author>
    <author>tc={C99B1709-1633-49AC-8DEB-6D5208014333}</author>
    <author>tc={5A35CB66-759B-47F4-81F6-20566F3014DD}</author>
    <author>tc={5D518176-601E-480E-A096-824EBF6B8F55}</author>
    <author>tc={AC9C1790-47CE-41E0-8B20-78FD44E3FA39}</author>
    <author>tc={2472015B-EBEF-41D1-96A2-8B0028BAD497}</author>
    <author>tc={59B61167-F441-45AE-80D2-EFA0822940F3}</author>
    <author>tc={E272FEA1-B210-4E37-BC19-BFC4ED2EA975}</author>
    <author>tc={D23C00E2-DB80-4994-BC72-0508106A737A}</author>
    <author>tc={59FBF7D1-921B-418D-B146-DC6FA5C13B34}</author>
    <author>tc={C76A79A6-1B6D-4A60-9FC3-B0937522F279}</author>
    <author>tc={09900E12-261D-4CFA-8EE8-036FD5C1BAE0}</author>
    <author>tc={1726E5E5-37A4-491D-8E9B-EE3858D14CE8}</author>
    <author>tc={CDB4BB9B-3A30-473A-82D5-8232BA073BB8}</author>
    <author>tc={F537E655-C292-4A4A-9AE8-D1AAF7E8FD12}</author>
    <author>tc={039B0738-77F5-430D-9508-D29F9B9DC62E}</author>
    <author>tc={7579DDA5-D2FF-46F4-A9E1-EAA0D0C0DEDC}</author>
    <author>tc={3A352D2A-7666-49BB-B34D-BE2B0111FDFA}</author>
    <author>tc={38AFCD43-4703-4B35-960C-275071530A87}</author>
    <author>tc={23677340-8685-42D8-8EFD-3040813D77B0}</author>
    <author>tc={4104EA6C-9F12-49A6-8145-6A86E40F8EF1}</author>
    <author>tc={51BF256D-86DE-46EF-884C-8CF265AC8615}</author>
    <author>tc={19B59516-52CA-4905-98EA-9EA42E48614D}</author>
    <author>tc={F352631C-D67A-4815-8CCA-F638B263C46D}</author>
    <author>tc={5D30A7A0-B484-4579-ABA7-B995F9CCE1E8}</author>
    <author>tc={5EE3E080-935E-4486-BD1F-44FAEFA1E38B}</author>
    <author>tc={987E1B4C-0CD3-4C57-A6DA-7F27D6E9C507}</author>
    <author>tc={B1759653-3D8A-4C49-A603-3BC34757A857}</author>
    <author>tc={88B9932B-431E-4186-A0D0-DACA5C46A3F0}</author>
    <author>tc={B16DA28F-91ED-47B7-9820-638640C51E83}</author>
    <author>tc={11D5ED15-0BB1-4EF0-8722-7F21252658E9}</author>
    <author>tc={6FF3203E-F39A-4C79-A741-437562EC726C}</author>
    <author>tc={E3BD7A9F-F60B-46DB-8DA5-F689D2B81459}</author>
    <author>tc={BC4C840A-A2EB-4132-8BB4-CED3EE88489C}</author>
    <author>tc={C2E52D46-68F0-4112-8DA5-D0807F1EB1F5}</author>
    <author>tc={593CFCE3-64CA-4198-A3D0-C64CBC8B8268}</author>
    <author>tc={4D38776F-F7BE-4C21-B743-BA733563D744}</author>
    <author>tc={111D2051-1DC1-45AA-B53C-A0C3FCEA3472}</author>
    <author>tc={2838539C-82B7-470F-B692-365C642A44B5}</author>
    <author>tc={4EDC6069-4999-4454-AA8B-F785367334BC}</author>
    <author>tc={FFCC9B70-DAAD-4BCD-AF34-DB19B7299DA0}</author>
    <author>tc={61EB657B-3A36-4B75-BAC6-E02FD374DF0D}</author>
    <author>tc={507B294A-A11E-4BB1-8B2A-01BD645B3250}</author>
    <author>tc={2BF92A47-C4FF-48E0-8FBB-2866D01C3E7E}</author>
    <author>tc={1F8561BA-37B8-4404-99EC-1DD0BFE64D86}</author>
    <author>tc={FFC34E72-4C2D-4545-87C6-019F5FDA002F}</author>
    <author>tc={693D1AD0-DFB5-4144-BE0B-E8E609442D8C}</author>
    <author>tc={136D39B4-F859-4ABE-B29B-7F120F286787}</author>
    <author>tc={B8F34616-A584-4FD5-AC67-59CA18128A66}</author>
    <author>tc={3F5A1AA2-9DBF-4DE5-AA7E-62EC40F28F83}</author>
    <author>tc={4AF82F15-BA33-4550-BA2A-449662911242}</author>
    <author>tc={4BBC85CF-7177-4A63-A082-04B61132B759}</author>
    <author>tc={2741D9E9-B0BE-404B-B96A-D63B2A201AD9}</author>
    <author>tc={AF6BF292-5D32-40CC-9900-00BBAF6A14C4}</author>
    <author>tc={D2CC11D1-CDE3-4D93-AC71-5FE5D3645F7B}</author>
    <author>tc={03203FF0-5D16-4A86-A6AA-9B59E7AB155B}</author>
    <author>tc={CF94CC5C-40D6-41BB-9105-4F2050C3B780}</author>
    <author>tc={D9122AB5-E94E-4D00-99F0-2995C1B824A1}</author>
    <author>tc={085FB890-5616-4DFB-A54C-FD6306C83740}</author>
    <author>tc={0C83FF7C-9E88-4F48-9251-B971511A8F4B}</author>
    <author>tc={B8EEA385-4951-4D4A-89ED-38A079006D34}</author>
    <author>tc={311C8CE1-564A-4561-8D09-17D51E8C6C70}</author>
    <author>tc={17714196-B6E6-4388-BED5-56ACF677496E}</author>
    <author>tc={9F42798C-DDF3-45F7-AEEB-4D5A6FC326C0}</author>
    <author>tc={DCE20294-D7E2-44B6-856E-F6CBC52FD812}</author>
    <author>tc={5E0DD841-ADB1-485B-8E18-02045DF1D91D}</author>
    <author>tc={85AF3656-4536-4BB3-8065-7EE973037A22}</author>
    <author>tc={03CC479C-913B-44D6-8403-83593D37AC68}</author>
    <author>tc={90AE4024-3A45-4D1C-8125-7E0DE65130A3}</author>
    <author>tc={182124F9-1FBA-41E3-A905-D7ACD2F623D0}</author>
    <author>tc={50AA0931-C482-48A8-8BE1-C5C11389C883}</author>
    <author>tc={5828F674-4D7E-47DD-97C6-1FCC147A029E}</author>
    <author>tc={795DC34B-7AAA-4ECD-A72D-B0515418A6E6}</author>
    <author>tc={F1872A27-9CFD-4BC5-80D7-11E52C652177}</author>
    <author>tc={0D4759A4-BDE2-419F-9D3D-08CA5426D8CF}</author>
    <author>tc={14D624CF-A7E1-45FB-B59D-BDA8AD98C43D}</author>
    <author>tc={5C675D62-E399-4628-BF8E-C0117FBE56C1}</author>
    <author>tc={2C11C477-8B00-4C48-9CC6-B0AAF8524506}</author>
    <author>tc={DF71AD55-C4FD-4F48-83D7-E0F2680BEE84}</author>
    <author>tc={ECE7225E-F55F-41C3-A1B7-270130043E57}</author>
    <author>tc={BB1E049A-6F87-459E-9906-6449F42EFE72}</author>
    <author>tc={AF05561D-BE50-4541-9411-057216E1DF2C}</author>
    <author>tc={0347AF2E-5CDA-4FEA-880F-D03A01577798}</author>
    <author>tc={DF639176-32F9-4618-9C36-8AD91832146B}</author>
    <author>tc={1F8CFEBD-D5CC-4AB3-AE9C-485196FD8044}</author>
    <author>tc={241CE931-3798-4893-AB8D-2B48920AA422}</author>
    <author>tc={294A2E74-12E4-47C6-B9E0-B4CEC9708F98}</author>
    <author>tc={3C68185F-86CC-4835-904E-F7799BB04FDB}</author>
    <author>tc={9EDFE717-6C13-4516-B520-49367E612C43}</author>
    <author>tc={C72A3DE2-5003-4B85-905B-0355301D2760}</author>
    <author>tc={D1038E95-8538-4AB6-B8E7-CF4824DC1514}</author>
    <author>tc={76374AE4-5275-4895-86E3-E9C62190E7A6}</author>
    <author>tc={3299CD56-7270-4264-B4C3-7E3B93C4BD42}</author>
    <author>tc={AAB02AE5-B5BC-4E16-B95B-C33F74107DC0}</author>
    <author>tc={C6855FB3-8373-4F5B-8025-D3EBC1BFE29E}</author>
    <author>tc={18E8648E-5DDB-48EE-8018-68DFE004C10D}</author>
    <author>tc={0434206F-C430-4DA7-ABDB-6D4D3268B1E8}</author>
    <author>tc={5DAD0815-B4D5-431A-8498-C7A9F79B3383}</author>
    <author>tc={B7F559EC-18B5-4426-A551-D874FA0E8920}</author>
    <author>tc={38048173-AECA-4D9B-AA41-555C0FB5EBF3}</author>
    <author>tc={4817E3E1-A1AB-4BF4-B5E1-E27BD384804B}</author>
    <author>tc={FAE48064-B162-4B8F-A402-12FD0A416C14}</author>
    <author>tc={1A6BCCFC-E5C6-40AE-A2B3-FDAF45A80719}</author>
    <author>tc={4F34F10E-89B9-4F2D-927E-E255691E5057}</author>
    <author>tc={25CF2C36-9F34-4144-BD51-E0607BD5995F}</author>
    <author>tc={39A890CE-0F3F-4EA1-A7FF-E5F9E0920576}</author>
    <author>tc={0D7E0F9C-4E76-46EC-A334-9E4FCFBA4290}</author>
    <author>tc={529AA78F-B25D-4FD0-AA55-A5E86C200FB3}</author>
    <author>tc={1104D397-248D-42E2-9EF3-94A4A8E32FA1}</author>
    <author>tc={B56E9FE5-3DCB-4859-B2EA-A1687FB922B1}</author>
    <author>tc={11551EFD-E57D-47E0-983B-461F65AA89AA}</author>
    <author>tc={76B51DC8-ADC7-41C5-A035-8286A0E78C8B}</author>
    <author>tc={0C3CC413-4E7F-4823-B31B-3DF341D733F3}</author>
    <author>tc={9E0F0F5D-7C54-43F3-9B6C-DC073B94119B}</author>
    <author>tc={BFCD5061-0626-498C-9832-73CBDDED3B05}</author>
    <author>tc={B9D06D9B-17E1-47C4-BC66-1ACE37934396}</author>
    <author>tc={A4720835-795A-468F-901C-67CB1B06FE51}</author>
    <author>tc={D367C2DF-7AE3-4BB0-BDE8-76F68502C690}</author>
    <author>tc={A75F04C0-54C3-4E55-9241-0DE5959B3563}</author>
    <author>tc={680A32E1-4B88-4C39-AFFB-BA6878D9E34D}</author>
    <author>tc={A181684E-6E5A-4CA3-8A3E-7AA73E824C73}</author>
    <author>tc={B664E636-4D8F-4977-B8EB-7A7EE45A81D3}</author>
    <author>tc={40F5AD8E-0654-4C78-86A0-FFCFA6BAA76A}</author>
    <author>tc={1C508887-CBB1-47CC-BE2F-3D196BBE5AD8}</author>
    <author>tc={33DEA4D3-FB04-4E00-ADE8-2EEC3C299A51}</author>
    <author>tc={02AE96F3-2D8C-415B-9744-2D52A740DA79}</author>
    <author>tc={313EB357-BA15-4CC2-A389-775DA7E33E06}</author>
    <author>tc={129E4A5C-CB56-4193-A76F-EBB8BB0DEC71}</author>
    <author>tc={46C4EBBC-30FC-4873-ADBF-4B956DBFDC9A}</author>
    <author>tc={064D2D12-97B9-4589-8CC0-BE4F20764E9C}</author>
    <author>tc={34F577CD-BD71-4A95-8CC5-7A5AB5564EEF}</author>
    <author>tc={CBDFEC8D-D5EF-408A-95E4-7785D0C8D244}</author>
    <author>tc={3EECEDDC-E757-4370-8C47-099989262B84}</author>
    <author>tc={FD57EA74-C042-4C26-86B0-28A3D0B3421E}</author>
    <author>tc={22B919B4-6BE5-4634-95AB-6464472CDA86}</author>
    <author>tc={B9B3C312-E504-431E-81A1-49A882FAC1AA}</author>
    <author>tc={7AFFF450-A65E-4DF2-9C05-AB9706CEF2FA}</author>
    <author>tc={F1970F64-A6E3-443F-9CD2-20DC0899358D}</author>
    <author>tc={71E9C5ED-29B0-4391-8135-15F1731954A2}</author>
    <author>tc={0F52E249-F87D-41F2-8B0D-A7C341100CCC}</author>
    <author>tc={0B22F18F-8C93-423D-95E0-EB5D7B70A4B8}</author>
    <author>tc={384584A0-9D7D-4797-BBA4-15486BD9BA3A}</author>
    <author>tc={29AE4852-B16C-4701-9663-A6ACAB757C1B}</author>
    <author>tc={5E82C252-F6B8-476A-BF9C-DAC2F22EC15F}</author>
    <author>tc={AEE1861F-9B4F-49CA-A4AC-7FEB8E1EB13A}</author>
    <author>tc={ED07F04C-1D6D-450B-886C-C400B5D919EC}</author>
    <author>tc={E390A639-F0A8-461A-8C92-066EAC431D91}</author>
    <author>tc={E30BC1D1-D170-4713-AB1B-9B7AB058B6AA}</author>
    <author>tc={B2683885-4A38-4A7E-8A1E-5F77F43CD874}</author>
    <author>tc={5F92FFD8-4439-4AAB-94E9-98E175916525}</author>
    <author>tc={4918D85F-9187-439F-8C2C-5463B5881464}</author>
    <author>tc={A55206AF-0375-405C-9071-5961DCFD8E9A}</author>
    <author>tc={A7269E34-C3F6-4EC1-B1E0-8D648DA82D11}</author>
    <author>tc={91ECDEAA-F2F3-42D6-B93E-F89AD4C251BB}</author>
    <author>tc={B55B030E-6AF7-4503-927F-ABFF7A901306}</author>
    <author>tc={5076DF4F-BF50-44D2-A520-64D66E3DE344}</author>
    <author>tc={B5781757-C78B-4704-A1E8-A8714E705933}</author>
    <author>tc={A74D0BF1-08A8-4557-97F0-95D40972C2F4}</author>
    <author>tc={721D2006-28E3-4CC8-97FC-12226BD19DA3}</author>
    <author>tc={565E199D-0849-43F8-83B0-39974DE0D183}</author>
    <author>tc={9E797A37-91A4-4EB6-9A4A-7E298A4914AC}</author>
    <author>tc={DCF30BF2-AC4E-475A-B200-1852758AD0AE}</author>
    <author>tc={B3873894-D3D6-4DB9-B162-9BC7813EE6B0}</author>
    <author>tc={06FAA624-DA4C-4D79-A188-635EF33A08AB}</author>
    <author>tc={80F4211F-9EE2-4FD1-8A5C-4FFD8DFABC67}</author>
    <author>tc={FC6952BF-E7D8-4B56-9A47-DECD53C5D11C}</author>
    <author>tc={650E76BF-E75A-4D57-8B06-E15F0BB97F0F}</author>
    <author>tc={1EC5606C-EC5A-4FBE-9FFD-4E8A80257AC4}</author>
    <author>tc={38AE5BAF-BEF1-4602-96C6-2032ABFD3E1B}</author>
    <author>tc={6B815502-B3B7-4E77-BF78-4E2067A6AEA9}</author>
    <author>tc={8AE5038D-22C4-4FA4-ADF0-D50211C68E5E}</author>
    <author>tc={994ABE50-619D-4F91-9B20-A95567C59E5F}</author>
    <author>tc={F4297A60-465C-439C-B323-8247CC07FB78}</author>
    <author>tc={8B9D12C1-D312-4BF5-8192-FCE1D3E5DF75}</author>
    <author>tc={A0316C8C-AA7B-49B3-A506-B4EDB82148D7}</author>
    <author>tc={1E3D64ED-B03A-49DB-A975-8E41127ECC54}</author>
    <author>tc={D9867313-49E8-4DF3-BE34-41E9B0C373BC}</author>
    <author>tc={5AE22741-543E-4DA2-8F83-B14DC3BB14D6}</author>
    <author>tc={8CDA5F91-71DB-46AD-AEDD-D87C4ACC8A05}</author>
    <author>tc={31A9484A-C7B6-4535-B5FB-5035F5A017C9}</author>
    <author>tc={6EF5359F-C97B-4E04-871F-F34FE115E73C}</author>
    <author>tc={F24B23C0-1377-43FF-8512-0C343ED483CB}</author>
    <author>tc={10004493-9812-486D-B702-FFAFA34A0FFA}</author>
    <author>tc={DD25932E-DD60-4353-8B1B-E7930D5B6BDA}</author>
    <author>tc={66887FFA-08F5-4899-9B5B-C83E6EAA5EDC}</author>
    <author>tc={A5FD361A-E2E7-4FC8-9D4A-4BFA763E03EC}</author>
    <author>tc={6E18A3F6-CB57-40A5-83E5-8EAB4CEDC1A6}</author>
    <author>tc={509F17E0-87CA-41F5-959D-2056249852D8}</author>
    <author>tc={621883A3-29EB-4145-A517-CE122BBBFAF0}</author>
    <author>tc={E95B922A-B0B9-440A-9011-A6FCB5221A2E}</author>
    <author>tc={B65DBDA2-7CE2-4D75-A349-7CCA443DE06B}</author>
    <author>tc={9551021C-70BA-4FC2-90AF-D47A541AE1FF}</author>
    <author>tc={616694A3-79A5-4C5F-8E8C-3D804A75339A}</author>
    <author>tc={DF082F61-6D91-43C1-8C67-6E25F494EF57}</author>
    <author>tc={4BAFAE07-038E-45C0-A1EB-AFA5E18CDE27}</author>
    <author>tc={F45BEDBB-E720-419E-8813-D0BE4C393198}</author>
    <author>tc={543B74CB-AF91-4F7F-ADEF-8FCE9C615AFF}</author>
    <author>tc={90C3EAD5-E2BF-4F90-9653-337548BDF174}</author>
    <author>tc={C79A27B4-6B80-4E53-87E3-D2823EF9862F}</author>
    <author>tc={95216C61-C798-4B4C-AEB9-B3DF660572C9}</author>
    <author>tc={57803782-DC1C-4D7C-822A-22BA2277D01E}</author>
    <author>tc={42FF05D8-17FF-4956-B299-C366654890AB}</author>
    <author>tc={0CF73507-A968-47F0-9C80-4B1FE8D5F934}</author>
    <author>tc={7321C814-4300-4683-AE18-E713DF09A39B}</author>
    <author>tc={3E779C91-FC3D-4467-9EC7-B87B7D3CFA00}</author>
    <author>tc={2C4EF897-CB24-459F-9F7B-22360525282F}</author>
    <author>tc={91AC946B-5439-4DB3-8AA0-321B0862D49E}</author>
    <author>tc={50ECE829-7003-4765-B79C-2896E134BEB2}</author>
    <author>tc={3C4E489B-A2F8-4669-9D08-947FD5DD284D}</author>
    <author>tc={D431D19B-C09C-4D24-9480-2065B73525E7}</author>
    <author>tc={CB91BCCF-8DB4-4ECF-8430-F785F4E8BEAC}</author>
    <author>tc={EAF990D0-1505-444F-B9D9-9832441C56DE}</author>
    <author>tc={06030E46-2054-4E46-98CE-6A947AB5F90B}</author>
    <author>tc={F159C831-D189-4C51-8CA5-79C1FBA55081}</author>
    <author>tc={F1654589-9CB0-4935-AD0B-010245A22BA4}</author>
    <author>tc={9F3E4AC3-D64F-4830-9ADB-DE9D04D7F26A}</author>
    <author>tc={9459652B-A593-4AC1-9520-C0B3C4395F34}</author>
    <author>tc={5B82DD0E-5FD7-4337-8231-6D9DFCF7FE8A}</author>
    <author>tc={A3DFC0C4-83A7-42BC-8EAD-18D745B701E5}</author>
    <author>tc={44BA5604-7513-4C2B-A2FA-ACF64AE0B981}</author>
    <author>tc={F1345A81-091B-4F02-BB8E-13C62FFF08D6}</author>
    <author>tc={AB1473D0-D555-43C6-B5A0-7463B0F579D4}</author>
    <author>Randell, Matthew</author>
    <author>tc={A36C3735-318A-4212-B104-3B9B562D6CE3}</author>
    <author>tc={6219FF56-3254-45D4-9440-9B85FBD76799}</author>
    <author>tc={A7524E8C-05DA-4A39-B9E1-5B49F75D505C}</author>
    <author>tc={26BC2057-7DD0-42C9-93BC-52DD9D40B8F9}</author>
    <author>tc={68C87094-BDEC-4C76-B07F-1D2DEB53A771}</author>
    <author>tc={0AF07B3B-AE7A-4DAA-ABC4-67D850E6F7E3}</author>
    <author>tc={59D53028-EE67-4D56-ADCB-6179B2A4EC34}</author>
    <author>tc={086C5EF0-F5D6-42D9-908E-33B678D832B6}</author>
    <author>tc={69000CCF-BDCF-4273-9DBE-EC3F6CA8E7F3}</author>
    <author>tc={4F2A0037-51F5-484C-B9FA-1B08812DED0A}</author>
    <author>tc={5D482A5B-7E7C-4A40-B4E7-27924765F203}</author>
    <author>tc={339E6909-641E-460C-8D93-8DE3725F5F12}</author>
    <author>tc={3D8CC86E-5661-47A3-8BCC-2DA2BA3B6FB2}</author>
    <author>tc={DFA0930C-E44D-4D4A-81E0-FD1BC6B0C181}</author>
    <author>tc={6A789F73-55D0-4665-9401-9855FCA4DA55}</author>
    <author>tc={4A85BA1B-B6D4-4CA1-94E8-4FFE1C04368B}</author>
    <author>tc={5508C3EC-7A77-449D-B3DA-F51662DEF535}</author>
    <author>tc={C6E0073D-FBE1-4735-919A-28775FB857A8}</author>
    <author>tc={8F1E1313-94B7-43C8-BB02-575F3893B82F}</author>
    <author>tc={A951E77F-CF84-4F6D-ABBF-CCE11DE2AC7F}</author>
    <author>tc={E579D1F9-6E34-4013-A459-84692CCC00E9}</author>
    <author>tc={4151B456-773E-4899-891F-B8AF66652F4E}</author>
    <author>tc={593E43BD-DC25-4CC2-B88C-00FC6D27069E}</author>
    <author>tc={622CA8A5-1D8F-4A1A-AA21-D3872590C35D}</author>
    <author>tc={84A7C10F-2174-4B61-8D0C-D65CDD1F6DD0}</author>
    <author>tc={AD267222-4A5C-45BB-A6DA-23AD768D6CEC}</author>
    <author>tc={00BD894D-09F6-48B5-AC21-D972BC6068F7}</author>
    <author>tc={82DC80DB-C2EA-4DEA-9515-1AFD8813E47B}</author>
    <author>tc={334AD212-FED2-480A-8CCE-FFBB50BF28BE}</author>
    <author>tc={C7A64B22-DA90-49BE-9E9D-7DA428339607}</author>
    <author>tc={9DC8AB44-25AD-417F-8BAD-B3751461113C}</author>
    <author>tc={CAF2A9FD-DC2C-437F-AC71-84F5C715F816}</author>
    <author>tc={04C9F634-37EB-4276-A617-D599DC6B896E}</author>
    <author>tc={D883D697-3CB0-4A28-BA57-DDF6291F60BE}</author>
    <author>tc={E77C91D7-BECF-4B82-A379-B4E73CCBBFF7}</author>
    <author>tc={2E2C9B8F-5148-41A0-A344-07BD0D87B490}</author>
    <author>tc={8A95493B-37D3-4B46-9BE0-C29D1647DDF0}</author>
    <author>tc={88FD6AB0-9CD2-4B58-AAFC-86BD028E8ECC}</author>
    <author>tc={F5548EF7-31AE-48D5-ADE0-1D53EDCB5D62}</author>
    <author>tc={AD537D5D-0481-4FFB-B3C1-61C9B321EBC2}</author>
    <author>tc={431486E1-DF6D-4094-9582-70F1D45E50AC}</author>
    <author>tc={F8C4F258-E0F8-4E66-9CC2-5E14F50558D1}</author>
    <author>tc={26ED36B4-B12F-4F0F-902D-BB2D5B9AA85C}</author>
    <author>tc={35325406-68F3-4FC4-BEEF-A4012D3CE4F4}</author>
    <author>tc={8178A394-3A80-4E22-952F-B0FBA461BAB3}</author>
    <author>tc={FEBD1AFA-6720-4980-A1F1-314A6C899434}</author>
    <author>tc={16FA928C-C4A6-494A-88D9-F3991CEA4195}</author>
    <author>tc={C5F954BE-CBF0-4AA1-A44C-5C767CB84B67}</author>
    <author>tc={22131542-22E7-46D5-A4ED-DAAB80EEDADD}</author>
    <author>tc={AB812410-9C51-4B7E-ACD5-94B3DB0DC353}</author>
    <author>tc={49869CEE-B448-48BE-A100-100F0FDDE445}</author>
    <author>tc={165736AF-B8C3-413A-8BE8-EA3C5C9608FA}</author>
    <author>tc={6FBB56C0-D71D-499C-A9E5-2CA33DADA727}</author>
    <author>tc={74AED413-D955-48B0-AC73-AEA3C50CB1CA}</author>
    <author>tc={A9C26DBB-CA58-4F9C-9036-4E8025BC7149}</author>
    <author>tc={F4051D07-6ACF-4D3A-A6F6-8A70C2A3AA24}</author>
    <author>tc={38DB7832-9C1E-432C-BB34-60677BB29F7A}</author>
    <author>tc={20101739-A6D9-48FC-9029-3C97ACD2D540}</author>
    <author>tc={FA3AC25A-C3D8-4512-B453-597976F8E05D}</author>
    <author>tc={6884EE47-9D19-4ADD-9B34-43ECDF034768}</author>
    <author>tc={1540F197-D94D-4261-900D-09EB248E1BF4}</author>
    <author>tc={06F98AF2-ACBF-41E0-BE5C-CE27064EBA69}</author>
    <author>tc={4FE38A79-4D68-4E88-8C0E-16DEB544CDDB}</author>
    <author>tc={47418664-51F1-4429-8085-F871E6B3DB20}</author>
    <author>tc={4F05A66A-C763-4AFA-B477-57C150A5AE45}</author>
    <author>tc={FB117436-1F2F-446C-A858-532BB64161B3}</author>
    <author>tc={59789F13-2B27-447F-8537-7964BFB622AD}</author>
    <author>tc={667A8E73-ABFA-42EE-8338-C851FEB9B915}</author>
    <author>tc={C6724049-4676-4399-AF84-06D79D1C5D23}</author>
    <author>tc={0B28EEEC-0F3C-4AAB-8F06-B378B13B3087}</author>
    <author>tc={018D8C64-CE3B-4BE9-B875-69218575F2C5}</author>
    <author>tc={6E55D1F4-5D37-439C-AA06-14967257EC88}</author>
    <author>tc={47B7AB29-D4EA-493B-AE99-13C3E3044A15}</author>
    <author>tc={502EFD88-E13E-4419-91A7-B66CE1266825}</author>
    <author>tc={9DE92074-30B9-4E53-AB1F-FAF1961975D4}</author>
    <author>tc={BEE20254-6A14-4A8C-8105-EF24301BCABD}</author>
    <author>tc={EC4F03AE-EE86-428F-865B-D2804D45F85F}</author>
    <author>tc={03DB1042-999C-4AC0-8D36-3DF1E90ECA34}</author>
    <author>tc={8704D826-AB2A-49FC-A8C9-80EF3B1A73F7}</author>
    <author>tc={2E7A75F5-FDB4-496D-9F00-2E86872D5ACF}</author>
    <author>tc={79A1730D-1E0A-4FAE-99D8-C61204FD3767}</author>
    <author>tc={6381190D-79C9-46CA-B74F-618B87F7D806}</author>
    <author>tc={62A8E96C-761E-4001-9EC7-166AE6467BC6}</author>
    <author>tc={0EE2945D-FCA8-456D-86CC-DD82AEE3F039}</author>
    <author>tc={51E3CEDC-1277-4586-B0D1-779472733ED4}</author>
    <author>tc={A9D7BF48-5AED-449A-A7D1-CA9F792ABE44}</author>
    <author>tc={EF804E86-88F5-4B43-A96D-75E644CDC7DE}</author>
    <author>tc={35B1CCFF-CA94-4D50-B749-4C842071ADAC}</author>
    <author>tc={7574E6EC-B0AA-4F30-B565-37C54D8077BC}</author>
    <author>tc={8A6E57BD-5891-46D3-A8E2-0A2DF3CD3C1F}</author>
    <author>tc={62EAA717-5A3B-4888-8082-5302ED0ECBD1}</author>
    <author>tc={383902AE-7AC7-4EAB-8469-765897B4E6FA}</author>
    <author>tc={FDEF4EDD-D47C-48D7-B96B-FE8EC8D613A3}</author>
    <author>tc={014C4E38-1086-41E5-AE5D-8D5801FA8804}</author>
    <author>tc={C0AAB2DE-E909-421E-809E-E4DA36C8F6D2}</author>
    <author>tc={897833DA-396E-47EA-9202-D8912B5C17CF}</author>
    <author>tc={D710E459-F320-4411-8B43-2E94A1D4CB62}</author>
    <author>tc={98E17142-8D75-44D2-BA94-689DF71A563D}</author>
    <author>tc={783B37BA-507D-402E-AAA2-52B259BF2C32}</author>
    <author>tc={8C50E47C-A4D8-4D95-94AA-406E9AF41586}</author>
    <author>tc={AD6B151A-73BF-45EA-86B8-425ECAA53B2C}</author>
    <author>tc={7F889277-9552-4512-B3F0-437C4A3DCEBD}</author>
    <author>tc={7CACC984-E920-4E15-953E-42A336088B1F}</author>
    <author>tc={ACAFA0A6-4432-42C9-9E94-88C99AF0694A}</author>
    <author>tc={E8D93DDC-616B-4C7C-8F56-DF520ACA214C}</author>
    <author>tc={116B5AC0-3870-4684-B21D-3A64E1B9C084}</author>
    <author>tc={FC33D80F-768B-4F25-9D38-65BD16A9DF42}</author>
    <author>tc={BA2F7A7D-7BEF-434A-BB88-08630C9529C7}</author>
    <author>tc={3A79E8BA-DA6E-46EF-B5E7-B19A224439CE}</author>
    <author>tc={7FED7A06-7C54-4A36-96BA-55341A75571C}</author>
    <author>tc={3ED1DA61-11D2-41AF-A13A-1120017E9084}</author>
    <author>tc={87569533-24E6-4E87-A5F1-19E84F471199}</author>
    <author>tc={7B4654C0-0E8E-4CBB-B591-39E35A0B7FBE}</author>
    <author>tc={E77B97E8-48EE-4CD1-8EA2-04C96BD7E1AC}</author>
    <author>tc={1D841716-1A13-4D83-BA7E-1A50D9F26F95}</author>
    <author>tc={B5FACC68-DE37-47F5-8BA4-203319EB581E}</author>
    <author>tc={C35605EA-2429-468E-8DCE-E7ECC10A9C11}</author>
    <author>tc={7309DE43-6E57-4A2E-88D0-158593D83FA4}</author>
    <author>tc={5FC6E72E-392E-4A56-8B54-5FA7D4FFD0CD}</author>
    <author>tc={59D2CEA1-BA61-41D9-A50B-A352C1482679}</author>
    <author>tc={E9190411-01F5-4266-9BF2-AB1942D67AF0}</author>
    <author>tc={4990463B-FDDE-4BB8-9AE2-00F9D2A1368B}</author>
    <author>tc={D158EE26-C0F5-4055-807A-660F1612CA49}</author>
    <author>tc={60175268-A3AE-4DDB-B67B-2209FB6782D7}</author>
    <author>tc={44DD3FB7-057F-4162-8888-586054CFE440}</author>
    <author>tc={63C5042C-CC15-4EBC-BBE6-769E0C0E7722}</author>
    <author>tc={C7722A6A-D6EC-445A-BAE4-E74B5FCC9038}</author>
    <author>tc={360167F2-619A-40A0-887E-83CFFDD7EDE9}</author>
    <author>tc={410BB566-CF94-4C8E-8BA5-04993231AA6D}</author>
    <author>tc={9A9D82ED-3EAA-4695-8AE9-B7E9E3131965}</author>
    <author>tc={E5A8B109-6C47-41F4-86FA-EFF40C2F4E67}</author>
    <author>tc={C1675508-B16F-41D8-8D30-FC6D8E494A4A}</author>
    <author>tc={0C073F30-1D7D-4D25-96B0-BA441656275E}</author>
    <author>tc={6887046A-9480-4305-8AF9-201A21D22EE0}</author>
    <author>tc={770478EB-3000-4C84-9848-AB11415F5602}</author>
    <author>tc={9323CF0E-05A7-4990-83A3-8834DFC24817}</author>
    <author>tc={C57CC7A0-133A-4EE3-BF4E-1F93DD509EEE}</author>
    <author>tc={2A75DA8B-B982-4DCF-8A29-16479E6BD24F}</author>
    <author>tc={F625EC1B-A0C4-4BE3-9E8E-4419C1CB3D68}</author>
    <author>tc={436E86B5-D7B3-4E9E-905F-88D78D21B0FF}</author>
    <author>tc={548F5C6A-04FB-4C5E-A0C5-3458F175FD9A}</author>
    <author>tc={9EE548ED-0ABA-483D-9BCE-47AF862EB0F3}</author>
    <author>tc={35A6C601-A65D-420D-B30C-D023C63308BD}</author>
    <author>tc={9603DA07-B8E3-4C2F-B688-921B94E6346F}</author>
    <author>tc={3449A9E5-D583-4985-8286-C1E5D6906956}</author>
    <author>tc={C29E3C22-8F87-49FE-8FC5-04288F1BA581}</author>
    <author>tc={2B12073D-5144-4B66-8C8C-D6D4B1F9802C}</author>
    <author>tc={8AC5A3EC-455B-4A14-8E1A-835DD2D6F9D5}</author>
    <author>tc={2438F3E9-15BE-40F5-8398-1F8D17F38136}</author>
    <author>tc={B85E62D1-5F79-4150-A784-B1B2AA342727}</author>
    <author>tc={217D9547-CC09-48FE-8261-BEB6C885E1B5}</author>
    <author>tc={95BEB278-4A34-4F04-AC9F-4D70E72ED7B2}</author>
    <author>tc={0DED0367-988F-48D3-9E15-F51FF75D88CF}</author>
    <author>tc={C1AE4196-778A-421D-B6DB-D7FAED2AF9C1}</author>
    <author>tc={CFD1F34F-5584-45C3-A943-00D9796AB2D5}</author>
    <author>tc={20E977F5-9056-4C26-9AAC-8D7B16C1BE8F}</author>
    <author>tc={71757918-C75A-4F4D-A3EE-B4EAFADB5BB2}</author>
    <author>tc={C85E9A56-6808-4FB0-896C-5D593A4FE6CB}</author>
    <author>tc={491BBD37-0FAE-4B99-A0E6-A21E5281E70A}</author>
    <author>tc={BF85556D-3E21-4D81-B40D-3E2B8A9B884F}</author>
    <author>tc={D9188B72-ACA2-4440-A9F5-AE9B4589411B}</author>
    <author>tc={4F03F423-7A34-4B04-ADA4-7D7AAE9881F0}</author>
    <author>tc={070C6B9B-D888-43F1-A522-13D1773A37FF}</author>
    <author>tc={76B9AAC2-FF24-4556-8104-AAD2561384E5}</author>
    <author>tc={6D9B48A7-868D-482E-872B-E8B1F505B4B3}</author>
    <author>tc={C10B0890-C356-418D-9DE6-935D3CB178B2}</author>
    <author>tc={BB7B5DE6-6299-45C8-A1AB-BF54ADD3273D}</author>
    <author>tc={79559AD8-B792-4FD8-AEBF-079875B9AAC4}</author>
    <author>tc={412CAA49-0054-4319-BDF4-222A8481AE47}</author>
    <author>tc={93B9622B-0EDA-4800-A3C8-AC7E340041E0}</author>
    <author>tc={5949CEE7-BB75-47A3-AC46-0189457DCE50}</author>
    <author>tc={E4488924-E917-4A7A-AFEE-626A913BF4E1}</author>
    <author>tc={122363F4-0244-4FCB-93FD-31B0378F7D95}</author>
    <author>tc={F5FEAE83-47A1-43EF-B71A-142A969CAA0E}</author>
    <author>tc={55FB1ACD-AF80-46F9-8B32-E370C890BC62}</author>
    <author>tc={85515C32-80CB-4002-8FEB-C25E596FD3F4}</author>
    <author>tc={32971F41-9933-4097-9655-92F13ABB0717}</author>
    <author>tc={EEF5DDD1-718C-4597-BDA2-19428765B065}</author>
    <author>tc={251980F4-6C85-4C37-8E97-071B051571FE}</author>
    <author>tc={2F269134-ECAD-47D7-85EC-31C1F7544B44}</author>
    <author>tc={8B6201B2-81DF-4B45-8961-04886D91DC1D}</author>
    <author>tc={424C34A9-EFB3-4230-AC85-C536DA664949}</author>
    <author>tc={28A30A9E-02E2-42E7-AD99-1871C10888F1}</author>
    <author>tc={2E7046DA-CE3F-43B8-86F2-2CED1234CF84}</author>
    <author>tc={6998C88D-2907-4CBF-BA29-59331375AC56}</author>
    <author>tc={F2F9C8F0-6A64-442D-B742-E68CF341C781}</author>
    <author>tc={C3197550-70F0-44B8-AE88-09DBE4A03974}</author>
    <author>tc={5E89DEE8-6F3A-434D-850B-B0C47C8EF459}</author>
    <author>tc={17DA1D39-15CA-4D95-AE0B-7B9EF647FAF4}</author>
    <author>tc={75F64564-918F-40DE-A4DD-5C0E22B89A53}</author>
    <author>tc={35A51089-037C-4433-AFCC-57A5D15DBAFB}</author>
    <author>tc={93D7AAD0-6ED3-4F3F-9331-BCDF477C5F1A}</author>
    <author>tc={38035354-EEA6-4975-BF9E-A8FE15C8949D}</author>
    <author>tc={58292876-9366-4EE1-BAA5-6FF5442B22DF}</author>
    <author>tc={31BE20BA-B97A-46CF-B568-D21E6E8930D0}</author>
    <author>tc={51354F4B-4D7D-4451-98D9-3FF7143099B4}</author>
    <author>tc={0B3FF0CC-4C38-4DC5-8913-3F062C7DC744}</author>
    <author>tc={62618168-6B1C-4F9C-9779-2D5276E921C1}</author>
    <author>tc={AB6BAE2F-33F9-46AE-8944-4DFB08AA4ED5}</author>
    <author>tc={F77DED84-1FDC-4DCF-A19C-D78D090EE427}</author>
    <author>tc={C0E821F8-D17E-462B-AF3B-5A3B060A4426}</author>
    <author>tc={4145D587-6920-4782-B026-312FBBC24B79}</author>
    <author>tc={1189F1F1-AF22-4B21-BA69-C78EA069A47C}</author>
    <author>tc={C1186662-4C19-4DBE-97D6-308A13D00209}</author>
    <author>tc={DE44C94D-16D4-4AF4-9A55-25366AC8A91B}</author>
    <author>tc={93DD61B6-8FB1-4358-8357-44C17BBD2567}</author>
    <author>tc={73E4920D-AD7F-4437-968B-73F891210C11}</author>
    <author>tc={308A9474-2CF0-4362-A7D9-32518CD0E02F}</author>
    <author>tc={3AB957E9-D246-49BA-B2EB-7E0BA38027D9}</author>
    <author>tc={F79FFB05-16C5-47F1-B750-5ED8916DDCFE}</author>
    <author>tc={28C9B6CA-FCB2-489C-9B6B-7D80D0FBFE29}</author>
    <author>tc={E21072B3-7A19-4626-9263-145E090FD066}</author>
    <author>tc={D4AD6233-236F-4794-BCBD-C3B6F352ACE1}</author>
    <author>tc={3B01232B-A486-42E1-AC99-432D7BE71EC5}</author>
    <author>tc={B3C83FBD-4A54-4274-9229-487A6B90E571}</author>
    <author>tc={F6CCE9B2-3F98-4BC9-859A-94CA2102E287}</author>
    <author>tc={FDB86EB1-7693-4B05-A1C6-73EC88BDFE5F}</author>
    <author>tc={D5DC93A5-051C-4DFC-B362-6934CF087B56}</author>
    <author>tc={B6B233AF-8115-4F1B-B7E8-551C59914097}</author>
    <author>tc={E6595528-32AA-4BEA-8CC9-AD59F569CDD8}</author>
    <author>tc={BCEF4BBF-577F-456E-8E12-7C41F0462E1C}</author>
    <author>tc={AD2D3F85-226B-4FDE-BA99-4F74AE151078}</author>
    <author>tc={A7A0AEE6-255D-4347-94C9-62903D1266C8}</author>
    <author>tc={91DE20A3-AB79-4404-94AA-4087982655A2}</author>
    <author>tc={DF680FF4-2CE6-4830-9CE6-26F786D36656}</author>
    <author>tc={D80C826B-0420-4463-B1BC-7F27807DBD0C}</author>
    <author>tc={465E4F45-4BDA-490F-9B7F-726911E3C67D}</author>
    <author>tc={50271152-1235-4564-AD2A-9E9374639A09}</author>
    <author>tc={D450DD31-45F0-4243-A17F-03D1BED66E5C}</author>
    <author>tc={18C25C75-AA14-49E4-AFCE-14FA71E1C3C1}</author>
    <author>tc={EDC294CA-C457-45ED-8AA9-57FC1A390BA2}</author>
    <author>tc={FFD81E47-3D0F-436E-83AD-E3CAE89FA950}</author>
    <author>tc={A42EB595-97FD-4183-8BBC-987AD74932FB}</author>
    <author>tc={1670F9D6-822B-4884-BB95-22D605B5E01A}</author>
    <author>tc={549933FA-2F5C-4FCE-B127-6D816F89B5E5}</author>
    <author>tc={874EB9F7-BACB-4E90-9F97-2F3D08460825}</author>
    <author>tc={E2ECF6BD-4E66-4AFE-9079-C96276F4CAA7}</author>
    <author>tc={655E7A7A-5467-489B-9D01-1B56D1A27082}</author>
    <author>tc={8BA65634-9F54-4AFA-9BE8-BA8E67AE747B}</author>
    <author>tc={C8FF6DEB-E4B2-4C1E-97F6-39303E2AC62A}</author>
    <author>tc={BEA80506-A253-430F-9690-F925903FA88D}</author>
    <author>tc={2C940CD4-EF77-4401-954B-00DF0D37E685}</author>
    <author>tc={8F997C76-D416-4A0F-B3B1-9ABCF330D719}</author>
    <author>tc={0BBE73DE-4054-4213-9915-E3F2A294F920}</author>
    <author>tc={7A2FF8BA-0E94-406C-A19F-1CB8A6DE6ECC}</author>
    <author>tc={F408B04A-BB19-4BCC-B884-42881A5E3B55}</author>
    <author>tc={ADFF9200-53EC-4700-AB3E-824B7732B0C1}</author>
    <author>tc={126AE37D-11C7-45E9-A8FF-DA33CAC6FAF2}</author>
    <author>tc={E418E91F-0C80-41C5-ACBB-F70B7134EB20}</author>
    <author>tc={516802F7-69F4-46BB-B5F1-5B7AAAF1BA96}</author>
    <author>tc={81E8CD70-0129-4369-8CA7-966EBEAE1995}</author>
    <author>tc={9942E1B5-AFA8-412C-9113-96465F6B5AA1}</author>
    <author>tc={E2D8EFEA-57D8-41EE-8CC5-4BD619CEC5E4}</author>
    <author>tc={1A56EFED-71FD-447A-A05D-3F18F7BA7BA6}</author>
    <author>tc={B5C9F67E-9D81-4E0A-B4E2-7F98343E2588}</author>
    <author>tc={DEE8F10B-83AD-4E91-A674-13158AD8E885}</author>
    <author>tc={265EDFF3-57E7-48E9-AB5A-FE97FFE63062}</author>
    <author>tc={8F6F0426-1FA4-43D6-BDF0-EFFFA4CE6465}</author>
    <author>tc={F107EAAA-4950-4467-8F93-2F058CEF5DCC}</author>
    <author>tc={EB14B8F9-3072-44FB-8978-F027C528C650}</author>
    <author>tc={286C14BF-9C2C-4C11-A050-5F3C9BB0CD93}</author>
    <author>tc={40B40B61-FD5F-4072-B981-A31EE233CE35}</author>
    <author>tc={FDA0D6D5-C528-44DC-AE4A-04E684BB4620}</author>
    <author>tc={D1D8DE76-9C19-463F-9593-1B546100FAF2}</author>
    <author>tc={C8CD8A10-ABC7-4B4A-8A1D-635FAF7E90A7}</author>
    <author>tc={1D0EAB31-920F-413B-9E68-834999DC0FE7}</author>
    <author>tc={BA14CB1A-E1CB-4383-9414-102E1A731F59}</author>
    <author>tc={1A8EBAD6-92AA-4F75-A787-16D7E8569DB6}</author>
    <author>tc={C6D85AF9-BBE5-4C9B-BB75-3E366CDC8E78}</author>
    <author>tc={DD18485C-7EC6-4405-8B48-686842890A36}</author>
    <author>tc={E851D942-FC63-4E9D-B448-532A21BC63A7}</author>
    <author>tc={A7766A8E-7AD4-45EB-B63F-7B24244991E3}</author>
    <author>tc={1FB2DB26-24A3-448B-BB38-5A194D2220C3}</author>
    <author>tc={0E582A86-1AA4-4299-A9E7-775D844C7F8E}</author>
    <author>tc={F1665807-B677-4335-B010-A41E47E6A524}</author>
    <author>tc={F26C0D27-780F-41F3-97FB-72F533E43CBD}</author>
    <author>tc={2B8E35DE-BBC8-4336-A06F-0D5E3A324305}</author>
    <author>tc={AE177BF6-D35D-4DDF-A29B-0FBE6BE77F02}</author>
    <author>tc={3A9258AF-7BF7-42A3-9FF3-816FF05D4009}</author>
    <author>tc={69D55370-197C-40F8-89E4-4A278B6585C4}</author>
    <author>tc={4BE4462F-AC0D-42CA-A319-A41237EBCE9E}</author>
    <author>tc={33E22653-B41D-463E-BD4E-956CCEA09F52}</author>
    <author>tc={0BE8B6F8-46B8-423B-8C79-194D1FE8A937}</author>
    <author>tc={ADA08DEB-3CBB-4457-A157-759277ECAC04}</author>
    <author>tc={B0AC5325-397C-4454-98CC-31EAE153241E}</author>
    <author>tc={71848F46-061C-4AB4-A47F-4147F3C56A8B}</author>
    <author>tc={CB9F2535-D734-43BD-B028-FD3128BB340B}</author>
    <author>tc={40EA3CCE-D958-44A7-8DE9-9651D93DEAEE}</author>
    <author>tc={9F87B096-2256-4778-8294-1D776D30E66D}</author>
    <author>tc={70C0ABDD-FA35-4643-8ACE-770B93878D33}</author>
    <author>tc={8984160F-9457-47DF-8A0B-CAFD30A9D9CF}</author>
    <author>tc={B75D8D32-B142-46F7-99FE-0D47DF6FCBE4}</author>
    <author>tc={9F7C3D14-1983-4D69-9BE4-E59B9C0A99BD}</author>
    <author>tc={3C1EAE27-A92D-4A77-94AC-4D4781A6C56D}</author>
    <author>tc={AF579D6D-0ED2-4533-A74F-6E6001F39EB6}</author>
    <author>tc={1BD204EE-F271-4A5B-A901-7E57EC764A18}</author>
    <author>tc={E27DCCE0-2BC4-4CE6-8320-90485FE30EB6}</author>
    <author>tc={5DA2F81A-FAF7-4621-B45F-77452E98982E}</author>
    <author>tc={ED26DB35-5B03-4AC6-BF59-EA1B19E189C9}</author>
    <author>tc={D292FF14-04DD-4B25-BA6C-6A877F6F7298}</author>
    <author>tc={DC9BFF9C-5174-479E-BCA6-D074E1638309}</author>
    <author>tc={AA94B21F-3BAA-4010-B51F-BD558FD8335F}</author>
    <author>tc={6F1D865E-02D8-4B96-831B-4675897F748A}</author>
    <author>tc={67E6AA3A-E4B9-4EC7-875A-6C599922AA54}</author>
    <author>tc={05844995-BD44-46C6-BD48-5B743FA5D62F}</author>
    <author>tc={9A12A6FA-F5E1-4652-9E42-0E30283377DC}</author>
    <author>tc={7444D70A-ADC2-4030-B85C-DABE4F6F58B7}</author>
    <author>tc={9988C9DD-122E-48E3-9CA7-2D29C998F793}</author>
    <author>tc={7932FD75-07EC-4833-84A3-C34DE5F356C0}</author>
    <author>tc={C56452B1-2DEC-4BB7-864C-C1F928CFF524}</author>
    <author>tc={5A051F94-A39F-496F-BA88-6A086015EFC4}</author>
    <author>tc={9D37E1A1-3232-45E1-84D9-B76F048CB53B}</author>
    <author>tc={D2B3DDCB-A79A-4827-8FF4-8BD540D9DDB1}</author>
    <author>tc={10B3F0A9-D876-473D-9A27-06A63109FA0C}</author>
    <author>tc={52F26587-57EB-4F17-9DA2-A654CA9F0C30}</author>
    <author>tc={0283CE68-EF36-4C03-ADD4-3A609DB5F19F}</author>
    <author>tc={8541E16B-1AC0-4975-BD34-8B861EDC1C3C}</author>
    <author>tc={F122D27F-30F5-4FE9-AA02-0745DE8BC738}</author>
    <author>tc={17748F79-1762-412E-B839-496C41C7BBA8}</author>
    <author>tc={3BAA3171-E268-4027-879D-C7E548A62273}</author>
    <author>tc={40FD9A22-9AB3-4846-BB38-961E84CD3F62}</author>
    <author>tc={9ABA7D3C-F10A-4117-B8B1-E62D49D659E4}</author>
    <author>tc={BFAE31C8-8EE5-4209-A630-AE764CBAE911}</author>
    <author>tc={395E7226-BEC6-41BB-A732-42B9A3D2C3FF}</author>
    <author>tc={738705E7-F799-4814-808E-2A93CABB56CB}</author>
    <author>tc={3A18909F-8395-478F-8B05-CBDA425425D8}</author>
    <author>tc={260A9DA2-B97E-4FFF-AC50-C5D478EFCBEE}</author>
    <author>tc={EB3C470B-6FBD-47FB-A5E6-7A316D2FE746}</author>
    <author>tc={7846A8F2-CB86-4D9D-A8E0-ED584ED1D2CA}</author>
    <author>tc={7DF83278-598C-4EE8-9E70-A7BB591F5876}</author>
    <author>tc={4DF5F352-1D27-49A0-BE1E-D7130B02B4D2}</author>
    <author>tc={2587FD0E-8A87-4037-950F-D25703EC4EA1}</author>
    <author>tc={97EEF06C-26B3-416F-82C6-93C168694EC5}</author>
    <author>tc={B66306C7-B1CB-41CD-8ACB-5B6967E45DDB}</author>
    <author>tc={40C6DF5D-AB7A-4C36-89E2-72AA4D1682FA}</author>
    <author>tc={011815B6-9FC8-4DF8-88E1-D3EDA2D287A7}</author>
    <author>tc={A27B3DF3-53D7-4301-B8DE-305E0261E0C2}</author>
    <author>tc={E34560BB-0BC8-4373-9147-89CFDA18ACC6}</author>
    <author>tc={CD1AE843-FA1A-4206-BC14-69F17B9C232A}</author>
    <author>tc={29316428-FBD9-40ED-9660-13B8EE8F890F}</author>
    <author>tc={6E7CF3A4-4261-4254-B78A-EC3B830B16A5}</author>
    <author>tc={A2E78BA6-158E-4AF8-B32E-BD51F1927F7F}</author>
    <author>tc={0B0BBDFC-F46F-4495-BEDD-1D9640511A58}</author>
    <author>tc={C48EA340-B7AB-426A-A117-6438E86124A2}</author>
    <author>tc={64C206F4-6D53-4062-8B31-DD4A95AABDF0}</author>
    <author>tc={84C207A3-5BAA-43C7-A8C6-5985A2636F3A}</author>
    <author>tc={C92922DC-1558-4B5B-929D-4E27D6371008}</author>
    <author>tc={E609E700-5F7E-4303-8DD9-4D81DD1F141D}</author>
    <author>tc={EA0901ED-86FF-4C33-9643-D7495C969478}</author>
    <author>tc={4FA48CAE-EE4F-4D55-A65D-97C32ACC2F4A}</author>
    <author>tc={172C5437-D6C6-4622-985D-713B7F300385}</author>
    <author>tc={8A15EB48-A345-4B4E-AEDF-5C4D750A1201}</author>
    <author>tc={6D9186AB-76AE-4291-AD06-2A66E1623F5F}</author>
    <author>tc={3DC03A7C-CC6D-4B71-AF2C-7D4BED737C13}</author>
    <author>tc={58E70895-C569-4169-B340-1B9984A0163B}</author>
    <author>tc={45774EEF-B658-40AF-A8B7-0C85B74AB371}</author>
    <author>tc={66272588-E2C6-430E-844A-B5E8F6CCA305}</author>
    <author>tc={0CA90E8C-CC58-4504-8A7F-EED578EFB150}</author>
    <author>tc={4EE26314-BB22-449F-A913-55B0D3D54CAF}</author>
    <author>tc={11B72A17-B722-4F91-9F41-C7E7F08D82A9}</author>
    <author>tc={7D390976-F107-4679-A9D7-54DC572F47A4}</author>
    <author>tc={2930FB67-5AEE-42F4-92F9-134D53677FF1}</author>
    <author>tc={6C2F3C5A-C006-4567-A236-B913B51767B9}</author>
    <author>tc={909B25C9-00A4-4996-B91D-6472EA791AC4}</author>
    <author>tc={29FD5A1A-0372-4626-9D55-4A966E1F4157}</author>
    <author>tc={0C16FDED-704B-4998-8135-769482915ECE}</author>
    <author>tc={B5291B1D-D728-42C7-825D-7DE45832A877}</author>
    <author>tc={774571B0-8CAD-483F-8E64-ADEF9326B4D9}</author>
    <author>tc={2863F92B-7BC3-428B-A12D-6953B5AA232E}</author>
    <author>tc={78D1EA9C-4C48-4A4F-90F2-F18F7B49153A}</author>
    <author>tc={AC059B67-B641-49C4-AA9D-C891016514CD}</author>
    <author>tc={DEABE74C-8337-466C-823B-9597B54B32D3}</author>
    <author>tc={D3BEFF57-F71C-468B-A40A-930C4CF19736}</author>
    <author>tc={D453A07C-2F07-4DA7-BF72-B44DDFEF9185}</author>
    <author>tc={2474EDC3-1511-4213-8C8F-5CE452D7FDB3}</author>
    <author>tc={D280D327-5E7D-4393-B976-AE09C4F8F79F}</author>
    <author>tc={30DEF8EB-4FB6-4E70-ADF5-8068548A219E}</author>
    <author>tc={6F57F514-3B37-4383-9986-75751F444CEF}</author>
    <author>tc={3D734E79-9575-4E8A-9D11-6E2CF61844CE}</author>
    <author>tc={417743F6-D417-4615-BEC9-50E01E7E5496}</author>
    <author>tc={84307757-9CE2-4F20-B4DC-334B6CED5015}</author>
    <author>tc={9ABD9EF8-FA79-4D99-95C4-71D67B7E2B5D}</author>
    <author>tc={D6E4D22F-387C-47E6-A4E5-F3284DF924F2}</author>
    <author>tc={C3586D1F-541F-4C21-B21A-7FE060C41367}</author>
    <author>tc={C5819EF4-565C-42CA-B848-822BC8DBC5EA}</author>
    <author>tc={7FA34D97-0347-4D92-92E6-8F80DA88B63C}</author>
    <author>tc={B5C83542-266B-481E-B6EB-6DBEC6C8C7C2}</author>
    <author>tc={DE661865-237B-4DCE-8A59-219DFFC5B2D6}</author>
    <author>tc={0706D94F-9B65-4FCF-98B6-CEBC56272145}</author>
    <author>tc={04342684-A2C2-4AF2-9A91-40399DEC29D8}</author>
    <author>tc={96C73115-843D-42C8-B22F-FE2C45BEE303}</author>
    <author>tc={796EDD1B-CE60-4B7D-92F9-97C0BAF29DB3}</author>
    <author>tc={93A3A9FA-F11B-4B3B-8DE1-97AFC98A450B}</author>
    <author>tc={C2D54FF8-F9B5-4011-9479-B628745323FE}</author>
    <author>tc={9690904D-BD4D-4B38-9337-B7130B754325}</author>
    <author>tc={5951EFFA-1979-47F3-A6C2-B292D91E192D}</author>
    <author>tc={B7710BAD-17EE-40FC-B6E3-BF24824AE793}</author>
    <author>tc={06F12972-3381-43A3-862C-3CE6DF2FDB4E}</author>
    <author>tc={0ED82128-4FBD-4926-BBEE-15793756376D}</author>
    <author>tc={A97DEF27-34D5-4CFE-BABE-8580A68561B4}</author>
    <author>tc={FE01D3B5-6D06-453A-8983-233B3C5456F6}</author>
    <author>tc={DD985354-47BE-4933-8C4B-B24593336672}</author>
    <author>tc={8926B517-D411-4ED4-A936-70E5FB8624F0}</author>
    <author>tc={97C99F5A-1695-4F61-A979-D76BB5F75027}</author>
    <author>tc={1D6BDF1A-4961-49C9-9300-C5A8F798F787}</author>
    <author>tc={A4E1B611-0020-4C7E-A97D-2DA97E6F91AA}</author>
    <author>tc={1174DC69-580B-4F46-9820-0778D2B40464}</author>
    <author>tc={5DBCF56D-0D7E-46E9-93A8-FBFD24F74496}</author>
    <author>tc={7034F72A-A7DA-4727-8A41-18EA25B21257}</author>
    <author>tc={D4390769-63C6-4C9B-B35A-AD67DA43BE9A}</author>
    <author>tc={2A2C8D13-2912-40CB-891A-12E17F2E46FD}</author>
    <author>tc={93A3C7F0-5E9A-49A3-8F9E-02AA73D96FE8}</author>
    <author>tc={B5373E4E-E338-49E1-A8D1-47D79A324A1D}</author>
    <author>tc={EFFEED67-6D66-4DA6-9859-EDD4D6DBA583}</author>
    <author>tc={C93F05AC-DF15-4655-819A-6AD9EC840A32}</author>
    <author>tc={610D7D4A-0523-4863-8874-D1FF6AACA5D1}</author>
    <author>tc={2077608E-7911-4DF7-BF3E-FF93F46F1318}</author>
    <author>tc={66F584C5-0E0B-4EDF-8881-77D9F20BC924}</author>
    <author>tc={CFFDC0BF-50FD-4E10-BB14-1F143E4B533C}</author>
    <author>tc={F53C78AB-F664-4909-A162-B83B9EF3832C}</author>
    <author>tc={1D07E76D-FF50-4FD6-8198-33E343B25FCA}</author>
    <author>tc={97D1A8C3-E80B-4C42-83E4-22EB7222CE93}</author>
    <author>tc={7A52100E-41A4-443A-BE52-5E5E03A10081}</author>
    <author>tc={F212B6EB-E5F5-491F-A0E4-69E7F1D351A4}</author>
    <author>tc={4E343B8B-A21E-4CE6-9AB4-6D87751BB3AB}</author>
    <author>tc={C8AAF890-27CA-46EC-899F-C4822A44C37F}</author>
    <author>tc={C32CFB34-AEEE-4F23-AD6B-597E89916165}</author>
    <author>tc={FF9A68FF-DC83-471C-88D5-983FBF1B8C79}</author>
    <author>tc={A7721A67-AA1E-49CB-9589-01E79CB0879F}</author>
    <author>tc={2F084780-3C15-4F43-9917-B5C6B384D81C}</author>
    <author>tc={68935426-E486-4937-8FF3-E9E285FF71FA}</author>
    <author>tc={4C5EAC96-5686-49A8-8CA8-23EB52ED59CF}</author>
    <author>tc={FD8BBBE7-3497-480B-B290-CB99C7EA81FE}</author>
    <author>tc={52B1C086-AEA2-4D44-8746-2E6F5DBD2C5A}</author>
    <author>tc={249C2B67-D925-4B9F-981C-26D912AFC91B}</author>
    <author>tc={550A5CC3-E369-42B5-AB19-5EC4DF5DDAF5}</author>
    <author>tc={E578783D-1204-430B-AB7F-55B1288D6023}</author>
    <author>tc={E4A9BD98-FC20-4516-8D42-D2F5578DC633}</author>
    <author>tc={58AF9EF6-1A68-4EE5-A679-D182F017B8D3}</author>
    <author>tc={62105332-F00C-4964-BE2F-DBA5AFD53F9E}</author>
    <author>tc={98D02A8F-C1A0-4F88-AE19-DD9BFFF4B215}</author>
    <author>tc={79147360-7029-4157-9FEE-5E2761E5992A}</author>
    <author>tc={0F0D2DBC-9D74-4AFC-BE01-D87D86781689}</author>
    <author>tc={95D7CD33-D0E4-4EB9-82AF-557C5D654037}</author>
    <author>tc={8476503F-245F-4380-880C-112D6EF268EB}</author>
    <author>tc={1AA1A1AB-FA96-4F1E-B978-4AE7944C2E1C}</author>
    <author>tc={47A68DB3-9491-4F5D-8FB6-7513EC9AC1BB}</author>
    <author>tc={8812C28D-C80A-4039-B89F-5B8DBC3FE406}</author>
    <author>tc={4BCB9190-5868-4069-8D75-0FD8C9A1E10A}</author>
    <author>tc={6017DCBC-F2CF-40D1-9D57-C58B7FEC9137}</author>
    <author>tc={75590930-AB71-4540-A162-0D6E4DEEED3F}</author>
    <author>tc={A5B8E07F-5301-4291-BD90-DA7547A2E198}</author>
    <author>tc={739633F6-ABEE-4C4E-BFCD-5AEBF49ABA1B}</author>
    <author>tc={A22C51D1-E0E8-4B27-8471-020A91C4C0A2}</author>
    <author>tc={A80E3F31-5B62-4E34-BCF7-CA96961BF970}</author>
    <author>tc={4F782E1B-AB07-46B4-A618-BA5942C36F76}</author>
    <author>tc={B882A836-2341-4513-9C34-50F645225517}</author>
    <author>tc={B5852B3B-8122-4DAF-A999-E4ED0FAB6DD4}</author>
    <author>tc={28C12AA9-E274-4A80-88AE-5C133145B0C5}</author>
    <author>tc={884438DA-A8A4-49FC-8371-22D5BFB6937B}</author>
    <author>tc={7EC840EA-089D-4086-A6C2-AF28CC0D126B}</author>
    <author>tc={7E62E140-818D-4CE6-8257-37C0FAF8CFC6}</author>
    <author>tc={E9C88012-908C-4E49-93D2-F63F1F26EF35}</author>
    <author>tc={E3002AB0-60E0-4460-92F4-26EB64E674B5}</author>
    <author>tc={11D6C7EA-72EC-47D2-9CCB-D74D40D29864}</author>
    <author>tc={F7F22AF9-B965-4EA6-9086-5A7B7F73D8F3}</author>
    <author>tc={8234C466-517A-42DC-832F-4BDF3BED88F6}</author>
    <author>tc={957F6C4B-720E-4362-AA23-6EB6360096A8}</author>
    <author>tc={DF20EF4E-3C42-470C-8C8D-D3C1DC0F76EA}</author>
    <author>tc={67652A80-740A-4914-BB06-9F834BEDA7ED}</author>
    <author>tc={73A8124C-E03B-45A5-8DD4-8AF48609ADF8}</author>
    <author>tc={989C4A7C-18C6-4601-9071-B867698BDBD2}</author>
    <author>tc={F0DD5CED-380B-41B9-A239-1889C6EC570D}</author>
    <author>tc={B0991CE7-9078-46A6-989A-0F6A5CDCF61A}</author>
    <author>tc={6BFFB431-A9A4-4525-9CC8-B3F49EFE6593}</author>
    <author>tc={4AC72B9F-4CC9-4BF1-8AA3-0B5D527E9C4F}</author>
    <author>tc={B92D7382-CF26-46DC-8D79-8151C2798076}</author>
    <author>tc={19091507-F7F7-49FC-BD52-E976D0EDFAB9}</author>
    <author>tc={238B1F28-CC0F-42FA-944E-3FD874E9685F}</author>
    <author>tc={8A2EC2A8-4B6B-496A-AC65-B705597EDFB9}</author>
    <author>tc={F5CA3224-189E-4EAA-846D-F482CFCD7C6D}</author>
    <author>tc={3260B4DB-AD7F-477D-8093-35D792103F79}</author>
    <author>tc={CF07E5E1-DA23-48DB-A2BD-77E142F5F99C}</author>
    <author>tc={4B2073B4-F027-4220-8732-B2438EDE01F4}</author>
    <author>tc={F0BAF5F8-F45C-4537-A0B3-E675652E4070}</author>
    <author>tc={64DE5A8D-17F7-4DAF-8A8D-0AFFBE42E234}</author>
    <author>tc={8A488855-AA0C-46D8-A2E1-C4CF9C80A1DF}</author>
    <author>tc={20822FE3-43D9-4552-B852-C1699D98BE75}</author>
    <author>tc={C7E85A17-3349-41EB-AACB-624CCF983D79}</author>
    <author>tc={714F518F-80D9-40D8-9A17-189271276C2C}</author>
    <author>tc={533048D6-C8EF-4DFC-AE30-731A9EDA7CF0}</author>
    <author>tc={0BD3BCFA-0C31-436D-B25B-D2C3B7F01C73}</author>
    <author>tc={C49793DA-3BD3-4292-9261-C3F5F8277B97}</author>
    <author>tc={25D6037A-CACF-4F48-80FC-67916185FCA0}</author>
    <author>tc={23AB4D95-328C-4D1F-89A0-6D102572A46D}</author>
    <author>tc={13EBC02A-A3AE-4BCD-81AF-613C2DE9B95C}</author>
    <author>tc={C264FC6E-0B5E-4236-9EBE-891D3038198E}</author>
    <author>tc={03C11490-F260-44F9-811E-5C6CD08E514C}</author>
    <author>tc={F3B9C5C7-2DA3-4BA5-9685-D46385111AF8}</author>
    <author>tc={A1BC9262-AFCA-4728-86D8-C6CF34D28630}</author>
    <author>tc={016F78BE-4960-4EB8-A6BD-833833A0CDBA}</author>
    <author>tc={EB90F8CC-DEC4-45D0-9833-AE7231BE7D84}</author>
    <author>tc={C99D11EE-A4A3-4174-A457-6CC81097E6D3}</author>
    <author>tc={663965BA-EC8B-4A54-8EFA-5D245626395D}</author>
    <author>tc={807CA722-C2F2-4257-8FF3-AFF6F454F252}</author>
    <author>tc={9863245E-7DF0-4EF8-82A7-35872FEA67AD}</author>
    <author>tc={E28E6CEA-541A-4B53-B2C9-C745569E8E85}</author>
    <author>tc={64D9F8CD-54AA-4641-A00E-299756116766}</author>
    <author>tc={56CB2313-D30B-411F-BBF3-FE8FCF96FFFF}</author>
    <author>tc={F1FF9C98-8F94-4EAD-8327-F3999B598819}</author>
    <author>tc={B782F747-6D91-4260-966D-B081551DF8AD}</author>
    <author>tc={E2000BFD-3ABE-4D5C-B5CE-96DD743CE740}</author>
    <author>tc={BB53D60A-AE65-46DA-963D-4663965D835D}</author>
    <author>tc={8CF2EE7B-D991-4E78-BC0D-DFC659B8F9F6}</author>
    <author>tc={8EAB5EE2-63B1-4239-BE57-3EEDD6D9E706}</author>
    <author>tc={17B83498-06B8-40B3-A4D5-2D3790FB4937}</author>
    <author>tc={F3FE2EDC-55B2-45B5-A0C1-657FEAC17A72}</author>
    <author>tc={BDF254A3-CDAC-4844-8004-9A1F7CB942EB}</author>
    <author>tc={6D5B49B3-6349-42A2-AAE2-825E004017D7}</author>
    <author>tc={068AB9C3-7F8D-451F-B49E-2B5993966531}</author>
    <author>tc={1974C516-3053-4727-BDAE-6D1734268445}</author>
    <author>tc={EEEB1934-F6FD-4A76-997D-1F414B1B797B}</author>
    <author>tc={29AB5B91-A2EF-457E-83A0-955AA42598AE}</author>
    <author>tc={CF647D1D-5B2B-4B2D-A482-05ECD163B2DD}</author>
    <author>tc={535AF516-9612-4775-B656-40F84B1C3B3D}</author>
    <author>tc={2749A25E-7ECB-4EE6-B413-76744AD90620}</author>
    <author>tc={C8B42475-5054-46F8-BFFC-BB885E49C1A4}</author>
    <author>tc={AAAAE4BF-06E3-4DAD-8F78-CDD8D5EE3F72}</author>
    <author>tc={002E3861-E0F1-4AE5-AA4B-F735BC7BC8F1}</author>
    <author>tc={36643E97-1D97-416E-A6E3-DF44CBC9A854}</author>
    <author>tc={ED88BA74-C433-45F9-B436-A029976635FE}</author>
    <author>tc={BDE7145A-4025-4D96-B4C4-C4EC410DC7E0}</author>
    <author>tc={D9723855-9BE4-46B1-B86B-A3676E7F05C1}</author>
    <author>tc={9943F66A-6151-4CA3-A5CA-4CA1E1F4C415}</author>
    <author>tc={7822F51B-57E1-4AE1-8BFA-6BD488C7C221}</author>
    <author>tc={74B151F1-F7FC-4977-9A0E-B203A5E96C02}</author>
    <author>tc={1EC3911C-41CC-4407-B3B3-9C0D1FA040EB}</author>
    <author>tc={FEF09872-36A0-4C08-B49B-9A38E5153991}</author>
    <author>tc={7CF97B26-F888-473C-8C5F-26BB15D58019}</author>
    <author>tc={9AB155C8-8F51-4D87-A3B0-D938DC4DAFD5}</author>
    <author>tc={4EA9BA31-381F-47F7-B343-369C68BCC694}</author>
    <author>tc={356BA46F-14C2-4014-855E-367EA1D38046}</author>
    <author>tc={9C104A47-BB5D-40D7-B5E9-BE2676E492D8}</author>
    <author>tc={B98508A8-1FF2-45DA-9D78-01BE754DE955}</author>
    <author>tc={A7D8039E-F22F-4920-B5D1-916E18D10992}</author>
    <author>tc={3579A50D-EB4C-4D7C-A71B-5010BC065E7A}</author>
    <author>tc={F94FB17F-ED09-4D52-9964-4613A3111125}</author>
    <author>tc={51BB8453-718A-463B-BAB9-EED2598AAEE2}</author>
    <author>tc={8EAD1409-52E5-420F-B5BF-C48CFCC4E359}</author>
    <author>tc={8F108E8D-96CC-4AB8-8667-DDDBCA715173}</author>
    <author>tc={0DB8FAE6-A1B0-43C9-8842-9B33E8581CED}</author>
    <author>tc={77F6A637-A08E-4C11-B139-A4201BBA4531}</author>
    <author>tc={35C847F7-A40C-4853-9CFF-D726ADDC268B}</author>
    <author>tc={E48E784C-D1F1-4F11-ABF1-8C2429D41194}</author>
    <author>tc={768BDADF-5014-40F2-8F5D-81C05B911FD7}</author>
    <author>tc={0262668D-B88D-4BCD-9F6B-ED1ACC547F20}</author>
    <author>tc={579DB2BF-EF8C-4DC0-83A9-2EFA1DDB916E}</author>
    <author>tc={34288789-9F51-40CA-A900-9A9E188C76DF}</author>
    <author>tc={27AE5B63-1393-4CC1-9CF5-04A911C13460}</author>
    <author>tc={B7EE0484-16E2-4E12-8EFC-791153A8004F}</author>
    <author>tc={0D97D38D-1640-45CE-814D-24B3A01E28FA}</author>
    <author>tc={6DA1AD3E-FB16-4A10-8EBB-918081E2F337}</author>
    <author>tc={18BBE423-16F1-4332-80A5-F516491254D9}</author>
    <author>tc={C008A95A-0DBE-4DF9-8BFA-127E0FED791D}</author>
    <author>tc={66F1CD3B-7486-4559-84AE-FA48EF4A9106}</author>
    <author>tc={13D15CE1-4400-45B0-B48F-A0C3E7298AAF}</author>
    <author>tc={50C8C737-3C48-44F2-A2E3-87AB28A42F7E}</author>
  </authors>
  <commentList>
    <comment ref="D1" authorId="0" shapeId="0" xr:uid="{57C6B605-428E-4D3D-BE67-EF92B0363A9E}">
      <text>
        <t>[Threaded comment]
Your version of Excel allows you to read this threaded comment; however, any edits to it will get removed if the file is opened in a newer version of Excel. Learn more: https://go.microsoft.com/fwlink/?linkid=870924
Comment:
    Short summary of the indicator, not the results, e.g. 'All-cause mortality; follow-up until 31/12/2000; per 1,000 PY, screening vs. control'</t>
      </text>
    </comment>
    <comment ref="G1" authorId="1" shapeId="0" xr:uid="{B37AD1D5-DFF6-4944-A986-10BAE97436A9}">
      <text>
        <t>[Threaded comment]
Your version of Excel allows you to read this threaded comment; however, any edits to it will get removed if the file is opened in a newer version of Excel. Learn more: https://go.microsoft.com/fwlink/?linkid=870924
Comment:
    Rate 'Not applicable' if the comparator was 'No screening' or 'Usual care'.</t>
      </text>
    </comment>
    <comment ref="H1" authorId="2" shapeId="0" xr:uid="{B4651FC3-5C56-4F61-B938-D8C49B771160}">
      <text>
        <t>[Threaded comment]
Your version of Excel allows you to read this threaded comment; however, any edits to it will get removed if the file is opened in a newer version of Excel. Learn more: https://go.microsoft.com/fwlink/?linkid=870924
Comment:
    Rate as 'Not applicable' of the comparator was another screening test and/or interval.</t>
      </text>
    </comment>
    <comment ref="I1" authorId="3" shapeId="0" xr:uid="{8D498E7A-59C5-4E1A-B15E-32A64AA46E11}">
      <text>
        <t>[Threaded comment]
Your version of Excel allows you to read this threaded comment; however, any edits to it will get removed if the file is opened in a newer version of Excel. Learn more: https://go.microsoft.com/fwlink/?linkid=870924
Comment:
    Answer for the timepoint that you are extracting in that row.</t>
      </text>
    </comment>
    <comment ref="N1" authorId="4" shapeId="0" xr:uid="{4E173CAC-7F9C-42A3-9056-B312D47375B9}">
      <text>
        <t>[Threaded comment]
Your version of Excel allows you to read this threaded comment; however, any edits to it will get removed if the file is opened in a newer version of Excel. Learn more: https://go.microsoft.com/fwlink/?linkid=870924
Comment:
    Free text field to give more details for column M.</t>
      </text>
    </comment>
    <comment ref="P1" authorId="5" shapeId="0" xr:uid="{6A32973F-58A5-41EC-BA4E-7E9637C92F6B}">
      <text>
        <t>[Threaded comment]
Your version of Excel allows you to read this threaded comment; however, any edits to it will get removed if the file is opened in a newer version of Excel. Learn more: https://go.microsoft.com/fwlink/?linkid=870924
Comment:
    Date or 'NR'.</t>
      </text>
    </comment>
    <comment ref="R1" authorId="6" shapeId="0" xr:uid="{E4220D52-7775-4099-AD90-DC5D7F3F2697}">
      <text>
        <t>[Threaded comment]
Your version of Excel allows you to read this threaded comment; however, any edits to it will get removed if the file is opened in a newer version of Excel. Learn more: https://go.microsoft.com/fwlink/?linkid=870924
Comment:
    E.g. reported mean (SD) or median (IQR, range).</t>
      </text>
    </comment>
    <comment ref="S1" authorId="7" shapeId="0" xr:uid="{B37153C5-29AB-4DD3-B69F-DC2E10F16145}">
      <text>
        <t>[Threaded comment]
Your version of Excel allows you to read this threaded comment; however, any edits to it will get removed if the file is opened in a newer version of Excel. Learn more: https://go.microsoft.com/fwlink/?linkid=870924
Comment:
    E.g. reported mean (SD) or median (IQR, range).</t>
      </text>
    </comment>
    <comment ref="T1" authorId="8" shapeId="0" xr:uid="{91EA7984-93A1-41C8-82F9-EB8B54F0C5B7}">
      <text>
        <t>[Threaded comment]
Your version of Excel allows you to read this threaded comment; however, any edits to it will get removed if the file is opened in a newer version of Excel. Learn more: https://go.microsoft.com/fwlink/?linkid=870924
Comment:
    Number of rounds within the trial after which the analysis was done.</t>
      </text>
    </comment>
    <comment ref="AG1" authorId="9" shapeId="0" xr:uid="{57E1495E-7885-4FA2-AEC7-D9533880A4E5}">
      <text>
        <t>[Threaded comment]
Your version of Excel allows you to read this threaded comment; however, any edits to it will get removed if the file is opened in a newer version of Excel. Learn more: https://go.microsoft.com/fwlink/?linkid=870924
Comment:
    If both, person years and n randomised, are reported, please extract both, but use separate rows.</t>
      </text>
    </comment>
    <comment ref="AH1" authorId="10" shapeId="0" xr:uid="{7D7D06FC-A050-490D-BFEB-FE48DBD0B0EF}">
      <text>
        <t>[Threaded comment]
Your version of Excel allows you to read this threaded comment; however, any edits to it will get removed if the file is opened in a newer version of Excel. Learn more: https://go.microsoft.com/fwlink/?linkid=870924
Comment:
    If both, person years and n randomised, are reported, please extract both, but use separate rows.</t>
      </text>
    </comment>
    <comment ref="AI1" authorId="11" shapeId="0" xr:uid="{6EE7E725-71A2-471A-AC55-776521D4AFAE}">
      <text>
        <t>[Threaded comment]
Your version of Excel allows you to read this threaded comment; however, any edits to it will get removed if the file is opened in a newer version of Excel. Learn more: https://go.microsoft.com/fwlink/?linkid=870924
Comment:
    Unit for rate reported in column AJ and AN and/or calculated in columns AK and AO.</t>
      </text>
    </comment>
    <comment ref="AJ1" authorId="12" shapeId="0" xr:uid="{5890B278-581B-4BFD-971D-E731EC957A54}">
      <text>
        <t>[Threaded comment]
Your version of Excel allows you to read this threaded comment; however, any edits to it will get removed if the file is opened in a newer version of Excel. Learn more: https://go.microsoft.com/fwlink/?linkid=870924
Comment:
    Extract rate as reported in paper or fill as 'NR'.</t>
      </text>
    </comment>
    <comment ref="AK1" authorId="13" shapeId="0" xr:uid="{1DBC96E8-F902-4025-B0A4-9BB48E65FE4E}">
      <text>
        <t>[Threaded comment]
Your version of Excel allows you to read this threaded comment; however, any edits to it will get removed if the file is opened in a newer version of Excel. Learn more: https://go.microsoft.com/fwlink/?linkid=870924
Comment:
    Calculate rate yourself in Excel (e.g. =AE*1000/AG) to check reported rate or to obtain rate if not reported in paper.</t>
      </text>
    </comment>
    <comment ref="AL1" authorId="14" shapeId="0" xr:uid="{58AF02A2-D991-40A2-A6AF-0B06C6849C0F}">
      <text>
        <t>[Threaded comment]
Your version of Excel allows you to read this threaded comment; however, any edits to it will get removed if the file is opened in a newer version of Excel. Learn more: https://go.microsoft.com/fwlink/?linkid=870924
Comment:
    Extract the reported lower 95% confidence interval for the rate.</t>
      </text>
    </comment>
    <comment ref="AM1" authorId="15" shapeId="0" xr:uid="{89760E72-A1E0-4EDB-9909-522C55431CBE}">
      <text>
        <t>[Threaded comment]
Your version of Excel allows you to read this threaded comment; however, any edits to it will get removed if the file is opened in a newer version of Excel. Learn more: https://go.microsoft.com/fwlink/?linkid=870924
Comment:
    Extract the reported upper 95% confidence interval for the rate.</t>
      </text>
    </comment>
    <comment ref="AN1" authorId="16" shapeId="0" xr:uid="{BAE939FB-D0EB-493A-868E-772293C59296}">
      <text>
        <t>[Threaded comment]
Your version of Excel allows you to read this threaded comment; however, any edits to it will get removed if the file is opened in a newer version of Excel. Learn more: https://go.microsoft.com/fwlink/?linkid=870924
Comment:
    Extracted rate as reported in paper, or fill as 'NR'.</t>
      </text>
    </comment>
    <comment ref="AO1" authorId="17" shapeId="0" xr:uid="{86F42810-C267-4A23-8613-C2F7F7FFD9EE}">
      <text>
        <t>[Threaded comment]
Your version of Excel allows you to read this threaded comment; however, any edits to it will get removed if the file is opened in a newer version of Excel. Learn more: https://go.microsoft.com/fwlink/?linkid=870924
Comment:
    Calculate rate yourself in Excel (e.g. =AF*1000/AH) to check reported rate or to obtain rate if not reported in paper.</t>
      </text>
    </comment>
    <comment ref="AP1" authorId="18" shapeId="0" xr:uid="{5D8495AD-D808-4181-B7E5-C0E0C242352F}">
      <text>
        <t>[Threaded comment]
Your version of Excel allows you to read this threaded comment; however, any edits to it will get removed if the file is opened in a newer version of Excel. Learn more: https://go.microsoft.com/fwlink/?linkid=870924
Comment:
    Extract the reported lower 95% confidence interval for the rate.</t>
      </text>
    </comment>
    <comment ref="AQ1" authorId="19" shapeId="0" xr:uid="{B7805E4D-6B21-4FB3-9526-EB626D6FCA2B}">
      <text>
        <t>[Threaded comment]
Your version of Excel allows you to read this threaded comment; however, any edits to it will get removed if the file is opened in a newer version of Excel. Learn more: https://go.microsoft.com/fwlink/?linkid=870924
Comment:
    Extract the reported upper 95% confidence interval for the rate.</t>
      </text>
    </comment>
    <comment ref="AR1" authorId="20" shapeId="0" xr:uid="{6E3D6FA5-6FCF-47B2-BC3D-6B1D80C2EB39}">
      <text>
        <t>[Threaded comment]
Your version of Excel allows you to read this threaded comment; however, any edits to it will get removed if the file is opened in a newer version of Excel. Learn more: https://go.microsoft.com/fwlink/?linkid=870924
Comment:
    RR = Risk ratio. OR = Odds ratio. HR = Hazard ratio.</t>
      </text>
    </comment>
    <comment ref="AS1" authorId="21" shapeId="0" xr:uid="{F93D2216-34C8-4775-814C-81894724FBB3}">
      <text>
        <t>[Threaded comment]
Your version of Excel allows you to read this threaded comment; however, any edits to it will get removed if the file is opened in a newer version of Excel. Learn more: https://go.microsoft.com/fwlink/?linkid=870924
Comment:
    For the chosen indicator in column AR (e.g. RR), extract the reported, unadjusted value from the paper.</t>
      </text>
    </comment>
    <comment ref="AT1" authorId="22" shapeId="0" xr:uid="{967070F2-D983-49BC-8D5C-9A38D151FC10}">
      <text>
        <t>[Threaded comment]
Your version of Excel allows you to read this threaded comment; however, any edits to it will get removed if the file is opened in a newer version of Excel. Learn more: https://go.microsoft.com/fwlink/?linkid=870924
Comment:
    Calculate RR or OR yourself in Excel, e.g. =AK/AO. No need to calculate HR.</t>
      </text>
    </comment>
    <comment ref="AU1" authorId="23" shapeId="0" xr:uid="{9D25C7A8-AE9F-4DC5-BB01-FE0FED6ADEF1}">
      <text>
        <t>[Threaded comment]
Your version of Excel allows you to read this threaded comment; however, any edits to it will get removed if the file is opened in a newer version of Excel. Learn more: https://go.microsoft.com/fwlink/?linkid=870924
Comment:
    Extract the lower 95% confidence interval for AS from the paper.</t>
      </text>
    </comment>
    <comment ref="AV1" authorId="24" shapeId="0" xr:uid="{FBB3A1ED-160C-4D3A-B0C6-E086FFC158C5}">
      <text>
        <t>[Threaded comment]
Your version of Excel allows you to read this threaded comment; however, any edits to it will get removed if the file is opened in a newer version of Excel. Learn more: https://go.microsoft.com/fwlink/?linkid=870924
Comment:
    Extract the upper 95% confidence interval for AS from the paper.</t>
      </text>
    </comment>
    <comment ref="AW1" authorId="25" shapeId="0" xr:uid="{AD7F9E5A-A21E-4527-B842-F6061CDA3E90}">
      <text>
        <t>[Threaded comment]
Your version of Excel allows you to read this threaded comment; however, any edits to it will get removed if the file is opened in a newer version of Excel. Learn more: https://go.microsoft.com/fwlink/?linkid=870924
Comment:
    Extract the reported p value for the comparison in this row, or use 'NR'.</t>
      </text>
    </comment>
    <comment ref="AX1" authorId="26" shapeId="0" xr:uid="{7E5D62B2-BB20-45F3-9F78-A9CB4CB0522B}">
      <text>
        <t>[Threaded comment]
Your version of Excel allows you to read this threaded comment; however, any edits to it will get removed if the file is opened in a newer version of Excel. Learn more: https://go.microsoft.com/fwlink/?linkid=870924
Comment:
    Which variable(s) have been adjusted for? Methods?</t>
      </text>
    </comment>
    <comment ref="D107" authorId="27" shapeId="0" xr:uid="{384CE717-257A-4363-8B4D-70032B3B0CB7}">
      <text>
        <t xml:space="preserve">[Threaded comment]
Your version of Excel allows you to read this threaded comment; however, any edits to it will get removed if the file is opened in a newer version of Excel. Learn more: https://go.microsoft.com/fwlink/?linkid=870924
Comment:
    I have extracted the secondary analysis (Cox hazard ratio) not the primary analysis (Versatile test) from Table 3 so that it is comparable to the results reported by Jacobs 2016.
Reply:
    There's no reported versatile test HR at all, isn't there?
Reply:
    No, they only report this "Maximum χ² "; Not sure what this is???
</t>
      </text>
    </comment>
    <comment ref="D108" authorId="28" shapeId="0" xr:uid="{991F7833-B16D-484F-B60A-212FDC3B63CA}">
      <text>
        <t>[Threaded comment]
Your version of Excel allows you to read this threaded comment; however, any edits to it will get removed if the file is opened in a newer version of Excel. Learn more: https://go.microsoft.com/fwlink/?linkid=870924
Comment:
    I have extracted the secondary analysis (Cox hazard ratio) not the primary analysis (Versatile test) from Table 3 so that it is comparable to the results reported by Jacobs 2016.</t>
      </text>
    </comment>
    <comment ref="AG108" authorId="29" shapeId="0" xr:uid="{4B0FB14F-ED74-4910-8B01-2FFAE91A6E77}">
      <text>
        <t>[Threaded comment]
Your version of Excel allows you to read this threaded comment; however, any edits to it will get removed if the file is opened in a newer version of Excel. Learn more: https://go.microsoft.com/fwlink/?linkid=870924
Comment:
    50,622?
Reply:
    Corrected.</t>
      </text>
    </comment>
    <comment ref="P153" authorId="30" shapeId="0" xr:uid="{3B5191A6-6CE3-4F42-842F-E4689542F1A2}">
      <text>
        <t xml:space="preserve">[Threaded comment]
Your version of Excel allows you to read this threaded comment; however, any edits to it will get removed if the file is opened in a newer version of Excel. Learn more: https://go.microsoft.com/fwlink/?linkid=870924
Comment:
    Why do we have NA for &lt;7y?
Reply:
    I thought that we distinguish between follow-up until a certain analysis date (column P, everyone followed up until death, censoring or the analysis date) and follow-up for a certain period after randomisation (column Q, follow-up until death or until a certain follow-up time is reached). Participants were enrolled from November 1993 - July 2001. Does this not mean that on 31/12/2009, everyone had at least 8 years of follow-up? So, for follow-up times of 8 (or more) years after randomisation, the follow-up time stops at 8 (or more) years or 31/12/2009 (for people that were enrolled later and who have not yet reached the follow-up time). For follow-up times of less than 8 years, the follow-up time never goes until 31/12/2009 but stops once a participant has reached the follow-up time reported in that row. </t>
      </text>
    </comment>
    <comment ref="AH189" authorId="31" shapeId="0" xr:uid="{0EFD548F-438E-4647-B0D4-5D0F8E330E8D}">
      <text>
        <t xml:space="preserve">[Threaded comment]
Your version of Excel allows you to read this threaded comment; however, any edits to it will get removed if the file is opened in a newer version of Excel. Learn more: https://go.microsoft.com/fwlink/?linkid=870924
Comment:
    Not sure how accurate this is? Should we not just say 'NR'? Or do you need it?
Could also use 'Number randomised by arm' as denominator in a separate row?
</t>
      </text>
    </comment>
    <comment ref="AG190" authorId="32" shapeId="0" xr:uid="{4217D654-E855-4FA0-981A-C20975002ECF}">
      <text>
        <t xml:space="preserve">[Threaded comment]
Your version of Excel allows you to read this threaded comment; however, any edits to it will get removed if the file is opened in a newer version of Excel. Learn more: https://go.microsoft.com/fwlink/?linkid=870924
Comment:
    Not sure how accurate this is? Should we not just say 'NR'? Or do you need it?
Could also use 'Number randomised by arm' as denominator in a separate row?
</t>
      </text>
    </comment>
    <comment ref="AH191" authorId="33" shapeId="0" xr:uid="{6C97E7CD-593D-496C-979A-FB58BEAA1D0C}">
      <text>
        <t xml:space="preserve">[Threaded comment]
Your version of Excel allows you to read this threaded comment; however, any edits to it will get removed if the file is opened in a newer version of Excel. Learn more: https://go.microsoft.com/fwlink/?linkid=870924
Comment:
    Not sure how accurate this is? Should we not just say 'NR'? Or do you need it?
Could also use 'Number randomised by arm' as denominator in a separate row?
</t>
      </text>
    </comment>
    <comment ref="D194" authorId="34" shapeId="0" xr:uid="{23D06529-5DE1-4804-B541-107B165D3AB5}">
      <text>
        <t>[Threaded comment]
Your version of Excel allows you to read this threaded comment; however, any edits to it will get removed if the file is opened in a newer version of Excel. Learn more: https://go.microsoft.com/fwlink/?linkid=870924
Comment:
    I don't think we are interested in subgroups other than 'centre', 'sex' or 'age group'. I have therefore added people with and without comorbidities together. Still not sure this paper should be included at all.
Reply:
    Matejka's reply was: "We agreed at one of the group meetings that we will not extract data for groups other than sex, age, and centre. But I’m not sure whether this means that the Crawford paper could not be used, if this is the only paper providing data at 10 years post-randomisation. If you sum up those with no or minimal comorbidities and those with comorbidities by arm, could you get useful data? These data seem to be available in Table 3. BUT if you have another publication that is directly looking at mortality at 10 years, then I’d exclude Crawford for duplication." 
Reply:
    We have data for 10-year mortality reported by Andriole 2012 and Pinsky 2017. But that paper also reports surrogate data up to 31/08/2009, an analysis date that is not covered by other publications. So we might want to leave it in...</t>
      </text>
    </comment>
    <comment ref="A195" authorId="35" shapeId="0" xr:uid="{8A6484D1-A5F0-426E-87A8-06914D8E0A10}">
      <text>
        <t>[Threaded comment]
Your version of Excel allows you to read this threaded comment; however, any edits to it will get removed if the file is opened in a newer version of Excel. Learn more: https://go.microsoft.com/fwlink/?linkid=870924
Comment:
    #1053 reports unadjusted rates. I have added them to this row.</t>
      </text>
    </comment>
    <comment ref="AH195" authorId="36" shapeId="0" xr:uid="{E1360977-AC92-434E-A2BB-6C7608DD77A9}">
      <text>
        <t xml:space="preserve">[Threaded comment]
Your version of Excel allows you to read this threaded comment; however, any edits to it will get removed if the file is opened in a newer version of Excel. Learn more: https://go.microsoft.com/fwlink/?linkid=870924
Comment:
    Not sure how accurate this is? Should we not just say 'NR'? Or do you need it?
Could also use 'Number randomised by arm' as denominator in a separate row?
</t>
      </text>
    </comment>
    <comment ref="AH196" authorId="37" shapeId="0" xr:uid="{895AADCF-2D8E-4834-9CF6-1D28F412A159}">
      <text>
        <t>[Threaded comment]
Your version of Excel allows you to read this threaded comment; however, any edits to it will get removed if the file is opened in a newer version of Excel. Learn more: https://go.microsoft.com/fwlink/?linkid=870924
Comment:
    Not sure how accurate this is? Should we not just say 'NR'? Or do you need it?
Could also use 'Number randomised by arm' as denominator in a separate row?</t>
      </text>
    </comment>
    <comment ref="AV207" authorId="38" shapeId="0" xr:uid="{17FC2F42-A530-45E8-9D4E-4D58A8368239}">
      <text>
        <t>[Threaded comment]
Your version of Excel allows you to read this threaded comment; however, any edits to it will get removed if the file is opened in a newer version of Excel. Learn more: https://go.microsoft.com/fwlink/?linkid=870924
Comment:
    Likely a typo in the paper and meant 1.5 instead?
Reply:
    Agree to use 1.5.</t>
      </text>
    </comment>
    <comment ref="AD214" authorId="39" shapeId="0" xr:uid="{5B30A5CB-1CA0-41C8-850C-F568568A5945}">
      <text>
        <t>[Threaded comment]
Your version of Excel allows you to read this threaded comment; however, any edits to it will get removed if the file is opened in a newer version of Excel. Learn more: https://go.microsoft.com/fwlink/?linkid=870924
Comment:
    Or should it be number of people randomised?
Reply:
    Those included in the ITT analyses, just under 2000 in each group (excluded were those who were ineligible either because of missing consent or had a censoring event before providing consent)</t>
      </text>
    </comment>
    <comment ref="AD215" authorId="40" shapeId="0" xr:uid="{3684C62B-0ABE-4A93-A95B-085CE01239C5}">
      <text>
        <t>[Threaded comment]
Your version of Excel allows you to read this threaded comment; however, any edits to it will get removed if the file is opened in a newer version of Excel. Learn more: https://go.microsoft.com/fwlink/?linkid=870924
Comment:
    Or should it be number of people randomised?
Reply:
    As above</t>
      </text>
    </comment>
    <comment ref="AD216" authorId="41" shapeId="0" xr:uid="{FA989B5E-32A8-4C74-90E8-186820A7C96C}">
      <text>
        <t>[Threaded comment]
Your version of Excel allows you to read this threaded comment; however, any edits to it will get removed if the file is opened in a newer version of Excel. Learn more: https://go.microsoft.com/fwlink/?linkid=870924
Comment:
    Or should it be number of people randomised?
Reply:
    As above</t>
      </text>
    </comment>
    <comment ref="AD217" authorId="42" shapeId="0" xr:uid="{21781BBB-663A-4D90-AFB2-2452F56FC1B2}">
      <text>
        <t>[Threaded comment]
Your version of Excel allows you to read this threaded comment; however, any edits to it will get removed if the file is opened in a newer version of Excel. Learn more: https://go.microsoft.com/fwlink/?linkid=870924
Comment:
    Or should it be number of people randomised?
Reply:
    As above</t>
      </text>
    </comment>
    <comment ref="AD218" authorId="43" shapeId="0" xr:uid="{473319DF-4FD9-4243-B6CF-73F4B185C84A}">
      <text>
        <t>[Threaded comment]
Your version of Excel allows you to read this threaded comment; however, any edits to it will get removed if the file is opened in a newer version of Excel. Learn more: https://go.microsoft.com/fwlink/?linkid=870924
Comment:
    Or should it be number of people randomised?
Reply:
    As above</t>
      </text>
    </comment>
    <comment ref="AD219" authorId="44" shapeId="0" xr:uid="{795C2C50-15E8-4124-857A-CFA97C444DD1}">
      <text>
        <t>[Threaded comment]
Your version of Excel allows you to read this threaded comment; however, any edits to it will get removed if the file is opened in a newer version of Excel. Learn more: https://go.microsoft.com/fwlink/?linkid=870924
Comment:
    Or should it be number of people randomised?
Reply:
    As above</t>
      </text>
    </comment>
    <comment ref="AD220" authorId="45" shapeId="0" xr:uid="{0CCC2F73-81E1-47EE-9D5D-3A6E9D1E8982}">
      <text>
        <t>[Threaded comment]
Your version of Excel allows you to read this threaded comment; however, any edits to it will get removed if the file is opened in a newer version of Excel. Learn more: https://go.microsoft.com/fwlink/?linkid=870924
Comment:
    Or should it be number of people randomised?
Reply:
    As above</t>
      </text>
    </comment>
    <comment ref="AD221" authorId="46" shapeId="0" xr:uid="{CA399B10-586A-440A-96E1-B11A97CBAEED}">
      <text>
        <t>[Threaded comment]
Your version of Excel allows you to read this threaded comment; however, any edits to it will get removed if the file is opened in a newer version of Excel. Learn more: https://go.microsoft.com/fwlink/?linkid=870924
Comment:
    Or should it be number of people randomised?
Reply:
    As above</t>
      </text>
    </comment>
    <comment ref="AF221" authorId="47" shapeId="0" xr:uid="{3D87EE87-4991-4B8F-8E90-04089B10E6ED}">
      <text>
        <t>[Threaded comment]
Your version of Excel allows you to read this threaded comment; however, any edits to it will get removed if the file is opened in a newer version of Excel. Learn more: https://go.microsoft.com/fwlink/?linkid=870924
Comment:
    Numbers in Figure 2 add up to 40 lung cancer deaths, whereas the text says 46 lung cancer deaths.
Reply:
    If not a typo - They had on average slightly more than 7 years of FU in the main analysis - could be deaths after the beginning of year 7?
Reply:
    Could be. So, just left it as it is and put a comment in the notes column.</t>
      </text>
    </comment>
    <comment ref="AD223" authorId="48" shapeId="0" xr:uid="{9CAE4395-F3FD-4EDD-AD9B-490529F99963}">
      <text>
        <t>[Threaded comment]
Your version of Excel allows you to read this threaded comment; however, any edits to it will get removed if the file is opened in a newer version of Excel. Learn more: https://go.microsoft.com/fwlink/?linkid=870924
Comment:
    Or should it be number of people randomised?
Reply:
    As above</t>
      </text>
    </comment>
    <comment ref="AH224" authorId="49" shapeId="0" xr:uid="{69EF5B98-B305-477D-8573-0E572C986CB5}">
      <text>
        <t>[Threaded comment]
Your version of Excel allows you to read this threaded comment; however, any edits to it will get removed if the file is opened in a newer version of Excel. Learn more: https://go.microsoft.com/fwlink/?linkid=870924
Comment:
    In Table 1, the same number of person-years is used as denominator for cancer incidence as well as for mortality.
Reply:
    OK</t>
      </text>
    </comment>
    <comment ref="AH226" authorId="50" shapeId="0" xr:uid="{CCD6E452-9B91-4684-B1DE-E91A5C4EBB4E}">
      <text>
        <t>[Threaded comment]
Your version of Excel allows you to read this threaded comment; however, any edits to it will get removed if the file is opened in a newer version of Excel. Learn more: https://go.microsoft.com/fwlink/?linkid=870924
Comment:
    In Table 1, the same number of person-years is used as denominator for cancer incidence as well as for mortality.
Reply:
    OK</t>
      </text>
    </comment>
    <comment ref="R228" authorId="51" shapeId="0" xr:uid="{E6BA1092-A204-49A8-A4F6-714A1FB1C174}">
      <text>
        <t>[Threaded comment]
Your version of Excel allows you to read this threaded comment; however, any edits to it will get removed if the file is opened in a newer version of Excel. Learn more: https://go.microsoft.com/fwlink/?linkid=870924
Comment:
    These are indeed the numbers reported in the paper. But I find them strange: if recruitment was in 2009-2014 and they published the paper in 2022 and censored FU at 10 years, how could they have a median of 10 years of FU??
"Follow-up time was measured from the date of randomization to the date of emigration, the diagnosis of colorectal cancer (for analyses of the risk of colorectal cancer), death from colorec­tal cancer (for analyses of death from colorectal cancer), or death from causes other than colorec­tal cancer or to the end of follow-up after 10 years, whichever came first. "
Reply:
    Maybe at least 50% of people had 10 years of follow-up (so recruited before 2012), so median 50%? Maybe they did not recruit that many people between 2012 and 2014 (&lt;25% because of the IQR)?
Reply:
    Possibly, yes. I don't think we should change the extracted numbers, as these really are the reported numbers
Reply:
    Okay.</t>
      </text>
    </comment>
    <comment ref="W228" authorId="52" shapeId="0" xr:uid="{60641EF4-6BB2-462A-81EA-DFB6236D3987}">
      <text>
        <t>[Threaded comment]
Your version of Excel allows you to read this threaded comment; however, any edits to it will get removed if the file is opened in a newer version of Excel. Learn more: https://go.microsoft.com/fwlink/?linkid=870924
Comment:
    What are these numbers?
Reply:
    Think I have calculated them from Figure 3 (number at risk 0 years since randomisation - number at risk 10 years since randomisation). Think I did this before we talked to Adam about it and he said that we won't have to provide numbers here if we have the follow-up time in person-years or as median and IQR. So happy to put "Not reported".
Reply:
    Yes, that would be better. The &gt;9000 censored women still provided quite a bit of person-years, so the number is difficult to interpret</t>
      </text>
    </comment>
    <comment ref="Y228" authorId="53" shapeId="0" xr:uid="{C99B1709-1633-49AC-8DEB-6D5208014333}">
      <text>
        <t>[Threaded comment]
Your version of Excel allows you to read this threaded comment; however, any edits to it will get removed if the file is opened in a newer version of Excel. Learn more: https://go.microsoft.com/fwlink/?linkid=870924
Comment:
    "Follow-up was virtually complete." Does this mean no missing outcome data?
Reply:
    It's probably not as clear-cut. I guess what they meant was that they were following people through national registers (cancer and cause of death - these usually have 100% coverage) and they seemed to know when someone emigrated, so it's highly unlikely that they missed anyone
Reply:
    Reworded.</t>
      </text>
    </comment>
    <comment ref="AA228" authorId="54" shapeId="0" xr:uid="{5A35CB66-759B-47F4-81F6-20566F3014DD}">
      <text>
        <t>[Threaded comment]
Your version of Excel allows you to read this threaded comment; however, any edits to it will get removed if the file is opened in a newer version of Excel. Learn more: https://go.microsoft.com/fwlink/?linkid=870924
Comment:
    "Follow-up was virtually complete." Does this mean no missing outcome data?
Reply:
    They just don't quantify it, but would likely fall below our threshold of 5%</t>
      </text>
    </comment>
    <comment ref="AK228" authorId="55" shapeId="0" xr:uid="{5D518176-601E-480E-A096-824EBF6B8F55}">
      <text>
        <t>[Threaded comment]
Your version of Excel allows you to read this threaded comment; however, any edits to it will get removed if the file is opened in a newer version of Excel. Learn more: https://go.microsoft.com/fwlink/?linkid=870924
Comment:
    Different to reported risk which seems to be a Kaplan–Meier estimate???
Reply:
    Likely (in a KM estimate, the denominator would become gradually smaller, so leading to a higher cumulative rate)</t>
      </text>
    </comment>
    <comment ref="AO228" authorId="56" shapeId="0" xr:uid="{AC9C1790-47CE-41E0-8B20-78FD44E3FA39}">
      <text>
        <t>[Threaded comment]
Your version of Excel allows you to read this threaded comment; however, any edits to it will get removed if the file is opened in a newer version of Excel. Learn more: https://go.microsoft.com/fwlink/?linkid=870924
Comment:
    Different to reported risk which seems to be a Kaplan–Meier estimate???
Reply:
    Likely</t>
      </text>
    </comment>
    <comment ref="AY228" authorId="57" shapeId="0" xr:uid="{2472015B-EBEF-41D1-96A2-8B0028BAD497}">
      <text>
        <t>[Threaded comment]
Your version of Excel allows you to read this threaded comment; however, any edits to it will get removed if the file is opened in a newer version of Excel. Learn more: https://go.microsoft.com/fwlink/?linkid=870924
Comment:
    These are unadjusted estimates
Reply:
    Corrected. I have added 2 additional rows for the results based on Kaplan Meier estimates.</t>
      </text>
    </comment>
    <comment ref="AK229" authorId="58" shapeId="0" xr:uid="{59B61167-F441-45AE-80D2-EFA0822940F3}">
      <text>
        <t>[Threaded comment]
Your version of Excel allows you to read this threaded comment; however, any edits to it will get removed if the file is opened in a newer version of Excel. Learn more: https://go.microsoft.com/fwlink/?linkid=870924
Comment:
    Different to reported risk which seems to be a Kaplan–Meier estimate???
Reply:
    Likely</t>
      </text>
    </comment>
    <comment ref="AO229" authorId="59" shapeId="0" xr:uid="{E272FEA1-B210-4E37-BC19-BFC4ED2EA975}">
      <text>
        <t>[Threaded comment]
Your version of Excel allows you to read this threaded comment; however, any edits to it will get removed if the file is opened in a newer version of Excel. Learn more: https://go.microsoft.com/fwlink/?linkid=870924
Comment:
    Different to reported risk which seems to be a Kaplan–Meier estimate???
Reply:
    Likely</t>
      </text>
    </comment>
    <comment ref="A230" authorId="60" shapeId="0" xr:uid="{D23C00E2-DB80-4994-BC72-0508106A737A}">
      <text>
        <t>[Threaded comment]
Your version of Excel allows you to read this threaded comment; however, any edits to it will get removed if the file is opened in a newer version of Excel. Learn more: https://go.microsoft.com/fwlink/?linkid=870924
Comment:
    Looks good</t>
      </text>
    </comment>
    <comment ref="R230" authorId="61" shapeId="0" xr:uid="{59FBF7D1-921B-418D-B146-DC6FA5C13B34}">
      <text>
        <t>[Threaded comment]
Your version of Excel allows you to read this threaded comment; however, any edits to it will get removed if the file is opened in a newer version of Excel. Learn more: https://go.microsoft.com/fwlink/?linkid=870924
Comment:
    These are indeed the numbers reported in the paper. But I find them strange: if recruitment was in 2009-2014 and they published the paper in 2022 and censored FU at 10 years, how could they have a median of 10 years of FU??
"Follow-up time was measured from the date of randomization to the date of emigration, the diagnosis of colorectal cancer (for analyses of the risk of colorectal cancer), death from colorec­tal cancer (for analyses of death from colorectal cancer), or death from causes other than colorec­tal cancer or to the end of follow-up after 10 years, whichever came first. "
Reply:
    Maybe at least 50% of people had 10 years of follow-up (so recruited before 2012)? Maybe they did not recruit that many people between 2012 and 2014 (&lt;25% as the IQR)?</t>
      </text>
    </comment>
    <comment ref="BD230" authorId="62" shapeId="0" xr:uid="{C76A79A6-1B6D-4A60-9FC3-B0937522F279}">
      <text>
        <t>[Threaded comment]
Your version of Excel allows you to read this threaded comment; however, any edits to it will get removed if the file is opened in a newer version of Excel. Learn more: https://go.microsoft.com/fwlink/?linkid=870924
Comment:
    Likely</t>
      </text>
    </comment>
    <comment ref="BD231" authorId="63" shapeId="0" xr:uid="{09900E12-261D-4CFA-8EE8-036FD5C1BAE0}">
      <text>
        <t>[Threaded comment]
Your version of Excel allows you to read this threaded comment; however, any edits to it will get removed if the file is opened in a newer version of Excel. Learn more: https://go.microsoft.com/fwlink/?linkid=870924
Comment:
    Likely</t>
      </text>
    </comment>
    <comment ref="A232" authorId="64" shapeId="0" xr:uid="{1726E5E5-37A4-491D-8E9B-EE3858D14CE8}">
      <text>
        <t>[Threaded comment]
Your version of Excel allows you to read this threaded comment; however, any edits to it will get removed if the file is opened in a newer version of Excel. Learn more: https://go.microsoft.com/fwlink/?linkid=870924
Comment:
    The paper also reports lung cancer mortality for women as well as for different age groups in men. I have not extracted them as we don't have a surrogate outcome for these subgroups.
Reply:
    I agree - we can't use them for analyses</t>
      </text>
    </comment>
    <comment ref="V232" authorId="65" shapeId="0" xr:uid="{CDB4BB9B-3A30-473A-82D5-8232BA073BB8}">
      <text>
        <t>[Threaded comment]
Your version of Excel allows you to read this threaded comment; however, any edits to it will get removed if the file is opened in a newer version of Excel. Learn more: https://go.microsoft.com/fwlink/?linkid=870924
Comment:
    13 could not be linked to national registries.</t>
      </text>
    </comment>
    <comment ref="V233" authorId="66" shapeId="0" xr:uid="{F537E655-C292-4A4A-9AE8-D1AAF7E8FD12}">
      <text>
        <t>[Threaded comment]
Your version of Excel allows you to read this threaded comment; however, any edits to it will get removed if the file is opened in a newer version of Excel. Learn more: https://go.microsoft.com/fwlink/?linkid=870924
Comment:
    13 could not be linked to national registries.</t>
      </text>
    </comment>
    <comment ref="AH233" authorId="67" shapeId="0" xr:uid="{039B0738-77F5-430D-9508-D29F9B9DC62E}">
      <text>
        <t>[Threaded comment]
Your version of Excel allows you to read this threaded comment; however, any edits to it will get removed if the file is opened in a newer version of Excel. Learn more: https://go.microsoft.com/fwlink/?linkid=870924
Comment:
    13 could not be linked to national registries.</t>
      </text>
    </comment>
    <comment ref="V234" authorId="68" shapeId="0" xr:uid="{7579DDA5-D2FF-46F4-A9E1-EAA0D0C0DEDC}">
      <text>
        <t>[Threaded comment]
Your version of Excel allows you to read this threaded comment; however, any edits to it will get removed if the file is opened in a newer version of Excel. Learn more: https://go.microsoft.com/fwlink/?linkid=870924
Comment:
    13 could not be linked to national registries.</t>
      </text>
    </comment>
    <comment ref="V235" authorId="69" shapeId="0" xr:uid="{3A352D2A-7666-49BB-B34D-BE2B0111FDFA}">
      <text>
        <t>[Threaded comment]
Your version of Excel allows you to read this threaded comment; however, any edits to it will get removed if the file is opened in a newer version of Excel. Learn more: https://go.microsoft.com/fwlink/?linkid=870924
Comment:
    13 could not be linked to national registries.</t>
      </text>
    </comment>
    <comment ref="V236" authorId="70" shapeId="0" xr:uid="{38AFCD43-4703-4B35-960C-275071530A87}">
      <text>
        <t>[Threaded comment]
Your version of Excel allows you to read this threaded comment; however, any edits to it will get removed if the file is opened in a newer version of Excel. Learn more: https://go.microsoft.com/fwlink/?linkid=870924
Comment:
    13 could not be linked to national registries.</t>
      </text>
    </comment>
    <comment ref="V237" authorId="71" shapeId="0" xr:uid="{23677340-8685-42D8-8EFD-3040813D77B0}">
      <text>
        <t>[Threaded comment]
Your version of Excel allows you to read this threaded comment; however, any edits to it will get removed if the file is opened in a newer version of Excel. Learn more: https://go.microsoft.com/fwlink/?linkid=870924
Comment:
    13 could not be linked to national registries.</t>
      </text>
    </comment>
    <comment ref="V238" authorId="72" shapeId="0" xr:uid="{4104EA6C-9F12-49A6-8145-6A86E40F8EF1}">
      <text>
        <t>[Threaded comment]
Your version of Excel allows you to read this threaded comment; however, any edits to it will get removed if the file is opened in a newer version of Excel. Learn more: https://go.microsoft.com/fwlink/?linkid=870924
Comment:
    13 could not be linked to national registries.</t>
      </text>
    </comment>
    <comment ref="V239" authorId="73" shapeId="0" xr:uid="{51BF256D-86DE-46EF-884C-8CF265AC8615}">
      <text>
        <t>[Threaded comment]
Your version of Excel allows you to read this threaded comment; however, any edits to it will get removed if the file is opened in a newer version of Excel. Learn more: https://go.microsoft.com/fwlink/?linkid=870924
Comment:
    13 could not be linked to national registries.</t>
      </text>
    </comment>
    <comment ref="AH239" authorId="74" shapeId="0" xr:uid="{19B59516-52CA-4905-98EA-9EA42E48614D}">
      <text>
        <t>[Threaded comment]
Your version of Excel allows you to read this threaded comment; however, any edits to it will get removed if the file is opened in a newer version of Excel. Learn more: https://go.microsoft.com/fwlink/?linkid=870924
Comment:
    13 could not be linked to national registries.</t>
      </text>
    </comment>
    <comment ref="AV239" authorId="75" shapeId="0" xr:uid="{F352631C-D67A-4815-8CCA-F638B263C46D}">
      <text>
        <t>[Threaded comment]
Your version of Excel allows you to read this threaded comment; however, any edits to it will get removed if the file is opened in a newer version of Excel. Learn more: https://go.microsoft.com/fwlink/?linkid=870924
Comment:
    Slightly different to calculated rate.</t>
      </text>
    </comment>
    <comment ref="V240" authorId="76" shapeId="0" xr:uid="{5D30A7A0-B484-4579-ABA7-B995F9CCE1E8}">
      <text>
        <t>[Threaded comment]
Your version of Excel allows you to read this threaded comment; however, any edits to it will get removed if the file is opened in a newer version of Excel. Learn more: https://go.microsoft.com/fwlink/?linkid=870924
Comment:
    13 could not be linked to national registries.</t>
      </text>
    </comment>
    <comment ref="AH240" authorId="77" shapeId="0" xr:uid="{5EE3E080-935E-4486-BD1F-44FAEFA1E38B}">
      <text>
        <t>[Threaded comment]
Your version of Excel allows you to read this threaded comment; however, any edits to it will get removed if the file is opened in a newer version of Excel. Learn more: https://go.microsoft.com/fwlink/?linkid=870924
Comment:
    13 could not be linked to national registries.</t>
      </text>
    </comment>
    <comment ref="AV240" authorId="78" shapeId="0" xr:uid="{987E1B4C-0CD3-4C57-A6DA-7F27D6E9C507}">
      <text>
        <t>[Threaded comment]
Your version of Excel allows you to read this threaded comment; however, any edits to it will get removed if the file is opened in a newer version of Excel. Learn more: https://go.microsoft.com/fwlink/?linkid=870924
Comment:
    Slightly different to calculated rate.</t>
      </text>
    </comment>
    <comment ref="V241" authorId="79" shapeId="0" xr:uid="{B1759653-3D8A-4C49-A603-3BC34757A857}">
      <text>
        <t>[Threaded comment]
Your version of Excel allows you to read this threaded comment; however, any edits to it will get removed if the file is opened in a newer version of Excel. Learn more: https://go.microsoft.com/fwlink/?linkid=870924
Comment:
    13 could not be linked to national registries.</t>
      </text>
    </comment>
    <comment ref="AH241" authorId="80" shapeId="0" xr:uid="{88B9932B-431E-4186-A0D0-DACA5C46A3F0}">
      <text>
        <t>[Threaded comment]
Your version of Excel allows you to read this threaded comment; however, any edits to it will get removed if the file is opened in a newer version of Excel. Learn more: https://go.microsoft.com/fwlink/?linkid=870924
Comment:
    13 could not be linked to national registries.</t>
      </text>
    </comment>
    <comment ref="AV241" authorId="81" shapeId="0" xr:uid="{B16DA28F-91ED-47B7-9820-638640C51E83}">
      <text>
        <t>[Threaded comment]
Your version of Excel allows you to read this threaded comment; however, any edits to it will get removed if the file is opened in a newer version of Excel. Learn more: https://go.microsoft.com/fwlink/?linkid=870924
Comment:
    Slightly different to calculated rate.</t>
      </text>
    </comment>
    <comment ref="V242" authorId="82" shapeId="0" xr:uid="{11D5ED15-0BB1-4EF0-8722-7F21252658E9}">
      <text>
        <t>[Threaded comment]
Your version of Excel allows you to read this threaded comment; however, any edits to it will get removed if the file is opened in a newer version of Excel. Learn more: https://go.microsoft.com/fwlink/?linkid=870924
Comment:
    13 could not be linked to national registries.</t>
      </text>
    </comment>
    <comment ref="AH242" authorId="83" shapeId="0" xr:uid="{6FF3203E-F39A-4C79-A741-437562EC726C}">
      <text>
        <t>[Threaded comment]
Your version of Excel allows you to read this threaded comment; however, any edits to it will get removed if the file is opened in a newer version of Excel. Learn more: https://go.microsoft.com/fwlink/?linkid=870924
Comment:
    13 could not be linked to national registries.</t>
      </text>
    </comment>
    <comment ref="AV242" authorId="84" shapeId="0" xr:uid="{E3BD7A9F-F60B-46DB-8DA5-F689D2B81459}">
      <text>
        <t>[Threaded comment]
Your version of Excel allows you to read this threaded comment; however, any edits to it will get removed if the file is opened in a newer version of Excel. Learn more: https://go.microsoft.com/fwlink/?linkid=870924
Comment:
    Slightly different to calculated rate.</t>
      </text>
    </comment>
    <comment ref="V243" authorId="85" shapeId="0" xr:uid="{BC4C840A-A2EB-4132-8BB4-CED3EE88489C}">
      <text>
        <t>[Threaded comment]
Your version of Excel allows you to read this threaded comment; however, any edits to it will get removed if the file is opened in a newer version of Excel. Learn more: https://go.microsoft.com/fwlink/?linkid=870924
Comment:
    13 could not be linked to national registries.</t>
      </text>
    </comment>
    <comment ref="AH243" authorId="86" shapeId="0" xr:uid="{C2E52D46-68F0-4112-8DA5-D0807F1EB1F5}">
      <text>
        <t>[Threaded comment]
Your version of Excel allows you to read this threaded comment; however, any edits to it will get removed if the file is opened in a newer version of Excel. Learn more: https://go.microsoft.com/fwlink/?linkid=870924
Comment:
    13 could not be linked to national registries.</t>
      </text>
    </comment>
    <comment ref="AV243" authorId="87" shapeId="0" xr:uid="{593CFCE3-64CA-4198-A3D0-C64CBC8B8268}">
      <text>
        <t>[Threaded comment]
Your version of Excel allows you to read this threaded comment; however, any edits to it will get removed if the file is opened in a newer version of Excel. Learn more: https://go.microsoft.com/fwlink/?linkid=870924
Comment:
    Slightly different to calculated rate.</t>
      </text>
    </comment>
    <comment ref="V244" authorId="88" shapeId="0" xr:uid="{4D38776F-F7BE-4C21-B743-BA733563D744}">
      <text>
        <t>[Threaded comment]
Your version of Excel allows you to read this threaded comment; however, any edits to it will get removed if the file is opened in a newer version of Excel. Learn more: https://go.microsoft.com/fwlink/?linkid=870924
Comment:
    13 could not be linked to national registries.</t>
      </text>
    </comment>
    <comment ref="AF244" authorId="89" shapeId="0" xr:uid="{111D2051-1DC1-45AA-B53C-A0C3FCEA3472}">
      <text>
        <t>[Threaded comment]
Your version of Excel allows you to read this threaded comment; however, any edits to it will get removed if the file is opened in a newer version of Excel. Learn more: https://go.microsoft.com/fwlink/?linkid=870924
Comment:
    Do we know why these numbers are different from those in Table S3?
Table S3 (=rows above) include only deaths in men with a known date of diagnosis of lung cancer. I think this must be the analysis (which they mention under Sensitivity Analysis) without restriction on knowing the date of lung cancer diagnosis. Correct?
Reply:
    Yes, here, we have lung cancer cases without known date of diagnosis included; in the rows above, they have been excluded.</t>
      </text>
    </comment>
    <comment ref="V245" authorId="90" shapeId="0" xr:uid="{2838539C-82B7-470F-B692-365C642A44B5}">
      <text>
        <t>[Threaded comment]
Your version of Excel allows you to read this threaded comment; however, any edits to it will get removed if the file is opened in a newer version of Excel. Learn more: https://go.microsoft.com/fwlink/?linkid=870924
Comment:
    13 could not be linked to national registries.</t>
      </text>
    </comment>
    <comment ref="AH245" authorId="91" shapeId="0" xr:uid="{4EDC6069-4999-4454-AA8B-F785367334BC}">
      <text>
        <t>[Threaded comment]
Your version of Excel allows you to read this threaded comment; however, any edits to it will get removed if the file is opened in a newer version of Excel. Learn more: https://go.microsoft.com/fwlink/?linkid=870924
Comment:
    13 could not be linked to national registries.</t>
      </text>
    </comment>
    <comment ref="V246" authorId="92" shapeId="0" xr:uid="{FFCC9B70-DAAD-4BCD-AF34-DB19B7299DA0}">
      <text>
        <t>[Threaded comment]
Your version of Excel allows you to read this threaded comment; however, any edits to it will get removed if the file is opened in a newer version of Excel. Learn more: https://go.microsoft.com/fwlink/?linkid=870924
Comment:
    13 could not be linked to national registries.</t>
      </text>
    </comment>
    <comment ref="V247" authorId="93" shapeId="0" xr:uid="{61EB657B-3A36-4B75-BAC6-E02FD374DF0D}">
      <text>
        <t>[Threaded comment]
Your version of Excel allows you to read this threaded comment; however, any edits to it will get removed if the file is opened in a newer version of Excel. Learn more: https://go.microsoft.com/fwlink/?linkid=870924
Comment:
    13 could not be linked to national registries.</t>
      </text>
    </comment>
    <comment ref="AH247" authorId="94" shapeId="0" xr:uid="{507B294A-A11E-4BB1-8B2A-01BD645B3250}">
      <text>
        <t>[Threaded comment]
Your version of Excel allows you to read this threaded comment; however, any edits to it will get removed if the file is opened in a newer version of Excel. Learn more: https://go.microsoft.com/fwlink/?linkid=870924
Comment:
    13 could not be linked to national registries.</t>
      </text>
    </comment>
    <comment ref="R252" authorId="95" shapeId="0" xr:uid="{2BF92A47-C4FF-48E0-8FBB-2866D01C3E7E}">
      <text>
        <t>[Threaded comment]
Your version of Excel allows you to read this threaded comment; however, any edits to it will get removed if the file is opened in a newer version of Excel. Learn more: https://go.microsoft.com/fwlink/?linkid=870924
Comment:
    602,696.2 PY / 75,360???</t>
      </text>
    </comment>
    <comment ref="S252" authorId="96" shapeId="0" xr:uid="{1F8561BA-37B8-4404-99EC-1DD0BFE64D86}">
      <text>
        <t>[Threaded comment]
Your version of Excel allows you to read this threaded comment; however, any edits to it will get removed if the file is opened in a newer version of Excel. Learn more: https://go.microsoft.com/fwlink/?linkid=870924
Comment:
    604,288.2 PY / 76,178???
Reply:
    Sounds OK (also for others yellow cells here)</t>
      </text>
    </comment>
    <comment ref="Y252" authorId="97" shapeId="0" xr:uid="{FFC34E72-4C2D-4545-87C6-019F5FDA002F}">
      <text>
        <t>[Threaded comment]
Your version of Excel allows you to read this threaded comment; however, any edits to it will get removed if the file is opened in a newer version of Excel. Learn more: https://go.microsoft.com/fwlink/?linkid=870924
Comment:
    "We were therefore able to ensure almost 100% capture of events." "...we were able to track all case patients and deaths in both groups through door-to-door monitoring at 24-month intervals and by cross-checking with the Mumbai Cancer Registry and
the Mumbai Municipal Death Records…" Does this mean there were no missing data for cause of death?</t>
      </text>
    </comment>
    <comment ref="AA252" authorId="98" shapeId="0" xr:uid="{693D1AD0-DFB5-4144-BE0B-E8E609442D8C}">
      <text>
        <t>[Threaded comment]
Your version of Excel allows you to read this threaded comment; however, any edits to it will get removed if the file is opened in a newer version of Excel. Learn more: https://go.microsoft.com/fwlink/?linkid=870924
Comment:
    "We were therefore able to ensure almost 100% capture of events." "...we were able to track all case patients and deaths in both groups through door-to-door monitoring at 24-month intervals and by cross-checking with the Mumbai Cancer Registry and
the Mumbai Municipal Death Records…" Does this mean there were no missing data for cause of death?</t>
      </text>
    </comment>
    <comment ref="R253" authorId="99" shapeId="0" xr:uid="{136D39B4-F859-4ABE-B29B-7F120F286787}">
      <text>
        <t>[Threaded comment]
Your version of Excel allows you to read this threaded comment; however, any edits to it will get removed if the file is opened in a newer version of Excel. Learn more: https://go.microsoft.com/fwlink/?linkid=870924
Comment:
    602,696.2 PY / 75,360???</t>
      </text>
    </comment>
    <comment ref="S253" authorId="100" shapeId="0" xr:uid="{B8F34616-A584-4FD5-AC67-59CA18128A66}">
      <text>
        <t>[Threaded comment]
Your version of Excel allows you to read this threaded comment; however, any edits to it will get removed if the file is opened in a newer version of Excel. Learn more: https://go.microsoft.com/fwlink/?linkid=870924
Comment:
    604,288.2 PY / 76,178???
Reply:
    Sounds OK (also for others yellow cells here)</t>
      </text>
    </comment>
    <comment ref="Y253" authorId="101" shapeId="0" xr:uid="{3F5A1AA2-9DBF-4DE5-AA7E-62EC40F28F83}">
      <text>
        <t>[Threaded comment]
Your version of Excel allows you to read this threaded comment; however, any edits to it will get removed if the file is opened in a newer version of Excel. Learn more: https://go.microsoft.com/fwlink/?linkid=870924
Comment:
    "We were therefore able to ensure almost 100% capture of events." "...we were able to track all case patients and deaths in both groups through door-to-door monitoring at 24-month intervals and by cross-checking with the Mumbai Cancer Registry and
the Mumbai Municipal Death Records…" Does this mean there were no missing data for cause of death?</t>
      </text>
    </comment>
    <comment ref="AA253" authorId="102" shapeId="0" xr:uid="{4AF82F15-BA33-4550-BA2A-449662911242}">
      <text>
        <t>[Threaded comment]
Your version of Excel allows you to read this threaded comment; however, any edits to it will get removed if the file is opened in a newer version of Excel. Learn more: https://go.microsoft.com/fwlink/?linkid=870924
Comment:
    "We were therefore able to ensure almost 100% capture of events." "...we were able to track all case patients and deaths in both groups through door-to-door monitoring at 24-month intervals and by cross-checking with the Mumbai Cancer Registry and
the Mumbai Municipal Death Records…" Does this mean there were no missing data for cause of death?</t>
      </text>
    </comment>
    <comment ref="R254" authorId="103" shapeId="0" xr:uid="{4BBC85CF-7177-4A63-A082-04B61132B759}">
      <text>
        <t>[Threaded comment]
Your version of Excel allows you to read this threaded comment; however, any edits to it will get removed if the file is opened in a newer version of Excel. Learn more: https://go.microsoft.com/fwlink/?linkid=870924
Comment:
    602,696.2 PY / 75,360???</t>
      </text>
    </comment>
    <comment ref="S254" authorId="104" shapeId="0" xr:uid="{2741D9E9-B0BE-404B-B96A-D63B2A201AD9}">
      <text>
        <t>[Threaded comment]
Your version of Excel allows you to read this threaded comment; however, any edits to it will get removed if the file is opened in a newer version of Excel. Learn more: https://go.microsoft.com/fwlink/?linkid=870924
Comment:
    604,288.2 PY / 76,178???
Reply:
    Sounds OK (also for others yellow cells here)</t>
      </text>
    </comment>
    <comment ref="R255" authorId="105" shapeId="0" xr:uid="{AF6BF292-5D32-40CC-9900-00BBAF6A14C4}">
      <text>
        <t>[Threaded comment]
Your version of Excel allows you to read this threaded comment; however, any edits to it will get removed if the file is opened in a newer version of Excel. Learn more: https://go.microsoft.com/fwlink/?linkid=870924
Comment:
    602,696.2 PY / 75,360???</t>
      </text>
    </comment>
    <comment ref="S255" authorId="106" shapeId="0" xr:uid="{D2CC11D1-CDE3-4D93-AC71-5FE5D3645F7B}">
      <text>
        <t>[Threaded comment]
Your version of Excel allows you to read this threaded comment; however, any edits to it will get removed if the file is opened in a newer version of Excel. Learn more: https://go.microsoft.com/fwlink/?linkid=870924
Comment:
    604,288.2 PY / 76,178???
Reply:
    Sounds OK (also for others yellow cells here)</t>
      </text>
    </comment>
    <comment ref="R258" authorId="107" shapeId="0" xr:uid="{03203FF0-5D16-4A86-A6AA-9B59E7AB155B}">
      <text>
        <t>[Threaded comment]
Your version of Excel allows you to read this threaded comment; however, any edits to it will get removed if the file is opened in a newer version of Excel. Learn more: https://go.microsoft.com/fwlink/?linkid=870924
Comment:
    763,141.8 PY / 54212???
Reply:
    Sounds good (also for other cells)</t>
      </text>
    </comment>
    <comment ref="S258" authorId="108" shapeId="0" xr:uid="{CF94CC5C-40D6-41BB-9105-4F2050C3B780}">
      <text>
        <t>[Threaded comment]
Your version of Excel allows you to read this threaded comment; however, any edits to it will get removed if the file is opened in a newer version of Excel. Learn more: https://go.microsoft.com/fwlink/?linkid=870924
Comment:
    751,367.0 PY / 54188???</t>
      </text>
    </comment>
    <comment ref="R259" authorId="109" shapeId="0" xr:uid="{D9122AB5-E94E-4D00-99F0-2995C1B824A1}">
      <text>
        <t>[Threaded comment]
Your version of Excel allows you to read this threaded comment; however, any edits to it will get removed if the file is opened in a newer version of Excel. Learn more: https://go.microsoft.com/fwlink/?linkid=870924
Comment:
    763,141.8 PY / 54212???
Reply:
    Sounds good (also for other cells)</t>
      </text>
    </comment>
    <comment ref="S259" authorId="110" shapeId="0" xr:uid="{085FB890-5616-4DFB-A54C-FD6306C83740}">
      <text>
        <t>[Threaded comment]
Your version of Excel allows you to read this threaded comment; however, any edits to it will get removed if the file is opened in a newer version of Excel. Learn more: https://go.microsoft.com/fwlink/?linkid=870924
Comment:
    751,367.0 PY / 54188???</t>
      </text>
    </comment>
    <comment ref="R260" authorId="111" shapeId="0" xr:uid="{0C83FF7C-9E88-4F48-9251-B971511A8F4B}">
      <text>
        <t>[Threaded comment]
Your version of Excel allows you to read this threaded comment; however, any edits to it will get removed if the file is opened in a newer version of Excel. Learn more: https://go.microsoft.com/fwlink/?linkid=870924
Comment:
    259,955.2 PY / 20,965???</t>
      </text>
    </comment>
    <comment ref="S260" authorId="112" shapeId="0" xr:uid="{B8EEA385-4951-4D4A-89ED-38A079006D34}">
      <text>
        <t>[Threaded comment]
Your version of Excel allows you to read this threaded comment; however, any edits to it will get removed if the file is opened in a newer version of Excel. Learn more: https://go.microsoft.com/fwlink/?linkid=870924
Comment:
    268,133.1 PY / 21,909???</t>
      </text>
    </comment>
    <comment ref="R261" authorId="113" shapeId="0" xr:uid="{311C8CE1-564A-4561-8D09-17D51E8C6C70}">
      <text>
        <t>[Threaded comment]
Your version of Excel allows you to read this threaded comment; however, any edits to it will get removed if the file is opened in a newer version of Excel. Learn more: https://go.microsoft.com/fwlink/?linkid=870924
Comment:
    259,955.2 PY / 20,965???</t>
      </text>
    </comment>
    <comment ref="S261" authorId="114" shapeId="0" xr:uid="{17714196-B6E6-4388-BED5-56ACF677496E}">
      <text>
        <t>[Threaded comment]
Your version of Excel allows you to read this threaded comment; however, any edits to it will get removed if the file is opened in a newer version of Excel. Learn more: https://go.microsoft.com/fwlink/?linkid=870924
Comment:
    268,133.1 PY / 21,909???</t>
      </text>
    </comment>
    <comment ref="R264" authorId="115" shapeId="0" xr:uid="{9F42798C-DDF3-45F7-AEEB-4D5A6FC326C0}">
      <text>
        <t>[Threaded comment]
Your version of Excel allows you to read this threaded comment; however, any edits to it will get removed if the file is opened in a newer version of Excel. Learn more: https://go.microsoft.com/fwlink/?linkid=870924
Comment:
    763,177.7 PY / 54212???</t>
      </text>
    </comment>
    <comment ref="S264" authorId="116" shapeId="0" xr:uid="{DCE20294-D7E2-44B6-856E-F6CBC52FD812}">
      <text>
        <t>[Threaded comment]
Your version of Excel allows you to read this threaded comment; however, any edits to it will get removed if the file is opened in a newer version of Excel. Learn more: https://go.microsoft.com/fwlink/?linkid=870924
Comment:
    751,508.2 PY / 54,188???</t>
      </text>
    </comment>
    <comment ref="R265" authorId="117" shapeId="0" xr:uid="{5E0DD841-ADB1-485B-8E18-02045DF1D91D}">
      <text>
        <t>[Threaded comment]
Your version of Excel allows you to read this threaded comment; however, any edits to it will get removed if the file is opened in a newer version of Excel. Learn more: https://go.microsoft.com/fwlink/?linkid=870924
Comment:
    763,177.7 PY / 54212???</t>
      </text>
    </comment>
    <comment ref="S265" authorId="118" shapeId="0" xr:uid="{85AF3656-4536-4BB3-8065-7EE973037A22}">
      <text>
        <t>[Threaded comment]
Your version of Excel allows you to read this threaded comment; however, any edits to it will get removed if the file is opened in a newer version of Excel. Learn more: https://go.microsoft.com/fwlink/?linkid=870924
Comment:
    751,508.2 PY / 54,188???</t>
      </text>
    </comment>
    <comment ref="R266" authorId="119" shapeId="0" xr:uid="{03CC479C-913B-44D6-8403-83593D37AC68}">
      <text>
        <t>[Threaded comment]
Your version of Excel allows you to read this threaded comment; however, any edits to it will get removed if the file is opened in a newer version of Excel. Learn more: https://go.microsoft.com/fwlink/?linkid=870924
Comment:
    259,955.2 PY / 20,965???</t>
      </text>
    </comment>
    <comment ref="S266" authorId="120" shapeId="0" xr:uid="{90AE4024-3A45-4D1C-8125-7E0DE65130A3}">
      <text>
        <t>[Threaded comment]
Your version of Excel allows you to read this threaded comment; however, any edits to it will get removed if the file is opened in a newer version of Excel. Learn more: https://go.microsoft.com/fwlink/?linkid=870924
Comment:
    268,133.1 PY / 21,909???</t>
      </text>
    </comment>
    <comment ref="R267" authorId="121" shapeId="0" xr:uid="{182124F9-1FBA-41E3-A905-D7ACD2F623D0}">
      <text>
        <t>[Threaded comment]
Your version of Excel allows you to read this threaded comment; however, any edits to it will get removed if the file is opened in a newer version of Excel. Learn more: https://go.microsoft.com/fwlink/?linkid=870924
Comment:
    259,955.2 PY / 20,965???</t>
      </text>
    </comment>
    <comment ref="S267" authorId="122" shapeId="0" xr:uid="{50AA0931-C482-48A8-8BE1-C5C11389C883}">
      <text>
        <t>[Threaded comment]
Your version of Excel allows you to read this threaded comment; however, any edits to it will get removed if the file is opened in a newer version of Excel. Learn more: https://go.microsoft.com/fwlink/?linkid=870924
Comment:
    268,133.1 PY / 21,909???</t>
      </text>
    </comment>
    <comment ref="BD268" authorId="123" shapeId="0" xr:uid="{5828F674-4D7E-47DD-97C6-1FCC147A029E}">
      <text>
        <t>[Threaded comment]
Your version of Excel allows you to read this threaded comment; however, any edits to it will get removed if the file is opened in a newer version of Excel. Learn more: https://go.microsoft.com/fwlink/?linkid=870924
Comment:
    Yes, but I think we have agreed that Adam / Nefeli can calculate this at the analysis stage?</t>
      </text>
    </comment>
    <comment ref="BD269" authorId="124" shapeId="0" xr:uid="{795DC34B-7AAA-4ECD-A72D-B0515418A6E6}">
      <text>
        <t>[Threaded comment]
Your version of Excel allows you to read this threaded comment; however, any edits to it will get removed if the file is opened in a newer version of Excel. Learn more: https://go.microsoft.com/fwlink/?linkid=870924
Comment:
    Yes, but I think we have agreed that Adam / Nefeli can calculate this at the analysis stage?</t>
      </text>
    </comment>
    <comment ref="BD270" authorId="125" shapeId="0" xr:uid="{F1872A27-9CFD-4BC5-80D7-11E52C652177}">
      <text>
        <t>[Threaded comment]
Your version of Excel allows you to read this threaded comment; however, any edits to it will get removed if the file is opened in a newer version of Excel. Learn more: https://go.microsoft.com/fwlink/?linkid=870924
Comment:
    Yes, but I think we have agreed that Adam / Nefeli can calculate this at the analysis stage?</t>
      </text>
    </comment>
    <comment ref="BD271" authorId="126" shapeId="0" xr:uid="{0D4759A4-BDE2-419F-9D3D-08CA5426D8CF}">
      <text>
        <t>[Threaded comment]
Your version of Excel allows you to read this threaded comment; however, any edits to it will get removed if the file is opened in a newer version of Excel. Learn more: https://go.microsoft.com/fwlink/?linkid=870924
Comment:
    Yes, but I think we have agreed that Adam / Nefeli can calculate this at the analysis stage?</t>
      </text>
    </comment>
    <comment ref="BD272" authorId="127" shapeId="0" xr:uid="{14D624CF-A7E1-45FB-B59D-BDA8AD98C43D}">
      <text>
        <t>[Threaded comment]
Your version of Excel allows you to read this threaded comment; however, any edits to it will get removed if the file is opened in a newer version of Excel. Learn more: https://go.microsoft.com/fwlink/?linkid=870924
Comment:
    Yes, but I think we have agreed that Adam / Nefeli can calculate this at the analysis stage?</t>
      </text>
    </comment>
    <comment ref="BD273" authorId="128" shapeId="0" xr:uid="{5C675D62-E399-4628-BF8E-C0117FBE56C1}">
      <text>
        <t>[Threaded comment]
Your version of Excel allows you to read this threaded comment; however, any edits to it will get removed if the file is opened in a newer version of Excel. Learn more: https://go.microsoft.com/fwlink/?linkid=870924
Comment:
    Yes, but I think we have agreed that Adam / Nefeli can calculate this at the analysis stage?</t>
      </text>
    </comment>
    <comment ref="BD274" authorId="129" shapeId="0" xr:uid="{2C11C477-8B00-4C48-9CC6-B0AAF8524506}">
      <text>
        <t>[Threaded comment]
Your version of Excel allows you to read this threaded comment; however, any edits to it will get removed if the file is opened in a newer version of Excel. Learn more: https://go.microsoft.com/fwlink/?linkid=870924
Comment:
    Yes, but I think we have agreed that Adam / Nefeli can calculate this at the analysis stage?</t>
      </text>
    </comment>
    <comment ref="BD275" authorId="130" shapeId="0" xr:uid="{DF71AD55-C4FD-4F48-83D7-E0F2680BEE84}">
      <text>
        <t>[Threaded comment]
Your version of Excel allows you to read this threaded comment; however, any edits to it will get removed if the file is opened in a newer version of Excel. Learn more: https://go.microsoft.com/fwlink/?linkid=870924
Comment:
    Yes, but I think we have agreed that Adam / Nefeli can calculate this at the analysis stage?</t>
      </text>
    </comment>
    <comment ref="A276" authorId="131" shapeId="0" xr:uid="{ECE7225E-F55F-41C3-A1B7-270130043E57}">
      <text>
        <t>[Threaded comment]
Your version of Excel allows you to read this threaded comment; however, any edits to it will get removed if the file is opened in a newer version of Excel. Learn more: https://go.microsoft.com/fwlink/?linkid=870924
Comment:
    Figure 2 reports the cumulative incidence of stage II+ cancers as well as cumulative cervical cancer mortality per year after randomisation (1-8 years). No numbers reported though, just a graph.</t>
      </text>
    </comment>
    <comment ref="BD276" authorId="132" shapeId="0" xr:uid="{BB1E049A-6F87-459E-9906-6449F42EFE72}">
      <text>
        <t>[Threaded comment]
Your version of Excel allows you to read this threaded comment; however, any edits to it will get removed if the file is opened in a newer version of Excel. Learn more: https://go.microsoft.com/fwlink/?linkid=870924
Comment:
    Yes, but I think we have agreed that Adam / Nefeli can calculate this at the analysis stage?</t>
      </text>
    </comment>
    <comment ref="D278" authorId="133" shapeId="0" xr:uid="{AF05561D-BE50-4541-9411-057216E1DF2C}">
      <text>
        <t>[Threaded comment]
Your version of Excel allows you to read this threaded comment; however, any edits to it will get removed if the file is opened in a newer version of Excel. Learn more: https://go.microsoft.com/fwlink/?linkid=870924
Comment:
    Vs usual care? See my comments in the General trial design worksheet</t>
      </text>
    </comment>
    <comment ref="X278" authorId="134" shapeId="0" xr:uid="{0347AF2E-5CDA-4FEA-880F-D03A01577798}">
      <text>
        <t>[Threaded comment]
Your version of Excel allows you to read this threaded comment; however, any edits to it will get removed if the file is opened in a newer version of Excel. Learn more: https://go.microsoft.com/fwlink/?linkid=870924
Comment:
    Apologies, where does this come from?
Reply:
    I think they are the people who died of other causes then cancer: 7-2=5 got the extensive screening group? For the comparator, should it be 11-4=7 non-cancer death plus 1 LTFU?</t>
      </text>
    </comment>
    <comment ref="AE282" authorId="135" shapeId="0" xr:uid="{DF639176-32F9-4618-9C36-8AD91832146B}">
      <text>
        <t>[Threaded comment]
Your version of Excel allows you to read this threaded comment; however, any edits to it will get removed if the file is opened in a newer version of Excel. Learn more: https://go.microsoft.com/fwlink/?linkid=870924
Comment:
    =216+961+2+20?
Reply:
    Yes, you re right.</t>
      </text>
    </comment>
    <comment ref="AD284" authorId="136" shapeId="0" xr:uid="{1F8CFEBD-D5CC-4AB3-AE9C-485196FD8044}">
      <text>
        <t>[Threaded comment]
Your version of Excel allows you to read this threaded comment; however, any edits to it will get removed if the file is opened in a newer version of Excel. Learn more: https://go.microsoft.com/fwlink/?linkid=870924
Comment:
    I think it's 2005, and the 2007 date is when they did the analysis.</t>
      </text>
    </comment>
    <comment ref="AT298" authorId="137" shapeId="0" xr:uid="{241CE931-3798-4893-AB8D-2B48920AA422}">
      <text>
        <t>[Threaded comment]
Your version of Excel allows you to read this threaded comment; however, any edits to it will get removed if the file is opened in a newer version of Excel. Learn more: https://go.microsoft.com/fwlink/?linkid=870924
Comment:
    Slightly different to reported rate ratio.
Reply:
    Rounding? Time distribution of PY at risk?
Reply:
    Possibly...</t>
      </text>
    </comment>
    <comment ref="O306" authorId="138" shapeId="0" xr:uid="{294A2E74-12E4-47C6-B9E0-B4CEC9708F98}">
      <text>
        <t>[Threaded comment]
Your version of Excel allows you to read this threaded comment; however, any edits to it will get removed if the file is opened in a newer version of Excel. Learn more: https://go.microsoft.com/fwlink/?linkid=870924
Comment:
    Whatever we called this for other thrombosis trials</t>
      </text>
    </comment>
    <comment ref="O307" authorId="139" shapeId="0" xr:uid="{3C68185F-86CC-4835-904E-F7799BB04FDB}">
      <text>
        <t>[Threaded comment]
Your version of Excel allows you to read this threaded comment; however, any edits to it will get removed if the file is opened in a newer version of Excel. Learn more: https://go.microsoft.com/fwlink/?linkid=870924
Comment:
    Whatever we called this for other thrombosis trials</t>
      </text>
    </comment>
    <comment ref="P308" authorId="140" shapeId="0" xr:uid="{9EDFE717-6C13-4516-B520-49367E612C43}">
      <text>
        <t>[Threaded comment]
Your version of Excel allows you to read this threaded comment; however, any edits to it will get removed if the file is opened in a newer version of Excel. Learn more: https://go.microsoft.com/fwlink/?linkid=870924
Comment:
    Or 1997? See my comments on the Mapping worksheet - sloppy reporting?
Reply:
    Agree, 31/12/1997.</t>
      </text>
    </comment>
    <comment ref="Q308" authorId="141" shapeId="0" xr:uid="{C72A3DE2-5003-4B85-905B-0355301D2760}">
      <text>
        <t>[Threaded comment]
Your version of Excel allows you to read this threaded comment; however, any edits to it will get removed if the file is opened in a newer version of Excel. Learn more: https://go.microsoft.com/fwlink/?linkid=870924
Comment:
    If they indeed ended FU at the end of 1997, then we have up to 5 years of FU (range 2-5?)
Reply:
    Corrected.</t>
      </text>
    </comment>
    <comment ref="R308" authorId="142" shapeId="0" xr:uid="{D1038E95-8538-4AB6-B8E7-CF4824DC1514}">
      <text>
        <t>[Threaded comment]
Your version of Excel allows you to read this threaded comment; however, any edits to it will get removed if the file is opened in a newer version of Excel. Learn more: https://go.microsoft.com/fwlink/?linkid=870924
Comment:
    I have added these. Please check!</t>
      </text>
    </comment>
    <comment ref="U308" authorId="143" shapeId="0" xr:uid="{76374AE4-5275-4895-86E3-E9C62190E7A6}">
      <text>
        <t>[Threaded comment]
Your version of Excel allows you to read this threaded comment; however, any edits to it will get removed if the file is opened in a newer version of Excel. Learn more: https://go.microsoft.com/fwlink/?linkid=870924
Comment:
    This doesn't include those who did not comply with the intervention. The number randomised into the intervention group was 9757
Reply:
    This would exaggerate the effectiveness of the intervention
Reply:
    We are not looking at the effectiveness of screening. 
Here, we report the number included in the analysis.
This is 9,373 people as the others did not want to participate in the trial and were therefore not followed up. So, we only know the number of breast cancer deaths for these 9,373 cases.</t>
      </text>
    </comment>
    <comment ref="V308" authorId="144" shapeId="0" xr:uid="{3299CD56-7270-4264-B4C3-7E3B93C4BD42}">
      <text>
        <t>[Threaded comment]
Your version of Excel allows you to read this threaded comment; however, any edits to it will get removed if the file is opened in a newer version of Excel. Learn more: https://go.microsoft.com/fwlink/?linkid=870924
Comment:
    Did you notice how they "lost" 300 people from the control arm between the two publications, without giving any explanation why? 
Honestly, this trial's reporting...
Reply:
    Is it maybe because the first paper included 35-55 year olds, and the second paper 35-59 year olds?
Not sure though why the study group got larger...</t>
      </text>
    </comment>
    <comment ref="AC308" authorId="145" shapeId="0" xr:uid="{AAB02AE5-B5BC-4E16-B95B-C33F74107DC0}">
      <text>
        <t>[Threaded comment]
Your version of Excel allows you to read this threaded comment; however, any edits to it will get removed if the file is opened in a newer version of Excel. Learn more: https://go.microsoft.com/fwlink/?linkid=870924
Comment:
    All three cells: maybe 1997??
Reply:
    Corrected.</t>
      </text>
    </comment>
    <comment ref="AG309" authorId="146" shapeId="0" xr:uid="{C6855FB3-8373-4F5B-8025-D3EBC1BFE29E}">
      <text>
        <t>[Threaded comment]
Your version of Excel allows you to read this threaded comment; however, any edits to it will get removed if the file is opened in a newer version of Excel. Learn more: https://go.microsoft.com/fwlink/?linkid=870924
Comment:
    This is true (number of people analysed). Just wondering what we did in similar cases in other trials - did we take number analysed as the denominator or the number randomised? Likely analysed (like here), as we're not sure there weren't any deaths in the people excluded from the analysis?
Reply:
    We used the number of people in the analysis.</t>
      </text>
    </comment>
    <comment ref="D310" authorId="147" shapeId="0" xr:uid="{18E8648E-5DDB-48EE-8018-68DFE004C10D}">
      <text>
        <t>[Threaded comment]
Your version of Excel allows you to read this threaded comment; however, any edits to it will get removed if the file is opened in a newer version of Excel. Learn more: https://go.microsoft.com/fwlink/?linkid=870924
Comment:
    What was the agreement for extraction when we have unadjusted and more than 1 adjusted relative rates? Do we extract them all?
Reply:
    Not sure. A question for Adam?
Reply:
    Reply Adam: "Think extracting both adjusted and unadjusted. For adjusted take the main adjusted one if clear? Otherwise one reported with most variables?"</t>
      </text>
    </comment>
    <comment ref="D314" authorId="148" shapeId="0" xr:uid="{0434206F-C430-4DA7-ABDB-6D4D3268B1E8}">
      <text>
        <t>[Threaded comment]
Your version of Excel allows you to read this threaded comment; however, any edits to it will get removed if the file is opened in a newer version of Excel. Learn more: https://go.microsoft.com/fwlink/?linkid=870924
Comment:
    Please help me remember - did we in the end agree that we are extracting rates even when absolute N are not reported? 
Reply:
    Can we check with Sian / Adam?
Reply:
    Reply Adam: yes, helpful.</t>
      </text>
    </comment>
    <comment ref="AX321" authorId="149" shapeId="0" xr:uid="{5DAD0815-B4D5-431A-8498-C7A9F79B3383}">
      <text>
        <t>[Threaded comment]
Your version of Excel allows you to read this threaded comment; however, any edits to it will get removed if the file is opened in a newer version of Excel. Learn more: https://go.microsoft.com/fwlink/?linkid=870924
Comment:
    Not clear what ratio is reported here and how it was adjusted. Methods sections says "Cox
proportional hazards regression, taking into account cluster design and adjusting for age, education, marital status, and parity, using intention to treat analysis."
Reply:
    This one might just be a relative rate, calculated using age-standardised rates
Reply:
    The ratio using the age-standardised rates is 0.95. I have calculated it n the row above. Still unclear to me and no reply from Adam yet.</t>
      </text>
    </comment>
    <comment ref="A322" authorId="150" shapeId="0" xr:uid="{B7F559EC-18B5-4426-A551-D874FA0E8920}">
      <text>
        <t>[Threaded comment]
Your version of Excel allows you to read this threaded comment; however, any edits to it will get removed if the file is opened in a newer version of Excel. Learn more: https://go.microsoft.com/fwlink/?linkid=870924
Comment:
    The discussion reports additional data for the subgroup of 34 803 eligible women in the intervention and 30 770 eligible women in the control group identified by the initial single enumeration in the year 2000, before screening was initiated.
Reply:
    I wouldn't prioritise extracting those numbers</t>
      </text>
    </comment>
    <comment ref="R323" authorId="151" shapeId="0" xr:uid="{38048173-AECA-4D9B-AA41-555C0FB5EBF3}">
      <text>
        <t>[Threaded comment]
Your version of Excel allows you to read this threaded comment; however, any edits to it will get removed if the file is opened in a newer version of Excel. Learn more: https://go.microsoft.com/fwlink/?linkid=870924
Comment:
    344,404 PY / 78,969???
Reply:
    I agree</t>
      </text>
    </comment>
    <comment ref="S323" authorId="152" shapeId="0" xr:uid="{4817E3E1-A1AB-4BF4-B5E1-E27BD384804B}">
      <text>
        <t>[Threaded comment]
Your version of Excel allows you to read this threaded comment; however, any edits to it will get removed if the file is opened in a newer version of Excel. Learn more: https://go.microsoft.com/fwlink/?linkid=870924
Comment:
    329,326 PY / 74,739???
Reply:
    I agree</t>
      </text>
    </comment>
    <comment ref="R324" authorId="153" shapeId="0" xr:uid="{FAE48064-B162-4B8F-A402-12FD0A416C14}">
      <text>
        <t>[Threaded comment]
Your version of Excel allows you to read this threaded comment; however, any edits to it will get removed if the file is opened in a newer version of Excel. Learn more: https://go.microsoft.com/fwlink/?linkid=870924
Comment:
    344,404 PY / 78,969???
Reply:
    I agree</t>
      </text>
    </comment>
    <comment ref="S324" authorId="154" shapeId="0" xr:uid="{1A6BCCFC-E5C6-40AE-A2B3-FDAF45A80719}">
      <text>
        <t>[Threaded comment]
Your version of Excel allows you to read this threaded comment; however, any edits to it will get removed if the file is opened in a newer version of Excel. Learn more: https://go.microsoft.com/fwlink/?linkid=870924
Comment:
    329,326 PY / 74,739???
Reply:
    I agree</t>
      </text>
    </comment>
    <comment ref="R325" authorId="155" shapeId="0" xr:uid="{4F34F10E-89B9-4F2D-927E-E255691E5057}">
      <text>
        <t>[Threaded comment]
Your version of Excel allows you to read this threaded comment; however, any edits to it will get removed if the file is opened in a newer version of Excel. Learn more: https://go.microsoft.com/fwlink/?linkid=870924
Comment:
    469,089 PY / 96,517???
Reply:
    I agree</t>
      </text>
    </comment>
    <comment ref="S325" authorId="156" shapeId="0" xr:uid="{25CF2C36-9F34-4144-BD51-E0607BD5995F}">
      <text>
        <t>[Threaded comment]
Your version of Excel allows you to read this threaded comment; however, any edits to it will get removed if the file is opened in a newer version of Excel. Learn more: https://go.microsoft.com/fwlink/?linkid=870924
Comment:
    419,748 PY / 95,356???
Reply:
    I agree</t>
      </text>
    </comment>
    <comment ref="R326" authorId="157" shapeId="0" xr:uid="{39A890CE-0F3F-4EA1-A7FF-E5F9E0920576}">
      <text>
        <t>[Threaded comment]
Your version of Excel allows you to read this threaded comment; however, any edits to it will get removed if the file is opened in a newer version of Excel. Learn more: https://go.microsoft.com/fwlink/?linkid=870924
Comment:
    469,089 PY / 96,517???
Reply:
    I agree</t>
      </text>
    </comment>
    <comment ref="S326" authorId="158" shapeId="0" xr:uid="{0D7E0F9C-4E76-46EC-A334-9E4FCFBA4290}">
      <text>
        <t>[Threaded comment]
Your version of Excel allows you to read this threaded comment; however, any edits to it will get removed if the file is opened in a newer version of Excel. Learn more: https://go.microsoft.com/fwlink/?linkid=870924
Comment:
    419,748 PY / 95,356???
Reply:
    I agree</t>
      </text>
    </comment>
    <comment ref="A327" authorId="159" shapeId="0" xr:uid="{529AA78F-B25D-4FD0-AA55-A5E86C200FB3}">
      <text>
        <t>[Threaded comment]
Your version of Excel allows you to read this threaded comment; however, any edits to it will get removed if the file is opened in a newer version of Excel. Learn more: https://go.microsoft.com/fwlink/?linkid=870924
Comment:
    I have not extracted data for the subgroups "Tobacco or alcohol users or both" and "People with no habits".
Reply:
    I wonder whether we should though, as we have both the surrogate and mortality available. Same for the Subramanian paper.
Reply:
    I understood that we are only interested in subgroups by centre, age or sex (or combinations of these).
Reply:
    You're right. Please disregard my comment</t>
      </text>
    </comment>
    <comment ref="R327" authorId="160" shapeId="0" xr:uid="{1104D397-248D-42E2-9EF3-94A4A8E32FA1}">
      <text>
        <t>[Threaded comment]
Your version of Excel allows you to read this threaded comment; however, any edits to it will get removed if the file is opened in a newer version of Excel. Learn more: https://go.microsoft.com/fwlink/?linkid=870924
Comment:
    895,310 PY / 96,517???
Reply:
    I agree, this is reported in the table with mortality. I'm just confused why the reported PY are so different in Fig1?
Reply:
    In Figure 1 that might be the PY until cancer diagnosis and here it is PY until death?
Reply:
    Could be, yes (the direction of the differences is as you would have expected them in this case). I just thought the difference was larger than in other papers. Either way, you've used the right numbers (as reported for mortality)</t>
      </text>
    </comment>
    <comment ref="S327" authorId="161" shapeId="0" xr:uid="{B56E9FE5-3DCB-4859-B2EA-A1687FB922B1}">
      <text>
        <t>[Threaded comment]
Your version of Excel allows you to read this threaded comment; however, any edits to it will get removed if the file is opened in a newer version of Excel. Learn more: https://go.microsoft.com/fwlink/?linkid=870924
Comment:
    989,280 PY / 95,356???
Reply:
    I agree, but see on the left</t>
      </text>
    </comment>
    <comment ref="AS327" authorId="162" shapeId="0" xr:uid="{11551EFD-E57D-47E0-983B-461F65AA89AA}">
      <text>
        <t>[Threaded comment]
Your version of Excel allows you to read this threaded comment; however, any edits to it will get removed if the file is opened in a newer version of Excel. Learn more: https://go.microsoft.com/fwlink/?linkid=870924
Comment:
    Slightly different to calculated RR.
Reply:
    Strange, as you have almost identical rates by arm. Though maybe the different PY at risk reported in the different parts of the paper give ever so slightly different RR?</t>
      </text>
    </comment>
    <comment ref="AY327" authorId="163" shapeId="0" xr:uid="{76B51DC8-ADC7-41C5-A035-8286A0E78C8B}">
      <text>
        <t>[Threaded comment]
Your version of Excel allows you to read this threaded comment; however, any edits to it will get removed if the file is opened in a newer version of Excel. Learn more: https://go.microsoft.com/fwlink/?linkid=870924
Comment:
    From Figure 1: 18.9 / 19.7</t>
      </text>
    </comment>
    <comment ref="A328" authorId="164" shapeId="0" xr:uid="{0C3CC413-4E7F-4823-B31B-3DF341D733F3}">
      <text>
        <t>[Threaded comment]
Your version of Excel allows you to read this threaded comment; however, any edits to it will get removed if the file is opened in a newer version of Excel. Learn more: https://go.microsoft.com/fwlink/?linkid=870924
Comment:
    I have not extracted data for the subgroups "Tobacco or alcohol users or both" and "People with no habits".</t>
      </text>
    </comment>
    <comment ref="R328" authorId="165" shapeId="0" xr:uid="{9E0F0F5D-7C54-43F3-9B6C-DC073B94119B}">
      <text>
        <t>[Threaded comment]
Your version of Excel allows you to read this threaded comment; however, any edits to it will get removed if the file is opened in a newer version of Excel. Learn more: https://go.microsoft.com/fwlink/?linkid=870924
Comment:
    895,310 PY / 96,517???
Reply:
    I agree, this is reported in the table with mortality. I'm just confused why the reported PY are so different in Fig1?
Reply:
    In Figure 1 that might be the PY until cancer diagnosis and here it is PY until death?</t>
      </text>
    </comment>
    <comment ref="S328" authorId="166" shapeId="0" xr:uid="{BFCD5061-0626-498C-9832-73CBDDED3B05}">
      <text>
        <t>[Threaded comment]
Your version of Excel allows you to read this threaded comment; however, any edits to it will get removed if the file is opened in a newer version of Excel. Learn more: https://go.microsoft.com/fwlink/?linkid=870924
Comment:
    989,280 PY / 95,356???
Reply:
    I agree, but see on the left</t>
      </text>
    </comment>
    <comment ref="W329" authorId="167" shapeId="0" xr:uid="{B9D06D9B-17E1-47C4-BC66-1ACE37934396}">
      <text>
        <t>[Threaded comment]
Your version of Excel allows you to read this threaded comment; however, any edits to it will get removed if the file is opened in a newer version of Excel. Learn more: https://go.microsoft.com/fwlink/?linkid=870924
Comment:
    Where does this come from? Apologies, I can't locate it
Reply:
    Must be 6+234=240?
"The NHSCR was unable to trace six people in the control group and six in the intervention group, two of whom were screened. A further 234 (&lt;1%) in the intervention group and 451 (&lt;1%) in the control group emigrated."</t>
      </text>
    </comment>
    <comment ref="A367" authorId="168" shapeId="0" xr:uid="{A4720835-795A-468F-901C-67CB1B06FE51}">
      <text>
        <t>[Threaded comment]
Your version of Excel allows you to read this threaded comment; however, any edits to it will get removed if the file is opened in a newer version of Excel. Learn more: https://go.microsoft.com/fwlink/?linkid=870924
Comment:
    Supplementary Table 1 also reports cancer incidence and mortality by "Sex and age group" which I have not extracted.
Reply:
    OK</t>
      </text>
    </comment>
    <comment ref="D368" authorId="169" shapeId="0" xr:uid="{D367C2DF-7AE3-4BB0-BDE8-76F68502C690}">
      <text>
        <t>[Threaded comment]
Your version of Excel allows you to read this threaded comment; however, any edits to it will get removed if the file is opened in a newer version of Excel. Learn more: https://go.microsoft.com/fwlink/?linkid=870924
Comment:
    To differentiate it from the Atkin 2017 paper, maybe we should label this also here as covering 13/14 centres? Otherwise there's no point in re-extracting these data again
Reply:
    I do wonder whether we should re-extract the data anyway. Though maybe the meta-analysis will only correlate the surrogates from Cross 2022 with the mortality from the same paper
Reply:
    Done.</t>
      </text>
    </comment>
    <comment ref="V368" authorId="170" shapeId="0" xr:uid="{A75F04C0-54C3-4E55-9241-0DE5959B3563}">
      <text>
        <t>[Threaded comment]
Your version of Excel allows you to read this threaded comment; however, any edits to it will get removed if the file is opened in a newer version of Excel. Learn more: https://go.microsoft.com/fwlink/?linkid=870924
Comment:
    111,503?
Reply:
    Corrected.</t>
      </text>
    </comment>
    <comment ref="AE375" authorId="171" shapeId="0" xr:uid="{680A32E1-4B88-4C39-AFFB-BA6878D9E34D}">
      <text>
        <t>[Threaded comment]
Your version of Excel allows you to read this threaded comment; however, any edits to it will get removed if the file is opened in a newer version of Excel. Learn more: https://go.microsoft.com/fwlink/?linkid=870924
Comment:
    0.9% of 423
Reply:
    I agree</t>
      </text>
    </comment>
    <comment ref="AV385" authorId="172" shapeId="0" xr:uid="{A181684E-6E5A-4CA3-8A3E-7AA73E824C73}">
      <text>
        <t>[Threaded comment]
Your version of Excel allows you to read this threaded comment; however, any edits to it will get removed if the file is opened in a newer version of Excel. Learn more: https://go.microsoft.com/fwlink/?linkid=870924
Comment:
    0.97 in Table 2 (#4257).
Reply:
    ok</t>
      </text>
    </comment>
    <comment ref="AS386" authorId="173" shapeId="0" xr:uid="{B664E636-4D8F-4977-B8EB-7A7EE45A81D3}">
      <text>
        <t>[Threaded comment]
Your version of Excel allows you to read this threaded comment; however, any edits to it will get removed if the file is opened in a newer version of Excel. Learn more: https://go.microsoft.com/fwlink/?linkid=870924
Comment:
    Reported in Duffy 2020 (#4257).
Reply:
    OK</t>
      </text>
    </comment>
    <comment ref="AU386" authorId="174" shapeId="0" xr:uid="{40F5AD8E-0654-4C78-86A0-FFCFA6BAA76A}">
      <text>
        <t>[Threaded comment]
Your version of Excel allows you to read this threaded comment; however, any edits to it will get removed if the file is opened in a newer version of Excel. Learn more: https://go.microsoft.com/fwlink/?linkid=870924
Comment:
    Reported in Duffy 2020 (#4257).
Reply:
    ok</t>
      </text>
    </comment>
    <comment ref="AV386" authorId="175" shapeId="0" xr:uid="{1C508887-CBB1-47CC-BE2F-3D196BBE5AD8}">
      <text>
        <t>[Threaded comment]
Your version of Excel allows you to read this threaded comment; however, any edits to it will get removed if the file is opened in a newer version of Excel. Learn more: https://go.microsoft.com/fwlink/?linkid=870924
Comment:
    Reported in Duffy 2020 (#4257).
Reply:
    ok</t>
      </text>
    </comment>
    <comment ref="AG388" authorId="176" shapeId="0" xr:uid="{33DEA4D3-FB04-4E00-ADE8-2EEC3C299A51}">
      <text>
        <t>[Threaded comment]
Your version of Excel allows you to read this threaded comment; however, any edits to it will get removed if the file is opened in a newer version of Excel. Learn more: https://go.microsoft.com/fwlink/?linkid=870924
Comment:
    These must be approximations?
Reply:
    The number of person years is from Table 3. I thought that the end of follow-up here is the same (31/12/2011). The only thing that differs here is that a death in a prostate cancer patient is not always classed as an event. The deceased person is still censored at death. Or is this an error of thinking?
Reply:
    Apologies - what I meant was that this seems to be the number of woman-years for the entire cohort until 31/12/2011, not just for the analysis where deaths are counted for cases diagnosed in the first 7 years. The number of woman-years for the latter would likely not very different from this one here, but it would probably not be entirely the same. (So if we're keeping the numbers in the spreadsheet - which is OK with me - we might leave a note somewhere to say that this is an approximation)
Reply:
    I see. Fine with me. I will put it in the notes field.</t>
      </text>
    </comment>
    <comment ref="D396" authorId="177" shapeId="0" xr:uid="{02AE96F3-2D8C-415B-9744-2D52A740DA79}">
      <text>
        <t>[Threaded comment]
Your version of Excel allows you to read this threaded comment; however, any edits to it will get removed if the file is opened in a newer version of Excel. Learn more: https://go.microsoft.com/fwlink/?linkid=870924
Comment:
    We're not extracting 0-5 and 5-10 again because they were already covered in the previous publications, right?
Reply:
    Yes, the numbers are completely the same for the other follow-up times, so I don't extracted them again.
Reply:
    Excellent, thanks</t>
      </text>
    </comment>
    <comment ref="AE396" authorId="178" shapeId="0" xr:uid="{313EB357-BA15-4CC2-A389-775DA7E33E06}">
      <text>
        <t>[Threaded comment]
Your version of Excel allows you to read this threaded comment; however, any edits to it will get removed if the file is opened in a newer version of Excel. Learn more: https://go.microsoft.com/fwlink/?linkid=870924
Comment:
    Moss 2015 reported 181 deaths.</t>
      </text>
    </comment>
    <comment ref="AG396" authorId="179" shapeId="0" xr:uid="{129E4A5C-CB56-4193-A76F-EBB8BB0DEC71}">
      <text>
        <t>[Threaded comment]
Your version of Excel allows you to read this threaded comment; however, any edits to it will get removed if the file is opened in a newer version of Excel. Learn more: https://go.microsoft.com/fwlink/?linkid=870924
Comment:
    Slightly different number of person years compared to Moss 2015.</t>
      </text>
    </comment>
    <comment ref="P398" authorId="180" shapeId="0" xr:uid="{46C4EBBC-30FC-4873-ADBF-4B956DBFDC9A}">
      <text>
        <t>[Threaded comment]
Your version of Excel allows you to read this threaded comment; however, any edits to it will get removed if the file is opened in a newer version of Excel. Learn more: https://go.microsoft.com/fwlink/?linkid=870924
Comment:
    Last screening: 31 October 1982. "At this writing… status verified individually within the last two years…" Manuscript received 26 July 1983, published 1984.
Reply:
    Not clear. All we can say is approximately 1983 because of the statement above.</t>
      </text>
    </comment>
    <comment ref="AC398" authorId="181" shapeId="0" xr:uid="{064D2D12-97B9-4589-8CC0-BE4F20764E9C}">
      <text>
        <t>[Threaded comment]
Your version of Excel allows you to read this threaded comment; however, any edits to it will get removed if the file is opened in a newer version of Excel. Learn more: https://go.microsoft.com/fwlink/?linkid=870924
Comment:
    I wouldn't include the "dead of diagnostic procedure-related causes (lung cancer present)" in cancer-specific mortality. It wasn't the lung cancer that they died from.
Reply:
    I have added an additional row excluding these deaths.</t>
      </text>
    </comment>
    <comment ref="AE398" authorId="182" shapeId="0" xr:uid="{34F577CD-BD71-4A95-8CC5-7A5AB5564EEF}">
      <text>
        <t>[Threaded comment]
Your version of Excel allows you to read this threaded comment; however, any edits to it will get removed if the file is opened in a newer version of Excel. Learn more: https://go.microsoft.com/fwlink/?linkid=870924
Comment:
    74 if excluding the "diagnostic procedure deaths"
Reply:
    Added below.</t>
      </text>
    </comment>
    <comment ref="AF398" authorId="183" shapeId="0" xr:uid="{CBDFEC8D-D5EF-408A-95E4-7785D0C8D244}">
      <text>
        <t>[Threaded comment]
Your version of Excel allows you to read this threaded comment; however, any edits to it will get removed if the file is opened in a newer version of Excel. Learn more: https://go.microsoft.com/fwlink/?linkid=870924
Comment:
    82 if excluding the "diagnostic procedure deaths"
Reply:
    Added below.</t>
      </text>
    </comment>
    <comment ref="AK398" authorId="184" shapeId="0" xr:uid="{3EECEDDC-E757-4370-8C47-099989262B84}">
      <text>
        <t>[Threaded comment]
Your version of Excel allows you to read this threaded comment; however, any edits to it will get removed if the file is opened in a newer version of Excel. Learn more: https://go.microsoft.com/fwlink/?linkid=870924
Comment:
    1.49 if excluding the "diagnostic procedure deaths"
Reply:
    Added below.</t>
      </text>
    </comment>
    <comment ref="AO398" authorId="185" shapeId="0" xr:uid="{FD57EA74-C042-4C26-86B0-28A3D0B3421E}">
      <text>
        <t>[Threaded comment]
Your version of Excel allows you to read this threaded comment; however, any edits to it will get removed if the file is opened in a newer version of Excel. Learn more: https://go.microsoft.com/fwlink/?linkid=870924
Comment:
    1.62 if excluding the "diagnostic procedure deaths"
Reply:
    Added below.</t>
      </text>
    </comment>
    <comment ref="P399" authorId="186" shapeId="0" xr:uid="{22B919B4-6BE5-4634-95AB-6464472CDA86}">
      <text>
        <t>[Threaded comment]
Your version of Excel allows you to read this threaded comment; however, any edits to it will get removed if the file is opened in a newer version of Excel. Learn more: https://go.microsoft.com/fwlink/?linkid=870924
Comment:
    Last screening: 31 October 1982. "At this writing… status verified individually within the last two years…" Manuscript received 26 July 1983, published 1984.
Reply:
    Not clear. All we can say is approximately 1983 because of the statement above.</t>
      </text>
    </comment>
    <comment ref="P400" authorId="187" shapeId="0" xr:uid="{B9B3C312-E504-431E-81A1-49A882FAC1AA}">
      <text>
        <t>[Threaded comment]
Your version of Excel allows you to read this threaded comment; however, any edits to it will get removed if the file is opened in a newer version of Excel. Learn more: https://go.microsoft.com/fwlink/?linkid=870924
Comment:
    Last screening: 31 October 1982. "At this writing… status verified individually within the last two years…" Manuscript received 26 July 1983, published 1984.
Reply:
    Not clear. All we can say is approximately 1983 because of the statement above.</t>
      </text>
    </comment>
    <comment ref="AC400" authorId="188" shapeId="0" xr:uid="{7AFFF450-A65E-4DF2-9C05-AB9706CEF2FA}">
      <text>
        <t>[Threaded comment]
Your version of Excel allows you to read this threaded comment; however, any edits to it will get removed if the file is opened in a newer version of Excel. Learn more: https://go.microsoft.com/fwlink/?linkid=870924
Comment:
    As earlier comment, can't tell for sure. Some point between 1982 and 1983.</t>
      </text>
    </comment>
    <comment ref="P401" authorId="189" shapeId="0" xr:uid="{F1970F64-A6E3-443F-9CD2-20DC0899358D}">
      <text>
        <t>[Threaded comment]
Your version of Excel allows you to read this threaded comment; however, any edits to it will get removed if the file is opened in a newer version of Excel. Learn more: https://go.microsoft.com/fwlink/?linkid=870924
Comment:
    Paper published 1987. Lung cancer cases "still being followed" at the time of writing. Doria-Rose 2009 (#10966) reports that "all living lung cancer cases at Sloan-Kettering were followed for 4 to 8 months after all contact with noncases
had ceased."
Reply:
    Can't tell. Says still being followed at time of paper so ~1987</t>
      </text>
    </comment>
    <comment ref="Q401" authorId="190" shapeId="0" xr:uid="{71E9C5ED-29B0-4391-8135-15F1731954A2}">
      <text>
        <t>[Threaded comment]
Your version of Excel allows you to read this threaded comment; however, any edits to it will get removed if the file is opened in a newer version of Excel. Learn more: https://go.microsoft.com/fwlink/?linkid=870924
Comment:
    5-8 years active screening period + 2-year postscreen period. LC cases then "still being followed"...</t>
      </text>
    </comment>
    <comment ref="AC401" authorId="191" shapeId="0" xr:uid="{0F52E249-F87D-41F2-8B0D-A7C341100CCC}">
      <text>
        <t>[Threaded comment]
Your version of Excel allows you to read this threaded comment; however, any edits to it will get removed if the file is opened in a newer version of Excel. Learn more: https://go.microsoft.com/fwlink/?linkid=870924
Comment:
    Seems to be 1987, but this is not clearly reported.</t>
      </text>
    </comment>
    <comment ref="Y404" authorId="192" shapeId="0" xr:uid="{0B22F18F-8C93-423D-95E0-EB5D7B70A4B8}">
      <text>
        <t>[Threaded comment]
Your version of Excel allows you to read this threaded comment; however, any edits to it will get removed if the file is opened in a newer version of Excel. Learn more: https://go.microsoft.com/fwlink/?linkid=870924
Comment:
    "… updated information regarding their vital status, causes of death and occurrence of any newly diagnosed malignancy was available for 96.6% of LDCT patients and 94.7% of controls."
Reply:
    Looks correct to me</t>
      </text>
    </comment>
    <comment ref="AA404" authorId="193" shapeId="0" xr:uid="{384584A0-9D7D-4797-BBA4-15486BD9BA3A}">
      <text>
        <t xml:space="preserve">[Threaded comment]
Your version of Excel allows you to read this threaded comment; however, any edits to it will get removed if the file is opened in a newer version of Excel. Learn more: https://go.microsoft.com/fwlink/?linkid=870924
Comment:
    "… updated information regarding their vital status, causes of death and occurrence of any newly diagnosed malignancy was available for 96.6% of LDCT patients and 94.7% of controls."
Reply:
    Looks correct to me
</t>
      </text>
    </comment>
    <comment ref="AT404" authorId="194" shapeId="0" xr:uid="{29AE4852-B16C-4701-9663-A6ACAB757C1B}">
      <text>
        <t>[Threaded comment]
Your version of Excel allows you to read this threaded comment; however, any edits to it will get removed if the file is opened in a newer version of Excel. Learn more: https://go.microsoft.com/fwlink/?linkid=870924
Comment:
    Should be AK3/AO3, which gives 0.94
Reply:
    Corrected.</t>
      </text>
    </comment>
    <comment ref="Y405" authorId="195" shapeId="0" xr:uid="{5E82C252-F6B8-476A-BF9C-DAC2F22EC15F}">
      <text>
        <t xml:space="preserve">[Threaded comment]
Your version of Excel allows you to read this threaded comment; however, any edits to it will get removed if the file is opened in a newer version of Excel. Learn more: https://go.microsoft.com/fwlink/?linkid=870924
Comment:
    "… updated information regarding their vital status, causes of death and occurrence of any newly diagnosed malignancy was available for 96.6% of LDCT patients and 94.7% of controls."
Reply:
    Looks correct to me
</t>
      </text>
    </comment>
    <comment ref="AA405" authorId="196" shapeId="0" xr:uid="{AEE1861F-9B4F-49CA-A4AC-7FEB8E1EB13A}">
      <text>
        <t xml:space="preserve">[Threaded comment]
Your version of Excel allows you to read this threaded comment; however, any edits to it will get removed if the file is opened in a newer version of Excel. Learn more: https://go.microsoft.com/fwlink/?linkid=870924
Comment:
    "… updated information regarding their vital status, causes of death and occurrence of any newly diagnosed malignancy was available for 96.6% of LDCT patients and 94.7% of controls."
Reply:
    Looks correct to me
</t>
      </text>
    </comment>
    <comment ref="AT405" authorId="197" shapeId="0" xr:uid="{ED07F04C-1D6D-450B-886C-C400B5D919EC}">
      <text>
        <t>[Threaded comment]
Your version of Excel allows you to read this threaded comment; however, any edits to it will get removed if the file is opened in a newer version of Excel. Learn more: https://go.microsoft.com/fwlink/?linkid=870924
Comment:
    Should be AK3/AO3, which gives 0.96</t>
      </text>
    </comment>
    <comment ref="Y406" authorId="198" shapeId="0" xr:uid="{E390A639-F0A8-461A-8C92-066EAC431D91}">
      <text>
        <t>[Threaded comment]
Your version of Excel allows you to read this threaded comment; however, any edits to it will get removed if the file is opened in a newer version of Excel. Learn more: https://go.microsoft.com/fwlink/?linkid=870924
Comment:
    Figure 1 reports "1 died of an unknown cause". Table 4 reports 2 with unknown cause: "One patient died of disseminated cancer of unknown origin, and one patient died of unknown causes in a foreign country."
Reply:
    1 missing, I think.
I read it as 1 unknown (person who died in a foreign country) and 1 who died of cancer (but they don't know which type). Only the first is truly missing.</t>
      </text>
    </comment>
    <comment ref="Y407" authorId="199" shapeId="0" xr:uid="{E30BC1D1-D170-4713-AB1B-9B7AB058B6AA}">
      <text>
        <t>[Threaded comment]
Your version of Excel allows you to read this threaded comment; however, any edits to it will get removed if the file is opened in a newer version of Excel. Learn more: https://go.microsoft.com/fwlink/?linkid=870924
Comment:
    Figure 1 reports "1 died of an unknown cause". Table 4 reports 2 with unknown cause: "One patient died of disseminated cancer of unknown origin, and one patient died of unknown causes in a foreign country."
Reply:
    1 missing, I think.
I read it as 1 unknown (person who died in a foreign country) and 1 who died of cancer (but they don't know which type). Only the first is truly missing.</t>
      </text>
    </comment>
    <comment ref="Y408" authorId="200" shapeId="0" xr:uid="{B2683885-4A38-4A7E-8A1E-5F77F43CD874}">
      <text>
        <t>[Threaded comment]
Your version of Excel allows you to read this threaded comment; however, any edits to it will get removed if the file is opened in a newer version of Excel. Learn more: https://go.microsoft.com/fwlink/?linkid=870924
Comment:
    Figure 1 reports "1 died of an unknown cause". Table 4 reports 2 with unknown cause: "One patient died of disseminated cancer of unknown origin, and one patient died of unknown causes in a foreign country."
Reply:
    1 missing, I think.
I read it as 1 unknown (person who died in a foreign country) and 1 who died of cancer (but they don't know which type). Only the first is truly missing.</t>
      </text>
    </comment>
    <comment ref="B409" authorId="201" shapeId="0" xr:uid="{5F92FFD8-4439-4AAB-94E9-98E175916525}">
      <text>
        <t>[Threaded comment]
Your version of Excel allows you to read this threaded comment; however, any edits to it will get removed if the file is opened in a newer version of Excel. Learn more: https://go.microsoft.com/fwlink/?linkid=870924
Comment:
    2015</t>
      </text>
    </comment>
    <comment ref="B410" authorId="202" shapeId="0" xr:uid="{4918D85F-9187-439F-8C2C-5463B5881464}">
      <text>
        <t>[Threaded comment]
Your version of Excel allows you to read this threaded comment; however, any edits to it will get removed if the file is opened in a newer version of Excel. Learn more: https://go.microsoft.com/fwlink/?linkid=870924
Comment:
    2015</t>
      </text>
    </comment>
    <comment ref="AT410" authorId="203" shapeId="0" xr:uid="{A55206AF-0375-405C-9071-5961DCFD8E9A}">
      <text>
        <t>[Threaded comment]
Your version of Excel allows you to read this threaded comment; however, any edits to it will get removed if the file is opened in a newer version of Excel. Learn more: https://go.microsoft.com/fwlink/?linkid=870924
Comment:
    Should be AK9/AO9  'cos it's "calculated rate" - doesn't change estimate.</t>
      </text>
    </comment>
    <comment ref="B411" authorId="204" shapeId="0" xr:uid="{A7269E34-C3F6-4EC1-B1E0-8D648DA82D11}">
      <text>
        <t>[Threaded comment]
Your version of Excel allows you to read this threaded comment; however, any edits to it will get removed if the file is opened in a newer version of Excel. Learn more: https://go.microsoft.com/fwlink/?linkid=870924
Comment:
    2015</t>
      </text>
    </comment>
    <comment ref="AT411" authorId="205" shapeId="0" xr:uid="{91ECDEAA-F2F3-42D6-B93E-F89AD4C251BB}">
      <text>
        <t xml:space="preserve">[Threaded comment]
Your version of Excel allows you to read this threaded comment; however, any edits to it will get removed if the file is opened in a newer version of Excel. Learn more: https://go.microsoft.com/fwlink/?linkid=870924
Comment:
    Should be AK10/AO10  'cos it's "calculated rate" - doesn't change estimate.
</t>
      </text>
    </comment>
    <comment ref="BD419" authorId="206" shapeId="0" xr:uid="{B55B030E-6AF7-4503-927F-ABFF7A901306}">
      <text>
        <t>[Threaded comment]
Your version of Excel allows you to read this threaded comment; however, any edits to it will get removed if the file is opened in a newer version of Excel. Learn more: https://go.microsoft.com/fwlink/?linkid=870924
Comment:
    Out of curiosity, why is this note for 8, 9, and 10 years different to the others?
Reply:
    Because not all participants have had 8, 9 or 10 years of follow-up yet. Recruitment was October 2007 to April 2011, the end of follow-up here was 30 April 2018, so the later recruited people only had a maximum of 7 years of follow-up and are missing for the time points 8, 9 and 10 years since randomisation. This is why the figures show the data for these timepoints as dashed line only: "after April 2018, only part of study participants had reached longer postrandomization follow-up
times longer than 7 years. Dashed line corresponds to years post randomization for which follow-up was only partially complete until April 2018".
Reply:
    Thank you.</t>
      </text>
    </comment>
    <comment ref="D460" authorId="207" shapeId="0" xr:uid="{5076DF4F-BF50-44D2-A520-64D66E3DE344}">
      <text>
        <t>[Threaded comment]
Your version of Excel allows you to read this threaded comment; however, any edits to it will get removed if the file is opened in a newer version of Excel. Learn more: https://go.microsoft.com/fwlink/?linkid=870924
Comment:
    Why have we switch from per 1000 to per 100 people here?
Reply:
    Because the paper reported rates per 100 people (so %) and I wanted to use the same unit as the paper to compare my calculated rate with the reported rate.
Reply:
    Okay!</t>
      </text>
    </comment>
    <comment ref="D461" authorId="208" shapeId="0" xr:uid="{B5781757-C78B-4704-A1E8-A8714E705933}">
      <text>
        <t>[Threaded comment]
Your version of Excel allows you to read this threaded comment; however, any edits to it will get removed if the file is opened in a newer version of Excel. Learn more: https://go.microsoft.com/fwlink/?linkid=870924
Comment:
    Why have we switch from per 1000 to per 100 people here?
Reply:
    As row above.
Reply:
    Okay!</t>
      </text>
    </comment>
    <comment ref="K462" authorId="209" shapeId="0" xr:uid="{A74D0BF1-08A8-4557-97F0-95D40972C2F4}">
      <text>
        <t>[Threaded comment]
Your version of Excel allows you to read this threaded comment; however, any edits to it will get removed if the file is opened in a newer version of Excel. Learn more: https://go.microsoft.com/fwlink/?linkid=870924
Comment:
    Tried to shorten the info. Can't see this info in the paper though???</t>
      </text>
    </comment>
    <comment ref="R462" authorId="210" shapeId="0" xr:uid="{721D2006-28E3-4CC8-97FC-12226BD19DA3}">
      <text>
        <t>[Threaded comment]
Your version of Excel allows you to read this threaded comment; however, any edits to it will get removed if the file is opened in a newer version of Excel. Learn more: https://go.microsoft.com/fwlink/?linkid=870924
Comment:
    Where are the mean years from?
Reply:
    I calculated it: Number of person years divided by number of women in group (columns T and U).</t>
      </text>
    </comment>
    <comment ref="T462" authorId="211" shapeId="0" xr:uid="{565E199D-0849-43F8-83B0-39974DE0D183}">
      <text>
        <t>[Threaded comment]
Your version of Excel allows you to read this threaded comment; however, any edits to it will get removed if the file is opened in a newer version of Excel. Learn more: https://go.microsoft.com/fwlink/?linkid=870924
Comment:
    Alternating mamo+clinical examination and clinical examination only, IC are cases presenting within 12 months of a negative screen</t>
      </text>
    </comment>
    <comment ref="AE462" authorId="212" shapeId="0" xr:uid="{9E797A37-91A4-4EB6-9A4A-7E298A4914AC}">
      <text>
        <t>[Threaded comment]
Your version of Excel allows you to read this threaded comment; however, any edits to it will get removed if the file is opened in a newer version of Excel. Learn more: https://go.microsoft.com/fwlink/?linkid=870924
Comment:
    I assume that number of brackets (BC deaths in non-attenders) is not additional deaths
Reply:
    Agree. Otherwise, the reported rate would be different.</t>
      </text>
    </comment>
    <comment ref="K463" authorId="213" shapeId="0" xr:uid="{DCF30BF2-AC4E-475A-B200-1852758AD0AE}">
      <text>
        <t>[Threaded comment]
Your version of Excel allows you to read this threaded comment; however, any edits to it will get removed if the file is opened in a newer version of Excel. Learn more: https://go.microsoft.com/fwlink/?linkid=870924
Comment:
    Tried to shorten the info. Can't see this info in the paper though???</t>
      </text>
    </comment>
    <comment ref="K464" authorId="214" shapeId="0" xr:uid="{B3873894-D3D6-4DB9-B162-9BC7813EE6B0}">
      <text>
        <t>[Threaded comment]
Your version of Excel allows you to read this threaded comment; however, any edits to it will get removed if the file is opened in a newer version of Excel. Learn more: https://go.microsoft.com/fwlink/?linkid=870924
Comment:
    Tried to shorten the info. Can't see this info in the paper though???</t>
      </text>
    </comment>
    <comment ref="K465" authorId="215" shapeId="0" xr:uid="{06FAA624-DA4C-4D79-A188-635EF33A08AB}">
      <text>
        <t>[Threaded comment]
Your version of Excel allows you to read this threaded comment; however, any edits to it will get removed if the file is opened in a newer version of Excel. Learn more: https://go.microsoft.com/fwlink/?linkid=870924
Comment:
    Tried to shorten the info. Can't see this info in the paper though???</t>
      </text>
    </comment>
    <comment ref="AR466" authorId="216" shapeId="0" xr:uid="{80F4211F-9EE2-4FD1-8A5C-4FFD8DFABC67}">
      <text>
        <t>[Threaded comment]
Your version of Excel allows you to read this threaded comment; however, any edits to it will get removed if the file is opened in a newer version of Excel. Learn more: https://go.microsoft.com/fwlink/?linkid=870924
Comment:
    Table II states "Odds ratio", but do you think the reported ratio could be a rate ratio?
In the statistics section, they say "Rates in study and control practices were compared and their ratio calculated. As before (Roberts et al., 1990), a modified logistic regression procedure incorporated adjustment for extrabinomial regression (Williams, 1982) so as to
respect the cluster randomisation."
In Roberts 1990, they seem to report the rate ratio...</t>
      </text>
    </comment>
    <comment ref="AC467" authorId="217" shapeId="0" xr:uid="{FC6952BF-E7D8-4B56-9A47-DECD53C5D11C}">
      <text>
        <t>[Threaded comment]
Your version of Excel allows you to read this threaded comment; however, any edits to it will get removed if the file is opened in a newer version of Excel. Learn more: https://go.microsoft.com/fwlink/?linkid=870924
Comment:
    Principal end point</t>
      </text>
    </comment>
    <comment ref="AR467" authorId="218" shapeId="0" xr:uid="{650E76BF-E75A-4D57-8B06-E15F0BB97F0F}">
      <text>
        <t>[Threaded comment]
Your version of Excel allows you to read this threaded comment; however, any edits to it will get removed if the file is opened in a newer version of Excel. Learn more: https://go.microsoft.com/fwlink/?linkid=870924
Comment:
    Table II states "Odds ratio", but do you think the reported ratio could be a rate ratio?
In the statistics section, they say "Rates in study and control practices were compared and their ratio calculated. As before (Roberts et al., 1990), a modified logistic regression procedure incorporated adjustment for extrabinomial regression (Williams, 1982) so as to
respect the cluster randomisation."
In Roberts 1990, they seem to report the rate ratio...</t>
      </text>
    </comment>
    <comment ref="AR468" authorId="219" shapeId="0" xr:uid="{1EC5606C-EC5A-4FBE-9FFD-4E8A80257AC4}">
      <text>
        <t>[Threaded comment]
Your version of Excel allows you to read this threaded comment; however, any edits to it will get removed if the file is opened in a newer version of Excel. Learn more: https://go.microsoft.com/fwlink/?linkid=870924
Comment:
    Table II states "Odds ratio", but do you think the reported ratio could be a rate ratio?
In the statistics section, they say "Rates in study and control practices were compared and their ratio calculated. As before (Roberts et al., 1990), a modified logistic regression procedure incorporated adjustment for extrabinomial regression (Williams, 1982) so as to
respect the cluster randomisation."
In Roberts 1990, they seem to report the rate ratio...</t>
      </text>
    </comment>
    <comment ref="AR469" authorId="220" shapeId="0" xr:uid="{38AE5BAF-BEF1-4602-96C6-2032ABFD3E1B}">
      <text>
        <t>[Threaded comment]
Your version of Excel allows you to read this threaded comment; however, any edits to it will get removed if the file is opened in a newer version of Excel. Learn more: https://go.microsoft.com/fwlink/?linkid=870924
Comment:
    Table II states "Odds ratio", but do you think the reported ratio could be a rate ratio?
In the statistics section, they say "Rates in study and control practices were compared and their ratio calculated. As before (Roberts et al., 1990), a modified logistic regression procedure incorporated adjustment for extrabinomial regression (Williams, 1982) so as to
respect the cluster randomisation."
In Roberts 1990, they seem to report the rate ratio...</t>
      </text>
    </comment>
    <comment ref="AR470" authorId="221" shapeId="0" xr:uid="{6B815502-B3B7-4E77-BF78-4E2067A6AEA9}">
      <text>
        <t>[Threaded comment]
Your version of Excel allows you to read this threaded comment; however, any edits to it will get removed if the file is opened in a newer version of Excel. Learn more: https://go.microsoft.com/fwlink/?linkid=870924
Comment:
    Table II states "Odds ratio", but do you think the reported ratio could be a rate ratio?
In the statistics section, they say "Rates in study and control practices were compared and their ratio calculated. As before (Roberts et al., 1990), a modified logistic regression procedure incorporated adjustment for extrabinomial regression (Williams, 1982) so as to
respect the cluster randomisation."
In Roberts 1990, they seem to report the rate ratio...</t>
      </text>
    </comment>
    <comment ref="AR471" authorId="222" shapeId="0" xr:uid="{8AE5038D-22C4-4FA4-ADF0-D50211C68E5E}">
      <text>
        <t>[Threaded comment]
Your version of Excel allows you to read this threaded comment; however, any edits to it will get removed if the file is opened in a newer version of Excel. Learn more: https://go.microsoft.com/fwlink/?linkid=870924
Comment:
    Table II states "Odds ratio", but do you think the reported ratio could be a rate ratio?
In the statistics section, they say "Rates in study and control practices were compared and their ratio calculated. As before (Roberts et al., 1990), a modified logistic regression procedure incorporated adjustment for extrabinomial regression (Williams, 1982) so as to
respect the cluster randomisation."
In Roberts 1990, they seem to report the rate ratio...</t>
      </text>
    </comment>
    <comment ref="AS473" authorId="223" shapeId="0" xr:uid="{994ABE50-619D-4F91-9B20-A95567C59E5F}">
      <text>
        <t>[Threaded comment]
Your version of Excel allows you to read this threaded comment; however, any edits to it will get removed if the file is opened in a newer version of Excel. Learn more: https://go.microsoft.com/fwlink/?linkid=870924
Comment:
    Is this adjusted for cluster design?
"Breast-cancer and other-cause mortality rates were calculated
as rates per 10 000 woman-years at risk for the two groups in the trial, and the risk ratio calculated with a modified logistic regression procedure, as in previous studies,2 , 3 incorporating
adjustment for extrabinomial variation by the method of
Williams 1 1 to respect the cluster randomisation."</t>
      </text>
    </comment>
    <comment ref="AS474" authorId="224" shapeId="0" xr:uid="{F4297A60-465C-439C-B323-8247CC07FB78}">
      <text>
        <t xml:space="preserve">[Threaded comment]
Your version of Excel allows you to read this threaded comment; however, any edits to it will get removed if the file is opened in a newer version of Excel. Learn more: https://go.microsoft.com/fwlink/?linkid=870924
Comment:
    Is this adjusted for cluster design?
"Breast-cancer and other-cause mortality rates were calculated
as rates per 10 000 woman-years at risk for the two groups in the trial, and the risk ratio calculated with a modified logistic regression procedure, as in previous studies,2 , 3 incorporating
adjustment for extrabinomial variation by the method of
Williams 1 1 to respect the cluster randomisation."
</t>
      </text>
    </comment>
    <comment ref="AS501" authorId="225" shapeId="0" xr:uid="{8B9D12C1-D312-4BF5-8192-FCE1D3E5DF75}">
      <text>
        <t>[Threaded comment]
Your version of Excel allows you to read this threaded comment; however, any edits to it will get removed if the file is opened in a newer version of Excel. Learn more: https://go.microsoft.com/fwlink/?linkid=870924
Comment:
    Text says the reported value is a "rate ratio" so might be based on person-years???
Reply:
    I calculated relative risk and rate ratio (unadjusted).
Rate ratio 1.1199 (0.8104, 1.5499)
Relative risk 1.1196 (0.8205, 1.5279)
So it does look like relative risk is correct.</t>
      </text>
    </comment>
    <comment ref="M506" authorId="226" shapeId="0" xr:uid="{A0316C8C-AA7B-49B3-A506-B4EDB82148D7}">
      <text>
        <t>[Threaded comment]
Your version of Excel allows you to read this threaded comment; however, any edits to it will get removed if the file is opened in a newer version of Excel. Learn more: https://go.microsoft.com/fwlink/?linkid=870924
Comment:
    Women aged 40 - 49
Reply:
    Yes, but that was captured in column C as I have labelled it as "CNBSS-1' which was the trial for the 40-49 year olds.
Reply:
    agreed</t>
      </text>
    </comment>
    <comment ref="U506" authorId="227" shapeId="0" xr:uid="{1E3D64ED-B03A-49DB-A975-8E41127ECC54}">
      <text>
        <t>[Threaded comment]
Your version of Excel allows you to read this threaded comment; however, any edits to it will get removed if the file is opened in a newer version of Excel. Learn more: https://go.microsoft.com/fwlink/?linkid=870924
Comment:
    The HR reported at the end of the row are for women aged 40 - 49, so shouldn't this be the number of women screened within this age rage? Which we don't know.
Reply:
    Fig. 1 reports individual numbers for 50,430 aged 40-49 years (=CNBSS-1):
25,214 intervention arm;
25,216 comparator arm.
Reply:
    agreed</t>
      </text>
    </comment>
    <comment ref="V506" authorId="228" shapeId="0" xr:uid="{D9867313-49E8-4DF3-BE34-41E9B0C373BC}">
      <text>
        <t>[Threaded comment]
Your version of Excel allows you to read this threaded comment; however, any edits to it will get removed if the file is opened in a newer version of Excel. Learn more: https://go.microsoft.com/fwlink/?linkid=870924
Comment:
    The HR reported at the end of the row are for women aged 40 - 49, so shouldn't this be the number of women screened within this age rage? Which we don't know.
Reply:
    Fig. 1 reports individual numbers for
50,430 aged 40-49 years (=CNBSS-1):
25,214 intervention arm;
25,216 comparator arm.
Reply:
    agreed</t>
      </text>
    </comment>
    <comment ref="AG506" authorId="229" shapeId="0" xr:uid="{5AE22741-543E-4DA2-8F83-B14DC3BB14D6}">
      <text>
        <t>[Threaded comment]
Your version of Excel allows you to read this threaded comment; however, any edits to it will get removed if the file is opened in a newer version of Excel. Learn more: https://go.microsoft.com/fwlink/?linkid=870924
Comment:
    The HR reported at the end of the row are for women aged 40 - 49, so shouldn't this be the number of women screened within this age rage? Which we don't know.
Reply:
    Fig. 1 reports individual numbers for
50,430 aged 40-49 years (=CNBSS-1):
25,214 intervention arm;
25,216 comparator arm.
Reply:
    agreed</t>
      </text>
    </comment>
    <comment ref="AH506" authorId="230" shapeId="0" xr:uid="{8CDA5F91-71DB-46AD-AEDD-D87C4ACC8A05}">
      <text>
        <t xml:space="preserve">[Threaded comment]
Your version of Excel allows you to read this threaded comment; however, any edits to it will get removed if the file is opened in a newer version of Excel. Learn more: https://go.microsoft.com/fwlink/?linkid=870924
Comment:
    The HR reported at the end of the row are for women aged 40 - 49, so shouldn't this be the number of women screened within this age rage? Which we don't know.
Reply:
    Fig. 1 reports individual numbers for
50,430 aged 40-49 years (=CNBSS-1):
25,214 intervention arm;
25,216 comparator arm.
Reply:
    agreed
</t>
      </text>
    </comment>
    <comment ref="M507" authorId="231" shapeId="0" xr:uid="{31A9484A-C7B6-4535-B5FB-5035F5A017C9}">
      <text>
        <t>[Threaded comment]
Your version of Excel allows you to read this threaded comment; however, any edits to it will get removed if the file is opened in a newer version of Excel. Learn more: https://go.microsoft.com/fwlink/?linkid=870924
Comment:
    Women aged 40 - 49
Reply:
    This row is for women aged 50-59 years, which is 'CNBSS-2'. I have coded it as 'CNBSS-2' in column C, so it's the 'whole' CNBSS-2 trial.
Reply:
    agreed</t>
      </text>
    </comment>
    <comment ref="U507" authorId="232" shapeId="0" xr:uid="{6EF5359F-C97B-4E04-871F-F34FE115E73C}">
      <text>
        <t>[Threaded comment]
Your version of Excel allows you to read this threaded comment; however, any edits to it will get removed if the file is opened in a newer version of Excel. Learn more: https://go.microsoft.com/fwlink/?linkid=870924
Comment:
    The HR reported at the end of the row are for women aged 50 - 59, so shouldn't this be the number of women screened within this age rage? Which we don't know.
Reply:
    Fig. 1 reports individual numbers for 39,405 aged 50-59 years (=CNBSS-2):
19,711 intervention arm;
19,694 comparator arm.
Reply:
    agreed</t>
      </text>
    </comment>
    <comment ref="V507" authorId="233" shapeId="0" xr:uid="{F24B23C0-1377-43FF-8512-0C343ED483CB}">
      <text>
        <t>[Threaded comment]
Your version of Excel allows you to read this threaded comment; however, any edits to it will get removed if the file is opened in a newer version of Excel. Learn more: https://go.microsoft.com/fwlink/?linkid=870924
Comment:
    The HR reported at the end of the row are for women aged 40 - 59, so shouldn't this be the number of women screened within this age rage? Which we don't know.
Reply:
    Fig. 1 reports individual numbers for 39,405 aged 50-59 years (=CNBSS-2):
19,711 intervention arm;
19,694 comparator arm.
Reply:
    agreed</t>
      </text>
    </comment>
    <comment ref="AG507" authorId="234" shapeId="0" xr:uid="{10004493-9812-486D-B702-FFAFA34A0FFA}">
      <text>
        <t xml:space="preserve">[Threaded comment]
Your version of Excel allows you to read this threaded comment; however, any edits to it will get removed if the file is opened in a newer version of Excel. Learn more: https://go.microsoft.com/fwlink/?linkid=870924
Comment:
    The HR reported at the end of the row are for women aged 50 - 59, so shouldn't this be the number of women screened within this age rage? Which we don't know.
Reply:
    Fig. 1 reports individual numbers for 39,405 aged 50-59 years (=CNBSS-2):
19,711 intervention arm;
19,694 comparator arm.
Reply:
    agreed
</t>
      </text>
    </comment>
    <comment ref="AH507" authorId="235" shapeId="0" xr:uid="{DD25932E-DD60-4353-8B1B-E7930D5B6BDA}">
      <text>
        <t xml:space="preserve">[Threaded comment]
Your version of Excel allows you to read this threaded comment; however, any edits to it will get removed if the file is opened in a newer version of Excel. Learn more: https://go.microsoft.com/fwlink/?linkid=870924
Comment:
    The HR reported at the end of the row are for women aged 40 - 59, so shouldn't this be the number of women screened within this age rage? Which we don't know.
Reply:
    Fig. 1 reports individual numbers for 39,405 aged 50-59 years (=CNBSS-2):
19,711 intervention arm;
19,694 comparator arm.
Reply:
    agreed
</t>
      </text>
    </comment>
    <comment ref="AJ508" authorId="236" shapeId="0" xr:uid="{66887FFA-08F5-4899-9B5B-C83E6EAA5EDC}">
      <text>
        <t xml:space="preserve">[Threaded comment]
Your version of Excel allows you to read this threaded comment; however, any edits to it will get removed if the file is opened in a newer version of Excel. Learn more: https://go.microsoft.com/fwlink/?linkid=870924
Comment:
    Different to calculated rate.
Reply:
    I agree that this is what is reported but the calculated rate is 111.297
Reply:
    I can't see anything in the paper that explains this.
</t>
      </text>
    </comment>
    <comment ref="AN508" authorId="237" shapeId="0" xr:uid="{A5FD361A-E2E7-4FC8-9D4A-4BFA763E03EC}">
      <text>
        <t>[Threaded comment]
Your version of Excel allows you to read this threaded comment; however, any edits to it will get removed if the file is opened in a newer version of Excel. Learn more: https://go.microsoft.com/fwlink/?linkid=870924
Comment:
    Different to calculated rate.
Reply:
    I agree that this is what is reported but the calculated rate is 112.447
Reply:
    I can't see anything in the paper that explains this.</t>
      </text>
    </comment>
    <comment ref="M510" authorId="238" shapeId="0" xr:uid="{6E18A3F6-CB57-40A5-83E5-8EAB4CEDC1A6}">
      <text>
        <t>[Threaded comment]
Your version of Excel allows you to read this threaded comment; however, any edits to it will get removed if the file is opened in a newer version of Excel. Learn more: https://go.microsoft.com/fwlink/?linkid=870924
Comment:
    Women aged 40 - 49
Reply:
    That was captured in column C as I have labelled it as "CNBSS-1' which was the trial for the 40-49 year olds. So, it's the 'whole' CNBSS-1 trial.
Reply:
    agreed</t>
      </text>
    </comment>
    <comment ref="D511" authorId="239" shapeId="0" xr:uid="{509F17E0-87CA-41F5-959D-2056249852D8}">
      <text>
        <t xml:space="preserve">[Threaded comment]
Your version of Excel allows you to read this threaded comment; however, any edits to it will get removed if the file is opened in a newer version of Excel. Learn more: https://go.microsoft.com/fwlink/?linkid=870924
Comment:
    Would be good to give more information in this column as this is where the row freezes when scrolling more to the right.
Just put enough information in to know which results this row is reporting.
</t>
      </text>
    </comment>
    <comment ref="R511" authorId="240" shapeId="0" xr:uid="{621883A3-29EB-4145-A517-CE122BBBFAF0}">
      <text>
        <t>[Threaded comment]
Your version of Excel allows you to read this threaded comment; however, any edits to it will get removed if the file is opened in a newer version of Excel. Learn more: https://go.microsoft.com/fwlink/?linkid=870924
Comment:
    Median?
Reply:
    I have calculated the mean: 643,401:72,890=8.8. The median was 9.0 years. I have added that.</t>
      </text>
    </comment>
    <comment ref="S511" authorId="241" shapeId="0" xr:uid="{E95B922A-B0B9-440A-9011-A6FCB5221A2E}">
      <text>
        <t>[Threaded comment]
Your version of Excel allows you to read this threaded comment; however, any edits to it will get removed if the file is opened in a newer version of Excel. Learn more: https://go.microsoft.com/fwlink/?linkid=870924
Comment:
    Shouldn't this be median of 9.0?
Reply:
    I have divided the number of PY by the number of men in the study arm to get the mean: 785,585:89,353=8.8. Have added the median as well now.</t>
      </text>
    </comment>
    <comment ref="R512" authorId="242" shapeId="0" xr:uid="{B65DBDA2-7CE2-4D75-A349-7CCA443DE06B}">
      <text>
        <t>[Threaded comment]
Your version of Excel allows you to read this threaded comment; however, any edits to it will get removed if the file is opened in a newer version of Excel. Learn more: https://go.microsoft.com/fwlink/?linkid=870924
Comment:
    I can't find these means
Reply:
    I have calculated them.</t>
      </text>
    </comment>
    <comment ref="AG515" authorId="243" shapeId="0" xr:uid="{9551021C-70BA-4FC2-90AF-D47A541AE1FF}">
      <text>
        <t>[Threaded comment]
Your version of Excel allows you to read this threaded comment; however, any edits to it will get removed if the file is opened in a newer version of Excel. Learn more: https://go.microsoft.com/fwlink/?linkid=870924
Comment:
    I've changed this based on Table 2- please check you are happy with it</t>
      </text>
    </comment>
    <comment ref="R520" authorId="244" shapeId="0" xr:uid="{616694A3-79A5-4C5F-8E8C-3D804A75339A}">
      <text>
        <t>[Threaded comment]
Your version of Excel allows you to read this threaded comment; however, any edits to it will get removed if the file is opened in a newer version of Excel. Learn more: https://go.microsoft.com/fwlink/?linkid=870924
Comment:
    I can't find these numbers either - you can show me
Reply:
    Sorry, I have calculated the mean by dividing the reported number of PY by the number of men in the arm.</t>
      </text>
    </comment>
    <comment ref="AE579" authorId="245" shapeId="0" xr:uid="{DF082F61-6D91-43C1-8C67-6E25F494EF57}">
      <text>
        <t>[Threaded comment]
Your version of Excel allows you to read this threaded comment; however, any edits to it will get removed if the file is opened in a newer version of Excel. Learn more: https://go.microsoft.com/fwlink/?linkid=870924
Comment:
    Figure 1 in appendix says 20,600 deaths?</t>
      </text>
    </comment>
    <comment ref="AF579" authorId="246" shapeId="0" xr:uid="{4BAFAE07-038E-45C0-A1EB-AFA5E18CDE27}">
      <text>
        <t>[Threaded comment]
Your version of Excel allows you to read this threaded comment; however, any edits to it will get removed if the file is opened in a newer version of Excel. Learn more: https://go.microsoft.com/fwlink/?linkid=870924
Comment:
    Figure 1 in appendix reports 24,542 deaths?</t>
      </text>
    </comment>
    <comment ref="N604" authorId="247" shapeId="0" xr:uid="{F45BEDBB-E720-419E-8813-D0BE4C393198}">
      <text>
        <t>[Threaded comment]
Your version of Excel allows you to read this threaded comment; however, any edits to it will get removed if the file is opened in a newer version of Excel. Learn more: https://go.microsoft.com/fwlink/?linkid=870924
Comment:
    Think it's for the core age group.</t>
      </text>
    </comment>
    <comment ref="N605" authorId="248" shapeId="0" xr:uid="{543B74CB-AF91-4F7F-ADEF-8FCE9C615AFF}">
      <text>
        <t>[Threaded comment]
Your version of Excel allows you to read this threaded comment; however, any edits to it will get removed if the file is opened in a newer version of Excel. Learn more: https://go.microsoft.com/fwlink/?linkid=870924
Comment:
    Think it's for the core age group.</t>
      </text>
    </comment>
    <comment ref="N606" authorId="249" shapeId="0" xr:uid="{90C3EAD5-E2BF-4F90-9653-337548BDF174}">
      <text>
        <t>[Threaded comment]
Your version of Excel allows you to read this threaded comment; however, any edits to it will get removed if the file is opened in a newer version of Excel. Learn more: https://go.microsoft.com/fwlink/?linkid=870924
Comment:
    Think it's for the core age group.</t>
      </text>
    </comment>
    <comment ref="N607" authorId="250" shapeId="0" xr:uid="{C79A27B4-6B80-4E53-87E3-D2823EF9862F}">
      <text>
        <t>[Threaded comment]
Your version of Excel allows you to read this threaded comment; however, any edits to it will get removed if the file is opened in a newer version of Excel. Learn more: https://go.microsoft.com/fwlink/?linkid=870924
Comment:
    Think it's for the core age group.</t>
      </text>
    </comment>
    <comment ref="N608" authorId="251" shapeId="0" xr:uid="{95216C61-C798-4B4C-AEB9-B3DF660572C9}">
      <text>
        <t>[Threaded comment]
Your version of Excel allows you to read this threaded comment; however, any edits to it will get removed if the file is opened in a newer version of Excel. Learn more: https://go.microsoft.com/fwlink/?linkid=870924
Comment:
    Think it's for the core age group.</t>
      </text>
    </comment>
    <comment ref="N609" authorId="252" shapeId="0" xr:uid="{57803782-DC1C-4D7C-822A-22BA2277D01E}">
      <text>
        <t>[Threaded comment]
Your version of Excel allows you to read this threaded comment; however, any edits to it will get removed if the file is opened in a newer version of Excel. Learn more: https://go.microsoft.com/fwlink/?linkid=870924
Comment:
    Think it's for the core age group.</t>
      </text>
    </comment>
    <comment ref="N610" authorId="253" shapeId="0" xr:uid="{42FF05D8-17FF-4956-B299-C366654890AB}">
      <text>
        <t>[Threaded comment]
Your version of Excel allows you to read this threaded comment; however, any edits to it will get removed if the file is opened in a newer version of Excel. Learn more: https://go.microsoft.com/fwlink/?linkid=870924
Comment:
    Think it's for the core age group.</t>
      </text>
    </comment>
    <comment ref="AW611" authorId="254" shapeId="0" xr:uid="{0CF73507-A968-47F0-9C80-4B1FE8D5F934}">
      <text>
        <t>[Threaded comment]
Your version of Excel allows you to read this threaded comment; however, any edits to it will get removed if the file is opened in a newer version of Excel. Learn more: https://go.microsoft.com/fwlink/?linkid=870924
Comment:
    I think this is the p-value for the % of men who died not for the rate ratio.</t>
      </text>
    </comment>
    <comment ref="AW613" authorId="255" shapeId="0" xr:uid="{7321C814-4300-4683-AE18-E713DF09A39B}">
      <text>
        <t>[Threaded comment]
Your version of Excel allows you to read this threaded comment; however, any edits to it will get removed if the file is opened in a newer version of Excel. Learn more: https://go.microsoft.com/fwlink/?linkid=870924
Comment:
    I think this is the p-value for the % of men who died not for the rate ratio.</t>
      </text>
    </comment>
    <comment ref="BC623" authorId="256" shapeId="0" xr:uid="{3E779C91-FC3D-4467-9EC7-B87B7D3CFA00}">
      <text>
        <t>[Threaded comment]
Your version of Excel allows you to read this threaded comment; however, any edits to it will get removed if the file is opened in a newer version of Excel. Learn more: https://go.microsoft.com/fwlink/?linkid=870924
Comment:
    I can't see a Table 5?
Reply:
    Sorry, it's in Table 4.</t>
      </text>
    </comment>
    <comment ref="AU640" authorId="257" shapeId="0" xr:uid="{2C4EF897-CB24-459F-9F7B-22360525282F}">
      <text>
        <t>[Threaded comment]
Your version of Excel allows you to read this threaded comment; however, any edits to it will get removed if the file is opened in a newer version of Excel. Learn more: https://go.microsoft.com/fwlink/?linkid=870924
Comment:
    These numbers are marginally different to what is reported in table 2 - maybe some adjustment?
Reply:
    Think Table 2 might report the rate ratios and Table 3A (as well as Figure 3) hazard ratios? I have changed the values to the ones reported in Table 2.</t>
      </text>
    </comment>
    <comment ref="A643" authorId="258" shapeId="0" xr:uid="{91AC946B-5439-4DB3-8AA0-321B0862D49E}">
      <text>
        <t>[Threaded comment]
Your version of Excel allows you to read this threaded comment; however, any edits to it will get removed if the file is opened in a newer version of Excel. Learn more: https://go.microsoft.com/fwlink/?linkid=870924
Comment:
    Also reports PC mortality rate ratios at 16 year-follow-up for age groups 50-54; 55-59 and 60-64 years.</t>
      </text>
    </comment>
    <comment ref="A644" authorId="259" shapeId="0" xr:uid="{50ECE829-7003-4765-B79C-2896E134BEB2}">
      <text>
        <t>[Threaded comment]
Your version of Excel allows you to read this threaded comment; however, any edits to it will get removed if the file is opened in a newer version of Excel. Learn more: https://go.microsoft.com/fwlink/?linkid=870924
Comment:
    Also reports PC mortality rate ratios at 14 year-follow-up for age groups 50-54; 55-59 and 60-64 years.</t>
      </text>
    </comment>
    <comment ref="Y677" authorId="260" shapeId="0" xr:uid="{3C4E489B-A2F8-4669-9D08-947FD5DD284D}">
      <text>
        <t>[Threaded comment]
Your version of Excel allows you to read this threaded comment; however, any edits to it will get removed if the file is opened in a newer version of Excel. Learn more: https://go.microsoft.com/fwlink/?linkid=870924
Comment:
    6? Or are you excluding the 2 excluded from randomisation?
Reply:
    Yes, I had excluded them.</t>
      </text>
    </comment>
    <comment ref="AC682" authorId="261" shapeId="0" xr:uid="{D431D19B-C09C-4D24-9480-2065B73525E7}">
      <text>
        <t>[Threaded comment]
Your version of Excel allows you to read this threaded comment; however, any edits to it will get removed if the file is opened in a newer version of Excel. Learn more: https://go.microsoft.com/fwlink/?linkid=870924
Comment:
    I think these two are the wrong way round? Based on the numbers from AE
Reply:
    Corrected.</t>
      </text>
    </comment>
    <comment ref="R693" authorId="262" shapeId="0" xr:uid="{CB91BCCF-8DB4-4ECF-8430-F785F4E8BEAC}">
      <text>
        <t>[Threaded comment]
Your version of Excel allows you to read this threaded comment; however, any edits to it will get removed if the file is opened in a newer version of Excel. Learn more: https://go.microsoft.com/fwlink/?linkid=870924
Comment:
    I can't find the mean 13.9
Reply:
    Calculated: 431,190 PY divided by 30,967 persons = 13.9.</t>
      </text>
    </comment>
    <comment ref="R696" authorId="263" shapeId="0" xr:uid="{EAF990D0-1505-444F-B9D9-9832441C56DE}">
      <text>
        <t>[Threaded comment]
Your version of Excel allows you to read this threaded comment; however, any edits to it will get removed if the file is opened in a newer version of Excel. Learn more: https://go.microsoft.com/fwlink/?linkid=870924
Comment:
    I can't see the 19.5 either, do you calculate them somehow or am I not very observant?
Reply:
    Calculated: 605,023 PY divided by 30,966 persons = 19.5 years.</t>
      </text>
    </comment>
    <comment ref="A698" authorId="264" shapeId="0" xr:uid="{06030E46-2054-4E46-98CE-6A947AB5F90B}">
      <text>
        <t xml:space="preserve">[Threaded comment]
Your version of Excel allows you to read this threaded comment; however, any edits to it will get removed if the file is opened in a newer version of Excel. Learn more: https://go.microsoft.com/fwlink/?linkid=870924
Comment:
    I have not extracted mortality by age group or gender as we don't have surrogate 1.-4. outcomes for these subgroups. Bech 1991 reports surrogate 5 by gender though. </t>
      </text>
    </comment>
    <comment ref="A699" authorId="265" shapeId="0" xr:uid="{F159C831-D189-4C51-8CA5-79C1FBA55081}">
      <text>
        <t xml:space="preserve">[Threaded comment]
Your version of Excel allows you to read this threaded comment; however, any edits to it will get removed if the file is opened in a newer version of Excel. Learn more: https://go.microsoft.com/fwlink/?linkid=870924
Comment:
    I have not extracted mortality by age group or gender as we don't have surrogate 1.-4. outcomes for these subgroups. Bech 1991 reports surrogate 5 by gender though. </t>
      </text>
    </comment>
    <comment ref="AS699" authorId="266" shapeId="0" xr:uid="{F1654589-9CB0-4935-AD0B-010245A22BA4}">
      <text>
        <t>[Threaded comment]
Your version of Excel allows you to read this threaded comment; however, any edits to it will get removed if the file is opened in a newer version of Excel. Learn more: https://go.microsoft.com/fwlink/?linkid=870924
Comment:
    Different from reported RR.</t>
      </text>
    </comment>
    <comment ref="A701" authorId="267" shapeId="0" xr:uid="{9F3E4AC3-D64F-4830-9ADB-DE9D04D7F26A}">
      <text>
        <t>[Threaded comment]
Your version of Excel allows you to read this threaded comment; however, any edits to it will get removed if the file is opened in a newer version of Excel. Learn more: https://go.microsoft.com/fwlink/?linkid=870924
Comment:
    Also reports number with breast cancer present at death (not necessarily the cause of death).
Reply:
    Not applicable for the breast cancer specific mortality.</t>
      </text>
    </comment>
    <comment ref="K705" authorId="268" shapeId="0" xr:uid="{9459652B-A593-4AC1-9520-C0B3C4395F34}">
      <text>
        <t>[Threaded comment]
Your version of Excel allows you to read this threaded comment; however, any edits to it will get removed if the file is opened in a newer version of Excel. Learn more: https://go.microsoft.com/fwlink/?linkid=870924
Comment:
    I couldn't see how non-BC deaths were determined.
Reply:
    Possibly also from the Swedish Cause of Death Register?
Reply:
    That would make sense. Just mentioning 'cos it wasn't explicit.</t>
      </text>
    </comment>
    <comment ref="AO705" authorId="269" shapeId="0" xr:uid="{5B82DD0E-5FD7-4337-8231-6D9DFCF7FE8A}">
      <text>
        <t>[Threaded comment]
Your version of Excel allows you to read this threaded comment; however, any edits to it will get removed if the file is opened in a newer version of Excel. Learn more: https://go.microsoft.com/fwlink/?linkid=870924
Comment:
    Slightly different to reported rate???
Reply:
    Assume it's because they used Poisson regression.</t>
      </text>
    </comment>
    <comment ref="AX707" authorId="270" shapeId="0" xr:uid="{A3DFC0C4-83A7-42BC-8EAD-18D745B701E5}">
      <text>
        <t>[Threaded comment]
Your version of Excel allows you to read this threaded comment; however, any edits to it will get removed if the file is opened in a newer version of Excel. Learn more: https://go.microsoft.com/fwlink/?linkid=870924
Comment:
    Also reports age adjustment (Table 5)
Reply:
    Added here. Weighted RRs and Cis using Mantel-Haenszel procedures moved to "unadjusted estimates" after discussion with Adam.</t>
      </text>
    </comment>
    <comment ref="AY707" authorId="271" shapeId="0" xr:uid="{44BA5604-7513-4C2B-A2FA-ACF64AE0B981}">
      <text>
        <t>[Threaded comment]
Your version of Excel allows you to read this threaded comment; however, any edits to it will get removed if the file is opened in a newer version of Excel. Learn more: https://go.microsoft.com/fwlink/?linkid=870924
Comment:
    0.78
Reply:
    Changed.</t>
      </text>
    </comment>
    <comment ref="AZ707" authorId="272" shapeId="0" xr:uid="{F1345A81-091B-4F02-BB8E-13C62FFF08D6}">
      <text>
        <t>[Threaded comment]
Your version of Excel allows you to read this threaded comment; however, any edits to it will get removed if the file is opened in a newer version of Excel. Learn more: https://go.microsoft.com/fwlink/?linkid=870924
Comment:
    0.57
Reply:
    Changed.</t>
      </text>
    </comment>
    <comment ref="BA707" authorId="273" shapeId="0" xr:uid="{AB1473D0-D555-43C6-B5A0-7463B0F579D4}">
      <text>
        <t>[Threaded comment]
Your version of Excel allows you to read this threaded comment; however, any edits to it will get removed if the file is opened in a newer version of Excel. Learn more: https://go.microsoft.com/fwlink/?linkid=870924
Comment:
    1.07
Reply:
    Changed.</t>
      </text>
    </comment>
    <comment ref="R728" authorId="274" shapeId="0" xr:uid="{F41225B0-8A0F-4565-A018-410C950F8717}">
      <text>
        <r>
          <rPr>
            <b/>
            <sz val="9"/>
            <color indexed="81"/>
            <rFont val="Tahoma"/>
            <family val="2"/>
          </rPr>
          <t>Randell, Matthew:</t>
        </r>
        <r>
          <rPr>
            <sz val="9"/>
            <color indexed="81"/>
            <rFont val="Tahoma"/>
            <family val="2"/>
          </rPr>
          <t xml:space="preserve">
From first screening invitation. Mean 8 years 8 months (range 6yrs7months - 13years 5 months) from last screening occasion.
JG - HERE, WE ONLY NEED THE FOLLOW-UP TIME FROM RANDOMISATION.</t>
        </r>
      </text>
    </comment>
    <comment ref="AW728" authorId="274" shapeId="0" xr:uid="{8D0840A6-9A42-493C-AB44-75D5A535AAE1}">
      <text>
        <r>
          <rPr>
            <b/>
            <sz val="9"/>
            <color indexed="81"/>
            <rFont val="Tahoma"/>
            <family val="2"/>
          </rPr>
          <t>Randell, Matthew:</t>
        </r>
        <r>
          <rPr>
            <sz val="9"/>
            <color indexed="81"/>
            <rFont val="Tahoma"/>
            <family val="2"/>
          </rPr>
          <t xml:space="preserve">
Disease-specific survival from the time of diagnosis was significantly higher among those who had a screen-detected cancer than in controls (P &lt; 0·001).
JG - MY UNDERSTANDING IS THAT "DISEASE-SPECIFIC SURVIVAL" IS DIFFERENT TO "CRC MORTALITY". THINK THE ONLY INFORMATION WE HAVE COMES FROM THE SENTENCE "However, the groups differed significantly in colorectal cancer mortality (odds ratio 0·84 (95 per cent c.i. 0·71 to 0·99))".
MJR - Had to read up on the difference but I think you're right, &lt;0.05 would be correct.</t>
        </r>
      </text>
    </comment>
    <comment ref="R729" authorId="274" shapeId="0" xr:uid="{1AE9C7F3-46A7-45BE-8EBA-2C22BC406A6D}">
      <text>
        <r>
          <rPr>
            <b/>
            <sz val="9"/>
            <color indexed="81"/>
            <rFont val="Tahoma"/>
            <family val="2"/>
          </rPr>
          <t>Randell, Matthew:</t>
        </r>
        <r>
          <rPr>
            <sz val="9"/>
            <color indexed="81"/>
            <rFont val="Tahoma"/>
            <family val="2"/>
          </rPr>
          <t xml:space="preserve">
as above</t>
        </r>
      </text>
    </comment>
    <comment ref="J730" authorId="274" shapeId="0" xr:uid="{DDFFF252-2A54-4604-9540-40241A743480}">
      <text>
        <r>
          <rPr>
            <b/>
            <sz val="9"/>
            <color indexed="81"/>
            <rFont val="Tahoma"/>
            <family val="2"/>
          </rPr>
          <t>Randell, Matthew:</t>
        </r>
        <r>
          <rPr>
            <sz val="9"/>
            <color indexed="81"/>
            <rFont val="Tahoma"/>
            <family val="2"/>
          </rPr>
          <t xml:space="preserve">
Should be all-cause.
JG - CORRECTED.</t>
        </r>
      </text>
    </comment>
    <comment ref="R730" authorId="274" shapeId="0" xr:uid="{F41C0672-42B6-481B-A3E0-9F27938C7592}">
      <text>
        <r>
          <rPr>
            <b/>
            <sz val="9"/>
            <color indexed="81"/>
            <rFont val="Tahoma"/>
            <family val="2"/>
          </rPr>
          <t>Randell, Matthew:</t>
        </r>
        <r>
          <rPr>
            <sz val="9"/>
            <color indexed="81"/>
            <rFont val="Tahoma"/>
            <family val="2"/>
          </rPr>
          <t xml:space="preserve">
as above</t>
        </r>
      </text>
    </comment>
    <comment ref="J731" authorId="274" shapeId="0" xr:uid="{99467D10-657F-4ABD-A35E-658F6C7563E8}">
      <text>
        <r>
          <rPr>
            <b/>
            <sz val="9"/>
            <color indexed="81"/>
            <rFont val="Tahoma"/>
            <family val="2"/>
          </rPr>
          <t>Randell, Matthew:</t>
        </r>
        <r>
          <rPr>
            <sz val="9"/>
            <color indexed="81"/>
            <rFont val="Tahoma"/>
            <family val="2"/>
          </rPr>
          <t xml:space="preserve">
Should be all-cause.
JG - CORRECTED.</t>
        </r>
      </text>
    </comment>
    <comment ref="R731" authorId="274" shapeId="0" xr:uid="{4CDAE637-E060-4DBB-B2B5-4B9396472EE5}">
      <text>
        <r>
          <rPr>
            <b/>
            <sz val="9"/>
            <color indexed="81"/>
            <rFont val="Tahoma"/>
            <family val="2"/>
          </rPr>
          <t>Randell, Matthew:</t>
        </r>
        <r>
          <rPr>
            <sz val="9"/>
            <color indexed="81"/>
            <rFont val="Tahoma"/>
            <family val="2"/>
          </rPr>
          <t xml:space="preserve">
as above</t>
        </r>
      </text>
    </comment>
    <comment ref="R733" authorId="275" shapeId="0" xr:uid="{A36C3735-318A-4212-B104-3B9B562D6CE3}">
      <text>
        <t>[Threaded comment]
Your version of Excel allows you to read this threaded comment; however, any edits to it will get removed if the file is opened in a newer version of Excel. Learn more: https://go.microsoft.com/fwlink/?linkid=870924
Comment:
    From Aron 1986 (#11132)
Reply:
    agreed</t>
      </text>
    </comment>
    <comment ref="S733" authorId="276" shapeId="0" xr:uid="{6219FF56-3254-45D4-9440-9B85FBD76799}">
      <text>
        <t xml:space="preserve">[Threaded comment]
Your version of Excel allows you to read this threaded comment; however, any edits to it will get removed if the file is opened in a newer version of Excel. Learn more: https://go.microsoft.com/fwlink/?linkid=870924
Comment:
    From Aron 1986 (#11132).
Reply:
    agreed
</t>
      </text>
    </comment>
    <comment ref="AG733" authorId="277" shapeId="0" xr:uid="{A7524E8C-05DA-4A39-B9E1-5B49F75D505C}">
      <text>
        <t>[Threaded comment]
Your version of Excel allows you to read this threaded comment; however, any edits to it will get removed if the file is opened in a newer version of Excel. Learn more: https://go.microsoft.com/fwlink/?linkid=870924
Comment:
    Estimated from reported rates and number of deaths.
Reply:
    agreed</t>
      </text>
    </comment>
    <comment ref="AH733" authorId="278" shapeId="0" xr:uid="{26BC2057-7DD0-42C9-93BC-52DD9D40B8F9}">
      <text>
        <t xml:space="preserve">[Threaded comment]
Your version of Excel allows you to read this threaded comment; however, any edits to it will get removed if the file is opened in a newer version of Excel. Learn more: https://go.microsoft.com/fwlink/?linkid=870924
Comment:
    Estimated from reported rates and number of deaths.
Reply:
    agreed
</t>
      </text>
    </comment>
    <comment ref="R734" authorId="279" shapeId="0" xr:uid="{68C87094-BDEC-4C76-B07F-1D2DEB53A771}">
      <text>
        <t>[Threaded comment]
Your version of Excel allows you to read this threaded comment; however, any edits to it will get removed if the file is opened in a newer version of Excel. Learn more: https://go.microsoft.com/fwlink/?linkid=870924
Comment:
    From Aron 1986 (#11132)
Reply:
    agreed</t>
      </text>
    </comment>
    <comment ref="S734" authorId="280" shapeId="0" xr:uid="{0AF07B3B-AE7A-4DAA-ABC4-67D850E6F7E3}">
      <text>
        <t xml:space="preserve">[Threaded comment]
Your version of Excel allows you to read this threaded comment; however, any edits to it will get removed if the file is opened in a newer version of Excel. Learn more: https://go.microsoft.com/fwlink/?linkid=870924
Comment:
    From Aron 1986 (#11132).
Reply:
    agreed
</t>
      </text>
    </comment>
    <comment ref="AG734" authorId="281" shapeId="0" xr:uid="{59D53028-EE67-4D56-ADCB-6179B2A4EC34}">
      <text>
        <t>[Threaded comment]
Your version of Excel allows you to read this threaded comment; however, any edits to it will get removed if the file is opened in a newer version of Excel. Learn more: https://go.microsoft.com/fwlink/?linkid=870924
Comment:
    Estimated from reported rates and number of deaths.
Reply:
    agreed</t>
      </text>
    </comment>
    <comment ref="AH734" authorId="282" shapeId="0" xr:uid="{086C5EF0-F5D6-42D9-908E-33B678D832B6}">
      <text>
        <t xml:space="preserve">[Threaded comment]
Your version of Excel allows you to read this threaded comment; however, any edits to it will get removed if the file is opened in a newer version of Excel. Learn more: https://go.microsoft.com/fwlink/?linkid=870924
Comment:
    Estimated from reported rates and number of deaths.
Reply:
    agreed
</t>
      </text>
    </comment>
    <comment ref="R735" authorId="283" shapeId="0" xr:uid="{69000CCF-BDCF-4273-9DBE-EC3F6CA8E7F3}">
      <text>
        <t xml:space="preserve">[Threaded comment]
Your version of Excel allows you to read this threaded comment; however, any edits to it will get removed if the file is opened in a newer version of Excel. Learn more: https://go.microsoft.com/fwlink/?linkid=870924
Comment:
    From Aron 1986 (#11132)
Reply:
    agreed
</t>
      </text>
    </comment>
    <comment ref="S735" authorId="284" shapeId="0" xr:uid="{4F2A0037-51F5-484C-B9FA-1B08812DED0A}">
      <text>
        <t xml:space="preserve">[Threaded comment]
Your version of Excel allows you to read this threaded comment; however, any edits to it will get removed if the file is opened in a newer version of Excel. Learn more: https://go.microsoft.com/fwlink/?linkid=870924
Comment:
    From Aron 1986 (#11132).
Reply:
    agreed
</t>
      </text>
    </comment>
    <comment ref="R736" authorId="285" shapeId="0" xr:uid="{5D482A5B-7E7C-4A40-B4E7-27924765F203}">
      <text>
        <t>[Threaded comment]
Your version of Excel allows you to read this threaded comment; however, any edits to it will get removed if the file is opened in a newer version of Excel. Learn more: https://go.microsoft.com/fwlink/?linkid=870924
Comment:
    From Aron 1986 (#11132)
Reply:
    agreed</t>
      </text>
    </comment>
    <comment ref="S736" authorId="286" shapeId="0" xr:uid="{339E6909-641E-460C-8D93-8DE3725F5F12}">
      <text>
        <t xml:space="preserve">[Threaded comment]
Your version of Excel allows you to read this threaded comment; however, any edits to it will get removed if the file is opened in a newer version of Excel. Learn more: https://go.microsoft.com/fwlink/?linkid=870924
Comment:
    From Aron 1986 (#11132).
Reply:
    agreed
</t>
      </text>
    </comment>
    <comment ref="R737" authorId="287" shapeId="0" xr:uid="{3D8CC86E-5661-47A3-8BCC-2DA2BA3B6FB2}">
      <text>
        <t xml:space="preserve">[Threaded comment]
Your version of Excel allows you to read this threaded comment; however, any edits to it will get removed if the file is opened in a newer version of Excel. Learn more: https://go.microsoft.com/fwlink/?linkid=870924
Comment:
    From Aron 1986 (#11132)
Reply:
    agreed
</t>
      </text>
    </comment>
    <comment ref="S737" authorId="288" shapeId="0" xr:uid="{DFA0930C-E44D-4D4A-81E0-FD1BC6B0C181}">
      <text>
        <t xml:space="preserve">[Threaded comment]
Your version of Excel allows you to read this threaded comment; however, any edits to it will get removed if the file is opened in a newer version of Excel. Learn more: https://go.microsoft.com/fwlink/?linkid=870924
Comment:
    From Aron 1986 (#11132).
Reply:
    agreed
</t>
      </text>
    </comment>
    <comment ref="R738" authorId="289" shapeId="0" xr:uid="{6A789F73-55D0-4665-9401-9855FCA4DA55}">
      <text>
        <t xml:space="preserve">[Threaded comment]
Your version of Excel allows you to read this threaded comment; however, any edits to it will get removed if the file is opened in a newer version of Excel. Learn more: https://go.microsoft.com/fwlink/?linkid=870924
Comment:
    From Aron 1986 (#11132)
Reply:
    agreed
</t>
      </text>
    </comment>
    <comment ref="S738" authorId="290" shapeId="0" xr:uid="{4A85BA1B-B6D4-4CA1-94E8-4FFE1C04368B}">
      <text>
        <t xml:space="preserve">[Threaded comment]
Your version of Excel allows you to read this threaded comment; however, any edits to it will get removed if the file is opened in a newer version of Excel. Learn more: https://go.microsoft.com/fwlink/?linkid=870924
Comment:
    From Aron 1986 (#11132).
Reply:
    agreed
</t>
      </text>
    </comment>
    <comment ref="R739" authorId="291" shapeId="0" xr:uid="{5508C3EC-7A77-449D-B3DA-F51662DEF535}">
      <text>
        <t xml:space="preserve">[Threaded comment]
Your version of Excel allows you to read this threaded comment; however, any edits to it will get removed if the file is opened in a newer version of Excel. Learn more: https://go.microsoft.com/fwlink/?linkid=870924
Comment:
    From Aron 1986 (#11132)
Reply:
    agreed
</t>
      </text>
    </comment>
    <comment ref="S739" authorId="292" shapeId="0" xr:uid="{C6E0073D-FBE1-4735-919A-28775FB857A8}">
      <text>
        <t xml:space="preserve">[Threaded comment]
Your version of Excel allows you to read this threaded comment; however, any edits to it will get removed if the file is opened in a newer version of Excel. Learn more: https://go.microsoft.com/fwlink/?linkid=870924
Comment:
    From Aron 1986 (#11132).
Reply:
    agreed
</t>
      </text>
    </comment>
    <comment ref="R740" authorId="293" shapeId="0" xr:uid="{8F1E1313-94B7-43C8-BB02-575F3893B82F}">
      <text>
        <t xml:space="preserve">[Threaded comment]
Your version of Excel allows you to read this threaded comment; however, any edits to it will get removed if the file is opened in a newer version of Excel. Learn more: https://go.microsoft.com/fwlink/?linkid=870924
Comment:
    From Aron 1986 (#11132)
Reply:
    agreed
</t>
      </text>
    </comment>
    <comment ref="S740" authorId="294" shapeId="0" xr:uid="{A951E77F-CF84-4F6D-ABBF-CCE11DE2AC7F}">
      <text>
        <t xml:space="preserve">[Threaded comment]
Your version of Excel allows you to read this threaded comment; however, any edits to it will get removed if the file is opened in a newer version of Excel. Learn more: https://go.microsoft.com/fwlink/?linkid=870924
Comment:
    From Aron 1986 (#11132).
Reply:
    agreed
</t>
      </text>
    </comment>
    <comment ref="A742" authorId="295" shapeId="0" xr:uid="{E579D1F9-6E34-4013-A459-84692CCC00E9}">
      <text>
        <t xml:space="preserve">[Threaded comment]
Your version of Excel allows you to read this threaded comment; however, any edits to it will get removed if the file is opened in a newer version of Excel. Learn more: https://go.microsoft.com/fwlink/?linkid=870924
Comment:
    Mortality for 2-7 years after entry already reported in Shapiro 1974 (#4886).
Reply:
    agreed
</t>
      </text>
    </comment>
    <comment ref="R742" authorId="296" shapeId="0" xr:uid="{4151B456-773E-4899-891F-B8AF66652F4E}">
      <text>
        <t>[Threaded comment]
Your version of Excel allows you to read this threaded comment; however, any edits to it will get removed if the file is opened in a newer version of Excel. Learn more: https://go.microsoft.com/fwlink/?linkid=870924
Comment:
    From Aron 1986 (#11132)</t>
      </text>
    </comment>
    <comment ref="S742" authorId="297" shapeId="0" xr:uid="{593E43BD-DC25-4CC2-B88C-00FC6D27069E}">
      <text>
        <t>[Threaded comment]
Your version of Excel allows you to read this threaded comment; however, any edits to it will get removed if the file is opened in a newer version of Excel. Learn more: https://go.microsoft.com/fwlink/?linkid=870924
Comment:
    From Aron 1986 (#11132).</t>
      </text>
    </comment>
    <comment ref="R743" authorId="298" shapeId="0" xr:uid="{622CA8A5-1D8F-4A1A-AA21-D3872590C35D}">
      <text>
        <t>[Threaded comment]
Your version of Excel allows you to read this threaded comment; however, any edits to it will get removed if the file is opened in a newer version of Excel. Learn more: https://go.microsoft.com/fwlink/?linkid=870924
Comment:
    From Aron 1986 (#11132)</t>
      </text>
    </comment>
    <comment ref="S743" authorId="299" shapeId="0" xr:uid="{84A7C10F-2174-4B61-8D0C-D65CDD1F6DD0}">
      <text>
        <t>[Threaded comment]
Your version of Excel allows you to read this threaded comment; however, any edits to it will get removed if the file is opened in a newer version of Excel. Learn more: https://go.microsoft.com/fwlink/?linkid=870924
Comment:
    From Aron 1986 (#11132).</t>
      </text>
    </comment>
    <comment ref="U744" authorId="300" shapeId="0" xr:uid="{AD267222-4A5C-45BB-A6DA-23AD768D6CEC}">
      <text>
        <t>[Threaded comment]
Your version of Excel allows you to read this threaded comment; however, any edits to it will get removed if the file is opened in a newer version of Excel. Learn more: https://go.microsoft.com/fwlink/?linkid=870924
Comment:
    This is assuming there were exactly 31000 participants, right?
If yes, I agree.</t>
      </text>
    </comment>
    <comment ref="V744" authorId="301" shapeId="0" xr:uid="{00BD894D-09F6-48B5-AC21-D972BC6068F7}">
      <text>
        <t xml:space="preserve">[Threaded comment]
Your version of Excel allows you to read this threaded comment; however, any edits to it will get removed if the file is opened in a newer version of Excel. Learn more: https://go.microsoft.com/fwlink/?linkid=870924
Comment:
    Estimated from % in Table 1.
Reply:
    This is assuming there were exactly 31000 participants, right?
If yes, I agree.
</t>
      </text>
    </comment>
    <comment ref="AG744" authorId="302" shapeId="0" xr:uid="{82DC80DB-C2EA-4DEA-9515-1AFD8813E47B}">
      <text>
        <t xml:space="preserve">[Threaded comment]
Your version of Excel allows you to read this threaded comment; however, any edits to it will get removed if the file is opened in a newer version of Excel. Learn more: https://go.microsoft.com/fwlink/?linkid=870924
Comment:
    This is assuming there were exactly 31000 participants, right?
If yes, I agree.
</t>
      </text>
    </comment>
    <comment ref="AH744" authorId="303" shapeId="0" xr:uid="{334AD212-FED2-480A-8CCE-FFBB50BF28BE}">
      <text>
        <t>[Threaded comment]
Your version of Excel allows you to read this threaded comment; however, any edits to it will get removed if the file is opened in a newer version of Excel. Learn more: https://go.microsoft.com/fwlink/?linkid=870924
Comment:
    Estimated from % in Table 1. 
Or does the denominator not really matter as the 2 groups were matched by age and should be the same size anyway. So, to calculate the ratio, one could just divide the number of events only.
Reply:
    I don't know if that is correct mathematically. Seems reasonably to do the same thing for all though.</t>
      </text>
    </comment>
    <comment ref="U745" authorId="304" shapeId="0" xr:uid="{C7A64B22-DA90-49BE-9E9D-7DA428339607}">
      <text>
        <t xml:space="preserve">[Threaded comment]
Your version of Excel allows you to read this threaded comment; however, any edits to it will get removed if the file is opened in a newer version of Excel. Learn more: https://go.microsoft.com/fwlink/?linkid=870924
Comment:
    This is assuming there were exactly 31000 participants, right?
If yes, I agree.
</t>
      </text>
    </comment>
    <comment ref="V745" authorId="305" shapeId="0" xr:uid="{9DC8AB44-25AD-417F-8BAD-B3751461113C}">
      <text>
        <t xml:space="preserve">[Threaded comment]
Your version of Excel allows you to read this threaded comment; however, any edits to it will get removed if the file is opened in a newer version of Excel. Learn more: https://go.microsoft.com/fwlink/?linkid=870924
Comment:
    Estimated from % in Table 1.
Reply:
    This is assuming there were exactly 31000 participants, right?
If yes, I agree.
</t>
      </text>
    </comment>
    <comment ref="AG745" authorId="306" shapeId="0" xr:uid="{CAF2A9FD-DC2C-437F-AC71-84F5C715F816}">
      <text>
        <t xml:space="preserve">[Threaded comment]
Your version of Excel allows you to read this threaded comment; however, any edits to it will get removed if the file is opened in a newer version of Excel. Learn more: https://go.microsoft.com/fwlink/?linkid=870924
Comment:
    This is assuming there were exactly 31000 participants, right?
If yes, I agree.
</t>
      </text>
    </comment>
    <comment ref="AH745" authorId="307" shapeId="0" xr:uid="{04C9F634-37EB-4276-A617-D599DC6B896E}">
      <text>
        <t>[Threaded comment]
Your version of Excel allows you to read this threaded comment; however, any edits to it will get removed if the file is opened in a newer version of Excel. Learn more: https://go.microsoft.com/fwlink/?linkid=870924
Comment:
    Estimated from % in Table 1. 
Or does the denominator not really matter as the 2 groups were matched by age and should be the same size anyway. So, to calculate the ratio, one could just divide the number of events only.
Reply:
    As above</t>
      </text>
    </comment>
    <comment ref="U746" authorId="308" shapeId="0" xr:uid="{D883D697-3CB0-4A28-BA57-DDF6291F60BE}">
      <text>
        <t xml:space="preserve">[Threaded comment]
Your version of Excel allows you to read this threaded comment; however, any edits to it will get removed if the file is opened in a newer version of Excel. Learn more: https://go.microsoft.com/fwlink/?linkid=870924
Comment:
    This is assuming there were exactly 31000 participants, right?
If yes, I agree.
</t>
      </text>
    </comment>
    <comment ref="V746" authorId="309" shapeId="0" xr:uid="{E77C91D7-BECF-4B82-A379-B4E73CCBBFF7}">
      <text>
        <t>[Threaded comment]
Your version of Excel allows you to read this threaded comment; however, any edits to it will get removed if the file is opened in a newer version of Excel. Learn more: https://go.microsoft.com/fwlink/?linkid=870924
Comment:
    Estimated from % in Table 1.</t>
      </text>
    </comment>
    <comment ref="AG746" authorId="310" shapeId="0" xr:uid="{2E2C9B8F-5148-41A0-A344-07BD0D87B490}">
      <text>
        <t xml:space="preserve">[Threaded comment]
Your version of Excel allows you to read this threaded comment; however, any edits to it will get removed if the file is opened in a newer version of Excel. Learn more: https://go.microsoft.com/fwlink/?linkid=870924
Comment:
    This is assuming there were exactly 31000 participants, right?
If yes, I agree.
</t>
      </text>
    </comment>
    <comment ref="AH746" authorId="311" shapeId="0" xr:uid="{8A95493B-37D3-4B46-9BE0-C29D1647DDF0}">
      <text>
        <t>[Threaded comment]
Your version of Excel allows you to read this threaded comment; however, any edits to it will get removed if the file is opened in a newer version of Excel. Learn more: https://go.microsoft.com/fwlink/?linkid=870924
Comment:
    Estimated from % in Table 1.
Or does the denominator not really matter as the 2 groups were matched by age and should be the same size anyway. So, to calculate the ratio, one could just divide the number of events only.
Reply:
    As above</t>
      </text>
    </comment>
    <comment ref="A747" authorId="312" shapeId="0" xr:uid="{88FD6AB0-9CD2-4B58-AAFC-86BD028E8ECC}">
      <text>
        <t>[Threaded comment]
Your version of Excel allows you to read this threaded comment; however, any edits to it will get removed if the file is opened in a newer version of Excel. Learn more: https://go.microsoft.com/fwlink/?linkid=870924
Comment:
    Number of deaths from breast cancer 2 years after study are the same as reported in earlier publications, but numbers for all other follow-up times vary slightly, so I have extracted them again.</t>
      </text>
    </comment>
    <comment ref="R747" authorId="313" shapeId="0" xr:uid="{F5548EF7-31AE-48D5-ADE0-1D53EDCB5D62}">
      <text>
        <t>[Threaded comment]
Your version of Excel allows you to read this threaded comment; however, any edits to it will get removed if the file is opened in a newer version of Excel. Learn more: https://go.microsoft.com/fwlink/?linkid=870924
Comment:
    From Aron 1986 (#11132)
Reply:
    agreed</t>
      </text>
    </comment>
    <comment ref="S747" authorId="314" shapeId="0" xr:uid="{AD537D5D-0481-4FFB-B3C1-61C9B321EBC2}">
      <text>
        <t xml:space="preserve">[Threaded comment]
Your version of Excel allows you to read this threaded comment; however, any edits to it will get removed if the file is opened in a newer version of Excel. Learn more: https://go.microsoft.com/fwlink/?linkid=870924
Comment:
    From Aron 1986 (#11132).
Reply:
    agreed
</t>
      </text>
    </comment>
    <comment ref="A748" authorId="315" shapeId="0" xr:uid="{431486E1-DF6D-4094-9582-70F1D45E50AC}">
      <text>
        <t>[Threaded comment]
Your version of Excel allows you to read this threaded comment; however, any edits to it will get removed if the file is opened in a newer version of Excel. Learn more: https://go.microsoft.com/fwlink/?linkid=870924
Comment:
    Number of deaths from breast cancer 2 years after study are the same as reported in earlier publications, but numbers for all other follow-up times vary slightly, so I have extracted them again.</t>
      </text>
    </comment>
    <comment ref="R748" authorId="316" shapeId="0" xr:uid="{F8C4F258-E0F8-4E66-9CC2-5E14F50558D1}">
      <text>
        <t xml:space="preserve">[Threaded comment]
Your version of Excel allows you to read this threaded comment; however, any edits to it will get removed if the file is opened in a newer version of Excel. Learn more: https://go.microsoft.com/fwlink/?linkid=870924
Comment:
    From Aron 1986 (#11132)
Reply:
    agreed
</t>
      </text>
    </comment>
    <comment ref="S748" authorId="317" shapeId="0" xr:uid="{26ED36B4-B12F-4F0F-902D-BB2D5B9AA85C}">
      <text>
        <t xml:space="preserve">[Threaded comment]
Your version of Excel allows you to read this threaded comment; however, any edits to it will get removed if the file is opened in a newer version of Excel. Learn more: https://go.microsoft.com/fwlink/?linkid=870924
Comment:
    From Aron 1986 (#11132).
Reply:
    agreed
</t>
      </text>
    </comment>
    <comment ref="A749" authorId="318" shapeId="0" xr:uid="{35325406-68F3-4FC4-BEEF-A4012D3CE4F4}">
      <text>
        <t>[Threaded comment]
Your version of Excel allows you to read this threaded comment; however, any edits to it will get removed if the file is opened in a newer version of Excel. Learn more: https://go.microsoft.com/fwlink/?linkid=870924
Comment:
    Number of deaths from breast cancer 2 years after study are the same as reported in earlier publications, but numbers for all other follow-up times vary slightly, so I have extracted them again.</t>
      </text>
    </comment>
    <comment ref="R749" authorId="319" shapeId="0" xr:uid="{8178A394-3A80-4E22-952F-B0FBA461BAB3}">
      <text>
        <t xml:space="preserve">[Threaded comment]
Your version of Excel allows you to read this threaded comment; however, any edits to it will get removed if the file is opened in a newer version of Excel. Learn more: https://go.microsoft.com/fwlink/?linkid=870924
Comment:
    From Aron 1986 (#11132)
Reply:
    agreed
</t>
      </text>
    </comment>
    <comment ref="S749" authorId="320" shapeId="0" xr:uid="{FEBD1AFA-6720-4980-A1F1-314A6C899434}">
      <text>
        <t xml:space="preserve">[Threaded comment]
Your version of Excel allows you to read this threaded comment; however, any edits to it will get removed if the file is opened in a newer version of Excel. Learn more: https://go.microsoft.com/fwlink/?linkid=870924
Comment:
    From Aron 1986 (#11132).
Reply:
    agreed
</t>
      </text>
    </comment>
    <comment ref="A750" authorId="321" shapeId="0" xr:uid="{16FA928C-C4A6-494A-88D9-F3991CEA4195}">
      <text>
        <t>[Threaded comment]
Your version of Excel allows you to read this threaded comment; however, any edits to it will get removed if the file is opened in a newer version of Excel. Learn more: https://go.microsoft.com/fwlink/?linkid=870924
Comment:
    Number of deaths from breast cancer 2 years after study are the same as reported in earlier publications, but numbers for all other follow-up times vary slightly, so I have extracted them again.</t>
      </text>
    </comment>
    <comment ref="R750" authorId="322" shapeId="0" xr:uid="{C5F954BE-CBF0-4AA1-A44C-5C767CB84B67}">
      <text>
        <t xml:space="preserve">[Threaded comment]
Your version of Excel allows you to read this threaded comment; however, any edits to it will get removed if the file is opened in a newer version of Excel. Learn more: https://go.microsoft.com/fwlink/?linkid=870924
Comment:
    From Aron 1986 (#11132)
Reply:
    agreed
</t>
      </text>
    </comment>
    <comment ref="S750" authorId="323" shapeId="0" xr:uid="{22131542-22E7-46D5-A4ED-DAAB80EEDADD}">
      <text>
        <t xml:space="preserve">[Threaded comment]
Your version of Excel allows you to read this threaded comment; however, any edits to it will get removed if the file is opened in a newer version of Excel. Learn more: https://go.microsoft.com/fwlink/?linkid=870924
Comment:
    From Aron 1986 (#11132).
Reply:
    agreed
</t>
      </text>
    </comment>
    <comment ref="A751" authorId="324" shapeId="0" xr:uid="{AB812410-9C51-4B7E-ACD5-94B3DB0DC353}">
      <text>
        <t>[Threaded comment]
Your version of Excel allows you to read this threaded comment; however, any edits to it will get removed if the file is opened in a newer version of Excel. Learn more: https://go.microsoft.com/fwlink/?linkid=870924
Comment:
    Number of deaths from breast cancer 2 years after study are the same as reported in earlier publications, but numbers for all other follow-up times vary slightly, so I have extracted them again.</t>
      </text>
    </comment>
    <comment ref="R751" authorId="325" shapeId="0" xr:uid="{49869CEE-B448-48BE-A100-100F0FDDE445}">
      <text>
        <t xml:space="preserve">[Threaded comment]
Your version of Excel allows you to read this threaded comment; however, any edits to it will get removed if the file is opened in a newer version of Excel. Learn more: https://go.microsoft.com/fwlink/?linkid=870924
Comment:
    From Aron 1986 (#11132)
Reply:
    agreed
</t>
      </text>
    </comment>
    <comment ref="S751" authorId="326" shapeId="0" xr:uid="{165736AF-B8C3-413A-8BE8-EA3C5C9608FA}">
      <text>
        <t xml:space="preserve">[Threaded comment]
Your version of Excel allows you to read this threaded comment; however, any edits to it will get removed if the file is opened in a newer version of Excel. Learn more: https://go.microsoft.com/fwlink/?linkid=870924
Comment:
    From Aron 1986 (#11132).
Reply:
    agreed
</t>
      </text>
    </comment>
    <comment ref="A752" authorId="327" shapeId="0" xr:uid="{6FBB56C0-D71D-499C-A9E5-2CA33DADA727}">
      <text>
        <t>[Threaded comment]
Your version of Excel allows you to read this threaded comment; however, any edits to it will get removed if the file is opened in a newer version of Excel. Learn more: https://go.microsoft.com/fwlink/?linkid=870924
Comment:
    Number of deaths from breast cancer 2 years after study are the same as reported in earlier publications, but numbers for all other follow-up times vary slightly, so I have extracted them again.</t>
      </text>
    </comment>
    <comment ref="R752" authorId="328" shapeId="0" xr:uid="{74AED413-D955-48B0-AC73-AEA3C50CB1CA}">
      <text>
        <t xml:space="preserve">[Threaded comment]
Your version of Excel allows you to read this threaded comment; however, any edits to it will get removed if the file is opened in a newer version of Excel. Learn more: https://go.microsoft.com/fwlink/?linkid=870924
Comment:
    From Aron 1986 (#11132)
Reply:
    agreed
</t>
      </text>
    </comment>
    <comment ref="S752" authorId="329" shapeId="0" xr:uid="{A9C26DBB-CA58-4F9C-9036-4E8025BC7149}">
      <text>
        <t xml:space="preserve">[Threaded comment]
Your version of Excel allows you to read this threaded comment; however, any edits to it will get removed if the file is opened in a newer version of Excel. Learn more: https://go.microsoft.com/fwlink/?linkid=870924
Comment:
    From Aron 1986 (#11132).
Reply:
    agreed
</t>
      </text>
    </comment>
    <comment ref="A753" authorId="330" shapeId="0" xr:uid="{F4051D07-6ACF-4D3A-A6F6-8A70C2A3AA24}">
      <text>
        <t>[Threaded comment]
Your version of Excel allows you to read this threaded comment; however, any edits to it will get removed if the file is opened in a newer version of Excel. Learn more: https://go.microsoft.com/fwlink/?linkid=870924
Comment:
    Number of deaths from breast cancer 2 years after study are the same as reported in earlier publications, but numbers for all other follow-up times vary slightly, so I have extracted them again.</t>
      </text>
    </comment>
    <comment ref="R753" authorId="331" shapeId="0" xr:uid="{38DB7832-9C1E-432C-BB34-60677BB29F7A}">
      <text>
        <t xml:space="preserve">[Threaded comment]
Your version of Excel allows you to read this threaded comment; however, any edits to it will get removed if the file is opened in a newer version of Excel. Learn more: https://go.microsoft.com/fwlink/?linkid=870924
Comment:
    From Aron 1986 (#11132)
Reply:
    agreed
</t>
      </text>
    </comment>
    <comment ref="S753" authorId="332" shapeId="0" xr:uid="{20101739-A6D9-48FC-9029-3C97ACD2D540}">
      <text>
        <t xml:space="preserve">[Threaded comment]
Your version of Excel allows you to read this threaded comment; however, any edits to it will get removed if the file is opened in a newer version of Excel. Learn more: https://go.microsoft.com/fwlink/?linkid=870924
Comment:
    From Aron 1986 (#11132).
Reply:
    agreed
</t>
      </text>
    </comment>
    <comment ref="A754" authorId="333" shapeId="0" xr:uid="{FA3AC25A-C3D8-4512-B453-597976F8E05D}">
      <text>
        <t>[Threaded comment]
Your version of Excel allows you to read this threaded comment; however, any edits to it will get removed if the file is opened in a newer version of Excel. Learn more: https://go.microsoft.com/fwlink/?linkid=870924
Comment:
    Number of deaths from breast cancer 2 years after study are the same as reported in earlier publications, but numbers for all other follow-up times vary slightly, so I have extracted them again.</t>
      </text>
    </comment>
    <comment ref="R754" authorId="334" shapeId="0" xr:uid="{6884EE47-9D19-4ADD-9B34-43ECDF034768}">
      <text>
        <t xml:space="preserve">[Threaded comment]
Your version of Excel allows you to read this threaded comment; however, any edits to it will get removed if the file is opened in a newer version of Excel. Learn more: https://go.microsoft.com/fwlink/?linkid=870924
Comment:
    From Aron 1986 (#11132)
Reply:
    agreed
</t>
      </text>
    </comment>
    <comment ref="S754" authorId="335" shapeId="0" xr:uid="{1540F197-D94D-4261-900D-09EB248E1BF4}">
      <text>
        <t xml:space="preserve">[Threaded comment]
Your version of Excel allows you to read this threaded comment; however, any edits to it will get removed if the file is opened in a newer version of Excel. Learn more: https://go.microsoft.com/fwlink/?linkid=870924
Comment:
    From Aron 1986 (#11132).
Reply:
    agreed
</t>
      </text>
    </comment>
    <comment ref="U755" authorId="336" shapeId="0" xr:uid="{06F98AF2-ACBF-41E0-BE5C-CE27064EBA69}">
      <text>
        <t xml:space="preserve">[Threaded comment]
Your version of Excel allows you to read this threaded comment; however, any edits to it will get removed if the file is opened in a newer version of Excel. Learn more: https://go.microsoft.com/fwlink/?linkid=870924
Comment:
    agreed
</t>
      </text>
    </comment>
    <comment ref="V755" authorId="337" shapeId="0" xr:uid="{4FE38A79-4D68-4E88-8C0E-16DEB544CDDB}">
      <text>
        <t>[Threaded comment]
Your version of Excel allows you to read this threaded comment; however, any edits to it will get removed if the file is opened in a newer version of Excel. Learn more: https://go.microsoft.com/fwlink/?linkid=870924
Comment:
    Numbers from Table 1 in Habbema 1986 (#11131).
Or does the denominator not really matter as the 2 groups were matched by age and should be the same size anyway. So, to calculate the ratio, one could just divide the number of events only.
Reply:
    Don't know mathematically. Suggest one process throughout.</t>
      </text>
    </comment>
    <comment ref="AG755" authorId="338" shapeId="0" xr:uid="{47418664-51F1-4429-8085-F871E6B3DB20}">
      <text>
        <t>[Threaded comment]
Your version of Excel allows you to read this threaded comment; however, any edits to it will get removed if the file is opened in a newer version of Excel. Learn more: https://go.microsoft.com/fwlink/?linkid=870924
Comment:
    agreed</t>
      </text>
    </comment>
    <comment ref="AH755" authorId="339" shapeId="0" xr:uid="{4F05A66A-C763-4AFA-B477-57C150A5AE45}">
      <text>
        <t>[Threaded comment]
Your version of Excel allows you to read this threaded comment; however, any edits to it will get removed if the file is opened in a newer version of Excel. Learn more: https://go.microsoft.com/fwlink/?linkid=870924
Comment:
    Numbers from Table 1 in Habbema 1986 (#11131).
Or does the denominator not really matter as the 2 groups were matched by age and should be the same size anyway. So, to calculate the ratio, one could just divide the number of events only.
Reply:
    Suggest sticking to one process where poss.
Reply:
    For transparency, I do think we need to make it clear somewhere where we have estimated values.</t>
      </text>
    </comment>
    <comment ref="U756" authorId="340" shapeId="0" xr:uid="{FB117436-1F2F-446C-A858-532BB64161B3}">
      <text>
        <t xml:space="preserve">[Threaded comment]
Your version of Excel allows you to read this threaded comment; however, any edits to it will get removed if the file is opened in a newer version of Excel. Learn more: https://go.microsoft.com/fwlink/?linkid=870924
Comment:
    agreed
</t>
      </text>
    </comment>
    <comment ref="V756" authorId="341" shapeId="0" xr:uid="{59789F13-2B27-447F-8537-7964BFB622AD}">
      <text>
        <t xml:space="preserve">[Threaded comment]
Your version of Excel allows you to read this threaded comment; however, any edits to it will get removed if the file is opened in a newer version of Excel. Learn more: https://go.microsoft.com/fwlink/?linkid=870924
Comment:
    Numbers from Table 1 in Habbema 1986 (#11131).
Or does the denominator not really matter as the 2 groups were matched by age and should be the same size anyway. So, to calculate the ratio, one could just divide the number of events only.
Reply:
    Don't know mathematically. Suggest one process throughout.
</t>
      </text>
    </comment>
    <comment ref="AG756" authorId="342" shapeId="0" xr:uid="{667A8E73-ABFA-42EE-8338-C851FEB9B915}">
      <text>
        <t xml:space="preserve">[Threaded comment]
Your version of Excel allows you to read this threaded comment; however, any edits to it will get removed if the file is opened in a newer version of Excel. Learn more: https://go.microsoft.com/fwlink/?linkid=870924
Comment:
    agreed
</t>
      </text>
    </comment>
    <comment ref="AH756" authorId="343" shapeId="0" xr:uid="{C6724049-4676-4399-AF84-06D79D1C5D23}">
      <text>
        <t xml:space="preserve">[Threaded comment]
Your version of Excel allows you to read this threaded comment; however, any edits to it will get removed if the file is opened in a newer version of Excel. Learn more: https://go.microsoft.com/fwlink/?linkid=870924
Comment:
    Numbers from Table 1 in Habbema 1986 (#11131).
Or does the denominator not really matter as the 2 groups were matched by age and should be the same size anyway. So, to calculate the ratio, one could just divide the number of events only.
Reply:
    Suggest sticking to one process where poss.
</t>
      </text>
    </comment>
    <comment ref="U757" authorId="344" shapeId="0" xr:uid="{0B28EEEC-0F3C-4AAB-8F06-B378B13B3087}">
      <text>
        <t xml:space="preserve">[Threaded comment]
Your version of Excel allows you to read this threaded comment; however, any edits to it will get removed if the file is opened in a newer version of Excel. Learn more: https://go.microsoft.com/fwlink/?linkid=870924
Comment:
    agreed
</t>
      </text>
    </comment>
    <comment ref="V757" authorId="345" shapeId="0" xr:uid="{018D8C64-CE3B-4BE9-B875-69218575F2C5}">
      <text>
        <t xml:space="preserve">[Threaded comment]
Your version of Excel allows you to read this threaded comment; however, any edits to it will get removed if the file is opened in a newer version of Excel. Learn more: https://go.microsoft.com/fwlink/?linkid=870924
Comment:
    Numbers from Table 1 in Habbema 1986 (#11131).
Or does the denominator not really matter as the 2 groups were matched by age and should be the same size anyway. So, to calculate the ratio, one could just divide the number of events only.
Reply:
    Don't know mathematically. Suggest one process throughout.
</t>
      </text>
    </comment>
    <comment ref="AG757" authorId="346" shapeId="0" xr:uid="{6E55D1F4-5D37-439C-AA06-14967257EC88}">
      <text>
        <t xml:space="preserve">[Threaded comment]
Your version of Excel allows you to read this threaded comment; however, any edits to it will get removed if the file is opened in a newer version of Excel. Learn more: https://go.microsoft.com/fwlink/?linkid=870924
Comment:
    agreed
</t>
      </text>
    </comment>
    <comment ref="AH757" authorId="347" shapeId="0" xr:uid="{47B7AB29-D4EA-493B-AE99-13C3E3044A15}">
      <text>
        <t xml:space="preserve">[Threaded comment]
Your version of Excel allows you to read this threaded comment; however, any edits to it will get removed if the file is opened in a newer version of Excel. Learn more: https://go.microsoft.com/fwlink/?linkid=870924
Comment:
    Numbers from Table 1 in Habbema 1986 (#11131).
Or does the denominator not really matter as the 2 groups were matched by age and should be the same size anyway. So, to calculate the ratio, one could just divide the number of events only.
Reply:
    Suggest sticking to one process where poss.
</t>
      </text>
    </comment>
    <comment ref="A758" authorId="348" shapeId="0" xr:uid="{502EFD88-E13E-4419-91A7-B66CE1266825}">
      <text>
        <t>[Threaded comment]
Your version of Excel allows you to read this threaded comment; however, any edits to it will get removed if the file is opened in a newer version of Excel. Learn more: https://go.microsoft.com/fwlink/?linkid=870924
Comment:
    Numbers reported for deaths after 5 years from entry are the same as in Shapiro 1978 (#4870) and therefore not extracted again.
Reply:
    agreed</t>
      </text>
    </comment>
    <comment ref="R758" authorId="349" shapeId="0" xr:uid="{9DE92074-30B9-4E53-AB1F-FAF1961975D4}">
      <text>
        <t>[Threaded comment]
Your version of Excel allows you to read this threaded comment; however, any edits to it will get removed if the file is opened in a newer version of Excel. Learn more: https://go.microsoft.com/fwlink/?linkid=870924
Comment:
    From Aron 1986 (#11132)
Reply:
    agreed</t>
      </text>
    </comment>
    <comment ref="S758" authorId="350" shapeId="0" xr:uid="{BEE20254-6A14-4A8C-8105-EF24301BCABD}">
      <text>
        <t xml:space="preserve">[Threaded comment]
Your version of Excel allows you to read this threaded comment; however, any edits to it will get removed if the file is opened in a newer version of Excel. Learn more: https://go.microsoft.com/fwlink/?linkid=870924
Comment:
    From Aron 1986 (#11132).
Reply:
    agreed
</t>
      </text>
    </comment>
    <comment ref="R759" authorId="351" shapeId="0" xr:uid="{EC4F03AE-EE86-428F-865B-D2804D45F85F}">
      <text>
        <t xml:space="preserve">[Threaded comment]
Your version of Excel allows you to read this threaded comment; however, any edits to it will get removed if the file is opened in a newer version of Excel. Learn more: https://go.microsoft.com/fwlink/?linkid=870924
Comment:
    From Aron 1986 (#11132)
Reply:
    agreed
</t>
      </text>
    </comment>
    <comment ref="S759" authorId="352" shapeId="0" xr:uid="{03DB1042-999C-4AC0-8D36-3DF1E90ECA34}">
      <text>
        <t xml:space="preserve">[Threaded comment]
Your version of Excel allows you to read this threaded comment; however, any edits to it will get removed if the file is opened in a newer version of Excel. Learn more: https://go.microsoft.com/fwlink/?linkid=870924
Comment:
    From Aron 1986 (#11132).
Reply:
    agreed
</t>
      </text>
    </comment>
    <comment ref="AG759" authorId="353" shapeId="0" xr:uid="{8704D826-AB2A-49FC-A8C9-80EF3B1A73F7}">
      <text>
        <t xml:space="preserve">[Threaded comment]
Your version of Excel allows you to read this threaded comment; however, any edits to it will get removed if the file is opened in a newer version of Excel. Learn more: https://go.microsoft.com/fwlink/?linkid=870924
Comment:
    These are all approximate (rows 30, 33, 35)
Reply:
    None of the papers give us more accurate numbers. It's not only in these 3 rows but throughout where it says "31,000".
Reply:
    agreed
</t>
      </text>
    </comment>
    <comment ref="AH759" authorId="354" shapeId="0" xr:uid="{2E7A75F5-FDB4-496D-9F00-2E86872D5ACF}">
      <text>
        <t xml:space="preserve">[Threaded comment]
Your version of Excel allows you to read this threaded comment; however, any edits to it will get removed if the file is opened in a newer version of Excel. Learn more: https://go.microsoft.com/fwlink/?linkid=870924
Comment:
    agreed
</t>
      </text>
    </comment>
    <comment ref="R761" authorId="355" shapeId="0" xr:uid="{79A1730D-1E0A-4FAE-99D8-C61204FD3767}">
      <text>
        <t xml:space="preserve">[Threaded comment]
Your version of Excel allows you to read this threaded comment; however, any edits to it will get removed if the file is opened in a newer version of Excel. Learn more: https://go.microsoft.com/fwlink/?linkid=870924
Comment:
    From Aron 1986 (#11132)
Reply:
    agreed
</t>
      </text>
    </comment>
    <comment ref="S761" authorId="356" shapeId="0" xr:uid="{6381190D-79C9-46CA-B74F-618B87F7D806}">
      <text>
        <t xml:space="preserve">[Threaded comment]
Your version of Excel allows you to read this threaded comment; however, any edits to it will get removed if the file is opened in a newer version of Excel. Learn more: https://go.microsoft.com/fwlink/?linkid=870924
Comment:
    From Aron 1986 (#11132).
Reply:
    agreed
</t>
      </text>
    </comment>
    <comment ref="R762" authorId="357" shapeId="0" xr:uid="{62A8E96C-761E-4001-9EC7-166AE6467BC6}">
      <text>
        <t xml:space="preserve">[Threaded comment]
Your version of Excel allows you to read this threaded comment; however, any edits to it will get removed if the file is opened in a newer version of Excel. Learn more: https://go.microsoft.com/fwlink/?linkid=870924
Comment:
    From Aron 1986 (#11132)
Reply:
    agreed
</t>
      </text>
    </comment>
    <comment ref="S762" authorId="358" shapeId="0" xr:uid="{0EE2945D-FCA8-456D-86CC-DD82AEE3F039}">
      <text>
        <t xml:space="preserve">[Threaded comment]
Your version of Excel allows you to read this threaded comment; however, any edits to it will get removed if the file is opened in a newer version of Excel. Learn more: https://go.microsoft.com/fwlink/?linkid=870924
Comment:
    From Aron 1986 (#11132).
Reply:
    agreed
</t>
      </text>
    </comment>
    <comment ref="AG762" authorId="359" shapeId="0" xr:uid="{51E3CEDC-1277-4586-B0D1-779472733ED4}">
      <text>
        <t xml:space="preserve">[Threaded comment]
Your version of Excel allows you to read this threaded comment; however, any edits to it will get removed if the file is opened in a newer version of Excel. Learn more: https://go.microsoft.com/fwlink/?linkid=870924
Comment:
    agreed
</t>
      </text>
    </comment>
    <comment ref="AH762" authorId="360" shapeId="0" xr:uid="{A9D7BF48-5AED-449A-A7D1-CA9F792ABE44}">
      <text>
        <t xml:space="preserve">[Threaded comment]
Your version of Excel allows you to read this threaded comment; however, any edits to it will get removed if the file is opened in a newer version of Excel. Learn more: https://go.microsoft.com/fwlink/?linkid=870924
Comment:
    agreed
</t>
      </text>
    </comment>
    <comment ref="R764" authorId="361" shapeId="0" xr:uid="{EF804E86-88F5-4B43-A96D-75E644CDC7DE}">
      <text>
        <t>[Threaded comment]
Your version of Excel allows you to read this threaded comment; however, any edits to it will get removed if the file is opened in a newer version of Excel. Learn more: https://go.microsoft.com/fwlink/?linkid=870924
Comment:
    From Aron 1986 (#11132)</t>
      </text>
    </comment>
    <comment ref="S764" authorId="362" shapeId="0" xr:uid="{35B1CCFF-CA94-4D50-B749-4C842071ADAC}">
      <text>
        <t>[Threaded comment]
Your version of Excel allows you to read this threaded comment; however, any edits to it will get removed if the file is opened in a newer version of Excel. Learn more: https://go.microsoft.com/fwlink/?linkid=870924
Comment:
    From Aron 1986 (#11132).</t>
      </text>
    </comment>
    <comment ref="AG764" authorId="363" shapeId="0" xr:uid="{7574E6EC-B0AA-4F30-B565-37C54D8077BC}">
      <text>
        <t xml:space="preserve">[Threaded comment]
Your version of Excel allows you to read this threaded comment; however, any edits to it will get removed if the file is opened in a newer version of Excel. Learn more: https://go.microsoft.com/fwlink/?linkid=870924
Comment:
    agreed
</t>
      </text>
    </comment>
    <comment ref="AH764" authorId="364" shapeId="0" xr:uid="{8A6E57BD-5891-46D3-A8E2-0A2DF3CD3C1F}">
      <text>
        <t xml:space="preserve">[Threaded comment]
Your version of Excel allows you to read this threaded comment; however, any edits to it will get removed if the file is opened in a newer version of Excel. Learn more: https://go.microsoft.com/fwlink/?linkid=870924
Comment:
    agreed
</t>
      </text>
    </comment>
    <comment ref="A766" authorId="365" shapeId="0" xr:uid="{62EAA717-5A3B-4888-8082-5302ED0ECBD1}">
      <text>
        <t>[Threaded comment]
Your version of Excel allows you to read this threaded comment; however, any edits to it will get removed if the file is opened in a newer version of Excel. Learn more: https://go.microsoft.com/fwlink/?linkid=870924
Comment:
    Also reports data for age groups 40-44 and 45-49.</t>
      </text>
    </comment>
    <comment ref="U766" authorId="366" shapeId="0" xr:uid="{383902AE-7AC7-4EAB-8469-765897B4E6FA}">
      <text>
        <t>[Threaded comment]
Your version of Excel allows you to read this threaded comment; however, any edits to it will get removed if the file is opened in a newer version of Excel. Learn more: https://go.microsoft.com/fwlink/?linkid=870924
Comment:
    Agreed for all below in this column</t>
      </text>
    </comment>
    <comment ref="V766" authorId="367" shapeId="0" xr:uid="{FDEF4EDD-D47C-48D7-B96B-FE8EC8D613A3}">
      <text>
        <t>[Threaded comment]
Your version of Excel allows you to read this threaded comment; however, any edits to it will get removed if the file is opened in a newer version of Excel. Learn more: https://go.microsoft.com/fwlink/?linkid=870924
Comment:
    Numbers from Table 1 in Habbema 1986 (#11131).
Or does the denominator not really matter as the 2 groups were matched by age and should be the same size anyway. So, to calculate the ratio, one could just divide the number of events only.
Reply:
    Stick with one throughout, where poss.
Agreed for whole column below.</t>
      </text>
    </comment>
    <comment ref="AG766" authorId="368" shapeId="0" xr:uid="{014C4E38-1086-41E5-AE5D-8D5801FA8804}">
      <text>
        <t>[Threaded comment]
Your version of Excel allows you to read this threaded comment; however, any edits to it will get removed if the file is opened in a newer version of Excel. Learn more: https://go.microsoft.com/fwlink/?linkid=870924
Comment:
    Agreed for whole column below</t>
      </text>
    </comment>
    <comment ref="AH766" authorId="369" shapeId="0" xr:uid="{C0AAB2DE-E909-421E-809E-E4DA36C8F6D2}">
      <text>
        <t xml:space="preserve">[Threaded comment]
Your version of Excel allows you to read this threaded comment; however, any edits to it will get removed if the file is opened in a newer version of Excel. Learn more: https://go.microsoft.com/fwlink/?linkid=870924
Comment:
    Numbers from Table 1 in Habbema 1986 (#11131).
Or does the denominator not really matter as the 2 groups were matched by age and should be the same size anyway. So, to calculate the ratio, one could just divide the number of events only.
Reply:
    Stick with one throughout, where poss.
Agreed for whole column below.
</t>
      </text>
    </comment>
    <comment ref="A767" authorId="370" shapeId="0" xr:uid="{897833DA-396E-47EA-9202-D8912B5C17CF}">
      <text>
        <t>[Threaded comment]
Your version of Excel allows you to read this threaded comment; however, any edits to it will get removed if the file is opened in a newer version of Excel. Learn more: https://go.microsoft.com/fwlink/?linkid=870924
Comment:
    Also reports data for age groups 50-54 and 55-59.</t>
      </text>
    </comment>
    <comment ref="V767" authorId="371" shapeId="0" xr:uid="{D710E459-F320-4411-8B43-2E94A1D4CB62}">
      <text>
        <t xml:space="preserve">[Threaded comment]
Your version of Excel allows you to read this threaded comment; however, any edits to it will get removed if the file is opened in a newer version of Excel. Learn more: https://go.microsoft.com/fwlink/?linkid=870924
Comment:
    Numbers from Table 1 in Habbema 1986 (#11131).
Or does the denominator not really matter as the 2 groups were matched by age and should be the same size anyway. So, to calculate the ratio, one could just divide the number of events only.
</t>
      </text>
    </comment>
    <comment ref="AH767" authorId="372" shapeId="0" xr:uid="{98E17142-8D75-44D2-BA94-689DF71A563D}">
      <text>
        <t xml:space="preserve">[Threaded comment]
Your version of Excel allows you to read this threaded comment; however, any edits to it will get removed if the file is opened in a newer version of Excel. Learn more: https://go.microsoft.com/fwlink/?linkid=870924
Comment:
    Numbers from Table 1 in Habbema 1986 (#11131).
Or does the denominator not really matter as the 2 groups were matched by age and should be the same size anyway. So, to calculate the ratio, one could just divide the number of events only.
</t>
      </text>
    </comment>
    <comment ref="V768" authorId="373" shapeId="0" xr:uid="{783B37BA-507D-402E-AAA2-52B259BF2C32}">
      <text>
        <t xml:space="preserve">[Threaded comment]
Your version of Excel allows you to read this threaded comment; however, any edits to it will get removed if the file is opened in a newer version of Excel. Learn more: https://go.microsoft.com/fwlink/?linkid=870924
Comment:
    Numbers from Table 1 in Habbema 1986 (#11131).
Or does the denominator not really matter as the 2 groups were matched by age and should be the same size anyway. So, to calculate the ratio, one could just divide the number of events only.
</t>
      </text>
    </comment>
    <comment ref="AH768" authorId="374" shapeId="0" xr:uid="{8C50E47C-A4D8-4D95-94AA-406E9AF41586}">
      <text>
        <t xml:space="preserve">[Threaded comment]
Your version of Excel allows you to read this threaded comment; however, any edits to it will get removed if the file is opened in a newer version of Excel. Learn more: https://go.microsoft.com/fwlink/?linkid=870924
Comment:
    Numbers from Table 1 in Habbema 1986 (#11131).
Or does the denominator not really matter as the 2 groups were matched by age and should be the same size anyway. So, to calculate the ratio, one could just divide the number of events only.
</t>
      </text>
    </comment>
    <comment ref="A769" authorId="375" shapeId="0" xr:uid="{AD6B151A-73BF-45EA-86B8-425ECAA53B2C}">
      <text>
        <t>[Threaded comment]
Your version of Excel allows you to read this threaded comment; however, any edits to it will get removed if the file is opened in a newer version of Excel. Learn more: https://go.microsoft.com/fwlink/?linkid=870924
Comment:
    Also reports data for age groups 40-44 and 45-49.</t>
      </text>
    </comment>
    <comment ref="V769" authorId="376" shapeId="0" xr:uid="{7F889277-9552-4512-B3F0-437C4A3DCEBD}">
      <text>
        <t>[Threaded comment]
Your version of Excel allows you to read this threaded comment; however, any edits to it will get removed if the file is opened in a newer version of Excel. Learn more: https://go.microsoft.com/fwlink/?linkid=870924
Comment:
    Numbers from Table 1 in Habbema 1986 (#11131).
Or does the denominator not really matter as the 2 groups were matched by age and should be the same size anyway. So, to calculate the ratio, one could just divide the number of events only.</t>
      </text>
    </comment>
    <comment ref="AH769" authorId="377" shapeId="0" xr:uid="{7CACC984-E920-4E15-953E-42A336088B1F}">
      <text>
        <t>[Threaded comment]
Your version of Excel allows you to read this threaded comment; however, any edits to it will get removed if the file is opened in a newer version of Excel. Learn more: https://go.microsoft.com/fwlink/?linkid=870924
Comment:
    Numbers from Table 1 in Habbema 1986 (#11131).
Or does the denominator not really matter as the 2 groups were matched by age and should be the same size anyway. So, to calculate the ratio, one could just divide the number of events only.</t>
      </text>
    </comment>
    <comment ref="A770" authorId="378" shapeId="0" xr:uid="{ACAFA0A6-4432-42C9-9E94-88C99AF0694A}">
      <text>
        <t>[Threaded comment]
Your version of Excel allows you to read this threaded comment; however, any edits to it will get removed if the file is opened in a newer version of Excel. Learn more: https://go.microsoft.com/fwlink/?linkid=870924
Comment:
    Also reports data for age groups 50-54 and 55-59.</t>
      </text>
    </comment>
    <comment ref="V770" authorId="379" shapeId="0" xr:uid="{E8D93DDC-616B-4C7C-8F56-DF520ACA214C}">
      <text>
        <t xml:space="preserve">[Threaded comment]
Your version of Excel allows you to read this threaded comment; however, any edits to it will get removed if the file is opened in a newer version of Excel. Learn more: https://go.microsoft.com/fwlink/?linkid=870924
Comment:
    Numbers from Table 1 in Habbema 1986 (#11131).
Or does the denominator not really matter as the 2 groups were matched by age and should be the same size anyway. So, to calculate the ratio, one could just divide the number of events only.
</t>
      </text>
    </comment>
    <comment ref="AH770" authorId="380" shapeId="0" xr:uid="{116B5AC0-3870-4684-B21D-3A64E1B9C084}">
      <text>
        <t xml:space="preserve">[Threaded comment]
Your version of Excel allows you to read this threaded comment; however, any edits to it will get removed if the file is opened in a newer version of Excel. Learn more: https://go.microsoft.com/fwlink/?linkid=870924
Comment:
    Numbers from Table 1 in Habbema 1986 (#11131).
Or does the denominator not really matter as the 2 groups were matched by age and should be the same size anyway. So, to calculate the ratio, one could just divide the number of events only.
</t>
      </text>
    </comment>
    <comment ref="V771" authorId="381" shapeId="0" xr:uid="{FC33D80F-768B-4F25-9D38-65BD16A9DF42}">
      <text>
        <t xml:space="preserve">[Threaded comment]
Your version of Excel allows you to read this threaded comment; however, any edits to it will get removed if the file is opened in a newer version of Excel. Learn more: https://go.microsoft.com/fwlink/?linkid=870924
Comment:
    Numbers from Table 1 in Habbema 1986 (#11131).
Or does the denominator not really matter as the 2 groups were matched by age and should be the same size anyway. So, to calculate the ratio, one could just divide the number of events only.
</t>
      </text>
    </comment>
    <comment ref="AH771" authorId="382" shapeId="0" xr:uid="{BA2F7A7D-7BEF-434A-BB88-08630C9529C7}">
      <text>
        <t xml:space="preserve">[Threaded comment]
Your version of Excel allows you to read this threaded comment; however, any edits to it will get removed if the file is opened in a newer version of Excel. Learn more: https://go.microsoft.com/fwlink/?linkid=870924
Comment:
    Numbers from Table 1 in Habbema 1986 (#11131).
Or does the denominator not really matter as the 2 groups were matched by age and should be the same size anyway. So, to calculate the ratio, one could just divide the number of events only.
</t>
      </text>
    </comment>
    <comment ref="A772" authorId="383" shapeId="0" xr:uid="{3A79E8BA-DA6E-46EF-B5E7-B19A224439CE}">
      <text>
        <t>[Threaded comment]
Your version of Excel allows you to read this threaded comment; however, any edits to it will get removed if the file is opened in a newer version of Excel. Learn more: https://go.microsoft.com/fwlink/?linkid=870924
Comment:
    Also reports numbers of deaths for 5 and 14 years after entry, but they are the same as reported earlier. Number for 10-year follow-up are different though, so I have extracted them again.
Reply:
    Well spotted.
Reply:
    You've done an amazing job of keeping track of all these inconsistencies!</t>
      </text>
    </comment>
    <comment ref="V772" authorId="384" shapeId="0" xr:uid="{7FED7A06-7C54-4A36-96BA-55341A75571C}">
      <text>
        <t>[Threaded comment]
Your version of Excel allows you to read this threaded comment; however, any edits to it will get removed if the file is opened in a newer version of Excel. Learn more: https://go.microsoft.com/fwlink/?linkid=870924
Comment:
    Numbers from Table 1 in Habbema 1986 (#11131).
Or does the denominator not really matter as the 2 groups were matched by age and should be the same size anyway. So, to calculate the ratio, one could just divide the number of events only.</t>
      </text>
    </comment>
    <comment ref="AH772" authorId="385" shapeId="0" xr:uid="{3ED1DA61-11D2-41AF-A13A-1120017E9084}">
      <text>
        <t xml:space="preserve">[Threaded comment]
Your version of Excel allows you to read this threaded comment; however, any edits to it will get removed if the file is opened in a newer version of Excel. Learn more: https://go.microsoft.com/fwlink/?linkid=870924
Comment:
    Numbers from Table 1 in Habbema 1986 (#11131).
Or does the denominator not really matter as the 2 groups were matched by age and should be the same size anyway. So, to calculate the ratio, one could just divide the number of events only.
Reply:
    As above
Reply:
    We could do that. The result would be the same.
To note. We don't know how many people are in each group. Only that "the numbers are about the same
in study and control groups".
</t>
      </text>
    </comment>
    <comment ref="V773" authorId="386" shapeId="0" xr:uid="{87569533-24E6-4E87-A5F1-19E84F471199}">
      <text>
        <t>[Threaded comment]
Your version of Excel allows you to read this threaded comment; however, any edits to it will get removed if the file is opened in a newer version of Excel. Learn more: https://go.microsoft.com/fwlink/?linkid=870924
Comment:
    Numbers from Table 1 in Habbema 1986 (#11131).
Or does the denominator not really matter as the 2 groups were matched by age and should be the same size anyway. So, to calculate the ratio, one could just divide the number of events only.</t>
      </text>
    </comment>
    <comment ref="AH773" authorId="387" shapeId="0" xr:uid="{7B4654C0-0E8E-4CBB-B591-39E35A0B7FBE}">
      <text>
        <t>[Threaded comment]
Your version of Excel allows you to read this threaded comment; however, any edits to it will get removed if the file is opened in a newer version of Excel. Learn more: https://go.microsoft.com/fwlink/?linkid=870924
Comment:
    Numbers from Table 1 in Habbema 1986 (#11131).
Or does the denominator not really matter as the 2 groups were matched by age and should be the same size anyway. So, to calculate the ratio, one could just divide the number of events only.</t>
      </text>
    </comment>
    <comment ref="V774" authorId="388" shapeId="0" xr:uid="{E77B97E8-48EE-4CD1-8EA2-04C96BD7E1AC}">
      <text>
        <t>[Threaded comment]
Your version of Excel allows you to read this threaded comment; however, any edits to it will get removed if the file is opened in a newer version of Excel. Learn more: https://go.microsoft.com/fwlink/?linkid=870924
Comment:
    Numbers from Table 1 in Habbema 1986 (#11131).
Or does the denominator not really matter as the 2 groups were matched by age and should be the same size anyway. So, to calculate the ratio, one could just divide the number of events only.</t>
      </text>
    </comment>
    <comment ref="AH774" authorId="389" shapeId="0" xr:uid="{1D841716-1A13-4D83-BA7E-1A50D9F26F95}">
      <text>
        <t>[Threaded comment]
Your version of Excel allows you to read this threaded comment; however, any edits to it will get removed if the file is opened in a newer version of Excel. Learn more: https://go.microsoft.com/fwlink/?linkid=870924
Comment:
    Numbers from Table 1 in Habbema 1986 (#11131).
Or does the denominator not really matter as the 2 groups were matched by age and should be the same size anyway. So, to calculate the ratio, one could just divide the number of events only.</t>
      </text>
    </comment>
    <comment ref="V775" authorId="390" shapeId="0" xr:uid="{B5FACC68-DE37-47F5-8BA4-203319EB581E}">
      <text>
        <t>[Threaded comment]
Your version of Excel allows you to read this threaded comment; however, any edits to it will get removed if the file is opened in a newer version of Excel. Learn more: https://go.microsoft.com/fwlink/?linkid=870924
Comment:
    Numbers from Table 1 in Habbema 1986 (#11131).
Or does the denominator not really matter as the 2 groups were matched by age and should be the same size anyway. So, to calculate the ratio, one could just divide the number of events only.</t>
      </text>
    </comment>
    <comment ref="AH775" authorId="391" shapeId="0" xr:uid="{C35605EA-2429-468E-8DCE-E7ECC10A9C11}">
      <text>
        <t>[Threaded comment]
Your version of Excel allows you to read this threaded comment; however, any edits to it will get removed if the file is opened in a newer version of Excel. Learn more: https://go.microsoft.com/fwlink/?linkid=870924
Comment:
    Numbers from Table 1 in Habbema 1986 (#11131).
Or does the denominator not really matter as the 2 groups were matched by age and should be the same size anyway. So, to calculate the ratio, one could just divide the number of events only.</t>
      </text>
    </comment>
    <comment ref="V776" authorId="392" shapeId="0" xr:uid="{7309DE43-6E57-4A2E-88D0-158593D83FA4}">
      <text>
        <t>[Threaded comment]
Your version of Excel allows you to read this threaded comment; however, any edits to it will get removed if the file is opened in a newer version of Excel. Learn more: https://go.microsoft.com/fwlink/?linkid=870924
Comment:
    Numbers from Table 1 in Habbema 1986 (#11131).
Or does the denominator not really matter as the 2 groups were matched by age and should be the same size anyway. So, to calculate the ratio, one could just divide the number of events only.</t>
      </text>
    </comment>
    <comment ref="AH776" authorId="393" shapeId="0" xr:uid="{5FC6E72E-392E-4A56-8B54-5FA7D4FFD0CD}">
      <text>
        <t>[Threaded comment]
Your version of Excel allows you to read this threaded comment; however, any edits to it will get removed if the file is opened in a newer version of Excel. Learn more: https://go.microsoft.com/fwlink/?linkid=870924
Comment:
    Numbers from Table 1 in Habbema 1986 (#11131).
Or does the denominator not really matter as the 2 groups were matched by age and should be the same size anyway. So, to calculate the ratio, one could just divide the number of events only.</t>
      </text>
    </comment>
    <comment ref="A777" authorId="394" shapeId="0" xr:uid="{59D2CEA1-BA61-41D9-A50B-A352C1482679}">
      <text>
        <t>[Threaded comment]
Your version of Excel allows you to read this threaded comment; however, any edits to it will get removed if the file is opened in a newer version of Excel. Learn more: https://go.microsoft.com/fwlink/?linkid=870924
Comment:
    Slightly different to numbers reported by Strax 1984 (#3877).
Also reports data for subgroups 40-44 and 45-49 years.</t>
      </text>
    </comment>
    <comment ref="A778" authorId="395" shapeId="0" xr:uid="{E9190411-01F5-4266-9BF2-AB1942D67AF0}">
      <text>
        <t>[Threaded comment]
Your version of Excel allows you to read this threaded comment; however, any edits to it will get removed if the file is opened in a newer version of Excel. Learn more: https://go.microsoft.com/fwlink/?linkid=870924
Comment:
    Also reports data for subgroups 50-54 and 55-59 years.</t>
      </text>
    </comment>
    <comment ref="A780" authorId="396" shapeId="0" xr:uid="{4990463B-FDDE-4BB8-9AE2-00F9D2A1368B}">
      <text>
        <t>[Threaded comment]
Your version of Excel allows you to read this threaded comment; however, any edits to it will get removed if the file is opened in a newer version of Excel. Learn more: https://go.microsoft.com/fwlink/?linkid=870924
Comment:
    Results for 5 and 7 year follow up identical to the ones reported by Shapiro 1982 (#3896). I have only extracted data where numbers differed or the new 16-year follow-up period.
Reply:
    agreed</t>
      </text>
    </comment>
    <comment ref="A784" authorId="397" shapeId="0" xr:uid="{D158EE26-C0F5-4055-807A-660F1612CA49}">
      <text>
        <t>[Threaded comment]
Your version of Excel allows you to read this threaded comment; however, any edits to it will get removed if the file is opened in a newer version of Excel. Learn more: https://go.microsoft.com/fwlink/?linkid=870924
Comment:
    Also reports numbers for age groups 40-44 and 45-49.</t>
      </text>
    </comment>
    <comment ref="V784" authorId="398" shapeId="0" xr:uid="{60175268-A3AE-4DDB-B67B-2209FB6782D7}">
      <text>
        <t>[Threaded comment]
Your version of Excel allows you to read this threaded comment; however, any edits to it will get removed if the file is opened in a newer version of Excel. Learn more: https://go.microsoft.com/fwlink/?linkid=870924
Comment:
    Numbers from Table 1 in Habbema 1986 (#11131).
Or does the denominator not really matter as the 2 groups were matched by age and should be the same size anyway. So, to calculate the ratio, one could just divide the number of events only.</t>
      </text>
    </comment>
    <comment ref="AH784" authorId="399" shapeId="0" xr:uid="{44DD3FB7-057F-4162-8888-586054CFE440}">
      <text>
        <t>[Threaded comment]
Your version of Excel allows you to read this threaded comment; however, any edits to it will get removed if the file is opened in a newer version of Excel. Learn more: https://go.microsoft.com/fwlink/?linkid=870924
Comment:
    Numbers from Table 1 in Habbema 1986 (#11131).
Or does the denominator not really matter as the 2 groups were matched by age and should be the same size anyway. So, to calculate the ratio, one could just divide the number of events only.</t>
      </text>
    </comment>
    <comment ref="A785" authorId="400" shapeId="0" xr:uid="{63C5042C-CC15-4EBC-BBE6-769E0C0E7722}">
      <text>
        <t>[Threaded comment]
Your version of Excel allows you to read this threaded comment; however, any edits to it will get removed if the file is opened in a newer version of Excel. Learn more: https://go.microsoft.com/fwlink/?linkid=870924
Comment:
    Also reports numbers for age groups 50-54 and 55-59.</t>
      </text>
    </comment>
    <comment ref="V785" authorId="401" shapeId="0" xr:uid="{C7722A6A-D6EC-445A-BAE4-E74B5FCC9038}">
      <text>
        <t xml:space="preserve">[Threaded comment]
Your version of Excel allows you to read this threaded comment; however, any edits to it will get removed if the file is opened in a newer version of Excel. Learn more: https://go.microsoft.com/fwlink/?linkid=870924
Comment:
    Numbers from Table 1 in Habbema 1986 (#11131).
Or does the denominator not really matter as the 2 groups were matched by age and should be the same size anyway. So, to calculate the ratio, one could just divide the number of events only.
</t>
      </text>
    </comment>
    <comment ref="AH785" authorId="402" shapeId="0" xr:uid="{360167F2-619A-40A0-887E-83CFFDD7EDE9}">
      <text>
        <t xml:space="preserve">[Threaded comment]
Your version of Excel allows you to read this threaded comment; however, any edits to it will get removed if the file is opened in a newer version of Excel. Learn more: https://go.microsoft.com/fwlink/?linkid=870924
Comment:
    Numbers from Table 1 in Habbema 1986 (#11131).
Or does the denominator not really matter as the 2 groups were matched by age and should be the same size anyway. So, to calculate the ratio, one could just divide the number of events only.
</t>
      </text>
    </comment>
    <comment ref="V786" authorId="403" shapeId="0" xr:uid="{410BB566-CF94-4C8E-8BA5-04993231AA6D}">
      <text>
        <t xml:space="preserve">[Threaded comment]
Your version of Excel allows you to read this threaded comment; however, any edits to it will get removed if the file is opened in a newer version of Excel. Learn more: https://go.microsoft.com/fwlink/?linkid=870924
Comment:
    Numbers from Table 1 in Habbema 1986 (#11131).
Or does the denominator not really matter as the 2 groups were matched by age and should be the same size anyway. So, to calculate the ratio, one could just divide the number of events only.
</t>
      </text>
    </comment>
    <comment ref="AH786" authorId="404" shapeId="0" xr:uid="{9A9D82ED-3EAA-4695-8AE9-B7E9E3131965}">
      <text>
        <t xml:space="preserve">[Threaded comment]
Your version of Excel allows you to read this threaded comment; however, any edits to it will get removed if the file is opened in a newer version of Excel. Learn more: https://go.microsoft.com/fwlink/?linkid=870924
Comment:
    Numbers from Table 1 in Habbema 1986 (#11131).
Or does the denominator not really matter as the 2 groups were matched by age and should be the same size anyway. So, to calculate the ratio, one could just divide the number of events only.
</t>
      </text>
    </comment>
    <comment ref="Q802" authorId="405" shapeId="0" xr:uid="{E5A8B109-6C47-41F4-86FA-EFF40C2F4E67}">
      <text>
        <t>[Threaded comment]
Your version of Excel allows you to read this threaded comment; however, any edits to it will get removed if the file is opened in a newer version of Excel. Learn more: https://go.microsoft.com/fwlink/?linkid=870924
Comment:
    Figure 2 suggests 4 years
Reply:
    Not sure: enrolment was November 1971 to July 1976, mortality results are reported up to 1 Nov 1977. So FU should be "Up to 6 years" but can be as little as 16 months??
The text reports 13,466 and 12,418 PY though, so could put this is columns R and S?
Please check the new numbers in red font.
Reply:
    That makes sense. agreed</t>
      </text>
    </comment>
    <comment ref="R802" authorId="406" shapeId="0" xr:uid="{C1675508-B16F-41D8-8D30-FC6D8E494A4A}">
      <text>
        <t>[Threaded comment]
Your version of Excel allows you to read this threaded comment; however, any edits to it will get removed if the file is opened in a newer version of Excel. Learn more: https://go.microsoft.com/fwlink/?linkid=870924
Comment:
    agreed</t>
      </text>
    </comment>
    <comment ref="S802" authorId="407" shapeId="0" xr:uid="{0C073F30-1D7D-4D25-96B0-BA441656275E}">
      <text>
        <t>[Threaded comment]
Your version of Excel allows you to read this threaded comment; however, any edits to it will get removed if the file is opened in a newer version of Excel. Learn more: https://go.microsoft.com/fwlink/?linkid=870924
Comment:
    agreed</t>
      </text>
    </comment>
    <comment ref="T802" authorId="408" shapeId="0" xr:uid="{6887046A-9480-4305-8AF9-201A21D22EE0}">
      <text>
        <t>[Threaded comment]
Your version of Excel allows you to read this threaded comment; however, any edits to it will get removed if the file is opened in a newer version of Excel. Learn more: https://go.microsoft.com/fwlink/?linkid=870924
Comment:
    Figure 2 suggests 12 (3 per year over 4 years)
Reply:
    Not sure: enrolment was November 1971 to July 1976, mortality results are reported up to 1 Nov 1977. So FU should be "Up to 6 years", but could be as little as 16 months?
Reply:
    Happy to go with NR as not explicitly stated.</t>
      </text>
    </comment>
    <comment ref="AE803" authorId="409" shapeId="0" xr:uid="{770478EB-3000-4C84-9848-AB11415F5602}">
      <text>
        <t>[Threaded comment]
Your version of Excel allows you to read this threaded comment; however, any edits to it will get removed if the file is opened in a newer version of Excel. Learn more: https://go.microsoft.com/fwlink/?linkid=870924
Comment:
    agreed</t>
      </text>
    </comment>
    <comment ref="AF803" authorId="410" shapeId="0" xr:uid="{9323CF0E-05A7-4990-83A3-8834DFC24817}">
      <text>
        <t>[Threaded comment]
Your version of Excel allows you to read this threaded comment; however, any edits to it will get removed if the file is opened in a newer version of Excel. Learn more: https://go.microsoft.com/fwlink/?linkid=870924
Comment:
    #540 (Baker 2008) reports different numbers though.
Reply:
    They're looking at different timepoints.
Taylor - "Figure 5A presents the number and timing of deaths from lung cancer among the screened and control groups as of December 3 1, 1979"
Baker - "We analysed the data for successive years of follow-up from 1979 to 1984"
Reply:
    They both reported mortality up the 31/12/1979. 
Baker additionally reported data for each year until 1984.
Reply:
    Ah yes. Agreed.</t>
      </text>
    </comment>
    <comment ref="BC803" authorId="411" shapeId="0" xr:uid="{C57CC7A0-133A-4EE3-BF4E-1F93DD509EEE}">
      <text>
        <t>[Threaded comment]
Your version of Excel allows you to read this threaded comment; however, any edits to it will get removed if the file is opened in a newer version of Excel. Learn more: https://go.microsoft.com/fwlink/?linkid=870924
Comment:
    Numbers in Figure 5A and text are not consistent with number in abstract???
Reply:
    Well spotted! 
The text, plus figures 5, &amp; 6A/6B all say 50/42.
Happy to go with that because that is what it says most often in the paper?
Reply:
    Agree.</t>
      </text>
    </comment>
    <comment ref="R807" authorId="412" shapeId="0" xr:uid="{2A75DA8B-B982-4DCF-8A29-16479E6BD24F}">
      <text>
        <t>[Threaded comment]
Your version of Excel allows you to read this threaded comment; however, any edits to it will get removed if the file is opened in a newer version of Excel. Learn more: https://go.microsoft.com/fwlink/?linkid=870924
Comment:
    "Postscreening observation in both groups ranged from 1 to 5.5 years (average, 3 years)." plus 6 year screening period?
Reply:
    Sounds reasonable.
Put that in notes?
Reply:
    Done.</t>
      </text>
    </comment>
    <comment ref="S807" authorId="413" shapeId="0" xr:uid="{F625EC1B-A0C4-4BE3-9E8E-4419C1CB3D68}">
      <text>
        <t>[Threaded comment]
Your version of Excel allows you to read this threaded comment; however, any edits to it will get removed if the file is opened in a newer version of Excel. Learn more: https://go.microsoft.com/fwlink/?linkid=870924
Comment:
    "Postscreening observation in both groups ranged from 1 to 5.5 years (average, 3 years)." plus 6 year screening period?
Reply:
    Sounds reasonable.
Put that in notes?
Reply:
    Done.</t>
      </text>
    </comment>
    <comment ref="R808" authorId="414" shapeId="0" xr:uid="{436E86B5-D7B3-4E9E-905F-88D78D21B0FF}">
      <text>
        <t>[Threaded comment]
Your version of Excel allows you to read this threaded comment; however, any edits to it will get removed if the file is opened in a newer version of Excel. Learn more: https://go.microsoft.com/fwlink/?linkid=870924
Comment:
    "Postscreening observation in both groups ranged from 1 to 5.5 years (average, 3 years)." plus 6 year screening period?
Reply:
    Sounds reasonable.
Put that in notes?
Reply:
    Done.</t>
      </text>
    </comment>
    <comment ref="S808" authorId="415" shapeId="0" xr:uid="{548F5C6A-04FB-4C5E-A0C5-3458F175FD9A}">
      <text>
        <t>[Threaded comment]
Your version of Excel allows you to read this threaded comment; however, any edits to it will get removed if the file is opened in a newer version of Excel. Learn more: https://go.microsoft.com/fwlink/?linkid=870924
Comment:
    "Postscreening observation in both groups ranged from 1 to 5.5 years (average, 3 years)." plus 6 year screening period?
Reply:
    Sounds reasonable.
Put that in notes?
Reply:
    Done.</t>
      </text>
    </comment>
    <comment ref="S809" authorId="416" shapeId="0" xr:uid="{9EE548ED-0ABA-483D-9BCE-47AF862EB0F3}">
      <text>
        <t>[Threaded comment]
Your version of Excel allows you to read this threaded comment; however, any edits to it will get removed if the file is opened in a newer version of Excel. Learn more: https://go.microsoft.com/fwlink/?linkid=870924
Comment:
    Seems to be for both arms together.
Reply:
    agreed</t>
      </text>
    </comment>
    <comment ref="AT809" authorId="417" shapeId="0" xr:uid="{35A6C601-A65D-420D-B30C-D023C63308BD}">
      <text>
        <t xml:space="preserve">[Threaded comment]
Your version of Excel allows you to read this threaded comment; however, any edits to it will get removed if the file is opened in a newer version of Excel. Learn more: https://go.microsoft.com/fwlink/?linkid=870924
Comment:
    Reported 13% higher mortality rate.
Reply:
    It's the rounding that's doing this.
4.4/3.9 = 1.13
4.390/3.95 = 1.11
</t>
      </text>
    </comment>
    <comment ref="S810" authorId="418" shapeId="0" xr:uid="{9603DA07-B8E3-4C2F-B688-921B94E6346F}">
      <text>
        <t>[Threaded comment]
Your version of Excel allows you to read this threaded comment; however, any edits to it will get removed if the file is opened in a newer version of Excel. Learn more: https://go.microsoft.com/fwlink/?linkid=870924
Comment:
    Seems to be for both arms together.
Reply:
    agreed</t>
      </text>
    </comment>
    <comment ref="S811" authorId="419" shapeId="0" xr:uid="{3449A9E5-D583-4985-8286-C1E5D6906956}">
      <text>
        <t>[Threaded comment]
Your version of Excel allows you to read this threaded comment; however, any edits to it will get removed if the file is opened in a newer version of Excel. Learn more: https://go.microsoft.com/fwlink/?linkid=870924
Comment:
    Seems to be for both arms together.
Reply:
    agreed</t>
      </text>
    </comment>
    <comment ref="S812" authorId="420" shapeId="0" xr:uid="{C29E3C22-8F87-49FE-8FC5-04288F1BA581}">
      <text>
        <t>[Threaded comment]
Your version of Excel allows you to read this threaded comment; however, any edits to it will get removed if the file is opened in a newer version of Excel. Learn more: https://go.microsoft.com/fwlink/?linkid=870924
Comment:
    Seems to be for both arms together.
Reply:
    agreed</t>
      </text>
    </comment>
    <comment ref="AK812" authorId="421" shapeId="0" xr:uid="{2B12073D-5144-4B66-8C8C-D6D4B1F9802C}">
      <text>
        <t>[Threaded comment]
Your version of Excel allows you to read this threaded comment; however, any edits to it will get removed if the file is opened in a newer version of Excel. Learn more: https://go.microsoft.com/fwlink/?linkid=870924
Comment:
    Text reports 3.6???
Reply:
    I agree with you. I can't make it 3.6 with the available data. Perhaps this is the result of adjusted analysis? Doesn't say that though.</t>
      </text>
    </comment>
    <comment ref="AO812" authorId="422" shapeId="0" xr:uid="{8AC5A3EC-455B-4A14-8E1A-835DD2D6F9D5}">
      <text>
        <t xml:space="preserve">[Threaded comment]
Your version of Excel allows you to read this threaded comment; however, any edits to it will get removed if the file is opened in a newer version of Excel. Learn more: https://go.microsoft.com/fwlink/?linkid=870924
Comment:
    Text reports 3.2???
Reply:
    I agree with you. I can't make it 3.2 with the available data. Perhaps this is the result of adjusted analysis? Doesn't say that though.
</t>
      </text>
    </comment>
    <comment ref="S813" authorId="423" shapeId="0" xr:uid="{2438F3E9-15BE-40F5-8398-1F8D17F38136}">
      <text>
        <t>[Threaded comment]
Your version of Excel allows you to read this threaded comment; however, any edits to it will get removed if the file is opened in a newer version of Excel. Learn more: https://go.microsoft.com/fwlink/?linkid=870924
Comment:
    Seems to be for both arms together.
Reply:
    agreed</t>
      </text>
    </comment>
    <comment ref="S814" authorId="424" shapeId="0" xr:uid="{B85E62D1-5F79-4150-A784-B1B2AA342727}">
      <text>
        <t>[Threaded comment]
Your version of Excel allows you to read this threaded comment; however, any edits to it will get removed if the file is opened in a newer version of Excel. Learn more: https://go.microsoft.com/fwlink/?linkid=870924
Comment:
    Seems to be for both arms together.
Reply:
    agreed</t>
      </text>
    </comment>
    <comment ref="S815" authorId="425" shapeId="0" xr:uid="{217D9547-CC09-48FE-8261-BEB6C885E1B5}">
      <text>
        <t>[Threaded comment]
Your version of Excel allows you to read this threaded comment; however, any edits to it will get removed if the file is opened in a newer version of Excel. Learn more: https://go.microsoft.com/fwlink/?linkid=870924
Comment:
    Seems to be for both arms together.
Reply:
    agreed</t>
      </text>
    </comment>
    <comment ref="Y815" authorId="426" shapeId="0" xr:uid="{95BEB278-4A34-4F04-AC9F-4D70E72ED7B2}">
      <text>
        <t>[Threaded comment]
Your version of Excel allows you to read this threaded comment; however, any edits to it will get removed if the file is opened in a newer version of Excel. Learn more: https://go.microsoft.com/fwlink/?linkid=870924
Comment:
    Changed from 'NR' according to the agreed RoB assessment (domain 3b).
Reply:
    agreed</t>
      </text>
    </comment>
    <comment ref="Z815" authorId="427" shapeId="0" xr:uid="{0DED0367-988F-48D3-9E15-F51FF75D88CF}">
      <text>
        <t>[Threaded comment]
Your version of Excel allows you to read this threaded comment; however, any edits to it will get removed if the file is opened in a newer version of Excel. Learn more: https://go.microsoft.com/fwlink/?linkid=870924
Comment:
    agreed</t>
      </text>
    </comment>
    <comment ref="AA815" authorId="428" shapeId="0" xr:uid="{C1AE4196-778A-421D-B6DB-D7FAED2AF9C1}">
      <text>
        <t>[Threaded comment]
Your version of Excel allows you to read this threaded comment; however, any edits to it will get removed if the file is opened in a newer version of Excel. Learn more: https://go.microsoft.com/fwlink/?linkid=870924
Comment:
    agreed</t>
      </text>
    </comment>
    <comment ref="AB815" authorId="429" shapeId="0" xr:uid="{CFD1F34F-5584-45C3-A943-00D9796AB2D5}">
      <text>
        <t>[Threaded comment]
Your version of Excel allows you to read this threaded comment; however, any edits to it will get removed if the file is opened in a newer version of Excel. Learn more: https://go.microsoft.com/fwlink/?linkid=870924
Comment:
    agreed</t>
      </text>
    </comment>
    <comment ref="S816" authorId="430" shapeId="0" xr:uid="{20E977F5-9056-4C26-9AAC-8D7B16C1BE8F}">
      <text>
        <t>[Threaded comment]
Your version of Excel allows you to read this threaded comment; however, any edits to it will get removed if the file is opened in a newer version of Excel. Learn more: https://go.microsoft.com/fwlink/?linkid=870924
Comment:
    Seems to be for both arms together.
Reply:
    agreed</t>
      </text>
    </comment>
    <comment ref="Y816" authorId="431" shapeId="0" xr:uid="{71757918-C75A-4F4D-A3EE-B4EAFADB5BB2}">
      <text>
        <t>[Threaded comment]
Your version of Excel allows you to read this threaded comment; however, any edits to it will get removed if the file is opened in a newer version of Excel. Learn more: https://go.microsoft.com/fwlink/?linkid=870924
Comment:
    agreed</t>
      </text>
    </comment>
    <comment ref="Z816" authorId="432" shapeId="0" xr:uid="{C85E9A56-6808-4FB0-896C-5D593A4FE6CB}">
      <text>
        <t>[Threaded comment]
Your version of Excel allows you to read this threaded comment; however, any edits to it will get removed if the file is opened in a newer version of Excel. Learn more: https://go.microsoft.com/fwlink/?linkid=870924
Comment:
    agreed</t>
      </text>
    </comment>
    <comment ref="AA816" authorId="433" shapeId="0" xr:uid="{491BBD37-0FAE-4B99-A0E6-A21E5281E70A}">
      <text>
        <t>[Threaded comment]
Your version of Excel allows you to read this threaded comment; however, any edits to it will get removed if the file is opened in a newer version of Excel. Learn more: https://go.microsoft.com/fwlink/?linkid=870924
Comment:
    agreed</t>
      </text>
    </comment>
    <comment ref="AB816" authorId="434" shapeId="0" xr:uid="{BF85556D-3E21-4D81-B40D-3E2B8A9B884F}">
      <text>
        <t>[Threaded comment]
Your version of Excel allows you to read this threaded comment; however, any edits to it will get removed if the file is opened in a newer version of Excel. Learn more: https://go.microsoft.com/fwlink/?linkid=870924
Comment:
    agreed</t>
      </text>
    </comment>
    <comment ref="V817" authorId="435" shapeId="0" xr:uid="{D9188B72-ACA2-4440-A9F5-AE9B4589411B}">
      <text>
        <t>[Threaded comment]
Your version of Excel allows you to read this threaded comment; however, any edits to it will get removed if the file is opened in a newer version of Excel. Learn more: https://go.microsoft.com/fwlink/?linkid=870924
Comment:
    Not reported in paper. Paper only states 9,211 included participants in total ("... the numbers entering the study were 1603,1586, 2733, 2154 and 1135, respectively, which were approximated equally allocated to the two randomization groups.")
groups.
Reply:
    If it's okay to make assumptions, this seems all right to me. Lots of the other papers say 9211 and report the numbers you've state per arm. Is there a way to flag this to Adam as an assumption we've made?
Reply:
    To save me repeating this, same comment for below cells.
Reply:
    Can put it in the notes field.</t>
      </text>
    </comment>
    <comment ref="B818" authorId="436" shapeId="0" xr:uid="{4F03F423-7A34-4B04-ADA4-7D7AAE9881F0}">
      <text>
        <t>[Threaded comment]
Your version of Excel allows you to read this threaded comment; however, any edits to it will get removed if the file is opened in a newer version of Excel. Learn more: https://go.microsoft.com/fwlink/?linkid=870924
Comment:
    Also reported in #502,Taylor 1981.
Reply:
    But not extracted for Taylor. Right?
Reply:
    Extracted in row 5.
Reply:
    Ah yes, but some numbers are different (i.e. deaths)</t>
      </text>
    </comment>
    <comment ref="V818" authorId="437" shapeId="0" xr:uid="{070C6B9B-D888-43F1-A522-13D1773A37FF}">
      <text>
        <t>[Threaded comment]
Your version of Excel allows you to read this threaded comment; however, any edits to it will get removed if the file is opened in a newer version of Excel. Learn more: https://go.microsoft.com/fwlink/?linkid=870924
Comment:
    Not reported in paper. Paper only states 9,211 included participants in total ("... the numbers entering the study were 1603,1586, 2733, 2154 and 1135, respectively, which were approximated equally allocated to the two randomization groups.")
groups.
Reply:
    If it's okay to make assumptions, this seems all right to me. Lots of the other papers say 9211 and report the numbers you've state per arm. Is there a way to flag this to Adam as an assumption we've made?
Reply:
    To save me repeating this, same comment for below cells.
Reply:
    Can put it in the notes field.</t>
      </text>
    </comment>
    <comment ref="AF818" authorId="438" shapeId="0" xr:uid="{76B9AAC2-FF24-4556-8104-AAD2561384E5}">
      <text>
        <t>[Threaded comment]
Your version of Excel allows you to read this threaded comment; however, any edits to it will get removed if the file is opened in a newer version of Excel. Learn more: https://go.microsoft.com/fwlink/?linkid=870924
Comment:
    #502 (Taylor 1981) reports different numbers though.
Reply:
    Agreed. Can't see a reason to explain this difference.</t>
      </text>
    </comment>
    <comment ref="V819" authorId="439" shapeId="0" xr:uid="{6D9B48A7-868D-482E-872B-E8B1F505B4B3}">
      <text>
        <t>[Threaded comment]
Your version of Excel allows you to read this threaded comment; however, any edits to it will get removed if the file is opened in a newer version of Excel. Learn more: https://go.microsoft.com/fwlink/?linkid=870924
Comment:
    Not reported in paper. Paper only states 9,211 included participants in total ("... the numbers entering the study were 1603,1586, 2733, 2154 and 1135, respectively, which were approximated equally allocated to the two randomization groups.")
groups.
Reply:
    If it's okay to make assumptions, this seems all right to me. Lots of the other papers say 9211 and report the numbers you've state per arm. Is there a way to flag this to Adam as an assumption we've made?
Reply:
    To save me repeating this, same comment for below cells.
Reply:
    Can put it in the notes field.</t>
      </text>
    </comment>
    <comment ref="V820" authorId="440" shapeId="0" xr:uid="{C10B0890-C356-418D-9DE6-935D3CB178B2}">
      <text>
        <t>[Threaded comment]
Your version of Excel allows you to read this threaded comment; however, any edits to it will get removed if the file is opened in a newer version of Excel. Learn more: https://go.microsoft.com/fwlink/?linkid=870924
Comment:
    Not reported in paper. Paper only states 9,211 included participants in total ("... the numbers entering the study were 1603,1586, 2733, 2154 and 1135, respectively, which were approximated equally allocated to the two randomization groups.")
groups.
Reply:
    If it's okay to make assumptions, this seems all right to me. Lots of the other papers say 9211 and report the numbers you've state per arm. Is there a way to flag this to Adam as an assumption we've made?
Reply:
    To save me repeating this, same comment for below cells.
Reply:
    Can put it in the notes field.</t>
      </text>
    </comment>
    <comment ref="V821" authorId="441" shapeId="0" xr:uid="{BB7B5DE6-6299-45C8-A1AB-BF54ADD3273D}">
      <text>
        <t>[Threaded comment]
Your version of Excel allows you to read this threaded comment; however, any edits to it will get removed if the file is opened in a newer version of Excel. Learn more: https://go.microsoft.com/fwlink/?linkid=870924
Comment:
    Not reported in paper. Paper only states 9,211 included participants in total ("... the numbers entering the study were 1603,1586, 2733, 2154 and 1135, respectively, which were approximated equally allocated to the two randomization groups.")
groups.
Reply:
    If it's okay to make assumptions, this seems all right to me. Lots of the other papers say 9211 and report the numbers you've state per arm. Is there a way to flag this to Adam as an assumption we've made?
Reply:
    To save me repeating this, same comment for below cells.
Reply:
    Can put it in the notes field.</t>
      </text>
    </comment>
    <comment ref="V822" authorId="442" shapeId="0" xr:uid="{79559AD8-B792-4FD8-AEBF-079875B9AAC4}">
      <text>
        <t>[Threaded comment]
Your version of Excel allows you to read this threaded comment; however, any edits to it will get removed if the file is opened in a newer version of Excel. Learn more: https://go.microsoft.com/fwlink/?linkid=870924
Comment:
    Not reported in paper. Paper only states 9,211 included participants in total ("... the numbers entering the study were 1603,1586, 2733, 2154 and 1135, respectively, which were approximated equally allocated to the two randomization groups.")
groups.
Reply:
    If it's okay to make assumptions, this seems all right to me. Lots of the other papers say 9211 and report the numbers you've state per arm. Is there a way to flag this to Adam as an assumption we've made?
Reply:
    To save me repeating this, same comment for below cells.
Reply:
    Can put it in the notes field.</t>
      </text>
    </comment>
    <comment ref="V823" authorId="443" shapeId="0" xr:uid="{412CAA49-0054-4319-BDF4-222A8481AE47}">
      <text>
        <t>[Threaded comment]
Your version of Excel allows you to read this threaded comment; however, any edits to it will get removed if the file is opened in a newer version of Excel. Learn more: https://go.microsoft.com/fwlink/?linkid=870924
Comment:
    Not reported in paper. Paper only states 9,211 included participants in total ("... the numbers entering the study were 1603,1586, 2733, 2154 and 1135, respectively, which were approximated equally allocated to the two randomization groups.")
groups.
Reply:
    If it's okay to make assumptions, this seems all right to me. Lots of the other papers say 9211 and report the numbers you've state per arm. Is there a way to flag this to Adam as an assumption we've made?
Reply:
    To save me repeating this, same comment for below cells.
Reply:
    Can put it in the notes field.</t>
      </text>
    </comment>
    <comment ref="V824" authorId="444" shapeId="0" xr:uid="{93B9622B-0EDA-4800-A3C8-AC7E340041E0}">
      <text>
        <t>[Threaded comment]
Your version of Excel allows you to read this threaded comment; however, any edits to it will get removed if the file is opened in a newer version of Excel. Learn more: https://go.microsoft.com/fwlink/?linkid=870924
Comment:
    Not reported in paper. Paper only states 9,211 included participants in total ("... the numbers entering the study were 1603,1586, 2733, 2154 and 1135, respectively, which were approximated equally allocated to the two randomization groups.")
groups.
Reply:
    If it's okay to make assumptions, this seems all right to me. Lots of the other papers say 9211 and report the numbers you've state per arm. Is there a way to flag this to Adam as an assumption we've made?
Reply:
    To save me repeating this, same comment for below cells.
Reply:
    Can put it in the notes field.</t>
      </text>
    </comment>
    <comment ref="V825" authorId="445" shapeId="0" xr:uid="{5949CEE7-BB75-47A3-AC46-0189457DCE50}">
      <text>
        <t>[Threaded comment]
Your version of Excel allows you to read this threaded comment; however, any edits to it will get removed if the file is opened in a newer version of Excel. Learn more: https://go.microsoft.com/fwlink/?linkid=870924
Comment:
    Not reported in paper. Paper only states 9,211 included participants in total ("... the numbers entering the study were 1603,1586, 2733, 2154 and 1135, respectively, which were approximated equally allocated to the two randomization groups.")
groups.
Reply:
    If it's okay to make assumptions, this seems all right to me. Lots of the other papers say 9211 and report the numbers you've state per arm. Is there a way to flag this to Adam as an assumption we've made?
Reply:
    To save me repeating this, same comment for below cells.
Reply:
    Can put it in the notes field.</t>
      </text>
    </comment>
    <comment ref="V826" authorId="446" shapeId="0" xr:uid="{E4488924-E917-4A7A-AFEE-626A913BF4E1}">
      <text>
        <t>[Threaded comment]
Your version of Excel allows you to read this threaded comment; however, any edits to it will get removed if the file is opened in a newer version of Excel. Learn more: https://go.microsoft.com/fwlink/?linkid=870924
Comment:
    Not reported in paper. Paper only states 9,211 included participants in total ("... the numbers entering the study were 1603,1586, 2733, 2154 and 1135, respectively, which were approximated equally allocated to the two randomization groups.")
groups.
Reply:
    If it's okay to make assumptions, this seems all right to me. Lots of the other papers say 9211 and report the numbers you've state per arm. Is there a way to flag this to Adam as an assumption we've made?
Reply:
    To save me repeating this, same comment for below cells.
Reply:
    Can put it in the notes field.</t>
      </text>
    </comment>
    <comment ref="V827" authorId="447" shapeId="0" xr:uid="{122363F4-0244-4FCB-93FD-31B0378F7D95}">
      <text>
        <t>[Threaded comment]
Your version of Excel allows you to read this threaded comment; however, any edits to it will get removed if the file is opened in a newer version of Excel. Learn more: https://go.microsoft.com/fwlink/?linkid=870924
Comment:
    Not reported in paper. Paper only states 9,211 included participants in total ("... the numbers entering the study were 1603,1586, 2733, 2154 and 1135, respectively, which were approximated equally allocated to the two randomization groups.")
groups.
Reply:
    If it's okay to make assumptions, this seems all right to me. Lots of the other papers say 9211 and report the numbers you've state per arm. Is there a way to flag this to Adam as an assumption we've made?
Reply:
    To save me repeating this, same comment for below cells.
Reply:
    Can put it in the notes field.</t>
      </text>
    </comment>
    <comment ref="V828" authorId="448" shapeId="0" xr:uid="{F5FEAE83-47A1-43EF-B71A-142A969CAA0E}">
      <text>
        <t>[Threaded comment]
Your version of Excel allows you to read this threaded comment; however, any edits to it will get removed if the file is opened in a newer version of Excel. Learn more: https://go.microsoft.com/fwlink/?linkid=870924
Comment:
    Not reported in paper. Paper only states 9,211 included participants in total ("... the numbers entering the study were 1603,1586, 2733, 2154 and 1135, respectively, which were approximated equally allocated to the two randomization groups.")
groups.
Reply:
    If it's okay to make assumptions, this seems all right to me. Lots of the other papers say 9211 and report the numbers you've state per arm. Is there a way to flag this to Adam as an assumption we've made?
Reply:
    To save me repeating this, same comment for below cells.
Reply:
    Can put it in the notes field.</t>
      </text>
    </comment>
    <comment ref="V829" authorId="449" shapeId="0" xr:uid="{55FB1ACD-AF80-46F9-8B32-E370C890BC62}">
      <text>
        <t>[Threaded comment]
Your version of Excel allows you to read this threaded comment; however, any edits to it will get removed if the file is opened in a newer version of Excel. Learn more: https://go.microsoft.com/fwlink/?linkid=870924
Comment:
    Not reported in paper. Paper only states 9,211 included participants in total ("... the numbers entering the study were 1603,1586, 2733, 2154 and 1135, respectively, which were approximated equally allocated to the two randomization groups.")
groups.
Reply:
    If it's okay to make assumptions, this seems all right to me. Lots of the other papers say 9211 and report the numbers you've state per arm. Is there a way to flag this to Adam as an assumption we've made?
Reply:
    To save me repeating this, same comment for below cells.
Reply:
    Can put it in the notes field.</t>
      </text>
    </comment>
    <comment ref="V830" authorId="450" shapeId="0" xr:uid="{85515C32-80CB-4002-8FEB-C25E596FD3F4}">
      <text>
        <t>[Threaded comment]
Your version of Excel allows you to read this threaded comment; however, any edits to it will get removed if the file is opened in a newer version of Excel. Learn more: https://go.microsoft.com/fwlink/?linkid=870924
Comment:
    Not reported in paper. Paper only states 9,211 included participants in total ("... the numbers entering the study were 1603,1586, 2733, 2154 and 1135, respectively, which were approximated equally allocated to the two randomization groups.")
groups.
Reply:
    If it's okay to make assumptions, this seems all right to me. Lots of the other papers say 9211 and report the numbers you've state per arm. Is there a way to flag this to Adam as an assumption we've made?
Reply:
    To save me repeating this, same comment for below cells.
Reply:
    Can put it in the notes field.</t>
      </text>
    </comment>
    <comment ref="V831" authorId="451" shapeId="0" xr:uid="{32971F41-9933-4097-9655-92F13ABB0717}">
      <text>
        <t>[Threaded comment]
Your version of Excel allows you to read this threaded comment; however, any edits to it will get removed if the file is opened in a newer version of Excel. Learn more: https://go.microsoft.com/fwlink/?linkid=870924
Comment:
    Not reported in paper. Paper only states 9,211 included participants in total ("... the numbers entering the study were 1603,1586, 2733, 2154 and 1135, respectively, which were approximated equally allocated to the two randomization groups.")
groups.
Reply:
    If it's okay to make assumptions, this seems all right to me. Lots of the other papers say 9211 and report the numbers you've state per arm. Is there a way to flag this to Adam as an assumption we've made?
Reply:
    To save me repeating this, same comment for below cells.
Reply:
    Can put it in the notes field.</t>
      </text>
    </comment>
    <comment ref="V832" authorId="452" shapeId="0" xr:uid="{EEF5DDD1-718C-4597-BDA2-19428765B065}">
      <text>
        <t>[Threaded comment]
Your version of Excel allows you to read this threaded comment; however, any edits to it will get removed if the file is opened in a newer version of Excel. Learn more: https://go.microsoft.com/fwlink/?linkid=870924
Comment:
    Not reported in paper. Paper only states 9,211 included participants in total ("... the numbers entering the study were 1603,1586, 2733, 2154 and 1135, respectively, which were approximated equally allocated to the two randomization groups.")
groups.
Reply:
    If it's okay to make assumptions, this seems all right to me. Lots of the other papers say 9211 and report the numbers you've state per arm. Is there a way to flag this to Adam as an assumption we've made?
Reply:
    To save me repeating this, same comment for below cells.
Reply:
    Can put it in the notes field.</t>
      </text>
    </comment>
    <comment ref="V833" authorId="453" shapeId="0" xr:uid="{251980F4-6C85-4C37-8E97-071B051571FE}">
      <text>
        <t>[Threaded comment]
Your version of Excel allows you to read this threaded comment; however, any edits to it will get removed if the file is opened in a newer version of Excel. Learn more: https://go.microsoft.com/fwlink/?linkid=870924
Comment:
    Not reported in paper. Paper only states 9,211 included participants in total ("... the numbers entering the study were 1603,1586, 2733, 2154 and 1135, respectively, which were approximated equally allocated to the two randomization groups.")
groups.
Reply:
    If it's okay to make assumptions, this seems all right to me. Lots of the other papers say 9211 and report the numbers you've state per arm. Is there a way to flag this to Adam as an assumption we've made?
Reply:
    To save me repeating this, same comment for below cells.
Reply:
    Can put it in the notes field.</t>
      </text>
    </comment>
    <comment ref="R834" authorId="454" shapeId="0" xr:uid="{2F269134-ECAD-47D7-85EC-31C1F7544B44}">
      <text>
        <t>[Threaded comment]
Your version of Excel allows you to read this threaded comment; however, any edits to it will get removed if the file is opened in a newer version of Excel. Learn more: https://go.microsoft.com/fwlink/?linkid=870924
Comment:
    "Postscreening observation in both groups ranged from 1 to 5.5 years (average, 3 years)." plus 6 year screening period?
Reply:
    Sounds reasonable.
Put that in notes?
Reply:
    Done.</t>
      </text>
    </comment>
    <comment ref="S834" authorId="455" shapeId="0" xr:uid="{8B6201B2-81DF-4B45-8961-04886D91DC1D}">
      <text>
        <t>[Threaded comment]
Your version of Excel allows you to read this threaded comment; however, any edits to it will get removed if the file is opened in a newer version of Excel. Learn more: https://go.microsoft.com/fwlink/?linkid=870924
Comment:
    "Postscreening observation in both groups ranged from 1 to 5.5 years (average, 3 years)." plus 6 year screening period?
Reply:
    Sounds reasonable.
Put that in notes?
Reply:
    Done.</t>
      </text>
    </comment>
    <comment ref="R835" authorId="456" shapeId="0" xr:uid="{424C34A9-EFB3-4230-AC85-C536DA664949}">
      <text>
        <t>[Threaded comment]
Your version of Excel allows you to read this threaded comment; however, any edits to it will get removed if the file is opened in a newer version of Excel. Learn more: https://go.microsoft.com/fwlink/?linkid=870924
Comment:
    "Postscreening observation in both groups ranged from 1 to 5.5 years (average, 3 years)." plus 6 year screening period?
Reply:
    Sounds reasonable.
Put that in notes?
Reply:
    Done.</t>
      </text>
    </comment>
    <comment ref="S835" authorId="457" shapeId="0" xr:uid="{28A30A9E-02E2-42E7-AD99-1871C10888F1}">
      <text>
        <t>[Threaded comment]
Your version of Excel allows you to read this threaded comment; however, any edits to it will get removed if the file is opened in a newer version of Excel. Learn more: https://go.microsoft.com/fwlink/?linkid=870924
Comment:
    "Postscreening observation in both groups ranged from 1 to 5.5 years (average, 3 years)." plus 6 year screening period?
Reply:
    Sounds reasonable.
Put that in notes?
Reply:
    Done.</t>
      </text>
    </comment>
    <comment ref="A836" authorId="458" shapeId="0" xr:uid="{2E7046DA-CE3F-43B8-86F2-2CED1234CF84}">
      <text>
        <t>[Threaded comment]
Your version of Excel allows you to read this threaded comment; however, any edits to it will get removed if the file is opened in a newer version of Excel. Learn more: https://go.microsoft.com/fwlink/?linkid=870924
Comment:
    Risk ratio already calculated above (#531).</t>
      </text>
    </comment>
    <comment ref="R836" authorId="459" shapeId="0" xr:uid="{6998C88D-2907-4CBF-BA29-59331375AC56}">
      <text>
        <t>[Threaded comment]
Your version of Excel allows you to read this threaded comment; however, any edits to it will get removed if the file is opened in a newer version of Excel. Learn more: https://go.microsoft.com/fwlink/?linkid=870924
Comment:
    "Postscreening observation in both groups ranged from 1 to 5.5 years (average, 3 years)." plus 6 year screening period?
Reply:
    Sounds reasonable.
Put that in notes?
Reply:
    Done.</t>
      </text>
    </comment>
    <comment ref="S836" authorId="460" shapeId="0" xr:uid="{F2F9C8F0-6A64-442D-B742-E68CF341C781}">
      <text>
        <t>[Threaded comment]
Your version of Excel allows you to read this threaded comment; however, any edits to it will get removed if the file is opened in a newer version of Excel. Learn more: https://go.microsoft.com/fwlink/?linkid=870924
Comment:
    "Postscreening observation in both groups ranged from 1 to 5.5 years (average, 3 years)." plus 6 year screening period?
Reply:
    Sounds reasonable.
Put that in notes?
Reply:
    Done.</t>
      </text>
    </comment>
    <comment ref="R837" authorId="461" shapeId="0" xr:uid="{C3197550-70F0-44B8-AE88-09DBE4A03974}">
      <text>
        <t>[Threaded comment]
Your version of Excel allows you to read this threaded comment; however, any edits to it will get removed if the file is opened in a newer version of Excel. Learn more: https://go.microsoft.com/fwlink/?linkid=870924
Comment:
    "Postscreening observation in both groups ranged from 1 to 5.5 years (average, 3 years)." plus 6 year screening period?
Reply:
    Sounds reasonable.
Put that in notes?
Reply:
    Done.</t>
      </text>
    </comment>
    <comment ref="S837" authorId="462" shapeId="0" xr:uid="{5E89DEE8-6F3A-434D-850B-B0C47C8EF459}">
      <text>
        <t>[Threaded comment]
Your version of Excel allows you to read this threaded comment; however, any edits to it will get removed if the file is opened in a newer version of Excel. Learn more: https://go.microsoft.com/fwlink/?linkid=870924
Comment:
    "Postscreening observation in both groups ranged from 1 to 5.5 years (average, 3 years)." plus 6 year screening period?
Reply:
    Sounds reasonable.
Put that in notes?
Reply:
    Done.</t>
      </text>
    </comment>
    <comment ref="AW858" authorId="463" shapeId="0" xr:uid="{17DA1D39-15CA-4D95-AE0B-7B9EF647FAF4}">
      <text>
        <t xml:space="preserve">[Threaded comment]
Your version of Excel allows you to read this threaded comment; however, any edits to it will get removed if the file is opened in a newer version of Excel. Learn more: https://go.microsoft.com/fwlink/?linkid=870924
Comment:
    Randell, Matthew:
I can't see where these are reported?
Reply:
    Do you calculate them?
Reply:
    You are right, it's not clearly reported. </t>
      </text>
    </comment>
    <comment ref="AD863" authorId="274" shapeId="0" xr:uid="{A450D7CD-346C-43DF-BEDF-4118E9F3870E}">
      <text>
        <r>
          <rPr>
            <sz val="11"/>
            <color theme="1"/>
            <rFont val="Calibri"/>
            <family val="2"/>
            <scheme val="minor"/>
          </rPr>
          <t>Randell, Matthew:
Number of people randomised, by arm
JG - CORRECTED.</t>
        </r>
      </text>
    </comment>
    <comment ref="P864" authorId="274" shapeId="0" xr:uid="{B32C640D-E919-415F-AA29-5F1C9A6827D5}">
      <text>
        <r>
          <rPr>
            <sz val="11"/>
            <color theme="1"/>
            <rFont val="Calibri"/>
            <family val="2"/>
            <scheme val="minor"/>
          </rPr>
          <t>Randell, Matthew:
I worried that it doesn't specifically say this date, just "through 2008" but I think it is correct?
JG - AGREE, IT'S GOOD ENOUGH.</t>
        </r>
      </text>
    </comment>
    <comment ref="AG868" authorId="274" shapeId="0" xr:uid="{2C603CE6-8C42-4D73-91E8-AA3829A4F051}">
      <text>
        <r>
          <rPr>
            <sz val="11"/>
            <color theme="1"/>
            <rFont val="Calibri"/>
            <family val="2"/>
            <scheme val="minor"/>
          </rPr>
          <t>Randell, Matthew:
15,587.
JG - CORRECTED.</t>
        </r>
      </text>
    </comment>
    <comment ref="AG869" authorId="274" shapeId="0" xr:uid="{612340E3-3054-40CB-8E20-E2667F21F34C}">
      <text>
        <r>
          <rPr>
            <sz val="11"/>
            <color theme="1"/>
            <rFont val="Calibri"/>
            <family val="2"/>
            <scheme val="minor"/>
          </rPr>
          <t>Randell, Matthew:
15,587.
JG - CORRECTED.</t>
        </r>
      </text>
    </comment>
    <comment ref="AG874" authorId="274" shapeId="0" xr:uid="{A8502879-87E5-4A36-BBA9-04154BF5E529}">
      <text>
        <r>
          <rPr>
            <sz val="11"/>
            <color theme="1"/>
            <rFont val="Calibri"/>
            <family val="2"/>
            <scheme val="minor"/>
          </rPr>
          <t>Randell, Matthew:
15,587.
JG - CORRECTED.</t>
        </r>
      </text>
    </comment>
    <comment ref="A875" authorId="464" shapeId="0" xr:uid="{75F64564-918F-40DE-A4DD-5C0E22B89A53}">
      <text>
        <t>[Threaded comment]
Your version of Excel allows you to read this threaded comment; however, any edits to it will get removed if the file is opened in a newer version of Excel. Learn more: https://go.microsoft.com/fwlink/?linkid=870924
Comment:
    Paper reports mortality data by sex and age group, but we don't have surrogate data for these subgroups, so I don't have extracted them.</t>
      </text>
    </comment>
    <comment ref="AG875" authorId="274" shapeId="0" xr:uid="{6FEA740E-1F66-4147-A1AC-65CFE617DF39}">
      <text>
        <r>
          <rPr>
            <sz val="11"/>
            <color theme="1"/>
            <rFont val="Calibri"/>
            <family val="2"/>
            <scheme val="minor"/>
          </rPr>
          <t>Randell, Matthew:
15,587.
JG - CORRECTED.</t>
        </r>
      </text>
    </comment>
    <comment ref="L876" authorId="465" shapeId="0" xr:uid="{35A51089-037C-4433-AFCC-57A5D15DBAFB}">
      <text>
        <t>[Threaded comment]
Your version of Excel allows you to read this threaded comment; however, any edits to it will get removed if the file is opened in a newer version of Excel. Learn more: https://go.microsoft.com/fwlink/?linkid=870924
Comment:
    Death isn't censoring. Censoring occurs when you can't measure the outcome of interest because something else happened, eg study ended before death, person withdrew before death.
Reply:
    Agree.</t>
      </text>
    </comment>
    <comment ref="R876" authorId="466" shapeId="0" xr:uid="{93D7AAD0-6ED3-4F3F-9331-BCDF477C5F1A}">
      <text>
        <t>[Threaded comment]
Your version of Excel allows you to read this threaded comment; however, any edits to it will get removed if the file is opened in a newer version of Excel. Learn more: https://go.microsoft.com/fwlink/?linkid=870924
Comment:
    From #11135.
Reply:
    The "Characteristics of the participants" section says median follow up was 6.5 years. Though it doesn't specify a group.
Reply:
    This is until 31/12/2009. But for lung cancer mortality, the FU was only until 15/01/2009.
I have used the median of 6.5 years below for all-cause mortality, where FU was until 31/12/2009.
Reply:
    Sounds good.</t>
      </text>
    </comment>
    <comment ref="S876" authorId="467" shapeId="0" xr:uid="{38035354-EEA6-4975-BF9E-A8FE15C8949D}">
      <text>
        <t>[Threaded comment]
Your version of Excel allows you to read this threaded comment; however, any edits to it will get removed if the file is opened in a newer version of Excel. Learn more: https://go.microsoft.com/fwlink/?linkid=870924
Comment:
    From #11135.
Reply:
    The "Characteristics of the participants" section says median follow up was 6.5 years. Though it doesn't specify a group.
Reply:
    This is until 31/12/2009. But for lung cancer mortality, the FU was only until 15/01/2009.
I have used the median of 6.5 years below for all-cause mortality, where FU was until 31/12/2009.
Reply:
    Sounds good.</t>
      </text>
    </comment>
    <comment ref="AU876" authorId="468" shapeId="0" xr:uid="{58292876-9366-4EE1-BAA5-6FF5442B22DF}">
      <text>
        <t>[Threaded comment]
Your version of Excel allows you to read this threaded comment; however, any edits to it will get removed if the file is opened in a newer version of Excel. Learn more: https://go.microsoft.com/fwlink/?linkid=870924
Comment:
    I can't see where this comes from.
Page 402 says the lower bound of the CI is 6.8.
Reply:
    Text: "20.0% (95% CI, 6.8 to 26.7; P = 0.004)."
100-26.7=73.3%=0.733
100-6.8=93.2%=0.932
See formula I used in Excel.
But maybe that's mathematically not correct? LOL
Reply:
    Oh, I see. You don't need to do that here. The paper gives all the info we need. RR 0.80 [based on a 20% relative risk reduction, i.e. 1 - 0.20] (95% CI, 6.8 to 26.7). 
Plus, we're not asked to calculate this ourselves!
Reply:
    Okay, I delete it then and Nefeli can calculcate it.</t>
      </text>
    </comment>
    <comment ref="AV876" authorId="469" shapeId="0" xr:uid="{31BE20BA-B97A-46CF-B568-D21E6E8930D0}">
      <text>
        <t xml:space="preserve">[Threaded comment]
Your version of Excel allows you to read this threaded comment; however, any edits to it will get removed if the file is opened in a newer version of Excel. Learn more: https://go.microsoft.com/fwlink/?linkid=870924
Comment:
    I can't see where this comes from.
Page 402 says the upper bound of the CI is 26.7.
Reply:
    Text: "20.0% (95% CI, 6.8 to 26.7; P = 0.004)."
100-26.7=73.3%=0.733
100-6.8=93.2%=0.932
See formula I used in Excel.
But maybe that's mathematically not correct? LOL
Reply:
    Oh, I see. You don't need to do that here. The paper gives all the info we need. RR 0.80 [based on a 20% relative risk reduction, i.e. 1 - 0.20] (95% CI, 6.8 to 26.7). 
Plus, we're not asked to calculate this ourselves!
</t>
      </text>
    </comment>
    <comment ref="R877" authorId="470" shapeId="0" xr:uid="{51354F4B-4D7D-4451-98D9-3FF7143099B4}">
      <text>
        <t>[Threaded comment]
Your version of Excel allows you to read this threaded comment; however, any edits to it will get removed if the file is opened in a newer version of Excel. Learn more: https://go.microsoft.com/fwlink/?linkid=870924
Comment:
    From #11135.
Reply:
    The "Characteristics of the participants" section says median follow up was 6.5 years. Though it doesn't specify a group.
Reply:
    This is until 31/12/2009. But for lung cancer mortality, the FU was only until 15/01/2009.
I have used the median of 6.5 years below for all-cause mortality, where FU was until 31/12/2009.
Reply:
    Sounds good.</t>
      </text>
    </comment>
    <comment ref="S877" authorId="471" shapeId="0" xr:uid="{0B3FF0CC-4C38-4DC5-8913-3F062C7DC744}">
      <text>
        <t>[Threaded comment]
Your version of Excel allows you to read this threaded comment; however, any edits to it will get removed if the file is opened in a newer version of Excel. Learn more: https://go.microsoft.com/fwlink/?linkid=870924
Comment:
    From #11135.
Reply:
    The "Characteristics of the participants" section says median follow up was 6.5 years. Though it doesn't specify a group.
Reply:
    This is until 31/12/2009. But for lung cancer mortality, the FU was only until 15/01/2009.
I have used the median of 6.5 years below for all-cause mortality, where FU was until 31/12/2009.
Reply:
    Sounds good.</t>
      </text>
    </comment>
    <comment ref="Y878" authorId="472" shapeId="0" xr:uid="{62618168-6B1C-4F9C-9779-2D5276E921C1}">
      <text>
        <t>[Threaded comment]
Your version of Excel allows you to read this threaded comment; however, any edits to it will get removed if the file is opened in a newer version of Excel. Learn more: https://go.microsoft.com/fwlink/?linkid=870924
Comment:
    802 people
Reply:
    Where does your number come from?
My information is from "As
of December 31, 2009, vital status was known for 97% of the participants in the low-dose CT group and 96% of those in the radiography group."
Reply:
    802 is 3% of 26722.
Reply:
    Think the problem is that they don't report any decimal places. 3% of 26722 could be any value between 669 and 935.</t>
      </text>
    </comment>
    <comment ref="AA878" authorId="473" shapeId="0" xr:uid="{AB6BAE2F-33F9-46AE-8944-4DFB08AA4ED5}">
      <text>
        <t>[Threaded comment]
Your version of Excel allows you to read this threaded comment; however, any edits to it will get removed if the file is opened in a newer version of Excel. Learn more: https://go.microsoft.com/fwlink/?linkid=870924
Comment:
    1069 people
Reply:
    Where does your number come from?
My information is from "As
of December 31, 2009, vital status was known for 97% of the participants in the low-dose CT group and 96% of those in the radiography group."
Reply:
    1069 is 4% of 26732.
Reply:
    Well, it could be also any value between 936 and 1202.</t>
      </text>
    </comment>
    <comment ref="AF878" authorId="474" shapeId="0" xr:uid="{F77DED84-1FDC-4DCF-A19C-D78D090EE427}">
      <text>
        <t>[Threaded comment]
Your version of Excel allows you to read this threaded comment; however, any edits to it will get removed if the file is opened in a newer version of Excel. Learn more: https://go.microsoft.com/fwlink/?linkid=870924
Comment:
    This is what it says in the text, but in/under Table 7 it says 1998.
Reply:
    You are right. But shouldn't make much difference. Can we leave as it is or what should we do?
Reply:
    Your call. Can't tell from the paper which is correct.
Reply:
    Let's leave as it is then.</t>
      </text>
    </comment>
    <comment ref="AU878" authorId="475" shapeId="0" xr:uid="{C0E821F8-D17E-462B-AF3B-5A3B060A4426}">
      <text>
        <t>[Threaded comment]
Your version of Excel allows you to read this threaded comment; however, any edits to it will get removed if the file is opened in a newer version of Excel. Learn more: https://go.microsoft.com/fwlink/?linkid=870924
Comment:
    I can't see where this value comes from.
On page 403 it say the lower bound of the CI is 1.2.
Reply:
    Yes, you need to convert it using 100 minus the reported value as they don't report the rate ratio but risk reduction: "6.7% (95% CI, 1.2 to 13.6) in the rate of death from any cause (P = 0.02)."
100-13.6=86.4%=0.864
100-1.2=98.8%=0.988
See formula I used in Excel.
Not sure though one can do that. LOL
Reply:
    I don't know the answer to this, but there are two things that make me think it doesn't matter:
1. We're supposed to be stating the reported rates, not calculating them.
2. There is a bit in the analysis section that makes me think we can't calculate the confidence intervals…
"We calculated the confidence intervals for mortality ratios with the weighted method that was used to monitor the primary end point of the trial,17 which allows for a varying rate ratio and is adjusted for the design."
Reply:
    I just say NR then.</t>
      </text>
    </comment>
    <comment ref="AV878" authorId="476" shapeId="0" xr:uid="{4145D587-6920-4782-B026-312FBBC24B79}">
      <text>
        <t xml:space="preserve">[Threaded comment]
Your version of Excel allows you to read this threaded comment; however, any edits to it will get removed if the file is opened in a newer version of Excel. Learn more: https://go.microsoft.com/fwlink/?linkid=870924
Comment:
    I can't see where this value comes from.
On page 403 it say the upper bound of the CI is 13.6
Reply:
    Yes, you need to convert it using 100 minus the reported value as they don't report the rate ratio but risk reduction: "6.7% (95% CI, 1.2 to 13.6) in the rate of death from any cause (P = 0.02)."
100-13.6=86.4%=0.864
100-1.2=98.8%=0.988
See formula I used in Excel.
Not sure though one can do that. LOL
Reply:
    I don't know the answer to this, but there are two things that make me think it doesn't matter:
1. We're supposed to be stating the reported rates, not calculating them.
2. There is a bit in the analysis section that makes me think we can't calculate the confidence intervals…
"We calculated the confidence intervals for mortality ratios with the weighted method that was used to monitor the primary end point of the trial,17 which allows for a varying rate ratio and is adjusted for the design."
</t>
      </text>
    </comment>
    <comment ref="Y879" authorId="477" shapeId="0" xr:uid="{1189F1F1-AF22-4B21-BA69-C78EA069A47C}">
      <text>
        <t>[Threaded comment]
Your version of Excel allows you to read this threaded comment; however, any edits to it will get removed if the file is opened in a newer version of Excel. Learn more: https://go.microsoft.com/fwlink/?linkid=870924
Comment:
    802 people
Reply:
    Where does your number come from?
My information is from "As
of December 31, 2009, vital status was known for 97% of the participants in the low-dose CT group and 96% of those in the radiography group."
Reply:
    802 is 3% of 26722.
Reply:
    Think the problem is that they don't report any decimal places. 3% of 26722 could be any value between 669 and 935.</t>
      </text>
    </comment>
    <comment ref="AA879" authorId="478" shapeId="0" xr:uid="{C1186662-4C19-4DBE-97D6-308A13D00209}">
      <text>
        <t>[Threaded comment]
Your version of Excel allows you to read this threaded comment; however, any edits to it will get removed if the file is opened in a newer version of Excel. Learn more: https://go.microsoft.com/fwlink/?linkid=870924
Comment:
    1069 people
Reply:
    Where does your number come from?
My information is from "As
of December 31, 2009, vital status was known for 97% of the participants in the low-dose CT group and 96% of those in the radiography group."
Reply:
    1069 is 4% of 26732.
Reply:
    Well, it could be also any value between 936 and 1202.</t>
      </text>
    </comment>
    <comment ref="AF879" authorId="479" shapeId="0" xr:uid="{DE44C94D-16D4-4AF4-9A55-25366AC8A91B}">
      <text>
        <t xml:space="preserve">[Threaded comment]
Your version of Excel allows you to read this threaded comment; however, any edits to it will get removed if the file is opened in a newer version of Excel. Learn more: https://go.microsoft.com/fwlink/?linkid=870924
Comment:
    This is what it says in the text, but in/under Table 7 it says 1998.
Reply:
    You are right. But shouldn't make much difference.
Can we leave as it is or what should we do?
Reply:
    Your call. Can't tell from the paper which is correct.
</t>
      </text>
    </comment>
    <comment ref="R880" authorId="480" shapeId="0" xr:uid="{93DD61B6-8FB1-4358-8357-44C17BBD2567}">
      <text>
        <t>[Threaded comment]
Your version of Excel allows you to read this threaded comment; however, any edits to it will get removed if the file is opened in a newer version of Excel. Learn more: https://go.microsoft.com/fwlink/?linkid=870924
Comment:
    From #11135.</t>
      </text>
    </comment>
    <comment ref="S880" authorId="481" shapeId="0" xr:uid="{73E4920D-AD7F-4437-968B-73F891210C11}">
      <text>
        <t>[Threaded comment]
Your version of Excel allows you to read this threaded comment; however, any edits to it will get removed if the file is opened in a newer version of Excel. Learn more: https://go.microsoft.com/fwlink/?linkid=870924
Comment:
    From #11135.</t>
      </text>
    </comment>
    <comment ref="R881" authorId="482" shapeId="0" xr:uid="{308A9474-2CF0-4362-A7D9-32518CD0E02F}">
      <text>
        <t>[Threaded comment]
Your version of Excel allows you to read this threaded comment; however, any edits to it will get removed if the file is opened in a newer version of Excel. Learn more: https://go.microsoft.com/fwlink/?linkid=870924
Comment:
    From #11135.</t>
      </text>
    </comment>
    <comment ref="S881" authorId="483" shapeId="0" xr:uid="{3AB957E9-D246-49BA-B2EB-7E0BA38027D9}">
      <text>
        <t>[Threaded comment]
Your version of Excel allows you to read this threaded comment; however, any edits to it will get removed if the file is opened in a newer version of Excel. Learn more: https://go.microsoft.com/fwlink/?linkid=870924
Comment:
    From #11135.</t>
      </text>
    </comment>
    <comment ref="A882" authorId="484" shapeId="0" xr:uid="{F79FFB05-16C5-47F1-B750-5ED8916DDCFE}">
      <text>
        <t>[Threaded comment]
Your version of Excel allows you to read this threaded comment; however, any edits to it will get removed if the file is opened in a newer version of Excel. Learn more: https://go.microsoft.com/fwlink/?linkid=870924
Comment:
    Different number of deaths reported compared to #398.</t>
      </text>
    </comment>
    <comment ref="R882" authorId="485" shapeId="0" xr:uid="{28C9B6CA-FCB2-489C-9B6B-7D80D0FBFE29}">
      <text>
        <t>[Threaded comment]
Your version of Excel allows you to read this threaded comment; however, any edits to it will get removed if the file is opened in a newer version of Excel. Learn more: https://go.microsoft.com/fwlink/?linkid=870924
Comment:
    From #11135.</t>
      </text>
    </comment>
    <comment ref="S882" authorId="486" shapeId="0" xr:uid="{E21072B3-7A19-4626-9263-145E090FD066}">
      <text>
        <t>[Threaded comment]
Your version of Excel allows you to read this threaded comment; however, any edits to it will get removed if the file is opened in a newer version of Excel. Learn more: https://go.microsoft.com/fwlink/?linkid=870924
Comment:
    From #11135.</t>
      </text>
    </comment>
    <comment ref="AE882" authorId="487" shapeId="0" xr:uid="{D4AD6233-236F-4794-BCBD-C3B6F352ACE1}">
      <text>
        <t>[Threaded comment]
Your version of Excel allows you to read this threaded comment; however, any edits to it will get removed if the file is opened in a newer version of Excel. Learn more: https://go.microsoft.com/fwlink/?linkid=870924
Comment:
    Different to number of deaths reported in #398.
Reply:
    Definitely different. But I can't see any reason why.</t>
      </text>
    </comment>
    <comment ref="R883" authorId="488" shapeId="0" xr:uid="{3B01232B-A486-42E1-AC99-432D7BE71EC5}">
      <text>
        <t>[Threaded comment]
Your version of Excel allows you to read this threaded comment; however, any edits to it will get removed if the file is opened in a newer version of Excel. Learn more: https://go.microsoft.com/fwlink/?linkid=870924
Comment:
    From #11135.</t>
      </text>
    </comment>
    <comment ref="S883" authorId="489" shapeId="0" xr:uid="{B3C83FBD-4A54-4274-9229-487A6B90E571}">
      <text>
        <t>[Threaded comment]
Your version of Excel allows you to read this threaded comment; however, any edits to it will get removed if the file is opened in a newer version of Excel. Learn more: https://go.microsoft.com/fwlink/?linkid=870924
Comment:
    From #11135.</t>
      </text>
    </comment>
    <comment ref="V884" authorId="490" shapeId="0" xr:uid="{F6CCE9B2-3F98-4BC9-859A-94CA2102E287}">
      <text>
        <t>[Threaded comment]
Your version of Excel allows you to read this threaded comment; however, any edits to it will get removed if the file is opened in a newer version of Excel. Learn more: https://go.microsoft.com/fwlink/?linkid=870924
Comment:
    26,730
Reply:
    Corrected.</t>
      </text>
    </comment>
    <comment ref="AH884" authorId="491" shapeId="0" xr:uid="{FDB86EB1-7693-4B05-A1C6-73EC88BDFE5F}">
      <text>
        <t>[Threaded comment]
Your version of Excel allows you to read this threaded comment; however, any edits to it will get removed if the file is opened in a newer version of Excel. Learn more: https://go.microsoft.com/fwlink/?linkid=870924
Comment:
    26,730 slightly changes calculated rate.
Reply:
    Corrected.</t>
      </text>
    </comment>
    <comment ref="AO884" authorId="492" shapeId="0" xr:uid="{D5DC93A5-051C-4DFC-B362-6934CF087B56}">
      <text>
        <t>[Threaded comment]
Your version of Excel allows you to read this threaded comment; however, any edits to it will get removed if the file is opened in a newer version of Excel. Learn more: https://go.microsoft.com/fwlink/?linkid=870924
Comment:
    46.240. See column AH</t>
      </text>
    </comment>
    <comment ref="AT884" authorId="493" shapeId="0" xr:uid="{B6B233AF-8115-4F1B-B7E8-551C59914097}">
      <text>
        <t>[Threaded comment]
Your version of Excel allows you to read this threaded comment; however, any edits to it will get removed if the file is opened in a newer version of Excel. Learn more: https://go.microsoft.com/fwlink/?linkid=870924
Comment:
    Slightly different from reported RR.
Reply:
    See column ah</t>
      </text>
    </comment>
    <comment ref="V885" authorId="494" shapeId="0" xr:uid="{E6595528-32AA-4BEA-8CC9-AD59F569CDD8}">
      <text>
        <t>[Threaded comment]
Your version of Excel allows you to read this threaded comment; however, any edits to it will get removed if the file is opened in a newer version of Excel. Learn more: https://go.microsoft.com/fwlink/?linkid=870924
Comment:
    26,730
Reply:
    Corrected.</t>
      </text>
    </comment>
    <comment ref="AH885" authorId="495" shapeId="0" xr:uid="{BCEF4BBF-577F-456E-8E12-7C41F0462E1C}">
      <text>
        <t>[Threaded comment]
Your version of Excel allows you to read this threaded comment; however, any edits to it will get removed if the file is opened in a newer version of Excel. Learn more: https://go.microsoft.com/fwlink/?linkid=870924
Comment:
    26,730 slightly changes calculated rate.
Reply:
    Corrected.</t>
      </text>
    </comment>
    <comment ref="AO885" authorId="496" shapeId="0" xr:uid="{AD2D3F85-226B-4FDE-BA99-4F74AE151078}">
      <text>
        <t>[Threaded comment]
Your version of Excel allows you to read this threaded comment; however, any edits to it will get removed if the file is opened in a newer version of Excel. Learn more: https://go.microsoft.com/fwlink/?linkid=870924
Comment:
    24.167. See column AH</t>
      </text>
    </comment>
    <comment ref="AT885" authorId="497" shapeId="0" xr:uid="{A7A0AEE6-255D-4347-94C9-62903D1266C8}">
      <text>
        <t xml:space="preserve">[Threaded comment]
Your version of Excel allows you to read this threaded comment; however, any edits to it will get removed if the file is opened in a newer version of Excel. Learn more: https://go.microsoft.com/fwlink/?linkid=870924
Comment:
    Slightly different from reported RR.
Reply:
    See column ah
</t>
      </text>
    </comment>
    <comment ref="V886" authorId="498" shapeId="0" xr:uid="{91DE20A3-AB79-4404-94AA-4087982655A2}">
      <text>
        <t>[Threaded comment]
Your version of Excel allows you to read this threaded comment; however, any edits to it will get removed if the file is opened in a newer version of Excel. Learn more: https://go.microsoft.com/fwlink/?linkid=870924
Comment:
    26,730
Reply:
    Corrected.</t>
      </text>
    </comment>
    <comment ref="AH886" authorId="499" shapeId="0" xr:uid="{DF680FF4-2CE6-4830-9CE6-26F786D36656}">
      <text>
        <t>[Threaded comment]
Your version of Excel allows you to read this threaded comment; however, any edits to it will get removed if the file is opened in a newer version of Excel. Learn more: https://go.microsoft.com/fwlink/?linkid=870924
Comment:
    26,730 slightly changes calculated rate.
Reply:
    Corrected.</t>
      </text>
    </comment>
    <comment ref="V887" authorId="500" shapeId="0" xr:uid="{D80C826B-0420-4463-B1BC-7F27807DBD0C}">
      <text>
        <t>[Threaded comment]
Your version of Excel allows you to read this threaded comment; however, any edits to it will get removed if the file is opened in a newer version of Excel. Learn more: https://go.microsoft.com/fwlink/?linkid=870924
Comment:
    26,730
Reply:
    Corrected.</t>
      </text>
    </comment>
    <comment ref="AH887" authorId="501" shapeId="0" xr:uid="{465E4F45-4BDA-490F-9B7F-726911E3C67D}">
      <text>
        <t>[Threaded comment]
Your version of Excel allows you to read this threaded comment; however, any edits to it will get removed if the file is opened in a newer version of Excel. Learn more: https://go.microsoft.com/fwlink/?linkid=870924
Comment:
    26,730 slightly changes calculated rate.
Reply:
    Corrected.</t>
      </text>
    </comment>
    <comment ref="V888" authorId="502" shapeId="0" xr:uid="{50271152-1235-4564-AD2A-9E9374639A09}">
      <text>
        <t>[Threaded comment]
Your version of Excel allows you to read this threaded comment; however, any edits to it will get removed if the file is opened in a newer version of Excel. Learn more: https://go.microsoft.com/fwlink/?linkid=870924
Comment:
    26,730
Reply:
    Corrected.</t>
      </text>
    </comment>
    <comment ref="AH888" authorId="503" shapeId="0" xr:uid="{D450DD31-45F0-4243-A17F-03D1BED66E5C}">
      <text>
        <t>[Threaded comment]
Your version of Excel allows you to read this threaded comment; however, any edits to it will get removed if the file is opened in a newer version of Excel. Learn more: https://go.microsoft.com/fwlink/?linkid=870924
Comment:
    26,730 slightly changes calculated rate.
Reply:
    Corrected.</t>
      </text>
    </comment>
    <comment ref="V889" authorId="504" shapeId="0" xr:uid="{18C25C75-AA14-49E4-AFCE-14FA71E1C3C1}">
      <text>
        <t>[Threaded comment]
Your version of Excel allows you to read this threaded comment; however, any edits to it will get removed if the file is opened in a newer version of Excel. Learn more: https://go.microsoft.com/fwlink/?linkid=870924
Comment:
    26,730
Reply:
    Corrected.</t>
      </text>
    </comment>
    <comment ref="AH889" authorId="505" shapeId="0" xr:uid="{EDC294CA-C457-45ED-8AA9-57FC1A390BA2}">
      <text>
        <t>[Threaded comment]
Your version of Excel allows you to read this threaded comment; however, any edits to it will get removed if the file is opened in a newer version of Excel. Learn more: https://go.microsoft.com/fwlink/?linkid=870924
Comment:
    26,730 slightly changes calculated rate.
Reply:
    Corrected.</t>
      </text>
    </comment>
    <comment ref="V890" authorId="506" shapeId="0" xr:uid="{FFD81E47-3D0F-436E-83AD-E3CAE89FA950}">
      <text>
        <t>[Threaded comment]
Your version of Excel allows you to read this threaded comment; however, any edits to it will get removed if the file is opened in a newer version of Excel. Learn more: https://go.microsoft.com/fwlink/?linkid=870924
Comment:
    26,730
Reply:
    Corrected.</t>
      </text>
    </comment>
    <comment ref="AH890" authorId="507" shapeId="0" xr:uid="{A42EB595-97FD-4183-8BBC-987AD74932FB}">
      <text>
        <t>[Threaded comment]
Your version of Excel allows you to read this threaded comment; however, any edits to it will get removed if the file is opened in a newer version of Excel. Learn more: https://go.microsoft.com/fwlink/?linkid=870924
Comment:
    26,730 slightly changes calculated rate.
Reply:
    Corrected.</t>
      </text>
    </comment>
    <comment ref="V891" authorId="508" shapeId="0" xr:uid="{1670F9D6-822B-4884-BB95-22D605B5E01A}">
      <text>
        <t>[Threaded comment]
Your version of Excel allows you to read this threaded comment; however, any edits to it will get removed if the file is opened in a newer version of Excel. Learn more: https://go.microsoft.com/fwlink/?linkid=870924
Comment:
    26,730
Reply:
    Corrected.</t>
      </text>
    </comment>
    <comment ref="AH891" authorId="509" shapeId="0" xr:uid="{549933FA-2F5C-4FCE-B127-6D816F89B5E5}">
      <text>
        <t>[Threaded comment]
Your version of Excel allows you to read this threaded comment; however, any edits to it will get removed if the file is opened in a newer version of Excel. Learn more: https://go.microsoft.com/fwlink/?linkid=870924
Comment:
    26,730 slightly changes calculated rate.
Reply:
    Corrected.</t>
      </text>
    </comment>
    <comment ref="AO891" authorId="510" shapeId="0" xr:uid="{874EB9F7-BACB-4E90-9F97-2F3D08460825}">
      <text>
        <t>[Threaded comment]
Your version of Excel allows you to read this threaded comment; however, any edits to it will get removed if the file is opened in a newer version of Excel. Learn more: https://go.microsoft.com/fwlink/?linkid=870924
Comment:
    (5366/26700)*1000 = 200.748</t>
      </text>
    </comment>
    <comment ref="AT891" authorId="511" shapeId="0" xr:uid="{E2ECF6BD-4E66-4AFE-9079-C96276F4CAA7}">
      <text>
        <t>[Threaded comment]
Your version of Excel allows you to read this threaded comment; however, any edits to it will get removed if the file is opened in a newer version of Excel. Learn more: https://go.microsoft.com/fwlink/?linkid=870924
Comment:
    Slightly different from reported RR.
Reply:
    Looks like rounding.
196.579/200.748 = 0.979</t>
      </text>
    </comment>
    <comment ref="V892" authorId="512" shapeId="0" xr:uid="{655E7A7A-5467-489B-9D01-1B56D1A27082}">
      <text>
        <t>[Threaded comment]
Your version of Excel allows you to read this threaded comment; however, any edits to it will get removed if the file is opened in a newer version of Excel. Learn more: https://go.microsoft.com/fwlink/?linkid=870924
Comment:
    26,730
Reply:
    Corrected.</t>
      </text>
    </comment>
    <comment ref="AH892" authorId="513" shapeId="0" xr:uid="{8BA65634-9F54-4AFA-9BE8-BA8E67AE747B}">
      <text>
        <t>[Threaded comment]
Your version of Excel allows you to read this threaded comment; however, any edits to it will get removed if the file is opened in a newer version of Excel. Learn more: https://go.microsoft.com/fwlink/?linkid=870924
Comment:
    26,730 slightly changes calculated rate.
Reply:
    Corrected.</t>
      </text>
    </comment>
    <comment ref="AO892" authorId="514" shapeId="0" xr:uid="{C8FF6DEB-E4B2-4C1E-97F6-39303E2AC62A}">
      <text>
        <t>[Threaded comment]
Your version of Excel allows you to read this threaded comment; however, any edits to it will get removed if the file is opened in a newer version of Excel. Learn more: https://go.microsoft.com/fwlink/?linkid=870924
Comment:
    13.84212
370*1000/26730</t>
      </text>
    </comment>
    <comment ref="V893" authorId="515" shapeId="0" xr:uid="{BEA80506-A253-430F-9690-F925903FA88D}">
      <text>
        <t>[Threaded comment]
Your version of Excel allows you to read this threaded comment; however, any edits to it will get removed if the file is opened in a newer version of Excel. Learn more: https://go.microsoft.com/fwlink/?linkid=870924
Comment:
    26,730
Reply:
    Corrected.</t>
      </text>
    </comment>
    <comment ref="AH893" authorId="516" shapeId="0" xr:uid="{2C940CD4-EF77-4401-954B-00DF0D37E685}">
      <text>
        <t>[Threaded comment]
Your version of Excel allows you to read this threaded comment; however, any edits to it will get removed if the file is opened in a newer version of Excel. Learn more: https://go.microsoft.com/fwlink/?linkid=870924
Comment:
    26,730 slightly changes calculated rate.
Reply:
    Corrected.</t>
      </text>
    </comment>
    <comment ref="AO893" authorId="517" shapeId="0" xr:uid="{8F997C76-D416-4A0F-B3B1-9ABCF330D719}">
      <text>
        <t>[Threaded comment]
Your version of Excel allows you to read this threaded comment; however, any edits to it will get removed if the file is opened in a newer version of Excel. Learn more: https://go.microsoft.com/fwlink/?linkid=870924
Comment:
    15.974
427*1000/26730</t>
      </text>
    </comment>
    <comment ref="V894" authorId="518" shapeId="0" xr:uid="{0BBE73DE-4054-4213-9915-E3F2A294F920}">
      <text>
        <t>[Threaded comment]
Your version of Excel allows you to read this threaded comment; however, any edits to it will get removed if the file is opened in a newer version of Excel. Learn more: https://go.microsoft.com/fwlink/?linkid=870924
Comment:
    26,730
Reply:
    Corrected.</t>
      </text>
    </comment>
    <comment ref="AH894" authorId="519" shapeId="0" xr:uid="{7A2FF8BA-0E94-406C-A19F-1CB8A6DE6ECC}">
      <text>
        <t>[Threaded comment]
Your version of Excel allows you to read this threaded comment; however, any edits to it will get removed if the file is opened in a newer version of Excel. Learn more: https://go.microsoft.com/fwlink/?linkid=870924
Comment:
    26,730 slightly changes calculated rate.
Reply:
    Corrected.</t>
      </text>
    </comment>
    <comment ref="AO894" authorId="520" shapeId="0" xr:uid="{F408B04A-BB19-4BCC-B884-42881A5E3B55}">
      <text>
        <t xml:space="preserve">[Threaded comment]
Your version of Excel allows you to read this threaded comment; however, any edits to it will get removed if the file is opened in a newer version of Excel. Learn more: https://go.microsoft.com/fwlink/?linkid=870924
Comment:
    18.369
491*1000/26730	</t>
      </text>
    </comment>
    <comment ref="V895" authorId="521" shapeId="0" xr:uid="{ADFF9200-53EC-4700-AB3E-824B7732B0C1}">
      <text>
        <t>[Threaded comment]
Your version of Excel allows you to read this threaded comment; however, any edits to it will get removed if the file is opened in a newer version of Excel. Learn more: https://go.microsoft.com/fwlink/?linkid=870924
Comment:
    26,730
Reply:
    Corrected.</t>
      </text>
    </comment>
    <comment ref="AH895" authorId="522" shapeId="0" xr:uid="{126AE37D-11C7-45E9-A8FF-DA33CAC6FAF2}">
      <text>
        <t>[Threaded comment]
Your version of Excel allows you to read this threaded comment; however, any edits to it will get removed if the file is opened in a newer version of Excel. Learn more: https://go.microsoft.com/fwlink/?linkid=870924
Comment:
    26,730 slightly changes calculated rate.
Reply:
    Corrected.</t>
      </text>
    </comment>
    <comment ref="AO895" authorId="523" shapeId="0" xr:uid="{E418E91F-0C80-41C5-ACBB-F70B7134EB20}">
      <text>
        <t xml:space="preserve">[Threaded comment]
Your version of Excel allows you to read this threaded comment; however, any edits to it will get removed if the file is opened in a newer version of Excel. Learn more: https://go.microsoft.com/fwlink/?linkid=870924
Comment:
    20.576
550*1000/26730	</t>
      </text>
    </comment>
    <comment ref="V896" authorId="524" shapeId="0" xr:uid="{516802F7-69F4-46BB-B5F1-5B7AAAF1BA96}">
      <text>
        <t>[Threaded comment]
Your version of Excel allows you to read this threaded comment; however, any edits to it will get removed if the file is opened in a newer version of Excel. Learn more: https://go.microsoft.com/fwlink/?linkid=870924
Comment:
    26,730
Reply:
    Corrected.</t>
      </text>
    </comment>
    <comment ref="AH896" authorId="525" shapeId="0" xr:uid="{81E8CD70-0129-4369-8CA7-966EBEAE1995}">
      <text>
        <t>[Threaded comment]
Your version of Excel allows you to read this threaded comment; however, any edits to it will get removed if the file is opened in a newer version of Excel. Learn more: https://go.microsoft.com/fwlink/?linkid=870924
Comment:
    26,730 slightly changes calculated rate.
Reply:
    Corrected.</t>
      </text>
    </comment>
    <comment ref="AO896" authorId="526" shapeId="0" xr:uid="{9942E1B5-AFA8-412C-9113-96465F6B5AA1}">
      <text>
        <t xml:space="preserve">[Threaded comment]
Your version of Excel allows you to read this threaded comment; however, any edits to it will get removed if the file is opened in a newer version of Excel. Learn more: https://go.microsoft.com/fwlink/?linkid=870924
Comment:
    22.447
600*1000/26730	</t>
      </text>
    </comment>
    <comment ref="A897" authorId="527" shapeId="0" xr:uid="{E2D8EFEA-57D8-41EE-8CC5-4BD619CEC5E4}">
      <text>
        <t>[Threaded comment]
Your version of Excel allows you to read this threaded comment; however, any edits to it will get removed if the file is opened in a newer version of Excel. Learn more: https://go.microsoft.com/fwlink/?linkid=870924
Comment:
    Can be also calculated from #398, but here, more data are reported, e.g. RR and 95% CI.
Reply:
    Yes, but there are slightly people in the comparator arm in this paper.
Reply:
    Agree.</t>
      </text>
    </comment>
    <comment ref="V897" authorId="528" shapeId="0" xr:uid="{1A56EFED-71FD-447A-A05D-3F18F7BA7BA6}">
      <text>
        <t>[Threaded comment]
Your version of Excel allows you to read this threaded comment; however, any edits to it will get removed if the file is opened in a newer version of Excel. Learn more: https://go.microsoft.com/fwlink/?linkid=870924
Comment:
    26,730
Reply:
    Corrected.</t>
      </text>
    </comment>
    <comment ref="AH897" authorId="529" shapeId="0" xr:uid="{B5C9F67E-9D81-4E0A-B4E2-7F98343E2588}">
      <text>
        <t>[Threaded comment]
Your version of Excel allows you to read this threaded comment; however, any edits to it will get removed if the file is opened in a newer version of Excel. Learn more: https://go.microsoft.com/fwlink/?linkid=870924
Comment:
    26,730 slightly changes calculated rate.
Reply:
    Corrected.</t>
      </text>
    </comment>
    <comment ref="AO897" authorId="530" shapeId="0" xr:uid="{DEE8F10B-83AD-4E91-A674-13158AD8E885}">
      <text>
        <t xml:space="preserve">[Threaded comment]
Your version of Excel allows you to read this threaded comment; however, any edits to it will get removed if the file is opened in a newer version of Excel. Learn more: https://go.microsoft.com/fwlink/?linkid=870924
Comment:
    Slightly diff.
443*1000/26730 = 16.573
</t>
      </text>
    </comment>
    <comment ref="A898" authorId="531" shapeId="0" xr:uid="{265EDFF3-57E7-48E9-AB5A-FE97FFE63062}">
      <text>
        <t>[Threaded comment]
Your version of Excel allows you to read this threaded comment; however, any edits to it will get removed if the file is opened in a newer version of Excel. Learn more: https://go.microsoft.com/fwlink/?linkid=870924
Comment:
    Can be also calculated from #398, but here, more data are reported, e.g. RR and 95% CI.
Reply:
    Yes, but there are slightly people in the comparator arm in this paper.
Reply:
    Agree.</t>
      </text>
    </comment>
    <comment ref="V898" authorId="532" shapeId="0" xr:uid="{8F6F0426-1FA4-43D6-BDF0-EFFFA4CE6465}">
      <text>
        <t>[Threaded comment]
Your version of Excel allows you to read this threaded comment; however, any edits to it will get removed if the file is opened in a newer version of Excel. Learn more: https://go.microsoft.com/fwlink/?linkid=870924
Comment:
    26,730
Reply:
    Corrected.</t>
      </text>
    </comment>
    <comment ref="AH898" authorId="533" shapeId="0" xr:uid="{F107EAAA-4950-4467-8F93-2F058CEF5DCC}">
      <text>
        <t>[Threaded comment]
Your version of Excel allows you to read this threaded comment; however, any edits to it will get removed if the file is opened in a newer version of Excel. Learn more: https://go.microsoft.com/fwlink/?linkid=870924
Comment:
    26,730 slightly changes calculated rate.
Reply:
    Corrected.</t>
      </text>
    </comment>
    <comment ref="AO898" authorId="534" shapeId="0" xr:uid="{EB14B8F9-3072-44FB-8978-F027C528C650}">
      <text>
        <t>[Threaded comment]
Your version of Excel allows you to read this threaded comment; however, any edits to it will get removed if the file is opened in a newer version of Excel. Learn more: https://go.microsoft.com/fwlink/?linkid=870924
Comment:
    Slightly diff.
552*1000/26730 = 20.651</t>
      </text>
    </comment>
    <comment ref="AT898" authorId="535" shapeId="0" xr:uid="{286C14BF-9C2C-4C11-A050-5F3C9BB0CD93}">
      <text>
        <t>[Threaded comment]
Your version of Excel allows you to read this threaded comment; however, any edits to it will get removed if the file is opened in a newer version of Excel. Learn more: https://go.microsoft.com/fwlink/?linkid=870924
Comment:
    Slightly different from reported RR.
Reply:
    I make it the same as you, 0.85. Assume it's to do with rounding.</t>
      </text>
    </comment>
    <comment ref="AT900" authorId="536" shapeId="0" xr:uid="{40B40B61-FD5F-4072-B981-A31EE233CE35}">
      <text>
        <t>[Threaded comment]
Your version of Excel allows you to read this threaded comment; however, any edits to it will get removed if the file is opened in a newer version of Excel. Learn more: https://go.microsoft.com/fwlink/?linkid=870924
Comment:
    Slightly different from reported RR.
Reply:
    I agree with you. Rounding error?</t>
      </text>
    </comment>
    <comment ref="AT903" authorId="537" shapeId="0" xr:uid="{FDA0D6D5-C528-44DC-AE4A-04E684BB4620}">
      <text>
        <t>[Threaded comment]
Your version of Excel allows you to read this threaded comment; however, any edits to it will get removed if the file is opened in a newer version of Excel. Learn more: https://go.microsoft.com/fwlink/?linkid=870924
Comment:
    Slightly different from reported rate.
Reply:
    Suspect rounding</t>
      </text>
    </comment>
    <comment ref="AT904" authorId="538" shapeId="0" xr:uid="{D1D8DE76-9C19-463F-9593-1B546100FAF2}">
      <text>
        <t>[Threaded comment]
Your version of Excel allows you to read this threaded comment; however, any edits to it will get removed if the file is opened in a newer version of Excel. Learn more: https://go.microsoft.com/fwlink/?linkid=870924
Comment:
    Slightly different from reported rate.
Reply:
    Suspect rounding</t>
      </text>
    </comment>
    <comment ref="R910" authorId="539" shapeId="0" xr:uid="{C8CD8A10-ABC7-4B4A-8A1D-635FAF7E90A7}">
      <text>
        <t>[Threaded comment]
Your version of Excel allows you to read this threaded comment; however, any edits to it will get removed if the file is opened in a newer version of Excel. Learn more: https://go.microsoft.com/fwlink/?linkid=870924
Comment:
    "six (range five to seven) years for mortality from colorectal cancer", is it the same for all-cause mortality?
Reply:
    Yes, I think so.</t>
      </text>
    </comment>
    <comment ref="F911" authorId="540" shapeId="0" xr:uid="{1D0EAB31-920F-413B-9E68-834999DC0FE7}">
      <text>
        <t>[Threaded comment]
Your version of Excel allows you to read this threaded comment; however, any edits to it will get removed if the file is opened in a newer version of Excel. Learn more: https://go.microsoft.com/fwlink/?linkid=870924
Comment:
    This is different to how we've described in in the paper-level info tab (see my comment on cell 10C of that tab)
Reply:
    You are right. I have corrected it in the paper-level info tab.</t>
      </text>
    </comment>
    <comment ref="R911" authorId="541" shapeId="0" xr:uid="{BA14CB1A-E1CB-4383-9414-102E1A731F59}">
      <text>
        <t>[Threaded comment]
Your version of Excel allows you to read this threaded comment; however, any edits to it will get removed if the file is opened in a newer version of Excel. Learn more: https://go.microsoft.com/fwlink/?linkid=870924
Comment:
    Did you calculate the means? I couldn't find them in-text
Reply:
    Yes, I have divided the total number of PY by the number of people.
Reply:
    I see!</t>
      </text>
    </comment>
    <comment ref="A913" authorId="542" shapeId="0" xr:uid="{1A8EBAD6-92AA-4F75-A787-16D7E8569DB6}">
      <text>
        <t>[Threaded comment]
Your version of Excel allows you to read this threaded comment; however, any edits to it will get removed if the file is opened in a newer version of Excel. Learn more: https://go.microsoft.com/fwlink/?linkid=870924
Comment:
    Also reports CRC mortality by CRC location (distal, proximal), sex (men / women), age group (50-54 / 55-64) and screening modality (FS only vs FS + FOBT), but I have not extracted these data as we don’t have surrogate data for these subgroups.
Reply:
    Correction:  we have surrogate data for 55-64 year olds, so have added the mortality data for this subgroup in the row below.</t>
      </text>
    </comment>
    <comment ref="A924" authorId="543" shapeId="0" xr:uid="{C6D85AF9-BBE5-4C9B-BB75-3E366CDC8E78}">
      <text>
        <t>[Threaded comment]
Your version of Excel allows you to read this threaded comment; however, any edits to it will get removed if the file is opened in a newer version of Excel. Learn more: https://go.microsoft.com/fwlink/?linkid=870924
Comment:
    Also reports CRC mortality by CRC location (distal, proximal), sex (men / women), age group (50-54 / 55-64) and screening modality (FS only vs FS + FOBT), but I have not extracted these data as we don’t have surrogate data for these subgroups.
Reply:
    Correction:  we have surrogate data for 55-64 year olds, so have added the mortality data for this subgroup in the row below.</t>
      </text>
    </comment>
    <comment ref="AE934" authorId="544" shapeId="0" xr:uid="{DD18485C-7EC6-4405-8B48-686842890A36}">
      <text>
        <t>[Threaded comment]
Your version of Excel allows you to read this threaded comment; however, any edits to it will get removed if the file is opened in a newer version of Excel. Learn more: https://go.microsoft.com/fwlink/?linkid=870924
Comment:
    78,708*0.503</t>
      </text>
    </comment>
    <comment ref="U935" authorId="545" shapeId="0" xr:uid="{E851D942-FC63-4E9D-B448-532A21BC63A7}">
      <text>
        <t>[Threaded comment]
Your version of Excel allows you to read this threaded comment; however, any edits to it will get removed if the file is opened in a newer version of Excel. Learn more: https://go.microsoft.com/fwlink/?linkid=870924
Comment:
    Numbers from Hardcastle 1996</t>
      </text>
    </comment>
    <comment ref="AE935" authorId="546" shapeId="0" xr:uid="{A7766A8E-7AD4-45EB-B63F-7B24244991E3}">
      <text>
        <t>[Threaded comment]
Your version of Excel allows you to read this threaded comment; however, any edits to it will get removed if the file is opened in a newer version of Excel. Learn more: https://go.microsoft.com/fwlink/?linkid=870924
Comment:
    50.3% of 78,708</t>
      </text>
    </comment>
    <comment ref="AF935" authorId="547" shapeId="0" xr:uid="{1FB2DB26-24A3-448B-BB38-5A194D2220C3}">
      <text>
        <t>[Threaded comment]
Your version of Excel allows you to read this threaded comment; however, any edits to it will get removed if the file is opened in a newer version of Excel. Learn more: https://go.microsoft.com/fwlink/?linkid=870924
Comment:
    78,708-39,590</t>
      </text>
    </comment>
    <comment ref="BC935" authorId="548" shapeId="0" xr:uid="{0E582A86-1AA4-4299-A9E7-775D844C7F8E}">
      <text>
        <t>[Threaded comment]
Your version of Excel allows you to read this threaded comment; however, any edits to it will get removed if the file is opened in a newer version of Excel. Learn more: https://go.microsoft.com/fwlink/?linkid=870924
Comment:
    Some numbers from #165
Reply:
    Added.</t>
      </text>
    </comment>
    <comment ref="AE936" authorId="549" shapeId="0" xr:uid="{F1665807-B677-4335-B010-A41E47E6A524}">
      <text>
        <t>[Threaded comment]
Your version of Excel allows you to read this threaded comment; however, any edits to it will get removed if the file is opened in a newer version of Excel. Learn more: https://go.microsoft.com/fwlink/?linkid=870924
Comment:
    2.9% of 39.590.</t>
      </text>
    </comment>
    <comment ref="AF936" authorId="550" shapeId="0" xr:uid="{F26C0D27-780F-41F3-97FB-72F533E43CBD}">
      <text>
        <t>[Threaded comment]
Your version of Excel allows you to read this threaded comment; however, any edits to it will get removed if the file is opened in a newer version of Excel. Learn more: https://go.microsoft.com/fwlink/?linkid=870924
Comment:
    3.2% of 39,118</t>
      </text>
    </comment>
    <comment ref="AS944" authorId="551" shapeId="0" xr:uid="{2B8E35DE-BBC8-4336-A06F-0D5E3A324305}">
      <text>
        <t>[Threaded comment]
Your version of Excel allows you to read this threaded comment; however, any edits to it will get removed if the file is opened in a newer version of Excel. Learn more: https://go.microsoft.com/fwlink/?linkid=870924
Comment:
    agreed</t>
      </text>
    </comment>
    <comment ref="AU944" authorId="552" shapeId="0" xr:uid="{AE177BF6-D35D-4DDF-A29B-0FBE6BE77F02}">
      <text>
        <t xml:space="preserve">[Threaded comment]
Your version of Excel allows you to read this threaded comment; however, any edits to it will get removed if the file is opened in a newer version of Excel. Learn more: https://go.microsoft.com/fwlink/?linkid=870924
Comment:
    agreed
</t>
      </text>
    </comment>
    <comment ref="AV944" authorId="553" shapeId="0" xr:uid="{3A9258AF-7BF7-42A3-9FF3-816FF05D4009}">
      <text>
        <t xml:space="preserve">[Threaded comment]
Your version of Excel allows you to read this threaded comment; however, any edits to it will get removed if the file is opened in a newer version of Excel. Learn more: https://go.microsoft.com/fwlink/?linkid=870924
Comment:
    agreed
</t>
      </text>
    </comment>
    <comment ref="AS945" authorId="554" shapeId="0" xr:uid="{69D55370-197C-40F8-89E4-4A278B6585C4}">
      <text>
        <t xml:space="preserve">[Threaded comment]
Your version of Excel allows you to read this threaded comment; however, any edits to it will get removed if the file is opened in a newer version of Excel. Learn more: https://go.microsoft.com/fwlink/?linkid=870924
Comment:
    agreed
</t>
      </text>
    </comment>
    <comment ref="AU945" authorId="555" shapeId="0" xr:uid="{4BE4462F-AC0D-42CA-A319-A41237EBCE9E}">
      <text>
        <t xml:space="preserve">[Threaded comment]
Your version of Excel allows you to read this threaded comment; however, any edits to it will get removed if the file is opened in a newer version of Excel. Learn more: https://go.microsoft.com/fwlink/?linkid=870924
Comment:
    agreed
</t>
      </text>
    </comment>
    <comment ref="AV945" authorId="556" shapeId="0" xr:uid="{33E22653-B41D-463E-BD4E-956CCEA09F52}">
      <text>
        <t xml:space="preserve">[Threaded comment]
Your version of Excel allows you to read this threaded comment; however, any edits to it will get removed if the file is opened in a newer version of Excel. Learn more: https://go.microsoft.com/fwlink/?linkid=870924
Comment:
    agreed
</t>
      </text>
    </comment>
    <comment ref="AS946" authorId="557" shapeId="0" xr:uid="{0BE8B6F8-46B8-423B-8C79-194D1FE8A937}">
      <text>
        <t xml:space="preserve">[Threaded comment]
Your version of Excel allows you to read this threaded comment; however, any edits to it will get removed if the file is opened in a newer version of Excel. Learn more: https://go.microsoft.com/fwlink/?linkid=870924
Comment:
    agreed
</t>
      </text>
    </comment>
    <comment ref="AU946" authorId="558" shapeId="0" xr:uid="{ADA08DEB-3CBB-4457-A157-759277ECAC04}">
      <text>
        <t xml:space="preserve">[Threaded comment]
Your version of Excel allows you to read this threaded comment; however, any edits to it will get removed if the file is opened in a newer version of Excel. Learn more: https://go.microsoft.com/fwlink/?linkid=870924
Comment:
    agreed
</t>
      </text>
    </comment>
    <comment ref="AV946" authorId="559" shapeId="0" xr:uid="{B0AC5325-397C-4454-98CC-31EAE153241E}">
      <text>
        <t xml:space="preserve">[Threaded comment]
Your version of Excel allows you to read this threaded comment; however, any edits to it will get removed if the file is opened in a newer version of Excel. Learn more: https://go.microsoft.com/fwlink/?linkid=870924
Comment:
    agreed
</t>
      </text>
    </comment>
    <comment ref="AX946" authorId="560" shapeId="0" xr:uid="{71848F46-061C-4AB4-A47F-4147F3C56A8B}">
      <text>
        <t>[Threaded comment]
Your version of Excel allows you to read this threaded comment; however, any edits to it will get removed if the file is opened in a newer version of Excel. Learn more: https://go.microsoft.com/fwlink/?linkid=870924
Comment:
    There is also the age adjusted model (marked with a * in Table 5).
RR 0.90 (0.63, 1.28)
Reply:
    I have asked Adam about the Mantel-Haenszel procedures, and he said to put it in the "unadjusted" estimate fields. I have done this throughout. Please check.
I have then added the age-adjusted model to the "adjusted" cells.
Reply:
    done</t>
      </text>
    </comment>
    <comment ref="AY946" authorId="561" shapeId="0" xr:uid="{CB9F2535-D734-43BD-B028-FD3128BB340B}">
      <text>
        <t xml:space="preserve">[Threaded comment]
Your version of Excel allows you to read this threaded comment; however, any edits to it will get removed if the file is opened in a newer version of Excel. Learn more: https://go.microsoft.com/fwlink/?linkid=870924
Comment:
    agreed
</t>
      </text>
    </comment>
    <comment ref="AZ946" authorId="562" shapeId="0" xr:uid="{40EA3CCE-D958-44A7-8DE9-9651D93DEAEE}">
      <text>
        <t xml:space="preserve">[Threaded comment]
Your version of Excel allows you to read this threaded comment; however, any edits to it will get removed if the file is opened in a newer version of Excel. Learn more: https://go.microsoft.com/fwlink/?linkid=870924
Comment:
    agreed
</t>
      </text>
    </comment>
    <comment ref="BA946" authorId="563" shapeId="0" xr:uid="{9F87B096-2256-4778-8294-1D776D30E66D}">
      <text>
        <t xml:space="preserve">[Threaded comment]
Your version of Excel allows you to read this threaded comment; however, any edits to it will get removed if the file is opened in a newer version of Excel. Learn more: https://go.microsoft.com/fwlink/?linkid=870924
Comment:
    agreed
</t>
      </text>
    </comment>
    <comment ref="AG947" authorId="564" shapeId="0" xr:uid="{70C0ABDD-FA35-4643-8ACE-770B93878D33}">
      <text>
        <t>[Threaded comment]
Your version of Excel allows you to read this threaded comment; however, any edits to it will get removed if the file is opened in a newer version of Excel. Learn more: https://go.microsoft.com/fwlink/?linkid=870924
Comment:
    Table 7 says 534,000
Reply:
    Corrected.</t>
      </text>
    </comment>
    <comment ref="AK947" authorId="565" shapeId="0" xr:uid="{8984160F-9457-47DF-8A0B-CAFD30A9D9CF}">
      <text>
        <t>[Threaded comment]
Your version of Excel allows you to read this threaded comment; however, any edits to it will get removed if the file is opened in a newer version of Excel. Learn more: https://go.microsoft.com/fwlink/?linkid=870924
Comment:
    8.496 if…
4537*1000/534000
Reply:
    Agree.</t>
      </text>
    </comment>
    <comment ref="AS947" authorId="566" shapeId="0" xr:uid="{B75D8D32-B142-46F7-99FE-0D47DF6FCBE4}">
      <text>
        <t xml:space="preserve">[Threaded comment]
Your version of Excel allows you to read this threaded comment; however, any edits to it will get removed if the file is opened in a newer version of Excel. Learn more: https://go.microsoft.com/fwlink/?linkid=870924
Comment:
    agreed
</t>
      </text>
    </comment>
    <comment ref="AT947" authorId="567" shapeId="0" xr:uid="{9F7C3D14-1983-4D69-9BE4-E59B9C0A99BD}">
      <text>
        <t>[Threaded comment]
Your version of Excel allows you to read this threaded comment; however, any edits to it will get removed if the file is opened in a newer version of Excel. Learn more: https://go.microsoft.com/fwlink/?linkid=870924
Comment:
    0.978 if…
8.496/8.689
Reply:
    Agree.</t>
      </text>
    </comment>
    <comment ref="AU947" authorId="568" shapeId="0" xr:uid="{3C1EAE27-A92D-4A77-94AC-4D4781A6C56D}">
      <text>
        <t xml:space="preserve">[Threaded comment]
Your version of Excel allows you to read this threaded comment; however, any edits to it will get removed if the file is opened in a newer version of Excel. Learn more: https://go.microsoft.com/fwlink/?linkid=870924
Comment:
    agreed
</t>
      </text>
    </comment>
    <comment ref="AV947" authorId="569" shapeId="0" xr:uid="{AF579D6D-0ED2-4533-A74F-6E6001F39EB6}">
      <text>
        <t xml:space="preserve">[Threaded comment]
Your version of Excel allows you to read this threaded comment; however, any edits to it will get removed if the file is opened in a newer version of Excel. Learn more: https://go.microsoft.com/fwlink/?linkid=870924
Comment:
    agreed
</t>
      </text>
    </comment>
    <comment ref="AT949" authorId="570" shapeId="0" xr:uid="{1BD204EE-F271-4A5B-A901-7E57EC764A18}">
      <text>
        <t>[Threaded comment]
Your version of Excel allows you to read this threaded comment; however, any edits to it will get removed if the file is opened in a newer version of Excel. Learn more: https://go.microsoft.com/fwlink/?linkid=870924
Comment:
    Different to reported RR. Methods say "The significance analysis and the confidence intervals are based on the reasonable assumption that the observed numbers of deaths are Poisson-distributed and that uncertainty in the number of person-years can be neglected."
Reply:
    Need a statistician to confirm if this is (potential) cause of difference.
Reply:
    Added issue to "Notes" field.</t>
      </text>
    </comment>
    <comment ref="AT950" authorId="571" shapeId="0" xr:uid="{E27DCCE0-2BC4-4CE6-8320-90485FE30EB6}">
      <text>
        <t>[Threaded comment]
Your version of Excel allows you to read this threaded comment; however, any edits to it will get removed if the file is opened in a newer version of Excel. Learn more: https://go.microsoft.com/fwlink/?linkid=870924
Comment:
    Different to reported RR. Methods say "The significance analysis and the confidence intervals are based on the reasonable assumption that the observed numbers of deaths are Poisson-distributed and that uncertainty in the number of person-years can be neglected."
Reply:
    Need a statistician to confirm if this is (potential) cause of difference.
Reply:
    Added issue to "Notes" field.</t>
      </text>
    </comment>
    <comment ref="A953" authorId="572" shapeId="0" xr:uid="{5DA2F81A-FAF7-4621-B45F-77452E98982E}">
      <text>
        <t>[Threaded comment]
Your version of Excel allows you to read this threaded comment; however, any edits to it will get removed if the file is opened in a newer version of Excel. Learn more: https://go.microsoft.com/fwlink/?linkid=870924
Comment:
    Figure 4 also reports relative risks of death from BC in 5-year age groups with corresponding 95% Cis, but no number of events reported. Not extracted.
Reply:
    Is that consistent with the other extract? I have a vague memory of extracting just RR before, but can't find it.
Reply:
    Not sure now. Think we have extracted it before. But as we have no surrogate data for these 5-year age groups, is it worth extracting them?
Reply:
    Ah yes. I don't think we need to extract if there are no surrogate data.</t>
      </text>
    </comment>
    <comment ref="AS954" authorId="573" shapeId="0" xr:uid="{ED26DB35-5B03-4AC6-BF59-EA1B19E189C9}">
      <text>
        <t xml:space="preserve">[Threaded comment]
Your version of Excel allows you to read this threaded comment; however, any edits to it will get removed if the file is opened in a newer version of Excel. Learn more: https://go.microsoft.com/fwlink/?linkid=870924
Comment:
    agreed
</t>
      </text>
    </comment>
    <comment ref="AU954" authorId="574" shapeId="0" xr:uid="{D292FF14-04DD-4B25-BA6C-6A877F6F7298}">
      <text>
        <t xml:space="preserve">[Threaded comment]
Your version of Excel allows you to read this threaded comment; however, any edits to it will get removed if the file is opened in a newer version of Excel. Learn more: https://go.microsoft.com/fwlink/?linkid=870924
Comment:
    agreed
</t>
      </text>
    </comment>
    <comment ref="AV954" authorId="575" shapeId="0" xr:uid="{DC9BFF9C-5174-479E-BCA6-D074E1638309}">
      <text>
        <t xml:space="preserve">[Threaded comment]
Your version of Excel allows you to read this threaded comment; however, any edits to it will get removed if the file is opened in a newer version of Excel. Learn more: https://go.microsoft.com/fwlink/?linkid=870924
Comment:
    agreed
</t>
      </text>
    </comment>
    <comment ref="AX956" authorId="576" shapeId="0" xr:uid="{AA94B21F-3BAA-4010-B51F-BD558FD8335F}">
      <text>
        <t>[Threaded comment]
Your version of Excel allows you to read this threaded comment; however, any edits to it will get removed if the file is opened in a newer version of Excel. Learn more: https://go.microsoft.com/fwlink/?linkid=870924
Comment:
    And "Including breast cancer deaths not reported to the cancer registry."</t>
      </text>
    </comment>
    <comment ref="AS957" authorId="577" shapeId="0" xr:uid="{6F1D865E-02D8-4B96-831B-4675897F748A}">
      <text>
        <t xml:space="preserve">[Threaded comment]
Your version of Excel allows you to read this threaded comment; however, any edits to it will get removed if the file is opened in a newer version of Excel. Learn more: https://go.microsoft.com/fwlink/?linkid=870924
Comment:
    agreed
</t>
      </text>
    </comment>
    <comment ref="AU957" authorId="578" shapeId="0" xr:uid="{67E6AA3A-E4B9-4EC7-875A-6C599922AA54}">
      <text>
        <t xml:space="preserve">[Threaded comment]
Your version of Excel allows you to read this threaded comment; however, any edits to it will get removed if the file is opened in a newer version of Excel. Learn more: https://go.microsoft.com/fwlink/?linkid=870924
Comment:
    agreed
</t>
      </text>
    </comment>
    <comment ref="AV957" authorId="579" shapeId="0" xr:uid="{05844995-BD44-46C6-BD48-5B743FA5D62F}">
      <text>
        <t xml:space="preserve">[Threaded comment]
Your version of Excel allows you to read this threaded comment; however, any edits to it will get removed if the file is opened in a newer version of Excel. Learn more: https://go.microsoft.com/fwlink/?linkid=870924
Comment:
    agreed
</t>
      </text>
    </comment>
    <comment ref="AC960" authorId="580" shapeId="0" xr:uid="{9A12A6FA-F5E1-4652-9E42-0E30283377DC}">
      <text>
        <t>[Threaded comment]
Your version of Excel allows you to read this threaded comment; however, any edits to it will get removed if the file is opened in a newer version of Excel. Learn more: https://go.microsoft.com/fwlink/?linkid=870924
Comment:
    Clarified.</t>
      </text>
    </comment>
    <comment ref="AJ960" authorId="581" shapeId="0" xr:uid="{7444D70A-ADC2-4030-B85C-DABE4F6F58B7}">
      <text>
        <t>[Threaded comment]
Your version of Excel allows you to read this threaded comment; however, any edits to it will get removed if the file is opened in a newer version of Excel. Learn more: https://go.microsoft.com/fwlink/?linkid=870924
Comment:
    0.25 (1/400)
Reply:
    Corrected.</t>
      </text>
    </comment>
    <comment ref="AC961" authorId="582" shapeId="0" xr:uid="{9988C9DD-122E-48E3-9CA7-2D29C998F793}">
      <text>
        <t>[Threaded comment]
Your version of Excel allows you to read this threaded comment; however, any edits to it will get removed if the file is opened in a newer version of Excel. Learn more: https://go.microsoft.com/fwlink/?linkid=870924
Comment:
    Clarified.</t>
      </text>
    </comment>
    <comment ref="AJ961" authorId="583" shapeId="0" xr:uid="{7932FD75-07EC-4833-84A3-C34DE5F356C0}">
      <text>
        <t>[Threaded comment]
Your version of Excel allows you to read this threaded comment; however, any edits to it will get removed if the file is opened in a newer version of Excel. Learn more: https://go.microsoft.com/fwlink/?linkid=870924
Comment:
    0.25 (1/400)
Reply:
    Corrected.</t>
      </text>
    </comment>
    <comment ref="A963" authorId="584" shapeId="0" xr:uid="{C56452B1-2DEC-4BB7-864C-C1F928CFF524}">
      <text>
        <t>[Threaded comment]
Your version of Excel allows you to read this threaded comment; however, any edits to it will get removed if the file is opened in a newer version of Excel. Learn more: https://go.microsoft.com/fwlink/?linkid=870924
Comment:
    From Table III, we could get surrogate 1 and CRC mortality by year. But numbers are so small, I have not extracted it yet. Only extracted data with follow-up until 1995 to exclude the exit screen and until 1994 to match the analysis date for all-cause mortality.</t>
      </text>
    </comment>
    <comment ref="A964" authorId="585" shapeId="0" xr:uid="{5A051F94-A39F-496F-BA88-6A086015EFC4}">
      <text>
        <t>[Threaded comment]
Your version of Excel allows you to read this threaded comment; however, any edits to it will get removed if the file is opened in a newer version of Excel. Learn more: https://go.microsoft.com/fwlink/?linkid=870924
Comment:
    From Table III, we could get surrogate 1 and CRC mortality by year. But numbers are so small, I have not extracted it yet. Only extracted data with follow-up until 1995 to exclude the exit screen and until 1994 to match the analysis date for all-cause mortality.</t>
      </text>
    </comment>
    <comment ref="A965" authorId="586" shapeId="0" xr:uid="{9D37E1A1-3232-45E1-84D9-B76F048CB53B}">
      <text>
        <t>[Threaded comment]
Your version of Excel allows you to read this threaded comment; however, any edits to it will get removed if the file is opened in a newer version of Excel. Learn more: https://go.microsoft.com/fwlink/?linkid=870924
Comment:
    From Table III, we could get surrogate 1 and CRC mortality by year. But numbers are so small, I have not extracted it yet. Only extracted data with follow-up until 1995 to exclude the exit screen and until 1994 to match the analysis date for all-cause mortality.</t>
      </text>
    </comment>
    <comment ref="R972" authorId="587" shapeId="0" xr:uid="{D2B3DDCB-A79A-4827-8FF4-8BD540D9DDB1}">
      <text>
        <t>[Threaded comment]
Your version of Excel allows you to read this threaded comment; however, any edits to it will get removed if the file is opened in a newer version of Excel. Learn more: https://go.microsoft.com/fwlink/?linkid=870924
Comment:
    687215 PY / 55,843???
Reply:
    Figure 1: 687215 PYO?
Reply:
    Yes.</t>
      </text>
    </comment>
    <comment ref="S972" authorId="588" shapeId="0" xr:uid="{10B3F0A9-D876-473D-9A27-06A63109FA0C}">
      <text>
        <t>[Threaded comment]
Your version of Excel allows you to read this threaded comment; however, any edits to it will get removed if the file is opened in a newer version of Excel. Learn more: https://go.microsoft.com/fwlink/?linkid=870924
Comment:
    734,925 PY / 59447???
Reply:
    734925 PYO?
Reply:
    Yes.</t>
      </text>
    </comment>
    <comment ref="AE972" authorId="589" shapeId="0" xr:uid="{52F26587-57EB-4F17-9DA2-A654CA9F0C30}">
      <text>
        <t>[Threaded comment]
Your version of Excel allows you to read this threaded comment; however, any edits to it will get removed if the file is opened in a newer version of Excel. Learn more: https://go.microsoft.com/fwlink/?linkid=870924
Comment:
    Figure 1 reports 71?
Reply:
    But table 4 agrees with text, I would go with this
Reply:
    Agreed.</t>
      </text>
    </comment>
    <comment ref="AF972" authorId="590" shapeId="0" xr:uid="{0283CE68-EF36-4C03-ADD4-3A609DB5F19F}">
      <text>
        <t>[Threaded comment]
Your version of Excel allows you to read this threaded comment; however, any edits to it will get removed if the file is opened in a newer version of Excel. Learn more: https://go.microsoft.com/fwlink/?linkid=870924
Comment:
    Figure 1 reports 72???</t>
      </text>
    </comment>
    <comment ref="AJ972" authorId="591" shapeId="0" xr:uid="{8541E16B-1AC0-4975-BD34-8B861EDC1C3C}">
      <text>
        <t>[Threaded comment]
Your version of Excel allows you to read this threaded comment; however, any edits to it will get removed if the file is opened in a newer version of Excel. Learn more: https://go.microsoft.com/fwlink/?linkid=870924
Comment:
    Figure 1 reports 10.3
Reply:
    Added it to the "Notes" field.</t>
      </text>
    </comment>
    <comment ref="AN972" authorId="592" shapeId="0" xr:uid="{F122D27F-30F5-4FE9-AA02-0745DE8BC738}">
      <text>
        <t>[Threaded comment]
Your version of Excel allows you to read this threaded comment; however, any edits to it will get removed if the file is opened in a newer version of Excel. Learn more: https://go.microsoft.com/fwlink/?linkid=870924
Comment:
    Figure 1 reports 9.8
Reply:
    Added it to the "Notes" field.</t>
      </text>
    </comment>
    <comment ref="R973" authorId="593" shapeId="0" xr:uid="{17748F79-1762-412E-B839-496C41C7BBA8}">
      <text>
        <t>[Threaded comment]
Your version of Excel allows you to read this threaded comment; however, any edits to it will get removed if the file is opened in a newer version of Excel. Learn more: https://go.microsoft.com/fwlink/?linkid=870924
Comment:
    687215 PY / 55,843???
Reply:
    Figure 1: 687215 PYO?
Reply:
    Yes.</t>
      </text>
    </comment>
    <comment ref="S973" authorId="594" shapeId="0" xr:uid="{3BAA3171-E268-4027-879D-C7E548A62273}">
      <text>
        <t>[Threaded comment]
Your version of Excel allows you to read this threaded comment; however, any edits to it will get removed if the file is opened in a newer version of Excel. Learn more: https://go.microsoft.com/fwlink/?linkid=870924
Comment:
    734,925 PY / 59447???
Reply:
    734925 PYO?
Reply:
    Yes.</t>
      </text>
    </comment>
    <comment ref="AE973" authorId="595" shapeId="0" xr:uid="{40FD9A22-9AB3-4846-BB38-961E84CD3F62}">
      <text>
        <t>[Threaded comment]
Your version of Excel allows you to read this threaded comment; however, any edits to it will get removed if the file is opened in a newer version of Excel. Learn more: https://go.microsoft.com/fwlink/?linkid=870924
Comment:
    Figure 1 reports 71?
Reply:
    But table 4 agrees with text, I would go with this
Reply:
    Agreed.</t>
      </text>
    </comment>
    <comment ref="AF973" authorId="596" shapeId="0" xr:uid="{9ABA7D3C-F10A-4117-B8B1-E62D49D659E4}">
      <text>
        <t>[Threaded comment]
Your version of Excel allows you to read this threaded comment; however, any edits to it will get removed if the file is opened in a newer version of Excel. Learn more: https://go.microsoft.com/fwlink/?linkid=870924
Comment:
    Figure 1 reports 72???</t>
      </text>
    </comment>
    <comment ref="R974" authorId="597" shapeId="0" xr:uid="{BFAE31C8-8EE5-4209-A630-AE764CBAE911}">
      <text>
        <t>[Threaded comment]
Your version of Excel allows you to read this threaded comment; however, any edits to it will get removed if the file is opened in a newer version of Excel. Learn more: https://go.microsoft.com/fwlink/?linkid=870924
Comment:
    687215 PY / 55,843???
Reply:
    Figure 1: 687215 PYO?
Reply:
    Yes.</t>
      </text>
    </comment>
    <comment ref="S974" authorId="598" shapeId="0" xr:uid="{395E7226-BEC6-41BB-A732-42B9A3D2C3FF}">
      <text>
        <t>[Threaded comment]
Your version of Excel allows you to read this threaded comment; however, any edits to it will get removed if the file is opened in a newer version of Excel. Learn more: https://go.microsoft.com/fwlink/?linkid=870924
Comment:
    734,925 PY / 59447???
Reply:
    734925 PYO?
Reply:
    Yes.</t>
      </text>
    </comment>
    <comment ref="AK974" authorId="599" shapeId="0" xr:uid="{738705E7-F799-4814-808E-2A93CABB56CB}">
      <text>
        <t>[Threaded comment]
Your version of Excel allows you to read this threaded comment; however, any edits to it will get removed if the file is opened in a newer version of Excel. Learn more: https://go.microsoft.com/fwlink/?linkid=870924
Comment:
    Slightly different to reported value.</t>
      </text>
    </comment>
    <comment ref="R975" authorId="600" shapeId="0" xr:uid="{3A18909F-8395-478F-8B05-CBDA425425D8}">
      <text>
        <t>[Threaded comment]
Your version of Excel allows you to read this threaded comment; however, any edits to it will get removed if the file is opened in a newer version of Excel. Learn more: https://go.microsoft.com/fwlink/?linkid=870924
Comment:
    687215 PY / 55,843???
Reply:
    Figure 1: 687215 PYO?
Reply:
    Yes.</t>
      </text>
    </comment>
    <comment ref="S975" authorId="601" shapeId="0" xr:uid="{260A9DA2-B97E-4FFF-AC50-C5D478EFCBEE}">
      <text>
        <t>[Threaded comment]
Your version of Excel allows you to read this threaded comment; however, any edits to it will get removed if the file is opened in a newer version of Excel. Learn more: https://go.microsoft.com/fwlink/?linkid=870924
Comment:
    734,925 PY / 59447???
Reply:
    734925 PYO?
Reply:
    Yes.</t>
      </text>
    </comment>
    <comment ref="AS978" authorId="602" shapeId="0" xr:uid="{EB3C470B-6FBD-47FB-A5E6-7A316D2FE746}">
      <text>
        <t>[Threaded comment]
Your version of Excel allows you to read this threaded comment; however, any edits to it will get removed if the file is opened in a newer version of Excel. Learn more: https://go.microsoft.com/fwlink/?linkid=870924
Comment:
    Table VI?
Reply:
    Think the reported RR is stratified by age. I have therefore reported it as adjusted estimate.</t>
      </text>
    </comment>
    <comment ref="AS979" authorId="603" shapeId="0" xr:uid="{7846A8F2-CB86-4D9D-A8E0-ED584ED1D2CA}">
      <text>
        <t>[Threaded comment]
Your version of Excel allows you to read this threaded comment; however, any edits to it will get removed if the file is opened in a newer version of Excel. Learn more: https://go.microsoft.com/fwlink/?linkid=870924
Comment:
    Table 6?
Reply:
    Think the reported RR is stratified by age. I have therefore reported it as adjusted estimate.</t>
      </text>
    </comment>
    <comment ref="AG980" authorId="604" shapeId="0" xr:uid="{7DF83278-598C-4EE8-9E70-A7BB591F5876}">
      <text>
        <t>[Threaded comment]
Your version of Excel allows you to read this threaded comment; however, any edits to it will get removed if the file is opened in a newer version of Excel. Learn more: https://go.microsoft.com/fwlink/?linkid=870924
Comment:
    19937??
Reply:
    Corrected.</t>
      </text>
    </comment>
    <comment ref="AS980" authorId="605" shapeId="0" xr:uid="{4DF5F352-1D27-49A0-BE1E-D7130B02B4D2}">
      <text>
        <t>[Threaded comment]
Your version of Excel allows you to read this threaded comment; however, any edits to it will get removed if the file is opened in a newer version of Excel. Learn more: https://go.microsoft.com/fwlink/?linkid=870924
Comment:
    Table 7 RR with 95% CI for all year groups combined for both counties??
Reply:
    Think the reported rates are stratified by county and age. I have put them in the adjusted fields.</t>
      </text>
    </comment>
    <comment ref="AG981" authorId="606" shapeId="0" xr:uid="{2587FD0E-8A87-4037-950F-D25703EC4EA1}">
      <text>
        <t>[Threaded comment]
Your version of Excel allows you to read this threaded comment; however, any edits to it will get removed if the file is opened in a newer version of Excel. Learn more: https://go.microsoft.com/fwlink/?linkid=870924
Comment:
    9625 in table 7?
Reply:
    Corrected.</t>
      </text>
    </comment>
    <comment ref="AE986" authorId="607" shapeId="0" xr:uid="{97EEF06C-26B3-416F-82C6-93C168694EC5}">
      <text>
        <t>[Threaded comment]
Your version of Excel allows you to read this threaded comment; however, any edits to it will get removed if the file is opened in a newer version of Excel. Learn more: https://go.microsoft.com/fwlink/?linkid=870924
Comment:
    I think it's the other way around. A programme would not easily switch position of labels. 
Reply:
    I think it's correct from Figure 2.</t>
      </text>
    </comment>
    <comment ref="AS1004" authorId="608" shapeId="0" xr:uid="{B66306C7-B1CB-41CD-8ACB-5B6967E45DDB}">
      <text>
        <t>[Threaded comment]
Your version of Excel allows you to read this threaded comment; however, any edits to it will get removed if the file is opened in a newer version of Excel. Learn more: https://go.microsoft.com/fwlink/?linkid=870924
Comment:
    According to Table 5 they reported relative risks not rate ratios?? Should this move up one row??
Reply:
    Not sure - in the "Methods" section they report that "Statistical analysis of mortality was based on Poisson log-linear modelling, using person-years at risk as an offset."
Reply:
    Nefeli agreed to leave as rate ratio.</t>
      </text>
    </comment>
    <comment ref="AY1004" authorId="609" shapeId="0" xr:uid="{40C6DF5D-AB7A-4C36-89E2-72AA4D1682FA}">
      <text>
        <t>[Threaded comment]
Your version of Excel allows you to read this threaded comment; however, any edits to it will get removed if the file is opened in a newer version of Excel. Learn more: https://go.microsoft.com/fwlink/?linkid=870924
Comment:
    Not reporting adjusted rate for county only as above?? Fine, just wanted to highlight.</t>
      </text>
    </comment>
    <comment ref="AY1012" authorId="610" shapeId="0" xr:uid="{011815B6-9FC8-4DF8-88E1-D3EDA2D287A7}">
      <text>
        <t>[Threaded comment]
Your version of Excel allows you to read this threaded comment; however, any edits to it will get removed if the file is opened in a newer version of Excel. Learn more: https://go.microsoft.com/fwlink/?linkid=870924
Comment:
    Again, table 6 says RR not ratio?? And for other year groups
Reply:
    Nefeli agreed to leave as rate ratio.</t>
      </text>
    </comment>
    <comment ref="AJ1021" authorId="611" shapeId="0" xr:uid="{A27B3DF3-53D7-4301-B8DE-305E0261E0C2}">
      <text>
        <t>[Threaded comment]
Your version of Excel allows you to read this threaded comment; however, any edits to it will get removed if the file is opened in a newer version of Excel. Learn more: https://go.microsoft.com/fwlink/?linkid=870924
Comment:
    Different to calculated rate???
Reply:
    Maybe they used some modelling rather than crude numbers for this??? Even thought the methods say they used person years at risk for mortality analysis?</t>
      </text>
    </comment>
    <comment ref="AN1021" authorId="612" shapeId="0" xr:uid="{E34560BB-0BC8-4373-9147-89CFDA18ACC6}">
      <text>
        <t>[Threaded comment]
Your version of Excel allows you to read this threaded comment; however, any edits to it will get removed if the file is opened in a newer version of Excel. Learn more: https://go.microsoft.com/fwlink/?linkid=870924
Comment:
    Different to calculated rate???</t>
      </text>
    </comment>
    <comment ref="AJ1030" authorId="613" shapeId="0" xr:uid="{CD1AE843-FA1A-4206-BC14-69F17B9C232A}">
      <text>
        <t>[Threaded comment]
Your version of Excel allows you to read this threaded comment; however, any edits to it will get removed if the file is opened in a newer version of Excel. Learn more: https://go.microsoft.com/fwlink/?linkid=870924
Comment:
    Different to calculated rate???</t>
      </text>
    </comment>
    <comment ref="AN1030" authorId="614" shapeId="0" xr:uid="{29316428-FBD9-40ED-9660-13B8EE8F890F}">
      <text>
        <t>[Threaded comment]
Your version of Excel allows you to read this threaded comment; however, any edits to it will get removed if the file is opened in a newer version of Excel. Learn more: https://go.microsoft.com/fwlink/?linkid=870924
Comment:
    Different to calculated rate???</t>
      </text>
    </comment>
    <comment ref="AJ1039" authorId="615" shapeId="0" xr:uid="{6E7CF3A4-4261-4254-B78A-EC3B830B16A5}">
      <text>
        <t>[Threaded comment]
Your version of Excel allows you to read this threaded comment; however, any edits to it will get removed if the file is opened in a newer version of Excel. Learn more: https://go.microsoft.com/fwlink/?linkid=870924
Comment:
    Different to calculated rate???</t>
      </text>
    </comment>
    <comment ref="AN1039" authorId="616" shapeId="0" xr:uid="{A2E78BA6-158E-4AF8-B32E-BD51F1927F7F}">
      <text>
        <t>[Threaded comment]
Your version of Excel allows you to read this threaded comment; however, any edits to it will get removed if the file is opened in a newer version of Excel. Learn more: https://go.microsoft.com/fwlink/?linkid=870924
Comment:
    Different to calculated rate???</t>
      </text>
    </comment>
    <comment ref="AJ1048" authorId="617" shapeId="0" xr:uid="{0B0BBDFC-F46F-4495-BEDD-1D9640511A58}">
      <text>
        <t>[Threaded comment]
Your version of Excel allows you to read this threaded comment; however, any edits to it will get removed if the file is opened in a newer version of Excel. Learn more: https://go.microsoft.com/fwlink/?linkid=870924
Comment:
    Different to calculated rate???</t>
      </text>
    </comment>
    <comment ref="AN1048" authorId="618" shapeId="0" xr:uid="{C48EA340-B7AB-426A-A117-6438E86124A2}">
      <text>
        <t>[Threaded comment]
Your version of Excel allows you to read this threaded comment; however, any edits to it will get removed if the file is opened in a newer version of Excel. Learn more: https://go.microsoft.com/fwlink/?linkid=870924
Comment:
    Different to calculated rate???</t>
      </text>
    </comment>
    <comment ref="R1049" authorId="619" shapeId="0" xr:uid="{64C206F4-6D53-4062-8B31-DD4A95AABDF0}">
      <text>
        <t>[Threaded comment]
Your version of Excel allows you to read this threaded comment; however, any edits to it will get removed if the file is opened in a newer version of Excel. Learn more: https://go.microsoft.com/fwlink/?linkid=870924
Comment:
    Reported in Table 4, but I don't want to waste my time adding it all up.</t>
      </text>
    </comment>
    <comment ref="S1049" authorId="620" shapeId="0" xr:uid="{84C207A3-5BAA-43C7-A8C6-5985A2636F3A}">
      <text>
        <t>[Threaded comment]
Your version of Excel allows you to read this threaded comment; however, any edits to it will get removed if the file is opened in a newer version of Excel. Learn more: https://go.microsoft.com/fwlink/?linkid=870924
Comment:
    Reported in Table 4, but I don't want to waste my time adding it all up.</t>
      </text>
    </comment>
    <comment ref="R1050" authorId="621" shapeId="0" xr:uid="{C92922DC-1558-4B5B-929D-4E27D6371008}">
      <text>
        <t>[Threaded comment]
Your version of Excel allows you to read this threaded comment; however, any edits to it will get removed if the file is opened in a newer version of Excel. Learn more: https://go.microsoft.com/fwlink/?linkid=870924
Comment:
    Reported in Table 4, but I don't want to waste my time adding it all up.</t>
      </text>
    </comment>
    <comment ref="S1050" authorId="622" shapeId="0" xr:uid="{E609E700-5F7E-4303-8DD9-4D81DD1F141D}">
      <text>
        <t>[Threaded comment]
Your version of Excel allows you to read this threaded comment; however, any edits to it will get removed if the file is opened in a newer version of Excel. Learn more: https://go.microsoft.com/fwlink/?linkid=870924
Comment:
    Reported in Table 4, but I don't want to waste my time adding it all up.</t>
      </text>
    </comment>
    <comment ref="R1051" authorId="623" shapeId="0" xr:uid="{EA0901ED-86FF-4C33-9643-D7495C969478}">
      <text>
        <t>[Threaded comment]
Your version of Excel allows you to read this threaded comment; however, any edits to it will get removed if the file is opened in a newer version of Excel. Learn more: https://go.microsoft.com/fwlink/?linkid=870924
Comment:
    Reported in Table 4, but I don't want to waste my time adding it all up.</t>
      </text>
    </comment>
    <comment ref="S1051" authorId="624" shapeId="0" xr:uid="{4FA48CAE-EE4F-4D55-A65D-97C32ACC2F4A}">
      <text>
        <t>[Threaded comment]
Your version of Excel allows you to read this threaded comment; however, any edits to it will get removed if the file is opened in a newer version of Excel. Learn more: https://go.microsoft.com/fwlink/?linkid=870924
Comment:
    Reported in Table 4, but I don't want to waste my time adding it all up.</t>
      </text>
    </comment>
    <comment ref="R1052" authorId="625" shapeId="0" xr:uid="{172C5437-D6C6-4622-985D-713B7F300385}">
      <text>
        <t>[Threaded comment]
Your version of Excel allows you to read this threaded comment; however, any edits to it will get removed if the file is opened in a newer version of Excel. Learn more: https://go.microsoft.com/fwlink/?linkid=870924
Comment:
    Reported in Table 4, but I don't want to waste my time adding it all up.</t>
      </text>
    </comment>
    <comment ref="S1052" authorId="626" shapeId="0" xr:uid="{8A15EB48-A345-4B4E-AEDF-5C4D750A1201}">
      <text>
        <t>[Threaded comment]
Your version of Excel allows you to read this threaded comment; however, any edits to it will get removed if the file is opened in a newer version of Excel. Learn more: https://go.microsoft.com/fwlink/?linkid=870924
Comment:
    Reported in Table 4, but I don't want to waste my time adding it all up.</t>
      </text>
    </comment>
    <comment ref="R1053" authorId="627" shapeId="0" xr:uid="{6D9186AB-76AE-4291-AD06-2A66E1623F5F}">
      <text>
        <t>[Threaded comment]
Your version of Excel allows you to read this threaded comment; however, any edits to it will get removed if the file is opened in a newer version of Excel. Learn more: https://go.microsoft.com/fwlink/?linkid=870924
Comment:
    Reported in Table 4, but I don't want to waste my time adding it all up.</t>
      </text>
    </comment>
    <comment ref="S1053" authorId="628" shapeId="0" xr:uid="{3DC03A7C-CC6D-4B71-AF2C-7D4BED737C13}">
      <text>
        <t>[Threaded comment]
Your version of Excel allows you to read this threaded comment; however, any edits to it will get removed if the file is opened in a newer version of Excel. Learn more: https://go.microsoft.com/fwlink/?linkid=870924
Comment:
    Reported in Table 4, but I don't want to waste my time adding it all up.</t>
      </text>
    </comment>
    <comment ref="R1054" authorId="629" shapeId="0" xr:uid="{58E70895-C569-4169-B340-1B9984A0163B}">
      <text>
        <t>[Threaded comment]
Your version of Excel allows you to read this threaded comment; however, any edits to it will get removed if the file is opened in a newer version of Excel. Learn more: https://go.microsoft.com/fwlink/?linkid=870924
Comment:
    Reported in Table 4, but I don't want to waste my time adding it all up.</t>
      </text>
    </comment>
    <comment ref="S1054" authorId="630" shapeId="0" xr:uid="{45774EEF-B658-40AF-A8B7-0C85B74AB371}">
      <text>
        <t>[Threaded comment]
Your version of Excel allows you to read this threaded comment; however, any edits to it will get removed if the file is opened in a newer version of Excel. Learn more: https://go.microsoft.com/fwlink/?linkid=870924
Comment:
    Reported in Table 4, but I don't want to waste my time adding it all up.</t>
      </text>
    </comment>
    <comment ref="R1055" authorId="631" shapeId="0" xr:uid="{66272588-E2C6-430E-844A-B5E8F6CCA305}">
      <text>
        <t>[Threaded comment]
Your version of Excel allows you to read this threaded comment; however, any edits to it will get removed if the file is opened in a newer version of Excel. Learn more: https://go.microsoft.com/fwlink/?linkid=870924
Comment:
    Reported in Table 4, but I don't want to waste my time adding it all up.</t>
      </text>
    </comment>
    <comment ref="S1055" authorId="632" shapeId="0" xr:uid="{0CA90E8C-CC58-4504-8A7F-EED578EFB150}">
      <text>
        <t>[Threaded comment]
Your version of Excel allows you to read this threaded comment; however, any edits to it will get removed if the file is opened in a newer version of Excel. Learn more: https://go.microsoft.com/fwlink/?linkid=870924
Comment:
    Reported in Table 4, but I don't want to waste my time adding it all up.</t>
      </text>
    </comment>
    <comment ref="R1056" authorId="633" shapeId="0" xr:uid="{4EE26314-BB22-449F-A913-55B0D3D54CAF}">
      <text>
        <t>[Threaded comment]
Your version of Excel allows you to read this threaded comment; however, any edits to it will get removed if the file is opened in a newer version of Excel. Learn more: https://go.microsoft.com/fwlink/?linkid=870924
Comment:
    Reported in Table 4, but I don't want to waste my time adding it all up.</t>
      </text>
    </comment>
    <comment ref="S1056" authorId="634" shapeId="0" xr:uid="{11B72A17-B722-4F91-9F41-C7E7F08D82A9}">
      <text>
        <t>[Threaded comment]
Your version of Excel allows you to read this threaded comment; however, any edits to it will get removed if the file is opened in a newer version of Excel. Learn more: https://go.microsoft.com/fwlink/?linkid=870924
Comment:
    Reported in Table 4, but I don't want to waste my time adding it all up.</t>
      </text>
    </comment>
    <comment ref="R1057" authorId="635" shapeId="0" xr:uid="{7D390976-F107-4679-A9D7-54DC572F47A4}">
      <text>
        <t>[Threaded comment]
Your version of Excel allows you to read this threaded comment; however, any edits to it will get removed if the file is opened in a newer version of Excel. Learn more: https://go.microsoft.com/fwlink/?linkid=870924
Comment:
    Reported in Table 4, but I don't want to waste my time adding it all up.</t>
      </text>
    </comment>
    <comment ref="S1057" authorId="636" shapeId="0" xr:uid="{2930FB67-5AEE-42F4-92F9-134D53677FF1}">
      <text>
        <t>[Threaded comment]
Your version of Excel allows you to read this threaded comment; however, any edits to it will get removed if the file is opened in a newer version of Excel. Learn more: https://go.microsoft.com/fwlink/?linkid=870924
Comment:
    Reported in Table 4, but I don't want to waste my time adding it all up.</t>
      </text>
    </comment>
    <comment ref="AJ1066" authorId="637" shapeId="0" xr:uid="{6C2F3C5A-C006-4567-A236-B913B51767B9}">
      <text>
        <t>[Threaded comment]
Your version of Excel allows you to read this threaded comment; however, any edits to it will get removed if the file is opened in a newer version of Excel. Learn more: https://go.microsoft.com/fwlink/?linkid=870924
Comment:
    Different to calculated rate???</t>
      </text>
    </comment>
    <comment ref="AN1066" authorId="638" shapeId="0" xr:uid="{909B25C9-00A4-4996-B91D-6472EA791AC4}">
      <text>
        <t>[Threaded comment]
Your version of Excel allows you to read this threaded comment; however, any edits to it will get removed if the file is opened in a newer version of Excel. Learn more: https://go.microsoft.com/fwlink/?linkid=870924
Comment:
    Different to calculated rate???</t>
      </text>
    </comment>
    <comment ref="AJ1075" authorId="639" shapeId="0" xr:uid="{29FD5A1A-0372-4626-9D55-4A966E1F4157}">
      <text>
        <t>[Threaded comment]
Your version of Excel allows you to read this threaded comment; however, any edits to it will get removed if the file is opened in a newer version of Excel. Learn more: https://go.microsoft.com/fwlink/?linkid=870924
Comment:
    Different to calculated rate???</t>
      </text>
    </comment>
    <comment ref="AN1075" authorId="640" shapeId="0" xr:uid="{0C16FDED-704B-4998-8135-769482915ECE}">
      <text>
        <t>[Threaded comment]
Your version of Excel allows you to read this threaded comment; however, any edits to it will get removed if the file is opened in a newer version of Excel. Learn more: https://go.microsoft.com/fwlink/?linkid=870924
Comment:
    Different to calculated rate???</t>
      </text>
    </comment>
    <comment ref="AJ1084" authorId="641" shapeId="0" xr:uid="{B5291B1D-D728-42C7-825D-7DE45832A877}">
      <text>
        <t>[Threaded comment]
Your version of Excel allows you to read this threaded comment; however, any edits to it will get removed if the file is opened in a newer version of Excel. Learn more: https://go.microsoft.com/fwlink/?linkid=870924
Comment:
    Different to calculated rate???</t>
      </text>
    </comment>
    <comment ref="AN1084" authorId="642" shapeId="0" xr:uid="{774571B0-8CAD-483F-8E64-ADEF9326B4D9}">
      <text>
        <t>[Threaded comment]
Your version of Excel allows you to read this threaded comment; however, any edits to it will get removed if the file is opened in a newer version of Excel. Learn more: https://go.microsoft.com/fwlink/?linkid=870924
Comment:
    Different to calculated rate???</t>
      </text>
    </comment>
    <comment ref="AJ1093" authorId="643" shapeId="0" xr:uid="{2863F92B-7BC3-428B-A12D-6953B5AA232E}">
      <text>
        <t>[Threaded comment]
Your version of Excel allows you to read this threaded comment; however, any edits to it will get removed if the file is opened in a newer version of Excel. Learn more: https://go.microsoft.com/fwlink/?linkid=870924
Comment:
    Different to calculated rate???</t>
      </text>
    </comment>
    <comment ref="AN1093" authorId="644" shapeId="0" xr:uid="{78D1EA9C-4C48-4A4F-90F2-F18F7B49153A}">
      <text>
        <t>[Threaded comment]
Your version of Excel allows you to read this threaded comment; however, any edits to it will get removed if the file is opened in a newer version of Excel. Learn more: https://go.microsoft.com/fwlink/?linkid=870924
Comment:
    Different to calculated rate???</t>
      </text>
    </comment>
    <comment ref="R1094" authorId="645" shapeId="0" xr:uid="{AC059B67-B641-49C4-AA9D-C891016514CD}">
      <text>
        <t>[Threaded comment]
Your version of Excel allows you to read this threaded comment; however, any edits to it will get removed if the file is opened in a newer version of Excel. Learn more: https://go.microsoft.com/fwlink/?linkid=870924
Comment:
    Reported in Table 4, but I don't want to waste my time adding it all up.</t>
      </text>
    </comment>
    <comment ref="S1094" authorId="646" shapeId="0" xr:uid="{DEABE74C-8337-466C-823B-9597B54B32D3}">
      <text>
        <t>[Threaded comment]
Your version of Excel allows you to read this threaded comment; however, any edits to it will get removed if the file is opened in a newer version of Excel. Learn more: https://go.microsoft.com/fwlink/?linkid=870924
Comment:
    Reported in Table 4, but I don't want to waste my time adding it all up.</t>
      </text>
    </comment>
    <comment ref="R1095" authorId="647" shapeId="0" xr:uid="{D3BEFF57-F71C-468B-A40A-930C4CF19736}">
      <text>
        <t>[Threaded comment]
Your version of Excel allows you to read this threaded comment; however, any edits to it will get removed if the file is opened in a newer version of Excel. Learn more: https://go.microsoft.com/fwlink/?linkid=870924
Comment:
    Reported in Table 4, but I don't want to waste my time adding it all up.</t>
      </text>
    </comment>
    <comment ref="S1095" authorId="648" shapeId="0" xr:uid="{D453A07C-2F07-4DA7-BF72-B44DDFEF9185}">
      <text>
        <t>[Threaded comment]
Your version of Excel allows you to read this threaded comment; however, any edits to it will get removed if the file is opened in a newer version of Excel. Learn more: https://go.microsoft.com/fwlink/?linkid=870924
Comment:
    Reported in Table 4, but I don't want to waste my time adding it all up.</t>
      </text>
    </comment>
    <comment ref="R1096" authorId="649" shapeId="0" xr:uid="{2474EDC3-1511-4213-8C8F-5CE452D7FDB3}">
      <text>
        <t>[Threaded comment]
Your version of Excel allows you to read this threaded comment; however, any edits to it will get removed if the file is opened in a newer version of Excel. Learn more: https://go.microsoft.com/fwlink/?linkid=870924
Comment:
    Reported in Table 4, but I don't want to waste my time adding it all up.</t>
      </text>
    </comment>
    <comment ref="S1096" authorId="650" shapeId="0" xr:uid="{D280D327-5E7D-4393-B976-AE09C4F8F79F}">
      <text>
        <t>[Threaded comment]
Your version of Excel allows you to read this threaded comment; however, any edits to it will get removed if the file is opened in a newer version of Excel. Learn more: https://go.microsoft.com/fwlink/?linkid=870924
Comment:
    Reported in Table 4, but I don't want to waste my time adding it all up.</t>
      </text>
    </comment>
    <comment ref="R1097" authorId="651" shapeId="0" xr:uid="{30DEF8EB-4FB6-4E70-ADF5-8068548A219E}">
      <text>
        <t>[Threaded comment]
Your version of Excel allows you to read this threaded comment; however, any edits to it will get removed if the file is opened in a newer version of Excel. Learn more: https://go.microsoft.com/fwlink/?linkid=870924
Comment:
    Reported in Table 4, but I don't want to waste my time adding it all up.</t>
      </text>
    </comment>
    <comment ref="S1097" authorId="652" shapeId="0" xr:uid="{6F57F514-3B37-4383-9986-75751F444CEF}">
      <text>
        <t>[Threaded comment]
Your version of Excel allows you to read this threaded comment; however, any edits to it will get removed if the file is opened in a newer version of Excel. Learn more: https://go.microsoft.com/fwlink/?linkid=870924
Comment:
    Reported in Table 4, but I don't want to waste my time adding it all up.</t>
      </text>
    </comment>
    <comment ref="R1098" authorId="653" shapeId="0" xr:uid="{3D734E79-9575-4E8A-9D11-6E2CF61844CE}">
      <text>
        <t>[Threaded comment]
Your version of Excel allows you to read this threaded comment; however, any edits to it will get removed if the file is opened in a newer version of Excel. Learn more: https://go.microsoft.com/fwlink/?linkid=870924
Comment:
    Reported in Table 4, but I don't want to waste my time adding it all up.</t>
      </text>
    </comment>
    <comment ref="S1098" authorId="654" shapeId="0" xr:uid="{417743F6-D417-4615-BEC9-50E01E7E5496}">
      <text>
        <t>[Threaded comment]
Your version of Excel allows you to read this threaded comment; however, any edits to it will get removed if the file is opened in a newer version of Excel. Learn more: https://go.microsoft.com/fwlink/?linkid=870924
Comment:
    Reported in Table 4, but I don't want to waste my time adding it all up.</t>
      </text>
    </comment>
    <comment ref="R1099" authorId="655" shapeId="0" xr:uid="{84307757-9CE2-4F20-B4DC-334B6CED5015}">
      <text>
        <t>[Threaded comment]
Your version of Excel allows you to read this threaded comment; however, any edits to it will get removed if the file is opened in a newer version of Excel. Learn more: https://go.microsoft.com/fwlink/?linkid=870924
Comment:
    Reported in Table 4, but I don't want to waste my time adding it all up.</t>
      </text>
    </comment>
    <comment ref="S1099" authorId="656" shapeId="0" xr:uid="{9ABD9EF8-FA79-4D99-95C4-71D67B7E2B5D}">
      <text>
        <t>[Threaded comment]
Your version of Excel allows you to read this threaded comment; however, any edits to it will get removed if the file is opened in a newer version of Excel. Learn more: https://go.microsoft.com/fwlink/?linkid=870924
Comment:
    Reported in Table 4, but I don't want to waste my time adding it all up.</t>
      </text>
    </comment>
    <comment ref="R1100" authorId="657" shapeId="0" xr:uid="{D6E4D22F-387C-47E6-A4E5-F3284DF924F2}">
      <text>
        <t>[Threaded comment]
Your version of Excel allows you to read this threaded comment; however, any edits to it will get removed if the file is opened in a newer version of Excel. Learn more: https://go.microsoft.com/fwlink/?linkid=870924
Comment:
    Reported in Table 4, but I don't want to waste my time adding it all up.</t>
      </text>
    </comment>
    <comment ref="S1100" authorId="658" shapeId="0" xr:uid="{C3586D1F-541F-4C21-B21A-7FE060C41367}">
      <text>
        <t>[Threaded comment]
Your version of Excel allows you to read this threaded comment; however, any edits to it will get removed if the file is opened in a newer version of Excel. Learn more: https://go.microsoft.com/fwlink/?linkid=870924
Comment:
    Reported in Table 4, but I don't want to waste my time adding it all up.</t>
      </text>
    </comment>
    <comment ref="R1101" authorId="659" shapeId="0" xr:uid="{C5819EF4-565C-42CA-B848-822BC8DBC5EA}">
      <text>
        <t>[Threaded comment]
Your version of Excel allows you to read this threaded comment; however, any edits to it will get removed if the file is opened in a newer version of Excel. Learn more: https://go.microsoft.com/fwlink/?linkid=870924
Comment:
    Reported in Table 4, but I don't want to waste my time adding it all up.</t>
      </text>
    </comment>
    <comment ref="S1101" authorId="660" shapeId="0" xr:uid="{7FA34D97-0347-4D92-92E6-8F80DA88B63C}">
      <text>
        <t>[Threaded comment]
Your version of Excel allows you to read this threaded comment; however, any edits to it will get removed if the file is opened in a newer version of Excel. Learn more: https://go.microsoft.com/fwlink/?linkid=870924
Comment:
    Reported in Table 4, but I don't want to waste my time adding it all up.</t>
      </text>
    </comment>
    <comment ref="AE1101" authorId="661" shapeId="0" xr:uid="{B5C83542-266B-481E-B6EB-6DBEC6C8C7C2}">
      <text>
        <t>[Threaded comment]
Your version of Excel allows you to read this threaded comment; however, any edits to it will get removed if the file is opened in a newer version of Excel. Learn more: https://go.microsoft.com/fwlink/?linkid=870924
Comment:
    Table 3, ASP, year 7-8, says 10 BC deaths, but should be 11.
Reply:
    I agree</t>
      </text>
    </comment>
    <comment ref="R1102" authorId="662" shapeId="0" xr:uid="{DE661865-237B-4DCE-8A59-219DFFC5B2D6}">
      <text>
        <t>[Threaded comment]
Your version of Excel allows you to read this threaded comment; however, any edits to it will get removed if the file is opened in a newer version of Excel. Learn more: https://go.microsoft.com/fwlink/?linkid=870924
Comment:
    Reported in Table 4, but I don't want to waste my time adding it all up.</t>
      </text>
    </comment>
    <comment ref="S1102" authorId="663" shapeId="0" xr:uid="{0706D94F-9B65-4FCF-98B6-CEBC56272145}">
      <text>
        <t>[Threaded comment]
Your version of Excel allows you to read this threaded comment; however, any edits to it will get removed if the file is opened in a newer version of Excel. Learn more: https://go.microsoft.com/fwlink/?linkid=870924
Comment:
    Reported in Table 4, but I don't want to waste my time adding it all up.</t>
      </text>
    </comment>
    <comment ref="AE1102" authorId="664" shapeId="0" xr:uid="{04342684-A2C2-4AF2-9A91-40399DEC29D8}">
      <text>
        <t>[Threaded comment]
Your version of Excel allows you to read this threaded comment; however, any edits to it will get removed if the file is opened in a newer version of Excel. Learn more: https://go.microsoft.com/fwlink/?linkid=870924
Comment:
    Table 3, ASP, year 7-8, says 10 BC deaths, but should be 11.</t>
      </text>
    </comment>
    <comment ref="A1103" authorId="665" shapeId="0" xr:uid="{96C73115-843D-42C8-B22F-FE2C45BEE303}">
      <text>
        <t>[Threaded comment]
Your version of Excel allows you to read this threaded comment; however, any edits to it will get removed if the file is opened in a newer version of Excel. Learn more: https://go.microsoft.com/fwlink/?linkid=870924
Comment:
    Also reported for 1-10 years after randomisation (each year of follow-up separately).</t>
      </text>
    </comment>
    <comment ref="A1105" authorId="666" shapeId="0" xr:uid="{796EDD1B-CE60-4B7D-92F9-97C0BAF29DB3}">
      <text>
        <t>[Threaded comment]
Your version of Excel allows you to read this threaded comment; however, any edits to it will get removed if the file is opened in a newer version of Excel. Learn more: https://go.microsoft.com/fwlink/?linkid=870924
Comment:
    Also reported for 1-10 years after randomisation (each year of follow-up separately).</t>
      </text>
    </comment>
    <comment ref="A1106" authorId="667" shapeId="0" xr:uid="{93A3A9FA-F11B-4B3B-8DE1-97AFC98A450B}">
      <text>
        <t>[Threaded comment]
Your version of Excel allows you to read this threaded comment; however, any edits to it will get removed if the file is opened in a newer version of Excel. Learn more: https://go.microsoft.com/fwlink/?linkid=870924
Comment:
    Also reported for 1-10 years after randomisation (each year of follow-up separately).</t>
      </text>
    </comment>
    <comment ref="A1107" authorId="668" shapeId="0" xr:uid="{C2D54FF8-F9B5-4011-9479-B628745323FE}">
      <text>
        <t>[Threaded comment]
Your version of Excel allows you to read this threaded comment; however, any edits to it will get removed if the file is opened in a newer version of Excel. Learn more: https://go.microsoft.com/fwlink/?linkid=870924
Comment:
    Also reported for 1-10 years after randomisation (each year of follow-up separately).</t>
      </text>
    </comment>
    <comment ref="A1108" authorId="669" shapeId="0" xr:uid="{9690904D-BD4D-4B38-9337-B7130B754325}">
      <text>
        <t>[Threaded comment]
Your version of Excel allows you to read this threaded comment; however, any edits to it will get removed if the file is opened in a newer version of Excel. Learn more: https://go.microsoft.com/fwlink/?linkid=870924
Comment:
    Also reported for 1-10 years after randomisation (each year of follow-up separately).</t>
      </text>
    </comment>
    <comment ref="A1109" authorId="670" shapeId="0" xr:uid="{5951EFFA-1979-47F3-A6C2-B292D91E192D}">
      <text>
        <t>[Threaded comment]
Your version of Excel allows you to read this threaded comment; however, any edits to it will get removed if the file is opened in a newer version of Excel. Learn more: https://go.microsoft.com/fwlink/?linkid=870924
Comment:
    Data for up to 6 years since randomisation same as reported in Tabar 1989 (#4097).</t>
      </text>
    </comment>
    <comment ref="A1129" authorId="671" shapeId="0" xr:uid="{B7710BAD-17EE-40FC-B6E3-BF24824AE793}">
      <text>
        <t>[Threaded comment]
Your version of Excel allows you to read this threaded comment; however, any edits to it will get removed if the file is opened in a newer version of Excel. Learn more: https://go.microsoft.com/fwlink/?linkid=870924
Comment:
    Data for up to 6 years since randomisation same as reported in Tabar 1989 (#4097).</t>
      </text>
    </comment>
    <comment ref="A1161" authorId="672" shapeId="0" xr:uid="{06F12972-3381-43A3-862C-3CE6DF2FDB4E}">
      <text>
        <t>[Threaded comment]
Your version of Excel allows you to read this threaded comment; however, any edits to it will get removed if the file is opened in a newer version of Excel. Learn more: https://go.microsoft.com/fwlink/?linkid=870924
Comment:
    Reported number of person years different to Tabar 1995 (#4092). Better to use data from Tabar 1995 as here, the PY for the control group seem very low.</t>
      </text>
    </comment>
    <comment ref="S1161" authorId="673" shapeId="0" xr:uid="{0ED82128-4FBD-4926-BBEE-15793756376D}">
      <text>
        <t>[Threaded comment]
Your version of Excel allows you to read this threaded comment; however, any edits to it will get removed if the file is opened in a newer version of Excel. Learn more: https://go.microsoft.com/fwlink/?linkid=870924
Comment:
    Typo in the number of PY? Seems very low.</t>
      </text>
    </comment>
    <comment ref="AH1161" authorId="674" shapeId="0" xr:uid="{A97DEF27-34D5-4CFE-BABE-8580A68561B4}">
      <text>
        <t>[Threaded comment]
Your version of Excel allows you to read this threaded comment; however, any edits to it will get removed if the file is opened in a newer version of Excel. Learn more: https://go.microsoft.com/fwlink/?linkid=870924
Comment:
    Typo in the number of PY in Table 1?</t>
      </text>
    </comment>
    <comment ref="AT1161" authorId="675" shapeId="0" xr:uid="{FE01D3B5-6D06-453A-8983-233B3C5456F6}">
      <text>
        <t>[Threaded comment]
Your version of Excel allows you to read this threaded comment; however, any edits to it will get removed if the file is opened in a newer version of Excel. Learn more: https://go.microsoft.com/fwlink/?linkid=870924
Comment:
    Very different to reported adjusted RR. Typo in number of PY?</t>
      </text>
    </comment>
    <comment ref="S1162" authorId="676" shapeId="0" xr:uid="{DD985354-47BE-4933-8C4B-B24593336672}">
      <text>
        <t xml:space="preserve">[Threaded comment]
Your version of Excel allows you to read this threaded comment; however, any edits to it will get removed if the file is opened in a newer version of Excel. Learn more: https://go.microsoft.com/fwlink/?linkid=870924
Comment:
    Number of PY in Table 1 seems incorrect. Used the number of PY reported in Table 2 instead.
</t>
      </text>
    </comment>
    <comment ref="AH1162" authorId="677" shapeId="0" xr:uid="{8926B517-D411-4ED4-A936-70E5FB8624F0}">
      <text>
        <t>[Threaded comment]
Your version of Excel allows you to read this threaded comment; however, any edits to it will get removed if the file is opened in a newer version of Excel. Learn more: https://go.microsoft.com/fwlink/?linkid=870924
Comment:
    From Table 5; PY in Table 1 seemed to be mixed up.</t>
      </text>
    </comment>
    <comment ref="R1163" authorId="678" shapeId="0" xr:uid="{97C99F5A-1695-4F61-A979-D76BB5F75027}">
      <text>
        <t>[Threaded comment]
Your version of Excel allows you to read this threaded comment; however, any edits to it will get removed if the file is opened in a newer version of Excel. Learn more: https://go.microsoft.com/fwlink/?linkid=870924
Comment:
    From Table 5; PY in Table 1 seemed to be mixed up.</t>
      </text>
    </comment>
    <comment ref="S1163" authorId="679" shapeId="0" xr:uid="{1D6BDF1A-4961-49C9-9300-C5A8F798F787}">
      <text>
        <t xml:space="preserve">[Threaded comment]
Your version of Excel allows you to read this threaded comment; however, any edits to it will get removed if the file is opened in a newer version of Excel. Learn more: https://go.microsoft.com/fwlink/?linkid=870924
Comment:
    Typo in the number of PY? Seems very low.
</t>
      </text>
    </comment>
    <comment ref="AG1163" authorId="680" shapeId="0" xr:uid="{A4E1B611-0020-4C7E-A97D-2DA97E6F91AA}">
      <text>
        <t>[Threaded comment]
Your version of Excel allows you to read this threaded comment; however, any edits to it will get removed if the file is opened in a newer version of Excel. Learn more: https://go.microsoft.com/fwlink/?linkid=870924
Comment:
    From Table 5; PY in Table 1 seemed to be mixed up.</t>
      </text>
    </comment>
    <comment ref="A1166" authorId="681" shapeId="0" xr:uid="{1174DC69-580B-4F46-9820-0778D2B40464}">
      <text>
        <t>[Threaded comment]
Your version of Excel allows you to read this threaded comment; however, any edits to it will get removed if the file is opened in a newer version of Excel. Learn more: https://go.microsoft.com/fwlink/?linkid=870924
Comment:
    Reported number of person years different to Chen 1995 (#4172)</t>
      </text>
    </comment>
    <comment ref="AE1166" authorId="682" shapeId="0" xr:uid="{5DBCF56D-0D7E-46E9-93A8-FBFD24F74496}">
      <text>
        <t>[Threaded comment]
Your version of Excel allows you to read this threaded comment; however, any edits to it will get removed if the file is opened in a newer version of Excel. Learn more: https://go.microsoft.com/fwlink/?linkid=870924
Comment:
    Deaths in Table 2 only add up to 261, not 269.</t>
      </text>
    </comment>
    <comment ref="AE1172" authorId="683" shapeId="0" xr:uid="{7034F72A-A7DA-4727-8A41-18EA25B21257}">
      <text>
        <t>[Threaded comment]
Your version of Excel allows you to read this threaded comment; however, any edits to it will get removed if the file is opened in a newer version of Excel. Learn more: https://go.microsoft.com/fwlink/?linkid=870924
Comment:
    Deaths in W- and E-counties only add up to 261, not 269.</t>
      </text>
    </comment>
    <comment ref="AE1178" authorId="684" shapeId="0" xr:uid="{D4390769-63C6-4C9B-B35A-AD67DA43BE9A}">
      <text>
        <t>[Threaded comment]
Your version of Excel allows you to read this threaded comment; however, any edits to it will get removed if the file is opened in a newer version of Excel. Learn more: https://go.microsoft.com/fwlink/?linkid=870924
Comment:
    Deaths in W- and E-counties only add up to 261, not 269.</t>
      </text>
    </comment>
    <comment ref="AY1216" authorId="685" shapeId="0" xr:uid="{2A2C8D13-2912-40CB-891A-12E17F2E46FD}">
      <text>
        <t>[Threaded comment]
Your version of Excel allows you to read this threaded comment; however, any edits to it will get removed if the file is opened in a newer version of Excel. Learn more: https://go.microsoft.com/fwlink/?linkid=870924
Comment:
    Is the reported RR a rate ratio or relative risk?</t>
      </text>
    </comment>
    <comment ref="A1242" authorId="686" shapeId="0" xr:uid="{93A3C7F0-5E9A-49A3-8F9E-02AA73D96FE8}">
      <text>
        <t>[Threaded comment]
Your version of Excel allows you to read this threaded comment; however, any edits to it will get removed if the file is opened in a newer version of Excel. Learn more: https://go.microsoft.com/fwlink/?linkid=870924
Comment:
    Reports breast cancer mortality for women  &lt;50 years and 50+ years at baseline but we don't have surrogate data for these subgroups; therefore, I have not extracted these data.</t>
      </text>
    </comment>
    <comment ref="AJ1242" authorId="687" shapeId="0" xr:uid="{B5373E4E-E338-49E1-A8D1-47D79A324A1D}">
      <text>
        <t>[Threaded comment]
Your version of Excel allows you to read this threaded comment; however, any edits to it will get removed if the file is opened in a newer version of Excel. Learn more: https://go.microsoft.com/fwlink/?linkid=870924
Comment:
    Mortality rates were estimated using standard life table methods, with time measured from date of entry into the study.
Reply:
    This gives me 11 who died in instruction arm??? Something not quite right somewhere?
Reply:
    Asked Nefeli for advice.
Reply:
    Changed to "NR" as we don't understand what they did.</t>
      </text>
    </comment>
    <comment ref="AN1242" authorId="688" shapeId="0" xr:uid="{EFFEED67-6D66-4DA6-9859-EDD4D6DBA583}">
      <text>
        <t>[Threaded comment]
Your version of Excel allows you to read this threaded comment; however, any edits to it will get removed if the file is opened in a newer version of Excel. Learn more: https://go.microsoft.com/fwlink/?linkid=870924
Comment:
    Mortality rates were estimated using standard life table methods, with time measured from date of entry into the study.
Reply:
    Asked Nefeli for advice.
Reply:
    Changed to "NR" as we don't understand what they did.</t>
      </text>
    </comment>
    <comment ref="D1244" authorId="689" shapeId="0" xr:uid="{C93F05AC-DF15-4655-819A-6AD9EC840A32}">
      <text>
        <t>[Threaded comment]
Your version of Excel allows you to read this threaded comment; however, any edits to it will get removed if the file is opened in a newer version of Excel. Learn more: https://go.microsoft.com/fwlink/?linkid=870924
Comment:
    Per 1000 not from study, is this calculated not just reported outcome??? If yes than ok.
Reply:
    Yes, calculated.</t>
      </text>
    </comment>
    <comment ref="F1244" authorId="690" shapeId="0" xr:uid="{610D7D4A-0523-4863-8874-D1FF6AACA5D1}">
      <text>
        <t>[Threaded comment]
Your version of Excel allows you to read this threaded comment; however, any edits to it will get removed if the file is opened in a newer version of Excel. Learn more: https://go.microsoft.com/fwlink/?linkid=870924
Comment:
    I have changed the screening test from "Breast self-examination instruction" to "Breast self-examination".</t>
      </text>
    </comment>
    <comment ref="D1245" authorId="691" shapeId="0" xr:uid="{2077608E-7911-4DF7-BF3E-FF93F46F1318}">
      <text>
        <t>[Threaded comment]
Your version of Excel allows you to read this threaded comment; however, any edits to it will get removed if the file is opened in a newer version of Excel. Learn more: https://go.microsoft.com/fwlink/?linkid=870924
Comment:
    Is the follow-up until 31/12/1997??? Text says "end of 10th year of the study", or is this another result???
Reply:
    I understand that the analysis for the graph is for 10 years (numbers not reported on page 147 and difficult to read from graph but around the 200/100000 mark which is similar to 2.5 per 1000 in flow diagramme. So absolutely not sure whether this is 1994 or 1997
Reply:
    Until end of 1994, Table 1 reports 243 breast cancer deaths in total.
Figure 1 then reports 321 breast cancer deaths in total until 1997.
The reported rates in Figure 1 up to 1997 (2.7/1,000 and 2.5 per 1,000) and my calculated ones (2.720/1,000 and 2.532/per 1,000) seem to be the same as the reported "272/100,000" and "253/100,000" in the text where they also reference "Figure 1". Not sure why they say "for the 10th year of the study" and "Over the 10 years" then. Maybe there was a median or mean 10 year follow-up time as the recruitment was from 1985-1989???
The reported rates in Figure 2 for 1994 are definitively lower than 272 and 253, more around 210 and 200. But the text says, Figure 2 is on "When mortality from breast cancer is compared from time of diagnosis, there is also no significant different in survival (Figure 2)". Figure 2 seems not on survival time from diagnosis...
What a mess!</t>
      </text>
    </comment>
    <comment ref="F1245" authorId="692" shapeId="0" xr:uid="{66F584C5-0E0B-4EDF-8881-77D9F20BC924}">
      <text>
        <t>[Threaded comment]
Your version of Excel allows you to read this threaded comment; however, any edits to it will get removed if the file is opened in a newer version of Excel. Learn more: https://go.microsoft.com/fwlink/?linkid=870924
Comment:
    I have changed the screening test from "Breast self-examination instruction" to "Breast self-examination".</t>
      </text>
    </comment>
    <comment ref="P1245" authorId="693" shapeId="0" xr:uid="{CFFDC0BF-50FD-4E10-BB14-1F143E4B533C}">
      <text>
        <t>[Threaded comment]
Your version of Excel allows you to read this threaded comment; however, any edits to it will get removed if the file is opened in a newer version of Excel. Learn more: https://go.microsoft.com/fwlink/?linkid=870924
Comment:
    Sure?
Reply:
    No, see my comment on the left. But I understood from Table 1 that there have been only 243 breast cancer deaths up to 1995, whereas here, we have 321, so must be later?</t>
      </text>
    </comment>
    <comment ref="T1245" authorId="694" shapeId="0" xr:uid="{F53C78AB-F664-4909-A162-B83B9EF3832C}">
      <text>
        <t>[Threaded comment]
Your version of Excel allows you to read this threaded comment; however, any edits to it will get removed if the file is opened in a newer version of Excel. Learn more: https://go.microsoft.com/fwlink/?linkid=870924
Comment:
    Reeducation session every three years but self assessment is every month / 5 or more times a year. What is screening round here? Is it applicable?
Reply:
    Might be 'NA' here.</t>
      </text>
    </comment>
    <comment ref="AF1245" authorId="695" shapeId="0" xr:uid="{1D07E76D-FF50-4FD6-8198-33E343B25FCA}">
      <text>
        <t>[Threaded comment]
Your version of Excel allows you to read this threaded comment; however, any edits to it will get removed if the file is opened in a newer version of Excel. Learn more: https://go.microsoft.com/fwlink/?linkid=870924
Comment:
    Abstract says 167 deaths???
Reply:
    Agree, which one do you believe? This seems a bit messy.
Reply:
    Think it should be 164, as when I put 167, the calculated rate is rounded to 2.6/1,000 not 2.5/1,000.</t>
      </text>
    </comment>
    <comment ref="AI1245" authorId="696" shapeId="0" xr:uid="{97D1A8C3-E80B-4C42-83E4-22EB7222CE93}">
      <text>
        <t>[Threaded comment]
Your version of Excel allows you to read this threaded comment; however, any edits to it will get removed if the file is opened in a newer version of Excel. Learn more: https://go.microsoft.com/fwlink/?linkid=870924
Comment:
    Graph and text say per 100000
Reply:
    Yes, "per 1,000" was what I had calculated based on the reported numbers in "Figure 1".</t>
      </text>
    </comment>
    <comment ref="AG1246" authorId="697" shapeId="0" xr:uid="{7A52100E-41A4-443A-BE52-5E5E03A10081}">
      <text>
        <t>[Threaded comment]
Your version of Excel allows you to read this threaded comment; however, any edits to it will get removed if the file is opened in a newer version of Excel. Learn more: https://go.microsoft.com/fwlink/?linkid=870924
Comment:
    871,930</t>
      </text>
    </comment>
    <comment ref="D1249" authorId="698" shapeId="0" xr:uid="{F212B6EB-E5F5-491F-A0E4-69E7F1D351A4}">
      <text>
        <t>[Threaded comment]
Your version of Excel allows you to read this threaded comment; however, any edits to it will get removed if the file is opened in a newer version of Excel. Learn more: https://go.microsoft.com/fwlink/?linkid=870924
Comment:
    Randomisation was until July 2001, so 7 years since randomisation can only be until July 2008, never until 31/12/2009.</t>
      </text>
    </comment>
    <comment ref="A1272" authorId="699" shapeId="0" xr:uid="{4E343B8B-A21E-4CE6-9AB4-6D87751BB3AB}">
      <text>
        <t>[Threaded comment]
Your version of Excel allows you to read this threaded comment; however, any edits to it will get removed if the file is opened in a newer version of Excel. Learn more: https://go.microsoft.com/fwlink/?linkid=870924
Comment:
    Extracted again as numbers are slightly different to Schoen 2012.</t>
      </text>
    </comment>
    <comment ref="A1274" authorId="700" shapeId="0" xr:uid="{C8AAF890-27CA-46EC-899F-C4822A44C37F}">
      <text>
        <t>[Threaded comment]
Your version of Excel allows you to read this threaded comment; however, any edits to it will get removed if the file is opened in a newer version of Excel. Learn more: https://go.microsoft.com/fwlink/?linkid=870924
Comment:
    Extracted again as numbers are slightly different to Schoen 2012.
Reply:
    I thought we had agreed we were only extracting the main publication when same cutoff but slightly different numbers. It still wouldn't harm having both.
Reply:
    Think you are right. Will still leave them in though as I have extracted them now. LOL</t>
      </text>
    </comment>
    <comment ref="A1275" authorId="701" shapeId="0" xr:uid="{C32CFB34-AEEE-4F23-AD6B-597E89916165}">
      <text>
        <t>[Threaded comment]
Your version of Excel allows you to read this threaded comment; however, any edits to it will get removed if the file is opened in a newer version of Excel. Learn more: https://go.microsoft.com/fwlink/?linkid=870924
Comment:
    Extracted again as numbers are slightly different to Schoen 2012.
Reply:
    I thought we had agreed we were only extracting the main publication when same cutoff but slightly different numbers. It still wouldn't harm having both.
Reply:
    Think you are right. Will still leave them in though as I have extracted them now. LOL</t>
      </text>
    </comment>
    <comment ref="A1276" authorId="702" shapeId="0" xr:uid="{FF9A68FF-DC83-471C-88D5-983FBF1B8C79}">
      <text>
        <t>[Threaded comment]
Your version of Excel allows you to read this threaded comment; however, any edits to it will get removed if the file is opened in a newer version of Excel. Learn more: https://go.microsoft.com/fwlink/?linkid=870924
Comment:
    Extracted again as numbers are slightly different to Schoen 2012.
Reply:
    I thought we had agreed we were only extracting the main publication when same cutoff but slightly different numbers. It still wouldn't harm having both.
Reply:
    Think you are right. Will still leave them in though as I have extracted them now. LOL</t>
      </text>
    </comment>
    <comment ref="A1277" authorId="703" shapeId="0" xr:uid="{A7721A67-AA1E-49CB-9589-01E79CB0879F}">
      <text>
        <t>[Threaded comment]
Your version of Excel allows you to read this threaded comment; however, any edits to it will get removed if the file is opened in a newer version of Excel. Learn more: https://go.microsoft.com/fwlink/?linkid=870924
Comment:
    Extracted again as numbers are slightly different to Schoen 2012.
Reply:
    I thought we had agreed we were only extracting the main publication when same cutoff but slightly different numbers. It still wouldn't harm having both.
Reply:
    Think you are right. Will still leave them in though as I have extracted them now. LOL</t>
      </text>
    </comment>
    <comment ref="A1278" authorId="704" shapeId="0" xr:uid="{2F084780-3C15-4F43-9917-B5C6B384D81C}">
      <text>
        <t>[Threaded comment]
Your version of Excel allows you to read this threaded comment; however, any edits to it will get removed if the file is opened in a newer version of Excel. Learn more: https://go.microsoft.com/fwlink/?linkid=870924
Comment:
    Extracted again as numbers are slightly different to Schoen 2012.
Reply:
    I thought we had agreed we were only extracting the main publication when same cutoff but slightly different numbers. It still wouldn't harm having both.
Reply:
    Think you are right. Will still leave them in though as I have extracted them now. LOL</t>
      </text>
    </comment>
    <comment ref="A1279" authorId="705" shapeId="0" xr:uid="{68935426-E486-4937-8FF3-E9E285FF71FA}">
      <text>
        <t>[Threaded comment]
Your version of Excel allows you to read this threaded comment; however, any edits to it will get removed if the file is opened in a newer version of Excel. Learn more: https://go.microsoft.com/fwlink/?linkid=870924
Comment:
    Extracted again as numbers are slightly different to Schoen 2012.
Reply:
    I thought we had agreed we were only extracting the main publication when same cutoff but slightly different numbers. It still wouldn't harm having both.
Reply:
    Think you are right. Will still leave them in though as I have extracted them now. LOL</t>
      </text>
    </comment>
    <comment ref="A1280" authorId="706" shapeId="0" xr:uid="{4C5EAC96-5686-49A8-8CA8-23EB52ED59CF}">
      <text>
        <t>[Threaded comment]
Your version of Excel allows you to read this threaded comment; however, any edits to it will get removed if the file is opened in a newer version of Excel. Learn more: https://go.microsoft.com/fwlink/?linkid=870924
Comment:
    Extracted again as numbers are slightly different to Schoen 2012.
Reply:
    I thought we had agreed we were only extracting the main publication when same cutoff but slightly different numbers. It still wouldn't harm having both.
Reply:
    Think you are right. Will still leave them in though as I have extracted them now. LOL</t>
      </text>
    </comment>
    <comment ref="A1281" authorId="707" shapeId="0" xr:uid="{FD8BBBE7-3497-480B-B290-CB99C7EA81FE}">
      <text>
        <t>[Threaded comment]
Your version of Excel allows you to read this threaded comment; however, any edits to it will get removed if the file is opened in a newer version of Excel. Learn more: https://go.microsoft.com/fwlink/?linkid=870924
Comment:
    Extracted again as numbers are slightly different to Schoen 2012.
Reply:
    I thought we had agreed we were only extracting the main publication when same cutoff but slightly different numbers. It still wouldn't harm having both.
Reply:
    Think you are right. Will still leave them in though as I have extracted them now. LOL</t>
      </text>
    </comment>
    <comment ref="A1282" authorId="708" shapeId="0" xr:uid="{52B1C086-AEA2-4D44-8746-2E6F5DBD2C5A}">
      <text>
        <t>[Threaded comment]
Your version of Excel allows you to read this threaded comment; however, any edits to it will get removed if the file is opened in a newer version of Excel. Learn more: https://go.microsoft.com/fwlink/?linkid=870924
Comment:
    Extracted again as numbers are slightly different to Schoen 2012.
Reply:
    I thought we had agreed we were only extracting the main publication when same cutoff but slightly different numbers. It still wouldn't harm having both.
Reply:
    Think you are right. Will still leave them in though as I have extracted them now. LOL</t>
      </text>
    </comment>
    <comment ref="AC1283" authorId="709" shapeId="0" xr:uid="{249C2B67-D925-4B9F-981C-26D912AFC91B}">
      <text>
        <t>[Threaded comment]
Your version of Excel allows you to read this threaded comment; however, any edits to it will get removed if the file is opened in a newer version of Excel. Learn more: https://go.microsoft.com/fwlink/?linkid=870924
Comment:
    31/12/2015?</t>
      </text>
    </comment>
    <comment ref="AE1283" authorId="710" shapeId="0" xr:uid="{550A5CC3-E369-42B5-AB19-5EC4DF5DDAF5}">
      <text>
        <t>[Threaded comment]
Your version of Excel allows you to read this threaded comment; however, any edits to it will get removed if the file is opened in a newer version of Excel. Learn more: https://go.microsoft.com/fwlink/?linkid=870924
Comment:
    Reported in #1055
Reply:
    Agree to extract this outcome from both papers as numbers differ slightly.</t>
      </text>
    </comment>
    <comment ref="AF1283" authorId="711" shapeId="0" xr:uid="{E578783D-1204-430B-AB7F-55B1288D6023}">
      <text>
        <t>[Threaded comment]
Your version of Excel allows you to read this threaded comment; however, any edits to it will get removed if the file is opened in a newer version of Excel. Learn more: https://go.microsoft.com/fwlink/?linkid=870924
Comment:
    Reported in #1055
Reply:
    Agree to extract this outcome from both papers as numbers differ slightly.</t>
      </text>
    </comment>
    <comment ref="AF1306" authorId="712" shapeId="0" xr:uid="{E4A9BD98-FC20-4516-8D42-D2F5578DC633}">
      <text>
        <t>[Threaded comment]
Your version of Excel allows you to read this threaded comment; however, any edits to it will get removed if the file is opened in a newer version of Excel. Learn more: https://go.microsoft.com/fwlink/?linkid=870924
Comment:
    Something is wrong with the numbers in Figure 2. How can the number of distal CRC be higher than the overall tumours? Should possibly be 0 to add up to 1 overall tumour?</t>
      </text>
    </comment>
    <comment ref="AF1307" authorId="713" shapeId="0" xr:uid="{58AF9EF6-1A68-4EE5-A679-D182F017B8D3}">
      <text>
        <t>[Threaded comment]
Your version of Excel allows you to read this threaded comment; however, any edits to it will get removed if the file is opened in a newer version of Excel. Learn more: https://go.microsoft.com/fwlink/?linkid=870924
Comment:
    Again something wrong with the numbers. Number of all tumours is 17, how can distal CRC be 21? Should be maybe 10 which was reported for 1 year since randomisation?</t>
      </text>
    </comment>
    <comment ref="AF1308" authorId="714" shapeId="0" xr:uid="{62105332-F00C-4964-BE2F-DBA5AFD53F9E}">
      <text>
        <t>[Threaded comment]
Your version of Excel allows you to read this threaded comment; however, any edits to it will get removed if the file is opened in a newer version of Excel. Learn more: https://go.microsoft.com/fwlink/?linkid=870924
Comment:
    Assumed the reported number from the year before is the correct one.</t>
      </text>
    </comment>
    <comment ref="AF1309" authorId="715" shapeId="0" xr:uid="{98D02A8F-C1A0-4F88-AE19-DD9BFFF4B215}">
      <text>
        <t xml:space="preserve">[Threaded comment]
Your version of Excel allows you to read this threaded comment; however, any edits to it will get removed if the file is opened in a newer version of Excel. Learn more: https://go.microsoft.com/fwlink/?linkid=870924
Comment:
    Assumed the reported number from the year before is the correct one.
</t>
      </text>
    </comment>
    <comment ref="AF1310" authorId="716" shapeId="0" xr:uid="{79147360-7029-4157-9FEE-5E2761E5992A}">
      <text>
        <t xml:space="preserve">[Threaded comment]
Your version of Excel allows you to read this threaded comment; however, any edits to it will get removed if the file is opened in a newer version of Excel. Learn more: https://go.microsoft.com/fwlink/?linkid=870924
Comment:
    Assumed the reported number from the year before is the correct one.
</t>
      </text>
    </comment>
    <comment ref="AF1311" authorId="717" shapeId="0" xr:uid="{0F0D2DBC-9D74-4AFC-BE01-D87D86781689}">
      <text>
        <t xml:space="preserve">[Threaded comment]
Your version of Excel allows you to read this threaded comment; however, any edits to it will get removed if the file is opened in a newer version of Excel. Learn more: https://go.microsoft.com/fwlink/?linkid=870924
Comment:
    Assumed the reported number from the year before is the correct one.
</t>
      </text>
    </comment>
    <comment ref="AF1312" authorId="718" shapeId="0" xr:uid="{95D7CD33-D0E4-4EB9-82AF-557C5D654037}">
      <text>
        <t xml:space="preserve">[Threaded comment]
Your version of Excel allows you to read this threaded comment; however, any edits to it will get removed if the file is opened in a newer version of Excel. Learn more: https://go.microsoft.com/fwlink/?linkid=870924
Comment:
    Assumed the reported number from the year before is the correct one.
</t>
      </text>
    </comment>
    <comment ref="AF1313" authorId="719" shapeId="0" xr:uid="{8476503F-245F-4380-880C-112D6EF268EB}">
      <text>
        <t xml:space="preserve">[Threaded comment]
Your version of Excel allows you to read this threaded comment; however, any edits to it will get removed if the file is opened in a newer version of Excel. Learn more: https://go.microsoft.com/fwlink/?linkid=870924
Comment:
    Assumed the reported number from the year before is the correct one.
</t>
      </text>
    </comment>
    <comment ref="AF1314" authorId="720" shapeId="0" xr:uid="{1AA1A1AB-FA96-4F1E-B978-4AE7944C2E1C}">
      <text>
        <t xml:space="preserve">[Threaded comment]
Your version of Excel allows you to read this threaded comment; however, any edits to it will get removed if the file is opened in a newer version of Excel. Learn more: https://go.microsoft.com/fwlink/?linkid=870924
Comment:
    Assumed the reported number from the year before is the correct one.
</t>
      </text>
    </comment>
    <comment ref="AF1315" authorId="721" shapeId="0" xr:uid="{47A68DB3-9491-4F5D-8FB6-7513EC9AC1BB}">
      <text>
        <t xml:space="preserve">[Threaded comment]
Your version of Excel allows you to read this threaded comment; however, any edits to it will get removed if the file is opened in a newer version of Excel. Learn more: https://go.microsoft.com/fwlink/?linkid=870924
Comment:
    Assumed the reported number from the year before is the correct one.
</t>
      </text>
    </comment>
    <comment ref="AF1316" authorId="722" shapeId="0" xr:uid="{8812C28D-C80A-4039-B89F-5B8DBC3FE406}">
      <text>
        <t xml:space="preserve">[Threaded comment]
Your version of Excel allows you to read this threaded comment; however, any edits to it will get removed if the file is opened in a newer version of Excel. Learn more: https://go.microsoft.com/fwlink/?linkid=870924
Comment:
    Assumed the reported number from the year before is the correct one.
</t>
      </text>
    </comment>
    <comment ref="AF1317" authorId="723" shapeId="0" xr:uid="{4BCB9190-5868-4069-8D75-0FD8C9A1E10A}">
      <text>
        <t xml:space="preserve">[Threaded comment]
Your version of Excel allows you to read this threaded comment; however, any edits to it will get removed if the file is opened in a newer version of Excel. Learn more: https://go.microsoft.com/fwlink/?linkid=870924
Comment:
    Assumed the reported number from the year before is the correct one.
</t>
      </text>
    </comment>
    <comment ref="AF1318" authorId="724" shapeId="0" xr:uid="{6017DCBC-F2CF-40D1-9D57-C58B7FEC9137}">
      <text>
        <t xml:space="preserve">[Threaded comment]
Your version of Excel allows you to read this threaded comment; however, any edits to it will get removed if the file is opened in a newer version of Excel. Learn more: https://go.microsoft.com/fwlink/?linkid=870924
Comment:
    Assumed the reported number from the year before is the correct one.
</t>
      </text>
    </comment>
    <comment ref="AF1319" authorId="725" shapeId="0" xr:uid="{75590930-AB71-4540-A162-0D6E4DEEED3F}">
      <text>
        <t xml:space="preserve">[Threaded comment]
Your version of Excel allows you to read this threaded comment; however, any edits to it will get removed if the file is opened in a newer version of Excel. Learn more: https://go.microsoft.com/fwlink/?linkid=870924
Comment:
    Assumed the reported number from the year before is the correct one.
</t>
      </text>
    </comment>
    <comment ref="AF1320" authorId="726" shapeId="0" xr:uid="{A5B8E07F-5301-4291-BD90-DA7547A2E198}">
      <text>
        <t xml:space="preserve">[Threaded comment]
Your version of Excel allows you to read this threaded comment; however, any edits to it will get removed if the file is opened in a newer version of Excel. Learn more: https://go.microsoft.com/fwlink/?linkid=870924
Comment:
    Assumed the reported number from the year before is the correct one.
</t>
      </text>
    </comment>
    <comment ref="AF1321" authorId="727" shapeId="0" xr:uid="{739633F6-ABEE-4C4E-BFCD-5AEBF49ABA1B}">
      <text>
        <t xml:space="preserve">[Threaded comment]
Your version of Excel allows you to read this threaded comment; however, any edits to it will get removed if the file is opened in a newer version of Excel. Learn more: https://go.microsoft.com/fwlink/?linkid=870924
Comment:
    Assumed the reported number from the year before is the correct one.
</t>
      </text>
    </comment>
    <comment ref="AF1322" authorId="728" shapeId="0" xr:uid="{A22C51D1-E0E8-4B27-8471-020A91C4C0A2}">
      <text>
        <t xml:space="preserve">[Threaded comment]
Your version of Excel allows you to read this threaded comment; however, any edits to it will get removed if the file is opened in a newer version of Excel. Learn more: https://go.microsoft.com/fwlink/?linkid=870924
Comment:
    Assumed the reported number from the year before is the correct one.
</t>
      </text>
    </comment>
    <comment ref="AF1323" authorId="729" shapeId="0" xr:uid="{A80E3F31-5B62-4E34-BCF7-CA96961BF970}">
      <text>
        <t xml:space="preserve">[Threaded comment]
Your version of Excel allows you to read this threaded comment; however, any edits to it will get removed if the file is opened in a newer version of Excel. Learn more: https://go.microsoft.com/fwlink/?linkid=870924
Comment:
    Assumed the reported number from the year before is the correct one.
</t>
      </text>
    </comment>
    <comment ref="AF1324" authorId="730" shapeId="0" xr:uid="{4F782E1B-AB07-46B4-A618-BA5942C36F76}">
      <text>
        <t xml:space="preserve">[Threaded comment]
Your version of Excel allows you to read this threaded comment; however, any edits to it will get removed if the file is opened in a newer version of Excel. Learn more: https://go.microsoft.com/fwlink/?linkid=870924
Comment:
    Assumed the reported number from the year before is the correct one.
</t>
      </text>
    </comment>
    <comment ref="AF1325" authorId="731" shapeId="0" xr:uid="{B882A836-2341-4513-9C34-50F645225517}">
      <text>
        <t xml:space="preserve">[Threaded comment]
Your version of Excel allows you to read this threaded comment; however, any edits to it will get removed if the file is opened in a newer version of Excel. Learn more: https://go.microsoft.com/fwlink/?linkid=870924
Comment:
    Assumed the reported number from the year before is the correct one.
</t>
      </text>
    </comment>
    <comment ref="AF1326" authorId="732" shapeId="0" xr:uid="{B5852B3B-8122-4DAF-A999-E4ED0FAB6DD4}">
      <text>
        <t xml:space="preserve">[Threaded comment]
Your version of Excel allows you to read this threaded comment; however, any edits to it will get removed if the file is opened in a newer version of Excel. Learn more: https://go.microsoft.com/fwlink/?linkid=870924
Comment:
    Assumed the reported number from the year before is the correct one.
</t>
      </text>
    </comment>
    <comment ref="AE1357" authorId="733" shapeId="0" xr:uid="{28C12AA9-E274-4A80-88AE-5C133145B0C5}">
      <text>
        <t>[Threaded comment]
Your version of Excel allows you to read this threaded comment; however, any edits to it will get removed if the file is opened in a newer version of Excel. Learn more: https://go.microsoft.com/fwlink/?linkid=870924
Comment:
    Reported in #1169
Reply:
    Agree to extract outcome from both papers as numbers differ.</t>
      </text>
    </comment>
    <comment ref="AF1357" authorId="734" shapeId="0" xr:uid="{884438DA-A8A4-49FC-8371-22D5BFB6937B}">
      <text>
        <t>[Threaded comment]
Your version of Excel allows you to read this threaded comment; however, any edits to it will get removed if the file is opened in a newer version of Excel. Learn more: https://go.microsoft.com/fwlink/?linkid=870924
Comment:
    Reported in #1169
Reply:
    Agree to extract outcome from both papers as numbers differ.</t>
      </text>
    </comment>
    <comment ref="AS1357" authorId="735" shapeId="0" xr:uid="{7EC840EA-089D-4086-A6C2-AF28CC0D126B}">
      <text>
        <t>[Threaded comment]
Your version of Excel allows you to read this threaded comment; however, any edits to it will get removed if the file is opened in a newer version of Excel. Learn more: https://go.microsoft.com/fwlink/?linkid=870924
Comment:
    NR?</t>
      </text>
    </comment>
    <comment ref="AU1357" authorId="736" shapeId="0" xr:uid="{7E62E140-818D-4CE6-8257-37C0FAF8CFC6}">
      <text>
        <t>[Threaded comment]
Your version of Excel allows you to read this threaded comment; however, any edits to it will get removed if the file is opened in a newer version of Excel. Learn more: https://go.microsoft.com/fwlink/?linkid=870924
Comment:
    NR?</t>
      </text>
    </comment>
    <comment ref="AV1357" authorId="737" shapeId="0" xr:uid="{E9C88012-908C-4E49-93D2-F63F1F26EF35}">
      <text>
        <t>[Threaded comment]
Your version of Excel allows you to read this threaded comment; however, any edits to it will get removed if the file is opened in a newer version of Excel. Learn more: https://go.microsoft.com/fwlink/?linkid=870924
Comment:
    NR?</t>
      </text>
    </comment>
    <comment ref="AW1357" authorId="738" shapeId="0" xr:uid="{E3002AB0-60E0-4460-92F4-26EB64E674B5}">
      <text>
        <t>[Threaded comment]
Your version of Excel allows you to read this threaded comment; however, any edits to it will get removed if the file is opened in a newer version of Excel. Learn more: https://go.microsoft.com/fwlink/?linkid=870924
Comment:
    NR</t>
      </text>
    </comment>
    <comment ref="R1363" authorId="739" shapeId="0" xr:uid="{11D6C7EA-72EC-47D2-9CCB-D74D40D29864}">
      <text>
        <t>[Threaded comment]
Your version of Excel allows you to read this threaded comment; however, any edits to it will get removed if the file is opened in a newer version of Excel. Learn more: https://go.microsoft.com/fwlink/?linkid=870924
Comment:
    Median follow-up for the whole study, not by arm.
Reply:
    agreed</t>
      </text>
    </comment>
    <comment ref="R1364" authorId="740" shapeId="0" xr:uid="{F7F22AF9-B965-4EA6-9086-5A7B7F73D8F3}">
      <text>
        <t>[Threaded comment]
Your version of Excel allows you to read this threaded comment; however, any edits to it will get removed if the file is opened in a newer version of Excel. Learn more: https://go.microsoft.com/fwlink/?linkid=870924
Comment:
    Median follow-up for the whole study, not by arm.</t>
      </text>
    </comment>
    <comment ref="T1365" authorId="741" shapeId="0" xr:uid="{8234C466-517A-42DC-832F-4BDF3BED88F6}">
      <text>
        <t>[Threaded comment]
Your version of Excel allows you to read this threaded comment; however, any edits to it will get removed if the file is opened in a newer version of Excel. Learn more: https://go.microsoft.com/fwlink/?linkid=870924
Comment:
    Shouldn't this be 1?</t>
      </text>
    </comment>
    <comment ref="T1366" authorId="742" shapeId="0" xr:uid="{957F6C4B-720E-4362-AA23-6EB6360096A8}">
      <text>
        <t>[Threaded comment]
Your version of Excel allows you to read this threaded comment; however, any edits to it will get removed if the file is opened in a newer version of Excel. Learn more: https://go.microsoft.com/fwlink/?linkid=870924
Comment:
    Shouldn't this be 2?</t>
      </text>
    </comment>
    <comment ref="T1367" authorId="743" shapeId="0" xr:uid="{DF20EF4E-3C42-470C-8C8D-D3C1DC0F76EA}">
      <text>
        <t>[Threaded comment]
Your version of Excel allows you to read this threaded comment; however, any edits to it will get removed if the file is opened in a newer version of Excel. Learn more: https://go.microsoft.com/fwlink/?linkid=870924
Comment:
    Shouldn't this be 3?</t>
      </text>
    </comment>
    <comment ref="S1385" authorId="744" shapeId="0" xr:uid="{67652A80-740A-4914-BB06-9F834BEDA7ED}">
      <text>
        <t>[Threaded comment]
Your version of Excel allows you to read this threaded comment; however, any edits to it will get removed if the file is opened in a newer version of Excel. Learn more: https://go.microsoft.com/fwlink/?linkid=870924
Comment:
    Median follow-up for the whole group, not by arm.
Reply:
    agreed</t>
      </text>
    </comment>
    <comment ref="A1386" authorId="745" shapeId="0" xr:uid="{73A8124C-E03B-45A5-8DD4-8AF48609ADF8}">
      <text>
        <t>[Threaded comment]
Your version of Excel allows you to read this threaded comment; however, any edits to it will get removed if the file is opened in a newer version of Excel. Learn more: https://go.microsoft.com/fwlink/?linkid=870924
Comment:
    Same numbers reported in #669 and not extracted again.
Reply:
    agreed</t>
      </text>
    </comment>
    <comment ref="S1386" authorId="746" shapeId="0" xr:uid="{989C4A7C-18C6-4601-9071-B867698BDBD2}">
      <text>
        <t>[Threaded comment]
Your version of Excel allows you to read this threaded comment; however, any edits to it will get removed if the file is opened in a newer version of Excel. Learn more: https://go.microsoft.com/fwlink/?linkid=870924
Comment:
    Median follow-up for the whole group, not by arm.
Reply:
    agreed</t>
      </text>
    </comment>
    <comment ref="S1387" authorId="747" shapeId="0" xr:uid="{F0DD5CED-380B-41B9-A239-1889C6EC570D}">
      <text>
        <t>[Threaded comment]
Your version of Excel allows you to read this threaded comment; however, any edits to it will get removed if the file is opened in a newer version of Excel. Learn more: https://go.microsoft.com/fwlink/?linkid=870924
Comment:
    Median follow-up for the whole group, not by arm.
Reply:
    agreed</t>
      </text>
    </comment>
    <comment ref="S1388" authorId="748" shapeId="0" xr:uid="{B0991CE7-9078-46A6-989A-0F6A5CDCF61A}">
      <text>
        <t>[Threaded comment]
Your version of Excel allows you to read this threaded comment; however, any edits to it will get removed if the file is opened in a newer version of Excel. Learn more: https://go.microsoft.com/fwlink/?linkid=870924
Comment:
    Median follow-up for the whole group, not by arm.
Reply:
    agreed</t>
      </text>
    </comment>
    <comment ref="X1389" authorId="749" shapeId="0" xr:uid="{6BFFB431-A9A4-4525-9CC8-B3F49EFE6593}">
      <text>
        <t>[Threaded comment]
Your version of Excel allows you to read this threaded comment; however, any edits to it will get removed if the file is opened in a newer version of Excel. Learn more: https://go.microsoft.com/fwlink/?linkid=870924
Comment:
    2 censored in total because of missing information - unclear from which group.
Reply:
    agreed</t>
      </text>
    </comment>
    <comment ref="X1390" authorId="750" shapeId="0" xr:uid="{4AC72B9F-4CC9-4BF1-8AA3-0B5D527E9C4F}">
      <text>
        <t>[Threaded comment]
Your version of Excel allows you to read this threaded comment; however, any edits to it will get removed if the file is opened in a newer version of Excel. Learn more: https://go.microsoft.com/fwlink/?linkid=870924
Comment:
    2 censored in total because of missing information - unclear from which group.
Reply:
    agreed</t>
      </text>
    </comment>
    <comment ref="X1391" authorId="751" shapeId="0" xr:uid="{B92D7382-CF26-46DC-8D79-8151C2798076}">
      <text>
        <t>[Threaded comment]
Your version of Excel allows you to read this threaded comment; however, any edits to it will get removed if the file is opened in a newer version of Excel. Learn more: https://go.microsoft.com/fwlink/?linkid=870924
Comment:
    2 censored in total because of missing information - unclear from which group.
Reply:
    agreed</t>
      </text>
    </comment>
    <comment ref="X1392" authorId="752" shapeId="0" xr:uid="{19091507-F7F7-49FC-BD52-E976D0EDFAB9}">
      <text>
        <t>[Threaded comment]
Your version of Excel allows you to read this threaded comment; however, any edits to it will get removed if the file is opened in a newer version of Excel. Learn more: https://go.microsoft.com/fwlink/?linkid=870924
Comment:
    2 censored in total because of missing information - unclear from which group.
Reply:
    agreed</t>
      </text>
    </comment>
    <comment ref="X1393" authorId="753" shapeId="0" xr:uid="{238B1F28-CC0F-42FA-944E-3FD874E9685F}">
      <text>
        <t>[Threaded comment]
Your version of Excel allows you to read this threaded comment; however, any edits to it will get removed if the file is opened in a newer version of Excel. Learn more: https://go.microsoft.com/fwlink/?linkid=870924
Comment:
    2 censored in total because of missing information - unclear from which group.
Reply:
    agreed</t>
      </text>
    </comment>
    <comment ref="X1394" authorId="754" shapeId="0" xr:uid="{8A2EC2A8-4B6B-496A-AC65-B705597EDFB9}">
      <text>
        <t>[Threaded comment]
Your version of Excel allows you to read this threaded comment; however, any edits to it will get removed if the file is opened in a newer version of Excel. Learn more: https://go.microsoft.com/fwlink/?linkid=870924
Comment:
    2 censored in total because of missing information - unclear from which group.
Reply:
    agreed</t>
      </text>
    </comment>
    <comment ref="X1395" authorId="755" shapeId="0" xr:uid="{F5CA3224-189E-4EAA-846D-F482CFCD7C6D}">
      <text>
        <t>[Threaded comment]
Your version of Excel allows you to read this threaded comment; however, any edits to it will get removed if the file is opened in a newer version of Excel. Learn more: https://go.microsoft.com/fwlink/?linkid=870924
Comment:
    2 censored in total because of missing information - unclear from which group.
Reply:
    agreed</t>
      </text>
    </comment>
    <comment ref="X1396" authorId="756" shapeId="0" xr:uid="{3260B4DB-AD7F-477D-8093-35D792103F79}">
      <text>
        <t>[Threaded comment]
Your version of Excel allows you to read this threaded comment; however, any edits to it will get removed if the file is opened in a newer version of Excel. Learn more: https://go.microsoft.com/fwlink/?linkid=870924
Comment:
    2 censored in total because of missing information - unclear from which group.
Reply:
    agreed</t>
      </text>
    </comment>
    <comment ref="X1397" authorId="757" shapeId="0" xr:uid="{CF07E5E1-DA23-48DB-A2BD-77E142F5F99C}">
      <text>
        <t>[Threaded comment]
Your version of Excel allows you to read this threaded comment; however, any edits to it will get removed if the file is opened in a newer version of Excel. Learn more: https://go.microsoft.com/fwlink/?linkid=870924
Comment:
    2 censored in total because of missing information - unclear from which group.
Reply:
    agreed</t>
      </text>
    </comment>
    <comment ref="X1398" authorId="758" shapeId="0" xr:uid="{4B2073B4-F027-4220-8732-B2438EDE01F4}">
      <text>
        <t>[Threaded comment]
Your version of Excel allows you to read this threaded comment; however, any edits to it will get removed if the file is opened in a newer version of Excel. Learn more: https://go.microsoft.com/fwlink/?linkid=870924
Comment:
    2 censored in total because of missing information - unclear from which group.</t>
      </text>
    </comment>
    <comment ref="X1399" authorId="759" shapeId="0" xr:uid="{F0BAF5F8-F45C-4537-A0B3-E675652E4070}">
      <text>
        <t>[Threaded comment]
Your version of Excel allows you to read this threaded comment; however, any edits to it will get removed if the file is opened in a newer version of Excel. Learn more: https://go.microsoft.com/fwlink/?linkid=870924
Comment:
    2 censored in total because of missing information - unclear from which group.</t>
      </text>
    </comment>
    <comment ref="X1400" authorId="760" shapeId="0" xr:uid="{64DE5A8D-17F7-4DAF-8A8D-0AFFBE42E234}">
      <text>
        <t>[Threaded comment]
Your version of Excel allows you to read this threaded comment; however, any edits to it will get removed if the file is opened in a newer version of Excel. Learn more: https://go.microsoft.com/fwlink/?linkid=870924
Comment:
    2 censored in total because of missing information - unclear from which group.
Reply:
    agreed</t>
      </text>
    </comment>
    <comment ref="X1401" authorId="761" shapeId="0" xr:uid="{8A488855-AA0C-46D8-A2E1-C4CF9C80A1DF}">
      <text>
        <t>[Threaded comment]
Your version of Excel allows you to read this threaded comment; however, any edits to it will get removed if the file is opened in a newer version of Excel. Learn more: https://go.microsoft.com/fwlink/?linkid=870924
Comment:
    2 censored in total because of missing information - unclear from which group.
Reply:
    agreed</t>
      </text>
    </comment>
    <comment ref="X1402" authorId="762" shapeId="0" xr:uid="{20822FE3-43D9-4552-B852-C1699D98BE75}">
      <text>
        <t>[Threaded comment]
Your version of Excel allows you to read this threaded comment; however, any edits to it will get removed if the file is opened in a newer version of Excel. Learn more: https://go.microsoft.com/fwlink/?linkid=870924
Comment:
    2 censored in total because of missing information - unclear from which group.</t>
      </text>
    </comment>
    <comment ref="X1403" authorId="763" shapeId="0" xr:uid="{C7E85A17-3349-41EB-AACB-624CCF983D79}">
      <text>
        <t>[Threaded comment]
Your version of Excel allows you to read this threaded comment; however, any edits to it will get removed if the file is opened in a newer version of Excel. Learn more: https://go.microsoft.com/fwlink/?linkid=870924
Comment:
    2 censored in total because of missing information - unclear from which group.</t>
      </text>
    </comment>
    <comment ref="X1404" authorId="764" shapeId="0" xr:uid="{714F518F-80D9-40D8-9A17-189271276C2C}">
      <text>
        <t>[Threaded comment]
Your version of Excel allows you to read this threaded comment; however, any edits to it will get removed if the file is opened in a newer version of Excel. Learn more: https://go.microsoft.com/fwlink/?linkid=870924
Comment:
    2 censored in total because of missing information - unclear from which group.</t>
      </text>
    </comment>
    <comment ref="X1405" authorId="765" shapeId="0" xr:uid="{533048D6-C8EF-4DFC-AE30-731A9EDA7CF0}">
      <text>
        <t>[Threaded comment]
Your version of Excel allows you to read this threaded comment; however, any edits to it will get removed if the file is opened in a newer version of Excel. Learn more: https://go.microsoft.com/fwlink/?linkid=870924
Comment:
    2 censored in total because of missing information - unclear from which group.
Reply:
    agreed</t>
      </text>
    </comment>
    <comment ref="X1406" authorId="766" shapeId="0" xr:uid="{0BD3BCFA-0C31-436D-B25B-D2C3B7F01C73}">
      <text>
        <t>[Threaded comment]
Your version of Excel allows you to read this threaded comment; however, any edits to it will get removed if the file is opened in a newer version of Excel. Learn more: https://go.microsoft.com/fwlink/?linkid=870924
Comment:
    2 censored in total because of missing information - unclear from which group.
Reply:
    agreed</t>
      </text>
    </comment>
    <comment ref="R1407" authorId="767" shapeId="0" xr:uid="{C49793DA-3BD3-4292-9261-C3F5F8277B97}">
      <text>
        <t>[Threaded comment]
Your version of Excel allows you to read this threaded comment; however, any edits to it will get removed if the file is opened in a newer version of Excel. Learn more: https://go.microsoft.com/fwlink/?linkid=870924
Comment:
    19,605 PY / 2,376 people
Reply:
    agreed</t>
      </text>
    </comment>
    <comment ref="S1407" authorId="768" shapeId="0" xr:uid="{25D6037A-CACF-4F48-80FC-67916185FCA0}">
      <text>
        <t>[Threaded comment]
Your version of Excel allows you to read this threaded comment; however, any edits to it will get removed if the file is opened in a newer version of Excel. Learn more: https://go.microsoft.com/fwlink/?linkid=870924
Comment:
    12,053 PY / 1,723
Reply:
    agreed</t>
      </text>
    </comment>
    <comment ref="R1408" authorId="769" shapeId="0" xr:uid="{23AB4D95-328C-4D1F-89A0-6D102572A46D}">
      <text>
        <t>[Threaded comment]
Your version of Excel allows you to read this threaded comment; however, any edits to it will get removed if the file is opened in a newer version of Excel. Learn more: https://go.microsoft.com/fwlink/?linkid=870924
Comment:
    19,605 PY / 2,376 people
Reply:
    agreed</t>
      </text>
    </comment>
    <comment ref="S1408" authorId="770" shapeId="0" xr:uid="{13EBC02A-A3AE-4BCD-81AF-613C2DE9B95C}">
      <text>
        <t>[Threaded comment]
Your version of Excel allows you to read this threaded comment; however, any edits to it will get removed if the file is opened in a newer version of Excel. Learn more: https://go.microsoft.com/fwlink/?linkid=870924
Comment:
    12,053 PY / 1,723
Reply:
    agreed</t>
      </text>
    </comment>
    <comment ref="R1409" authorId="771" shapeId="0" xr:uid="{C264FC6E-0B5E-4236-9EBE-891D3038198E}">
      <text>
        <t>[Threaded comment]
Your version of Excel allows you to read this threaded comment; however, any edits to it will get removed if the file is opened in a newer version of Excel. Learn more: https://go.microsoft.com/fwlink/?linkid=870924
Comment:
    19,605 PY / 2,376 people
Reply:
    agreed</t>
      </text>
    </comment>
    <comment ref="S1409" authorId="772" shapeId="0" xr:uid="{03C11490-F260-44F9-811E-5C6CD08E514C}">
      <text>
        <t>[Threaded comment]
Your version of Excel allows you to read this threaded comment; however, any edits to it will get removed if the file is opened in a newer version of Excel. Learn more: https://go.microsoft.com/fwlink/?linkid=870924
Comment:
    12,053 PY / 1,723
Reply:
    agreed</t>
      </text>
    </comment>
    <comment ref="AC1409" authorId="773" shapeId="0" xr:uid="{F3B9C5C7-2DA3-4BA5-9685-D46385111AF8}">
      <text>
        <t>[Threaded comment]
Your version of Excel allows you to read this threaded comment; however, any edits to it will get removed if the file is opened in a newer version of Excel. Learn more: https://go.microsoft.com/fwlink/?linkid=870924
Comment:
    Isn't it "all" deaths? Cos this row is about all-cause mortality.</t>
      </text>
    </comment>
    <comment ref="R1410" authorId="774" shapeId="0" xr:uid="{A1BC9262-AFCA-4728-86D8-C6CF34D28630}">
      <text>
        <t>[Threaded comment]
Your version of Excel allows you to read this threaded comment; however, any edits to it will get removed if the file is opened in a newer version of Excel. Learn more: https://go.microsoft.com/fwlink/?linkid=870924
Comment:
    19,605 PY / 2,376 people
Reply:
    agreed</t>
      </text>
    </comment>
    <comment ref="S1410" authorId="775" shapeId="0" xr:uid="{016F78BE-4960-4EB8-A6BD-833833A0CDBA}">
      <text>
        <t>[Threaded comment]
Your version of Excel allows you to read this threaded comment; however, any edits to it will get removed if the file is opened in a newer version of Excel. Learn more: https://go.microsoft.com/fwlink/?linkid=870924
Comment:
    12,053 PY / 1,723
Reply:
    agreed</t>
      </text>
    </comment>
    <comment ref="AC1410" authorId="776" shapeId="0" xr:uid="{EB90F8CC-DEC4-45D0-9833-AE7231BE7D84}">
      <text>
        <t>[Threaded comment]
Your version of Excel allows you to read this threaded comment; however, any edits to it will get removed if the file is opened in a newer version of Excel. Learn more: https://go.microsoft.com/fwlink/?linkid=870924
Comment:
    Isn't it "all" deaths? Cos this row is about all-cause mortality.</t>
      </text>
    </comment>
    <comment ref="R1411" authorId="777" shapeId="0" xr:uid="{C99D11EE-A4A3-4174-A457-6CC81097E6D3}">
      <text>
        <t>[Threaded comment]
Your version of Excel allows you to read this threaded comment; however, any edits to it will get removed if the file is opened in a newer version of Excel. Learn more: https://go.microsoft.com/fwlink/?linkid=870924
Comment:
    23,083 PY / 2,376
Reply:
    Agree with mean. Don’t' think we need the median cos it's about screening not total follow up.
Reply:
    Agree.</t>
      </text>
    </comment>
    <comment ref="S1411" authorId="778" shapeId="0" xr:uid="{663965BA-EC8B-4A54-8EFA-5D245626395D}">
      <text>
        <t>[Threaded comment]
Your version of Excel allows you to read this threaded comment; however, any edits to it will get removed if the file is opened in a newer version of Excel. Learn more: https://go.microsoft.com/fwlink/?linkid=870924
Comment:
    16,210 PY / 1,723
Reply:
    agreed</t>
      </text>
    </comment>
    <comment ref="R1412" authorId="779" shapeId="0" xr:uid="{807CA722-C2F2-4257-8FF3-AFF6F454F252}">
      <text>
        <t>[Threaded comment]
Your version of Excel allows you to read this threaded comment; however, any edits to it will get removed if the file is opened in a newer version of Excel. Learn more: https://go.microsoft.com/fwlink/?linkid=870924
Comment:
    23,083 PY / 2,376
Reply:
    Agree with mean. Don’t' think we need the median cos it's about screening not total follow up.
Reply:
    Agree.</t>
      </text>
    </comment>
    <comment ref="S1412" authorId="780" shapeId="0" xr:uid="{9863245E-7DF0-4EF8-82A7-35872FEA67AD}">
      <text>
        <t>[Threaded comment]
Your version of Excel allows you to read this threaded comment; however, any edits to it will get removed if the file is opened in a newer version of Excel. Learn more: https://go.microsoft.com/fwlink/?linkid=870924
Comment:
    16,210 PY / 1,723
Reply:
    agreed</t>
      </text>
    </comment>
    <comment ref="R1413" authorId="781" shapeId="0" xr:uid="{E28E6CEA-541A-4B53-B2C9-C745569E8E85}">
      <text>
        <t>[Threaded comment]
Your version of Excel allows you to read this threaded comment; however, any edits to it will get removed if the file is opened in a newer version of Excel. Learn more: https://go.microsoft.com/fwlink/?linkid=870924
Comment:
    23,083 PY / 2,376
Reply:
    Agree with mean. Don’t' think we need the median cos it's about screening not total follow up.
Reply:
    Agree.</t>
      </text>
    </comment>
    <comment ref="S1413" authorId="782" shapeId="0" xr:uid="{64D9F8CD-54AA-4641-A00E-299756116766}">
      <text>
        <t>[Threaded comment]
Your version of Excel allows you to read this threaded comment; however, any edits to it will get removed if the file is opened in a newer version of Excel. Learn more: https://go.microsoft.com/fwlink/?linkid=870924
Comment:
    16,210 PY / 1,723
Reply:
    agreed</t>
      </text>
    </comment>
    <comment ref="R1414" authorId="783" shapeId="0" xr:uid="{56CB2313-D30B-411F-BBF3-FE8FCF96FFFF}">
      <text>
        <t>[Threaded comment]
Your version of Excel allows you to read this threaded comment; however, any edits to it will get removed if the file is opened in a newer version of Excel. Learn more: https://go.microsoft.com/fwlink/?linkid=870924
Comment:
    23,083 PY / 2,376
Reply:
    Agree with mean. Don’t' think we need the median cos it's about screening not total follow up.
Reply:
    Agree.</t>
      </text>
    </comment>
    <comment ref="S1414" authorId="784" shapeId="0" xr:uid="{F1FF9C98-8F94-4EAD-8327-F3999B598819}">
      <text>
        <t>[Threaded comment]
Your version of Excel allows you to read this threaded comment; however, any edits to it will get removed if the file is opened in a newer version of Excel. Learn more: https://go.microsoft.com/fwlink/?linkid=870924
Comment:
    16,210 PY / 1,723
Reply:
    agreed</t>
      </text>
    </comment>
    <comment ref="Y1414" authorId="785" shapeId="0" xr:uid="{B782F747-6D91-4260-966D-B081551DF8AD}">
      <text>
        <t>[Threaded comment]
Your version of Excel allows you to read this threaded comment; however, any edits to it will get removed if the file is opened in a newer version of Excel. Learn more: https://go.microsoft.com/fwlink/?linkid=870924
Comment:
    Cause of death missing for 3 people in the intervention arm.
Reply:
    Agree. But for the outcome "All-cause mortality" that does not matter. 
There are no missing data for that outcome. Should I put NA instead of 0?
Reply:
    You're quite right. Ignore me.</t>
      </text>
    </comment>
    <comment ref="AA1414" authorId="786" shapeId="0" xr:uid="{E2000BFD-3ABE-4D5C-B5CE-96DD743CE740}">
      <text>
        <t>[Threaded comment]
Your version of Excel allows you to read this threaded comment; however, any edits to it will get removed if the file is opened in a newer version of Excel. Learn more: https://go.microsoft.com/fwlink/?linkid=870924
Comment:
    Cause of death missing for 3 people in the intervention arm.
Reply:
    Agree. But for the outcome "All-cause mortality" that does not matter. 
There are no missing data for that outcome. Should I put NA instead of 0?
Reply:
    You're quite right. Ignore me.</t>
      </text>
    </comment>
    <comment ref="R1415" authorId="787" shapeId="0" xr:uid="{BB53D60A-AE65-46DA-963D-4663965D835D}">
      <text>
        <t>[Threaded comment]
Your version of Excel allows you to read this threaded comment; however, any edits to it will get removed if the file is opened in a newer version of Excel. Learn more: https://go.microsoft.com/fwlink/?linkid=870924
Comment:
    23,083 PY / 2,376
Reply:
    Agree with mean. Don’t' think we need the median cos it's about screening not total follow up.
Reply:
    Agree.</t>
      </text>
    </comment>
    <comment ref="S1415" authorId="788" shapeId="0" xr:uid="{8CF2EE7B-D991-4E78-BC0D-DFC659B8F9F6}">
      <text>
        <t>[Threaded comment]
Your version of Excel allows you to read this threaded comment; however, any edits to it will get removed if the file is opened in a newer version of Excel. Learn more: https://go.microsoft.com/fwlink/?linkid=870924
Comment:
    16,210 PY / 1,723
Reply:
    agreed</t>
      </text>
    </comment>
    <comment ref="Y1415" authorId="789" shapeId="0" xr:uid="{8EAB5EE2-63B1-4239-BE57-3EEDD6D9E706}">
      <text>
        <t>[Threaded comment]
Your version of Excel allows you to read this threaded comment; however, any edits to it will get removed if the file is opened in a newer version of Excel. Learn more: https://go.microsoft.com/fwlink/?linkid=870924
Comment:
    Cause of death missing for 3 people in the intervention arm.
Reply:
    Agree. But for the outcome "All-cause mortality" that does not matter. 
There are no missing data for that outcome. Should I put NA instead of 0?
Reply:
    You're quite right. Ignore me.</t>
      </text>
    </comment>
    <comment ref="AA1415" authorId="790" shapeId="0" xr:uid="{17B83498-06B8-40B3-A4D5-2D3790FB4937}">
      <text>
        <t>[Threaded comment]
Your version of Excel allows you to read this threaded comment; however, any edits to it will get removed if the file is opened in a newer version of Excel. Learn more: https://go.microsoft.com/fwlink/?linkid=870924
Comment:
    Cause of death missing for 3 people in the intervention arm.
Reply:
    Agree. But for the outcome "All-cause mortality" that does not matter. 
There are no missing data for that outcome. Should I put NA instead of 0?
Reply:
    You're quite right. Ignore me.</t>
      </text>
    </comment>
    <comment ref="R1416" authorId="791" shapeId="0" xr:uid="{F3FE2EDC-55B2-45B5-A0C1-657FEAC17A72}">
      <text>
        <t>[Threaded comment]
Your version of Excel allows you to read this threaded comment; however, any edits to it will get removed if the file is opened in a newer version of Excel. Learn more: https://go.microsoft.com/fwlink/?linkid=870924
Comment:
    23,083 PY / 2,376
Reply:
    Agree with mean. Don’t' think we need the median cos it's about screening not total follow up.
Reply:
    Agree.</t>
      </text>
    </comment>
    <comment ref="S1416" authorId="792" shapeId="0" xr:uid="{BDF254A3-CDAC-4844-8004-9A1F7CB942EB}">
      <text>
        <t>[Threaded comment]
Your version of Excel allows you to read this threaded comment; however, any edits to it will get removed if the file is opened in a newer version of Excel. Learn more: https://go.microsoft.com/fwlink/?linkid=870924
Comment:
    16,210 PY / 1,723
Reply:
    agreed</t>
      </text>
    </comment>
    <comment ref="Y1416" authorId="793" shapeId="0" xr:uid="{6D5B49B3-6349-42A2-AAE2-825E004017D7}">
      <text>
        <t>[Threaded comment]
Your version of Excel allows you to read this threaded comment; however, any edits to it will get removed if the file is opened in a newer version of Excel. Learn more: https://go.microsoft.com/fwlink/?linkid=870924
Comment:
    Cause of death missing for 3 people in the intervention arm.
Reply:
    Agree. But for the outcome "All-cause mortality" that does not matter. 
There are no missing data for that outcome. Should I put NA instead of 0?
Reply:
    You're quite right. Ignore me.</t>
      </text>
    </comment>
    <comment ref="AA1416" authorId="794" shapeId="0" xr:uid="{068AB9C3-7F8D-451F-B49E-2B5993966531}">
      <text>
        <t>[Threaded comment]
Your version of Excel allows you to read this threaded comment; however, any edits to it will get removed if the file is opened in a newer version of Excel. Learn more: https://go.microsoft.com/fwlink/?linkid=870924
Comment:
    Cause of death missing for 3 people in the intervention arm.
Reply:
    Agree. But for the outcome "All-cause mortality" that does not matter. 
There are no missing data for that outcome. Should I put NA instead of 0?
Reply:
    You're quite right. Ignore me.</t>
      </text>
    </comment>
    <comment ref="A1417" authorId="795" shapeId="0" xr:uid="{1974C516-3053-4727-BDAE-6D1734268445}">
      <text>
        <t>[Threaded comment]
Your version of Excel allows you to read this threaded comment; however, any edits to it will get removed if the file is opened in a newer version of Excel. Learn more: https://go.microsoft.com/fwlink/?linkid=870924
Comment:
    Same outcomes seem to be reported for 1,974 participants with negative baseline LDCT (Table S1).
Reply:
    I don't think we need the screen negative data.</t>
      </text>
    </comment>
    <comment ref="F1417" authorId="796" shapeId="0" xr:uid="{EEEB1934-F6FD-4A76-997D-1F414B1B797B}">
      <text>
        <t>[Threaded comment]
Your version of Excel allows you to read this threaded comment; however, any edits to it will get removed if the file is opened in a newer version of Excel. Learn more: https://go.microsoft.com/fwlink/?linkid=870924
Comment:
    For previous papers annual was the screening arm and biennial was the comparator. Swapped for paper #724. Shouldn't it be consistent throughout?
Reply:
    Agreed.</t>
      </text>
    </comment>
    <comment ref="R1417" authorId="797" shapeId="0" xr:uid="{29AB5B91-A2EF-457E-83A0-955AA42598AE}">
      <text>
        <t>[Threaded comment]
Your version of Excel allows you to read this threaded comment; however, any edits to it will get removed if the file is opened in a newer version of Excel. Learn more: https://go.microsoft.com/fwlink/?linkid=870924
Comment:
    11,521 PY / 1,190
Reply:
    agreed</t>
      </text>
    </comment>
    <comment ref="S1417" authorId="798" shapeId="0" xr:uid="{CF647D1D-5B2B-4B2D-A482-05ECD163B2DD}">
      <text>
        <t>[Threaded comment]
Your version of Excel allows you to read this threaded comment; however, any edits to it will get removed if the file is opened in a newer version of Excel. Learn more: https://go.microsoft.com/fwlink/?linkid=870924
Comment:
    11,562 PY / 1,186
Reply:
    agreed</t>
      </text>
    </comment>
    <comment ref="AS1417" authorId="799" shapeId="0" xr:uid="{535AF516-9612-4775-B656-40F84B1C3B3D}">
      <text>
        <t>[Threaded comment]
Your version of Excel allows you to read this threaded comment; however, any edits to it will get removed if the file is opened in a newer version of Excel. Learn more: https://go.microsoft.com/fwlink/?linkid=870924
Comment:
    Agree with the number, but this should be in the 'calculated' cell.</t>
      </text>
    </comment>
    <comment ref="AU1417" authorId="800" shapeId="0" xr:uid="{2749A25E-7ECB-4EE6-B413-76744AD90620}">
      <text>
        <t>[Threaded comment]
Your version of Excel allows you to read this threaded comment; however, any edits to it will get removed if the file is opened in a newer version of Excel. Learn more: https://go.microsoft.com/fwlink/?linkid=870924
Comment:
    Agree with the number, but not reported, we calculated this.
Reply:
    Agree, but there is no way putting it in the form. Will add it to the notes.</t>
      </text>
    </comment>
    <comment ref="AV1417" authorId="801" shapeId="0" xr:uid="{C8B42475-5054-46F8-BFFC-BB885E49C1A4}">
      <text>
        <t>[Threaded comment]
Your version of Excel allows you to read this threaded comment; however, any edits to it will get removed if the file is opened in a newer version of Excel. Learn more: https://go.microsoft.com/fwlink/?linkid=870924
Comment:
    Agree with the number, but not reported, we calculated this.</t>
      </text>
    </comment>
    <comment ref="R1418" authorId="802" shapeId="0" xr:uid="{AAAAE4BF-06E3-4DAD-8F78-CDD8D5EE3F72}">
      <text>
        <t>[Threaded comment]
Your version of Excel allows you to read this threaded comment; however, any edits to it will get removed if the file is opened in a newer version of Excel. Learn more: https://go.microsoft.com/fwlink/?linkid=870924
Comment:
    11,521 PY / 1,190
Reply:
    agreed</t>
      </text>
    </comment>
    <comment ref="S1418" authorId="803" shapeId="0" xr:uid="{002E3861-E0F1-4AE5-AA4B-F735BC7BC8F1}">
      <text>
        <t>[Threaded comment]
Your version of Excel allows you to read this threaded comment; however, any edits to it will get removed if the file is opened in a newer version of Excel. Learn more: https://go.microsoft.com/fwlink/?linkid=870924
Comment:
    11,562 PY / 1,186
Reply:
    agreed</t>
      </text>
    </comment>
    <comment ref="R1419" authorId="804" shapeId="0" xr:uid="{36643E97-1D97-416E-A6E3-DF44CBC9A854}">
      <text>
        <t>[Threaded comment]
Your version of Excel allows you to read this threaded comment; however, any edits to it will get removed if the file is opened in a newer version of Excel. Learn more: https://go.microsoft.com/fwlink/?linkid=870924
Comment:
    11,521 PY / 1,190
Reply:
    agreed</t>
      </text>
    </comment>
    <comment ref="S1419" authorId="805" shapeId="0" xr:uid="{ED88BA74-C433-45F9-B436-A029976635FE}">
      <text>
        <t>[Threaded comment]
Your version of Excel allows you to read this threaded comment; however, any edits to it will get removed if the file is opened in a newer version of Excel. Learn more: https://go.microsoft.com/fwlink/?linkid=870924
Comment:
    11,562 PY / 1,186
Reply:
    agreed</t>
      </text>
    </comment>
    <comment ref="R1420" authorId="806" shapeId="0" xr:uid="{BDE7145A-4025-4D96-B4C4-C4EC410DC7E0}">
      <text>
        <t>[Threaded comment]
Your version of Excel allows you to read this threaded comment; however, any edits to it will get removed if the file is opened in a newer version of Excel. Learn more: https://go.microsoft.com/fwlink/?linkid=870924
Comment:
    11,521 PY / 1,190
Reply:
    agreed</t>
      </text>
    </comment>
    <comment ref="S1420" authorId="807" shapeId="0" xr:uid="{D9723855-9BE4-46B1-B86B-A3676E7F05C1}">
      <text>
        <t>[Threaded comment]
Your version of Excel allows you to read this threaded comment; however, any edits to it will get removed if the file is opened in a newer version of Excel. Learn more: https://go.microsoft.com/fwlink/?linkid=870924
Comment:
    11,562 PY / 1,186
Reply:
    agreed</t>
      </text>
    </comment>
    <comment ref="Y1420" authorId="808" shapeId="0" xr:uid="{9943F66A-6151-4CA3-A5CA-4CA1E1F4C415}">
      <text>
        <t>[Threaded comment]
Your version of Excel allows you to read this threaded comment; however, any edits to it will get removed if the file is opened in a newer version of Excel. Learn more: https://go.microsoft.com/fwlink/?linkid=870924
Comment:
    1 missing causes of death for annual arm
Reply:
    0 is right, cause doesn't make here</t>
      </text>
    </comment>
    <comment ref="Z1420" authorId="809" shapeId="0" xr:uid="{7822F51B-57E1-4AE1-8BFA-6BD488C7C221}">
      <text>
        <t>[Threaded comment]
Your version of Excel allows you to read this threaded comment; however, any edits to it will get removed if the file is opened in a newer version of Excel. Learn more: https://go.microsoft.com/fwlink/?linkid=870924
Comment:
    Missing cause of death</t>
      </text>
    </comment>
    <comment ref="AA1420" authorId="810" shapeId="0" xr:uid="{74B151F1-F7FC-4977-9A0E-B203A5E96C02}">
      <text>
        <t xml:space="preserve">[Threaded comment]
Your version of Excel allows you to read this threaded comment; however, any edits to it will get removed if the file is opened in a newer version of Excel. Learn more: https://go.microsoft.com/fwlink/?linkid=870924
Comment:
    2 missing causes of death for biennial arm
Reply:
    0 is right, cause doesn't make here
</t>
      </text>
    </comment>
    <comment ref="AB1420" authorId="811" shapeId="0" xr:uid="{1EC3911C-41CC-4407-B3B3-9C0D1FA040EB}">
      <text>
        <t>[Threaded comment]
Your version of Excel allows you to read this threaded comment; however, any edits to it will get removed if the file is opened in a newer version of Excel. Learn more: https://go.microsoft.com/fwlink/?linkid=870924
Comment:
    Missing cause of death
Reply:
    Agree with you, NA</t>
      </text>
    </comment>
    <comment ref="AS1420" authorId="812" shapeId="0" xr:uid="{FEF09872-36A0-4C08-B49B-9A38E5153991}">
      <text>
        <t xml:space="preserve">[Threaded comment]
Your version of Excel allows you to read this threaded comment; however, any edits to it will get removed if the file is opened in a newer version of Excel. Learn more: https://go.microsoft.com/fwlink/?linkid=870924
Comment:
    Agree with the number, but this should be in the 'calculated' cell.
</t>
      </text>
    </comment>
    <comment ref="AU1420" authorId="813" shapeId="0" xr:uid="{7CF97B26-F888-473C-8C5F-26BB15D58019}">
      <text>
        <t xml:space="preserve">[Threaded comment]
Your version of Excel allows you to read this threaded comment; however, any edits to it will get removed if the file is opened in a newer version of Excel. Learn more: https://go.microsoft.com/fwlink/?linkid=870924
Comment:
    Agree with the number, but not reported, we calculated this.
</t>
      </text>
    </comment>
    <comment ref="AV1420" authorId="814" shapeId="0" xr:uid="{9AB155C8-8F51-4D87-A3B0-D938DC4DAFD5}">
      <text>
        <t xml:space="preserve">[Threaded comment]
Your version of Excel allows you to read this threaded comment; however, any edits to it will get removed if the file is opened in a newer version of Excel. Learn more: https://go.microsoft.com/fwlink/?linkid=870924
Comment:
    Agree with the number, but not reported, we calculated this.
</t>
      </text>
    </comment>
    <comment ref="R1421" authorId="815" shapeId="0" xr:uid="{4EA9BA31-381F-47F7-B343-369C68BCC694}">
      <text>
        <t>[Threaded comment]
Your version of Excel allows you to read this threaded comment; however, any edits to it will get removed if the file is opened in a newer version of Excel. Learn more: https://go.microsoft.com/fwlink/?linkid=870924
Comment:
    11,521 PY / 1,190
Reply:
    agreed</t>
      </text>
    </comment>
    <comment ref="S1421" authorId="816" shapeId="0" xr:uid="{356BA46F-14C2-4014-855E-367EA1D38046}">
      <text>
        <t>[Threaded comment]
Your version of Excel allows you to read this threaded comment; however, any edits to it will get removed if the file is opened in a newer version of Excel. Learn more: https://go.microsoft.com/fwlink/?linkid=870924
Comment:
    11,562 PY / 1,186
Reply:
    agreed</t>
      </text>
    </comment>
    <comment ref="Y1421" authorId="817" shapeId="0" xr:uid="{9C104A47-BB5D-40D7-B5E9-BE2676E492D8}">
      <text>
        <t>[Threaded comment]
Your version of Excel allows you to read this threaded comment; however, any edits to it will get removed if the file is opened in a newer version of Excel. Learn more: https://go.microsoft.com/fwlink/?linkid=870924
Comment:
    1 missing causes of death for annual arm
Reply:
    0 is right, cause doesn't make here</t>
      </text>
    </comment>
    <comment ref="Z1421" authorId="818" shapeId="0" xr:uid="{B98508A8-1FF2-45DA-9D78-01BE754DE955}">
      <text>
        <t>[Threaded comment]
Your version of Excel allows you to read this threaded comment; however, any edits to it will get removed if the file is opened in a newer version of Excel. Learn more: https://go.microsoft.com/fwlink/?linkid=870924
Comment:
    Missing cause of death</t>
      </text>
    </comment>
    <comment ref="AA1421" authorId="819" shapeId="0" xr:uid="{A7D8039E-F22F-4920-B5D1-916E18D10992}">
      <text>
        <t xml:space="preserve">[Threaded comment]
Your version of Excel allows you to read this threaded comment; however, any edits to it will get removed if the file is opened in a newer version of Excel. Learn more: https://go.microsoft.com/fwlink/?linkid=870924
Comment:
    2 missing causes of death for biennial arm
Reply:
    0 is right, cause doesn't make here
</t>
      </text>
    </comment>
    <comment ref="AB1421" authorId="820" shapeId="0" xr:uid="{3579A50D-EB4C-4D7C-A71B-5010BC065E7A}">
      <text>
        <t>[Threaded comment]
Your version of Excel allows you to read this threaded comment; however, any edits to it will get removed if the file is opened in a newer version of Excel. Learn more: https://go.microsoft.com/fwlink/?linkid=870924
Comment:
    Missing cause of death
Reply:
    Agree with you, NA</t>
      </text>
    </comment>
    <comment ref="R1422" authorId="821" shapeId="0" xr:uid="{F94FB17F-ED09-4D52-9964-4613A3111125}">
      <text>
        <t>[Threaded comment]
Your version of Excel allows you to read this threaded comment; however, any edits to it will get removed if the file is opened in a newer version of Excel. Learn more: https://go.microsoft.com/fwlink/?linkid=870924
Comment:
    11,521 PY / 1,190
Reply:
    agreed</t>
      </text>
    </comment>
    <comment ref="S1422" authorId="822" shapeId="0" xr:uid="{51BB8453-718A-463B-BAB9-EED2598AAEE2}">
      <text>
        <t>[Threaded comment]
Your version of Excel allows you to read this threaded comment; however, any edits to it will get removed if the file is opened in a newer version of Excel. Learn more: https://go.microsoft.com/fwlink/?linkid=870924
Comment:
    11,562 PY / 1,186
Reply:
    agreed</t>
      </text>
    </comment>
    <comment ref="Y1422" authorId="823" shapeId="0" xr:uid="{8EAD1409-52E5-420F-B5BF-C48CFCC4E359}">
      <text>
        <t>[Threaded comment]
Your version of Excel allows you to read this threaded comment; however, any edits to it will get removed if the file is opened in a newer version of Excel. Learn more: https://go.microsoft.com/fwlink/?linkid=870924
Comment:
    1 missing causes of death for annual arm
Reply:
    0 is right, cause doesn't make here</t>
      </text>
    </comment>
    <comment ref="Z1422" authorId="824" shapeId="0" xr:uid="{8F108E8D-96CC-4AB8-8667-DDDBCA715173}">
      <text>
        <t>[Threaded comment]
Your version of Excel allows you to read this threaded comment; however, any edits to it will get removed if the file is opened in a newer version of Excel. Learn more: https://go.microsoft.com/fwlink/?linkid=870924
Comment:
    Missing cause of death</t>
      </text>
    </comment>
    <comment ref="AA1422" authorId="825" shapeId="0" xr:uid="{0DB8FAE6-A1B0-43C9-8842-9B33E8581CED}">
      <text>
        <t xml:space="preserve">[Threaded comment]
Your version of Excel allows you to read this threaded comment; however, any edits to it will get removed if the file is opened in a newer version of Excel. Learn more: https://go.microsoft.com/fwlink/?linkid=870924
Comment:
    2 missing causes of death for biennial arm
Reply:
    0 is right, cause doesn't make here
</t>
      </text>
    </comment>
    <comment ref="AB1422" authorId="826" shapeId="0" xr:uid="{77F6A637-A08E-4C11-B139-A4201BBA4531}">
      <text>
        <t>[Threaded comment]
Your version of Excel allows you to read this threaded comment; however, any edits to it will get removed if the file is opened in a newer version of Excel. Learn more: https://go.microsoft.com/fwlink/?linkid=870924
Comment:
    Missing cause of death
Reply:
    Agree with you, NA</t>
      </text>
    </comment>
    <comment ref="AN1425" authorId="827" shapeId="0" xr:uid="{35C847F7-A40C-4853-9CFF-D726ADDC268B}">
      <text>
        <t>[Threaded comment]
Your version of Excel allows you to read this threaded comment; however, any edits to it will get removed if the file is opened in a newer version of Excel. Learn more: https://go.microsoft.com/fwlink/?linkid=870924
Comment:
    0
Reply:
    Okay.</t>
      </text>
    </comment>
    <comment ref="A1434" authorId="828" shapeId="0" xr:uid="{E48E784C-D1F1-4F11-ABF1-8C2429D41194}">
      <text>
        <t>[Threaded comment]
Your version of Excel allows you to read this threaded comment; however, any edits to it will get removed if the file is opened in a newer version of Excel. Learn more: https://go.microsoft.com/fwlink/?linkid=870924
Comment:
    Table VIII reports number of breast cancer deaths using different definitions. Extract?</t>
      </text>
    </comment>
    <comment ref="A1444" authorId="829" shapeId="0" xr:uid="{768BDADF-5014-40F2-8F5D-81C05B911FD7}">
      <text>
        <t>[Threaded comment]
Your version of Excel allows you to read this threaded comment; however, any edits to it will get removed if the file is opened in a newer version of Excel. Learn more: https://go.microsoft.com/fwlink/?linkid=870924
Comment:
    Table X and Figures b) and c) report the same data for age groups 55+ years at entry and &lt;55 years at entry. Not extracted yet as we don't have surrogate outcomes reported for these age groups.
Reply:
    Are we expecting to get them?
Reply:
    No.</t>
      </text>
    </comment>
    <comment ref="A1445" authorId="830" shapeId="0" xr:uid="{0262668D-B88D-4BCD-9F6B-ED1ACC547F20}">
      <text>
        <t>[Threaded comment]
Your version of Excel allows you to read this threaded comment; however, any edits to it will get removed if the file is opened in a newer version of Excel. Learn more: https://go.microsoft.com/fwlink/?linkid=870924
Comment:
    Also reports number with breast cancer present at death (not necessarily the cause of death).
Reply:
    Agreed. Not applicable for breast-cancer specific mortality</t>
      </text>
    </comment>
    <comment ref="R1446" authorId="831" shapeId="0" xr:uid="{579DB2BF-EF8C-4DC0-83A9-2EFA1DDB916E}">
      <text>
        <t>[Threaded comment]
Your version of Excel allows you to read this threaded comment; however, any edits to it will get removed if the file is opened in a newer version of Excel. Learn more: https://go.microsoft.com/fwlink/?linkid=870924
Comment:
    I'm not sure if that is the IQR or the range.
Reply:
    Not sure either now. Just put upper and lower limit.</t>
      </text>
    </comment>
    <comment ref="S1446" authorId="832" shapeId="0" xr:uid="{34288789-9F51-40CA-A900-9A9E188C76DF}">
      <text>
        <t>[Threaded comment]
Your version of Excel allows you to read this threaded comment; however, any edits to it will get removed if the file is opened in a newer version of Excel. Learn more: https://go.microsoft.com/fwlink/?linkid=870924
Comment:
    I'm not sure if that is the IQR or the range.
Reply:
    Not sure either now. Just put upper and lower limit.</t>
      </text>
    </comment>
    <comment ref="R1447" authorId="833" shapeId="0" xr:uid="{27AE5B63-1393-4CC1-9CF5-04A911C13460}">
      <text>
        <t>[Threaded comment]
Your version of Excel allows you to read this threaded comment; however, any edits to it will get removed if the file is opened in a newer version of Excel. Learn more: https://go.microsoft.com/fwlink/?linkid=870924
Comment:
    I'm unclear if that is IQR or just range.
Reply:
    Think it is range.</t>
      </text>
    </comment>
    <comment ref="S1447" authorId="834" shapeId="0" xr:uid="{B7EE0484-16E2-4E12-8EFC-791153A8004F}">
      <text>
        <t>[Threaded comment]
Your version of Excel allows you to read this threaded comment; however, any edits to it will get removed if the file is opened in a newer version of Excel. Learn more: https://go.microsoft.com/fwlink/?linkid=870924
Comment:
    I'm unclear if that is IQR or just range.
Reply:
    Think it is range.</t>
      </text>
    </comment>
    <comment ref="AY1447" authorId="835" shapeId="0" xr:uid="{0D97D38D-1640-45CE-814D-24B3A01E28FA}">
      <text>
        <t>[Threaded comment]
Your version of Excel allows you to read this threaded comment; however, any edits to it will get removed if the file is opened in a newer version of Excel. Learn more: https://go.microsoft.com/fwlink/?linkid=870924
Comment:
    There's also an age-adjusted analysis RR 81 (0.66, 1.00)
Reply:
    Added.</t>
      </text>
    </comment>
    <comment ref="U1448" authorId="836" shapeId="0" xr:uid="{6DA1AD3E-FB16-4A10-8EBB-918081E2F337}">
      <text>
        <t>[Threaded comment]
Your version of Excel allows you to read this threaded comment; however, any edits to it will get removed if the file is opened in a newer version of Excel. Learn more: https://go.microsoft.com/fwlink/?linkid=870924
Comment:
    21088
Reply:
    Corrected.</t>
      </text>
    </comment>
    <comment ref="AE1451" authorId="837" shapeId="0" xr:uid="{18BBE423-16F1-4332-80A5-F516491254D9}">
      <text>
        <t>[Threaded comment]
Your version of Excel allows you to read this threaded comment; however, any edits to it will get removed if the file is opened in a newer version of Excel. Learn more: https://go.microsoft.com/fwlink/?linkid=870924
Comment:
    Do we also want the numbers for the "including breast cancer deaths not reported to the cancer registry" category?
Reply:
    In table 4
Reply:
    Added in row below.</t>
      </text>
    </comment>
    <comment ref="AF1451" authorId="838" shapeId="0" xr:uid="{C008A95A-0DBE-4DF9-8BFA-127E0FED791D}">
      <text>
        <t>[Threaded comment]
Your version of Excel allows you to read this threaded comment; however, any edits to it will get removed if the file is opened in a newer version of Excel. Learn more: https://go.microsoft.com/fwlink/?linkid=870924
Comment:
    Do we also want the numbers for the "including breast cancer deaths not reported to the cancer registry" category?
Reply:
    In table 4
Reply:
    Added in row below.</t>
      </text>
    </comment>
    <comment ref="A1452" authorId="839" shapeId="0" xr:uid="{66F1CD3B-7486-4559-84AE-FA48EF4A9106}">
      <text>
        <t>[Threaded comment]
Your version of Excel allows you to read this threaded comment; however, any edits to it will get removed if the file is opened in a newer version of Excel. Learn more: https://go.microsoft.com/fwlink/?linkid=870924
Comment:
    I agree with everything in this row.</t>
      </text>
    </comment>
    <comment ref="A1453" authorId="840" shapeId="0" xr:uid="{13D15CE1-4400-45B0-B48F-A0C3E7298AAF}">
      <text>
        <t>[Threaded comment]
Your version of Excel allows you to read this threaded comment; however, any edits to it will get removed if the file is opened in a newer version of Excel. Learn more: https://go.microsoft.com/fwlink/?linkid=870924
Comment:
    Can we use this paper given it doesn't report mortality, only RR?
Reply:
    If yes, I agree with your extraction.
Reply:
    Not sure. I leave it to Adam and Nefeli to decide if they want to use these data. Possibly not as we also don't know exact follow-up time or the analysis date.</t>
      </text>
    </comment>
    <comment ref="D1453" authorId="841" shapeId="0" xr:uid="{50C8C737-3C48-44F2-A2E3-87AB28A42F7E}">
      <text>
        <t>[Threaded comment]
Your version of Excel allows you to read this threaded comment; however, any edits to it will get removed if the file is opened in a newer version of Excel. Learn more: https://go.microsoft.com/fwlink/?linkid=870924
Comment:
    Is this correct? Or is it breast cancer mortality in all cancers (irrespective of date of diagnosis)?
Reply:
    That is what the paper says.</t>
      </text>
    </comment>
  </commentList>
</comments>
</file>

<file path=xl/sharedStrings.xml><?xml version="1.0" encoding="utf-8"?>
<sst xmlns="http://schemas.openxmlformats.org/spreadsheetml/2006/main" count="189947" uniqueCount="11706">
  <si>
    <t>Dropdown</t>
  </si>
  <si>
    <t>Endnote ID</t>
  </si>
  <si>
    <t>Cancer type</t>
  </si>
  <si>
    <t>Trial acronym</t>
  </si>
  <si>
    <t>Screening test</t>
  </si>
  <si>
    <t>Assessor</t>
  </si>
  <si>
    <t>Agreed</t>
  </si>
  <si>
    <t>Presence of exit screen</t>
  </si>
  <si>
    <t>Author, year</t>
  </si>
  <si>
    <t>Comparison</t>
  </si>
  <si>
    <t>Other</t>
  </si>
  <si>
    <t>Unclear</t>
  </si>
  <si>
    <t>Enter</t>
  </si>
  <si>
    <t>Aggregation unit of analysis</t>
  </si>
  <si>
    <t>Whole trial</t>
  </si>
  <si>
    <t>Age group</t>
  </si>
  <si>
    <t>Sex</t>
  </si>
  <si>
    <t>Mortality, endpoint</t>
  </si>
  <si>
    <t xml:space="preserve">n analysis, 
Screening
</t>
  </si>
  <si>
    <t>Type of indicator</t>
  </si>
  <si>
    <t>Adjusted estimate</t>
  </si>
  <si>
    <t>Adjusted,
L95%CI</t>
  </si>
  <si>
    <t>Adjusted,
U95%CI</t>
  </si>
  <si>
    <t>All-cause</t>
  </si>
  <si>
    <t>Cancer-specific</t>
  </si>
  <si>
    <t>Numerical stage</t>
  </si>
  <si>
    <t>TNM stage</t>
  </si>
  <si>
    <t>Grade</t>
  </si>
  <si>
    <t>Dukes' stage</t>
  </si>
  <si>
    <t>Gleason score</t>
  </si>
  <si>
    <t>Risk score</t>
  </si>
  <si>
    <t>Size</t>
  </si>
  <si>
    <t>Invasiveness</t>
  </si>
  <si>
    <t>T stage</t>
  </si>
  <si>
    <t>UK Age</t>
  </si>
  <si>
    <t>Breast</t>
  </si>
  <si>
    <t>Bowel</t>
  </si>
  <si>
    <t>Cervical</t>
  </si>
  <si>
    <t>Liver</t>
  </si>
  <si>
    <t>Lung</t>
  </si>
  <si>
    <t>Nasopharyngeal</t>
  </si>
  <si>
    <t>Oral</t>
  </si>
  <si>
    <t>Ovarian</t>
  </si>
  <si>
    <t>Prostate</t>
  </si>
  <si>
    <t>Prostate, lung, bowel, ovarian</t>
  </si>
  <si>
    <t>Breast, cervical</t>
  </si>
  <si>
    <t>Funen</t>
  </si>
  <si>
    <t>Finnish RHS CRC</t>
  </si>
  <si>
    <t>Burgundy</t>
  </si>
  <si>
    <t>SCORE</t>
  </si>
  <si>
    <t>NORCCAP</t>
  </si>
  <si>
    <t>Telemark Polyp I</t>
  </si>
  <si>
    <t>Nottingham</t>
  </si>
  <si>
    <t>UKFSST</t>
  </si>
  <si>
    <t xml:space="preserve">Jiashan County </t>
  </si>
  <si>
    <t>Minnesota</t>
  </si>
  <si>
    <t>CNBSS</t>
  </si>
  <si>
    <t>Tivandrum Breast</t>
  </si>
  <si>
    <t>Gothenburg Breast</t>
  </si>
  <si>
    <t>Gothenburg CRC</t>
  </si>
  <si>
    <t>Malmo</t>
  </si>
  <si>
    <t>Stockholm Breast</t>
  </si>
  <si>
    <t>Two-County</t>
  </si>
  <si>
    <t>Edinburgh</t>
  </si>
  <si>
    <t>HIP</t>
  </si>
  <si>
    <t>Osmanabad/Maharashtra</t>
  </si>
  <si>
    <t>Tamil Nadu/Dindigul</t>
  </si>
  <si>
    <t>Finnish RHS Cervix</t>
  </si>
  <si>
    <t>Qidong Liver</t>
  </si>
  <si>
    <t>Shanghai Liver</t>
  </si>
  <si>
    <t>Shanghai Breast</t>
  </si>
  <si>
    <t>NELSON</t>
  </si>
  <si>
    <t>Czech study</t>
  </si>
  <si>
    <t>DLCST</t>
  </si>
  <si>
    <t>LUSI</t>
  </si>
  <si>
    <t>DANTE</t>
  </si>
  <si>
    <t>ITALUNG</t>
  </si>
  <si>
    <t>MILD</t>
  </si>
  <si>
    <t>UKLS</t>
  </si>
  <si>
    <t>Johns Hopkins</t>
  </si>
  <si>
    <t>Lung Screening Study (LSS)</t>
  </si>
  <si>
    <t>Mayo Lung Project</t>
  </si>
  <si>
    <t>Memorial Sloan-Kettering</t>
  </si>
  <si>
    <t>NLST</t>
  </si>
  <si>
    <t>PRO-NPC-001</t>
  </si>
  <si>
    <t>Tivandrum Oral</t>
  </si>
  <si>
    <t>UKCTOCS</t>
  </si>
  <si>
    <t>Quebec Prostate</t>
  </si>
  <si>
    <t>ERSPC</t>
  </si>
  <si>
    <t>FinRSPC</t>
  </si>
  <si>
    <t>Goteborg Prostate</t>
  </si>
  <si>
    <t>Norrkoping</t>
  </si>
  <si>
    <t>UK CAP</t>
  </si>
  <si>
    <t>SOMIT</t>
  </si>
  <si>
    <t>SOME</t>
  </si>
  <si>
    <t>Mumbai Breast Cervix</t>
  </si>
  <si>
    <t>Occult cancer</t>
  </si>
  <si>
    <t>Mammography</t>
  </si>
  <si>
    <t>NA</t>
  </si>
  <si>
    <t>yes</t>
  </si>
  <si>
    <t>no</t>
  </si>
  <si>
    <t>p value</t>
  </si>
  <si>
    <t>Unadjusted,
p value</t>
  </si>
  <si>
    <t>Late stage cancer</t>
  </si>
  <si>
    <t>Early stage cancer</t>
  </si>
  <si>
    <t>Partly</t>
  </si>
  <si>
    <t>Setting</t>
  </si>
  <si>
    <t>Definition of 'late stage' as reported in paper</t>
  </si>
  <si>
    <t>Definition of 'early stage' as reported in paper</t>
  </si>
  <si>
    <t>Whole trial or specify subgroup analysed</t>
  </si>
  <si>
    <t>Denominator,
definition</t>
  </si>
  <si>
    <t>Surrogate</t>
  </si>
  <si>
    <t>Late' or 'early' stage proxy</t>
  </si>
  <si>
    <t>Yes</t>
  </si>
  <si>
    <t>No</t>
  </si>
  <si>
    <t>n analysis, 
Comparator</t>
  </si>
  <si>
    <t>More info on subgroup analysed</t>
  </si>
  <si>
    <t>Node status</t>
  </si>
  <si>
    <t>Matejka</t>
  </si>
  <si>
    <t>Julia</t>
  </si>
  <si>
    <t>Nefeli</t>
  </si>
  <si>
    <t>Karoline</t>
  </si>
  <si>
    <t>Chris</t>
  </si>
  <si>
    <t>FOBT</t>
  </si>
  <si>
    <t>Comparator test</t>
  </si>
  <si>
    <t>Usual care</t>
  </si>
  <si>
    <t>EBV serology</t>
  </si>
  <si>
    <t>Medical examination</t>
  </si>
  <si>
    <t>Automated cytology</t>
  </si>
  <si>
    <t>Conventional cytology</t>
  </si>
  <si>
    <t>Clinical breast examination</t>
  </si>
  <si>
    <t>Mammography + breast examination</t>
  </si>
  <si>
    <t>Usual care after initial breast examination</t>
  </si>
  <si>
    <t>Active surveillance</t>
  </si>
  <si>
    <t>Flexible sigmoidoscopy</t>
  </si>
  <si>
    <t>Colonoscopy</t>
  </si>
  <si>
    <t>VIA (Cervix)</t>
  </si>
  <si>
    <t>VIA, cytology or HPV</t>
  </si>
  <si>
    <t>Blood PSA</t>
  </si>
  <si>
    <t>Blood PSA + DRE</t>
  </si>
  <si>
    <t>CA125 + transvaginal US</t>
  </si>
  <si>
    <t>AFP + US</t>
  </si>
  <si>
    <t>AFP</t>
  </si>
  <si>
    <t>LDCT (Chest)</t>
  </si>
  <si>
    <t>Torso CT + FOBT</t>
  </si>
  <si>
    <t>Any test but no torso CT</t>
  </si>
  <si>
    <t>Visual inspection (oral)</t>
  </si>
  <si>
    <t>CA125</t>
  </si>
  <si>
    <t>Transvaginal US</t>
  </si>
  <si>
    <t>Indiviual randomisation</t>
  </si>
  <si>
    <t>Cluster randomisation</t>
  </si>
  <si>
    <t>Randomisation design</t>
  </si>
  <si>
    <t>Recruitment</t>
  </si>
  <si>
    <t>Volunteers</t>
  </si>
  <si>
    <t>Patients</t>
  </si>
  <si>
    <t>Survey</t>
  </si>
  <si>
    <t>Population-based</t>
  </si>
  <si>
    <t>Registers</t>
  </si>
  <si>
    <t>Random sequence generation</t>
  </si>
  <si>
    <t>True randomisation - individual level</t>
  </si>
  <si>
    <t>Pseudo randomisation</t>
  </si>
  <si>
    <t>Randomisation timing</t>
  </si>
  <si>
    <t>Before consent</t>
  </si>
  <si>
    <t>After consent</t>
  </si>
  <si>
    <t>Allocation concealment</t>
  </si>
  <si>
    <t>Masked</t>
  </si>
  <si>
    <t>Not masked</t>
  </si>
  <si>
    <t>Trial embedded in existing programme</t>
  </si>
  <si>
    <t>Trial to establish a new screening programme</t>
  </si>
  <si>
    <t>Gender</t>
  </si>
  <si>
    <t>Men</t>
  </si>
  <si>
    <t>Women</t>
  </si>
  <si>
    <t>Men + women</t>
  </si>
  <si>
    <t>Type of population</t>
  </si>
  <si>
    <t>General</t>
  </si>
  <si>
    <t>High-risk</t>
  </si>
  <si>
    <t>General + high-risk</t>
  </si>
  <si>
    <t>Prevention or early detection</t>
  </si>
  <si>
    <t>Prevention</t>
  </si>
  <si>
    <t>Early detection</t>
  </si>
  <si>
    <t>Routes of delivery</t>
  </si>
  <si>
    <t>Healthcare facility</t>
  </si>
  <si>
    <t>At home</t>
  </si>
  <si>
    <t>Another screening test</t>
  </si>
  <si>
    <t>Another screening test or usual care</t>
  </si>
  <si>
    <t>Numerator,
definition</t>
  </si>
  <si>
    <t>End of follow-up for analysis (date)</t>
  </si>
  <si>
    <t>Period after randomisation in years (0 is randomisation)</t>
  </si>
  <si>
    <t>n or % censored, Comparator</t>
  </si>
  <si>
    <t>Missing outcome data (e.g. missing cause of death), Screening</t>
  </si>
  <si>
    <t>Missing outcome data (e.g. missing cause of death),
Comparator</t>
  </si>
  <si>
    <t>n events, Screening
(Numerator)</t>
  </si>
  <si>
    <t>n events, Comparator
(Numerator)</t>
  </si>
  <si>
    <t>Reported rate,
Comparator</t>
  </si>
  <si>
    <t>Reported rate,
Screening</t>
  </si>
  <si>
    <t>Reported L95%CI, Screening</t>
  </si>
  <si>
    <t>Calculated rate,
Screening</t>
  </si>
  <si>
    <t>Formula</t>
  </si>
  <si>
    <t>Reported U95%CI, Screening</t>
  </si>
  <si>
    <t>Reported L95%CI, Comparator</t>
  </si>
  <si>
    <t>Reported U95%CI, Comparator</t>
  </si>
  <si>
    <t>Reported unadjusted,
L95%CI</t>
  </si>
  <si>
    <t>Reported unadjusted,
U95%CI</t>
  </si>
  <si>
    <t>Reported unadjusted estimate</t>
  </si>
  <si>
    <t>Sources of information; 
validity / reliability of outcome assessment (keep it brief, key words only)</t>
  </si>
  <si>
    <t>Censoring rules (e.g. withdrawal, loss to follow-up)
(keep it brief, key words only)</t>
  </si>
  <si>
    <t>Effective number of screening rounds</t>
  </si>
  <si>
    <t>Screening vs no screening</t>
  </si>
  <si>
    <t>Screening vs other type of screening</t>
  </si>
  <si>
    <t>Screening arm only</t>
  </si>
  <si>
    <t>Both combined</t>
  </si>
  <si>
    <t>unclear</t>
  </si>
  <si>
    <t>Use for surrogate (from list)</t>
  </si>
  <si>
    <t>Comparator test - Other screening test</t>
  </si>
  <si>
    <t>Missing outcome data (e.g. stage), Screening</t>
  </si>
  <si>
    <t>Missing outcome data (e.g. stage),
Comparator</t>
  </si>
  <si>
    <t>Reported L95%CI for rate, Screening</t>
  </si>
  <si>
    <t>Reported U95%CI for rate, Comparator</t>
  </si>
  <si>
    <t>Calculated rate, Comparator</t>
  </si>
  <si>
    <t>Reported L95%CI for rate, Comparator</t>
  </si>
  <si>
    <t>Mortality endpoint</t>
  </si>
  <si>
    <t>Reported U95%CI for rate, Screening</t>
  </si>
  <si>
    <t>Type of indicator (e.g. RR, OR, HR)</t>
  </si>
  <si>
    <t>Comparator test - No screening / usual care</t>
  </si>
  <si>
    <t xml:space="preserve">n or % censored, 
Screening
</t>
  </si>
  <si>
    <t>Not applicable</t>
  </si>
  <si>
    <t>Denominator 
(e.g. person years, 
n randomised), Screening</t>
  </si>
  <si>
    <t>n or % censored, 
Comparator</t>
  </si>
  <si>
    <t xml:space="preserve">Calculated unadjusted estimate
</t>
  </si>
  <si>
    <t>Adjusted
L95%CI</t>
  </si>
  <si>
    <t>Adjusted
U95%CI</t>
  </si>
  <si>
    <t>y/n/unclear/NA</t>
  </si>
  <si>
    <t>Denominator 
(e.g. person years, 
n randomised), Comparator</t>
  </si>
  <si>
    <t>Unit of rate (e.g. per 1,000 PY; %)</t>
  </si>
  <si>
    <t>2. Predicted mortality</t>
  </si>
  <si>
    <t>3. % of target cancer diagnosed at late stage</t>
  </si>
  <si>
    <t>5. % of target cancers that are screen-detected</t>
  </si>
  <si>
    <t>6. % of high-grade target cancers that are screen-detected</t>
  </si>
  <si>
    <t>7. Diagnostic yield at screening</t>
  </si>
  <si>
    <t>1./4. Absolute incidence of late / early stage cancer</t>
  </si>
  <si>
    <t>Sources (e.g. table number, figure number or "text")</t>
  </si>
  <si>
    <t>Notes</t>
  </si>
  <si>
    <t>Beth</t>
  </si>
  <si>
    <t>Create formula</t>
  </si>
  <si>
    <t>RoB rating</t>
  </si>
  <si>
    <t>Low risk</t>
  </si>
  <si>
    <t>High risk</t>
  </si>
  <si>
    <t>Stage category
(e.g. Stage I)</t>
  </si>
  <si>
    <t>Type of staging system or approximation</t>
  </si>
  <si>
    <t>Sources of information; 
validity / reliability of outcome assessment 
(keep it brief, key words only)</t>
  </si>
  <si>
    <t>Adam</t>
  </si>
  <si>
    <t>Sian</t>
  </si>
  <si>
    <t>Unclear risk</t>
  </si>
  <si>
    <t xml:space="preserve">Outcome description
</t>
  </si>
  <si>
    <t>Achieved follow-up time at analysis, Screening</t>
  </si>
  <si>
    <t>Achieved follow-up time at analysis, Comparator</t>
  </si>
  <si>
    <t>Adjustments, 
e.g. background risks</t>
  </si>
  <si>
    <t>Denominator 
(e.g. person years, 
n randomised, n target cancers), Screening</t>
  </si>
  <si>
    <t>Denominator 
(e.g. person years, 
n randomised, n target cancers), Comparator</t>
  </si>
  <si>
    <t>Centre and age</t>
  </si>
  <si>
    <t>Centre and sex</t>
  </si>
  <si>
    <t>Cluster/Centre/Country</t>
  </si>
  <si>
    <t>Chest X-ray</t>
  </si>
  <si>
    <t>Chest X-ray + sputum cytology</t>
  </si>
  <si>
    <t>Chest X-ray + sputum cytology (high intensity)</t>
  </si>
  <si>
    <t>Chest X-ray + sputum cytology (low intensity)</t>
  </si>
  <si>
    <t>Further description of missing data (e.g. reason), Screening</t>
  </si>
  <si>
    <t>Further description of missing data (e.g. reason), Comparator</t>
  </si>
  <si>
    <t>Relative risk</t>
  </si>
  <si>
    <t>Rate ratio</t>
  </si>
  <si>
    <t>Hazard ratio</t>
  </si>
  <si>
    <t>Odds ratio</t>
  </si>
  <si>
    <t>Jacobs 1999</t>
  </si>
  <si>
    <t>Ovarian cancer mortality (per 1,000 women randomised);
Follow-up until January 1998;
Screening vs no screening.</t>
  </si>
  <si>
    <t>CA125 (+ transvaginal US)</t>
  </si>
  <si>
    <t>Contacted family physicians and, where necessary, the Family Health Services Authority of all women with a diagnosis of an index cancer. Death certificates to confirm the cause of death for all women reported to have died from an index cancer.</t>
  </si>
  <si>
    <t>NR</t>
  </si>
  <si>
    <t>January 1998</t>
  </si>
  <si>
    <t>Up to 8 years</t>
  </si>
  <si>
    <t>Number of ovarian cancer deaths; follow-up until January 1998</t>
  </si>
  <si>
    <t>Number of women randomised</t>
  </si>
  <si>
    <t>Per 1,000 women</t>
  </si>
  <si>
    <t>None</t>
  </si>
  <si>
    <t>Text: There was no significant difference in mortality from index cancers between the control and screened groups (18 of 10 977 v s nine of 10 958, relative risk 2·0 [95% CI 0·78–5·13], p=0·083).</t>
  </si>
  <si>
    <t>There was no difference in documentation of disease
outcome between women with index cancers in the screen and control groups because we have either documentation of death due to an index cancer or confirmation from the appropriate family physician that the woman was alive in January, 1998.</t>
  </si>
  <si>
    <t>Diagnostic yield at screening (3 screening rounds); per 1,000 women; follow-up until 1997;
Screening arm only</t>
  </si>
  <si>
    <t>National Health Service Central Register; data sheet sent by post on 3 occasions asking for hospital attendance; surgical and histopathological details from the hospital and family physician involved.</t>
  </si>
  <si>
    <t>1997</t>
  </si>
  <si>
    <t>Number of screen-detected ovarian cancers (3 screening rounds); follow-up until January 1998</t>
  </si>
  <si>
    <t>Table 1 and text: In addition to the six index cancers detected by
screening, a further ten women in the screening group
developed an index cancer during follow-up of 8 years.</t>
  </si>
  <si>
    <t>% of ovarian cancers that are screen-detected; follow-up until 1997;
Screening arm only</t>
  </si>
  <si>
    <t>Total number of ovarian cancers diagnosed up to January 1998 (screen-detected pluscancers developed during follow-up)</t>
  </si>
  <si>
    <t>%</t>
  </si>
  <si>
    <t>Table 2 and text: In addition to the six index cancers detected by
screening, a further ten women in the screening group
developed an index cancer during follow-up of 8 years.</t>
  </si>
  <si>
    <t>% of high-grade ovarian cancers that are screen-detected; follow-up until 1997;
Screening arm only</t>
  </si>
  <si>
    <t>High</t>
  </si>
  <si>
    <t>Number of screen-detected high-grade ovarian cancers (3 screening rounds); follow-up until January 1998</t>
  </si>
  <si>
    <t>Total number of high-grade ovarian cancers diagnosed up to January 1998 (screen-detected pluscancers developed during follow-up)</t>
  </si>
  <si>
    <t>Table 2</t>
  </si>
  <si>
    <t>Absolute incidence of stage I ovarian cancers (per 1,000 women randomised);
Follow-up until 1997;
Screening vs no screening</t>
  </si>
  <si>
    <t>Stage I</t>
  </si>
  <si>
    <t>Stage I-II?</t>
  </si>
  <si>
    <t>Number of stage I ovarian cancers; follow-up until January 1998</t>
  </si>
  <si>
    <t>Absolute incidence of stage II ovarian cancers (per 1,000 women randomised);
Follow-up until 1997;
Screening vs no screening</t>
  </si>
  <si>
    <t>Stage II</t>
  </si>
  <si>
    <t>Number of stage II ovarian cancers; follow-up until January 1998</t>
  </si>
  <si>
    <t>Absolute incidence of early-stage (stage I- II) ovarian cancers (per 1,000 women randomised);
Follow-up until 1997;
Screening vs no screening</t>
  </si>
  <si>
    <t>Stage I-II</t>
  </si>
  <si>
    <t>Number of stage I-II ovarian cancers; follow-up until January 1998</t>
  </si>
  <si>
    <t>Table 2 and text: Although the proportion of stage I/II index cancers was higher in the screened group (31·3%) than in the control group (10·0%), stage distribution did not differ significantly
between the groups (p=0·171).</t>
  </si>
  <si>
    <t>Absolute incidence of stage III ovarian cancers (per 1,000 women randomised);
Follow-up until 1997;
Screening vs no screening</t>
  </si>
  <si>
    <t>Stage III</t>
  </si>
  <si>
    <t>Number of stage III ovarian cancers; follow-up until January 1998</t>
  </si>
  <si>
    <t>Absolute incidence of stage IV ovarian cancers (per 1,000 women randomised);
Follow-up until 1997;
Screening vs no screening</t>
  </si>
  <si>
    <t>Stage IV</t>
  </si>
  <si>
    <t>Number of stage IV ovarian cancers; follow-up until January 1998</t>
  </si>
  <si>
    <t>Absolute incidence of stage III-IV ovarian cancers (per 1,000 women randomised);
Follow-up until 1997;
Screening vs no screening</t>
  </si>
  <si>
    <t>Stage III-IV</t>
  </si>
  <si>
    <t>Number of stage III-IV ovarian cancers; follow-up until January 1998</t>
  </si>
  <si>
    <t>Martin 2018</t>
  </si>
  <si>
    <t>Definite, probable, or intervention-related prostate cancer mortality (per 1,000 PY); 
median follow-up of 10 years (&lt;15 years);
intervention vs control</t>
  </si>
  <si>
    <t>NHS Digital Organization and the ONS for deaths and cancer registrations.
Cause of death determined by an independent cause of death evaluation committee that was blinded to trial group assignment.</t>
  </si>
  <si>
    <t xml:space="preserve">Emigration, death, end of follow-up
</t>
  </si>
  <si>
    <t>March 31, 2016</t>
  </si>
  <si>
    <t>0-14 years</t>
  </si>
  <si>
    <t>Median 10.03
(IQR 8.80, 11.50)</t>
  </si>
  <si>
    <t>Median 9.92
(IQR 8.74, 10.93)</t>
  </si>
  <si>
    <t>Definite, probable, or intervention-related
prostate cancer deaths as determined by an independent cause of death committee, median 10-year follow-up</t>
  </si>
  <si>
    <t>Person-years at median 10-year follow-up (up to 31 March 2016)</t>
  </si>
  <si>
    <t>1,000 PY</t>
  </si>
  <si>
    <t>Adjusted for randomisation cluster and age stratum using mixed-effects Poisson regression</t>
  </si>
  <si>
    <t>Figure 2A, Table 2 and text: After a median follow-up of 10 years, 549 men (0.30 per 1000 person-years) died of prostate cancer (including intervention-related deaths) in the intervention group compared with 647 men (0.31 per 1000 person-years) in the control group (Figure 2A) ... RR, 0.96 [95% CI, 0.85 to 1.08]; P = .50; Table 2).</t>
  </si>
  <si>
    <t xml:space="preserve">Prostate cancer mortality (RR and p value)  adjusted for randomisation cluster and age stratum. </t>
  </si>
  <si>
    <t>Definite, probable, or intervention-related prostate cancer mortality (per 100 men);
median follow-up of 10 years (&lt;15 years);
intervention vs control</t>
  </si>
  <si>
    <t>Number of men in analysis</t>
  </si>
  <si>
    <t>Per 100 men; 
% of all men</t>
  </si>
  <si>
    <t xml:space="preserve">Figure 2A and Table 2 </t>
  </si>
  <si>
    <t>Calculated by reviewer only</t>
  </si>
  <si>
    <t>Definite, probable, or intervention-related prostate cancer mortality (per 100 men);
0-&lt;2 year after randomisation;
intervention vs control</t>
  </si>
  <si>
    <t>&lt;2 years</t>
  </si>
  <si>
    <t>Definite, probable, or intervention-related
prostate cancer deaths as determined by an independent cause of death committee, &lt;2 year of follow-up</t>
  </si>
  <si>
    <t>Figure 2A</t>
  </si>
  <si>
    <t>Definite, probable, or intervention-related prostate cancer mortality (per 100 men);
0-&lt;4 years after randomisation;
intervention vs control</t>
  </si>
  <si>
    <t>&lt;4 years</t>
  </si>
  <si>
    <t>Definite, probable, or intervention-related
prostate cancer deaths as determined by an independent cause of death committee, &lt;4 years of follow-up</t>
  </si>
  <si>
    <t>Definite, probable, or intervention-related prostate cancer mortality (per 100 men);
0-&lt;6 years after randomisation;
intervention vs control</t>
  </si>
  <si>
    <t>&lt;6 years</t>
  </si>
  <si>
    <t>Definite, probable, or intervention-related
prostate cancer deaths as determined by an independent cause of death committee, &lt;6 years of follow-up</t>
  </si>
  <si>
    <t>Definite, probable, or intervention-related prostate cancer mortality (per 100 men);
0-&lt;8 years after randomisation;
intervention vs control</t>
  </si>
  <si>
    <t>&lt;8 years</t>
  </si>
  <si>
    <t>Definite, probable, or intervention-related
prostate cancer deaths as determined by an independent cause of death committee, &lt;8 years of follow-up</t>
  </si>
  <si>
    <t>Definite, probable, or intervention-related prostate cancer mortality (per 100 men);
0-&lt;10 years after randomisation;
intervention vs control</t>
  </si>
  <si>
    <t>&lt;10 years</t>
  </si>
  <si>
    <t>Definite, probable, or intervention-related
prostate cancer deaths as determined by an independent cause of death committee, &lt;10 years of follow-up</t>
  </si>
  <si>
    <t>Definite, probable, or intervention-related prostate cancer mortality (per 100 men);
0-&lt;12 years after randomisation;
intervention vs control</t>
  </si>
  <si>
    <t>&lt;12 years</t>
  </si>
  <si>
    <t>Definite, probable, or intervention-related
prostate cancer deaths as determined by an independent cause of death committee, &lt;12 years of follow-up</t>
  </si>
  <si>
    <t>Definite, probable, or intervention-related prostate cancer mortality (per 100 men);
0-&lt;14 years after randomisation;
intervention vs control</t>
  </si>
  <si>
    <t>&lt;14 years</t>
  </si>
  <si>
    <t>Definite, probable, or intervention-related
prostate cancer deaths as determined by an independent cause of death committee, &lt;14 years of follow-up</t>
  </si>
  <si>
    <r>
      <t xml:space="preserve">Definite, probable, </t>
    </r>
    <r>
      <rPr>
        <b/>
        <sz val="10"/>
        <rFont val="Calibri"/>
        <family val="2"/>
        <scheme val="minor"/>
      </rPr>
      <t>possible</t>
    </r>
    <r>
      <rPr>
        <sz val="10"/>
        <rFont val="Calibri"/>
        <family val="2"/>
        <scheme val="minor"/>
      </rPr>
      <t xml:space="preserve"> or intervention-related prostate cancer mortality (per 1,000 PY);
median follow-up of 10 years (&lt;15 years);
intervention vs control</t>
    </r>
  </si>
  <si>
    <r>
      <t xml:space="preserve">Definite, probable, </t>
    </r>
    <r>
      <rPr>
        <b/>
        <sz val="10"/>
        <rFont val="Calibri"/>
        <family val="2"/>
        <scheme val="minor"/>
      </rPr>
      <t>possible</t>
    </r>
    <r>
      <rPr>
        <sz val="10"/>
        <rFont val="Calibri"/>
        <family val="2"/>
        <scheme val="minor"/>
      </rPr>
      <t xml:space="preserve"> or intervention-related
prostate cancer deaths as determined by an independent cause of death committee; median 10-year follow-up</t>
    </r>
  </si>
  <si>
    <t>Adjusted for randomisation cluster and age stratum</t>
  </si>
  <si>
    <t>eTable 2</t>
  </si>
  <si>
    <r>
      <t xml:space="preserve">Definite, probable, </t>
    </r>
    <r>
      <rPr>
        <b/>
        <sz val="10"/>
        <rFont val="Calibri"/>
        <family val="2"/>
        <scheme val="minor"/>
      </rPr>
      <t>possible</t>
    </r>
    <r>
      <rPr>
        <sz val="10"/>
        <rFont val="Calibri"/>
        <family val="2"/>
        <scheme val="minor"/>
      </rPr>
      <t xml:space="preserve"> or intervention-related prostate cancer mortality (per 100 men);
median follow-up of 10 years (&lt;15 years);
intervention vs control</t>
    </r>
  </si>
  <si>
    <r>
      <rPr>
        <b/>
        <sz val="10"/>
        <rFont val="Calibri"/>
        <family val="2"/>
        <scheme val="minor"/>
      </rPr>
      <t xml:space="preserve">Definite only </t>
    </r>
    <r>
      <rPr>
        <sz val="10"/>
        <rFont val="Calibri"/>
        <family val="2"/>
        <scheme val="minor"/>
      </rPr>
      <t xml:space="preserve">or intervention-related prostate cancer mortality (per 1,000 PY);
median follow-up of 10 years (&lt;15 years); 
intervention vs control </t>
    </r>
  </si>
  <si>
    <r>
      <rPr>
        <b/>
        <sz val="10"/>
        <rFont val="Calibri"/>
        <family val="2"/>
        <scheme val="minor"/>
      </rPr>
      <t>Definite only</t>
    </r>
    <r>
      <rPr>
        <sz val="10"/>
        <rFont val="Calibri"/>
        <family val="2"/>
        <scheme val="minor"/>
      </rPr>
      <t xml:space="preserve"> or intervention-related prostate cancer deaths as determined by an independent cause of death committee; median 10-year follow-up</t>
    </r>
  </si>
  <si>
    <r>
      <rPr>
        <b/>
        <sz val="10"/>
        <rFont val="Calibri"/>
        <family val="2"/>
        <scheme val="minor"/>
      </rPr>
      <t>Definite only</t>
    </r>
    <r>
      <rPr>
        <sz val="10"/>
        <rFont val="Calibri"/>
        <family val="2"/>
        <scheme val="minor"/>
      </rPr>
      <t xml:space="preserve"> or intervention-related prostate cancer mortality (per 100 men);
median follow-up of 10 years (&lt;15 years);
intervention vs control</t>
    </r>
  </si>
  <si>
    <r>
      <t xml:space="preserve">Definite, probable, or intervention-related prostate cancer mortality and </t>
    </r>
    <r>
      <rPr>
        <b/>
        <sz val="10"/>
        <rFont val="Calibri"/>
        <family val="2"/>
        <scheme val="minor"/>
      </rPr>
      <t>also including deaths in the presence
of castrate resistant prostate cancer</t>
    </r>
    <r>
      <rPr>
        <sz val="10"/>
        <rFont val="Calibri"/>
        <family val="2"/>
        <scheme val="minor"/>
      </rPr>
      <t xml:space="preserve"> (per 1,000 PY);</t>
    </r>
    <r>
      <rPr>
        <b/>
        <sz val="10"/>
        <rFont val="Calibri"/>
        <family val="2"/>
        <scheme val="minor"/>
      </rPr>
      <t xml:space="preserve">
</t>
    </r>
    <r>
      <rPr>
        <sz val="10"/>
        <rFont val="Calibri"/>
        <family val="2"/>
        <scheme val="minor"/>
      </rPr>
      <t>median follow-up of 10 years (&lt;15 years);</t>
    </r>
    <r>
      <rPr>
        <b/>
        <sz val="10"/>
        <rFont val="Calibri"/>
        <family val="2"/>
        <scheme val="minor"/>
      </rPr>
      <t xml:space="preserve">
</t>
    </r>
    <r>
      <rPr>
        <sz val="10"/>
        <rFont val="Calibri"/>
        <family val="2"/>
        <scheme val="minor"/>
      </rPr>
      <t>intervention vs control</t>
    </r>
  </si>
  <si>
    <t>Definite, probable, or intervention-related
prostate cancer deaths and also including deaths in the presence
of castrate resistant prostate cancer, as determined by an independent cause of death committee, median 10-year follow-up</t>
  </si>
  <si>
    <r>
      <t xml:space="preserve">Definite, probable, or intervention-related prostate cancer mortality and </t>
    </r>
    <r>
      <rPr>
        <b/>
        <sz val="10"/>
        <rFont val="Calibri"/>
        <family val="2"/>
        <scheme val="minor"/>
      </rPr>
      <t xml:space="preserve">also including deaths in the presence
of castrate resistant prostate cancer </t>
    </r>
    <r>
      <rPr>
        <sz val="10"/>
        <rFont val="Calibri"/>
        <family val="2"/>
        <scheme val="minor"/>
      </rPr>
      <t>(per 100 men);
median follow-up of 10 years;
intervention vs control</t>
    </r>
  </si>
  <si>
    <t>All-cause mortality (per 1,000 PY);
median follow-up of 10 years (&lt;15 years); 
intervention vs control</t>
  </si>
  <si>
    <t>NHS Digital Organization and the ONS for deaths and cancer registrations.</t>
  </si>
  <si>
    <t>Deaths from all causes; median follow-up of 10 years (up to 31 March 2016)</t>
  </si>
  <si>
    <t>Table 2, eFigure 6 and text: There were 25 459 deaths in the intervention group and 28 306 deaths in the control group. There was no significant difference in the rates of all-cause mortality between these groups (RR, 0.99 [95% CI, 0.94-1.03], P = .49; Table 2 and eFigure 6 in Supplement 2).</t>
  </si>
  <si>
    <t>All-cause mortality (per 100 men);
median follow-up of 10 years (&lt;15 years);
intervention vs control</t>
  </si>
  <si>
    <t>Per 100 men;
% of all men</t>
  </si>
  <si>
    <t>Table 2 and eFigure 6</t>
  </si>
  <si>
    <t>All-cause mortality (per 100 men);
0-&lt;1 year after randomisation;
intervention vs control</t>
  </si>
  <si>
    <t>&lt;1 year</t>
  </si>
  <si>
    <t>Deaths from all causes; &lt;1 year after randomisation</t>
  </si>
  <si>
    <t>eFigure 6</t>
  </si>
  <si>
    <t>All-cause mortality (per 100 men);
0-&lt;2 years after randomisation;
intervention vs control</t>
  </si>
  <si>
    <t>Deaths from all causes; &lt;2 years after randomisation</t>
  </si>
  <si>
    <t>All-cause mortality (per 100 men);
0-&lt;3 years after randomisation;
intervention vs control</t>
  </si>
  <si>
    <t>&lt;3 years</t>
  </si>
  <si>
    <t>Deaths from all causes; &lt;3 years after randomisation</t>
  </si>
  <si>
    <t>All-cause mortality (per 100 men);
0-&lt;4 years after randomisation;
intervention vs control</t>
  </si>
  <si>
    <t>Deaths from all causes; &lt;4 years after randomisation</t>
  </si>
  <si>
    <t>All-cause mortality (per 100 men);
0-&lt;5 years after randomisation;
intervention vs control</t>
  </si>
  <si>
    <t>&lt;5 years</t>
  </si>
  <si>
    <t>Deaths from all causes; &lt;5 years after randomisation</t>
  </si>
  <si>
    <t>All-cause mortality (per 100 men);
0-&lt;6 years after randomisation;
intervention vs control</t>
  </si>
  <si>
    <t>Deaths from all causes; &lt;6 years after randomisation</t>
  </si>
  <si>
    <t>All-cause mortality (per 100 men);
0-&lt;7 years after randomisation;
intervention vs control</t>
  </si>
  <si>
    <t>&lt;7 years</t>
  </si>
  <si>
    <t>Deaths from all causes; &lt;7 years after randomisation</t>
  </si>
  <si>
    <t>All-cause mortality (per 100 men);
0-&lt;8 years after randomisation;
intervention vs control</t>
  </si>
  <si>
    <t>Deaths from all causes; &lt;8 years after randomisation</t>
  </si>
  <si>
    <t>All-cause mortality (per 100 men);
0-&lt;9 years after randomisation;
intervention vs control</t>
  </si>
  <si>
    <t>&lt;9 years</t>
  </si>
  <si>
    <t>Deaths from all causes; &lt;9 years after randomisation</t>
  </si>
  <si>
    <t>All-cause mortality (per 100 men);
0-&lt;10 years after randomisation;
intervention vs control</t>
  </si>
  <si>
    <t>Deaths from all causes; &lt;10 years after randomisation</t>
  </si>
  <si>
    <t>All-cause mortality (per 100 men);
0-&lt;11 years after randomisation;
intervention vs control</t>
  </si>
  <si>
    <t>&lt;11 years</t>
  </si>
  <si>
    <t>Deaths from all causes; &lt;11 years after randomisation</t>
  </si>
  <si>
    <t>All-cause mortality (per 100 men);
0-&lt;12 years after randomisation;
intervention vs control</t>
  </si>
  <si>
    <t>Deaths from all causes; &lt;12 years after randomisation</t>
  </si>
  <si>
    <t>All-cause mortality (per 100 men);
0-&lt;13 years after randomisation;
intervention vs control</t>
  </si>
  <si>
    <t>&lt;13 years</t>
  </si>
  <si>
    <t>Deaths from all causes; &lt;13 years after randomisation</t>
  </si>
  <si>
    <t>All-cause mortality (per 100 men);
0-&lt;14 years after randomisation;
intervention vs control</t>
  </si>
  <si>
    <t>Deaths from all causes; &lt;14 years after randomisation</t>
  </si>
  <si>
    <t>Calculated by reviewer only - +9 would be 28,406. Table 2 reports 28,306 total deaths though. Text also says 28,306.</t>
  </si>
  <si>
    <r>
      <t xml:space="preserve">Absolute incidence of prostate cancer with Gleason score </t>
    </r>
    <r>
      <rPr>
        <sz val="10"/>
        <rFont val="Calibri"/>
        <family val="2"/>
      </rPr>
      <t>≤6 at diagnosis (per 1,000 PY); 
10-year median follow-up (&lt;15 years);
Intervention vs control</t>
    </r>
  </si>
  <si>
    <t>≤6</t>
  </si>
  <si>
    <t>Public Health England and Public Health Wales, and supplemented with routine hospital data from the study centers.</t>
  </si>
  <si>
    <t>Person years were calculated until cancer diagnosis, death or censoring.</t>
  </si>
  <si>
    <t>Up to 14 years</t>
  </si>
  <si>
    <t>1,808,031 PY
Mean 9.5 years</t>
  </si>
  <si>
    <t>2,063,912 PY
Mean 9.4 years</t>
  </si>
  <si>
    <t>Gleason score not recorded</t>
  </si>
  <si>
    <r>
      <t xml:space="preserve">Number of prostate cancers with Gleason grade at diagnosis recorded as </t>
    </r>
    <r>
      <rPr>
        <sz val="10"/>
        <rFont val="Calibri"/>
        <family val="2"/>
      </rPr>
      <t>≤6; 10-year median follow-up.</t>
    </r>
    <r>
      <rPr>
        <sz val="10"/>
        <rFont val="Calibri"/>
        <family val="2"/>
        <scheme val="minor"/>
      </rPr>
      <t xml:space="preserve">
Gleason score was calculated as the summation of the primary and secondary Gleason grades.</t>
    </r>
  </si>
  <si>
    <t>Person years up to 31 March 2016 (median 10-year follow-up)</t>
  </si>
  <si>
    <t>Per 1,000 PY</t>
  </si>
  <si>
    <t>Table 3</t>
  </si>
  <si>
    <t>Calculated by reviewer, per person-years of follow-up</t>
  </si>
  <si>
    <r>
      <t xml:space="preserve">Absolute incidence of prostate cancer with Gleason score </t>
    </r>
    <r>
      <rPr>
        <sz val="10"/>
        <rFont val="Calibri"/>
        <family val="2"/>
      </rPr>
      <t>≤6 at diagnosis (per 100 men);
10-year median follow-up (&lt;15 years);
Intervention vs control</t>
    </r>
  </si>
  <si>
    <r>
      <t xml:space="preserve">Number of prostate cancers with Gleason grade at diagnosis recorded as </t>
    </r>
    <r>
      <rPr>
        <sz val="10"/>
        <rFont val="Calibri"/>
        <family val="2"/>
      </rPr>
      <t>≤6; 10-year median follow-up</t>
    </r>
    <r>
      <rPr>
        <sz val="10"/>
        <rFont val="Calibri"/>
        <family val="2"/>
        <scheme val="minor"/>
      </rPr>
      <t>.
Gleason score was calculated as the summation of the primary and secondary Gleason grades.</t>
    </r>
  </si>
  <si>
    <t>Number of men analysed</t>
  </si>
  <si>
    <t>&lt;0.001</t>
  </si>
  <si>
    <t>Table 3 and text: The proportion of men with low-grade prostate cancer (Gleason grade of ≤6) was 1.7% in the intervention group vs 1.1% in the control group (between-group difference, 6.11 per 1000 men [95% CI, 5.38 to 6.84]; P &lt; .001)</t>
  </si>
  <si>
    <r>
      <t>Absolute incidence of prostate cancer with Gleason score 7</t>
    </r>
    <r>
      <rPr>
        <sz val="10"/>
        <rFont val="Calibri"/>
        <family val="2"/>
      </rPr>
      <t xml:space="preserve"> at diagnosis (per 1,000 PY); 
10-year median follow-up (&lt;15 years);
Intervention vs control</t>
    </r>
  </si>
  <si>
    <t>Number of prostate cancers with Gleason grade at diagnosis recorded as 7; 10-year median follow-up.
Gleason score was calculated as the summation of the primary and secondary Gleason grades.</t>
  </si>
  <si>
    <r>
      <t>Absolute incidence of prostate cancer with Gleason score 7</t>
    </r>
    <r>
      <rPr>
        <sz val="10"/>
        <rFont val="Calibri"/>
        <family val="2"/>
      </rPr>
      <t xml:space="preserve"> at diagnosis (per 100 men); 
10-year median follow-up (&lt;15 years); 
Intervention vs control</t>
    </r>
  </si>
  <si>
    <t>p&lt;0.05</t>
  </si>
  <si>
    <t>Calculated by reviewer, per number of men analysed.
Between-group difference in incidence rate per 1,000 men: 
1.44 (0.73 to 2.16).</t>
  </si>
  <si>
    <r>
      <t xml:space="preserve">Absolute incidence of prostate cancer with Gleason score </t>
    </r>
    <r>
      <rPr>
        <sz val="10"/>
        <rFont val="Calibri"/>
        <family val="2"/>
      </rPr>
      <t xml:space="preserve">≥8 at diagnosis (per 1,000 PY);
10-year median follow-up (&lt;15 years);  
Intervention vs control
</t>
    </r>
  </si>
  <si>
    <t xml:space="preserve"> ≥8</t>
  </si>
  <si>
    <t>Number of prostate cancers with Gleason grade at diagnosis recorded as ≥8; 10-year median follow-up.
Gleason score was calculated as the summation of the primary and secondary Gleason grades.</t>
  </si>
  <si>
    <r>
      <t>Absolute incidence of prostate cancer with Gleason score ≥8</t>
    </r>
    <r>
      <rPr>
        <sz val="10"/>
        <rFont val="Calibri"/>
        <family val="2"/>
      </rPr>
      <t xml:space="preserve"> at diagnosis (per 100 men);
10-year median follow-up (&lt;15 years); 
Intervention vs control</t>
    </r>
  </si>
  <si>
    <t>Number of prostate cancers with Gleason grade at diagnosis recorded as  ≥8; 10-year median follow-up.
Gleason score was calculated as the summation of the primary and secondary Gleason grades.</t>
  </si>
  <si>
    <t>Table 3 and text: high-grade prostate cancer (Gleason grade of ≥8), 0.7% vs 0.7% (between-group difference, −0.58 per 1000 men [95% CI, −1.09 to −0.06]; P = .03);</t>
  </si>
  <si>
    <r>
      <t>% of prostate cancer with Gleason score  ≥8</t>
    </r>
    <r>
      <rPr>
        <sz val="10"/>
        <rFont val="Calibri"/>
        <family val="2"/>
      </rPr>
      <t xml:space="preserve"> at diagnosis (per all prostate cancers diagnosed); 
10-year median follow-up (&lt;15 years); 
Intervention vs control</t>
    </r>
  </si>
  <si>
    <t>Number of prostate cancers with Gleason grade at diagnosis recorded as ≥8; 10-year median follow-up. 
Gleason score was calculated as the summation of the primary and secondary Gleason grades.</t>
  </si>
  <si>
    <t>Number of all prostate cancers diagnosed within median 10-year follow-up (including cancers with missing Gleason score)</t>
  </si>
  <si>
    <t>% of all target cancers</t>
  </si>
  <si>
    <t xml:space="preserve">Table 3, eTable 6 and eFigures 3 and 4.
</t>
  </si>
  <si>
    <t>% reported in the paper exclude the cancers with missing data on Gleason score.
% reported in eFigures 3 and 4 do not match with % calculated from Table 3 and % reported in eTable 6. Think in eFigures 3 and 4, there is a mix up of numbers/% between Gleason score and TNM stage.</t>
  </si>
  <si>
    <r>
      <t xml:space="preserve">Absolute incidence of prostate cancer with Gleason score </t>
    </r>
    <r>
      <rPr>
        <sz val="10"/>
        <rFont val="Calibri"/>
        <family val="2"/>
      </rPr>
      <t>≤6 at diagnosis (per 1,000 PY); 
diagnosis within 18 months of randomisation (screening phase); 
Intervention vs control</t>
    </r>
  </si>
  <si>
    <t>&lt;18 months</t>
  </si>
  <si>
    <t>279,388 PY
Mean 1.5 years</t>
  </si>
  <si>
    <t>326,081 PY
Mean 1.5 years</t>
  </si>
  <si>
    <r>
      <t xml:space="preserve">Number of prostate cancers with Gleason grade at diagnosis recorded as </t>
    </r>
    <r>
      <rPr>
        <sz val="10"/>
        <rFont val="Calibri"/>
        <family val="2"/>
      </rPr>
      <t>≤6, diagnosis within 18 months of randomisation.</t>
    </r>
    <r>
      <rPr>
        <sz val="10"/>
        <rFont val="Calibri"/>
        <family val="2"/>
        <scheme val="minor"/>
      </rPr>
      <t xml:space="preserve">
Gleason score was calculated as the summation of the primary and secondary Gleason grades.</t>
    </r>
  </si>
  <si>
    <t>Person years (18 months follow-up)</t>
  </si>
  <si>
    <t xml:space="preserve">eTable 4 </t>
  </si>
  <si>
    <t>Calculated by reviewer, per person-years follow-up.
Initial 18-month screening period.</t>
  </si>
  <si>
    <r>
      <t xml:space="preserve">Absolute incidence of prostate cancer with Gleason score </t>
    </r>
    <r>
      <rPr>
        <sz val="10"/>
        <rFont val="Calibri"/>
        <family val="2"/>
      </rPr>
      <t>≤6 at diagnosis (per 100 men); 
diagnosis within 18 months of randomisation (screening phase);
Intervention vs control</t>
    </r>
  </si>
  <si>
    <t>eTable 4 and text: The higher proportion of low-grade and early-stage prostate cancer in the intervention group was related to large
between-group differences during the screening phase</t>
  </si>
  <si>
    <t>Per number of men analysed.
Initial 18-month screening period.</t>
  </si>
  <si>
    <r>
      <t>Absolute incidence of prostate cancer with Gleason score 7</t>
    </r>
    <r>
      <rPr>
        <sz val="10"/>
        <rFont val="Calibri"/>
        <family val="2"/>
      </rPr>
      <t xml:space="preserve"> at diagnosis (per 1,000 PY); 
diagnosis within 18 months of randomisation (screening phase); 
Intervention vs control</t>
    </r>
  </si>
  <si>
    <r>
      <t>Number of prostate cancers with Gleason grade at diagnosis recorded as 7</t>
    </r>
    <r>
      <rPr>
        <sz val="10"/>
        <rFont val="Calibri"/>
        <family val="2"/>
      </rPr>
      <t>, diagnosis within 18 months of randomisation.</t>
    </r>
    <r>
      <rPr>
        <sz val="10"/>
        <rFont val="Calibri"/>
        <family val="2"/>
        <scheme val="minor"/>
      </rPr>
      <t xml:space="preserve">
Gleason score was calculated as the summation of the primary and secondary Gleason grades.</t>
    </r>
  </si>
  <si>
    <t>eTable 4</t>
  </si>
  <si>
    <r>
      <t>Absolute incidence of prostate cancer with Gleason score 7</t>
    </r>
    <r>
      <rPr>
        <sz val="10"/>
        <rFont val="Calibri"/>
        <family val="2"/>
      </rPr>
      <t xml:space="preserve"> at diagnosis (per 100 men); diagnosis within 18 months of randomisation (screening phase); 
Intervention vs control</t>
    </r>
  </si>
  <si>
    <r>
      <t xml:space="preserve">Absolute incidence of prostate cancer with Gleason score </t>
    </r>
    <r>
      <rPr>
        <sz val="10"/>
        <rFont val="Calibri"/>
        <family val="2"/>
      </rPr>
      <t>≥8 at diagnosis (per 1,000 PY); 
diagnosis within 18 months of randomisation (screening phase); 
Intervention vs control</t>
    </r>
  </si>
  <si>
    <t>≥8</t>
  </si>
  <si>
    <r>
      <t>Number of prostate cancers with Gleason grade at diagnosis recorded as ≥8</t>
    </r>
    <r>
      <rPr>
        <sz val="10"/>
        <rFont val="Calibri"/>
        <family val="2"/>
      </rPr>
      <t>, diagnosis within 18 months of randomisation.</t>
    </r>
    <r>
      <rPr>
        <sz val="10"/>
        <rFont val="Calibri"/>
        <family val="2"/>
        <scheme val="minor"/>
      </rPr>
      <t xml:space="preserve">
Gleason score was calculated as the summation of the primary and secondary Gleason grades.</t>
    </r>
  </si>
  <si>
    <r>
      <t>Absolute incidence of prostate cancer with Gleason score ≥8</t>
    </r>
    <r>
      <rPr>
        <sz val="10"/>
        <rFont val="Calibri"/>
        <family val="2"/>
      </rPr>
      <t xml:space="preserve"> at diagnosis (per 100 men); 
diagnosis within 18 months of randomisation (screening phase); 
Intervention vs control</t>
    </r>
  </si>
  <si>
    <r>
      <t>% of prostate cancer with Gleason score  ≥8</t>
    </r>
    <r>
      <rPr>
        <sz val="10"/>
        <rFont val="Calibri"/>
        <family val="2"/>
      </rPr>
      <t xml:space="preserve"> at diagnosis (per all prostate cancers diagnosed); 
diagnosis within 18 months of randomisation (screening phase);
Intervention vs control</t>
    </r>
  </si>
  <si>
    <t>Number of prostate cancers with Gleason grade at diagnosis recorded as ≥8; diagnosis within 18 months of randomisation. 
Gleason score was calculated as the summation of the primary and secondary Gleason grades.</t>
  </si>
  <si>
    <t>Number of all prostate cancers diagnosed within 18 months of follow-up</t>
  </si>
  <si>
    <t>Calculated by reviewer, per all prostate cancer cases (including cases with no record on Gleason score).
Initial 18-month screening period.</t>
  </si>
  <si>
    <r>
      <t xml:space="preserve">Absolute incidence of prostate cancer with Gleason score </t>
    </r>
    <r>
      <rPr>
        <sz val="10"/>
        <rFont val="Calibri"/>
        <family val="2"/>
      </rPr>
      <t>≤</t>
    </r>
    <r>
      <rPr>
        <sz val="9"/>
        <rFont val="Calibri"/>
        <family val="2"/>
      </rPr>
      <t>6</t>
    </r>
    <r>
      <rPr>
        <sz val="10"/>
        <rFont val="Calibri"/>
        <family val="2"/>
      </rPr>
      <t xml:space="preserve"> at diagnosis (per 100 men); 
&lt;1 year of follow-up;
Intervention vs control</t>
    </r>
  </si>
  <si>
    <r>
      <t xml:space="preserve">Number of prostate cancers with Gleason grade at diagnosis recorded as </t>
    </r>
    <r>
      <rPr>
        <sz val="10"/>
        <rFont val="Calibri"/>
        <family val="2"/>
      </rPr>
      <t>≤</t>
    </r>
    <r>
      <rPr>
        <sz val="9"/>
        <rFont val="Calibri"/>
        <family val="2"/>
      </rPr>
      <t>6</t>
    </r>
    <r>
      <rPr>
        <sz val="10"/>
        <rFont val="Calibri"/>
        <family val="2"/>
      </rPr>
      <t>, &lt;1 year follow-up.</t>
    </r>
    <r>
      <rPr>
        <sz val="10"/>
        <rFont val="Calibri"/>
        <family val="2"/>
        <scheme val="minor"/>
      </rPr>
      <t xml:space="preserve">
Gleason score was calculated as the summation of the primary and secondary Gleason grades.</t>
    </r>
  </si>
  <si>
    <t>eFigure 3</t>
  </si>
  <si>
    <t>Calculated by reviewer, per 100 men analysed</t>
  </si>
  <si>
    <r>
      <t>Absolute incidence of prostate cancer with Gleason score 7</t>
    </r>
    <r>
      <rPr>
        <sz val="10"/>
        <rFont val="Calibri"/>
        <family val="2"/>
      </rPr>
      <t xml:space="preserve"> at diagnosis (per 100 men); 
&lt;1 year of follow-up;
Intervention vs control</t>
    </r>
  </si>
  <si>
    <r>
      <t>Number of prostate cancers with Gleason grade at diagnosis recorded as 7</t>
    </r>
    <r>
      <rPr>
        <sz val="10"/>
        <rFont val="Calibri"/>
        <family val="2"/>
      </rPr>
      <t>, &lt;1 year follow-up.</t>
    </r>
    <r>
      <rPr>
        <sz val="10"/>
        <rFont val="Calibri"/>
        <family val="2"/>
        <scheme val="minor"/>
      </rPr>
      <t xml:space="preserve">
Gleason score was calculated as the summation of the primary and secondary Gleason grades.</t>
    </r>
  </si>
  <si>
    <r>
      <t xml:space="preserve">Absolute incidence of prostate cancer with Gleason score </t>
    </r>
    <r>
      <rPr>
        <sz val="10"/>
        <rFont val="Calibri"/>
        <family val="2"/>
      </rPr>
      <t>≥</t>
    </r>
    <r>
      <rPr>
        <sz val="9"/>
        <rFont val="Calibri"/>
        <family val="2"/>
      </rPr>
      <t>8</t>
    </r>
    <r>
      <rPr>
        <sz val="10"/>
        <rFont val="Calibri"/>
        <family val="2"/>
      </rPr>
      <t xml:space="preserve"> at diagnosis (per 100 men); 
&lt;1 year of follow-up;
Intervention vs control</t>
    </r>
  </si>
  <si>
    <r>
      <t xml:space="preserve">Number of prostate cancers with Gleason grade at diagnosis recorded as </t>
    </r>
    <r>
      <rPr>
        <sz val="10"/>
        <rFont val="Calibri"/>
        <family val="2"/>
      </rPr>
      <t>≥</t>
    </r>
    <r>
      <rPr>
        <sz val="9"/>
        <rFont val="Calibri"/>
        <family val="2"/>
      </rPr>
      <t>8</t>
    </r>
    <r>
      <rPr>
        <sz val="10"/>
        <rFont val="Calibri"/>
        <family val="2"/>
      </rPr>
      <t>, &lt;1 year of follow-up.</t>
    </r>
    <r>
      <rPr>
        <sz val="10"/>
        <rFont val="Calibri"/>
        <family val="2"/>
        <scheme val="minor"/>
      </rPr>
      <t xml:space="preserve">
Gleason score was calculated as the summation of the primary and secondary Gleason grades.</t>
    </r>
  </si>
  <si>
    <r>
      <t xml:space="preserve">Absolute incidence of prostate cancer with Gleason score </t>
    </r>
    <r>
      <rPr>
        <sz val="10"/>
        <rFont val="Calibri"/>
        <family val="2"/>
      </rPr>
      <t>≤</t>
    </r>
    <r>
      <rPr>
        <sz val="9"/>
        <rFont val="Calibri"/>
        <family val="2"/>
      </rPr>
      <t>6</t>
    </r>
    <r>
      <rPr>
        <sz val="10"/>
        <rFont val="Calibri"/>
        <family val="2"/>
      </rPr>
      <t xml:space="preserve"> at diagnosis (per 100 men); 
&lt;2 years of follow-up;
Intervention vs control</t>
    </r>
  </si>
  <si>
    <r>
      <t xml:space="preserve">Number of prostate cancers with Gleason grade at diagnosis recorded as </t>
    </r>
    <r>
      <rPr>
        <sz val="10"/>
        <rFont val="Calibri"/>
        <family val="2"/>
      </rPr>
      <t>≤</t>
    </r>
    <r>
      <rPr>
        <sz val="9"/>
        <rFont val="Calibri"/>
        <family val="2"/>
      </rPr>
      <t>6</t>
    </r>
    <r>
      <rPr>
        <sz val="10"/>
        <rFont val="Calibri"/>
        <family val="2"/>
      </rPr>
      <t>, &lt;2 years of follow-up.</t>
    </r>
    <r>
      <rPr>
        <sz val="10"/>
        <rFont val="Calibri"/>
        <family val="2"/>
        <scheme val="minor"/>
      </rPr>
      <t xml:space="preserve">
Gleason score was calculated as the summation of the primary and secondary Gleason grades.</t>
    </r>
  </si>
  <si>
    <r>
      <t>Absolute incidence of prostate cancer with Gleason score 7</t>
    </r>
    <r>
      <rPr>
        <sz val="10"/>
        <rFont val="Calibri"/>
        <family val="2"/>
      </rPr>
      <t xml:space="preserve"> at diagnosis (per 100 men); 
&lt;2 years of follow-up;
Intervention vs control</t>
    </r>
  </si>
  <si>
    <r>
      <t>Number of prostate cancers with Gleason grade at diagnosis recorded as 7</t>
    </r>
    <r>
      <rPr>
        <sz val="10"/>
        <rFont val="Calibri"/>
        <family val="2"/>
      </rPr>
      <t>, &lt;2 years of follow-up.</t>
    </r>
    <r>
      <rPr>
        <sz val="10"/>
        <rFont val="Calibri"/>
        <family val="2"/>
        <scheme val="minor"/>
      </rPr>
      <t xml:space="preserve">
Gleason score was calculated as the summation of the primary and secondary Gleason grades.</t>
    </r>
  </si>
  <si>
    <r>
      <t xml:space="preserve">Absolute incidence of prostate cancer with Gleason score </t>
    </r>
    <r>
      <rPr>
        <sz val="10"/>
        <rFont val="Calibri"/>
        <family val="2"/>
      </rPr>
      <t>≥</t>
    </r>
    <r>
      <rPr>
        <sz val="9"/>
        <rFont val="Calibri"/>
        <family val="2"/>
      </rPr>
      <t>8</t>
    </r>
    <r>
      <rPr>
        <sz val="10"/>
        <rFont val="Calibri"/>
        <family val="2"/>
      </rPr>
      <t xml:space="preserve"> at diagnosis (per 100 men); 
&lt;2 years of follow-up;
Intervention vs control</t>
    </r>
  </si>
  <si>
    <r>
      <t xml:space="preserve">Number of prostate cancers with Gleason grade at diagnosis recorded as </t>
    </r>
    <r>
      <rPr>
        <sz val="10"/>
        <rFont val="Calibri"/>
        <family val="2"/>
      </rPr>
      <t>≥</t>
    </r>
    <r>
      <rPr>
        <sz val="9"/>
        <rFont val="Calibri"/>
        <family val="2"/>
      </rPr>
      <t>8</t>
    </r>
    <r>
      <rPr>
        <sz val="10"/>
        <rFont val="Calibri"/>
        <family val="2"/>
      </rPr>
      <t>, &lt;2 years of follow-up.</t>
    </r>
    <r>
      <rPr>
        <sz val="10"/>
        <rFont val="Calibri"/>
        <family val="2"/>
        <scheme val="minor"/>
      </rPr>
      <t xml:space="preserve">
Gleason score was calculated as the summation of the primary and secondary Gleason grades.</t>
    </r>
  </si>
  <si>
    <r>
      <t xml:space="preserve">Absolute incidence of prostate cancer with Gleason score </t>
    </r>
    <r>
      <rPr>
        <sz val="10"/>
        <rFont val="Calibri"/>
        <family val="2"/>
      </rPr>
      <t>≤</t>
    </r>
    <r>
      <rPr>
        <sz val="9"/>
        <rFont val="Calibri"/>
        <family val="2"/>
      </rPr>
      <t>6</t>
    </r>
    <r>
      <rPr>
        <sz val="10"/>
        <rFont val="Calibri"/>
        <family val="2"/>
      </rPr>
      <t xml:space="preserve"> at diagnosis (per 100 men); 
&lt;3 years of follow-up;
Intervention vs control</t>
    </r>
  </si>
  <si>
    <r>
      <t xml:space="preserve">Number of prostate cancers with Gleason grade at diagnosis recorded as </t>
    </r>
    <r>
      <rPr>
        <sz val="10"/>
        <rFont val="Calibri"/>
        <family val="2"/>
      </rPr>
      <t>≤</t>
    </r>
    <r>
      <rPr>
        <sz val="9"/>
        <rFont val="Calibri"/>
        <family val="2"/>
      </rPr>
      <t>6</t>
    </r>
    <r>
      <rPr>
        <sz val="10"/>
        <rFont val="Calibri"/>
        <family val="2"/>
      </rPr>
      <t>, &lt;3 years of follow-up.</t>
    </r>
    <r>
      <rPr>
        <sz val="10"/>
        <rFont val="Calibri"/>
        <family val="2"/>
        <scheme val="minor"/>
      </rPr>
      <t xml:space="preserve">
Gleason score was calculated as the summation of the primary and secondary Gleason grades.</t>
    </r>
  </si>
  <si>
    <r>
      <t>Absolute incidence of prostate cancer with Gleason score 7</t>
    </r>
    <r>
      <rPr>
        <sz val="10"/>
        <rFont val="Calibri"/>
        <family val="2"/>
      </rPr>
      <t xml:space="preserve"> at diagnosis (per 100 men); 
&lt;3 years of follow-up;
Intervention vs control</t>
    </r>
  </si>
  <si>
    <r>
      <t>Number of prostate cancers with Gleason grade at diagnosis recorded as 7</t>
    </r>
    <r>
      <rPr>
        <sz val="10"/>
        <rFont val="Calibri"/>
        <family val="2"/>
      </rPr>
      <t>, &lt;3 years of follow-up.</t>
    </r>
    <r>
      <rPr>
        <sz val="10"/>
        <rFont val="Calibri"/>
        <family val="2"/>
        <scheme val="minor"/>
      </rPr>
      <t xml:space="preserve">
Gleason score was calculated as the summation of the primary and secondary Gleason grades.</t>
    </r>
  </si>
  <si>
    <r>
      <t xml:space="preserve">Absolute incidence of prostate cancer with Gleason score </t>
    </r>
    <r>
      <rPr>
        <sz val="10"/>
        <rFont val="Calibri"/>
        <family val="2"/>
      </rPr>
      <t>≥</t>
    </r>
    <r>
      <rPr>
        <sz val="9"/>
        <rFont val="Calibri"/>
        <family val="2"/>
      </rPr>
      <t>8</t>
    </r>
    <r>
      <rPr>
        <sz val="10"/>
        <rFont val="Calibri"/>
        <family val="2"/>
      </rPr>
      <t xml:space="preserve"> at diagnosis (per 100 men); 
&lt;3 years of follow-up;
Intervention vs control</t>
    </r>
  </si>
  <si>
    <r>
      <t xml:space="preserve">Number of prostate cancers with Gleason grade at diagnosis recorded as </t>
    </r>
    <r>
      <rPr>
        <sz val="10"/>
        <rFont val="Calibri"/>
        <family val="2"/>
      </rPr>
      <t>≥</t>
    </r>
    <r>
      <rPr>
        <sz val="9"/>
        <rFont val="Calibri"/>
        <family val="2"/>
      </rPr>
      <t>8</t>
    </r>
    <r>
      <rPr>
        <sz val="10"/>
        <rFont val="Calibri"/>
        <family val="2"/>
      </rPr>
      <t>, &lt;3 years of follow-up.</t>
    </r>
    <r>
      <rPr>
        <sz val="10"/>
        <rFont val="Calibri"/>
        <family val="2"/>
        <scheme val="minor"/>
      </rPr>
      <t xml:space="preserve">
Gleason score was calculated as the summation of the primary and secondary Gleason grades.</t>
    </r>
  </si>
  <si>
    <r>
      <t xml:space="preserve">Absolute incidence of prostate cancer with Gleason score </t>
    </r>
    <r>
      <rPr>
        <sz val="10"/>
        <rFont val="Calibri"/>
        <family val="2"/>
      </rPr>
      <t>≤</t>
    </r>
    <r>
      <rPr>
        <sz val="9"/>
        <rFont val="Calibri"/>
        <family val="2"/>
      </rPr>
      <t>6</t>
    </r>
    <r>
      <rPr>
        <sz val="10"/>
        <rFont val="Calibri"/>
        <family val="2"/>
      </rPr>
      <t xml:space="preserve"> at diagnosis (per 100 men); 
&lt;4 years of follow-up;
Intervention vs control</t>
    </r>
  </si>
  <si>
    <r>
      <t xml:space="preserve">Number of prostate cancers with Gleason grade at diagnosis recorded as </t>
    </r>
    <r>
      <rPr>
        <sz val="10"/>
        <rFont val="Calibri"/>
        <family val="2"/>
      </rPr>
      <t>≤</t>
    </r>
    <r>
      <rPr>
        <sz val="9"/>
        <rFont val="Calibri"/>
        <family val="2"/>
      </rPr>
      <t>6</t>
    </r>
    <r>
      <rPr>
        <sz val="10"/>
        <rFont val="Calibri"/>
        <family val="2"/>
      </rPr>
      <t>, &lt;4 years of follow-up.</t>
    </r>
    <r>
      <rPr>
        <sz val="10"/>
        <rFont val="Calibri"/>
        <family val="2"/>
        <scheme val="minor"/>
      </rPr>
      <t xml:space="preserve">
Gleason score was calculated as the summation of the primary and secondary Gleason grades.</t>
    </r>
  </si>
  <si>
    <r>
      <t>Absolute incidence of prostate cancer with Gleason score 7</t>
    </r>
    <r>
      <rPr>
        <sz val="10"/>
        <rFont val="Calibri"/>
        <family val="2"/>
      </rPr>
      <t xml:space="preserve"> at diagnosis (per 100 men); 
&lt;4 years of follow-up;
Intervention vs control</t>
    </r>
  </si>
  <si>
    <r>
      <t>Number of prostate cancers with Gleason grade at diagnosis recorded as 7</t>
    </r>
    <r>
      <rPr>
        <sz val="10"/>
        <rFont val="Calibri"/>
        <family val="2"/>
      </rPr>
      <t>, &lt;4 years of follow-up.</t>
    </r>
    <r>
      <rPr>
        <sz val="10"/>
        <rFont val="Calibri"/>
        <family val="2"/>
        <scheme val="minor"/>
      </rPr>
      <t xml:space="preserve">
Gleason score was calculated as the summation of the primary and secondary Gleason grades.</t>
    </r>
  </si>
  <si>
    <r>
      <t xml:space="preserve">Absolute incidence of prostate cancer with Gleason score </t>
    </r>
    <r>
      <rPr>
        <sz val="10"/>
        <rFont val="Calibri"/>
        <family val="2"/>
      </rPr>
      <t>≥</t>
    </r>
    <r>
      <rPr>
        <sz val="9"/>
        <rFont val="Calibri"/>
        <family val="2"/>
      </rPr>
      <t>8</t>
    </r>
    <r>
      <rPr>
        <sz val="10"/>
        <rFont val="Calibri"/>
        <family val="2"/>
      </rPr>
      <t xml:space="preserve"> at diagnosis (per 100 men); 
&lt;4 years of follow-up;
Intervention vs control</t>
    </r>
  </si>
  <si>
    <r>
      <t xml:space="preserve">Number of prostate cancers with Gleason grade at diagnosis recorded as </t>
    </r>
    <r>
      <rPr>
        <sz val="10"/>
        <rFont val="Calibri"/>
        <family val="2"/>
      </rPr>
      <t>≥</t>
    </r>
    <r>
      <rPr>
        <sz val="9"/>
        <rFont val="Calibri"/>
        <family val="2"/>
      </rPr>
      <t>8</t>
    </r>
    <r>
      <rPr>
        <sz val="10"/>
        <rFont val="Calibri"/>
        <family val="2"/>
      </rPr>
      <t>, &lt;4 years of follow-up.</t>
    </r>
    <r>
      <rPr>
        <sz val="10"/>
        <rFont val="Calibri"/>
        <family val="2"/>
        <scheme val="minor"/>
      </rPr>
      <t xml:space="preserve">
Gleason score was calculated as the summation of the primary and secondary Gleason grades.</t>
    </r>
  </si>
  <si>
    <r>
      <t xml:space="preserve">Absolute incidence of prostate cancer with Gleason score </t>
    </r>
    <r>
      <rPr>
        <sz val="10"/>
        <rFont val="Calibri"/>
        <family val="2"/>
      </rPr>
      <t>≤</t>
    </r>
    <r>
      <rPr>
        <sz val="9"/>
        <rFont val="Calibri"/>
        <family val="2"/>
      </rPr>
      <t>6</t>
    </r>
    <r>
      <rPr>
        <sz val="10"/>
        <rFont val="Calibri"/>
        <family val="2"/>
      </rPr>
      <t xml:space="preserve"> at diagnosis (per 100 men); 
&lt;5 years of follow-up;
Intervention vs control</t>
    </r>
  </si>
  <si>
    <r>
      <t xml:space="preserve">Number of prostate cancers with Gleason grade at diagnosis recorded as </t>
    </r>
    <r>
      <rPr>
        <sz val="10"/>
        <rFont val="Calibri"/>
        <family val="2"/>
      </rPr>
      <t>≤</t>
    </r>
    <r>
      <rPr>
        <sz val="9"/>
        <rFont val="Calibri"/>
        <family val="2"/>
      </rPr>
      <t>6</t>
    </r>
    <r>
      <rPr>
        <sz val="10"/>
        <rFont val="Calibri"/>
        <family val="2"/>
      </rPr>
      <t>, &lt;5 years of follow-up.</t>
    </r>
    <r>
      <rPr>
        <sz val="10"/>
        <rFont val="Calibri"/>
        <family val="2"/>
        <scheme val="minor"/>
      </rPr>
      <t xml:space="preserve">
Gleason score was calculated as the summation of the primary and secondary Gleason grades.</t>
    </r>
  </si>
  <si>
    <r>
      <t>Absolute incidence of prostate cancer with Gleason score 7</t>
    </r>
    <r>
      <rPr>
        <sz val="10"/>
        <rFont val="Calibri"/>
        <family val="2"/>
      </rPr>
      <t xml:space="preserve"> at diagnosis (per 100 men); 
&lt;5 years of follow-up;
Intervention vs control</t>
    </r>
  </si>
  <si>
    <r>
      <t>Number of prostate cancers with Gleason grade at diagnosis recorded as 7</t>
    </r>
    <r>
      <rPr>
        <sz val="10"/>
        <rFont val="Calibri"/>
        <family val="2"/>
      </rPr>
      <t>, &lt;5 years of follow-up.</t>
    </r>
    <r>
      <rPr>
        <sz val="10"/>
        <rFont val="Calibri"/>
        <family val="2"/>
        <scheme val="minor"/>
      </rPr>
      <t xml:space="preserve">
Gleason score was calculated as the summation of the primary and secondary Gleason grades.</t>
    </r>
  </si>
  <si>
    <r>
      <t xml:space="preserve">Absolute incidence of prostate cancer with Gleason score </t>
    </r>
    <r>
      <rPr>
        <sz val="10"/>
        <rFont val="Calibri"/>
        <family val="2"/>
      </rPr>
      <t>≥</t>
    </r>
    <r>
      <rPr>
        <sz val="9"/>
        <rFont val="Calibri"/>
        <family val="2"/>
      </rPr>
      <t>8</t>
    </r>
    <r>
      <rPr>
        <sz val="10"/>
        <rFont val="Calibri"/>
        <family val="2"/>
      </rPr>
      <t xml:space="preserve"> at diagnosis (per 100 men); 
&lt;5 years of follow-up;
Intervention vs control</t>
    </r>
  </si>
  <si>
    <r>
      <t xml:space="preserve">Number of prostate cancers with Gleason grade at diagnosis recorded as </t>
    </r>
    <r>
      <rPr>
        <sz val="10"/>
        <rFont val="Calibri"/>
        <family val="2"/>
      </rPr>
      <t>≥</t>
    </r>
    <r>
      <rPr>
        <sz val="9"/>
        <rFont val="Calibri"/>
        <family val="2"/>
      </rPr>
      <t>8</t>
    </r>
    <r>
      <rPr>
        <sz val="10"/>
        <rFont val="Calibri"/>
        <family val="2"/>
      </rPr>
      <t>, &lt;5 years of follow-up.</t>
    </r>
    <r>
      <rPr>
        <sz val="10"/>
        <rFont val="Calibri"/>
        <family val="2"/>
        <scheme val="minor"/>
      </rPr>
      <t xml:space="preserve">
Gleason score was calculated as the summation of the primary and secondary Gleason grades.</t>
    </r>
  </si>
  <si>
    <r>
      <t xml:space="preserve">Absolute incidence of prostate cancer with Gleason score </t>
    </r>
    <r>
      <rPr>
        <sz val="10"/>
        <rFont val="Calibri"/>
        <family val="2"/>
      </rPr>
      <t>≤</t>
    </r>
    <r>
      <rPr>
        <sz val="9"/>
        <rFont val="Calibri"/>
        <family val="2"/>
      </rPr>
      <t>6</t>
    </r>
    <r>
      <rPr>
        <sz val="10"/>
        <rFont val="Calibri"/>
        <family val="2"/>
      </rPr>
      <t xml:space="preserve"> at diagnosis (per 100 men); 
&lt;6 years of follow-up;
Intervention vs control</t>
    </r>
  </si>
  <si>
    <r>
      <t xml:space="preserve">Number of prostate cancers with Gleason grade at diagnosis recorded as </t>
    </r>
    <r>
      <rPr>
        <sz val="10"/>
        <rFont val="Calibri"/>
        <family val="2"/>
      </rPr>
      <t>≤</t>
    </r>
    <r>
      <rPr>
        <sz val="9"/>
        <rFont val="Calibri"/>
        <family val="2"/>
      </rPr>
      <t>6</t>
    </r>
    <r>
      <rPr>
        <sz val="10"/>
        <rFont val="Calibri"/>
        <family val="2"/>
      </rPr>
      <t>, &lt;6 years of follow-up.</t>
    </r>
    <r>
      <rPr>
        <sz val="10"/>
        <rFont val="Calibri"/>
        <family val="2"/>
        <scheme val="minor"/>
      </rPr>
      <t xml:space="preserve">
Gleason score was calculated as the summation of the primary and secondary Gleason grades.</t>
    </r>
  </si>
  <si>
    <r>
      <t>Absolute incidence of prostate cancer with Gleason score 7</t>
    </r>
    <r>
      <rPr>
        <sz val="10"/>
        <rFont val="Calibri"/>
        <family val="2"/>
      </rPr>
      <t xml:space="preserve"> at diagnosis (per 100 men); 
&lt;6 years of follow-up;
Intervention vs control</t>
    </r>
  </si>
  <si>
    <r>
      <t>Number of prostate cancers with Gleason grade at diagnosis recorded as 7</t>
    </r>
    <r>
      <rPr>
        <sz val="10"/>
        <rFont val="Calibri"/>
        <family val="2"/>
      </rPr>
      <t>, &lt;6 years of follow-up.</t>
    </r>
    <r>
      <rPr>
        <sz val="10"/>
        <rFont val="Calibri"/>
        <family val="2"/>
        <scheme val="minor"/>
      </rPr>
      <t xml:space="preserve">
Gleason score was calculated as the summation of the primary and secondary Gleason grades.</t>
    </r>
  </si>
  <si>
    <r>
      <t xml:space="preserve">Absolute incidence of prostate cancer with Gleason score </t>
    </r>
    <r>
      <rPr>
        <sz val="10"/>
        <rFont val="Calibri"/>
        <family val="2"/>
      </rPr>
      <t>≥</t>
    </r>
    <r>
      <rPr>
        <sz val="9"/>
        <rFont val="Calibri"/>
        <family val="2"/>
      </rPr>
      <t>8</t>
    </r>
    <r>
      <rPr>
        <sz val="10"/>
        <rFont val="Calibri"/>
        <family val="2"/>
      </rPr>
      <t xml:space="preserve"> at diagnosis (per 100 men); 
&lt;6 years of follow-up;
Intervention vs control</t>
    </r>
  </si>
  <si>
    <r>
      <t xml:space="preserve">Number of prostate cancers with Gleason grade at diagnosis recorded as </t>
    </r>
    <r>
      <rPr>
        <sz val="10"/>
        <rFont val="Calibri"/>
        <family val="2"/>
      </rPr>
      <t>≥</t>
    </r>
    <r>
      <rPr>
        <sz val="9"/>
        <rFont val="Calibri"/>
        <family val="2"/>
      </rPr>
      <t>8</t>
    </r>
    <r>
      <rPr>
        <sz val="10"/>
        <rFont val="Calibri"/>
        <family val="2"/>
      </rPr>
      <t>, &lt;6 years of follow-up.</t>
    </r>
    <r>
      <rPr>
        <sz val="10"/>
        <rFont val="Calibri"/>
        <family val="2"/>
        <scheme val="minor"/>
      </rPr>
      <t xml:space="preserve">
Gleason score was calculated as the summation of the primary and secondary Gleason grades.</t>
    </r>
  </si>
  <si>
    <r>
      <t xml:space="preserve">Absolute incidence of prostate cancer with Gleason score </t>
    </r>
    <r>
      <rPr>
        <sz val="10"/>
        <rFont val="Calibri"/>
        <family val="2"/>
      </rPr>
      <t>≤</t>
    </r>
    <r>
      <rPr>
        <sz val="9"/>
        <rFont val="Calibri"/>
        <family val="2"/>
      </rPr>
      <t>6</t>
    </r>
    <r>
      <rPr>
        <sz val="10"/>
        <rFont val="Calibri"/>
        <family val="2"/>
      </rPr>
      <t xml:space="preserve"> at diagnosis (per 100 men); 
&lt;7 years of follow-up;
Intervention vs control</t>
    </r>
  </si>
  <si>
    <r>
      <t xml:space="preserve">Number of prostate cancers with Gleason grade at diagnosis recorded as </t>
    </r>
    <r>
      <rPr>
        <sz val="10"/>
        <rFont val="Calibri"/>
        <family val="2"/>
      </rPr>
      <t>≤</t>
    </r>
    <r>
      <rPr>
        <sz val="9"/>
        <rFont val="Calibri"/>
        <family val="2"/>
      </rPr>
      <t>6</t>
    </r>
    <r>
      <rPr>
        <sz val="10"/>
        <rFont val="Calibri"/>
        <family val="2"/>
      </rPr>
      <t>, &lt;7 years of follow-up.</t>
    </r>
    <r>
      <rPr>
        <sz val="10"/>
        <rFont val="Calibri"/>
        <family val="2"/>
        <scheme val="minor"/>
      </rPr>
      <t xml:space="preserve">
Gleason score was calculated as the summation of the primary and secondary Gleason grades.</t>
    </r>
  </si>
  <si>
    <r>
      <t>Absolute incidence of prostate cancer with Gleason score 7</t>
    </r>
    <r>
      <rPr>
        <sz val="10"/>
        <rFont val="Calibri"/>
        <family val="2"/>
      </rPr>
      <t xml:space="preserve"> at diagnosis (per 100 men); 
&lt;7 years of follow-up;
Intervention vs control</t>
    </r>
  </si>
  <si>
    <r>
      <t>Number of prostate cancers with Gleason grade at diagnosis recorded as 7</t>
    </r>
    <r>
      <rPr>
        <sz val="10"/>
        <rFont val="Calibri"/>
        <family val="2"/>
      </rPr>
      <t>, &lt;7 years of follow-up.</t>
    </r>
    <r>
      <rPr>
        <sz val="10"/>
        <rFont val="Calibri"/>
        <family val="2"/>
        <scheme val="minor"/>
      </rPr>
      <t xml:space="preserve">
Gleason score was calculated as the summation of the primary and secondary Gleason grades.</t>
    </r>
  </si>
  <si>
    <r>
      <t xml:space="preserve">Absolute incidence of prostate cancer with Gleason score </t>
    </r>
    <r>
      <rPr>
        <sz val="10"/>
        <rFont val="Calibri"/>
        <family val="2"/>
      </rPr>
      <t>≥</t>
    </r>
    <r>
      <rPr>
        <sz val="9"/>
        <rFont val="Calibri"/>
        <family val="2"/>
      </rPr>
      <t>8</t>
    </r>
    <r>
      <rPr>
        <sz val="10"/>
        <rFont val="Calibri"/>
        <family val="2"/>
      </rPr>
      <t xml:space="preserve"> at diagnosis (per 100 men); 
&lt;7 years of follow-up;
Intervention vs control</t>
    </r>
  </si>
  <si>
    <r>
      <t xml:space="preserve">Number of prostate cancers with Gleason grade at diagnosis recorded as </t>
    </r>
    <r>
      <rPr>
        <sz val="10"/>
        <rFont val="Calibri"/>
        <family val="2"/>
      </rPr>
      <t>≥</t>
    </r>
    <r>
      <rPr>
        <sz val="9"/>
        <rFont val="Calibri"/>
        <family val="2"/>
      </rPr>
      <t>8</t>
    </r>
    <r>
      <rPr>
        <sz val="10"/>
        <rFont val="Calibri"/>
        <family val="2"/>
      </rPr>
      <t>, &lt;7 years of follow-up.</t>
    </r>
    <r>
      <rPr>
        <sz val="10"/>
        <rFont val="Calibri"/>
        <family val="2"/>
        <scheme val="minor"/>
      </rPr>
      <t xml:space="preserve">
Gleason score was calculated as the summation of the primary and secondary Gleason grades.</t>
    </r>
  </si>
  <si>
    <r>
      <t xml:space="preserve">Absolute incidence of prostate cancer with Gleason score </t>
    </r>
    <r>
      <rPr>
        <sz val="10"/>
        <rFont val="Calibri"/>
        <family val="2"/>
      </rPr>
      <t>≤</t>
    </r>
    <r>
      <rPr>
        <sz val="9"/>
        <rFont val="Calibri"/>
        <family val="2"/>
      </rPr>
      <t>6</t>
    </r>
    <r>
      <rPr>
        <sz val="10"/>
        <rFont val="Calibri"/>
        <family val="2"/>
      </rPr>
      <t xml:space="preserve"> at diagnosis (per 100 men); 
&lt;8 years of follow-up;
Intervention vs control</t>
    </r>
  </si>
  <si>
    <r>
      <t xml:space="preserve">Number of prostate cancers with Gleason grade at diagnosis recorded as </t>
    </r>
    <r>
      <rPr>
        <sz val="10"/>
        <rFont val="Calibri"/>
        <family val="2"/>
      </rPr>
      <t>≤</t>
    </r>
    <r>
      <rPr>
        <sz val="9"/>
        <rFont val="Calibri"/>
        <family val="2"/>
      </rPr>
      <t>6</t>
    </r>
    <r>
      <rPr>
        <sz val="10"/>
        <rFont val="Calibri"/>
        <family val="2"/>
      </rPr>
      <t>, &lt;8 years of follow-up.</t>
    </r>
    <r>
      <rPr>
        <sz val="10"/>
        <rFont val="Calibri"/>
        <family val="2"/>
        <scheme val="minor"/>
      </rPr>
      <t xml:space="preserve">
Gleason score was calculated as the summation of the primary and secondary Gleason grades.</t>
    </r>
  </si>
  <si>
    <r>
      <t>Absolute incidence of prostate cancer with Gleason score 7</t>
    </r>
    <r>
      <rPr>
        <sz val="10"/>
        <rFont val="Calibri"/>
        <family val="2"/>
      </rPr>
      <t xml:space="preserve"> at diagnosis (per 100 men); 
&lt;8 years of follow-up;
Intervention vs control</t>
    </r>
  </si>
  <si>
    <r>
      <t>Number of prostate cancers with Gleason grade at diagnosis recorded as 7</t>
    </r>
    <r>
      <rPr>
        <sz val="10"/>
        <rFont val="Calibri"/>
        <family val="2"/>
      </rPr>
      <t>, &lt;8 years of follow-up.</t>
    </r>
    <r>
      <rPr>
        <sz val="10"/>
        <rFont val="Calibri"/>
        <family val="2"/>
        <scheme val="minor"/>
      </rPr>
      <t xml:space="preserve">
Gleason score was calculated as the summation of the primary and secondary Gleason grades.</t>
    </r>
  </si>
  <si>
    <r>
      <t xml:space="preserve">Absolute incidence of prostate cancer with Gleason score </t>
    </r>
    <r>
      <rPr>
        <sz val="10"/>
        <rFont val="Calibri"/>
        <family val="2"/>
      </rPr>
      <t>≥</t>
    </r>
    <r>
      <rPr>
        <sz val="9"/>
        <rFont val="Calibri"/>
        <family val="2"/>
      </rPr>
      <t>8</t>
    </r>
    <r>
      <rPr>
        <sz val="10"/>
        <rFont val="Calibri"/>
        <family val="2"/>
      </rPr>
      <t xml:space="preserve"> at diagnosis (per 100 men); 
&lt;8 years of follow-up;
Intervention vs control</t>
    </r>
  </si>
  <si>
    <r>
      <t xml:space="preserve">Number of prostate cancers with Gleason grade at diagnosis recorded as </t>
    </r>
    <r>
      <rPr>
        <sz val="10"/>
        <rFont val="Calibri"/>
        <family val="2"/>
      </rPr>
      <t>≥</t>
    </r>
    <r>
      <rPr>
        <sz val="9"/>
        <rFont val="Calibri"/>
        <family val="2"/>
      </rPr>
      <t>8</t>
    </r>
    <r>
      <rPr>
        <sz val="10"/>
        <rFont val="Calibri"/>
        <family val="2"/>
      </rPr>
      <t>, &lt;8 years of follow-up.</t>
    </r>
    <r>
      <rPr>
        <sz val="10"/>
        <rFont val="Calibri"/>
        <family val="2"/>
        <scheme val="minor"/>
      </rPr>
      <t xml:space="preserve">
Gleason score was calculated as the summation of the primary and secondary Gleason grades.</t>
    </r>
  </si>
  <si>
    <r>
      <t xml:space="preserve">Absolute incidence of prostate cancer with Gleason score </t>
    </r>
    <r>
      <rPr>
        <sz val="10"/>
        <rFont val="Calibri"/>
        <family val="2"/>
      </rPr>
      <t>≤</t>
    </r>
    <r>
      <rPr>
        <sz val="9"/>
        <rFont val="Calibri"/>
        <family val="2"/>
      </rPr>
      <t>6</t>
    </r>
    <r>
      <rPr>
        <sz val="10"/>
        <rFont val="Calibri"/>
        <family val="2"/>
      </rPr>
      <t xml:space="preserve"> at diagnosis (per 100 men); 
&lt;9 years of follow-up;
Intervention vs control</t>
    </r>
  </si>
  <si>
    <r>
      <t xml:space="preserve">Number of prostate cancers with Gleason grade at diagnosis recorded as </t>
    </r>
    <r>
      <rPr>
        <sz val="10"/>
        <rFont val="Calibri"/>
        <family val="2"/>
      </rPr>
      <t>≤</t>
    </r>
    <r>
      <rPr>
        <sz val="9"/>
        <rFont val="Calibri"/>
        <family val="2"/>
      </rPr>
      <t>6</t>
    </r>
    <r>
      <rPr>
        <sz val="10"/>
        <rFont val="Calibri"/>
        <family val="2"/>
      </rPr>
      <t>, &lt;9 years of follow-up.</t>
    </r>
    <r>
      <rPr>
        <sz val="10"/>
        <rFont val="Calibri"/>
        <family val="2"/>
        <scheme val="minor"/>
      </rPr>
      <t xml:space="preserve">
Gleason score was calculated as the summation of the primary and secondary Gleason grades.</t>
    </r>
  </si>
  <si>
    <r>
      <t>Absolute incidence of prostate cancer with Gleason score 7</t>
    </r>
    <r>
      <rPr>
        <sz val="10"/>
        <rFont val="Calibri"/>
        <family val="2"/>
      </rPr>
      <t xml:space="preserve"> at diagnosis (per 100 men); 
&lt;9 years of follow-up;
Intervention vs control</t>
    </r>
  </si>
  <si>
    <r>
      <t>Number of prostate cancers with Gleason grade at diagnosis recorded as 7</t>
    </r>
    <r>
      <rPr>
        <sz val="10"/>
        <rFont val="Calibri"/>
        <family val="2"/>
      </rPr>
      <t>, &lt;9 years of follow-up.</t>
    </r>
    <r>
      <rPr>
        <sz val="10"/>
        <rFont val="Calibri"/>
        <family val="2"/>
        <scheme val="minor"/>
      </rPr>
      <t xml:space="preserve">
Gleason score was calculated as the summation of the primary and secondary Gleason grades.</t>
    </r>
  </si>
  <si>
    <r>
      <t xml:space="preserve">Absolute incidence of prostate cancer with Gleason score </t>
    </r>
    <r>
      <rPr>
        <sz val="10"/>
        <rFont val="Calibri"/>
        <family val="2"/>
      </rPr>
      <t>≥</t>
    </r>
    <r>
      <rPr>
        <sz val="9"/>
        <rFont val="Calibri"/>
        <family val="2"/>
      </rPr>
      <t>8</t>
    </r>
    <r>
      <rPr>
        <sz val="10"/>
        <rFont val="Calibri"/>
        <family val="2"/>
      </rPr>
      <t xml:space="preserve"> at diagnosis (per 100 men); 
&lt;9 years of follow-up;
Intervention vs control</t>
    </r>
  </si>
  <si>
    <r>
      <t xml:space="preserve">Number of prostate cancers with Gleason grade at diagnosis recorded as </t>
    </r>
    <r>
      <rPr>
        <sz val="10"/>
        <rFont val="Calibri"/>
        <family val="2"/>
      </rPr>
      <t>≥</t>
    </r>
    <r>
      <rPr>
        <sz val="9"/>
        <rFont val="Calibri"/>
        <family val="2"/>
      </rPr>
      <t>8</t>
    </r>
    <r>
      <rPr>
        <sz val="10"/>
        <rFont val="Calibri"/>
        <family val="2"/>
      </rPr>
      <t>, &lt;9 years of follow-up.</t>
    </r>
    <r>
      <rPr>
        <sz val="10"/>
        <rFont val="Calibri"/>
        <family val="2"/>
        <scheme val="minor"/>
      </rPr>
      <t xml:space="preserve">
Gleason score was calculated as the summation of the primary and secondary Gleason grades.</t>
    </r>
  </si>
  <si>
    <r>
      <t xml:space="preserve">Absolute incidence of prostate cancer with Gleason score </t>
    </r>
    <r>
      <rPr>
        <sz val="10"/>
        <rFont val="Calibri"/>
        <family val="2"/>
      </rPr>
      <t>≤</t>
    </r>
    <r>
      <rPr>
        <sz val="9"/>
        <rFont val="Calibri"/>
        <family val="2"/>
      </rPr>
      <t>6</t>
    </r>
    <r>
      <rPr>
        <sz val="10"/>
        <rFont val="Calibri"/>
        <family val="2"/>
      </rPr>
      <t xml:space="preserve"> at diagnosis (per 100 men); 
&lt;10 years of follow-up;
Intervention vs control</t>
    </r>
  </si>
  <si>
    <r>
      <t xml:space="preserve">Number of prostate cancers with Gleason grade at diagnosis recorded as </t>
    </r>
    <r>
      <rPr>
        <sz val="10"/>
        <rFont val="Calibri"/>
        <family val="2"/>
      </rPr>
      <t>≤</t>
    </r>
    <r>
      <rPr>
        <sz val="9"/>
        <rFont val="Calibri"/>
        <family val="2"/>
      </rPr>
      <t>6</t>
    </r>
    <r>
      <rPr>
        <sz val="10"/>
        <rFont val="Calibri"/>
        <family val="2"/>
      </rPr>
      <t>, &lt;10 years of follow-up.</t>
    </r>
    <r>
      <rPr>
        <sz val="10"/>
        <rFont val="Calibri"/>
        <family val="2"/>
        <scheme val="minor"/>
      </rPr>
      <t xml:space="preserve">
Gleason score was calculated as the summation of the primary and secondary Gleason grades.</t>
    </r>
  </si>
  <si>
    <r>
      <t>Absolute incidence of prostate cancer with Gleason score 7</t>
    </r>
    <r>
      <rPr>
        <sz val="10"/>
        <rFont val="Calibri"/>
        <family val="2"/>
      </rPr>
      <t xml:space="preserve"> at diagnosis (per 100 men); 
&lt;10 years of follow-up;
Intervention vs control</t>
    </r>
  </si>
  <si>
    <r>
      <t>Number of prostate cancers with Gleason grade at diagnosis recorded as 7</t>
    </r>
    <r>
      <rPr>
        <sz val="10"/>
        <rFont val="Calibri"/>
        <family val="2"/>
      </rPr>
      <t>, &lt;10 years of follow-up.</t>
    </r>
    <r>
      <rPr>
        <sz val="10"/>
        <rFont val="Calibri"/>
        <family val="2"/>
        <scheme val="minor"/>
      </rPr>
      <t xml:space="preserve">
Gleason score was calculated as the summation of the primary and secondary Gleason grades.</t>
    </r>
  </si>
  <si>
    <r>
      <t xml:space="preserve">Absolute incidence of prostate cancer with Gleason score </t>
    </r>
    <r>
      <rPr>
        <sz val="10"/>
        <rFont val="Calibri"/>
        <family val="2"/>
      </rPr>
      <t>≥</t>
    </r>
    <r>
      <rPr>
        <sz val="9"/>
        <rFont val="Calibri"/>
        <family val="2"/>
      </rPr>
      <t>8</t>
    </r>
    <r>
      <rPr>
        <sz val="10"/>
        <rFont val="Calibri"/>
        <family val="2"/>
      </rPr>
      <t xml:space="preserve"> at diagnosis (per 100 men); 
&lt;10 years of follow-up;
Intervention vs control</t>
    </r>
  </si>
  <si>
    <r>
      <t xml:space="preserve">Number of prostate cancers with Gleason grade at diagnosis recorded as </t>
    </r>
    <r>
      <rPr>
        <sz val="10"/>
        <rFont val="Calibri"/>
        <family val="2"/>
      </rPr>
      <t>≥</t>
    </r>
    <r>
      <rPr>
        <sz val="9"/>
        <rFont val="Calibri"/>
        <family val="2"/>
      </rPr>
      <t>8</t>
    </r>
    <r>
      <rPr>
        <sz val="10"/>
        <rFont val="Calibri"/>
        <family val="2"/>
      </rPr>
      <t>, &lt;10 years of follow-up.</t>
    </r>
    <r>
      <rPr>
        <sz val="10"/>
        <rFont val="Calibri"/>
        <family val="2"/>
        <scheme val="minor"/>
      </rPr>
      <t xml:space="preserve">
Gleason score was calculated as the summation of the primary and secondary Gleason grades.</t>
    </r>
  </si>
  <si>
    <r>
      <t xml:space="preserve">Absolute incidence of prostate cancer with Gleason score </t>
    </r>
    <r>
      <rPr>
        <sz val="10"/>
        <rFont val="Calibri"/>
        <family val="2"/>
      </rPr>
      <t>≤</t>
    </r>
    <r>
      <rPr>
        <sz val="9"/>
        <rFont val="Calibri"/>
        <family val="2"/>
      </rPr>
      <t>6</t>
    </r>
    <r>
      <rPr>
        <sz val="10"/>
        <rFont val="Calibri"/>
        <family val="2"/>
      </rPr>
      <t xml:space="preserve"> at diagnosis (per 100 men); 
&lt;11 years of follow-up;
Intervention vs control</t>
    </r>
  </si>
  <si>
    <r>
      <t xml:space="preserve">Number of prostate cancers with Gleason grade at diagnosis recorded as </t>
    </r>
    <r>
      <rPr>
        <sz val="10"/>
        <rFont val="Calibri"/>
        <family val="2"/>
      </rPr>
      <t>≤</t>
    </r>
    <r>
      <rPr>
        <sz val="9"/>
        <rFont val="Calibri"/>
        <family val="2"/>
      </rPr>
      <t>6</t>
    </r>
    <r>
      <rPr>
        <sz val="10"/>
        <rFont val="Calibri"/>
        <family val="2"/>
      </rPr>
      <t>, &lt;11 years of follow-up.</t>
    </r>
    <r>
      <rPr>
        <sz val="10"/>
        <rFont val="Calibri"/>
        <family val="2"/>
        <scheme val="minor"/>
      </rPr>
      <t xml:space="preserve">
Gleason score was calculated as the summation of the primary and secondary Gleason grades.</t>
    </r>
  </si>
  <si>
    <r>
      <t>Absolute incidence of prostate cancer with Gleason score 7</t>
    </r>
    <r>
      <rPr>
        <sz val="10"/>
        <rFont val="Calibri"/>
        <family val="2"/>
      </rPr>
      <t xml:space="preserve"> at diagnosis (per 100 men); 
&lt;11 years of follow-up;
Intervention vs control</t>
    </r>
  </si>
  <si>
    <r>
      <t>Number of prostate cancers with Gleason grade at diagnosis recorded as 7</t>
    </r>
    <r>
      <rPr>
        <sz val="10"/>
        <rFont val="Calibri"/>
        <family val="2"/>
      </rPr>
      <t>, &lt;11 years of follow-up.</t>
    </r>
    <r>
      <rPr>
        <sz val="10"/>
        <rFont val="Calibri"/>
        <family val="2"/>
        <scheme val="minor"/>
      </rPr>
      <t xml:space="preserve">
Gleason score was calculated as the summation of the primary and secondary Gleason grades.</t>
    </r>
  </si>
  <si>
    <r>
      <t xml:space="preserve">Absolute incidence of prostate cancer with Gleason score </t>
    </r>
    <r>
      <rPr>
        <sz val="10"/>
        <rFont val="Calibri"/>
        <family val="2"/>
      </rPr>
      <t>≥</t>
    </r>
    <r>
      <rPr>
        <sz val="9"/>
        <rFont val="Calibri"/>
        <family val="2"/>
      </rPr>
      <t>8</t>
    </r>
    <r>
      <rPr>
        <sz val="10"/>
        <rFont val="Calibri"/>
        <family val="2"/>
      </rPr>
      <t xml:space="preserve"> at diagnosis (per 100 men); 
&lt;11 years of follow-up;
Intervention vs control</t>
    </r>
  </si>
  <si>
    <r>
      <t xml:space="preserve">Number of prostate cancers with Gleason grade at diagnosis recorded as </t>
    </r>
    <r>
      <rPr>
        <sz val="10"/>
        <rFont val="Calibri"/>
        <family val="2"/>
      </rPr>
      <t>≥</t>
    </r>
    <r>
      <rPr>
        <sz val="9"/>
        <rFont val="Calibri"/>
        <family val="2"/>
      </rPr>
      <t>8</t>
    </r>
    <r>
      <rPr>
        <sz val="10"/>
        <rFont val="Calibri"/>
        <family val="2"/>
      </rPr>
      <t>, &lt;11 years of follow-up.</t>
    </r>
    <r>
      <rPr>
        <sz val="10"/>
        <rFont val="Calibri"/>
        <family val="2"/>
        <scheme val="minor"/>
      </rPr>
      <t xml:space="preserve">
Gleason score was calculated as the summation of the primary and secondary Gleason grades.</t>
    </r>
  </si>
  <si>
    <r>
      <t xml:space="preserve">Absolute incidence of prostate cancer with Gleason score </t>
    </r>
    <r>
      <rPr>
        <sz val="10"/>
        <rFont val="Calibri"/>
        <family val="2"/>
      </rPr>
      <t>≤</t>
    </r>
    <r>
      <rPr>
        <sz val="9"/>
        <rFont val="Calibri"/>
        <family val="2"/>
      </rPr>
      <t>6</t>
    </r>
    <r>
      <rPr>
        <sz val="10"/>
        <rFont val="Calibri"/>
        <family val="2"/>
      </rPr>
      <t xml:space="preserve"> at diagnosis (per 100 men); 
&lt;12 years of follow-up;
Intervention vs control</t>
    </r>
  </si>
  <si>
    <r>
      <t xml:space="preserve">Number of prostate cancers with Gleason grade at diagnosis recorded as </t>
    </r>
    <r>
      <rPr>
        <sz val="10"/>
        <rFont val="Calibri"/>
        <family val="2"/>
      </rPr>
      <t>≤</t>
    </r>
    <r>
      <rPr>
        <sz val="9"/>
        <rFont val="Calibri"/>
        <family val="2"/>
      </rPr>
      <t>6</t>
    </r>
    <r>
      <rPr>
        <sz val="10"/>
        <rFont val="Calibri"/>
        <family val="2"/>
      </rPr>
      <t>, &lt;12 years of follow-up.</t>
    </r>
    <r>
      <rPr>
        <sz val="10"/>
        <rFont val="Calibri"/>
        <family val="2"/>
        <scheme val="minor"/>
      </rPr>
      <t xml:space="preserve">
Gleason score was calculated as the summation of the primary and secondary Gleason grades.</t>
    </r>
  </si>
  <si>
    <r>
      <t>Absolute incidence of prostate cancer with Gleason score 7</t>
    </r>
    <r>
      <rPr>
        <sz val="10"/>
        <rFont val="Calibri"/>
        <family val="2"/>
      </rPr>
      <t xml:space="preserve"> at diagnosis (per 100 men); 
&lt;12 years of follow-up;
Intervention vs control</t>
    </r>
  </si>
  <si>
    <r>
      <t>Number of prostate cancers with Gleason grade at diagnosis recorded as 7</t>
    </r>
    <r>
      <rPr>
        <sz val="10"/>
        <rFont val="Calibri"/>
        <family val="2"/>
      </rPr>
      <t>, &lt;12 years of follow-up.</t>
    </r>
    <r>
      <rPr>
        <sz val="10"/>
        <rFont val="Calibri"/>
        <family val="2"/>
        <scheme val="minor"/>
      </rPr>
      <t xml:space="preserve">
Gleason score was calculated as the summation of the primary and secondary Gleason grades.</t>
    </r>
  </si>
  <si>
    <r>
      <t xml:space="preserve">Absolute incidence of prostate cancer with Gleason score </t>
    </r>
    <r>
      <rPr>
        <sz val="10"/>
        <rFont val="Calibri"/>
        <family val="2"/>
      </rPr>
      <t>≥</t>
    </r>
    <r>
      <rPr>
        <sz val="9"/>
        <rFont val="Calibri"/>
        <family val="2"/>
      </rPr>
      <t>8</t>
    </r>
    <r>
      <rPr>
        <sz val="10"/>
        <rFont val="Calibri"/>
        <family val="2"/>
      </rPr>
      <t xml:space="preserve"> at diagnosis (per 100 men); 
&lt;12 years of follow-up;
Intervention vs control</t>
    </r>
  </si>
  <si>
    <r>
      <t xml:space="preserve">Number of prostate cancers with Gleason grade at diagnosis recorded as </t>
    </r>
    <r>
      <rPr>
        <sz val="10"/>
        <rFont val="Calibri"/>
        <family val="2"/>
      </rPr>
      <t>≥</t>
    </r>
    <r>
      <rPr>
        <sz val="9"/>
        <rFont val="Calibri"/>
        <family val="2"/>
      </rPr>
      <t>8</t>
    </r>
    <r>
      <rPr>
        <sz val="10"/>
        <rFont val="Calibri"/>
        <family val="2"/>
      </rPr>
      <t>, &lt;12 years of follow-up.</t>
    </r>
    <r>
      <rPr>
        <sz val="10"/>
        <rFont val="Calibri"/>
        <family val="2"/>
        <scheme val="minor"/>
      </rPr>
      <t xml:space="preserve">
Gleason score was calculated as the summation of the primary and secondary Gleason grades.</t>
    </r>
  </si>
  <si>
    <r>
      <t xml:space="preserve">Absolute incidence of prostate cancer with Gleason score </t>
    </r>
    <r>
      <rPr>
        <sz val="10"/>
        <rFont val="Calibri"/>
        <family val="2"/>
      </rPr>
      <t>≤</t>
    </r>
    <r>
      <rPr>
        <sz val="9"/>
        <rFont val="Calibri"/>
        <family val="2"/>
      </rPr>
      <t>6</t>
    </r>
    <r>
      <rPr>
        <sz val="10"/>
        <rFont val="Calibri"/>
        <family val="2"/>
      </rPr>
      <t xml:space="preserve"> at diagnosis (per 100 men); 
&lt;13 years of follow-up;
Intervention vs control</t>
    </r>
  </si>
  <si>
    <r>
      <t xml:space="preserve">Number of prostate cancers with Gleason grade at diagnosis recorded as </t>
    </r>
    <r>
      <rPr>
        <sz val="10"/>
        <rFont val="Calibri"/>
        <family val="2"/>
      </rPr>
      <t>≤</t>
    </r>
    <r>
      <rPr>
        <sz val="9"/>
        <rFont val="Calibri"/>
        <family val="2"/>
      </rPr>
      <t>6</t>
    </r>
    <r>
      <rPr>
        <sz val="10"/>
        <rFont val="Calibri"/>
        <family val="2"/>
      </rPr>
      <t>, &lt;13 years of follow-up.</t>
    </r>
    <r>
      <rPr>
        <sz val="10"/>
        <rFont val="Calibri"/>
        <family val="2"/>
        <scheme val="minor"/>
      </rPr>
      <t xml:space="preserve">
Gleason score was calculated as the summation of the primary and secondary Gleason grades.</t>
    </r>
  </si>
  <si>
    <r>
      <t>Absolute incidence of prostate cancer with Gleason score 7</t>
    </r>
    <r>
      <rPr>
        <sz val="10"/>
        <rFont val="Calibri"/>
        <family val="2"/>
      </rPr>
      <t xml:space="preserve"> at diagnosis (per 100 men); 
&lt;13 years of follow-up;
Intervention vs control</t>
    </r>
  </si>
  <si>
    <r>
      <t>Number of prostate cancers with Gleason grade at diagnosis recorded as 7</t>
    </r>
    <r>
      <rPr>
        <sz val="10"/>
        <rFont val="Calibri"/>
        <family val="2"/>
      </rPr>
      <t>, &lt;13 years of follow-up.</t>
    </r>
    <r>
      <rPr>
        <sz val="10"/>
        <rFont val="Calibri"/>
        <family val="2"/>
        <scheme val="minor"/>
      </rPr>
      <t xml:space="preserve">
Gleason score was calculated as the summation of the primary and secondary Gleason grades.</t>
    </r>
  </si>
  <si>
    <r>
      <t xml:space="preserve">Absolute incidence of prostate cancer with Gleason score </t>
    </r>
    <r>
      <rPr>
        <sz val="10"/>
        <rFont val="Calibri"/>
        <family val="2"/>
      </rPr>
      <t>≥</t>
    </r>
    <r>
      <rPr>
        <sz val="9"/>
        <rFont val="Calibri"/>
        <family val="2"/>
      </rPr>
      <t>8</t>
    </r>
    <r>
      <rPr>
        <sz val="10"/>
        <rFont val="Calibri"/>
        <family val="2"/>
      </rPr>
      <t xml:space="preserve"> at diagnosis (per 100 men); 
&lt;13 years of follow-up;
Intervention vs control</t>
    </r>
  </si>
  <si>
    <r>
      <t xml:space="preserve">Number of prostate cancers with Gleason grade at diagnosis recorded as </t>
    </r>
    <r>
      <rPr>
        <sz val="10"/>
        <rFont val="Calibri"/>
        <family val="2"/>
      </rPr>
      <t>≥</t>
    </r>
    <r>
      <rPr>
        <sz val="9"/>
        <rFont val="Calibri"/>
        <family val="2"/>
      </rPr>
      <t>8</t>
    </r>
    <r>
      <rPr>
        <sz val="10"/>
        <rFont val="Calibri"/>
        <family val="2"/>
      </rPr>
      <t>, &lt;13 years of follow-up.</t>
    </r>
    <r>
      <rPr>
        <sz val="10"/>
        <rFont val="Calibri"/>
        <family val="2"/>
        <scheme val="minor"/>
      </rPr>
      <t xml:space="preserve">
Gleason score was calculated as the summation of the primary and secondary Gleason grades.</t>
    </r>
  </si>
  <si>
    <r>
      <t xml:space="preserve">Absolute incidence of prostate cancer with Gleason score </t>
    </r>
    <r>
      <rPr>
        <sz val="10"/>
        <rFont val="Calibri"/>
        <family val="2"/>
      </rPr>
      <t>≤</t>
    </r>
    <r>
      <rPr>
        <sz val="9"/>
        <rFont val="Calibri"/>
        <family val="2"/>
      </rPr>
      <t>6</t>
    </r>
    <r>
      <rPr>
        <sz val="10"/>
        <rFont val="Calibri"/>
        <family val="2"/>
      </rPr>
      <t xml:space="preserve"> at diagnosis (per 100 men); 
&lt;14 years of follow-up;
Intervention vs control</t>
    </r>
  </si>
  <si>
    <r>
      <t xml:space="preserve">Number of prostate cancers with Gleason grade at diagnosis recorded as </t>
    </r>
    <r>
      <rPr>
        <sz val="10"/>
        <rFont val="Calibri"/>
        <family val="2"/>
      </rPr>
      <t>≤</t>
    </r>
    <r>
      <rPr>
        <sz val="9"/>
        <rFont val="Calibri"/>
        <family val="2"/>
      </rPr>
      <t>6</t>
    </r>
    <r>
      <rPr>
        <sz val="10"/>
        <rFont val="Calibri"/>
        <family val="2"/>
      </rPr>
      <t>, &lt;14 years of follow-up.</t>
    </r>
    <r>
      <rPr>
        <sz val="10"/>
        <rFont val="Calibri"/>
        <family val="2"/>
        <scheme val="minor"/>
      </rPr>
      <t xml:space="preserve">
Gleason score was calculated as the summation of the primary and secondary Gleason grades.</t>
    </r>
  </si>
  <si>
    <r>
      <t>Absolute incidence of prostate cancer with Gleason score 7</t>
    </r>
    <r>
      <rPr>
        <sz val="10"/>
        <rFont val="Calibri"/>
        <family val="2"/>
      </rPr>
      <t xml:space="preserve"> at diagnosis (per 100 men); 
&lt;14 years of follow-up;
Intervention vs control</t>
    </r>
  </si>
  <si>
    <r>
      <t>Number of prostate cancers with Gleason grade at diagnosis recorded as 7</t>
    </r>
    <r>
      <rPr>
        <sz val="10"/>
        <rFont val="Calibri"/>
        <family val="2"/>
      </rPr>
      <t>, &lt;14 years of follow-up.</t>
    </r>
    <r>
      <rPr>
        <sz val="10"/>
        <rFont val="Calibri"/>
        <family val="2"/>
        <scheme val="minor"/>
      </rPr>
      <t xml:space="preserve">
Gleason score was calculated as the summation of the primary and secondary Gleason grades.</t>
    </r>
  </si>
  <si>
    <r>
      <t xml:space="preserve">Absolute incidence of prostate cancer with Gleason score </t>
    </r>
    <r>
      <rPr>
        <sz val="10"/>
        <rFont val="Calibri"/>
        <family val="2"/>
      </rPr>
      <t>≥</t>
    </r>
    <r>
      <rPr>
        <sz val="9"/>
        <rFont val="Calibri"/>
        <family val="2"/>
      </rPr>
      <t>8</t>
    </r>
    <r>
      <rPr>
        <sz val="10"/>
        <rFont val="Calibri"/>
        <family val="2"/>
      </rPr>
      <t xml:space="preserve"> at diagnosis (per 100 men); 
&lt;14 years of follow-up;
Intervention vs control</t>
    </r>
  </si>
  <si>
    <r>
      <t xml:space="preserve">Number of prostate cancers with Gleason grade at diagnosis recorded as </t>
    </r>
    <r>
      <rPr>
        <sz val="10"/>
        <rFont val="Calibri"/>
        <family val="2"/>
      </rPr>
      <t>≥</t>
    </r>
    <r>
      <rPr>
        <sz val="9"/>
        <rFont val="Calibri"/>
        <family val="2"/>
      </rPr>
      <t>8</t>
    </r>
    <r>
      <rPr>
        <sz val="10"/>
        <rFont val="Calibri"/>
        <family val="2"/>
      </rPr>
      <t>, &lt;14 years of follow-up.</t>
    </r>
    <r>
      <rPr>
        <sz val="10"/>
        <rFont val="Calibri"/>
        <family val="2"/>
        <scheme val="minor"/>
      </rPr>
      <t xml:space="preserve">
Gleason score was calculated as the summation of the primary and secondary Gleason grades.</t>
    </r>
  </si>
  <si>
    <r>
      <t>Absolute incidence of prostate cancer with cancer stage T1 or T2</t>
    </r>
    <r>
      <rPr>
        <sz val="10"/>
        <rFont val="Calibri"/>
        <family val="2"/>
      </rPr>
      <t xml:space="preserve"> at diagnosis (per 1,000 PY); 
10-year median follow-up (&lt;15 years);
Intervention vs control</t>
    </r>
  </si>
  <si>
    <t>T1 or T2, N0 and M0</t>
  </si>
  <si>
    <t>Advanced stage = T4, N1, or M1</t>
  </si>
  <si>
    <t>Localised = T1 or T2</t>
  </si>
  <si>
    <t>Public Health England and Public Health Wales, and supplemented with routine hospital data from the study centers.
Unable to abstract good quality data on metastases from routine records.</t>
  </si>
  <si>
    <t>Cancer stage not recorded</t>
  </si>
  <si>
    <t>Number of prostate cancers with cancer stage T1 or T2 at diagnosis; 10 years of follow-up.
Any diagnoses categorized as T1 or T2 (with no metastasis or nodes) were placed in the T1/T2 category.</t>
  </si>
  <si>
    <t xml:space="preserve">Table 3 </t>
  </si>
  <si>
    <t>Calculated by reviewer, per person-years follow-up</t>
  </si>
  <si>
    <r>
      <t xml:space="preserve">Absolute incidence of prostate cancer with cancer stage T1 or T2 </t>
    </r>
    <r>
      <rPr>
        <sz val="10"/>
        <rFont val="Calibri"/>
        <family val="2"/>
      </rPr>
      <t xml:space="preserve">at diagnosis (per 100 men); 
10-year median follow-up;
Intervention vs control
</t>
    </r>
  </si>
  <si>
    <t>Table 3 and text: … localized prostate cancer (stage T1
or T2), 2.6% vs 1.9%, respectively (between-group difference,
6.97 per 1000 men [95% CI, 6.05 to 7.89]; P &lt; .001);…</t>
  </si>
  <si>
    <r>
      <t>Absolute incidence of prostate cancer with with cancer stage T3</t>
    </r>
    <r>
      <rPr>
        <sz val="10"/>
        <rFont val="Calibri"/>
        <family val="2"/>
      </rPr>
      <t xml:space="preserve"> at diagnosis (per 1,000 PY); 
10-year median follow-up (&lt;15 years);
Intervention vs control
</t>
    </r>
  </si>
  <si>
    <t>T3, N0 and M0</t>
  </si>
  <si>
    <t>Number of prostate cancers with cancer stage T3 at diagnosis; 10 years of follow-up.
Any diagnoses categorized as T1 or T2 (with no metastasis or nodes) were placed in the T1/T2 category.</t>
  </si>
  <si>
    <r>
      <t>Absolute incidence of prostate cancer with cancer stage T3</t>
    </r>
    <r>
      <rPr>
        <sz val="10"/>
        <rFont val="Calibri"/>
        <family val="2"/>
      </rPr>
      <t xml:space="preserve"> at diagnosis (per 100 men);
10-year median follow-up (&lt;15 years);
Intervention vs control</t>
    </r>
  </si>
  <si>
    <t>Between-group difference (95% CI) 0.00 (-0.51 to 0.51).</t>
  </si>
  <si>
    <r>
      <t>Absolute incidence of prostate cancer with cancer stage T4, N1 or M1</t>
    </r>
    <r>
      <rPr>
        <sz val="10"/>
        <rFont val="Calibri"/>
        <family val="2"/>
      </rPr>
      <t xml:space="preserve"> at diagnosis (per 1,000 PY); 
10-year median follow-up (&lt;15 years);
Intervention vs control</t>
    </r>
  </si>
  <si>
    <t>T4, N1 or M1</t>
  </si>
  <si>
    <t xml:space="preserve">Number of prostate cancers with cancer stage T4, N1 or M1 at diagnosis; 10 years of follow-up.
A man was given a stage of T4/N1/M1 if he had been diagnosed with stage T4 or was positive for metastases (M1) or nodes (N1). </t>
  </si>
  <si>
    <r>
      <t xml:space="preserve">Absolute incidence of prostate cancer with cancer stage T4, N1 or M1 </t>
    </r>
    <r>
      <rPr>
        <sz val="10"/>
        <rFont val="Calibri"/>
        <family val="2"/>
      </rPr>
      <t xml:space="preserve"> at diagnosis (per 100 men); 
10-year median follow-up (&lt;15 years);
Intervention vs control</t>
    </r>
  </si>
  <si>
    <t>Table 3 and text: … and advanced-stage cancer (stage
T4, N1, or M1), 0.5% vs 0.6% (between-group difference,
−0.91 per 1000 men [95% CI, −1.36 to −0.46], P &lt; .001.</t>
  </si>
  <si>
    <r>
      <t xml:space="preserve">% of prostate cancer with cancer stage T4, N1 or M1 </t>
    </r>
    <r>
      <rPr>
        <sz val="10"/>
        <rFont val="Calibri"/>
        <family val="2"/>
      </rPr>
      <t>at diagnosis (per all prostate cancers diagnosed); 
10-year median follow-up (&lt;15 years);
Intervention vs control</t>
    </r>
  </si>
  <si>
    <t>Number of all prostate cancers; median follow-up of 10 years</t>
  </si>
  <si>
    <t>Calculated by reviewer, per all prostate cancer cases (including cases without information on cancer stage).
% reported in eFigures 3 and 4 do not match with % calculated from Table 3 and % reported in eTable 6. Think in the eFigures 3 and 4, there is somewhere a mix up of numbers/% by Gleason score and by TNM stage, respectively.</t>
  </si>
  <si>
    <r>
      <t>Absolute incidence of prostate cancer with cancer stage T1 or T2</t>
    </r>
    <r>
      <rPr>
        <sz val="10"/>
        <rFont val="Calibri"/>
        <family val="2"/>
      </rPr>
      <t xml:space="preserve"> at diagnosis (per 1,000 PY);
Diagnosed within 18 months of randomisation (screening phase); 
Intervention vs control</t>
    </r>
  </si>
  <si>
    <t>Number of prostate cancers with cancer stage T1 or T2 at diagnosis within 18 months of randomisation.
Any diagnoses categorized as T1 or T2 (with no metastasis or nodes) were placed in the T1/T2 category.</t>
  </si>
  <si>
    <r>
      <t xml:space="preserve">Absolute incidence of prostate cancer with cancer stage T1 or T2 </t>
    </r>
    <r>
      <rPr>
        <sz val="10"/>
        <rFont val="Calibri"/>
        <family val="2"/>
      </rPr>
      <t>at diagnosis (per 100 men);
Diagnosed within 18 months of randomisation (screening phase); 
Intervention vs control</t>
    </r>
  </si>
  <si>
    <r>
      <t>Absolute incidence of prostate cancer with with cancer stage T3</t>
    </r>
    <r>
      <rPr>
        <sz val="10"/>
        <rFont val="Calibri"/>
        <family val="2"/>
      </rPr>
      <t xml:space="preserve"> at diagnosis (per 1,000 PY);
Diagnosed within 18 months of randomisation (screening phase); 
Intervention vs control</t>
    </r>
  </si>
  <si>
    <t xml:space="preserve">Number of prostate cancers with cancer stage T3 at diagnosis within 18 months of randomisation.
If a man had stage T3 but did not have metastates (M0) or nodes (N0) then the diagnosis was categorized as T3. </t>
  </si>
  <si>
    <r>
      <t>Absolute incidence of prostate cancer with cancer stage T3</t>
    </r>
    <r>
      <rPr>
        <sz val="10"/>
        <rFont val="Calibri"/>
        <family val="2"/>
      </rPr>
      <t xml:space="preserve"> at diagnosis (per 100 men); 
Diagnosed within 18 months of randomisation (screening phase); 
Intervention vs control</t>
    </r>
  </si>
  <si>
    <r>
      <t>Absolute incidence of prostate cancer with cancer stage T4, N1 or M1</t>
    </r>
    <r>
      <rPr>
        <sz val="10"/>
        <rFont val="Calibri"/>
        <family val="2"/>
      </rPr>
      <t xml:space="preserve"> at diagnosis (per 1,000 PY);
Diagnosed within 18 months of randomisation (screening phase); 
Intervention vs control</t>
    </r>
  </si>
  <si>
    <t xml:space="preserve">Number of prostate cancers with cancer stage T4, N1 or M1 at diagnosis within 18 months of randomisation.
A man was given a stage of T4/N1/M1 if he had been diagnosed with stage T4 or was positive for metastases (M1) or nodes (N1). </t>
  </si>
  <si>
    <r>
      <t xml:space="preserve">Absolute incidence of prostate cancer with cancer stage T4, N1 or M1 </t>
    </r>
    <r>
      <rPr>
        <sz val="10"/>
        <rFont val="Calibri"/>
        <family val="2"/>
      </rPr>
      <t>at diagnosis (per 100 men);
Diagnosed within 18 months of randomisation (screening phase); 
Intervention vs control</t>
    </r>
  </si>
  <si>
    <r>
      <t xml:space="preserve">% of prostate cancer with cancer stage T4, N1 or M1 </t>
    </r>
    <r>
      <rPr>
        <sz val="10"/>
        <rFont val="Calibri"/>
        <family val="2"/>
      </rPr>
      <t>at diagnosis (per all prostate cancers diagnosed); 
Diagnosed within 18 months of randomisation (screening phase); 
Intervention vs control</t>
    </r>
  </si>
  <si>
    <t>Number of all prostate cancers diagnosed within 18 months of randomisation</t>
  </si>
  <si>
    <t>Calculated by reviewer, per all prostate cancer cases (including cases without information on cancer stage).</t>
  </si>
  <si>
    <r>
      <t>Absolute incidence of prostate cancer with stage T1 or T2</t>
    </r>
    <r>
      <rPr>
        <sz val="10"/>
        <rFont val="Calibri"/>
        <family val="2"/>
      </rPr>
      <t xml:space="preserve"> at diagnosis (per 100 men); 
&lt;1 year of follow-up;
Intervention vs control</t>
    </r>
  </si>
  <si>
    <t>Number of prostate cancers with cancer stage T1 or T2 at diagnosis; &lt;1 year of follow-up.
Any diagnoses categorized as T1 or T2 (with no metastasis or nodes) were placed in the T1/T2 category.</t>
  </si>
  <si>
    <t>eFigure 2</t>
  </si>
  <si>
    <r>
      <t>Absolute incidence of prostate cancer with stage T3</t>
    </r>
    <r>
      <rPr>
        <sz val="10"/>
        <rFont val="Calibri"/>
        <family val="2"/>
      </rPr>
      <t xml:space="preserve"> at diagnosis (per 100 men); 
&lt;1 year of follow-up;
Intervention vs control</t>
    </r>
  </si>
  <si>
    <t xml:space="preserve">Number of prostate cancers with cancer stage T3 at diagnosis; &lt;1 year of follow-up.
If a man had stage T3 but did not have metastates (M0) or nodes (N0) then the diagnosis was categorized as T3. </t>
  </si>
  <si>
    <r>
      <t>Absolute incidence of prostate cancer with stage T4, N1 or M1</t>
    </r>
    <r>
      <rPr>
        <sz val="10"/>
        <rFont val="Calibri"/>
        <family val="2"/>
      </rPr>
      <t xml:space="preserve"> at diagnosis (per 100 men); 
&lt;1 year of follow-up;
Intervention vs control</t>
    </r>
  </si>
  <si>
    <t xml:space="preserve">Number of prostate cancers with cancer stage T4, N1 or M1 at diagnosis; &lt;1 year of follow-up.
A man was given a stage of T4/N1/M1 if he had been diagnosed with stage T4 or was positive for metastases (M1) or nodes (N1). </t>
  </si>
  <si>
    <r>
      <t>Absolute incidence of prostate cancer with stage T1 or T2</t>
    </r>
    <r>
      <rPr>
        <sz val="10"/>
        <rFont val="Calibri"/>
        <family val="2"/>
      </rPr>
      <t xml:space="preserve"> at diagnosis (per 100 men); 
&lt;2 year of follow-up;
Intervention vs control</t>
    </r>
  </si>
  <si>
    <t>Number of prostate cancers with cancer stage T1 or T2 at diagnosis; &lt;2 years of follow-up.
Any diagnoses categorized as T1 or T2 (with no metastasis or nodes) were placed in the T1/T2 category.</t>
  </si>
  <si>
    <r>
      <t>Absolute incidence of prostate cancer with stage T3</t>
    </r>
    <r>
      <rPr>
        <sz val="10"/>
        <rFont val="Calibri"/>
        <family val="2"/>
      </rPr>
      <t xml:space="preserve"> at diagnosis (per 100 men); 
&lt;2 year of follow-up;
Intervention vs control</t>
    </r>
  </si>
  <si>
    <t xml:space="preserve">Number of prostate cancers with cancer stage T3 at diagnosis; &lt;2 years of follow-up.
If a man had stage T3 but did not have metastates (M0) or nodes (N0) then the diagnosis was categorized as T3. </t>
  </si>
  <si>
    <r>
      <t>Absolute incidence of prostate cancer with stage T4, N1 or M1</t>
    </r>
    <r>
      <rPr>
        <sz val="10"/>
        <rFont val="Calibri"/>
        <family val="2"/>
      </rPr>
      <t xml:space="preserve"> at diagnosis (per 100 men); 
&lt;2 year of follow-up;
Intervention vs control</t>
    </r>
  </si>
  <si>
    <t xml:space="preserve">Number of prostate cancers with cancer stage T4, N1 or M1 at diagnosis; &lt;2 years of follow-up.
A man was given a stage of T4/N1/M1 if he had been diagnosed with stage T4 or was positive for metastases (M1) or nodes (N1). </t>
  </si>
  <si>
    <r>
      <t>Absolute incidence of prostate cancer with stage T1 or T2</t>
    </r>
    <r>
      <rPr>
        <sz val="10"/>
        <rFont val="Calibri"/>
        <family val="2"/>
      </rPr>
      <t xml:space="preserve"> at diagnosis (per 100 men); 
&lt;3 year of follow-up;
Intervention vs control</t>
    </r>
  </si>
  <si>
    <t>Number of prostate cancers with cancer stage T1 or T2 at diagnosis; &lt;3 years of follow-up.
Any diagnoses categorized as T1 or T2 (with no metastasis or nodes) were placed in the T1/T2 category.</t>
  </si>
  <si>
    <r>
      <t>Absolute incidence of prostate cancer with stage T3</t>
    </r>
    <r>
      <rPr>
        <sz val="10"/>
        <rFont val="Calibri"/>
        <family val="2"/>
      </rPr>
      <t xml:space="preserve"> at diagnosis (per 100 men); 
&lt;3 year of follow-up;
Intervention vs control</t>
    </r>
  </si>
  <si>
    <t xml:space="preserve">Number of prostate cancers with cancer stage T3 at diagnosis; &lt;3 years of follow-up.
If a man had stage T3 but did not have metastates (M0) or nodes (N0) then the diagnosis was categorized as T3. </t>
  </si>
  <si>
    <r>
      <t>Absolute incidence of prostate cancer with stage T4, N1 or M1</t>
    </r>
    <r>
      <rPr>
        <sz val="10"/>
        <rFont val="Calibri"/>
        <family val="2"/>
      </rPr>
      <t xml:space="preserve"> at diagnosis (per 100 men); 
&lt;3 year of follow-up;
Intervention vs control</t>
    </r>
  </si>
  <si>
    <t xml:space="preserve">Number of prostate cancers with cancer stage T4, N1 or M1 at diagnosis; &lt;3 years of follow-up.
A man was given a stage of T4/N1/M1 if he had been diagnosed with stage T4 or was positive for metastases (M1) or nodes (N1). </t>
  </si>
  <si>
    <r>
      <t>Absolute incidence of prostate cancer with stage T1 or T2</t>
    </r>
    <r>
      <rPr>
        <sz val="10"/>
        <rFont val="Calibri"/>
        <family val="2"/>
      </rPr>
      <t xml:space="preserve"> at diagnosis (per 100 men); 
&lt;4 year of follow-up;
Intervention vs control</t>
    </r>
  </si>
  <si>
    <t>Number of prostate cancers with cancer stage T1 or T2 at diagnosis; &lt;4 years of follow-up.
Any diagnoses categorized as T1 or T2 (with no metastasis or nodes) were placed in the T1/T2 category.</t>
  </si>
  <si>
    <r>
      <t>Absolute incidence of prostate cancer with stage T3</t>
    </r>
    <r>
      <rPr>
        <sz val="10"/>
        <rFont val="Calibri"/>
        <family val="2"/>
      </rPr>
      <t xml:space="preserve"> at diagnosis (per 100 men); 
&lt;4 year of follow-up;
Intervention vs control</t>
    </r>
  </si>
  <si>
    <t xml:space="preserve">Number of prostate cancers with cancer stage T3 at diagnosis; &lt;4 years of follow-up.
If a man had stage T3 but did not have metastates (M0) or nodes (N0) then the diagnosis was categorized as T3. </t>
  </si>
  <si>
    <r>
      <t>Absolute incidence of prostate cancer with stage T4, N1 or M1</t>
    </r>
    <r>
      <rPr>
        <sz val="10"/>
        <rFont val="Calibri"/>
        <family val="2"/>
      </rPr>
      <t xml:space="preserve"> at diagnosis (per 100 men); 
&lt;4 year of follow-up;
Intervention vs control</t>
    </r>
  </si>
  <si>
    <t xml:space="preserve">Number of prostate cancers with cancer stage T4, N1 or M1 at diagnosis; &lt;4 years of follow-up.
A man was given a stage of T4/N1/M1 if he had been diagnosed with stage T4 or was positive for metastases (M1) or nodes (N1). </t>
  </si>
  <si>
    <r>
      <t>Absolute incidence of prostate cancer with stage T1 or T2</t>
    </r>
    <r>
      <rPr>
        <sz val="10"/>
        <rFont val="Calibri"/>
        <family val="2"/>
      </rPr>
      <t xml:space="preserve"> at diagnosis (per 100 men); 
&lt;5 year of follow-up;
Intervention vs control</t>
    </r>
  </si>
  <si>
    <t>Number of prostate cancers with cancer stage T1 or T2 at diagnosis; &lt;5 years of follow-up.
Any diagnoses categorized as T1 or T2 (with no metastasis or nodes) were placed in the T1/T2 category.</t>
  </si>
  <si>
    <r>
      <t>Absolute incidence of prostate cancer with stage T3</t>
    </r>
    <r>
      <rPr>
        <sz val="10"/>
        <rFont val="Calibri"/>
        <family val="2"/>
      </rPr>
      <t xml:space="preserve"> at diagnosis (per 100 men); 
&lt;5 year of follow-up;
Intervention vs control</t>
    </r>
  </si>
  <si>
    <t xml:space="preserve">Number of prostate cancers with cancer stage T3 at diagnosis; &lt;5 years of follow-up.
If a man had stage T3 but did not have metastates (M0) or nodes (N0) then the diagnosis was categorized as T3. </t>
  </si>
  <si>
    <r>
      <t>Absolute incidence of prostate cancer with stage T4, N1 or M1</t>
    </r>
    <r>
      <rPr>
        <sz val="10"/>
        <rFont val="Calibri"/>
        <family val="2"/>
      </rPr>
      <t xml:space="preserve"> at diagnosis (per 100 men); 
&lt;5 year of follow-up;
Intervention vs control</t>
    </r>
  </si>
  <si>
    <t xml:space="preserve">Number of prostate cancers with cancer stage T4, N1 or M1 at diagnosis; &lt;5 years of follow-up.
A man was given a stage of T4/N1/M1 if he had been diagnosed with stage T4 or was positive for metastases (M1) or nodes (N1). </t>
  </si>
  <si>
    <r>
      <t>Absolute incidence of prostate cancer with stage T1 or T2</t>
    </r>
    <r>
      <rPr>
        <sz val="10"/>
        <rFont val="Calibri"/>
        <family val="2"/>
      </rPr>
      <t xml:space="preserve"> at diagnosis (per 100 men); 
&lt;6 year of follow-up;
Intervention vs control</t>
    </r>
  </si>
  <si>
    <t>Number of prostate cancers with cancer stage T1 or T2 at diagnosis; &lt;6 years of follow-up.
Any diagnoses categorized as T1 or T2 (with no metastasis or nodes) were placed in the T1/T2 category.</t>
  </si>
  <si>
    <r>
      <t>Absolute incidence of prostate cancer with stage T3</t>
    </r>
    <r>
      <rPr>
        <sz val="10"/>
        <rFont val="Calibri"/>
        <family val="2"/>
      </rPr>
      <t xml:space="preserve"> at diagnosis (per 100 men); 
&lt;6 year of follow-up;
Intervention vs control</t>
    </r>
  </si>
  <si>
    <t xml:space="preserve">Number of prostate cancers with cancer stage T3 at diagnosis; &lt;6 years of follow-up.
If a man had stage T3 but did not have metastates (M0) or nodes (N0) then the diagnosis was categorized as T3. </t>
  </si>
  <si>
    <r>
      <t>Absolute incidence of prostate cancer with stage T4, N1 or M1</t>
    </r>
    <r>
      <rPr>
        <sz val="10"/>
        <rFont val="Calibri"/>
        <family val="2"/>
      </rPr>
      <t xml:space="preserve"> at diagnosis (per 100 men); 
&lt;6 year of follow-up;
Intervention vs control</t>
    </r>
  </si>
  <si>
    <t xml:space="preserve">Number of prostate cancers with cancer stage T4, N1 or M1 at diagnosis; &lt;6 years of follow-up.
A man was given a stage of T4/N1/M1 if he had been diagnosed with stage T4 or was positive for metastases (M1) or nodes (N1). </t>
  </si>
  <si>
    <r>
      <t>Absolute incidence of prostate cancer with stage T1 or T2</t>
    </r>
    <r>
      <rPr>
        <sz val="10"/>
        <rFont val="Calibri"/>
        <family val="2"/>
      </rPr>
      <t xml:space="preserve"> at diagnosis (per 100 men); 
&lt;7 year of follow-up;
Intervention vs control</t>
    </r>
  </si>
  <si>
    <t>Number of prostate cancers with cancer stage T1 or T2 at diagnosis; &lt;7 years of follow-up.
Any diagnoses categorized as T1 or T2 (with no metastasis or nodes) were placed in the T1/T2 category.</t>
  </si>
  <si>
    <r>
      <t>Absolute incidence of prostate cancer with stage T3</t>
    </r>
    <r>
      <rPr>
        <sz val="10"/>
        <rFont val="Calibri"/>
        <family val="2"/>
      </rPr>
      <t xml:space="preserve"> at diagnosis (per 100 men); 
&lt;7 year of follow-up;
Intervention vs control</t>
    </r>
  </si>
  <si>
    <t xml:space="preserve">Number of prostate cancers with cancer stage T3 at diagnosis; &lt;7 years of follow-up.
If a man had stage T3 but did not have metastates (M0) or nodes (N0) then the diagnosis was categorized as T3. </t>
  </si>
  <si>
    <r>
      <t>Absolute incidence of prostate cancer with stage T4, N1 or M1</t>
    </r>
    <r>
      <rPr>
        <sz val="10"/>
        <rFont val="Calibri"/>
        <family val="2"/>
      </rPr>
      <t xml:space="preserve"> at diagnosis (per 100 men); 
&lt;7 year of follow-up;
Intervention vs control</t>
    </r>
  </si>
  <si>
    <t xml:space="preserve">Number of prostate cancers with cancer stage T4, N1 or M1 at diagnosis; &lt;7 years of follow-up.
A man was given a stage of T4/N1/M1 if he had been diagnosed with stage T4 or was positive for metastases (M1) or nodes (N1). </t>
  </si>
  <si>
    <r>
      <t>Absolute incidence of prostate cancer with stage T1 or T2</t>
    </r>
    <r>
      <rPr>
        <sz val="10"/>
        <rFont val="Calibri"/>
        <family val="2"/>
      </rPr>
      <t xml:space="preserve"> at diagnosis (per 100 men); 
&lt;8 year of follow-up;
Intervention vs control</t>
    </r>
  </si>
  <si>
    <t>Number of prostate cancers with cancer stage T1 or T2 at diagnosis; &lt;8 years of follow-up.
Any diagnoses categorized as T1 or T2 (with no metastasis or nodes) were placed in the T1/T2 category.</t>
  </si>
  <si>
    <r>
      <t>Absolute incidence of prostate cancer with stage T3</t>
    </r>
    <r>
      <rPr>
        <sz val="10"/>
        <rFont val="Calibri"/>
        <family val="2"/>
      </rPr>
      <t xml:space="preserve"> at diagnosis (per 100 men); 
&lt;8 year of follow-up;
Intervention vs control</t>
    </r>
  </si>
  <si>
    <t xml:space="preserve">Number of prostate cancers with cancer stage T3 at diagnosis; &lt;8 years of follow-up.
If a man had stage T3 but did not have metastates (M0) or nodes (N0) then the diagnosis was categorized as T3. </t>
  </si>
  <si>
    <r>
      <t>Absolute incidence of prostate cancer with stage T4, N1 or M1</t>
    </r>
    <r>
      <rPr>
        <sz val="10"/>
        <rFont val="Calibri"/>
        <family val="2"/>
      </rPr>
      <t xml:space="preserve"> at diagnosis (per 100 men); 
&lt;8 year of follow-up;
Intervention vs control</t>
    </r>
  </si>
  <si>
    <t xml:space="preserve">Number of prostate cancers with cancer stage T4, N1 or M1 at diagnosis; &lt;8 years of follow-up.
A man was given a stage of T4/N1/M1 if he had been diagnosed with stage T4 or was positive for metastases (M1) or nodes (N1). </t>
  </si>
  <si>
    <r>
      <t>Absolute incidence of prostate cancer with stage T1 or T2</t>
    </r>
    <r>
      <rPr>
        <sz val="10"/>
        <rFont val="Calibri"/>
        <family val="2"/>
      </rPr>
      <t xml:space="preserve"> at diagnosis (per 100 men); 
&lt;9 year of follow-up;
Intervention vs control</t>
    </r>
  </si>
  <si>
    <t>Number of prostate cancers with cancer stage T1 or T2 at diagnosis; &lt;9 years of follow-up.
Any diagnoses categorized as T1 or T2 (with no metastasis or nodes) were placed in the T1/T2 category.</t>
  </si>
  <si>
    <r>
      <t>Absolute incidence of prostate cancer with stage T3</t>
    </r>
    <r>
      <rPr>
        <sz val="10"/>
        <rFont val="Calibri"/>
        <family val="2"/>
      </rPr>
      <t xml:space="preserve"> at diagnosis (per 100 men); 
&lt;9 year of follow-up;
Intervention vs control</t>
    </r>
  </si>
  <si>
    <t xml:space="preserve">Number of prostate cancers with cancer stage T3 at diagnosis; &lt;9 years of follow-up.
If a man had stage T3 but did not have metastates (M0) or nodes (N0) then the diagnosis was categorized as T3. </t>
  </si>
  <si>
    <r>
      <t>Absolute incidence of prostate cancer with stage T4, N1 or M1</t>
    </r>
    <r>
      <rPr>
        <sz val="10"/>
        <rFont val="Calibri"/>
        <family val="2"/>
      </rPr>
      <t xml:space="preserve"> at diagnosis (per 100 men); 
&lt;9 year of follow-up;
Intervention vs control</t>
    </r>
  </si>
  <si>
    <t xml:space="preserve">Number of prostate cancers with cancer stage T4, N1 or M1 at diagnosis; &lt;9 years of follow-up.
A man was given a stage of T4/N1/M1 if he had been diagnosed with stage T4 or was positive for metastases (M1) or nodes (N1). </t>
  </si>
  <si>
    <r>
      <t>Absolute incidence of prostate cancer with stage T1 or T2</t>
    </r>
    <r>
      <rPr>
        <sz val="10"/>
        <rFont val="Calibri"/>
        <family val="2"/>
      </rPr>
      <t xml:space="preserve"> at diagnosis (per 100 men); 
&lt;10 year of follow-up;
Intervention vs control</t>
    </r>
  </si>
  <si>
    <t>Number of prostate cancers with cancer stage T1 or T2 at diagnosis; &lt;10 years of follow-up.
Any diagnoses categorized as T1 or T2 (with no metastasis or nodes) were placed in the T1/T2 category.</t>
  </si>
  <si>
    <r>
      <t>Absolute incidence of prostate cancer with stage T3</t>
    </r>
    <r>
      <rPr>
        <sz val="10"/>
        <rFont val="Calibri"/>
        <family val="2"/>
      </rPr>
      <t xml:space="preserve"> at diagnosis (per 100 men); 
&lt;10 year of follow-up;
Intervention vs control</t>
    </r>
  </si>
  <si>
    <t xml:space="preserve">Number of prostate cancers with cancer stage T3 at diagnosis; &lt;10 years of follow-up.
If a man had stage T3 but did not have metastates (M0) or nodes (N0) then the diagnosis was categorized as T3. </t>
  </si>
  <si>
    <r>
      <t>Absolute incidence of prostate cancer with stage T4, N1 or M1</t>
    </r>
    <r>
      <rPr>
        <sz val="10"/>
        <rFont val="Calibri"/>
        <family val="2"/>
      </rPr>
      <t xml:space="preserve"> at diagnosis (per 100 men); 
&lt;10 year of follow-up;
Intervention vs control</t>
    </r>
  </si>
  <si>
    <t xml:space="preserve">Number of prostate cancers with cancer stage T4, N1 or M1 at diagnosis; &lt;10 years of follow-up.
A man was given a stage of T4/N1/M1 if he had been diagnosed with stage T4 or was positive for metastases (M1) or nodes (N1). </t>
  </si>
  <si>
    <r>
      <t>Absolute incidence of prostate cancer with stage T1 or T2</t>
    </r>
    <r>
      <rPr>
        <sz val="10"/>
        <rFont val="Calibri"/>
        <family val="2"/>
      </rPr>
      <t xml:space="preserve"> at diagnosis (per 100 men); 
&lt;11 year of follow-up;
Intervention vs control</t>
    </r>
  </si>
  <si>
    <t>Number of prostate cancers with cancer stage T1 or T2 at diagnosis; &lt;11 years of follow-up.
Any diagnoses categorized as T1 or T2 (with no metastasis or nodes) were placed in the T1/T2 category.</t>
  </si>
  <si>
    <r>
      <t>Absolute incidence of prostate cancer with stage T3</t>
    </r>
    <r>
      <rPr>
        <sz val="10"/>
        <rFont val="Calibri"/>
        <family val="2"/>
      </rPr>
      <t xml:space="preserve"> at diagnosis (per 100 men); 
&lt;11 year of follow-up;
Intervention vs control</t>
    </r>
  </si>
  <si>
    <t xml:space="preserve">Number of prostate cancers with cancer stage T3 at diagnosis; &lt;11 years of follow-up.
If a man had stage T3 but did not have metastates (M0) or nodes (N0) then the diagnosis was categorized as T3. </t>
  </si>
  <si>
    <r>
      <t>Absolute incidence of prostate cancer with stage T4, N1 or M1</t>
    </r>
    <r>
      <rPr>
        <sz val="10"/>
        <rFont val="Calibri"/>
        <family val="2"/>
      </rPr>
      <t xml:space="preserve"> at diagnosis (per 100 men); 
&lt;11 year of follow-up;
Intervention vs control</t>
    </r>
  </si>
  <si>
    <t xml:space="preserve">Number of prostate cancers with cancer stage T4, N1 or M1 at diagnosis; &lt;11 years of follow-up.
A man was given a stage of T4/N1/M1 if he had been diagnosed with stage T4 or was positive for metastases (M1) or nodes (N1). </t>
  </si>
  <si>
    <r>
      <t>Absolute incidence of prostate cancer with stage T1 or T2</t>
    </r>
    <r>
      <rPr>
        <sz val="10"/>
        <rFont val="Calibri"/>
        <family val="2"/>
      </rPr>
      <t xml:space="preserve"> at diagnosis (per 100 men); 
&lt;12 year of follow-up;
Intervention vs control</t>
    </r>
  </si>
  <si>
    <t>Number of prostate cancers with cancer stage T1 or T2 at diagnosis; &lt;12 years of follow-up.
Any diagnoses categorized as T1 or T2 (with no metastasis or nodes) were placed in the T1/T2 category.</t>
  </si>
  <si>
    <r>
      <t>Absolute incidence of prostate cancer with stage T3</t>
    </r>
    <r>
      <rPr>
        <sz val="10"/>
        <rFont val="Calibri"/>
        <family val="2"/>
      </rPr>
      <t xml:space="preserve"> at diagnosis (per 100 men); 
&lt;12 year of follow-up;
Intervention vs control</t>
    </r>
  </si>
  <si>
    <t xml:space="preserve">Number of prostate cancers with cancer stage T3 at diagnosis; &lt;12 years of follow-up.
If a man had stage T3 but did not have metastates (M0) or nodes (N0) then the diagnosis was categorized as T3. </t>
  </si>
  <si>
    <r>
      <t>Absolute incidence of prostate cancer with stage T4, N1 or M1</t>
    </r>
    <r>
      <rPr>
        <sz val="10"/>
        <rFont val="Calibri"/>
        <family val="2"/>
      </rPr>
      <t xml:space="preserve"> at diagnosis (per 100 men); 
&lt;12 year of follow-up;
Intervention vs control</t>
    </r>
  </si>
  <si>
    <t xml:space="preserve">Number of prostate cancers with cancer stage T4, N1 or M1 at diagnosis; &lt;12 years of follow-up.
A man was given a stage of T4/N1/M1 if he had been diagnosed with stage T4 or was positive for metastases (M1) or nodes (N1). </t>
  </si>
  <si>
    <r>
      <t>Absolute incidence of prostate cancer with stage T1 or T2</t>
    </r>
    <r>
      <rPr>
        <sz val="10"/>
        <rFont val="Calibri"/>
        <family val="2"/>
      </rPr>
      <t xml:space="preserve"> at diagnosis (per 100 men); 
&lt;13 year of follow-up;
Intervention vs control</t>
    </r>
  </si>
  <si>
    <t>Number of prostate cancers with cancer stage T1 or T2 at diagnosis; &lt;13 years of follow-up.
Any diagnoses categorized as T1 or T2 (with no metastasis or nodes) were placed in the T1/T2 category.</t>
  </si>
  <si>
    <r>
      <t>Absolute incidence of prostate cancer with stage T3</t>
    </r>
    <r>
      <rPr>
        <sz val="10"/>
        <rFont val="Calibri"/>
        <family val="2"/>
      </rPr>
      <t xml:space="preserve"> at diagnosis (per 100 men); 
&lt;13 year of follow-up;
Intervention vs control</t>
    </r>
  </si>
  <si>
    <t xml:space="preserve">Number of prostate cancers with cancer stage T3 at diagnosis; &lt;13 years of follow-up.
If a man had stage T3 but did not have metastates (M0) or nodes (N0) then the diagnosis was categorized as T3. </t>
  </si>
  <si>
    <r>
      <t>Absolute incidence of prostate cancer with stage T4, N1 or M1</t>
    </r>
    <r>
      <rPr>
        <sz val="10"/>
        <rFont val="Calibri"/>
        <family val="2"/>
      </rPr>
      <t xml:space="preserve"> at diagnosis (per 100 men); 
&lt;13 year of follow-up;
Intervention vs control</t>
    </r>
  </si>
  <si>
    <t xml:space="preserve">Number of prostate cancers with cancer stage T4, N1 or M1 at diagnosis; &lt;13 years of follow-up.
A man was given a stage of T4/N1/M1 if he had been diagnosed with stage T4 or was positive for metastases (M1) or nodes (N1). </t>
  </si>
  <si>
    <r>
      <t>Absolute incidence of prostate cancer with stage T1 or T2</t>
    </r>
    <r>
      <rPr>
        <sz val="10"/>
        <rFont val="Calibri"/>
        <family val="2"/>
      </rPr>
      <t xml:space="preserve"> at diagnosis (per 100 men); 
&lt;14 year of follow-up;
Intervention vs control</t>
    </r>
  </si>
  <si>
    <t>Number of prostate cancers with cancer stage T1 or T2 at diagnosis; &lt;14 years of follow-up.
Any diagnoses categorized as T1 or T2 (with no metastasis or nodes) were placed in the T1/T2 category.</t>
  </si>
  <si>
    <t>Calculated by reviewer, per 100 men analysed; cumulative numbers are not consistent with number reported for the whole follow-up time in Table3.</t>
  </si>
  <si>
    <r>
      <t>Absolute incidence of prostate cancer with stage T3</t>
    </r>
    <r>
      <rPr>
        <sz val="10"/>
        <rFont val="Calibri"/>
        <family val="2"/>
      </rPr>
      <t xml:space="preserve"> at diagnosis (per 100 men); 
&lt;14 year of follow-up;
Intervention vs control</t>
    </r>
  </si>
  <si>
    <t xml:space="preserve">Number of prostate cancers with cancer stage T3 at diagnosis; &lt;14 years of follow-up.
If a man had stage T3 but did not have metastates (M0) or nodes (N0) then the diagnosis was categorized as T3. </t>
  </si>
  <si>
    <r>
      <t>Absolute incidence of prostate cancer with stage T4, N1 or M1</t>
    </r>
    <r>
      <rPr>
        <sz val="10"/>
        <rFont val="Calibri"/>
        <family val="2"/>
      </rPr>
      <t xml:space="preserve"> at diagnosis (per 100 men); 
&lt;14 year of follow-up;
Intervention vs control</t>
    </r>
  </si>
  <si>
    <t xml:space="preserve">Number of prostate cancers with cancer stage T4, N1 or M1 at diagnosis; &lt;14 years of follow-up.
A man was given a stage of T4/N1/M1 if he had been diagnosed with stage T4 or was positive for metastases (M1) or nodes (N1). </t>
  </si>
  <si>
    <t>Kubik 1986</t>
  </si>
  <si>
    <t>All-cause mortality (per 1,000 men) during the 3-year period;
Screening vs another type of screening</t>
  </si>
  <si>
    <t>Chest x-ray + sputum cytology (high intensity)</t>
  </si>
  <si>
    <t>Chest x-ray + sputum cytology (low intensity)</t>
  </si>
  <si>
    <t>Follow-up of the lung cancer patients by the district chest clinic in collaboration with the coordinating institute. Causes of death collected from death certificates.</t>
  </si>
  <si>
    <t>3 years</t>
  </si>
  <si>
    <t>High-intensity: 7
Low-intensity: 2</t>
  </si>
  <si>
    <t>Number of deaths from all causes in 3-year study period</t>
  </si>
  <si>
    <t>Number of men randomised</t>
  </si>
  <si>
    <t>Per 1,000 men</t>
  </si>
  <si>
    <t>&gt;0.05</t>
  </si>
  <si>
    <t>Table 9 and text: During the 3-year period of the study there were 126 deaths in the experimental group;...  
In the control group there were during the same period 
109 deaths…</t>
  </si>
  <si>
    <t>Lung cancer mortality (per 1,000 men) during the 3-year period;
Screening vs another type of screening</t>
  </si>
  <si>
    <t xml:space="preserve">Follow-up of the lung cancer patients by the district chest clinic in collaboration with the coordinating institute. </t>
  </si>
  <si>
    <t>Number of lung cancer deaths in 3-year study period</t>
  </si>
  <si>
    <t>Table 9</t>
  </si>
  <si>
    <t>Kubik 1990</t>
  </si>
  <si>
    <t>Lung cancer mortality (per 1,000 PY), lung cancer deaths during years 1-3; 
Screening vs another type of screening</t>
  </si>
  <si>
    <t>Death from causes other than lung cancer</t>
  </si>
  <si>
    <t>Number lung cancer deaths during years 1-3 after entry</t>
  </si>
  <si>
    <t>Person years, years 1-3 after study entry</t>
  </si>
  <si>
    <t>p&gt;0.05</t>
  </si>
  <si>
    <t>Lung cancer mortality (per 1,000 men);
1 year of follow-up after study entry;
Screening vs another type of screening</t>
  </si>
  <si>
    <t>Follow-up of the lung cancer patients by the district chest clinic in collaboration with the coordinating institute.</t>
  </si>
  <si>
    <t>1 year</t>
  </si>
  <si>
    <t>High-intensity: 3
Low-intensity: 1</t>
  </si>
  <si>
    <t>Number lung cancer deaths; follow-up 0-&lt; 1 year after study entry</t>
  </si>
  <si>
    <t>Figure 6</t>
  </si>
  <si>
    <t>Lung cancer mortality (per 1,000 men);
2 years of follow-up after study entry;
Screening vs another type of screening</t>
  </si>
  <si>
    <t>2 years</t>
  </si>
  <si>
    <t>High-intensity: 5 
Low-intensity: 1</t>
  </si>
  <si>
    <t>Number lung cancer deaths; lung cancers diagnosed and follow-up 0-&lt; 2 years after study entry</t>
  </si>
  <si>
    <t>Lung cancer mortality (per 1,000 PY);
3 years of follow-up after study entry (excluding 3-year screen);
Screening vs another type of screening</t>
  </si>
  <si>
    <t>High-intensity: 6
Low-intensity: 1</t>
  </si>
  <si>
    <t>Number lung cancer deaths; follow-up 0-&lt;3 years after study entry</t>
  </si>
  <si>
    <t>Person years, 0-&lt;3 years after study entry</t>
  </si>
  <si>
    <t>Table 1, Figure 6 and text: The differences in mortality rates (all ages) between the intervention and control groups were not statistically significant…</t>
  </si>
  <si>
    <t>Lung cancer mortality (per 1,000 men);
3 years of follow-up after study entry (excluding 3-year screen);
Screening vs another type of screening</t>
  </si>
  <si>
    <t>Table 1 and Figure 6</t>
  </si>
  <si>
    <t>Lung cancer mortality (per 1,000 men);
diagnosed within 3 years after study entry;
4 years of follow-up after study entry;
Screening vs another type of screening</t>
  </si>
  <si>
    <t>4 years</t>
  </si>
  <si>
    <t>High-intensity: 7 
Low-intensity: 2</t>
  </si>
  <si>
    <t>Number lung cancer deaths; lung cancers diagnosed within 3 years after study entry; 4 years of follow-up after study entry</t>
  </si>
  <si>
    <t>Lung cancer mortality (per 1,000 men);
diagnosed within 6 years after study entry;
4 years of follow-up after study entry;
Screening vs another type of screening</t>
  </si>
  <si>
    <t>High-intensity: 10
Low-intensity: 5</t>
  </si>
  <si>
    <t>Number lung cancer deaths; lung cancers diagnosed within 6 years after study entry; 4 years of follow-up after study entry</t>
  </si>
  <si>
    <t>Lung cancer mortality (per 1,000 men);
diagnosed within 3 years after study entry;
5 years of follow-up after study entry;
Screening vs another type of screening</t>
  </si>
  <si>
    <t>5 years</t>
  </si>
  <si>
    <t>Number lung cancer deaths; lung cancers diagnosed within 3 years after study entry; 5 years of follow-up after study entry</t>
  </si>
  <si>
    <t>Lung cancer mortality (per 1,000 men);
diagnosed within 6 years after study entry;
5 years of follow-up after study entry;
screening vs another type of screening</t>
  </si>
  <si>
    <t>Number lung cancer deaths; lung cancers diagnosed within 6 years after study entry; 5 years of follow-up after study entry</t>
  </si>
  <si>
    <t>Lung cancer mortality (per 1,000 men);
diagnosed within 3 years after study entry;
6 years of follow-up after study entry;
Screening vs another type of screening</t>
  </si>
  <si>
    <t>6 years</t>
  </si>
  <si>
    <t>Number lung cancer deaths; lung cancers diagnosed within 3 years after study entry; 6 years of follow-up after study entry</t>
  </si>
  <si>
    <t>Lung cancer mortality (per 1,000 PY);
diagnosed within 6 years after study entry;
6 years of follow-up after study entry;
Screening vs another type of screening</t>
  </si>
  <si>
    <t>Number lung cancer deaths; follow-up 0-6 years after study entry</t>
  </si>
  <si>
    <t>Person years, 0-6 years after study entry</t>
  </si>
  <si>
    <t>Table 1, Figure 6 and text: The differences in mortality rates (all ages) between the intervention and control groups were not statistically significant; the ratio between death rates six years after entry was 1.38 (95% c.i. = 0.95-2.02).</t>
  </si>
  <si>
    <t>Lung cancer mortality (per 1,000 men);
diagnosed within 6 years after study entry;
6 years of follow-up after study entry;
Screening vs another type of screening</t>
  </si>
  <si>
    <t>Lung cancer mortality (per 1,000 men);
diagnosed within 3 years after study entry;
7 years of follow-up after study entry;
Screening vs another type of screening</t>
  </si>
  <si>
    <t>7 years</t>
  </si>
  <si>
    <t>Number lung cancer deaths; lung cancers diagnosed within 3 years after study entry; 7 years of follow-up after study entry</t>
  </si>
  <si>
    <t>Lung cancer mortality (per 1,000 men);
diagnosed within 6 years after study entry;
7 years of follow-up after study entry;
screening vs another type of screening</t>
  </si>
  <si>
    <t>Number lung cancer deaths; lung cancers diagnosed within 6 years after study entry; 7 years of follow-up after study entry</t>
  </si>
  <si>
    <t>Lung cancer mortality (per 1,000 men);
diagnosed within 3 years after study entry;
8 years of follow-up after study entry;
Screening vs another type of screening</t>
  </si>
  <si>
    <t>8 years</t>
  </si>
  <si>
    <t>Number lung cancer deaths; lung cancers diagnosed within 3 years after study entry; 8 years of follow-up after study entry</t>
  </si>
  <si>
    <t>Chris comment - repeat of reports from year 6</t>
  </si>
  <si>
    <t>Lung cancer mortality (per 1,000 men);
diagnosed within 6 years after study entry;
8 years of follow-up after study entry;
screening vs another type of screening</t>
  </si>
  <si>
    <t>Number lung cancer deaths; lung cancers diagnosed within 6 years after study entry; 8 years of follow-up after study entry</t>
  </si>
  <si>
    <t>Lung cancer mortality (per 1,000 men);
diagnosed within 3 years after study entry;
9 years of follow-up after study entry;
Screening vs another type of screening</t>
  </si>
  <si>
    <t>9 years</t>
  </si>
  <si>
    <t>Number lung cancer deaths; lung cancers diagnosed within 3 years after study entry; 9 years of follow-up after study entry</t>
  </si>
  <si>
    <t>Text and Figure 6: Among the cases diagnosed in the first period, there were 27 deaths from lung cancer in the intervention group, and 18 in the controls, 9 years after entry.</t>
  </si>
  <si>
    <t>Lung cancer mortality (per 1,000 men);
diagnosed within 6 years after study entry;
9 years of follow-up after study entry;
Screening vs another type of screening</t>
  </si>
  <si>
    <t>Number lung cancer deaths; lung cancers diagnosed within 6 years after study entry; 9 years of follow-up after study entry</t>
  </si>
  <si>
    <t>Text and Figure 6: Among the cases diagnosed in the entire 6 years of the trial, there were 85 deaths from lung cancer in the intervention group and 67 in the control group. Differences in total death counts between the 2 groups were not significant.</t>
  </si>
  <si>
    <t>All-cause mortality (per 1,000 PY); 
0-6 years after study entry;
Screening vs another type of screening</t>
  </si>
  <si>
    <t>Follow-up of the lung cancer patients by the district chest clinic in collaboration with the coordinating institute; death certificates for non-lung cancer patients.</t>
  </si>
  <si>
    <t>Number all deaths (lung cancer + other causes); follow-up years 1-6 after study entry</t>
  </si>
  <si>
    <t>Table III and text: Considering the entire 6-year period, the
total number of deaths was significantly higher in the intervention group (341 deaths, 19.0 per 1,000 person years) than in the controls (293 deaths, 16.2 per 1,000 person years).</t>
  </si>
  <si>
    <t>All-cause mortality (per 1,000 men); 
0-6 years after study entry;
Screening vs another type of screening</t>
  </si>
  <si>
    <t>Table III</t>
  </si>
  <si>
    <t>Kubik 2000</t>
  </si>
  <si>
    <t>Lung cancer mortality (per 1,000 men);
diagnosed within 3 years after study entry;
10 years of follow-up after study entry;
Screening vs another type of screening</t>
  </si>
  <si>
    <t>10 years</t>
  </si>
  <si>
    <t>Number lung cancer deaths; lung cancers diagnosed within 3 years after study entry; 10 years of follow-up after study entry</t>
  </si>
  <si>
    <t>Figure 5</t>
  </si>
  <si>
    <t>Lung cancer mortality (per 1,000 men);
diagnosed within 3 years after study entry;
11 years of follow-up after study entry;
Screening vs another type of screening</t>
  </si>
  <si>
    <t>11 years</t>
  </si>
  <si>
    <t>Number lung cancer deaths; lung cancers diagnosed within 3 years after study entry; 11 years of follow-up after study entry</t>
  </si>
  <si>
    <t>Lung cancer mortality (per 1,000 men);
diagnosed within 3 years after study entry;
12 years of follow-up after study entry;
Screening vs another type of screening</t>
  </si>
  <si>
    <t>12 years</t>
  </si>
  <si>
    <t>Number lung cancer deaths; lung cancers diagnosed within 3 years after study entry; 12 years of follow-up after study entry</t>
  </si>
  <si>
    <t>Lung cancer mortality (per 1,000 men);
diagnosed within 3 years after study entry;
13 years of follow-up after study entry;
Screening vs another type of screening</t>
  </si>
  <si>
    <t>13 years</t>
  </si>
  <si>
    <t>Number lung cancer deaths; lung cancers diagnosed within 3 years after study entry; 13 years of follow-up after study entry</t>
  </si>
  <si>
    <t>Lung cancer mortality (per 1,000 men);
diagnosed within 3 years after study entry;
14 years of follow-up after study entry;
Screening vs another type of screening</t>
  </si>
  <si>
    <t>14 years</t>
  </si>
  <si>
    <t>Number lung cancer deaths; lung cancers diagnosed within 3 years after study entry; 14 years of follow-up after study entry</t>
  </si>
  <si>
    <t>Lung cancer mortality (per 1,000 men);
diagnosed within 3 years after study entry;
15 years of follow-up after study entry;
Screening vs another type of screening</t>
  </si>
  <si>
    <t>15 years</t>
  </si>
  <si>
    <t>Number lung cancer deaths; lung cancers diagnosed within 3 years after study entry; 15 years of follow-up after study entry</t>
  </si>
  <si>
    <t>Lung cancer mortality (per 1,000 men);
diagnosed within 6 years after study entry;
10 years of follow-up after study entry;
Screening vs another type of screening</t>
  </si>
  <si>
    <t>Number lung cancer deaths; lung cancers diagnosed within 0-&lt;3 plus 4-6 years after study entry; 10 years of follow-up after study entry</t>
  </si>
  <si>
    <t>Figure 5 and Figure 6</t>
  </si>
  <si>
    <t>Sum of deaths reported in Figure 5 (0-&lt;3 years) and Figure 6 (4-6 years, including 3-year screen) for each time point.
8 patients with lung carcinoma of 190 cases diagnosed in Years 0–6, and treated by pulmonary resection, were lost to follow-up before Year 15 of the study; however, all of these 8 patients were 5-year survivors, i.e., they survived 5 years or more from the date of diagnosis.</t>
  </si>
  <si>
    <t>Lung cancer mortality (per 1,000 men);
diagnosed within 6 years after study entry;
11 years of follow-up after study entry;
Screening vs another type of screening</t>
  </si>
  <si>
    <t>Number lung cancer deaths; lung cancers diagnosed within 0-&lt;3 plus 4-6 years after study entry; 11 years of follow-up after study entry</t>
  </si>
  <si>
    <t>Lung cancer mortality (per 1,000 men);
diagnosed within 6 years after study entry;
12 years of follow-up after study entry;
Screening vs another type of screening</t>
  </si>
  <si>
    <t>Number lung cancer deaths; lung cancers diagnosed within 0-&lt;3 plus 4-6 years after study entry; 12 years of follow-up after study entry</t>
  </si>
  <si>
    <t>Lung cancer mortality (per 1,000 men);
diagnosed within 6 years after study entry;
13 years of follow-up after study entry;
Screening vs another type of screening</t>
  </si>
  <si>
    <t>Number lung cancer deaths; lung cancers diagnosed within 0-&lt;3 plus 4-6 years after study entry; 13 years of follow-up after study entry</t>
  </si>
  <si>
    <t>Lung cancer mortality (per 1,000 men);
diagnosed within 6 years after study entry;
14 years of follow-up after study entry;
Screening vs another type of screening</t>
  </si>
  <si>
    <t>Number lung cancer deaths; lung cancers diagnosed within 0-&lt;3 plus 4-6 years after study entry; 14 years of follow-up after study entry</t>
  </si>
  <si>
    <t>Lung cancer mortality (per 1,000 men);
diagnosed within 6 years after study entry;
15 years of follow-up after study entry;
Screening vs another type of screening</t>
  </si>
  <si>
    <t>Number lung cancer deaths; lung cancers diagnosed within 0-&lt;3 plus 4-6 years after study entry; 15 years of follow-up after study entry</t>
  </si>
  <si>
    <t>Lung cancer mortality (per 1,000 men);
7 years of follow-up after study entry;
Screening vs another type of screening</t>
  </si>
  <si>
    <t>Number lung cancer deaths since entry in study; 7 years of follow-up after study entry</t>
  </si>
  <si>
    <t>Figure 4</t>
  </si>
  <si>
    <t>8 patients with lung carcinoma of 190 cases diagnosed in Years 0–6, and treated by pulmonary resection, were lost to follow-up before Year 15 of the study; however, all of these 8 patients were 5-year survivors, i.e., they survived 5 years or more from the date of diagnosis.</t>
  </si>
  <si>
    <t>Lung cancer mortality (per 1,000 men);
8 years of follow-up after study entry;
Screening vs another type of screening</t>
  </si>
  <si>
    <t>Number lung cancer deaths since entry in study; 8 years of follow-up after study entry</t>
  </si>
  <si>
    <t>Lung cancer mortality (per 1,000 men);
9 years of follow-up after study entry;
Screening vs another type of screening</t>
  </si>
  <si>
    <t>Number lung cancer deaths since entry in study; 9 years of follow-up after study entry</t>
  </si>
  <si>
    <t>Lung cancer mortality (per 1,000 men);
10 years of follow-up after study entry;
Screening vs another type of screening</t>
  </si>
  <si>
    <t>Number lung cancer deaths since entry in study; 10 years of follow-up after study entry</t>
  </si>
  <si>
    <t>Lung cancer mortality (per 1,000 men);
11 years of follow-up after study entry;
Screening vs another type of screening</t>
  </si>
  <si>
    <t>Number lung cancer deaths since entry in study; 11 years of follow-up after study entry</t>
  </si>
  <si>
    <t>Lung cancer mortality (per 1,000 men);
12 years of follow-up after study entry;
Screening vs another type of screening</t>
  </si>
  <si>
    <t>Number lung cancer deaths since entry in study; 12 years of follow-up after study entry</t>
  </si>
  <si>
    <t>Lung cancer mortality (per 1,000 men);
13 years of follow-up after study entry;
Screening vs another type of screening</t>
  </si>
  <si>
    <t>Number lung cancer deaths since entry in study; 13 years of follow-up after study entry</t>
  </si>
  <si>
    <t>Lung cancer mortality (per 1,000 men);
14 years of follow-up after study entry;
Screening vs another type of screening</t>
  </si>
  <si>
    <t>Number lung cancer deaths since entry in study; 14 years of follow-up after study entry</t>
  </si>
  <si>
    <t>Lung cancer mortality (per 1,000 men);
15 years of follow-up after study entry;
Screening vs another type of screening</t>
  </si>
  <si>
    <t>Number lung cancer deaths since entry in study; 15 years of follow-up after study entry</t>
  </si>
  <si>
    <t>Figure 4 and text: Figure 4 shows the numbers of lung cancer deaths in the intervention (247 deaths) and control groups (216 deaths), and their accrual in the course of the 15 years
since the enrollment of the study participants.</t>
  </si>
  <si>
    <t>% of incident lung cancers that are screen-detected, excluding prevalence cases detected at baseline screen (3-year screening period);
Semiannual screening vs screening after 3 years only</t>
  </si>
  <si>
    <t>Trial data</t>
  </si>
  <si>
    <t>Number of incident lung cancers that have been screen-detected (excluding prevalent lung cancers detected at baseline screen); 3-year screening period (including 3-year screen)</t>
  </si>
  <si>
    <t>Number of all lung cancers detected (screen-detected plus symptomatic) in 3-year period (including 3-year screen)</t>
  </si>
  <si>
    <t>p&lt;0.001</t>
  </si>
  <si>
    <t>Figure 1, Table 6 and text: The mode of detection was significantly influenced by the frequency of screening (P &lt; 0.001) (Fig. 1). In the experimental group approximately 75% (29) of the 39 incidence incidence cases were found by semiannual screening… 
In the control group, the final screening (performed 3
years after the initial investigation) discovered eight cases,...</t>
  </si>
  <si>
    <t>#653, Figure 3, reports 28 screen-detected cases but 19 (instead of here 18) prevalent lung cancer cases. So, in later publications, 1 screen-detected lung cancer case seems to have been reclassified as prevalent case.</t>
  </si>
  <si>
    <t>Absolute incidence of lung cancers (incident), stage I at diagnosis (per 1,000 men); 
diagnosed in 3-year period after baseline exam (including 3-year screen);
Screening vs other type of screening</t>
  </si>
  <si>
    <t>Advanced stage = stage III (see Table 5 and Table 6)</t>
  </si>
  <si>
    <t>Number of incident lung cancers diagnosed at stage I (American Joint Committee for Cancer Staging and End-Results Reporting); 3-year period after baseline exam</t>
  </si>
  <si>
    <t>Table 5 and Table 6</t>
  </si>
  <si>
    <t>Absolute incidence of lung cancers (incident), stage II at diagnosis (per 1,000 men); 
diagnosed in 3-year period after baseline exam (including 3-year screen);
Screening vs other type of screening</t>
  </si>
  <si>
    <t>Number of incident lung cancers diagnosed at stage II (American Joint Committee for Cancer Staging and End-Results Reporting); 3-year period after baseline exam</t>
  </si>
  <si>
    <t>Absolute incidence of lung cancers (incident), stage III at diagnosis (per 1,000 men); 
diagnosed in 3-year period after baseline exam (including 3-year screen);
Screening vs other type of screening</t>
  </si>
  <si>
    <t>Number of incident lung cancers diagnosed at stage III (American Joint Committee for Cancer Staging and End-Results Reporting); 3-year period after baseline exam</t>
  </si>
  <si>
    <t>Including two patients tabulated in the tables as “occult
cases” (at detection). At the time of localization they had a third stage small cell cancer (see case reports).</t>
  </si>
  <si>
    <t>% of lung cancers diagnosed at stage III;
diagnosed in 3-year period after baseline exam (including 3-year screen);
Screening vs another type of screening</t>
  </si>
  <si>
    <t>Number of incident lung cancers diagnosed at stage III (American Joint Committee for Cancer Staging and End-Results Reporting); 3-year period after baseline exam (including 3-year screen)</t>
  </si>
  <si>
    <t>Total number of lung cancers detected in the 3-year period after baseline exam (including 3-year screen)</t>
  </si>
  <si>
    <t>Absolute incidence of lung cancers (incident), stage III at diagnosis (per 1,000 men); 
0-&lt;3 years after study entry (excluding 3-year screen);
Screening vs other type of screening</t>
  </si>
  <si>
    <t xml:space="preserve">Advanced stage = stage III </t>
  </si>
  <si>
    <t>Number of incident lung cancers diagnosed at stage III (American Joint Committee for Cancer Staging and End-Results Reporting); &lt;3 years after baseline exam</t>
  </si>
  <si>
    <t>Table II</t>
  </si>
  <si>
    <t>% of lung cancers diagnosed at stage III;
0-&lt;3 years after study entry (excluding 3-year screen);
Screening vs another type of screening</t>
  </si>
  <si>
    <t>Total number of lung cancers detected between study entry and before end of 3rd year</t>
  </si>
  <si>
    <t>&lt;0.05</t>
  </si>
  <si>
    <t>Table II and text from #653: Text: Because no screening was performed in the control group in the first 3 years, the difference between the intervention and control groups in terms of stage distribution of cancers detected in the first 3 years was significant: 47.2% (17 of 36) Stage III in the intervention group, 78.9% (15 of 19) Stage III in the controls (P &lt; 0.05).</t>
  </si>
  <si>
    <t>Absolute incidence of lung cancers (incident), stage III at diagnosis (per 1,000 men); 
0-6 years after study entry;
Screening vs other type of screening</t>
  </si>
  <si>
    <t>Number of incident lung cancers diagnosed at stage III (American Joint Committee for Cancer Staging and End-Results Reporting); 0-6 years after baseline exam</t>
  </si>
  <si>
    <t>% of lung cancers diagnosed at stage III;
0-6 years after study entry;
Screening vs another type of screening</t>
  </si>
  <si>
    <t>Total number of lung cancers detected in 6-year screening period</t>
  </si>
  <si>
    <t>% of incident lung cancers that are screen-detected, excluding prevalence cases detected at baseline screen (0-6 year screening period);
High-intensity vs low-intensity screening in first 3 years, then same annual testing</t>
  </si>
  <si>
    <t>Number of incident lung cancers that have been screen-detected (excluding prevalent lung cancers detected at baseline screen); 0-6 year screening period</t>
  </si>
  <si>
    <t>Number of all lung cancers detected (screen-detected plus symptomatic) in 6-year screening period</t>
  </si>
  <si>
    <t>Table II and Figure 3</t>
  </si>
  <si>
    <t>Diagnostic yield at screening, incidence rounds (per 100 men), excluding prevalence cases detected at baseline screen (0-6 year screening period);
High-intensity vs low-intensity screening in first 3 years, then same annual testing</t>
  </si>
  <si>
    <t>% of incident lung cancers that are screen-detected, excluding prevalence cases detected at baseline screen (between study entry and before end of 3rd year);
Screening arm only</t>
  </si>
  <si>
    <t>Number of incident lung cancers that have been screen-detected before end of 3rd year (excluding prevalent lung cancers detected at baseline screen)</t>
  </si>
  <si>
    <t>Number of all lung cancers detected (screen-detected plus symptomatic) between study entry and before end of 3rd year</t>
  </si>
  <si>
    <t>Figure 3 and text: In the period between entry into the study and before the end of the third year, 36 lung carcinomas were diagnosed in the intervention group, and 19 were diagnosed in the control population. Ten of the cases in the intervention group were interval cancers, diagnosed because of symptoms; the remaining 26 cases were detected at any of the 6-monthly examinations.</t>
  </si>
  <si>
    <t>Saghir 2012</t>
  </si>
  <si>
    <t>All-cause mortality (per 100 people); follow-up until 31 March 2010;
Screening vs control</t>
  </si>
  <si>
    <t>Danish Civil Registration System which contains information on all national deaths with a delay of a couple of weeks</t>
  </si>
  <si>
    <t>Emigration</t>
  </si>
  <si>
    <t>Median 4.81, 
mean 4.76
(95% CI 3.64 to 5.88)</t>
  </si>
  <si>
    <t>Median 4.81,
mean 4.77 
(95% CI 3.73 to 5.82)</t>
  </si>
  <si>
    <t>Total number of deaths up to 31 March 2010</t>
  </si>
  <si>
    <t>Number of people randomised</t>
  </si>
  <si>
    <t>Text: Sixty-one (2.97%) died in the screening group, while 42 (2.05%) died in the control group (log-rank test, all-cause mortality: p=0.059).</t>
  </si>
  <si>
    <t>Results from 5 annual CT screening rounds (after finishing intervention period in 2010).</t>
  </si>
  <si>
    <t>All-cause mortality (per 1000 PY); follow-up until 31 March 2010;
Screening vs control</t>
  </si>
  <si>
    <t>Person years (up to 31 March 2010)</t>
  </si>
  <si>
    <t>Text: Total person-years of follow-up at last screening were 9769 person-years in the screening group; median 4.81, mean 4.76 (95% CI 3.64 to 5.88) and 9794 person-years in the control group...
Sixty-one (2.97%) died in the screening group, while 42 (2.05%) died in the control group ...</t>
  </si>
  <si>
    <t>Lung cancer mortality (per 100 people); follow-up until 31 March 2010;
Screening vs control</t>
  </si>
  <si>
    <t>Danish Causes of Death Register, which has a lag time in registry update of up to 2 years. Medical history from general practitioners, medical records of hospitals, autopsy reports, police departments and the National Board of Health. The cause of death established by a local death review board.</t>
  </si>
  <si>
    <t>Number of lung cancer deaths up to 31 March 2010</t>
  </si>
  <si>
    <t>Text: Fifteen (0.73%) died of lung cancer in the screening
group compared with 11 (0.54%) in the control group (log-rank test, lung cancer specific mortality: p=0.428).</t>
  </si>
  <si>
    <t>Lung cancer mortality (per 1000 PY); follow-up until 31 March 2010;
Screening vs control</t>
  </si>
  <si>
    <t>Text: Total person-years of follow-up at last screening were 9769 person-years in the screening group; median 4.81, mean 4.76 (95% CI 3.64 to 5.88) and 9794 person-years in the control group,...
Fifteen (0.73%) died of lung cancer in the screening
group compared with 11 (0.54%) in the control group (log-rank test, lung cancer specific mortality: p=0.428).</t>
  </si>
  <si>
    <t>Wille 2016</t>
  </si>
  <si>
    <t>All-cause mortality (per 100 people); Follow-up until 7 April 2015;
Screening vs control</t>
  </si>
  <si>
    <t xml:space="preserve">Danish Pathology Registry, Danish Causes of Death Registry, Danish Civil Registration System; for recent deaths, the medical history, and cause of death were sought and obtained from medical records of hospitals, autopsy reports, and general practitioners. </t>
  </si>
  <si>
    <t>Participants who emigrated were censored from day of emigration</t>
  </si>
  <si>
    <t>Median 9.80 years,
mean 9.47 years</t>
  </si>
  <si>
    <t>Median 9.80 years,
mean 9.53 years</t>
  </si>
  <si>
    <t>Total number of deaths; follow-up until 7 April 2015</t>
  </si>
  <si>
    <t>Text: Of these, 165 were in the screening group and 163 were in the control group (all-cause mortality HR, 1.02; 95% CI, 0.82–1.27; P = 0.867).</t>
  </si>
  <si>
    <t>At least 5 years since their last screening.</t>
  </si>
  <si>
    <t>All-cause mortality (per 1,000 PY) and hazard ratio (HR); Follow-up until 7 April 2015;
Screening vs control</t>
  </si>
  <si>
    <t>Person years; follow-up until 7 April 2015</t>
  </si>
  <si>
    <t>Adjusted only for covariates in the Cox proportional hazards model.</t>
  </si>
  <si>
    <t>Table 4 and text: Of these, 165 were in the screening group and 163 were in the control group (all-cause mortality HR, 1.02; 95% CI, 0.82–1.27; P = 0.867).</t>
  </si>
  <si>
    <t>All-cause mortality (per 1,000 PY) and rate ratio; Follow-up until 7 April 2015;
Screening vs control</t>
  </si>
  <si>
    <t>Lung cancer mortality (per 100 people); Follow-up until 7 April 2015;
Screening vs control</t>
  </si>
  <si>
    <t>Danish Pathology Registry, Danish Causes of Death Registry, Danish Civil Registration System; for recent deaths, the medical history, and cause of death were sought and obtained from medical records of hospitals, autopsy reports, and general practitioners. Final conclusions regarding cause of death were established by the local review board. To
avoid bias, affiliations with randomization groups were not attached to these data until after causes of death were determined.</t>
  </si>
  <si>
    <t>Unknown cause of death</t>
  </si>
  <si>
    <t>Number of lung cancer deaths (International Classification of Diseases, 10th Revision); follow-up until 7 April 2015</t>
  </si>
  <si>
    <t xml:space="preserve">Table 4 and text: In the screening group, 39 died due to lung cancer (2.0 cases per 1,000 personyears), whereas 38 died as a result of lung cancer (1.9 cases per 1,000 person-years) in
the control group (HR, 1.03; 95% CI, 0.66–1.6; P = 0.888 by log-rank test for lung cancer mortality) (Figure 2). </t>
  </si>
  <si>
    <t>Lung cancer mortality (per 1,000 PY) and hazard ratio (HR); Follow-up until 7 April 2015;
Screening vs control</t>
  </si>
  <si>
    <t>Lung cancer mortality (per 1,000 PY) and rate ratio; Follow-up until 7 April 2015;
Screening vs control</t>
  </si>
  <si>
    <t>Diagnostic yield at screening (%), baseline screen and 4 incidence rounds;
Screening arm only</t>
  </si>
  <si>
    <t>Danish Lung Cancer Register and relevant medical
journals retrieved from diagnosing and treating departments.</t>
  </si>
  <si>
    <t>Mean 4.76
(95% CI 3.64 to 5.88)</t>
  </si>
  <si>
    <t>Number of screen-detected lung cancers (after 5 screening rounds)</t>
  </si>
  <si>
    <t>Table 2 and text: The overall detection rate (baseline + incidence rounds) was 0.70% (69 of 9800)…. One interval cancer was diagnosed 10 months after the third incidence scan…</t>
  </si>
  <si>
    <t>Diagnostic yield at screening (%), baseline screen;
Screening arm only</t>
  </si>
  <si>
    <t>Number of screen-detected lung cancers (baseline screen)</t>
  </si>
  <si>
    <t>Table 2 and text: At baseline the detection rate was 0.83%...</t>
  </si>
  <si>
    <t>Diagnostic yield at screening (%), 4 incidence rounds;
Screening arm only</t>
  </si>
  <si>
    <t>Number of screen-detected lung cancers (4 incidence rounds)</t>
  </si>
  <si>
    <t>Table 2 and text: .. while the incidence rounds had a mean annual detection rate of 0.67% (X2 test; p=0.535)…
The number of new lung cancers remained consistently high
during all four incidence rounds in the screened group compared
with the control group: 11+13+12+16 vs 4+6+7+6 (X2 test
p=0.001)</t>
  </si>
  <si>
    <t>Results from 5 annual CT screening rounds (after finishing intervention period in 2010).
Table 2 reports 1 interval cancer (T4N1M1) as part of round 3.</t>
  </si>
  <si>
    <t>% of lung cancers that are screen-detected, baseline screen and 4 incidence rounds;
Screening arm only</t>
  </si>
  <si>
    <t>Table 2 and text: The overall detection rate (baseline + incidence rounds) was 0.70% (69 of 9800)… One interval cancer was diagnosed 10 months after the third incidence scan…</t>
  </si>
  <si>
    <t>Absolute incidence of late stage lung cancers (stage IIIA-IV NSCLC and extensive stage SCLC) (%), diagnosed until 31 March 2010;
Screening vs control</t>
  </si>
  <si>
    <t>Stage IIIA-IV NSCLC and extensive stage SCLC</t>
  </si>
  <si>
    <t>high stage = stage IIIA-IV
NSCLC and extensive stage SCLC;
IASLC, high-stage = stage
IIIB-IV)</t>
  </si>
  <si>
    <t>low stage = stage I-IIB NSCLC and limited stage SCLC</t>
  </si>
  <si>
    <t>Mean 4.77 
(95% CI 3.73 to 5.82</t>
  </si>
  <si>
    <t>Number of NSCLC diagnosed at stage IIIA-IV NSCLC plus number of extensive stage SCLC; diagnosed until 31 March 2010</t>
  </si>
  <si>
    <t>Total number randomised</t>
  </si>
  <si>
    <t>Text, Table 2 and Figure 1: Twenty-two (30%) were diagnosed in late stage (IIIA-IV NSCLC and extensive stage SCLC)… Eight (33%) were in early stage and 16 (67%) in late stage…
The number of late stage lung cancers was the same in both groups (X2 test: 21 vs 16; p=0.509).</t>
  </si>
  <si>
    <t>"Twenty-two (30%) were diagnosed in late stage (IIIA-IV NSCLC and extensive stage SCLC)… "
22/69=31.9%, so I think 21 late stage cancer is correct as this would equal 21/69=30.4%. Everywhere else, it is 21 (e.g. Table 2 and Figure 1).</t>
  </si>
  <si>
    <t>% of lung cancers diagnosed at late stage  (stage IIIA-IV NSCLC and extensive stage SCLC) (%), diagnosed until 31 March 2010;
Screening vs control</t>
  </si>
  <si>
    <t>Total number of lung cancers diagnosed up to 31 March 2010</t>
  </si>
  <si>
    <t>Text, Table 2 and Figure 2: Twenty-two (30%) were diagnosed in late stage (IIIA-IV NSCLC and extensive stage SCLC)… Eight (33%) were in early stage and 16 (67%) in late stage…
The number of late stage lung cancers was the same in both groups (X2 test: 21 vs 16; p=0.509).</t>
  </si>
  <si>
    <t>Absolute incidence of early stage lung cancers (stage I-IIB NSCLC and limited stage SCLC) (%), diagnosed until 31 March 2010;
Screening vs control</t>
  </si>
  <si>
    <t>Stage I-IIB NSCLC and limited stage SCLC</t>
  </si>
  <si>
    <t>Number of NSCLC diagnosed at stage I-IIB NSCLC and limited stage SCLC; diagnosed until 31 March 2010</t>
  </si>
  <si>
    <t>Table 2, Figure 1 and text: Forty-eight (70%) were early stage (I-IIB NSCLC and limited stage SCLC) and thus potentially curable…
Eight (33%) were in early stage and 16 (67%) in late stage…
Significantly more lung cancers were diagnosed in the
screening group (X2 test: 69 vs 24; p&lt;0.001) and more were low stage (X2 test: 48 vs 21; p=0.002)....
The number of early stage lung cancers was six times higher
in the screening group compared with the control group...</t>
  </si>
  <si>
    <t>Absolute incidence of stage IA NSCLC (per 100 people); follow-up until 31 March 2010;
Screening vs control</t>
  </si>
  <si>
    <t>Stage IA</t>
  </si>
  <si>
    <t>Number of stage IA NSCLC; diagnosed until 31 March 2010</t>
  </si>
  <si>
    <t xml:space="preserve">Table 2
</t>
  </si>
  <si>
    <t>Absolute incidence of stage IB NSCLC (per 100 people); follow-up until 31 March 2010;
Screening vs control</t>
  </si>
  <si>
    <t>Stage IB</t>
  </si>
  <si>
    <t>Number of stage IB NSCLC; diagnosed until 31 March 2010</t>
  </si>
  <si>
    <t>Absolute incidence of stage I NSCLC (per 100 people); follow-up until 31 March 2010;
Screening vs control</t>
  </si>
  <si>
    <t>Number of stage I (IA + IB) NSCLC; diagnosed until 31 March 2010</t>
  </si>
  <si>
    <t>Absolute incidence of stage IIA NSCLC (per 100 people); follow-up until 31 March 2010;
Screening vs control</t>
  </si>
  <si>
    <t>Stage IIA</t>
  </si>
  <si>
    <t>Number of stage IIA NSCLC; diagnosed until 31 March 2010</t>
  </si>
  <si>
    <t>Absolute incidence of stage IIB NSCLC (per 100 people); follow-up until 31 March 2010;
Screening vs control</t>
  </si>
  <si>
    <t>Stage IIB</t>
  </si>
  <si>
    <t>Number of stage IIB NSCLC; diagnosed until 31 March 2010</t>
  </si>
  <si>
    <t>Absolute incidence of stage II NSCLC (per 100 people); follow-up until 31 March 2010;
Screening vs control</t>
  </si>
  <si>
    <t>Number of stage II (IIA + IIB) NSCLC; diagnosed until 31 March 2010</t>
  </si>
  <si>
    <t>Absolute incidence of stage IIIA NSCLC (per 100 people); follow-up until 31 March 2010;
Screening vs control</t>
  </si>
  <si>
    <t>Stage IIIA</t>
  </si>
  <si>
    <t>Number of stage IIIA NSCLC (7th edition of TNM classification in lung cancer); diagnosed until 31 March 2010</t>
  </si>
  <si>
    <t>Absolute incidence of stage IIIB NSCLC (per 100 people); follow-up until 31 March 2010;
Screening vs control</t>
  </si>
  <si>
    <t>Stage IIIB</t>
  </si>
  <si>
    <t>Number of stage IIIB NSCLC (7th
edition of TNM classification in lung cancer); diagnosed until 31 March 2010</t>
  </si>
  <si>
    <t>Absolute incidence of stage III NSCLC (per 100 people); follow-up until 31 March 2010;
Screening vs control</t>
  </si>
  <si>
    <t>Number of stage III (IIIA + IIIB) NSCLC (7th edition of TNM classification in lung cancer); diagnosed until 31 March 2010</t>
  </si>
  <si>
    <t>Absolute incidence of stage IV NSCLC (per 100 people); follow-up until 31 March 2010;
Screening vs control</t>
  </si>
  <si>
    <t>Number of stage IV NSCLC (7th
edition of TNM classification in lung cancer); diagnosed until 31 March 2010</t>
  </si>
  <si>
    <t>Absolute incidence of limited SCLC (per 100 people); follow-up until 31 March 2010;
Screening vs control</t>
  </si>
  <si>
    <t>Limited</t>
  </si>
  <si>
    <t>Number of limited SCLC (7th
edition of TNM classification in lung cancer); diagnosed until 31 March 2010</t>
  </si>
  <si>
    <t>Absolute incidence of extensive SCLC (per 100 people); follow-up until 31 March 2010;
Screening vs control</t>
  </si>
  <si>
    <t>Extensive</t>
  </si>
  <si>
    <t>Number of extensive SCLC (7th
edition of TNM classification in lung cancer); diagnosed until 31 March 2010</t>
  </si>
  <si>
    <t>Absolute incidence of T1N0M0 lung cancer (per 100 people); follow-up until 7 April 2015;
Screening vs control</t>
  </si>
  <si>
    <t>T1N0M0</t>
  </si>
  <si>
    <t>Stage III + IV</t>
  </si>
  <si>
    <t>Stage I + II</t>
  </si>
  <si>
    <t>Danish Lung Cancer Registry, Danish Cancer
Registry, Danish Pathology Registry</t>
  </si>
  <si>
    <t>Median 9.80 years</t>
  </si>
  <si>
    <t>Unknown stage</t>
  </si>
  <si>
    <t>Number of T1N0M0 lung cancers diagnosed up to 7 April 2015</t>
  </si>
  <si>
    <t>Table 2 and text: … this was due mainly to a higher number of
cancers in a very early stage (T1N0M0) in the screening group than in the control group (41 vs. 6, respectively; P,0.001).</t>
  </si>
  <si>
    <t>Absolute incidence of T4N3M1 lung cancer (per 100 people); follow-up until 7 April 2015;
Screening vs control</t>
  </si>
  <si>
    <t>T4N3M1</t>
  </si>
  <si>
    <t>Number of T4N3M1 lung cancers diagnosed up to 7 April 2015</t>
  </si>
  <si>
    <t>Table 2 and text: … and the highest stage (T4N3M1) was significantly less frequent in the screening group than
in the control group (8 vs. 21, respectively; P = 0.025).</t>
  </si>
  <si>
    <t>Absolute incidence of stage I lung cancer (per 100 people); follow-up until 7 April 2015;
Screening vs control</t>
  </si>
  <si>
    <t>Number of stage I lung cancers (IASLC) diagnosed up to 7 April 2015</t>
  </si>
  <si>
    <t>Absolute incidence of stage II lung cancer (per 100 people); follow-up until 7 April 2015;
Screening vs control</t>
  </si>
  <si>
    <t>Number of stage II lung cancers (IASLC) diagnosed up to 7 April 2015</t>
  </si>
  <si>
    <t>Absolute incidence of early-stage (stage I + II) lung cancer (per 100 people); follow-up until 7 April 2015;
Screening vs control</t>
  </si>
  <si>
    <t>Number of stage I + II lung cancers (IASLC) diagnosed up to 7 April 2015</t>
  </si>
  <si>
    <t>Table 2 and text: Significantly more early-stage cancers
(stages I and II) were detected in the screening group than in the control group (54 vs. 10, respectively; P&lt;0.001),</t>
  </si>
  <si>
    <t>Absolute incidence of stage IIIa lung cancer (per 100 people); follow-up until 7 April 2015;
Screening vs control</t>
  </si>
  <si>
    <t>Stage IIIa</t>
  </si>
  <si>
    <t>Number of stage IIIa lung cancers (IASLC) diagnosed up to 7 April 2015</t>
  </si>
  <si>
    <t>Table 2 and text: Also, stage IIIa cancers were more frequent
in the screening group than in the control group (15 vs. 3, respectively; P = 0.009).</t>
  </si>
  <si>
    <t>Absolute incidence of stage IIIb lung cancer (per 100 people); follow-up until 7 April 2015;
Screening vs control</t>
  </si>
  <si>
    <t>Stage IIIb</t>
  </si>
  <si>
    <t>Number of stage IIIb lung cancers (IASLC) diagnosed up to 7 April 2015</t>
  </si>
  <si>
    <t xml:space="preserve">Table 2 </t>
  </si>
  <si>
    <t>Absolute incidence of stage III lung cancer (per 100 people); follow-up until 7 April 2015;
Screening vs control</t>
  </si>
  <si>
    <t>Number of stage III (IIIa + IIIb) lung cancers (IASLC) diagnosed up to 7 April 2015</t>
  </si>
  <si>
    <t>Calculated by reviewer;
At least 5 years since their last screening.</t>
  </si>
  <si>
    <t>Absolute incidence of stage IV lung cancer (per 100 people); follow-up until 7 April 2015;
Screening vs control</t>
  </si>
  <si>
    <t>Number of stage IV lung cancers (IASLC) diagnosed up to 7 April 2015</t>
  </si>
  <si>
    <t>Table 2 and text: More stage IV cancers were found in the
control group than in the screening group, although this was not statistically significant (32 vs. 23; P = 0.278)…</t>
  </si>
  <si>
    <t>Absolute incidence of late stage (stage III + IV) lung cancer (per 100 people); follow-up until 7 April 2015;
Screening vs control</t>
  </si>
  <si>
    <t>Number of stage III + IV lung cancers (IASLC) diagnosed up to 7 April 2015</t>
  </si>
  <si>
    <t>Table 2 and text:  … there was no significant difference in the number of high-stage cancers (stages III and IV) between the two groups…</t>
  </si>
  <si>
    <t>% of lung cancers diagnosed at late stage (stage III + IV) lung cancer (per 100 people); follow-up until 7 April 2015;
Screening vs control</t>
  </si>
  <si>
    <t>Total number of lung cancers diagnosed up to 7 April 2015</t>
  </si>
  <si>
    <t>Levin 1982</t>
  </si>
  <si>
    <t>Lung cancer mortality (incident cases); up to 30 September 1980 (per 1,000 PY);
Screening vs another type of screening</t>
  </si>
  <si>
    <t xml:space="preserve">21,713 PY;
mean 4.2 years
</t>
  </si>
  <si>
    <t xml:space="preserve">20,818 PY;
mean 4.0 years
</t>
  </si>
  <si>
    <t>CXR: 2-5
Sputum: 6-15</t>
  </si>
  <si>
    <t>Number of lung cancer deaths (incident lung cancer cases); follow-up until 30 September 1980</t>
  </si>
  <si>
    <t>Person years; follow-up until 30 September 1980</t>
  </si>
  <si>
    <t>Table 6 and text: There was no significant difference in lung cancer mortality between the two screened groups during the approximately 4 years of observation to date.</t>
  </si>
  <si>
    <t>Lung cancer mortality (incident cases); up to 30 September 1980 (per 100 men);
Screening vs another type of screening</t>
  </si>
  <si>
    <t>Table 6</t>
  </si>
  <si>
    <t>Doria-Rose 2009</t>
  </si>
  <si>
    <t>Lung cancer mortality (per 100,000 PY), all lung cancer cases deaths up to 9 years after study entry;
Screening vs another type of screening</t>
  </si>
  <si>
    <t>Annual questionaire (or lack of response with further investigation to determine whether death had occurred). Blinded review of death certificates and relevant clinical records by a mortality review committee.</t>
  </si>
  <si>
    <t>Loss to follow-up</t>
  </si>
  <si>
    <t>Mean 7.2 years</t>
  </si>
  <si>
    <t>CXR: 6-8
Sputum: 16-22</t>
  </si>
  <si>
    <t>Number of all lung cancer deaths; follow-up until 9 years since study entry</t>
  </si>
  <si>
    <t>Person years; follow-up until 9 years after study entry</t>
  </si>
  <si>
    <t>Per 100,000 PY</t>
  </si>
  <si>
    <t>Table 5</t>
  </si>
  <si>
    <t>Deaths due to ‘‘lung cancer’’ included those occurring as a result of study-initiated procedures, regardless of whether the subject was ultimately found to have lung cancer; in this way, harms of screening were appropriately considered in measuring screening efficacy.</t>
  </si>
  <si>
    <t>Lung cancer mortality (per 100 men), all lung cancer deaths up to 9 years after study entry;
Screening vs another type of screening</t>
  </si>
  <si>
    <t>Incidence of resectable lung cancers; during approximately 4 years of subsequent screening (incidence) (per 100 men);
Screening vs another type of screening</t>
  </si>
  <si>
    <t>Resectability</t>
  </si>
  <si>
    <t>Resectable</t>
  </si>
  <si>
    <t xml:space="preserve">21,532 PY;
mean 4.1 years
</t>
  </si>
  <si>
    <t>20,647 PY;
mean 4.0 years</t>
  </si>
  <si>
    <t>Number of incident lung cancers detected after the baseline screen up to 30/09/1980 that could be resected</t>
  </si>
  <si>
    <t>Table 4</t>
  </si>
  <si>
    <t>Resectability as an indication of stage of the disease.</t>
  </si>
  <si>
    <t>Incidence of resectable lung cancers; during approximately 4 years of subsequent screening (incidence) (per 1,000 PY);
Screening vs another type of screening</t>
  </si>
  <si>
    <t>Person-years (up to 30/09/1980)</t>
  </si>
  <si>
    <t>Table 4 (nominator), Table 5 (denominator)</t>
  </si>
  <si>
    <t>Frost 1984</t>
  </si>
  <si>
    <t>Diagnostic yield at screening, per 1,000 randomised (baseline screen);
Screening vs another type of screening</t>
  </si>
  <si>
    <t>Prevalence screen</t>
  </si>
  <si>
    <t>0 years</t>
  </si>
  <si>
    <t>Number of screen-detected lung cancers detected at prevalence screen</t>
  </si>
  <si>
    <t>Table 3 and text: These cases were equally divided between the dual-screen group (39 cancers; prevalence, 7.5 cases per 1,000 screened) and the control group (40 cases; prevalence, 7.8 cases per 1,000 screened).</t>
  </si>
  <si>
    <t>Absolute incidence of stage I lung cancer, per 1,000 men (baseline screen);
Screening vs another type of screening</t>
  </si>
  <si>
    <t>Number of stage I (in situ + microinvasive + other) lung cancers detected at prevalence screen</t>
  </si>
  <si>
    <t>Table 2 and text: … significantly more stage I cancers were seen in the dual-screen group (26 of 39, or 67%) than among men in the control group (16 of 40, or 40%).</t>
  </si>
  <si>
    <t>Absolute incidence of stage II lung cancer, per 1,000 men (baseline screen);
Screening vs another type of screening</t>
  </si>
  <si>
    <t>Number of stage II lung cancers detected at prevalence screen</t>
  </si>
  <si>
    <t>Absolute incidence of stage III lung cancer, per 1,000 men (baseline screen);
Screening vs another type of screening</t>
  </si>
  <si>
    <t>Number of stage III lung cancers detected at prevalence screen</t>
  </si>
  <si>
    <t>Absolute incidence of stage 0 lung cancers (per 1,000 men); 
9 years of follow-up after study entry; 
Screening vs another type of screening</t>
  </si>
  <si>
    <t>Stage 0</t>
  </si>
  <si>
    <t>Medical records</t>
  </si>
  <si>
    <t>Dual screen: 16-22
CXR only: 6-8</t>
  </si>
  <si>
    <t>T3N0M0;
Presumptive lung cancers with no primary ever localised.</t>
  </si>
  <si>
    <t>Number of stage 0 lung cancers (includes 3 occult cancers); 9 years after study entry</t>
  </si>
  <si>
    <t>Stage 0 includes 3 occult cancers (ie, cancerous cells detected by cytology, but no primary ever localized) for the dual screen arm.
T categories changed between the first (used during the trials)18 and 6th editions of the AJCC manual; tumors classified as T3 by the older version represented either T3 or T4 cancers according to the current version. This led to some uncertainty in
defining stage. For these purposes, all T3N0M0 cancers (n = 28 [Hopkins]; n = 18 [Sloan-Kettering]) were assigned a missing summary stage value. In addition, at Hopkins, there were 16 presumptive lung cancers for which no primary was ever localized. 6 of these were also considered to be missing summary stage information.</t>
  </si>
  <si>
    <t>Stage 1</t>
  </si>
  <si>
    <t>T categories changed between the first (used during the trials)18 and 6th editions of the AJCC manual; tumors classified as T3 by the older version represented either T3 or T4 cancers according to the current version. This led to some uncertainty in
defining stage. For these purposes, all T3N0M0 cancers (n = 28 [Hopkins]; n = 18 [Sloan-Kettering]) were assigned a missing summary stage value. In addition, at Hopkins, there were 16 presumptive lung cancers for which no primary was ever localized. 6 of these were also considered to be missing summary stage information.</t>
  </si>
  <si>
    <t>Stage 2</t>
  </si>
  <si>
    <t>Absolute incidence of stage 3 lung cancers (per 1,000 men); 
9 years of follow-up after study entry; 
Screening vs another type of screening</t>
  </si>
  <si>
    <t>Stage 3</t>
  </si>
  <si>
    <t>Number of stage 3 lung cancers; 9 years after study entry</t>
  </si>
  <si>
    <t>Absolute incidence of stage 4 lung cancers (per 1,000 men); 
9 years of follow-up after study entry; 
Screening vs another type of screening</t>
  </si>
  <si>
    <t>Number of stage 4 lung cancers; 9 years after study entry</t>
  </si>
  <si>
    <t>Absolute incidence of stage 2-4 lung cancers (per 1,000 men); 
9 years of follow-up after study entry; 
Screening vs another type of screening</t>
  </si>
  <si>
    <t>Stage 2-4</t>
  </si>
  <si>
    <t>Number of stage 2-4 lung cancers; 9 years after study entry</t>
  </si>
  <si>
    <t>% of lung cancers diagnosed at late stage (stage 2-4); 
9 years of follow-up after study entry; 
Screening vs another type of screening</t>
  </si>
  <si>
    <t>Total number of lung cancers; up to 9 years after study entry (including cancers with missing stage data)</t>
  </si>
  <si>
    <t>% of lung cancers that are screen-detected; 9 years of follow-up after study entry; 
Screening vs another type of screening</t>
  </si>
  <si>
    <t>Annual questionaire (or lack of response with further investigation to determine whether death had occurred).</t>
  </si>
  <si>
    <t>Number of screen-detected lung cancers; 9 years after study entry</t>
  </si>
  <si>
    <t>Total number of lung cancers (screen-detected plus interval)</t>
  </si>
  <si>
    <t>Diagnostic yield at screening (per 100 men randomised); 5-7 years of screening; 
Screening vs another type of screening</t>
  </si>
  <si>
    <t>5-7 years</t>
  </si>
  <si>
    <t>Number of screen-detected lung cancers; 5-7 years of screening</t>
  </si>
  <si>
    <t>Sandblom 2011</t>
  </si>
  <si>
    <t>Prostate cancer specific mortality in men with cancers diagnosed up to 31 December 1999 (Hazard ratio);
Follow-up until 31 December 2008 (at 20 year follow up), screening versus control</t>
  </si>
  <si>
    <t>DRE only first, later DRE + blood PSA</t>
  </si>
  <si>
    <t>South-East Region Prostate Cancer Register, Central Death Register; in September 2009 cause of death was registered in a blinded review of the patients’ records for all men who died. Validity of the death certificates was shown to be high.</t>
  </si>
  <si>
    <t>Not mentioned</t>
  </si>
  <si>
    <t>31.12.2008</t>
  </si>
  <si>
    <t>20 years</t>
  </si>
  <si>
    <t>Number of prostate cancer deaths in men with cancers diagnosed up to 31 December 1999; follow-up until 31 March 2008 (20 years)</t>
  </si>
  <si>
    <t>Age at start of the study</t>
  </si>
  <si>
    <t>Text (page 3, final paragraph): In a Cox proportional hazard
analysis, the hazard ratio for death from prostate cancer
was 1.23 (0.94 to 1.62; P=0.13) and 1.58 (1.06 to 2.36; P=0.024) after adjustment for age at start of the study.</t>
  </si>
  <si>
    <t>Prostate cancer specific mortality in men with cancers diagnosed up to 31 December 1999 (Risk ratio);
Follow-up until 31 December 2008 (at 20 year follow up), screening versus control</t>
  </si>
  <si>
    <t>Text: The prostate cancer specific mortality was 30/85
(35%) for men with prostate cancer diagnosed in the
screening group and 130/292 (45%) for men with prostate
cancer diagnosed in the control group....The risk ratio for death from prostate cancer was 1.16 (95% confidence interval 0.78 to 1.73).</t>
  </si>
  <si>
    <t>Sandblom 2004</t>
  </si>
  <si>
    <t>Prostate cancer specific mortality in men with cancers diagnosed up to 31 December 1999; follow-up until 31 March 2003 (at 15 year follow up), screening versus control</t>
  </si>
  <si>
    <t>South-East Region Prostate Cancer Register, Central Death Register</t>
  </si>
  <si>
    <t>31.03.2003</t>
  </si>
  <si>
    <t>Number of prostate cancer deaths in men with cancers diagnosed up to 31 December 1999; follow-up until 31 March 2003 (15 years)</t>
  </si>
  <si>
    <t>text (page 720, final paragraph), table 1:
In the screened group, 39 of the men with diagnosed prostate cancer died before March 31, 2003. Prostate cancer was recorded as cause of death for 20 men (51.3%). For men with a diagnosis of prostate cancer in the control group, there were 171 registered deaths, 97 of prostate cancer (56.7%).</t>
  </si>
  <si>
    <t>Absolute incidence of advanced tumours (T3–4, N1 or MX/M1) (per 100 men);
cancers diagnosed up to 31 December 1999 (per 100 men);
screening vs. control</t>
  </si>
  <si>
    <t>T3–4, N1 or MX/M1</t>
  </si>
  <si>
    <t>Advanced tumours (T3-4, N1, or MX/M1). BUT no specific mention of 'late-stage'.</t>
  </si>
  <si>
    <t xml:space="preserve">localised tumour' (T1-2, N0/NX, and M0). BUT no specific mention of 'early-stage'.  </t>
  </si>
  <si>
    <t>South–East Region Prostate Cancer Register</t>
  </si>
  <si>
    <r>
      <t>Number of late-stage target cancers (T3-4, N1 or MX/M1)</t>
    </r>
    <r>
      <rPr>
        <sz val="10"/>
        <color rgb="FFFF0000"/>
        <rFont val="Calibri"/>
        <family val="2"/>
        <scheme val="minor"/>
      </rPr>
      <t xml:space="preserve"> </t>
    </r>
    <r>
      <rPr>
        <sz val="10"/>
        <rFont val="Calibri"/>
        <family val="2"/>
        <scheme val="minor"/>
      </rPr>
      <t>diagnosed after randomisation (up to 31 December 1999)</t>
    </r>
  </si>
  <si>
    <t>Number of randomised individuals</t>
  </si>
  <si>
    <t>Table 2 and text: The rates of non-localised tumours were 37/1494 (2.5%) in the screening group and 213/7532 (2.8%) in the control group (P=0.44).</t>
  </si>
  <si>
    <t>Some issues with the numbers for the control group. Julia and Chris agreed that the number of events in the comparator group (column AH) needs to be 214, not 213.</t>
  </si>
  <si>
    <t>Absolute incidence of localised tumours (T1-2, N0/NX and M0);
cancers diagnosed up to 31 December 1999 (per 100 men); screening vs. control</t>
  </si>
  <si>
    <t>T1-2, N0/NX, and M0</t>
  </si>
  <si>
    <r>
      <t>Number of early-stage target cancers (T1-2, N0/NX, and M1)</t>
    </r>
    <r>
      <rPr>
        <sz val="10"/>
        <color rgb="FFFF0000"/>
        <rFont val="Calibri"/>
        <family val="2"/>
        <scheme val="minor"/>
      </rPr>
      <t xml:space="preserve"> </t>
    </r>
    <r>
      <rPr>
        <sz val="10"/>
        <rFont val="Calibri"/>
        <family val="2"/>
        <scheme val="minor"/>
      </rPr>
      <t>diagnosed after randomisation (up to 31 December 1999)</t>
    </r>
  </si>
  <si>
    <t>% of prostate cancers diagnosed at advanced stage (T3–4, N1 or MX/M1);
cancers diagnosed up to 31 December 1999; screening vs. control</t>
  </si>
  <si>
    <t xml:space="preserve">localised tumour'(T1-2, N0/NX, and M0). BUT no specific mention of 'early-stage'.  </t>
  </si>
  <si>
    <t>Total number of target cancers during follow-up (up to 31 December 1999)</t>
  </si>
  <si>
    <t>Absolute incidence of T4 prostate cancers diagnosed up to 31 December 1999 (per 100 men); screening vs. control</t>
  </si>
  <si>
    <t>T4</t>
  </si>
  <si>
    <t>TX / T category not registered</t>
  </si>
  <si>
    <t>Number of late-stage (T4, TNM classification) target cancers diagnosed after randomisation up to 31 December 1999</t>
  </si>
  <si>
    <t>Absolute incidence of node-positive prostate cancers diagnosed up to 31 December 1999 (per 100 men); screening vs. control</t>
  </si>
  <si>
    <t>N&gt;=1</t>
  </si>
  <si>
    <t>NX / N category not registered</t>
  </si>
  <si>
    <r>
      <t>Number of late-stage target (N</t>
    </r>
    <r>
      <rPr>
        <sz val="10"/>
        <rFont val="Calibri"/>
        <family val="2"/>
      </rPr>
      <t>≥1; TNM classification)</t>
    </r>
    <r>
      <rPr>
        <sz val="10"/>
        <color rgb="FFFF0000"/>
        <rFont val="Calibri"/>
        <family val="2"/>
        <scheme val="minor"/>
      </rPr>
      <t xml:space="preserve"> </t>
    </r>
    <r>
      <rPr>
        <sz val="10"/>
        <rFont val="Calibri"/>
        <family val="2"/>
        <scheme val="minor"/>
      </rPr>
      <t>cancers diagnosed after randomisation up to 31 December 1999</t>
    </r>
  </si>
  <si>
    <t>Absolute incidence of metastatic prostate cancers diagnosed up to 31 December 1999 (per 100 men); screening vs. control</t>
  </si>
  <si>
    <t>Metastasis</t>
  </si>
  <si>
    <t>M1</t>
  </si>
  <si>
    <t>MX / M category not registered</t>
  </si>
  <si>
    <r>
      <t>Number of late-stage target (M</t>
    </r>
    <r>
      <rPr>
        <sz val="10"/>
        <rFont val="Calibri"/>
        <family val="2"/>
      </rPr>
      <t>1; TNM classification)</t>
    </r>
    <r>
      <rPr>
        <sz val="10"/>
        <rFont val="Calibri"/>
        <family val="2"/>
        <scheme val="minor"/>
      </rPr>
      <t xml:space="preserve"> cancers diagnosed after randomisation up to 31 December 1999</t>
    </r>
  </si>
  <si>
    <t>% of prostate cancers diagnosed at advanced stage (T4);
cancers diagnosed up to 31 December 1999; screening vs. control</t>
  </si>
  <si>
    <t>Number of late-stage (T4; TNM classification) target cancers diagnosed after randomisation up to 31 December 1999</t>
  </si>
  <si>
    <t xml:space="preserve">14.7
</t>
  </si>
  <si>
    <t>Denomintor includes cancers with missing data on stage.</t>
  </si>
  <si>
    <t>% of prostate cancers diagnosed at advanced stage (node-positive);
cancers diagnosed up to 31 December 1999; screening vs. control</t>
  </si>
  <si>
    <t xml:space="preserve">3.5
</t>
  </si>
  <si>
    <t xml:space="preserve">4.5
</t>
  </si>
  <si>
    <t>% of prostate cancers diagnosed at advanced stage (with metastasis);
cancers diagnosed up to 31 December 1999; screening vs. control</t>
  </si>
  <si>
    <r>
      <t>Number of late-stage target (M</t>
    </r>
    <r>
      <rPr>
        <sz val="10"/>
        <rFont val="Calibri"/>
        <family val="2"/>
      </rPr>
      <t>1; TNM classification)</t>
    </r>
    <r>
      <rPr>
        <sz val="10"/>
        <color rgb="FFFF0000"/>
        <rFont val="Calibri"/>
        <family val="2"/>
        <scheme val="minor"/>
      </rPr>
      <t xml:space="preserve"> </t>
    </r>
    <r>
      <rPr>
        <sz val="10"/>
        <rFont val="Calibri"/>
        <family val="2"/>
        <scheme val="minor"/>
      </rPr>
      <t>cancers diagnosed after randomisation up to 31 December 1999</t>
    </r>
  </si>
  <si>
    <t xml:space="preserve">16.5
</t>
  </si>
  <si>
    <t xml:space="preserve">21.6
</t>
  </si>
  <si>
    <t>Absolute incidence of prostate cancers diagnosed up to 31 December 1999 that were tumour grade G1 (per 100 men);
Screening vs control</t>
  </si>
  <si>
    <t>G1 
(not Gleason)</t>
  </si>
  <si>
    <t>GX / tumour grade not recorded</t>
  </si>
  <si>
    <t>Number of prostate cancers diagnosed up to 31 December 1999 that were tumour grade G1 (well differentiated)</t>
  </si>
  <si>
    <t>Absolute incidence of prostate cancers diagnosed up to 31 December 1999 that were tumour grade G2 (per 100 men);
Screening vs control</t>
  </si>
  <si>
    <t>G2
(not Gleason)</t>
  </si>
  <si>
    <t>Number of prostate cancers diagnosed up to 31 December 1999 that were tumour grade G2 (moderately differentiated)</t>
  </si>
  <si>
    <t>Absolute incidence of prostate cancers diagnosed up to 31 December 1999 that were tumour grade G3 (per 100 men);
Screening vs control</t>
  </si>
  <si>
    <t>G3
(not Gleason)</t>
  </si>
  <si>
    <t>Number of prostate cancers diagnosed up to 31 December 1999 that were tumour grade G3 (poorly differentiated)</t>
  </si>
  <si>
    <t>% of prostate cancers diagnosed up to 31 December 1999 that were tumour grade G3 (per all cancers diagnosed);
Screening vs control</t>
  </si>
  <si>
    <t>% of all prostate cancers diagnosed up to 31 December 1999 that were screen-detected</t>
  </si>
  <si>
    <t>South–East Region Prostate Cancer Register, which may be considered an extension of the National Cancer Register.</t>
  </si>
  <si>
    <t>Number of prostate cancer diagnosed up to 31 December 1999 that were screen-detected</t>
  </si>
  <si>
    <t>Number of prostate cancer diagnosed up to 31 December 1999 (screen-detected + symptomatic)</t>
  </si>
  <si>
    <t>% of all cancers</t>
  </si>
  <si>
    <t>Figure 1, Table 1, Table 2 and text: There were 85 cases (5.7%) of prostate cancer diagnosed in the screened group .... In the intervention group, 43 tumours were found at screening and 42 in the interval between examinations…. In the group allocated to screening, 49.4% (42/85) of cancers were detected in the interval between screening.</t>
  </si>
  <si>
    <t>% of all high-grade (tumour grade G3) prostate cancers diagnosed up to 31 December 1999 that were screen-detected</t>
  </si>
  <si>
    <t>Number of tumour grade G3 (poorly differentiated) prostate cancer diagnosed up to 31 December 1999 that were screen-detected</t>
  </si>
  <si>
    <t>Number of all tumour grade G3 (poorly differentiated) prostate cancers diagnosed up to 31 December 1999</t>
  </si>
  <si>
    <t>% of all G3 cancers</t>
  </si>
  <si>
    <t>Calculated by reviewer</t>
  </si>
  <si>
    <t>Diagnostic yield at screening, round 1 (1987)</t>
  </si>
  <si>
    <t>DRE only</t>
  </si>
  <si>
    <t>Number of prostate cancer that were screen-detected (DRE positive) in round 1 (1987)</t>
  </si>
  <si>
    <t>Figure 1 and text: There were 45 men with positive DRE in 1987. Of
these, 44 underwent fine needle aspiration biopsy, resulting
in the detection of 13 cancers. One man refused
biopsy.</t>
  </si>
  <si>
    <t>Diagnostic yield at screening, round 2 (1990)</t>
  </si>
  <si>
    <t>Number of prostate cancer that were screen-detected (DRE positive)in round 2 (1990)</t>
  </si>
  <si>
    <t>Figure 1 and text: In 1990 there were 42 men with positive DRE,
all of which underwent fine needle aspiration biopsy,
resulting in the detection of 7 cancers</t>
  </si>
  <si>
    <t>Diagnostic yield at screening, round 3 (1993)</t>
  </si>
  <si>
    <t>Number of prostate cancer that were screen-detected (DRE and/or PSA positive in round 3 (1993)</t>
  </si>
  <si>
    <t>Figure 1 and text: In 1993 there were 150 men with positive DRE and/or PSA. Of these, 147 underwent fine needle aspiration biopsy, resulting in the detection of 17 cancers. Two men refused biopsy and one man died before follow-up.</t>
  </si>
  <si>
    <t>Diagnostic yield at screening, round 4 (1996)</t>
  </si>
  <si>
    <t>Number of prostate cancer that were screen-detected (DRE and/or PSA positive in round 4 (1996)</t>
  </si>
  <si>
    <t>Figure 1 and text: In 1996 there were 73 men with positive DRE and/or PSA. Of these, 71 underwent fine needle aspiration biopsy, resulting in the detection of 6 cancers. Two men refused biopsy.</t>
  </si>
  <si>
    <t>Diagnostic yield at screening, all 4 rounds of screening</t>
  </si>
  <si>
    <t>Number of prostate cancer that were screen-detected (rounds 1-4, 1987-1996)</t>
  </si>
  <si>
    <t>Figure 1</t>
  </si>
  <si>
    <t>Jacobs 2016</t>
  </si>
  <si>
    <r>
      <rPr>
        <b/>
        <sz val="10"/>
        <rFont val="Calibri"/>
        <family val="2"/>
        <scheme val="minor"/>
      </rPr>
      <t>Ovarian cancer</t>
    </r>
    <r>
      <rPr>
        <sz val="10"/>
        <rFont val="Calibri"/>
        <family val="2"/>
        <scheme val="minor"/>
      </rPr>
      <t xml:space="preserve"> mortality (primary analysis) (per 100 women) and hazard ratio (Cox proportional hazards model); follow-up until 31/12/2014;
MMS vs no screening</t>
    </r>
  </si>
  <si>
    <t>Cancer registry, death certificate, Hospital Episode Statistics, NCIN, Follow-up questionnaires 1+2; contact by patient or relative, informed by physician / trial surgery.
Medical notes of women with certain ICD-10 codes reviewed blindly by outcomes committee.</t>
  </si>
  <si>
    <t>Death of another cause or loss to follow-up.</t>
  </si>
  <si>
    <t>Median 11·1 years (IQR 10·0–12·0)</t>
  </si>
  <si>
    <t>7-11</t>
  </si>
  <si>
    <r>
      <t>Number of deaths from</t>
    </r>
    <r>
      <rPr>
        <b/>
        <sz val="10"/>
        <rFont val="Calibri"/>
        <family val="2"/>
        <scheme val="minor"/>
      </rPr>
      <t xml:space="preserve"> ovarian or tubal cancer </t>
    </r>
    <r>
      <rPr>
        <sz val="10"/>
        <rFont val="Calibri"/>
        <family val="2"/>
        <scheme val="minor"/>
      </rPr>
      <t>(ICD-10 C56; ICD-10 C57.0; and undesignated malignancies of the ovaries, fallopian tube, or peritoneum); follow-up until 31/12/2014</t>
    </r>
  </si>
  <si>
    <t>Number of women analysed</t>
  </si>
  <si>
    <t>Table 3, Figure 2A and text: Of these women, 148 (0·29%) women in the MMS group, 154 (0·30%) in the USS group, and 347 (0·34%) in the no screening group had died of ovarian cancer. The primary analysis using a Cox proportional hazards model gave a mortality reduction over years 0–14 of 15% (95% CI –3 to 30; p=0·10) with MMS and 11% (–7 to 27; p=0·21) with USS.</t>
  </si>
  <si>
    <r>
      <rPr>
        <b/>
        <sz val="10"/>
        <rFont val="Calibri"/>
        <family val="2"/>
        <scheme val="minor"/>
      </rPr>
      <t>Ovarian and primary peritoneal cancer</t>
    </r>
    <r>
      <rPr>
        <sz val="10"/>
        <rFont val="Calibri"/>
        <family val="2"/>
        <scheme val="minor"/>
      </rPr>
      <t xml:space="preserve"> mortality (secondary analysis) (per 100 women) and hazard ratio (Cox proportional hazards model); follow-up until 31/12/2014;
MMS vs no screening</t>
    </r>
  </si>
  <si>
    <r>
      <t>Number of deaths from</t>
    </r>
    <r>
      <rPr>
        <b/>
        <sz val="10"/>
        <rFont val="Calibri"/>
        <family val="2"/>
        <scheme val="minor"/>
      </rPr>
      <t xml:space="preserve"> ovarian or tubal cancer </t>
    </r>
    <r>
      <rPr>
        <sz val="10"/>
        <rFont val="Calibri"/>
        <family val="2"/>
        <scheme val="minor"/>
      </rPr>
      <t xml:space="preserve">(ICD-10 C56; ICD-10 C57.0; and undesignated malignancies of the ovaries, fallopian tube, or peritoneum) </t>
    </r>
    <r>
      <rPr>
        <b/>
        <sz val="10"/>
        <rFont val="Calibri"/>
        <family val="2"/>
        <scheme val="minor"/>
      </rPr>
      <t>or primary peritoneal cancer</t>
    </r>
    <r>
      <rPr>
        <sz val="10"/>
        <rFont val="Calibri"/>
        <family val="2"/>
        <scheme val="minor"/>
      </rPr>
      <t>; follow-up until 31/12/2014</t>
    </r>
  </si>
  <si>
    <t>Table 3, Figure 2B and text: In addition to the ovarian and fallopian tube deaths, we noted a further 11 deaths due to primary peritoneal cancer in the no screening group, 12 in the MMS group, and nine in the USS group.</t>
  </si>
  <si>
    <t>Number of deaths from ovarian or tubal cancer (ICD-10 C56; ICD-10 C57.0; and undesignated malignancies of the ovaries, fallopian tube, or peritoneum); follow-up until 31/12/2014</t>
  </si>
  <si>
    <t>Table 3 and text: Of these women, 148 (0·29%) women in the MMS group, 154 (0·30%) in the USS group, and 347 (0·34%) in the no screening group had died of ovarian cancer. The primary analysis using a Cox proportional hazards model gave a mortality reduction over years 0–14 of 15% (95% CI –3 to 30; p=0·10) with MMS and 11% (–7 to 27; p=0·21) with USS.</t>
  </si>
  <si>
    <t>7</t>
  </si>
  <si>
    <r>
      <rPr>
        <b/>
        <sz val="10"/>
        <rFont val="Calibri"/>
        <family val="2"/>
        <scheme val="minor"/>
      </rPr>
      <t>Ovarian cancer</t>
    </r>
    <r>
      <rPr>
        <sz val="10"/>
        <rFont val="Calibri"/>
        <family val="2"/>
        <scheme val="minor"/>
      </rPr>
      <t xml:space="preserve"> mortality (primary analysis) (per 100 women) and hazard ratio (Cox proportional hazards model); follow-up until 31/12/2014;
USS vs no screening</t>
    </r>
  </si>
  <si>
    <r>
      <t>Number of deaths from</t>
    </r>
    <r>
      <rPr>
        <b/>
        <sz val="10"/>
        <rFont val="Calibri"/>
        <family val="2"/>
        <scheme val="minor"/>
      </rPr>
      <t xml:space="preserve"> ovarian or tubal cancer</t>
    </r>
    <r>
      <rPr>
        <sz val="10"/>
        <rFont val="Calibri"/>
        <family val="2"/>
        <scheme val="minor"/>
      </rPr>
      <t xml:space="preserve"> (ICD-10 C56; ICD-10 C57.0; and undesignated malignancies of the ovaries, fallopian tube, or peritoneum); follow-up until 31/12/2014</t>
    </r>
  </si>
  <si>
    <r>
      <rPr>
        <b/>
        <sz val="10"/>
        <rFont val="Calibri"/>
        <family val="2"/>
        <scheme val="minor"/>
      </rPr>
      <t>Ovarian and primary peritoneal cancer</t>
    </r>
    <r>
      <rPr>
        <sz val="10"/>
        <rFont val="Calibri"/>
        <family val="2"/>
        <scheme val="minor"/>
      </rPr>
      <t xml:space="preserve"> mortality (secondary analysis) (per 100 women) and hazard ratio (Cox proportional hazards model); follow-up until 31/12/2014;
USS vs no screening</t>
    </r>
  </si>
  <si>
    <r>
      <rPr>
        <b/>
        <sz val="10"/>
        <rFont val="Calibri"/>
        <family val="2"/>
        <scheme val="minor"/>
      </rPr>
      <t xml:space="preserve">Ovarian cancer </t>
    </r>
    <r>
      <rPr>
        <sz val="10"/>
        <rFont val="Calibri"/>
        <family val="2"/>
        <scheme val="minor"/>
      </rPr>
      <t>mortality (primary analysis) (per 100,000 PY) and rate ratio; follow-up until 31/12/2014;
MMS vs no screening</t>
    </r>
  </si>
  <si>
    <t>Person-years of follow-up (until 31/12/2014)</t>
  </si>
  <si>
    <t>Table 3 and Web Table 6 for person-years</t>
  </si>
  <si>
    <r>
      <rPr>
        <b/>
        <sz val="10"/>
        <rFont val="Calibri"/>
        <family val="2"/>
        <scheme val="minor"/>
      </rPr>
      <t>Ovarian cancer</t>
    </r>
    <r>
      <rPr>
        <sz val="10"/>
        <rFont val="Calibri"/>
        <family val="2"/>
        <scheme val="minor"/>
      </rPr>
      <t xml:space="preserve"> mortality (primary analysis) (per 100,000 PY) and rate ratio; follow-up until 31/12/2014;
USS vs no screening</t>
    </r>
  </si>
  <si>
    <t>2</t>
  </si>
  <si>
    <t>4</t>
  </si>
  <si>
    <t>6</t>
  </si>
  <si>
    <t>All-cause mortality (per 100 women) and relative risk; follow-up until 31/12/2014;
MMS vs no screening</t>
  </si>
  <si>
    <t>Loss to follow-up.</t>
  </si>
  <si>
    <t>Incomplete follow-up</t>
  </si>
  <si>
    <t>Number of deaths from all causes (ovarian/primary peritoneal cancer death plus other cause deaths); follow-up until 31/12/2014</t>
  </si>
  <si>
    <t>Table 3 and Web Table 6</t>
  </si>
  <si>
    <t>All-cause mortality (per 100 women) and relative risk; follow-up until 31/12/2014;
USS vs no screening</t>
  </si>
  <si>
    <t>All-cause mortality (per 100,000 PY) and rate ratio; follow-up until 31/12/2014;
MMS vs no screening</t>
  </si>
  <si>
    <t>All-cause mortality (per 100,000 PY) and rate ratio; follow-up until 31/12/2014;
USS vs no screening</t>
  </si>
  <si>
    <t>Menon 2021</t>
  </si>
  <si>
    <t>Death registration, cancer registration, Hospital Episode Statistics, Registry flagging, National Disease Registration Service, UKCTOCS Health questionnaires (1-2, FUQ3 sent to a subset), Ad-hoc communication, Trial participants, their families and physicians.
Medical notes of women with 19 ICD-10 codes for possible ovarian or tubal cancer reviewed blindly by outcomes committee.</t>
  </si>
  <si>
    <t>Median 16·3 years (IQR 15·1–17·3)</t>
  </si>
  <si>
    <t>The site assignment is in contrast to the previous
mortality analysis (censorship Dec 31, 2014), which used the WHO 2003 definition. The majority (40 of 41) of previously classified primary peritoneal cancers using WHO 2003 criteria were reclassified as ovarian or tubal cancers.</t>
  </si>
  <si>
    <r>
      <rPr>
        <b/>
        <sz val="10"/>
        <rFont val="Calibri"/>
        <family val="2"/>
        <scheme val="minor"/>
      </rPr>
      <t xml:space="preserve">Ovarian and tubal cancer </t>
    </r>
    <r>
      <rPr>
        <sz val="10"/>
        <rFont val="Calibri"/>
        <family val="2"/>
        <scheme val="minor"/>
      </rPr>
      <t>mortality (secondary analysis) (per 100 women) and hazard ratio (Cox model); follow-up until 30/06/2020;
MMS vs no screening</t>
    </r>
  </si>
  <si>
    <r>
      <t>Number of deaths from</t>
    </r>
    <r>
      <rPr>
        <b/>
        <sz val="10"/>
        <rFont val="Calibri"/>
        <family val="2"/>
        <scheme val="minor"/>
      </rPr>
      <t xml:space="preserve"> ovarian or tubal cancer</t>
    </r>
    <r>
      <rPr>
        <sz val="10"/>
        <rFont val="Calibri"/>
        <family val="2"/>
        <scheme val="minor"/>
      </rPr>
      <t xml:space="preserve"> (ICD-10 C56; ICD-10 C57.0; revised WHO 2014 definition); follow-up until 30/06/2020</t>
    </r>
  </si>
  <si>
    <t>Table 3 and text: A Cox model (secondary analysis) estimated a HR of 0·96 (95%CI 0·83–1·10) for MMS versus no screening and 0·94 (0·82–1·08) for USS versus no screening.</t>
  </si>
  <si>
    <r>
      <rPr>
        <b/>
        <sz val="10"/>
        <rFont val="Calibri"/>
        <family val="2"/>
        <scheme val="minor"/>
      </rPr>
      <t xml:space="preserve">Ovarian and tubal cancer </t>
    </r>
    <r>
      <rPr>
        <sz val="10"/>
        <rFont val="Calibri"/>
        <family val="2"/>
        <scheme val="minor"/>
      </rPr>
      <t>mortality (secondary analysis) (per 100 women) and hazard ratio (Cox model); follow-up until 30/06/2020;
USS vs no screening</t>
    </r>
  </si>
  <si>
    <r>
      <t xml:space="preserve">Number of deaths from </t>
    </r>
    <r>
      <rPr>
        <b/>
        <sz val="10"/>
        <rFont val="Calibri"/>
        <family val="2"/>
        <scheme val="minor"/>
      </rPr>
      <t xml:space="preserve">ovarian or tubal cancer </t>
    </r>
    <r>
      <rPr>
        <sz val="10"/>
        <rFont val="Calibri"/>
        <family val="2"/>
        <scheme val="minor"/>
      </rPr>
      <t>(ICD-10 C56; ICD-10 C57.0; revised WHO 2014 definition); follow-up until 30/06/2020</t>
    </r>
  </si>
  <si>
    <r>
      <rPr>
        <b/>
        <sz val="10"/>
        <rFont val="Calibri"/>
        <family val="2"/>
        <scheme val="minor"/>
      </rPr>
      <t>Ovarian and tubal cancer</t>
    </r>
    <r>
      <rPr>
        <sz val="10"/>
        <rFont val="Calibri"/>
        <family val="2"/>
        <scheme val="minor"/>
      </rPr>
      <t xml:space="preserve"> mortality (per 100 women) and relative risk; 1 year since randomisation;
MMS vs no screening</t>
    </r>
  </si>
  <si>
    <t>1</t>
  </si>
  <si>
    <r>
      <t>Number of deaths from</t>
    </r>
    <r>
      <rPr>
        <b/>
        <sz val="10"/>
        <rFont val="Calibri"/>
        <family val="2"/>
        <scheme val="minor"/>
      </rPr>
      <t xml:space="preserve"> ovarian or tubal cancer</t>
    </r>
    <r>
      <rPr>
        <sz val="10"/>
        <rFont val="Calibri"/>
        <family val="2"/>
        <scheme val="minor"/>
      </rPr>
      <t xml:space="preserve"> (ICD-10 C56; ICD-10 C57.0; revised WHO 2014 definition); 1 year since randomisation</t>
    </r>
  </si>
  <si>
    <t>Web Table 4</t>
  </si>
  <si>
    <r>
      <rPr>
        <b/>
        <sz val="10"/>
        <rFont val="Calibri"/>
        <family val="2"/>
        <scheme val="minor"/>
      </rPr>
      <t>Ovarian and tubal cancer</t>
    </r>
    <r>
      <rPr>
        <sz val="10"/>
        <rFont val="Calibri"/>
        <family val="2"/>
        <scheme val="minor"/>
      </rPr>
      <t xml:space="preserve"> mortality (per 100 women) and relative risk; 2 years since randomisation;
MMS vs no screening</t>
    </r>
  </si>
  <si>
    <r>
      <t>Number of deaths from</t>
    </r>
    <r>
      <rPr>
        <b/>
        <sz val="10"/>
        <rFont val="Calibri"/>
        <family val="2"/>
        <scheme val="minor"/>
      </rPr>
      <t xml:space="preserve"> ovarian or tubal cancer</t>
    </r>
    <r>
      <rPr>
        <sz val="10"/>
        <rFont val="Calibri"/>
        <family val="2"/>
        <scheme val="minor"/>
      </rPr>
      <t xml:space="preserve"> (ICD-10 C56; ICD-10 C57.0; revised WHO 2014 definition); 2 years since randomisation</t>
    </r>
  </si>
  <si>
    <t>Web Table 4 and Figure 3</t>
  </si>
  <si>
    <r>
      <rPr>
        <b/>
        <sz val="10"/>
        <rFont val="Calibri"/>
        <family val="2"/>
        <scheme val="minor"/>
      </rPr>
      <t xml:space="preserve">Ovarian and tubal cancer </t>
    </r>
    <r>
      <rPr>
        <sz val="10"/>
        <rFont val="Calibri"/>
        <family val="2"/>
        <scheme val="minor"/>
      </rPr>
      <t>mortality (per 100 women) and relative risk; 3 years since randomisation;
MMS vs no screening</t>
    </r>
  </si>
  <si>
    <t>3</t>
  </si>
  <si>
    <r>
      <t xml:space="preserve">Number of deaths from </t>
    </r>
    <r>
      <rPr>
        <b/>
        <sz val="10"/>
        <rFont val="Calibri"/>
        <family val="2"/>
        <scheme val="minor"/>
      </rPr>
      <t>ovarian or tubal cancer</t>
    </r>
    <r>
      <rPr>
        <sz val="10"/>
        <rFont val="Calibri"/>
        <family val="2"/>
        <scheme val="minor"/>
      </rPr>
      <t xml:space="preserve"> (ICD-10 C56; ICD-10 C57.0; revised WHO 2014 definition); 3 years since randomisation</t>
    </r>
  </si>
  <si>
    <r>
      <rPr>
        <b/>
        <sz val="10"/>
        <rFont val="Calibri"/>
        <family val="2"/>
        <scheme val="minor"/>
      </rPr>
      <t xml:space="preserve">Ovarian and tubal cancer </t>
    </r>
    <r>
      <rPr>
        <sz val="10"/>
        <rFont val="Calibri"/>
        <family val="2"/>
        <scheme val="minor"/>
      </rPr>
      <t>mortality (per 100 women) and relative risk; 4 years since randomisation;
MMS vs no screening</t>
    </r>
  </si>
  <si>
    <r>
      <t>Number of deaths from</t>
    </r>
    <r>
      <rPr>
        <b/>
        <sz val="10"/>
        <rFont val="Calibri"/>
        <family val="2"/>
        <scheme val="minor"/>
      </rPr>
      <t xml:space="preserve"> ovarian or tubal cancer </t>
    </r>
    <r>
      <rPr>
        <sz val="10"/>
        <rFont val="Calibri"/>
        <family val="2"/>
        <scheme val="minor"/>
      </rPr>
      <t>(ICD-10 C56; ICD-10 C57.0; revised WHO 2014 definition); 4 years since randomisation</t>
    </r>
  </si>
  <si>
    <r>
      <rPr>
        <b/>
        <sz val="10"/>
        <rFont val="Calibri"/>
        <family val="2"/>
        <scheme val="minor"/>
      </rPr>
      <t>Ovarian and tubal cancer</t>
    </r>
    <r>
      <rPr>
        <sz val="10"/>
        <rFont val="Calibri"/>
        <family val="2"/>
        <scheme val="minor"/>
      </rPr>
      <t xml:space="preserve"> mortality (per 100 women) and relative risk; 5 years since randomisation;
MMS vs no screening</t>
    </r>
  </si>
  <si>
    <t>5</t>
  </si>
  <si>
    <r>
      <t xml:space="preserve">Number of deaths from </t>
    </r>
    <r>
      <rPr>
        <b/>
        <sz val="10"/>
        <rFont val="Calibri"/>
        <family val="2"/>
        <scheme val="minor"/>
      </rPr>
      <t>ovarian or tubal cancer</t>
    </r>
    <r>
      <rPr>
        <sz val="10"/>
        <rFont val="Calibri"/>
        <family val="2"/>
        <scheme val="minor"/>
      </rPr>
      <t xml:space="preserve"> (ICD-10 C56; ICD-10 C57.0; revised WHO 2014 definition); 5 years since randomisation</t>
    </r>
  </si>
  <si>
    <r>
      <rPr>
        <b/>
        <sz val="10"/>
        <rFont val="Calibri"/>
        <family val="2"/>
        <scheme val="minor"/>
      </rPr>
      <t>Ovarian and tubal cancer</t>
    </r>
    <r>
      <rPr>
        <sz val="10"/>
        <rFont val="Calibri"/>
        <family val="2"/>
        <scheme val="minor"/>
      </rPr>
      <t xml:space="preserve"> mortality (per 100 women) and relative risk; 6 years since randomisation;
MMS vs no screening</t>
    </r>
  </si>
  <si>
    <r>
      <t xml:space="preserve">Number of deaths from </t>
    </r>
    <r>
      <rPr>
        <b/>
        <sz val="10"/>
        <rFont val="Calibri"/>
        <family val="2"/>
        <scheme val="minor"/>
      </rPr>
      <t>ovarian or tubal cancer</t>
    </r>
    <r>
      <rPr>
        <sz val="10"/>
        <rFont val="Calibri"/>
        <family val="2"/>
        <scheme val="minor"/>
      </rPr>
      <t xml:space="preserve"> (ICD-10 C56; ICD-10 C57.0; revised WHO 2014 definition); 6 years since randomisation</t>
    </r>
  </si>
  <si>
    <r>
      <rPr>
        <b/>
        <sz val="10"/>
        <rFont val="Calibri"/>
        <family val="2"/>
        <scheme val="minor"/>
      </rPr>
      <t>Ovarian and tubal cancer</t>
    </r>
    <r>
      <rPr>
        <sz val="10"/>
        <rFont val="Calibri"/>
        <family val="2"/>
        <scheme val="minor"/>
      </rPr>
      <t xml:space="preserve"> mortality (per 100 women) and relative risk; 7 years since randomisation;
MMS vs no screening</t>
    </r>
  </si>
  <si>
    <r>
      <t>Number of deaths from</t>
    </r>
    <r>
      <rPr>
        <b/>
        <sz val="10"/>
        <rFont val="Calibri"/>
        <family val="2"/>
        <scheme val="minor"/>
      </rPr>
      <t xml:space="preserve"> ovarian or tubal cancer</t>
    </r>
    <r>
      <rPr>
        <sz val="10"/>
        <rFont val="Calibri"/>
        <family val="2"/>
        <scheme val="minor"/>
      </rPr>
      <t xml:space="preserve"> (ICD-10 C56; ICD-10 C57.0; revised WHO 2014 definition); 7 years since randomisation</t>
    </r>
  </si>
  <si>
    <r>
      <rPr>
        <b/>
        <sz val="10"/>
        <rFont val="Calibri"/>
        <family val="2"/>
        <scheme val="minor"/>
      </rPr>
      <t>Ovarian and tubal cancer</t>
    </r>
    <r>
      <rPr>
        <sz val="10"/>
        <rFont val="Calibri"/>
        <family val="2"/>
        <scheme val="minor"/>
      </rPr>
      <t xml:space="preserve"> mortality (per 100 women) and relative risk; 8 years since randomisation;
MMS vs no screening</t>
    </r>
  </si>
  <si>
    <t>7-8</t>
  </si>
  <si>
    <r>
      <t xml:space="preserve">Number of deaths from </t>
    </r>
    <r>
      <rPr>
        <b/>
        <sz val="10"/>
        <rFont val="Calibri"/>
        <family val="2"/>
        <scheme val="minor"/>
      </rPr>
      <t>ovarian or tubal cancer</t>
    </r>
    <r>
      <rPr>
        <sz val="10"/>
        <rFont val="Calibri"/>
        <family val="2"/>
        <scheme val="minor"/>
      </rPr>
      <t xml:space="preserve"> (ICD-10 C56; ICD-10 C57.0; revised WHO 2014 definition); 8 years since randomisation</t>
    </r>
  </si>
  <si>
    <r>
      <rPr>
        <b/>
        <sz val="10"/>
        <rFont val="Calibri"/>
        <family val="2"/>
        <scheme val="minor"/>
      </rPr>
      <t>Ovarian and tubal cancer</t>
    </r>
    <r>
      <rPr>
        <sz val="10"/>
        <rFont val="Calibri"/>
        <family val="2"/>
        <scheme val="minor"/>
      </rPr>
      <t xml:space="preserve"> mortality (per 100 women) and relative risk; 9 years since randomisation;
MMS vs no screening</t>
    </r>
  </si>
  <si>
    <t>7-9</t>
  </si>
  <si>
    <r>
      <t xml:space="preserve">Number of deaths from </t>
    </r>
    <r>
      <rPr>
        <b/>
        <sz val="10"/>
        <rFont val="Calibri"/>
        <family val="2"/>
        <scheme val="minor"/>
      </rPr>
      <t>ovarian or tubal cancer</t>
    </r>
    <r>
      <rPr>
        <sz val="10"/>
        <rFont val="Calibri"/>
        <family val="2"/>
        <scheme val="minor"/>
      </rPr>
      <t xml:space="preserve"> (ICD-10 C56; ICD-10 C57.0; revised WHO 2014 definition); 9 years since randomisation</t>
    </r>
  </si>
  <si>
    <r>
      <rPr>
        <b/>
        <sz val="10"/>
        <rFont val="Calibri"/>
        <family val="2"/>
        <scheme val="minor"/>
      </rPr>
      <t>Ovarian and tubal cancer</t>
    </r>
    <r>
      <rPr>
        <sz val="10"/>
        <rFont val="Calibri"/>
        <family val="2"/>
        <scheme val="minor"/>
      </rPr>
      <t xml:space="preserve"> mortality (per 100 women) and relative risk; 10 years since randomisation;
MMS vs no screening</t>
    </r>
  </si>
  <si>
    <t>7-10</t>
  </si>
  <si>
    <r>
      <t xml:space="preserve">Number of deaths from </t>
    </r>
    <r>
      <rPr>
        <b/>
        <sz val="10"/>
        <rFont val="Calibri"/>
        <family val="2"/>
        <scheme val="minor"/>
      </rPr>
      <t>ovarian or tubal cancer</t>
    </r>
    <r>
      <rPr>
        <sz val="10"/>
        <rFont val="Calibri"/>
        <family val="2"/>
        <scheme val="minor"/>
      </rPr>
      <t xml:space="preserve"> (ICD-10 C56; ICD-10 C57.0; revised WHO 2014 definition); 10 years since randomisation</t>
    </r>
  </si>
  <si>
    <r>
      <t>Number of deaths from</t>
    </r>
    <r>
      <rPr>
        <b/>
        <sz val="10"/>
        <rFont val="Calibri"/>
        <family val="2"/>
        <scheme val="minor"/>
      </rPr>
      <t xml:space="preserve"> ovarian or tubal cancer</t>
    </r>
    <r>
      <rPr>
        <sz val="10"/>
        <rFont val="Calibri"/>
        <family val="2"/>
        <scheme val="minor"/>
      </rPr>
      <t xml:space="preserve"> (ICD-10 C56; ICD-10 C57.0; revised WHO 2014 definition); 10 years since randomisation</t>
    </r>
  </si>
  <si>
    <r>
      <rPr>
        <b/>
        <sz val="10"/>
        <rFont val="Calibri"/>
        <family val="2"/>
        <scheme val="minor"/>
      </rPr>
      <t>Ovarian and tubal cancer</t>
    </r>
    <r>
      <rPr>
        <sz val="10"/>
        <rFont val="Calibri"/>
        <family val="2"/>
        <scheme val="minor"/>
      </rPr>
      <t xml:space="preserve"> mortality (per 100 women) and relative risk; 11 years since randomisation;
MMS vs no screening</t>
    </r>
  </si>
  <si>
    <r>
      <t xml:space="preserve">Number of deaths from </t>
    </r>
    <r>
      <rPr>
        <b/>
        <sz val="10"/>
        <rFont val="Calibri"/>
        <family val="2"/>
        <scheme val="minor"/>
      </rPr>
      <t>ovarian or tubal cancer</t>
    </r>
    <r>
      <rPr>
        <sz val="10"/>
        <rFont val="Calibri"/>
        <family val="2"/>
        <scheme val="minor"/>
      </rPr>
      <t xml:space="preserve"> (ICD-10 C56; ICD-10 C57.0; revised WHO 2014 definition); 11 years since randomisation</t>
    </r>
  </si>
  <si>
    <r>
      <rPr>
        <b/>
        <sz val="10"/>
        <rFont val="Calibri"/>
        <family val="2"/>
        <scheme val="minor"/>
      </rPr>
      <t>Ovarian and tubal cancer</t>
    </r>
    <r>
      <rPr>
        <sz val="10"/>
        <rFont val="Calibri"/>
        <family val="2"/>
        <scheme val="minor"/>
      </rPr>
      <t xml:space="preserve"> mortality (per 100 women) and relative risk; 12 years since randomisation;
MMS vs no screening</t>
    </r>
  </si>
  <si>
    <r>
      <t xml:space="preserve">Number of deaths from </t>
    </r>
    <r>
      <rPr>
        <b/>
        <sz val="10"/>
        <rFont val="Calibri"/>
        <family val="2"/>
        <scheme val="minor"/>
      </rPr>
      <t>ovarian or tubal cancer</t>
    </r>
    <r>
      <rPr>
        <sz val="10"/>
        <rFont val="Calibri"/>
        <family val="2"/>
        <scheme val="minor"/>
      </rPr>
      <t xml:space="preserve"> (ICD-10 C56; ICD-10 C57.0; revised WHO 2014 definition); 12 years since randomisation</t>
    </r>
  </si>
  <si>
    <r>
      <rPr>
        <b/>
        <sz val="10"/>
        <rFont val="Calibri"/>
        <family val="2"/>
        <scheme val="minor"/>
      </rPr>
      <t>Ovarian and tubal cancer</t>
    </r>
    <r>
      <rPr>
        <sz val="10"/>
        <rFont val="Calibri"/>
        <family val="2"/>
        <scheme val="minor"/>
      </rPr>
      <t xml:space="preserve"> mortality (per 100 women) and relative risk; 13 years since randomisation;
MMS vs no screening</t>
    </r>
  </si>
  <si>
    <r>
      <t xml:space="preserve">Number of deaths from </t>
    </r>
    <r>
      <rPr>
        <b/>
        <sz val="10"/>
        <rFont val="Calibri"/>
        <family val="2"/>
        <scheme val="minor"/>
      </rPr>
      <t xml:space="preserve">ovarian or tubal cancer </t>
    </r>
    <r>
      <rPr>
        <sz val="10"/>
        <rFont val="Calibri"/>
        <family val="2"/>
        <scheme val="minor"/>
      </rPr>
      <t>(ICD-10 C56; ICD-10 C57.0; revised WHO 2014 definition); 13 years since randomisation</t>
    </r>
  </si>
  <si>
    <r>
      <rPr>
        <b/>
        <sz val="10"/>
        <rFont val="Calibri"/>
        <family val="2"/>
        <scheme val="minor"/>
      </rPr>
      <t>Ovarian and tubal cancer</t>
    </r>
    <r>
      <rPr>
        <sz val="10"/>
        <rFont val="Calibri"/>
        <family val="2"/>
        <scheme val="minor"/>
      </rPr>
      <t xml:space="preserve"> mortality (per 100 women) and relative risk; 14 years since randomisation;
MMS vs no screening</t>
    </r>
  </si>
  <si>
    <r>
      <t>Number of deaths from</t>
    </r>
    <r>
      <rPr>
        <b/>
        <sz val="10"/>
        <rFont val="Calibri"/>
        <family val="2"/>
        <scheme val="minor"/>
      </rPr>
      <t xml:space="preserve"> ovarian or tubal cancer</t>
    </r>
    <r>
      <rPr>
        <sz val="10"/>
        <rFont val="Calibri"/>
        <family val="2"/>
        <scheme val="minor"/>
      </rPr>
      <t xml:space="preserve"> (ICD-10 C56; ICD-10 C57.0; revised WHO 2014 definition); 14 years since randomisation</t>
    </r>
  </si>
  <si>
    <r>
      <rPr>
        <b/>
        <sz val="10"/>
        <rFont val="Calibri"/>
        <family val="2"/>
        <scheme val="minor"/>
      </rPr>
      <t>Ovarian and tubal cancer</t>
    </r>
    <r>
      <rPr>
        <sz val="10"/>
        <rFont val="Calibri"/>
        <family val="2"/>
        <scheme val="minor"/>
      </rPr>
      <t xml:space="preserve"> mortality (per 100 women) and relative risk; 15 years since randomisation;
MMS vs no screening</t>
    </r>
  </si>
  <si>
    <r>
      <t>Number of deaths from</t>
    </r>
    <r>
      <rPr>
        <b/>
        <sz val="10"/>
        <rFont val="Calibri"/>
        <family val="2"/>
        <scheme val="minor"/>
      </rPr>
      <t xml:space="preserve"> ovarian or tubal cancer</t>
    </r>
    <r>
      <rPr>
        <sz val="10"/>
        <rFont val="Calibri"/>
        <family val="2"/>
        <scheme val="minor"/>
      </rPr>
      <t xml:space="preserve"> (ICD-10 C56; ICD-10 C57.0; revised WHO 2014 definition); 15 years since randomisation</t>
    </r>
  </si>
  <si>
    <r>
      <t xml:space="preserve">Number of deaths from </t>
    </r>
    <r>
      <rPr>
        <b/>
        <sz val="10"/>
        <rFont val="Calibri"/>
        <family val="2"/>
        <scheme val="minor"/>
      </rPr>
      <t>ovarian or tubal cancer</t>
    </r>
    <r>
      <rPr>
        <sz val="10"/>
        <rFont val="Calibri"/>
        <family val="2"/>
        <scheme val="minor"/>
      </rPr>
      <t xml:space="preserve"> (ICD-10 C56; ICD-10 C57.0; revised WHO 2014 definition); 15 years since randomisation</t>
    </r>
  </si>
  <si>
    <r>
      <rPr>
        <b/>
        <sz val="10"/>
        <rFont val="Calibri"/>
        <family val="2"/>
        <scheme val="minor"/>
      </rPr>
      <t>Ovarian and tubal cancer</t>
    </r>
    <r>
      <rPr>
        <sz val="10"/>
        <rFont val="Calibri"/>
        <family val="2"/>
        <scheme val="minor"/>
      </rPr>
      <t xml:space="preserve"> mortality (per 100 women) and relative risk; 16 years since randomisation;
MMS vs no screening</t>
    </r>
  </si>
  <si>
    <t>16 years</t>
  </si>
  <si>
    <r>
      <t xml:space="preserve">Number of deaths from </t>
    </r>
    <r>
      <rPr>
        <b/>
        <sz val="10"/>
        <rFont val="Calibri"/>
        <family val="2"/>
        <scheme val="minor"/>
      </rPr>
      <t>ovarian or tubal cancer</t>
    </r>
    <r>
      <rPr>
        <sz val="10"/>
        <rFont val="Calibri"/>
        <family val="2"/>
        <scheme val="minor"/>
      </rPr>
      <t xml:space="preserve"> (ICD-10 C56; ICD-10 C57.0; revised WHO 2014 definition); 16 years since randomisation</t>
    </r>
  </si>
  <si>
    <r>
      <rPr>
        <b/>
        <sz val="10"/>
        <rFont val="Calibri"/>
        <family val="2"/>
        <scheme val="minor"/>
      </rPr>
      <t>Ovarian and tubal cancer</t>
    </r>
    <r>
      <rPr>
        <sz val="10"/>
        <rFont val="Calibri"/>
        <family val="2"/>
        <scheme val="minor"/>
      </rPr>
      <t xml:space="preserve"> mortality (per 100 women) and relative risk; 17 years since randomisation;
MMS vs no screening</t>
    </r>
  </si>
  <si>
    <t>17 years</t>
  </si>
  <si>
    <r>
      <t xml:space="preserve">Number of deaths from </t>
    </r>
    <r>
      <rPr>
        <b/>
        <sz val="10"/>
        <rFont val="Calibri"/>
        <family val="2"/>
        <scheme val="minor"/>
      </rPr>
      <t>ovarian or tubal cancer</t>
    </r>
    <r>
      <rPr>
        <sz val="10"/>
        <rFont val="Calibri"/>
        <family val="2"/>
        <scheme val="minor"/>
      </rPr>
      <t xml:space="preserve"> (ICD-10 C56; ICD-10 C57.0; revised WHO 2014 definition); 17 years since randomisation</t>
    </r>
  </si>
  <si>
    <r>
      <rPr>
        <b/>
        <sz val="10"/>
        <rFont val="Calibri"/>
        <family val="2"/>
        <scheme val="minor"/>
      </rPr>
      <t>Ovarian and tubal cancer</t>
    </r>
    <r>
      <rPr>
        <sz val="10"/>
        <rFont val="Calibri"/>
        <family val="2"/>
        <scheme val="minor"/>
      </rPr>
      <t xml:space="preserve"> (per 100 women) and relative risk; 18 years since randomisation;
MMS vs no screening</t>
    </r>
  </si>
  <si>
    <t>18 years</t>
  </si>
  <si>
    <r>
      <t xml:space="preserve">Number of deaths from </t>
    </r>
    <r>
      <rPr>
        <b/>
        <sz val="10"/>
        <rFont val="Calibri"/>
        <family val="2"/>
        <scheme val="minor"/>
      </rPr>
      <t>ovarian or tubal cancer</t>
    </r>
    <r>
      <rPr>
        <sz val="10"/>
        <rFont val="Calibri"/>
        <family val="2"/>
        <scheme val="minor"/>
      </rPr>
      <t xml:space="preserve"> (ICD-10 C56; ICD-10 C57.0; revised WHO 2014 definition); 18 years since randomisation</t>
    </r>
  </si>
  <si>
    <r>
      <rPr>
        <b/>
        <sz val="10"/>
        <rFont val="Calibri"/>
        <family val="2"/>
        <scheme val="minor"/>
      </rPr>
      <t xml:space="preserve">Ovarian and tubal cancer </t>
    </r>
    <r>
      <rPr>
        <sz val="10"/>
        <rFont val="Calibri"/>
        <family val="2"/>
        <scheme val="minor"/>
      </rPr>
      <t>mortality (per 100 women) and relative risk; 19 years since randomisation;
MMS vs no screening</t>
    </r>
  </si>
  <si>
    <t>19 years</t>
  </si>
  <si>
    <r>
      <t>Number of deaths from</t>
    </r>
    <r>
      <rPr>
        <b/>
        <sz val="10"/>
        <rFont val="Calibri"/>
        <family val="2"/>
        <scheme val="minor"/>
      </rPr>
      <t xml:space="preserve"> ovarian or tubal cancer</t>
    </r>
    <r>
      <rPr>
        <sz val="10"/>
        <rFont val="Calibri"/>
        <family val="2"/>
        <scheme val="minor"/>
      </rPr>
      <t xml:space="preserve"> (ICD-10 C56; ICD-10 C57.0; revised WHO 2014 definition); 19 years since randomisation</t>
    </r>
  </si>
  <si>
    <r>
      <rPr>
        <b/>
        <sz val="10"/>
        <rFont val="Calibri"/>
        <family val="2"/>
        <scheme val="minor"/>
      </rPr>
      <t xml:space="preserve">Ovarian and tubal cancer </t>
    </r>
    <r>
      <rPr>
        <sz val="10"/>
        <rFont val="Calibri"/>
        <family val="2"/>
        <scheme val="minor"/>
      </rPr>
      <t>mortality (per 100 women) and relative risk; 1 year since randomisation;
USS vs no screening</t>
    </r>
  </si>
  <si>
    <r>
      <t xml:space="preserve">Number of deaths from </t>
    </r>
    <r>
      <rPr>
        <b/>
        <sz val="10"/>
        <rFont val="Calibri"/>
        <family val="2"/>
        <scheme val="minor"/>
      </rPr>
      <t>ovarian or tubal cancer</t>
    </r>
    <r>
      <rPr>
        <sz val="10"/>
        <rFont val="Calibri"/>
        <family val="2"/>
        <scheme val="minor"/>
      </rPr>
      <t xml:space="preserve"> (ICD-10 C56; ICD-10 C57.0; revised WHO 2014 definition); 1 year since randomisation</t>
    </r>
  </si>
  <si>
    <r>
      <rPr>
        <b/>
        <sz val="10"/>
        <rFont val="Calibri"/>
        <family val="2"/>
        <scheme val="minor"/>
      </rPr>
      <t>Ovarian and tubal cancer</t>
    </r>
    <r>
      <rPr>
        <sz val="10"/>
        <rFont val="Calibri"/>
        <family val="2"/>
        <scheme val="minor"/>
      </rPr>
      <t xml:space="preserve"> mortality (per 100 women) and relative risk; 2 years since randomisation;
USS vs no screening</t>
    </r>
  </si>
  <si>
    <r>
      <t>Number of deaths from</t>
    </r>
    <r>
      <rPr>
        <b/>
        <sz val="10"/>
        <rFont val="Calibri"/>
        <family val="2"/>
        <scheme val="minor"/>
      </rPr>
      <t xml:space="preserve"> ovarian or tubal cancer </t>
    </r>
    <r>
      <rPr>
        <sz val="10"/>
        <rFont val="Calibri"/>
        <family val="2"/>
        <scheme val="minor"/>
      </rPr>
      <t>(ICD-10 C56; ICD-10 C57.0; revised WHO 2014 definition); 2 years since randomisation</t>
    </r>
  </si>
  <si>
    <r>
      <rPr>
        <b/>
        <sz val="10"/>
        <rFont val="Calibri"/>
        <family val="2"/>
        <scheme val="minor"/>
      </rPr>
      <t>Ovarian and tubal cancer</t>
    </r>
    <r>
      <rPr>
        <sz val="10"/>
        <rFont val="Calibri"/>
        <family val="2"/>
        <scheme val="minor"/>
      </rPr>
      <t xml:space="preserve"> mortality (per 100 women) and relative risk; 3 years since randomisation;
USS vs no screening</t>
    </r>
  </si>
  <si>
    <r>
      <rPr>
        <b/>
        <sz val="10"/>
        <rFont val="Calibri"/>
        <family val="2"/>
        <scheme val="minor"/>
      </rPr>
      <t>Ovarian and tubal cancer</t>
    </r>
    <r>
      <rPr>
        <sz val="10"/>
        <rFont val="Calibri"/>
        <family val="2"/>
        <scheme val="minor"/>
      </rPr>
      <t xml:space="preserve"> mortality (per 100 women) and relative risk; 4 years since randomisation;
USS vs no screening</t>
    </r>
  </si>
  <si>
    <r>
      <t xml:space="preserve">Number of deaths from </t>
    </r>
    <r>
      <rPr>
        <b/>
        <sz val="10"/>
        <rFont val="Calibri"/>
        <family val="2"/>
        <scheme val="minor"/>
      </rPr>
      <t>ovarian or tubal cancer</t>
    </r>
    <r>
      <rPr>
        <sz val="10"/>
        <rFont val="Calibri"/>
        <family val="2"/>
        <scheme val="minor"/>
      </rPr>
      <t xml:space="preserve"> (ICD-10 C56; ICD-10 C57.0; revised WHO 2014 definition); 4 years since randomisation</t>
    </r>
  </si>
  <si>
    <r>
      <rPr>
        <b/>
        <sz val="10"/>
        <rFont val="Calibri"/>
        <family val="2"/>
        <scheme val="minor"/>
      </rPr>
      <t>Ovarian and tubal cancer</t>
    </r>
    <r>
      <rPr>
        <sz val="10"/>
        <rFont val="Calibri"/>
        <family val="2"/>
        <scheme val="minor"/>
      </rPr>
      <t xml:space="preserve"> mortality (per 100 women) and relative risk; 5 years since randomisation;
USS vs no screening</t>
    </r>
  </si>
  <si>
    <r>
      <t xml:space="preserve">Number of deaths from </t>
    </r>
    <r>
      <rPr>
        <b/>
        <sz val="10"/>
        <rFont val="Calibri"/>
        <family val="2"/>
        <scheme val="minor"/>
      </rPr>
      <t xml:space="preserve">ovarian or tubal cancer </t>
    </r>
    <r>
      <rPr>
        <sz val="10"/>
        <rFont val="Calibri"/>
        <family val="2"/>
        <scheme val="minor"/>
      </rPr>
      <t>(ICD-10 C56; ICD-10 C57.0; revised WHO 2014 definition); 5 years since randomisation</t>
    </r>
  </si>
  <si>
    <r>
      <rPr>
        <b/>
        <sz val="10"/>
        <rFont val="Calibri"/>
        <family val="2"/>
        <scheme val="minor"/>
      </rPr>
      <t xml:space="preserve">Ovarian and tubal cancer </t>
    </r>
    <r>
      <rPr>
        <sz val="10"/>
        <rFont val="Calibri"/>
        <family val="2"/>
        <scheme val="minor"/>
      </rPr>
      <t>mortality (per 100 women) and relative risk; 6 years since randomisation;
USS vs no screening</t>
    </r>
  </si>
  <si>
    <r>
      <rPr>
        <b/>
        <sz val="10"/>
        <rFont val="Calibri"/>
        <family val="2"/>
        <scheme val="minor"/>
      </rPr>
      <t>Ovarian and tubal cancer</t>
    </r>
    <r>
      <rPr>
        <sz val="10"/>
        <rFont val="Calibri"/>
        <family val="2"/>
        <scheme val="minor"/>
      </rPr>
      <t xml:space="preserve"> mortality (per 100 women) and relative risk; 7 years since randomisation;
USS vs no screening</t>
    </r>
  </si>
  <si>
    <r>
      <rPr>
        <b/>
        <sz val="10"/>
        <rFont val="Calibri"/>
        <family val="2"/>
        <scheme val="minor"/>
      </rPr>
      <t>Ovarian and tubal cancer</t>
    </r>
    <r>
      <rPr>
        <sz val="10"/>
        <rFont val="Calibri"/>
        <family val="2"/>
        <scheme val="minor"/>
      </rPr>
      <t xml:space="preserve"> mortality (per 100 women) and relative risk; 8 years since randomisation;
USS vs no screening</t>
    </r>
  </si>
  <si>
    <r>
      <t>Number of deaths from</t>
    </r>
    <r>
      <rPr>
        <b/>
        <sz val="10"/>
        <rFont val="Calibri"/>
        <family val="2"/>
        <scheme val="minor"/>
      </rPr>
      <t xml:space="preserve"> ovarian or tubal cancer</t>
    </r>
    <r>
      <rPr>
        <sz val="10"/>
        <rFont val="Calibri"/>
        <family val="2"/>
        <scheme val="minor"/>
      </rPr>
      <t xml:space="preserve"> (ICD-10 C56; ICD-10 C57.0; revised WHO 2014 definition); 8 years since randomisation</t>
    </r>
  </si>
  <si>
    <r>
      <rPr>
        <b/>
        <sz val="10"/>
        <rFont val="Calibri"/>
        <family val="2"/>
        <scheme val="minor"/>
      </rPr>
      <t>Ovarian and tubal cancer</t>
    </r>
    <r>
      <rPr>
        <sz val="10"/>
        <rFont val="Calibri"/>
        <family val="2"/>
        <scheme val="minor"/>
      </rPr>
      <t xml:space="preserve"> mortality (per 100 women) and relative risk; 9 years since randomisation;
USS vs no screening</t>
    </r>
  </si>
  <si>
    <r>
      <rPr>
        <b/>
        <sz val="10"/>
        <rFont val="Calibri"/>
        <family val="2"/>
        <scheme val="minor"/>
      </rPr>
      <t xml:space="preserve">Ovarian and tubal cancer </t>
    </r>
    <r>
      <rPr>
        <sz val="10"/>
        <rFont val="Calibri"/>
        <family val="2"/>
        <scheme val="minor"/>
      </rPr>
      <t>mortality (per 100 women) and relative risk; 10 years since randomisation;
USS vs no screening</t>
    </r>
  </si>
  <si>
    <r>
      <rPr>
        <b/>
        <sz val="10"/>
        <rFont val="Calibri"/>
        <family val="2"/>
        <scheme val="minor"/>
      </rPr>
      <t>Ovarian and tubal cancer</t>
    </r>
    <r>
      <rPr>
        <sz val="10"/>
        <rFont val="Calibri"/>
        <family val="2"/>
        <scheme val="minor"/>
      </rPr>
      <t xml:space="preserve"> mortality (per 100 women) and relative risk; 11 years since randomisation;
USS vs no screening</t>
    </r>
  </si>
  <si>
    <r>
      <t xml:space="preserve">Number of deaths from </t>
    </r>
    <r>
      <rPr>
        <b/>
        <sz val="10"/>
        <rFont val="Calibri"/>
        <family val="2"/>
        <scheme val="minor"/>
      </rPr>
      <t xml:space="preserve">ovarian or tubal cancer </t>
    </r>
    <r>
      <rPr>
        <sz val="10"/>
        <rFont val="Calibri"/>
        <family val="2"/>
        <scheme val="minor"/>
      </rPr>
      <t>(ICD-10 C56; ICD-10 C57.0; revised WHO 2014 definition); 11 years since randomisation</t>
    </r>
  </si>
  <si>
    <r>
      <rPr>
        <b/>
        <sz val="10"/>
        <rFont val="Calibri"/>
        <family val="2"/>
        <scheme val="minor"/>
      </rPr>
      <t>Ovarian and tubal cancer</t>
    </r>
    <r>
      <rPr>
        <sz val="10"/>
        <rFont val="Calibri"/>
        <family val="2"/>
        <scheme val="minor"/>
      </rPr>
      <t xml:space="preserve"> mortality (per 100 women) and relative risk; 12 years since randomisation;
USS vs no screening</t>
    </r>
  </si>
  <si>
    <r>
      <t>Number of deaths from</t>
    </r>
    <r>
      <rPr>
        <b/>
        <sz val="10"/>
        <rFont val="Calibri"/>
        <family val="2"/>
        <scheme val="minor"/>
      </rPr>
      <t xml:space="preserve"> ovarian or tubal cancer</t>
    </r>
    <r>
      <rPr>
        <sz val="10"/>
        <rFont val="Calibri"/>
        <family val="2"/>
        <scheme val="minor"/>
      </rPr>
      <t xml:space="preserve"> (ICD-10 C56; ICD-10 C57.0; revised WHO 2014 definition); 12 years since randomisation</t>
    </r>
  </si>
  <si>
    <r>
      <rPr>
        <b/>
        <sz val="10"/>
        <rFont val="Calibri"/>
        <family val="2"/>
        <scheme val="minor"/>
      </rPr>
      <t>Ovarian and tubal cancer</t>
    </r>
    <r>
      <rPr>
        <sz val="10"/>
        <rFont val="Calibri"/>
        <family val="2"/>
        <scheme val="minor"/>
      </rPr>
      <t xml:space="preserve"> mortality (per 100 women) and relative risk; 13 years since randomisation;
USS vs no screening</t>
    </r>
  </si>
  <si>
    <r>
      <t xml:space="preserve">Number of deaths from </t>
    </r>
    <r>
      <rPr>
        <b/>
        <sz val="10"/>
        <rFont val="Calibri"/>
        <family val="2"/>
        <scheme val="minor"/>
      </rPr>
      <t>ovarian or tubal cancer</t>
    </r>
    <r>
      <rPr>
        <sz val="10"/>
        <rFont val="Calibri"/>
        <family val="2"/>
        <scheme val="minor"/>
      </rPr>
      <t xml:space="preserve"> (ICD-10 C56; ICD-10 C57.0; revised WHO 2014 definition); 13 years since randomisation</t>
    </r>
  </si>
  <si>
    <r>
      <rPr>
        <b/>
        <sz val="10"/>
        <rFont val="Calibri"/>
        <family val="2"/>
        <scheme val="minor"/>
      </rPr>
      <t xml:space="preserve">Ovarian and tubal cancer </t>
    </r>
    <r>
      <rPr>
        <sz val="10"/>
        <rFont val="Calibri"/>
        <family val="2"/>
        <scheme val="minor"/>
      </rPr>
      <t>mortality (per 100 women) and relative risk; 14 years since randomisation;
USS vs no screening</t>
    </r>
  </si>
  <si>
    <r>
      <rPr>
        <b/>
        <sz val="10"/>
        <rFont val="Calibri"/>
        <family val="2"/>
        <scheme val="minor"/>
      </rPr>
      <t xml:space="preserve">Ovarian and tubal cancer </t>
    </r>
    <r>
      <rPr>
        <sz val="10"/>
        <rFont val="Calibri"/>
        <family val="2"/>
        <scheme val="minor"/>
      </rPr>
      <t>mortality (per 100 women) and relative risk; 15 years since randomisation;
USS vs no screening</t>
    </r>
  </si>
  <si>
    <r>
      <rPr>
        <b/>
        <sz val="10"/>
        <rFont val="Calibri"/>
        <family val="2"/>
        <scheme val="minor"/>
      </rPr>
      <t>Ovarian and tubal cancer</t>
    </r>
    <r>
      <rPr>
        <sz val="10"/>
        <rFont val="Calibri"/>
        <family val="2"/>
        <scheme val="minor"/>
      </rPr>
      <t xml:space="preserve"> mortality (per 100 women) and relative risk; 16 years since randomisation;
USS vs no screening</t>
    </r>
  </si>
  <si>
    <r>
      <t>Number of deaths from</t>
    </r>
    <r>
      <rPr>
        <b/>
        <sz val="10"/>
        <rFont val="Calibri"/>
        <family val="2"/>
        <scheme val="minor"/>
      </rPr>
      <t xml:space="preserve"> ovarian or tubal cancer </t>
    </r>
    <r>
      <rPr>
        <sz val="10"/>
        <rFont val="Calibri"/>
        <family val="2"/>
        <scheme val="minor"/>
      </rPr>
      <t>(ICD-10 C56; ICD-10 C57.0; revised WHO 2014 definition); 16 years since randomisation</t>
    </r>
  </si>
  <si>
    <r>
      <rPr>
        <b/>
        <sz val="10"/>
        <rFont val="Calibri"/>
        <family val="2"/>
        <scheme val="minor"/>
      </rPr>
      <t>Ovarian and tubal cancer</t>
    </r>
    <r>
      <rPr>
        <sz val="10"/>
        <rFont val="Calibri"/>
        <family val="2"/>
        <scheme val="minor"/>
      </rPr>
      <t xml:space="preserve"> mortality (per 100 women) and relative risk; 17 years since randomisation;
USS vs no screening</t>
    </r>
  </si>
  <si>
    <r>
      <t>Number of deaths from</t>
    </r>
    <r>
      <rPr>
        <b/>
        <sz val="10"/>
        <rFont val="Calibri"/>
        <family val="2"/>
        <scheme val="minor"/>
      </rPr>
      <t xml:space="preserve"> ovarian or tubal cancer </t>
    </r>
    <r>
      <rPr>
        <sz val="10"/>
        <rFont val="Calibri"/>
        <family val="2"/>
        <scheme val="minor"/>
      </rPr>
      <t>(ICD-10 C56; ICD-10 C57.0; revised WHO 2014 definition); 17 years since randomisation</t>
    </r>
  </si>
  <si>
    <r>
      <rPr>
        <b/>
        <sz val="10"/>
        <rFont val="Calibri"/>
        <family val="2"/>
        <scheme val="minor"/>
      </rPr>
      <t>Ovarian and tubal cancer</t>
    </r>
    <r>
      <rPr>
        <sz val="10"/>
        <rFont val="Calibri"/>
        <family val="2"/>
        <scheme val="minor"/>
      </rPr>
      <t xml:space="preserve"> mortality (per 100 women) and relative risk; 18 years since randomisation;
USS vs no screening</t>
    </r>
  </si>
  <si>
    <r>
      <t xml:space="preserve">Number of deaths from </t>
    </r>
    <r>
      <rPr>
        <b/>
        <sz val="10"/>
        <rFont val="Calibri"/>
        <family val="2"/>
        <scheme val="minor"/>
      </rPr>
      <t xml:space="preserve">ovarian or tubal cancer </t>
    </r>
    <r>
      <rPr>
        <sz val="10"/>
        <rFont val="Calibri"/>
        <family val="2"/>
        <scheme val="minor"/>
      </rPr>
      <t>(ICD-10 C56; ICD-10 C57.0; revised WHO 2014 definition); 18 years since randomisation</t>
    </r>
  </si>
  <si>
    <r>
      <rPr>
        <b/>
        <sz val="10"/>
        <rFont val="Calibri"/>
        <family val="2"/>
        <scheme val="minor"/>
      </rPr>
      <t>Ovarian and tubal cancer</t>
    </r>
    <r>
      <rPr>
        <sz val="10"/>
        <rFont val="Calibri"/>
        <family val="2"/>
        <scheme val="minor"/>
      </rPr>
      <t xml:space="preserve"> mortality (per 100 women) and relative risk; 19 years since randomisation;
USS vs no screening</t>
    </r>
  </si>
  <si>
    <r>
      <t xml:space="preserve">Number of deaths from </t>
    </r>
    <r>
      <rPr>
        <b/>
        <sz val="10"/>
        <rFont val="Calibri"/>
        <family val="2"/>
        <scheme val="minor"/>
      </rPr>
      <t>ovarian or tubal cancer</t>
    </r>
    <r>
      <rPr>
        <sz val="10"/>
        <rFont val="Calibri"/>
        <family val="2"/>
        <scheme val="minor"/>
      </rPr>
      <t xml:space="preserve"> (ICD-10 C56; ICD-10 C57.0; revised WHO 2014 definition); 19 years since randomisation</t>
    </r>
  </si>
  <si>
    <r>
      <rPr>
        <b/>
        <sz val="10"/>
        <rFont val="Calibri"/>
        <family val="2"/>
        <scheme val="minor"/>
      </rPr>
      <t>Ovarian and primary peritoneal cancer</t>
    </r>
    <r>
      <rPr>
        <sz val="10"/>
        <rFont val="Calibri"/>
        <family val="2"/>
        <scheme val="minor"/>
      </rPr>
      <t xml:space="preserve"> mortality (secondary analysis) (per 100,000 PY) and rate ratio;  follow-up until 31/12/2014;
MMS vs no screening</t>
    </r>
  </si>
  <si>
    <r>
      <rPr>
        <b/>
        <sz val="10"/>
        <rFont val="Calibri"/>
        <family val="2"/>
        <scheme val="minor"/>
      </rPr>
      <t xml:space="preserve">Ovarian and primary peritoneal cancer </t>
    </r>
    <r>
      <rPr>
        <sz val="10"/>
        <rFont val="Calibri"/>
        <family val="2"/>
        <scheme val="minor"/>
      </rPr>
      <t>mortality (secondary analysis) (per 100,000 PY) and rate ratio; follow-up until 31/12/2014;
USS vs no screening</t>
    </r>
  </si>
  <si>
    <r>
      <t>Diagnostic yield at screening (</t>
    </r>
    <r>
      <rPr>
        <b/>
        <sz val="10"/>
        <rFont val="Calibri"/>
        <family val="2"/>
        <scheme val="minor"/>
      </rPr>
      <t>primary ovarian cancers</t>
    </r>
    <r>
      <rPr>
        <sz val="10"/>
        <rFont val="Calibri"/>
        <family val="2"/>
        <scheme val="minor"/>
      </rPr>
      <t xml:space="preserve"> diagnosed within a year of screening); per 1,000 women (7-11 screening rounds); 
MMS vs USS</t>
    </r>
  </si>
  <si>
    <t>Death or loss to follow-up.</t>
  </si>
  <si>
    <t>548,533 PY</t>
  </si>
  <si>
    <t>548,825 PY</t>
  </si>
  <si>
    <t>MMS and USS arms only</t>
  </si>
  <si>
    <r>
      <t xml:space="preserve">Number of </t>
    </r>
    <r>
      <rPr>
        <b/>
        <sz val="10"/>
        <rFont val="Calibri"/>
        <family val="2"/>
        <scheme val="minor"/>
      </rPr>
      <t>primary ovarian cancers</t>
    </r>
    <r>
      <rPr>
        <sz val="10"/>
        <rFont val="Calibri"/>
        <family val="2"/>
        <scheme val="minor"/>
      </rPr>
      <t xml:space="preserve"> (ovary = ICD C56; fallopian tube = ICD C57.0 and undesignated primary site) that have been screen-detected (7-11 screening rounds)</t>
    </r>
  </si>
  <si>
    <t>Number of women analysed (modified ITT)</t>
  </si>
  <si>
    <r>
      <t>% of</t>
    </r>
    <r>
      <rPr>
        <b/>
        <sz val="10"/>
        <rFont val="Calibri"/>
        <family val="2"/>
        <scheme val="minor"/>
      </rPr>
      <t xml:space="preserve"> primary ovarian cancers</t>
    </r>
    <r>
      <rPr>
        <sz val="10"/>
        <rFont val="Calibri"/>
        <family val="2"/>
        <scheme val="minor"/>
      </rPr>
      <t xml:space="preserve"> that are screen-detected (diagnosed within a year of screening) (7-11 screening rounds); follow-up until 31/12/2014;
MMS vs USS</t>
    </r>
  </si>
  <si>
    <r>
      <t xml:space="preserve">Total number of </t>
    </r>
    <r>
      <rPr>
        <b/>
        <sz val="10"/>
        <rFont val="Calibri"/>
        <family val="2"/>
        <scheme val="minor"/>
      </rPr>
      <t>primary ovarian cancers</t>
    </r>
    <r>
      <rPr>
        <sz val="10"/>
        <rFont val="Calibri"/>
        <family val="2"/>
        <scheme val="minor"/>
      </rPr>
      <t xml:space="preserve"> (screen-detected, false negatives, after screening phase, never attended screening); follow-up until 31/12/2014</t>
    </r>
  </si>
  <si>
    <r>
      <t>Diagnostic yield at screening (</t>
    </r>
    <r>
      <rPr>
        <b/>
        <sz val="10"/>
        <rFont val="Calibri"/>
        <family val="2"/>
        <scheme val="minor"/>
      </rPr>
      <t>primary ovarian plus peritoneal cancers</t>
    </r>
    <r>
      <rPr>
        <sz val="10"/>
        <rFont val="Calibri"/>
        <family val="2"/>
        <scheme val="minor"/>
      </rPr>
      <t xml:space="preserve"> diagnosed within a year of screening); per 1,000 women (7-11 screening rounds); 
MMS vs USS</t>
    </r>
  </si>
  <si>
    <r>
      <t xml:space="preserve">Number of </t>
    </r>
    <r>
      <rPr>
        <b/>
        <sz val="10"/>
        <rFont val="Calibri"/>
        <family val="2"/>
        <scheme val="minor"/>
      </rPr>
      <t>primary ovarian cancers</t>
    </r>
    <r>
      <rPr>
        <sz val="10"/>
        <rFont val="Calibri"/>
        <family val="2"/>
        <scheme val="minor"/>
      </rPr>
      <t xml:space="preserve"> (ovary = ICD C56; fallopian tube = ICD C57.0 and undesignated primary site) </t>
    </r>
    <r>
      <rPr>
        <b/>
        <sz val="10"/>
        <rFont val="Calibri"/>
        <family val="2"/>
        <scheme val="minor"/>
      </rPr>
      <t>and primary peritoneal cancers</t>
    </r>
    <r>
      <rPr>
        <sz val="10"/>
        <rFont val="Calibri"/>
        <family val="2"/>
        <scheme val="minor"/>
      </rPr>
      <t xml:space="preserve"> that have been screen-detected (7-11 screening rounds)</t>
    </r>
  </si>
  <si>
    <r>
      <t>% of</t>
    </r>
    <r>
      <rPr>
        <b/>
        <sz val="10"/>
        <rFont val="Calibri"/>
        <family val="2"/>
        <scheme val="minor"/>
      </rPr>
      <t xml:space="preserve"> primary ovarian plus peritoneal cancers</t>
    </r>
    <r>
      <rPr>
        <sz val="10"/>
        <rFont val="Calibri"/>
        <family val="2"/>
        <scheme val="minor"/>
      </rPr>
      <t xml:space="preserve"> that are screen-detected (diagnosed within a year of screening) (7-11 screening rounds); follow-up until 31/12/2014;
MMS vs USS</t>
    </r>
  </si>
  <si>
    <r>
      <t xml:space="preserve">Total number of </t>
    </r>
    <r>
      <rPr>
        <b/>
        <sz val="10"/>
        <rFont val="Calibri"/>
        <family val="2"/>
        <scheme val="minor"/>
      </rPr>
      <t>primary ovarian and primary peritoneal cancers</t>
    </r>
    <r>
      <rPr>
        <sz val="10"/>
        <rFont val="Calibri"/>
        <family val="2"/>
        <scheme val="minor"/>
      </rPr>
      <t xml:space="preserve"> (screen-detected, false negatives, after screening phase, never attended screening); follow-up until 31/12/2014</t>
    </r>
  </si>
  <si>
    <r>
      <t>Absolute incidence of stage I</t>
    </r>
    <r>
      <rPr>
        <b/>
        <sz val="10"/>
        <rFont val="Calibri"/>
        <family val="2"/>
        <scheme val="minor"/>
      </rPr>
      <t xml:space="preserve"> primary ovarian cancers</t>
    </r>
    <r>
      <rPr>
        <sz val="10"/>
        <rFont val="Calibri"/>
        <family val="2"/>
        <scheme val="minor"/>
      </rPr>
      <t xml:space="preserve"> (per 1,000 women); follow-up until 31/12/2014;
MMS vs no screening</t>
    </r>
  </si>
  <si>
    <t>1,097,089 PY</t>
  </si>
  <si>
    <t>Unable to stage</t>
  </si>
  <si>
    <r>
      <t>Number of stage I</t>
    </r>
    <r>
      <rPr>
        <b/>
        <sz val="10"/>
        <rFont val="Calibri"/>
        <family val="2"/>
        <scheme val="minor"/>
      </rPr>
      <t xml:space="preserve"> primary ovarian cancers</t>
    </r>
    <r>
      <rPr>
        <sz val="10"/>
        <rFont val="Calibri"/>
        <family val="2"/>
        <scheme val="minor"/>
      </rPr>
      <t xml:space="preserve"> (ovary = ICD C56; fallopian tube = ICD C57.0 and undesignated primary site); 
follow-up until 31/12/2014</t>
    </r>
  </si>
  <si>
    <t>Web Table 3</t>
  </si>
  <si>
    <r>
      <t xml:space="preserve">Absolute incidence of stage I </t>
    </r>
    <r>
      <rPr>
        <b/>
        <sz val="10"/>
        <rFont val="Calibri"/>
        <family val="2"/>
        <scheme val="minor"/>
      </rPr>
      <t>primary ovarian cancers</t>
    </r>
    <r>
      <rPr>
        <sz val="10"/>
        <rFont val="Calibri"/>
        <family val="2"/>
        <scheme val="minor"/>
      </rPr>
      <t xml:space="preserve"> (per 1,000 PY); follow-up until 31/12/2014;
MMS vs no screening</t>
    </r>
  </si>
  <si>
    <t>Web Table 3 (Table 2 for person-years)</t>
  </si>
  <si>
    <r>
      <t>Absolute incidence of stage II</t>
    </r>
    <r>
      <rPr>
        <b/>
        <sz val="10"/>
        <rFont val="Calibri"/>
        <family val="2"/>
        <scheme val="minor"/>
      </rPr>
      <t xml:space="preserve"> primary ovarian cancers</t>
    </r>
    <r>
      <rPr>
        <sz val="10"/>
        <rFont val="Calibri"/>
        <family val="2"/>
        <scheme val="minor"/>
      </rPr>
      <t xml:space="preserve"> (per 1,000 women); follow-up until 31/12/2014;
MMS vs no screening</t>
    </r>
  </si>
  <si>
    <r>
      <t>Number of stage II</t>
    </r>
    <r>
      <rPr>
        <b/>
        <sz val="10"/>
        <rFont val="Calibri"/>
        <family val="2"/>
        <scheme val="minor"/>
      </rPr>
      <t xml:space="preserve"> primary ovarian cancers</t>
    </r>
    <r>
      <rPr>
        <sz val="10"/>
        <rFont val="Calibri"/>
        <family val="2"/>
        <scheme val="minor"/>
      </rPr>
      <t xml:space="preserve"> (ovary = ICD C56; fallopian tube = ICD C57.0 and undesignated primary site); 
follow-up until 31/12/2014</t>
    </r>
  </si>
  <si>
    <r>
      <t>Absolute incidence of stage II</t>
    </r>
    <r>
      <rPr>
        <b/>
        <sz val="10"/>
        <rFont val="Calibri"/>
        <family val="2"/>
        <scheme val="minor"/>
      </rPr>
      <t xml:space="preserve"> primary ovarian cancers</t>
    </r>
    <r>
      <rPr>
        <sz val="10"/>
        <rFont val="Calibri"/>
        <family val="2"/>
        <scheme val="minor"/>
      </rPr>
      <t xml:space="preserve"> (per 1,000 PY); follow-up until 31/12/2014;
MMS vs no screening</t>
    </r>
  </si>
  <si>
    <r>
      <t xml:space="preserve">Absolute incidence of stage III </t>
    </r>
    <r>
      <rPr>
        <b/>
        <sz val="10"/>
        <rFont val="Calibri"/>
        <family val="2"/>
        <scheme val="minor"/>
      </rPr>
      <t xml:space="preserve">primary ovarian cancers </t>
    </r>
    <r>
      <rPr>
        <sz val="10"/>
        <rFont val="Calibri"/>
        <family val="2"/>
        <scheme val="minor"/>
      </rPr>
      <t>(per 1,000 women); follow-up until 31/12/2014;
MMS vs no screening</t>
    </r>
  </si>
  <si>
    <r>
      <t>Number of stage III</t>
    </r>
    <r>
      <rPr>
        <b/>
        <sz val="10"/>
        <rFont val="Calibri"/>
        <family val="2"/>
        <scheme val="minor"/>
      </rPr>
      <t xml:space="preserve"> primary ovarian cancers</t>
    </r>
    <r>
      <rPr>
        <sz val="10"/>
        <rFont val="Calibri"/>
        <family val="2"/>
        <scheme val="minor"/>
      </rPr>
      <t xml:space="preserve"> (ovary = ICD C56; fallopian tube = ICD C57.0 and undesignated primary site); 
follow-up until 31/12/2014</t>
    </r>
  </si>
  <si>
    <r>
      <t>Absolute incidence of stage III</t>
    </r>
    <r>
      <rPr>
        <b/>
        <sz val="10"/>
        <rFont val="Calibri"/>
        <family val="2"/>
        <scheme val="minor"/>
      </rPr>
      <t xml:space="preserve"> primary ovarian cancers </t>
    </r>
    <r>
      <rPr>
        <sz val="10"/>
        <rFont val="Calibri"/>
        <family val="2"/>
        <scheme val="minor"/>
      </rPr>
      <t>(per 1,000 PY); follow-up until 31/12/2014;
MMS vs no screening</t>
    </r>
  </si>
  <si>
    <r>
      <t xml:space="preserve">Absolute incidence of stage IV </t>
    </r>
    <r>
      <rPr>
        <b/>
        <sz val="10"/>
        <rFont val="Calibri"/>
        <family val="2"/>
        <scheme val="minor"/>
      </rPr>
      <t>primary ovarian cancers</t>
    </r>
    <r>
      <rPr>
        <sz val="10"/>
        <rFont val="Calibri"/>
        <family val="2"/>
        <scheme val="minor"/>
      </rPr>
      <t xml:space="preserve"> (per 1,000 women); follow-up until 31/12/2014;
MMS vs no screening</t>
    </r>
  </si>
  <si>
    <r>
      <t>Number of stage IV</t>
    </r>
    <r>
      <rPr>
        <b/>
        <sz val="10"/>
        <rFont val="Calibri"/>
        <family val="2"/>
        <scheme val="minor"/>
      </rPr>
      <t xml:space="preserve"> primary ovarian cancers</t>
    </r>
    <r>
      <rPr>
        <sz val="10"/>
        <rFont val="Calibri"/>
        <family val="2"/>
        <scheme val="minor"/>
      </rPr>
      <t xml:space="preserve"> (ovary = ICD C56; fallopian tube = ICD C57.0 and undesignated primary site); 
follow-up until 31/12/2014</t>
    </r>
  </si>
  <si>
    <r>
      <t xml:space="preserve">Absolute incidence of stage IV </t>
    </r>
    <r>
      <rPr>
        <b/>
        <sz val="10"/>
        <rFont val="Calibri"/>
        <family val="2"/>
        <scheme val="minor"/>
      </rPr>
      <t>primary ovarian cancers</t>
    </r>
    <r>
      <rPr>
        <sz val="10"/>
        <rFont val="Calibri"/>
        <family val="2"/>
        <scheme val="minor"/>
      </rPr>
      <t xml:space="preserve"> (per 1,000 PY); follow-up until 31/12/2014;
MMS vs no screening</t>
    </r>
  </si>
  <si>
    <r>
      <t>Absolute incidence of stage I</t>
    </r>
    <r>
      <rPr>
        <b/>
        <sz val="10"/>
        <rFont val="Calibri"/>
        <family val="2"/>
        <scheme val="minor"/>
      </rPr>
      <t xml:space="preserve"> primary ovarian and primary peritoneal cancers</t>
    </r>
    <r>
      <rPr>
        <sz val="10"/>
        <rFont val="Calibri"/>
        <family val="2"/>
        <scheme val="minor"/>
      </rPr>
      <t xml:space="preserve"> (per 1,000 women); follow-up until 31/12/2014;
MMS vs no screening</t>
    </r>
  </si>
  <si>
    <r>
      <t>Number of stage I</t>
    </r>
    <r>
      <rPr>
        <b/>
        <sz val="10"/>
        <rFont val="Calibri"/>
        <family val="2"/>
        <scheme val="minor"/>
      </rPr>
      <t xml:space="preserve">  primary ovarian cancers </t>
    </r>
    <r>
      <rPr>
        <sz val="10"/>
        <rFont val="Calibri"/>
        <family val="2"/>
        <scheme val="minor"/>
      </rPr>
      <t>(ovary = ICD C56; fallopian tube = ICD C57.0 and undesignated primary site) or</t>
    </r>
    <r>
      <rPr>
        <b/>
        <sz val="10"/>
        <rFont val="Calibri"/>
        <family val="2"/>
        <scheme val="minor"/>
      </rPr>
      <t xml:space="preserve"> primary peritoneal cancers</t>
    </r>
    <r>
      <rPr>
        <sz val="10"/>
        <rFont val="Calibri"/>
        <family val="2"/>
        <scheme val="minor"/>
      </rPr>
      <t>; 
follow-up until 31/12/2014</t>
    </r>
  </si>
  <si>
    <r>
      <t>Absolute incidence of stage I</t>
    </r>
    <r>
      <rPr>
        <b/>
        <sz val="10"/>
        <rFont val="Calibri"/>
        <family val="2"/>
        <scheme val="minor"/>
      </rPr>
      <t xml:space="preserve"> primary ovarian and primary peritoneal cancers</t>
    </r>
    <r>
      <rPr>
        <sz val="10"/>
        <rFont val="Calibri"/>
        <family val="2"/>
        <scheme val="minor"/>
      </rPr>
      <t xml:space="preserve"> (per 1,000 PY); follow-up until 31/12/2014;
MMS vs no screening</t>
    </r>
  </si>
  <si>
    <r>
      <t>Absolute incidence of stage II</t>
    </r>
    <r>
      <rPr>
        <b/>
        <sz val="10"/>
        <rFont val="Calibri"/>
        <family val="2"/>
        <scheme val="minor"/>
      </rPr>
      <t xml:space="preserve"> primary ovarian and primary peritoneal cancers</t>
    </r>
    <r>
      <rPr>
        <sz val="10"/>
        <rFont val="Calibri"/>
        <family val="2"/>
        <scheme val="minor"/>
      </rPr>
      <t xml:space="preserve"> (per 1,000 women); follow-up until 31/12/2014;
MMS vs no screening</t>
    </r>
  </si>
  <si>
    <r>
      <t>Number of stage II</t>
    </r>
    <r>
      <rPr>
        <b/>
        <sz val="10"/>
        <rFont val="Calibri"/>
        <family val="2"/>
        <scheme val="minor"/>
      </rPr>
      <t xml:space="preserve">  primary ovarian cancers </t>
    </r>
    <r>
      <rPr>
        <sz val="10"/>
        <rFont val="Calibri"/>
        <family val="2"/>
        <scheme val="minor"/>
      </rPr>
      <t>(ovary = ICD C56; fallopian tube = ICD C57.0 and undesignated primary site) or</t>
    </r>
    <r>
      <rPr>
        <b/>
        <sz val="10"/>
        <rFont val="Calibri"/>
        <family val="2"/>
        <scheme val="minor"/>
      </rPr>
      <t xml:space="preserve"> primary peritoneal cancers</t>
    </r>
    <r>
      <rPr>
        <sz val="10"/>
        <rFont val="Calibri"/>
        <family val="2"/>
        <scheme val="minor"/>
      </rPr>
      <t>; 
follow-up until 31/12/2014</t>
    </r>
  </si>
  <si>
    <r>
      <t>Absolute incidence of stage II</t>
    </r>
    <r>
      <rPr>
        <b/>
        <sz val="10"/>
        <rFont val="Calibri"/>
        <family val="2"/>
        <scheme val="minor"/>
      </rPr>
      <t xml:space="preserve"> primary ovarian and primary peritoneal cancers</t>
    </r>
    <r>
      <rPr>
        <sz val="10"/>
        <rFont val="Calibri"/>
        <family val="2"/>
        <scheme val="minor"/>
      </rPr>
      <t xml:space="preserve"> (per 1,000 PY); follow-up until 31/12/2014;
MMS vs no screening</t>
    </r>
  </si>
  <si>
    <r>
      <t>Absolute incidence of stage III</t>
    </r>
    <r>
      <rPr>
        <b/>
        <sz val="10"/>
        <rFont val="Calibri"/>
        <family val="2"/>
        <scheme val="minor"/>
      </rPr>
      <t xml:space="preserve"> primary ovarian and primary peritoneal cancers</t>
    </r>
    <r>
      <rPr>
        <sz val="10"/>
        <rFont val="Calibri"/>
        <family val="2"/>
        <scheme val="minor"/>
      </rPr>
      <t xml:space="preserve"> (per 1,000 women); follow-up until 31/12/2014;
MMS vs no screening</t>
    </r>
  </si>
  <si>
    <r>
      <t>Number of stage III</t>
    </r>
    <r>
      <rPr>
        <b/>
        <sz val="10"/>
        <rFont val="Calibri"/>
        <family val="2"/>
        <scheme val="minor"/>
      </rPr>
      <t xml:space="preserve">  primary ovarian cancers </t>
    </r>
    <r>
      <rPr>
        <sz val="10"/>
        <rFont val="Calibri"/>
        <family val="2"/>
        <scheme val="minor"/>
      </rPr>
      <t>(ovary = ICD C56; fallopian tube = ICD C57.0 and undesignated primary site) or</t>
    </r>
    <r>
      <rPr>
        <b/>
        <sz val="10"/>
        <rFont val="Calibri"/>
        <family val="2"/>
        <scheme val="minor"/>
      </rPr>
      <t xml:space="preserve"> primary peritoneal cancers</t>
    </r>
    <r>
      <rPr>
        <sz val="10"/>
        <rFont val="Calibri"/>
        <family val="2"/>
        <scheme val="minor"/>
      </rPr>
      <t>; 
follow-up until 31/12/2014</t>
    </r>
  </si>
  <si>
    <r>
      <t>Absolute incidence of stage III</t>
    </r>
    <r>
      <rPr>
        <b/>
        <sz val="10"/>
        <rFont val="Calibri"/>
        <family val="2"/>
        <scheme val="minor"/>
      </rPr>
      <t xml:space="preserve"> primary ovarian and primary peritoneal cancers</t>
    </r>
    <r>
      <rPr>
        <sz val="10"/>
        <rFont val="Calibri"/>
        <family val="2"/>
        <scheme val="minor"/>
      </rPr>
      <t xml:space="preserve"> (per 1,000 PY); follow-up until 31/12/2014;
MMS vs no screening</t>
    </r>
  </si>
  <si>
    <r>
      <t>Absolute incidence of stage IV</t>
    </r>
    <r>
      <rPr>
        <b/>
        <sz val="10"/>
        <rFont val="Calibri"/>
        <family val="2"/>
        <scheme val="minor"/>
      </rPr>
      <t xml:space="preserve"> primary ovarian and primary peritoneal cancers</t>
    </r>
    <r>
      <rPr>
        <sz val="10"/>
        <rFont val="Calibri"/>
        <family val="2"/>
        <scheme val="minor"/>
      </rPr>
      <t xml:space="preserve"> (per 1,000 women); follow-up until 31/12/2014;
MMS vs no screening</t>
    </r>
  </si>
  <si>
    <r>
      <t>Number of stage IV</t>
    </r>
    <r>
      <rPr>
        <b/>
        <sz val="10"/>
        <rFont val="Calibri"/>
        <family val="2"/>
        <scheme val="minor"/>
      </rPr>
      <t xml:space="preserve"> primary ovarian cancers </t>
    </r>
    <r>
      <rPr>
        <sz val="10"/>
        <rFont val="Calibri"/>
        <family val="2"/>
        <scheme val="minor"/>
      </rPr>
      <t>(ovary = ICD C56; fallopian tube = ICD C57.0 and undesignated primary site) or</t>
    </r>
    <r>
      <rPr>
        <b/>
        <sz val="10"/>
        <rFont val="Calibri"/>
        <family val="2"/>
        <scheme val="minor"/>
      </rPr>
      <t xml:space="preserve"> primary peritoneal cancers</t>
    </r>
    <r>
      <rPr>
        <sz val="10"/>
        <rFont val="Calibri"/>
        <family val="2"/>
        <scheme val="minor"/>
      </rPr>
      <t>; 
follow-up until 31/12/2014</t>
    </r>
  </si>
  <si>
    <r>
      <t>Absolute incidence of stage IV</t>
    </r>
    <r>
      <rPr>
        <b/>
        <sz val="10"/>
        <rFont val="Calibri"/>
        <family val="2"/>
        <scheme val="minor"/>
      </rPr>
      <t xml:space="preserve"> primary ovarian and primary peritoneal cancers</t>
    </r>
    <r>
      <rPr>
        <sz val="10"/>
        <rFont val="Calibri"/>
        <family val="2"/>
        <scheme val="minor"/>
      </rPr>
      <t xml:space="preserve"> (per 1,000 PY); follow-up until 31/12/2014;
MMS vs no screening</t>
    </r>
  </si>
  <si>
    <r>
      <t xml:space="preserve">Absolute incidence of stage I </t>
    </r>
    <r>
      <rPr>
        <b/>
        <sz val="10"/>
        <rFont val="Calibri"/>
        <family val="2"/>
        <scheme val="minor"/>
      </rPr>
      <t>primary ovarian cancers</t>
    </r>
    <r>
      <rPr>
        <sz val="10"/>
        <rFont val="Calibri"/>
        <family val="2"/>
        <scheme val="minor"/>
      </rPr>
      <t xml:space="preserve"> (per 1,000 women); follow-up until 31/12/2014;
USS vs no screening</t>
    </r>
  </si>
  <si>
    <r>
      <t xml:space="preserve">Absolute incidence of stage I </t>
    </r>
    <r>
      <rPr>
        <b/>
        <sz val="10"/>
        <rFont val="Calibri"/>
        <family val="2"/>
        <scheme val="minor"/>
      </rPr>
      <t>primary ovarian cancers</t>
    </r>
    <r>
      <rPr>
        <sz val="10"/>
        <rFont val="Calibri"/>
        <family val="2"/>
        <scheme val="minor"/>
      </rPr>
      <t xml:space="preserve"> (per 1,000 PY); follow-up until 31/12/2014;
USS vs no screening</t>
    </r>
  </si>
  <si>
    <r>
      <t>Absolute incidence of stage II</t>
    </r>
    <r>
      <rPr>
        <b/>
        <sz val="10"/>
        <rFont val="Calibri"/>
        <family val="2"/>
        <scheme val="minor"/>
      </rPr>
      <t xml:space="preserve"> primary ovarian cancers</t>
    </r>
    <r>
      <rPr>
        <sz val="10"/>
        <rFont val="Calibri"/>
        <family val="2"/>
        <scheme val="minor"/>
      </rPr>
      <t xml:space="preserve"> (per 1,000 women); follow-up until 31/12/2014;
USS vs no screening</t>
    </r>
  </si>
  <si>
    <r>
      <t xml:space="preserve">Absolute incidence of stage II </t>
    </r>
    <r>
      <rPr>
        <b/>
        <sz val="10"/>
        <rFont val="Calibri"/>
        <family val="2"/>
        <scheme val="minor"/>
      </rPr>
      <t>primary ovarian cancers</t>
    </r>
    <r>
      <rPr>
        <sz val="10"/>
        <rFont val="Calibri"/>
        <family val="2"/>
        <scheme val="minor"/>
      </rPr>
      <t xml:space="preserve"> (per 1,000 PY); follow-up until 31/12/2014;
USS vs no screening</t>
    </r>
  </si>
  <si>
    <r>
      <t xml:space="preserve">Absolute incidence of stage III </t>
    </r>
    <r>
      <rPr>
        <b/>
        <sz val="10"/>
        <rFont val="Calibri"/>
        <family val="2"/>
        <scheme val="minor"/>
      </rPr>
      <t>primary ovarian cancers</t>
    </r>
    <r>
      <rPr>
        <sz val="10"/>
        <rFont val="Calibri"/>
        <family val="2"/>
        <scheme val="minor"/>
      </rPr>
      <t xml:space="preserve"> (per 1,000 women); follow-up until 31/12/2014;
USS vs no screening</t>
    </r>
  </si>
  <si>
    <r>
      <t xml:space="preserve">Absolute incidence of stage III </t>
    </r>
    <r>
      <rPr>
        <b/>
        <sz val="10"/>
        <rFont val="Calibri"/>
        <family val="2"/>
        <scheme val="minor"/>
      </rPr>
      <t>primary ovarian cancers</t>
    </r>
    <r>
      <rPr>
        <sz val="10"/>
        <rFont val="Calibri"/>
        <family val="2"/>
        <scheme val="minor"/>
      </rPr>
      <t xml:space="preserve"> (per 1,000 PY); follow-up until 31/12/2014;
USS vs no screening</t>
    </r>
  </si>
  <si>
    <r>
      <t xml:space="preserve">Absolute incidence of stage IV </t>
    </r>
    <r>
      <rPr>
        <b/>
        <sz val="10"/>
        <rFont val="Calibri"/>
        <family val="2"/>
        <scheme val="minor"/>
      </rPr>
      <t>primary ovarian cancers</t>
    </r>
    <r>
      <rPr>
        <sz val="10"/>
        <rFont val="Calibri"/>
        <family val="2"/>
        <scheme val="minor"/>
      </rPr>
      <t xml:space="preserve"> (per 1,000 women); follow-up until 31/12/2014;
USS vs no screening</t>
    </r>
  </si>
  <si>
    <r>
      <t xml:space="preserve">Absolute incidence of stage IV </t>
    </r>
    <r>
      <rPr>
        <b/>
        <sz val="10"/>
        <rFont val="Calibri"/>
        <family val="2"/>
        <scheme val="minor"/>
      </rPr>
      <t>primary ovarian cancers</t>
    </r>
    <r>
      <rPr>
        <sz val="10"/>
        <rFont val="Calibri"/>
        <family val="2"/>
        <scheme val="minor"/>
      </rPr>
      <t xml:space="preserve"> (per 1,000 PY); follow-up until 31/12/2014;
USS vs no screening</t>
    </r>
  </si>
  <si>
    <r>
      <t>Absolute incidence of stage I</t>
    </r>
    <r>
      <rPr>
        <b/>
        <sz val="10"/>
        <rFont val="Calibri"/>
        <family val="2"/>
        <scheme val="minor"/>
      </rPr>
      <t xml:space="preserve"> primary ovarian and primary peritoneal cancers</t>
    </r>
    <r>
      <rPr>
        <sz val="10"/>
        <rFont val="Calibri"/>
        <family val="2"/>
        <scheme val="minor"/>
      </rPr>
      <t xml:space="preserve"> (per 1,000 women); follow-up until 31/12/2014;
USS vs no screening</t>
    </r>
  </si>
  <si>
    <r>
      <t>Absolute incidence of stage I</t>
    </r>
    <r>
      <rPr>
        <b/>
        <sz val="10"/>
        <rFont val="Calibri"/>
        <family val="2"/>
        <scheme val="minor"/>
      </rPr>
      <t xml:space="preserve"> primary ovarian and primary peritoneal cancers</t>
    </r>
    <r>
      <rPr>
        <sz val="10"/>
        <rFont val="Calibri"/>
        <family val="2"/>
        <scheme val="minor"/>
      </rPr>
      <t xml:space="preserve"> (per 1,000 PY); follow-up until 31/12/2014;
USS vs no screening</t>
    </r>
  </si>
  <si>
    <r>
      <t>Absolute incidence of stage II</t>
    </r>
    <r>
      <rPr>
        <b/>
        <sz val="10"/>
        <rFont val="Calibri"/>
        <family val="2"/>
        <scheme val="minor"/>
      </rPr>
      <t xml:space="preserve"> primary ovarian and primary peritoneal cancers</t>
    </r>
    <r>
      <rPr>
        <sz val="10"/>
        <rFont val="Calibri"/>
        <family val="2"/>
        <scheme val="minor"/>
      </rPr>
      <t xml:space="preserve"> (per 1,000 women); follow-up until 31/12/2014;
USS vs no screening</t>
    </r>
  </si>
  <si>
    <r>
      <t>Absolute incidence of stage II</t>
    </r>
    <r>
      <rPr>
        <b/>
        <sz val="10"/>
        <rFont val="Calibri"/>
        <family val="2"/>
        <scheme val="minor"/>
      </rPr>
      <t xml:space="preserve"> primary ovarian and primary peritoneal cancers</t>
    </r>
    <r>
      <rPr>
        <sz val="10"/>
        <rFont val="Calibri"/>
        <family val="2"/>
        <scheme val="minor"/>
      </rPr>
      <t xml:space="preserve"> (per 1,000 PY); follow-up until 31/12/2014;
USS vs no screening</t>
    </r>
  </si>
  <si>
    <r>
      <t>Absolute incidence of stage III</t>
    </r>
    <r>
      <rPr>
        <b/>
        <sz val="10"/>
        <rFont val="Calibri"/>
        <family val="2"/>
        <scheme val="minor"/>
      </rPr>
      <t xml:space="preserve"> primary ovarian and primary peritoneal cancers</t>
    </r>
    <r>
      <rPr>
        <sz val="10"/>
        <rFont val="Calibri"/>
        <family val="2"/>
        <scheme val="minor"/>
      </rPr>
      <t xml:space="preserve"> (per 1,000 women); follow-up until 31/12/2014;
USS vs no screening</t>
    </r>
  </si>
  <si>
    <r>
      <t>Absolute incidence of stage III</t>
    </r>
    <r>
      <rPr>
        <b/>
        <sz val="10"/>
        <rFont val="Calibri"/>
        <family val="2"/>
        <scheme val="minor"/>
      </rPr>
      <t xml:space="preserve"> primary ovarian and primary peritoneal cancers</t>
    </r>
    <r>
      <rPr>
        <sz val="10"/>
        <rFont val="Calibri"/>
        <family val="2"/>
        <scheme val="minor"/>
      </rPr>
      <t xml:space="preserve"> (per 1,000 PY); follow-up until 31/12/2014;
USS vs no screening</t>
    </r>
  </si>
  <si>
    <r>
      <t>Absolute incidence of stage IV</t>
    </r>
    <r>
      <rPr>
        <b/>
        <sz val="10"/>
        <rFont val="Calibri"/>
        <family val="2"/>
        <scheme val="minor"/>
      </rPr>
      <t xml:space="preserve"> primary ovarian and primary peritoneal cancers</t>
    </r>
    <r>
      <rPr>
        <sz val="10"/>
        <rFont val="Calibri"/>
        <family val="2"/>
        <scheme val="minor"/>
      </rPr>
      <t xml:space="preserve"> (per 1,000 women); follow-up until 31/12/2014;
USS vs no screening</t>
    </r>
  </si>
  <si>
    <r>
      <t>Absolute incidence of stage IV</t>
    </r>
    <r>
      <rPr>
        <b/>
        <sz val="10"/>
        <rFont val="Calibri"/>
        <family val="2"/>
        <scheme val="minor"/>
      </rPr>
      <t xml:space="preserve"> primary ovarian and primary peritoneal cancers</t>
    </r>
    <r>
      <rPr>
        <sz val="10"/>
        <rFont val="Calibri"/>
        <family val="2"/>
        <scheme val="minor"/>
      </rPr>
      <t xml:space="preserve"> (per 1,000 PY); follow-up until 31/12/2014;
USS vs no screening</t>
    </r>
  </si>
  <si>
    <r>
      <t>Diagnostic yield at screening (</t>
    </r>
    <r>
      <rPr>
        <b/>
        <sz val="10"/>
        <rFont val="Calibri"/>
        <family val="2"/>
        <scheme val="minor"/>
      </rPr>
      <t>ovarian and tubal cancers</t>
    </r>
    <r>
      <rPr>
        <sz val="10"/>
        <rFont val="Calibri"/>
        <family val="2"/>
        <scheme val="minor"/>
      </rPr>
      <t xml:space="preserve"> diagnosed within a year of screening); per 1,000 women (7-11 screening rounds); 
MMS vs USS</t>
    </r>
  </si>
  <si>
    <t>789,129 PY</t>
  </si>
  <si>
    <t>790,231 PY</t>
  </si>
  <si>
    <t>Number of ovarian and tubal cancers (ICD C56; ICD C57.0; revised WHO 2014 definition) that have been screen-detected (7-11 screening rounds)</t>
  </si>
  <si>
    <t xml:space="preserve">Number of women analysed </t>
  </si>
  <si>
    <t>Table 1</t>
  </si>
  <si>
    <t>The site assignment is in contrast to the previous mortality analysis (censorship Dec 31, 2014), which used the WHO 2003 definition. The majority (40 of 41) of previously classified primary peritoneal cancers using WHO 2003 criteria were reclassified as ovarian or tubal cancers.</t>
  </si>
  <si>
    <r>
      <t xml:space="preserve">% of </t>
    </r>
    <r>
      <rPr>
        <b/>
        <sz val="10"/>
        <rFont val="Calibri"/>
        <family val="2"/>
        <scheme val="minor"/>
      </rPr>
      <t>ovarian and tubal cancers</t>
    </r>
    <r>
      <rPr>
        <sz val="10"/>
        <rFont val="Calibri"/>
        <family val="2"/>
        <scheme val="minor"/>
      </rPr>
      <t xml:space="preserve"> that are screen-detected (diagnosed within a year of screening) (7-11 screening rounds); follow-up until 30/06/2020;
MMS vs USS</t>
    </r>
  </si>
  <si>
    <t>Total number of primary ovarian cancers (screen-detected, false negatives, after screening phase, never attended screening); follow-up until 30/06/2020</t>
  </si>
  <si>
    <r>
      <t xml:space="preserve">Absolute incidence of stage I </t>
    </r>
    <r>
      <rPr>
        <b/>
        <sz val="10"/>
        <rFont val="Calibri"/>
        <family val="2"/>
        <scheme val="minor"/>
      </rPr>
      <t>ovarian and tubal cancers (WHO 2014 classification)</t>
    </r>
    <r>
      <rPr>
        <sz val="10"/>
        <rFont val="Calibri"/>
        <family val="2"/>
        <scheme val="minor"/>
      </rPr>
      <t xml:space="preserve"> (per 1,000 women); follow-up until 30/06/2020;
MMS vs no screening</t>
    </r>
  </si>
  <si>
    <t>1,577,517 PY</t>
  </si>
  <si>
    <r>
      <t>Number of stage I (FIGO 2014 stage) ovarian or tubal cancer (ICD-10 code C56, ICD C57.0;</t>
    </r>
    <r>
      <rPr>
        <b/>
        <sz val="10"/>
        <rFont val="Calibri"/>
        <family val="2"/>
        <scheme val="minor"/>
      </rPr>
      <t xml:space="preserve"> revised WHO 2014</t>
    </r>
    <r>
      <rPr>
        <sz val="10"/>
        <rFont val="Calibri"/>
        <family val="2"/>
        <scheme val="minor"/>
      </rPr>
      <t xml:space="preserve"> definition); 
follow-up until 30/06/2020</t>
    </r>
  </si>
  <si>
    <t>Table 2 and text: The 47·2% increase in incidence of stage I …</t>
  </si>
  <si>
    <t>Slightly different to reported rate. Think they might have used 50,618 (MMS), 50,614 (USS) and 101,297 (no screening) as denominators (see Figure 2A)?</t>
  </si>
  <si>
    <r>
      <t xml:space="preserve">Absolute incidence of stage I </t>
    </r>
    <r>
      <rPr>
        <b/>
        <sz val="10"/>
        <rFont val="Calibri"/>
        <family val="2"/>
        <scheme val="minor"/>
      </rPr>
      <t>ovarian and tubal cancers (WHO 2014 classification)</t>
    </r>
    <r>
      <rPr>
        <sz val="10"/>
        <rFont val="Calibri"/>
        <family val="2"/>
        <scheme val="minor"/>
      </rPr>
      <t xml:space="preserve"> (per 1,000 PY); follow-up until 30/06/2020;
MMS vs no screening</t>
    </r>
  </si>
  <si>
    <t>Person-years of follow-up (until 30/06/2020)</t>
  </si>
  <si>
    <t>Table 2 (Table 1 for person-years)</t>
  </si>
  <si>
    <r>
      <t xml:space="preserve">Absolute incidence of stage II </t>
    </r>
    <r>
      <rPr>
        <b/>
        <sz val="10"/>
        <rFont val="Calibri"/>
        <family val="2"/>
        <scheme val="minor"/>
      </rPr>
      <t>ovarian and tubal cancers (WHO 2014 classification)</t>
    </r>
    <r>
      <rPr>
        <sz val="10"/>
        <rFont val="Calibri"/>
        <family val="2"/>
        <scheme val="minor"/>
      </rPr>
      <t xml:space="preserve"> (per 1,000 women); follow-up until 30/06/2020;
MMS vs no screening</t>
    </r>
  </si>
  <si>
    <r>
      <t xml:space="preserve">Number of stage II (FIGO 2014 stage) ovarian or tubal cancer (ICD-10 code C56, ICD C57.0; </t>
    </r>
    <r>
      <rPr>
        <b/>
        <sz val="10"/>
        <rFont val="Calibri"/>
        <family val="2"/>
        <scheme val="minor"/>
      </rPr>
      <t>revised WHO 2014 definition</t>
    </r>
    <r>
      <rPr>
        <sz val="10"/>
        <rFont val="Calibri"/>
        <family val="2"/>
        <scheme val="minor"/>
      </rPr>
      <t>); 
follow-up until 30/06/2020</t>
    </r>
  </si>
  <si>
    <t>Think they might have used 50,618 (MMS), 50,614 (USS) and 101,297 (no screening) as denominators (see Figure 2A)?</t>
  </si>
  <si>
    <r>
      <t>Absolute incidence of stage II</t>
    </r>
    <r>
      <rPr>
        <b/>
        <sz val="10"/>
        <rFont val="Calibri"/>
        <family val="2"/>
        <scheme val="minor"/>
      </rPr>
      <t xml:space="preserve"> ovarian and tubal cancers</t>
    </r>
    <r>
      <rPr>
        <sz val="10"/>
        <rFont val="Calibri"/>
        <family val="2"/>
        <scheme val="minor"/>
      </rPr>
      <t xml:space="preserve"> </t>
    </r>
    <r>
      <rPr>
        <b/>
        <sz val="10"/>
        <rFont val="Calibri"/>
        <family val="2"/>
        <scheme val="minor"/>
      </rPr>
      <t>(WHO 2014 classification)</t>
    </r>
    <r>
      <rPr>
        <sz val="10"/>
        <rFont val="Calibri"/>
        <family val="2"/>
        <scheme val="minor"/>
      </rPr>
      <t xml:space="preserve"> (per 1,000 PY); follow-up until 30/06/2020;
MMS vs no screening</t>
    </r>
  </si>
  <si>
    <r>
      <t xml:space="preserve">Number of stage I-II (FIGO 2014 stage) ovarian or tubal cancer (ICD-10 code C56, ICD C57.0; </t>
    </r>
    <r>
      <rPr>
        <b/>
        <sz val="10"/>
        <rFont val="Calibri"/>
        <family val="2"/>
        <scheme val="minor"/>
      </rPr>
      <t>revised WHO 2014 definition</t>
    </r>
    <r>
      <rPr>
        <sz val="10"/>
        <rFont val="Calibri"/>
        <family val="2"/>
        <scheme val="minor"/>
      </rPr>
      <t>); 
follow-up until 30/06/2020</t>
    </r>
  </si>
  <si>
    <t>Table 2 and text: Overall, there was a 39·2% (95% CI 16·1 to 66·9) higher incidence of stage I or II disease and 10·2% (–21·3 to 2·4)
lower incidence of stage III or IV disease in the MMS group compared with the no screening group.</t>
  </si>
  <si>
    <r>
      <t xml:space="preserve">Absolute incidence of early-stage (stage I-II) </t>
    </r>
    <r>
      <rPr>
        <b/>
        <sz val="10"/>
        <rFont val="Calibri"/>
        <family val="2"/>
        <scheme val="minor"/>
      </rPr>
      <t xml:space="preserve">ovarian and tubal cancers (WHO 2014 classification) </t>
    </r>
    <r>
      <rPr>
        <sz val="10"/>
        <rFont val="Calibri"/>
        <family val="2"/>
        <scheme val="minor"/>
      </rPr>
      <t>(per 1,000 PY); follow-up until 30/06/2020;
MMS vs no screening</t>
    </r>
  </si>
  <si>
    <r>
      <t xml:space="preserve">Number of stage I-II (FIGO 2014 stage) ovarian or tubal cancer (ICD-10 code C56, ICD C57.0; </t>
    </r>
    <r>
      <rPr>
        <b/>
        <sz val="10"/>
        <rFont val="Calibri"/>
        <family val="2"/>
        <scheme val="minor"/>
      </rPr>
      <t>revised WHO 2014 definition)</t>
    </r>
    <r>
      <rPr>
        <sz val="10"/>
        <rFont val="Calibri"/>
        <family val="2"/>
        <scheme val="minor"/>
      </rPr>
      <t>; 
follow-up until 30/06/2020</t>
    </r>
  </si>
  <si>
    <r>
      <t xml:space="preserve">Absolute incidence of stage III </t>
    </r>
    <r>
      <rPr>
        <b/>
        <sz val="10"/>
        <rFont val="Calibri"/>
        <family val="2"/>
        <scheme val="minor"/>
      </rPr>
      <t>ovarian and tubal cancers (WHO classificaiton)</t>
    </r>
    <r>
      <rPr>
        <sz val="10"/>
        <rFont val="Calibri"/>
        <family val="2"/>
        <scheme val="minor"/>
      </rPr>
      <t xml:space="preserve"> (per 1,000 women); follow-up until 30/06/2020;
MMS vs no screening</t>
    </r>
  </si>
  <si>
    <r>
      <t xml:space="preserve">Number of stage III (FIGO 2014 stage) ovarian or tubal cancer (ICD-10 code C56, ICD C57.0; </t>
    </r>
    <r>
      <rPr>
        <b/>
        <sz val="10"/>
        <rFont val="Calibri"/>
        <family val="2"/>
        <scheme val="minor"/>
      </rPr>
      <t>revised WHO 2014 definition</t>
    </r>
    <r>
      <rPr>
        <sz val="10"/>
        <rFont val="Calibri"/>
        <family val="2"/>
        <scheme val="minor"/>
      </rPr>
      <t>); 
follow-up until 30/06/2020</t>
    </r>
  </si>
  <si>
    <r>
      <t>Absolute incidence of stage III</t>
    </r>
    <r>
      <rPr>
        <b/>
        <sz val="10"/>
        <rFont val="Calibri"/>
        <family val="2"/>
        <scheme val="minor"/>
      </rPr>
      <t xml:space="preserve"> ovarian and tubal cancers (WHO 2014 classification)</t>
    </r>
    <r>
      <rPr>
        <sz val="10"/>
        <rFont val="Calibri"/>
        <family val="2"/>
        <scheme val="minor"/>
      </rPr>
      <t xml:space="preserve"> (per 1,000 PY); follow-up until 30/06/2020;
MMS vs no screening</t>
    </r>
  </si>
  <si>
    <r>
      <t>Absolute incidence of stage IV</t>
    </r>
    <r>
      <rPr>
        <b/>
        <sz val="10"/>
        <rFont val="Calibri"/>
        <family val="2"/>
        <scheme val="minor"/>
      </rPr>
      <t xml:space="preserve"> ovarian and tubal cancers (WHO 2014 classification) </t>
    </r>
    <r>
      <rPr>
        <sz val="10"/>
        <rFont val="Calibri"/>
        <family val="2"/>
        <scheme val="minor"/>
      </rPr>
      <t>(per 1,000 women); follow-up until 30/06/2020;
MMS vs no screening</t>
    </r>
  </si>
  <si>
    <r>
      <t xml:space="preserve">Number of stage IV (FIGO 2014 stage) ovarian or tubal cancer (ICD-10 code C56, ICD C57.0; </t>
    </r>
    <r>
      <rPr>
        <b/>
        <sz val="10"/>
        <rFont val="Calibri"/>
        <family val="2"/>
        <scheme val="minor"/>
      </rPr>
      <t>revised WHO 2014 definition</t>
    </r>
    <r>
      <rPr>
        <sz val="10"/>
        <rFont val="Calibri"/>
        <family val="2"/>
        <scheme val="minor"/>
      </rPr>
      <t>); 
follow-up until 30/06/2020</t>
    </r>
  </si>
  <si>
    <t>Table 2 and text: Despite the 24·5% reduction in stage IV disease in
the MMS group…</t>
  </si>
  <si>
    <r>
      <t xml:space="preserve">Absolute incidence of stage IV </t>
    </r>
    <r>
      <rPr>
        <b/>
        <sz val="10"/>
        <rFont val="Calibri"/>
        <family val="2"/>
        <scheme val="minor"/>
      </rPr>
      <t>ovarian and tubal cancers (WHO 2014 classification)</t>
    </r>
    <r>
      <rPr>
        <sz val="10"/>
        <rFont val="Calibri"/>
        <family val="2"/>
        <scheme val="minor"/>
      </rPr>
      <t xml:space="preserve"> (per 1,000 PY); follow-up until 30/06/2020;
MMS vs no screening</t>
    </r>
  </si>
  <si>
    <r>
      <t xml:space="preserve">Absolute incidence of late-stage (stage III-IV) </t>
    </r>
    <r>
      <rPr>
        <b/>
        <sz val="10"/>
        <rFont val="Calibri"/>
        <family val="2"/>
        <scheme val="minor"/>
      </rPr>
      <t>ovarian and tubal cancers (WHO 2014 classification)</t>
    </r>
    <r>
      <rPr>
        <sz val="10"/>
        <rFont val="Calibri"/>
        <family val="2"/>
        <scheme val="minor"/>
      </rPr>
      <t xml:space="preserve"> (per 1,000 women); follow-up until 30/06/2020;
MMS vs no screening</t>
    </r>
  </si>
  <si>
    <r>
      <t xml:space="preserve">Number of stage III-IV (FIGO 2014 stage) ovarian or tubal cancer (ICD-10 code C56, ICD C57.0; </t>
    </r>
    <r>
      <rPr>
        <b/>
        <sz val="10"/>
        <rFont val="Calibri"/>
        <family val="2"/>
        <scheme val="minor"/>
      </rPr>
      <t>revised WHO 2014 definition</t>
    </r>
    <r>
      <rPr>
        <sz val="10"/>
        <rFont val="Calibri"/>
        <family val="2"/>
        <scheme val="minor"/>
      </rPr>
      <t>); 
follow-up until 30/06/2020</t>
    </r>
  </si>
  <si>
    <r>
      <t xml:space="preserve">Absolute incidence of late-stage (stage III-IV) </t>
    </r>
    <r>
      <rPr>
        <b/>
        <sz val="10"/>
        <rFont val="Calibri"/>
        <family val="2"/>
        <scheme val="minor"/>
      </rPr>
      <t>ovarian and tubal cancers (WHO 2014 classification)</t>
    </r>
    <r>
      <rPr>
        <sz val="10"/>
        <rFont val="Calibri"/>
        <family val="2"/>
        <scheme val="minor"/>
      </rPr>
      <t xml:space="preserve"> (per 1,000 PY); follow-up until 30/06/2020;
MMS vs no screening</t>
    </r>
  </si>
  <si>
    <r>
      <t xml:space="preserve">% of </t>
    </r>
    <r>
      <rPr>
        <b/>
        <sz val="10"/>
        <rFont val="Calibri"/>
        <family val="2"/>
        <scheme val="minor"/>
      </rPr>
      <t xml:space="preserve">ovarian and tubal cancers (WHO 2014 classification) </t>
    </r>
    <r>
      <rPr>
        <sz val="10"/>
        <rFont val="Calibri"/>
        <family val="2"/>
        <scheme val="minor"/>
      </rPr>
      <t>that are diagnosed at late-stage (stage III-IV); follow-up until 30/06/2020;
MMS vs no screening</t>
    </r>
  </si>
  <si>
    <t>Total number of ovarian or tubal cancers (ICD-10 code C56, ICD C57.0; revised WHO 2014 definition); including cancers with missing stage data;
follow-up until 30/06/2020</t>
  </si>
  <si>
    <r>
      <t>Absolute incidence of stage I</t>
    </r>
    <r>
      <rPr>
        <b/>
        <sz val="10"/>
        <rFont val="Calibri"/>
        <family val="2"/>
        <scheme val="minor"/>
      </rPr>
      <t xml:space="preserve"> ovarian and tubal cancers (WHO 2014 classification)</t>
    </r>
    <r>
      <rPr>
        <sz val="10"/>
        <rFont val="Calibri"/>
        <family val="2"/>
        <scheme val="minor"/>
      </rPr>
      <t xml:space="preserve"> (per 1,000 women); follow-up until 30/06/2020;
USS vs no screening</t>
    </r>
  </si>
  <si>
    <r>
      <t xml:space="preserve">Number of stage I (FIGO 2014 stage) ovarian or tubal cancer (ICD-10 code C56, ICD C57.0; </t>
    </r>
    <r>
      <rPr>
        <b/>
        <sz val="10"/>
        <rFont val="Calibri"/>
        <family val="2"/>
        <scheme val="minor"/>
      </rPr>
      <t>revised WHO 2014 definition</t>
    </r>
    <r>
      <rPr>
        <sz val="10"/>
        <rFont val="Calibri"/>
        <family val="2"/>
        <scheme val="minor"/>
      </rPr>
      <t>); 
follow-up until 30/06/2020</t>
    </r>
  </si>
  <si>
    <r>
      <t>Absolute incidence of stage I</t>
    </r>
    <r>
      <rPr>
        <b/>
        <sz val="10"/>
        <rFont val="Calibri"/>
        <family val="2"/>
        <scheme val="minor"/>
      </rPr>
      <t xml:space="preserve"> ovarian and tubal cancers (WHO 2014 classification) </t>
    </r>
    <r>
      <rPr>
        <sz val="10"/>
        <rFont val="Calibri"/>
        <family val="2"/>
        <scheme val="minor"/>
      </rPr>
      <t>(per 1,000 PY); follow-up until 30/06/2020;
USS vs no screening</t>
    </r>
  </si>
  <si>
    <r>
      <t>Number of stage I (FIGO 2014 stage) ovarian or tubal cancer (ICD-10 code C56, ICD C57.0;</t>
    </r>
    <r>
      <rPr>
        <b/>
        <sz val="10"/>
        <rFont val="Calibri"/>
        <family val="2"/>
        <scheme val="minor"/>
      </rPr>
      <t xml:space="preserve"> revised WHO 2014 definition</t>
    </r>
    <r>
      <rPr>
        <sz val="10"/>
        <rFont val="Calibri"/>
        <family val="2"/>
        <scheme val="minor"/>
      </rPr>
      <t>); 
follow-up until 30/06/2020</t>
    </r>
  </si>
  <si>
    <r>
      <t xml:space="preserve">Absolute incidence of stage II </t>
    </r>
    <r>
      <rPr>
        <b/>
        <sz val="10"/>
        <rFont val="Calibri"/>
        <family val="2"/>
        <scheme val="minor"/>
      </rPr>
      <t>ovarian and tubal cancers (WHO 2014 classification)</t>
    </r>
    <r>
      <rPr>
        <sz val="10"/>
        <rFont val="Calibri"/>
        <family val="2"/>
        <scheme val="minor"/>
      </rPr>
      <t xml:space="preserve"> (per 1,000 women); follow-up until 30/06/2020;
USS vs no screening</t>
    </r>
  </si>
  <si>
    <r>
      <t xml:space="preserve">Absolute incidence of stage II </t>
    </r>
    <r>
      <rPr>
        <b/>
        <sz val="10"/>
        <rFont val="Calibri"/>
        <family val="2"/>
        <scheme val="minor"/>
      </rPr>
      <t>ovarian and tubal cancer</t>
    </r>
    <r>
      <rPr>
        <sz val="10"/>
        <rFont val="Calibri"/>
        <family val="2"/>
        <scheme val="minor"/>
      </rPr>
      <t xml:space="preserve">s </t>
    </r>
    <r>
      <rPr>
        <b/>
        <sz val="10"/>
        <rFont val="Calibri"/>
        <family val="2"/>
        <scheme val="minor"/>
      </rPr>
      <t>(WHO 2014 classification)</t>
    </r>
    <r>
      <rPr>
        <sz val="10"/>
        <rFont val="Calibri"/>
        <family val="2"/>
        <scheme val="minor"/>
      </rPr>
      <t xml:space="preserve"> (per 1,000 PY); follow-up until 30/06/2020;
USS vs no screening</t>
    </r>
  </si>
  <si>
    <r>
      <t xml:space="preserve">Absolute incidence of early-stage (stageI-II) </t>
    </r>
    <r>
      <rPr>
        <b/>
        <sz val="10"/>
        <rFont val="Calibri"/>
        <family val="2"/>
        <scheme val="minor"/>
      </rPr>
      <t>ovarian and tubal cancers (WHO 2014 classification)</t>
    </r>
    <r>
      <rPr>
        <sz val="10"/>
        <rFont val="Calibri"/>
        <family val="2"/>
        <scheme val="minor"/>
      </rPr>
      <t xml:space="preserve"> (per 1,000 women); follow-up until 30/06/2020;
USS vs no screening</t>
    </r>
  </si>
  <si>
    <r>
      <t xml:space="preserve">Absolute incidence of early-stage (stage I-II) </t>
    </r>
    <r>
      <rPr>
        <b/>
        <sz val="10"/>
        <rFont val="Calibri"/>
        <family val="2"/>
        <scheme val="minor"/>
      </rPr>
      <t xml:space="preserve">ovarian and tubal cancers (WHO 2014 classification) </t>
    </r>
    <r>
      <rPr>
        <sz val="10"/>
        <rFont val="Calibri"/>
        <family val="2"/>
        <scheme val="minor"/>
      </rPr>
      <t xml:space="preserve"> (per 1,000 PY); follow-up until 30/06/2020;
USS vs no screening</t>
    </r>
  </si>
  <si>
    <r>
      <t xml:space="preserve">Absolute incidence of stage III </t>
    </r>
    <r>
      <rPr>
        <b/>
        <sz val="10"/>
        <rFont val="Calibri"/>
        <family val="2"/>
        <scheme val="minor"/>
      </rPr>
      <t>ovarian and tubal cancers</t>
    </r>
    <r>
      <rPr>
        <sz val="10"/>
        <rFont val="Calibri"/>
        <family val="2"/>
        <scheme val="minor"/>
      </rPr>
      <t xml:space="preserve"> </t>
    </r>
    <r>
      <rPr>
        <b/>
        <sz val="10"/>
        <rFont val="Calibri"/>
        <family val="2"/>
        <scheme val="minor"/>
      </rPr>
      <t>(WHO 2014 classification)</t>
    </r>
    <r>
      <rPr>
        <sz val="10"/>
        <rFont val="Calibri"/>
        <family val="2"/>
        <scheme val="minor"/>
      </rPr>
      <t xml:space="preserve"> (per 1,000 women); follow-up until 30/06/2020;
USS vs no screening</t>
    </r>
  </si>
  <si>
    <r>
      <t xml:space="preserve">Absolute incidence of stage III </t>
    </r>
    <r>
      <rPr>
        <b/>
        <sz val="10"/>
        <rFont val="Calibri"/>
        <family val="2"/>
        <scheme val="minor"/>
      </rPr>
      <t xml:space="preserve">ovarian and tubal cancers (WHO 2014 classification) </t>
    </r>
    <r>
      <rPr>
        <sz val="10"/>
        <rFont val="Calibri"/>
        <family val="2"/>
        <scheme val="minor"/>
      </rPr>
      <t>(per 1,000 PY); follow-up until 30/06/2020;
USS vs no screening</t>
    </r>
  </si>
  <si>
    <r>
      <t xml:space="preserve">Absolute incidence of stage IV </t>
    </r>
    <r>
      <rPr>
        <b/>
        <sz val="10"/>
        <rFont val="Calibri"/>
        <family val="2"/>
        <scheme val="minor"/>
      </rPr>
      <t>ovarian and tubal cancers (WHO 2014 classification)</t>
    </r>
    <r>
      <rPr>
        <sz val="10"/>
        <rFont val="Calibri"/>
        <family val="2"/>
        <scheme val="minor"/>
      </rPr>
      <t xml:space="preserve"> (per 1,000 women); follow-up until 30/06/2020;
USS vs no screening</t>
    </r>
  </si>
  <si>
    <r>
      <t>Absolute incidence of stage IV</t>
    </r>
    <r>
      <rPr>
        <b/>
        <sz val="10"/>
        <rFont val="Calibri"/>
        <family val="2"/>
        <scheme val="minor"/>
      </rPr>
      <t xml:space="preserve"> ovarian and tubal cancers (WHO 2014 classification)</t>
    </r>
    <r>
      <rPr>
        <sz val="10"/>
        <rFont val="Calibri"/>
        <family val="2"/>
        <scheme val="minor"/>
      </rPr>
      <t xml:space="preserve"> (per 1,000 PY); follow-up until 30/06/2020;
USS vs no screening</t>
    </r>
  </si>
  <si>
    <r>
      <t>Absolute incidence of late-stage (stage III-IV)</t>
    </r>
    <r>
      <rPr>
        <b/>
        <sz val="10"/>
        <rFont val="Calibri"/>
        <family val="2"/>
        <scheme val="minor"/>
      </rPr>
      <t xml:space="preserve"> ovarian and tubal cancers (WHO 2014 classification) </t>
    </r>
    <r>
      <rPr>
        <sz val="10"/>
        <rFont val="Calibri"/>
        <family val="2"/>
        <scheme val="minor"/>
      </rPr>
      <t>(per 1,000 women); follow-up until 30/06/2020;
USS vs no screening</t>
    </r>
  </si>
  <si>
    <r>
      <t xml:space="preserve">Absolute incidence of late-stage (stage III-IV) </t>
    </r>
    <r>
      <rPr>
        <b/>
        <sz val="10"/>
        <rFont val="Calibri"/>
        <family val="2"/>
        <scheme val="minor"/>
      </rPr>
      <t>ovarian and tubal cancers (WHO 2014 classification)</t>
    </r>
    <r>
      <rPr>
        <sz val="10"/>
        <rFont val="Calibri"/>
        <family val="2"/>
        <scheme val="minor"/>
      </rPr>
      <t xml:space="preserve"> (per 1,000 PY); follow-up until 30/06/2020;
USS vs no screening</t>
    </r>
  </si>
  <si>
    <r>
      <t xml:space="preserve">% of </t>
    </r>
    <r>
      <rPr>
        <b/>
        <sz val="10"/>
        <rFont val="Calibri"/>
        <family val="2"/>
        <scheme val="minor"/>
      </rPr>
      <t>ovarian and tubal cancers (WHO 2014 classification)</t>
    </r>
    <r>
      <rPr>
        <sz val="10"/>
        <rFont val="Calibri"/>
        <family val="2"/>
        <scheme val="minor"/>
      </rPr>
      <t xml:space="preserve"> that are diagnosed at late-stage (stage III-IV); follow-up until 30/06/2020;
USS vs no screening</t>
    </r>
  </si>
  <si>
    <t>Oken 2011</t>
  </si>
  <si>
    <t>PLCO (Lung)</t>
  </si>
  <si>
    <t>Lung-specific mortality (per 10,000 PY); 13 years after randomisation or December 31, 2009</t>
  </si>
  <si>
    <t>primarily by means of a mailed annual study update questionnaire, repeat mailing or telephone if questionnaire not returned, periodic linkage to the National Death Index, Death Certificates, blinded end point adjudication process to assign cause of death for all deaths with causes potentially related to a PLCO cancer and any of unknown or uncertain cause.</t>
  </si>
  <si>
    <t>the earliest of the death date or date of last follow-up (censoring date - maximum 13 years of follow-up or 31/12/2009)</t>
  </si>
  <si>
    <t>December 31, 2009</t>
  </si>
  <si>
    <t>median 11.9 years
(IQR 10.0 to 13.0)</t>
  </si>
  <si>
    <t>Lung cancer deaths 13 years since randomisation</t>
  </si>
  <si>
    <t>person years</t>
  </si>
  <si>
    <t>"The adjusted, sequential P value and confidence interval for the RR for the primary end point of lung cancer mortality were derived in accordance with the sequential design and in the case of the confidence interval, according to the weighted method used to monitor the trial, which allows for a varying rate ratio."</t>
  </si>
  <si>
    <t>Figure 3, "For the total 13-year follow-up period, 1213 lung cancer deaths were observed in the intervention group vs 1230 in the usual care group. Cumulative lung cancer mortality rates (per 10 000 person-years) were 14.0 in the intervention group and 14.2 in the usual care group for a lung cancer mortality RR of 0.99 (adjusted 95% CI, 0.87-1.22; adjusted P=.48)."</t>
  </si>
  <si>
    <t>Lung-specific mortality (per 10,000 PY); 12 years after randomisation</t>
  </si>
  <si>
    <t>the earliest of the death date or date of last follow-up (censoring date - maximum 12 years of follow-up or 31/12/2009)</t>
  </si>
  <si>
    <t>832,441 PY;
mean 10.7 years</t>
  </si>
  <si>
    <t>831,678 PY;
mean 10.7 years</t>
  </si>
  <si>
    <t>Lung cancer deaths 12 years since randomisation</t>
  </si>
  <si>
    <t>Figure 3</t>
  </si>
  <si>
    <t>Lung-specific mortality (per 10,000 PY); 11 years after randomisation</t>
  </si>
  <si>
    <t>the earliest of the death date or date of last follow-up (censoring date - maximum 11 years of follow-up or 31/12/2009)</t>
  </si>
  <si>
    <t>789,540 PY
mean 10.2 years</t>
  </si>
  <si>
    <t>788,854 PY;
mean 10.2 years</t>
  </si>
  <si>
    <t>Lung cancer deaths 11 years since randomisation</t>
  </si>
  <si>
    <t xml:space="preserve">Lung-specific mortality (per 10,000 PY); 10 years after randomisation </t>
  </si>
  <si>
    <t>the earliest of the death date or date of last follow-up (censoring date - maximum 10 years of follow-up or 31/12/2009)</t>
  </si>
  <si>
    <t>735,098 PY
mean 9.5 years</t>
  </si>
  <si>
    <t>734,523 PY
mean 9.5 years</t>
  </si>
  <si>
    <t>Lung cancer deaths 10 years since randomisation</t>
  </si>
  <si>
    <t>Lung-specific mortality (per 10,000 PY); 9 years after randomisation</t>
  </si>
  <si>
    <t>the earliest of the death date or date of last follow-up (censoring date - maximum 9 years of follow-up or 31/12/2009)</t>
  </si>
  <si>
    <t>670,274 PY
mean 8.7 years</t>
  </si>
  <si>
    <t>669,955 PY
mean 8.6 years</t>
  </si>
  <si>
    <t>Lung cancer deaths 9 years since randomisation</t>
  </si>
  <si>
    <t>Lung-specific mortality (per 10,000 PY); 8 years after randomisation</t>
  </si>
  <si>
    <t>the earliest of the death date or date of last follow-up (censoring date - maximum 8 years of follow-up or 31/12/2009)</t>
  </si>
  <si>
    <t>600,004 PY
mean 7.7 years</t>
  </si>
  <si>
    <t>599,790 PY
mean 7.7 years</t>
  </si>
  <si>
    <t>Lung cancer deaths 8 years since randomisation</t>
  </si>
  <si>
    <t xml:space="preserve">Lung-specific mortality (per 10,000 PY); 7 years after randomisation </t>
  </si>
  <si>
    <t>the earliest of the death date or date of last follow-up (censoring date - maximum 7 years of follow-up)</t>
  </si>
  <si>
    <t>527,937 PY
mean 6.8 years</t>
  </si>
  <si>
    <t>527,804 PY
mean 6.8 years</t>
  </si>
  <si>
    <t>Lung cancer deaths 7 years since randomisation</t>
  </si>
  <si>
    <t xml:space="preserve">Lung-specific mortality (per 10,000 PY); 6 years after randomisation </t>
  </si>
  <si>
    <t>the earliest of the death date or date of last follow-up (censoring date - maximum 6 years of follow-up)</t>
  </si>
  <si>
    <t>454,773 PY
mean 5.9 years</t>
  </si>
  <si>
    <t>454,719 PY
mean 5.9 years</t>
  </si>
  <si>
    <t>Lung cancer deaths 6 years since randomisation</t>
  </si>
  <si>
    <t xml:space="preserve">Lung-specific mortality (per 10,000 PY); 5 years after randomisation </t>
  </si>
  <si>
    <t>the earliest of the death date or date of last follow-up (censoring date - maximum 5 years of follow-up)</t>
  </si>
  <si>
    <t>380,691 PY
mean 4.9 years</t>
  </si>
  <si>
    <t>380,725 PY
mean 4.9 years</t>
  </si>
  <si>
    <t>Lung cancer deaths 5 years since randomisation</t>
  </si>
  <si>
    <t xml:space="preserve">Lung-specific mortality (per 10,000 PY); 4 years after randomisation </t>
  </si>
  <si>
    <t>the earliest of the death date or date of last follow-up (censoring date - maximum 4 years of follow-up)</t>
  </si>
  <si>
    <t>305,833 PY
mean 3.9 years</t>
  </si>
  <si>
    <t>305,902 PY
mean 3.9 years</t>
  </si>
  <si>
    <t>Lung cancer deaths 4 years since randomisation</t>
  </si>
  <si>
    <t xml:space="preserve">Lung-specific mortality (per 10,000 PY); 3 years after randomisation </t>
  </si>
  <si>
    <t>the earliest of the death date or date of last follow-up (censoring date - maximum 3 years of follow-up)</t>
  </si>
  <si>
    <t>230,270 PY
mean 2.97 years</t>
  </si>
  <si>
    <t>230,348 PY
mean 2.97 years</t>
  </si>
  <si>
    <t>Lung cancer deaths 3 years since randomisation</t>
  </si>
  <si>
    <t xml:space="preserve">Lung-specific mortality (per 10,000 PY); 2 years after randomisation </t>
  </si>
  <si>
    <t>the earliest of the death date or date of last follow-up (censoring date - maximum 2 years of follow-up)</t>
  </si>
  <si>
    <t>154,053 PY
mean 1.99 years</t>
  </si>
  <si>
    <t>154,116 PY
mean 1.99 years</t>
  </si>
  <si>
    <t>Lung cancer deaths 2 years since randomisation</t>
  </si>
  <si>
    <t>Lung-specific mortality (per 10,000 PY); 1 year after randomisation</t>
  </si>
  <si>
    <t>the earliest of the death date or date of last follow-up (censoring date - maximum 1 year of follow-up)</t>
  </si>
  <si>
    <t>77,268 PY
mean 0.998 years</t>
  </si>
  <si>
    <t>77,286 PY
mean 0.998 years</t>
  </si>
  <si>
    <t>Lung cancer deaths 1 year since randomisation</t>
  </si>
  <si>
    <t>Lung-specific mortality (per 10,000 PY); lung cancers diagnosed in first 6 years since randomisation; follow-up until 31/12/2009</t>
  </si>
  <si>
    <t>Lung cancer deaths of cases diagnosed in the first 6 years since randomisation</t>
  </si>
  <si>
    <t>Discussion: The mortality RRs using these cutoffs were 0.89 (95% CI, 0.80-1.00) for 6 years and 0.94 (95% CI, 0.84-1.04) for
7 years of case ascertainment.</t>
  </si>
  <si>
    <t>Lung-specific mortality (per 10,000 PY); lung cancers diagnosed in first 7 years since randomisation; follow-up until 31/12/2009</t>
  </si>
  <si>
    <t>Lung cancer deaths of cases diagnosed in the first 7 years since randomisation</t>
  </si>
  <si>
    <t>Pinsky 2019</t>
  </si>
  <si>
    <t>All-cause mortality (per 10,000 PY); until end of 2015</t>
  </si>
  <si>
    <t>Primarily ascertained through a mailed annual study-update questionnaire. Next of kin notified the trial of deaths, which were verified with death certificates; National Death Index (NDI) searches were also used.  Since 2011, centralized follow-up process
that utilized linkages to the NDI</t>
  </si>
  <si>
    <t>randomisation to the date of death, data censoring, whichever came first. Refusal date or data censoring date for those who refused to extend follow-up.</t>
  </si>
  <si>
    <t>All deaths up to 31/12/2015</t>
  </si>
  <si>
    <t>Person-years</t>
  </si>
  <si>
    <t>Age</t>
  </si>
  <si>
    <t>Lung cancer mortality (per 10,000 PY); until end of 2015</t>
  </si>
  <si>
    <t>Primarily ascertained through a mailed annual study-update questionnaire. Next of kin notified the trial of deaths, which were verified with death certificates; National Death Index (NDI) searches were also used. The underlying cause of death was determined in a uniform and unbiased manner from medical records and the death certificate with a blinded endpoint verification process conducted by an independent death review committee. Since 2011, centralized follow-up process
that utilized linkages to the NDI without blinded cause of death review.</t>
  </si>
  <si>
    <t>randomisation to the date of death, data censoring, whicever came first. Refusal date or data censoring date for those who refused to extend follow-up.</t>
  </si>
  <si>
    <t>Lung-cancer deaths up to 31/12/2015</t>
  </si>
  <si>
    <t>Prorok 2018</t>
  </si>
  <si>
    <t>All-cause mortality (per 10,000 PY); 13 years after randomisation or 31/12/2009</t>
  </si>
  <si>
    <t>Primarily ascertained through a mailed annual study-update questionnaire, periodic linkage to the National Death Index.</t>
  </si>
  <si>
    <t>the earliest of the date of the last contact, the 13-year anniversary of randomization, or December 31, 2009, whichever occurred first</t>
  </si>
  <si>
    <t>All deaths 13 years since randomisation</t>
  </si>
  <si>
    <t>Non-small cell lung cancer incidence by stage (stage I); per 10,000 PY; 13 years of follow-up or December 31st, 2009</t>
  </si>
  <si>
    <t>I</t>
  </si>
  <si>
    <t>Stage III or IV</t>
  </si>
  <si>
    <t>Primarily by means of a mailed annual study update questionnaire, repeat mailing or telephone if questionnaire not returned. The TNM stage and stage group were determined by the fifth edition of the American Joint Committee on Cancer’s Cancer Staging Manual</t>
  </si>
  <si>
    <t>earliest of the diagnosis date, death date, or censoring date (maximum 13 years of follow-up or 31/12/2009)</t>
  </si>
  <si>
    <t>median 11.9y 
(IQR 10.0 to 13.0)</t>
  </si>
  <si>
    <t>type unknown (small cell/non-small cell): 13; 
stage unknown: 7</t>
  </si>
  <si>
    <t>type unknown (small cell/non-small cell): 7; 
stage unknown: 4</t>
  </si>
  <si>
    <t>stage I non-small cell lung cancers; 13 years since randomisation or 31/12/2009</t>
  </si>
  <si>
    <t>person-years</t>
  </si>
  <si>
    <t>Table 2 (nominator), Figure 2 (denominator)</t>
  </si>
  <si>
    <t>Non-small cell lung cancer incidence by stage (stage II); per 10,000 PY; 13 years of follow-up or December 31st, 2009</t>
  </si>
  <si>
    <t>II</t>
  </si>
  <si>
    <t>stage II non-small cell lung cancers; 13 years since randomisation or 31/12/2009</t>
  </si>
  <si>
    <t>Non-small cell lung cancer incidence by stage (stage III); per 10,000 PY; 13 years of follow-up or December 31st, 2009</t>
  </si>
  <si>
    <t>III</t>
  </si>
  <si>
    <t>stage III non-small cell lung cancers; 13 years since randomisation or 31/12/2009</t>
  </si>
  <si>
    <t>Non-small cell lung cancer incidence by stage (stage IV); per 10,000 PY; 13 years of follow-up or December 31st, 2009</t>
  </si>
  <si>
    <t>IV</t>
  </si>
  <si>
    <t>stage IV non-small cell lung cancers; 13 years since randomisation or 31/12/2009</t>
  </si>
  <si>
    <t>Non-small cell lung cancer incidence by stage (stage III or IV); per 10,000 PY; 6 years since randomisation</t>
  </si>
  <si>
    <t>III-IV</t>
  </si>
  <si>
    <t>earliest of the diagnosis date, death date, or censoring date (maximum 6 years of follow-up)</t>
  </si>
  <si>
    <t>446 481 PY;
mean 5.8 years</t>
  </si>
  <si>
    <t>446 975 PY;
mean 5.8 years</t>
  </si>
  <si>
    <t>type unknown or
stage unknown</t>
  </si>
  <si>
    <t>stage III-IV non-small cell lung cancers; 6 years since randomisation</t>
  </si>
  <si>
    <t>Figure 2 (denominator) and discussion: The RR for late stage (III or IV) cancers diagnosed through 6 years after randomization was 0.88 (95% CI, 0.78-0.99) and was 0.94 (95% CI, 0.84-1.05) for cases
diagnosed 7 years after randomization.</t>
  </si>
  <si>
    <t>However, these were not stated a priori comparisons, so the nonstatistically significant finding through 6 years must be
considered in this light.</t>
  </si>
  <si>
    <t>Non-small cell lung cancer incidence by stage (stage III or IV); per 10,000 PY; 7 years since randomisation</t>
  </si>
  <si>
    <t>517 521 PY;
mean 6.7 years</t>
  </si>
  <si>
    <t>517 940 PY;
mean 6.7 years</t>
  </si>
  <si>
    <t>stage III-IV non-small cell lung cancers; 7 years since randomisation</t>
  </si>
  <si>
    <t>Small cell lung cancer (SCLC) incidence by stage (extensive); per 10,000 PY; 13 years of follow-up or December 31st, 2008</t>
  </si>
  <si>
    <t>SCLC stage</t>
  </si>
  <si>
    <t>type unknown (small cell/non-small cell): 13; 
stage unknown: 9</t>
  </si>
  <si>
    <t>type unknown (small cell/non-small cell): 7; 
stage unknown: 16</t>
  </si>
  <si>
    <t>extensive SCLC cancers; 13 years since randomisation or 31/12/2009</t>
  </si>
  <si>
    <t>Small cell lung cancer (SCLC) incidence by stage (limited); per 10,000 PY; 13 years of follow-up or December 31st, 2009</t>
  </si>
  <si>
    <t>median 11.9y (IQR 10 to 13)</t>
  </si>
  <si>
    <t>whole trial</t>
  </si>
  <si>
    <t>Limited SCLC cancers; 13 years since randomisation or 31/12/2009</t>
  </si>
  <si>
    <t>% non-small cell lung cancers diagnosed at stage III; 13 years of follow-up or December 31st, 2009</t>
  </si>
  <si>
    <t>total number of non-small cell lung cancers detected; 13 years since randomisation or 31/12/2009</t>
  </si>
  <si>
    <t>% non-small cell lung cancers diagnosed at stage IV; 13 years of follow-up or December 31st, 2009</t>
  </si>
  <si>
    <t>% small cell lung cancers diagnosed at extensive stage; 13 years of follow-up or December 31st, 2009</t>
  </si>
  <si>
    <t>total number of small-cell lung cancers detected; 13 years since randomisation or 31/12/2009</t>
  </si>
  <si>
    <t>% lung cancers screen-detected in the intervention arm (4 screening rounds); follow-up until 31/12/2009</t>
  </si>
  <si>
    <t>Primarily by means of a mailed annual study update questionnaire, repeat mailing or telephone if questionnaire not returned. PLCO screening center staff obtained medical records related to diagnostic follow-up of positive screen results, and medical record
abstractors recorded information on relevant diagnostic procedures.</t>
  </si>
  <si>
    <r>
      <rPr>
        <strike/>
        <sz val="10"/>
        <rFont val="Calibri"/>
        <family val="2"/>
        <scheme val="minor"/>
      </rPr>
      <t xml:space="preserve">median 11.9y (IQR 10 to 13) </t>
    </r>
    <r>
      <rPr>
        <sz val="10"/>
        <rFont val="Calibri"/>
        <family val="2"/>
        <scheme val="minor"/>
      </rPr>
      <t>NA</t>
    </r>
  </si>
  <si>
    <t>number of screen detected lung cancers in intervention arm; during screening period (4 screening rounds; diagnosed within a window extending 9 months from a positive screen result or 9 months from a diagnostic evaluation that was linked to the positive screen result)</t>
  </si>
  <si>
    <t>total number of lung cancers detected in intervention arm up to 31/12/2009</t>
  </si>
  <si>
    <t>"during the entire 13-year follow-up period, 307 of the 1696 all lung cancers (18%) were detected by screening", Table 2</t>
  </si>
  <si>
    <t>Screen-detected cancers = those diagnosed within a window
extending 9 months from a positive screen result or 9 months from a diagnostic evaluation that was linked to the positive screen result.</t>
  </si>
  <si>
    <t>Diagnostic yield at screening (per 1,000 people randomised) (4 screening rounds)</t>
  </si>
  <si>
    <t>PLCO screening center staff obtained medical records related to diagnostic follow-up of positive screen results, and medical record abstractors recorded information on relevant diagnostic procedures.</t>
  </si>
  <si>
    <t>Number of people randomised to screening arm</t>
  </si>
  <si>
    <t>Andriole 2009</t>
  </si>
  <si>
    <t>PLCO (Prostate)</t>
  </si>
  <si>
    <t xml:space="preserve">Prostate-specific mortality (per 10,000 PY); 10 years after randomisation </t>
  </si>
  <si>
    <t>primarily a mailed annual questionnaire, periodic linkage to the National Death Index , Death certificates, blinded end-point adjudication process to assign the cause of death for causes potentially related to one of the PLCO cancers, subjects with a PLCO cancer and deaths of unknown or uncertain cause.</t>
  </si>
  <si>
    <t>Randomisation to the date of death or data censoring, whichever came first.</t>
  </si>
  <si>
    <t>340,230 PY; 
mean 8.9 years</t>
  </si>
  <si>
    <t>338,083 PY; 
mean 8.8 years</t>
  </si>
  <si>
    <t>Missing cause of death</t>
  </si>
  <si>
    <t>Prostate-cancer deaths 10 years since randomisation</t>
  </si>
  <si>
    <t>Table 3 and text: Through year 10, with follow-up complete for 67% of the subjects, the numbers of prostate-cancer deaths were 92 in the screening group and 82 in the control group (rate
ratio, 1.11; 95% CI, 0.83 to 1.50).</t>
  </si>
  <si>
    <t>Intervention: 793 censored before 7 years.
Control: 814 censored before 7 years.
Year 10; follow-up complete for 67% of the subjects.</t>
  </si>
  <si>
    <t xml:space="preserve">Prostate-specific mortality (per 10,000 PY); 
9 years after randomisation </t>
  </si>
  <si>
    <t>316,244 PY; 
mean 8.2 years</t>
  </si>
  <si>
    <t>314,463 PY; 
mean 8.2 years</t>
  </si>
  <si>
    <t>Prostate-cancer deaths 9 years since randomisation</t>
  </si>
  <si>
    <t>Intervention: 793 censored before 7 years.
Control: 814 censored before 7 years.</t>
  </si>
  <si>
    <t>Prostate-specific mortality (per 10,000 PY);
8 years after randomisation</t>
  </si>
  <si>
    <t>287,196 PY; 
mean 7.5 years</t>
  </si>
  <si>
    <t>285,777 PY; 
mean 7.5 years</t>
  </si>
  <si>
    <t>Prostate-cancer deaths 8 years since randomisation</t>
  </si>
  <si>
    <t xml:space="preserve">Prostate-specific mortality (per 10,000 PY); 
7 years since randomisation </t>
  </si>
  <si>
    <t>254,295 PY; 
mean 6.6 years</t>
  </si>
  <si>
    <t>253,317 PY; 
mean 6.6 years</t>
  </si>
  <si>
    <t>Prostate-cancer deaths 7 years since randomisation</t>
  </si>
  <si>
    <t>Table 3 and text: At 7 years, there were 50 deaths attributed to prostate cancer in the screening group and 44 in the
control group (rate ratio, 1.13; 95% CI, 0.75 to 1.70).</t>
  </si>
  <si>
    <t>Prostate-specific mortality (per 10,000 PY);
6 years after randomisation</t>
  </si>
  <si>
    <t>219,752 PY; 
mean 5.7 years</t>
  </si>
  <si>
    <t>219,135 PY; 
mean 5.7 years</t>
  </si>
  <si>
    <t>Prostate-cancer deaths 6 years since randomisation</t>
  </si>
  <si>
    <t>Prostate-specific mortality (per 10,000 PY);
5 years after randomisation</t>
  </si>
  <si>
    <t>184,490 PY; 
mean 4.8 years</t>
  </si>
  <si>
    <t>184,154 PY; 
mean 4.8 years</t>
  </si>
  <si>
    <t>Prostate-cancer deaths 5 years since randomisation</t>
  </si>
  <si>
    <t xml:space="preserve">Prostate-specific mortality (per 10,000 PY);
4 years after randomisation </t>
  </si>
  <si>
    <t>148,635 PY; 
mean 3.9 years</t>
  </si>
  <si>
    <t>148,444 PY; 
mean 3.9 years</t>
  </si>
  <si>
    <t>Prostate-cancer deaths 4 years since randomisation</t>
  </si>
  <si>
    <t>Prostate-specific mortality (per 10,000 PY);
3 years after randomisation</t>
  </si>
  <si>
    <t>112,234 PY; 
mean 2.9 years</t>
  </si>
  <si>
    <t>112,123 PY; 
mean 2.9 years</t>
  </si>
  <si>
    <t>Prostate-cancer deaths 3 years since randomisation</t>
  </si>
  <si>
    <t>Prostate-specific mortality (per 10,000 PY);
2 years after randomisation</t>
  </si>
  <si>
    <t>75,292 PY; 
mean 1.96 years</t>
  </si>
  <si>
    <t>75,231 PY; 
mean 1.96 years</t>
  </si>
  <si>
    <t>Prostate-cancer deaths 2 years since randomisation</t>
  </si>
  <si>
    <t>Prostate-specific mortality (per 10,000 PY);
1 year after randomisation</t>
  </si>
  <si>
    <t>37,864 PY; 
mean 0.99 years</t>
  </si>
  <si>
    <t>37,828 PY; 
mean 0.99 years</t>
  </si>
  <si>
    <t>Prostate-cancer deaths 1 years since randomisation</t>
  </si>
  <si>
    <t>All-cause mortality (per 1,000 randomised); 
7 years after randomisation</t>
  </si>
  <si>
    <t>Number of deaths from all causes; 7 years of follow-up</t>
  </si>
  <si>
    <t>N randomised in arm</t>
  </si>
  <si>
    <t>Supplementary Appendix: CONSORT diagram</t>
  </si>
  <si>
    <t>Andriole 2012</t>
  </si>
  <si>
    <r>
      <t xml:space="preserve">Prostate-specific mortality (per 10,000 PY); </t>
    </r>
    <r>
      <rPr>
        <strike/>
        <sz val="10"/>
        <rFont val="Calibri"/>
        <family val="2"/>
        <scheme val="minor"/>
      </rPr>
      <t xml:space="preserve"> </t>
    </r>
    <r>
      <rPr>
        <sz val="10"/>
        <rFont val="Calibri"/>
        <family val="2"/>
        <scheme val="minor"/>
      </rPr>
      <t>13 years of follow-up</t>
    </r>
  </si>
  <si>
    <t>primarily a mailed annual questionnaire, periodic linkage to the National Death Index , Death certificates, End-point adjudication process to assign the cause of death for causes potentially related to one of the PLCO cancers, subjects with a PLCO cacner and deaths of unknown or uncertain cause.</t>
  </si>
  <si>
    <t>Randomiation to the date of death or data censoring, whichever came first.</t>
  </si>
  <si>
    <t>426,977 PY;
mean 11.1 years</t>
  </si>
  <si>
    <t>425,439 PY;
mean 11.1 years</t>
  </si>
  <si>
    <t>Prostate-cancer deaths 13 years since randomisation</t>
  </si>
  <si>
    <t>Figure 3, "At 13 years, a total of 158 deaths occurred in the intervention arm compared with 145 deaths in the control arm. The cumulative mortality rates from prostate cancer were 3.7 and 3.4 deaths per 10 000 person-years, respectively, resulting in a nonstatistically significant difference between the two arms (RR = 1.09, 95% CI = 0.87 to 1.36)"</t>
  </si>
  <si>
    <t>As of December 31, 2009 (the cutoff date for this analysis), the vital status of 92% of the trial participants was known at 10 years and of 57% of the participants at 13 years.</t>
  </si>
  <si>
    <t>Prostate-specific mortality (per 10,000 PY); 12 years of follow-up</t>
  </si>
  <si>
    <t>409,535 PY;
mean 10.7 years</t>
  </si>
  <si>
    <t>408,262 PY;
mean 10.6 years</t>
  </si>
  <si>
    <t>Prostate-cancer deaths 12 years since randomisation</t>
  </si>
  <si>
    <t>Prostate-specific mortality (per 10,000 PY); 11 years of follow-up</t>
  </si>
  <si>
    <t>387,164 PY;
mean 10.1 years</t>
  </si>
  <si>
    <t>386,109 PY;
mean 10.1 years</t>
  </si>
  <si>
    <t>Prostate-cancer deaths 11 years since randomisation</t>
  </si>
  <si>
    <t>Prostate-specific mortality (per 10,000 PY); 10 years of follow-up</t>
  </si>
  <si>
    <t>359,768 PY;
mean 9.4 years</t>
  </si>
  <si>
    <t>358,904 PY;
mean 9.4 years</t>
  </si>
  <si>
    <t>Prostate-specific mortality (per 10,000 PY);  9 years of follow-up</t>
  </si>
  <si>
    <t>328,048 PY;
mean 8.6 years</t>
  </si>
  <si>
    <t>327,455 PY;
mean 8.5 years</t>
  </si>
  <si>
    <t>Prostate-specific mortality (per 10,000 PY);  8 years of follow-up</t>
  </si>
  <si>
    <t>294,052 PY;
mean 7.7 years</t>
  </si>
  <si>
    <t>293,631 PY;
mean 7.7 years</t>
  </si>
  <si>
    <t>Prostate-specific mortality (per 10,000 PY);  7 years of follow-up</t>
  </si>
  <si>
    <t>259,118 PY;
mean 6.76 years</t>
  </si>
  <si>
    <t>258,811 PY;
mean 6.75 years</t>
  </si>
  <si>
    <t>Prostate-specific mortality (per 10,000 PY); 6 years of follow-up</t>
  </si>
  <si>
    <t>223,541 PY;
mean 5.83 years</t>
  </si>
  <si>
    <t>223,329 PY;
mean 5.82 years</t>
  </si>
  <si>
    <t>Prostate-specific mortality (per 10,000 PY); 5 years of follow-up</t>
  </si>
  <si>
    <t>187,382 PY;
mean 4.89 years</t>
  </si>
  <si>
    <t>187,278 PY;
mean 4.88 years</t>
  </si>
  <si>
    <t>Prostate-specific mortality (per 10,000 PY); 4 years of follow-up</t>
  </si>
  <si>
    <t>150,725 PY;
mean 3.93 years</t>
  </si>
  <si>
    <t>150,689 PY;
mean 3.93 years</t>
  </si>
  <si>
    <t>Prostate-specific mortality (per 10,000 PY); 3 years of follow-up</t>
  </si>
  <si>
    <t>113,629 PY;
mean 2.96 years</t>
  </si>
  <si>
    <t>113,625 PY;
mean 2.96 years</t>
  </si>
  <si>
    <t>Prostate-specific mortality (per 10,000 PY); 2 years of follow-up</t>
  </si>
  <si>
    <t>76,112 PY;
mean 1.99 years</t>
  </si>
  <si>
    <t>76,132 PY;
mean 1.99 years</t>
  </si>
  <si>
    <t>Prostate-specific mortality (per 10,000 PY); 1 year of follow-up</t>
  </si>
  <si>
    <t>38,217 PY;
mean 0.997 years</t>
  </si>
  <si>
    <t>38,223 PY;
mean 0.997 years</t>
  </si>
  <si>
    <t>Pinsky 2017</t>
  </si>
  <si>
    <t>Prostate-specific mortality (per 100,000 PY); years 0-8 after randomisation</t>
  </si>
  <si>
    <t>Mailed annual study-update questionnaire. Next of kin notified the trial of deaths, which were verified with death certificates; National Death Index (NDI) searches were also used. Underlying cause of death determined from medical records and the death certificate with a blinded endpoint verification process conducted by an independent death review committee. Since 2011,  centralized follow-up process that utilized linkages to the NDI. Underlying cause of death from the NDI was used after 31/12/2009.</t>
  </si>
  <si>
    <t>Prostate cancer deaths 0-8 years</t>
  </si>
  <si>
    <t>Table 2 and text: The RRs were 1.07 (95% CI, 0.78-
1.48), 0.99 (95% CI, 0.77-1.29), and 1.00 (95% CI,
0.81-1.25) for the study periods of 0 to 8, 0 to 10, and 0
to 12 years, respectively; the HRs were similar.</t>
  </si>
  <si>
    <t>Refused to extend f-u: 8.4% in the intervention arm and 11.3% in the usual-care arm (p&lt;0.001).
Complete death information through the end of 2012.</t>
  </si>
  <si>
    <t xml:space="preserve">Prostate-specific mortality (per 100,000 PY); years 0-10 after randomisation </t>
  </si>
  <si>
    <t>Prostate cancer deaths 0-10 years</t>
  </si>
  <si>
    <t>Prostate-specific mortality (per 100,000 PY); years 0-12 after randomisation</t>
  </si>
  <si>
    <t>Primarily ascertained through a mailed annual study-update questionnaire. Next of kin notified the trial of deaths, which were verified with death certificates; National Death Index (NDI) searches were also used. The underlying cause of death was determined in a uniform and unbiased manner from medical records and the death certificate with a blinded endpoint verification process conducted by an independent death review committee. Since 2011,  centralized follow-up process
that utilized linkages to the NDI</t>
  </si>
  <si>
    <t>Prostate cancer deaths 0-12 years</t>
  </si>
  <si>
    <t>Prostate-specific mortality (per 100,000 PY); until 31 December 2012</t>
  </si>
  <si>
    <t>Up to 19</t>
  </si>
  <si>
    <t>median 14.8 years (IQR 12.7-16.5 years);
maximum 19.1 years</t>
  </si>
  <si>
    <t xml:space="preserve">median 14.7 years (IQR 12.6-16.4 years);
maximum 19.1 years </t>
  </si>
  <si>
    <t>All prostate cancer deaths until 31/12/2012</t>
  </si>
  <si>
    <t>Table 2 and text: A total of 255 prostate cancer deaths (rate, 47.8 per 100,000 person-years) were observed in the intervention arm, and 244 (rate, 46.0 per 100,000 person-years) were observed in the control arm. The RR was 1.04 in favor of
the control arm (95% CI, 0.87-1.24).</t>
  </si>
  <si>
    <t>Prostate-specific mortality of prostate cancer cases diagnosed until 31/12/2009 (per 100,000 PY); follow-up until 31 December 2012</t>
  </si>
  <si>
    <t>Deaths from prostate cancers diagnosed until 31/12/2009; follow-up until 31/12/2012</t>
  </si>
  <si>
    <t>Person years</t>
  </si>
  <si>
    <t>Text: The previously reported analysis of cases occurring
through the end of 2009 and within 13 years of randomization,
for which the median follow-up for the cohort was
11.9 years, showed a total of 4250 intervention-arm prostate
cancer cases and 3815 control-arm prostate cancer
cases... Of the currently reported 255 intervention-arm prostate cancer deaths, 88.6% came from these previously reported
4250 cases, ... The figures were comparable for the control
arm (244 currently reported prostate cancer deaths):
88.9%...</t>
  </si>
  <si>
    <t>Crawford 2011</t>
  </si>
  <si>
    <t>Prostate-specific mortality (per 1,000 men analysed); 10 years after randomisation</t>
  </si>
  <si>
    <t>Primarily ascertained through a mailed annual study-update questionnaire. Next of kin notified the trial of deaths, which were verified with death certificates; National Death Index (NDI) searches were also used. The underlying cause of death was determined in a uniform and unbiased manner from medical records and the death certificate with a blinded endpoint verification process conducted by an independent death review committee. Baseline questionnaire enquiring in details about comorbidities and prior PSA testing</t>
  </si>
  <si>
    <t>date the patient was last observed or the date of death through August 31, 2009, whichever came first.</t>
  </si>
  <si>
    <t>Men who completed baseline questionnaire (96%)</t>
  </si>
  <si>
    <t xml:space="preserve"> Median 10 years (IQR 9.9-10.0)</t>
  </si>
  <si>
    <t>Prostate-cancer deaths 0-10 years</t>
  </si>
  <si>
    <t>N  analysed in arm</t>
  </si>
  <si>
    <t>Prostate-specific mortality (per 10,000 PY); until end of 2015</t>
  </si>
  <si>
    <t>Primarily ascertained through a mailed annual study-update questionnaire. Next of kin notified the trial of deaths, which were verified with death certificates; National Death Index (NDI) searches were also used. The underlying cause of death was determined in a uniform and unbiased manner from medical records and the death certificate with a blinded endpoint verification process conducted by an independent death review committee. Since 2011,  centralized follow-up process that utilized linkages to the NDI. From 2010, underlying cause of death from NDI used.</t>
  </si>
  <si>
    <t>Up to 22 years</t>
  </si>
  <si>
    <t>median 16.9 years (IQR 13.9-19.2)</t>
  </si>
  <si>
    <t>median  16.7 years (IQR 13.4-19.0)</t>
  </si>
  <si>
    <t>All prostate cancer deaths up to 31/12/2015</t>
  </si>
  <si>
    <t>Table 2 and text: RRs for prostate and colorectal cancer were 0.93 (95% CI: 0.81–1.08)…</t>
  </si>
  <si>
    <t>11.2% of intervention arm versus 15.2% of usual care arm men refused further follow-up; refusers in each arm were slightly older at the time of transition than non-refusers.
Unadjusted rate ratios added from #1053.</t>
  </si>
  <si>
    <r>
      <t>Primarily ascertained through a mailed annual study-update questionnaire. Next of kin notified the trial of deaths, which were verified with death certificates; National Death Index (NDI) searches were also used. The underlying cause of death was determined in a uniform and unbiased manner from medical records and the death certificate with a blinded endpoint verification process conducted by an independent death review committee. Since 2011,  centralized follow-up process that utilized linkages to the NDI</t>
    </r>
    <r>
      <rPr>
        <sz val="10"/>
        <color rgb="FFFF0000"/>
        <rFont val="Calibri"/>
        <family val="2"/>
        <scheme val="minor"/>
      </rPr>
      <t xml:space="preserve">. </t>
    </r>
  </si>
  <si>
    <t>All deaths in men up to 31/12/2015</t>
  </si>
  <si>
    <t>Table 2 and text: There were 13,609 and 13,842 deaths in the intervention and usual care arms, respectively, giving rates (per 10,000 PYs) of 226.3 and 233.0 (Table 2). The RR for the age_x0002_adjusted Poisson regression models for OM was 0.966
(95% CI: 0.943–0.989; p = 0.004);...</t>
  </si>
  <si>
    <t>11.2% of intervention arm versus 15.2% of usual care arm men refused further follow-up; refusers in each arm were slightly older at the time of transition than non-refusers.</t>
  </si>
  <si>
    <t>primarily a mailed annual questionnaire, periodic linkage to the National Death Index</t>
  </si>
  <si>
    <t>All deaths in men 13 years since randomisation</t>
  </si>
  <si>
    <t>Figure 1 and text: There was also no effect on … all cause mortality (rate ratios ranged from 0.96 to 0.99).</t>
  </si>
  <si>
    <t>III/IV</t>
  </si>
  <si>
    <t>Primarily by means of a mailed annual questionnaire, which asked about the type of cancer and the date of diagnosis in the previous year; Clinical stage was determined with the use of the tumor–node–metastasis staging system and categorized according to the fifth edition of the AJCC</t>
  </si>
  <si>
    <t>from randomization to the date of diagnosis, death, or data censoring (whichever came first)</t>
  </si>
  <si>
    <t>Up to 10 years</t>
  </si>
  <si>
    <t>Number of stage I prostate cancers up to 10 years since randomisation</t>
  </si>
  <si>
    <t>N randomised</t>
  </si>
  <si>
    <t>Number of stage II prostate cancers up to 10 years since randomisation</t>
  </si>
  <si>
    <t>Number of stage III prostate cancers up to 10 years since randomisation</t>
  </si>
  <si>
    <t>Number of stage IV prostate cancers up to 10 years since randomisation</t>
  </si>
  <si>
    <t>Prostate cancer incidence by gleason score (8-10); through 10 years of follow-up</t>
  </si>
  <si>
    <t>8-10</t>
  </si>
  <si>
    <t>Unknown Gleason score</t>
  </si>
  <si>
    <t>number of gleason 8-10 prostate cancers up to 10 years since randomisation</t>
  </si>
  <si>
    <t>Table 2 and text: ...though the number of subjects with a Gleason score of 8 to 10 was higher in the control group (341 subjects)
than in the screening group (289 subjects).</t>
  </si>
  <si>
    <t>Prostate cancer incidence by gleason score (7); through 10 years of follow-up</t>
  </si>
  <si>
    <t>number of gleason 7 prostate cancers up to 10 years since randomisation</t>
  </si>
  <si>
    <t>Prostate cancer incidence by gleason score (5-6); through 10 years of follow-up</t>
  </si>
  <si>
    <t>5-6</t>
  </si>
  <si>
    <t>number of gleason 5-6 prostate cancers up to 10 years since randomisation</t>
  </si>
  <si>
    <t>Prostate cancer incidence by gleason score (2-4); through 10 years of follow-up</t>
  </si>
  <si>
    <t>2-4</t>
  </si>
  <si>
    <t>number of gleason 2-4 prostate cancers up to 10 years since randomisation</t>
  </si>
  <si>
    <t>% prostate cancers diagnosed at stage III; through 10 years of follow-up</t>
  </si>
  <si>
    <t>number of stage III prostate cancers up to 10 years since randomisation</t>
  </si>
  <si>
    <t>total number of prostate cancers diagnosed (including cancers with missing stage data)</t>
  </si>
  <si>
    <t>% prostate cancers diagnosed at stage IV; through 10 years of follow-up</t>
  </si>
  <si>
    <t>number of stage IV prostate cancers up to 10 years since randomisation</t>
  </si>
  <si>
    <t>% Prostate cancers with gleason score (8-10); through 10 years of follow-up</t>
  </si>
  <si>
    <t>total number of prostate cancers diagnosed (including cancers with missing Gleason score)</t>
  </si>
  <si>
    <t>% prostate cancers that were screen-detected in intervention arm; through 10 years of follow-up</t>
  </si>
  <si>
    <t xml:space="preserve">NA </t>
  </si>
  <si>
    <t>number of screen-detected prostate cancers in intervention arm (baseline and year1 - year 5)</t>
  </si>
  <si>
    <t>total number of prostate cancers diagnosed in intervention arm up to 10 years after randomisation</t>
  </si>
  <si>
    <t>% prostate cancers with Gleason score 8-10  that were screen-detected in intervention arm; through 10 years of follow-up</t>
  </si>
  <si>
    <t>number of screen-detected prostate cancers with Gleason score 8-10 in intervention arm (baseline and year1 - year 5)</t>
  </si>
  <si>
    <t>total number of prostate cancers with Gleason score 8-10 diagnosed in intervention arm up to 10 years after randomisation</t>
  </si>
  <si>
    <t>Prostate cancer incidence by stage (stage I); per 10,000 PY; 13 years of follow-up or until 31 December 2009</t>
  </si>
  <si>
    <t xml:space="preserve">All diagnosed cancers, deaths, and causes of death were ascertained by annual follow-up questionnaire and periodic linkage to the National Death Index. Clinical stage was determined from the clinical assessment of the extent of tumor involvement by using the TNM staging system. Tumor stage was categorized according to the fifth edition of the American Joint Committee on Cancer (AJCC) Cancer Staging Manual </t>
  </si>
  <si>
    <t>From randomisation to the date of diagnosis, death or date of censoring (whichever came first)</t>
  </si>
  <si>
    <t xml:space="preserve"> 392,022 PY
Mean 10.2 years</t>
  </si>
  <si>
    <t>392,977 PY
Mean 10.2 years</t>
  </si>
  <si>
    <t>Clinical stage not available</t>
  </si>
  <si>
    <t>number of stage I prostate cancers up to 13 years since randomisation</t>
  </si>
  <si>
    <t>Prostate cancer incidence by stage (stage II - T1 or T1A); per 10,000 PY; 13 years of follow-up or until 31 December 2009</t>
  </si>
  <si>
    <t>Stage II (T1 or T1A)</t>
  </si>
  <si>
    <t>from randomization to the date of diagnosis, death or date of censoring (whichever came first)</t>
  </si>
  <si>
    <t>number of stage II (T1 or T1A) prostate cancers up to 13 years since randomisation</t>
  </si>
  <si>
    <t>Prostate cancer incidence by stage (stage II - T1B or T1C); per 10,000 PY; 
13 years of follow-up or until 31 December 2009</t>
  </si>
  <si>
    <t>Stage II (T1B or T1C)</t>
  </si>
  <si>
    <t>number of Stage II (T1B or T1C) prostate cancers up to 13 years since randomisation</t>
  </si>
  <si>
    <t>Prostate cancer incidence by stage (stage II - T2, T2A, T2B or T2C); per 10,000 PY;
13 years of follow-up or until 31 December 2009</t>
  </si>
  <si>
    <t>Stage II (T2, T2A, T2B or T2C)</t>
  </si>
  <si>
    <t>number of Stage II (T2, T2A, T2B or T2C) prostate cancers up to 13 years since randomisation</t>
  </si>
  <si>
    <t>Prostate cancer incidence by stage (stage III); per 10,000 PY;
13 years of follow-up or until 31 December 2009</t>
  </si>
  <si>
    <t>number of stage III prostate cancers up to 13 years since randomisation</t>
  </si>
  <si>
    <t>Prostate cancer incidence by stage (stage IV); per 10,000 PY;
13 years of follow-up or until 31 December 2009</t>
  </si>
  <si>
    <t>number of stage IV prostate cancers up to 13 years since randomisation</t>
  </si>
  <si>
    <t>Prostate cancer incidence by gleason score (8-10); per 10,000 PY;
13 years of follow-up or until 31 December 2009</t>
  </si>
  <si>
    <t>All diagnosed cancers, deaths, and causes of death were ascertained by annual follow-up questionnaire and periodic linkage to the National Death Index. Clinical stage was determined from the clinical assessment of the extent of tumor involvement by using the TNM staging system. Gleason score (range 2–10); high-grade cancer was defined as a Gleason score of 8–10, and non–high-grade cancer as a Gleason score of 2–7.</t>
  </si>
  <si>
    <t>392,022 PY
Mean 10.2 years</t>
  </si>
  <si>
    <t>Missing Gleason score</t>
  </si>
  <si>
    <t>number of gleason 8-10 cancers up to 13 years since randomisation</t>
  </si>
  <si>
    <t>Text: "A total of 401 participants were diagnosed with high-grade (Gleason score 8–10) prostate cancer in the intervention arm compared with 454 participants in the control arm (not shown in the figure), showing a non-statistically significant decrease in the incidence of high-grade prostate cancer in the intervention arm (RR = 0.89, 95% CI = 0.77 to 1.01)."</t>
  </si>
  <si>
    <t>% of prostate cancers diagnosed at late stage (Gleason score 8-10);
13 years of follow-up or until 31 December 2009</t>
  </si>
  <si>
    <t>Total number of cancers diagnosed up to 13 years of follow-up or 31/12/2009, by arm</t>
  </si>
  <si>
    <t>Text: "A total of 401 participants were diagnosed with high-grade (Gleason score 8–10) prostate cancer in the intervention arm compared with 454 participants in the control arm (not shown in the figure)…"</t>
  </si>
  <si>
    <t>Pinsky 2012</t>
  </si>
  <si>
    <t>Prostate cancer incidence by gleason score (8-10); per 1,000 men randomised; 13 years of follow-up or until 31 December 2009</t>
  </si>
  <si>
    <t>Routine follow-up of positive screens and through an annual study update form that inquired about cancer diagnoses. Certified tumor registrars at each screening center abstracted clinical and pathologic (if available) T, N, and M stage characteristics and Gleason score.</t>
  </si>
  <si>
    <t>Table 1 and text: The absolute number of Gleason 8–10 cancers was borderline significantly greater in the control arm (n = 496) than in the
intervention arm (434); p = 0.04.</t>
  </si>
  <si>
    <t>Prostate cancer incidence by gleason score (7); per 1,000 men randomised; 13 years of follow-up or until 31 December 2009</t>
  </si>
  <si>
    <t>number of gleason 7 cancers up to 13 years since randomisation</t>
  </si>
  <si>
    <t>Prostate cancer incidence by gleason score (2-6); per 1,000 men randomised; 13 years of follow-up or until 31 December 2009</t>
  </si>
  <si>
    <t>2-6</t>
  </si>
  <si>
    <t>number of gleason 2-6 cancers up to 13 years since randomisation</t>
  </si>
  <si>
    <t>% of prostate cancers diagnosed at late stage (Gleason score 8-10); 13 years of follow-up or until 31 December 2009</t>
  </si>
  <si>
    <t xml:space="preserve"> Routine follow-up of positive screens and through an annual study update form that inquired about cancer diagnoses. Certified tumor registrars at each screening center abstracted clinical and pathologic (if available) T, N, and M stage characteristics and Gleason score.</t>
  </si>
  <si>
    <t>Total number of prostate cancers diagnosed up to 13 years of follow-up or 31/12/2009</t>
  </si>
  <si>
    <t>Prostate cancer incidence by D'Amico risk category (Clinical stage III/IV); per 1,000 men randomised; 13 years of follow-up or until 31 December 2009</t>
  </si>
  <si>
    <t>Clinical stage III/IV</t>
  </si>
  <si>
    <t>Missing D'Amico risk category</t>
  </si>
  <si>
    <t>number of prostate with clinical stage III/IV up to 13 years since randomisation</t>
  </si>
  <si>
    <t>Prostate cancer incidence by D'Amico risk category (High); per 1,000 men randomised; 13 years of follow-up or until 31 December 2009</t>
  </si>
  <si>
    <t>D'Amico 'High' risk = Gleason 8–10, PSA &gt; 20 ng/ml or stage T2c</t>
  </si>
  <si>
    <t>number of prostate with D'Amico risk 'high' up to 13 years since randomisation</t>
  </si>
  <si>
    <t>Prostate cancer incidence by D'Amico risk category (Intermediate); per 1,000 men randomised; 13 years of follow-up or until 31 December 2009</t>
  </si>
  <si>
    <t>D'Amico 'Intermediate' risk = Gleason 7, PSA 10–20 ng/ml or stage T2b</t>
  </si>
  <si>
    <t>number of prostate with D'Amico risk 'intermediate' up to 13 years since randomisation</t>
  </si>
  <si>
    <t>Prostate cancer incidence by D'Amico risk category (Low); per 1,000 men randomised; 13 years of follow-up or until 31 December 2009</t>
  </si>
  <si>
    <r>
      <t xml:space="preserve">D'Amico 'Low' risk = Gleason </t>
    </r>
    <r>
      <rPr>
        <sz val="10"/>
        <rFont val="Calibri"/>
        <family val="2"/>
      </rPr>
      <t>≤</t>
    </r>
    <r>
      <rPr>
        <sz val="10"/>
        <rFont val="Calibri"/>
        <family val="2"/>
        <scheme val="minor"/>
      </rPr>
      <t>6, diagnostic PSA &lt; 10 ng/ml and clinical stage up to T2a</t>
    </r>
  </si>
  <si>
    <t>number of prostate with D'Amico risk 'low' up to 13 years since randomisation</t>
  </si>
  <si>
    <t>% of prostate cancers diagnosed at late stage (Clinical stage III/IV); 13 years of follow-up or until 31 December 2009</t>
  </si>
  <si>
    <t>number of clinical stage III/IV cancers up to 13 years since randomisation</t>
  </si>
  <si>
    <t>Diagnostic yield at screening (6 screening rounds); per 100 men ranodmised; screen-detected = diagnosed within a window extending 9 months from a
positive screen or 9 months from a diagnostic evaluation that was
linked to the positive screen</t>
  </si>
  <si>
    <t>Routine follow-up of positive screens and through an annual study update form that inquired about cancer diagnoses.</t>
  </si>
  <si>
    <t>Number of screen-detected prostate cancers diagnosed within a window extending 9 months from a positive screen or 9 months from a diagnostic evaluation that was linked to the positive screen (6 screening rounds)</t>
  </si>
  <si>
    <t>% of prostate cancer that are screen-detected; screen-detected = diagnosed within a window extending 9 months from a
positive screen or 9 months from a diagnostic evaluation that was
linked to the positive screen</t>
  </si>
  <si>
    <t>Prostate cancer incidence by stage/grade (less advanced cancer; per 10,000 men analysed); until 31 August 2009</t>
  </si>
  <si>
    <r>
      <t xml:space="preserve">Less advanced (Gleason </t>
    </r>
    <r>
      <rPr>
        <sz val="10"/>
        <rFont val="Calibri"/>
        <family val="2"/>
      </rPr>
      <t>≤</t>
    </r>
    <r>
      <rPr>
        <sz val="10"/>
        <rFont val="Calibri"/>
        <family val="2"/>
        <scheme val="minor"/>
      </rPr>
      <t>6 and T1 or T2)</t>
    </r>
  </si>
  <si>
    <t>Gleason 7 - 10, T3 or T4 node positive or metastatic</t>
  </si>
  <si>
    <t>Gleason 6 or lower and T1 or T2</t>
  </si>
  <si>
    <t>Mailed annual questionnaire that asked about the type of cancer and the date of diagnosis in the previous year. Clinical stage determined by using the 5th edition AJCC Staging
Manual.</t>
  </si>
  <si>
    <t>date the patient was last observed or the date ofdeath through August 31, 2009, whichever came first.</t>
  </si>
  <si>
    <t xml:space="preserve"> Men who completed baseline questionnaire (96%)</t>
  </si>
  <si>
    <t>number of less advanced prostate cancers;diagnosed up to 31/08/2009</t>
  </si>
  <si>
    <t>Number of individuals analysed in arm</t>
  </si>
  <si>
    <r>
      <t>Table 2</t>
    </r>
    <r>
      <rPr>
        <strike/>
        <sz val="10"/>
        <rFont val="Calibri"/>
        <family val="2"/>
        <scheme val="minor"/>
      </rPr>
      <t>,3</t>
    </r>
  </si>
  <si>
    <t>Prostate cancer incidence by stage/grade (advanced prostate cancer; per 10,000 men analysed); until 31 August 2009</t>
  </si>
  <si>
    <t>Advanced (Gleason 7 - 10, T3 or T4 node positive or metastatic)</t>
  </si>
  <si>
    <t>number of advanced prostate cancers; diagnosed up to 31/08/2009</t>
  </si>
  <si>
    <t>% of prostate cancer diagnosed at advanced stage; until 31 August 2009</t>
  </si>
  <si>
    <t>Mailed annual questionnaire that asked about the type of cancer and the date of diagnosis in the previous year. Clinical stage determined by using the 5th edition AJCC Staging Manual.</t>
  </si>
  <si>
    <t>Total number of prostate cancer cases; diagnosed up to 31/08/2009</t>
  </si>
  <si>
    <t>Table 2 and text: Yet, less advanced and potentially curable PC was diagnosed significantly more often in men randomly assigned to the intervention arm (67%) compared with the usual care arm (61%).</t>
  </si>
  <si>
    <t>prostate cancer incidence by stage (metastatic at diagnosis); until end of 2014</t>
  </si>
  <si>
    <t>Metastatic disease</t>
  </si>
  <si>
    <t xml:space="preserve">Medical records relating to cancer were obtained and abstracted by certified tumor registrars; following extended f-u primarily passive linkages to state cancer registries </t>
  </si>
  <si>
    <t>median 15.3 
(IQR 10.6-17.8)</t>
  </si>
  <si>
    <t>median 15.1 
(IQR 10.5-17.7)</t>
  </si>
  <si>
    <t>Missing clinical stage</t>
  </si>
  <si>
    <t>number of cancers diagnosed at metastatic disease up to the end of 2014</t>
  </si>
  <si>
    <t>Table 2 and text: The RR for metastatic disease was 0.85 (95% CI: 0.67–1.06).</t>
  </si>
  <si>
    <t>% prostate cancer incidence diagnosed at metastatic disease; until end of 2014</t>
  </si>
  <si>
    <t>total number of diagnosed prostate cancers</t>
  </si>
  <si>
    <t>prostate cancer incidence by grade (Gleason score 8-10, biopsy); rate per 10,000 PY; until end of 2014</t>
  </si>
  <si>
    <t>8-10 (Biopsy)</t>
  </si>
  <si>
    <t>number of prostate cancers diagnosed with gleason score 8-10 (biopsy)  up to 31/12/2014</t>
  </si>
  <si>
    <t>Table 2 and text: By (biopsy) Gleason category, the RR was ... significantly below one for Gleason 8–10 disease (RR=0.89; 95% CI:0.80–0.99; p=0.03).</t>
  </si>
  <si>
    <t>prostate cancer incidence by grade (Gleason score 8-10, biopsy or prostatectomy); rate per 10,000 PY; until end of 2014</t>
  </si>
  <si>
    <t>8-10 (prostatectomy or biopsy)</t>
  </si>
  <si>
    <t>number of prostate cancers diagnosed with gleason score 8-10 (prostatectomy or biopsy) up to 31/12/2014</t>
  </si>
  <si>
    <t>Table 2 and text: For Gleason 8–10 disease defined by “best” Gleason score (prostatectomy Gleason score if available, otherwise biopsy Gleason), the RR was 0.87 (95% CI: 0.78–0.97; p=0.01).</t>
  </si>
  <si>
    <t>prostate cancer incidence by grade (Gleason score 7, biopsy); rate per 10,000 PY; until end of 2014</t>
  </si>
  <si>
    <t>7 (biopsy)</t>
  </si>
  <si>
    <t>number of prostate cancers diagnosed with gleason score 7 (biopsy) up to 31/12/2014</t>
  </si>
  <si>
    <t>Table 2 and text: By (biopsy) Gleason category, the RR was significantly elevated for Gleason 2–6 disease (RR=1.17, 95% CI: 1.11–1.23; p &lt;0.001), near unity for Gleason 7 disease (RR=1.00),…</t>
  </si>
  <si>
    <t>prostate cancer incidence by grade (Gleason score 2-6, biopsy); rate per 10,000 PY; until end of 2014</t>
  </si>
  <si>
    <t>2-6 (biopsy)</t>
  </si>
  <si>
    <t>number of prostate cancers diagnosed with gleason score 2-6 (biopsy) up to 31/12/2014</t>
  </si>
  <si>
    <t>Table 2 and text: By (biopsy) Gleason category, the RR was significantly elevated for Gleason 2–6 disease (RR=1.17, 95% CI: 1.11–1.23; p &lt;0.001),…</t>
  </si>
  <si>
    <t>% of prostate cancers diagnosed at late stage (Gleason score 8-10, biopsy); until end of 2014</t>
  </si>
  <si>
    <t>8-10 (biopsy)</t>
  </si>
  <si>
    <t>number of prostate cancers diagnosed with gleason score 8-10 (biopsy) up to 31/12/2014</t>
  </si>
  <si>
    <t>Total number of prostate cancers diagnosed up to 31/12/2014</t>
  </si>
  <si>
    <t>Table 2 and text: "There were a total of 5574 and 5287 incident cases in the intervention and usual care arms, respectively"</t>
  </si>
  <si>
    <t>% of prostate cancers diagnosed at late stage (Gleason score 8-10, prostatectomy Gleason score if available, otherwise biopsy Gleason); until end of 2014</t>
  </si>
  <si>
    <t>number of prostate cancers diagnosed with gleason score 8-10 (best = prostatectomy Gleason score if available, otherwise biopsy Gleason) up to 31/12/2014</t>
  </si>
  <si>
    <t>% prostate cancers that were screen-detected in intervention arm; screening period (T0-T5)</t>
  </si>
  <si>
    <t>PLCO abstractors attempted to record the reason for the initial medical visit that led to the eventual diagnosis of cancer (categorized bas symptomatic, follow-up of a positive PLCO trial screen, and other-detected).</t>
  </si>
  <si>
    <t>Screening period (T0-T5)</t>
  </si>
  <si>
    <t>Mode of detection not ascertained</t>
  </si>
  <si>
    <t>Mode of detected not ascertained</t>
  </si>
  <si>
    <t>Number of prostate cancer that were screen-detected in screening period (T0-T5)</t>
  </si>
  <si>
    <t>Total number of prostate cancers detected in screening period</t>
  </si>
  <si>
    <t>prostate cancer incidence by stage (metastatic disease at diagnosis); per 10,000 PY; until 31 December 2010</t>
  </si>
  <si>
    <t>Metastatic disease (M1)</t>
  </si>
  <si>
    <r>
      <t>Primarly through mailed annual study update questionnaire. Reported cancers were verified by medical records and abstracted with a standardized process to determine the cancer type, the date of diagnosis, and the tumor characteristics</t>
    </r>
    <r>
      <rPr>
        <sz val="10"/>
        <color rgb="FFFF0000"/>
        <rFont val="Calibri"/>
        <family val="2"/>
        <scheme val="minor"/>
      </rPr>
      <t xml:space="preserve">. </t>
    </r>
  </si>
  <si>
    <t xml:space="preserve">Men without documented prostate cancer by the cutoff date were censored at that time or death, whichever came first. For men with metastatic disease (either at diagnosis or through progression), the end of follow-up was the date of metastatic disease. For those with a prostate cancer diagnosis but no reported metastatic disease, censoring occurred at the cutoff date or death (whichever came first) </t>
  </si>
  <si>
    <t>median 12.9
(IQR 10.8-14.5)</t>
  </si>
  <si>
    <t>median 12.8 
(IQR 10.8-14.5)</t>
  </si>
  <si>
    <t>Missing stage</t>
  </si>
  <si>
    <t>Number with metastatic disease at diagnosis up to 31 december 2010</t>
  </si>
  <si>
    <t>Table 2 and text: Here the number of such cases was indeed lower in the intervention arm, though not statistically significantly so
(RR, 0.91; 95% CI, 0.70-1.17).</t>
  </si>
  <si>
    <t>447 with unknown clinical stage</t>
  </si>
  <si>
    <t>% prostate cancers diagnosed at metastatic disease; until 31 December 2010</t>
  </si>
  <si>
    <t xml:space="preserve">Primarly through mailed annual study update questionnaire. Reported cancers were verified by medical records and abstracted with a standardized process to determine the cancer type, the date of diagnosis, and the tumor characteristics </t>
  </si>
  <si>
    <t xml:space="preserve"> Number with metastatic disease at diagnosis up to 31 December 2010</t>
  </si>
  <si>
    <t>total number of diagnosed prostate cancers up to 31 December 2010</t>
  </si>
  <si>
    <t>Table 1,2</t>
  </si>
  <si>
    <t>prostate cancer incidence by grade (Gleason score 8-10); per 1,000 men randomised; until 31 December 2010</t>
  </si>
  <si>
    <r>
      <rPr>
        <strike/>
        <sz val="10"/>
        <rFont val="Calibri"/>
        <family val="2"/>
        <scheme val="minor"/>
      </rPr>
      <t>Number of</t>
    </r>
    <r>
      <rPr>
        <sz val="10"/>
        <rFont val="Calibri"/>
        <family val="2"/>
        <scheme val="minor"/>
      </rPr>
      <t xml:space="preserve"> Number of prostate cancers diagnosed with gleason score 8-10 up to 31 december 2010</t>
    </r>
  </si>
  <si>
    <t>prostate cancer incidence by grade (Gleason score 7); per 1,000 men randomised; until 31 December 2010</t>
  </si>
  <si>
    <t>Number of prostate cancers diagnosed with gleason score 7 up to 31 december 2010</t>
  </si>
  <si>
    <t>prostate cancer incidence by grade (Gleason score 2-6); per 1,000 men randomised; until 31 December 2010</t>
  </si>
  <si>
    <t>Number of prostate cancers diagnosed with gleason score 2-6 up to 31 december 2010</t>
  </si>
  <si>
    <t>% prostate cancers diagnosed at late stage (Gleason score 8-10); until 31 December 2010</t>
  </si>
  <si>
    <t>Number of prostate cancers diagnosed with gleason score 8-10 up to 31 december 2010</t>
  </si>
  <si>
    <t>Total number of prostate cancer cases diagnosed up to 31 December 2010</t>
  </si>
  <si>
    <t>Prostate cancer incidence by stage (stage I); through 10 years of follow-up</t>
  </si>
  <si>
    <t>Prostate cancer incidence by stage (stage II); through 10 years of follow-up</t>
  </si>
  <si>
    <t>Prostate cancer incidence by stage (stage III); through 10 years of follow-up</t>
  </si>
  <si>
    <t>Prostate cancer incidence by stage (stage IV); through 10 years of follow-up</t>
  </si>
  <si>
    <t>Buys 2011</t>
  </si>
  <si>
    <t>PLCO (Ovarian)</t>
  </si>
  <si>
    <t xml:space="preserve">Ovarian-specific (including primary peritoneal and fallopian tube cancer) mortality (per 10,000 PY); 13 years since randomisation or 28 February 2010 </t>
  </si>
  <si>
    <t>Annual study update questionnaire, next of kin, periodic linkage to the National Death Index. Cause of death potentially related to a PLCO cancer determined blindly by expert committee using death certificate and relevant medical records</t>
  </si>
  <si>
    <t>Date of death or censoring (earliest of the date of last contact, the 13-year anniversary of randomization, or February 28, 2010.)</t>
  </si>
  <si>
    <t>0-13</t>
  </si>
  <si>
    <r>
      <t>median 12.4 (IQR 10.9-13.0);</t>
    </r>
    <r>
      <rPr>
        <strike/>
        <sz val="10"/>
        <rFont val="Calibri"/>
        <family val="2"/>
        <scheme val="minor"/>
      </rPr>
      <t xml:space="preserve">
</t>
    </r>
    <r>
      <rPr>
        <sz val="10"/>
        <rFont val="Calibri"/>
        <family val="2"/>
        <scheme val="minor"/>
      </rPr>
      <t>381,574 PY;
mean 11.1 years</t>
    </r>
  </si>
  <si>
    <r>
      <t>median 12.4 (IQR 10.9-13.0);</t>
    </r>
    <r>
      <rPr>
        <strike/>
        <sz val="10"/>
        <rFont val="Calibri"/>
        <family val="2"/>
        <scheme val="minor"/>
      </rPr>
      <t xml:space="preserve">
</t>
    </r>
    <r>
      <rPr>
        <sz val="10"/>
        <rFont val="Calibri"/>
        <family val="2"/>
        <scheme val="minor"/>
      </rPr>
      <t>382,502 PY;
mean 11.2 years</t>
    </r>
  </si>
  <si>
    <t>4-6</t>
  </si>
  <si>
    <t>Ovarian cancer (including primary peritoneal and fallopian tube cancer) deaths 13 years of follow-up (since randomisation)</t>
  </si>
  <si>
    <t>per 10,000 PY</t>
  </si>
  <si>
    <t>sequentially adjusted</t>
  </si>
  <si>
    <t>figure 2 and text: There were 118 deaths caused by ovarian cancer (3.1 per 10 000 person-years) in the intervention
group and 100 deaths (2.6 per 10 000 person-years) in the usual care group (mortality RR, 1.18; 95% CI, 0.91-1.54 [unadjusted] and mortality RR, 1.18; 95% CI, 0.82-1.71 [sequentially adjusted]).</t>
  </si>
  <si>
    <t xml:space="preserve">Ovarian-specific (including primary peritoneal and fallopian tube cancer) mortality (per 10,000 PY); 11 years since randomisation </t>
  </si>
  <si>
    <t>Date of death or censoring (earliest of the date of last contact, the 11-year anniversary of randomization, or February 28, 2010.)</t>
  </si>
  <si>
    <t>N/A</t>
  </si>
  <si>
    <t>0-11</t>
  </si>
  <si>
    <t>350,870 PY;
mean 10.2 years</t>
  </si>
  <si>
    <t>351,557 PY;
mean 10.2 years</t>
  </si>
  <si>
    <t>Ovarian cancer (including primary peritoneal and fallopian tube cancer) deaths 11 years of follow-up (since randomisation)</t>
  </si>
  <si>
    <t>figure 2</t>
  </si>
  <si>
    <t xml:space="preserve">Ovarian-specific (including primary peritoneal and fallopian tube cancer) mortality (per 10,000 PY); 
9 years since randomisation </t>
  </si>
  <si>
    <t>Date of death or censoring (earliest of the date of last contact, the 9-year anniversary of randomization, or February 28, 2010.)</t>
  </si>
  <si>
    <t>0-9</t>
  </si>
  <si>
    <t>299,372 PY;
mean 8.7 years</t>
  </si>
  <si>
    <t>299,903 PY;
mean 8.7 years</t>
  </si>
  <si>
    <t>Ovarian cancer (including primary peritoneal and fallopian tube cancer) deaths 9 years of follow-up (since randomisation)</t>
  </si>
  <si>
    <t xml:space="preserve">Ovarian-specific (including primary peritoneal and fallopian tube cancer) mortality (per 10,000 PY); 
7 years since randomisation </t>
  </si>
  <si>
    <t>Date of death or censoring (earliest of the date of last contact, or 7-year anniversary of randomisation)</t>
  </si>
  <si>
    <t>0-7</t>
  </si>
  <si>
    <t>235,475 PY;
mean 6.9 years</t>
  </si>
  <si>
    <t xml:space="preserve"> 235,836 PY;
mean 6.9 years</t>
  </si>
  <si>
    <t>Ovarian cancer (including primary peritoneal and fallopian tube cancer) deaths 7 years of follow-up (since randomisation)</t>
  </si>
  <si>
    <t xml:space="preserve">Ovarian-specific (including primary peritoneal and fallopian tube cancer) mortality (per 10,000 PY); 
5 years since randomisation </t>
  </si>
  <si>
    <t>Date of death or censoring (earliest of the date of last contact, or 5-year anniversary of randomisation)</t>
  </si>
  <si>
    <t>0-5</t>
  </si>
  <si>
    <t>169,354 PY;
mean 4.9 years</t>
  </si>
  <si>
    <t>169,617 PY;
mean 4.9 years</t>
  </si>
  <si>
    <t>Ovarian cancer (including primary peritoneal and fallopian tube cancer) deaths 5 years of follow-up (since randomisation)</t>
  </si>
  <si>
    <t>Ovarian-specific (including primary peritoneal and fallopian tube cancer) mortality (per 10,000 PY); 
3 years since randomisation</t>
  </si>
  <si>
    <t>Date of death or censoring (earliest of the date of last contact, or 3-year anniversary of randomisation)</t>
  </si>
  <si>
    <t>0-3</t>
  </si>
  <si>
    <t>102,191 PY;
mean 2.98 years</t>
  </si>
  <si>
    <t>102,344 PY;
mean 2.98 years</t>
  </si>
  <si>
    <t>Ovarian cancer (including primary peritoneal and fallopian tube cancer) deaths 3 years of follow-up (since randomisation)</t>
  </si>
  <si>
    <t xml:space="preserve">Ovarian-specific (including primary peritoneal and fallopian tube cancer)mortality (per 10,000 PY); 
1 year since randomisation </t>
  </si>
  <si>
    <t>Date of death or censoring (earliest of the date of last contact, or 1-year anniversary of randomisation)</t>
  </si>
  <si>
    <t>0-1</t>
  </si>
  <si>
    <t>34,210 PY;
mean 0.999 years</t>
  </si>
  <si>
    <t>34,260 PY;
mean 0.999 years</t>
  </si>
  <si>
    <t>Ovarian cancer (including primary peritoneal and fallopian tube cancer) deaths 1 year of follow-up (since randomisation)</t>
  </si>
  <si>
    <t>Pinsky 2016</t>
  </si>
  <si>
    <t>Ovarian-specific mortality (includes fallopian tube and primary peritoneal cancer) (per 100,000 PY); 31 December 2012</t>
  </si>
  <si>
    <t>annual study update questionnaire, next of kin, periodic linkage to the National Death Index, no death verification after original follow-up cutoff date. Deaths occurring after the original cutoff (Feb 28th, 2010), underlying cause of death from the NDI was used; for deaths before that date, the endpoint-verified classifications used.</t>
  </si>
  <si>
    <t>earliest of December 31st, 2012, refusal to extend follow-up or date of death</t>
  </si>
  <si>
    <t>Participants had to reconsent for extended follow-up. 15.6% and 12% refused in intervention and control arm, respectively</t>
  </si>
  <si>
    <t>Up to 19.2 years</t>
  </si>
  <si>
    <t>median 14.72 years (IQR 13.1/16.4)</t>
  </si>
  <si>
    <t xml:space="preserve">median 14.65 years (IQR 12.8/15.7) </t>
  </si>
  <si>
    <t>ovarian cancer (including primary peritoneal and fallopian tube cancer) deaths up to 19 years of follow-up (since randomisation); 31/12/2012</t>
  </si>
  <si>
    <t>Table 2 and text: total of 187 ovarian cancer deaths (rate 38.2 per 100,000 PY) were observed in the intervention versus 176 (rate 36.0 per 100,000 PY) in the usual care arm. The rate ratio (RR) was 1.06 (95% CI: 0.86–1.31).</t>
  </si>
  <si>
    <t>Reported numbers differ very slightly between abstract (95% CI: 0.87–1.30) and main text (95% CI: 0.86-1.31).</t>
  </si>
  <si>
    <t>Ovarian-specific mortality (includes fallopian tube cancer) (per 100,000 PY); 31 December 2012</t>
  </si>
  <si>
    <t>ovarian cancer (including fallopian tube cancer) deaths up to 19 years of follow-up (since randomisation); 31/12/2012</t>
  </si>
  <si>
    <t>Ovarian-specific mortality (includes fallopian tube and primary peritoneal cancer); per 100,000 PY; 0-7 years after randomisation</t>
  </si>
  <si>
    <t>date of death or 7-year of follow-up</t>
  </si>
  <si>
    <t xml:space="preserve"> NA</t>
  </si>
  <si>
    <t xml:space="preserve">NR </t>
  </si>
  <si>
    <t>ovarian cancer (including primary peritoneal and fallopian tube cancer) deaths 7 years of follow-up (since randomisation)</t>
  </si>
  <si>
    <t>"By study time period, RRs were similar; 1.04 (95% CI: 0.7–15), 1.06 (95% CI: 0.8–1.4) and 1.09 (95% CI: 0.7–1.8) for years 0–7, 7–14 and &gt; 14, respectively"</t>
  </si>
  <si>
    <t>Ovarian-specific mortality (includes fallopian tube and primary peritoneal cancer) in cases diagnosed in the original analysis period (28 February 2010) (per 100,000 PY); follow-up tunil 31 December 2012</t>
  </si>
  <si>
    <t>ovarian cancer (including primary peritoneal and fallopian tube cancer) deaths in cases diagnosed up to 28 February 2010 (original analysis period); follow-up until 31/12/2012</t>
  </si>
  <si>
    <t>Number of women in analysis</t>
  </si>
  <si>
    <t>Text: Ovarian cancer deaths from all of these previously reported cases comprised 85% (159 of 187) and 84% (147 of 176) of all ovarian cancer deaths in the intervention and usual care arms, respectively.</t>
  </si>
  <si>
    <t>All-cause mortality (per 10,000 PY); end of 2015</t>
  </si>
  <si>
    <t xml:space="preserve">annual study update questionnaire, next of kin, periodic linkage to the National Death Index, no death verification after original follow-up cutoff date. </t>
  </si>
  <si>
    <t>end of 2015, refusal to extend follow-up or date of death</t>
  </si>
  <si>
    <t>14.9% of intervention and 19.0% of intervention arm refused further follow-up</t>
  </si>
  <si>
    <t>median 16.9 
(IQR 14.9/18.8)</t>
  </si>
  <si>
    <t>median 16.8 years (IQR14.6/18.7)</t>
  </si>
  <si>
    <t>all-cause deaths in women (follow-up until end of 2015)</t>
  </si>
  <si>
    <t>Table 2 and text: There were 8953 and 8810 deaths in the intervention and usual care arms, respectively, giving rates (per 10,000 PYs) of 141.3 and 140.1</t>
  </si>
  <si>
    <t>Ovarian-specific (including primary peritoneal and fallopian tube cancer) mortality (per 10,000 PY); end of 2015</t>
  </si>
  <si>
    <t>ovarian cancer (including primary peritoneal and fallopian tube cancer) deaths until end of 2015</t>
  </si>
  <si>
    <t>Table 2 and text: Among all women there were 250 and 219 ovarian cancer deaths in the intervention and usual care arms, respectively, giving rates (per 10,000 PYs) of 3.9 and 3.5
and a RR from the adjusted Poisson regression of 1.15
(95% CI: 0.96–1.4).</t>
  </si>
  <si>
    <t>Ovarian-specific (including primary peritoneal and fallopian tube cancer) mortality (in women with ovaries) per 10,000 PY; end of 2015</t>
  </si>
  <si>
    <t>14.9% of intervention and 19% of intervention arm refused further follow-up</t>
  </si>
  <si>
    <t>ovarian cancer (including primary peritoneal and fallopian tube cancer) deaths in women with at least 1 ovary until end of 2015</t>
  </si>
  <si>
    <t>Table 2 and text: Restricting the analysis to women with at least one ovary at baseline (N=34,251 and 34,300 for intervention and usual care, respectively), there were 246 (rate=4.4) and 209 (rate=3.8) ovarian cancer deaths in the intervention arm usual care arms, respectively; RR=1.18 (95%
CI: 0.98–1.4).</t>
  </si>
  <si>
    <t>All-cause mortality in women (per 10,000 PY); 13 years after randomisation or 31/12/2009</t>
  </si>
  <si>
    <t>Primarily ascertained through a mailed annual study-update questionnaire; periodic linkage to the National Death Index.</t>
  </si>
  <si>
    <t xml:space="preserve">31/12/2009
</t>
  </si>
  <si>
    <r>
      <t>all deaths in women</t>
    </r>
    <r>
      <rPr>
        <sz val="10"/>
        <color rgb="FFFF0000"/>
        <rFont val="Calibri"/>
        <family val="2"/>
        <scheme val="minor"/>
      </rPr>
      <t xml:space="preserve"> </t>
    </r>
    <r>
      <rPr>
        <sz val="10"/>
        <rFont val="Calibri"/>
        <family val="2"/>
        <scheme val="minor"/>
      </rPr>
      <t>13 years since randomisation</t>
    </r>
  </si>
  <si>
    <t>Some numbers in this Figure may not precisely replicate those in the main (13 year) trial outcome papers [13-16] due in part to the fact that extra cancer diagnoses and deaths are included here that occurred during the period covered by those papers, but only came to light after the data sets for those papers were frozen.</t>
  </si>
  <si>
    <t>Ovarian cancer (including primary peritoneal and fallopian tube cancer) incidence by stage (stage I); per 10,000 PY, follow-up for 13 years or until 28 February 2010</t>
  </si>
  <si>
    <t>Stage III/IV</t>
  </si>
  <si>
    <t xml:space="preserve">Annual study update questionnaire, population-based cancer registries, medical records from diagnosed PLCO cancers obtained for data on stage, histology and grad by certified tumor registrars. </t>
  </si>
  <si>
    <t>earliest date of diagnosis, death, or censoring (earliest of the date of last contact, the 13-year anniversary of randomization, or February 28, 2010).</t>
  </si>
  <si>
    <t>median 12.4 ( IQR 10.9-13.0);
371,833 PY</t>
  </si>
  <si>
    <t>median 12.4 ( IQR 10.9-13.0);
374,976 PY</t>
  </si>
  <si>
    <t>number of stage I ovarian cancers (including primary peritoneal and fallopian tube cancer) in total study period (0-13 years since randomisation)</t>
  </si>
  <si>
    <t>Table 3 (nominator), Figure 2 (denominator)</t>
  </si>
  <si>
    <t xml:space="preserve">Ovarian cancer (including primary peritoneal and fallopian tube cancer) incidence by stage (stage I); per 10,000 PY, study year 0-5 (screening period) </t>
  </si>
  <si>
    <t>earliest date of diagnosis, death, or date of last contact.</t>
  </si>
  <si>
    <t>166,273 PY;
mean 4.85 years</t>
  </si>
  <si>
    <t>167,380 PY;
mean 4.88 years</t>
  </si>
  <si>
    <t>number of stage I ovarian cancers (including primary peritoneal and fallopian tube cancer) in study year 0-5 (since randomisation)</t>
  </si>
  <si>
    <t xml:space="preserve">Table 3 (nominator), Figure 2 (denominator)
</t>
  </si>
  <si>
    <t>Ovarian cancer (including primary peritoneal and fallopian tube cancer) incidence by stage (stage II); per 10,000 PY, follow-up for 13 years or until 28 February 2010</t>
  </si>
  <si>
    <t>median 12.4  (IQR 10.9-13.0);
371,833 PY</t>
  </si>
  <si>
    <t>median 12.4 (IQR 10.9-13.0);
374,976 PY</t>
  </si>
  <si>
    <t>number of stage II ovarian cancers (including primary peritoneal and fallopian tube cancer) in total study period (0-13 years since randomisation)</t>
  </si>
  <si>
    <t>Ovarian cancer (including primary peritoneal and fallopian tube cancer) incidence by stage (stage II); per 10,000 PY, study year 0-5 (screening period)</t>
  </si>
  <si>
    <t>number of stage II ovarian cancers (including primary peritoneal and fallopian tube cancer) in study year 0-5 (since randomisation)</t>
  </si>
  <si>
    <t>Ovarian cancer (including primary peritoneal and fallopian tube cancer) incidence by stage (stage III); per 10,000 PY, follow-up for 13 years or until 28 February 2010</t>
  </si>
  <si>
    <t>number of stage III ovarian cancers (including primary peritoneal and fallopian tube cancer) in total study period (0-13 years since randomisation)</t>
  </si>
  <si>
    <t xml:space="preserve">Ovarian cancer (including primary peritoneal and fallopian tube cancer) incidence by stage (stage III); per 10,000 PY, study year 0-5 (screening period) </t>
  </si>
  <si>
    <t>number of stage III ovarian cancers (including primary peritoneal and fallopian tube cancer) in study year 0-5 (since randomisation)</t>
  </si>
  <si>
    <t>Ovarian cancer (including primary peritoneal and fallopian tube cancer) incidence by stage (stage IV); per 10,000 PY, follow-up for 13 years or until 28 February 2010</t>
  </si>
  <si>
    <t>median 12.4 (IQR 10.9-13.0);
371,833 PY</t>
  </si>
  <si>
    <t>number of stage IV ovarian cancers (including primary peritoneal and fallopian tube cancer) in total study period (0-13 years since randomisation)</t>
  </si>
  <si>
    <r>
      <rPr>
        <strike/>
        <sz val="10"/>
        <rFont val="Calibri"/>
        <family val="2"/>
        <scheme val="minor"/>
      </rPr>
      <t>NA</t>
    </r>
    <r>
      <rPr>
        <sz val="10"/>
        <rFont val="Calibri"/>
        <family val="2"/>
        <scheme val="minor"/>
      </rPr>
      <t xml:space="preserve"> &gt;0.05</t>
    </r>
  </si>
  <si>
    <t>Table 3 (nominator), Figure 2 (denominator) and text: The absolute number of stage IV cancers was slightly higher in the usual care group (n=54) than in the intervention group (n=43), although this difference was not statistically significant.</t>
  </si>
  <si>
    <t xml:space="preserve">Ovarian cancer (including primary peritoneal and fallopian tube cancer) incidence by stage (stage IV); per 10,000 PY, study year 0-5 (screening period) </t>
  </si>
  <si>
    <t>number of stage IV ovarian cancers (including primary peritoneal and fallopian tube cancer) in study year 0-5 (since randomisation)</t>
  </si>
  <si>
    <t>% of ovarian cancers (including primary peritoneal and fallopian tube cancer) that were stage III at diagnosis; 28 February 2010</t>
  </si>
  <si>
    <t>median 12.4 (range 10.9-13.0)</t>
  </si>
  <si>
    <t>Total number of target cancers during total study period (0-13 years since randomisation)</t>
  </si>
  <si>
    <t>% of ovarian cancers (including primary peritoneal and fallopian tube cancer) that were stage III at diagnosis; study years 0-5</t>
  </si>
  <si>
    <t>Total number of target cancers during total study period (0-5 years since randomisation)</t>
  </si>
  <si>
    <t>% of ovarian cancers (including primary peritoneal and fallopian tube cancer) that were stage IV at diagnosis; 28 February 2010</t>
  </si>
  <si>
    <t>% of ovarian cancers (including primary peritoneal and fallopian tube cancer) that were stage IV at diagnosis; study years 0-5</t>
  </si>
  <si>
    <t>% of ovarian cancers (including primary peritoneal and fallopian tube cancer) that were screen-detected in the intervention arm (baseline, year 1- year 5); 28 February 2010</t>
  </si>
  <si>
    <t>number of screen-detected ovarian cancers (including primary peritoneal and fallopian tube cancer) in intervention arm detected in study year 0-5 (since randomisation); without a lapse in the diagnostic evaluation exceeding 9 months.</t>
  </si>
  <si>
    <t>Total number of target cancers in intervention arm diagnosed up to 28 February 2010</t>
  </si>
  <si>
    <t>Table 2 and text: Of the 212 intervention group cases, 126 were diagnosed during the screening phase of the trial (59%), of which 58% were screendetected cases, 29% were interval cases, and 13% were detected in those without prior screening (noncompliant).</t>
  </si>
  <si>
    <t>Cancers detected by screening were defined as those diagnosed as a result of investigations initiated after a screening test with a positive result and without a lapse in the diagnostic evaluation exceeding 9 months.</t>
  </si>
  <si>
    <t>Diagnostic yield of screening for ovarian cancer (including primary peritoneal and fallopian tube cancer) in intervention arm (baseline, year 1 -year 5); per 100 women analysed</t>
  </si>
  <si>
    <t>earliest date of diagnosis, death, or censoring</t>
  </si>
  <si>
    <t>9 months after year 5 screenning round</t>
  </si>
  <si>
    <t>number of screen-detected ovarian cancers (including primary peritoneal and fallopian tube cancer) in intervention arm detected in study year 0-5 (since randomisation) ; without a lapse in the diagnostic evaluation exceeding 9 months.</t>
  </si>
  <si>
    <t>Table 2 (nominator), figure 1 (denominator)</t>
  </si>
  <si>
    <t>Temkin 2017</t>
  </si>
  <si>
    <t>% type II ovarian cancers (including primary peritoneal and fallopian tube cancer) that were screen-detected in intervention arm; 13 years since randomisation</t>
  </si>
  <si>
    <t>not sufficient information regarding histology or grade to be classified</t>
  </si>
  <si>
    <t>number of type II ovarian cancers (including primary peritoneal and fallopian tube cancer) that were screen-detected (= directly diagnosed as a result of a
positive screening test) in intervention arm (0-13 years since randomisation)</t>
  </si>
  <si>
    <t>total number of type II ovarian cancers (including primary peritoneal and fallopian tube cancer) in intervention arm (0-13 years since randomisation)</t>
  </si>
  <si>
    <t>Type II ovarian cancers are defined by TP53 mutations and are the most common and most aggressive of the ovarian cancers.
Tumours were defined as type II if they were moderately or poorly differentiated serous cystadenomas, cystadenocarcinomas, adenocarcinomas or carcinomas not otherwise specified; undifferentiated carcinomas; and carcinosarcomas.</t>
  </si>
  <si>
    <t>Incidence of early stage, high-grade ovarian cancers (=stage I or II and type II); per 10,000 women analysed; 13 years since randomisation</t>
  </si>
  <si>
    <t>I or II</t>
  </si>
  <si>
    <t>39 not sufficient information regarding histology or grade to be classified;
4 missing stage?</t>
  </si>
  <si>
    <t>44 not sufficient information regarding histology or grade to be classified;
0 missing stage</t>
  </si>
  <si>
    <t>number of type II ovarian cancers (including primary peritoneal and fallopian tube cancer) diagnosed at stage I-II (0-13 years since randomisation)</t>
  </si>
  <si>
    <t>Number of women analysed, by arm</t>
  </si>
  <si>
    <t>Table 3 and text: The distribution of stage did not differ by study arm for either type II or other tumour types.</t>
  </si>
  <si>
    <t>UK Pilot Ovarian</t>
  </si>
  <si>
    <t>Field 2021</t>
  </si>
  <si>
    <t>Lung cancer mortality (per 1,000 PY); follow-up until 29 February 2020;
Screening vs control</t>
  </si>
  <si>
    <t>NHS Digital and the National Cancer Registration and Analysis Service (NCRAS) who were not aware of the participants’ allocated trial arm. Lung cancer dath =
Lung cancer listed as the underlying cause of death in the UK civil registrations data provided by NHS Digital (ONS mortality
data)</t>
  </si>
  <si>
    <t>Median 7.3 years (IQR 7.1 to 7.6)</t>
  </si>
  <si>
    <t>Number of lung cancer deaths; up to 29 February 2020</t>
  </si>
  <si>
    <t>Person-years (follow-up until 29 February 2020)</t>
  </si>
  <si>
    <t xml:space="preserve">Text: In that period, 76 lung cancer deaths were recorded (30 in the screening arm and 46 in the control arm). The primary analysis showed that this difference was not statistically significant (RR 0.65 [95% CI 0.41-1.02]; p=0.062). </t>
  </si>
  <si>
    <t>87 with no cancer registry and mortality data available excluded from ITT analyses.
LDCT: 41
Control: 46</t>
  </si>
  <si>
    <t>Lung cancer mortality (per 1,000 randomised); follow-up until 29 February 2020;
Screening vs control</t>
  </si>
  <si>
    <t>Number of people analysed</t>
  </si>
  <si>
    <t>Per 1,000 people</t>
  </si>
  <si>
    <t xml:space="preserve">Text: In that period, 76 lung cancer deaths were recorded (30 in the screening arm and 46 in the control arm). </t>
  </si>
  <si>
    <t>Lung cancer mortality (per 1,000 randomised); 1 year since study entry;
Screening vs control</t>
  </si>
  <si>
    <t>Number of lung cancer deaths; 1 year since study entry</t>
  </si>
  <si>
    <t>Figure 2</t>
  </si>
  <si>
    <t>Lung cancer mortality (per 1,000 randomised); 2 years since study entry;
Screening vs control</t>
  </si>
  <si>
    <t>Number of lung cancer deaths; 2 years since study entry</t>
  </si>
  <si>
    <t>Lung cancer mortality (per 1,000 randomised); 3 years since study entry;
Screening vs control</t>
  </si>
  <si>
    <t>Number of lung cancer deaths; 3 years since study entry</t>
  </si>
  <si>
    <t>Lung cancer mortality (per 1,000 randomised); 4 years since study entry;
Screening vs control</t>
  </si>
  <si>
    <t>Number of lung cancer deaths; 4 years since study entry</t>
  </si>
  <si>
    <t>Lung cancer mortality (per 1,000 randomised); 5 years since study entry;
Screening vs control</t>
  </si>
  <si>
    <t>Number of lung cancer deaths; 5 years since study entry</t>
  </si>
  <si>
    <t>Lung cancer mortality (per 1,000 randomised); 6 years since study entry;
Screening vs control</t>
  </si>
  <si>
    <t>Number of lung cancer deaths; 6 years since study entry</t>
  </si>
  <si>
    <t>Lung cancer mortality (per 1,000 randomised); 7 years since study entry;
Screening vs control</t>
  </si>
  <si>
    <t>Number of lung cancer deaths; 7 years since study entry</t>
  </si>
  <si>
    <t>87 with no cancer registry and mortality data available excluded from ITT analyses.
LDCT: 41
Control: 46
Numbers in Figure 2 add up to 40 lung cancer deaths 7 years since study entry, whereas the text says 46 lung cancer deaths (but might be for slightly longer follow-up)???</t>
  </si>
  <si>
    <t>All-cause mortality (per 1,000 PY); follow-up until 29 February 2020;
Screening vs control</t>
  </si>
  <si>
    <t>Number of deaths from all causes; up to 29 February 2020</t>
  </si>
  <si>
    <t>Text: There was a total of 512 deaths from any cause during the followup period (246 in the screening arm and 266 in the control arm), a difference which was not significant (RR 0.91 [0.77-1.09]; p=0.315).</t>
  </si>
  <si>
    <t>All-cause mortality (per 1,000 randomised); follow-up until 29 February 2020;
Screening vs control</t>
  </si>
  <si>
    <t>Diagnostic yield at screening (per 1,000 people randomised); 
Screening arm only</t>
  </si>
  <si>
    <t>NHS Digital and the National Cancer Registration and Analysis Service (NCRAS) who were not aware of the participants’ allocated trial arm</t>
  </si>
  <si>
    <t>Median 7.2 years (IQR 7.0-7.5)</t>
  </si>
  <si>
    <t>Number of screen-detected lung cancers</t>
  </si>
  <si>
    <t>Table 2 and text: From 1954 subjects receiving a baseline scan, LDCT screening identified 42 cancers…</t>
  </si>
  <si>
    <t>41 with no cancer registry and mortality data available excluded from ITT analyses.</t>
  </si>
  <si>
    <t>% of lung cancers that have been screen-detected; follow-up until 31/12/2019;
Screening arm only</t>
  </si>
  <si>
    <t>Total number of lung cancers detected (screen-detected plus subsequent cancer)</t>
  </si>
  <si>
    <t>Table 2 and text: From 1954 subjects receiving a baseline scan, LDCT screening identified 42 cancers… Over 7.2 years
follow-up lung cancers were diagnosed at a rate of 4.3% (86/1987) in the LDCT arm…</t>
  </si>
  <si>
    <t>Absolute incidence of stage IA lung cancers (per 1,000 people analysed); follow-up until 31/12/2019;
Screening vs control</t>
  </si>
  <si>
    <t>No stage data (not staged or data not yet available)</t>
  </si>
  <si>
    <t>Number of stage IA (TNM version 7) lung cancers; follow-up until 31/12/2019</t>
  </si>
  <si>
    <t>Absolute incidence of stage IB lung cancers (per 1,000 people analysed); follow-up until 31/12/2019;
Screening vs control</t>
  </si>
  <si>
    <t>Number of stage IB (TNM version 7) lung cancers; follow-up until 31/12/2019</t>
  </si>
  <si>
    <t>Absolute incidence of stage I (stage IA + IB) lung cancers (per 1,000 people analysed); follow-up until 31/12/2019;
Screening vs control</t>
  </si>
  <si>
    <t>Number of stage I (stage IA + IB) (TNM version 7) lung cancers; follow-up until 31/12/2019</t>
  </si>
  <si>
    <t>Absolute incidence of stage IA lung cancers (per 1,000 PY); follow-up until 31/12/2019;
Screening vs control</t>
  </si>
  <si>
    <t>Person-years (up to 31/12/2019)</t>
  </si>
  <si>
    <t>Absolute incidence of stage IB lung cancers (per 1,000 PY); follow-up until 31/12/2019;
Screening vs control</t>
  </si>
  <si>
    <t>Absolute incidence of stage I (stage IA + IB) lung cancers (per 1,000 PY); follow-up until 31/12/2019;
Screening vs control</t>
  </si>
  <si>
    <t>Absolute incidence of stage IIA lung cancers (per 1,000 people analysed); follow-up until 31/12/2019;
Screening vs control</t>
  </si>
  <si>
    <t>Number of stage IIA (TNM version 7) lung cancers; follow-up until 31/12/2019</t>
  </si>
  <si>
    <t>Absolute incidence of stage IIB lung cancers (per 1,000 people analysed); follow-up until 31/12/2019;
Screening vs control</t>
  </si>
  <si>
    <t>Number of stage IIB (TNM version 7) lung cancers; follow-up until 31/12/2019</t>
  </si>
  <si>
    <t>Absolute incidence of stage II (stage IIA + IIB) lung cancers (per 1,000 people analysed); follow-up until 31/12/2019;
Screening vs control</t>
  </si>
  <si>
    <t>Number of stage II (stage IIA + IIB) (TNM version 7) lung cancers; follow-up until 31/12/2019</t>
  </si>
  <si>
    <t>Absolute incidence of stage IIA lung cancers (per 1,000 PY); follow-up until 31/12/2019;
Screening vs control</t>
  </si>
  <si>
    <t>Absolute incidence of stage IIB lung cancers (per 1,000 PY); follow-up until 31/12/2019;
Screening vs control</t>
  </si>
  <si>
    <t>Absolute incidence of stage II (stage IIA + IIB) lung cancers (per 1,000 PY); follow-up until 31/12/2019;
Screening vs control</t>
  </si>
  <si>
    <t>Absolute incidence of stage IIIA lung cancers (per 1,000 people analysed); follow-up until 31/12/2019;
Screening vs control</t>
  </si>
  <si>
    <t>Number of stage IIIA (TNM version 7) lung cancers; follow-up until 31/12/2019</t>
  </si>
  <si>
    <t>Absolute incidence of stage IIIB lung cancers (per 1,000 people analysed); follow-up until 31/12/2019;
Screening vs control</t>
  </si>
  <si>
    <t>Number of stage IIIB (TNM version 7) lung cancers; follow-up until 31/12/2019</t>
  </si>
  <si>
    <t>Absolute incidence of stage III (stage IIIA + IIIB) lung cancers (per 1,000 people analysed); follow-up until 31/12/2019;
Screening vs control</t>
  </si>
  <si>
    <t>Number of stage III (stage IA + IB) (TNM version 7) lung cancers; follow-up until 31/12/2019</t>
  </si>
  <si>
    <t>Absolute incidence of stage IIIA lung cancers (per 1,000 PY); follow-up until 31/12/2019;
Screening vs control</t>
  </si>
  <si>
    <t>Absolute incidence of stage IIIB lung cancers (per 1,000 PY); follow-up until 31/12/2019;
Screening vs control</t>
  </si>
  <si>
    <t>Absolute incidence of stage III (stage IIIA + IIIB) lung cancers (per 1,000 PY); follow-up until 31/12/2019;
Screening vs control</t>
  </si>
  <si>
    <t>Number of stage III (stage IIIA + IIIB) (TNM version 7) lung cancers; follow-up until 31/12/2019</t>
  </si>
  <si>
    <t>Absolute incidence of stage IV lung cancers (per 1,000 people analysed); follow-up until 31/12/2019;
Screening vs control</t>
  </si>
  <si>
    <t>Number of stage IV (TNM version 7) lung cancers; follow-up until 31/12/2019</t>
  </si>
  <si>
    <t>Absolute incidence of stage IV lung cancers (per 1,000 PY); follow-up until 31/12/2019;
Screening vs control</t>
  </si>
  <si>
    <t>Absolute incidence of late-stage (stage III-IV) lung cancers (per 1,000 people analysed); follow-up until 31/12/2019;
Screening vs control</t>
  </si>
  <si>
    <t>Number of stage III-IV (TNM version 7) lung cancers; follow-up until 31/12/2019</t>
  </si>
  <si>
    <t>Absolute incidence of late-stage (stage III-IV) lung cancers (per 1,000 PY); follow-up until 31/12/2019;
Screening vs control</t>
  </si>
  <si>
    <t>Table 2, Figure 5 and text: Overall, there were significantly fewer late_x0002_stage lung cancers in the screening arm compared to the control arm, at 16 vs 37 (RR 0.43 [0.24-0.77]; p=0.005).</t>
  </si>
  <si>
    <t>Absolute incidence of late-stage (stage III-IV) lung cancers (per 1,000 people analysed); 1 year since study entry;
Screening vs control</t>
  </si>
  <si>
    <t>Number of stage III-IV (TNM version 7) lung cancers; 1 year since study entry</t>
  </si>
  <si>
    <t>Absolute incidence of late-stage (stage III-IV) lung cancers (per 1,000 people analysed); 2 years since study entry;
Screening vs control</t>
  </si>
  <si>
    <t>Number of stage III-IV (TNM version 7) lung cancers; 2 years since study entry</t>
  </si>
  <si>
    <t>Absolute incidence of late-stage (stage III-IV) lung cancers (per 1,000 people analysed); 3 years since study entry;
Screening vs control</t>
  </si>
  <si>
    <t>Number of stage III-IV (TNM version 7) lung cancers; 3 years since study entry</t>
  </si>
  <si>
    <t>Absolute incidence of late-stage (stage III-IV) lung cancers (per 1,000 people analysed); 4 years since study entry;
Screening vs control</t>
  </si>
  <si>
    <t>Number of stage III-IV (TNM version 7) lung cancers; 4 years since study entry</t>
  </si>
  <si>
    <t>Absolute incidence of late-stage (stage III-IV) lung cancers (per 1,000 people analysed); 5 years since study entry;
Screening vs control</t>
  </si>
  <si>
    <t>Number of stage III-IV (TNM version 7) lung cancers; 5 years since study entry</t>
  </si>
  <si>
    <t>Absolute incidence of late-stage (stage III-IV) lung cancers (per 1,000 people analysed); 6 years since study entry;
Screening vs control</t>
  </si>
  <si>
    <t>Number of stage III-IV (TNM version 7) lung cancers; 6 years since study entry</t>
  </si>
  <si>
    <t>% of lung cancers diagnosed at late-stage (stage III-IV); follow-up until 31/12/2019;
Screening vs control</t>
  </si>
  <si>
    <t>Total number of lung cancers diagnosed up to 31/12/2019</t>
  </si>
  <si>
    <t>Absolute incidence of early stage (stage I + II) lung cancers (per 1,000 people analysed); follow-up until 31/12/2019;
Screening vs control</t>
  </si>
  <si>
    <t>Number of early-stage (stage I -II) (TNM version 7) lung cancers; follow-up until 31/12/2019</t>
  </si>
  <si>
    <t>Table 2 and text: The stage distribution of lung cancers shown in Table 2, indicated a higher proportion of early-stage disease in the screening arm (Pearson’s chi-squared = 30.16, p&lt; 0.001).</t>
  </si>
  <si>
    <t>Absolute incidence of early-stage (stage I-II) lung cancers (per 1,000 PY); follow-up until 31/12/2019;
Screening vs control</t>
  </si>
  <si>
    <t>Number of stage early-stage (stage I-II) (TNM version 7) lung cancers; follow-up until 31/12/2019</t>
  </si>
  <si>
    <t>Chen 2003</t>
  </si>
  <si>
    <t>Liver cancer mortality (per 100,000 PY);
follow-up until 31/12/1995</t>
  </si>
  <si>
    <t>AFP + ALT (6-monthly)</t>
  </si>
  <si>
    <t>AFP + ALT (one-off)</t>
  </si>
  <si>
    <t>All deaths among cases linked with death records or death certicate notifications both from Qidong Cancer Registry and records of deaths in the register of vital events in Qidong. Deaths among registered liver cancer cases
were separated into those due to primary liver cancer, or those due to other causes.</t>
  </si>
  <si>
    <t>Death or end of follow-up</t>
  </si>
  <si>
    <t>Mean 61.9 months
(SD 17.2)</t>
  </si>
  <si>
    <t>Mean 62.8 months
(SD 17.1)</t>
  </si>
  <si>
    <t>6-monthly: 6 or 3
Control: 1</t>
  </si>
  <si>
    <t>Number of liver cancer deaths; follow-up until 31/12/1995</t>
  </si>
  <si>
    <t>Person-years (follow-up until 31/12/1995)</t>
  </si>
  <si>
    <t>Table 1 and text: The mortality rate from liver cancer was 1138.1 per 105 in the screened group A and 1113.9 per 105 in the group B controls, but the difference was not statistically significant (p=0.86).</t>
  </si>
  <si>
    <t>Liver cancer mortality (per 1,000 men randomised);
follow-up until 31/12/1995</t>
  </si>
  <si>
    <t>All-cause mortality (per 100,000 PY);
follow-up until 31/12/1995</t>
  </si>
  <si>
    <t>Number of deaths from all causes; follow-up until 31/12/1995</t>
  </si>
  <si>
    <t>All-cause mortality (per 1,000 men randomised);
follow-up until 31/12/1995</t>
  </si>
  <si>
    <t>Diagnostic yield at screening (per 1,000 men randomised);
6-monthly AFP and ALT (6 and 3 screening rounds, respectively)</t>
  </si>
  <si>
    <t>Clinicians responsible for staging not aware of the screening status of the patients (and, for the most part, of the existence of a trial).
population-based cancer registry, which undertakes a
programme of active case finding, including review of all death certicates, and follow-up.</t>
  </si>
  <si>
    <t>6 (enrolled in 1989);
3 (enrolled in 1992)</t>
  </si>
  <si>
    <t>Number of screen-detected liver cancers (6 and 3 screening rounds, respectively)</t>
  </si>
  <si>
    <t>Table 3 and text: Among the 257 subjects diagnosed with liver cancer in group A, a positive AFP (on one or more occasions) was
found in 142 (55.3%).</t>
  </si>
  <si>
    <t>% of liver cancers that have been screen-detected;
6-monthly AFP and ALT (6 and 3 screening rounds, respectively)</t>
  </si>
  <si>
    <t>Total number of liver cancers detected (screen-dected plus cancers in unscreened men); up to 31/12/1995</t>
  </si>
  <si>
    <t>Absolute incidence of early stage (stage I) liver cancer (per 1,000 men randomised); follow-up until 31/12/1995;
AFP + ALT (6 monthly) vs one-off</t>
  </si>
  <si>
    <t>Stage III (advanced stage), included patients with
severe liver dysfunction.</t>
  </si>
  <si>
    <t>Stage I (early stage, subclinical disease) included patients with no
symptoms (and a tumour usually &lt;5 cm in diameter) at first
diagnosis.</t>
  </si>
  <si>
    <t>6 (enrolled in 1989);
3 (enrolled in 1992);
1 in control</t>
  </si>
  <si>
    <t>Number of stage I liver cancers (China Liver Cancer Study group); diagnosed up to 31/12/1995</t>
  </si>
  <si>
    <t>Absolute incidence of early stage (stage I) liver cancer (per 100,000 PY); follow-up until 31/12/1995;
AFP + ALT (6 monthly) vs one-off</t>
  </si>
  <si>
    <t>Person-years (up to 31/12/1995)</t>
  </si>
  <si>
    <t>Absolute incidence of stage II liver cancer (per 1,000 men randomised); follow-up until 31/12/1995;
AFP + ALT (6 monthly) vs one-off</t>
  </si>
  <si>
    <t>Number of stage II liver cancers (China Liver Cancer Study group); diagnosed up to 31/12/1995</t>
  </si>
  <si>
    <t>Absolute incidence of stage II liver cancer (per 100,000 PY); follow-up until 31/12/1995;
AFP + ALT (6 monthly) vs one-off</t>
  </si>
  <si>
    <t>Absolute incidence of late stage (stage III) liver cancer (per 1,000 men randomised); follow-up until 31/12/1995;
AFP + ALT (6 monthly) vs one-off</t>
  </si>
  <si>
    <t>Number of stage III liver cancers (China Liver Cancer Study group); diagnosed up to 31/12/1995</t>
  </si>
  <si>
    <t>Absolute incidence of late stage (stage III) liver cancer (per 100,000 PY); follow-up until 31/12/1995;
AFP + ALT (6 monthly) vs one-off</t>
  </si>
  <si>
    <t>% of liver cancers diagnosed at late stage (stage III); follow-up until 31/12/1995;
AFP + ALT (6 monthly) vs one-off</t>
  </si>
  <si>
    <t>Number of stage III liver cancers; diagnosed up to 31/12/1995</t>
  </si>
  <si>
    <t>Total number of liver cancers detected; up to 31/12/1995</t>
  </si>
  <si>
    <t>Table 4 and text: In group A, 29.6 % of cases were in stage
I, 50.6 in stage II, and 19.8 % in stage III. In group B, the
percentages were 6.0%, 53.0%, and 41.0%, respectively.</t>
  </si>
  <si>
    <t>Bretthauer 2022</t>
  </si>
  <si>
    <t>NordICC</t>
  </si>
  <si>
    <t>CRC-related mortality (per 100 people analysed); relative risk; 10-year risk;
Colonoscopy vs no screening</t>
  </si>
  <si>
    <t>Cause of death registries; CRC–related deaths defined as those that were listed as such in the cause-of-death registries in the participating countries.</t>
  </si>
  <si>
    <t>Migration, death from CRC, or death from causes or end of follow-up after 10 years, whichever came first.</t>
  </si>
  <si>
    <t>Poland, Norway, Sweden</t>
  </si>
  <si>
    <t>Maximum 10 years</t>
  </si>
  <si>
    <t>Median 10.0 years (IQR 9.9-10.0)</t>
  </si>
  <si>
    <t>NR (likely &lt;10%)</t>
  </si>
  <si>
    <t>NR (but likely &lt;10%)</t>
  </si>
  <si>
    <t>Number of deaths from CRC; median 10-year follow-up</t>
  </si>
  <si>
    <t>Table 2 and Figure 3</t>
  </si>
  <si>
    <t>All-cause mortality (per 100 people analysed); relative risk; 10-year risk;
Colonoscopy vs no screening</t>
  </si>
  <si>
    <t>Number of deaths from all causes; median 10-year follow-up</t>
  </si>
  <si>
    <t>CRC-related mortality (per 100 people analysed); Kaplan-Meier estimate; 10-year risk;
Colonoscopy vs no screening</t>
  </si>
  <si>
    <t>Table 2, Figure 3 and text: The risk of colorectal cancer–related death at 10 years was 0.28% (72 deaths) among participants in the invited group and 0.31% (157 deaths) among those in the usual-care group (risk ratio, 0.90; 95% CI, 0.64 to 1.16)</t>
  </si>
  <si>
    <t>Reported and calculated risks and relative risk are not the same. Is it because they use a Kaplan-Meier estimate???</t>
  </si>
  <si>
    <t>All-cause mortality (per 100 people analysed); Kaplan-Meier estimate; 10-year risk;
Colonoscopy vs no screening</t>
  </si>
  <si>
    <t>Table 2 and text: During the 10-year follow-up period, 3036 participants in the invited group (11.03%) died from any cause, as compared with 6079 (11.04%) in the usual-care group (risk ratio, 0.99; 95% CI, 0.96 to 1.04) (Table 2).</t>
  </si>
  <si>
    <t>Diagnostic yield at screening - CRC (per 100 analysed); once-only colonoscopy;
Screening arm only</t>
  </si>
  <si>
    <t>Online electronic case-report form stored at a central database</t>
  </si>
  <si>
    <t>Migration, diagnosis of CRC, death from CRC, or death from causes or end of follow-up after 10 years, whichever came first.</t>
  </si>
  <si>
    <t>Initial screen + follow-up</t>
  </si>
  <si>
    <t>Number of screen-detected CRC (once-only colonoscopy)</t>
  </si>
  <si>
    <t>Text: Colorectal cancer was diagnosed at screening in 62 participants (0.5% of those who underwent screening).</t>
  </si>
  <si>
    <t>Tumors with a histopathological diagnosis other than adenocarcinoma were not counted as events.</t>
  </si>
  <si>
    <t>Diagnostic yield at screening - Adenomas (per 100 analysed); once-only colonoscopy;
Screening arm only</t>
  </si>
  <si>
    <t>Number of screen-detected adenomas (once-only colonoscopy)</t>
  </si>
  <si>
    <t>Text: Adenomas were detected and removed at screening in 3634 participants (30.7% of those who underwent screening).</t>
  </si>
  <si>
    <t>% of CRC that has been screen-detected; once-only colonoscopy; median 10-year follow-up;
Screening arm only</t>
  </si>
  <si>
    <t>Total number of CRC diagnosed within median 10-year follow-up (screen-detected; in non-attenders; during follow-up period)</t>
  </si>
  <si>
    <t>Text: Colorectal cancer was diagnosed at screening in 62 participants (0.5% of those who underwent screening)… The risk of colorectal cancer at 10 years was 0.98% (259 cases) in the invited group</t>
  </si>
  <si>
    <t>Absolute incidence of CRC with Dukes' stage A (per 100 analysed); median 10-year follow-up;
Colonoscopy vs no screening</t>
  </si>
  <si>
    <t>Dukes' A</t>
  </si>
  <si>
    <t>Dukes’ stage C or D</t>
  </si>
  <si>
    <t>Dukes’ stage A or B</t>
  </si>
  <si>
    <t>Cancer registries</t>
  </si>
  <si>
    <t>Number of CRC with Dukes' stage A; median 10-year follow-up</t>
  </si>
  <si>
    <t>Table S7</t>
  </si>
  <si>
    <t>Absolute incidence of CRC with Dukes' stage B (per 100 analysed); median 10-year follow-up;
Colonoscopy vs no screening</t>
  </si>
  <si>
    <t>Dukes' B</t>
  </si>
  <si>
    <t>Number of CRC with Dukes' stage B; median 10-year follow-up</t>
  </si>
  <si>
    <t>Absolute incidence of early-stage CRC (Dukes' stage A or B) (per 100 analysed); median 10-year follow-up;
Colonoscopy vs no screening</t>
  </si>
  <si>
    <t>Dukes' A or B</t>
  </si>
  <si>
    <t>Number of CRC with Dukes' stage A or B; median 10-year follow-up</t>
  </si>
  <si>
    <t>Table S7 and text: Among the participants with cases of colorectal cancer for which staging information was available, 0.38% in the invited group and 0.44% in the usual-care group received a diagnosis of early-stage (stage A or B) colorectal cancer…</t>
  </si>
  <si>
    <t>Absolute incidence of CRC with Dukes' stage C (per 100 analysed); median 10-year follow-up;
Colonoscopy vs no screening</t>
  </si>
  <si>
    <t>Dukes' C</t>
  </si>
  <si>
    <t>Number of CRC with Dukes' stage C; median 10-year follow-up</t>
  </si>
  <si>
    <t>Absolute incidence of CRC with Dukes' stage D (per 100 analysed); median 10-year follow-up;
Colonoscopy vs no screening</t>
  </si>
  <si>
    <t>Dukes' D</t>
  </si>
  <si>
    <t>Number of CRC with Dukes' stage D; median 10-year follow-up</t>
  </si>
  <si>
    <t>Absolute incidence of late-stage CRC (Dukes' stage C or D) (per 100 analysed); median 10-year follow-up;
Colonoscopy vs no screening</t>
  </si>
  <si>
    <t>Dukes' C or D</t>
  </si>
  <si>
    <t>Table S7 and text: … whereas 0.40% in the invited group and 0.50% in the usual-care group received a diagnosis of late-stage (stage C or D) colorectal cancer.</t>
  </si>
  <si>
    <t>% of CRC diagnosed at late-stage CRC (Dukes' stage C or D); median 10-year follow-up;
Colonoscopy vs no screening</t>
  </si>
  <si>
    <t>De Koning 2020</t>
  </si>
  <si>
    <r>
      <t>Lung cancer mortality in</t>
    </r>
    <r>
      <rPr>
        <b/>
        <sz val="10"/>
        <rFont val="Calibri"/>
        <family val="2"/>
        <scheme val="minor"/>
      </rPr>
      <t xml:space="preserve"> men</t>
    </r>
    <r>
      <rPr>
        <sz val="10"/>
        <rFont val="Calibri"/>
        <family val="2"/>
        <scheme val="minor"/>
      </rPr>
      <t xml:space="preserve"> (per 1,000 PY);
at 10-years' follow-up or 31/12/2015;
Screening vs no screening</t>
    </r>
  </si>
  <si>
    <t>National registries in the Netherlands and Belgium, and a review committee confirmed
lung cancer as the cause of death when possible; due to high concordance (86.1%; sensitivity 92.6%, specificity 98.8%), official cause of death used for deceased lung cancer patients of whom no review was available (6 LDCT; 11 control).</t>
  </si>
  <si>
    <t>December 31, 2015, or 10 years of
follow-up since randomization (whichever came first).</t>
  </si>
  <si>
    <t>62,298 PY;
mean 9.5 years</t>
  </si>
  <si>
    <t>62,484 PY;
mean 9.5 years</t>
  </si>
  <si>
    <t>Without known date of lung cancer diagnosis</t>
  </si>
  <si>
    <t>Number of lung cancer deaths with known date of lung cancer diagnosis; at 10-years' follow-up or 31/12/2015</t>
  </si>
  <si>
    <r>
      <t xml:space="preserve">Person-years in </t>
    </r>
    <r>
      <rPr>
        <b/>
        <sz val="10"/>
        <rFont val="Calibri"/>
        <family val="2"/>
        <scheme val="minor"/>
      </rPr>
      <t>men</t>
    </r>
    <r>
      <rPr>
        <sz val="10"/>
        <rFont val="Calibri"/>
        <family val="2"/>
        <scheme val="minor"/>
      </rPr>
      <t>; at 10-years' follow-up or 31/12/2015</t>
    </r>
  </si>
  <si>
    <t>Table S3 and text: At 10 years of follow-up, 156 men with a known date of lung-cancer diagnosis in the screening group and 206 in the control group had died from lung cancer (2.50 deaths per 1000 person-years and 3.30 deaths per 1000 person-years, respectively), which resulted in a cumulative rate ratio for death from lung cancer of 0.76 (95% CI, 0.61 to 0.94; P = 0.01).</t>
  </si>
  <si>
    <t>A total of 18 persons (13 men in control arm and 5 women in LDCT arm) could not be linked, because a digital consent form could not be retrieved. Missing data for the primary outcome were negligible owing to the linkages with the national registries (&gt;98% coverage).</t>
  </si>
  <si>
    <r>
      <t>Lung cancer mortality in</t>
    </r>
    <r>
      <rPr>
        <b/>
        <sz val="10"/>
        <rFont val="Calibri"/>
        <family val="2"/>
        <scheme val="minor"/>
      </rPr>
      <t xml:space="preserve"> men</t>
    </r>
    <r>
      <rPr>
        <sz val="10"/>
        <rFont val="Calibri"/>
        <family val="2"/>
        <scheme val="minor"/>
      </rPr>
      <t xml:space="preserve"> (per 100 men randomised);
at 10-years' follow-up or 31/12/2015;
Screening vs no screening</t>
    </r>
  </si>
  <si>
    <t>Table S3 and text: At 10 years of follow-up, 156 men with a known date of lung-cancer diagnosis in the screening group and 206 in the control group had died from lung cancer…</t>
  </si>
  <si>
    <r>
      <t>Lung cancer mortality in</t>
    </r>
    <r>
      <rPr>
        <b/>
        <sz val="10"/>
        <rFont val="Calibri"/>
        <family val="2"/>
        <scheme val="minor"/>
      </rPr>
      <t xml:space="preserve"> men</t>
    </r>
    <r>
      <rPr>
        <sz val="10"/>
        <rFont val="Calibri"/>
        <family val="2"/>
        <scheme val="minor"/>
      </rPr>
      <t xml:space="preserve"> (per 1,000 PY);
at 6-year follow-up;
Screening vs no screening</t>
    </r>
  </si>
  <si>
    <t xml:space="preserve">6 years of follow-up since randomization </t>
  </si>
  <si>
    <t>38,484 PY; 
mean 5.8 years</t>
  </si>
  <si>
    <t>38,591 PY;
mean 5.8 years</t>
  </si>
  <si>
    <t>Number of lung cancer deaths; at 6-years' follow-up</t>
  </si>
  <si>
    <r>
      <t xml:space="preserve">Person-years in </t>
    </r>
    <r>
      <rPr>
        <b/>
        <sz val="10"/>
        <rFont val="Calibri"/>
        <family val="2"/>
        <scheme val="minor"/>
      </rPr>
      <t>men</t>
    </r>
    <r>
      <rPr>
        <sz val="10"/>
        <rFont val="Calibri"/>
        <family val="2"/>
        <scheme val="minor"/>
      </rPr>
      <t>; at 6-years' follow-up</t>
    </r>
  </si>
  <si>
    <t>Table S3</t>
  </si>
  <si>
    <r>
      <t>Lung cancer mortality in</t>
    </r>
    <r>
      <rPr>
        <b/>
        <sz val="10"/>
        <rFont val="Calibri"/>
        <family val="2"/>
        <scheme val="minor"/>
      </rPr>
      <t xml:space="preserve"> men</t>
    </r>
    <r>
      <rPr>
        <sz val="10"/>
        <rFont val="Calibri"/>
        <family val="2"/>
        <scheme val="minor"/>
      </rPr>
      <t xml:space="preserve"> (per 1,000 PY);
at 7-year follow-up;
Screening vs no screening</t>
    </r>
  </si>
  <si>
    <t xml:space="preserve">7 years of follow-up since randomization </t>
  </si>
  <si>
    <t>44,620 PY;
mean 6.8 years</t>
  </si>
  <si>
    <t xml:space="preserve">44,731 PY;
mean 6.8 years
</t>
  </si>
  <si>
    <t>Number of lung cancer deaths; at 7-years' follow-up</t>
  </si>
  <si>
    <r>
      <t xml:space="preserve">Person-years in </t>
    </r>
    <r>
      <rPr>
        <b/>
        <sz val="10"/>
        <rFont val="Calibri"/>
        <family val="2"/>
        <scheme val="minor"/>
      </rPr>
      <t>men</t>
    </r>
    <r>
      <rPr>
        <sz val="10"/>
        <rFont val="Calibri"/>
        <family val="2"/>
        <scheme val="minor"/>
      </rPr>
      <t>; at 7-years' follow-up</t>
    </r>
  </si>
  <si>
    <r>
      <t>Lung cancer mortality in</t>
    </r>
    <r>
      <rPr>
        <b/>
        <sz val="10"/>
        <rFont val="Calibri"/>
        <family val="2"/>
        <scheme val="minor"/>
      </rPr>
      <t xml:space="preserve"> men</t>
    </r>
    <r>
      <rPr>
        <sz val="10"/>
        <rFont val="Calibri"/>
        <family val="2"/>
        <scheme val="minor"/>
      </rPr>
      <t xml:space="preserve"> (per 1,000 PY);
at 8-year follow-up;
Screening vs no screening</t>
    </r>
  </si>
  <si>
    <t xml:space="preserve">8 years of follow-up since randomization </t>
  </si>
  <si>
    <t>50,641 PY;
mean 7.7 years</t>
  </si>
  <si>
    <t>50,775 PY;
mean 7.7 years</t>
  </si>
  <si>
    <t>Number of lung cancer deaths; at 8-years' follow-up</t>
  </si>
  <si>
    <r>
      <t xml:space="preserve">Person-years in </t>
    </r>
    <r>
      <rPr>
        <b/>
        <sz val="10"/>
        <rFont val="Calibri"/>
        <family val="2"/>
        <scheme val="minor"/>
      </rPr>
      <t>men</t>
    </r>
    <r>
      <rPr>
        <sz val="10"/>
        <rFont val="Calibri"/>
        <family val="2"/>
        <scheme val="minor"/>
      </rPr>
      <t>; at 8-years' follow-up</t>
    </r>
  </si>
  <si>
    <t>Table S3 and text: Similar rate ratios, which differed significantly between the two groups, were observed at years 8, 9, and 11.</t>
  </si>
  <si>
    <r>
      <t>Lung cancer mortality in</t>
    </r>
    <r>
      <rPr>
        <b/>
        <sz val="10"/>
        <rFont val="Calibri"/>
        <family val="2"/>
        <scheme val="minor"/>
      </rPr>
      <t xml:space="preserve"> men</t>
    </r>
    <r>
      <rPr>
        <sz val="10"/>
        <rFont val="Calibri"/>
        <family val="2"/>
        <scheme val="minor"/>
      </rPr>
      <t xml:space="preserve"> (per 1,000 PY);
at 9-year follow-up;
Screening vs no screening</t>
    </r>
  </si>
  <si>
    <t xml:space="preserve">9 years of follow-up since randomization </t>
  </si>
  <si>
    <t>56,541 PY;
mean 8.6 years</t>
  </si>
  <si>
    <t>56,701 PY,
mean 8.6 years</t>
  </si>
  <si>
    <t>Number of lung cancer deaths with known date of lung cancer diagnosis; at 9-years' follow-up</t>
  </si>
  <si>
    <r>
      <t xml:space="preserve">Person-years in </t>
    </r>
    <r>
      <rPr>
        <b/>
        <sz val="10"/>
        <rFont val="Calibri"/>
        <family val="2"/>
        <scheme val="minor"/>
      </rPr>
      <t>men</t>
    </r>
    <r>
      <rPr>
        <sz val="10"/>
        <rFont val="Calibri"/>
        <family val="2"/>
        <scheme val="minor"/>
      </rPr>
      <t>; at 9-years' follow-up</t>
    </r>
  </si>
  <si>
    <r>
      <t>Lung cancer mortality in</t>
    </r>
    <r>
      <rPr>
        <b/>
        <sz val="10"/>
        <rFont val="Calibri"/>
        <family val="2"/>
        <scheme val="minor"/>
      </rPr>
      <t xml:space="preserve"> men</t>
    </r>
    <r>
      <rPr>
        <sz val="10"/>
        <rFont val="Calibri"/>
        <family val="2"/>
        <scheme val="minor"/>
      </rPr>
      <t xml:space="preserve"> (per 1,000 PY);
at 11-year follow-up;
Screening vs no screening</t>
    </r>
  </si>
  <si>
    <t xml:space="preserve">11 years of follow-up since randomization </t>
  </si>
  <si>
    <t>67,952 PY;
mean 10.3 years</t>
  </si>
  <si>
    <t>68,173 PY;
mean 10.3 years</t>
  </si>
  <si>
    <t>Number of lung cancer deaths with known date of lung cancer diagnosis; at 11-years' follow-up</t>
  </si>
  <si>
    <r>
      <t xml:space="preserve">Person-years in </t>
    </r>
    <r>
      <rPr>
        <b/>
        <sz val="10"/>
        <rFont val="Calibri"/>
        <family val="2"/>
        <scheme val="minor"/>
      </rPr>
      <t>men</t>
    </r>
    <r>
      <rPr>
        <sz val="10"/>
        <rFont val="Calibri"/>
        <family val="2"/>
        <scheme val="minor"/>
      </rPr>
      <t>; at 11-years' follow-up</t>
    </r>
  </si>
  <si>
    <t>Table S3 and text: Similar rate ratios, which differed significantly between the two groups, were observed at years 8, 9, and 11….At the 11-year follow-up (up to December 2016), the rate ratio for death from lung cancer among male participants was 0.78 (95% CI, 0.63 to 0.95).</t>
  </si>
  <si>
    <r>
      <t>Lung cancer mortality in</t>
    </r>
    <r>
      <rPr>
        <b/>
        <sz val="10"/>
        <rFont val="Calibri"/>
        <family val="2"/>
        <scheme val="minor"/>
      </rPr>
      <t xml:space="preserve"> men</t>
    </r>
    <r>
      <rPr>
        <sz val="10"/>
        <rFont val="Calibri"/>
        <family val="2"/>
        <scheme val="minor"/>
      </rPr>
      <t xml:space="preserve"> (per 100 randomised);
at 6-year follow-up;
Screening vs no screening</t>
    </r>
  </si>
  <si>
    <r>
      <t>Lung cancer mortality in</t>
    </r>
    <r>
      <rPr>
        <b/>
        <sz val="10"/>
        <rFont val="Calibri"/>
        <family val="2"/>
        <scheme val="minor"/>
      </rPr>
      <t xml:space="preserve"> men</t>
    </r>
    <r>
      <rPr>
        <sz val="10"/>
        <rFont val="Calibri"/>
        <family val="2"/>
        <scheme val="minor"/>
      </rPr>
      <t xml:space="preserve"> (per 1,000 randomised);
at 7-year follow-up;
Screening vs no screening</t>
    </r>
  </si>
  <si>
    <r>
      <t>Lung cancer mortality in</t>
    </r>
    <r>
      <rPr>
        <b/>
        <sz val="10"/>
        <rFont val="Calibri"/>
        <family val="2"/>
        <scheme val="minor"/>
      </rPr>
      <t xml:space="preserve"> men</t>
    </r>
    <r>
      <rPr>
        <sz val="10"/>
        <rFont val="Calibri"/>
        <family val="2"/>
        <scheme val="minor"/>
      </rPr>
      <t xml:space="preserve"> (per 100 randomised);
at 8-year follow-up;
Screening vs no screening</t>
    </r>
  </si>
  <si>
    <r>
      <t>Lung cancer mortality in</t>
    </r>
    <r>
      <rPr>
        <b/>
        <sz val="10"/>
        <rFont val="Calibri"/>
        <family val="2"/>
        <scheme val="minor"/>
      </rPr>
      <t xml:space="preserve"> men</t>
    </r>
    <r>
      <rPr>
        <sz val="10"/>
        <rFont val="Calibri"/>
        <family val="2"/>
        <scheme val="minor"/>
      </rPr>
      <t xml:space="preserve"> (per 100 randomised);
at 9-year follow-up;
Screening vs no screening</t>
    </r>
  </si>
  <si>
    <r>
      <t>Lung cancer mortality in</t>
    </r>
    <r>
      <rPr>
        <b/>
        <sz val="10"/>
        <rFont val="Calibri"/>
        <family val="2"/>
        <scheme val="minor"/>
      </rPr>
      <t xml:space="preserve"> men</t>
    </r>
    <r>
      <rPr>
        <sz val="10"/>
        <rFont val="Calibri"/>
        <family val="2"/>
        <scheme val="minor"/>
      </rPr>
      <t xml:space="preserve"> (per 100 randomised);
at 11-year follow-up;
Screening vs no screening</t>
    </r>
  </si>
  <si>
    <r>
      <t>Lung cancer mortality in</t>
    </r>
    <r>
      <rPr>
        <b/>
        <sz val="10"/>
        <rFont val="Calibri"/>
        <family val="2"/>
        <scheme val="minor"/>
      </rPr>
      <t xml:space="preserve"> men</t>
    </r>
    <r>
      <rPr>
        <sz val="10"/>
        <rFont val="Calibri"/>
        <family val="2"/>
        <scheme val="minor"/>
      </rPr>
      <t xml:space="preserve"> (per 1,000 PY); including lung cancer cases without known date of diagnosis;
at 10-years' follow-up or 31/12/2015;
Screening vs no screening</t>
    </r>
  </si>
  <si>
    <t>Number of lung cancer deaths (including cases without known date of lung cancer diagnosis); at 10-years' follow-up or 31/12/2015</t>
  </si>
  <si>
    <r>
      <t>Lung cancer mortality in</t>
    </r>
    <r>
      <rPr>
        <b/>
        <sz val="10"/>
        <rFont val="Calibri"/>
        <family val="2"/>
        <scheme val="minor"/>
      </rPr>
      <t xml:space="preserve"> men</t>
    </r>
    <r>
      <rPr>
        <sz val="10"/>
        <rFont val="Calibri"/>
        <family val="2"/>
        <scheme val="minor"/>
      </rPr>
      <t xml:space="preserve"> (per 100 randomised); including lung cancer cases without known date of diagnosis;
at 10-years' follow-up or 31/12/2015;
Screening vs no screening</t>
    </r>
  </si>
  <si>
    <t>Table 4 and Figure S2</t>
  </si>
  <si>
    <r>
      <t>All-cause mortality in</t>
    </r>
    <r>
      <rPr>
        <b/>
        <sz val="10"/>
        <rFont val="Calibri"/>
        <family val="2"/>
        <scheme val="minor"/>
      </rPr>
      <t xml:space="preserve"> men</t>
    </r>
    <r>
      <rPr>
        <sz val="10"/>
        <rFont val="Calibri"/>
        <family val="2"/>
        <scheme val="minor"/>
      </rPr>
      <t xml:space="preserve"> (per 1,000 PY);
at 10-years' follow-up or 31/12/2015;
Screening vs no screening</t>
    </r>
  </si>
  <si>
    <t xml:space="preserve">National registries in the Netherlands and Belgium, and a review committee confirmed
lung cancer as the cause of death when possible. 
</t>
  </si>
  <si>
    <t>Number of deaths from all causes; at 10-years' follow-up or 31/12/2015</t>
  </si>
  <si>
    <t>Table 4 and text: All-cause mortality at 10 years of follow-up was 13.93 deaths per 1000 person-years among male participants in the screening group and 13.76 deaths per 1000 person-years among those in the control group (rate ratio,
1.01; 95% CI, 0.92 to 1.11).</t>
  </si>
  <si>
    <r>
      <t>All-cause mortality in</t>
    </r>
    <r>
      <rPr>
        <b/>
        <sz val="10"/>
        <rFont val="Calibri"/>
        <family val="2"/>
        <scheme val="minor"/>
      </rPr>
      <t xml:space="preserve"> men</t>
    </r>
    <r>
      <rPr>
        <sz val="10"/>
        <rFont val="Calibri"/>
        <family val="2"/>
        <scheme val="minor"/>
      </rPr>
      <t xml:space="preserve"> (per 100 randomised);
at 10-years' follow-up or 31/12/2015;
Screening vs no screening</t>
    </r>
  </si>
  <si>
    <r>
      <t xml:space="preserve">Diagnostic yield at screening (rounds 1-4); per 1,000 </t>
    </r>
    <r>
      <rPr>
        <b/>
        <sz val="10"/>
        <rFont val="Calibri"/>
        <family val="2"/>
        <scheme val="minor"/>
      </rPr>
      <t>men</t>
    </r>
    <r>
      <rPr>
        <sz val="10"/>
        <rFont val="Calibri"/>
        <family val="2"/>
        <scheme val="minor"/>
      </rPr>
      <t>;
Screening arm only</t>
    </r>
  </si>
  <si>
    <t>National registries in the Netherlands and Belgium.</t>
  </si>
  <si>
    <t>Death or censoring at December 31, 2015, or 10 years of follow-up since randomization (whichever came first).</t>
  </si>
  <si>
    <r>
      <t xml:space="preserve">10 </t>
    </r>
    <r>
      <rPr>
        <sz val="10"/>
        <color rgb="FFFF0000"/>
        <rFont val="Calibri"/>
        <family val="2"/>
        <scheme val="minor"/>
      </rPr>
      <t xml:space="preserve"> </t>
    </r>
    <r>
      <rPr>
        <sz val="10"/>
        <rFont val="Calibri"/>
        <family val="2"/>
        <scheme val="minor"/>
      </rPr>
      <t>years</t>
    </r>
  </si>
  <si>
    <t>Number of screen-detected lung cancers (rounds 1-4)</t>
  </si>
  <si>
    <t>Table 2 and text: Finally, 467 of 22,600 CT scans (2.1%) were test-positive and required further workup by the pulmonologist, leading to 203 screening-detected lung cancers.</t>
  </si>
  <si>
    <t>Total number of lung cancers diagnosed at 10 years' follow-up or on 31/12/2015 (screen-detected plus non-screen-detected)</t>
  </si>
  <si>
    <t>Table 2, Table 3 and text: A total of 59.0% (203 of 344) of
all lung cancers in the screening group were detected on screening.</t>
  </si>
  <si>
    <r>
      <t xml:space="preserve">Absolute incidence of stage IA lung cancers (per 1,000 </t>
    </r>
    <r>
      <rPr>
        <b/>
        <sz val="10"/>
        <rFont val="Calibri"/>
        <family val="2"/>
        <scheme val="minor"/>
      </rPr>
      <t>men</t>
    </r>
    <r>
      <rPr>
        <sz val="10"/>
        <rFont val="Calibri"/>
        <family val="2"/>
        <scheme val="minor"/>
      </rPr>
      <t>); at 10-years' follow-up or 31/12/2015;
Screening vs no screening</t>
    </r>
  </si>
  <si>
    <t>Stage III+</t>
  </si>
  <si>
    <t>Number of stage IA lung cancers; at 10-years' follow-up or 31/12/2015</t>
  </si>
  <si>
    <r>
      <t xml:space="preserve">Absolute incidence of stage IB lung cancers (per 1,000 </t>
    </r>
    <r>
      <rPr>
        <b/>
        <sz val="10"/>
        <rFont val="Calibri"/>
        <family val="2"/>
        <scheme val="minor"/>
      </rPr>
      <t>men</t>
    </r>
    <r>
      <rPr>
        <sz val="10"/>
        <rFont val="Calibri"/>
        <family val="2"/>
        <scheme val="minor"/>
      </rPr>
      <t>); at 10-years' follow-up or 31/12/2015;
Screening vs no screening</t>
    </r>
  </si>
  <si>
    <t>Number of stage IB lung cancers; at 10-years' follow-up or 31/12/2015</t>
  </si>
  <si>
    <r>
      <t xml:space="preserve">Absolute incidence of stage I (stage IA + IB) lung cancers (per 1,000 </t>
    </r>
    <r>
      <rPr>
        <b/>
        <sz val="10"/>
        <rFont val="Calibri"/>
        <family val="2"/>
        <scheme val="minor"/>
      </rPr>
      <t>men</t>
    </r>
    <r>
      <rPr>
        <sz val="10"/>
        <rFont val="Calibri"/>
        <family val="2"/>
        <scheme val="minor"/>
      </rPr>
      <t>); at 10-years' follow-up or 31/12/2015;
Screening vs no screening</t>
    </r>
  </si>
  <si>
    <t>Number of stage I (stage IA +IB) lung cancers; at 10-years' follow-up or 31/12/2015</t>
  </si>
  <si>
    <r>
      <t xml:space="preserve">Absolute incidence of stage IIA lung cancers (per 1,000 </t>
    </r>
    <r>
      <rPr>
        <b/>
        <sz val="10"/>
        <rFont val="Calibri"/>
        <family val="2"/>
        <scheme val="minor"/>
      </rPr>
      <t>men</t>
    </r>
    <r>
      <rPr>
        <sz val="10"/>
        <rFont val="Calibri"/>
        <family val="2"/>
        <scheme val="minor"/>
      </rPr>
      <t>); at 10-years' follow-up or 31/12/2015;
Screening vs no screening</t>
    </r>
  </si>
  <si>
    <t>Number of stage IIA lung cancers; at 10-years' follow-up or 31/12/2015</t>
  </si>
  <si>
    <r>
      <t xml:space="preserve">Absolute incidence of stage IIB lung cancers (per 1,000 </t>
    </r>
    <r>
      <rPr>
        <b/>
        <sz val="10"/>
        <rFont val="Calibri"/>
        <family val="2"/>
        <scheme val="minor"/>
      </rPr>
      <t>men</t>
    </r>
    <r>
      <rPr>
        <sz val="10"/>
        <rFont val="Calibri"/>
        <family val="2"/>
        <scheme val="minor"/>
      </rPr>
      <t>); at 10-years' follow-up or 31/12/2015;
Screening vs no screening</t>
    </r>
  </si>
  <si>
    <t>Number of stage IIB lung cancers; at 10-years' follow-up or 31/12/2015</t>
  </si>
  <si>
    <r>
      <t xml:space="preserve">Absolute incidence of stage II (stage IIA + IIB) lung cancers (per 1,000 </t>
    </r>
    <r>
      <rPr>
        <b/>
        <sz val="10"/>
        <rFont val="Calibri"/>
        <family val="2"/>
        <scheme val="minor"/>
      </rPr>
      <t>men</t>
    </r>
    <r>
      <rPr>
        <sz val="10"/>
        <rFont val="Calibri"/>
        <family val="2"/>
        <scheme val="minor"/>
      </rPr>
      <t>); at 10-years' follow-up or 31/12/2015;
Screening vs no screening</t>
    </r>
  </si>
  <si>
    <t>Number of stage II (stage IIA +IIB) lung cancers; at 10-years' follow-up or 31/12/2015</t>
  </si>
  <si>
    <r>
      <t xml:space="preserve">Absolute incidence of stage IIIA lung cancers (per 1,000 </t>
    </r>
    <r>
      <rPr>
        <b/>
        <sz val="10"/>
        <rFont val="Calibri"/>
        <family val="2"/>
        <scheme val="minor"/>
      </rPr>
      <t>men</t>
    </r>
    <r>
      <rPr>
        <sz val="10"/>
        <rFont val="Calibri"/>
        <family val="2"/>
        <scheme val="minor"/>
      </rPr>
      <t>); at 10-years' follow-up or 31/12/2015;
Screening vs no screening</t>
    </r>
  </si>
  <si>
    <t>Number of stage IIIA lung cancers; at 10-years' follow-up or 31/12/2015</t>
  </si>
  <si>
    <r>
      <t xml:space="preserve">Absolute incidence of stage IIIB lung cancers (per 1,000 </t>
    </r>
    <r>
      <rPr>
        <b/>
        <sz val="10"/>
        <rFont val="Calibri"/>
        <family val="2"/>
        <scheme val="minor"/>
      </rPr>
      <t>men</t>
    </r>
    <r>
      <rPr>
        <sz val="10"/>
        <rFont val="Calibri"/>
        <family val="2"/>
        <scheme val="minor"/>
      </rPr>
      <t>); at 10-years' follow-up or 31/12/2015;
Screening vs no screening</t>
    </r>
  </si>
  <si>
    <t>Number of stage IIIB lung cancers; at 10-years' follow-up or 31/12/2015</t>
  </si>
  <si>
    <r>
      <t xml:space="preserve">Absolute incidence of stage III (stage IIIA + IIIB) lung cancers (per 1,000 </t>
    </r>
    <r>
      <rPr>
        <b/>
        <sz val="10"/>
        <rFont val="Calibri"/>
        <family val="2"/>
        <scheme val="minor"/>
      </rPr>
      <t>men</t>
    </r>
    <r>
      <rPr>
        <sz val="10"/>
        <rFont val="Calibri"/>
        <family val="2"/>
        <scheme val="minor"/>
      </rPr>
      <t>); at 10-years' follow-up or 31/12/2015;
Screening vs no screening</t>
    </r>
  </si>
  <si>
    <t>Number of stage III (stage IIIA +IIIB) lung cancers; at 10-years' follow-up or 31/12/2015</t>
  </si>
  <si>
    <r>
      <t xml:space="preserve">Absolute incidence of stage IV lung cancers (per 1,000 </t>
    </r>
    <r>
      <rPr>
        <b/>
        <sz val="10"/>
        <rFont val="Calibri"/>
        <family val="2"/>
        <scheme val="minor"/>
      </rPr>
      <t>men</t>
    </r>
    <r>
      <rPr>
        <sz val="10"/>
        <rFont val="Calibri"/>
        <family val="2"/>
        <scheme val="minor"/>
      </rPr>
      <t>); at 10-years' follow-up or 31/12/2015;
Screening vs no screening</t>
    </r>
  </si>
  <si>
    <t>Number of stage IV lung cancers; at 10-years' follow-up or 31/12/2015</t>
  </si>
  <si>
    <r>
      <t xml:space="preserve">Absolute incidence of late-stage (stage III-IV) lung cancers (per 1,000 </t>
    </r>
    <r>
      <rPr>
        <b/>
        <sz val="10"/>
        <rFont val="Calibri"/>
        <family val="2"/>
        <scheme val="minor"/>
      </rPr>
      <t>men</t>
    </r>
    <r>
      <rPr>
        <sz val="10"/>
        <rFont val="Calibri"/>
        <family val="2"/>
        <scheme val="minor"/>
      </rPr>
      <t>); at 10-years' follow-up or 31/12/2015;
Screening vs no screening</t>
    </r>
  </si>
  <si>
    <t>Number of stage III-IV lung cancers; at 10-years' follow-up or 31/12/2015</t>
  </si>
  <si>
    <r>
      <t xml:space="preserve">% of lung cancers diagnosed at late-stage (stage III-IV) in </t>
    </r>
    <r>
      <rPr>
        <b/>
        <sz val="10"/>
        <rFont val="Calibri"/>
        <family val="2"/>
        <scheme val="minor"/>
      </rPr>
      <t>men</t>
    </r>
    <r>
      <rPr>
        <sz val="10"/>
        <rFont val="Calibri"/>
        <family val="2"/>
        <scheme val="minor"/>
      </rPr>
      <t>; at 10-years' follow-up or 31/12/2015;
Screening vs no screening</t>
    </r>
  </si>
  <si>
    <t>Total number of lung cancers diagnosed at 10 years' follow-up or on 31/12/2015 (including cancers with missing stage data)</t>
  </si>
  <si>
    <t>Anttila 2011</t>
  </si>
  <si>
    <t>Cervical cancer mortality (per 1,000 women);
follow-up until 31/12/2007;
Papnet vs conventional</t>
  </si>
  <si>
    <t>Papnet</t>
  </si>
  <si>
    <t>Screening data, drawn from files of the national cervical cancer screening database, linked with the population and cancer registries.</t>
  </si>
  <si>
    <t>Emigration, death or at 31st of December 2007</t>
  </si>
  <si>
    <t>Maximum 9 years</t>
  </si>
  <si>
    <t>1,066,203 PY
Mean 6.3 years</t>
  </si>
  <si>
    <t>2,110,600 PY
Mean 6.3 years</t>
  </si>
  <si>
    <t>1-2</t>
  </si>
  <si>
    <t>1,931 emigrated;
3,695 non-cervical cancer deaths</t>
  </si>
  <si>
    <t>3,914 emigrated;
7,244 non-cervical cancer deaths</t>
  </si>
  <si>
    <t>Number of cervical cancer deaths; follow-up until 31/12/2007</t>
  </si>
  <si>
    <t>Table 2 and text: There were … 53 deaths (19 and 34, respectively) from cervical cancer.</t>
  </si>
  <si>
    <t>Cervical cancer mortality (per 100,000 PY);
follow-up until 31/12/2007;
Papnet vs conventional</t>
  </si>
  <si>
    <t>Person-years of follow-up (31/12/2007)</t>
  </si>
  <si>
    <t>Table 2 and text: There were … 53 deaths (19 and 34, respectively) from cervical cancer… There were no statistically significant differences in any of the studied outcomes in the comparisons between study arms for any of the detailed screening finding categories.</t>
  </si>
  <si>
    <t>All-cause mortality (per 1,000 women);
follow-up until 31/12/2007;
Papnet vs conventional</t>
  </si>
  <si>
    <t>1,931 emigrated</t>
  </si>
  <si>
    <t>3,914 emigrated</t>
  </si>
  <si>
    <t>Number of deaths from all causes; follow-up until 31/12/2007</t>
  </si>
  <si>
    <t>All-cause mortality (per 100,000 PY);
follow-up until 31/12/2007;
Papnet vs conventional</t>
  </si>
  <si>
    <t>Absolute incidence of invasive cervical cancer (per 1,000 women);
Follow-up until 31/12/2007;
Papnet vs conventional</t>
  </si>
  <si>
    <t>Invasive</t>
  </si>
  <si>
    <t>CIN3/AIS</t>
  </si>
  <si>
    <t>Emigration, death, or diagnosis of an invasive cervical cancer (or CIN3/AIS case), or at 31st of December 2007</t>
  </si>
  <si>
    <t>31/12/2007</t>
  </si>
  <si>
    <t>Number of invasive cervical cancer cases; diagnosed up to 31/12/2007</t>
  </si>
  <si>
    <t xml:space="preserve">Table 2 and text: There were 248 cases of cervical cancer in the study, 83 in the automation-assisted arm and 165 in the conventional arm… </t>
  </si>
  <si>
    <t>Absolute incidence of invasive cervical cancer (per 100,000 PY);
Follow-up until 31/12/2007;
Papnet vs conventional</t>
  </si>
  <si>
    <t>Person-years (up to 31/12/2007)</t>
  </si>
  <si>
    <t>Table 2 and text: There were 248 cases of cervical cancer in the study, 83 in the automation-assisted arm and 165 in the conventional arm… The RR of cervical cancer was 1.00 (0.76–
1.29); (Table 2) for automation-assisted screening in comparison
with conventional screening among all invited...There were no statistically significant differences in any of the studied outcomes in the comparisons between study arms for any of the detailed screening finding categories.</t>
  </si>
  <si>
    <t>% of all detected CIN3 or higher (CIN3, AIS, invasive cervical cancer) cases diagnosed late stage (invasive cervical cancer);
Follow-up until 31/12/2007;
Papnet vs conventional</t>
  </si>
  <si>
    <t>Number of all detected CIN3+ cases, follow-up until 31/12/2007</t>
  </si>
  <si>
    <t>Absolute incidence of CIN3/AIS (per 1,000 women);
Follow-up until 31/12/2007;
Papnet vs conventional</t>
  </si>
  <si>
    <t>Non-invasive (CIN3/AIS)</t>
  </si>
  <si>
    <t>Number of CIN3/AIS cases; diagnosed up to 31/12/2007</t>
  </si>
  <si>
    <t>Table 2 and text: The number of CIN3/AIS cases was 1,276 (420 and 856), respectively.</t>
  </si>
  <si>
    <t>Absolute incidence of CIN3/AIS (per 100,00 PY);
Follow-up until 31/12/2007;
Papnet vs conventional</t>
  </si>
  <si>
    <t>Table 2 and text: The number of CIN3/AIS cases was 1,276 (420 and 856), respectively… There were no statistically significant differences in any of the studied outcomes in the comparisons between study arms for any of the detailed screening finding categories.</t>
  </si>
  <si>
    <t>Shastri 2014</t>
  </si>
  <si>
    <t>Cervical cancer mortality (per 1,000 women randomised) after 12 years (31/12/2011);
VIA (Cervix) vs control</t>
  </si>
  <si>
    <t>Active monitoring at 24-month intervals by door-to-door survey by trained social workers, data matching with the ‘‘Mumbai Municipal Death Records’’ and the the population-based ‘‘Mumbai Cancer Registry’’.</t>
  </si>
  <si>
    <t>Due to migration, loss to follow-up, and death due to other causes.</t>
  </si>
  <si>
    <t>31/12/2011</t>
  </si>
  <si>
    <t>Up to 12 years</t>
  </si>
  <si>
    <t>602,696.2 PY;
mean 8.0 years</t>
  </si>
  <si>
    <t>604,288.2 PY; 
mean 7.9 years</t>
  </si>
  <si>
    <t>Number of cervical cancer deaths; follow-up until 31/12/2011</t>
  </si>
  <si>
    <t xml:space="preserve">Table 4 and text: There were 67 and 98 cervical cancer deaths in the screening and control groups, respectively. </t>
  </si>
  <si>
    <t>Cervical cancer mortality (per 100,000 PY) after 12 years (31/12/2011);
VIA (Cervix) vs control</t>
  </si>
  <si>
    <t>Person-years (up to 31/12/2011)</t>
  </si>
  <si>
    <t>Adjustments for design effect</t>
  </si>
  <si>
    <t>Table 4 and text: There were 67 and 98 cervical cancer deaths in the screening and control groups, respectively. This translated into a 31% reduction in cervical cancer mortality in the screening group compared with the control group (mortality RR = 0.69; 95% CI = 0.54 to 0.88; P = .003).</t>
  </si>
  <si>
    <t>For mortality, a crossover occurred at 3 years,
leading to a statistically significant reduction of 31% in the screening group by the 12th year.</t>
  </si>
  <si>
    <t>All-cause mortality (per 1,000 women randomised) after 12 years (31/12/2011);
VIA (Cervix) vs control</t>
  </si>
  <si>
    <t>Due to migration or loss to follow-up</t>
  </si>
  <si>
    <t>Number of deaths from all causes; follow-up until 31/12/2011</t>
  </si>
  <si>
    <t>Table 4 and text: During this period, the total number of deaths from all causes was 4909 in the screening group and 5275 in the control group (mortality RR = 0.93; 95% CI = 0.79 to 1.10; P = .41).</t>
  </si>
  <si>
    <t>For all-cause mortality estimation, all deaths in both groups were included.</t>
  </si>
  <si>
    <t>All-cause mortality (per 100,000 PY) after 12 years (31/12/2011);
VIA (Cervix) vs control</t>
  </si>
  <si>
    <t>Mittra 2021</t>
  </si>
  <si>
    <t>Breast cancer mortality (per 1,000 women randomised); follow-up until May 2018 (March 2019);
CBE (Breast) vs control</t>
  </si>
  <si>
    <t xml:space="preserve">Active monitoring at 24-month intervals by door-to-door survey by trained social workers, data matching with the ‘‘Mumbai Municipal Death Records’’ and the the population-based ‘‘Mumbai Cancer Registry’’. Cause of death in women with breast cancer blindly ascertained by 2 independent experts, with a 3rd blinded reviewer in case of discrepancy. </t>
  </si>
  <si>
    <t>Women who had migrated or were
lost to follow-up, or who had died from other causes.</t>
  </si>
  <si>
    <t>May 2018 (March 2019)</t>
  </si>
  <si>
    <t>Up to 20 years</t>
  </si>
  <si>
    <t>Median 18 years</t>
  </si>
  <si>
    <t>Number of breast cancer deaths; follow-up until May 2018 (March 2019)</t>
  </si>
  <si>
    <t>Table 3 and text: We recorded 213 breast cancer deaths in the screening arm and 251 deaths in the control arm …</t>
  </si>
  <si>
    <t>Cause of death could not be ascertained in 40 women. 
Breast cancer was assigned as a cause of death
only when at least two reviewers concurred (213
(83%) of 258 in the screening arm and 251 (90%) of
278 in the control arm).</t>
  </si>
  <si>
    <t>Breast cancer mortality (per 100,000 PY); follow-up until May 2018 (March 2019);
CBE (Breast) vs control</t>
  </si>
  <si>
    <t>Person-years (up to May 2018)</t>
  </si>
  <si>
    <t>Poisson regression model after adjusting for cluster design</t>
  </si>
  <si>
    <t>Table 3 and text: We recorded 213 breast cancer deaths in the screening arm and 251 deaths in the control arm (rate ratio 0.85 (95% confidence interval 0.71 to 1.01), P=0.07.</t>
  </si>
  <si>
    <r>
      <t xml:space="preserve">Breast cancer mortality </t>
    </r>
    <r>
      <rPr>
        <b/>
        <sz val="10"/>
        <rFont val="Calibri"/>
        <family val="2"/>
        <scheme val="minor"/>
      </rPr>
      <t>in women &lt;50 years</t>
    </r>
    <r>
      <rPr>
        <sz val="10"/>
        <rFont val="Calibri"/>
        <family val="2"/>
        <scheme val="minor"/>
      </rPr>
      <t xml:space="preserve"> (per 1,000 women randomised); follow-up until May 2018 (March 2019);
CBE (Breast) vs control</t>
    </r>
  </si>
  <si>
    <t>&lt;50 years</t>
  </si>
  <si>
    <t>763,141.8 PY;
mean 14.1 years</t>
  </si>
  <si>
    <t>751,367.0 PY;
mean 13.9 years</t>
  </si>
  <si>
    <r>
      <t xml:space="preserve">Number of breast cancer deaths </t>
    </r>
    <r>
      <rPr>
        <b/>
        <sz val="10"/>
        <rFont val="Calibri"/>
        <family val="2"/>
        <scheme val="minor"/>
      </rPr>
      <t>in women &lt;50 years</t>
    </r>
    <r>
      <rPr>
        <sz val="10"/>
        <rFont val="Calibri"/>
        <family val="2"/>
        <scheme val="minor"/>
      </rPr>
      <t>; follow-up until May 2018 (March 2019)</t>
    </r>
  </si>
  <si>
    <r>
      <t xml:space="preserve">Number of women </t>
    </r>
    <r>
      <rPr>
        <b/>
        <sz val="10"/>
        <rFont val="Calibri"/>
        <family val="2"/>
        <scheme val="minor"/>
      </rPr>
      <t>&lt;50 years</t>
    </r>
    <r>
      <rPr>
        <sz val="10"/>
        <rFont val="Calibri"/>
        <family val="2"/>
        <scheme val="minor"/>
      </rPr>
      <t xml:space="preserve"> randomised</t>
    </r>
  </si>
  <si>
    <t>Table 3 and text: Among women younger than 50, 149
breast cancer deaths were recorded in the screening
arm and 158 deaths in the control arm …</t>
  </si>
  <si>
    <t>Cause of death could not be ascertained in 40 women.
Information on age not available for 183 women in the screening arm and 81 women in the control arm among study participants of all ages.</t>
  </si>
  <si>
    <r>
      <t xml:space="preserve">Breast cancer mortality </t>
    </r>
    <r>
      <rPr>
        <b/>
        <sz val="10"/>
        <rFont val="Calibri"/>
        <family val="2"/>
        <scheme val="minor"/>
      </rPr>
      <t xml:space="preserve">in women &lt;50 years </t>
    </r>
    <r>
      <rPr>
        <sz val="10"/>
        <rFont val="Calibri"/>
        <family val="2"/>
        <scheme val="minor"/>
      </rPr>
      <t>(per 100,000 PY); follow-up until May 2018 (March 2019);
CBE (Breast) vs control</t>
    </r>
  </si>
  <si>
    <r>
      <t xml:space="preserve">Person-years, </t>
    </r>
    <r>
      <rPr>
        <b/>
        <sz val="10"/>
        <rFont val="Calibri"/>
        <family val="2"/>
        <scheme val="minor"/>
      </rPr>
      <t>women &lt;50</t>
    </r>
    <r>
      <rPr>
        <sz val="10"/>
        <rFont val="Calibri"/>
        <family val="2"/>
        <scheme val="minor"/>
      </rPr>
      <t xml:space="preserve"> years (up to May 2018)</t>
    </r>
  </si>
  <si>
    <t>Table 3 and text: Among women younger than 50, 149
breast cancer deaths were recorded in the screening
arm and 158 deaths in the control arm (0.93 (0.79 to
1.09), P=0.37).</t>
  </si>
  <si>
    <t>Cause of death could not be ascertained in 40 women. 
Information on age not available for 183 women in the screening arm and 81 women in the control arm among study participants of all ages.</t>
  </si>
  <si>
    <r>
      <t xml:space="preserve">Breast cancer mortality </t>
    </r>
    <r>
      <rPr>
        <b/>
        <sz val="10"/>
        <rFont val="Calibri"/>
        <family val="2"/>
        <scheme val="minor"/>
      </rPr>
      <t xml:space="preserve">in women </t>
    </r>
    <r>
      <rPr>
        <b/>
        <sz val="10"/>
        <rFont val="Calibri"/>
        <family val="2"/>
      </rPr>
      <t>≥</t>
    </r>
    <r>
      <rPr>
        <b/>
        <sz val="10"/>
        <rFont val="Calibri"/>
        <family val="2"/>
        <scheme val="minor"/>
      </rPr>
      <t>50 years</t>
    </r>
    <r>
      <rPr>
        <sz val="10"/>
        <rFont val="Calibri"/>
        <family val="2"/>
        <scheme val="minor"/>
      </rPr>
      <t xml:space="preserve"> (per 1,000 women randomised); follow-up until May 2018 (March 2019);
CBE (Breast) vs control</t>
    </r>
  </si>
  <si>
    <t>≥50 years</t>
  </si>
  <si>
    <t>259,955.2 PY;
mean 12.4 years</t>
  </si>
  <si>
    <t>268,133.1 PY;
mean 12.2 years</t>
  </si>
  <si>
    <r>
      <t xml:space="preserve">Number of breast cancer deaths </t>
    </r>
    <r>
      <rPr>
        <b/>
        <sz val="10"/>
        <rFont val="Calibri"/>
        <family val="2"/>
        <scheme val="minor"/>
      </rPr>
      <t xml:space="preserve">in women </t>
    </r>
    <r>
      <rPr>
        <b/>
        <sz val="10"/>
        <rFont val="Calibri"/>
        <family val="2"/>
      </rPr>
      <t>≥</t>
    </r>
    <r>
      <rPr>
        <b/>
        <sz val="10"/>
        <rFont val="Calibri"/>
        <family val="2"/>
        <scheme val="minor"/>
      </rPr>
      <t>50 years</t>
    </r>
    <r>
      <rPr>
        <sz val="10"/>
        <rFont val="Calibri"/>
        <family val="2"/>
        <scheme val="minor"/>
      </rPr>
      <t>; follow-up until May 2018 (March 2019)</t>
    </r>
  </si>
  <si>
    <r>
      <t>Number of women ≥</t>
    </r>
    <r>
      <rPr>
        <b/>
        <sz val="10"/>
        <rFont val="Calibri"/>
        <family val="2"/>
        <scheme val="minor"/>
      </rPr>
      <t>50 years</t>
    </r>
    <r>
      <rPr>
        <sz val="10"/>
        <rFont val="Calibri"/>
        <family val="2"/>
        <scheme val="minor"/>
      </rPr>
      <t xml:space="preserve"> randomised</t>
    </r>
  </si>
  <si>
    <t>Table 3 and text: Among women aged 50 and older, 64 breast cancer deaths were recorded in the screening arm and 93 deaths in the control arm...</t>
  </si>
  <si>
    <r>
      <t xml:space="preserve">Breast cancer mortality </t>
    </r>
    <r>
      <rPr>
        <b/>
        <sz val="10"/>
        <rFont val="Calibri"/>
        <family val="2"/>
        <scheme val="minor"/>
      </rPr>
      <t xml:space="preserve">in women≥50 years </t>
    </r>
    <r>
      <rPr>
        <sz val="10"/>
        <rFont val="Calibri"/>
        <family val="2"/>
        <scheme val="minor"/>
      </rPr>
      <t>(per 100,000 PY); follow-up until May 2018 (March 2019);
CBE (Breast) vs control</t>
    </r>
  </si>
  <si>
    <r>
      <t xml:space="preserve">Number of breast cancer deaths </t>
    </r>
    <r>
      <rPr>
        <b/>
        <sz val="10"/>
        <rFont val="Calibri"/>
        <family val="2"/>
        <scheme val="minor"/>
      </rPr>
      <t>in women ≥50 years</t>
    </r>
    <r>
      <rPr>
        <sz val="10"/>
        <rFont val="Calibri"/>
        <family val="2"/>
        <scheme val="minor"/>
      </rPr>
      <t>; follow-up until May 2018 (March 2019)</t>
    </r>
  </si>
  <si>
    <r>
      <t xml:space="preserve">Person-years, </t>
    </r>
    <r>
      <rPr>
        <b/>
        <sz val="10"/>
        <rFont val="Calibri"/>
        <family val="2"/>
        <scheme val="minor"/>
      </rPr>
      <t>women ≥50</t>
    </r>
    <r>
      <rPr>
        <sz val="10"/>
        <rFont val="Calibri"/>
        <family val="2"/>
        <scheme val="minor"/>
      </rPr>
      <t xml:space="preserve"> years (up to May 2018)</t>
    </r>
  </si>
  <si>
    <t>Table 3 and text: Among women aged 50 and older, 64 breast cancer deaths were recorded in the screening arm and 93 deaths in the control arm (0.71 (0.54 to 0.94), P=0.02; table 3).</t>
  </si>
  <si>
    <t>All-cause mortality (per 1,000 women randomised); follow-up until May 2018 (March 2019);
CBE (Breast) vs control</t>
  </si>
  <si>
    <t xml:space="preserve">Active monitoring at 24-month intervals by door-to-door survey by trained social workers, data matching with the ‘‘Mumbai Municipal Death Records’’ and the the population-based ‘‘Mumbai Cancer Registry’’. </t>
  </si>
  <si>
    <t>Women who had migrated or were
lost to follow-up.</t>
  </si>
  <si>
    <t>Number of deaths from all causes; follow-up until May 2018 (March 2019)</t>
  </si>
  <si>
    <t>All deaths in both arms were included for all cause mortality estimates.</t>
  </si>
  <si>
    <t>All-cause mortality (per 100,000 PY); follow-up until May 2018 (March 2019);
CBE (Breast) vs control</t>
  </si>
  <si>
    <t>Table 3 and text: All cause mortality rates were
1100.59 and 1162.25 per 100 000 women years in
the screened and controls arms, respectively (rate ratio
0.95 (95% confidence interval 0.81 to 1.10); P=0.49).</t>
  </si>
  <si>
    <r>
      <t xml:space="preserve">All-cause mortality </t>
    </r>
    <r>
      <rPr>
        <b/>
        <sz val="10"/>
        <rFont val="Calibri"/>
        <family val="2"/>
        <scheme val="minor"/>
      </rPr>
      <t>in women &lt;50 years</t>
    </r>
    <r>
      <rPr>
        <sz val="10"/>
        <rFont val="Calibri"/>
        <family val="2"/>
        <scheme val="minor"/>
      </rPr>
      <t xml:space="preserve"> (per 1,000 women randomised); follow-up until May 2018 (March 2019);
CBE (Breast) vs control</t>
    </r>
  </si>
  <si>
    <t>763,177.7 PY;
mean 14.1 years</t>
  </si>
  <si>
    <t>751,508.2 PY;
mean 13.9 years</t>
  </si>
  <si>
    <r>
      <t xml:space="preserve">Number of deaths from all causes </t>
    </r>
    <r>
      <rPr>
        <b/>
        <sz val="10"/>
        <rFont val="Calibri"/>
        <family val="2"/>
        <scheme val="minor"/>
      </rPr>
      <t>in women &lt;50 years</t>
    </r>
    <r>
      <rPr>
        <sz val="10"/>
        <rFont val="Calibri"/>
        <family val="2"/>
        <scheme val="minor"/>
      </rPr>
      <t>; follow-up until May 2018 (March 2019)</t>
    </r>
  </si>
  <si>
    <t>All deaths in both arms were included for all cause mortality estimates.
Information on age not available for 183 women in the screening arm and 81 women in the control arm among study participants of all ages.</t>
  </si>
  <si>
    <r>
      <t xml:space="preserve">All-cause mortality </t>
    </r>
    <r>
      <rPr>
        <b/>
        <sz val="10"/>
        <rFont val="Calibri"/>
        <family val="2"/>
        <scheme val="minor"/>
      </rPr>
      <t xml:space="preserve">in women &lt;50 years </t>
    </r>
    <r>
      <rPr>
        <sz val="10"/>
        <rFont val="Calibri"/>
        <family val="2"/>
        <scheme val="minor"/>
      </rPr>
      <t>(per 100,000 PY); follow-up until May 2018 (March 2019);
CBE (Breast) vs control</t>
    </r>
  </si>
  <si>
    <r>
      <t xml:space="preserve">All-cause mortality </t>
    </r>
    <r>
      <rPr>
        <b/>
        <sz val="10"/>
        <rFont val="Calibri"/>
        <family val="2"/>
        <scheme val="minor"/>
      </rPr>
      <t xml:space="preserve">in women </t>
    </r>
    <r>
      <rPr>
        <b/>
        <sz val="10"/>
        <rFont val="Calibri"/>
        <family val="2"/>
      </rPr>
      <t>≥</t>
    </r>
    <r>
      <rPr>
        <b/>
        <sz val="10"/>
        <rFont val="Calibri"/>
        <family val="2"/>
        <scheme val="minor"/>
      </rPr>
      <t>50 years</t>
    </r>
    <r>
      <rPr>
        <sz val="10"/>
        <rFont val="Calibri"/>
        <family val="2"/>
        <scheme val="minor"/>
      </rPr>
      <t xml:space="preserve"> (per 1,000 women randomised); follow-up until May 2018 (March 2019);
CBE (Breast) vs control</t>
    </r>
  </si>
  <si>
    <t>268,133.1 PY;
Mean 12.2 years</t>
  </si>
  <si>
    <r>
      <t xml:space="preserve">Number of deaths from all causes </t>
    </r>
    <r>
      <rPr>
        <b/>
        <sz val="10"/>
        <rFont val="Calibri"/>
        <family val="2"/>
        <scheme val="minor"/>
      </rPr>
      <t xml:space="preserve">in women </t>
    </r>
    <r>
      <rPr>
        <b/>
        <sz val="10"/>
        <rFont val="Calibri"/>
        <family val="2"/>
      </rPr>
      <t>≥</t>
    </r>
    <r>
      <rPr>
        <b/>
        <sz val="10"/>
        <rFont val="Calibri"/>
        <family val="2"/>
        <scheme val="minor"/>
      </rPr>
      <t>50 years</t>
    </r>
    <r>
      <rPr>
        <sz val="10"/>
        <rFont val="Calibri"/>
        <family val="2"/>
        <scheme val="minor"/>
      </rPr>
      <t>; follow-up until May 2018 (March 2019)</t>
    </r>
  </si>
  <si>
    <r>
      <t xml:space="preserve">All-cause mortality </t>
    </r>
    <r>
      <rPr>
        <b/>
        <sz val="10"/>
        <rFont val="Calibri"/>
        <family val="2"/>
        <scheme val="minor"/>
      </rPr>
      <t xml:space="preserve">in women≥50 years </t>
    </r>
    <r>
      <rPr>
        <sz val="10"/>
        <rFont val="Calibri"/>
        <family val="2"/>
        <scheme val="minor"/>
      </rPr>
      <t>(per 100,000 PY); follow-up until May 2018 (March 2019);
CBE (Breast) vs control</t>
    </r>
  </si>
  <si>
    <r>
      <t xml:space="preserve">Number of deaths from all causes </t>
    </r>
    <r>
      <rPr>
        <b/>
        <sz val="10"/>
        <rFont val="Calibri"/>
        <family val="2"/>
        <scheme val="minor"/>
      </rPr>
      <t>in women ≥50 years</t>
    </r>
    <r>
      <rPr>
        <sz val="10"/>
        <rFont val="Calibri"/>
        <family val="2"/>
        <scheme val="minor"/>
      </rPr>
      <t>; follow-up until May 2018 (March 2019)</t>
    </r>
  </si>
  <si>
    <t>Absolute incidence of invasive cervical cancer with stage &lt;IIB (per 1,000 women randomised) after 12 years (31/12/2011);
VIA (Cervix) vs control</t>
  </si>
  <si>
    <t>Stage &lt;IIB</t>
  </si>
  <si>
    <t>Stage ≥IIB</t>
  </si>
  <si>
    <t>602,152.3 PY;
mean 8.0 years</t>
  </si>
  <si>
    <t>603,811.8 PY;
mean 7.9 years</t>
  </si>
  <si>
    <t>No accurate staging information available</t>
  </si>
  <si>
    <t>Number of invasive cervical cancer with stage &lt;IIB; follow-up until 31/12/2011</t>
  </si>
  <si>
    <t>Accurate staging information was not available for 23
case patients from the screening group and 36 case patients from
the control group, which is an important limitation of the study.</t>
  </si>
  <si>
    <t>Absolute incidence of invasive cervical cancer with stage &lt;IIB (per 100,000 PY) after 12 years (31/12/2011);
VIA (Cervix) vs control</t>
  </si>
  <si>
    <t>Table 3 and Table 4</t>
  </si>
  <si>
    <r>
      <t xml:space="preserve">Absolute incidence of invasive cervical cancer with stage </t>
    </r>
    <r>
      <rPr>
        <sz val="10"/>
        <rFont val="Calibri"/>
        <family val="2"/>
      </rPr>
      <t>≥</t>
    </r>
    <r>
      <rPr>
        <sz val="10"/>
        <rFont val="Calibri"/>
        <family val="2"/>
        <scheme val="minor"/>
      </rPr>
      <t>IIB (per 1,000 women randomised) after 12 years (31/12/2011);
VIA (Cervix) vs control</t>
    </r>
  </si>
  <si>
    <r>
      <t xml:space="preserve">Number of invasive cervical cancer with stage </t>
    </r>
    <r>
      <rPr>
        <sz val="10"/>
        <rFont val="Calibri"/>
        <family val="2"/>
      </rPr>
      <t>≥</t>
    </r>
    <r>
      <rPr>
        <sz val="10"/>
        <rFont val="Calibri"/>
        <family val="2"/>
        <scheme val="minor"/>
      </rPr>
      <t>IIB; follow-up until 31/12/2011</t>
    </r>
  </si>
  <si>
    <t>Absolute incidence of invasive cervical cancer with stage ≥IIB (per 100,000 PY) after 12 years (31/12/2011);
VIA (Cervix) vs control</t>
  </si>
  <si>
    <r>
      <t xml:space="preserve">% of invasive cervical cancer diagnosed at late stage (stage </t>
    </r>
    <r>
      <rPr>
        <sz val="10"/>
        <rFont val="Calibri"/>
        <family val="2"/>
      </rPr>
      <t>≥</t>
    </r>
    <r>
      <rPr>
        <sz val="10"/>
        <rFont val="Calibri"/>
        <family val="2"/>
        <scheme val="minor"/>
      </rPr>
      <t>IIB) after 12 years (31/12/2011);
VIA (Cervix) vs control</t>
    </r>
  </si>
  <si>
    <t>Total number of invasive cervical cancers (including cases without accurate stage information) diagnosed up to 31/12/2011 (12 years)</t>
  </si>
  <si>
    <t>Diagnostic yield at screening (all 4 rounds); 
per 1,000 women randomised; 
CBE (Breast)</t>
  </si>
  <si>
    <t>Active monitoring by door-to-door survey by trained social workers, data matching with the ‘‘Mumbai Municipal Death Records’’ and the the population-based ‘‘Mumbai Cancer Registry’’.</t>
  </si>
  <si>
    <t>Number of screen-detected confirmed breast cancers; 1 women with bilateral cancer counted as 1 (4 rounds of screening)</t>
  </si>
  <si>
    <t>Supplementary Table 3 and text: Breast cancers included 114 screen detected cancers, 77 interval cancers, and eight cancers among women who did not adhere to screening in the preceding round.</t>
  </si>
  <si>
    <t>One participant with bilateral breast cancer considered once only.</t>
  </si>
  <si>
    <t>% of breast cancers that are screen-detected (all 4 rounds of screening); 
CBE (Breast)</t>
  </si>
  <si>
    <t>Total number of breast cancer cases detected during 4 rounds of screening (screen-detected plus interval plus non-screened)</t>
  </si>
  <si>
    <t>Absolute incidence of early stage (stage I-II) breast cancer; 
per 1,000 women randomised; 
follow-up until May 2018 (March 2019)
CBE (Breast) vs control</t>
  </si>
  <si>
    <t>Staging not available</t>
  </si>
  <si>
    <t>Number of stage I-II breast cancers; follow-up until May 2018 (March 2019)</t>
  </si>
  <si>
    <t>Staging information was unavailable in 41 women in the screening arm
and 73 women in the control arm. However, we saw no difference when comparing the survival of these women with missing information.</t>
  </si>
  <si>
    <t>Absolute incidence of late stage (stage III-IV) breast cancer; 
per 1,000 women randomised; 
follow-up until May 2018 (March 2019)
CBE (Breast) vs control</t>
  </si>
  <si>
    <t>Number of stage III-IV breast cancers; follow-up until May 2018 (March 2019)</t>
  </si>
  <si>
    <t>% of breast cancers diagnosed at late stage (stage III-IV); follow-up until May 2018 (March 2019)
CBE (Breast) vs control</t>
  </si>
  <si>
    <t>Total number of breast cancers (including cancers with missing stage data); follow-up until May 2018 (March 2019)</t>
  </si>
  <si>
    <t>Of the 641 women with breast cancer in the screening arm, one had bilateral breast cancer, who was considered only once.</t>
  </si>
  <si>
    <t>Absolute incidence of early stage (stage I-II) breast cancer (per 100,000 PY); 
follow-up until May 2018 (March 2019)
CBE (Breast) vs control</t>
  </si>
  <si>
    <t>Absolute incidence of late stage (stage III-IV) breast cancer (per 100,000 PY); 
follow-up until May 2018 (March 2019)
CBE (Breast) vs control</t>
  </si>
  <si>
    <r>
      <t xml:space="preserve">Absolute incidence of early stage (stage I-II) breast cancer </t>
    </r>
    <r>
      <rPr>
        <b/>
        <sz val="10"/>
        <rFont val="Calibri"/>
        <family val="2"/>
        <scheme val="minor"/>
      </rPr>
      <t>in women &lt;50 years</t>
    </r>
    <r>
      <rPr>
        <sz val="10"/>
        <rFont val="Calibri"/>
        <family val="2"/>
        <scheme val="minor"/>
      </rPr>
      <t>; 
per 1,000 women randomised; 
follow-up until May 2018 (March 2019)
CBE (Breast) vs control</t>
    </r>
  </si>
  <si>
    <r>
      <t xml:space="preserve">Number of stage I-II breast cancers </t>
    </r>
    <r>
      <rPr>
        <b/>
        <sz val="10"/>
        <rFont val="Calibri"/>
        <family val="2"/>
        <scheme val="minor"/>
      </rPr>
      <t>in women &lt;50 years</t>
    </r>
    <r>
      <rPr>
        <sz val="10"/>
        <rFont val="Calibri"/>
        <family val="2"/>
        <scheme val="minor"/>
      </rPr>
      <t>; follow-up until May 2018 (March 2019)</t>
    </r>
  </si>
  <si>
    <t>Table 1 and Table 2</t>
  </si>
  <si>
    <t>Information on age was not available for 183 women in the screening arm and 81 women in the control arm among the total women enrolled.</t>
  </si>
  <si>
    <r>
      <t xml:space="preserve">Absolute incidence of late stage (stage III-IV) breast cancer </t>
    </r>
    <r>
      <rPr>
        <b/>
        <sz val="10"/>
        <rFont val="Calibri"/>
        <family val="2"/>
        <scheme val="minor"/>
      </rPr>
      <t>in women &lt;50 years</t>
    </r>
    <r>
      <rPr>
        <sz val="10"/>
        <rFont val="Calibri"/>
        <family val="2"/>
        <scheme val="minor"/>
      </rPr>
      <t>; 
per 1,000 women randomised; 
follow-up until May 2018 (March 2019)
CBE (Breast) vs control</t>
    </r>
  </si>
  <si>
    <r>
      <t>Number of stage III-IV breast cancers</t>
    </r>
    <r>
      <rPr>
        <b/>
        <sz val="10"/>
        <rFont val="Calibri"/>
        <family val="2"/>
        <scheme val="minor"/>
      </rPr>
      <t xml:space="preserve"> in women &lt;50 years</t>
    </r>
    <r>
      <rPr>
        <sz val="10"/>
        <rFont val="Calibri"/>
        <family val="2"/>
        <scheme val="minor"/>
      </rPr>
      <t>; follow-up until May 2018 (March 2019)</t>
    </r>
  </si>
  <si>
    <r>
      <t xml:space="preserve">% of breast cancers diagnosed at late stage (stage III-IV) </t>
    </r>
    <r>
      <rPr>
        <b/>
        <sz val="10"/>
        <rFont val="Calibri"/>
        <family val="2"/>
        <scheme val="minor"/>
      </rPr>
      <t>in women &lt;50 years</t>
    </r>
    <r>
      <rPr>
        <sz val="10"/>
        <rFont val="Calibri"/>
        <family val="2"/>
        <scheme val="minor"/>
      </rPr>
      <t>; follow-up until May 2018 (March 2019)
CBE (Breast) vs control</t>
    </r>
  </si>
  <si>
    <r>
      <t xml:space="preserve">Number of stage III-IV breast cancers </t>
    </r>
    <r>
      <rPr>
        <b/>
        <sz val="10"/>
        <rFont val="Calibri"/>
        <family val="2"/>
        <scheme val="minor"/>
      </rPr>
      <t>in women &lt;50 years</t>
    </r>
    <r>
      <rPr>
        <sz val="10"/>
        <rFont val="Calibri"/>
        <family val="2"/>
        <scheme val="minor"/>
      </rPr>
      <t>; follow-up until May 2018 (March 2019)</t>
    </r>
  </si>
  <si>
    <r>
      <t xml:space="preserve">Total number of breast cancers (including cancers with missing stage data) </t>
    </r>
    <r>
      <rPr>
        <b/>
        <sz val="10"/>
        <rFont val="Calibri"/>
        <family val="2"/>
        <scheme val="minor"/>
      </rPr>
      <t>in women &lt;50 years</t>
    </r>
    <r>
      <rPr>
        <sz val="10"/>
        <rFont val="Calibri"/>
        <family val="2"/>
        <scheme val="minor"/>
      </rPr>
      <t>; follow-up until May 2018 (March 2019)</t>
    </r>
  </si>
  <si>
    <r>
      <t xml:space="preserve">Absolute incidence of early stage (stage I-II) breast cancer </t>
    </r>
    <r>
      <rPr>
        <b/>
        <sz val="10"/>
        <rFont val="Calibri"/>
        <family val="2"/>
        <scheme val="minor"/>
      </rPr>
      <t xml:space="preserve">in women </t>
    </r>
    <r>
      <rPr>
        <b/>
        <sz val="10"/>
        <rFont val="Calibri"/>
        <family val="2"/>
      </rPr>
      <t>≥</t>
    </r>
    <r>
      <rPr>
        <b/>
        <sz val="10"/>
        <rFont val="Calibri"/>
        <family val="2"/>
        <scheme val="minor"/>
      </rPr>
      <t>50 years</t>
    </r>
    <r>
      <rPr>
        <sz val="10"/>
        <rFont val="Calibri"/>
        <family val="2"/>
        <scheme val="minor"/>
      </rPr>
      <t>; 
per 1,000 women randomised; 
follow-up until May 2018 (March 2019)
CBE (Breast) vs control</t>
    </r>
  </si>
  <si>
    <r>
      <t xml:space="preserve">Absolute incidence of late stage (stage III-IV) breast cancer </t>
    </r>
    <r>
      <rPr>
        <b/>
        <sz val="10"/>
        <rFont val="Calibri"/>
        <family val="2"/>
        <scheme val="minor"/>
      </rPr>
      <t>in women ≥50 years</t>
    </r>
    <r>
      <rPr>
        <sz val="10"/>
        <rFont val="Calibri"/>
        <family val="2"/>
        <scheme val="minor"/>
      </rPr>
      <t>; 
per 1,000 women randomised; 
follow-up until May 2018 (March 2019)
CBE (Breast) vs control</t>
    </r>
  </si>
  <si>
    <r>
      <t xml:space="preserve">% of breast cancers diagnosed at late stage (stage III-IV) </t>
    </r>
    <r>
      <rPr>
        <b/>
        <sz val="10"/>
        <rFont val="Calibri"/>
        <family val="2"/>
        <scheme val="minor"/>
      </rPr>
      <t>in women ≥50 years</t>
    </r>
    <r>
      <rPr>
        <sz val="10"/>
        <rFont val="Calibri"/>
        <family val="2"/>
        <scheme val="minor"/>
      </rPr>
      <t>; follow-up until May 2018 (March 2019)
CBE (Breast) vs control</t>
    </r>
  </si>
  <si>
    <t>Sankar 2009</t>
  </si>
  <si>
    <t>Osmanabad Cervix</t>
  </si>
  <si>
    <t>Cervical cancer mortality (per 100,000 PY) and hazard ratio; follow-up until 31/12/2007;
VIA vs control</t>
  </si>
  <si>
    <t>District death registration offices, hospital records, and annual house visits. Cause of death for each subject with cervical cancer in the district assessed by blinded cancer-registry staff after evaluation of data from hospital records, death certificates, house visits,
and interviews of relatives or friends.</t>
  </si>
  <si>
    <t>Death, migration, or last follow-up visit, whichever occurred first. Data censored on 31/12/2007.</t>
  </si>
  <si>
    <t>267,917 PY
Mean 7.9 years</t>
  </si>
  <si>
    <t>248,175 PY
Mean 7.9 years</t>
  </si>
  <si>
    <t>Person-years of follow-up (up to 31/12/2007)</t>
  </si>
  <si>
    <t>Adjusted by  age</t>
  </si>
  <si>
    <t>Table 3, Table 4 and text: There were 34 deaths from cervical cancer in the HPV-testing group, 54 in the cytologic-testing
group, 56 in the VIA group, and 64 in the control group.</t>
  </si>
  <si>
    <t>comment MR 31/08/2023: are we also going to provide comparisons for HPV vs cyt, HPV vs VIA, cyt vs VIA (like in the Surrogates_Results worksheet)?</t>
  </si>
  <si>
    <t>Cervical cancer mortality (per 100,000 PY) and rate ratio; follow-up until 31/12/2007;
VIA vs control</t>
  </si>
  <si>
    <t>Cervical cancer mortality (per 1,000 women) and relative risk; follow-up until 31/12/2007;
VIA vs control</t>
  </si>
  <si>
    <t>Table 3, Table 4, Figure 2C text: There were 34 deaths from cervical cancer in the HPV-testing group, 54 in the cytologic-testing group, 56 in the VIA group, and 64 in the control group.</t>
  </si>
  <si>
    <t>Cervical cancer mortality (per 100,000 PY) and hazard ratio; follow-up until 31/12/2007;
Cytology vs control</t>
  </si>
  <si>
    <t>251,144 PY
Mean 7.8 years</t>
  </si>
  <si>
    <t>Cervical cancer mortality (per 100,000 PY) and rate ratio; follow-up until 31/12/2007;
Cytology vs control</t>
  </si>
  <si>
    <t>Cervical cancer mortality (per 1,000 women) and relative risk; follow-up until 31/12/2007;
Cytology vs control</t>
  </si>
  <si>
    <t>Cervical cancer mortality (per 100,000 PY) and hazard ratio; follow-up until 31/12/2007;
HPV vs control</t>
  </si>
  <si>
    <t>HPV</t>
  </si>
  <si>
    <t>268,674 PY
Mean 7.9 years</t>
  </si>
  <si>
    <t>Table 3, Table 4 and text: There were 34 deaths from cervical cancer in the HPV-testing group, 54 in the cytologic-testing
group, 56 in the VIA group, and 64 in the control group… In the HPV-testing group, ... the hazard ratio for death was 0.52 (95% CI, 0.33 to 0.83), as compared with the control group (Table 4).</t>
  </si>
  <si>
    <t>Cervical cancer mortality (per 100,000 PY) and rate ratio; follow-up until 31/12/2007;
HPV vs control</t>
  </si>
  <si>
    <t>Cervical cancer mortality (per 1,000 women) and relative risk; follow-up until 31/12/2007;
HPV vs control</t>
  </si>
  <si>
    <t>Table 3, Table 4, Figure 2C text: There were 34 deaths from cervical cancer in the HPV-testing group, 54 in the cytologic-testing group, 56 in the VIA group, and 64 in the control group… The cumulative incidence of advanced cervical cancer and the cumulative rate of death were lower in the HPV-testing group than in the control group, and the gap widened throughout the follow-up period.</t>
  </si>
  <si>
    <t>Sankar 2005</t>
  </si>
  <si>
    <r>
      <t>Diagnostic yield at screening (</t>
    </r>
    <r>
      <rPr>
        <b/>
        <sz val="10"/>
        <rFont val="Calibri"/>
        <family val="2"/>
        <scheme val="minor"/>
      </rPr>
      <t>invasive cancer</t>
    </r>
    <r>
      <rPr>
        <sz val="10"/>
        <rFont val="Calibri"/>
        <family val="2"/>
        <scheme val="minor"/>
      </rPr>
      <t xml:space="preserve">) per 100 women; 1 screening round (2000-2003);
VIA
</t>
    </r>
  </si>
  <si>
    <t>November 2003</t>
  </si>
  <si>
    <r>
      <t xml:space="preserve">Number of screen-detected </t>
    </r>
    <r>
      <rPr>
        <b/>
        <sz val="10"/>
        <rFont val="Calibri"/>
        <family val="2"/>
        <scheme val="minor"/>
      </rPr>
      <t>invasive cancers</t>
    </r>
    <r>
      <rPr>
        <sz val="10"/>
        <rFont val="Calibri"/>
        <family val="2"/>
        <scheme val="minor"/>
      </rPr>
      <t xml:space="preserve"> (1 screening round); 2000-2003</t>
    </r>
  </si>
  <si>
    <t>Text: Women diagnosed with invasive cancer during 2000–2003
included 112 (84 screen-detected and 28 clinically detected) in the
VIA arm…</t>
  </si>
  <si>
    <r>
      <t xml:space="preserve">% of </t>
    </r>
    <r>
      <rPr>
        <b/>
        <sz val="10"/>
        <rFont val="Calibri"/>
        <family val="2"/>
        <scheme val="minor"/>
      </rPr>
      <t>invasive cancers</t>
    </r>
    <r>
      <rPr>
        <sz val="10"/>
        <rFont val="Calibri"/>
        <family val="2"/>
        <scheme val="minor"/>
      </rPr>
      <t xml:space="preserve"> that are screen-detected; 1 screening round (2000-2003);
VIA
</t>
    </r>
  </si>
  <si>
    <r>
      <t xml:space="preserve">Number of screen-detected </t>
    </r>
    <r>
      <rPr>
        <b/>
        <sz val="10"/>
        <rFont val="Calibri"/>
        <family val="2"/>
        <scheme val="minor"/>
      </rPr>
      <t xml:space="preserve">invasive cancers </t>
    </r>
    <r>
      <rPr>
        <sz val="10"/>
        <rFont val="Calibri"/>
        <family val="2"/>
        <scheme val="minor"/>
      </rPr>
      <t>(1 screening round); 2000-2003</t>
    </r>
  </si>
  <si>
    <r>
      <t xml:space="preserve">Total number of </t>
    </r>
    <r>
      <rPr>
        <b/>
        <sz val="10"/>
        <rFont val="Calibri"/>
        <family val="2"/>
        <scheme val="minor"/>
      </rPr>
      <t>invasive cancers</t>
    </r>
    <r>
      <rPr>
        <sz val="10"/>
        <rFont val="Calibri"/>
        <family val="2"/>
        <scheme val="minor"/>
      </rPr>
      <t xml:space="preserve"> detected; 1 screening round (2000-2003)</t>
    </r>
  </si>
  <si>
    <r>
      <t>Diagnostic yield at screening (</t>
    </r>
    <r>
      <rPr>
        <b/>
        <sz val="10"/>
        <rFont val="Calibri"/>
        <family val="2"/>
        <scheme val="minor"/>
      </rPr>
      <t>invasive cancer + CIN2/3</t>
    </r>
    <r>
      <rPr>
        <sz val="10"/>
        <rFont val="Calibri"/>
        <family val="2"/>
        <scheme val="minor"/>
      </rPr>
      <t xml:space="preserve">) per 100 women; 1 screening round (2000-2003);
VIA
</t>
    </r>
  </si>
  <si>
    <r>
      <t xml:space="preserve">Number of screen-detected </t>
    </r>
    <r>
      <rPr>
        <b/>
        <sz val="10"/>
        <rFont val="Calibri"/>
        <family val="2"/>
        <scheme val="minor"/>
      </rPr>
      <t>invasive cancers or CIN2/3</t>
    </r>
    <r>
      <rPr>
        <sz val="10"/>
        <rFont val="Calibri"/>
        <family val="2"/>
        <scheme val="minor"/>
      </rPr>
      <t xml:space="preserve"> (1 screening round); 2000-2003</t>
    </r>
  </si>
  <si>
    <t>Text: Women diagnosed with invasive cancer during 2000–2003
included 112 (84 screen-detected and 28 clinically detected) in the
VIA arm… The positive predictive value for detecting CIN
2/3 and invasive cancer was 7.5% (278=3,731) for VIA, 19.0%
(340=1,790) for cytology and 10.9% (306=2,812) for HPV testing.</t>
  </si>
  <si>
    <r>
      <t xml:space="preserve">% of </t>
    </r>
    <r>
      <rPr>
        <b/>
        <sz val="10"/>
        <rFont val="Calibri"/>
        <family val="2"/>
        <scheme val="minor"/>
      </rPr>
      <t>invasive cancers or CIN2/3</t>
    </r>
    <r>
      <rPr>
        <sz val="10"/>
        <rFont val="Calibri"/>
        <family val="2"/>
        <scheme val="minor"/>
      </rPr>
      <t xml:space="preserve"> that are screen-detected; 1 screening round (2000-2003);
VIA
</t>
    </r>
  </si>
  <si>
    <r>
      <t>Total number of</t>
    </r>
    <r>
      <rPr>
        <b/>
        <sz val="10"/>
        <rFont val="Calibri"/>
        <family val="2"/>
        <scheme val="minor"/>
      </rPr>
      <t xml:space="preserve"> invasive cancers or CIN2/3</t>
    </r>
    <r>
      <rPr>
        <sz val="10"/>
        <rFont val="Calibri"/>
        <family val="2"/>
        <scheme val="minor"/>
      </rPr>
      <t xml:space="preserve"> detected; 1 screening round (2000-2003)</t>
    </r>
  </si>
  <si>
    <r>
      <t>Diagnostic yield at screening (</t>
    </r>
    <r>
      <rPr>
        <b/>
        <sz val="10"/>
        <rFont val="Calibri"/>
        <family val="2"/>
        <scheme val="minor"/>
      </rPr>
      <t>CIN2/3</t>
    </r>
    <r>
      <rPr>
        <sz val="10"/>
        <rFont val="Calibri"/>
        <family val="2"/>
        <scheme val="minor"/>
      </rPr>
      <t xml:space="preserve">) per 100 women; 1 screening round (2000-2003);
VIA
</t>
    </r>
  </si>
  <si>
    <r>
      <t xml:space="preserve">Number of screen-detected  </t>
    </r>
    <r>
      <rPr>
        <b/>
        <sz val="10"/>
        <rFont val="Calibri"/>
        <family val="2"/>
        <scheme val="minor"/>
      </rPr>
      <t>CIN2/3</t>
    </r>
    <r>
      <rPr>
        <sz val="10"/>
        <rFont val="Calibri"/>
        <family val="2"/>
        <scheme val="minor"/>
      </rPr>
      <t xml:space="preserve"> (1 screening round); 2000-2003</t>
    </r>
  </si>
  <si>
    <r>
      <t>% of</t>
    </r>
    <r>
      <rPr>
        <b/>
        <sz val="10"/>
        <rFont val="Calibri"/>
        <family val="2"/>
        <scheme val="minor"/>
      </rPr>
      <t xml:space="preserve"> CIN2/3</t>
    </r>
    <r>
      <rPr>
        <sz val="10"/>
        <rFont val="Calibri"/>
        <family val="2"/>
        <scheme val="minor"/>
      </rPr>
      <t xml:space="preserve"> that are screen-detected; 1 screening round (2000-2003);
VIA
</t>
    </r>
  </si>
  <si>
    <r>
      <t xml:space="preserve">Number of screen-detected </t>
    </r>
    <r>
      <rPr>
        <b/>
        <sz val="10"/>
        <rFont val="Calibri"/>
        <family val="2"/>
        <scheme val="minor"/>
      </rPr>
      <t xml:space="preserve">CIN2/3 </t>
    </r>
    <r>
      <rPr>
        <sz val="10"/>
        <rFont val="Calibri"/>
        <family val="2"/>
        <scheme val="minor"/>
      </rPr>
      <t>(1 screening round); 2000-2003</t>
    </r>
  </si>
  <si>
    <r>
      <t xml:space="preserve">Total number of </t>
    </r>
    <r>
      <rPr>
        <b/>
        <sz val="10"/>
        <rFont val="Calibri"/>
        <family val="2"/>
        <scheme val="minor"/>
      </rPr>
      <t xml:space="preserve">CIN2/3 </t>
    </r>
    <r>
      <rPr>
        <sz val="10"/>
        <rFont val="Calibri"/>
        <family val="2"/>
        <scheme val="minor"/>
      </rPr>
      <t>detected; 1 screening round (2000-2003)</t>
    </r>
  </si>
  <si>
    <r>
      <t>Diagnostic yield at screening (</t>
    </r>
    <r>
      <rPr>
        <b/>
        <sz val="10"/>
        <rFont val="Calibri"/>
        <family val="2"/>
        <scheme val="minor"/>
      </rPr>
      <t>invasive cancer)</t>
    </r>
    <r>
      <rPr>
        <sz val="10"/>
        <rFont val="Calibri"/>
        <family val="2"/>
        <scheme val="minor"/>
      </rPr>
      <t xml:space="preserve"> per 100 women; 1 screening round (2000-2003);
Cytology
</t>
    </r>
  </si>
  <si>
    <t>Text: Women diagnosed with invasive cancer during 2000–2003
... 123 (81 screen-detected and 42 clinically detected) in the cytology arm,…</t>
  </si>
  <si>
    <r>
      <t>% of</t>
    </r>
    <r>
      <rPr>
        <b/>
        <sz val="10"/>
        <rFont val="Calibri"/>
        <family val="2"/>
        <scheme val="minor"/>
      </rPr>
      <t xml:space="preserve"> invasive cancers</t>
    </r>
    <r>
      <rPr>
        <sz val="10"/>
        <rFont val="Calibri"/>
        <family val="2"/>
        <scheme val="minor"/>
      </rPr>
      <t xml:space="preserve"> that are screen-detected; 1 screening round (2000-2003);
Cytology
</t>
    </r>
  </si>
  <si>
    <r>
      <t>Total number of</t>
    </r>
    <r>
      <rPr>
        <b/>
        <sz val="10"/>
        <rFont val="Calibri"/>
        <family val="2"/>
        <scheme val="minor"/>
      </rPr>
      <t xml:space="preserve"> invasive cancers</t>
    </r>
    <r>
      <rPr>
        <sz val="10"/>
        <rFont val="Calibri"/>
        <family val="2"/>
        <scheme val="minor"/>
      </rPr>
      <t xml:space="preserve"> detected; 1 screening round (2000-2003)</t>
    </r>
  </si>
  <si>
    <r>
      <t>Diagnostic yield at screening (</t>
    </r>
    <r>
      <rPr>
        <b/>
        <sz val="10"/>
        <rFont val="Calibri"/>
        <family val="2"/>
        <scheme val="minor"/>
      </rPr>
      <t>invasive cancer plus CIN2/3</t>
    </r>
    <r>
      <rPr>
        <sz val="10"/>
        <rFont val="Calibri"/>
        <family val="2"/>
        <scheme val="minor"/>
      </rPr>
      <t xml:space="preserve">) per 100 women; 1 screening round (2000-2003);
Cytology
</t>
    </r>
  </si>
  <si>
    <r>
      <t xml:space="preserve">Number of screen-detected </t>
    </r>
    <r>
      <rPr>
        <b/>
        <sz val="10"/>
        <rFont val="Calibri"/>
        <family val="2"/>
        <scheme val="minor"/>
      </rPr>
      <t>invasive cancers and CIN2/3</t>
    </r>
    <r>
      <rPr>
        <sz val="10"/>
        <rFont val="Calibri"/>
        <family val="2"/>
        <scheme val="minor"/>
      </rPr>
      <t xml:space="preserve"> (1 screening round); 2000-2003</t>
    </r>
  </si>
  <si>
    <r>
      <t xml:space="preserve">% of </t>
    </r>
    <r>
      <rPr>
        <b/>
        <sz val="10"/>
        <rFont val="Calibri"/>
        <family val="2"/>
        <scheme val="minor"/>
      </rPr>
      <t>invasive cancers or CIN2/3</t>
    </r>
    <r>
      <rPr>
        <sz val="10"/>
        <rFont val="Calibri"/>
        <family val="2"/>
        <scheme val="minor"/>
      </rPr>
      <t xml:space="preserve"> that are screen-detected; 1 screening round (2000-2003);
Cytology
</t>
    </r>
  </si>
  <si>
    <r>
      <t xml:space="preserve">Total number of </t>
    </r>
    <r>
      <rPr>
        <b/>
        <sz val="10"/>
        <rFont val="Calibri"/>
        <family val="2"/>
        <scheme val="minor"/>
      </rPr>
      <t xml:space="preserve">invasive cancers and CIN2/3 </t>
    </r>
    <r>
      <rPr>
        <sz val="10"/>
        <rFont val="Calibri"/>
        <family val="2"/>
        <scheme val="minor"/>
      </rPr>
      <t>detected; 1 screening round (2000-2003)</t>
    </r>
  </si>
  <si>
    <r>
      <t>Diagnostic yield at screening (</t>
    </r>
    <r>
      <rPr>
        <b/>
        <sz val="10"/>
        <rFont val="Calibri"/>
        <family val="2"/>
        <scheme val="minor"/>
      </rPr>
      <t>CIN2/3</t>
    </r>
    <r>
      <rPr>
        <sz val="10"/>
        <rFont val="Calibri"/>
        <family val="2"/>
        <scheme val="minor"/>
      </rPr>
      <t xml:space="preserve">) per 100 women; 1 screening round (2000-2003);
Cytology
</t>
    </r>
  </si>
  <si>
    <r>
      <t xml:space="preserve">Number of screen-detected </t>
    </r>
    <r>
      <rPr>
        <b/>
        <sz val="10"/>
        <rFont val="Calibri"/>
        <family val="2"/>
        <scheme val="minor"/>
      </rPr>
      <t>CIN2/3</t>
    </r>
    <r>
      <rPr>
        <sz val="10"/>
        <rFont val="Calibri"/>
        <family val="2"/>
        <scheme val="minor"/>
      </rPr>
      <t xml:space="preserve"> (1 screening round); 2000-2003</t>
    </r>
  </si>
  <si>
    <r>
      <t xml:space="preserve">% of </t>
    </r>
    <r>
      <rPr>
        <b/>
        <sz val="10"/>
        <rFont val="Calibri"/>
        <family val="2"/>
        <scheme val="minor"/>
      </rPr>
      <t>CIN2/3</t>
    </r>
    <r>
      <rPr>
        <sz val="10"/>
        <rFont val="Calibri"/>
        <family val="2"/>
        <scheme val="minor"/>
      </rPr>
      <t xml:space="preserve"> that are screen-detected; 1 screening round (2000-2003);
Cytology
</t>
    </r>
  </si>
  <si>
    <r>
      <t>Number of screen-detected</t>
    </r>
    <r>
      <rPr>
        <b/>
        <sz val="10"/>
        <rFont val="Calibri"/>
        <family val="2"/>
        <scheme val="minor"/>
      </rPr>
      <t xml:space="preserve"> CIN2/3</t>
    </r>
    <r>
      <rPr>
        <sz val="10"/>
        <rFont val="Calibri"/>
        <family val="2"/>
        <scheme val="minor"/>
      </rPr>
      <t xml:space="preserve"> (1 screening round); 2000-2003</t>
    </r>
  </si>
  <si>
    <r>
      <t xml:space="preserve">Diagnostic yield at screening </t>
    </r>
    <r>
      <rPr>
        <b/>
        <sz val="10"/>
        <rFont val="Calibri"/>
        <family val="2"/>
        <scheme val="minor"/>
      </rPr>
      <t>(invasive cancer</t>
    </r>
    <r>
      <rPr>
        <sz val="10"/>
        <rFont val="Calibri"/>
        <family val="2"/>
        <scheme val="minor"/>
      </rPr>
      <t xml:space="preserve">) per 100 women; 1 screening round (2000-2003);
HPV
</t>
    </r>
  </si>
  <si>
    <t>Text: Women diagnosed with invasive cancer during 2000–2003
included ... 91 (63 screen-detected and 28 clinically
detected) in the HPV arm…</t>
  </si>
  <si>
    <r>
      <t xml:space="preserve">% of </t>
    </r>
    <r>
      <rPr>
        <b/>
        <sz val="10"/>
        <rFont val="Calibri"/>
        <family val="2"/>
        <scheme val="minor"/>
      </rPr>
      <t>invasive cancers</t>
    </r>
    <r>
      <rPr>
        <sz val="10"/>
        <rFont val="Calibri"/>
        <family val="2"/>
        <scheme val="minor"/>
      </rPr>
      <t xml:space="preserve"> that are screen-detected; 1 screening round (2000-2003);
HPV
</t>
    </r>
  </si>
  <si>
    <r>
      <t xml:space="preserve">Diagnostic yield at screening </t>
    </r>
    <r>
      <rPr>
        <b/>
        <sz val="10"/>
        <rFont val="Calibri"/>
        <family val="2"/>
        <scheme val="minor"/>
      </rPr>
      <t>(invasive cancer + CIN2/3</t>
    </r>
    <r>
      <rPr>
        <sz val="10"/>
        <rFont val="Calibri"/>
        <family val="2"/>
        <scheme val="minor"/>
      </rPr>
      <t xml:space="preserve">) per 100 women; 1 screening round (2000-2003);
HPV
</t>
    </r>
  </si>
  <si>
    <r>
      <t xml:space="preserve">% of </t>
    </r>
    <r>
      <rPr>
        <b/>
        <sz val="10"/>
        <rFont val="Calibri"/>
        <family val="2"/>
        <scheme val="minor"/>
      </rPr>
      <t xml:space="preserve">invasive cancers and CIN2/3 </t>
    </r>
    <r>
      <rPr>
        <sz val="10"/>
        <rFont val="Calibri"/>
        <family val="2"/>
        <scheme val="minor"/>
      </rPr>
      <t xml:space="preserve">that are screen-detected; 1 screening round (2000-2003);
HPV
</t>
    </r>
  </si>
  <si>
    <r>
      <t xml:space="preserve">Number of screen-detected </t>
    </r>
    <r>
      <rPr>
        <b/>
        <sz val="10"/>
        <rFont val="Calibri"/>
        <family val="2"/>
        <scheme val="minor"/>
      </rPr>
      <t xml:space="preserve">invasive cancers and CIN2/3 </t>
    </r>
    <r>
      <rPr>
        <sz val="10"/>
        <rFont val="Calibri"/>
        <family val="2"/>
        <scheme val="minor"/>
      </rPr>
      <t>(1 screening round); 2000-2003</t>
    </r>
  </si>
  <si>
    <r>
      <t xml:space="preserve">Total number of </t>
    </r>
    <r>
      <rPr>
        <b/>
        <sz val="10"/>
        <rFont val="Calibri"/>
        <family val="2"/>
        <scheme val="minor"/>
      </rPr>
      <t>invasive cancers and CIN2/3</t>
    </r>
    <r>
      <rPr>
        <sz val="10"/>
        <rFont val="Calibri"/>
        <family val="2"/>
        <scheme val="minor"/>
      </rPr>
      <t xml:space="preserve"> detected; 1 screening round (2000-2003)</t>
    </r>
  </si>
  <si>
    <r>
      <t xml:space="preserve">Diagnostic yield at screening </t>
    </r>
    <r>
      <rPr>
        <b/>
        <sz val="10"/>
        <rFont val="Calibri"/>
        <family val="2"/>
        <scheme val="minor"/>
      </rPr>
      <t>(CIN2/3</t>
    </r>
    <r>
      <rPr>
        <sz val="10"/>
        <rFont val="Calibri"/>
        <family val="2"/>
        <scheme val="minor"/>
      </rPr>
      <t xml:space="preserve">) per 100 women; 1 screening round (2000-2003);
HPV
</t>
    </r>
  </si>
  <si>
    <r>
      <t xml:space="preserve">% of </t>
    </r>
    <r>
      <rPr>
        <b/>
        <sz val="10"/>
        <rFont val="Calibri"/>
        <family val="2"/>
        <scheme val="minor"/>
      </rPr>
      <t xml:space="preserve">CIN2/3 </t>
    </r>
    <r>
      <rPr>
        <sz val="10"/>
        <rFont val="Calibri"/>
        <family val="2"/>
        <scheme val="minor"/>
      </rPr>
      <t xml:space="preserve">that are screen-detected; 1 screening round (2000-2003);
HPV
</t>
    </r>
  </si>
  <si>
    <r>
      <t xml:space="preserve">Total number of </t>
    </r>
    <r>
      <rPr>
        <b/>
        <sz val="10"/>
        <rFont val="Calibri"/>
        <family val="2"/>
        <scheme val="minor"/>
      </rPr>
      <t>CIN2/3</t>
    </r>
    <r>
      <rPr>
        <sz val="10"/>
        <rFont val="Calibri"/>
        <family val="2"/>
        <scheme val="minor"/>
      </rPr>
      <t xml:space="preserve"> detected; 1 screening round (2000-2003)</t>
    </r>
  </si>
  <si>
    <r>
      <t xml:space="preserve">Absolute incidence of </t>
    </r>
    <r>
      <rPr>
        <b/>
        <sz val="10"/>
        <rFont val="Calibri"/>
        <family val="2"/>
        <scheme val="minor"/>
      </rPr>
      <t>invasive cancer</t>
    </r>
    <r>
      <rPr>
        <sz val="10"/>
        <rFont val="Calibri"/>
        <family val="2"/>
        <scheme val="minor"/>
      </rPr>
      <t xml:space="preserve"> (per 100 women); diagnosed up to November 2003;
VIA vs control
</t>
    </r>
  </si>
  <si>
    <r>
      <t xml:space="preserve">Number of </t>
    </r>
    <r>
      <rPr>
        <b/>
        <sz val="10"/>
        <rFont val="Calibri"/>
        <family val="2"/>
        <scheme val="minor"/>
      </rPr>
      <t>invasive cancers</t>
    </r>
    <r>
      <rPr>
        <sz val="10"/>
        <rFont val="Calibri"/>
        <family val="2"/>
        <scheme val="minor"/>
      </rPr>
      <t>; diagnosed up to November 2003</t>
    </r>
  </si>
  <si>
    <t>Figure 1, Table II and text: Women diagnosed with invasive cancer during 2000–2003 included 112 (84 screen-detected and 28 clinically detected) in the VIA arm, 123 (81 screen-detected and 42 clinically detected) in the cytology arm, 91 (63 screen-detected and 28 clinically detected) in the HPV arm and 61 in the control group.</t>
  </si>
  <si>
    <t>The reported % seem to be the average of the cluster %, so a bit different to the calculated %.</t>
  </si>
  <si>
    <r>
      <t>Absolute incidence of</t>
    </r>
    <r>
      <rPr>
        <b/>
        <sz val="10"/>
        <rFont val="Calibri"/>
        <family val="2"/>
        <scheme val="minor"/>
      </rPr>
      <t xml:space="preserve"> invasive cancer</t>
    </r>
    <r>
      <rPr>
        <sz val="10"/>
        <rFont val="Calibri"/>
        <family val="2"/>
        <scheme val="minor"/>
      </rPr>
      <t xml:space="preserve"> (per 100 women); diagnosed up to November 2003;
Cytology vs control
</t>
    </r>
  </si>
  <si>
    <r>
      <t>Absolute incidence of</t>
    </r>
    <r>
      <rPr>
        <b/>
        <sz val="10"/>
        <rFont val="Calibri"/>
        <family val="2"/>
        <scheme val="minor"/>
      </rPr>
      <t xml:space="preserve"> invasive cancer</t>
    </r>
    <r>
      <rPr>
        <sz val="10"/>
        <rFont val="Calibri"/>
        <family val="2"/>
        <scheme val="minor"/>
      </rPr>
      <t xml:space="preserve"> (per 100 women); diagnosed up to November 2003;
HPV vs control
</t>
    </r>
  </si>
  <si>
    <r>
      <t xml:space="preserve">Absolute incidence of </t>
    </r>
    <r>
      <rPr>
        <b/>
        <sz val="10"/>
        <rFont val="Calibri"/>
        <family val="2"/>
        <scheme val="minor"/>
      </rPr>
      <t>invasive cancer</t>
    </r>
    <r>
      <rPr>
        <sz val="10"/>
        <rFont val="Calibri"/>
        <family val="2"/>
        <scheme val="minor"/>
      </rPr>
      <t xml:space="preserve"> (per 100 women); diagnosed up to November 2003;
VIA vs Cytology
</t>
    </r>
  </si>
  <si>
    <r>
      <t>Absolute incidence of</t>
    </r>
    <r>
      <rPr>
        <b/>
        <sz val="10"/>
        <rFont val="Calibri"/>
        <family val="2"/>
        <scheme val="minor"/>
      </rPr>
      <t xml:space="preserve"> invasive cancer</t>
    </r>
    <r>
      <rPr>
        <sz val="10"/>
        <rFont val="Calibri"/>
        <family val="2"/>
        <scheme val="minor"/>
      </rPr>
      <t xml:space="preserve"> (per 100 women); diagnosed up to November 2003;
VIA vs HPV</t>
    </r>
  </si>
  <si>
    <r>
      <t>Number of</t>
    </r>
    <r>
      <rPr>
        <b/>
        <sz val="10"/>
        <rFont val="Calibri"/>
        <family val="2"/>
        <scheme val="minor"/>
      </rPr>
      <t xml:space="preserve"> invasive cancers</t>
    </r>
    <r>
      <rPr>
        <sz val="10"/>
        <rFont val="Calibri"/>
        <family val="2"/>
        <scheme val="minor"/>
      </rPr>
      <t>; diagnosed up to November 2003</t>
    </r>
  </si>
  <si>
    <r>
      <t>Absolute incidence of</t>
    </r>
    <r>
      <rPr>
        <b/>
        <sz val="10"/>
        <rFont val="Calibri"/>
        <family val="2"/>
        <scheme val="minor"/>
      </rPr>
      <t xml:space="preserve"> invasive cancer </t>
    </r>
    <r>
      <rPr>
        <sz val="10"/>
        <rFont val="Calibri"/>
        <family val="2"/>
        <scheme val="minor"/>
      </rPr>
      <t>(per 100 women); diagnosed up to November 2003;
Cytology vs HPV</t>
    </r>
  </si>
  <si>
    <r>
      <t xml:space="preserve">Absolute incidence of </t>
    </r>
    <r>
      <rPr>
        <b/>
        <sz val="10"/>
        <rFont val="Calibri"/>
        <family val="2"/>
        <scheme val="minor"/>
      </rPr>
      <t xml:space="preserve">CIN2/3 </t>
    </r>
    <r>
      <rPr>
        <sz val="10"/>
        <rFont val="Calibri"/>
        <family val="2"/>
        <scheme val="minor"/>
      </rPr>
      <t xml:space="preserve">(per 100 women); diagnosed up to November 2003;
VIA vs control
</t>
    </r>
  </si>
  <si>
    <t>High-grade (CIN2/3)</t>
  </si>
  <si>
    <r>
      <t xml:space="preserve">Number of </t>
    </r>
    <r>
      <rPr>
        <b/>
        <sz val="10"/>
        <rFont val="Calibri"/>
        <family val="2"/>
        <scheme val="minor"/>
      </rPr>
      <t>CIN2/3</t>
    </r>
    <r>
      <rPr>
        <sz val="10"/>
        <rFont val="Calibri"/>
        <family val="2"/>
        <scheme val="minor"/>
      </rPr>
      <t>; diagnosed up to November 2003</t>
    </r>
  </si>
  <si>
    <r>
      <t>Absolute incidence of</t>
    </r>
    <r>
      <rPr>
        <b/>
        <sz val="10"/>
        <rFont val="Calibri"/>
        <family val="2"/>
        <scheme val="minor"/>
      </rPr>
      <t xml:space="preserve"> CIN2/3</t>
    </r>
    <r>
      <rPr>
        <sz val="10"/>
        <rFont val="Calibri"/>
        <family val="2"/>
        <scheme val="minor"/>
      </rPr>
      <t xml:space="preserve"> (per 100 women); diagnosed up to November 2003;
Cytology vs control
</t>
    </r>
  </si>
  <si>
    <r>
      <t>Absolute incidence of</t>
    </r>
    <r>
      <rPr>
        <b/>
        <sz val="10"/>
        <rFont val="Calibri"/>
        <family val="2"/>
        <scheme val="minor"/>
      </rPr>
      <t xml:space="preserve"> CIN2/3</t>
    </r>
    <r>
      <rPr>
        <sz val="10"/>
        <rFont val="Calibri"/>
        <family val="2"/>
        <scheme val="minor"/>
      </rPr>
      <t xml:space="preserve"> (per 100 women); diagnosed up to November 2003;
HPV vs control
</t>
    </r>
  </si>
  <si>
    <r>
      <t xml:space="preserve">Absolute incidence of </t>
    </r>
    <r>
      <rPr>
        <b/>
        <sz val="10"/>
        <rFont val="Calibri"/>
        <family val="2"/>
        <scheme val="minor"/>
      </rPr>
      <t>CIN2/3</t>
    </r>
    <r>
      <rPr>
        <sz val="10"/>
        <rFont val="Calibri"/>
        <family val="2"/>
        <scheme val="minor"/>
      </rPr>
      <t xml:space="preserve"> (per 100 women); diagnosed up to November 2003;
VIA vs Cytology
</t>
    </r>
  </si>
  <si>
    <t>Figure 1, Table II and text: 194 women were detected with
CIN 2/3 lesions in the VIA arm, 259 in the cytology arm and 243
in the HPV arm.</t>
  </si>
  <si>
    <r>
      <t>Absolute incidence of</t>
    </r>
    <r>
      <rPr>
        <b/>
        <sz val="10"/>
        <rFont val="Calibri"/>
        <family val="2"/>
        <scheme val="minor"/>
      </rPr>
      <t xml:space="preserve"> CIN2/3</t>
    </r>
    <r>
      <rPr>
        <sz val="10"/>
        <rFont val="Calibri"/>
        <family val="2"/>
        <scheme val="minor"/>
      </rPr>
      <t xml:space="preserve"> (per 100 women); diagnosed up to November 2003;
VIA vs HPV</t>
    </r>
  </si>
  <si>
    <r>
      <t xml:space="preserve">Absolute incidence of </t>
    </r>
    <r>
      <rPr>
        <b/>
        <sz val="10"/>
        <rFont val="Calibri"/>
        <family val="2"/>
        <scheme val="minor"/>
      </rPr>
      <t xml:space="preserve">CIN2/3 </t>
    </r>
    <r>
      <rPr>
        <sz val="10"/>
        <rFont val="Calibri"/>
        <family val="2"/>
        <scheme val="minor"/>
      </rPr>
      <t xml:space="preserve">(per 100 women); diagnosed up to November 2003;
Cytology vs HPV
</t>
    </r>
  </si>
  <si>
    <t>Stage II+</t>
  </si>
  <si>
    <t>Cancer registry, active case-finding methods; blinded outcome assessment performed by cancer registry personnel.</t>
  </si>
  <si>
    <t>Diagnosed within 3 months after positive results</t>
  </si>
  <si>
    <r>
      <t xml:space="preserve">Number of screen-detected </t>
    </r>
    <r>
      <rPr>
        <b/>
        <sz val="10"/>
        <rFont val="Calibri"/>
        <family val="2"/>
        <scheme val="minor"/>
      </rPr>
      <t>CIN2/3</t>
    </r>
    <r>
      <rPr>
        <sz val="10"/>
        <rFont val="Calibri"/>
        <family val="2"/>
        <scheme val="minor"/>
      </rPr>
      <t xml:space="preserve"> (1 screening round in 2000-2003; diagnosed within 3 months after positive result)</t>
    </r>
  </si>
  <si>
    <t>Table 2 and text: The detection rates of CIN grade 2 or 3 lesions and invasive cancer were similar in the three intervention groups
(P = 0.06 for CIN grade 2 and P = 0.16 for CIN grade 3 for all comparisons). CIN grade 2 or 3 lesions were detected in 245 women in the HPV testing group, 262 women in the cytologic-testing group, and 195 women in the VIA group.</t>
  </si>
  <si>
    <t>Numbers of screen-detected cancers and precancers different to numbers reported in #5969.</t>
  </si>
  <si>
    <r>
      <t>Diagnostic yield at screening (</t>
    </r>
    <r>
      <rPr>
        <b/>
        <sz val="10"/>
        <rFont val="Calibri"/>
        <family val="2"/>
        <scheme val="minor"/>
      </rPr>
      <t>CIN2/3</t>
    </r>
    <r>
      <rPr>
        <sz val="10"/>
        <rFont val="Calibri"/>
        <family val="2"/>
        <scheme val="minor"/>
      </rPr>
      <t>) per 100 women; 1 screening round (2000-2003);
Cytology</t>
    </r>
  </si>
  <si>
    <r>
      <t>Diagnostic yield at screening (</t>
    </r>
    <r>
      <rPr>
        <b/>
        <sz val="10"/>
        <rFont val="Calibri"/>
        <family val="2"/>
        <scheme val="minor"/>
      </rPr>
      <t>CIN2/3</t>
    </r>
    <r>
      <rPr>
        <sz val="10"/>
        <rFont val="Calibri"/>
        <family val="2"/>
        <scheme val="minor"/>
      </rPr>
      <t>) per 100 women; 1 screening round (2000-2003);
HPV</t>
    </r>
  </si>
  <si>
    <r>
      <t xml:space="preserve">Number of screen-detected </t>
    </r>
    <r>
      <rPr>
        <b/>
        <sz val="10"/>
        <rFont val="Calibri"/>
        <family val="2"/>
        <scheme val="minor"/>
      </rPr>
      <t>invasive cancer</t>
    </r>
    <r>
      <rPr>
        <sz val="10"/>
        <rFont val="Calibri"/>
        <family val="2"/>
        <scheme val="minor"/>
      </rPr>
      <t xml:space="preserve"> (1 screening round in 2000-2003; diagnosed within 3 months after positive results)</t>
    </r>
  </si>
  <si>
    <t>Table 2 and text: The numbers of cervical cancers that were detected on screening (i.e., those that were diagnosed
within 3 months after positive results) were 73 in the HPV-testing group, 83 in the cytologic-testing group, and 82 in the VIA group.</t>
  </si>
  <si>
    <r>
      <t>Diagnostic yield at screening (</t>
    </r>
    <r>
      <rPr>
        <b/>
        <sz val="10"/>
        <rFont val="Calibri"/>
        <family val="2"/>
        <scheme val="minor"/>
      </rPr>
      <t>invasive cancer</t>
    </r>
    <r>
      <rPr>
        <sz val="10"/>
        <rFont val="Calibri"/>
        <family val="2"/>
        <scheme val="minor"/>
      </rPr>
      <t>) per 100 women; 1 screening round (2000-2003);
Cytology</t>
    </r>
  </si>
  <si>
    <r>
      <t>Diagnostic yield at screening (</t>
    </r>
    <r>
      <rPr>
        <b/>
        <sz val="10"/>
        <rFont val="Calibri"/>
        <family val="2"/>
        <scheme val="minor"/>
      </rPr>
      <t>invasive cancer</t>
    </r>
    <r>
      <rPr>
        <sz val="10"/>
        <rFont val="Calibri"/>
        <family val="2"/>
        <scheme val="minor"/>
      </rPr>
      <t>) per 100 women; 1 screening round (2000-2003);
HPV</t>
    </r>
  </si>
  <si>
    <r>
      <t xml:space="preserve">Total number of </t>
    </r>
    <r>
      <rPr>
        <b/>
        <sz val="10"/>
        <rFont val="Calibri"/>
        <family val="2"/>
        <scheme val="minor"/>
      </rPr>
      <t>invasive cancers</t>
    </r>
    <r>
      <rPr>
        <sz val="10"/>
        <rFont val="Calibri"/>
        <family val="2"/>
        <scheme val="minor"/>
      </rPr>
      <t xml:space="preserve"> diagnosed up to 31/12/2007</t>
    </r>
  </si>
  <si>
    <t xml:space="preserve">Absolute incidence of stage IA cervical cancer (per 100,000 PY) and rate ratio; diagnosed up to 31/12/2007
VIA vs control
</t>
  </si>
  <si>
    <t>267,326 PY</t>
  </si>
  <si>
    <t>247,895 PY</t>
  </si>
  <si>
    <t>Number of stage IA cervical cancer (FIGO); diagnosed up to 31/12/2007</t>
  </si>
  <si>
    <t>Person-years of follow-up (until 31/12/2007)</t>
  </si>
  <si>
    <t xml:space="preserve">Absolute incidence of stage IA cervical cancer (per 1,000 women) and relative risk; diagnosed up to 31/12/2007
VIA vs control
</t>
  </si>
  <si>
    <t xml:space="preserve">Absolute incidence of stage IB cervical cancer (per 100,000 PY) and rate ratio; diagnosed up to 31/12/2007
VIA vs control
</t>
  </si>
  <si>
    <t xml:space="preserve">Absolute incidence of stage IB cervical cancer (per 1,000 women) and relative risk; diagnosed up to 31/12/2007
VIA vs control
</t>
  </si>
  <si>
    <t xml:space="preserve">Absolute incidence of stage I (stage IA + IB) cervical cancer (per 100,000 PY) and rate ratio; diagnosed up to 31/12/2007
VIA vs control
</t>
  </si>
  <si>
    <t>Number of stage I (IA + IB) cervical cancer (FIGO); diagnosed up to 31/12/2007</t>
  </si>
  <si>
    <t xml:space="preserve">Absolute incidence of stage I (stage IA + IB) cervical cancer (per 1,000 women) and relative risk; diagnosed up to 31/12/2007
VIA vs control
</t>
  </si>
  <si>
    <t xml:space="preserve">Absolute incidence of stage II+ cervical cancer (per 100,000 PY) and hazard ratio; diagnosed up to 31/12/2007
VIA vs control
</t>
  </si>
  <si>
    <t>Number of stage II+ cervical cancer (FIGO); diagnosed up to 31/12/2007</t>
  </si>
  <si>
    <t>Adjusted for age</t>
  </si>
  <si>
    <t xml:space="preserve">Absolute incidence of stage II+ cervical cancer (per 100,000 PY) and rate ratio; diagnosed up to 31/12/2007
VIA vs control
</t>
  </si>
  <si>
    <t xml:space="preserve">Absolute incidence of stage II+ cervical cancer (per 1,000 women) and relative risk; diagnosed up to 31/12/2007
VIA vs control
</t>
  </si>
  <si>
    <t>Table 3, Table 4 and Figure 2B</t>
  </si>
  <si>
    <t xml:space="preserve">% of cervical cancers diagnosed at late stage (stage II+); diagnosed up to 31/12/2007
VIA vs control
</t>
  </si>
  <si>
    <t>Total number of cervical cancers diagnosed up to 31/12/2007 (including cacners with unknown stage)</t>
  </si>
  <si>
    <t xml:space="preserve">Absolute incidence of stage IA cervical cancer (per 100,000 PY) and rate ratio; diagnosed up to 31/12/2007
Cytology vs control
</t>
  </si>
  <si>
    <t>250,523 PY</t>
  </si>
  <si>
    <t xml:space="preserve">Absolute incidence of stage IA cervical cancer (per 1,000 women) and relative risk; diagnosed up to 31/12/2007
Cytology vs control
</t>
  </si>
  <si>
    <t xml:space="preserve">Absolute incidence of stage IB cervical cancer (per 100,000 PY) and rate ratio; diagnosed up to 31/12/2007
Cytology vs control
</t>
  </si>
  <si>
    <t xml:space="preserve">Absolute incidence of stage IB cervical cancer (per 1,000 women) and relative risk; diagnosed up to 31/12/2007
Cytology vs control
</t>
  </si>
  <si>
    <t xml:space="preserve">Absolute incidence of stage I (stage IA + IB) cervical cancer (per 100,000 PY) and rate ratio; diagnosed up to 31/12/2007
Cytology vs control
</t>
  </si>
  <si>
    <t xml:space="preserve">Absolute incidence of stage I (stage IA + IB) cervical cancer (per 1,000 women) and relative risk; diagnosed up to 31/12/2007
Cytology vs control
</t>
  </si>
  <si>
    <t xml:space="preserve">Absolute incidence of stage II+ cervical cancer (per 100,000 PY) and hazard ratio; diagnosed up to 31/12/2007
Cytology vs control
</t>
  </si>
  <si>
    <t xml:space="preserve">Absolute incidence of stage II+ cervical cancer (per 100,000 PY) and rate ratio; diagnosed up to 31/12/2007
Cytology vs control
</t>
  </si>
  <si>
    <t xml:space="preserve">Absolute incidence of stage II+ cervical cancer (per 1,000 women) and relative risk; diagnosed up to 31/12/2007
Cytology vs control
</t>
  </si>
  <si>
    <t xml:space="preserve">% of cervical cancers diagnosed at late stage (stage II+); diagnosed up to 31/12/2007
Cytology vs control
</t>
  </si>
  <si>
    <t xml:space="preserve">Absolute incidence of stage IA cervical cancer (per 100,000 PY) and rate ratio; diagnosed up to 31/12/2007
HPV vs control
</t>
  </si>
  <si>
    <t>268,185 PY</t>
  </si>
  <si>
    <t xml:space="preserve">Absolute incidence of stage IA cervical cancer (per 1,000 women) and relative risk; diagnosed up to 31/12/2007
HPV vs control
</t>
  </si>
  <si>
    <t xml:space="preserve">Absolute incidence of stage IB cervical cancer (per 100,000 PY) and rate ratio; diagnosed up to 31/12/2007
HPV vs control
</t>
  </si>
  <si>
    <t xml:space="preserve">Absolute incidence of stage IB cervical cancer (per 1,000 women) and relative risk; diagnosed up to 31/12/2007
HPV vs control
</t>
  </si>
  <si>
    <t xml:space="preserve">Absolute incidence of stage I (stage IA + IB) cervical cancer (per 100,000 PY) and rate ratio; diagnosed up to 31/12/2007
HPV vs control
</t>
  </si>
  <si>
    <t xml:space="preserve">Absolute incidence of stage I (stage IA + IB) cervical cancer (per 1,000 women) and relative risk; diagnosed up to 31/12/2007
HPV vs control
</t>
  </si>
  <si>
    <t xml:space="preserve">Absolute incidence of stage II+ cervical cancer (per 100,000 PY) and hazard ratio; diagnosed up to 31/12/2007
HPV vs control
</t>
  </si>
  <si>
    <t>Table 3, Table 4 and text: In the HPV-testing group, the hazard ratio for the detection of advanced cancer was 0.47 (95% confidence interval
[CI], 0.32 to 0.69)… as compared to the control group. The cumulative incidence of advanced cervical cancer and the cumulative rate of death were lower in the HPV-testing group than in the control group, and the gap widened throughout the follow-up period.</t>
  </si>
  <si>
    <t xml:space="preserve">Absolute incidence of stage II+ cervical cancer (per 100,000 PY) and rate ratio; diagnosed up to 31/12/2007
HPV vs control
</t>
  </si>
  <si>
    <t xml:space="preserve">Absolute incidence of stage II+ cervical cancer (per 1,000 women) and relative risk; diagnosed up to 31/12/2007
HPV vs control
</t>
  </si>
  <si>
    <t xml:space="preserve">% of cervical cancers diagnosed at late stage (stage II+); diagnosed up to 31/12/2007
HPV vs control
</t>
  </si>
  <si>
    <t>Piccioli 2004</t>
  </si>
  <si>
    <t>Cancer-related mortality (per 100 people randomised); follow-up for 24 months;
Extensive screening vs usual care</t>
  </si>
  <si>
    <t>Extensive screening including imaging, blood tests, stool test, colonoscopy or sigmoidoscopy.</t>
  </si>
  <si>
    <t>Usual care +/- elements of screening</t>
  </si>
  <si>
    <t>3, 12 and 24-month follow-up visits; all potential outcome events  assessed centrally by experts unaware of strategy assignment.</t>
  </si>
  <si>
    <t>24 months</t>
  </si>
  <si>
    <t>Number of cancer-related deaths (death due to a malignant disease itself, or death due to complications of diagnostic or surgical procedures performed to diagnose or treat cancer); follow-up for 24 months</t>
  </si>
  <si>
    <t>Text: The primary outcome, cancer related mortality, occurred in two (2.0%) of the 99 patients of the extensive screening group vs. four (3.9%) of the 102 control patients, for an absolute difference of 1.9% (95% CI, -5.5–10.9%).</t>
  </si>
  <si>
    <t>Diagnostic yield at screening (1 screening round); per 100 people randomised;
Extensive screening</t>
  </si>
  <si>
    <t>Number of malignancies detected via work-up after a positive screening test</t>
  </si>
  <si>
    <t>Text: In a total of 13 (13.1%) patients, this work-up resulted in a
histologically confirmed diagnosis of malignancy.</t>
  </si>
  <si>
    <t>2 bladder cancer, 2 lung cancer, 1 kidney cancer, 1 andrenal gland,
1 stomach cancer, 1 liver cancer, 1 uterus cancer, 1 breast cancer, 1 ovarian cancer, 1 colon cancer, 1 prostate cancer</t>
  </si>
  <si>
    <t>% of cancers that are screen-detected (1 screening round); follow-up for 24 months;
Extensive screening</t>
  </si>
  <si>
    <t>Total number of cancers detected (screen-detected plus detected during follow-up)</t>
  </si>
  <si>
    <t>Text: Therefore, 13 of the 14 malignancies that became apparent in the extensive screening group were identified at the time of screening, for a sensitivity of initial screening of 93% (95 CI, 66–100%).</t>
  </si>
  <si>
    <t>Screen-detected: 2 bladder cancer, 2 lung cancer, 1 kidney cancer, 1 andrenal gland, 1 stomach cancer, 1 liver cancer, 1 uterus cancer, 1 breast cancer, 1 ovarian cancer, 1 colon cancer, 1 prostate cancer.
Follow-up period: 1 lung cancer.</t>
  </si>
  <si>
    <t>Absolute incidence of early-stage cancers (T1 or T2; N0 and M0); per 100 people randomised; follow-up for 24 months;
Extensive screening vs usual care</t>
  </si>
  <si>
    <t>T1 or T2; N0 and M0</t>
  </si>
  <si>
    <t>T1 or T2 without loco-regional or distant metastases (N0 M0)</t>
  </si>
  <si>
    <t>Number of early-stage cancers (T1 or T2; N0 and M0); diagnosed within 24 months of follow-up</t>
  </si>
  <si>
    <t>Table 3 and text: In total, nine of the 14 patients with cancer
in the extensive screening group vs. two of the 10 patients in
the control group had a T1 or T2 stage malignancy without loco-regional or distant metastases (P = 0.047).</t>
  </si>
  <si>
    <t>Screening: 1 kidney, 1 bladder, 1 adrenal gland, 1 liver, 1 uterus, 1 breast, 1 ovary, 1 colon, 1 prostate.
Control: 2 prostate.</t>
  </si>
  <si>
    <t>Absolute incidence of cancers with loco-regional or distant metastasis (N1 and/or M1); per 100 people randomised; follow-up for 24 months;
Extensive screening vs usual care</t>
  </si>
  <si>
    <t>N1 and/or M1</t>
  </si>
  <si>
    <t>Number of cancers with loco-regional or distant metastasis (N1 and/or M1); diagnosed within 24 months of follow-up</t>
  </si>
  <si>
    <t>Screening: 1 stomach, 3 lung, 1 bladder
Control: 1 stomach, 1 lung, 2 colon, 1 breast, 2 pancreas, 1 bladder</t>
  </si>
  <si>
    <t>Absolute incidence of T3 cancers; per 100 people randomised; follow-up for 24 months;
Extensive screening vs usual care</t>
  </si>
  <si>
    <t>T3</t>
  </si>
  <si>
    <t>Number of T3 cancers; diagnosed within 24 months of follow-up</t>
  </si>
  <si>
    <t>Table 3 and text: Stage T3 was found in one patient of the
extensive screening group as compared with four patients of
the control group.</t>
  </si>
  <si>
    <t>Screening: 1 stomach;
Control: 1 stomach, 2 colon, 1 pancreas.</t>
  </si>
  <si>
    <t>Prandoni 2016</t>
  </si>
  <si>
    <t>D'Aquapendente</t>
  </si>
  <si>
    <t>Cancer-related mortality (per 100 people randomised); 24 months follow-up;
Torso CT &amp; FOBT vs usual care (involving non-standardised screening)</t>
  </si>
  <si>
    <t>Usual care involving non-standardised screening</t>
  </si>
  <si>
    <t>Follow-up appointments at 3, 12 and 24 months from the index thromboembolic event. Date and cause of death, along with information on occurrence of cancer, including malignancy found at autopsy recorded.</t>
  </si>
  <si>
    <t>Migration or death from other causes</t>
  </si>
  <si>
    <t>Mean 22.8 (SD 4.1) months</t>
  </si>
  <si>
    <t>Mean 22.8 (SD 3.6) months</t>
  </si>
  <si>
    <t>Number of cancer-related deaths; 24 months follow-up</t>
  </si>
  <si>
    <t>Figure 1 and text: Overall, 7 (7.1%) patients of the CT-based strategy died, as compared with 11 (11.3%) allocated to the personalized strategy, with 2 and 4, respectively, due to cancer. Thus, the difference in mortality was -4.2% (95%CI, -12.3–3.9%; p = 0.67 by two-tailed log-rank test)... cancer-related mortality, as assessed during a 2-year follow-up period, did not differ between the two groups.</t>
  </si>
  <si>
    <t>All-cause mortality (per 100 people randomised); 24 months follow-up;
Torso CT &amp; FOBT vs usual care (involving non-standardised screening)</t>
  </si>
  <si>
    <t>Figure 1 and text: Overall, 7 (7.1%) patients of the CT-based strategy died, as compared with 11 (11.3%) allocated to the personalized strategy, with 2 and 4, respectively, due to cancer. Thus, the difference in mortality was -4.2% (95%CI, -12.3–3.9%; p = 0.67 by two-tailed log-rank test).</t>
  </si>
  <si>
    <t>Diagnostic yield at screening (per 100 people randomised);
Torso CT + FOBT vs usual care (involving non-standardised screening)</t>
  </si>
  <si>
    <t>1 month</t>
  </si>
  <si>
    <t>Number of cancers identified at work-up within 1 months of VTE diagnosis</t>
  </si>
  <si>
    <t>Text: During the first month following the VTE event, cancer was
identified in 10 of the 98 patients (10.2%) randomized to the
CT-based strategy, and in 8 of the 97 (8.2%) allocated to the personalized strategy…</t>
  </si>
  <si>
    <t>Within 1 month of VTE diagnosis</t>
  </si>
  <si>
    <t>% of cancers that are screen-detected (within 1 month of VTE diagnosis); follow-up for 24 months;
Torso CT + FOBT vs usual care (involving non-standardised screening)</t>
  </si>
  <si>
    <t>Total number of cancer diagnosed within 24 months of follow-up</t>
  </si>
  <si>
    <t>Figure 1, Table 2, Table 3 and text: A new cancer
became apparent during follow-up in 2of the 88 (2.3%)
patients of the CT-based group (at 2 and 5 months after
randomization, respectively), and in 2 of the 89 (2.2%) allo-
cated to the personalized strategy (after 9 and 16 months,
respectively). Therefore, the sensitivity of the CT strategy was 83% (95% CI, 52–97%), while that of the physicians’ clinical judgment strategy was 80% (95% CI, 44–97%; not a significant difference).</t>
  </si>
  <si>
    <t>Absolute incidence of stage I cancers (per 100 people randomised); follow-up for 24 months;
Torso CT + FOBT vs usual care (involving non-standardised screening)</t>
  </si>
  <si>
    <t>Advanced = stage IV</t>
  </si>
  <si>
    <t>Migration or death</t>
  </si>
  <si>
    <t>Number of stage I cancers diagnosed within 24 months of follow-up</t>
  </si>
  <si>
    <t>Table 3 and text: A stage1 (T1N0M0) malignancy was identified in only 1 patient in both groups, while the remaining cancers were all stages 2 to 4 .</t>
  </si>
  <si>
    <t>CT: 1 kidney;
Control: 1 colon.</t>
  </si>
  <si>
    <t>Absolute incidence of stage II cancers (per 100 people randomised); follow-up for 24 months;
Torso CT + FOBT vs usual care (involving non-standardised screening)</t>
  </si>
  <si>
    <t>Number of stage II cancers diagnosed within 24 months of follow-up</t>
  </si>
  <si>
    <t>CT: 1 ovary, 1 kidney;
Control: 1 liver.</t>
  </si>
  <si>
    <t>Absolute incidence of stage III cancers (per 100 people randomised); follow-up for 24 months;
Torso CT + FOBT vs usual care (involving non-standardised screening)</t>
  </si>
  <si>
    <t>Number of stage III cancers diagnosed within 24 months of follow-up</t>
  </si>
  <si>
    <t>CT: 1 kidney, 1 adrenal gland, 1 breast + lung,  2 lung, 1 bladder.
Control: 1 breast, 1 lung (nonsmall cell), 1 kidney, 1 prostate.</t>
  </si>
  <si>
    <t>Absolute incidence of stage IV cancers (per 100 people randomised); follow-up for 24 months;
Torso CT + FOBT vs usual care (involving non-standardised screening)</t>
  </si>
  <si>
    <t>Number of stage IV cancers diagnosed within 24 months of follow-up</t>
  </si>
  <si>
    <t>CT: 2 stomach, 1 pancreas + liver metastasis.
Control: 1 stomach, 1 esophagus, 1 pancreas, 1 colon.</t>
  </si>
  <si>
    <t>% of cancers diagnosed ad late-stage (stage IV); follow-up for 24 months;
Torso CT + FOBT vs usual care (involving non-standardised screening)</t>
  </si>
  <si>
    <t>Ji 2019</t>
  </si>
  <si>
    <t xml:space="preserve">NPC mortality (2009-2014), per 100,000 PY;
Screening vs controls </t>
  </si>
  <si>
    <t>EBV serology (+ indirect mirror and lymphatic palpation at baseline)</t>
  </si>
  <si>
    <t>Death Registry and Population Registry</t>
  </si>
  <si>
    <t>Emigration, non-NPC death</t>
  </si>
  <si>
    <t>Zhongshan City of 3 townships</t>
  </si>
  <si>
    <t>Median 6 years</t>
  </si>
  <si>
    <t>Median 6.0 
(IQR 4.6–6.0)</t>
  </si>
  <si>
    <t>Median 6.0 
(IQR 6.0–6.0)</t>
  </si>
  <si>
    <t>Number of NPC deaths (reports based on death certificates); follow-up until 31 December 2014</t>
  </si>
  <si>
    <t>Person years; follow-up until NPC death, censoring or 31 December 2014</t>
  </si>
  <si>
    <t>Adjusted for age and sex (Poisson regression model)</t>
  </si>
  <si>
    <t>Table 1, Figure 3 and text:
According to reports based on death certificates, 22 (6.2 per
100 000 person-year) participants in the screening group died
from NPC, compared with 23 (7.7 per 100 000 person-year) in
the control group...
The adjusted RRs of dying from NPC were 0.82 (95% CI 0.37–1.79) in the screening group ... compared
with the control group.</t>
  </si>
  <si>
    <t xml:space="preserve">NPC mortality (2009-2014), per 100,000 people;
Screening vs controls </t>
  </si>
  <si>
    <t>Per 100,000 people</t>
  </si>
  <si>
    <t>Table 1 and Figure 3</t>
  </si>
  <si>
    <t xml:space="preserve">All-cause mortality (2009-2014), per 100,000 PY;
Screening vs controls </t>
  </si>
  <si>
    <t>Number of deaths from all causes; follow-up until 31 December 2014</t>
  </si>
  <si>
    <t>Person years; follow-up until death, emigration or 31 December 2014</t>
  </si>
  <si>
    <t>Table 1, Figure 1, Table S4 and text:
The all causes mortality of the screening group and the control group were 339.2 and 418.5 per 100 000
person-year, respectively.</t>
  </si>
  <si>
    <t>Added up non-NPC and NPC deaths reported in Figure 1</t>
  </si>
  <si>
    <t xml:space="preserve">All-cause mortality (2009-2014), per 1,000 people analysed;
Screening vs controls </t>
  </si>
  <si>
    <t>Absolute incidence of cancers diagnosed at stage I (per 1,000 people); 
follow-up until 31 December 2014;
Screening vs control</t>
  </si>
  <si>
    <t>Stage I and II</t>
  </si>
  <si>
    <t>Annual blinded review by an expert panel (2 radiologists, 2 pathologists, and 2 oncologists)</t>
  </si>
  <si>
    <t>Emigration or death</t>
  </si>
  <si>
    <t>Median 6.0 years (IQR 4.6 - 6.0)</t>
  </si>
  <si>
    <t>Median 6.0 years (IQR 6.0 - 6.0)</t>
  </si>
  <si>
    <t>Number of NPC diagnosed at stage I (according to the 2008 Staging System of China); follow-up until 31 December 2014</t>
  </si>
  <si>
    <t>Number of people randomised and analysed</t>
  </si>
  <si>
    <t>Figure 2A and Table S2</t>
  </si>
  <si>
    <t>Absolute incidence of cancers diagnosed at stage II (per 1,000 people);
follow-up until 31 December 2014;
Screening vs control</t>
  </si>
  <si>
    <t>Number of NPC diagnosed at stage II (according to the 2008 Staging System of China); follow-up until 31 December 2014</t>
  </si>
  <si>
    <t>Absolute incidence of cancers diagnosed at stage I and II (early stage) (per 1,000 people);
follow-up until 31 December 2014;
Screening vs control</t>
  </si>
  <si>
    <t>Stage I or II</t>
  </si>
  <si>
    <t>Number of NPC diagnosed at stage I or II (according to the 2008 Staging System of China); follow-up until 31 December 2014</t>
  </si>
  <si>
    <t>Absolute incidence of cancers diagnosed at stage III (per 1,000 people);
follow-up until 31 December 2014;
Screening vs control</t>
  </si>
  <si>
    <t>Number of NPC diagnosed at stage III (according to the 2008 Staging System of China); follow-up until 31 December 2014</t>
  </si>
  <si>
    <t>Absolute incidence of cancers diagnosed at stage IV (per 1,000 people);
follow-up until 31 December 2014;
Screening vs control</t>
  </si>
  <si>
    <t>Number of NPC diagnosed at stage IV (according to the 2008 Staging System of China); follow-up until 31 December 2014</t>
  </si>
  <si>
    <t>Absolute incidence of cancers diagnosed at stage III or IV (per 1,000 people);
follow-up until 31 December 2014;
Screening vs control</t>
  </si>
  <si>
    <t>Number of NPC diagnosed at stage III or IV (according to the 2008 Staging System of China); follow-up until 31 December 2014</t>
  </si>
  <si>
    <t>% of cancers diagnosed at stages III or IV;
follow-up until 31 December 2014;
Screening vs control</t>
  </si>
  <si>
    <t>Total number of cancers diagnosed (including cancers with unknown stage); follow-up until 31 December 2014</t>
  </si>
  <si>
    <t>% of cancers diagnosed at stage IV;
follow-up until 31 December 2014;
Screening vs control</t>
  </si>
  <si>
    <t>Absolute incidence of cancers diagnosed as T1 (per 1,000 people);
follow-up until 31 December 2014;
Screening vs control</t>
  </si>
  <si>
    <t>T1</t>
  </si>
  <si>
    <t>Number of NPC diagnosed as T1 (TNM according to the 2008 Staging System of China); follow-up until 31 December 2014</t>
  </si>
  <si>
    <t>Table S2</t>
  </si>
  <si>
    <t>Absolute incidence of cancers diagnosed as T2 (per 1,000 people);
follow-up until 31 December 2014;
Screening vs control</t>
  </si>
  <si>
    <t>T2</t>
  </si>
  <si>
    <t>Number of NPC diagnosed as T2 (TNM according to the 2008 Staging System of China); follow-up until 31 December 2014</t>
  </si>
  <si>
    <t>Absolute incidence of cancers diagnosed as T3 (per 1,000 people);
follow-up until 31 December 2014;
Screening vs control</t>
  </si>
  <si>
    <t>Number of NPC diagnosed as T3 (TNM according to the 2008 Staging System of China); follow-up until 31 December 2014</t>
  </si>
  <si>
    <t>Absolute incidence of cancers diagnosed as T4 (per 1,000 people);
follow-up until 31 December 2014;
Screening vs control</t>
  </si>
  <si>
    <t>Number of NPC diagnosed as T4 (TNM according to the 2008 Staging System of China); follow-up until 31 December 2014</t>
  </si>
  <si>
    <t>Absolute incidence of cancers diagnosed as node N0 (node negative) (per 1,000 people);
follow-up until 31 December 2014;
Screening vs control</t>
  </si>
  <si>
    <t>N0</t>
  </si>
  <si>
    <t>Number of NPC diagnosed as N0 (TNM according to the 2008 Staging System of China); follow-up until 31 December 2014</t>
  </si>
  <si>
    <t>Absolute incidence of cancers diagnosed as node N1 (per 1,000 people);
follow-up until 31 December 2014;
Screening vs control</t>
  </si>
  <si>
    <t>N1</t>
  </si>
  <si>
    <t>Number of NPC diagnosed as N1 (TNM according to the 2008 Staging System of China); follow-up until 31 December 2014</t>
  </si>
  <si>
    <t>Absolute incidence of cancers diagnosed as node N2 (per 1,000 people);
follow-up until 31 December 2014;
Screening vs control</t>
  </si>
  <si>
    <t>N2</t>
  </si>
  <si>
    <t>Number of NPC diagnosed as N2 (TNM according to the 2008 Staging System of China); follow-up until 31 December 2014</t>
  </si>
  <si>
    <t>Absolute incidence of cancers diagnosed as node N3 (per 1,000 people);
follow-up until 31 December 2014;
Screening vs control</t>
  </si>
  <si>
    <t>N3</t>
  </si>
  <si>
    <t>Number of NPC diagnosed as N3 (TNM according to the 2008 Staging System of China); follow-up until 31 December 2014</t>
  </si>
  <si>
    <t>Absolute incidence of cancers diagnosed as node positive (N1 or N2 or N3) (per 1,000 people);
follow-up until 31 December 2014;
Screening vs control</t>
  </si>
  <si>
    <t>Node-positive (N1+N2+N3)</t>
  </si>
  <si>
    <t>Number of NPC diagnosed as N1 or N2 or N3 (TNM according to the 2008 Staging System of China); follow-up until 31 December 2014</t>
  </si>
  <si>
    <t>% of cancers diagnosed as node positive (N1 or N2 or N3);
follow-up until 31 December 2014;
Screening vs control</t>
  </si>
  <si>
    <t>Total number of cancers diagnosed with information on TNM stage; follow-up until 31 December 2014</t>
  </si>
  <si>
    <t>Absolute incidence of cancers diagnosed as metastasis M0 (per 1,000 people);
follow-up until 31 December 2014;
Screening vs control</t>
  </si>
  <si>
    <t>M stage</t>
  </si>
  <si>
    <t>M0</t>
  </si>
  <si>
    <t>Number of NPC diagnosed as M0 (TNM according to the 2008 Staging System of China); follow-up until 31 December 2014</t>
  </si>
  <si>
    <t>Absolute incidence of cancers diagnosed as metastasis M1 (per 1,000 people);
follow-up until 31 December 2014;
Screening vs control</t>
  </si>
  <si>
    <t>Number of NPC diagnosed as M1 (TNM according to the 2008 Staging System of China); follow-up until 31 December 2014</t>
  </si>
  <si>
    <t>% of cancers diagnosed as metastasis M1;
follow-up until 31 December 2014;
Screening vs control</t>
  </si>
  <si>
    <t>% of NPC that are screen-detected (1 initial round plus up to 3 annual retests);
median 4.5 years follow-up after initial screen</t>
  </si>
  <si>
    <t>Median 4.5 years after initial screen</t>
  </si>
  <si>
    <t>Number of screen-detected target cancers in intervention arm.</t>
  </si>
  <si>
    <t>Total number of target cancers detected (screen-detected and symptomatically detected) in intervention arm.</t>
  </si>
  <si>
    <t>Table S5</t>
  </si>
  <si>
    <t>Diagnostic yield at screening (1 initial round plus up to 3 annual retests); median 4.5 years follow-up after initial screen</t>
  </si>
  <si>
    <t>Table S5 and text: Three invitation rounds of screening examination were carried out, resulted in a screening cohort of 29 413 participants (41.8% of 70 296 eligible subjects)...
Of 56 screen-detected cases, 33 (58.9%) were detected in the initial round of the screening, 15 (26.8%), 7 (12.5%), and 1 (1.8%) were detected during the first, second, and third retests, respectively.</t>
  </si>
  <si>
    <t>Doroudi 2018</t>
  </si>
  <si>
    <t>Lung cancer mortality (per 1,000 PY); median follow-up of 5.2 years (through 2005);
LDCT vs CXR screening</t>
  </si>
  <si>
    <t>Linkage with the National Death Index; underlying cause of death variable was used to classify deaths into lung-cancer- or non-lung cancer-related.</t>
  </si>
  <si>
    <t>12/2005</t>
  </si>
  <si>
    <t>Median 5.2 years.</t>
  </si>
  <si>
    <t>Number of lung cancer deaths from trial entry through 2005 (median 5.2 years)</t>
  </si>
  <si>
    <t>Person years of follow-up (until 2007, median 5.2 years)</t>
  </si>
  <si>
    <t>Table 1 and text: There were 32 lung cancer deaths in the LDCT group as compared to 26 in the CXR group, giving rates per 1000 person-years (PYs) of 3.84 and 3.10, respectively,
and a rate ratio (LDCT group compared to CXR group) of
1.24 (95% confidence interval [CI] = 0.74 to 2.08)...
... lung cancer-specific mortality rates were similar between the two arms of the trial, with a slightly higher rate in the LDCT arm, but that was not statistically significant.</t>
  </si>
  <si>
    <t>Lung cancer mortality (per 100 people); median follow-up of 5.2 years (through 2005);
LDCT vs CXR screening</t>
  </si>
  <si>
    <t>Table 1 and text: There were 32 lung cancer deaths in the LDCT group as compared to 26 in the CXR group…</t>
  </si>
  <si>
    <t>All-cause mortality (per 1,000 PY); median follow-up of 5.2 years (through 2005);
LDCT vs CXR screening</t>
  </si>
  <si>
    <t>Linkage with the National Death Index</t>
  </si>
  <si>
    <t>Number of deaths from all causes from trial entry through 2005 (median 5.2 years)</t>
  </si>
  <si>
    <t>Table 1 and text: There were 139 and 116 total deaths in the LDCT and CXR groups, respectively, with corresponding all-cause mortality rates of 16.67 and 13.84 per 1000 PYs, and a rate ratio of 1.20 (95% CI = 0.94 to 1.54).</t>
  </si>
  <si>
    <t>All-cause mortality (per 100 people); median follow-up of 5.2 years (through 2005);
LDCT vs CXR screening</t>
  </si>
  <si>
    <t>Table 1 and text: There were 139 and 116 total deaths in the LDCT and CXR groups, respectively, …</t>
  </si>
  <si>
    <t>Gohagan 2004</t>
  </si>
  <si>
    <t>Diagnostic yield at screening (baseline screen), per 100 people;
LDCT vs chest X-ray</t>
  </si>
  <si>
    <t>Number of screen-detected lung cancers; baseline screen</t>
  </si>
  <si>
    <t>Text: Lung cancer was diagnosed in a total of 30 LDCT scan arm participants and 7 CXR arm participansts,...  giving a cancer detection rate among screened subjects of 1.9% in the LDCT scan arm and 0.45% in the CXR scan arm.</t>
  </si>
  <si>
    <t>Absolute incidence of stage I lung cancer, diagnosed at baseline screen (per 1000 people);
LDCT vs chest X-ray</t>
  </si>
  <si>
    <t>Unstaged</t>
  </si>
  <si>
    <t>Number of stage I lung cancers diagnosed up to 1 year after positive baseline screen</t>
  </si>
  <si>
    <t>Table 5 and text: In the LDCT arm, 16 of the 30 cancers (53%) were at stage I (stage IA, 9 cancers; stage IB, 7 cancers), while in the CXR arm 6 of the 7 cancers (86%) were at stage I (stage IA, 3 cancers; stage IB, 3 cancers).</t>
  </si>
  <si>
    <t>Absolute incidence of stage IA lung cancer, diagnosed at baseline screen (per 1000 people);
LDCT vs chest X-ray</t>
  </si>
  <si>
    <t>Number of stage IA lung cancers diagnosed up to 1 year after positive baseline screen</t>
  </si>
  <si>
    <t>Absolute incidence of stage IB lung cancer, diagnosed at baseline screen (per 1000 people);
LDCT vs chest X-ray</t>
  </si>
  <si>
    <t>Number of stage IB lung cancers diagnosed up to 1 year after positive baseline screen</t>
  </si>
  <si>
    <t>Absolute incidence of stage II lung cancer, diagnosed at baseline screen (per 1000 people);
LDCT vs chest X-ray</t>
  </si>
  <si>
    <t>Number of stage II lung cancers diagnosed up to 1 year after positive baseline screen</t>
  </si>
  <si>
    <t>Table 5 and text: Three stage II, size stage III, three stage IV, and two unstaged cancers were also seen in the LDCT scan arm, and one unstaged cancer was seen in the CXR arm.</t>
  </si>
  <si>
    <t>Absolute incidence of stage III lung cancer, diagnosed at baseline screen (per 1000 people);
LDCT vs chest X-ray</t>
  </si>
  <si>
    <t>Number of stage III lung cancers diagnosed up to 1 year after positive baseline screen</t>
  </si>
  <si>
    <t>Absolute incidence of stage IV lung cancer, diagnosed at baseline screen (per 1000 people);
LDCT vs chest X-ray</t>
  </si>
  <si>
    <t>Number of stage IV lung cancers diagnosed up to 1 year after positive baseline screen</t>
  </si>
  <si>
    <t>Gohagan 2005</t>
  </si>
  <si>
    <t>Diagnostic yield at screening (Year 1 screen), per 100 people;
LDCT vs chest X-ray</t>
  </si>
  <si>
    <t>Number of screen-detected lung cancers; Baseline plus year 1 screen</t>
  </si>
  <si>
    <t>Table 4 and text: Cancer yield was significantly less at year one for LDCT, 0.57%, than at baseline, 1.9%; cancer yield for CXR increased from 0.45% at baseline to 0.68% at year one.</t>
  </si>
  <si>
    <t>Diagnostic yield at screening (Baseline plus Year 1 screen), per 100 people;
LDCT vs chest X-ray</t>
  </si>
  <si>
    <t>Number of screen-detected lung cancers; Year 1 screen</t>
  </si>
  <si>
    <t>% of lung cancers that are screen-detected (diagnosed within 1 year after positive baseline screen);
LDCT vs chest X-ray</t>
  </si>
  <si>
    <t>Number of screen-detected lung cancers; diagnosed within 1 year after positive baseline screen</t>
  </si>
  <si>
    <t>Total number of cancers detected (screen-detected plus interval cancers)</t>
  </si>
  <si>
    <t>LDCT: 2 interval cancers: 1 - Year 0 screen not done; 1 - Year 0 screen positive, year 1 screen not done, diagnosis more than 1 year after a positive screen.
CXR: 4 interval cancers: All Year 0 screen negative.
Note that interval cases were identified through the study update form around the year 1 screen, for which completion rates were 91% in the LDCT arm and 87% in the CXR arm.</t>
  </si>
  <si>
    <t>% of lung cancers that are screen-detected (diagnosed within 1 year after positive baseline or at year 1 screens);
LDCT vs chest X-ray</t>
  </si>
  <si>
    <t>Number of screen-detected lung cancers; diagnosed within 1 year after positive baseline or year 1 screen</t>
  </si>
  <si>
    <t>Table 4 and text: Most cases, 38/40 (95%) in the LDCT and 16/20 (80%) in the CXR arm, were screen detected, defined here
as being diagnosed within one year of a positive screen.</t>
  </si>
  <si>
    <t>Absolute incidence of stage I lung cancer, baseline screen, year 1 screen and interval cancers (per 1000 people);
LDCT vs chest X-ray</t>
  </si>
  <si>
    <t>Medical records; a certified tumor registrar confirmed all reported lung cancers and abstracted their TNM stage, grade and histologic type.</t>
  </si>
  <si>
    <t>Unknown</t>
  </si>
  <si>
    <t>Number of stage I lung cancers detected at baseline screen, year 1 screen or interval cancers</t>
  </si>
  <si>
    <t>Absolute incidence of stage II lung cancer, baseline screen, year 1 screen and interval cancers (per 1000 people);
LDCT vs chest X-ray</t>
  </si>
  <si>
    <t>Number of stage II lung cancers detected at baseline screen, year 1 screen or interval cancers</t>
  </si>
  <si>
    <t>Absolute incidence of stage III lung cancer, baseline screen, year 1 screen and interval cancers (per 1000 people);
LDCT vs chest X-ray</t>
  </si>
  <si>
    <t>Number of stage III lung cancers detected at baseline screen, year 1 screen or interval cancers</t>
  </si>
  <si>
    <t>Absolute incidence of stage IV lung cancer, baseline screen, year 1 screen and interval cancers (per 1000 people);
LDCT vs chest X-ray</t>
  </si>
  <si>
    <t>Number of stage IV lung cancers detected at baseline screen, year 1 screen or interval cancers</t>
  </si>
  <si>
    <t>Absolute incidence of late stage (stage III-IV) lung cancer, baseline screen, year 1 screen and interval cancers (per 1000 people);
LDCT vs chest X-ray</t>
  </si>
  <si>
    <t>Number of stage III-IV lung cancers detected at baseline screen, year 1 screen or interval cancers</t>
  </si>
  <si>
    <t>Table 4 and text: The absolute number of stage III—IV cases was greater in the LDCT arm (n = 16) than in the CXR arm (n = 9)…
... the numbers here are small, and, in fact, this difference
between arms in the number of late stage cases is not statistically significantly different from zero (P = 0.09).</t>
  </si>
  <si>
    <t>% of lung cancers diagnosed at late stage (stage III-IV); baseline screen, year 1 screen and interval cancers;
LDCT vs chest X-ray</t>
  </si>
  <si>
    <t>Total number of lung cancers detected at baseline screen, year 1 screen or interval cancers (including those without information on stage)</t>
  </si>
  <si>
    <t>Table 4 and text: Overall, 48% of LDCT arm and 40% of CXR arm
cases were stage I, while 40% of LDCT and 45% of CXR arm cases were stage III—IV. The absolute number of stage III—IV cases was greater in the LDCT arm (n = 16) than in the CXR arm (n = 9)…
The distributions of stage and histopathologic type were not statistically significantly different between study arms (P = 0.8 and 0.5, respectively)</t>
  </si>
  <si>
    <t>Segnan 2011</t>
  </si>
  <si>
    <r>
      <t>CRC mortality (</t>
    </r>
    <r>
      <rPr>
        <b/>
        <sz val="10"/>
        <rFont val="Calibri"/>
        <family val="2"/>
        <scheme val="minor"/>
      </rPr>
      <t>proximal + distal</t>
    </r>
    <r>
      <rPr>
        <sz val="10"/>
        <rFont val="Calibri"/>
        <family val="2"/>
        <scheme val="minor"/>
      </rPr>
      <t>); per 100,000 PY; follow-up until 31/12/2008 (5 centres) or 31/12/2007 (1 centre);
FS vs no screening</t>
    </r>
  </si>
  <si>
    <t>Automated record linkage with the regional mortality registries, which also record the causes of death. Blinded review of death certificates from CRC cases (supplemented by clinical information, when available) by independent panel of experts from the population cancer registries covering the trial centers.</t>
  </si>
  <si>
    <t>Death, emigration, or end of follow-up</t>
  </si>
  <si>
    <t>31/12/2007 (1 centre);
31/12/2008 (5 centres)</t>
  </si>
  <si>
    <t>Median 11.4 years (IQR 10.8–11.9)</t>
  </si>
  <si>
    <t>Number of CRC death (all sites); follow-up until 31/12/2008 (5 centres) or 31/12/2007 (1 centre)</t>
  </si>
  <si>
    <t>Person-years; follow-up until 31/12/2008 (5 centres) or 31/12/2007 (1 centre)</t>
  </si>
  <si>
    <t>Table 1 and text: CRC was assigned as the underlying cause of death in 148 subjects (65 in the intervention group and 83 in the control group); CRC mortality rates in the intervention and control groups were 34.66 and 44.45, respectively, per 100 000 person-years. In the intervention group as a whole, total CRC mortality was reduced by 22% (RR = 0.78, 95% CI = 0.56 to 1.08)...</t>
  </si>
  <si>
    <t>1 center had 1 year shorter follow-up due to delay in the updating of the mortality registry at this center.</t>
  </si>
  <si>
    <r>
      <t>CRC mortality (</t>
    </r>
    <r>
      <rPr>
        <b/>
        <sz val="10"/>
        <rFont val="Calibri"/>
        <family val="2"/>
        <scheme val="minor"/>
      </rPr>
      <t>proximal + distal</t>
    </r>
    <r>
      <rPr>
        <sz val="10"/>
        <rFont val="Calibri"/>
        <family val="2"/>
        <scheme val="minor"/>
      </rPr>
      <t>); per 1,000 analysed; follow-up until 31/12/2008 (5 centres) or 31/12/2007 (1 centre);
FS vs no screening</t>
    </r>
  </si>
  <si>
    <r>
      <t>CRC mortality (</t>
    </r>
    <r>
      <rPr>
        <b/>
        <sz val="10"/>
        <rFont val="Calibri"/>
        <family val="2"/>
        <scheme val="minor"/>
      </rPr>
      <t>distal</t>
    </r>
    <r>
      <rPr>
        <sz val="10"/>
        <rFont val="Calibri"/>
        <family val="2"/>
        <scheme val="minor"/>
      </rPr>
      <t>); per 100,000 PY; follow-up until 31/12/2008 (5 centres) or 31/12/2007 (1 centre);
FS vs no screening</t>
    </r>
  </si>
  <si>
    <t>Number of CRC death (distal); follow-up until 31/12/2008 (5 centres) or 31/12/2007 (1 centre)</t>
  </si>
  <si>
    <t>Table 1 and text: In the intervention group as a whole, … and distal CRC mortality was reduced by 27% (RR = 0.73, 95% CI = 0.47 to 1.12) compared with the control group.</t>
  </si>
  <si>
    <t>1 center had 1 year shorter follow-up due to delay in the updating of the mortality registry at this center.
Distal = including the descending colon together with the rectum and sigmoid.</t>
  </si>
  <si>
    <r>
      <t>CRC mortality (</t>
    </r>
    <r>
      <rPr>
        <b/>
        <sz val="10"/>
        <rFont val="Calibri"/>
        <family val="2"/>
        <scheme val="minor"/>
      </rPr>
      <t>distal</t>
    </r>
    <r>
      <rPr>
        <sz val="10"/>
        <rFont val="Calibri"/>
        <family val="2"/>
        <scheme val="minor"/>
      </rPr>
      <t>); per 1,000 analysed; follow-up until 31/12/2008 (5 centres) or 31/12/2007 (1 centre);
FS vs no screening</t>
    </r>
  </si>
  <si>
    <r>
      <t>CRC mortality (</t>
    </r>
    <r>
      <rPr>
        <b/>
        <sz val="10"/>
        <rFont val="Calibri"/>
        <family val="2"/>
        <scheme val="minor"/>
      </rPr>
      <t>proximal</t>
    </r>
    <r>
      <rPr>
        <sz val="10"/>
        <rFont val="Calibri"/>
        <family val="2"/>
        <scheme val="minor"/>
      </rPr>
      <t>); per 100,000 PY; follow-up until 31/12/2008 (5 centres) or 31/12/2007 (1 centre);
FS vs no screening</t>
    </r>
  </si>
  <si>
    <t>Number of CRC death (proximal); follow-up until 31/12/2008 (5 centres) or 31/12/2007 (1 centre)</t>
  </si>
  <si>
    <r>
      <t>CRC mortality (</t>
    </r>
    <r>
      <rPr>
        <b/>
        <sz val="10"/>
        <rFont val="Calibri"/>
        <family val="2"/>
        <scheme val="minor"/>
      </rPr>
      <t>proximal</t>
    </r>
    <r>
      <rPr>
        <sz val="10"/>
        <rFont val="Calibri"/>
        <family val="2"/>
        <scheme val="minor"/>
      </rPr>
      <t>); per 1,000 analysed; follow-up until 31/12/2008 (5 centres) or 31/12/2007 (1 centre);
FS vs no screening</t>
    </r>
  </si>
  <si>
    <t>All-cause mortality; per 100,000 PY; follow-up until 31/12/2008 (5 centres) or 31/12/2007 (1 centre);
FS vs no screening</t>
  </si>
  <si>
    <t>Could not be traced</t>
  </si>
  <si>
    <t>Number of deaths from all causes (CRC + non-CRC); follow-up until 31/12/2008 (5 centres) or 31/12/2007 (1 centre)</t>
  </si>
  <si>
    <t>Table 1 and text: There were 2435 deaths in the study cohort during the follow-up period (1233 in the control and 1202 in the intervention group); the cumulative all-cause mortality at the end of the 11.4 years of follow-up was 660.26 per 100 000 person-years in the control and 640.96 per 100 000 person-years in the intervention group.</t>
  </si>
  <si>
    <t>All-cause mortality; per 1,000 analysed; follow-up until 31/12/2008 (5 centres) or 31/12/2007 (1 centre);
FS vs no screening</t>
  </si>
  <si>
    <t>Juul 2022</t>
  </si>
  <si>
    <t>CRC mortality; rate ratio; 15 years of follow-up;
FS vs no screening</t>
  </si>
  <si>
    <t>NR (same as above)</t>
  </si>
  <si>
    <t>Number of CRC deaths; 15 years of follow-up</t>
  </si>
  <si>
    <t>Person-years; 15-year follow-up</t>
  </si>
  <si>
    <t>CRC mortality (per 1,000 people analysed); 15 years of follow-up;
FS vs no screening</t>
  </si>
  <si>
    <t>Senore 2022</t>
  </si>
  <si>
    <r>
      <t>CRC mortality (</t>
    </r>
    <r>
      <rPr>
        <b/>
        <sz val="10"/>
        <rFont val="Calibri"/>
        <family val="2"/>
        <scheme val="minor"/>
      </rPr>
      <t>all sites</t>
    </r>
    <r>
      <rPr>
        <sz val="10"/>
        <rFont val="Calibri"/>
        <family val="2"/>
        <scheme val="minor"/>
      </rPr>
      <t>) (per 100,000 PY) and rate ratio; median 18.8 years of follow-up;
FS vs no screening</t>
    </r>
  </si>
  <si>
    <t>Automated record linkage with the regional mortality registries, which also record the causes of death. cause of death recorded in the electronic. No blinded review of medical records for most recent years.</t>
  </si>
  <si>
    <t>Emigration, death, or end of follow-up, whichever came first.</t>
  </si>
  <si>
    <t>31/12/2014 (1 centre)
31/12/2015 (2 centres)
31/12/2016 (3 centres)</t>
  </si>
  <si>
    <t>Median 18.8 years
(IQR 17.0 to 19.6)</t>
  </si>
  <si>
    <t>Number of CRC deaths (all sites); median 18.8 years of follow-up</t>
  </si>
  <si>
    <t>Person-years; 31/12/2014 (1 centre)
31/12/2015 (2 centres); 31/12/2016 (3 centres)</t>
  </si>
  <si>
    <t>Table 1 and text: There were 122 CRC-related deaths in the intervention group and 157 in the control group. Among persons invited for CRC screening, mortality (Table 1 and Figure 2, B) was statistically significantly reduced by 22% (RR, 0.78 [CI, 0.61 to 0.98]),...</t>
  </si>
  <si>
    <r>
      <t>CRC mortality (</t>
    </r>
    <r>
      <rPr>
        <b/>
        <sz val="10"/>
        <rFont val="Calibri"/>
        <family val="2"/>
        <scheme val="minor"/>
      </rPr>
      <t>all sites</t>
    </r>
    <r>
      <rPr>
        <sz val="10"/>
        <rFont val="Calibri"/>
        <family val="2"/>
        <scheme val="minor"/>
      </rPr>
      <t>) (per 1,000 people analsysed) and relative risk; median 18.8 years of follow-up;
FS vs no screening</t>
    </r>
  </si>
  <si>
    <t>Automated record linkage with the regional mortality registries, which also record the causes of death. No blinded review of medical records for most recent years.</t>
  </si>
  <si>
    <r>
      <t>CRC mortality (</t>
    </r>
    <r>
      <rPr>
        <b/>
        <sz val="10"/>
        <rFont val="Calibri"/>
        <family val="2"/>
        <scheme val="minor"/>
      </rPr>
      <t>distal</t>
    </r>
    <r>
      <rPr>
        <sz val="10"/>
        <rFont val="Calibri"/>
        <family val="2"/>
        <scheme val="minor"/>
      </rPr>
      <t>) (per 100,000 PY) and rate ratio; median 18.8 years of follow-up;
FS vs no screening</t>
    </r>
  </si>
  <si>
    <t>Number of CRC deaths (distal); median 18.8 years of follow-up</t>
  </si>
  <si>
    <t>Table 1 and text: … mainly as a result of the reduction in distal CRC mortality (RR, 0.69 [CI, 0.50 to 0.95]).</t>
  </si>
  <si>
    <r>
      <t>CRC mortality (</t>
    </r>
    <r>
      <rPr>
        <b/>
        <sz val="10"/>
        <rFont val="Calibri"/>
        <family val="2"/>
        <scheme val="minor"/>
      </rPr>
      <t>distal</t>
    </r>
    <r>
      <rPr>
        <sz val="10"/>
        <rFont val="Calibri"/>
        <family val="2"/>
        <scheme val="minor"/>
      </rPr>
      <t>) (per 1,000 people analsysed) and relative risk; median 18.8 years of follow-up;
FS vs no screening</t>
    </r>
  </si>
  <si>
    <r>
      <t>CRC mortality (</t>
    </r>
    <r>
      <rPr>
        <b/>
        <sz val="10"/>
        <rFont val="Calibri"/>
        <family val="2"/>
        <scheme val="minor"/>
      </rPr>
      <t>proximal</t>
    </r>
    <r>
      <rPr>
        <sz val="10"/>
        <rFont val="Calibri"/>
        <family val="2"/>
        <scheme val="minor"/>
      </rPr>
      <t>) (per 100,000 PY) and rate ratio; median 18.8 years of follow-up;
FS vs no screening</t>
    </r>
  </si>
  <si>
    <t>Number of CRC deaths (proximal); median 18.8 years of follow-up</t>
  </si>
  <si>
    <t>Table 1 and text: The reduction in the risk for death from proximal CRC did not reach the level of statistical significance (RR, 0.82 [CI, 0.57 to 1.19]),…</t>
  </si>
  <si>
    <r>
      <t>CRC mortality (</t>
    </r>
    <r>
      <rPr>
        <b/>
        <sz val="10"/>
        <rFont val="Calibri"/>
        <family val="2"/>
        <scheme val="minor"/>
      </rPr>
      <t>proximal</t>
    </r>
    <r>
      <rPr>
        <sz val="10"/>
        <rFont val="Calibri"/>
        <family val="2"/>
        <scheme val="minor"/>
      </rPr>
      <t>) (per 1,000 people analsysed) and relative risk; median 18.8 years of follow-up;
FS vs no screening</t>
    </r>
  </si>
  <si>
    <t>All-cause mortality (per 100,000 PY) and rate ratio; median 18.8 years of follow-up;
FS vs no screening</t>
  </si>
  <si>
    <t>Automated record linkage with the regional mortality registries, which also record the causes of death.</t>
  </si>
  <si>
    <t>Emigrated or lost-to-follow up</t>
  </si>
  <si>
    <t>Number of deaths from all causes; median 18.8 years of follow-up</t>
  </si>
  <si>
    <t>Table 1 and text: Of 34 272 persons recruited in the trial, 6217 died of any cause (Table 1) during the follow-up: 3062 in the
intervention group and 3155 in the control group (RR,
0.97 [CI, 0.92 to 1.02]).</t>
  </si>
  <si>
    <t>All-cause (per 1,000 people analsysed) and relative risk; median 18.8 years of follow-up;
FS vs no screening</t>
  </si>
  <si>
    <r>
      <t xml:space="preserve">Diagnostic yield at screening (per 1,000 people analysed); </t>
    </r>
    <r>
      <rPr>
        <b/>
        <sz val="10"/>
        <rFont val="Calibri"/>
        <family val="2"/>
        <scheme val="minor"/>
      </rPr>
      <t>proximal + distal CRC</t>
    </r>
    <r>
      <rPr>
        <sz val="10"/>
        <rFont val="Calibri"/>
        <family val="2"/>
        <scheme val="minor"/>
      </rPr>
      <t>; once-only FS;
Screening arm only</t>
    </r>
  </si>
  <si>
    <t>Automatic record linkage of the trial database with the regional hospital discharge records and the pathology department files; Staging based on information contained in the medical record and reports from histology and imaging examinations; experts from cancer registries assessing CRC cases blinded to allocation.</t>
  </si>
  <si>
    <t>Initial screen plus follow-up investigations</t>
  </si>
  <si>
    <t>Number of screen-detected CRC; once-only FS</t>
  </si>
  <si>
    <t>Text: Of the 251 subjects with CRC in the intervention group, 126 were screened, and 54 (42.8%) of these screened subjects were identified at the flexible sigmoidoscopy screening and this proportion, among screened subjects, increased to 67.6% (48 of 71 subjects), when considering the subjects with distal colon (rectum, sigmoid, and descending colon) cancers.</t>
  </si>
  <si>
    <r>
      <t xml:space="preserve">Diagnostic yield at screening (per 1,000 people analysed); </t>
    </r>
    <r>
      <rPr>
        <b/>
        <sz val="10"/>
        <rFont val="Calibri"/>
        <family val="2"/>
        <scheme val="minor"/>
      </rPr>
      <t>distal CRC only</t>
    </r>
    <r>
      <rPr>
        <sz val="10"/>
        <rFont val="Calibri"/>
        <family val="2"/>
        <scheme val="minor"/>
      </rPr>
      <t>; once-only FS;
Screening arm only</t>
    </r>
  </si>
  <si>
    <t>Site not specified</t>
  </si>
  <si>
    <t>Number of screen-detected distal CRC; once-only FS</t>
  </si>
  <si>
    <t>Distal = including the descending colon together with the rectum and sigmoid.</t>
  </si>
  <si>
    <r>
      <t xml:space="preserve">% of </t>
    </r>
    <r>
      <rPr>
        <b/>
        <sz val="10"/>
        <rFont val="Calibri"/>
        <family val="2"/>
        <scheme val="minor"/>
      </rPr>
      <t>proximal + distal CRC</t>
    </r>
    <r>
      <rPr>
        <sz val="10"/>
        <rFont val="Calibri"/>
        <family val="2"/>
        <scheme val="minor"/>
      </rPr>
      <t xml:space="preserve"> that are screen-detected; once-only FS; follow-up until 31/12/2007;
Screening arm only</t>
    </r>
  </si>
  <si>
    <t>Median 10.5 years (IQR 9.9–11.3)</t>
  </si>
  <si>
    <t>Number of screen-detected CRC; once-only FS; diagnosed up to 31/12/2007</t>
  </si>
  <si>
    <t>Total number of CRC detected (at screening, in non-attenders or during follow-up)</t>
  </si>
  <si>
    <r>
      <t xml:space="preserve">% of </t>
    </r>
    <r>
      <rPr>
        <b/>
        <sz val="10"/>
        <rFont val="Calibri"/>
        <family val="2"/>
        <scheme val="minor"/>
      </rPr>
      <t>distal CRC</t>
    </r>
    <r>
      <rPr>
        <sz val="10"/>
        <rFont val="Calibri"/>
        <family val="2"/>
        <scheme val="minor"/>
      </rPr>
      <t xml:space="preserve"> that are screen-detected; once-only FS; follow-up until 31/12/2007;
Screening arm only</t>
    </r>
  </si>
  <si>
    <t>Number of screen-detected distal CRC; once-only FS; diagnosed up to 31/12/2007</t>
  </si>
  <si>
    <t>Total number of distal CRC detected (at screening, in non-attenders or during follow-up)</t>
  </si>
  <si>
    <r>
      <t xml:space="preserve">Absolute incidence of advanced (stage III or IV) </t>
    </r>
    <r>
      <rPr>
        <b/>
        <sz val="10"/>
        <rFont val="Calibri"/>
        <family val="2"/>
        <scheme val="minor"/>
      </rPr>
      <t>distal + proximal CRC</t>
    </r>
    <r>
      <rPr>
        <sz val="10"/>
        <rFont val="Calibri"/>
        <family val="2"/>
        <scheme val="minor"/>
      </rPr>
      <t xml:space="preserve"> (per 100,000 PY); follow-up until 31/12/2007;
FS vs no screening</t>
    </r>
  </si>
  <si>
    <t>Advanced = UICC stage III or IV</t>
  </si>
  <si>
    <t>Number of advanced proximal or distal CRC (UICC stage III or IV) diagnosed up to 31/12/2007</t>
  </si>
  <si>
    <t>Table 1 and text: We observed a more favorable stage distribution for subjects diagnosed with CRC in the intervention group, and incidence rate of advanced CRCs (UICC stage III or more advanced) showed a 27% reduction (RR = 0.73, 95% CI = 0.58 to 0.94).</t>
  </si>
  <si>
    <r>
      <t xml:space="preserve">Absolute incidence of advanced (stage III or IV) </t>
    </r>
    <r>
      <rPr>
        <b/>
        <sz val="10"/>
        <rFont val="Calibri"/>
        <family val="2"/>
        <scheme val="minor"/>
      </rPr>
      <t>distal + proximal CRC</t>
    </r>
    <r>
      <rPr>
        <sz val="10"/>
        <rFont val="Calibri"/>
        <family val="2"/>
        <scheme val="minor"/>
      </rPr>
      <t xml:space="preserve"> (per 1,000 people analysed); follow-up until 31/12/2007;
FS vs no screening</t>
    </r>
  </si>
  <si>
    <r>
      <t xml:space="preserve">% of </t>
    </r>
    <r>
      <rPr>
        <b/>
        <sz val="10"/>
        <rFont val="Calibri"/>
        <family val="2"/>
        <scheme val="minor"/>
      </rPr>
      <t>distal + proximal CRC</t>
    </r>
    <r>
      <rPr>
        <sz val="10"/>
        <rFont val="Calibri"/>
        <family val="2"/>
        <scheme val="minor"/>
      </rPr>
      <t xml:space="preserve"> diagnosed at advanced stage (stage III or IV); follow-up until 31/12/2007;
FS vs no screening</t>
    </r>
  </si>
  <si>
    <t>Total number of distal + proximal CRC diagnosed up to 31/12/2007</t>
  </si>
  <si>
    <r>
      <t xml:space="preserve">Absolute incidence of advanced (stage III or IV) </t>
    </r>
    <r>
      <rPr>
        <b/>
        <sz val="10"/>
        <rFont val="Calibri"/>
        <family val="2"/>
        <scheme val="minor"/>
      </rPr>
      <t xml:space="preserve">distal CRC </t>
    </r>
    <r>
      <rPr>
        <sz val="10"/>
        <rFont val="Calibri"/>
        <family val="2"/>
        <scheme val="minor"/>
      </rPr>
      <t>(per 100,000 PY); follow-up until 31/12/2007;
FS vs no screening</t>
    </r>
  </si>
  <si>
    <t>Number of advanced distal CRC (UICC stage III or IV) diagnosed up to 31/12/2007</t>
  </si>
  <si>
    <r>
      <t xml:space="preserve">Absolute incidence of advanced (stage III or IV) </t>
    </r>
    <r>
      <rPr>
        <b/>
        <sz val="10"/>
        <rFont val="Calibri"/>
        <family val="2"/>
        <scheme val="minor"/>
      </rPr>
      <t xml:space="preserve">distal CRC </t>
    </r>
    <r>
      <rPr>
        <sz val="10"/>
        <rFont val="Calibri"/>
        <family val="2"/>
        <scheme val="minor"/>
      </rPr>
      <t>(per 1,000 people analysed); follow-up until 31/12/2007;
FS vs no screening</t>
    </r>
  </si>
  <si>
    <r>
      <t xml:space="preserve">% of </t>
    </r>
    <r>
      <rPr>
        <b/>
        <sz val="10"/>
        <rFont val="Calibri"/>
        <family val="2"/>
        <scheme val="minor"/>
      </rPr>
      <t>distal CRC</t>
    </r>
    <r>
      <rPr>
        <sz val="10"/>
        <rFont val="Calibri"/>
        <family val="2"/>
        <scheme val="minor"/>
      </rPr>
      <t xml:space="preserve"> diagnosed at advanced stage (stage III or IV); follow-up until 31/12/2007;
FS vs no screening</t>
    </r>
  </si>
  <si>
    <t>Total number of distal CRC diagnosed up to 31/12/2007</t>
  </si>
  <si>
    <r>
      <t xml:space="preserve">Absolute incidence of advanced (stage III or IV) </t>
    </r>
    <r>
      <rPr>
        <b/>
        <sz val="10"/>
        <rFont val="Calibri"/>
        <family val="2"/>
        <scheme val="minor"/>
      </rPr>
      <t>proximal CRC</t>
    </r>
    <r>
      <rPr>
        <sz val="10"/>
        <rFont val="Calibri"/>
        <family val="2"/>
        <scheme val="minor"/>
      </rPr>
      <t xml:space="preserve"> (per 100,000 PY); follow-up until 31/12/2007;
FS vs no screening</t>
    </r>
  </si>
  <si>
    <t>Number of advanced proximal CRC (UICC stage III or IV) diagnosed up to 31/12/2007</t>
  </si>
  <si>
    <r>
      <t xml:space="preserve">Absolute incidence of advanced (stage III or IV) </t>
    </r>
    <r>
      <rPr>
        <b/>
        <sz val="10"/>
        <rFont val="Calibri"/>
        <family val="2"/>
        <scheme val="minor"/>
      </rPr>
      <t>proximal CRC</t>
    </r>
    <r>
      <rPr>
        <sz val="10"/>
        <rFont val="Calibri"/>
        <family val="2"/>
        <scheme val="minor"/>
      </rPr>
      <t xml:space="preserve"> (per 1,000 people analysed); follow-up until 31/12/2007;
FS vs no screening</t>
    </r>
  </si>
  <si>
    <r>
      <t xml:space="preserve">% of </t>
    </r>
    <r>
      <rPr>
        <b/>
        <sz val="10"/>
        <rFont val="Calibri"/>
        <family val="2"/>
        <scheme val="minor"/>
      </rPr>
      <t>proximal CRC</t>
    </r>
    <r>
      <rPr>
        <sz val="10"/>
        <rFont val="Calibri"/>
        <family val="2"/>
        <scheme val="minor"/>
      </rPr>
      <t xml:space="preserve"> diagnosed at advanced stage (stage III or IV); follow-up until 31/12/2007;
FS vs no screening</t>
    </r>
  </si>
  <si>
    <t>Total number of proximal CRC diagnosed up to 31/12/2007</t>
  </si>
  <si>
    <r>
      <t>Diagnostic yield at screening (per 1,000 people analysed);</t>
    </r>
    <r>
      <rPr>
        <b/>
        <sz val="10"/>
        <rFont val="Calibri"/>
        <family val="2"/>
        <scheme val="minor"/>
      </rPr>
      <t xml:space="preserve"> proximal CRC only</t>
    </r>
    <r>
      <rPr>
        <sz val="10"/>
        <rFont val="Calibri"/>
        <family val="2"/>
        <scheme val="minor"/>
      </rPr>
      <t>; once-only FS;
Screening arm only</t>
    </r>
  </si>
  <si>
    <t>Record linkage based on 2 independent identifiers (Social Security number and an algorithm
derived from name and birth date) of the trial
database, with the databases of the population cancer registries.</t>
  </si>
  <si>
    <t>Emigration, incidence of CRC (for incidence follow-up), death, or end of follow-up, whichever came first.</t>
  </si>
  <si>
    <t>Number of screen-detected proximal CRC; once-only FS</t>
  </si>
  <si>
    <t>Text: ... 165 participants in the intervention group (7 at
screening) and 159 in the control group were diagnosed
with a proximal CRC, whereas the site of the neoplasm
was not specified for 8 cases in the intervention group
and 12 cases in the control group.</t>
  </si>
  <si>
    <r>
      <t>% of</t>
    </r>
    <r>
      <rPr>
        <b/>
        <sz val="10"/>
        <rFont val="Calibri"/>
        <family val="2"/>
        <scheme val="minor"/>
      </rPr>
      <t xml:space="preserve"> proximal CRC </t>
    </r>
    <r>
      <rPr>
        <sz val="10"/>
        <rFont val="Calibri"/>
        <family val="2"/>
        <scheme val="minor"/>
      </rPr>
      <t>that are screen-detected; once-only FS; follow-up until 31/12/2012;
Screening arm only</t>
    </r>
  </si>
  <si>
    <t>Median 15.4 years (IQR 14.8 to 16.1)</t>
  </si>
  <si>
    <t>Total number of proximal CRC diagnosed up to 31/12/2012</t>
  </si>
  <si>
    <t>"Main" timepoint for mortality (as per RoB)</t>
  </si>
  <si>
    <t>Robin 2016</t>
  </si>
  <si>
    <t>MVTEP</t>
  </si>
  <si>
    <t>All-cause mortality during 24-month follow-up (per 100 people analysed);
PET-CT vs limited screening only</t>
  </si>
  <si>
    <t>Limited screening + PET-CT</t>
  </si>
  <si>
    <t>All patients underwent follow-up in the clinic at 3, 6, 12, 18, and 24 months. Investigators unblinded.</t>
  </si>
  <si>
    <t>Number of deaths from all causes during 2-year follow-up</t>
  </si>
  <si>
    <t>Number of people analysed (modified ITT)</t>
  </si>
  <si>
    <t>Text: 16 patients died during follow-up, eight (4·1%) in the
¹⁸F-FDG PET/CT group and eight (4·1%) in the limited
screening group.</t>
  </si>
  <si>
    <t>Cancer-related mortality during 24-month follow-up (per 100 people analysed);
PET-CT vs limited screening only</t>
  </si>
  <si>
    <t>6 LTFU;
6 non-cancer deaths</t>
  </si>
  <si>
    <t>4 LTFU;
3 non-cancer deaths</t>
  </si>
  <si>
    <t>Number of cancer-related deaths during 2-year follow-up</t>
  </si>
  <si>
    <t>Text: Two (1·0%) patients in the ¹⁸F-FDG PET/CT group and five (2·5%) in the limited screening group had cancer-related deaths.</t>
  </si>
  <si>
    <t>Nine patients died from non-cancer related causes, six (3·0%) in the ¹⁸F-FDG PET/CT group and three (1·5%) in the limited screening group.</t>
  </si>
  <si>
    <t>Diagnostic yield at screening per 100 people analysed (performed within 1 month of VTE diagnosis);
PET-CT vs limited screening only</t>
  </si>
  <si>
    <t>Limited screening</t>
  </si>
  <si>
    <t>1 month after VTE diagnosis</t>
  </si>
  <si>
    <t>Number of cancers detected at initial screening (within 1 month of VTE diagnosis)</t>
  </si>
  <si>
    <t>Table 3 and text:The initial screening strategy led to a diagnosis of
cancer in 11 (5·6%) patients in the ¹⁸F-FDG PET/CT group versus four (2·0%) in the limited screening group (absolute risk diff erence 3·6%, 95% CI –0·4 to 7·9, p=0·065).</t>
  </si>
  <si>
    <t>% of cancers that are screen-detected; 24 months follow-up;
PET-CT vs limited screening only</t>
  </si>
  <si>
    <t>6 LTFU</t>
  </si>
  <si>
    <t>4 LTFU</t>
  </si>
  <si>
    <t>Total number of cancers detected at initial screen or during 2-year follow-up</t>
  </si>
  <si>
    <t>Table 3 and text:The initial screening strategy led to a diagnosis of
cancer in 11 (5·6%) patients in the ¹⁸F-FDG PET/CT group versus four (2·0%) in the limited screening group (absolute risk diff erence 3·6%, 95% CI –0·4 to 7·9, p=0·065)...One patient in the ¹⁸F-FDG PET/CT group was diagnosed with cancer during follow-up... In the limited screening group, nine patients were diagnosed with cancer during follow-up... the ¹⁸F-FDG PET/CT strategy was able to detect 92% (95% CI 65–99) of the malignancies, whereas the limited screening strategy detected only 31% (95% CI 13–58) of the
malignancies.</t>
  </si>
  <si>
    <t>Ten patients were lost to follow-up, six in the ¹⁸F-FDG PET/CT group and four in the limited screening group.</t>
  </si>
  <si>
    <t>Absolute incidence of early-stage (T1-2N0M0) cancers (per 100 people); detected at initial screening or during 24-month follow-up;
PET-CT vs limited screening only</t>
  </si>
  <si>
    <t>Early (T1-2N0M0)</t>
  </si>
  <si>
    <t xml:space="preserve">"Advanced" </t>
  </si>
  <si>
    <t>T1–2N0M0</t>
  </si>
  <si>
    <t>4LTFU</t>
  </si>
  <si>
    <t>Number of early-stage (T1-2N0M0) cancers detected at initial screening or during 24-month follow-up</t>
  </si>
  <si>
    <t>Absolute incidence of advanced-stage  cancers (per 100 people); detected at initial screening or during 24-month follow-up;
PET-CT vs limited screening only</t>
  </si>
  <si>
    <t>Advanced</t>
  </si>
  <si>
    <t>Number of advanced-stage  cancers detected at initial screening or during 24-month follow-up</t>
  </si>
  <si>
    <t>% of cancers diagnosed at advanced stage at initial screening or during 24-month follow-up;
PET-CT vs limited screening only</t>
  </si>
  <si>
    <t>Table 3 and text: Overall, there were five (42%) advanced-stage
cancers of the 12 diagnosed in the ¹⁸F-FDG PET/CT group compared with seven (54%) of 13 cancers diagnosed in the limited screening group (p=0·70).</t>
  </si>
  <si>
    <t>Zhang 2004</t>
  </si>
  <si>
    <t>Diagnostic yield at screening (5-10 screening rounds offered); per 1,000 people;
follow-up until 31 December 1997;
Screening arm only</t>
  </si>
  <si>
    <t>GPs in the factories, enterprises, and schools; cross-check with the Shanghai Cancer Registry in early 1999</t>
  </si>
  <si>
    <t>Liver cancer diagnosis, death or 31 December 1997</t>
  </si>
  <si>
    <t>Up to 5 years</t>
  </si>
  <si>
    <t>38,444 PY;
mean 4.1 years</t>
  </si>
  <si>
    <t>5-10</t>
  </si>
  <si>
    <t>Number of liver cancers that were detected at screening (5-10 rounds offered); follow-up until 31 December 1997</t>
  </si>
  <si>
    <t>Text: Screening was carried out a minimum of one time, and the median was five times...During the study, 71 cases of HCC were detected by screening, three were interval cases, 12 were diagnosed in the non-responder group, …</t>
  </si>
  <si>
    <t>% of liver cancers that were screen-detected (5-10 screening rounds offered);  follow-up until 31 December 1997;
Screening arm only</t>
  </si>
  <si>
    <t>Number of all liver cancers detected (screening + symptomatic); follow-up until 31 December 1997</t>
  </si>
  <si>
    <t>Text: During the study, 71 cases of HCC were detected by
screening, three were interval cases, 12 were diagnosed in
the non-responder group, and 67 were diagnosed in the
control group.</t>
  </si>
  <si>
    <t>Absolute incidence of liver cancer, stage I at diagnosis (per 1,000 people);
follow-up until 31 December 1997;
Screening vs control</t>
  </si>
  <si>
    <t>HCC staging system of China</t>
  </si>
  <si>
    <t>Stage III (PLC patients with hepatic jaundice, ascites or distant metastasis)</t>
  </si>
  <si>
    <t>Stage I (subclinical stage, no obvious cancer signs or symptoms)</t>
  </si>
  <si>
    <t>41,077 PY;
mean 4.3 years</t>
  </si>
  <si>
    <t>Number of liver cancers diagnosed as stage I (HCC staging system of China 1989); follow-up until 31 December 1997</t>
  </si>
  <si>
    <t>Absolute incidence of liver cancer, stage II at diagnosis (per 1,000 people);
follow-up until 31 December 1997;
Screening vs control</t>
  </si>
  <si>
    <t>Number of liver cancers diagnosed as stage II (HCC staging system of China 1989); follow-up until 31 December 1997</t>
  </si>
  <si>
    <t>Absolute incidence of liver cancer, stage III at diagnosis (per 1,000 people);
follow-up until 31 December 1997;
Screening vs control</t>
  </si>
  <si>
    <t>Number of liver cancers diagnosed as stage III (HCC staging system of China 1989); follow-up until 31 December 1997</t>
  </si>
  <si>
    <t>% of liver cancer diagnosed late (stage III);
follow-up until 31 December 1997;
Screening vs control</t>
  </si>
  <si>
    <t>Total number of liver cancers with clinical stage information; follow-up until 31 December 1997</t>
  </si>
  <si>
    <t>Absolute incidence of small liver cancer (&lt;5 cm) at diagnosis (per 1,000 people);
follow-up until 31 December 1997;
Screening vs control</t>
  </si>
  <si>
    <t>&lt;5 cm</t>
  </si>
  <si>
    <t>Number of liver cancers diagnosed as small HCC (&lt;5 cm); follow-up until 31 December 1997</t>
  </si>
  <si>
    <t>Date of death or at 31 December 1998</t>
  </si>
  <si>
    <t>2-5 years</t>
  </si>
  <si>
    <t>Number of HCC death; follow-up until 31 December 1997</t>
  </si>
  <si>
    <t>Person-years; follow-up until censoring or 31 December 1997</t>
  </si>
  <si>
    <t>p &lt; 0.05</t>
  </si>
  <si>
    <t>Table 3 and abstract: ...the HCC mortality rate was significantly lower in the screened group than in controls, being 83.2/100,000 and 131.5/100,000, respectively, with a mortality rate ratio of 0.63 (95%CI 0.41–0.98).</t>
  </si>
  <si>
    <t>Sankar 2007</t>
  </si>
  <si>
    <t>Cervical cancer mortality (per 100,000 PY) and rate ratio; follow-up until 31/12/2006;
VIA vs no screening</t>
  </si>
  <si>
    <t>Cause of death in each cervical cancer case coded using ICD-10 by blinded registry staff considering information from hospital records, death certificates, by house visits, and interviewing relatives and friends.</t>
  </si>
  <si>
    <t>Date of study entry of the woman to date of death, migration, or last follow-up visit.</t>
  </si>
  <si>
    <t>Up to 7 years</t>
  </si>
  <si>
    <t>274,430 PY
Mean 5.6 years</t>
  </si>
  <si>
    <t>178,781 PY
Mean 5.8 years</t>
  </si>
  <si>
    <t>Number of cervical cancer deaths; up to 31/12/2006</t>
  </si>
  <si>
    <t>Person-years (up to 31/12/2006)</t>
  </si>
  <si>
    <t>Using age-standardised rates</t>
  </si>
  <si>
    <t>Table 4, Table 5 and text: There were 83 cervical cancer deaths in the intervention and 92 in the control group; the person-years accrued were 274 430 and 178 781, respectively.</t>
  </si>
  <si>
    <t>Cervical cancer mortality (per 100,000 PY) and hazard ratio (adjusted only for the cluster design); follow-up until 31/12/2006;
VIA vs no screening</t>
  </si>
  <si>
    <t>Adjusted only for cluster design</t>
  </si>
  <si>
    <t>Cervical cancer mortality (per 100,000 PY) and hazard ratio (adjusted for age, education, marital status, parity cluster design); follow-up until 31/12/2006;
VIA vs no screening</t>
  </si>
  <si>
    <t>Overall ratios adjusted for age, education, marital status, parity, and cluster design,
and age-specifi c ratios adjusted for education, marital status, parity, and cluster design.</t>
  </si>
  <si>
    <t>Table 4, Table 5 and text: There were 83 cervical cancer deaths in the intervention and 92 in the control group; the person-years accrued were 274 430 and 178 781, respectively… Overall, the intervention group had a significant ... 35% reduction in cervical cancer mortality (hazard ratio 0·65 [0·47–0·89]) compared with the control group.</t>
  </si>
  <si>
    <t>Cox proportional hazards regression, taking into account cluster design and adjusting for age, education, marital status, and parity, using intention to treat analysis.</t>
  </si>
  <si>
    <t>Cervical cancer mortality (per 1,000 women); follow-up until 31/12/2006;
VIA vs no screening</t>
  </si>
  <si>
    <t>Table 4 and text: There were 83 cervical cancer deaths in the intervention and 92 in the control group;
...</t>
  </si>
  <si>
    <r>
      <t xml:space="preserve">Cervical cancer mortality (per 100,000 PY) and hazard ratio (adjusted only for the cluster design) </t>
    </r>
    <r>
      <rPr>
        <b/>
        <sz val="10"/>
        <rFont val="Calibri"/>
        <family val="2"/>
        <scheme val="minor"/>
      </rPr>
      <t>in women aged 30-39 years</t>
    </r>
    <r>
      <rPr>
        <sz val="10"/>
        <rFont val="Calibri"/>
        <family val="2"/>
        <scheme val="minor"/>
      </rPr>
      <t>; follow-up until 31/12/2006;
VIA vs no screening</t>
    </r>
  </si>
  <si>
    <t>30-39 years</t>
  </si>
  <si>
    <r>
      <t xml:space="preserve">Number of cervical cancer deaths </t>
    </r>
    <r>
      <rPr>
        <b/>
        <sz val="10"/>
        <rFont val="Calibri"/>
        <family val="2"/>
        <scheme val="minor"/>
      </rPr>
      <t>in women aged 30-39 years</t>
    </r>
    <r>
      <rPr>
        <sz val="10"/>
        <rFont val="Calibri"/>
        <family val="2"/>
        <scheme val="minor"/>
      </rPr>
      <t>; up to 31/12/2006</t>
    </r>
  </si>
  <si>
    <r>
      <t xml:space="preserve">Person-years </t>
    </r>
    <r>
      <rPr>
        <b/>
        <sz val="10"/>
        <rFont val="Calibri"/>
        <family val="2"/>
        <scheme val="minor"/>
      </rPr>
      <t>in women aged 30-39 years</t>
    </r>
    <r>
      <rPr>
        <sz val="10"/>
        <rFont val="Calibri"/>
        <family val="2"/>
        <scheme val="minor"/>
      </rPr>
      <t xml:space="preserve"> (up to 31/12/2006)</t>
    </r>
  </si>
  <si>
    <r>
      <t xml:space="preserve">Cervical cancer mortality (per 100,000 PY) and hazard ratio (adjusted for age, education, marital status, parity cluster design) </t>
    </r>
    <r>
      <rPr>
        <b/>
        <sz val="10"/>
        <rFont val="Calibri"/>
        <family val="2"/>
        <scheme val="minor"/>
      </rPr>
      <t>in women aged 30-39 years</t>
    </r>
    <r>
      <rPr>
        <sz val="10"/>
        <rFont val="Calibri"/>
        <family val="2"/>
        <scheme val="minor"/>
      </rPr>
      <t>; follow-up until 31/12/2006;
VIA vs no screening</t>
    </r>
  </si>
  <si>
    <t>Table 5 and text: Similarly for cervical cancer mortality, the hazard ratio was reduced most in the 30–39 age-group (0·34
[0·18–0·66]) followed by that in the 40–49 age-group
(0·55 [0·31–1·00]). There was evidence of significant
heterogeneity on the hazard ratios for cervical cancer
mortality across the three age-groups (p=0·045).</t>
  </si>
  <si>
    <r>
      <t xml:space="preserve">Cervical cancer mortality (per 100,000 PY) and hazard ratio (adjusted only for the cluster design) </t>
    </r>
    <r>
      <rPr>
        <b/>
        <sz val="10"/>
        <rFont val="Calibri"/>
        <family val="2"/>
        <scheme val="minor"/>
      </rPr>
      <t>in women aged 40-49 years</t>
    </r>
    <r>
      <rPr>
        <sz val="10"/>
        <rFont val="Calibri"/>
        <family val="2"/>
        <scheme val="minor"/>
      </rPr>
      <t>; follow-up until 31/12/2006;
VIA vs no screening</t>
    </r>
  </si>
  <si>
    <t>40-49 years</t>
  </si>
  <si>
    <r>
      <t xml:space="preserve">Number of cervical cancer deaths </t>
    </r>
    <r>
      <rPr>
        <b/>
        <sz val="10"/>
        <rFont val="Calibri"/>
        <family val="2"/>
        <scheme val="minor"/>
      </rPr>
      <t>in women aged 40-49 years</t>
    </r>
    <r>
      <rPr>
        <sz val="10"/>
        <rFont val="Calibri"/>
        <family val="2"/>
        <scheme val="minor"/>
      </rPr>
      <t>; up to 31/12/2006</t>
    </r>
  </si>
  <si>
    <r>
      <t xml:space="preserve">Person-years </t>
    </r>
    <r>
      <rPr>
        <b/>
        <sz val="10"/>
        <rFont val="Calibri"/>
        <family val="2"/>
        <scheme val="minor"/>
      </rPr>
      <t>in women aged 40-49 years</t>
    </r>
    <r>
      <rPr>
        <sz val="10"/>
        <rFont val="Calibri"/>
        <family val="2"/>
        <scheme val="minor"/>
      </rPr>
      <t xml:space="preserve"> (up to 31/12/2006)</t>
    </r>
  </si>
  <si>
    <r>
      <t xml:space="preserve">Cervical cancer mortality (per 100,000 PY) and hazard ratio (adjusted for age, education, marital status, parity cluster design) </t>
    </r>
    <r>
      <rPr>
        <b/>
        <sz val="10"/>
        <rFont val="Calibri"/>
        <family val="2"/>
        <scheme val="minor"/>
      </rPr>
      <t>in women aged 40-49 years</t>
    </r>
    <r>
      <rPr>
        <sz val="10"/>
        <rFont val="Calibri"/>
        <family val="2"/>
        <scheme val="minor"/>
      </rPr>
      <t>; follow-up until 31/12/2006;
VIA vs no screening</t>
    </r>
  </si>
  <si>
    <t>Table 5 and text: Similarly for cervical cancer mortality, the hazard ratio was reduced most in the 30–39 age-group (0·34
[0·18–0·66]) followed by that in the 40–49 age-group
(0·55 [0·31–1·00]). There was evidence of signifi cant
heterogeneity on the hazard ratios for cervical cancer
mortality across the three age-groups (p=0·045).</t>
  </si>
  <si>
    <r>
      <t xml:space="preserve">Cervical cancer mortality (per 100,000 PY) and hazard ratio (adjusted only for the cluster design) </t>
    </r>
    <r>
      <rPr>
        <b/>
        <sz val="10"/>
        <rFont val="Calibri"/>
        <family val="2"/>
        <scheme val="minor"/>
      </rPr>
      <t>in women aged 50-59 years</t>
    </r>
    <r>
      <rPr>
        <sz val="10"/>
        <rFont val="Calibri"/>
        <family val="2"/>
        <scheme val="minor"/>
      </rPr>
      <t>; follow-up until 31/12/2006;
VIA vs no screening</t>
    </r>
  </si>
  <si>
    <t>50-59 years</t>
  </si>
  <si>
    <r>
      <t xml:space="preserve">Number of cervical cancer deaths </t>
    </r>
    <r>
      <rPr>
        <b/>
        <sz val="10"/>
        <rFont val="Calibri"/>
        <family val="2"/>
        <scheme val="minor"/>
      </rPr>
      <t>in women aged 50-59 years</t>
    </r>
    <r>
      <rPr>
        <sz val="10"/>
        <rFont val="Calibri"/>
        <family val="2"/>
        <scheme val="minor"/>
      </rPr>
      <t>; up to 31/12/2006</t>
    </r>
  </si>
  <si>
    <r>
      <t xml:space="preserve">Person-years </t>
    </r>
    <r>
      <rPr>
        <b/>
        <sz val="10"/>
        <rFont val="Calibri"/>
        <family val="2"/>
        <scheme val="minor"/>
      </rPr>
      <t>in women aged 50-59 years</t>
    </r>
    <r>
      <rPr>
        <sz val="10"/>
        <rFont val="Calibri"/>
        <family val="2"/>
        <scheme val="minor"/>
      </rPr>
      <t xml:space="preserve"> (up to 31/12/2006)</t>
    </r>
  </si>
  <si>
    <r>
      <t xml:space="preserve">Cervical cancer mortality (per 100,000 PY) and hazard ratio (adjusted for age, education, marital status, parity cluster design) </t>
    </r>
    <r>
      <rPr>
        <b/>
        <sz val="10"/>
        <rFont val="Calibri"/>
        <family val="2"/>
        <scheme val="minor"/>
      </rPr>
      <t>in women aged 50-59 years</t>
    </r>
    <r>
      <rPr>
        <sz val="10"/>
        <rFont val="Calibri"/>
        <family val="2"/>
        <scheme val="minor"/>
      </rPr>
      <t>; follow-up until 31/12/2006;
VIA vs no screening</t>
    </r>
  </si>
  <si>
    <t>Table 5 and text: There was evidence of signifi cant
heterogeneity on the hazard ratios for cervical cancer
mortality across the three age-groups (p=0·045).</t>
  </si>
  <si>
    <t>All-cause mortality (per 100,000 PY) and rate ratio; follow-up until 31/12/2006;
VIA vs no screening</t>
  </si>
  <si>
    <t>Number of deaths from all causes; up to 31/12/2006</t>
  </si>
  <si>
    <t>Text: There were 1303 total deaths in the intervention and
977 deaths in the control group yielding age-standardised
all-cause death rates of 585·7 and 619·4 per 100 000,
respectively (0·87 [0·78–0·96]).</t>
  </si>
  <si>
    <t>All-cause mortality (per 100,000 PY) and hazard ratio; follow-up until 31/12/2006;
VIA vs no screening</t>
  </si>
  <si>
    <t>Unclear if the reported rate is the hazard ratio adjusted for age, education, marital status, parity, and cluster design.</t>
  </si>
  <si>
    <t>All-cause mortality (per 1,000 women) and relative risk; follow-up until 31/12/2006;
VIA vs no screening</t>
  </si>
  <si>
    <t>Sankar 2004</t>
  </si>
  <si>
    <r>
      <t>Diagnostic yield (</t>
    </r>
    <r>
      <rPr>
        <b/>
        <sz val="10"/>
        <rFont val="Calibri"/>
        <family val="2"/>
        <scheme val="minor"/>
      </rPr>
      <t>CIN2/3</t>
    </r>
    <r>
      <rPr>
        <sz val="10"/>
        <rFont val="Calibri"/>
        <family val="2"/>
        <scheme val="minor"/>
      </rPr>
      <t>) per 100 women; 1 screening round (2000-2003);
VIA</t>
    </r>
  </si>
  <si>
    <t>Ambillikai population-based cancer registry linked to the study database</t>
  </si>
  <si>
    <t>30 April 2003 or death.</t>
  </si>
  <si>
    <t>124,144 PY
Mean 2.6 years</t>
  </si>
  <si>
    <t xml:space="preserve">NA
</t>
  </si>
  <si>
    <r>
      <t xml:space="preserve">Number of screen-detected </t>
    </r>
    <r>
      <rPr>
        <b/>
        <sz val="10"/>
        <rFont val="Calibri"/>
        <family val="2"/>
        <scheme val="minor"/>
      </rPr>
      <t>CIN2/3</t>
    </r>
    <r>
      <rPr>
        <sz val="10"/>
        <rFont val="Calibri"/>
        <family val="2"/>
        <scheme val="minor"/>
      </rPr>
      <t>; 1 screening round (2000-2003)</t>
    </r>
  </si>
  <si>
    <t>Figure 2 and text: A final diagnosis of CIN 1 occurred in 1,778
women; 222 had CIN 2-3 and 69 had screen-detected invasive
cancer.</t>
  </si>
  <si>
    <t>From #2594: ... the baseline paper also included biopsies and CIN cases among some screen-negative women (treated with cryotherapy for benign conditions such as large ectropion or severe
cervicitis and had a routine biopsy before cryotherapy).</t>
  </si>
  <si>
    <r>
      <t>Diagnostic yield (</t>
    </r>
    <r>
      <rPr>
        <b/>
        <sz val="10"/>
        <rFont val="Calibri"/>
        <family val="2"/>
        <scheme val="minor"/>
      </rPr>
      <t>invasive cervical cancer</t>
    </r>
    <r>
      <rPr>
        <sz val="10"/>
        <rFont val="Calibri"/>
        <family val="2"/>
        <scheme val="minor"/>
      </rPr>
      <t>) per 100 women; 1 screening round (2000-2003);
VIA</t>
    </r>
  </si>
  <si>
    <r>
      <t xml:space="preserve">Number of screen-detected </t>
    </r>
    <r>
      <rPr>
        <b/>
        <sz val="10"/>
        <rFont val="Calibri"/>
        <family val="2"/>
        <scheme val="minor"/>
      </rPr>
      <t>invasive cervical cancer</t>
    </r>
    <r>
      <rPr>
        <sz val="10"/>
        <rFont val="Calibri"/>
        <family val="2"/>
        <scheme val="minor"/>
      </rPr>
      <t>; 1 screening round (2000-2003)</t>
    </r>
  </si>
  <si>
    <t>Figure 2 and text: In the intervention arm, 69 cases were detected
in VIA-positive women, …</t>
  </si>
  <si>
    <r>
      <t>Diagnostic yield (</t>
    </r>
    <r>
      <rPr>
        <b/>
        <sz val="10"/>
        <rFont val="Calibri"/>
        <family val="2"/>
        <scheme val="minor"/>
      </rPr>
      <t>CIN2/3 + invasive cervical cancer</t>
    </r>
    <r>
      <rPr>
        <sz val="10"/>
        <rFont val="Calibri"/>
        <family val="2"/>
        <scheme val="minor"/>
      </rPr>
      <t>) per 100 women; 1 screening round (2000-2003);
VIA</t>
    </r>
  </si>
  <si>
    <r>
      <t xml:space="preserve">Number of screen-detected </t>
    </r>
    <r>
      <rPr>
        <b/>
        <sz val="10"/>
        <rFont val="Calibri"/>
        <family val="2"/>
        <scheme val="minor"/>
      </rPr>
      <t>CIN2/3 + invasive cervical cancer</t>
    </r>
    <r>
      <rPr>
        <sz val="10"/>
        <rFont val="Calibri"/>
        <family val="2"/>
        <scheme val="minor"/>
      </rPr>
      <t>; 1 screening round (2000-2003)</t>
    </r>
  </si>
  <si>
    <r>
      <t xml:space="preserve">% of </t>
    </r>
    <r>
      <rPr>
        <b/>
        <sz val="10"/>
        <rFont val="Calibri"/>
        <family val="2"/>
        <scheme val="minor"/>
      </rPr>
      <t xml:space="preserve">invasive cervical cancer </t>
    </r>
    <r>
      <rPr>
        <sz val="10"/>
        <rFont val="Calibri"/>
        <family val="2"/>
        <scheme val="minor"/>
      </rPr>
      <t>that is screen-detected; 1 screening round (2000-2003); follow-up until 30/04/2003
VIA</t>
    </r>
  </si>
  <si>
    <t>Figure 2 and text: Ninety-seven women in the intervention and 34 in the control groups were diagnosed with invasive cervical cancer between May 2000–April 2003… The programme sensitivity to detect invasive cancer was 71.1% (69/97 cases)…</t>
  </si>
  <si>
    <r>
      <t xml:space="preserve">Absolute incidence of </t>
    </r>
    <r>
      <rPr>
        <b/>
        <sz val="10"/>
        <rFont val="Calibri"/>
        <family val="2"/>
        <scheme val="minor"/>
      </rPr>
      <t>stage I</t>
    </r>
    <r>
      <rPr>
        <sz val="10"/>
        <rFont val="Calibri"/>
        <family val="2"/>
        <scheme val="minor"/>
      </rPr>
      <t xml:space="preserve"> invasive cervical cancer (per 1,000 women) and relative risk;
Follow-up until 30/04/2003;
VIA vs control</t>
    </r>
  </si>
  <si>
    <t>Preclinical = Stage I</t>
  </si>
  <si>
    <t>90,172 PY
Mean 3.0 years</t>
  </si>
  <si>
    <t>Number of stage I invasive cervical cancer; follow-up until 30/04/2003</t>
  </si>
  <si>
    <t>The cancer registry may still find clinically detected cases in the study arms during the years 2000–2003 up to mid 2005, hence,
the incidence rates reported here should be considered as minimal rates.</t>
  </si>
  <si>
    <r>
      <t xml:space="preserve">Absolute incidence of </t>
    </r>
    <r>
      <rPr>
        <b/>
        <sz val="10"/>
        <rFont val="Calibri"/>
        <family val="2"/>
        <scheme val="minor"/>
      </rPr>
      <t>stage I</t>
    </r>
    <r>
      <rPr>
        <sz val="10"/>
        <rFont val="Calibri"/>
        <family val="2"/>
        <scheme val="minor"/>
      </rPr>
      <t xml:space="preserve"> invasive cervical cancer (per 100,000 PY) and rate ratio;
Follow-up until 30/04/2003;
VIA vs control</t>
    </r>
  </si>
  <si>
    <t>Person-years up to 30/04/2003</t>
  </si>
  <si>
    <r>
      <t xml:space="preserve">Absolute incidence of </t>
    </r>
    <r>
      <rPr>
        <b/>
        <sz val="10"/>
        <rFont val="Calibri"/>
        <family val="2"/>
        <scheme val="minor"/>
      </rPr>
      <t>stage II</t>
    </r>
    <r>
      <rPr>
        <sz val="10"/>
        <rFont val="Calibri"/>
        <family val="2"/>
        <scheme val="minor"/>
      </rPr>
      <t xml:space="preserve"> invasive cervical cancer (per 1,000 women) and relative risk;
Follow-up until 30/04/2003;
VIA vs control</t>
    </r>
  </si>
  <si>
    <t>Number of stage II invasive cervical cancer; follow-up until 30/04/2003</t>
  </si>
  <si>
    <r>
      <t xml:space="preserve">Absolute incidence of </t>
    </r>
    <r>
      <rPr>
        <b/>
        <sz val="10"/>
        <rFont val="Calibri"/>
        <family val="2"/>
        <scheme val="minor"/>
      </rPr>
      <t>stage II</t>
    </r>
    <r>
      <rPr>
        <sz val="10"/>
        <rFont val="Calibri"/>
        <family val="2"/>
        <scheme val="minor"/>
      </rPr>
      <t xml:space="preserve"> invasive cervical cancer (per 100,000 PY) and rate ratio;
Follow-up until 30/04/2003;
VIA vs control</t>
    </r>
  </si>
  <si>
    <r>
      <t xml:space="preserve">Absolute incidence of </t>
    </r>
    <r>
      <rPr>
        <b/>
        <sz val="10"/>
        <rFont val="Calibri"/>
        <family val="2"/>
        <scheme val="minor"/>
      </rPr>
      <t>stage III</t>
    </r>
    <r>
      <rPr>
        <sz val="10"/>
        <rFont val="Calibri"/>
        <family val="2"/>
        <scheme val="minor"/>
      </rPr>
      <t xml:space="preserve"> invasive cervical cancer (per 1,000 women) and relative risk;
Follow-up until 30/04/2003;
VIA vs control</t>
    </r>
  </si>
  <si>
    <t>Number of stage III invasive cervical cancer; follow-up until 30/04/2003</t>
  </si>
  <si>
    <r>
      <t xml:space="preserve">Absolute incidence of </t>
    </r>
    <r>
      <rPr>
        <b/>
        <sz val="10"/>
        <rFont val="Calibri"/>
        <family val="2"/>
        <scheme val="minor"/>
      </rPr>
      <t>stage III</t>
    </r>
    <r>
      <rPr>
        <sz val="10"/>
        <rFont val="Calibri"/>
        <family val="2"/>
        <scheme val="minor"/>
      </rPr>
      <t xml:space="preserve"> invasive cervical cancer (per 100,000 PY) and rate ratio;
Follow-up until 30/04/2003;
VIA vs control</t>
    </r>
  </si>
  <si>
    <r>
      <t xml:space="preserve">Absolute incidence of </t>
    </r>
    <r>
      <rPr>
        <b/>
        <sz val="10"/>
        <rFont val="Calibri"/>
        <family val="2"/>
        <scheme val="minor"/>
      </rPr>
      <t>stage IV</t>
    </r>
    <r>
      <rPr>
        <sz val="10"/>
        <rFont val="Calibri"/>
        <family val="2"/>
        <scheme val="minor"/>
      </rPr>
      <t xml:space="preserve"> invasive cervical cancer (per 1,000 women) and relative risk;
Follow-up until 30/04/2003;
VIA vs control</t>
    </r>
  </si>
  <si>
    <t>Number of stage IV invasive cervical cancer; follow-up until 30/04/2003</t>
  </si>
  <si>
    <r>
      <t xml:space="preserve">Absolute incidence of </t>
    </r>
    <r>
      <rPr>
        <b/>
        <sz val="10"/>
        <rFont val="Calibri"/>
        <family val="2"/>
        <scheme val="minor"/>
      </rPr>
      <t>stage IV</t>
    </r>
    <r>
      <rPr>
        <sz val="10"/>
        <rFont val="Calibri"/>
        <family val="2"/>
        <scheme val="minor"/>
      </rPr>
      <t xml:space="preserve"> invasive cervical cancer (per 100,000 PY) and rate ratio;
Follow-up until 30/04/2003;
VIA vs control</t>
    </r>
  </si>
  <si>
    <r>
      <t xml:space="preserve">Absolute incidence of </t>
    </r>
    <r>
      <rPr>
        <b/>
        <sz val="10"/>
        <rFont val="Calibri"/>
        <family val="2"/>
        <scheme val="minor"/>
      </rPr>
      <t>stage II+</t>
    </r>
    <r>
      <rPr>
        <sz val="10"/>
        <rFont val="Calibri"/>
        <family val="2"/>
        <scheme val="minor"/>
      </rPr>
      <t xml:space="preserve"> invasive cervical cancer (per 1,000 women) and relative risk;
Follow-up until 30/04/2003;
VIA vs control</t>
    </r>
  </si>
  <si>
    <t>Number of stage II-IV invasive cervical cancer; follow-up until 30/04/2003</t>
  </si>
  <si>
    <r>
      <t xml:space="preserve">Absolute incidence of </t>
    </r>
    <r>
      <rPr>
        <b/>
        <sz val="10"/>
        <rFont val="Calibri"/>
        <family val="2"/>
        <scheme val="minor"/>
      </rPr>
      <t>stage II+</t>
    </r>
    <r>
      <rPr>
        <sz val="10"/>
        <rFont val="Calibri"/>
        <family val="2"/>
        <scheme val="minor"/>
      </rPr>
      <t xml:space="preserve"> invasive cervical cancer (per 100,000 PY) and rate ratio;
Follow-up until 30/04/2003;
VIA vs control</t>
    </r>
  </si>
  <si>
    <r>
      <t>% of invasive cervical cancer diagnosed at late-stage (</t>
    </r>
    <r>
      <rPr>
        <b/>
        <sz val="10"/>
        <rFont val="Calibri"/>
        <family val="2"/>
        <scheme val="minor"/>
      </rPr>
      <t>stage II+)</t>
    </r>
    <r>
      <rPr>
        <sz val="10"/>
        <rFont val="Calibri"/>
        <family val="2"/>
        <scheme val="minor"/>
      </rPr>
      <t xml:space="preserve"> and relative risk;
Follow-up until 30/04/2003;
VIA vs control</t>
    </r>
  </si>
  <si>
    <t xml:space="preserve">Total number of invasive cervical cancers diagnosed up to 30/04/2003 </t>
  </si>
  <si>
    <r>
      <t>Diagnostic yield at screening (</t>
    </r>
    <r>
      <rPr>
        <b/>
        <sz val="10"/>
        <rFont val="Calibri"/>
        <family val="2"/>
        <scheme val="minor"/>
      </rPr>
      <t>invasive cervical cancer</t>
    </r>
    <r>
      <rPr>
        <sz val="10"/>
        <rFont val="Calibri"/>
        <family val="2"/>
        <scheme val="minor"/>
      </rPr>
      <t>) per 100 women; 1 screening round, January 2000 to April 2003;
VIA only</t>
    </r>
  </si>
  <si>
    <t>Blinded outcome assessment. Staff of the
Dindigul district cancer registry using case finding methods. 64 data sources in Dindigul and 9 surrounding districts where cancer patients from the Dindigul district were likely to be diagnosed or treated, including medical records, radiotherapy and surgery departments of all hospitals, clinics, and pathology laboratories, and actively abstracted information from case-records.</t>
  </si>
  <si>
    <t>Date of study entry of the woman to date of diagnosis, death, migration, or last follow-up visit.</t>
  </si>
  <si>
    <t>Table 2 and text: CIN 1 was diagnosed in 1656 (5·3%) women, CIN 2–3 in 218 (0·7%), and 67 (0·2%) were screen-detected cervical cancers.</t>
  </si>
  <si>
    <t>Number of CIN and cancer cases indicated are those detected among screen positive women immediately after screening.</t>
  </si>
  <si>
    <r>
      <t>Diagnostic yield at screening (</t>
    </r>
    <r>
      <rPr>
        <b/>
        <sz val="10"/>
        <rFont val="Calibri"/>
        <family val="2"/>
        <scheme val="minor"/>
      </rPr>
      <t>CIN2-3</t>
    </r>
    <r>
      <rPr>
        <sz val="10"/>
        <rFont val="Calibri"/>
        <family val="2"/>
        <scheme val="minor"/>
      </rPr>
      <t>) per 100 women; 1 screening round, January 2000 to April 2003;
VIA only</t>
    </r>
  </si>
  <si>
    <r>
      <t xml:space="preserve">Number of screen-detected </t>
    </r>
    <r>
      <rPr>
        <b/>
        <sz val="10"/>
        <rFont val="Calibri"/>
        <family val="2"/>
        <scheme val="minor"/>
      </rPr>
      <t>CIN2-3</t>
    </r>
    <r>
      <rPr>
        <sz val="10"/>
        <rFont val="Calibri"/>
        <family val="2"/>
        <scheme val="minor"/>
      </rPr>
      <t>;  1 screening round (2000-2003); CIN3 includes carcinoma in situ cases.</t>
    </r>
  </si>
  <si>
    <t>Number of CIN and cancer cases indicated are those detected among screen positive women immediately after screening.
Carcinoma in-situ cases were classified as CIN 3.</t>
  </si>
  <si>
    <r>
      <t>Diagnostic yield at screening (</t>
    </r>
    <r>
      <rPr>
        <b/>
        <sz val="10"/>
        <rFont val="Calibri"/>
        <family val="2"/>
        <scheme val="minor"/>
      </rPr>
      <t>CIN2-3 plus invasive cervical cancer</t>
    </r>
    <r>
      <rPr>
        <sz val="10"/>
        <rFont val="Calibri"/>
        <family val="2"/>
        <scheme val="minor"/>
      </rPr>
      <t>) per 100 women; 1 screening round, January 2000 to April 2003;
VIA only</t>
    </r>
  </si>
  <si>
    <r>
      <t xml:space="preserve">Number of screen-detected </t>
    </r>
    <r>
      <rPr>
        <b/>
        <sz val="10"/>
        <rFont val="Calibri"/>
        <family val="2"/>
        <scheme val="minor"/>
      </rPr>
      <t>CIN2-3 plus invasive cervical cancer cases</t>
    </r>
    <r>
      <rPr>
        <sz val="10"/>
        <rFont val="Calibri"/>
        <family val="2"/>
        <scheme val="minor"/>
      </rPr>
      <t>; 1 screening round (2000-2003); CIN3 includes carcinoma in situ cases.</t>
    </r>
  </si>
  <si>
    <t>Table 2 and text: CIN 1 was diagnosed in 1656 (5·3%) women, CIN 2–3 in 218 (0·7%), and 67 (0·2%) were screen-detected cervical cancers. … The positive predictive value of VIA to detect CIN 2–3 lesions and cancer was 9·2% (285 of 3088).</t>
  </si>
  <si>
    <r>
      <t xml:space="preserve">% of </t>
    </r>
    <r>
      <rPr>
        <b/>
        <sz val="10"/>
        <rFont val="Calibri"/>
        <family val="2"/>
        <scheme val="minor"/>
      </rPr>
      <t xml:space="preserve">invasive cervical cancer </t>
    </r>
    <r>
      <rPr>
        <sz val="10"/>
        <rFont val="Calibri"/>
        <family val="2"/>
        <scheme val="minor"/>
      </rPr>
      <t>that has been screen-detected; 1 screening round, January 2000 to April 2003; follow-up until 31/12/2006;
VIA only</t>
    </r>
  </si>
  <si>
    <t>274,023 PY
Mean 5.6 years</t>
  </si>
  <si>
    <t>Total number of invasive cervical cancers diagnosed up to 31/12/2006 (in screen-positive, screen-negative and non-attending women)</t>
  </si>
  <si>
    <t>Table 3 and text: During January, 2000, to December, 2006 (7 years
from the beginning of screening), 167 cases of cervical cancer (67 screen-detected, ten among women diagnosed and treated for CIN, 29 screen-negatives, and 61 non-participants) were diagnosed in the intervention group and 158 cases in the control  group</t>
  </si>
  <si>
    <r>
      <t xml:space="preserve">Absolute incidence of </t>
    </r>
    <r>
      <rPr>
        <b/>
        <sz val="10"/>
        <rFont val="Calibri"/>
        <family val="2"/>
        <scheme val="minor"/>
      </rPr>
      <t>stage IA</t>
    </r>
    <r>
      <rPr>
        <sz val="10"/>
        <rFont val="Calibri"/>
        <family val="2"/>
        <scheme val="minor"/>
      </rPr>
      <t xml:space="preserve"> invasive cervical cancer (per 1,000 women) and relative risk;
Follow-up until 31/12/2006;
VIA vs control</t>
    </r>
  </si>
  <si>
    <t>178,394 PY
Mean 5.8 years</t>
  </si>
  <si>
    <t>Number of stage IA invasive cervical cancer; follow-up until 31/12/2006</t>
  </si>
  <si>
    <r>
      <t xml:space="preserve">Absolute incidence of </t>
    </r>
    <r>
      <rPr>
        <b/>
        <sz val="10"/>
        <rFont val="Calibri"/>
        <family val="2"/>
        <scheme val="minor"/>
      </rPr>
      <t>stage IA</t>
    </r>
    <r>
      <rPr>
        <sz val="10"/>
        <rFont val="Calibri"/>
        <family val="2"/>
        <scheme val="minor"/>
      </rPr>
      <t xml:space="preserve"> invasive cervical cancer (per 100,000 PY) and rate ratio;
Follow-up until 31/12/2006;
VIA vs control</t>
    </r>
  </si>
  <si>
    <t>Person-years up to 31/12/2006</t>
  </si>
  <si>
    <r>
      <t xml:space="preserve">Absolute incidence of </t>
    </r>
    <r>
      <rPr>
        <b/>
        <sz val="10"/>
        <rFont val="Calibri"/>
        <family val="2"/>
        <scheme val="minor"/>
      </rPr>
      <t>stage IB</t>
    </r>
    <r>
      <rPr>
        <sz val="10"/>
        <rFont val="Calibri"/>
        <family val="2"/>
        <scheme val="minor"/>
      </rPr>
      <t xml:space="preserve"> invasive cervical cancer (per 1,000 women) and relative risk;
Follow-up until 31/12/2006;
VIA vs control</t>
    </r>
  </si>
  <si>
    <t>Number of stage IB invasive cervical cancer; follow-up until 31/12/2006</t>
  </si>
  <si>
    <r>
      <t xml:space="preserve">Absolute incidence of </t>
    </r>
    <r>
      <rPr>
        <b/>
        <sz val="10"/>
        <rFont val="Calibri"/>
        <family val="2"/>
        <scheme val="minor"/>
      </rPr>
      <t>stage IB</t>
    </r>
    <r>
      <rPr>
        <sz val="10"/>
        <rFont val="Calibri"/>
        <family val="2"/>
        <scheme val="minor"/>
      </rPr>
      <t xml:space="preserve"> invasive cervical cancer (per 100,000 PY) and rate ratio;
Follow-up until 31/12/2006;
VIA vs control</t>
    </r>
  </si>
  <si>
    <r>
      <t xml:space="preserve">Absolute incidence of </t>
    </r>
    <r>
      <rPr>
        <b/>
        <sz val="10"/>
        <rFont val="Calibri"/>
        <family val="2"/>
        <scheme val="minor"/>
      </rPr>
      <t>stage I (stage IA plus IB)</t>
    </r>
    <r>
      <rPr>
        <sz val="10"/>
        <rFont val="Calibri"/>
        <family val="2"/>
        <scheme val="minor"/>
      </rPr>
      <t xml:space="preserve"> invasive cervical cancer (per 1,000 women) and relative risk;
Follow-up until 31/12/2006;
VIA vs control</t>
    </r>
  </si>
  <si>
    <t>Number of stage I invasive cervical cancer; follow-up until 31/12/2006</t>
  </si>
  <si>
    <r>
      <t xml:space="preserve">Absolute incidence of </t>
    </r>
    <r>
      <rPr>
        <b/>
        <sz val="10"/>
        <rFont val="Calibri"/>
        <family val="2"/>
        <scheme val="minor"/>
      </rPr>
      <t>stage I (stage IA plus IB)</t>
    </r>
    <r>
      <rPr>
        <sz val="10"/>
        <rFont val="Calibri"/>
        <family val="2"/>
        <scheme val="minor"/>
      </rPr>
      <t xml:space="preserve"> invasive cervical cancer (per 100,000 PY) and rate ratio;
Follow-up until 31/12/2006;
VIA vs control</t>
    </r>
  </si>
  <si>
    <r>
      <t xml:space="preserve">Absolute incidence of </t>
    </r>
    <r>
      <rPr>
        <b/>
        <sz val="10"/>
        <rFont val="Calibri"/>
        <family val="2"/>
        <scheme val="minor"/>
      </rPr>
      <t>stage II+</t>
    </r>
    <r>
      <rPr>
        <sz val="10"/>
        <rFont val="Calibri"/>
        <family val="2"/>
        <scheme val="minor"/>
      </rPr>
      <t xml:space="preserve"> invasive cervical cancer (per 1,000 women) and relative risk;
Follow-up until 31/12/2006;
VIA vs control</t>
    </r>
  </si>
  <si>
    <t>Number of stage II+ invasive cervical cancer; follow-up until 31/12/2006</t>
  </si>
  <si>
    <r>
      <t xml:space="preserve">Absolute incidence of </t>
    </r>
    <r>
      <rPr>
        <b/>
        <sz val="10"/>
        <rFont val="Calibri"/>
        <family val="2"/>
        <scheme val="minor"/>
      </rPr>
      <t>stage II+</t>
    </r>
    <r>
      <rPr>
        <sz val="10"/>
        <rFont val="Calibri"/>
        <family val="2"/>
        <scheme val="minor"/>
      </rPr>
      <t xml:space="preserve"> invasive cervical cancer (per 100,000 PY) and rate ratio;
Follow-up until 31/12/2006;
VIA vs control</t>
    </r>
  </si>
  <si>
    <t>Table 4 and Table 5</t>
  </si>
  <si>
    <r>
      <t xml:space="preserve">Absolute incidence of </t>
    </r>
    <r>
      <rPr>
        <b/>
        <sz val="10"/>
        <rFont val="Calibri"/>
        <family val="2"/>
        <scheme val="minor"/>
      </rPr>
      <t>stage II+</t>
    </r>
    <r>
      <rPr>
        <sz val="10"/>
        <rFont val="Calibri"/>
        <family val="2"/>
        <scheme val="minor"/>
      </rPr>
      <t xml:space="preserve"> invasive cervical cancer (per 100,000 PY) and hazard ratio (adjusted for cluster design only);
Follow-up until 31/12/2006;
VIA vs control</t>
    </r>
  </si>
  <si>
    <t>Adjusted for cluster design only</t>
  </si>
  <si>
    <r>
      <t xml:space="preserve">Absolute incidence of </t>
    </r>
    <r>
      <rPr>
        <b/>
        <sz val="10"/>
        <rFont val="Calibri"/>
        <family val="2"/>
        <scheme val="minor"/>
      </rPr>
      <t>stage II+</t>
    </r>
    <r>
      <rPr>
        <sz val="10"/>
        <rFont val="Calibri"/>
        <family val="2"/>
        <scheme val="minor"/>
      </rPr>
      <t xml:space="preserve"> invasive cervical cancer (per 100,000 PY) and hazard ratio (adjusted for age, education, marital status, parity and cluster design);
Follow-up until 31/12/2006;
VIA vs control</t>
    </r>
  </si>
  <si>
    <t>Adjusted for age, education, marital status, parity, and cluster design</t>
  </si>
  <si>
    <r>
      <t>% of invasive cervical cancer diagnosed at late stage (</t>
    </r>
    <r>
      <rPr>
        <b/>
        <sz val="10"/>
        <rFont val="Calibri"/>
        <family val="2"/>
        <scheme val="minor"/>
      </rPr>
      <t>stage II+)</t>
    </r>
    <r>
      <rPr>
        <sz val="10"/>
        <rFont val="Calibri"/>
        <family val="2"/>
        <scheme val="minor"/>
      </rPr>
      <t xml:space="preserve"> and relative risk;
Follow-up until 31/12/2006;
VIA vs control</t>
    </r>
  </si>
  <si>
    <t>Blinded outcome assessment. Staff of the Dindigul district cancer registry using case finding methods. 64 data sources in Dindigul and 9 surrounding districts where cancer patients from the Dindigul district were likely to be diagnosed or treated, including medical records, radiotherapy and surgery departments of all hospitals, clinics, and pathology laboratories, and actively abstracted information from case-records.</t>
  </si>
  <si>
    <t>Total number of invasive cervical cancers diagnosed up to 31/12/2006; including cacses with unknown stage</t>
  </si>
  <si>
    <r>
      <t xml:space="preserve">Absolute incidence of </t>
    </r>
    <r>
      <rPr>
        <b/>
        <sz val="10"/>
        <rFont val="Calibri"/>
        <family val="2"/>
        <scheme val="minor"/>
      </rPr>
      <t>stage II+</t>
    </r>
    <r>
      <rPr>
        <sz val="10"/>
        <rFont val="Calibri"/>
        <family val="2"/>
        <scheme val="minor"/>
      </rPr>
      <t xml:space="preserve"> invasive cervical cancer (per 100,000 PY) and hazard ratio (adjusted for cluster design only) </t>
    </r>
    <r>
      <rPr>
        <b/>
        <sz val="10"/>
        <rFont val="Calibri"/>
        <family val="2"/>
        <scheme val="minor"/>
      </rPr>
      <t>in women 30-39 years</t>
    </r>
    <r>
      <rPr>
        <sz val="10"/>
        <rFont val="Calibri"/>
        <family val="2"/>
        <scheme val="minor"/>
      </rPr>
      <t>;
Follow-up until 31/12/2006;
VIA vs control</t>
    </r>
  </si>
  <si>
    <t xml:space="preserve">NR
</t>
  </si>
  <si>
    <r>
      <t xml:space="preserve">Number of stage II+ invasive cervical cancer </t>
    </r>
    <r>
      <rPr>
        <b/>
        <sz val="10"/>
        <rFont val="Calibri"/>
        <family val="2"/>
        <scheme val="minor"/>
      </rPr>
      <t>in women 30-39 years</t>
    </r>
    <r>
      <rPr>
        <sz val="10"/>
        <rFont val="Calibri"/>
        <family val="2"/>
        <scheme val="minor"/>
      </rPr>
      <t>; follow-up until 31/12/2006</t>
    </r>
  </si>
  <si>
    <r>
      <t xml:space="preserve">Person-years up to 31/12/2006 </t>
    </r>
    <r>
      <rPr>
        <b/>
        <sz val="10"/>
        <rFont val="Calibri"/>
        <family val="2"/>
        <scheme val="minor"/>
      </rPr>
      <t>in women 30-39 years</t>
    </r>
  </si>
  <si>
    <r>
      <t xml:space="preserve">Absolute incidence of </t>
    </r>
    <r>
      <rPr>
        <b/>
        <sz val="10"/>
        <rFont val="Calibri"/>
        <family val="2"/>
        <scheme val="minor"/>
      </rPr>
      <t>stage II+</t>
    </r>
    <r>
      <rPr>
        <sz val="10"/>
        <rFont val="Calibri"/>
        <family val="2"/>
        <scheme val="minor"/>
      </rPr>
      <t xml:space="preserve"> invasive cervical cancer (per 100,000 PY) and hazard ratio (adjusted for age, education, marital status, parity and cluster design) </t>
    </r>
    <r>
      <rPr>
        <b/>
        <sz val="10"/>
        <rFont val="Calibri"/>
        <family val="2"/>
        <scheme val="minor"/>
      </rPr>
      <t>in women 30-39 years</t>
    </r>
    <r>
      <rPr>
        <sz val="10"/>
        <rFont val="Calibri"/>
        <family val="2"/>
        <scheme val="minor"/>
      </rPr>
      <t>;
Follow-up until 31/12/2006;
VIA vs control</t>
    </r>
  </si>
  <si>
    <r>
      <t xml:space="preserve">Absolute incidence of </t>
    </r>
    <r>
      <rPr>
        <b/>
        <sz val="10"/>
        <rFont val="Calibri"/>
        <family val="2"/>
        <scheme val="minor"/>
      </rPr>
      <t>stage II+</t>
    </r>
    <r>
      <rPr>
        <sz val="10"/>
        <rFont val="Calibri"/>
        <family val="2"/>
        <scheme val="minor"/>
      </rPr>
      <t xml:space="preserve"> invasive cervical cancer (per 100,000 PY) and hazard ratio (adjusted for cluster design only) </t>
    </r>
    <r>
      <rPr>
        <b/>
        <sz val="10"/>
        <rFont val="Calibri"/>
        <family val="2"/>
        <scheme val="minor"/>
      </rPr>
      <t>in women 40-49 years</t>
    </r>
    <r>
      <rPr>
        <sz val="10"/>
        <rFont val="Calibri"/>
        <family val="2"/>
        <scheme val="minor"/>
      </rPr>
      <t>;
Follow-up until 31/12/2006;
VIA vs control</t>
    </r>
  </si>
  <si>
    <r>
      <t xml:space="preserve">Number of stage II+ invasive cervical cancer </t>
    </r>
    <r>
      <rPr>
        <b/>
        <sz val="10"/>
        <rFont val="Calibri"/>
        <family val="2"/>
        <scheme val="minor"/>
      </rPr>
      <t>in women 40-49 years</t>
    </r>
    <r>
      <rPr>
        <sz val="10"/>
        <rFont val="Calibri"/>
        <family val="2"/>
        <scheme val="minor"/>
      </rPr>
      <t>; follow-up until 31/12/2006</t>
    </r>
  </si>
  <si>
    <r>
      <t xml:space="preserve">Person-years up to 31/12/2006 </t>
    </r>
    <r>
      <rPr>
        <b/>
        <sz val="10"/>
        <rFont val="Calibri"/>
        <family val="2"/>
        <scheme val="minor"/>
      </rPr>
      <t>in women 40-49 years</t>
    </r>
  </si>
  <si>
    <r>
      <t xml:space="preserve">Absolute incidence of </t>
    </r>
    <r>
      <rPr>
        <b/>
        <sz val="10"/>
        <rFont val="Calibri"/>
        <family val="2"/>
        <scheme val="minor"/>
      </rPr>
      <t>stage II+</t>
    </r>
    <r>
      <rPr>
        <sz val="10"/>
        <rFont val="Calibri"/>
        <family val="2"/>
        <scheme val="minor"/>
      </rPr>
      <t xml:space="preserve"> invasive cervical cancer (per 100,000 PY) and hazard ratio (adjusted for age, education, marital status, parity and cluster design) </t>
    </r>
    <r>
      <rPr>
        <b/>
        <sz val="10"/>
        <rFont val="Calibri"/>
        <family val="2"/>
        <scheme val="minor"/>
      </rPr>
      <t>in women 40-49 years</t>
    </r>
    <r>
      <rPr>
        <sz val="10"/>
        <rFont val="Calibri"/>
        <family val="2"/>
        <scheme val="minor"/>
      </rPr>
      <t>;
Follow-up until 31/12/2006;
VIA vs control</t>
    </r>
  </si>
  <si>
    <r>
      <t xml:space="preserve">Absolute incidence of </t>
    </r>
    <r>
      <rPr>
        <b/>
        <sz val="10"/>
        <rFont val="Calibri"/>
        <family val="2"/>
        <scheme val="minor"/>
      </rPr>
      <t>stage II+</t>
    </r>
    <r>
      <rPr>
        <sz val="10"/>
        <rFont val="Calibri"/>
        <family val="2"/>
        <scheme val="minor"/>
      </rPr>
      <t xml:space="preserve"> invasive cervical cancer (per 100,000 PY) and hazard ratio (adjusted for cluster design only) </t>
    </r>
    <r>
      <rPr>
        <b/>
        <sz val="10"/>
        <rFont val="Calibri"/>
        <family val="2"/>
        <scheme val="minor"/>
      </rPr>
      <t>in women 50-59 years</t>
    </r>
    <r>
      <rPr>
        <sz val="10"/>
        <rFont val="Calibri"/>
        <family val="2"/>
        <scheme val="minor"/>
      </rPr>
      <t>;
Follow-up until 31/12/2006;
VIA vs control</t>
    </r>
  </si>
  <si>
    <r>
      <t xml:space="preserve">Number of stage II+ invasive cervical cancer </t>
    </r>
    <r>
      <rPr>
        <b/>
        <sz val="10"/>
        <rFont val="Calibri"/>
        <family val="2"/>
        <scheme val="minor"/>
      </rPr>
      <t>in women 50-59 years</t>
    </r>
    <r>
      <rPr>
        <sz val="10"/>
        <rFont val="Calibri"/>
        <family val="2"/>
        <scheme val="minor"/>
      </rPr>
      <t>; follow-up until 31/12/2006</t>
    </r>
  </si>
  <si>
    <r>
      <t xml:space="preserve">Person-years up to 31/12/2006 </t>
    </r>
    <r>
      <rPr>
        <b/>
        <sz val="10"/>
        <rFont val="Calibri"/>
        <family val="2"/>
        <scheme val="minor"/>
      </rPr>
      <t>in women 50-59 years</t>
    </r>
  </si>
  <si>
    <r>
      <t xml:space="preserve">Absolute incidence of </t>
    </r>
    <r>
      <rPr>
        <b/>
        <sz val="10"/>
        <rFont val="Calibri"/>
        <family val="2"/>
        <scheme val="minor"/>
      </rPr>
      <t>stage II+</t>
    </r>
    <r>
      <rPr>
        <sz val="10"/>
        <rFont val="Calibri"/>
        <family val="2"/>
        <scheme val="minor"/>
      </rPr>
      <t xml:space="preserve"> invasive cervical cancer (per 100,000 PY) and hazard ratio (adjusted for age, education, marital status, parity and cluster design) </t>
    </r>
    <r>
      <rPr>
        <b/>
        <sz val="10"/>
        <rFont val="Calibri"/>
        <family val="2"/>
        <scheme val="minor"/>
      </rPr>
      <t>in women 50-59 years</t>
    </r>
    <r>
      <rPr>
        <sz val="10"/>
        <rFont val="Calibri"/>
        <family val="2"/>
        <scheme val="minor"/>
      </rPr>
      <t>;
Follow-up until 31/12/2006;
VIA vs control</t>
    </r>
  </si>
  <si>
    <r>
      <t>Diagnostic yield at screening (</t>
    </r>
    <r>
      <rPr>
        <b/>
        <sz val="10"/>
        <rFont val="Calibri"/>
        <family val="2"/>
        <scheme val="minor"/>
      </rPr>
      <t>invasive cervical cancer</t>
    </r>
    <r>
      <rPr>
        <sz val="10"/>
        <rFont val="Calibri"/>
        <family val="2"/>
        <scheme val="minor"/>
      </rPr>
      <t xml:space="preserve">) per 100 women </t>
    </r>
    <r>
      <rPr>
        <b/>
        <sz val="10"/>
        <rFont val="Calibri"/>
        <family val="2"/>
        <scheme val="minor"/>
      </rPr>
      <t>aged 30-39 years</t>
    </r>
    <r>
      <rPr>
        <sz val="10"/>
        <rFont val="Calibri"/>
        <family val="2"/>
        <scheme val="minor"/>
      </rPr>
      <t>; 1 screening round, January 2000 to April 2003;
VIA only</t>
    </r>
  </si>
  <si>
    <r>
      <t xml:space="preserve">Number of screen-detected </t>
    </r>
    <r>
      <rPr>
        <b/>
        <sz val="10"/>
        <rFont val="Calibri"/>
        <family val="2"/>
        <scheme val="minor"/>
      </rPr>
      <t>invasive cervical cancer in women aged 30-39 years</t>
    </r>
    <r>
      <rPr>
        <sz val="10"/>
        <rFont val="Calibri"/>
        <family val="2"/>
        <scheme val="minor"/>
      </rPr>
      <t>; 1 screening round (2000-2003)</t>
    </r>
  </si>
  <si>
    <r>
      <t xml:space="preserve">Number of women </t>
    </r>
    <r>
      <rPr>
        <b/>
        <sz val="10"/>
        <rFont val="Calibri"/>
        <family val="2"/>
        <scheme val="minor"/>
      </rPr>
      <t xml:space="preserve">aged 30-39 years </t>
    </r>
    <r>
      <rPr>
        <sz val="10"/>
        <rFont val="Calibri"/>
        <family val="2"/>
        <scheme val="minor"/>
      </rPr>
      <t>analysed</t>
    </r>
  </si>
  <si>
    <r>
      <t>Diagnostic yield at screening (</t>
    </r>
    <r>
      <rPr>
        <b/>
        <sz val="10"/>
        <rFont val="Calibri"/>
        <family val="2"/>
        <scheme val="minor"/>
      </rPr>
      <t>CIN2-3</t>
    </r>
    <r>
      <rPr>
        <sz val="10"/>
        <rFont val="Calibri"/>
        <family val="2"/>
        <scheme val="minor"/>
      </rPr>
      <t xml:space="preserve">) per 100 women </t>
    </r>
    <r>
      <rPr>
        <b/>
        <sz val="10"/>
        <rFont val="Calibri"/>
        <family val="2"/>
        <scheme val="minor"/>
      </rPr>
      <t>aged 30-39 years</t>
    </r>
    <r>
      <rPr>
        <sz val="10"/>
        <rFont val="Calibri"/>
        <family val="2"/>
        <scheme val="minor"/>
      </rPr>
      <t>; 1 screening round, January 2000 to April 2003;
VIA only</t>
    </r>
  </si>
  <si>
    <r>
      <t xml:space="preserve">Number of screen-detected </t>
    </r>
    <r>
      <rPr>
        <b/>
        <sz val="10"/>
        <rFont val="Calibri"/>
        <family val="2"/>
        <scheme val="minor"/>
      </rPr>
      <t>CIN2-3 in women aged 30-39 years</t>
    </r>
    <r>
      <rPr>
        <sz val="10"/>
        <rFont val="Calibri"/>
        <family val="2"/>
        <scheme val="minor"/>
      </rPr>
      <t>;  1 screening round (2000-2003); CIN3 includes carcinoma in situ cases.</t>
    </r>
  </si>
  <si>
    <r>
      <t>Diagnostic yield at screening (</t>
    </r>
    <r>
      <rPr>
        <b/>
        <sz val="10"/>
        <rFont val="Calibri"/>
        <family val="2"/>
        <scheme val="minor"/>
      </rPr>
      <t>CIN2-3 plus invasive cervical cancer</t>
    </r>
    <r>
      <rPr>
        <sz val="10"/>
        <rFont val="Calibri"/>
        <family val="2"/>
        <scheme val="minor"/>
      </rPr>
      <t xml:space="preserve">) per 100 women </t>
    </r>
    <r>
      <rPr>
        <b/>
        <sz val="10"/>
        <rFont val="Calibri"/>
        <family val="2"/>
        <scheme val="minor"/>
      </rPr>
      <t>aged 30-39 years</t>
    </r>
    <r>
      <rPr>
        <sz val="10"/>
        <rFont val="Calibri"/>
        <family val="2"/>
        <scheme val="minor"/>
      </rPr>
      <t>; 1 screening round, January 2000 to April 2003;
VIA only</t>
    </r>
  </si>
  <si>
    <r>
      <t xml:space="preserve">Number of screen-detected </t>
    </r>
    <r>
      <rPr>
        <b/>
        <sz val="10"/>
        <rFont val="Calibri"/>
        <family val="2"/>
        <scheme val="minor"/>
      </rPr>
      <t>CIN2-3 plus invasive cervical cancer cases in women aged 30-39 years</t>
    </r>
    <r>
      <rPr>
        <sz val="10"/>
        <rFont val="Calibri"/>
        <family val="2"/>
        <scheme val="minor"/>
      </rPr>
      <t>; 1 screening round (2000-2003); CIN3 includes carcinoma in situ cases.</t>
    </r>
  </si>
  <si>
    <r>
      <t>Diagnostic yield at screening (</t>
    </r>
    <r>
      <rPr>
        <b/>
        <sz val="10"/>
        <rFont val="Calibri"/>
        <family val="2"/>
        <scheme val="minor"/>
      </rPr>
      <t>invasive cervical cancer</t>
    </r>
    <r>
      <rPr>
        <sz val="10"/>
        <rFont val="Calibri"/>
        <family val="2"/>
        <scheme val="minor"/>
      </rPr>
      <t xml:space="preserve">) per 100 women </t>
    </r>
    <r>
      <rPr>
        <b/>
        <sz val="10"/>
        <rFont val="Calibri"/>
        <family val="2"/>
        <scheme val="minor"/>
      </rPr>
      <t>aged 40-49 years</t>
    </r>
    <r>
      <rPr>
        <sz val="10"/>
        <rFont val="Calibri"/>
        <family val="2"/>
        <scheme val="minor"/>
      </rPr>
      <t>; 1 screening round, January 2000 to April 2003;
VIA only</t>
    </r>
  </si>
  <si>
    <r>
      <t xml:space="preserve">Number of screen-detected </t>
    </r>
    <r>
      <rPr>
        <b/>
        <sz val="10"/>
        <rFont val="Calibri"/>
        <family val="2"/>
        <scheme val="minor"/>
      </rPr>
      <t>invasive cervical cancer in women aged 40-49 years</t>
    </r>
    <r>
      <rPr>
        <sz val="10"/>
        <rFont val="Calibri"/>
        <family val="2"/>
        <scheme val="minor"/>
      </rPr>
      <t>; 1 screening round (2000-2003)</t>
    </r>
  </si>
  <si>
    <r>
      <t xml:space="preserve">Number of women </t>
    </r>
    <r>
      <rPr>
        <b/>
        <sz val="10"/>
        <rFont val="Calibri"/>
        <family val="2"/>
        <scheme val="minor"/>
      </rPr>
      <t xml:space="preserve">aged 40-49 years </t>
    </r>
    <r>
      <rPr>
        <sz val="10"/>
        <rFont val="Calibri"/>
        <family val="2"/>
        <scheme val="minor"/>
      </rPr>
      <t>analysed</t>
    </r>
  </si>
  <si>
    <r>
      <t>Diagnostic yield at screening (</t>
    </r>
    <r>
      <rPr>
        <b/>
        <sz val="10"/>
        <rFont val="Calibri"/>
        <family val="2"/>
        <scheme val="minor"/>
      </rPr>
      <t>CIN2-3 plus invasive cervical cancer</t>
    </r>
    <r>
      <rPr>
        <sz val="10"/>
        <rFont val="Calibri"/>
        <family val="2"/>
        <scheme val="minor"/>
      </rPr>
      <t xml:space="preserve">) per 100 women </t>
    </r>
    <r>
      <rPr>
        <b/>
        <sz val="10"/>
        <rFont val="Calibri"/>
        <family val="2"/>
        <scheme val="minor"/>
      </rPr>
      <t>aged 40-49 years</t>
    </r>
    <r>
      <rPr>
        <sz val="10"/>
        <rFont val="Calibri"/>
        <family val="2"/>
        <scheme val="minor"/>
      </rPr>
      <t>; 1 screening round, January 2000 to April 2003;
VIA only</t>
    </r>
  </si>
  <si>
    <r>
      <t xml:space="preserve">Number of screen-detected </t>
    </r>
    <r>
      <rPr>
        <b/>
        <sz val="10"/>
        <rFont val="Calibri"/>
        <family val="2"/>
        <scheme val="minor"/>
      </rPr>
      <t>CIN2-3 plus invasive cervical cancer cases in women aged 40-49 years</t>
    </r>
    <r>
      <rPr>
        <sz val="10"/>
        <rFont val="Calibri"/>
        <family val="2"/>
        <scheme val="minor"/>
      </rPr>
      <t>; 1 screening round (2000-2003); CIN3 includes carcinoma in situ cases.</t>
    </r>
  </si>
  <si>
    <r>
      <t>Diagnostic yield at screening (</t>
    </r>
    <r>
      <rPr>
        <b/>
        <sz val="10"/>
        <rFont val="Calibri"/>
        <family val="2"/>
        <scheme val="minor"/>
      </rPr>
      <t>invasive cervical cancer</t>
    </r>
    <r>
      <rPr>
        <sz val="10"/>
        <rFont val="Calibri"/>
        <family val="2"/>
        <scheme val="minor"/>
      </rPr>
      <t xml:space="preserve">) per 100 women </t>
    </r>
    <r>
      <rPr>
        <b/>
        <sz val="10"/>
        <rFont val="Calibri"/>
        <family val="2"/>
        <scheme val="minor"/>
      </rPr>
      <t>aged 50-59 years</t>
    </r>
    <r>
      <rPr>
        <sz val="10"/>
        <rFont val="Calibri"/>
        <family val="2"/>
        <scheme val="minor"/>
      </rPr>
      <t>; 1 screening round, January 2000 to April 2003;
VIA only</t>
    </r>
  </si>
  <si>
    <r>
      <t xml:space="preserve">Number of screen-detected </t>
    </r>
    <r>
      <rPr>
        <b/>
        <sz val="10"/>
        <rFont val="Calibri"/>
        <family val="2"/>
        <scheme val="minor"/>
      </rPr>
      <t>invasive cervical cancer in women aged 50-59 years</t>
    </r>
    <r>
      <rPr>
        <sz val="10"/>
        <rFont val="Calibri"/>
        <family val="2"/>
        <scheme val="minor"/>
      </rPr>
      <t>; 1 screening round (2000-2003)</t>
    </r>
  </si>
  <si>
    <r>
      <t xml:space="preserve">Number of women </t>
    </r>
    <r>
      <rPr>
        <b/>
        <sz val="10"/>
        <rFont val="Calibri"/>
        <family val="2"/>
        <scheme val="minor"/>
      </rPr>
      <t xml:space="preserve">aged 50-59 years </t>
    </r>
    <r>
      <rPr>
        <sz val="10"/>
        <rFont val="Calibri"/>
        <family val="2"/>
        <scheme val="minor"/>
      </rPr>
      <t>analysed</t>
    </r>
  </si>
  <si>
    <r>
      <t>Diagnostic yield at screening (</t>
    </r>
    <r>
      <rPr>
        <b/>
        <sz val="10"/>
        <rFont val="Calibri"/>
        <family val="2"/>
        <scheme val="minor"/>
      </rPr>
      <t>CIN2-3</t>
    </r>
    <r>
      <rPr>
        <sz val="10"/>
        <rFont val="Calibri"/>
        <family val="2"/>
        <scheme val="minor"/>
      </rPr>
      <t xml:space="preserve">) per 100 women </t>
    </r>
    <r>
      <rPr>
        <b/>
        <sz val="10"/>
        <rFont val="Calibri"/>
        <family val="2"/>
        <scheme val="minor"/>
      </rPr>
      <t>aged 50-59 years</t>
    </r>
    <r>
      <rPr>
        <sz val="10"/>
        <rFont val="Calibri"/>
        <family val="2"/>
        <scheme val="minor"/>
      </rPr>
      <t>; 1 screening round, January 2000 to April 2003;
VIA only</t>
    </r>
  </si>
  <si>
    <r>
      <t xml:space="preserve">Number of screen-detected </t>
    </r>
    <r>
      <rPr>
        <b/>
        <sz val="10"/>
        <rFont val="Calibri"/>
        <family val="2"/>
        <scheme val="minor"/>
      </rPr>
      <t>CIN2-3 in women aged 50-59 years</t>
    </r>
    <r>
      <rPr>
        <sz val="10"/>
        <rFont val="Calibri"/>
        <family val="2"/>
        <scheme val="minor"/>
      </rPr>
      <t>;  1 screening round (2000-2003); CIN3 includes carcinoma in situ cases.</t>
    </r>
  </si>
  <si>
    <r>
      <t>Diagnostic yield at screening (</t>
    </r>
    <r>
      <rPr>
        <b/>
        <sz val="10"/>
        <rFont val="Calibri"/>
        <family val="2"/>
        <scheme val="minor"/>
      </rPr>
      <t>CIN2-3 plus invasive cervical cancer</t>
    </r>
    <r>
      <rPr>
        <sz val="10"/>
        <rFont val="Calibri"/>
        <family val="2"/>
        <scheme val="minor"/>
      </rPr>
      <t xml:space="preserve">) per 100 women </t>
    </r>
    <r>
      <rPr>
        <b/>
        <sz val="10"/>
        <rFont val="Calibri"/>
        <family val="2"/>
        <scheme val="minor"/>
      </rPr>
      <t>aged 50-59 years</t>
    </r>
    <r>
      <rPr>
        <sz val="10"/>
        <rFont val="Calibri"/>
        <family val="2"/>
        <scheme val="minor"/>
      </rPr>
      <t>; 1 screening round, January 2000 to April 2003;
VIA only</t>
    </r>
  </si>
  <si>
    <r>
      <t xml:space="preserve">Number of screen-detected </t>
    </r>
    <r>
      <rPr>
        <b/>
        <sz val="10"/>
        <rFont val="Calibri"/>
        <family val="2"/>
        <scheme val="minor"/>
      </rPr>
      <t>CIN2-3 plus invasive cervical cancer cases in women aged 50-59 years</t>
    </r>
    <r>
      <rPr>
        <sz val="10"/>
        <rFont val="Calibri"/>
        <family val="2"/>
        <scheme val="minor"/>
      </rPr>
      <t>; 1 screening round (2000-2003); CIN3 includes carcinoma in situ cases.</t>
    </r>
  </si>
  <si>
    <t>Sankar 2000</t>
  </si>
  <si>
    <t>Trivandrum Oral</t>
  </si>
  <si>
    <r>
      <t>Diagnostic yield at screening,</t>
    </r>
    <r>
      <rPr>
        <b/>
        <sz val="10"/>
        <rFont val="Calibri"/>
        <family val="2"/>
        <scheme val="minor"/>
      </rPr>
      <t xml:space="preserve"> oral cancers</t>
    </r>
    <r>
      <rPr>
        <sz val="10"/>
        <rFont val="Calibri"/>
        <family val="2"/>
        <scheme val="minor"/>
      </rPr>
      <t xml:space="preserve"> (per 1,000 people randomised);
Round 1: October 1995 to May 1998;
Screening arm only</t>
    </r>
  </si>
  <si>
    <t>Record linkage with the Trivandrum population-based cancer registry.</t>
  </si>
  <si>
    <t>31/05/1998</t>
  </si>
  <si>
    <t>83,764 PY;
mean 1.4 years</t>
  </si>
  <si>
    <t>114,601 people</t>
  </si>
  <si>
    <t>Number of screen-detected oral cancers (round 1: October 1995 to May 1998)</t>
  </si>
  <si>
    <t>Figure 2 and text: Of the 47 oral cancers in the intervention arm, 36 (76.6%) were screen-detected, 8 (17.0%) were interval
cases, and 3 cases were clinically detected from among
eligible subjects who were not screened. The detection
rate for oral cancer was 0.7 per 1000 screened subjects
in the intervention group.</t>
  </si>
  <si>
    <r>
      <t xml:space="preserve">Diagnostic yield at screening, </t>
    </r>
    <r>
      <rPr>
        <b/>
        <sz val="10"/>
        <rFont val="Calibri"/>
        <family val="2"/>
        <scheme val="minor"/>
      </rPr>
      <t xml:space="preserve">oral precancers </t>
    </r>
    <r>
      <rPr>
        <sz val="10"/>
        <rFont val="Calibri"/>
        <family val="2"/>
        <scheme val="minor"/>
      </rPr>
      <t>(per 1,000 people randomised);
Round 1: October 1995 to May 1998;
Screening arm only</t>
    </r>
  </si>
  <si>
    <t>Number of screen-detected oral precancers (round 1: October 1995 to May 1998)</t>
  </si>
  <si>
    <t>Figure 2 and text: The other abnormal findings were homogeneous leukoplakia (n = 634), nonhomogeneous leukoplakia (n = 502), and submucous fibrosis (n = 174), all of which we consider oral precancerous lesions, and oral cancer (n 5 36). The detection rate of oral precancerous lesions was 26.6 per 1000 screened subjects.</t>
  </si>
  <si>
    <t>% of oral cancers that are screen-detected;
Round 1: October 1995 to May 1998;
Screening arm only</t>
  </si>
  <si>
    <t>Total number of oral cancers detected by 31 May 1998 (screen-detected, interval, unscreened)</t>
  </si>
  <si>
    <t>Figure 2 and text: Of the 47 oral cancers in the intervention arm, 36 (76.6%) were screen-detected, 8 (17.0%) were interval
cases, and 3 cases were clinically detected from among
eligible subjects who were not screened.</t>
  </si>
  <si>
    <t>Absolute incidence of oral cancers &lt;2 cm (per 1,000 people randomised);
Round 1: October 1995 to May 1998;
Screening vs control</t>
  </si>
  <si>
    <t>&lt;2 cm</t>
  </si>
  <si>
    <t>&gt;4 cm</t>
  </si>
  <si>
    <t>≤4 cm</t>
  </si>
  <si>
    <t>78,754 PY;
mean 1.4 years</t>
  </si>
  <si>
    <t>Number of oral cancers &lt;2 cm maximum measurable dimension; follow-up until 31/05/1998</t>
  </si>
  <si>
    <t>Text: The distribution of the maximum measurable dimension
of cancers in the intervention group was as follows: &lt;2 cm: 23 (49.0%); 2–4 cm: 12 (25.5%); &gt;4 cm: 12 (25.5%). The corresponding results for the control group cancer cases were 0 (0.0%), 7 (43.8%), and 9 (56.2%), respectively.</t>
  </si>
  <si>
    <t>Absolute incidence of oral cancers &lt;2 cm (per 1,000 PY);
Round 1: October 1995 to May 1998;
Screening vs control</t>
  </si>
  <si>
    <t>Person-years; follow-up until 31/05/1998</t>
  </si>
  <si>
    <t>Absolute incidence of oral cancers 2-4 cm (per 1,000 people randomised);
Round 1: October 1995 to May 1998;
Screening vs control</t>
  </si>
  <si>
    <t>2-4 cm</t>
  </si>
  <si>
    <t>Number of oral cancers 2-4 cm maximum measurable dimension; follow-up until 31/05/1998</t>
  </si>
  <si>
    <t>Absolute incidence of oral cancers 2-4 cm (per 1,000 PY);
Round 1: October 1995 to May 1998;
Screening vs control</t>
  </si>
  <si>
    <t>Absolute incidence of oral cancers ≤4 cm (per 1,000 people randomised);
Round 1: October 1995 to May 1998;
Screening vs control</t>
  </si>
  <si>
    <t>Number of oral cancers ≤4 cm maximum measurable dimension; follow-up until 31/05/1998</t>
  </si>
  <si>
    <r>
      <t xml:space="preserve">Absolute incidence of oral cancers </t>
    </r>
    <r>
      <rPr>
        <sz val="10"/>
        <rFont val="Calibri"/>
        <family val="2"/>
      </rPr>
      <t>≤4</t>
    </r>
    <r>
      <rPr>
        <sz val="10"/>
        <rFont val="Calibri"/>
        <family val="2"/>
        <scheme val="minor"/>
      </rPr>
      <t xml:space="preserve"> cm (per 1,000 PY);
Round 1: October 1995 to May 1998;
Screening vs control</t>
    </r>
  </si>
  <si>
    <t>Absolute incidence of oral cancers &gt;4 cm (per 1,000 people randomised);
Round 1: October 1995 to May 1998;
Screening vs control</t>
  </si>
  <si>
    <t>Number of oral cancers &gt;4 cm maximum measurable dimension; follow-up until 31/05/1998</t>
  </si>
  <si>
    <t>Absolute incidence of oral cancers &gt;4 cm (per 1,000 PY);
Round 1: October 1995 to May 1998;
Screening vs control</t>
  </si>
  <si>
    <t>% of oral cancers measuring &gt;4 cm;
Round 1: October 1995 to May 1998;
Screening vs control</t>
  </si>
  <si>
    <t>Total number of oral cancers detected by 31 May 1998</t>
  </si>
  <si>
    <t>Text: The distribution of the maximum measurable dimension
of cancers in the intervention group was as follows: &lt;2 cm: 23 (49.0%); 2–4 cm: 12 (25.5%); &gt;4 cm: 12 (25.5%). The corresponding results for the control group cancer cases were 0 (0.0%), 7 (43.8%), and 9 (56.2%), respectively. Thus, 74.5% of the tumors in the
intervention group measured &lt;4 cm, as opposed to
43.8% in the control group.</t>
  </si>
  <si>
    <t>Absolute incidence of stage I oral cancers (per 1,000 people randomised);
Round 1: October 1995 to May 1998;
Screening vs control</t>
  </si>
  <si>
    <t>Stage III-IV?</t>
  </si>
  <si>
    <t>Number of stage I oral cancer (UICC/AJCC TNM); follow-up until 31/05/1998</t>
  </si>
  <si>
    <t>Absolute incidence of stage I oral cancers  (per 1,000 PY);
Round 1: October 1995 to May 1998;
Screening vs control</t>
  </si>
  <si>
    <t>Absolute incidence of stage II oral cancers (per 1,000 people randomised);
Round 1: October 1995 to May 1998;
Screening vs control</t>
  </si>
  <si>
    <t>Number of stage II oral cancer (UICC/AJCC TNM); follow-up until 31/05/1998</t>
  </si>
  <si>
    <t>Absolute incidence of stage II oral cancers  (per 1,000 PY);
Round 1: October 1995 to May 1998;
Screening vs control</t>
  </si>
  <si>
    <t>Absolute incidence of early-stage (stage I-II) oral cancers (per 1,000 people randomised);
Round 1: October 1995 to May 1998;
Screening vs control</t>
  </si>
  <si>
    <t>Number of stage I-II oral cancer (UICC/AJCC TNM); follow-up until 31/05/1998</t>
  </si>
  <si>
    <t>Absolute incidence of early-stage (stage I-II) oral cancers  (per 1,000 PY);
Round 1: October 1995 to May 1998;
Screening vs control</t>
  </si>
  <si>
    <t>Absolute incidence of stage III oral cancers (per 1,000 people randomised);
Round 1: October 1995 to May 1998;
Screening vs control</t>
  </si>
  <si>
    <t>Number of stage III oral cancer (UICC/AJCC TNM); follow-up until 31/05/1998</t>
  </si>
  <si>
    <t>Absolute incidence of stage III oral cancers  (per 1,000 PY);
Round 1: October 1995 to May 1998;
Screening vs control</t>
  </si>
  <si>
    <t>Absolute incidence of stage IV oral cancers (per 1,000 people randomised);
Round 1: October 1995 to May 1998;
Screening vs control</t>
  </si>
  <si>
    <t>Number of stage IV oral cancer (UICC/AJCC TNM); follow-up until 31/05/1998</t>
  </si>
  <si>
    <t>Absolute incidence of stage IV oral cancers  (per 1,000 PY);
Round 1: October 1995 to May 1998;
Screening vs control</t>
  </si>
  <si>
    <t>Absolute incidence of late-stage (stage III-IV) oral cancers (per 1,000 people randomised);
Round 1: October 1995 to May 1998;
Screening vs control</t>
  </si>
  <si>
    <t>Number of stage III-IV oral cancer (UICC/AJCC TNM); follow-up until 31/05/1998</t>
  </si>
  <si>
    <t>Absolute incidence of late-stage (stage III-IV) oral cancers (per 1,000 PY);
Round 1: October 1995 to May 1998;
Screening vs control</t>
  </si>
  <si>
    <t>% of oral cancers diagnosed at late-stage (stage III-IV) oral cancers;
Round 1: October 1995 to May 1998;
Screening vs control</t>
  </si>
  <si>
    <t>Table 6 and text: In the intervention group, 72.3% of the cases were in Stage I or II, as opposed to 12.5% of cases in the control group (P &lt; 0.05).</t>
  </si>
  <si>
    <r>
      <t>Absolute incidence of oral cancers with</t>
    </r>
    <r>
      <rPr>
        <b/>
        <sz val="10"/>
        <rFont val="Calibri"/>
        <family val="2"/>
        <scheme val="minor"/>
      </rPr>
      <t xml:space="preserve"> no palpable neck lymph nodes</t>
    </r>
    <r>
      <rPr>
        <sz val="10"/>
        <rFont val="Calibri"/>
        <family val="2"/>
        <scheme val="minor"/>
      </rPr>
      <t xml:space="preserve"> (per 1,000 people randomised);
Round 1: October 1995 to May 1998;
Screening vs control</t>
    </r>
  </si>
  <si>
    <t>No palpable neck lymph nodes</t>
  </si>
  <si>
    <t>Number of oral cancers with no palpable neck lymph nodes; follow-up until 31/05/1998</t>
  </si>
  <si>
    <t>Text: In the intervention group, 36 (76.6%) had no palpable neck lymph nodes, as opposed to 4 (25.0%) in the control group.</t>
  </si>
  <si>
    <r>
      <t>Absolute incidence of oral cancers with</t>
    </r>
    <r>
      <rPr>
        <b/>
        <sz val="10"/>
        <rFont val="Calibri"/>
        <family val="2"/>
        <scheme val="minor"/>
      </rPr>
      <t xml:space="preserve"> no palpable neck lymph nodes </t>
    </r>
    <r>
      <rPr>
        <sz val="10"/>
        <rFont val="Calibri"/>
        <family val="2"/>
        <scheme val="minor"/>
      </rPr>
      <t>(per 1,000 PY);
Round 1: October 1995 to May 1998;
Screening vs control</t>
    </r>
  </si>
  <si>
    <t>Ramadas 2003</t>
  </si>
  <si>
    <r>
      <t>Diagnostic yield at screening,</t>
    </r>
    <r>
      <rPr>
        <b/>
        <sz val="10"/>
        <rFont val="Calibri"/>
        <family val="2"/>
        <scheme val="minor"/>
      </rPr>
      <t xml:space="preserve"> oral cancers</t>
    </r>
    <r>
      <rPr>
        <sz val="10"/>
        <rFont val="Calibri"/>
        <family val="2"/>
        <scheme val="minor"/>
      </rPr>
      <t xml:space="preserve"> (per 1,000 people randomised);
Rounds 1-2: October 1995 to June 2002;
Screening arm only</t>
    </r>
  </si>
  <si>
    <t>30/06/2002</t>
  </si>
  <si>
    <t>Up to 81 months</t>
  </si>
  <si>
    <t>344,404 PY;
mean 4.4 years</t>
  </si>
  <si>
    <t>153,708 people</t>
  </si>
  <si>
    <t>Number of screen-detected oral cancers (rounds 1-2: October 1995 to June 2002)</t>
  </si>
  <si>
    <t>Figure 1 and text: Precancerous lesions were confirmed in 1887 subjects..., and oral cancer was confirmed in 100 subjects. The detection rate of oral precancerous lesions and oral cancer were 27.0/1000 and 1.4/ 1000 screened subjects, respectively.</t>
  </si>
  <si>
    <r>
      <t xml:space="preserve">Diagnostic yield at screening, </t>
    </r>
    <r>
      <rPr>
        <b/>
        <sz val="10"/>
        <rFont val="Calibri"/>
        <family val="2"/>
        <scheme val="minor"/>
      </rPr>
      <t xml:space="preserve">oral precancers </t>
    </r>
    <r>
      <rPr>
        <sz val="10"/>
        <rFont val="Calibri"/>
        <family val="2"/>
        <scheme val="minor"/>
      </rPr>
      <t>(per 1,000 people randomised);
Rounds 1-2: October 1995 to June 2002;
Screening arm only</t>
    </r>
  </si>
  <si>
    <t>Number of screen-detected oral precancers (rounds 1-2: October 1995 to June 2002)</t>
  </si>
  <si>
    <t>% of oral cancers that are screen-detected;
Rounds 1-2: October 1995 to June 2002;
Screening arm only</t>
  </si>
  <si>
    <t>Number of screen-detected oral cancers (rounds1-2: October 1995 to June 2002)</t>
  </si>
  <si>
    <t>Total number of oral cancers detected by 30 June 2002 (screen-detected, interval, unscreened)</t>
  </si>
  <si>
    <t>Text: Of the 149 oral cancers in the intervention arm, 100 (67.1%) were screen detected, 36 (24.2%) were interval cases and 13 (8.7%) cases were clinically detected from among eligible subjects who were</t>
  </si>
  <si>
    <r>
      <t>Absolute incidence of stage I oral cancers</t>
    </r>
    <r>
      <rPr>
        <b/>
        <sz val="10"/>
        <rFont val="Calibri"/>
        <family val="2"/>
        <scheme val="minor"/>
      </rPr>
      <t xml:space="preserve"> </t>
    </r>
    <r>
      <rPr>
        <sz val="10"/>
        <rFont val="Calibri"/>
        <family val="2"/>
        <scheme val="minor"/>
      </rPr>
      <t>(per 1,000 people randomised);
Rounds 1-2: October 1995 to June 2002;
Screening vs control</t>
    </r>
  </si>
  <si>
    <t>329,326 PY;
mean 4.4 years</t>
  </si>
  <si>
    <t>Number of stage I oral cancers (rounds 1-2: October 1995 to June 2002)</t>
  </si>
  <si>
    <r>
      <t>Absolute incidence of stage I oral cancers</t>
    </r>
    <r>
      <rPr>
        <b/>
        <sz val="10"/>
        <rFont val="Calibri"/>
        <family val="2"/>
        <scheme val="minor"/>
      </rPr>
      <t xml:space="preserve"> </t>
    </r>
    <r>
      <rPr>
        <sz val="10"/>
        <rFont val="Calibri"/>
        <family val="2"/>
        <scheme val="minor"/>
      </rPr>
      <t>(per 1,000 PY);
Rounds 1-2: October 1995 to June 2002;
Screening vs control</t>
    </r>
  </si>
  <si>
    <t>Person-years; follow-up until 30/06/2002</t>
  </si>
  <si>
    <t>Table 4 and text: A total of 344,404 person-years were accrued in
the intervention group as of 30 June 2002, and 329,326 person-years were accrued in the control group.</t>
  </si>
  <si>
    <r>
      <t>Absolute incidence of stage II oral cancers</t>
    </r>
    <r>
      <rPr>
        <b/>
        <sz val="10"/>
        <rFont val="Calibri"/>
        <family val="2"/>
        <scheme val="minor"/>
      </rPr>
      <t xml:space="preserve"> </t>
    </r>
    <r>
      <rPr>
        <sz val="10"/>
        <rFont val="Calibri"/>
        <family val="2"/>
        <scheme val="minor"/>
      </rPr>
      <t>(per 1,000 people randomised);
Rounds 1-2: October 1995 to June 2002;
Screening vs control</t>
    </r>
  </si>
  <si>
    <t>Number of stage II oral cancers (rounds 1-2: October 1995 to June 2002)</t>
  </si>
  <si>
    <r>
      <t>Absolute incidence of stage II oral cancers</t>
    </r>
    <r>
      <rPr>
        <b/>
        <sz val="10"/>
        <rFont val="Calibri"/>
        <family val="2"/>
        <scheme val="minor"/>
      </rPr>
      <t xml:space="preserve"> </t>
    </r>
    <r>
      <rPr>
        <sz val="10"/>
        <rFont val="Calibri"/>
        <family val="2"/>
        <scheme val="minor"/>
      </rPr>
      <t>(per 1,000 PY);
Rounds 1-2: October 1995 to June 2002;
Screening vs control</t>
    </r>
  </si>
  <si>
    <r>
      <t>Absolute incidence of early-stage (stage I-II) oral cancers</t>
    </r>
    <r>
      <rPr>
        <b/>
        <sz val="10"/>
        <rFont val="Calibri"/>
        <family val="2"/>
        <scheme val="minor"/>
      </rPr>
      <t xml:space="preserve"> </t>
    </r>
    <r>
      <rPr>
        <sz val="10"/>
        <rFont val="Calibri"/>
        <family val="2"/>
        <scheme val="minor"/>
      </rPr>
      <t>(per 1,000 people randomised);
Rounds 1-2: October 1995 to June 2002;
Screening vs control</t>
    </r>
  </si>
  <si>
    <t>Number of stage I-II oral cancers (rounds 1-2: October 1995 to June 2002)</t>
  </si>
  <si>
    <r>
      <t>Absolute incidence of early-stage (stage I-II) oral cancers</t>
    </r>
    <r>
      <rPr>
        <b/>
        <sz val="10"/>
        <rFont val="Calibri"/>
        <family val="2"/>
        <scheme val="minor"/>
      </rPr>
      <t xml:space="preserve"> </t>
    </r>
    <r>
      <rPr>
        <sz val="10"/>
        <rFont val="Calibri"/>
        <family val="2"/>
        <scheme val="minor"/>
      </rPr>
      <t>(per 1,000 PY);
Rounds 1-2: October 1995 to June 2002;
Screening vs control</t>
    </r>
  </si>
  <si>
    <r>
      <t>Absolute incidence of stage III oral cancers</t>
    </r>
    <r>
      <rPr>
        <b/>
        <sz val="10"/>
        <rFont val="Calibri"/>
        <family val="2"/>
        <scheme val="minor"/>
      </rPr>
      <t xml:space="preserve"> </t>
    </r>
    <r>
      <rPr>
        <sz val="10"/>
        <rFont val="Calibri"/>
        <family val="2"/>
        <scheme val="minor"/>
      </rPr>
      <t>(per 1,000 people randomised);
Rounds 1-2: October 1995 to June 2002;
Screening vs control</t>
    </r>
  </si>
  <si>
    <t>Number of stage III oral cancers (rounds 1-2: October 1995 to June 2002)</t>
  </si>
  <si>
    <r>
      <t>Absolute incidence of stage III oral cancers</t>
    </r>
    <r>
      <rPr>
        <b/>
        <sz val="10"/>
        <rFont val="Calibri"/>
        <family val="2"/>
        <scheme val="minor"/>
      </rPr>
      <t xml:space="preserve"> </t>
    </r>
    <r>
      <rPr>
        <sz val="10"/>
        <rFont val="Calibri"/>
        <family val="2"/>
        <scheme val="minor"/>
      </rPr>
      <t>(per 1,000 PY);
Rounds 1-2: October 1995 to June 2002;
Screening vs control</t>
    </r>
  </si>
  <si>
    <r>
      <t>Absolute incidence of stage IV oral cancers</t>
    </r>
    <r>
      <rPr>
        <b/>
        <sz val="10"/>
        <rFont val="Calibri"/>
        <family val="2"/>
        <scheme val="minor"/>
      </rPr>
      <t xml:space="preserve"> </t>
    </r>
    <r>
      <rPr>
        <sz val="10"/>
        <rFont val="Calibri"/>
        <family val="2"/>
        <scheme val="minor"/>
      </rPr>
      <t>(per 1,000 people randomised);
Rounds 1-2: October 1995 to June 2002;
Screening vs control</t>
    </r>
  </si>
  <si>
    <t>Number of stage IV oral cancers (rounds 1-2: October 1995 to June 2002)</t>
  </si>
  <si>
    <r>
      <t>Absolute incidence of stage IV oral cancers</t>
    </r>
    <r>
      <rPr>
        <b/>
        <sz val="10"/>
        <rFont val="Calibri"/>
        <family val="2"/>
        <scheme val="minor"/>
      </rPr>
      <t xml:space="preserve"> </t>
    </r>
    <r>
      <rPr>
        <sz val="10"/>
        <rFont val="Calibri"/>
        <family val="2"/>
        <scheme val="minor"/>
      </rPr>
      <t>(per 1,000 PY);
Rounds 1-2: October 1995 to June 2002;
Screening vs control</t>
    </r>
  </si>
  <si>
    <r>
      <t>Absolute incidence of stage III-IV oral cancers</t>
    </r>
    <r>
      <rPr>
        <b/>
        <sz val="10"/>
        <rFont val="Calibri"/>
        <family val="2"/>
        <scheme val="minor"/>
      </rPr>
      <t xml:space="preserve"> </t>
    </r>
    <r>
      <rPr>
        <sz val="10"/>
        <rFont val="Calibri"/>
        <family val="2"/>
        <scheme val="minor"/>
      </rPr>
      <t>(per 1,000 people randomised);
Rounds 1-2: October 1995 to June 2002;
Screening vs control</t>
    </r>
  </si>
  <si>
    <t>Number of stage III-IV oral cancers (rounds 1-2: October 1995 to June 2002)</t>
  </si>
  <si>
    <r>
      <t>Absolute incidence of stage III-IV oral cancers</t>
    </r>
    <r>
      <rPr>
        <b/>
        <sz val="10"/>
        <rFont val="Calibri"/>
        <family val="2"/>
        <scheme val="minor"/>
      </rPr>
      <t xml:space="preserve"> </t>
    </r>
    <r>
      <rPr>
        <sz val="10"/>
        <rFont val="Calibri"/>
        <family val="2"/>
        <scheme val="minor"/>
      </rPr>
      <t>(per 1,000 PY);
Rounds 1-2: October 1995 to June 2002;
Screening vs control</t>
    </r>
  </si>
  <si>
    <t>% of oral cancers diagnosed at late-stage (stage III-IV);
Rounds 1-2: October 1995 to June 2002;
Screening vs control</t>
  </si>
  <si>
    <t>Total number of oral cancers detected (including cancers with missing stage data); rounds 1-2: October 1995 to June 2002</t>
  </si>
  <si>
    <r>
      <t>Diagnostic yield at screening,</t>
    </r>
    <r>
      <rPr>
        <b/>
        <sz val="10"/>
        <rFont val="Calibri"/>
        <family val="2"/>
        <scheme val="minor"/>
      </rPr>
      <t xml:space="preserve"> oral cancers</t>
    </r>
    <r>
      <rPr>
        <sz val="10"/>
        <rFont val="Calibri"/>
        <family val="2"/>
        <scheme val="minor"/>
      </rPr>
      <t xml:space="preserve"> (per 1,000 people randomised);
1-3 screening rounds; 31/12/2004;
Screening arm only</t>
    </r>
  </si>
  <si>
    <t>Trivandrum population-based cancer registry, hospital cancer registry of the RCC, and many
other sources including medical records departments of the local hospitals, histopathology registers of pathology laboratories, municipal death registers, and death records of churches and mosques. House visits and telephone enquiries.</t>
  </si>
  <si>
    <t>31/12/2004</t>
  </si>
  <si>
    <t>Up to 9 years</t>
  </si>
  <si>
    <t>469,089 PY;
mean 4.9 years</t>
  </si>
  <si>
    <t>1 to 3</t>
  </si>
  <si>
    <t>191,873 people</t>
  </si>
  <si>
    <t>Number of screen-detected oral cancers; 1-3 screening rounds; 31/12/2004;</t>
  </si>
  <si>
    <t>Figure 1 and text: Of these individuals, ... 2252 (70%) were
diagnosed with oral precancerous lesions ... and 131 (4%) with invasive oral cancer.</t>
  </si>
  <si>
    <r>
      <t xml:space="preserve">Diagnostic yield at screening, </t>
    </r>
    <r>
      <rPr>
        <b/>
        <sz val="10"/>
        <rFont val="Calibri"/>
        <family val="2"/>
        <scheme val="minor"/>
      </rPr>
      <t xml:space="preserve">oral precancers </t>
    </r>
    <r>
      <rPr>
        <sz val="10"/>
        <rFont val="Calibri"/>
        <family val="2"/>
        <scheme val="minor"/>
      </rPr>
      <t>(per 1,000 people randomised);
1-3 screening rounds; 31/12/2004;
Screening arm only</t>
    </r>
  </si>
  <si>
    <t>Number of screen-detected oral precancers; 1-3 screening rounds; 31/12/2004;</t>
  </si>
  <si>
    <t>% of oral cancers that are screen-detected;
1-3 screening rounds; 31/12/2004;
Screening arm only</t>
  </si>
  <si>
    <t>Total number of oral cancers detected by 31 December 2004 (screen-detected, interval, unscreened)</t>
  </si>
  <si>
    <t>Figure 1 and text: During 1996–2004, 205 cases of oral cancer
(131 screen-detected, 59 interval cancers, and 15 nonparticipants)
were diagnosed in the intervention group… The programme
sensitivity to detect oral cancer was 64% (131 of 205).</t>
  </si>
  <si>
    <r>
      <t>Absolute incidence of stage I oral cancers</t>
    </r>
    <r>
      <rPr>
        <b/>
        <sz val="10"/>
        <rFont val="Calibri"/>
        <family val="2"/>
        <scheme val="minor"/>
      </rPr>
      <t xml:space="preserve"> </t>
    </r>
    <r>
      <rPr>
        <sz val="10"/>
        <rFont val="Calibri"/>
        <family val="2"/>
        <scheme val="minor"/>
      </rPr>
      <t>(per 1,000 people randomised);
follow-up until 31/12/2004
Screening vs control</t>
    </r>
  </si>
  <si>
    <t>419,748 PY;
mean 4.4 years</t>
  </si>
  <si>
    <t>Number of stage I oral cancers; follow-up until 31/12/2004</t>
  </si>
  <si>
    <r>
      <t>Absolute incidence of stage I oral cancers</t>
    </r>
    <r>
      <rPr>
        <b/>
        <sz val="10"/>
        <rFont val="Calibri"/>
        <family val="2"/>
        <scheme val="minor"/>
      </rPr>
      <t xml:space="preserve"> </t>
    </r>
    <r>
      <rPr>
        <sz val="10"/>
        <rFont val="Calibri"/>
        <family val="2"/>
        <scheme val="minor"/>
      </rPr>
      <t>(per 100,000 PY);
follow-up until 31/12/2004;
Screening vs control</t>
    </r>
  </si>
  <si>
    <t>Person-years; follow-up until 31/12/2004</t>
  </si>
  <si>
    <r>
      <t>Absolute incidence of stage II oral cancers</t>
    </r>
    <r>
      <rPr>
        <b/>
        <sz val="10"/>
        <rFont val="Calibri"/>
        <family val="2"/>
        <scheme val="minor"/>
      </rPr>
      <t xml:space="preserve"> </t>
    </r>
    <r>
      <rPr>
        <sz val="10"/>
        <rFont val="Calibri"/>
        <family val="2"/>
        <scheme val="minor"/>
      </rPr>
      <t>(per 1,000 people randomised);
follow-up until 31/12/2004
Screening vs control</t>
    </r>
  </si>
  <si>
    <t>Number of stage II oral cancers; follow-up until 31/12/2004</t>
  </si>
  <si>
    <r>
      <t>Absolute incidence of stage II oral cancers</t>
    </r>
    <r>
      <rPr>
        <b/>
        <sz val="10"/>
        <rFont val="Calibri"/>
        <family val="2"/>
        <scheme val="minor"/>
      </rPr>
      <t xml:space="preserve"> </t>
    </r>
    <r>
      <rPr>
        <sz val="10"/>
        <rFont val="Calibri"/>
        <family val="2"/>
        <scheme val="minor"/>
      </rPr>
      <t>(per 100,000 PY);
follow-up until 31/12/2004;
Screening vs control</t>
    </r>
  </si>
  <si>
    <r>
      <t>Absolute incidence of early-stage (stage I-II) oral cancers</t>
    </r>
    <r>
      <rPr>
        <b/>
        <sz val="10"/>
        <rFont val="Calibri"/>
        <family val="2"/>
        <scheme val="minor"/>
      </rPr>
      <t xml:space="preserve"> </t>
    </r>
    <r>
      <rPr>
        <sz val="10"/>
        <rFont val="Calibri"/>
        <family val="2"/>
        <scheme val="minor"/>
      </rPr>
      <t>(per 1,000 people randomised);
follow-up until 31/12/2004
Screening vs control</t>
    </r>
  </si>
  <si>
    <t>Number of stage I-II oral cancers; follow-up until 31/12/2004</t>
  </si>
  <si>
    <r>
      <t>Absolute incidence of early-stage (stage I-II) oral cancers</t>
    </r>
    <r>
      <rPr>
        <b/>
        <sz val="10"/>
        <rFont val="Calibri"/>
        <family val="2"/>
        <scheme val="minor"/>
      </rPr>
      <t xml:space="preserve"> </t>
    </r>
    <r>
      <rPr>
        <sz val="10"/>
        <rFont val="Calibri"/>
        <family val="2"/>
        <scheme val="minor"/>
      </rPr>
      <t>(per 100,000 PY);
follow-up until 31/12/2004;
Screening vs control</t>
    </r>
  </si>
  <si>
    <r>
      <t>Absolute incidence of stage III oral cancers</t>
    </r>
    <r>
      <rPr>
        <b/>
        <sz val="10"/>
        <rFont val="Calibri"/>
        <family val="2"/>
        <scheme val="minor"/>
      </rPr>
      <t xml:space="preserve"> </t>
    </r>
    <r>
      <rPr>
        <sz val="10"/>
        <rFont val="Calibri"/>
        <family val="2"/>
        <scheme val="minor"/>
      </rPr>
      <t>(per 1,000 people randomised);
follow-up until 31/12/2004
Screening vs control</t>
    </r>
  </si>
  <si>
    <t>Number of stage III oral cancers; follow-up until 31/12/2004</t>
  </si>
  <si>
    <r>
      <t>Absolute incidence of stage III oral cancers</t>
    </r>
    <r>
      <rPr>
        <b/>
        <sz val="10"/>
        <rFont val="Calibri"/>
        <family val="2"/>
        <scheme val="minor"/>
      </rPr>
      <t xml:space="preserve"> </t>
    </r>
    <r>
      <rPr>
        <sz val="10"/>
        <rFont val="Calibri"/>
        <family val="2"/>
        <scheme val="minor"/>
      </rPr>
      <t>(per 100,000 PY);
follow-up until 31/12/2004;
Screening vs control</t>
    </r>
  </si>
  <si>
    <r>
      <t>Absolute incidence of stage IV oral cancers</t>
    </r>
    <r>
      <rPr>
        <b/>
        <sz val="10"/>
        <rFont val="Calibri"/>
        <family val="2"/>
        <scheme val="minor"/>
      </rPr>
      <t xml:space="preserve"> </t>
    </r>
    <r>
      <rPr>
        <sz val="10"/>
        <rFont val="Calibri"/>
        <family val="2"/>
        <scheme val="minor"/>
      </rPr>
      <t>(per 1,000 people randomised);
follow-up until 31/12/2004
Screening vs control</t>
    </r>
  </si>
  <si>
    <t>Number of stage IV oral cancers; follow-up until 31/12/2004</t>
  </si>
  <si>
    <r>
      <t>Absolute incidence of stage IV oral cancers</t>
    </r>
    <r>
      <rPr>
        <b/>
        <sz val="10"/>
        <rFont val="Calibri"/>
        <family val="2"/>
        <scheme val="minor"/>
      </rPr>
      <t xml:space="preserve"> </t>
    </r>
    <r>
      <rPr>
        <sz val="10"/>
        <rFont val="Calibri"/>
        <family val="2"/>
        <scheme val="minor"/>
      </rPr>
      <t>(per 100,000 PY);
follow-up until 31/12/2004;
Screening vs control</t>
    </r>
  </si>
  <si>
    <r>
      <t>Absolute incidence of stage III-IV oral cancers</t>
    </r>
    <r>
      <rPr>
        <b/>
        <sz val="10"/>
        <rFont val="Calibri"/>
        <family val="2"/>
        <scheme val="minor"/>
      </rPr>
      <t xml:space="preserve"> </t>
    </r>
    <r>
      <rPr>
        <sz val="10"/>
        <rFont val="Calibri"/>
        <family val="2"/>
        <scheme val="minor"/>
      </rPr>
      <t>(per 1,000 people randomised);
follow-up until 31/12/2004
Screening vs control</t>
    </r>
  </si>
  <si>
    <t>Number of stage III-IV oral cancers; follow-up until 31/12/2004</t>
  </si>
  <si>
    <r>
      <t>Absolute incidence of stage III-IV oral cancers</t>
    </r>
    <r>
      <rPr>
        <b/>
        <sz val="10"/>
        <rFont val="Calibri"/>
        <family val="2"/>
        <scheme val="minor"/>
      </rPr>
      <t xml:space="preserve"> </t>
    </r>
    <r>
      <rPr>
        <sz val="10"/>
        <rFont val="Calibri"/>
        <family val="2"/>
        <scheme val="minor"/>
      </rPr>
      <t>(per 100,000 PY);
follow-up until 31/12/2004;
Screening vs control</t>
    </r>
  </si>
  <si>
    <t>% of oral cancers diagnosed at stage III-IV oral cancers;
follow-up until 31/12/2004;
Screening vs control</t>
  </si>
  <si>
    <t>Total number of oral cancers diagnosed up to 31/12/2004 (including cancers with missing stage data)</t>
  </si>
  <si>
    <t>Sankar 2013</t>
  </si>
  <si>
    <r>
      <t>Diagnostic yield at screening,</t>
    </r>
    <r>
      <rPr>
        <b/>
        <sz val="10"/>
        <rFont val="Calibri"/>
        <family val="2"/>
        <scheme val="minor"/>
      </rPr>
      <t xml:space="preserve"> oral cancers</t>
    </r>
    <r>
      <rPr>
        <sz val="10"/>
        <rFont val="Calibri"/>
        <family val="2"/>
        <scheme val="minor"/>
      </rPr>
      <t xml:space="preserve"> (per 1,000 people randomised);
Up to 4 screening rounds; 31/12/2010;
Screening arm only</t>
    </r>
  </si>
  <si>
    <t>Trivandrum population-based cancer registry, hospital cancer registry of the RCC and medical records departments of other hospitals treating oral cancer patients; collected without being aware of study group assignment.</t>
  </si>
  <si>
    <t>December 31, 2010 or the date of diagnosis, death or migration, whichever occurred first.</t>
  </si>
  <si>
    <t>31/12/2010</t>
  </si>
  <si>
    <t>Up to 15 years</t>
  </si>
  <si>
    <t>895,310 PY;
mean 9.3 years</t>
  </si>
  <si>
    <t>Up to 4</t>
  </si>
  <si>
    <t>Number of screen-detected oral cancers; up to 4 screening rounds; follow-up until 31/12/2010</t>
  </si>
  <si>
    <t>Text: Of oral cancer cases, 279 (188 screen-detected, 72 interval cancers and 19 in those who did not respond to any screening round)…</t>
  </si>
  <si>
    <r>
      <t xml:space="preserve">Diagnostic yield at screening, </t>
    </r>
    <r>
      <rPr>
        <b/>
        <sz val="10"/>
        <rFont val="Calibri"/>
        <family val="2"/>
        <scheme val="minor"/>
      </rPr>
      <t xml:space="preserve">oral precancers </t>
    </r>
    <r>
      <rPr>
        <sz val="10"/>
        <rFont val="Calibri"/>
        <family val="2"/>
        <scheme val="minor"/>
      </rPr>
      <t>(per 1,000 people randomised);
Up to 4 screening rounds; 31/12/2010;
Screening arm only</t>
    </r>
  </si>
  <si>
    <t>Number of screen-detected oral precancers; up to 4 screening rounds; follow-up until 31/12/2010</t>
  </si>
  <si>
    <t>Text: … 2336 (70.8%) were diagnosed with oral precancerous lesions…</t>
  </si>
  <si>
    <t>% of oral cancers that are screen-detected;
Up to 4 screening rounds; 31/12/2010;
Screening arm only</t>
  </si>
  <si>
    <r>
      <t>Absolute incidence of stage I oral cancers</t>
    </r>
    <r>
      <rPr>
        <b/>
        <sz val="10"/>
        <rFont val="Calibri"/>
        <family val="2"/>
        <scheme val="minor"/>
      </rPr>
      <t xml:space="preserve"> </t>
    </r>
    <r>
      <rPr>
        <sz val="10"/>
        <rFont val="Calibri"/>
        <family val="2"/>
        <scheme val="minor"/>
      </rPr>
      <t>(per 1,000 people randomised);
follow-up until 31/12/2010;
Screening vs control</t>
    </r>
  </si>
  <si>
    <t>897,610 PY;
mean 9.4 years</t>
  </si>
  <si>
    <t>Number of stage I oral cancers; follow-up until 31/12/2010</t>
  </si>
  <si>
    <t>Table 2; number of person-years from Table 4</t>
  </si>
  <si>
    <r>
      <t>Absolute incidence of stage I oral cancers</t>
    </r>
    <r>
      <rPr>
        <b/>
        <sz val="10"/>
        <rFont val="Calibri"/>
        <family val="2"/>
        <scheme val="minor"/>
      </rPr>
      <t xml:space="preserve"> </t>
    </r>
    <r>
      <rPr>
        <sz val="10"/>
        <rFont val="Calibri"/>
        <family val="2"/>
        <scheme val="minor"/>
      </rPr>
      <t>(per 100,000 PY);
follow-up until 31/12/2010;
Screening vs control</t>
    </r>
  </si>
  <si>
    <t>Person-years; follow-up until 31/12/2010</t>
  </si>
  <si>
    <r>
      <t>Absolute incidence of stage II oral cancers</t>
    </r>
    <r>
      <rPr>
        <b/>
        <sz val="10"/>
        <rFont val="Calibri"/>
        <family val="2"/>
        <scheme val="minor"/>
      </rPr>
      <t xml:space="preserve"> </t>
    </r>
    <r>
      <rPr>
        <sz val="10"/>
        <rFont val="Calibri"/>
        <family val="2"/>
        <scheme val="minor"/>
      </rPr>
      <t>(per 1,000 people randomised);
follow-up until 31/12/2010;
Screening vs control</t>
    </r>
  </si>
  <si>
    <t>Number of stage II oral cancers; follow-up until 31/12/2010</t>
  </si>
  <si>
    <r>
      <t>Absolute incidence of stage II oral cancers</t>
    </r>
    <r>
      <rPr>
        <b/>
        <sz val="10"/>
        <rFont val="Calibri"/>
        <family val="2"/>
        <scheme val="minor"/>
      </rPr>
      <t xml:space="preserve"> </t>
    </r>
    <r>
      <rPr>
        <sz val="10"/>
        <rFont val="Calibri"/>
        <family val="2"/>
        <scheme val="minor"/>
      </rPr>
      <t>(per 100,000 PY);
follow-up until 31/12/2010;
Screening vs control</t>
    </r>
  </si>
  <si>
    <r>
      <t>Absolute incidence of early-stage (stage I-II) oral cancers</t>
    </r>
    <r>
      <rPr>
        <b/>
        <sz val="10"/>
        <rFont val="Calibri"/>
        <family val="2"/>
        <scheme val="minor"/>
      </rPr>
      <t xml:space="preserve"> </t>
    </r>
    <r>
      <rPr>
        <sz val="10"/>
        <rFont val="Calibri"/>
        <family val="2"/>
        <scheme val="minor"/>
      </rPr>
      <t>(per 1,000 people randomised);
follow-up until 31/12/2010;
Screening vs control</t>
    </r>
  </si>
  <si>
    <t>Number of stage I-II oral cancers; follow-up until 31/12/2010</t>
  </si>
  <si>
    <r>
      <t>Absolute incidence of early-stage (stage I-II) oral cancers</t>
    </r>
    <r>
      <rPr>
        <b/>
        <sz val="10"/>
        <rFont val="Calibri"/>
        <family val="2"/>
        <scheme val="minor"/>
      </rPr>
      <t xml:space="preserve"> </t>
    </r>
    <r>
      <rPr>
        <sz val="10"/>
        <rFont val="Calibri"/>
        <family val="2"/>
        <scheme val="minor"/>
      </rPr>
      <t>(per 100,000 PY);
follow-up until 31/12/2010;
Screening vs control</t>
    </r>
  </si>
  <si>
    <r>
      <t>Absolute incidence of stage III oral cancers</t>
    </r>
    <r>
      <rPr>
        <b/>
        <sz val="10"/>
        <rFont val="Calibri"/>
        <family val="2"/>
        <scheme val="minor"/>
      </rPr>
      <t xml:space="preserve"> </t>
    </r>
    <r>
      <rPr>
        <sz val="10"/>
        <rFont val="Calibri"/>
        <family val="2"/>
        <scheme val="minor"/>
      </rPr>
      <t>(per 1,000 people randomised);
follow-up until 31/12/2010;
Screening vs control</t>
    </r>
  </si>
  <si>
    <t>Number of stage III oral cancers; follow-up until 31/12/2010</t>
  </si>
  <si>
    <r>
      <t>Absolute incidence of stage III oral cancers</t>
    </r>
    <r>
      <rPr>
        <b/>
        <sz val="10"/>
        <rFont val="Calibri"/>
        <family val="2"/>
        <scheme val="minor"/>
      </rPr>
      <t xml:space="preserve"> </t>
    </r>
    <r>
      <rPr>
        <sz val="10"/>
        <rFont val="Calibri"/>
        <family val="2"/>
        <scheme val="minor"/>
      </rPr>
      <t>(per 100,000 PY);
follow-up until 31/12/2010;
Screening vs control</t>
    </r>
  </si>
  <si>
    <r>
      <t>Absolute incidence of stage IV oral cancers</t>
    </r>
    <r>
      <rPr>
        <b/>
        <sz val="10"/>
        <rFont val="Calibri"/>
        <family val="2"/>
        <scheme val="minor"/>
      </rPr>
      <t xml:space="preserve"> </t>
    </r>
    <r>
      <rPr>
        <sz val="10"/>
        <rFont val="Calibri"/>
        <family val="2"/>
        <scheme val="minor"/>
      </rPr>
      <t>(per 1,000 people randomised);
follow-up until 31/12/2010;
Screening vs control</t>
    </r>
  </si>
  <si>
    <t>Number of stage IV oral cancers; follow-up until 31/12/2010</t>
  </si>
  <si>
    <r>
      <t>Absolute incidence of stage IV oral cancers</t>
    </r>
    <r>
      <rPr>
        <b/>
        <sz val="10"/>
        <rFont val="Calibri"/>
        <family val="2"/>
        <scheme val="minor"/>
      </rPr>
      <t xml:space="preserve"> </t>
    </r>
    <r>
      <rPr>
        <sz val="10"/>
        <rFont val="Calibri"/>
        <family val="2"/>
        <scheme val="minor"/>
      </rPr>
      <t>(per 100,000 PY);
follow-up until 31/12/2010;
Screening vs control</t>
    </r>
  </si>
  <si>
    <r>
      <t>Absolute incidence of late-stage (stage III-IV) oral cancers</t>
    </r>
    <r>
      <rPr>
        <b/>
        <sz val="10"/>
        <rFont val="Calibri"/>
        <family val="2"/>
        <scheme val="minor"/>
      </rPr>
      <t xml:space="preserve"> </t>
    </r>
    <r>
      <rPr>
        <sz val="10"/>
        <rFont val="Calibri"/>
        <family val="2"/>
        <scheme val="minor"/>
      </rPr>
      <t>(per 1,000 people randomised);
follow-up until 31/12/2010;
Screening vs control</t>
    </r>
  </si>
  <si>
    <t>Number of stage III-IV oral cancers; follow-up until 31/12/2010</t>
  </si>
  <si>
    <r>
      <t>Absolute incidence of late stage (stage III-IV) oral cancers</t>
    </r>
    <r>
      <rPr>
        <b/>
        <sz val="10"/>
        <rFont val="Calibri"/>
        <family val="2"/>
        <scheme val="minor"/>
      </rPr>
      <t xml:space="preserve"> </t>
    </r>
    <r>
      <rPr>
        <sz val="10"/>
        <rFont val="Calibri"/>
        <family val="2"/>
        <scheme val="minor"/>
      </rPr>
      <t>(per 100,000 PY);
follow-up until 31/12/2010;
Screening vs control</t>
    </r>
  </si>
  <si>
    <t>% of oral cancers diagnosed at late stage (stage III-IV);
follow-up until 31/12/2010;
Screening vs control</t>
  </si>
  <si>
    <t>Total number of oral cancers (including cancers with missing stage); follow-up until 31/12/2010</t>
  </si>
  <si>
    <t>Table 2 and Table 3; number of person-years from Table 4</t>
  </si>
  <si>
    <t>Oral cancer mortality (per 1,000 randomised);
Follow-up until 30/06/2002;
Screening vs control</t>
  </si>
  <si>
    <t>Record linkage with the Trivandrum
population-based cancer registry and municipal death registration systems.</t>
  </si>
  <si>
    <t>Number of oral cancer deaths; follow-up until 30/06/2002 (up to 81 months)</t>
  </si>
  <si>
    <t>Figure 1 and  text: Over the 81-month period, since the inception of the trial, 65 of the 149 oral cancer patients in the
intervention group and 62 of the 106 cases in the control group died from oral cancer…</t>
  </si>
  <si>
    <t>Oral cancer mortality (per 100,000 PY);
Follow-up until 30/06/2002;
Screening vs control</t>
  </si>
  <si>
    <t>Person-years; up to 30/06/2002</t>
  </si>
  <si>
    <t>The age-standardized mortality rates calculated by directly standardizing with the world standard population.</t>
  </si>
  <si>
    <t>Figure 1 and  text: Over the 81-month period, since the inception of the trial, 65 of the 149 oral cancer patients in the
intervention group and 62 of the 106 cases in the control group died from oral cancer… The crude death rate from oral
cancer was 18.9/100,000 person-years in the intervention group and 18.8/100,000 person years in the control group. The corresponding age-standardized death rates were 21.2 and 21.3, respectively, yielding a mortality rate ratio of 1.0.</t>
  </si>
  <si>
    <t>Oral cancer mortality (per 100,000 PY);
Follow-up until 31/12/2004;
Screening vs control</t>
  </si>
  <si>
    <t>Municipal death registers, and death records of churches and mosques, house visits and telephone enquiries. 3 physicians assessed information on death in oral cancer patients unaware of screening status.</t>
  </si>
  <si>
    <t>191,173 people</t>
  </si>
  <si>
    <t>Number of oral cancer deaths; follow-up until 31/12/2004</t>
  </si>
  <si>
    <t>Person-years; up to 31/12/2004</t>
  </si>
  <si>
    <t>Table 5 and text: 205 oral cancer cases and 77 oral cancer deaths were recorded in the intervention group compared with 158 cases and 87 deaths in the control group (mortality rate ratio 0·79 [95% CI 0·51–1·22])...The 21% reduction in oral cancer mortality in all individuals in the intervention group compared with controls was not significant.</t>
  </si>
  <si>
    <t>Deaths attributed to oral cancer were defined in patients who had had a previous diagnosis of oral cancer; histologically or clinically confirmed oral cancer; metastatic invasion of lymph nodes, neighbouring tissues, or organs such as the skin;
or unresectable disease at death.</t>
  </si>
  <si>
    <t>Oral cancer mortality (per 1,000 randomised);
Follow-up until 31/12/2004;
Screening vs control</t>
  </si>
  <si>
    <t>Table 5 and text: 205 oral cancer cases and 77 oral cancer deaths were recorded in the intervention group compared with 158 cases and 87 deaths in the control group (mortality rate ratio 0·79 [95% CI 0·51–1·22])…</t>
  </si>
  <si>
    <t>Oral cancer mortality (per 100,000 PY);
Follow-up until 31/12/2010;
Screening vs control</t>
  </si>
  <si>
    <t>Municipal and district death registers, hospital medical records, death records of churches and mosques, house visits; cause of death was coded using ICD-10 by the registry and project staff; cause of death in each oral cancer case assessed by 3 physicians blinded to the study group allocation based on clinical information from medical records, death certificates and
other details obtained during house visits and telephone enquiries.</t>
  </si>
  <si>
    <t>December 31, 2010 or the date of death or migration, whichever occurred first.</t>
  </si>
  <si>
    <t>989,280 PY;
mean 9.4 years</t>
  </si>
  <si>
    <t>Number of oral cancer deaths; follow-up until 31/12/2010</t>
  </si>
  <si>
    <t>Age-standardised</t>
  </si>
  <si>
    <t>Figure 1, Table 3 and text: … there was a statistically non-significant 12% reduction in oral cancer mortality in all individuals in the intervention arm compared with the control arm.</t>
  </si>
  <si>
    <t>Deaths were attributed to oral cancer if the patient had histologically or clinically confirmed oral cancer, lymph nodes or distant metastasis at the time of death or had died due to complications
of oral cancer treatment.</t>
  </si>
  <si>
    <t>Oral cancer mortality (per 1,000 people randomised);
Follow-up until 31/12/2010;
Screening vs control</t>
  </si>
  <si>
    <t>Figure 1 and Table 3</t>
  </si>
  <si>
    <t>Atkin 2010</t>
  </si>
  <si>
    <t>All-cause mortality (per 100,000 PY); follow-up until 31/12/2008;
Screening vs control</t>
  </si>
  <si>
    <t xml:space="preserve">National Health Service Central Register (NHSCR), causes of death as noted in the death certificate provided by the Office for National Statistics (ONS). </t>
  </si>
  <si>
    <t>Emigration, end of follow-up, or death.</t>
  </si>
  <si>
    <t>Median 11·2 years (IQR 10·7–11·9)</t>
  </si>
  <si>
    <t>Number of deaths from all causes; follow-up until 31/12/2008</t>
  </si>
  <si>
    <t>Person-years (until 31/12/2008)</t>
  </si>
  <si>
    <t>Table 1 and text: There were 20 543 deaths in the trial cohort (13 768 in control group, 6775 in the intervention group)… Cumulative all-cause mortality at the end of the follow-up period was 11·24 (95% CI 11·06–11·43) deaths per 1000 person-years in the control group and 10·93 (10·67–11·19) per
1000 person-years in the intervention group</t>
  </si>
  <si>
    <t>The NHSCR was unable to trace six people in the
control group and six in the intervention group, two of whom were screened.</t>
  </si>
  <si>
    <t>CRC mortality (per 100,000 PY); cause of death from death certificates; follow-up until 31/12/2008;
Screening vs control</t>
  </si>
  <si>
    <t>National Health Service Central Register (NHSCR), causes of death as noted in the death certificate provided by the Office for National Statistics (ONS).</t>
  </si>
  <si>
    <t>Number of deaths from CRC (according to death certificates); follow-up until 31/12/2008</t>
  </si>
  <si>
    <t>&lt;0.0001</t>
  </si>
  <si>
    <t>Table 1 and text: There were 20 543 deaths in the trial cohort (13 768 in control group, 6775 in the intervention group) of which 727 had colorectal cancer as an underlying cause
(538 control group, 189 intervention group) according to
death certification by the ONS... Mortality from colorectal cancer as certified by the ONS was reduced by 31% in the intervention group in the intention-to-treat analysis.</t>
  </si>
  <si>
    <t>CRC mortality (per 100,000 PY); cause of death verified by expert coder; follow-up until 31/12/2008;
Screening vs control</t>
  </si>
  <si>
    <t>National Health Service Central Register (NHSCR), causes of death as noted in the death certificate provided by the Office for National Statistics (ONS). 2nd analysis after blinded verification of assignment of CRC as an underlying cause of death; death certificates supplemented by clinical information by an expert and independent coder.</t>
  </si>
  <si>
    <t>Number of deaths from CRC (verified); follow-up until 31/12/2008</t>
  </si>
  <si>
    <t>The NHSCR was unable to trace six people in the
control group and six in the intervention group, two of whom were screened.
Independent verification of death certificates identified a further 132 deaths that were probably attributable to colorectal cancer and one that probably should not have been attributed to colorectal cancer.</t>
  </si>
  <si>
    <t>CRC mortality (per 1,000); cause of death from death certificates; follow-up until 31/12/2008;
Screening vs control</t>
  </si>
  <si>
    <t>Number of persons analysed; by arm</t>
  </si>
  <si>
    <t>Per 1,000 analysed</t>
  </si>
  <si>
    <t>CRC mortality (per 1,000); cause of death verified; follow-up until 31/12/2008;
Screening vs control</t>
  </si>
  <si>
    <t>Atkin 2017</t>
  </si>
  <si>
    <r>
      <t>CRC mortality, certified (</t>
    </r>
    <r>
      <rPr>
        <b/>
        <sz val="10"/>
        <rFont val="Calibri"/>
        <family val="2"/>
        <scheme val="minor"/>
      </rPr>
      <t>all sites</t>
    </r>
    <r>
      <rPr>
        <sz val="10"/>
        <rFont val="Calibri"/>
        <family val="2"/>
        <scheme val="minor"/>
      </rPr>
      <t>); per 100,000 PY) and hazard ratio;
follow-up until 31/12/2014;
Screening vs control</t>
    </r>
  </si>
  <si>
    <t>National sources (National Health Service [NHS] Digital, NHS National Services Scotland [NSS], the NHS Central Register [NHSCR] and the Office for National Statistics [ONS]). Causes of death as noted in the death certificate provided by the Office for National Statistics (ONS).</t>
  </si>
  <si>
    <t>Emigration, death, or end of follow-up.</t>
  </si>
  <si>
    <t>Median 17·1 years (IQR 16.4-17.8)</t>
  </si>
  <si>
    <t>Number of deaths from CRC, certified (all sites); follow-up until 31/12/2014</t>
  </si>
  <si>
    <t>Person-years (up to 31/12/2014)</t>
  </si>
  <si>
    <t>Table 2 and text: In an intention-to-treat analysis of certified deaths, all-site colorectal cancer mortality was reduced by 30% (HR 0·70 [95% CI 0·62–0·79]; p&lt;0·0001);…</t>
  </si>
  <si>
    <t>51 deaths in patients with cancers of unspecified site were included, 36 in the control group and 15 in the invited to screening group.</t>
  </si>
  <si>
    <r>
      <t>CRC mortality, certified (</t>
    </r>
    <r>
      <rPr>
        <b/>
        <sz val="10"/>
        <rFont val="Calibri"/>
        <family val="2"/>
        <scheme val="minor"/>
      </rPr>
      <t>distal CRC</t>
    </r>
    <r>
      <rPr>
        <sz val="10"/>
        <rFont val="Calibri"/>
        <family val="2"/>
        <scheme val="minor"/>
      </rPr>
      <t>); per 100,000 PY) and hazard ratio;
follow-up until 31/12/2014;
Screening vs control</t>
    </r>
  </si>
  <si>
    <t>Cancer site unspecified</t>
  </si>
  <si>
    <r>
      <t xml:space="preserve">Number of deaths from </t>
    </r>
    <r>
      <rPr>
        <b/>
        <sz val="10"/>
        <rFont val="Calibri"/>
        <family val="2"/>
        <scheme val="minor"/>
      </rPr>
      <t>distal CRC (rectum and sigmoid colon)</t>
    </r>
    <r>
      <rPr>
        <sz val="10"/>
        <rFont val="Calibri"/>
        <family val="2"/>
        <scheme val="minor"/>
      </rPr>
      <t>, certified; follow-up until 31/12/2014</t>
    </r>
  </si>
  <si>
    <t>Table 2 and text: 693 deaths were attributed to distal colorectal cancer and 588 to proximal colon cancer (544 and 149 to distal colorectal cancer and 403 and 185 to proximal colon cancer in the control and intervention groups, respectively; table 2)…distal colorectal.cancer mortality by 46% (0·54 [0·45–0·65]; p&lt;0·0001)...</t>
  </si>
  <si>
    <t>17 deaths occurred among patients with both a proximal and a distal cancer diagnosed (13 in the control group and four in the invited to screening group) and these deaths were excluded from the site specific deaths.</t>
  </si>
  <si>
    <r>
      <t>CRC mortality, certified (</t>
    </r>
    <r>
      <rPr>
        <b/>
        <sz val="10"/>
        <rFont val="Calibri"/>
        <family val="2"/>
        <scheme val="minor"/>
      </rPr>
      <t>proximal CRC</t>
    </r>
    <r>
      <rPr>
        <sz val="10"/>
        <rFont val="Calibri"/>
        <family val="2"/>
        <scheme val="minor"/>
      </rPr>
      <t>); per 100,000 PY) and hazard ratio;
follow-up until 31/12/2014;
Screening vs control</t>
    </r>
  </si>
  <si>
    <r>
      <t xml:space="preserve">Number of deaths from </t>
    </r>
    <r>
      <rPr>
        <b/>
        <sz val="10"/>
        <rFont val="Calibri"/>
        <family val="2"/>
        <scheme val="minor"/>
      </rPr>
      <t>proximal CRC</t>
    </r>
    <r>
      <rPr>
        <sz val="10"/>
        <rFont val="Calibri"/>
        <family val="2"/>
        <scheme val="minor"/>
      </rPr>
      <t>; certified; follow-up until 31/12/2014</t>
    </r>
  </si>
  <si>
    <t>Table 2 and text: 693 deaths were attributed to distal colorectal cancer and 588 to proximal colon cancer (544 and 149 to distal colorectal cancer and 403 and 185 to proximal colon cancer in the control and intervention groups, respectively; table 2)… and proximal colon cancer mortality by a non-significant 9% (0·91 [0·76–1·08]; 0·262;...</t>
  </si>
  <si>
    <t>All-cause mortality; per 100,000 PY) and hazard ratio;
follow-up until 31/12/2014;
Screening vs control</t>
  </si>
  <si>
    <t>National sources (National Health Service [NHS] Digital, NHS National Services Scotland [NSS], the NHS Central Register [NHSCR] and the Office for National Statistics [ONS]).</t>
  </si>
  <si>
    <t>Number of deaths from all causes; follow-up until 31/12/2014</t>
  </si>
  <si>
    <t>Table 2 and text: During follow-up, 39 688 (23%) people died: 26 409 (23%) in the control group and 13 279 (23%) in the intervention group.</t>
  </si>
  <si>
    <r>
      <t>CRC mortality, certified (</t>
    </r>
    <r>
      <rPr>
        <b/>
        <sz val="10"/>
        <rFont val="Calibri"/>
        <family val="2"/>
        <scheme val="minor"/>
      </rPr>
      <t>all sites</t>
    </r>
    <r>
      <rPr>
        <sz val="10"/>
        <rFont val="Calibri"/>
        <family val="2"/>
        <scheme val="minor"/>
      </rPr>
      <t>); per 1,000 people analysed;
follow-up until 31/12/2014;
Screening vs control</t>
    </r>
  </si>
  <si>
    <t xml:space="preserve">National sources (National Health Service [NHS] Digital, NHS National Services Scotland [NSS], the NHS Central Register [NHSCR] and the Office for National Statistics [ONS]). Causes of death as noted in the death certificate provided by the Office for National Statistics (ONS). </t>
  </si>
  <si>
    <r>
      <t xml:space="preserve">Number of deaths from CRC, certified </t>
    </r>
    <r>
      <rPr>
        <b/>
        <sz val="10"/>
        <rFont val="Calibri"/>
        <family val="2"/>
        <scheme val="minor"/>
      </rPr>
      <t>(all sites</t>
    </r>
    <r>
      <rPr>
        <sz val="10"/>
        <rFont val="Calibri"/>
        <family val="2"/>
        <scheme val="minor"/>
      </rPr>
      <t>); follow-up until 31/12/2014</t>
    </r>
  </si>
  <si>
    <r>
      <t>CRC mortality, verified (</t>
    </r>
    <r>
      <rPr>
        <b/>
        <sz val="10"/>
        <rFont val="Calibri"/>
        <family val="2"/>
        <scheme val="minor"/>
      </rPr>
      <t>all sites</t>
    </r>
    <r>
      <rPr>
        <sz val="10"/>
        <rFont val="Calibri"/>
        <family val="2"/>
        <scheme val="minor"/>
      </rPr>
      <t>); per 1,000 people analysed;
follow-up until 31/12/2014;
Screening vs control</t>
    </r>
  </si>
  <si>
    <t>National sources (National Health Service [NHS] Digital, NHS National Services Scotland [NSS], the NHS Central Register [NHSCR] and the Office for National Statistics [ONS]). 2nd analysis after blinded verification of assignment of CRC as an underlying cause of death; death certificates supplemented by clinical information by an expert and independent coder.</t>
  </si>
  <si>
    <r>
      <t xml:space="preserve">Number of deaths from CRC, verified </t>
    </r>
    <r>
      <rPr>
        <b/>
        <sz val="10"/>
        <rFont val="Calibri"/>
        <family val="2"/>
        <scheme val="minor"/>
      </rPr>
      <t>(all sites</t>
    </r>
    <r>
      <rPr>
        <sz val="10"/>
        <rFont val="Calibri"/>
        <family val="2"/>
        <scheme val="minor"/>
      </rPr>
      <t>); follow-up until 31/12/2014</t>
    </r>
  </si>
  <si>
    <r>
      <t>CRC mortality, verified (</t>
    </r>
    <r>
      <rPr>
        <b/>
        <sz val="10"/>
        <rFont val="Calibri"/>
        <family val="2"/>
        <scheme val="minor"/>
      </rPr>
      <t>all sites</t>
    </r>
    <r>
      <rPr>
        <sz val="10"/>
        <rFont val="Calibri"/>
        <family val="2"/>
        <scheme val="minor"/>
      </rPr>
      <t>); per 100,000 PY; hazard ratio;
follow-up until 31/12/2014;
Screening vs control</t>
    </r>
  </si>
  <si>
    <t>Person-years (up to 31/12/2004); by arm</t>
  </si>
  <si>
    <t>Supplementary Table S2 and text: An additional 255 deaths
were attributed to colorectal cancer after verification by the
independent coder (192 in the control group and 63 in the
intervention group) but the reduction in all-site colorectal
cancer mortality remained unchanged (HR 0·69
[0·62–0·77];...</t>
  </si>
  <si>
    <r>
      <t>CRC mortality, certified (</t>
    </r>
    <r>
      <rPr>
        <b/>
        <sz val="10"/>
        <rFont val="Calibri"/>
        <family val="2"/>
        <scheme val="minor"/>
      </rPr>
      <t>all sites</t>
    </r>
    <r>
      <rPr>
        <sz val="10"/>
        <rFont val="Calibri"/>
        <family val="2"/>
        <scheme val="minor"/>
      </rPr>
      <t xml:space="preserve">); per 1,000 </t>
    </r>
    <r>
      <rPr>
        <b/>
        <sz val="10"/>
        <rFont val="Calibri"/>
        <family val="2"/>
        <scheme val="minor"/>
      </rPr>
      <t>men</t>
    </r>
    <r>
      <rPr>
        <sz val="10"/>
        <rFont val="Calibri"/>
        <family val="2"/>
        <scheme val="minor"/>
      </rPr>
      <t xml:space="preserve"> analysed;
follow-up until 31/12/2014;
Screening vs control</t>
    </r>
  </si>
  <si>
    <r>
      <t xml:space="preserve">Number of deaths from CRC </t>
    </r>
    <r>
      <rPr>
        <b/>
        <sz val="10"/>
        <rFont val="Calibri"/>
        <family val="2"/>
        <scheme val="minor"/>
      </rPr>
      <t>in men</t>
    </r>
    <r>
      <rPr>
        <sz val="10"/>
        <rFont val="Calibri"/>
        <family val="2"/>
        <scheme val="minor"/>
      </rPr>
      <t xml:space="preserve">, certified </t>
    </r>
    <r>
      <rPr>
        <b/>
        <sz val="10"/>
        <rFont val="Calibri"/>
        <family val="2"/>
        <scheme val="minor"/>
      </rPr>
      <t>(all sites</t>
    </r>
    <r>
      <rPr>
        <sz val="10"/>
        <rFont val="Calibri"/>
        <family val="2"/>
        <scheme val="minor"/>
      </rPr>
      <t>); follow-up until 31/12/2014</t>
    </r>
  </si>
  <si>
    <r>
      <t xml:space="preserve">Number of </t>
    </r>
    <r>
      <rPr>
        <b/>
        <sz val="10"/>
        <rFont val="Calibri"/>
        <family val="2"/>
        <scheme val="minor"/>
      </rPr>
      <t>men</t>
    </r>
    <r>
      <rPr>
        <sz val="10"/>
        <rFont val="Calibri"/>
        <family val="2"/>
        <scheme val="minor"/>
      </rPr>
      <t xml:space="preserve"> analysed; by arm</t>
    </r>
  </si>
  <si>
    <t>Table 4 and text: ...lower colorectal cancer mortality rates in the control group in women than in the men (6·8 per 1000 vs 11·0 per 1000;...</t>
  </si>
  <si>
    <r>
      <t>CRC mortality, certified (</t>
    </r>
    <r>
      <rPr>
        <b/>
        <sz val="10"/>
        <rFont val="Calibri"/>
        <family val="2"/>
        <scheme val="minor"/>
      </rPr>
      <t>all sites</t>
    </r>
    <r>
      <rPr>
        <sz val="10"/>
        <rFont val="Calibri"/>
        <family val="2"/>
        <scheme val="minor"/>
      </rPr>
      <t xml:space="preserve">); per 100,000 </t>
    </r>
    <r>
      <rPr>
        <b/>
        <sz val="10"/>
        <rFont val="Calibri"/>
        <family val="2"/>
        <scheme val="minor"/>
      </rPr>
      <t>men-years</t>
    </r>
    <r>
      <rPr>
        <sz val="10"/>
        <rFont val="Calibri"/>
        <family val="2"/>
        <scheme val="minor"/>
      </rPr>
      <t>; hazard ratio;
follow-up until 31/12/2014;
Screening vs control</t>
    </r>
  </si>
  <si>
    <r>
      <t xml:space="preserve">Person-years </t>
    </r>
    <r>
      <rPr>
        <b/>
        <sz val="10"/>
        <rFont val="Calibri"/>
        <family val="2"/>
        <scheme val="minor"/>
      </rPr>
      <t>in men</t>
    </r>
    <r>
      <rPr>
        <sz val="10"/>
        <rFont val="Calibri"/>
        <family val="2"/>
        <scheme val="minor"/>
      </rPr>
      <t xml:space="preserve"> (up to 31/12/2014); by arm</t>
    </r>
  </si>
  <si>
    <t>Table 5 and text: All-site colorectal cancer mortality was reduced by 33% and 26% in men and women in intention-to-treat analysis,...</t>
  </si>
  <si>
    <r>
      <t>CRC mortality, verified (</t>
    </r>
    <r>
      <rPr>
        <b/>
        <sz val="10"/>
        <rFont val="Calibri"/>
        <family val="2"/>
        <scheme val="minor"/>
      </rPr>
      <t>all sites</t>
    </r>
    <r>
      <rPr>
        <sz val="10"/>
        <rFont val="Calibri"/>
        <family val="2"/>
        <scheme val="minor"/>
      </rPr>
      <t xml:space="preserve">); per 1,000 </t>
    </r>
    <r>
      <rPr>
        <b/>
        <sz val="10"/>
        <rFont val="Calibri"/>
        <family val="2"/>
        <scheme val="minor"/>
      </rPr>
      <t>men</t>
    </r>
    <r>
      <rPr>
        <sz val="10"/>
        <rFont val="Calibri"/>
        <family val="2"/>
        <scheme val="minor"/>
      </rPr>
      <t xml:space="preserve"> analysed;
follow-up until 31/12/2014;
Screening vs control</t>
    </r>
  </si>
  <si>
    <r>
      <t xml:space="preserve">Number of deaths from CRC </t>
    </r>
    <r>
      <rPr>
        <b/>
        <sz val="10"/>
        <rFont val="Calibri"/>
        <family val="2"/>
        <scheme val="minor"/>
      </rPr>
      <t>in men</t>
    </r>
    <r>
      <rPr>
        <sz val="10"/>
        <rFont val="Calibri"/>
        <family val="2"/>
        <scheme val="minor"/>
      </rPr>
      <t xml:space="preserve">, verified </t>
    </r>
    <r>
      <rPr>
        <b/>
        <sz val="10"/>
        <rFont val="Calibri"/>
        <family val="2"/>
        <scheme val="minor"/>
      </rPr>
      <t>(all sites</t>
    </r>
    <r>
      <rPr>
        <sz val="10"/>
        <rFont val="Calibri"/>
        <family val="2"/>
        <scheme val="minor"/>
      </rPr>
      <t>); follow-up until 31/12/2014</t>
    </r>
  </si>
  <si>
    <r>
      <t>CRC mortality, verified (</t>
    </r>
    <r>
      <rPr>
        <b/>
        <sz val="10"/>
        <rFont val="Calibri"/>
        <family val="2"/>
        <scheme val="minor"/>
      </rPr>
      <t>all sites</t>
    </r>
    <r>
      <rPr>
        <sz val="10"/>
        <rFont val="Calibri"/>
        <family val="2"/>
        <scheme val="minor"/>
      </rPr>
      <t xml:space="preserve">); per 100,000 </t>
    </r>
    <r>
      <rPr>
        <b/>
        <sz val="10"/>
        <rFont val="Calibri"/>
        <family val="2"/>
        <scheme val="minor"/>
      </rPr>
      <t>men-years</t>
    </r>
    <r>
      <rPr>
        <sz val="10"/>
        <rFont val="Calibri"/>
        <family val="2"/>
        <scheme val="minor"/>
      </rPr>
      <t>; hazard ratio;
follow-up until 31/12/2014;
Screening vs control</t>
    </r>
  </si>
  <si>
    <t>Men-years (up to 31/12/2004); by arm</t>
  </si>
  <si>
    <t>Supplementary Table S2</t>
  </si>
  <si>
    <r>
      <t>CRC mortality, certified (</t>
    </r>
    <r>
      <rPr>
        <b/>
        <sz val="10"/>
        <rFont val="Calibri"/>
        <family val="2"/>
        <scheme val="minor"/>
      </rPr>
      <t>all sites</t>
    </r>
    <r>
      <rPr>
        <sz val="10"/>
        <rFont val="Calibri"/>
        <family val="2"/>
        <scheme val="minor"/>
      </rPr>
      <t xml:space="preserve">); per 1,000 </t>
    </r>
    <r>
      <rPr>
        <b/>
        <sz val="10"/>
        <rFont val="Calibri"/>
        <family val="2"/>
        <scheme val="minor"/>
      </rPr>
      <t>women</t>
    </r>
    <r>
      <rPr>
        <sz val="10"/>
        <rFont val="Calibri"/>
        <family val="2"/>
        <scheme val="minor"/>
      </rPr>
      <t xml:space="preserve"> analysed;
follow-up until 31/12/2014;
Screening vs control</t>
    </r>
  </si>
  <si>
    <r>
      <t xml:space="preserve">Number of deaths from CRC </t>
    </r>
    <r>
      <rPr>
        <b/>
        <sz val="10"/>
        <rFont val="Calibri"/>
        <family val="2"/>
        <scheme val="minor"/>
      </rPr>
      <t>in women</t>
    </r>
    <r>
      <rPr>
        <sz val="10"/>
        <rFont val="Calibri"/>
        <family val="2"/>
        <scheme val="minor"/>
      </rPr>
      <t xml:space="preserve">, certified </t>
    </r>
    <r>
      <rPr>
        <b/>
        <sz val="10"/>
        <rFont val="Calibri"/>
        <family val="2"/>
        <scheme val="minor"/>
      </rPr>
      <t>(all sites</t>
    </r>
    <r>
      <rPr>
        <sz val="10"/>
        <rFont val="Calibri"/>
        <family val="2"/>
        <scheme val="minor"/>
      </rPr>
      <t>); follow-up until 31/12/2014</t>
    </r>
  </si>
  <si>
    <r>
      <t xml:space="preserve">Number of </t>
    </r>
    <r>
      <rPr>
        <b/>
        <sz val="10"/>
        <rFont val="Calibri"/>
        <family val="2"/>
        <scheme val="minor"/>
      </rPr>
      <t>women</t>
    </r>
    <r>
      <rPr>
        <sz val="10"/>
        <rFont val="Calibri"/>
        <family val="2"/>
        <scheme val="minor"/>
      </rPr>
      <t xml:space="preserve"> analysed; by arm</t>
    </r>
  </si>
  <si>
    <t>Table 4 and text: ...lower colorectal cancer mortality rates in the control group in women than in the men (6·8 per 1000 vs 11·0 per 1000;…</t>
  </si>
  <si>
    <r>
      <t>CRC mortality, certified (</t>
    </r>
    <r>
      <rPr>
        <b/>
        <sz val="10"/>
        <rFont val="Calibri"/>
        <family val="2"/>
        <scheme val="minor"/>
      </rPr>
      <t>all sites</t>
    </r>
    <r>
      <rPr>
        <sz val="10"/>
        <rFont val="Calibri"/>
        <family val="2"/>
        <scheme val="minor"/>
      </rPr>
      <t xml:space="preserve">); per 100,000 </t>
    </r>
    <r>
      <rPr>
        <b/>
        <sz val="10"/>
        <rFont val="Calibri"/>
        <family val="2"/>
        <scheme val="minor"/>
      </rPr>
      <t>women-years</t>
    </r>
    <r>
      <rPr>
        <sz val="10"/>
        <rFont val="Calibri"/>
        <family val="2"/>
        <scheme val="minor"/>
      </rPr>
      <t>; hazard ratio;
follow-up until 31/12/2014;
Screening vs control</t>
    </r>
  </si>
  <si>
    <r>
      <t xml:space="preserve">Person-years </t>
    </r>
    <r>
      <rPr>
        <b/>
        <sz val="10"/>
        <rFont val="Calibri"/>
        <family val="2"/>
        <scheme val="minor"/>
      </rPr>
      <t>in women</t>
    </r>
    <r>
      <rPr>
        <sz val="10"/>
        <rFont val="Calibri"/>
        <family val="2"/>
        <scheme val="minor"/>
      </rPr>
      <t xml:space="preserve"> (up to 31/12/2014); by arm</t>
    </r>
  </si>
  <si>
    <t>Table 5 and text: All-site colorectal cancer mortality was reduced by 33% and 26% in men and women in intention-to-treat analysis,..</t>
  </si>
  <si>
    <r>
      <t>CRC mortality, verified (</t>
    </r>
    <r>
      <rPr>
        <b/>
        <sz val="10"/>
        <rFont val="Calibri"/>
        <family val="2"/>
        <scheme val="minor"/>
      </rPr>
      <t>all sites</t>
    </r>
    <r>
      <rPr>
        <sz val="10"/>
        <rFont val="Calibri"/>
        <family val="2"/>
        <scheme val="minor"/>
      </rPr>
      <t xml:space="preserve">); per 1,000 </t>
    </r>
    <r>
      <rPr>
        <b/>
        <sz val="10"/>
        <rFont val="Calibri"/>
        <family val="2"/>
        <scheme val="minor"/>
      </rPr>
      <t>women</t>
    </r>
    <r>
      <rPr>
        <sz val="10"/>
        <rFont val="Calibri"/>
        <family val="2"/>
        <scheme val="minor"/>
      </rPr>
      <t xml:space="preserve"> analysed;
follow-up until 31/12/2014;
Screening vs control</t>
    </r>
  </si>
  <si>
    <r>
      <t xml:space="preserve">Number of deaths from CRC </t>
    </r>
    <r>
      <rPr>
        <b/>
        <sz val="10"/>
        <rFont val="Calibri"/>
        <family val="2"/>
        <scheme val="minor"/>
      </rPr>
      <t>in women</t>
    </r>
    <r>
      <rPr>
        <sz val="10"/>
        <rFont val="Calibri"/>
        <family val="2"/>
        <scheme val="minor"/>
      </rPr>
      <t xml:space="preserve">, verified </t>
    </r>
    <r>
      <rPr>
        <b/>
        <sz val="10"/>
        <rFont val="Calibri"/>
        <family val="2"/>
        <scheme val="minor"/>
      </rPr>
      <t>(all sites</t>
    </r>
    <r>
      <rPr>
        <sz val="10"/>
        <rFont val="Calibri"/>
        <family val="2"/>
        <scheme val="minor"/>
      </rPr>
      <t>); follow-up until 31/12/2014</t>
    </r>
  </si>
  <si>
    <r>
      <t>CRC mortality, verified (</t>
    </r>
    <r>
      <rPr>
        <b/>
        <sz val="10"/>
        <rFont val="Calibri"/>
        <family val="2"/>
        <scheme val="minor"/>
      </rPr>
      <t>all sites</t>
    </r>
    <r>
      <rPr>
        <sz val="10"/>
        <rFont val="Calibri"/>
        <family val="2"/>
        <scheme val="minor"/>
      </rPr>
      <t xml:space="preserve">); per 100,000 </t>
    </r>
    <r>
      <rPr>
        <b/>
        <sz val="10"/>
        <rFont val="Calibri"/>
        <family val="2"/>
        <scheme val="minor"/>
      </rPr>
      <t>women-years</t>
    </r>
    <r>
      <rPr>
        <sz val="10"/>
        <rFont val="Calibri"/>
        <family val="2"/>
        <scheme val="minor"/>
      </rPr>
      <t>; hazard ratio;
follow-up until 31/12/2014;
Screening vs control</t>
    </r>
  </si>
  <si>
    <t>Women-years (up to 31/12/2004); by arm</t>
  </si>
  <si>
    <r>
      <t>CRC mortality, certified (</t>
    </r>
    <r>
      <rPr>
        <b/>
        <sz val="10"/>
        <rFont val="Calibri"/>
        <family val="2"/>
        <scheme val="minor"/>
      </rPr>
      <t>all sites</t>
    </r>
    <r>
      <rPr>
        <sz val="10"/>
        <rFont val="Calibri"/>
        <family val="2"/>
        <scheme val="minor"/>
      </rPr>
      <t xml:space="preserve">) in </t>
    </r>
    <r>
      <rPr>
        <b/>
        <sz val="10"/>
        <rFont val="Calibri"/>
        <family val="2"/>
        <scheme val="minor"/>
      </rPr>
      <t>people aged 55-59 years</t>
    </r>
    <r>
      <rPr>
        <sz val="10"/>
        <rFont val="Calibri"/>
        <family val="2"/>
        <scheme val="minor"/>
      </rPr>
      <t>; per 100,000 PY; hazard ratio;
follow-up until 31/12/2014;
Screening vs control</t>
    </r>
  </si>
  <si>
    <t>55-59 years</t>
  </si>
  <si>
    <r>
      <t xml:space="preserve">Number of deaths from CRC </t>
    </r>
    <r>
      <rPr>
        <b/>
        <sz val="10"/>
        <rFont val="Calibri"/>
        <family val="2"/>
        <scheme val="minor"/>
      </rPr>
      <t>in people aged 55-59 years</t>
    </r>
    <r>
      <rPr>
        <sz val="10"/>
        <rFont val="Calibri"/>
        <family val="2"/>
        <scheme val="minor"/>
      </rPr>
      <t xml:space="preserve">, certified </t>
    </r>
    <r>
      <rPr>
        <b/>
        <sz val="10"/>
        <rFont val="Calibri"/>
        <family val="2"/>
        <scheme val="minor"/>
      </rPr>
      <t>(all sites</t>
    </r>
    <r>
      <rPr>
        <sz val="10"/>
        <rFont val="Calibri"/>
        <family val="2"/>
        <scheme val="minor"/>
      </rPr>
      <t>); follow-up until 31/12/2014</t>
    </r>
  </si>
  <si>
    <r>
      <t xml:space="preserve">Person-years (up to 31/12/2014) in people </t>
    </r>
    <r>
      <rPr>
        <b/>
        <sz val="10"/>
        <rFont val="Calibri"/>
        <family val="2"/>
        <scheme val="minor"/>
      </rPr>
      <t>aged 55-59 years</t>
    </r>
    <r>
      <rPr>
        <sz val="10"/>
        <rFont val="Calibri"/>
        <family val="2"/>
        <scheme val="minor"/>
      </rPr>
      <t xml:space="preserve"> analysed; by arm</t>
    </r>
  </si>
  <si>
    <t>Table 5 and text: For all-site colorectal cancer mortality, the risk reduction in those invited to screening was 33% in the younger age group (55–59 years) and 28% in the older age group (60–64 years)…</t>
  </si>
  <si>
    <r>
      <t>CRC mortality, verified (</t>
    </r>
    <r>
      <rPr>
        <b/>
        <sz val="10"/>
        <rFont val="Calibri"/>
        <family val="2"/>
        <scheme val="minor"/>
      </rPr>
      <t>all sites</t>
    </r>
    <r>
      <rPr>
        <sz val="10"/>
        <rFont val="Calibri"/>
        <family val="2"/>
        <scheme val="minor"/>
      </rPr>
      <t xml:space="preserve">); per 1,000 </t>
    </r>
    <r>
      <rPr>
        <b/>
        <sz val="10"/>
        <rFont val="Calibri"/>
        <family val="2"/>
        <scheme val="minor"/>
      </rPr>
      <t>people aged 55-59 years</t>
    </r>
    <r>
      <rPr>
        <sz val="10"/>
        <rFont val="Calibri"/>
        <family val="2"/>
        <scheme val="minor"/>
      </rPr>
      <t xml:space="preserve"> analysed;
follow-up until 31/12/2014;
Screening vs control</t>
    </r>
  </si>
  <si>
    <r>
      <t xml:space="preserve">Number of deaths from CRC </t>
    </r>
    <r>
      <rPr>
        <b/>
        <sz val="10"/>
        <rFont val="Calibri"/>
        <family val="2"/>
        <scheme val="minor"/>
      </rPr>
      <t>in people aged 55-59 years</t>
    </r>
    <r>
      <rPr>
        <sz val="10"/>
        <rFont val="Calibri"/>
        <family val="2"/>
        <scheme val="minor"/>
      </rPr>
      <t xml:space="preserve">, verified </t>
    </r>
    <r>
      <rPr>
        <b/>
        <sz val="10"/>
        <rFont val="Calibri"/>
        <family val="2"/>
        <scheme val="minor"/>
      </rPr>
      <t>(all sites</t>
    </r>
    <r>
      <rPr>
        <sz val="10"/>
        <rFont val="Calibri"/>
        <family val="2"/>
        <scheme val="minor"/>
      </rPr>
      <t>); follow-up until 31/12/2014</t>
    </r>
  </si>
  <si>
    <r>
      <t xml:space="preserve">Number of people </t>
    </r>
    <r>
      <rPr>
        <b/>
        <sz val="10"/>
        <rFont val="Calibri"/>
        <family val="2"/>
        <scheme val="minor"/>
      </rPr>
      <t>aged 55-59 years</t>
    </r>
    <r>
      <rPr>
        <sz val="10"/>
        <rFont val="Calibri"/>
        <family val="2"/>
        <scheme val="minor"/>
      </rPr>
      <t xml:space="preserve"> analysed; by arm</t>
    </r>
  </si>
  <si>
    <r>
      <t>CRC mortality in people</t>
    </r>
    <r>
      <rPr>
        <b/>
        <sz val="10"/>
        <rFont val="Calibri"/>
        <family val="2"/>
        <scheme val="minor"/>
      </rPr>
      <t xml:space="preserve"> aged 55-59 years</t>
    </r>
    <r>
      <rPr>
        <sz val="10"/>
        <rFont val="Calibri"/>
        <family val="2"/>
        <scheme val="minor"/>
      </rPr>
      <t>, verified (</t>
    </r>
    <r>
      <rPr>
        <b/>
        <sz val="10"/>
        <rFont val="Calibri"/>
        <family val="2"/>
        <scheme val="minor"/>
      </rPr>
      <t>all sites</t>
    </r>
    <r>
      <rPr>
        <sz val="10"/>
        <rFont val="Calibri"/>
        <family val="2"/>
        <scheme val="minor"/>
      </rPr>
      <t>); per 100,000 PY; hazard ratio;
follow-up until 31/12/2014;
Screening vs control</t>
    </r>
  </si>
  <si>
    <r>
      <t xml:space="preserve">Person-years </t>
    </r>
    <r>
      <rPr>
        <b/>
        <sz val="10"/>
        <rFont val="Calibri"/>
        <family val="2"/>
        <scheme val="minor"/>
      </rPr>
      <t xml:space="preserve">in people aged 55-59 years </t>
    </r>
    <r>
      <rPr>
        <sz val="10"/>
        <rFont val="Calibri"/>
        <family val="2"/>
        <scheme val="minor"/>
      </rPr>
      <t>(up to 31/12/2004); by arm</t>
    </r>
  </si>
  <si>
    <r>
      <t>CRC mortality, certified (</t>
    </r>
    <r>
      <rPr>
        <b/>
        <sz val="10"/>
        <rFont val="Calibri"/>
        <family val="2"/>
        <scheme val="minor"/>
      </rPr>
      <t>all sites</t>
    </r>
    <r>
      <rPr>
        <sz val="10"/>
        <rFont val="Calibri"/>
        <family val="2"/>
        <scheme val="minor"/>
      </rPr>
      <t xml:space="preserve">); per 1,000 </t>
    </r>
    <r>
      <rPr>
        <b/>
        <sz val="10"/>
        <rFont val="Calibri"/>
        <family val="2"/>
        <scheme val="minor"/>
      </rPr>
      <t>people aged 60-64 years</t>
    </r>
    <r>
      <rPr>
        <sz val="10"/>
        <rFont val="Calibri"/>
        <family val="2"/>
        <scheme val="minor"/>
      </rPr>
      <t xml:space="preserve"> analysed;
follow-up until 31/12/2014;
Screening vs control</t>
    </r>
  </si>
  <si>
    <t>60-64 years</t>
  </si>
  <si>
    <r>
      <t xml:space="preserve">Number of deaths from CRC </t>
    </r>
    <r>
      <rPr>
        <b/>
        <sz val="10"/>
        <rFont val="Calibri"/>
        <family val="2"/>
        <scheme val="minor"/>
      </rPr>
      <t>in people aged 60-64 years</t>
    </r>
    <r>
      <rPr>
        <sz val="10"/>
        <rFont val="Calibri"/>
        <family val="2"/>
        <scheme val="minor"/>
      </rPr>
      <t xml:space="preserve">, certified </t>
    </r>
    <r>
      <rPr>
        <b/>
        <sz val="10"/>
        <rFont val="Calibri"/>
        <family val="2"/>
        <scheme val="minor"/>
      </rPr>
      <t>(all sites</t>
    </r>
    <r>
      <rPr>
        <sz val="10"/>
        <rFont val="Calibri"/>
        <family val="2"/>
        <scheme val="minor"/>
      </rPr>
      <t>); follow-up until 31/12/2014</t>
    </r>
  </si>
  <si>
    <r>
      <t xml:space="preserve">Number of people </t>
    </r>
    <r>
      <rPr>
        <b/>
        <sz val="10"/>
        <rFont val="Calibri"/>
        <family val="2"/>
        <scheme val="minor"/>
      </rPr>
      <t>aged 60-64 years</t>
    </r>
    <r>
      <rPr>
        <sz val="10"/>
        <rFont val="Calibri"/>
        <family val="2"/>
        <scheme val="minor"/>
      </rPr>
      <t xml:space="preserve"> analysed; by arm</t>
    </r>
  </si>
  <si>
    <r>
      <t>CRC mortality, certified (</t>
    </r>
    <r>
      <rPr>
        <b/>
        <sz val="10"/>
        <rFont val="Calibri"/>
        <family val="2"/>
        <scheme val="minor"/>
      </rPr>
      <t>all sites</t>
    </r>
    <r>
      <rPr>
        <sz val="10"/>
        <rFont val="Calibri"/>
        <family val="2"/>
        <scheme val="minor"/>
      </rPr>
      <t xml:space="preserve">) in </t>
    </r>
    <r>
      <rPr>
        <b/>
        <sz val="10"/>
        <rFont val="Calibri"/>
        <family val="2"/>
        <scheme val="minor"/>
      </rPr>
      <t>people aged 60-64 years</t>
    </r>
    <r>
      <rPr>
        <sz val="10"/>
        <rFont val="Calibri"/>
        <family val="2"/>
        <scheme val="minor"/>
      </rPr>
      <t>; per 100,000 PY; hazard ratio;
follow-up until 31/12/2014;
Screening vs control</t>
    </r>
  </si>
  <si>
    <r>
      <t xml:space="preserve">Person-years (up to 31/12/2014) in people </t>
    </r>
    <r>
      <rPr>
        <b/>
        <sz val="10"/>
        <rFont val="Calibri"/>
        <family val="2"/>
        <scheme val="minor"/>
      </rPr>
      <t>aged 60-64 years</t>
    </r>
    <r>
      <rPr>
        <sz val="10"/>
        <rFont val="Calibri"/>
        <family val="2"/>
        <scheme val="minor"/>
      </rPr>
      <t xml:space="preserve"> analysed; by arm</t>
    </r>
  </si>
  <si>
    <r>
      <t>CRC mortality, verified (</t>
    </r>
    <r>
      <rPr>
        <b/>
        <sz val="10"/>
        <rFont val="Calibri"/>
        <family val="2"/>
        <scheme val="minor"/>
      </rPr>
      <t>all sites</t>
    </r>
    <r>
      <rPr>
        <sz val="10"/>
        <rFont val="Calibri"/>
        <family val="2"/>
        <scheme val="minor"/>
      </rPr>
      <t xml:space="preserve">); per 1,000 </t>
    </r>
    <r>
      <rPr>
        <b/>
        <sz val="10"/>
        <rFont val="Calibri"/>
        <family val="2"/>
        <scheme val="minor"/>
      </rPr>
      <t>people aged 60-64 years</t>
    </r>
    <r>
      <rPr>
        <sz val="10"/>
        <rFont val="Calibri"/>
        <family val="2"/>
        <scheme val="minor"/>
      </rPr>
      <t xml:space="preserve"> analysed;
follow-up until 31/12/2014;
Screening vs control</t>
    </r>
  </si>
  <si>
    <r>
      <t xml:space="preserve">Number of deaths from CRC </t>
    </r>
    <r>
      <rPr>
        <b/>
        <sz val="10"/>
        <rFont val="Calibri"/>
        <family val="2"/>
        <scheme val="minor"/>
      </rPr>
      <t>in people aged 60-64 years</t>
    </r>
    <r>
      <rPr>
        <sz val="10"/>
        <rFont val="Calibri"/>
        <family val="2"/>
        <scheme val="minor"/>
      </rPr>
      <t xml:space="preserve">, verified </t>
    </r>
    <r>
      <rPr>
        <b/>
        <sz val="10"/>
        <rFont val="Calibri"/>
        <family val="2"/>
        <scheme val="minor"/>
      </rPr>
      <t>(all sites</t>
    </r>
    <r>
      <rPr>
        <sz val="10"/>
        <rFont val="Calibri"/>
        <family val="2"/>
        <scheme val="minor"/>
      </rPr>
      <t>); follow-up until 31/12/2014</t>
    </r>
  </si>
  <si>
    <r>
      <t>CRC mortality in people</t>
    </r>
    <r>
      <rPr>
        <b/>
        <sz val="10"/>
        <rFont val="Calibri"/>
        <family val="2"/>
        <scheme val="minor"/>
      </rPr>
      <t xml:space="preserve"> aged 60-64 years</t>
    </r>
    <r>
      <rPr>
        <sz val="10"/>
        <rFont val="Calibri"/>
        <family val="2"/>
        <scheme val="minor"/>
      </rPr>
      <t>, verified (</t>
    </r>
    <r>
      <rPr>
        <b/>
        <sz val="10"/>
        <rFont val="Calibri"/>
        <family val="2"/>
        <scheme val="minor"/>
      </rPr>
      <t>all sites</t>
    </r>
    <r>
      <rPr>
        <sz val="10"/>
        <rFont val="Calibri"/>
        <family val="2"/>
        <scheme val="minor"/>
      </rPr>
      <t>); per 100,000 PY; hazard ratio;
follow-up until 31/12/2014;
Screening vs control</t>
    </r>
  </si>
  <si>
    <r>
      <t xml:space="preserve">Person-years </t>
    </r>
    <r>
      <rPr>
        <b/>
        <sz val="10"/>
        <rFont val="Calibri"/>
        <family val="2"/>
        <scheme val="minor"/>
      </rPr>
      <t xml:space="preserve">in people aged 60-64 years </t>
    </r>
    <r>
      <rPr>
        <sz val="10"/>
        <rFont val="Calibri"/>
        <family val="2"/>
        <scheme val="minor"/>
      </rPr>
      <t>(up to 31/12/2004); by arm</t>
    </r>
  </si>
  <si>
    <r>
      <t>CRC mortality, certified (</t>
    </r>
    <r>
      <rPr>
        <b/>
        <sz val="10"/>
        <rFont val="Calibri"/>
        <family val="2"/>
        <scheme val="minor"/>
      </rPr>
      <t>distal</t>
    </r>
    <r>
      <rPr>
        <sz val="10"/>
        <rFont val="Calibri"/>
        <family val="2"/>
        <scheme val="minor"/>
      </rPr>
      <t xml:space="preserve">); per 100,000 </t>
    </r>
    <r>
      <rPr>
        <b/>
        <sz val="10"/>
        <rFont val="Calibri"/>
        <family val="2"/>
        <scheme val="minor"/>
      </rPr>
      <t>men-years</t>
    </r>
    <r>
      <rPr>
        <sz val="10"/>
        <rFont val="Calibri"/>
        <family val="2"/>
        <scheme val="minor"/>
      </rPr>
      <t>; hazard ratio;
follow-up until 31/12/2014;
Screening vs control</t>
    </r>
  </si>
  <si>
    <r>
      <t xml:space="preserve">Number of deaths from </t>
    </r>
    <r>
      <rPr>
        <b/>
        <sz val="10"/>
        <rFont val="Calibri"/>
        <family val="2"/>
        <scheme val="minor"/>
      </rPr>
      <t xml:space="preserve">distal </t>
    </r>
    <r>
      <rPr>
        <sz val="10"/>
        <rFont val="Calibri"/>
        <family val="2"/>
        <scheme val="minor"/>
      </rPr>
      <t xml:space="preserve">CRC </t>
    </r>
    <r>
      <rPr>
        <b/>
        <sz val="10"/>
        <rFont val="Calibri"/>
        <family val="2"/>
        <scheme val="minor"/>
      </rPr>
      <t>in men</t>
    </r>
    <r>
      <rPr>
        <sz val="10"/>
        <rFont val="Calibri"/>
        <family val="2"/>
        <scheme val="minor"/>
      </rPr>
      <t>, certified; follow-up until 31/12/2014</t>
    </r>
  </si>
  <si>
    <t>Table 5 and text: ...whereas distal colorectal cancer mortality was reduced by 49% and 39% in intention-to-treat analysis…</t>
  </si>
  <si>
    <r>
      <t>CRC mortality, certified (</t>
    </r>
    <r>
      <rPr>
        <b/>
        <sz val="10"/>
        <rFont val="Calibri"/>
        <family val="2"/>
        <scheme val="minor"/>
      </rPr>
      <t>distal</t>
    </r>
    <r>
      <rPr>
        <sz val="10"/>
        <rFont val="Calibri"/>
        <family val="2"/>
        <scheme val="minor"/>
      </rPr>
      <t xml:space="preserve">); per 100,000 </t>
    </r>
    <r>
      <rPr>
        <b/>
        <sz val="10"/>
        <rFont val="Calibri"/>
        <family val="2"/>
        <scheme val="minor"/>
      </rPr>
      <t>women-years</t>
    </r>
    <r>
      <rPr>
        <sz val="10"/>
        <rFont val="Calibri"/>
        <family val="2"/>
        <scheme val="minor"/>
      </rPr>
      <t>; hazard ratio;
follow-up until 31/12/2014;
Screening vs control</t>
    </r>
  </si>
  <si>
    <r>
      <t xml:space="preserve">Number of deaths from </t>
    </r>
    <r>
      <rPr>
        <b/>
        <sz val="10"/>
        <rFont val="Calibri"/>
        <family val="2"/>
        <scheme val="minor"/>
      </rPr>
      <t>distal</t>
    </r>
    <r>
      <rPr>
        <sz val="10"/>
        <rFont val="Calibri"/>
        <family val="2"/>
        <scheme val="minor"/>
      </rPr>
      <t xml:space="preserve"> CRC </t>
    </r>
    <r>
      <rPr>
        <b/>
        <sz val="10"/>
        <rFont val="Calibri"/>
        <family val="2"/>
        <scheme val="minor"/>
      </rPr>
      <t>in women</t>
    </r>
    <r>
      <rPr>
        <sz val="10"/>
        <rFont val="Calibri"/>
        <family val="2"/>
        <scheme val="minor"/>
      </rPr>
      <t>, certified; follow-up until 31/12/2014</t>
    </r>
  </si>
  <si>
    <r>
      <t>CRC mortality, certified (</t>
    </r>
    <r>
      <rPr>
        <b/>
        <sz val="10"/>
        <rFont val="Calibri"/>
        <family val="2"/>
        <scheme val="minor"/>
      </rPr>
      <t>distal</t>
    </r>
    <r>
      <rPr>
        <sz val="10"/>
        <rFont val="Calibri"/>
        <family val="2"/>
        <scheme val="minor"/>
      </rPr>
      <t xml:space="preserve">) in </t>
    </r>
    <r>
      <rPr>
        <b/>
        <sz val="10"/>
        <rFont val="Calibri"/>
        <family val="2"/>
        <scheme val="minor"/>
      </rPr>
      <t>people aged 55-59 years</t>
    </r>
    <r>
      <rPr>
        <sz val="10"/>
        <rFont val="Calibri"/>
        <family val="2"/>
        <scheme val="minor"/>
      </rPr>
      <t>; per 100,000 PY; hazard ratio;
follow-up until 31/12/2014;
Screening vs control</t>
    </r>
  </si>
  <si>
    <r>
      <t xml:space="preserve">Number of deaths from </t>
    </r>
    <r>
      <rPr>
        <b/>
        <sz val="10"/>
        <rFont val="Calibri"/>
        <family val="2"/>
        <scheme val="minor"/>
      </rPr>
      <t xml:space="preserve">distal </t>
    </r>
    <r>
      <rPr>
        <sz val="10"/>
        <rFont val="Calibri"/>
        <family val="2"/>
        <scheme val="minor"/>
      </rPr>
      <t xml:space="preserve">CRC </t>
    </r>
    <r>
      <rPr>
        <b/>
        <sz val="10"/>
        <rFont val="Calibri"/>
        <family val="2"/>
        <scheme val="minor"/>
      </rPr>
      <t>in people aged 55-59 years</t>
    </r>
    <r>
      <rPr>
        <sz val="10"/>
        <rFont val="Calibri"/>
        <family val="2"/>
        <scheme val="minor"/>
      </rPr>
      <t>, certified; follow-up until 31/12/2014</t>
    </r>
  </si>
  <si>
    <t>Table 5 and text: ...for distal cancer mortality, the risk
reduction was 49% and 44% in each of the age groups,
respectively...</t>
  </si>
  <si>
    <r>
      <t>CRC mortality, certified (</t>
    </r>
    <r>
      <rPr>
        <b/>
        <sz val="10"/>
        <rFont val="Calibri"/>
        <family val="2"/>
        <scheme val="minor"/>
      </rPr>
      <t>distal</t>
    </r>
    <r>
      <rPr>
        <sz val="10"/>
        <rFont val="Calibri"/>
        <family val="2"/>
        <scheme val="minor"/>
      </rPr>
      <t xml:space="preserve">) in </t>
    </r>
    <r>
      <rPr>
        <b/>
        <sz val="10"/>
        <rFont val="Calibri"/>
        <family val="2"/>
        <scheme val="minor"/>
      </rPr>
      <t>people aged 60-64 years</t>
    </r>
    <r>
      <rPr>
        <sz val="10"/>
        <rFont val="Calibri"/>
        <family val="2"/>
        <scheme val="minor"/>
      </rPr>
      <t>; per 100,000 PY; hazard ratio;
follow-up until 31/12/2014;
Screening vs control</t>
    </r>
  </si>
  <si>
    <r>
      <t xml:space="preserve">Number of deaths from </t>
    </r>
    <r>
      <rPr>
        <b/>
        <sz val="10"/>
        <rFont val="Calibri"/>
        <family val="2"/>
        <scheme val="minor"/>
      </rPr>
      <t xml:space="preserve">distal </t>
    </r>
    <r>
      <rPr>
        <sz val="10"/>
        <rFont val="Calibri"/>
        <family val="2"/>
        <scheme val="minor"/>
      </rPr>
      <t xml:space="preserve">CRC </t>
    </r>
    <r>
      <rPr>
        <b/>
        <sz val="10"/>
        <rFont val="Calibri"/>
        <family val="2"/>
        <scheme val="minor"/>
      </rPr>
      <t>in people aged 60-64 years</t>
    </r>
    <r>
      <rPr>
        <sz val="10"/>
        <rFont val="Calibri"/>
        <family val="2"/>
        <scheme val="minor"/>
      </rPr>
      <t>, certified; follow-up until 31/12/2014</t>
    </r>
  </si>
  <si>
    <t>Table 5 and text: ...for distal cancer mortality, the risk
reduction was 49% and 44% in each of the age groups,
respectively…</t>
  </si>
  <si>
    <r>
      <t>CRC mortality, certified (</t>
    </r>
    <r>
      <rPr>
        <b/>
        <sz val="10"/>
        <rFont val="Calibri"/>
        <family val="2"/>
        <scheme val="minor"/>
      </rPr>
      <t>proximal</t>
    </r>
    <r>
      <rPr>
        <sz val="10"/>
        <rFont val="Calibri"/>
        <family val="2"/>
        <scheme val="minor"/>
      </rPr>
      <t xml:space="preserve">); per 100,000 </t>
    </r>
    <r>
      <rPr>
        <b/>
        <sz val="10"/>
        <rFont val="Calibri"/>
        <family val="2"/>
        <scheme val="minor"/>
      </rPr>
      <t>men-years</t>
    </r>
    <r>
      <rPr>
        <sz val="10"/>
        <rFont val="Calibri"/>
        <family val="2"/>
        <scheme val="minor"/>
      </rPr>
      <t>; hazard ratio;
follow-up until 31/12/2014;
Screening vs control</t>
    </r>
  </si>
  <si>
    <r>
      <t xml:space="preserve">Number of deaths from </t>
    </r>
    <r>
      <rPr>
        <b/>
        <sz val="10"/>
        <rFont val="Calibri"/>
        <family val="2"/>
        <scheme val="minor"/>
      </rPr>
      <t xml:space="preserve">proximal </t>
    </r>
    <r>
      <rPr>
        <sz val="10"/>
        <rFont val="Calibri"/>
        <family val="2"/>
        <scheme val="minor"/>
      </rPr>
      <t xml:space="preserve">CRC </t>
    </r>
    <r>
      <rPr>
        <b/>
        <sz val="10"/>
        <rFont val="Calibri"/>
        <family val="2"/>
        <scheme val="minor"/>
      </rPr>
      <t>in men</t>
    </r>
    <r>
      <rPr>
        <sz val="10"/>
        <rFont val="Calibri"/>
        <family val="2"/>
        <scheme val="minor"/>
      </rPr>
      <t>, certified; follow-up until 31/12/2014</t>
    </r>
  </si>
  <si>
    <r>
      <t>CRC mortality, certified (</t>
    </r>
    <r>
      <rPr>
        <b/>
        <sz val="10"/>
        <rFont val="Calibri"/>
        <family val="2"/>
        <scheme val="minor"/>
      </rPr>
      <t>proximal</t>
    </r>
    <r>
      <rPr>
        <sz val="10"/>
        <rFont val="Calibri"/>
        <family val="2"/>
        <scheme val="minor"/>
      </rPr>
      <t xml:space="preserve">); per 100,000 </t>
    </r>
    <r>
      <rPr>
        <b/>
        <sz val="10"/>
        <rFont val="Calibri"/>
        <family val="2"/>
        <scheme val="minor"/>
      </rPr>
      <t>women-years</t>
    </r>
    <r>
      <rPr>
        <sz val="10"/>
        <rFont val="Calibri"/>
        <family val="2"/>
        <scheme val="minor"/>
      </rPr>
      <t>; hazard ratio;
follow-up until 31/12/2014;
Screening vs control</t>
    </r>
  </si>
  <si>
    <r>
      <t xml:space="preserve">Number of deaths from </t>
    </r>
    <r>
      <rPr>
        <b/>
        <sz val="10"/>
        <rFont val="Calibri"/>
        <family val="2"/>
        <scheme val="minor"/>
      </rPr>
      <t>proximal</t>
    </r>
    <r>
      <rPr>
        <sz val="10"/>
        <rFont val="Calibri"/>
        <family val="2"/>
        <scheme val="minor"/>
      </rPr>
      <t xml:space="preserve"> CRC </t>
    </r>
    <r>
      <rPr>
        <b/>
        <sz val="10"/>
        <rFont val="Calibri"/>
        <family val="2"/>
        <scheme val="minor"/>
      </rPr>
      <t>in women</t>
    </r>
    <r>
      <rPr>
        <sz val="10"/>
        <rFont val="Calibri"/>
        <family val="2"/>
        <scheme val="minor"/>
      </rPr>
      <t>, certified; follow-up until 31/12/2014</t>
    </r>
  </si>
  <si>
    <r>
      <t>CRC mortality, certified (</t>
    </r>
    <r>
      <rPr>
        <b/>
        <sz val="10"/>
        <rFont val="Calibri"/>
        <family val="2"/>
        <scheme val="minor"/>
      </rPr>
      <t>proximal</t>
    </r>
    <r>
      <rPr>
        <sz val="10"/>
        <rFont val="Calibri"/>
        <family val="2"/>
        <scheme val="minor"/>
      </rPr>
      <t xml:space="preserve">) in </t>
    </r>
    <r>
      <rPr>
        <b/>
        <sz val="10"/>
        <rFont val="Calibri"/>
        <family val="2"/>
        <scheme val="minor"/>
      </rPr>
      <t>people aged 55-59 years</t>
    </r>
    <r>
      <rPr>
        <sz val="10"/>
        <rFont val="Calibri"/>
        <family val="2"/>
        <scheme val="minor"/>
      </rPr>
      <t>; per 100,000 PY; hazard ratio;
follow-up until 31/12/2014;
Screening vs control</t>
    </r>
  </si>
  <si>
    <r>
      <t xml:space="preserve">Number of deaths from </t>
    </r>
    <r>
      <rPr>
        <b/>
        <sz val="10"/>
        <rFont val="Calibri"/>
        <family val="2"/>
        <scheme val="minor"/>
      </rPr>
      <t xml:space="preserve">proximal </t>
    </r>
    <r>
      <rPr>
        <sz val="10"/>
        <rFont val="Calibri"/>
        <family val="2"/>
        <scheme val="minor"/>
      </rPr>
      <t xml:space="preserve">CRC </t>
    </r>
    <r>
      <rPr>
        <b/>
        <sz val="10"/>
        <rFont val="Calibri"/>
        <family val="2"/>
        <scheme val="minor"/>
      </rPr>
      <t>in people aged 55-59 years</t>
    </r>
    <r>
      <rPr>
        <sz val="10"/>
        <rFont val="Calibri"/>
        <family val="2"/>
        <scheme val="minor"/>
      </rPr>
      <t>, certified; follow-up until 31/12/2014</t>
    </r>
  </si>
  <si>
    <r>
      <t>CRC mortality, certified (</t>
    </r>
    <r>
      <rPr>
        <b/>
        <sz val="10"/>
        <rFont val="Calibri"/>
        <family val="2"/>
        <scheme val="minor"/>
      </rPr>
      <t>proximal</t>
    </r>
    <r>
      <rPr>
        <sz val="10"/>
        <rFont val="Calibri"/>
        <family val="2"/>
        <scheme val="minor"/>
      </rPr>
      <t xml:space="preserve">) in </t>
    </r>
    <r>
      <rPr>
        <b/>
        <sz val="10"/>
        <rFont val="Calibri"/>
        <family val="2"/>
        <scheme val="minor"/>
      </rPr>
      <t>people aged 60-64 years</t>
    </r>
    <r>
      <rPr>
        <sz val="10"/>
        <rFont val="Calibri"/>
        <family val="2"/>
        <scheme val="minor"/>
      </rPr>
      <t>; per 100,000 PY; hazard ratio;
follow-up until 31/12/2014;
Screening vs control</t>
    </r>
  </si>
  <si>
    <r>
      <t xml:space="preserve">Number of deaths from </t>
    </r>
    <r>
      <rPr>
        <b/>
        <sz val="10"/>
        <rFont val="Calibri"/>
        <family val="2"/>
        <scheme val="minor"/>
      </rPr>
      <t xml:space="preserve">proximal </t>
    </r>
    <r>
      <rPr>
        <sz val="10"/>
        <rFont val="Calibri"/>
        <family val="2"/>
        <scheme val="minor"/>
      </rPr>
      <t xml:space="preserve">CRC </t>
    </r>
    <r>
      <rPr>
        <b/>
        <sz val="10"/>
        <rFont val="Calibri"/>
        <family val="2"/>
        <scheme val="minor"/>
      </rPr>
      <t>in people aged 60-64 years</t>
    </r>
    <r>
      <rPr>
        <sz val="10"/>
        <rFont val="Calibri"/>
        <family val="2"/>
        <scheme val="minor"/>
      </rPr>
      <t>, certified; follow-up until 31/12/2014</t>
    </r>
  </si>
  <si>
    <r>
      <t xml:space="preserve">All-cause mortality; per 100,000 </t>
    </r>
    <r>
      <rPr>
        <b/>
        <sz val="10"/>
        <rFont val="Calibri"/>
        <family val="2"/>
        <scheme val="minor"/>
      </rPr>
      <t>men-years</t>
    </r>
    <r>
      <rPr>
        <sz val="10"/>
        <rFont val="Calibri"/>
        <family val="2"/>
        <scheme val="minor"/>
      </rPr>
      <t>; hazard ratio;
follow-up until 31/12/2014;
Screening vs control</t>
    </r>
  </si>
  <si>
    <r>
      <t xml:space="preserve">Number of deaths from all causes </t>
    </r>
    <r>
      <rPr>
        <b/>
        <sz val="10"/>
        <rFont val="Calibri"/>
        <family val="2"/>
        <scheme val="minor"/>
      </rPr>
      <t>in men</t>
    </r>
    <r>
      <rPr>
        <sz val="10"/>
        <rFont val="Calibri"/>
        <family val="2"/>
        <scheme val="minor"/>
      </rPr>
      <t>, certified; follow-up until 31/12/2014</t>
    </r>
  </si>
  <si>
    <r>
      <t xml:space="preserve">All-cause mortality; per 100,000 </t>
    </r>
    <r>
      <rPr>
        <b/>
        <sz val="10"/>
        <rFont val="Calibri"/>
        <family val="2"/>
        <scheme val="minor"/>
      </rPr>
      <t>women-years</t>
    </r>
    <r>
      <rPr>
        <sz val="10"/>
        <rFont val="Calibri"/>
        <family val="2"/>
        <scheme val="minor"/>
      </rPr>
      <t>; hazard ratio;
follow-up until 31/12/2014;
Screening vs control</t>
    </r>
  </si>
  <si>
    <r>
      <t xml:space="preserve">Number of deaths from all causes CRC </t>
    </r>
    <r>
      <rPr>
        <b/>
        <sz val="10"/>
        <rFont val="Calibri"/>
        <family val="2"/>
        <scheme val="minor"/>
      </rPr>
      <t>in women</t>
    </r>
    <r>
      <rPr>
        <sz val="10"/>
        <rFont val="Calibri"/>
        <family val="2"/>
        <scheme val="minor"/>
      </rPr>
      <t>, certified; follow-up until 31/12/2014</t>
    </r>
  </si>
  <si>
    <r>
      <t xml:space="preserve">All-cause mortality in </t>
    </r>
    <r>
      <rPr>
        <b/>
        <sz val="10"/>
        <rFont val="Calibri"/>
        <family val="2"/>
        <scheme val="minor"/>
      </rPr>
      <t>people aged 55-59 years</t>
    </r>
    <r>
      <rPr>
        <sz val="10"/>
        <rFont val="Calibri"/>
        <family val="2"/>
        <scheme val="minor"/>
      </rPr>
      <t>; per 100,000 PY; hazard ratio;
follow-up until 31/12/2014;
Screening vs control</t>
    </r>
  </si>
  <si>
    <r>
      <t xml:space="preserve">Number of deaths all causes </t>
    </r>
    <r>
      <rPr>
        <b/>
        <sz val="10"/>
        <rFont val="Calibri"/>
        <family val="2"/>
        <scheme val="minor"/>
      </rPr>
      <t>in people aged 55-59 years</t>
    </r>
    <r>
      <rPr>
        <sz val="10"/>
        <rFont val="Calibri"/>
        <family val="2"/>
        <scheme val="minor"/>
      </rPr>
      <t>, certified; follow-up until 31/12/2014</t>
    </r>
  </si>
  <si>
    <r>
      <t xml:space="preserve">All-cause mortality in </t>
    </r>
    <r>
      <rPr>
        <b/>
        <sz val="10"/>
        <rFont val="Calibri"/>
        <family val="2"/>
        <scheme val="minor"/>
      </rPr>
      <t>people aged 60-64 years</t>
    </r>
    <r>
      <rPr>
        <sz val="10"/>
        <rFont val="Calibri"/>
        <family val="2"/>
        <scheme val="minor"/>
      </rPr>
      <t>; per 100,000 PY; hazard ratio;
follow-up until 31/12/2014;
Screening vs control</t>
    </r>
  </si>
  <si>
    <r>
      <t xml:space="preserve">Number of deaths from all causes </t>
    </r>
    <r>
      <rPr>
        <b/>
        <sz val="10"/>
        <rFont val="Calibri"/>
        <family val="2"/>
        <scheme val="minor"/>
      </rPr>
      <t>in people aged 60-64 years</t>
    </r>
    <r>
      <rPr>
        <sz val="10"/>
        <rFont val="Calibri"/>
        <family val="2"/>
        <scheme val="minor"/>
      </rPr>
      <t>, certified; follow-up until 31/12/2014</t>
    </r>
  </si>
  <si>
    <t>Cross 2022</t>
  </si>
  <si>
    <r>
      <rPr>
        <b/>
        <sz val="10"/>
        <rFont val="Calibri"/>
        <family val="2"/>
        <scheme val="minor"/>
      </rPr>
      <t>Distal CRC</t>
    </r>
    <r>
      <rPr>
        <sz val="10"/>
        <rFont val="Calibri"/>
        <family val="2"/>
        <scheme val="minor"/>
      </rPr>
      <t xml:space="preserve"> mortality (per 100,000 PY); with hazard ratio; including 13/14 centres; follow-up until 31/12/2014; 
Screening vs control</t>
    </r>
  </si>
  <si>
    <t>National Health Service (NHS) Central Register, NHS Digital, National Services Scotland, and the Office for National Statistics.</t>
  </si>
  <si>
    <t>Emigration, end of follow-up, or death</t>
  </si>
  <si>
    <t>13/14 centres</t>
  </si>
  <si>
    <t>Median 17.1 years</t>
  </si>
  <si>
    <r>
      <t xml:space="preserve">Number of deaths from </t>
    </r>
    <r>
      <rPr>
        <b/>
        <sz val="10"/>
        <rFont val="Calibri"/>
        <family val="2"/>
        <scheme val="minor"/>
      </rPr>
      <t xml:space="preserve">distal CRC </t>
    </r>
    <r>
      <rPr>
        <sz val="10"/>
        <rFont val="Calibri"/>
        <family val="2"/>
        <scheme val="minor"/>
      </rPr>
      <t>(defined as C18.7, C19, and C20; rectum and sigmoid colon); up to 31/12/2014</t>
    </r>
  </si>
  <si>
    <t>Figure 1C and text: Distal CRC incidence and mortality were reduced among those screened compared with controls
in all groups,...</t>
  </si>
  <si>
    <r>
      <rPr>
        <b/>
        <sz val="10"/>
        <rFont val="Calibri"/>
        <family val="2"/>
        <scheme val="minor"/>
      </rPr>
      <t xml:space="preserve">All-site CRC </t>
    </r>
    <r>
      <rPr>
        <sz val="10"/>
        <rFont val="Calibri"/>
        <family val="2"/>
        <scheme val="minor"/>
      </rPr>
      <t>mortality (per 100,000 PY); with hazard ratio; including 13/14 centres; follow-up until 31/12/2014;
Screening vs control</t>
    </r>
  </si>
  <si>
    <r>
      <t xml:space="preserve">Number of deaths from </t>
    </r>
    <r>
      <rPr>
        <b/>
        <sz val="10"/>
        <rFont val="Calibri"/>
        <family val="2"/>
        <scheme val="minor"/>
      </rPr>
      <t>all-site CRC</t>
    </r>
    <r>
      <rPr>
        <sz val="10"/>
        <rFont val="Calibri"/>
        <family val="2"/>
        <scheme val="minor"/>
      </rPr>
      <t>; up to 31/12/2014</t>
    </r>
  </si>
  <si>
    <t>Figure 1C</t>
  </si>
  <si>
    <r>
      <rPr>
        <b/>
        <sz val="10"/>
        <rFont val="Calibri"/>
        <family val="2"/>
        <scheme val="minor"/>
      </rPr>
      <t>Distal CRC</t>
    </r>
    <r>
      <rPr>
        <sz val="10"/>
        <rFont val="Calibri"/>
        <family val="2"/>
        <scheme val="minor"/>
      </rPr>
      <t xml:space="preserve"> mortality (per 100,000 PY) in people </t>
    </r>
    <r>
      <rPr>
        <b/>
        <sz val="10"/>
        <rFont val="Calibri"/>
        <family val="2"/>
        <scheme val="minor"/>
      </rPr>
      <t>aged 55-59 years</t>
    </r>
    <r>
      <rPr>
        <sz val="10"/>
        <rFont val="Calibri"/>
        <family val="2"/>
        <scheme val="minor"/>
      </rPr>
      <t>; with hazard ratio; including 13/14 centres; follow-up until 31/12/2014;
Screening vs control</t>
    </r>
  </si>
  <si>
    <t>13/14 centres;
55-59 years</t>
  </si>
  <si>
    <r>
      <t xml:space="preserve">Number of deaths from </t>
    </r>
    <r>
      <rPr>
        <b/>
        <sz val="10"/>
        <rFont val="Calibri"/>
        <family val="2"/>
        <scheme val="minor"/>
      </rPr>
      <t xml:space="preserve">distal CRC </t>
    </r>
    <r>
      <rPr>
        <sz val="10"/>
        <rFont val="Calibri"/>
        <family val="2"/>
        <scheme val="minor"/>
      </rPr>
      <t xml:space="preserve">(defined as C18.7, C19, and C20; rectum and sigmoid colon) in people </t>
    </r>
    <r>
      <rPr>
        <b/>
        <sz val="10"/>
        <rFont val="Calibri"/>
        <family val="2"/>
        <scheme val="minor"/>
      </rPr>
      <t>aged 55-59 years</t>
    </r>
    <r>
      <rPr>
        <sz val="10"/>
        <rFont val="Calibri"/>
        <family val="2"/>
        <scheme val="minor"/>
      </rPr>
      <t>; up to 31/12/2014</t>
    </r>
  </si>
  <si>
    <r>
      <t xml:space="preserve">Person-years in people </t>
    </r>
    <r>
      <rPr>
        <b/>
        <sz val="10"/>
        <rFont val="Calibri"/>
        <family val="2"/>
        <scheme val="minor"/>
      </rPr>
      <t>aged 55-59 years</t>
    </r>
    <r>
      <rPr>
        <sz val="10"/>
        <rFont val="Calibri"/>
        <family val="2"/>
        <scheme val="minor"/>
      </rPr>
      <t xml:space="preserve"> (up to 31/12/2014)</t>
    </r>
  </si>
  <si>
    <t>Supplementary Figure 3</t>
  </si>
  <si>
    <r>
      <rPr>
        <b/>
        <sz val="10"/>
        <rFont val="Calibri"/>
        <family val="2"/>
        <scheme val="minor"/>
      </rPr>
      <t>Distal CRC</t>
    </r>
    <r>
      <rPr>
        <sz val="10"/>
        <rFont val="Calibri"/>
        <family val="2"/>
        <scheme val="minor"/>
      </rPr>
      <t xml:space="preserve"> mortality (per 100,000 PY) in people </t>
    </r>
    <r>
      <rPr>
        <b/>
        <sz val="10"/>
        <rFont val="Calibri"/>
        <family val="2"/>
        <scheme val="minor"/>
      </rPr>
      <t>aged 60-64 years</t>
    </r>
    <r>
      <rPr>
        <sz val="10"/>
        <rFont val="Calibri"/>
        <family val="2"/>
        <scheme val="minor"/>
      </rPr>
      <t>; with hazard ratio; including 13/14 centres; follow-up until 31/12/2014;
Screening vs control</t>
    </r>
  </si>
  <si>
    <r>
      <t xml:space="preserve">Number of deaths from </t>
    </r>
    <r>
      <rPr>
        <b/>
        <sz val="10"/>
        <rFont val="Calibri"/>
        <family val="2"/>
        <scheme val="minor"/>
      </rPr>
      <t xml:space="preserve">distal CRC </t>
    </r>
    <r>
      <rPr>
        <sz val="10"/>
        <rFont val="Calibri"/>
        <family val="2"/>
        <scheme val="minor"/>
      </rPr>
      <t xml:space="preserve">(defined as C18.7, C19, and C20; rectum and sigmoid colon) in people </t>
    </r>
    <r>
      <rPr>
        <b/>
        <sz val="10"/>
        <rFont val="Calibri"/>
        <family val="2"/>
        <scheme val="minor"/>
      </rPr>
      <t>aged 60-64 years</t>
    </r>
    <r>
      <rPr>
        <sz val="10"/>
        <rFont val="Calibri"/>
        <family val="2"/>
        <scheme val="minor"/>
      </rPr>
      <t>; up to 31/12/2014</t>
    </r>
  </si>
  <si>
    <r>
      <t xml:space="preserve">Person-years in people </t>
    </r>
    <r>
      <rPr>
        <b/>
        <sz val="10"/>
        <rFont val="Calibri"/>
        <family val="2"/>
        <scheme val="minor"/>
      </rPr>
      <t>aged 60-64 years</t>
    </r>
    <r>
      <rPr>
        <sz val="10"/>
        <rFont val="Calibri"/>
        <family val="2"/>
        <scheme val="minor"/>
      </rPr>
      <t xml:space="preserve"> (up to 31/12/2014)</t>
    </r>
  </si>
  <si>
    <r>
      <rPr>
        <b/>
        <sz val="10"/>
        <rFont val="Calibri"/>
        <family val="2"/>
        <scheme val="minor"/>
      </rPr>
      <t>Distal CRC</t>
    </r>
    <r>
      <rPr>
        <sz val="10"/>
        <rFont val="Calibri"/>
        <family val="2"/>
        <scheme val="minor"/>
      </rPr>
      <t xml:space="preserve"> mortality (per 100,000 PY) in </t>
    </r>
    <r>
      <rPr>
        <b/>
        <sz val="10"/>
        <rFont val="Calibri"/>
        <family val="2"/>
        <scheme val="minor"/>
      </rPr>
      <t>men</t>
    </r>
    <r>
      <rPr>
        <sz val="10"/>
        <rFont val="Calibri"/>
        <family val="2"/>
        <scheme val="minor"/>
      </rPr>
      <t>; with hazard ratio; including 13/14 centres; follow-up until 31/12/2014;
Screening vs control</t>
    </r>
  </si>
  <si>
    <t>13/14 centres;
Men</t>
  </si>
  <si>
    <r>
      <t xml:space="preserve">Number of deaths from </t>
    </r>
    <r>
      <rPr>
        <b/>
        <sz val="10"/>
        <rFont val="Calibri"/>
        <family val="2"/>
        <scheme val="minor"/>
      </rPr>
      <t xml:space="preserve">distal CRC </t>
    </r>
    <r>
      <rPr>
        <sz val="10"/>
        <rFont val="Calibri"/>
        <family val="2"/>
        <scheme val="minor"/>
      </rPr>
      <t xml:space="preserve">(defined as C18.7, C19, and C20; rectum and sigmoid colon) in </t>
    </r>
    <r>
      <rPr>
        <b/>
        <sz val="10"/>
        <rFont val="Calibri"/>
        <family val="2"/>
        <scheme val="minor"/>
      </rPr>
      <t>men</t>
    </r>
    <r>
      <rPr>
        <sz val="10"/>
        <rFont val="Calibri"/>
        <family val="2"/>
        <scheme val="minor"/>
      </rPr>
      <t>; up to 31/12/2014</t>
    </r>
  </si>
  <si>
    <r>
      <t xml:space="preserve">Person-years in </t>
    </r>
    <r>
      <rPr>
        <b/>
        <sz val="10"/>
        <rFont val="Calibri"/>
        <family val="2"/>
        <scheme val="minor"/>
      </rPr>
      <t>men</t>
    </r>
    <r>
      <rPr>
        <sz val="10"/>
        <rFont val="Calibri"/>
        <family val="2"/>
        <scheme val="minor"/>
      </rPr>
      <t xml:space="preserve"> (up to 31/12/2014)</t>
    </r>
  </si>
  <si>
    <t>Supplementary Figure 4</t>
  </si>
  <si>
    <r>
      <rPr>
        <b/>
        <sz val="10"/>
        <rFont val="Calibri"/>
        <family val="2"/>
        <scheme val="minor"/>
      </rPr>
      <t>Distal CRC</t>
    </r>
    <r>
      <rPr>
        <sz val="10"/>
        <rFont val="Calibri"/>
        <family val="2"/>
        <scheme val="minor"/>
      </rPr>
      <t xml:space="preserve"> mortality (per 100,000 PY) in</t>
    </r>
    <r>
      <rPr>
        <b/>
        <sz val="10"/>
        <rFont val="Calibri"/>
        <family val="2"/>
        <scheme val="minor"/>
      </rPr>
      <t xml:space="preserve"> women</t>
    </r>
    <r>
      <rPr>
        <sz val="10"/>
        <rFont val="Calibri"/>
        <family val="2"/>
        <scheme val="minor"/>
      </rPr>
      <t>; with hazard ratio; including 13/14 centres; follow-up until 31/12/2014;
Screening vs control</t>
    </r>
  </si>
  <si>
    <t>13/14 centres;
Women</t>
  </si>
  <si>
    <r>
      <t xml:space="preserve">Number of deaths from </t>
    </r>
    <r>
      <rPr>
        <b/>
        <sz val="10"/>
        <rFont val="Calibri"/>
        <family val="2"/>
        <scheme val="minor"/>
      </rPr>
      <t xml:space="preserve">distal CRC </t>
    </r>
    <r>
      <rPr>
        <sz val="10"/>
        <rFont val="Calibri"/>
        <family val="2"/>
        <scheme val="minor"/>
      </rPr>
      <t xml:space="preserve">(defined as C18.7, C19, and C20; rectum and sigmoid colon) in </t>
    </r>
    <r>
      <rPr>
        <b/>
        <sz val="10"/>
        <rFont val="Calibri"/>
        <family val="2"/>
        <scheme val="minor"/>
      </rPr>
      <t>women</t>
    </r>
    <r>
      <rPr>
        <sz val="10"/>
        <rFont val="Calibri"/>
        <family val="2"/>
        <scheme val="minor"/>
      </rPr>
      <t>; up to 31/12/2014</t>
    </r>
  </si>
  <si>
    <r>
      <t xml:space="preserve">Person-years in people in </t>
    </r>
    <r>
      <rPr>
        <b/>
        <sz val="10"/>
        <rFont val="Calibri"/>
        <family val="2"/>
        <scheme val="minor"/>
      </rPr>
      <t>women</t>
    </r>
    <r>
      <rPr>
        <sz val="10"/>
        <rFont val="Calibri"/>
        <family val="2"/>
        <scheme val="minor"/>
      </rPr>
      <t xml:space="preserve"> (up to 31/12/2014)</t>
    </r>
  </si>
  <si>
    <t>Diagnostic yield at screening (high-risk polyps); per 100 people analysed; one round of flexible sigmoidoscopy</t>
  </si>
  <si>
    <t>National Health Service Central Register (NHSCR), information directly from cancer registries, Hospital
Episodes Statistics, and the NHS Bowel Cancer Screening Programme databases. CRC diagnoses received from cancer registries verified with clinical and pathology records from the hospitals.</t>
  </si>
  <si>
    <t>Number of people with screen-detected high-risk polyps; 1 screening round</t>
  </si>
  <si>
    <t>Number of people analysed in screening arm</t>
  </si>
  <si>
    <t>Text: 2131 (5%) people were referred for colonoscopy because high-risk polyps were detected…</t>
  </si>
  <si>
    <t>Diagnostic yield at screening (CRC); per 100 people analysed; one round of flexible sigmoidoscopy</t>
  </si>
  <si>
    <t>National Health Service Central Register (NHSCR), information directly from cancer registries, Hospital
Episodes Statistics, and the NHS Bowel Cancer Screening Programme databases</t>
  </si>
  <si>
    <t>Number of people with screen-detected CRC; 1 screening round</t>
  </si>
  <si>
    <t>Table 1 legend: 140 patients had cancers detected at baseline screening (126 distal cancers and 14 proximal cancers).</t>
  </si>
  <si>
    <t>% of CRC that are screen-detected; one round of flexible sigmoidoscopy; follow-up until 31/12/2008</t>
  </si>
  <si>
    <t>616,981 PY;
mean 10.8 years</t>
  </si>
  <si>
    <t>Number of CRC detected up to 31/12/2008</t>
  </si>
  <si>
    <t>Table 1 and Table 1 legend: 140 patients had cancers detected at baseline screening (126 distal cancers and 14 proximal cancers).</t>
  </si>
  <si>
    <r>
      <t xml:space="preserve">% of </t>
    </r>
    <r>
      <rPr>
        <b/>
        <sz val="10"/>
        <rFont val="Calibri"/>
        <family val="2"/>
        <scheme val="minor"/>
      </rPr>
      <t xml:space="preserve">distal </t>
    </r>
    <r>
      <rPr>
        <sz val="10"/>
        <rFont val="Calibri"/>
        <family val="2"/>
        <scheme val="minor"/>
      </rPr>
      <t>CRC that are screen-detected; one round of flexible sigmoidoscopy; follow-up until 31/12/2008</t>
    </r>
  </si>
  <si>
    <r>
      <t xml:space="preserve">Number of people with screen-detected </t>
    </r>
    <r>
      <rPr>
        <b/>
        <sz val="10"/>
        <rFont val="Calibri"/>
        <family val="2"/>
        <scheme val="minor"/>
      </rPr>
      <t>distal</t>
    </r>
    <r>
      <rPr>
        <sz val="10"/>
        <rFont val="Calibri"/>
        <family val="2"/>
        <scheme val="minor"/>
      </rPr>
      <t xml:space="preserve"> CRC; 1 screening round</t>
    </r>
  </si>
  <si>
    <r>
      <t xml:space="preserve">Number of </t>
    </r>
    <r>
      <rPr>
        <b/>
        <sz val="10"/>
        <rFont val="Calibri"/>
        <family val="2"/>
        <scheme val="minor"/>
      </rPr>
      <t xml:space="preserve">distal </t>
    </r>
    <r>
      <rPr>
        <sz val="10"/>
        <rFont val="Calibri"/>
        <family val="2"/>
        <scheme val="minor"/>
      </rPr>
      <t>CRC detected up to 31/12/2008</t>
    </r>
  </si>
  <si>
    <t>34 patients had both a distal and a proximal cancer (19 synchronous and 15 metachronous): 31 patients in control group and three in the intervention group.</t>
  </si>
  <si>
    <r>
      <t xml:space="preserve">% of </t>
    </r>
    <r>
      <rPr>
        <b/>
        <sz val="10"/>
        <rFont val="Calibri"/>
        <family val="2"/>
        <scheme val="minor"/>
      </rPr>
      <t xml:space="preserve">proximal </t>
    </r>
    <r>
      <rPr>
        <sz val="10"/>
        <rFont val="Calibri"/>
        <family val="2"/>
        <scheme val="minor"/>
      </rPr>
      <t>CRC that are screen-detected; one round of flexible sigmoidoscopy; follow-up until 31/12/2008</t>
    </r>
  </si>
  <si>
    <r>
      <t xml:space="preserve">Number of people with screen-detected </t>
    </r>
    <r>
      <rPr>
        <b/>
        <sz val="10"/>
        <rFont val="Calibri"/>
        <family val="2"/>
        <scheme val="minor"/>
      </rPr>
      <t>proximal</t>
    </r>
    <r>
      <rPr>
        <sz val="10"/>
        <rFont val="Calibri"/>
        <family val="2"/>
        <scheme val="minor"/>
      </rPr>
      <t xml:space="preserve"> CRC; 1 screening round</t>
    </r>
  </si>
  <si>
    <r>
      <t xml:space="preserve">Number of </t>
    </r>
    <r>
      <rPr>
        <b/>
        <sz val="10"/>
        <rFont val="Calibri"/>
        <family val="2"/>
        <scheme val="minor"/>
      </rPr>
      <t xml:space="preserve">proximal </t>
    </r>
    <r>
      <rPr>
        <sz val="10"/>
        <rFont val="Calibri"/>
        <family val="2"/>
        <scheme val="minor"/>
      </rPr>
      <t>CRC detected up to 31/12/2008</t>
    </r>
  </si>
  <si>
    <r>
      <t>Absolute incidence of</t>
    </r>
    <r>
      <rPr>
        <b/>
        <sz val="10"/>
        <rFont val="Calibri"/>
        <family val="2"/>
        <scheme val="minor"/>
      </rPr>
      <t xml:space="preserve"> CRC (all sites) </t>
    </r>
    <r>
      <rPr>
        <sz val="10"/>
        <rFont val="Calibri"/>
        <family val="2"/>
        <scheme val="minor"/>
      </rPr>
      <t>and hazard ratio; per 100,000 PY; follow-up until 31/12/2008;
Screening vs control</t>
    </r>
  </si>
  <si>
    <t>CRC</t>
  </si>
  <si>
    <t>1,218,334 PY;
mean 10.8 years</t>
  </si>
  <si>
    <r>
      <t xml:space="preserve">Number of people with </t>
    </r>
    <r>
      <rPr>
        <b/>
        <sz val="10"/>
        <rFont val="Calibri"/>
        <family val="2"/>
        <scheme val="minor"/>
      </rPr>
      <t>CRC (all sites)</t>
    </r>
    <r>
      <rPr>
        <sz val="10"/>
        <rFont val="Calibri"/>
        <family val="2"/>
        <scheme val="minor"/>
      </rPr>
      <t>; diagnosed up to 31/12/2008</t>
    </r>
  </si>
  <si>
    <t>Person-years (up to 31/12/2008)</t>
  </si>
  <si>
    <t>Table 1 and text: These were diagnosed in 2524 participants: 1818 in the control group and 706 in the intervention group.</t>
  </si>
  <si>
    <t>The cutoff for follow-up for this analysis was Dec 31,
2008, although cancer registration was not expected to be
complete for the final year.
41 cancers with site not specified were included, 29 in control group and 12 in the intervention group. Only the earliest cancer was counted for patients with more than one cancer.</t>
  </si>
  <si>
    <r>
      <t>Absolute incidence of</t>
    </r>
    <r>
      <rPr>
        <b/>
        <sz val="10"/>
        <rFont val="Calibri"/>
        <family val="2"/>
        <scheme val="minor"/>
      </rPr>
      <t xml:space="preserve"> CRC (all sites)</t>
    </r>
    <r>
      <rPr>
        <sz val="10"/>
        <rFont val="Calibri"/>
        <family val="2"/>
        <scheme val="minor"/>
      </rPr>
      <t>; per 1,000 people randomised; follow-up until 31/12/2008;
Screening vs control</t>
    </r>
  </si>
  <si>
    <t>Table 3 and text: These were diagnosed in 2524 participants: 1818 in the control group and 706 in the intervention group.</t>
  </si>
  <si>
    <r>
      <t>Absolute incidence of</t>
    </r>
    <r>
      <rPr>
        <b/>
        <sz val="10"/>
        <rFont val="Calibri"/>
        <family val="2"/>
        <scheme val="minor"/>
      </rPr>
      <t xml:space="preserve"> CRC (distal: rectum and sigmoid colon) </t>
    </r>
    <r>
      <rPr>
        <sz val="10"/>
        <rFont val="Calibri"/>
        <family val="2"/>
        <scheme val="minor"/>
      </rPr>
      <t>and hazard ratio; per 100,000 PY; follow-up until 31/12/2008;
Screening vs control</t>
    </r>
  </si>
  <si>
    <t>618,053 PY;
mean 10.8 years</t>
  </si>
  <si>
    <t>1,220,175 PY;
mean 10.8 years</t>
  </si>
  <si>
    <t>CRC site not specified</t>
  </si>
  <si>
    <r>
      <t xml:space="preserve">Number of people with </t>
    </r>
    <r>
      <rPr>
        <b/>
        <sz val="10"/>
        <rFont val="Calibri"/>
        <family val="2"/>
        <scheme val="minor"/>
      </rPr>
      <t>CRC (distal: rectum and sigmoid colon)</t>
    </r>
    <r>
      <rPr>
        <sz val="10"/>
        <rFont val="Calibri"/>
        <family val="2"/>
        <scheme val="minor"/>
      </rPr>
      <t>; diagnosed up to 31/12/2008</t>
    </r>
  </si>
  <si>
    <t>Table 1 and text: Distal cancers were diagnosed in 1192 people in the control group and in 386 in the intervention group (126 detected at screening).</t>
  </si>
  <si>
    <t xml:space="preserve">The cutoff for follow-up for this analysis was Dec 31,
2008, although cancer registration was not expected to be
complete for the final year.
41 cancers with site not specified were included, 29 in control group and 12 in the intervention group. Only the earliest cancer was counted for patients with more than one cancer.34 patients had both a distal and a proximal cancer (19 synchronous and 15 metachronous): 31 patients in control group and 3 in the intervention group.
</t>
  </si>
  <si>
    <r>
      <t>Absolute incidence of</t>
    </r>
    <r>
      <rPr>
        <b/>
        <sz val="10"/>
        <rFont val="Calibri"/>
        <family val="2"/>
        <scheme val="minor"/>
      </rPr>
      <t xml:space="preserve"> CRC (proximal) </t>
    </r>
    <r>
      <rPr>
        <sz val="10"/>
        <rFont val="Calibri"/>
        <family val="2"/>
        <scheme val="minor"/>
      </rPr>
      <t>and hazard ratio; per 100,000 PY; follow-up until 31/12/2008;
Screening vs control</t>
    </r>
  </si>
  <si>
    <t>618,962 PY;
mean 10.8 years</t>
  </si>
  <si>
    <t>1,222,639 PY;
mean 10.8 years</t>
  </si>
  <si>
    <r>
      <t xml:space="preserve">Number of people with </t>
    </r>
    <r>
      <rPr>
        <b/>
        <sz val="10"/>
        <rFont val="Calibri"/>
        <family val="2"/>
        <scheme val="minor"/>
      </rPr>
      <t>CRC (proximal)</t>
    </r>
    <r>
      <rPr>
        <sz val="10"/>
        <rFont val="Calibri"/>
        <family val="2"/>
        <scheme val="minor"/>
      </rPr>
      <t>; diagnosed up to 31/12/2008</t>
    </r>
  </si>
  <si>
    <t>Table 1 and text: Proximal cancers were diagnosed in 628 people in the control group and in 311 people in the intervention group
(14 detected at screening).</t>
  </si>
  <si>
    <r>
      <t>Absolute incidence of</t>
    </r>
    <r>
      <rPr>
        <b/>
        <sz val="10"/>
        <rFont val="Calibri"/>
        <family val="2"/>
        <scheme val="minor"/>
      </rPr>
      <t xml:space="preserve"> CRC (all sites) </t>
    </r>
    <r>
      <rPr>
        <sz val="10"/>
        <rFont val="Calibri"/>
        <family val="2"/>
        <scheme val="minor"/>
      </rPr>
      <t>and hazard ratio; per 100,000 PY; follow-up until 31/12/2014;
Screening vs control</t>
    </r>
  </si>
  <si>
    <t>National sources (English, Welsh and Scottish cancer registries, National Health Service [NHS] Digital, NHS National Services Scotland [NSS], the NHS Central Register [NHSCR] and the Office for National Statistics [ONS]).</t>
  </si>
  <si>
    <r>
      <t xml:space="preserve">Number of people with </t>
    </r>
    <r>
      <rPr>
        <b/>
        <sz val="10"/>
        <rFont val="Calibri"/>
        <family val="2"/>
        <scheme val="minor"/>
      </rPr>
      <t>CRC (all sites)</t>
    </r>
    <r>
      <rPr>
        <sz val="10"/>
        <rFont val="Calibri"/>
        <family val="2"/>
        <scheme val="minor"/>
      </rPr>
      <t>; diagnosed up to 31/12/2014</t>
    </r>
  </si>
  <si>
    <t>Table 2 and text: During screening and subsequent follow-up,
4483 people were diagnosed with colorectal cancer (3253 in the control group and 1230 in the intervention group)… In an intention-to-treat analysis, the incidence of all-site colorectal cancer was reduced by 26% (HR 0·74 [95% CI 0·70–0·80] p&lt;0·0001...</t>
  </si>
  <si>
    <t>108 cancers of unspecified site were included, 72 in the control group and 36 in the invited to screening group; only the earliest cancer was counted for patients with more than one cancer.</t>
  </si>
  <si>
    <r>
      <t>Absolute incidence of</t>
    </r>
    <r>
      <rPr>
        <b/>
        <sz val="10"/>
        <rFont val="Calibri"/>
        <family val="2"/>
        <scheme val="minor"/>
      </rPr>
      <t xml:space="preserve"> CRC (distal: rectum and sigmoid colon) </t>
    </r>
    <r>
      <rPr>
        <sz val="10"/>
        <rFont val="Calibri"/>
        <family val="2"/>
        <scheme val="minor"/>
      </rPr>
      <t>and hazard ratio; per 100,000 PY; follow-up until 31/12/2014;
Screening vs control</t>
    </r>
  </si>
  <si>
    <r>
      <t xml:space="preserve">Number of people with </t>
    </r>
    <r>
      <rPr>
        <b/>
        <sz val="10"/>
        <rFont val="Calibri"/>
        <family val="2"/>
        <scheme val="minor"/>
      </rPr>
      <t>CRC (distal: rectum and sigmoid colon)</t>
    </r>
    <r>
      <rPr>
        <sz val="10"/>
        <rFont val="Calibri"/>
        <family val="2"/>
        <scheme val="minor"/>
      </rPr>
      <t>; diagnosed up to 31/12/2014</t>
    </r>
  </si>
  <si>
    <t>Table 2 and text: Distal colorectal cancers were diagnosed in
1987 people in the control group and 592 in the intervention group, of which 126 were detected at screening… and distal
colorectal cancer incidence was reduced by 41% (0·59 [0·54–0·64]; p&lt;0·0001; table 2, figure 1C) in those invited to screening.</t>
  </si>
  <si>
    <t>71 patients had both a distal and a proximal cancer (30 were synchronous and 41 were metachronous): 61 patients were in the control group and 10 were in the invited to screening group.</t>
  </si>
  <si>
    <r>
      <t>Absolute incidence of</t>
    </r>
    <r>
      <rPr>
        <b/>
        <sz val="10"/>
        <rFont val="Calibri"/>
        <family val="2"/>
        <scheme val="minor"/>
      </rPr>
      <t xml:space="preserve"> CRC (proximal) </t>
    </r>
    <r>
      <rPr>
        <sz val="10"/>
        <rFont val="Calibri"/>
        <family val="2"/>
        <scheme val="minor"/>
      </rPr>
      <t>and hazard ratio; per 100,000 PY; follow-up until 31/12/2014;
Screening vs control</t>
    </r>
  </si>
  <si>
    <r>
      <t xml:space="preserve">Number of people with </t>
    </r>
    <r>
      <rPr>
        <b/>
        <sz val="10"/>
        <rFont val="Calibri"/>
        <family val="2"/>
        <scheme val="minor"/>
      </rPr>
      <t>CRC (proximal)</t>
    </r>
    <r>
      <rPr>
        <sz val="10"/>
        <rFont val="Calibri"/>
        <family val="2"/>
        <scheme val="minor"/>
      </rPr>
      <t>; diagnosed up to 31/12/2014</t>
    </r>
  </si>
  <si>
    <t>Table 2 and text: Proximal colon cancers were diagnosed in
1255 people in the control group and 612 in the intervention group, with 14 detected at screening… No significant effect on proximal colon cancer incidence was noted (HR 0·96 [95% CI
0·87–1·06]; p=0·436...</t>
  </si>
  <si>
    <r>
      <t>Absolute incidence of</t>
    </r>
    <r>
      <rPr>
        <b/>
        <sz val="10"/>
        <rFont val="Calibri"/>
        <family val="2"/>
        <scheme val="minor"/>
      </rPr>
      <t xml:space="preserve"> CRC (all sites)</t>
    </r>
    <r>
      <rPr>
        <sz val="10"/>
        <rFont val="Calibri"/>
        <family val="2"/>
        <scheme val="minor"/>
      </rPr>
      <t>; per 1,000; follow-up until 31/12/2014;
Screening vs control</t>
    </r>
  </si>
  <si>
    <r>
      <t>Absolute incidence of</t>
    </r>
    <r>
      <rPr>
        <b/>
        <sz val="10"/>
        <rFont val="Calibri"/>
        <family val="2"/>
        <scheme val="minor"/>
      </rPr>
      <t xml:space="preserve"> CRC (all sites)</t>
    </r>
    <r>
      <rPr>
        <sz val="10"/>
        <rFont val="Calibri"/>
        <family val="2"/>
        <scheme val="minor"/>
      </rPr>
      <t>; per 1,000</t>
    </r>
    <r>
      <rPr>
        <b/>
        <sz val="10"/>
        <rFont val="Calibri"/>
        <family val="2"/>
        <scheme val="minor"/>
      </rPr>
      <t xml:space="preserve"> men</t>
    </r>
    <r>
      <rPr>
        <sz val="10"/>
        <rFont val="Calibri"/>
        <family val="2"/>
        <scheme val="minor"/>
      </rPr>
      <t>; follow-up until 31/12/2014;
Screening vs control</t>
    </r>
  </si>
  <si>
    <r>
      <t xml:space="preserve">Number of people with </t>
    </r>
    <r>
      <rPr>
        <b/>
        <sz val="10"/>
        <rFont val="Calibri"/>
        <family val="2"/>
        <scheme val="minor"/>
      </rPr>
      <t>CRC (all sites) in men</t>
    </r>
    <r>
      <rPr>
        <sz val="10"/>
        <rFont val="Calibri"/>
        <family val="2"/>
        <scheme val="minor"/>
      </rPr>
      <t>; diagnosed up to 31/12/2014</t>
    </r>
  </si>
  <si>
    <r>
      <t xml:space="preserve">Number of </t>
    </r>
    <r>
      <rPr>
        <b/>
        <sz val="10"/>
        <rFont val="Calibri"/>
        <family val="2"/>
        <scheme val="minor"/>
      </rPr>
      <t>men</t>
    </r>
    <r>
      <rPr>
        <sz val="10"/>
        <rFont val="Calibri"/>
        <family val="2"/>
        <scheme val="minor"/>
      </rPr>
      <t xml:space="preserve"> analysed, by arm</t>
    </r>
  </si>
  <si>
    <r>
      <t>Absolute incidence of</t>
    </r>
    <r>
      <rPr>
        <b/>
        <sz val="10"/>
        <rFont val="Calibri"/>
        <family val="2"/>
        <scheme val="minor"/>
      </rPr>
      <t xml:space="preserve"> CRC (all sites)</t>
    </r>
    <r>
      <rPr>
        <sz val="10"/>
        <rFont val="Calibri"/>
        <family val="2"/>
        <scheme val="minor"/>
      </rPr>
      <t>; per 100,000</t>
    </r>
    <r>
      <rPr>
        <b/>
        <sz val="10"/>
        <rFont val="Calibri"/>
        <family val="2"/>
        <scheme val="minor"/>
      </rPr>
      <t xml:space="preserve"> men-years</t>
    </r>
    <r>
      <rPr>
        <sz val="10"/>
        <rFont val="Calibri"/>
        <family val="2"/>
        <scheme val="minor"/>
      </rPr>
      <t>; hazard ratio; follow-up until 31/12/2014;
Screening vs control</t>
    </r>
  </si>
  <si>
    <r>
      <t>Person-years in</t>
    </r>
    <r>
      <rPr>
        <b/>
        <sz val="10"/>
        <rFont val="Calibri"/>
        <family val="2"/>
        <scheme val="minor"/>
      </rPr>
      <t xml:space="preserve"> men</t>
    </r>
    <r>
      <rPr>
        <sz val="10"/>
        <rFont val="Calibri"/>
        <family val="2"/>
        <scheme val="minor"/>
      </rPr>
      <t xml:space="preserve"> (up to 31/12/2014), by arm</t>
    </r>
  </si>
  <si>
    <t>Table 5 and text: ...whereas the reduction in all-site
colorectal cancer incidence was less in women than in
men in both intention-to-treat (19% vs 30%, p=0·0467)…</t>
  </si>
  <si>
    <r>
      <t>Absolute incidence of</t>
    </r>
    <r>
      <rPr>
        <b/>
        <sz val="10"/>
        <rFont val="Calibri"/>
        <family val="2"/>
        <scheme val="minor"/>
      </rPr>
      <t xml:space="preserve"> CRC (all sites)</t>
    </r>
    <r>
      <rPr>
        <sz val="10"/>
        <rFont val="Calibri"/>
        <family val="2"/>
        <scheme val="minor"/>
      </rPr>
      <t>; per 1,000</t>
    </r>
    <r>
      <rPr>
        <b/>
        <sz val="10"/>
        <rFont val="Calibri"/>
        <family val="2"/>
        <scheme val="minor"/>
      </rPr>
      <t xml:space="preserve"> women</t>
    </r>
    <r>
      <rPr>
        <sz val="10"/>
        <rFont val="Calibri"/>
        <family val="2"/>
        <scheme val="minor"/>
      </rPr>
      <t>; follow-up until 31/12/2014;
Screening vs control</t>
    </r>
  </si>
  <si>
    <r>
      <t xml:space="preserve">Number of people with </t>
    </r>
    <r>
      <rPr>
        <b/>
        <sz val="10"/>
        <rFont val="Calibri"/>
        <family val="2"/>
        <scheme val="minor"/>
      </rPr>
      <t>CRC (all sites) in women</t>
    </r>
    <r>
      <rPr>
        <sz val="10"/>
        <rFont val="Calibri"/>
        <family val="2"/>
        <scheme val="minor"/>
      </rPr>
      <t>; diagnosed up to 31/12/2014</t>
    </r>
  </si>
  <si>
    <r>
      <t xml:space="preserve">Number of </t>
    </r>
    <r>
      <rPr>
        <b/>
        <sz val="10"/>
        <rFont val="Calibri"/>
        <family val="2"/>
        <scheme val="minor"/>
      </rPr>
      <t>women</t>
    </r>
    <r>
      <rPr>
        <sz val="10"/>
        <rFont val="Calibri"/>
        <family val="2"/>
        <scheme val="minor"/>
      </rPr>
      <t xml:space="preserve"> analysed, by arm</t>
    </r>
  </si>
  <si>
    <r>
      <t>Absolute incidence of</t>
    </r>
    <r>
      <rPr>
        <b/>
        <sz val="10"/>
        <rFont val="Calibri"/>
        <family val="2"/>
        <scheme val="minor"/>
      </rPr>
      <t xml:space="preserve"> CRC (all sites)</t>
    </r>
    <r>
      <rPr>
        <sz val="10"/>
        <rFont val="Calibri"/>
        <family val="2"/>
        <scheme val="minor"/>
      </rPr>
      <t>; per 100,000</t>
    </r>
    <r>
      <rPr>
        <b/>
        <sz val="10"/>
        <rFont val="Calibri"/>
        <family val="2"/>
        <scheme val="minor"/>
      </rPr>
      <t xml:space="preserve"> women-years</t>
    </r>
    <r>
      <rPr>
        <sz val="10"/>
        <rFont val="Calibri"/>
        <family val="2"/>
        <scheme val="minor"/>
      </rPr>
      <t>; hazard ratio; follow-up until 31/12/2014;
Screening vs control</t>
    </r>
  </si>
  <si>
    <r>
      <t>Person-years in</t>
    </r>
    <r>
      <rPr>
        <b/>
        <sz val="10"/>
        <rFont val="Calibri"/>
        <family val="2"/>
        <scheme val="minor"/>
      </rPr>
      <t xml:space="preserve"> women</t>
    </r>
    <r>
      <rPr>
        <sz val="10"/>
        <rFont val="Calibri"/>
        <family val="2"/>
        <scheme val="minor"/>
      </rPr>
      <t xml:space="preserve"> (up to 31/12/2014), by arm</t>
    </r>
  </si>
  <si>
    <r>
      <t>Absolute incidence of</t>
    </r>
    <r>
      <rPr>
        <b/>
        <sz val="10"/>
        <rFont val="Calibri"/>
        <family val="2"/>
        <scheme val="minor"/>
      </rPr>
      <t xml:space="preserve"> CRC (all sites)</t>
    </r>
    <r>
      <rPr>
        <sz val="10"/>
        <rFont val="Calibri"/>
        <family val="2"/>
        <scheme val="minor"/>
      </rPr>
      <t xml:space="preserve">; per 1,000 </t>
    </r>
    <r>
      <rPr>
        <b/>
        <sz val="10"/>
        <rFont val="Calibri"/>
        <family val="2"/>
        <scheme val="minor"/>
      </rPr>
      <t>aged 55-59 years</t>
    </r>
    <r>
      <rPr>
        <sz val="10"/>
        <rFont val="Calibri"/>
        <family val="2"/>
        <scheme val="minor"/>
      </rPr>
      <t>; follow-up until 31/12/2014;
Screening vs control</t>
    </r>
  </si>
  <si>
    <r>
      <t xml:space="preserve">Number of people with </t>
    </r>
    <r>
      <rPr>
        <b/>
        <sz val="10"/>
        <rFont val="Calibri"/>
        <family val="2"/>
        <scheme val="minor"/>
      </rPr>
      <t>CRC (all sites) in people aged 55-59 years</t>
    </r>
    <r>
      <rPr>
        <sz val="10"/>
        <rFont val="Calibri"/>
        <family val="2"/>
        <scheme val="minor"/>
      </rPr>
      <t>; diagnosed up to 31/12/2014</t>
    </r>
  </si>
  <si>
    <r>
      <t xml:space="preserve">Number of </t>
    </r>
    <r>
      <rPr>
        <b/>
        <sz val="10"/>
        <rFont val="Calibri"/>
        <family val="2"/>
        <scheme val="minor"/>
      </rPr>
      <t>people aged 55-59 years</t>
    </r>
    <r>
      <rPr>
        <sz val="10"/>
        <rFont val="Calibri"/>
        <family val="2"/>
        <scheme val="minor"/>
      </rPr>
      <t xml:space="preserve"> analysed; by arm</t>
    </r>
  </si>
  <si>
    <r>
      <t>Absolute incidence of</t>
    </r>
    <r>
      <rPr>
        <b/>
        <sz val="10"/>
        <rFont val="Calibri"/>
        <family val="2"/>
        <scheme val="minor"/>
      </rPr>
      <t xml:space="preserve"> CRC (all sites)</t>
    </r>
    <r>
      <rPr>
        <sz val="10"/>
        <rFont val="Calibri"/>
        <family val="2"/>
        <scheme val="minor"/>
      </rPr>
      <t xml:space="preserve"> in people </t>
    </r>
    <r>
      <rPr>
        <b/>
        <sz val="10"/>
        <rFont val="Calibri"/>
        <family val="2"/>
        <scheme val="minor"/>
      </rPr>
      <t>aged 55-59 years</t>
    </r>
    <r>
      <rPr>
        <sz val="10"/>
        <rFont val="Calibri"/>
        <family val="2"/>
        <scheme val="minor"/>
      </rPr>
      <t>; per 100,000 PY; hazard ratio follow-up until 31/12/2014;
Screening vs control</t>
    </r>
  </si>
  <si>
    <r>
      <t xml:space="preserve">Person-years in people </t>
    </r>
    <r>
      <rPr>
        <b/>
        <sz val="10"/>
        <rFont val="Calibri"/>
        <family val="2"/>
        <scheme val="minor"/>
      </rPr>
      <t>aged 55-59 years</t>
    </r>
    <r>
      <rPr>
        <sz val="10"/>
        <rFont val="Calibri"/>
        <family val="2"/>
        <scheme val="minor"/>
      </rPr>
      <t>; by arm</t>
    </r>
  </si>
  <si>
    <t>Table 5 and text: ...risk for all-site colorectal cancer was 26% lower in those offered screening aged 55–59 years compared with 25% lower in those aged 60–64 years (p=0·840);…</t>
  </si>
  <si>
    <r>
      <t>Absolute incidence of</t>
    </r>
    <r>
      <rPr>
        <b/>
        <sz val="10"/>
        <rFont val="Calibri"/>
        <family val="2"/>
        <scheme val="minor"/>
      </rPr>
      <t xml:space="preserve"> CRC (all sites)</t>
    </r>
    <r>
      <rPr>
        <sz val="10"/>
        <rFont val="Calibri"/>
        <family val="2"/>
        <scheme val="minor"/>
      </rPr>
      <t>; per 1,000</t>
    </r>
    <r>
      <rPr>
        <b/>
        <sz val="10"/>
        <rFont val="Calibri"/>
        <family val="2"/>
        <scheme val="minor"/>
      </rPr>
      <t xml:space="preserve"> aged 60-64 years</t>
    </r>
    <r>
      <rPr>
        <sz val="10"/>
        <rFont val="Calibri"/>
        <family val="2"/>
        <scheme val="minor"/>
      </rPr>
      <t>; follow-up until 31/12/2014;
Screening vs control</t>
    </r>
  </si>
  <si>
    <r>
      <t xml:space="preserve">Number of people with </t>
    </r>
    <r>
      <rPr>
        <b/>
        <sz val="10"/>
        <rFont val="Calibri"/>
        <family val="2"/>
        <scheme val="minor"/>
      </rPr>
      <t>CRC (all sites) in people aged 60-64 years</t>
    </r>
    <r>
      <rPr>
        <sz val="10"/>
        <rFont val="Calibri"/>
        <family val="2"/>
        <scheme val="minor"/>
      </rPr>
      <t>; diagnosed up to 31/12/2014</t>
    </r>
  </si>
  <si>
    <r>
      <t xml:space="preserve">Number of </t>
    </r>
    <r>
      <rPr>
        <b/>
        <sz val="10"/>
        <rFont val="Calibri"/>
        <family val="2"/>
        <scheme val="minor"/>
      </rPr>
      <t>people aged 60-64 years</t>
    </r>
    <r>
      <rPr>
        <sz val="10"/>
        <rFont val="Calibri"/>
        <family val="2"/>
        <scheme val="minor"/>
      </rPr>
      <t xml:space="preserve"> analysed; by arm</t>
    </r>
  </si>
  <si>
    <r>
      <t>Absolute incidence of</t>
    </r>
    <r>
      <rPr>
        <b/>
        <sz val="10"/>
        <rFont val="Calibri"/>
        <family val="2"/>
        <scheme val="minor"/>
      </rPr>
      <t xml:space="preserve"> CRC (all sites) </t>
    </r>
    <r>
      <rPr>
        <sz val="10"/>
        <rFont val="Calibri"/>
        <family val="2"/>
        <scheme val="minor"/>
      </rPr>
      <t>in people</t>
    </r>
    <r>
      <rPr>
        <b/>
        <sz val="10"/>
        <rFont val="Calibri"/>
        <family val="2"/>
        <scheme val="minor"/>
      </rPr>
      <t xml:space="preserve"> aged 60-64 years</t>
    </r>
    <r>
      <rPr>
        <sz val="10"/>
        <rFont val="Calibri"/>
        <family val="2"/>
        <scheme val="minor"/>
      </rPr>
      <t>; per 100,000 PY; hazard ratio; follow-up until 31/12/2014;
Screening vs control</t>
    </r>
  </si>
  <si>
    <r>
      <t xml:space="preserve">Person-years in people </t>
    </r>
    <r>
      <rPr>
        <b/>
        <sz val="10"/>
        <rFont val="Calibri"/>
        <family val="2"/>
        <scheme val="minor"/>
      </rPr>
      <t>aged 60-64 years</t>
    </r>
    <r>
      <rPr>
        <sz val="10"/>
        <rFont val="Calibri"/>
        <family val="2"/>
        <scheme val="minor"/>
      </rPr>
      <t>; by arm</t>
    </r>
  </si>
  <si>
    <r>
      <t>Absolute incidence of</t>
    </r>
    <r>
      <rPr>
        <b/>
        <sz val="10"/>
        <rFont val="Calibri"/>
        <family val="2"/>
        <scheme val="minor"/>
      </rPr>
      <t xml:space="preserve"> CRC (distal)</t>
    </r>
    <r>
      <rPr>
        <sz val="10"/>
        <rFont val="Calibri"/>
        <family val="2"/>
        <scheme val="minor"/>
      </rPr>
      <t>; per 100,000</t>
    </r>
    <r>
      <rPr>
        <b/>
        <sz val="10"/>
        <rFont val="Calibri"/>
        <family val="2"/>
        <scheme val="minor"/>
      </rPr>
      <t xml:space="preserve"> men-years</t>
    </r>
    <r>
      <rPr>
        <sz val="10"/>
        <rFont val="Calibri"/>
        <family val="2"/>
        <scheme val="minor"/>
      </rPr>
      <t>; hazard ratio; follow-up until 31/12/2014;
Screening vs control</t>
    </r>
  </si>
  <si>
    <r>
      <t xml:space="preserve">Number of people with </t>
    </r>
    <r>
      <rPr>
        <b/>
        <sz val="10"/>
        <rFont val="Calibri"/>
        <family val="2"/>
        <scheme val="minor"/>
      </rPr>
      <t>distal CRC in men</t>
    </r>
    <r>
      <rPr>
        <sz val="10"/>
        <rFont val="Calibri"/>
        <family val="2"/>
        <scheme val="minor"/>
      </rPr>
      <t>; diagnosed up to 31/12/2014</t>
    </r>
  </si>
  <si>
    <t>Table 5 and text: The effect of flexible sigmoidoscopy in reducing distal colorectal cancer incidence did not differ between men
and women in either intention-to-treat (42% vs 40%, respectively)...</t>
  </si>
  <si>
    <r>
      <t>Absolute incidence of</t>
    </r>
    <r>
      <rPr>
        <b/>
        <sz val="10"/>
        <rFont val="Calibri"/>
        <family val="2"/>
        <scheme val="minor"/>
      </rPr>
      <t xml:space="preserve"> CRC (distal)</t>
    </r>
    <r>
      <rPr>
        <sz val="10"/>
        <rFont val="Calibri"/>
        <family val="2"/>
        <scheme val="minor"/>
      </rPr>
      <t>; per 100,000</t>
    </r>
    <r>
      <rPr>
        <b/>
        <sz val="10"/>
        <rFont val="Calibri"/>
        <family val="2"/>
        <scheme val="minor"/>
      </rPr>
      <t xml:space="preserve"> women-years</t>
    </r>
    <r>
      <rPr>
        <sz val="10"/>
        <rFont val="Calibri"/>
        <family val="2"/>
        <scheme val="minor"/>
      </rPr>
      <t>; hazard ratio; follow-up until 31/12/2014;
Screening vs control</t>
    </r>
  </si>
  <si>
    <r>
      <t xml:space="preserve">Number of people with </t>
    </r>
    <r>
      <rPr>
        <b/>
        <sz val="10"/>
        <rFont val="Calibri"/>
        <family val="2"/>
        <scheme val="minor"/>
      </rPr>
      <t>distal CRC in women</t>
    </r>
    <r>
      <rPr>
        <sz val="10"/>
        <rFont val="Calibri"/>
        <family val="2"/>
        <scheme val="minor"/>
      </rPr>
      <t>; diagnosed up to 31/12/2014</t>
    </r>
  </si>
  <si>
    <r>
      <t>Absolute incidence of</t>
    </r>
    <r>
      <rPr>
        <b/>
        <sz val="10"/>
        <rFont val="Calibri"/>
        <family val="2"/>
        <scheme val="minor"/>
      </rPr>
      <t xml:space="preserve"> CRC (distal)</t>
    </r>
    <r>
      <rPr>
        <sz val="10"/>
        <rFont val="Calibri"/>
        <family val="2"/>
        <scheme val="minor"/>
      </rPr>
      <t xml:space="preserve"> in people </t>
    </r>
    <r>
      <rPr>
        <b/>
        <sz val="10"/>
        <rFont val="Calibri"/>
        <family val="2"/>
        <scheme val="minor"/>
      </rPr>
      <t>aged 55-59 years</t>
    </r>
    <r>
      <rPr>
        <sz val="10"/>
        <rFont val="Calibri"/>
        <family val="2"/>
        <scheme val="minor"/>
      </rPr>
      <t>; per 100,000 PY; hazard ratio follow-up until 31/12/2014;
Screening vs control</t>
    </r>
  </si>
  <si>
    <r>
      <t xml:space="preserve">Number of people with </t>
    </r>
    <r>
      <rPr>
        <b/>
        <sz val="10"/>
        <rFont val="Calibri"/>
        <family val="2"/>
        <scheme val="minor"/>
      </rPr>
      <t>distal</t>
    </r>
    <r>
      <rPr>
        <sz val="10"/>
        <rFont val="Calibri"/>
        <family val="2"/>
        <scheme val="minor"/>
      </rPr>
      <t xml:space="preserve"> </t>
    </r>
    <r>
      <rPr>
        <b/>
        <sz val="10"/>
        <rFont val="Calibri"/>
        <family val="2"/>
        <scheme val="minor"/>
      </rPr>
      <t>CRC in people aged 55-59 years</t>
    </r>
    <r>
      <rPr>
        <sz val="10"/>
        <rFont val="Calibri"/>
        <family val="2"/>
        <scheme val="minor"/>
      </rPr>
      <t>; diagnosed up to 31/12/2014</t>
    </r>
  </si>
  <si>
    <t>Table 5 and text: … for distal cancer, the risks were
44% lower in the younger age group and 39% lower in
the older age group (p=0·344).</t>
  </si>
  <si>
    <r>
      <t>Absolute incidence of</t>
    </r>
    <r>
      <rPr>
        <b/>
        <sz val="10"/>
        <rFont val="Calibri"/>
        <family val="2"/>
        <scheme val="minor"/>
      </rPr>
      <t xml:space="preserve"> CRC (distal) </t>
    </r>
    <r>
      <rPr>
        <sz val="10"/>
        <rFont val="Calibri"/>
        <family val="2"/>
        <scheme val="minor"/>
      </rPr>
      <t>in people</t>
    </r>
    <r>
      <rPr>
        <b/>
        <sz val="10"/>
        <rFont val="Calibri"/>
        <family val="2"/>
        <scheme val="minor"/>
      </rPr>
      <t xml:space="preserve"> aged 60-64 years</t>
    </r>
    <r>
      <rPr>
        <sz val="10"/>
        <rFont val="Calibri"/>
        <family val="2"/>
        <scheme val="minor"/>
      </rPr>
      <t>; per 100,000 PY; hazard ratio; follow-up until 31/12/2014;
Screening vs control</t>
    </r>
  </si>
  <si>
    <r>
      <t xml:space="preserve">Number of people with </t>
    </r>
    <r>
      <rPr>
        <b/>
        <sz val="10"/>
        <rFont val="Calibri"/>
        <family val="2"/>
        <scheme val="minor"/>
      </rPr>
      <t>distal CRC in people aged 60-64 years</t>
    </r>
    <r>
      <rPr>
        <sz val="10"/>
        <rFont val="Calibri"/>
        <family val="2"/>
        <scheme val="minor"/>
      </rPr>
      <t>; diagnosed up to 31/12/2014</t>
    </r>
  </si>
  <si>
    <r>
      <t>Absolute incidence of</t>
    </r>
    <r>
      <rPr>
        <b/>
        <sz val="10"/>
        <rFont val="Calibri"/>
        <family val="2"/>
        <scheme val="minor"/>
      </rPr>
      <t xml:space="preserve"> CRC (proximal)</t>
    </r>
    <r>
      <rPr>
        <sz val="10"/>
        <rFont val="Calibri"/>
        <family val="2"/>
        <scheme val="minor"/>
      </rPr>
      <t>; per 100,000</t>
    </r>
    <r>
      <rPr>
        <b/>
        <sz val="10"/>
        <rFont val="Calibri"/>
        <family val="2"/>
        <scheme val="minor"/>
      </rPr>
      <t xml:space="preserve"> men-years</t>
    </r>
    <r>
      <rPr>
        <sz val="10"/>
        <rFont val="Calibri"/>
        <family val="2"/>
        <scheme val="minor"/>
      </rPr>
      <t>; hazard ratio; follow-up until 31/12/2014;
Screening vs control</t>
    </r>
  </si>
  <si>
    <r>
      <t xml:space="preserve">Number of people with </t>
    </r>
    <r>
      <rPr>
        <b/>
        <sz val="10"/>
        <rFont val="Calibri"/>
        <family val="2"/>
        <scheme val="minor"/>
      </rPr>
      <t>proximal CRC in men</t>
    </r>
    <r>
      <rPr>
        <sz val="10"/>
        <rFont val="Calibri"/>
        <family val="2"/>
        <scheme val="minor"/>
      </rPr>
      <t>; diagnosed up to 31/12/2014</t>
    </r>
  </si>
  <si>
    <t>Table 5 and text: Flexible sigmoidoscopy had no significant effect on proximal colon cancer incidence in either men or women…</t>
  </si>
  <si>
    <r>
      <t>Absolute incidence of</t>
    </r>
    <r>
      <rPr>
        <b/>
        <sz val="10"/>
        <rFont val="Calibri"/>
        <family val="2"/>
        <scheme val="minor"/>
      </rPr>
      <t xml:space="preserve"> CRC (proximal)</t>
    </r>
    <r>
      <rPr>
        <sz val="10"/>
        <rFont val="Calibri"/>
        <family val="2"/>
        <scheme val="minor"/>
      </rPr>
      <t>; per 100,000</t>
    </r>
    <r>
      <rPr>
        <b/>
        <sz val="10"/>
        <rFont val="Calibri"/>
        <family val="2"/>
        <scheme val="minor"/>
      </rPr>
      <t xml:space="preserve"> women-years</t>
    </r>
    <r>
      <rPr>
        <sz val="10"/>
        <rFont val="Calibri"/>
        <family val="2"/>
        <scheme val="minor"/>
      </rPr>
      <t>; hazard ratio; follow-up until 31/12/2014;
Screening vs control</t>
    </r>
  </si>
  <si>
    <r>
      <t xml:space="preserve">Number of people with </t>
    </r>
    <r>
      <rPr>
        <b/>
        <sz val="10"/>
        <rFont val="Calibri"/>
        <family val="2"/>
        <scheme val="minor"/>
      </rPr>
      <t>proximal CRC in women</t>
    </r>
    <r>
      <rPr>
        <sz val="10"/>
        <rFont val="Calibri"/>
        <family val="2"/>
        <scheme val="minor"/>
      </rPr>
      <t>; diagnosed up to 31/12/2014</t>
    </r>
  </si>
  <si>
    <r>
      <t>Absolute incidence of</t>
    </r>
    <r>
      <rPr>
        <b/>
        <sz val="10"/>
        <rFont val="Calibri"/>
        <family val="2"/>
        <scheme val="minor"/>
      </rPr>
      <t xml:space="preserve"> CRC (proximal)</t>
    </r>
    <r>
      <rPr>
        <sz val="10"/>
        <rFont val="Calibri"/>
        <family val="2"/>
        <scheme val="minor"/>
      </rPr>
      <t xml:space="preserve"> in people </t>
    </r>
    <r>
      <rPr>
        <b/>
        <sz val="10"/>
        <rFont val="Calibri"/>
        <family val="2"/>
        <scheme val="minor"/>
      </rPr>
      <t>aged 55-59 years</t>
    </r>
    <r>
      <rPr>
        <sz val="10"/>
        <rFont val="Calibri"/>
        <family val="2"/>
        <scheme val="minor"/>
      </rPr>
      <t>; per 100,000 PY; hazard ratio follow-up until 31/12/2014;
Screening vs control</t>
    </r>
  </si>
  <si>
    <r>
      <t xml:space="preserve">Number of people with </t>
    </r>
    <r>
      <rPr>
        <b/>
        <sz val="10"/>
        <rFont val="Calibri"/>
        <family val="2"/>
        <scheme val="minor"/>
      </rPr>
      <t>proximal CRC in people aged 55-59 years</t>
    </r>
    <r>
      <rPr>
        <sz val="10"/>
        <rFont val="Calibri"/>
        <family val="2"/>
        <scheme val="minor"/>
      </rPr>
      <t>; diagnosed up to 31/12/2014</t>
    </r>
  </si>
  <si>
    <r>
      <t>Absolute incidence of</t>
    </r>
    <r>
      <rPr>
        <b/>
        <sz val="10"/>
        <rFont val="Calibri"/>
        <family val="2"/>
        <scheme val="minor"/>
      </rPr>
      <t xml:space="preserve"> CRC (proximal) </t>
    </r>
    <r>
      <rPr>
        <sz val="10"/>
        <rFont val="Calibri"/>
        <family val="2"/>
        <scheme val="minor"/>
      </rPr>
      <t>in people</t>
    </r>
    <r>
      <rPr>
        <b/>
        <sz val="10"/>
        <rFont val="Calibri"/>
        <family val="2"/>
        <scheme val="minor"/>
      </rPr>
      <t xml:space="preserve"> aged 60-64 years</t>
    </r>
    <r>
      <rPr>
        <sz val="10"/>
        <rFont val="Calibri"/>
        <family val="2"/>
        <scheme val="minor"/>
      </rPr>
      <t>; per 100,000 PY; hazard ratio; follow-up until 31/12/2014;
Screening vs control</t>
    </r>
  </si>
  <si>
    <r>
      <t xml:space="preserve">Number of people with </t>
    </r>
    <r>
      <rPr>
        <b/>
        <sz val="10"/>
        <rFont val="Calibri"/>
        <family val="2"/>
        <scheme val="minor"/>
      </rPr>
      <t>proximal CRC in people aged 60-64 years</t>
    </r>
    <r>
      <rPr>
        <sz val="10"/>
        <rFont val="Calibri"/>
        <family val="2"/>
        <scheme val="minor"/>
      </rPr>
      <t>; diagnosed up to 31/12/2014</t>
    </r>
  </si>
  <si>
    <t>Diagnostic yield at screening (at least 1 adenoma, detected by main endoscopist at each center); per 100 people analysed; one round of flexible sigmoidoscopy</t>
  </si>
  <si>
    <t>Cancer registries, the National Health Service (NHS) Central Register, NHS Digital, National Services Scotland, and the Office for National Statistics.</t>
  </si>
  <si>
    <t>Number of people with at least 1 adenoma detected by the main endoscopist; 1 screening round</t>
  </si>
  <si>
    <t>Only includes adenomas detected by the main endoscopist at each of the 13 centres.</t>
  </si>
  <si>
    <r>
      <t xml:space="preserve">Diagnostic yield at screening (at least 1 adenoma </t>
    </r>
    <r>
      <rPr>
        <sz val="10"/>
        <rFont val="Calibri"/>
        <family val="2"/>
      </rPr>
      <t>≥10 mm</t>
    </r>
    <r>
      <rPr>
        <sz val="10"/>
        <rFont val="Calibri"/>
        <family val="2"/>
        <scheme val="minor"/>
      </rPr>
      <t>, detected by main endoscopist at each center); per 100 people analysed; one round of flexible sigmoidoscopy</t>
    </r>
  </si>
  <si>
    <t>Number of people with at least 1 adenoma ≥10 mm detected by the main endoscopist; 1 screening round</t>
  </si>
  <si>
    <t>Diagnostic yield at screening (at least 1 advanced adenoma, detected by main endoscopist at each center); per 100 people analysed; one round of flexible sigmoidoscopy</t>
  </si>
  <si>
    <r>
      <t>Number of people with at least 1 advanced adenoma (</t>
    </r>
    <r>
      <rPr>
        <sz val="10"/>
        <rFont val="Calibri"/>
        <family val="2"/>
      </rPr>
      <t>≥</t>
    </r>
    <r>
      <rPr>
        <sz val="10"/>
        <rFont val="Calibri"/>
        <family val="2"/>
        <scheme val="minor"/>
      </rPr>
      <t>10 mm, with villous or tubulovillous histology, or high-grade dysplasia) detected by the main endoscopist; 1 screening round</t>
    </r>
  </si>
  <si>
    <r>
      <t xml:space="preserve">Absolute incidence of </t>
    </r>
    <r>
      <rPr>
        <b/>
        <sz val="10"/>
        <rFont val="Calibri"/>
        <family val="2"/>
        <scheme val="minor"/>
      </rPr>
      <t>distal CRC</t>
    </r>
    <r>
      <rPr>
        <sz val="10"/>
        <rFont val="Calibri"/>
        <family val="2"/>
        <scheme val="minor"/>
      </rPr>
      <t>; per 100,000 PY; with hazard ratio; follow-up until 31/12/2014;
FS vs control</t>
    </r>
  </si>
  <si>
    <t>Distal CRC</t>
  </si>
  <si>
    <t xml:space="preserve">Median 17·1 years </t>
  </si>
  <si>
    <t>Missing cancer site</t>
  </si>
  <si>
    <r>
      <t xml:space="preserve">Number of people with </t>
    </r>
    <r>
      <rPr>
        <b/>
        <sz val="10"/>
        <rFont val="Calibri"/>
        <family val="2"/>
        <scheme val="minor"/>
      </rPr>
      <t>distal CRC</t>
    </r>
    <r>
      <rPr>
        <sz val="10"/>
        <rFont val="Calibri"/>
        <family val="2"/>
        <scheme val="minor"/>
      </rPr>
      <t xml:space="preserve"> (defined as C18.7, C19, and C20; rectum and sigmoid colon); diagnosed up to 31/12/2014</t>
    </r>
  </si>
  <si>
    <t>Figure 1A and text: Distal CRC incidence and mortality were reduced among those screened compared with controls
in all groups,...</t>
  </si>
  <si>
    <r>
      <t xml:space="preserve">Absolute incidence of </t>
    </r>
    <r>
      <rPr>
        <b/>
        <sz val="10"/>
        <rFont val="Calibri"/>
        <family val="2"/>
        <scheme val="minor"/>
      </rPr>
      <t>all-site CRC</t>
    </r>
    <r>
      <rPr>
        <sz val="10"/>
        <rFont val="Calibri"/>
        <family val="2"/>
        <scheme val="minor"/>
      </rPr>
      <t>; per 100,000 PY; with hazard ratio; follow-up until 31/12/2014;
FS vs control</t>
    </r>
  </si>
  <si>
    <r>
      <t xml:space="preserve">Number of people with CRC </t>
    </r>
    <r>
      <rPr>
        <b/>
        <sz val="10"/>
        <rFont val="Calibri"/>
        <family val="2"/>
        <scheme val="minor"/>
      </rPr>
      <t>(all sites)</t>
    </r>
    <r>
      <rPr>
        <sz val="10"/>
        <rFont val="Calibri"/>
        <family val="2"/>
        <scheme val="minor"/>
      </rPr>
      <t>; diagnosed up to 31/12/2014</t>
    </r>
  </si>
  <si>
    <r>
      <t xml:space="preserve">Absolute incidence of </t>
    </r>
    <r>
      <rPr>
        <b/>
        <sz val="10"/>
        <rFont val="Calibri"/>
        <family val="2"/>
        <scheme val="minor"/>
      </rPr>
      <t xml:space="preserve">distal CRC </t>
    </r>
    <r>
      <rPr>
        <sz val="10"/>
        <rFont val="Calibri"/>
        <family val="2"/>
        <scheme val="minor"/>
      </rPr>
      <t xml:space="preserve">in people </t>
    </r>
    <r>
      <rPr>
        <b/>
        <sz val="10"/>
        <rFont val="Calibri"/>
        <family val="2"/>
        <scheme val="minor"/>
      </rPr>
      <t>aged 55-59 years</t>
    </r>
    <r>
      <rPr>
        <sz val="10"/>
        <rFont val="Calibri"/>
        <family val="2"/>
        <scheme val="minor"/>
      </rPr>
      <t>; per 100,000 PY; with hazard ratio; follow-up until 31/12/2014;
FS vs control</t>
    </r>
  </si>
  <si>
    <r>
      <t xml:space="preserve">Number of people with </t>
    </r>
    <r>
      <rPr>
        <b/>
        <sz val="10"/>
        <rFont val="Calibri"/>
        <family val="2"/>
        <scheme val="minor"/>
      </rPr>
      <t>distal CRC</t>
    </r>
    <r>
      <rPr>
        <sz val="10"/>
        <rFont val="Calibri"/>
        <family val="2"/>
        <scheme val="minor"/>
      </rPr>
      <t xml:space="preserve"> (defined as C18.7, C19, and C20; rectum and sigmoid colon) in people </t>
    </r>
    <r>
      <rPr>
        <b/>
        <sz val="10"/>
        <rFont val="Calibri"/>
        <family val="2"/>
        <scheme val="minor"/>
      </rPr>
      <t>aged 55-59 years</t>
    </r>
    <r>
      <rPr>
        <sz val="10"/>
        <rFont val="Calibri"/>
        <family val="2"/>
        <scheme val="minor"/>
      </rPr>
      <t>; diagnosed up to 31/12/2014</t>
    </r>
  </si>
  <si>
    <r>
      <t xml:space="preserve">Person-years in people </t>
    </r>
    <r>
      <rPr>
        <b/>
        <sz val="10"/>
        <rFont val="Calibri"/>
        <family val="2"/>
        <scheme val="minor"/>
      </rPr>
      <t xml:space="preserve">aged 55-59 years </t>
    </r>
    <r>
      <rPr>
        <sz val="10"/>
        <rFont val="Calibri"/>
        <family val="2"/>
        <scheme val="minor"/>
      </rPr>
      <t>(up to 31/12/2014)</t>
    </r>
  </si>
  <si>
    <r>
      <t xml:space="preserve">Absolute incidence of </t>
    </r>
    <r>
      <rPr>
        <b/>
        <sz val="10"/>
        <rFont val="Calibri"/>
        <family val="2"/>
        <scheme val="minor"/>
      </rPr>
      <t xml:space="preserve">distal CRC </t>
    </r>
    <r>
      <rPr>
        <sz val="10"/>
        <rFont val="Calibri"/>
        <family val="2"/>
        <scheme val="minor"/>
      </rPr>
      <t xml:space="preserve">in people </t>
    </r>
    <r>
      <rPr>
        <b/>
        <sz val="10"/>
        <rFont val="Calibri"/>
        <family val="2"/>
        <scheme val="minor"/>
      </rPr>
      <t>aged 60-64 years</t>
    </r>
    <r>
      <rPr>
        <sz val="10"/>
        <rFont val="Calibri"/>
        <family val="2"/>
        <scheme val="minor"/>
      </rPr>
      <t>; per 100,000 PY; with hazard ratio; follow-up until 31/12/2014;
FS vs control</t>
    </r>
  </si>
  <si>
    <t>13/14 centres;
60-64 years</t>
  </si>
  <si>
    <r>
      <t xml:space="preserve">Number of people with </t>
    </r>
    <r>
      <rPr>
        <b/>
        <sz val="10"/>
        <rFont val="Calibri"/>
        <family val="2"/>
        <scheme val="minor"/>
      </rPr>
      <t>distal CRC</t>
    </r>
    <r>
      <rPr>
        <sz val="10"/>
        <rFont val="Calibri"/>
        <family val="2"/>
        <scheme val="minor"/>
      </rPr>
      <t xml:space="preserve"> (defined as C18.7, C19, and C20; rectum and sigmoid colon) in people </t>
    </r>
    <r>
      <rPr>
        <b/>
        <sz val="10"/>
        <rFont val="Calibri"/>
        <family val="2"/>
        <scheme val="minor"/>
      </rPr>
      <t>aged 60-64 years</t>
    </r>
    <r>
      <rPr>
        <sz val="10"/>
        <rFont val="Calibri"/>
        <family val="2"/>
        <scheme val="minor"/>
      </rPr>
      <t>; diagnosed up to 31/12/2014</t>
    </r>
  </si>
  <si>
    <r>
      <t xml:space="preserve">Person-years in people </t>
    </r>
    <r>
      <rPr>
        <b/>
        <sz val="10"/>
        <rFont val="Calibri"/>
        <family val="2"/>
        <scheme val="minor"/>
      </rPr>
      <t xml:space="preserve">aged 60-64 years </t>
    </r>
    <r>
      <rPr>
        <sz val="10"/>
        <rFont val="Calibri"/>
        <family val="2"/>
        <scheme val="minor"/>
      </rPr>
      <t>(up to 31/12/2014)</t>
    </r>
  </si>
  <si>
    <r>
      <t xml:space="preserve">Absolute incidence of </t>
    </r>
    <r>
      <rPr>
        <b/>
        <sz val="10"/>
        <rFont val="Calibri"/>
        <family val="2"/>
        <scheme val="minor"/>
      </rPr>
      <t xml:space="preserve">distal CRC </t>
    </r>
    <r>
      <rPr>
        <sz val="10"/>
        <rFont val="Calibri"/>
        <family val="2"/>
        <scheme val="minor"/>
      </rPr>
      <t xml:space="preserve">in </t>
    </r>
    <r>
      <rPr>
        <b/>
        <sz val="10"/>
        <rFont val="Calibri"/>
        <family val="2"/>
        <scheme val="minor"/>
      </rPr>
      <t>men</t>
    </r>
    <r>
      <rPr>
        <sz val="10"/>
        <rFont val="Calibri"/>
        <family val="2"/>
        <scheme val="minor"/>
      </rPr>
      <t>; per 100,000 PY; with hazard ratio; follow-up until 31/12/2014;
FS vs control</t>
    </r>
  </si>
  <si>
    <t>13/14 centres;
men</t>
  </si>
  <si>
    <r>
      <t xml:space="preserve">Number of people with </t>
    </r>
    <r>
      <rPr>
        <b/>
        <sz val="10"/>
        <rFont val="Calibri"/>
        <family val="2"/>
        <scheme val="minor"/>
      </rPr>
      <t>distal CRC</t>
    </r>
    <r>
      <rPr>
        <sz val="10"/>
        <rFont val="Calibri"/>
        <family val="2"/>
        <scheme val="minor"/>
      </rPr>
      <t xml:space="preserve"> (defined as C18.7, C19, and C20; rectum and sigmoid colon) in </t>
    </r>
    <r>
      <rPr>
        <b/>
        <sz val="10"/>
        <rFont val="Calibri"/>
        <family val="2"/>
        <scheme val="minor"/>
      </rPr>
      <t>men</t>
    </r>
    <r>
      <rPr>
        <sz val="10"/>
        <rFont val="Calibri"/>
        <family val="2"/>
        <scheme val="minor"/>
      </rPr>
      <t>; diagnosed up to 31/12/2014</t>
    </r>
  </si>
  <si>
    <r>
      <t xml:space="preserve">Person-years in </t>
    </r>
    <r>
      <rPr>
        <b/>
        <sz val="10"/>
        <rFont val="Calibri"/>
        <family val="2"/>
        <scheme val="minor"/>
      </rPr>
      <t xml:space="preserve">men </t>
    </r>
    <r>
      <rPr>
        <sz val="10"/>
        <rFont val="Calibri"/>
        <family val="2"/>
        <scheme val="minor"/>
      </rPr>
      <t>(up to 31/12/2014)</t>
    </r>
  </si>
  <si>
    <r>
      <t xml:space="preserve">Absolute incidence of </t>
    </r>
    <r>
      <rPr>
        <b/>
        <sz val="10"/>
        <rFont val="Calibri"/>
        <family val="2"/>
        <scheme val="minor"/>
      </rPr>
      <t xml:space="preserve">distal CRC </t>
    </r>
    <r>
      <rPr>
        <sz val="10"/>
        <rFont val="Calibri"/>
        <family val="2"/>
        <scheme val="minor"/>
      </rPr>
      <t xml:space="preserve">in </t>
    </r>
    <r>
      <rPr>
        <b/>
        <sz val="10"/>
        <rFont val="Calibri"/>
        <family val="2"/>
        <scheme val="minor"/>
      </rPr>
      <t>women</t>
    </r>
    <r>
      <rPr>
        <sz val="10"/>
        <rFont val="Calibri"/>
        <family val="2"/>
        <scheme val="minor"/>
      </rPr>
      <t>; per 100,000 PY; with hazard ratio; follow-up until 31/12/2014;
FS vs control</t>
    </r>
  </si>
  <si>
    <t>13/14 centres;
women</t>
  </si>
  <si>
    <r>
      <t xml:space="preserve">Number of people with </t>
    </r>
    <r>
      <rPr>
        <b/>
        <sz val="10"/>
        <rFont val="Calibri"/>
        <family val="2"/>
        <scheme val="minor"/>
      </rPr>
      <t>distal CRC</t>
    </r>
    <r>
      <rPr>
        <sz val="10"/>
        <rFont val="Calibri"/>
        <family val="2"/>
        <scheme val="minor"/>
      </rPr>
      <t xml:space="preserve"> (defined as C18.7, C19, and C20; rectum and sigmoid colon) in </t>
    </r>
    <r>
      <rPr>
        <b/>
        <sz val="10"/>
        <rFont val="Calibri"/>
        <family val="2"/>
        <scheme val="minor"/>
      </rPr>
      <t>women</t>
    </r>
    <r>
      <rPr>
        <sz val="10"/>
        <rFont val="Calibri"/>
        <family val="2"/>
        <scheme val="minor"/>
      </rPr>
      <t>; diagnosed up to 31/12/2014</t>
    </r>
  </si>
  <si>
    <r>
      <t xml:space="preserve">Person-years in </t>
    </r>
    <r>
      <rPr>
        <b/>
        <sz val="10"/>
        <rFont val="Calibri"/>
        <family val="2"/>
        <scheme val="minor"/>
      </rPr>
      <t xml:space="preserve">women </t>
    </r>
    <r>
      <rPr>
        <sz val="10"/>
        <rFont val="Calibri"/>
        <family val="2"/>
        <scheme val="minor"/>
      </rPr>
      <t>(up to 31/12/2014)</t>
    </r>
  </si>
  <si>
    <t>Diagnostic yield at screening (at least 1 polyp, detected by main endoscopist at each center); per 100 people analysed; one round of flexible sigmoidoscopy</t>
  </si>
  <si>
    <t>Number of people with at least 1 polyp detected by the main endoscopist; 1 screening round</t>
  </si>
  <si>
    <t>Supplementary Table 1</t>
  </si>
  <si>
    <r>
      <t xml:space="preserve">Diagnostic yield at screening (at least 1 polyp </t>
    </r>
    <r>
      <rPr>
        <sz val="10"/>
        <rFont val="Calibri"/>
        <family val="2"/>
      </rPr>
      <t>≥10 mm</t>
    </r>
    <r>
      <rPr>
        <sz val="10"/>
        <rFont val="Calibri"/>
        <family val="2"/>
        <scheme val="minor"/>
      </rPr>
      <t>, detected by main endoscopist at each center); per 100 people analysed; one round of flexible sigmoidoscopy</t>
    </r>
  </si>
  <si>
    <t>Number of people with at least 1 polyp ≥10 mm detected by the main endoscopist; 1 screening round</t>
  </si>
  <si>
    <r>
      <t>Diagnostic yield at screening in people</t>
    </r>
    <r>
      <rPr>
        <b/>
        <sz val="10"/>
        <rFont val="Calibri"/>
        <family val="2"/>
        <scheme val="minor"/>
      </rPr>
      <t xml:space="preserve"> aged 55-59 years </t>
    </r>
    <r>
      <rPr>
        <sz val="10"/>
        <rFont val="Calibri"/>
        <family val="2"/>
        <scheme val="minor"/>
      </rPr>
      <t>(at least 1 adenoma, detected by main endoscopist at each center); per 100 people analysed; one round of flexible sigmoidoscopy</t>
    </r>
  </si>
  <si>
    <r>
      <t xml:space="preserve">Number of people </t>
    </r>
    <r>
      <rPr>
        <b/>
        <sz val="10"/>
        <rFont val="Calibri"/>
        <family val="2"/>
        <scheme val="minor"/>
      </rPr>
      <t xml:space="preserve">aged 55-59 years </t>
    </r>
    <r>
      <rPr>
        <sz val="10"/>
        <rFont val="Calibri"/>
        <family val="2"/>
        <scheme val="minor"/>
      </rPr>
      <t>with at least 1 adenoma detected by the main endoscopist; 1 screening round</t>
    </r>
  </si>
  <si>
    <r>
      <t xml:space="preserve">Number of people </t>
    </r>
    <r>
      <rPr>
        <b/>
        <sz val="10"/>
        <rFont val="Calibri"/>
        <family val="2"/>
        <scheme val="minor"/>
      </rPr>
      <t xml:space="preserve">aged 55-59 years </t>
    </r>
    <r>
      <rPr>
        <sz val="10"/>
        <rFont val="Calibri"/>
        <family val="2"/>
        <scheme val="minor"/>
      </rPr>
      <t>analysed in screening arm</t>
    </r>
  </si>
  <si>
    <t>Supplementary Table 3</t>
  </si>
  <si>
    <r>
      <t xml:space="preserve">Diagnostic yield at screening in people aged </t>
    </r>
    <r>
      <rPr>
        <b/>
        <sz val="10"/>
        <rFont val="Calibri"/>
        <family val="2"/>
        <scheme val="minor"/>
      </rPr>
      <t>55-59 years</t>
    </r>
    <r>
      <rPr>
        <sz val="10"/>
        <rFont val="Calibri"/>
        <family val="2"/>
        <scheme val="minor"/>
      </rPr>
      <t xml:space="preserve"> (at least 1 adenoma </t>
    </r>
    <r>
      <rPr>
        <sz val="10"/>
        <rFont val="Calibri"/>
        <family val="2"/>
      </rPr>
      <t>≥10 mm</t>
    </r>
    <r>
      <rPr>
        <sz val="10"/>
        <rFont val="Calibri"/>
        <family val="2"/>
        <scheme val="minor"/>
      </rPr>
      <t>, detected by main endoscopist at each center); per 100 people analysed; one round of flexible sigmoidoscopy</t>
    </r>
  </si>
  <si>
    <r>
      <t xml:space="preserve">Number of people </t>
    </r>
    <r>
      <rPr>
        <b/>
        <sz val="10"/>
        <rFont val="Calibri"/>
        <family val="2"/>
        <scheme val="minor"/>
      </rPr>
      <t xml:space="preserve">aged 55-59 years </t>
    </r>
    <r>
      <rPr>
        <sz val="10"/>
        <rFont val="Calibri"/>
        <family val="2"/>
        <scheme val="minor"/>
      </rPr>
      <t>with at least 1 adenoma ≥10 mm detected by the main endoscopist; 1 screening round</t>
    </r>
  </si>
  <si>
    <r>
      <t xml:space="preserve">Diagnostic yield at screening in people aged </t>
    </r>
    <r>
      <rPr>
        <b/>
        <sz val="10"/>
        <rFont val="Calibri"/>
        <family val="2"/>
        <scheme val="minor"/>
      </rPr>
      <t>55-59 years</t>
    </r>
    <r>
      <rPr>
        <sz val="10"/>
        <rFont val="Calibri"/>
        <family val="2"/>
        <scheme val="minor"/>
      </rPr>
      <t xml:space="preserve"> (at least 1 advanced adenoma, detected by main endoscopist at each center); per 100 people analysed; one round of flexible sigmoidoscopy</t>
    </r>
  </si>
  <si>
    <r>
      <t xml:space="preserve">Number of people </t>
    </r>
    <r>
      <rPr>
        <b/>
        <sz val="10"/>
        <rFont val="Calibri"/>
        <family val="2"/>
        <scheme val="minor"/>
      </rPr>
      <t>aged 55-59 years</t>
    </r>
    <r>
      <rPr>
        <sz val="10"/>
        <rFont val="Calibri"/>
        <family val="2"/>
        <scheme val="minor"/>
      </rPr>
      <t xml:space="preserve"> with at least 1 advanced adenoma (</t>
    </r>
    <r>
      <rPr>
        <sz val="10"/>
        <rFont val="Calibri"/>
        <family val="2"/>
      </rPr>
      <t>≥</t>
    </r>
    <r>
      <rPr>
        <sz val="10"/>
        <rFont val="Calibri"/>
        <family val="2"/>
        <scheme val="minor"/>
      </rPr>
      <t>10 mm, with villous or tubulovillous histology, or high-grade dysplasia) detected by the main endoscopist; 1 screening round</t>
    </r>
  </si>
  <si>
    <r>
      <t>Diagnostic yield at screening in people</t>
    </r>
    <r>
      <rPr>
        <b/>
        <sz val="10"/>
        <rFont val="Calibri"/>
        <family val="2"/>
        <scheme val="minor"/>
      </rPr>
      <t xml:space="preserve"> aged 60-64 years </t>
    </r>
    <r>
      <rPr>
        <sz val="10"/>
        <rFont val="Calibri"/>
        <family val="2"/>
        <scheme val="minor"/>
      </rPr>
      <t>(at least 1 adenoma, detected by main endoscopist at each center); per 100 people analysed; one round of flexible sigmoidoscopy</t>
    </r>
  </si>
  <si>
    <r>
      <t xml:space="preserve">Number of people </t>
    </r>
    <r>
      <rPr>
        <b/>
        <sz val="10"/>
        <rFont val="Calibri"/>
        <family val="2"/>
        <scheme val="minor"/>
      </rPr>
      <t xml:space="preserve">aged 60-64 years </t>
    </r>
    <r>
      <rPr>
        <sz val="10"/>
        <rFont val="Calibri"/>
        <family val="2"/>
        <scheme val="minor"/>
      </rPr>
      <t>with at least 1 adenoma detected by the main endoscopist; 1 screening round</t>
    </r>
  </si>
  <si>
    <r>
      <t xml:space="preserve">Number of people </t>
    </r>
    <r>
      <rPr>
        <b/>
        <sz val="10"/>
        <rFont val="Calibri"/>
        <family val="2"/>
        <scheme val="minor"/>
      </rPr>
      <t xml:space="preserve">aged 60-64 years </t>
    </r>
    <r>
      <rPr>
        <sz val="10"/>
        <rFont val="Calibri"/>
        <family val="2"/>
        <scheme val="minor"/>
      </rPr>
      <t>analysed in screening arm</t>
    </r>
  </si>
  <si>
    <r>
      <t>Diagnostic yield at screening in people</t>
    </r>
    <r>
      <rPr>
        <b/>
        <sz val="10"/>
        <rFont val="Calibri"/>
        <family val="2"/>
        <scheme val="minor"/>
      </rPr>
      <t xml:space="preserve"> aged</t>
    </r>
    <r>
      <rPr>
        <sz val="10"/>
        <rFont val="Calibri"/>
        <family val="2"/>
        <scheme val="minor"/>
      </rPr>
      <t xml:space="preserve"> </t>
    </r>
    <r>
      <rPr>
        <b/>
        <sz val="10"/>
        <rFont val="Calibri"/>
        <family val="2"/>
        <scheme val="minor"/>
      </rPr>
      <t>60-64 years</t>
    </r>
    <r>
      <rPr>
        <sz val="10"/>
        <rFont val="Calibri"/>
        <family val="2"/>
        <scheme val="minor"/>
      </rPr>
      <t xml:space="preserve"> (at least 1 adenoma </t>
    </r>
    <r>
      <rPr>
        <sz val="10"/>
        <rFont val="Calibri"/>
        <family val="2"/>
      </rPr>
      <t>≥10 mm</t>
    </r>
    <r>
      <rPr>
        <sz val="10"/>
        <rFont val="Calibri"/>
        <family val="2"/>
        <scheme val="minor"/>
      </rPr>
      <t>, detected by main endoscopist at each center); per 100 people analysed; one round of flexible sigmoidoscopy</t>
    </r>
  </si>
  <si>
    <r>
      <t xml:space="preserve">Number of people </t>
    </r>
    <r>
      <rPr>
        <b/>
        <sz val="10"/>
        <rFont val="Calibri"/>
        <family val="2"/>
        <scheme val="minor"/>
      </rPr>
      <t xml:space="preserve">aged 60-64 years </t>
    </r>
    <r>
      <rPr>
        <sz val="10"/>
        <rFont val="Calibri"/>
        <family val="2"/>
        <scheme val="minor"/>
      </rPr>
      <t>with at least 1 adenoma ≥10 mm detected by the main endoscopist; 1 screening round</t>
    </r>
  </si>
  <si>
    <r>
      <t>Diagnostic yield at screening in people</t>
    </r>
    <r>
      <rPr>
        <b/>
        <sz val="10"/>
        <rFont val="Calibri"/>
        <family val="2"/>
        <scheme val="minor"/>
      </rPr>
      <t xml:space="preserve"> aged</t>
    </r>
    <r>
      <rPr>
        <sz val="10"/>
        <rFont val="Calibri"/>
        <family val="2"/>
        <scheme val="minor"/>
      </rPr>
      <t xml:space="preserve"> </t>
    </r>
    <r>
      <rPr>
        <b/>
        <sz val="10"/>
        <rFont val="Calibri"/>
        <family val="2"/>
        <scheme val="minor"/>
      </rPr>
      <t>60-64 years</t>
    </r>
    <r>
      <rPr>
        <sz val="10"/>
        <rFont val="Calibri"/>
        <family val="2"/>
        <scheme val="minor"/>
      </rPr>
      <t xml:space="preserve"> (at least 1 advanced adenoma, detected by main endoscopist at each center); per 100 people analysed; one round of flexible sigmoidoscopy</t>
    </r>
  </si>
  <si>
    <r>
      <t xml:space="preserve">Number of people </t>
    </r>
    <r>
      <rPr>
        <b/>
        <sz val="10"/>
        <rFont val="Calibri"/>
        <family val="2"/>
        <scheme val="minor"/>
      </rPr>
      <t>aged 60-64 years</t>
    </r>
    <r>
      <rPr>
        <sz val="10"/>
        <rFont val="Calibri"/>
        <family val="2"/>
        <scheme val="minor"/>
      </rPr>
      <t xml:space="preserve"> with at least 1 advanced adenoma (</t>
    </r>
    <r>
      <rPr>
        <sz val="10"/>
        <rFont val="Calibri"/>
        <family val="2"/>
      </rPr>
      <t>≥</t>
    </r>
    <r>
      <rPr>
        <sz val="10"/>
        <rFont val="Calibri"/>
        <family val="2"/>
        <scheme val="minor"/>
      </rPr>
      <t>10 mm, with villous or tubulovillous histology, or high-grade dysplasia) detected by the main endoscopist; 1 screening round</t>
    </r>
  </si>
  <si>
    <r>
      <t xml:space="preserve">Diagnostic yield at screening in </t>
    </r>
    <r>
      <rPr>
        <b/>
        <sz val="10"/>
        <rFont val="Calibri"/>
        <family val="2"/>
        <scheme val="minor"/>
      </rPr>
      <t xml:space="preserve">men </t>
    </r>
    <r>
      <rPr>
        <sz val="10"/>
        <rFont val="Calibri"/>
        <family val="2"/>
        <scheme val="minor"/>
      </rPr>
      <t>(at least 1 adenoma, detected by main endoscopist at each center); per 100 people analysed; one round of flexible sigmoidoscopy</t>
    </r>
  </si>
  <si>
    <r>
      <t xml:space="preserve">Number of </t>
    </r>
    <r>
      <rPr>
        <b/>
        <sz val="10"/>
        <rFont val="Calibri"/>
        <family val="2"/>
        <scheme val="minor"/>
      </rPr>
      <t xml:space="preserve">men </t>
    </r>
    <r>
      <rPr>
        <sz val="10"/>
        <rFont val="Calibri"/>
        <family val="2"/>
        <scheme val="minor"/>
      </rPr>
      <t>with at least 1 adenoma detected by the main endoscopist; 1 screening round</t>
    </r>
  </si>
  <si>
    <r>
      <t xml:space="preserve">Number of </t>
    </r>
    <r>
      <rPr>
        <b/>
        <sz val="10"/>
        <rFont val="Calibri"/>
        <family val="2"/>
        <scheme val="minor"/>
      </rPr>
      <t xml:space="preserve">men </t>
    </r>
    <r>
      <rPr>
        <sz val="10"/>
        <rFont val="Calibri"/>
        <family val="2"/>
        <scheme val="minor"/>
      </rPr>
      <t>analysed in screening arm</t>
    </r>
  </si>
  <si>
    <t>Supplementary Table 4</t>
  </si>
  <si>
    <r>
      <t xml:space="preserve">Diagnostic yield at screening in </t>
    </r>
    <r>
      <rPr>
        <b/>
        <sz val="10"/>
        <rFont val="Calibri"/>
        <family val="2"/>
        <scheme val="minor"/>
      </rPr>
      <t>men</t>
    </r>
    <r>
      <rPr>
        <sz val="10"/>
        <rFont val="Calibri"/>
        <family val="2"/>
        <scheme val="minor"/>
      </rPr>
      <t xml:space="preserve"> (at least 1 adenoma </t>
    </r>
    <r>
      <rPr>
        <sz val="10"/>
        <rFont val="Calibri"/>
        <family val="2"/>
      </rPr>
      <t>≥10 mm</t>
    </r>
    <r>
      <rPr>
        <sz val="10"/>
        <rFont val="Calibri"/>
        <family val="2"/>
        <scheme val="minor"/>
      </rPr>
      <t>, detected by main endoscopist at each center); per 100 people analysed; one round of flexible sigmoidoscopy</t>
    </r>
  </si>
  <si>
    <r>
      <t xml:space="preserve">Number of </t>
    </r>
    <r>
      <rPr>
        <b/>
        <sz val="10"/>
        <rFont val="Calibri"/>
        <family val="2"/>
        <scheme val="minor"/>
      </rPr>
      <t xml:space="preserve">men </t>
    </r>
    <r>
      <rPr>
        <sz val="10"/>
        <rFont val="Calibri"/>
        <family val="2"/>
        <scheme val="minor"/>
      </rPr>
      <t>with at least 1 adenoma ≥10 mm detected by the main endoscopist; 1 screening round</t>
    </r>
  </si>
  <si>
    <r>
      <t xml:space="preserve">Diagnostic yield at screening in people aged </t>
    </r>
    <r>
      <rPr>
        <b/>
        <sz val="10"/>
        <rFont val="Calibri"/>
        <family val="2"/>
        <scheme val="minor"/>
      </rPr>
      <t>men</t>
    </r>
    <r>
      <rPr>
        <sz val="10"/>
        <rFont val="Calibri"/>
        <family val="2"/>
        <scheme val="minor"/>
      </rPr>
      <t xml:space="preserve"> (at least 1 advanced adenoma, detected by main endoscopist at each center); per 100 people analysed; one round of flexible sigmoidoscopy</t>
    </r>
  </si>
  <si>
    <r>
      <t xml:space="preserve">Number of </t>
    </r>
    <r>
      <rPr>
        <b/>
        <sz val="10"/>
        <rFont val="Calibri"/>
        <family val="2"/>
        <scheme val="minor"/>
      </rPr>
      <t>men</t>
    </r>
    <r>
      <rPr>
        <sz val="10"/>
        <rFont val="Calibri"/>
        <family val="2"/>
        <scheme val="minor"/>
      </rPr>
      <t xml:space="preserve"> with at least 1 advanced adenoma (</t>
    </r>
    <r>
      <rPr>
        <sz val="10"/>
        <rFont val="Calibri"/>
        <family val="2"/>
      </rPr>
      <t>≥</t>
    </r>
    <r>
      <rPr>
        <sz val="10"/>
        <rFont val="Calibri"/>
        <family val="2"/>
        <scheme val="minor"/>
      </rPr>
      <t>10 mm, with villous or tubulovillous histology, or high-grade dysplasia) detected by the main endoscopist; 1 screening round</t>
    </r>
  </si>
  <si>
    <r>
      <t xml:space="preserve">Diagnostic yield at screening in </t>
    </r>
    <r>
      <rPr>
        <b/>
        <sz val="10"/>
        <rFont val="Calibri"/>
        <family val="2"/>
        <scheme val="minor"/>
      </rPr>
      <t xml:space="preserve">women </t>
    </r>
    <r>
      <rPr>
        <sz val="10"/>
        <rFont val="Calibri"/>
        <family val="2"/>
        <scheme val="minor"/>
      </rPr>
      <t>(at least 1 adenoma, detected by main endoscopist at each center); per 100 people analysed; one round of flexible sigmoidoscopy</t>
    </r>
  </si>
  <si>
    <r>
      <t xml:space="preserve">Number of </t>
    </r>
    <r>
      <rPr>
        <b/>
        <sz val="10"/>
        <rFont val="Calibri"/>
        <family val="2"/>
        <scheme val="minor"/>
      </rPr>
      <t xml:space="preserve">women </t>
    </r>
    <r>
      <rPr>
        <sz val="10"/>
        <rFont val="Calibri"/>
        <family val="2"/>
        <scheme val="minor"/>
      </rPr>
      <t>with at least 1 adenoma detected by the main endoscopist; 1 screening round</t>
    </r>
  </si>
  <si>
    <r>
      <t xml:space="preserve">Number of </t>
    </r>
    <r>
      <rPr>
        <b/>
        <sz val="10"/>
        <rFont val="Calibri"/>
        <family val="2"/>
        <scheme val="minor"/>
      </rPr>
      <t xml:space="preserve">women </t>
    </r>
    <r>
      <rPr>
        <sz val="10"/>
        <rFont val="Calibri"/>
        <family val="2"/>
        <scheme val="minor"/>
      </rPr>
      <t>analysed in screening arm</t>
    </r>
  </si>
  <si>
    <r>
      <t xml:space="preserve">Diagnostic yield at screening in </t>
    </r>
    <r>
      <rPr>
        <b/>
        <sz val="10"/>
        <rFont val="Calibri"/>
        <family val="2"/>
        <scheme val="minor"/>
      </rPr>
      <t>women</t>
    </r>
    <r>
      <rPr>
        <sz val="10"/>
        <rFont val="Calibri"/>
        <family val="2"/>
        <scheme val="minor"/>
      </rPr>
      <t xml:space="preserve"> (at least 1 adenoma </t>
    </r>
    <r>
      <rPr>
        <sz val="10"/>
        <rFont val="Calibri"/>
        <family val="2"/>
      </rPr>
      <t>≥10 mm</t>
    </r>
    <r>
      <rPr>
        <sz val="10"/>
        <rFont val="Calibri"/>
        <family val="2"/>
        <scheme val="minor"/>
      </rPr>
      <t>, detected by main endoscopist at each center); per 100 people analysed; one round of flexible sigmoidoscopy</t>
    </r>
  </si>
  <si>
    <r>
      <t xml:space="preserve">Number of </t>
    </r>
    <r>
      <rPr>
        <b/>
        <sz val="10"/>
        <rFont val="Calibri"/>
        <family val="2"/>
        <scheme val="minor"/>
      </rPr>
      <t xml:space="preserve">women </t>
    </r>
    <r>
      <rPr>
        <sz val="10"/>
        <rFont val="Calibri"/>
        <family val="2"/>
        <scheme val="minor"/>
      </rPr>
      <t>with at least 1 adenoma ≥10 mm detected by the main endoscopist; 1 screening round</t>
    </r>
  </si>
  <si>
    <r>
      <t xml:space="preserve">Diagnostic yield at screening in people aged </t>
    </r>
    <r>
      <rPr>
        <b/>
        <sz val="10"/>
        <rFont val="Calibri"/>
        <family val="2"/>
        <scheme val="minor"/>
      </rPr>
      <t>women</t>
    </r>
    <r>
      <rPr>
        <sz val="10"/>
        <rFont val="Calibri"/>
        <family val="2"/>
        <scheme val="minor"/>
      </rPr>
      <t xml:space="preserve"> (at least 1 advanced adenoma, detected by main endoscopist at each center); per 100 people analysed; one round of flexible sigmoidoscopy</t>
    </r>
  </si>
  <si>
    <r>
      <t xml:space="preserve">Number of </t>
    </r>
    <r>
      <rPr>
        <b/>
        <sz val="10"/>
        <rFont val="Calibri"/>
        <family val="2"/>
        <scheme val="minor"/>
      </rPr>
      <t>women</t>
    </r>
    <r>
      <rPr>
        <sz val="10"/>
        <rFont val="Calibri"/>
        <family val="2"/>
        <scheme val="minor"/>
      </rPr>
      <t xml:space="preserve"> with at least 1 advanced adenoma (</t>
    </r>
    <r>
      <rPr>
        <sz val="10"/>
        <rFont val="Calibri"/>
        <family val="2"/>
      </rPr>
      <t>≥</t>
    </r>
    <r>
      <rPr>
        <sz val="10"/>
        <rFont val="Calibri"/>
        <family val="2"/>
        <scheme val="minor"/>
      </rPr>
      <t>10 mm, with villous or tubulovillous histology, or high-grade dysplasia) detected by the main endoscopist; 1 screening round</t>
    </r>
  </si>
  <si>
    <t>Carrier 2015</t>
  </si>
  <si>
    <t>All-cause mortality (per 100 people analysed); 1-year follow-up;
Torso CT vs usual care involving non-standardised screening</t>
  </si>
  <si>
    <t>Limited screening + torso CT</t>
  </si>
  <si>
    <t>Telephone interview for malignacy development: Interview 1: Day 100-140, Interview 2: Day 220-260, Interview 3: Day 340-370. Blinded central adjudication committee reviewed all suspected outcome events.</t>
  </si>
  <si>
    <t>Withdrawal or loss to follow-up</t>
  </si>
  <si>
    <t>Number of deaths from all causes; 1 year of follow-up</t>
  </si>
  <si>
    <t>Number of people analysed (ITT)</t>
  </si>
  <si>
    <t>Figure 1 and text: ...overall mortality (1.4% and 1.2%,
P = 1.0)….</t>
  </si>
  <si>
    <t>Cancer-related mortality (per 100 people analysed); 1-year follow-up;
Torso CT vs usual care involving non-standardised screening</t>
  </si>
  <si>
    <t>Withdrawal, death from other causes or loss to follow-up</t>
  </si>
  <si>
    <t>Number of cancer-related deaths; 1 year of follow-up</t>
  </si>
  <si>
    <t>Text: … cancer-related mortality (1.4% and 0.9%, P = 0.75)….</t>
  </si>
  <si>
    <t>No. of events calculated from reported %.</t>
  </si>
  <si>
    <t>Diagnostic yield at screening (per 100 people analysed);
Torso CT vs usual care involving non-standardised screening</t>
  </si>
  <si>
    <t>Telephone interview for malignacy development: Interview 1: Day 100-140, Interview 2: Day 220-260, Interview 3: Day 340-370.; patients instructed to contact trial coordinator if new cancer diagnosis.</t>
  </si>
  <si>
    <t>Initial screening</t>
  </si>
  <si>
    <t>Number of cancers detected at initial screening</t>
  </si>
  <si>
    <t>Table 2 and text: 4 of 14 occult cancers (29%; 95% CI, 8 to 58) were missed by the limited screening strategy… whereas 5 of 19 occult cancers (26%; 95% CI, 9 to 51) were missed by the strategy of limited screening plus CT (P = 1.0).</t>
  </si>
  <si>
    <t>% of cancers that are screen-detected; initial screen and 1 year follow-up;
Torso CT vs usual care involving non-standardised screening</t>
  </si>
  <si>
    <t>Telephone interview for malignacy development: Interview 1: Day 100-140, Interview 2: Day 220-260, Interview 3: Day 340-370.; patients instructed to contact trial coordinator if new cancer diagnosis. Investigators unblinded.</t>
  </si>
  <si>
    <t>Death, withdrawal or loss to follow-up</t>
  </si>
  <si>
    <t>Absolute incidence of early-stage cancers; initial screen and 1 year follow-up;
Torso CT vs usual care involving non-standardised screening</t>
  </si>
  <si>
    <t>T1-2, N0, M0</t>
  </si>
  <si>
    <t>Telephone interview for malignacy development: Interview 1: Day 100-140, Interview 2: Day 220-260, Interview 3: Day 340-370.; patients instructed to contact trial coordinator if new cancer diagnosis. Chart review to document the localization of the primary malignancy and the TNM classification.  Blinded central adjudication committee reviewed all suspected outcome events.</t>
  </si>
  <si>
    <t>Number of early-stage (T1-2N0M0) cancers detected at initial screening or during 1-year follow-up</t>
  </si>
  <si>
    <t>Text: The rate of detection of early cancers was 0.23% among those in the limited screening group and 0.71% in the limited-screening-plus-CT group (P = 0.37).</t>
  </si>
  <si>
    <t>Number of events calculated from reported %.</t>
  </si>
  <si>
    <t>Moss 2006</t>
  </si>
  <si>
    <t>Mortality from breast cancer between study entry and 31 Dec 2004 (0-15 years) (per 1,000 PY);
Screening vs control</t>
  </si>
  <si>
    <t>NHS Central Register (NHSCR); deaths with breast cancer coded as the underlying cause of death</t>
  </si>
  <si>
    <t>Women-years for analyses of mortality were calculated from date of trial entry to Dec 31, 2004, or to death or loss
to follow-up because of emigration, whichever was earliest.</t>
  </si>
  <si>
    <t>7-14 years</t>
  </si>
  <si>
    <t>Mean 10.7 years
(range 7-14)</t>
  </si>
  <si>
    <t>No. of deaths from breast cancer in the intervention and follow-up period; study entry to 31 Dec 2004</t>
  </si>
  <si>
    <t>Person-years calculated from date of randomisation to end of follow-up (31 Dec 2004)</t>
  </si>
  <si>
    <t>Table 2 and text: The reduction in breast_x0002_cancer mortality in the intervention group, relative to the control group, of 17% did not reach statistical significance (RR 0·83, 95% CI 0·66–1·04).</t>
  </si>
  <si>
    <r>
      <t xml:space="preserve">Mortality from breast cancer between study entry and 31 Dec 2004 in </t>
    </r>
    <r>
      <rPr>
        <b/>
        <sz val="10"/>
        <rFont val="Calibri"/>
        <family val="2"/>
        <scheme val="minor"/>
      </rPr>
      <t>cancers diagnosed in the first 10 years of follow-up</t>
    </r>
    <r>
      <rPr>
        <sz val="10"/>
        <rFont val="Calibri"/>
        <family val="2"/>
        <scheme val="minor"/>
      </rPr>
      <t xml:space="preserve"> (per 1,000 PY);
Screening vs control</t>
    </r>
  </si>
  <si>
    <t>No. of deaths from breast cancer in the intervention and follow-up period in cancers diagnosed in the first 10 years of follow-up; study entry to 31 Dec 2004</t>
  </si>
  <si>
    <t>Text: … and after excluding deaths in individuals diagnosed with breast cancer in both groups after 10 years of follow-up,
the mortality reduction is 19% (RR 0·81, 95% CI 0·64–1·02).</t>
  </si>
  <si>
    <r>
      <t xml:space="preserve">Mortality from breast cancer between study entry and 31 Dec 2004 </t>
    </r>
    <r>
      <rPr>
        <b/>
        <sz val="10"/>
        <rFont val="Calibri"/>
        <family val="2"/>
        <scheme val="minor"/>
      </rPr>
      <t>in women with date of entry before 1 January 1995</t>
    </r>
    <r>
      <rPr>
        <sz val="10"/>
        <rFont val="Calibri"/>
        <family val="2"/>
        <scheme val="minor"/>
      </rPr>
      <t xml:space="preserve"> (per 1,000 PY);
Screening vs control</t>
    </r>
  </si>
  <si>
    <t>10-14 years</t>
  </si>
  <si>
    <t>No. of deaths from breast cancer in the intervention and follow-up period in women with date of entry before 1 January 1995; follow-up to 31 Dec 2004</t>
  </si>
  <si>
    <t>Text: We have therefore repeated both the surrogate analysis and that of observed mortality restricted to those women with dates of entry before Jan 1, 1995, who have the potential for 10 years of follow-up. The relative risk of observed mortality from breast cancer was 0·79 (95% CI 0·60–1·06).</t>
  </si>
  <si>
    <r>
      <t xml:space="preserve">Mortality from breast cancer between study entry and 31 Dec 2004 </t>
    </r>
    <r>
      <rPr>
        <b/>
        <sz val="10"/>
        <rFont val="Calibri"/>
        <family val="2"/>
        <scheme val="minor"/>
      </rPr>
      <t>in cancers diagnosed up to 31/12/1999</t>
    </r>
    <r>
      <rPr>
        <sz val="10"/>
        <rFont val="Calibri"/>
        <family val="2"/>
        <scheme val="minor"/>
      </rPr>
      <t xml:space="preserve"> (per 1,000 PY);
Screening vs control</t>
    </r>
  </si>
  <si>
    <t>No. of deaths from breast cancer in the intervention and follow-up period in cancers diagnosed up to 31/12/1999; study entry to 31 Dec 2004</t>
  </si>
  <si>
    <t>Text: The surrogate analysis was based only on
those cases diagnosed up to Dec 31, 1999, and part of
the diff erence between the surrogate and observed
results is due to breast cancer deaths in cases diagnosed
since Dec 31, 1999. If these are excluded the relative risk
of observed mortality from breast cancer was 0·81 (95%
CI 0·58–1·11).</t>
  </si>
  <si>
    <r>
      <t xml:space="preserve">Mortality from breast cancer </t>
    </r>
    <r>
      <rPr>
        <b/>
        <sz val="10"/>
        <rFont val="Calibri"/>
        <family val="2"/>
        <scheme val="minor"/>
      </rPr>
      <t>0-5 years after study entry</t>
    </r>
    <r>
      <rPr>
        <sz val="10"/>
        <rFont val="Calibri"/>
        <family val="2"/>
        <scheme val="minor"/>
      </rPr>
      <t xml:space="preserve"> (per 1,000 PY);
Screening vs control</t>
    </r>
  </si>
  <si>
    <t>Women-years for analyses of mortality were calculated from date of trial entry to 5 years of follow-up, or to death or loss
to follow-up because of emigration, whichever was earliest.</t>
  </si>
  <si>
    <t>No. of deaths from breast cancer in the intervention and follow-up period; 0-5 years after study entry</t>
  </si>
  <si>
    <t>Person-years calculated from date of randomisation to end of follow-up (0-5 years after study entry)</t>
  </si>
  <si>
    <t>All-cause mortality between study entry and 31 Dec 2004 (per 1,000 PY);
Screening vs control</t>
  </si>
  <si>
    <t>No. of deaths from all causes in the intervention and follow-up period; study entry to 31 Dec 2004</t>
  </si>
  <si>
    <t>Table 2 and text: The risk of all-cause mortality in
the intervention group relative to that in the control group
was 0·97 (95% CI 0·89–1·04).</t>
  </si>
  <si>
    <t>Moss 2015</t>
  </si>
  <si>
    <r>
      <t xml:space="preserve">Mortality from </t>
    </r>
    <r>
      <rPr>
        <b/>
        <sz val="10"/>
        <rFont val="Calibri"/>
        <family val="2"/>
        <scheme val="minor"/>
      </rPr>
      <t>breast cancers diagnosed during the intervention phase</t>
    </r>
    <r>
      <rPr>
        <sz val="10"/>
        <rFont val="Calibri"/>
        <family val="2"/>
        <scheme val="minor"/>
      </rPr>
      <t>, 0-10 years after randomisation; screening vs control</t>
    </r>
  </si>
  <si>
    <t>NHS Central Register (NHSCR); deaths with breast cancer coded as the underlying cause of death on death certificate</t>
  </si>
  <si>
    <t>Death or loss to follow-up because of emigration, whichever was earliest.</t>
  </si>
  <si>
    <t>Median 10.0 years
(IQR 9.9-10.0)</t>
  </si>
  <si>
    <t>No. of deaths from breast cancer diagnosed in the intervention period; 0-10 years after randomisation</t>
  </si>
  <si>
    <t>Person-years calculated from date of randomisation to 10 years after randomisation or end of follow-up, whichever was earliest</t>
  </si>
  <si>
    <t>Table 1 and text: A significant reduction in breast cancer mortality occurred in the first 10 year period (rate ratio [RR] 0·75, 95% CI 0·58–0·97) restricted to deaths in 
cancers diagnosed in the intervention phase,…
P value taken from #4257.</t>
  </si>
  <si>
    <t>Also reported in #4257 (Duffy 2020), Table 1 and Table 3 (Table 3 with slightly different number of person years).</t>
  </si>
  <si>
    <r>
      <t>Mortality from</t>
    </r>
    <r>
      <rPr>
        <b/>
        <sz val="10"/>
        <rFont val="Calibri"/>
        <family val="2"/>
        <scheme val="minor"/>
      </rPr>
      <t xml:space="preserve"> breast cancers diagnosed during the intervention phase</t>
    </r>
    <r>
      <rPr>
        <sz val="10"/>
        <rFont val="Calibri"/>
        <family val="2"/>
        <scheme val="minor"/>
      </rPr>
      <t>, total follow-up time up to 31 Dec 2011; screening vs control</t>
    </r>
  </si>
  <si>
    <t>Up to 18.5 years</t>
  </si>
  <si>
    <t>Median 17.7 years
(IQR 16.8-18.5)</t>
  </si>
  <si>
    <t>No. of deaths from breast cancer diagnosed in the intervention period; follow-up until 31 Dec 2011</t>
  </si>
  <si>
    <t>Person-years calculated from date of randomisation to end of follow-up (31 Dec 2011)</t>
  </si>
  <si>
    <t xml:space="preserve">Table 2 and text: 594 breast cancer deaths occurred from 2684 tumours diagnosed during the intervention phase. When restricted to deaths due to breast cancers diagnosed in the intervention phase, the RR was 0.88 (95% CI 0·74−1·04).
</t>
  </si>
  <si>
    <t>Also reported in #4257 (Duffy 2020), Table 1 with slightly different person-years.</t>
  </si>
  <si>
    <r>
      <t>Mortality from breast cancers</t>
    </r>
    <r>
      <rPr>
        <b/>
        <sz val="10"/>
        <rFont val="Calibri"/>
        <family val="2"/>
        <scheme val="minor"/>
      </rPr>
      <t xml:space="preserve"> irrespective of date of diagnosis</t>
    </r>
    <r>
      <rPr>
        <sz val="10"/>
        <rFont val="Calibri"/>
        <family val="2"/>
        <scheme val="minor"/>
      </rPr>
      <t>, &lt;5 years after randomisation; screening vs control</t>
    </r>
  </si>
  <si>
    <t>267,864 PY;
mean 5.0 years</t>
  </si>
  <si>
    <t>532,104 PY;
mean 5.0 years</t>
  </si>
  <si>
    <t>No. of deaths from breast cancer irrespective of date of diagnosis; 
&lt;5 years after randomisation</t>
  </si>
  <si>
    <t>Person-years calculated from date of randomisation to end of year 4 or end of follow-up, whichever was earliest</t>
  </si>
  <si>
    <t>Also reported in #4257 (Duffy 2020), Table 2 and Table 5 (Table 5 with slightly different person years).</t>
  </si>
  <si>
    <r>
      <t xml:space="preserve">Mortality from breast cancers </t>
    </r>
    <r>
      <rPr>
        <b/>
        <sz val="10"/>
        <rFont val="Calibri"/>
        <family val="2"/>
        <scheme val="minor"/>
      </rPr>
      <t>irrespective of date of diagnosis</t>
    </r>
    <r>
      <rPr>
        <sz val="10"/>
        <rFont val="Calibri"/>
        <family val="2"/>
        <scheme val="minor"/>
      </rPr>
      <t>, &lt;10 years after randomisation; screening vs control</t>
    </r>
  </si>
  <si>
    <t>532,748 PY;
mean 9.9 years</t>
  </si>
  <si>
    <t>1,058,324 PY;
mean 9.9 years</t>
  </si>
  <si>
    <t>Up to 8</t>
  </si>
  <si>
    <t>No. of deaths from breast cancer irrespective of date of diagnosis; &lt;10 years after randomisation</t>
  </si>
  <si>
    <t>Person-years calculated from date of randomisation to end of year 9 or end of follow-up, whichever was earliest</t>
  </si>
  <si>
    <t>Table 3 and text: During the first 10 years after randomisation (when all but two deaths were from cancers diagnosed in the intervention phase), a signifi cant mortality reduction was noted (RR 0·75 [95% CI 0·58–0·96]).</t>
  </si>
  <si>
    <r>
      <t>Mortality from breast cancers</t>
    </r>
    <r>
      <rPr>
        <b/>
        <sz val="10"/>
        <rFont val="Calibri"/>
        <family val="2"/>
        <scheme val="minor"/>
      </rPr>
      <t xml:space="preserve"> irrespective of date of diagnosis</t>
    </r>
    <r>
      <rPr>
        <sz val="10"/>
        <rFont val="Calibri"/>
        <family val="2"/>
        <scheme val="minor"/>
      </rPr>
      <t>, &lt;15 years after randomisation; screening vs control</t>
    </r>
  </si>
  <si>
    <t>793,911 PY;
mean 14.7 years</t>
  </si>
  <si>
    <t>1,576,547 PY;
mean 14.7 years</t>
  </si>
  <si>
    <t>No. of deaths from breast cancer irrespective of date of diagnosis; &lt;15 years after randomisation</t>
  </si>
  <si>
    <t>Person-years calculated from date of randomisation to end of year 14 or end of follow-up, whichever was earliest</t>
  </si>
  <si>
    <t>Table 3
RR with 95% CI taken from Duffy 2020 (#4257), Table 2.</t>
  </si>
  <si>
    <r>
      <t>Mortality from breast cancers irrespective of date of diagnosis</t>
    </r>
    <r>
      <rPr>
        <b/>
        <sz val="10"/>
        <rFont val="Calibri"/>
        <family val="2"/>
        <scheme val="minor"/>
      </rPr>
      <t>, up to 31/12/2011</t>
    </r>
    <r>
      <rPr>
        <sz val="10"/>
        <rFont val="Calibri"/>
        <family val="2"/>
        <scheme val="minor"/>
      </rPr>
      <t>; screening vs control</t>
    </r>
  </si>
  <si>
    <t>No. of deaths from breast cancer irrespective of date of diagnosis; follow-up until 31 Dec 2011</t>
  </si>
  <si>
    <t>Person-years calculated from date of randomisation to end of follow-up</t>
  </si>
  <si>
    <t>Table 3 and text: Including all follow-up, breast cancer mortality per 1000 women-years was 0·257 (242 of 940 969) in the intervention group and 0·276 (515 of 1 868 717) in the control group giving an RR of 0·93 (0·80–1·09).</t>
  </si>
  <si>
    <r>
      <t>Mortality from</t>
    </r>
    <r>
      <rPr>
        <b/>
        <sz val="10"/>
        <rFont val="Calibri"/>
        <family val="2"/>
        <scheme val="minor"/>
      </rPr>
      <t xml:space="preserve"> breast cancers diagnosed during the first 7 years after study entry</t>
    </r>
    <r>
      <rPr>
        <sz val="10"/>
        <rFont val="Calibri"/>
        <family val="2"/>
        <scheme val="minor"/>
      </rPr>
      <t>, total follow-up time up to 31 Dec 2011; screening vs control</t>
    </r>
  </si>
  <si>
    <t>No. of deaths from breast cancer diagnosed in the first 7 years after study entry; follow-up until 31 Dec 2011</t>
  </si>
  <si>
    <t>Figure 4 and text: ...the RR reaches a minimum of 0·82
(95% CI 0·65–1·02) when restricted to deaths in cases
diagnosed in the fi rst 7 years</t>
  </si>
  <si>
    <t>Note Matejka: this seems to be the number of woman-years for the entire cohort until 31/12/2011, not just for the analysis where deaths are counted for cases diagnosed in the first 7 years. Used as approximation!</t>
  </si>
  <si>
    <r>
      <t>Mortality from</t>
    </r>
    <r>
      <rPr>
        <b/>
        <sz val="10"/>
        <rFont val="Calibri"/>
        <family val="2"/>
        <scheme val="minor"/>
      </rPr>
      <t xml:space="preserve"> breast cancers diagnosed within 12 months of date of last invitation (and before first NHSBSP screen)</t>
    </r>
    <r>
      <rPr>
        <sz val="10"/>
        <rFont val="Calibri"/>
        <family val="2"/>
        <scheme val="minor"/>
      </rPr>
      <t>, total follow-up time up to 31 Dec 2011; screening vs control</t>
    </r>
  </si>
  <si>
    <t>No. of deaths from breast cancer diagnosed within 12 months of date of last invitation (and before first NHSBSP screen); follow-up until 31 Dec 2011</t>
  </si>
  <si>
    <t>Text: We also did analyses in which deaths from breast cancer were restricted to those in cases diagnosed within 12, 24, and 36 months of date of last invitation (and before first NHSBSP screen),… The RRs for the three analyses were 0·88 (95% CI 0·72–1·08), 0·88 (0·73–1·07), and 0·90 (0·75–1·08).</t>
  </si>
  <si>
    <r>
      <t>Mortality from</t>
    </r>
    <r>
      <rPr>
        <b/>
        <sz val="10"/>
        <rFont val="Calibri"/>
        <family val="2"/>
        <scheme val="minor"/>
      </rPr>
      <t xml:space="preserve"> breast cancers diagnosed within 24 months of date of last invitation (and before first NHSBSP screen)</t>
    </r>
    <r>
      <rPr>
        <sz val="10"/>
        <rFont val="Calibri"/>
        <family val="2"/>
        <scheme val="minor"/>
      </rPr>
      <t>, total follow-up time up to 31 Dec 2011; screening vs control</t>
    </r>
  </si>
  <si>
    <t>No. of deaths from breast cancer diagnosed within 24 months of date of last invitation (and before first NHSBSP screen); follow-up until 31 Dec 2011</t>
  </si>
  <si>
    <r>
      <t>Mortality from</t>
    </r>
    <r>
      <rPr>
        <b/>
        <sz val="10"/>
        <rFont val="Calibri"/>
        <family val="2"/>
        <scheme val="minor"/>
      </rPr>
      <t xml:space="preserve"> breast cancers diagnosed within 36 months of date of last invitation (and before first NHSBSP screen)</t>
    </r>
    <r>
      <rPr>
        <sz val="10"/>
        <rFont val="Calibri"/>
        <family val="2"/>
        <scheme val="minor"/>
      </rPr>
      <t>, total follow-up time up to 31 Dec 2011; screening vs control</t>
    </r>
  </si>
  <si>
    <t>No. of deaths from breast cancer diagnosed within 36 months of date of last invitation (and before first NHSBSP screen); follow-up until 31 Dec 2011</t>
  </si>
  <si>
    <t>All-cause mortality, total follow-up time up to 31 Dec 2011 (17 years); screening vs control</t>
  </si>
  <si>
    <t>NHS Central Register (NHSCR); deaths from all causes</t>
  </si>
  <si>
    <t>Women-years for analyses of mortality were calculated from date of trial entry to Dec 31, 2011, or to death or loss
to follow-up because of emigration, whichever was earliest.</t>
  </si>
  <si>
    <t>No. of deaths from all causes; follow-up until 31 Dec 2011</t>
  </si>
  <si>
    <t xml:space="preserve">Table 2 and text: The RR of all-cause mortality in the intervention group relative to the control group was 0·98 (95% CI 0·93–1·03). </t>
  </si>
  <si>
    <t>Duffy 2020</t>
  </si>
  <si>
    <r>
      <t xml:space="preserve">Mortality from breast cancers </t>
    </r>
    <r>
      <rPr>
        <b/>
        <sz val="10"/>
        <rFont val="Calibri"/>
        <family val="2"/>
        <scheme val="minor"/>
      </rPr>
      <t>diagnosed in the intervention period</t>
    </r>
    <r>
      <rPr>
        <sz val="10"/>
        <rFont val="Calibri"/>
        <family val="2"/>
        <scheme val="minor"/>
      </rPr>
      <t>, total follow-up time up to 28 Feb 2017; screening vs control</t>
    </r>
  </si>
  <si>
    <t>Median 22·8 years
(IQR 21·8–24·0)</t>
  </si>
  <si>
    <t>No. of deaths from breast cancer diagnosed in the intervention period; follow-up until 28 Feb 2017</t>
  </si>
  <si>
    <t>Person-years calculated from date of randomisation to end of follow-up (28 Feb 2017)</t>
  </si>
  <si>
    <t>Table 3 and text: Overall, there was a 12% reduction in
breast cancer mortality, which was not statistically significant (RR 0.88, 95% CI 0.74 to 1.03; p = 0.1).</t>
  </si>
  <si>
    <t>All-cause mortality, to 28 Feb 2017; screening vs control</t>
  </si>
  <si>
    <t>No. of deaths from all causes; follow-up until 28 Feb 2017</t>
  </si>
  <si>
    <t>Text: There was no difference in all-cause mortality to the end of follow-up between the two groups (RR 1.01, 95% CI
0.96 to 1.05; p = 0.8)</t>
  </si>
  <si>
    <r>
      <t xml:space="preserve">Mortality from breast cancers </t>
    </r>
    <r>
      <rPr>
        <b/>
        <sz val="10"/>
        <rFont val="Calibri"/>
        <family val="2"/>
        <scheme val="minor"/>
      </rPr>
      <t>diagnosed up to and including the first NHSBSP screen</t>
    </r>
    <r>
      <rPr>
        <sz val="10"/>
        <rFont val="Calibri"/>
        <family val="2"/>
        <scheme val="minor"/>
      </rPr>
      <t>, total follow-up time up to 28 Feb 2017; screening vs control</t>
    </r>
  </si>
  <si>
    <t>No. of deaths from breast cancer diagnosed up to and including the first NHSBSP screen; follow-up until 28 Feb 2017</t>
  </si>
  <si>
    <t>Table 4 and text: Overall, there was a 14% reduction in breast cancer mortality, which was of borderline statistical significance (RR 0.86, 95% CI 0.73 to 1.01; p = 0.07).</t>
  </si>
  <si>
    <t>793,852 PY;
mean 14.7 years</t>
  </si>
  <si>
    <t>1,576,346 PY;
mean 14.7 years</t>
  </si>
  <si>
    <r>
      <t>Mortality from breast cancers</t>
    </r>
    <r>
      <rPr>
        <b/>
        <sz val="10"/>
        <rFont val="Calibri"/>
        <family val="2"/>
        <scheme val="minor"/>
      </rPr>
      <t xml:space="preserve"> irrespective of date of diagnosis</t>
    </r>
    <r>
      <rPr>
        <sz val="10"/>
        <rFont val="Calibri"/>
        <family val="2"/>
        <scheme val="minor"/>
      </rPr>
      <t>, follow-up to 28 Feb 2017; screening vs control</t>
    </r>
  </si>
  <si>
    <t>No. of deaths from breast cancer irrespective of date of diagnosis; up to 28 Feb 2017</t>
  </si>
  <si>
    <t>Person-years calculated from date of randomisation to end of  of follow-up, whichever was earliest</t>
  </si>
  <si>
    <t>Anderson 2004</t>
  </si>
  <si>
    <r>
      <t>Absolute incidence of</t>
    </r>
    <r>
      <rPr>
        <b/>
        <sz val="10"/>
        <rFont val="Calibri"/>
        <family val="2"/>
        <scheme val="minor"/>
      </rPr>
      <t xml:space="preserve"> CIS</t>
    </r>
    <r>
      <rPr>
        <sz val="10"/>
        <rFont val="Calibri"/>
        <family val="2"/>
        <scheme val="minor"/>
      </rPr>
      <t xml:space="preserve"> diagnosed up to 31 Dec 1999 (per 1,000 women); Screening vs control</t>
    </r>
  </si>
  <si>
    <t>CIS</t>
  </si>
  <si>
    <t>NHS Central Register; information on breast cancer cases is obtained from pathology laboratories and cancer registries and cross matched against the trial population database; blinded review by a panel of 3 pathologists; consensus agreed opinion (complete or partial) for entry in pathology database</t>
  </si>
  <si>
    <t>Invasiveness unknown</t>
  </si>
  <si>
    <r>
      <t xml:space="preserve">Number of </t>
    </r>
    <r>
      <rPr>
        <b/>
        <sz val="10"/>
        <rFont val="Calibri"/>
        <family val="2"/>
        <scheme val="minor"/>
      </rPr>
      <t xml:space="preserve">CIS </t>
    </r>
    <r>
      <rPr>
        <sz val="10"/>
        <rFont val="Calibri"/>
        <family val="2"/>
        <scheme val="minor"/>
      </rPr>
      <t xml:space="preserve">diagnosed up to 31 Dec 1999 </t>
    </r>
  </si>
  <si>
    <t>Number of women analysed; by arm</t>
  </si>
  <si>
    <t>16 cancers excluded as nonepithelial malignancy (4 phyllodes tumors, 1 sarcoma, and 1 lymphoma) or as nonmalignant (5 atypical hyperplasia, 5 benign).</t>
  </si>
  <si>
    <r>
      <t xml:space="preserve">Absolute incidence of invasive breast cancers diagnosed up to 31 Dec 1999 that were </t>
    </r>
    <r>
      <rPr>
        <b/>
        <sz val="10"/>
        <rFont val="Calibri"/>
        <family val="2"/>
        <scheme val="minor"/>
      </rPr>
      <t>1-9 mm</t>
    </r>
    <r>
      <rPr>
        <sz val="10"/>
        <rFont val="Calibri"/>
        <family val="2"/>
        <scheme val="minor"/>
      </rPr>
      <t xml:space="preserve"> at diagnosis (per 1,000 women); Screening vs control</t>
    </r>
  </si>
  <si>
    <t>1-9 mm</t>
  </si>
  <si>
    <t>Size not known</t>
  </si>
  <si>
    <r>
      <t xml:space="preserve">Number of invasive breast cancers diagnosed up to 31 Dec 1999 that were </t>
    </r>
    <r>
      <rPr>
        <b/>
        <sz val="10"/>
        <rFont val="Calibri"/>
        <family val="2"/>
        <scheme val="minor"/>
      </rPr>
      <t>1-9 mm</t>
    </r>
    <r>
      <rPr>
        <sz val="10"/>
        <rFont val="Calibri"/>
        <family val="2"/>
        <scheme val="minor"/>
      </rPr>
      <t xml:space="preserve"> at diagnosis</t>
    </r>
  </si>
  <si>
    <r>
      <t xml:space="preserve">Absolute incidence of invasive breast cancers diagnosed up to 31 Dec 1999 that were </t>
    </r>
    <r>
      <rPr>
        <b/>
        <sz val="10"/>
        <rFont val="Calibri"/>
        <family val="2"/>
        <scheme val="minor"/>
      </rPr>
      <t>10-14 mm</t>
    </r>
    <r>
      <rPr>
        <sz val="10"/>
        <rFont val="Calibri"/>
        <family val="2"/>
        <scheme val="minor"/>
      </rPr>
      <t xml:space="preserve"> at diagnosis (per 1,000 women); Screening vs control</t>
    </r>
  </si>
  <si>
    <t>10-14 mm</t>
  </si>
  <si>
    <r>
      <t xml:space="preserve">Number of invasive breast cancers diagnosed up to 31 Dec 1999 that were </t>
    </r>
    <r>
      <rPr>
        <b/>
        <sz val="10"/>
        <rFont val="Calibri"/>
        <family val="2"/>
        <scheme val="minor"/>
      </rPr>
      <t>10-14 mm</t>
    </r>
    <r>
      <rPr>
        <sz val="10"/>
        <rFont val="Calibri"/>
        <family val="2"/>
        <scheme val="minor"/>
      </rPr>
      <t xml:space="preserve"> at diagnosis</t>
    </r>
  </si>
  <si>
    <r>
      <t xml:space="preserve">Absolute incidence of invasive breast cancers diagnosed up to 31 Dec 1999 that were </t>
    </r>
    <r>
      <rPr>
        <b/>
        <sz val="10"/>
        <rFont val="Calibri"/>
        <family val="2"/>
        <scheme val="minor"/>
      </rPr>
      <t>15-19 mm</t>
    </r>
    <r>
      <rPr>
        <sz val="10"/>
        <rFont val="Calibri"/>
        <family val="2"/>
        <scheme val="minor"/>
      </rPr>
      <t xml:space="preserve"> at diagnosis (per 1,000 women); Screening vs control</t>
    </r>
  </si>
  <si>
    <t>15-19 mm</t>
  </si>
  <si>
    <r>
      <t xml:space="preserve">Number of invasive breast cancers diagnosed up to 31 Dec 1999 that were </t>
    </r>
    <r>
      <rPr>
        <b/>
        <sz val="10"/>
        <rFont val="Calibri"/>
        <family val="2"/>
        <scheme val="minor"/>
      </rPr>
      <t>15-19 mm</t>
    </r>
    <r>
      <rPr>
        <sz val="10"/>
        <rFont val="Calibri"/>
        <family val="2"/>
        <scheme val="minor"/>
      </rPr>
      <t xml:space="preserve"> at diagnosis</t>
    </r>
  </si>
  <si>
    <r>
      <t xml:space="preserve">Absolute incidence of invasive breast cancers diagnosed up to 31 Dec 1999 that were </t>
    </r>
    <r>
      <rPr>
        <b/>
        <sz val="10"/>
        <rFont val="Calibri"/>
        <family val="2"/>
        <scheme val="minor"/>
      </rPr>
      <t>20-29 mm</t>
    </r>
    <r>
      <rPr>
        <sz val="10"/>
        <rFont val="Calibri"/>
        <family val="2"/>
        <scheme val="minor"/>
      </rPr>
      <t xml:space="preserve"> at diagnosis (per 1,000 women); Screening vs control</t>
    </r>
  </si>
  <si>
    <t>20-29 mm</t>
  </si>
  <si>
    <r>
      <t xml:space="preserve">Number of invasive breast cancers diagnosed up to 31 Dec 1999 that were </t>
    </r>
    <r>
      <rPr>
        <b/>
        <sz val="10"/>
        <rFont val="Calibri"/>
        <family val="2"/>
        <scheme val="minor"/>
      </rPr>
      <t>20-29 mm</t>
    </r>
    <r>
      <rPr>
        <sz val="10"/>
        <rFont val="Calibri"/>
        <family val="2"/>
        <scheme val="minor"/>
      </rPr>
      <t xml:space="preserve"> at diagnosis</t>
    </r>
  </si>
  <si>
    <r>
      <t xml:space="preserve">Absolute incidence of invasive breast cancers diagnosed up to 31 Dec 1999 that were </t>
    </r>
    <r>
      <rPr>
        <b/>
        <sz val="10"/>
        <rFont val="Calibri"/>
        <family val="2"/>
        <scheme val="minor"/>
      </rPr>
      <t>30-49 mm</t>
    </r>
    <r>
      <rPr>
        <sz val="10"/>
        <rFont val="Calibri"/>
        <family val="2"/>
        <scheme val="minor"/>
      </rPr>
      <t xml:space="preserve"> at diagnosis (per 1,000 women); Screening vs control</t>
    </r>
  </si>
  <si>
    <t>30-49 mm</t>
  </si>
  <si>
    <r>
      <t xml:space="preserve">Number of invasive breast cancers diagnosed up to 31 Dec 1999 that were </t>
    </r>
    <r>
      <rPr>
        <b/>
        <sz val="10"/>
        <rFont val="Calibri"/>
        <family val="2"/>
        <scheme val="minor"/>
      </rPr>
      <t>30-49 mm</t>
    </r>
    <r>
      <rPr>
        <sz val="10"/>
        <rFont val="Calibri"/>
        <family val="2"/>
        <scheme val="minor"/>
      </rPr>
      <t xml:space="preserve"> at diagnosis</t>
    </r>
  </si>
  <si>
    <r>
      <t xml:space="preserve">Absolute incidence of invasive breast cancers diagnosed up to 31 Dec 1999 that were </t>
    </r>
    <r>
      <rPr>
        <b/>
        <sz val="10"/>
        <rFont val="Calibri"/>
        <family val="2"/>
      </rPr>
      <t>≥50</t>
    </r>
    <r>
      <rPr>
        <b/>
        <sz val="10"/>
        <rFont val="Calibri"/>
        <family val="2"/>
        <scheme val="minor"/>
      </rPr>
      <t xml:space="preserve"> mm</t>
    </r>
    <r>
      <rPr>
        <sz val="10"/>
        <rFont val="Calibri"/>
        <family val="2"/>
        <scheme val="minor"/>
      </rPr>
      <t xml:space="preserve"> at diagnosis (per 1,000 women); Screening vs control</t>
    </r>
  </si>
  <si>
    <t>≥50 mm</t>
  </si>
  <si>
    <r>
      <t>Number of invasive breast cancers diagnosed up to 31 Dec 1999 that were</t>
    </r>
    <r>
      <rPr>
        <b/>
        <sz val="10"/>
        <rFont val="Calibri"/>
        <family val="2"/>
        <scheme val="minor"/>
      </rPr>
      <t xml:space="preserve"> ≥50 mm</t>
    </r>
    <r>
      <rPr>
        <sz val="10"/>
        <rFont val="Calibri"/>
        <family val="2"/>
        <scheme val="minor"/>
      </rPr>
      <t xml:space="preserve"> at diagnosis</t>
    </r>
  </si>
  <si>
    <r>
      <t xml:space="preserve">16 cancers excluded as nonepithelial malignancy (4 phyllodes tumors, 1 sarcoma, and 1 lymphoma) or as nonmalignant (5 atypical hyperplasia, 5 benign).
Advanced postchemotherapy, and cytology-only cancers were put in the </t>
    </r>
    <r>
      <rPr>
        <sz val="10"/>
        <rFont val="Calibri"/>
        <family val="2"/>
      </rPr>
      <t>≥</t>
    </r>
    <r>
      <rPr>
        <sz val="10"/>
        <rFont val="Calibri"/>
        <family val="2"/>
        <scheme val="minor"/>
      </rPr>
      <t>50 category</t>
    </r>
  </si>
  <si>
    <r>
      <t xml:space="preserve">Absolute incidence of invasive breast cancers diagnosed up to 31 Dec 1999 that were </t>
    </r>
    <r>
      <rPr>
        <b/>
        <sz val="10"/>
        <rFont val="Calibri"/>
        <family val="2"/>
      </rPr>
      <t>≥20</t>
    </r>
    <r>
      <rPr>
        <b/>
        <sz val="10"/>
        <rFont val="Calibri"/>
        <family val="2"/>
        <scheme val="minor"/>
      </rPr>
      <t xml:space="preserve"> mm</t>
    </r>
    <r>
      <rPr>
        <sz val="10"/>
        <rFont val="Calibri"/>
        <family val="2"/>
        <scheme val="minor"/>
      </rPr>
      <t xml:space="preserve"> at diagnosis (per 1,000 women); Screening vs control</t>
    </r>
  </si>
  <si>
    <t>≥20 mm</t>
  </si>
  <si>
    <r>
      <t>Number of invasive breast cancers diagnosed up to 31 Dec 1999 that were</t>
    </r>
    <r>
      <rPr>
        <b/>
        <sz val="10"/>
        <rFont val="Calibri"/>
        <family val="2"/>
        <scheme val="minor"/>
      </rPr>
      <t xml:space="preserve"> ≥20 mm</t>
    </r>
    <r>
      <rPr>
        <sz val="10"/>
        <rFont val="Calibri"/>
        <family val="2"/>
        <scheme val="minor"/>
      </rPr>
      <t xml:space="preserve"> at diagnosis</t>
    </r>
  </si>
  <si>
    <r>
      <t>Absolute incidence of invasive breast cancers diagnosed up to 31 Dec 1999 that were &lt;</t>
    </r>
    <r>
      <rPr>
        <b/>
        <sz val="10"/>
        <rFont val="Calibri"/>
        <family val="2"/>
      </rPr>
      <t>20</t>
    </r>
    <r>
      <rPr>
        <b/>
        <sz val="10"/>
        <rFont val="Calibri"/>
        <family val="2"/>
        <scheme val="minor"/>
      </rPr>
      <t xml:space="preserve"> mm</t>
    </r>
    <r>
      <rPr>
        <sz val="10"/>
        <rFont val="Calibri"/>
        <family val="2"/>
        <scheme val="minor"/>
      </rPr>
      <t xml:space="preserve"> at diagnosis (per 1,000 women); Screening vs control</t>
    </r>
  </si>
  <si>
    <t>&lt;20 mm</t>
  </si>
  <si>
    <r>
      <t>Number of invasive breast cancers diagnosed up to 31 Dec 1999 that were</t>
    </r>
    <r>
      <rPr>
        <b/>
        <sz val="10"/>
        <rFont val="Calibri"/>
        <family val="2"/>
        <scheme val="minor"/>
      </rPr>
      <t xml:space="preserve"> &lt;20 mm</t>
    </r>
    <r>
      <rPr>
        <sz val="10"/>
        <rFont val="Calibri"/>
        <family val="2"/>
        <scheme val="minor"/>
      </rPr>
      <t xml:space="preserve"> at diagnosis</t>
    </r>
  </si>
  <si>
    <r>
      <t xml:space="preserve">% of invasive breast cancers diagnosed up to 31 Dec 1999 that were </t>
    </r>
    <r>
      <rPr>
        <b/>
        <sz val="10"/>
        <rFont val="Calibri"/>
        <family val="2"/>
        <scheme val="minor"/>
      </rPr>
      <t>≥20 mm</t>
    </r>
    <r>
      <rPr>
        <sz val="10"/>
        <rFont val="Calibri"/>
        <family val="2"/>
        <scheme val="minor"/>
      </rPr>
      <t xml:space="preserve"> at diagnosis; Screening vs control</t>
    </r>
  </si>
  <si>
    <t>&gt; 20 mm</t>
  </si>
  <si>
    <t>Number of invasive breast cancers diagnosed up to 31 Dec 1999 (including cancers with unknown size)</t>
  </si>
  <si>
    <r>
      <t xml:space="preserve">Absolute incidence of invasive breast cancers diagnosed up to 31 Dec 1999 that were </t>
    </r>
    <r>
      <rPr>
        <b/>
        <sz val="10"/>
        <rFont val="Calibri"/>
        <family val="2"/>
        <scheme val="minor"/>
      </rPr>
      <t>node-negative</t>
    </r>
    <r>
      <rPr>
        <sz val="10"/>
        <rFont val="Calibri"/>
        <family val="2"/>
        <scheme val="minor"/>
      </rPr>
      <t xml:space="preserve"> at diagnosis (per 1,000 women); Screening vs control</t>
    </r>
  </si>
  <si>
    <t>Node negative</t>
  </si>
  <si>
    <t>51 Node status not sampled;
24 Node status not known</t>
  </si>
  <si>
    <t>88 Node status not sampled;
85 Node status not known</t>
  </si>
  <si>
    <r>
      <t xml:space="preserve">Number of invasive breast cancers diagnosed up to 31 Dec 1999 that were </t>
    </r>
    <r>
      <rPr>
        <b/>
        <sz val="10"/>
        <rFont val="Calibri"/>
        <family val="2"/>
        <scheme val="minor"/>
      </rPr>
      <t>node negative</t>
    </r>
    <r>
      <rPr>
        <sz val="10"/>
        <rFont val="Calibri"/>
        <family val="2"/>
        <scheme val="minor"/>
      </rPr>
      <t xml:space="preserve"> at diagnosis</t>
    </r>
  </si>
  <si>
    <t>Table 7</t>
  </si>
  <si>
    <r>
      <t xml:space="preserve">Absolute incidence of invasive breast cancers diagnosed up to 31 Dec 1999 that were </t>
    </r>
    <r>
      <rPr>
        <b/>
        <sz val="10"/>
        <rFont val="Calibri"/>
        <family val="2"/>
        <scheme val="minor"/>
      </rPr>
      <t>node-positive</t>
    </r>
    <r>
      <rPr>
        <sz val="10"/>
        <rFont val="Calibri"/>
        <family val="2"/>
        <scheme val="minor"/>
      </rPr>
      <t xml:space="preserve"> at diagnosis (per 1,000 women); Screening vs control</t>
    </r>
  </si>
  <si>
    <t>Node positive</t>
  </si>
  <si>
    <r>
      <t xml:space="preserve">Number of invasive breast cancers diagnosed up to 31 Dec 1999 that were </t>
    </r>
    <r>
      <rPr>
        <b/>
        <sz val="10"/>
        <rFont val="Calibri"/>
        <family val="2"/>
        <scheme val="minor"/>
      </rPr>
      <t>node positive</t>
    </r>
    <r>
      <rPr>
        <sz val="10"/>
        <rFont val="Calibri"/>
        <family val="2"/>
        <scheme val="minor"/>
      </rPr>
      <t xml:space="preserve"> at diagnosis</t>
    </r>
  </si>
  <si>
    <r>
      <t xml:space="preserve">% of invasive breast cancers diagnosed up to 31 Dec 1999 that were </t>
    </r>
    <r>
      <rPr>
        <b/>
        <sz val="10"/>
        <rFont val="Calibri"/>
        <family val="2"/>
        <scheme val="minor"/>
      </rPr>
      <t>node positive</t>
    </r>
    <r>
      <rPr>
        <sz val="10"/>
        <rFont val="Calibri"/>
        <family val="2"/>
        <scheme val="minor"/>
      </rPr>
      <t xml:space="preserve"> at diagnosis; Screening vs control</t>
    </r>
  </si>
  <si>
    <t>Number of invasive breast cancers diagnosed up to 31 Dec 1999 that were node positive at diagnosis</t>
  </si>
  <si>
    <t>Number of invasive breast cancers diagnosed up to 31 Dec 1999 (including cancers with unknown node status or node status ot sampled)</t>
  </si>
  <si>
    <r>
      <t>% of breast cancers (</t>
    </r>
    <r>
      <rPr>
        <b/>
        <sz val="10"/>
        <rFont val="Calibri"/>
        <family val="2"/>
        <scheme val="minor"/>
      </rPr>
      <t>invasive + CIS</t>
    </r>
    <r>
      <rPr>
        <sz val="10"/>
        <rFont val="Calibri"/>
        <family val="2"/>
        <scheme val="minor"/>
      </rPr>
      <t>) diagnosed up to 31 Dec 1999 that were screen-detected (prevalence and incidence screens)</t>
    </r>
  </si>
  <si>
    <t>NHS Central Register (NHSCR)</t>
  </si>
  <si>
    <t>Unknown way of detection</t>
  </si>
  <si>
    <r>
      <t>Number of screen-detected breast cancers (</t>
    </r>
    <r>
      <rPr>
        <b/>
        <sz val="10"/>
        <rFont val="Calibri"/>
        <family val="2"/>
        <scheme val="minor"/>
      </rPr>
      <t>invasive + CI</t>
    </r>
    <r>
      <rPr>
        <sz val="10"/>
        <rFont val="Calibri"/>
        <family val="2"/>
        <scheme val="minor"/>
      </rPr>
      <t>S) diagnosed up to 31 Dec 1999 (prevalence and incidence)</t>
    </r>
  </si>
  <si>
    <t>Number of all breast cancers diagnosed up to 31 Dec 1999 (Invited total)</t>
  </si>
  <si>
    <r>
      <t xml:space="preserve">% of </t>
    </r>
    <r>
      <rPr>
        <b/>
        <sz val="10"/>
        <rFont val="Calibri"/>
        <family val="2"/>
        <scheme val="minor"/>
      </rPr>
      <t xml:space="preserve">invasive </t>
    </r>
    <r>
      <rPr>
        <sz val="10"/>
        <rFont val="Calibri"/>
        <family val="2"/>
        <scheme val="minor"/>
      </rPr>
      <t>breast cancers diagnosed up to 31 Dec 1999 that were screen-detected (prevalence and incidence screens)</t>
    </r>
  </si>
  <si>
    <r>
      <t xml:space="preserve">Number of screen-detected, </t>
    </r>
    <r>
      <rPr>
        <b/>
        <sz val="10"/>
        <rFont val="Calibri"/>
        <family val="2"/>
        <scheme val="minor"/>
      </rPr>
      <t xml:space="preserve">invasive </t>
    </r>
    <r>
      <rPr>
        <sz val="10"/>
        <rFont val="Calibri"/>
        <family val="2"/>
        <scheme val="minor"/>
      </rPr>
      <t>breast cancers diagnosed up to 31 Dec 1999 (prevalence and incidence)</t>
    </r>
  </si>
  <si>
    <r>
      <t xml:space="preserve">Number of all </t>
    </r>
    <r>
      <rPr>
        <b/>
        <sz val="10"/>
        <rFont val="Calibri"/>
        <family val="2"/>
        <scheme val="minor"/>
      </rPr>
      <t>invasive</t>
    </r>
    <r>
      <rPr>
        <sz val="10"/>
        <rFont val="Calibri"/>
        <family val="2"/>
        <scheme val="minor"/>
      </rPr>
      <t xml:space="preserve"> breast cancers diagnosed up to 31 Dec 1999 (Invited total)</t>
    </r>
  </si>
  <si>
    <r>
      <t xml:space="preserve">% of high-grade (grade 3) </t>
    </r>
    <r>
      <rPr>
        <b/>
        <sz val="10"/>
        <rFont val="Calibri"/>
        <family val="2"/>
        <scheme val="minor"/>
      </rPr>
      <t xml:space="preserve">invasive </t>
    </r>
    <r>
      <rPr>
        <sz val="10"/>
        <rFont val="Calibri"/>
        <family val="2"/>
        <scheme val="minor"/>
      </rPr>
      <t>breast cancers diagnosed up to 31 Dec 1999 that were screen-detected</t>
    </r>
  </si>
  <si>
    <t>Unknown grade</t>
  </si>
  <si>
    <r>
      <t xml:space="preserve">Number of screen-detected grade 3 </t>
    </r>
    <r>
      <rPr>
        <b/>
        <sz val="10"/>
        <rFont val="Calibri"/>
        <family val="2"/>
        <scheme val="minor"/>
      </rPr>
      <t xml:space="preserve">invasive </t>
    </r>
    <r>
      <rPr>
        <sz val="10"/>
        <rFont val="Calibri"/>
        <family val="2"/>
        <scheme val="minor"/>
      </rPr>
      <t>breast cancers diagnosed up to 31 Dec 1999 (prevalence and incidence)</t>
    </r>
  </si>
  <si>
    <r>
      <t xml:space="preserve">Number of all grade 3 </t>
    </r>
    <r>
      <rPr>
        <b/>
        <sz val="10"/>
        <rFont val="Calibri"/>
        <family val="2"/>
        <scheme val="minor"/>
      </rPr>
      <t xml:space="preserve">invasive </t>
    </r>
    <r>
      <rPr>
        <sz val="10"/>
        <rFont val="Calibri"/>
        <family val="2"/>
        <scheme val="minor"/>
      </rPr>
      <t>breast cancers diagnosed up to 31 Dec 1999 (Invited total)</t>
    </r>
  </si>
  <si>
    <r>
      <t xml:space="preserve">Diagnostic yield at screening (prevalence and incidence screens), </t>
    </r>
    <r>
      <rPr>
        <b/>
        <sz val="10"/>
        <rFont val="Calibri"/>
        <family val="2"/>
        <scheme val="minor"/>
      </rPr>
      <t>invasive and CIS</t>
    </r>
    <r>
      <rPr>
        <sz val="10"/>
        <rFont val="Calibri"/>
        <family val="2"/>
        <scheme val="minor"/>
      </rPr>
      <t xml:space="preserve"> breast cancers (up to 31 Dec 1999), per 1,000 women</t>
    </r>
  </si>
  <si>
    <t>Number of cancers that were screen-detected up to 31 Dec 1999, invasive and CIS breast cancers (prevalence and incidence)</t>
  </si>
  <si>
    <t>Number of women analysed in intervention arm</t>
  </si>
  <si>
    <t>Table 4 and text</t>
  </si>
  <si>
    <r>
      <t xml:space="preserve">Diagnostic yield at screening (prevalence and incidence screens), </t>
    </r>
    <r>
      <rPr>
        <b/>
        <sz val="10"/>
        <rFont val="Calibri"/>
        <family val="2"/>
        <scheme val="minor"/>
      </rPr>
      <t>invasive</t>
    </r>
    <r>
      <rPr>
        <sz val="10"/>
        <rFont val="Calibri"/>
        <family val="2"/>
        <scheme val="minor"/>
      </rPr>
      <t xml:space="preserve"> breast cancers (up to 31 Dec 1999), per 1,000 women</t>
    </r>
  </si>
  <si>
    <t>Moss 2005</t>
  </si>
  <si>
    <r>
      <t>Absolute incidence of</t>
    </r>
    <r>
      <rPr>
        <b/>
        <sz val="10"/>
        <rFont val="Calibri"/>
        <family val="2"/>
        <scheme val="minor"/>
      </rPr>
      <t xml:space="preserve"> CIS</t>
    </r>
    <r>
      <rPr>
        <sz val="10"/>
        <rFont val="Calibri"/>
        <family val="2"/>
        <scheme val="minor"/>
      </rPr>
      <t xml:space="preserve"> diagnosed up to 31 Dec 1999 (per 1,000 PY); Screening vs control</t>
    </r>
  </si>
  <si>
    <t>312,957 PY;
mean 5.8 years</t>
  </si>
  <si>
    <t>622,127 PY;
mean 5.8 years</t>
  </si>
  <si>
    <t>Person-years from study entry to 31 Dec 1999</t>
  </si>
  <si>
    <t>Table I</t>
  </si>
  <si>
    <r>
      <t xml:space="preserve">Absolute incidence of invasive breast cancers diagnosed up to 31 Dec 1999 that were </t>
    </r>
    <r>
      <rPr>
        <b/>
        <sz val="10"/>
        <rFont val="Calibri"/>
        <family val="2"/>
        <scheme val="minor"/>
      </rPr>
      <t>1-9 mm</t>
    </r>
    <r>
      <rPr>
        <sz val="10"/>
        <rFont val="Calibri"/>
        <family val="2"/>
        <scheme val="minor"/>
      </rPr>
      <t xml:space="preserve"> at diagnosis (per 1,000 PY); Screening vs control</t>
    </r>
  </si>
  <si>
    <t>Censored at date of death or diagnosis of breast cancer</t>
  </si>
  <si>
    <r>
      <t xml:space="preserve">Absolute incidence of invasive breast cancers diagnosed up to 31 Dec 1999 that were </t>
    </r>
    <r>
      <rPr>
        <b/>
        <sz val="10"/>
        <rFont val="Calibri"/>
        <family val="2"/>
        <scheme val="minor"/>
      </rPr>
      <t>10-14 mm</t>
    </r>
    <r>
      <rPr>
        <sz val="10"/>
        <rFont val="Calibri"/>
        <family val="2"/>
        <scheme val="minor"/>
      </rPr>
      <t xml:space="preserve"> at diagnosis (per 1,000 PY); Screening vs control</t>
    </r>
  </si>
  <si>
    <r>
      <t xml:space="preserve">Absolute incidence of invasive breast cancers diagnosed up to 31 Dec 1999 that were </t>
    </r>
    <r>
      <rPr>
        <b/>
        <sz val="10"/>
        <rFont val="Calibri"/>
        <family val="2"/>
        <scheme val="minor"/>
      </rPr>
      <t>15-19 mm</t>
    </r>
    <r>
      <rPr>
        <sz val="10"/>
        <rFont val="Calibri"/>
        <family val="2"/>
        <scheme val="minor"/>
      </rPr>
      <t xml:space="preserve"> at diagnosis (per 1,000 PY); Screening vs control</t>
    </r>
  </si>
  <si>
    <r>
      <t xml:space="preserve">Absolute incidence of invasive breast cancers diagnosed up to 31 Dec 1999 that were </t>
    </r>
    <r>
      <rPr>
        <b/>
        <sz val="10"/>
        <rFont val="Calibri"/>
        <family val="2"/>
        <scheme val="minor"/>
      </rPr>
      <t>20-29 mm</t>
    </r>
    <r>
      <rPr>
        <sz val="10"/>
        <rFont val="Calibri"/>
        <family val="2"/>
        <scheme val="minor"/>
      </rPr>
      <t xml:space="preserve"> at diagnosis (per 1,000 PY); Screening vs control</t>
    </r>
  </si>
  <si>
    <r>
      <t xml:space="preserve">Absolute incidence of invasive breast cancers diagnosed up to 31 Dec 1999 that were </t>
    </r>
    <r>
      <rPr>
        <b/>
        <sz val="10"/>
        <rFont val="Calibri"/>
        <family val="2"/>
        <scheme val="minor"/>
      </rPr>
      <t>30-49 mm</t>
    </r>
    <r>
      <rPr>
        <sz val="10"/>
        <rFont val="Calibri"/>
        <family val="2"/>
        <scheme val="minor"/>
      </rPr>
      <t xml:space="preserve"> at diagnosis (per 1,000 PY); Screening vs control</t>
    </r>
  </si>
  <si>
    <r>
      <t xml:space="preserve">Absolute incidence of invasive breast cancers diagnosed up to 31 Dec 1999 that were </t>
    </r>
    <r>
      <rPr>
        <b/>
        <sz val="10"/>
        <rFont val="Calibri"/>
        <family val="2"/>
      </rPr>
      <t>≥50</t>
    </r>
    <r>
      <rPr>
        <b/>
        <sz val="10"/>
        <rFont val="Calibri"/>
        <family val="2"/>
        <scheme val="minor"/>
      </rPr>
      <t xml:space="preserve"> mm</t>
    </r>
    <r>
      <rPr>
        <sz val="10"/>
        <rFont val="Calibri"/>
        <family val="2"/>
        <scheme val="minor"/>
      </rPr>
      <t xml:space="preserve"> at diagnosis (per 1,000 PY); Screening vs control</t>
    </r>
  </si>
  <si>
    <r>
      <t xml:space="preserve">Absolute incidence of invasive breast cancers diagnosed up to 31 Dec 1999 that were </t>
    </r>
    <r>
      <rPr>
        <b/>
        <sz val="10"/>
        <rFont val="Calibri"/>
        <family val="2"/>
        <scheme val="minor"/>
      </rPr>
      <t>classed as 'advanced' by one of the review panels</t>
    </r>
    <r>
      <rPr>
        <sz val="10"/>
        <rFont val="Calibri"/>
        <family val="2"/>
        <scheme val="minor"/>
      </rPr>
      <t xml:space="preserve"> at diagnosis (per 1,000 PY); Screening vs control</t>
    </r>
  </si>
  <si>
    <t xml:space="preserve">Advanced = Post Chemotherapy, Core biopsy, Diagnosis at death and Cytology only
cancers </t>
  </si>
  <si>
    <r>
      <t>Number of invasive breast cancers diagnosed up to 31 Dec 1999 that classed as</t>
    </r>
    <r>
      <rPr>
        <b/>
        <sz val="10"/>
        <rFont val="Calibri"/>
        <family val="2"/>
        <scheme val="minor"/>
      </rPr>
      <t xml:space="preserve"> 'advanced'</t>
    </r>
    <r>
      <rPr>
        <sz val="10"/>
        <rFont val="Calibri"/>
        <family val="2"/>
        <scheme val="minor"/>
      </rPr>
      <t xml:space="preserve"> by one of the review panels</t>
    </r>
  </si>
  <si>
    <r>
      <t xml:space="preserve">Text: A total of 68 cases (50 in the control arm and 18 in the intervention arm) have been classified as ‘advanced’ by one of the review panels on the basis of information from the pathology report on clinical details (e.g. treatment by chemotherapy of large tumour, cytology/core biopsy only). These are included in the </t>
    </r>
    <r>
      <rPr>
        <sz val="10"/>
        <rFont val="Calibri"/>
        <family val="2"/>
      </rPr>
      <t>≥</t>
    </r>
    <r>
      <rPr>
        <sz val="10"/>
        <rFont val="Calibri"/>
        <family val="2"/>
        <scheme val="minor"/>
      </rPr>
      <t>50mm category in Table 1.</t>
    </r>
  </si>
  <si>
    <r>
      <t>Absolute incidence of invasive breast cancers diagnosed up to 31 Dec 1999 that were &lt;</t>
    </r>
    <r>
      <rPr>
        <b/>
        <sz val="10"/>
        <rFont val="Calibri"/>
        <family val="2"/>
      </rPr>
      <t>20</t>
    </r>
    <r>
      <rPr>
        <b/>
        <sz val="10"/>
        <rFont val="Calibri"/>
        <family val="2"/>
        <scheme val="minor"/>
      </rPr>
      <t xml:space="preserve"> mm</t>
    </r>
    <r>
      <rPr>
        <sz val="10"/>
        <rFont val="Calibri"/>
        <family val="2"/>
        <scheme val="minor"/>
      </rPr>
      <t xml:space="preserve"> at diagnosis (per 1,000 PY); Screening vs control</t>
    </r>
  </si>
  <si>
    <r>
      <t xml:space="preserve">Absolute incidence of invasive breast cancers diagnosed up to 31 Dec 1999 that were </t>
    </r>
    <r>
      <rPr>
        <b/>
        <sz val="10"/>
        <rFont val="Calibri"/>
        <family val="2"/>
      </rPr>
      <t>≥20</t>
    </r>
    <r>
      <rPr>
        <b/>
        <sz val="10"/>
        <rFont val="Calibri"/>
        <family val="2"/>
        <scheme val="minor"/>
      </rPr>
      <t xml:space="preserve"> mm</t>
    </r>
    <r>
      <rPr>
        <sz val="10"/>
        <rFont val="Calibri"/>
        <family val="2"/>
        <scheme val="minor"/>
      </rPr>
      <t xml:space="preserve"> at diagnosis (per 1,000 PY); Screening vs control</t>
    </r>
  </si>
  <si>
    <t>Table 2 and text: Rates of cases &gt;=20mm are 12% lower in the intervention arm than in the control arm (RR 0.88, 95% CI 0.74–1.05).</t>
  </si>
  <si>
    <t>Missing size data from Table 1</t>
  </si>
  <si>
    <r>
      <t xml:space="preserve">Absolute incidence of invasive breast cancers diagnosed up to 31 Dec 1999 that were </t>
    </r>
    <r>
      <rPr>
        <b/>
        <sz val="10"/>
        <color theme="1"/>
        <rFont val="Calibri"/>
        <family val="2"/>
        <scheme val="minor"/>
      </rPr>
      <t>node-positive</t>
    </r>
    <r>
      <rPr>
        <sz val="10"/>
        <color theme="1"/>
        <rFont val="Calibri"/>
        <family val="2"/>
        <scheme val="minor"/>
      </rPr>
      <t>; Screening vs control</t>
    </r>
  </si>
  <si>
    <t>Table 2 and text: Rates of node-positive cancers are 11% lower (RR 0.89, 95% CI 0.72–1.10),…</t>
  </si>
  <si>
    <r>
      <t>Predicted breast cancer mortality in 10-year period from date of enty to trial (</t>
    </r>
    <r>
      <rPr>
        <b/>
        <sz val="10"/>
        <color theme="1"/>
        <rFont val="Calibri"/>
        <family val="2"/>
        <scheme val="minor"/>
      </rPr>
      <t>Nottingham prognostic index</t>
    </r>
    <r>
      <rPr>
        <sz val="10"/>
        <color theme="1"/>
        <rFont val="Calibri"/>
        <family val="2"/>
        <scheme val="minor"/>
      </rPr>
      <t>); adjusted for excess diagnosis; Screening vs control</t>
    </r>
  </si>
  <si>
    <t>Nottingham prognostic index (NPI) including  size, node status and grade</t>
  </si>
  <si>
    <t>Unknown prognostic index</t>
  </si>
  <si>
    <t>Predicted deaths in 10-year period from date of entry to trial (NPI)</t>
  </si>
  <si>
    <t>Number randomised</t>
  </si>
  <si>
    <t>Adjusted for excess diagnosis, using MST of 1.0 for NPI.</t>
  </si>
  <si>
    <t>Table 4 and text: There is a reduction in predicted breast cancer mortality in the intervention arm relative to the control arm of between 10 and 11% depending on the prognostic index used; the estimated reductions are of borderline statistical significance.</t>
  </si>
  <si>
    <t>Adjusted for excess diagnosis, using MST of 1.0 for NPI and EPI, 1.75 for S2C.</t>
  </si>
  <si>
    <r>
      <t>Predicted breast cancer mortality in 10-year period from date of enty to trial (</t>
    </r>
    <r>
      <rPr>
        <b/>
        <sz val="10"/>
        <color theme="1"/>
        <rFont val="Calibri"/>
        <family val="2"/>
        <scheme val="minor"/>
      </rPr>
      <t>Edinburgh prognostic index</t>
    </r>
    <r>
      <rPr>
        <sz val="10"/>
        <color theme="1"/>
        <rFont val="Calibri"/>
        <family val="2"/>
        <scheme val="minor"/>
      </rPr>
      <t>);  adjusted for excess diagnosis; Screening vs control</t>
    </r>
  </si>
  <si>
    <t>Edinburgh prognostic index (EPI) including  size, histological type, histological grade and node status/number
positive</t>
  </si>
  <si>
    <t>Predicted deaths in 10-year period from date of entry to trial (EPI)</t>
  </si>
  <si>
    <t>Adjusted for excess diagnosis, using MST of 1.0 for EPI.</t>
  </si>
  <si>
    <r>
      <t>Predicted breast cancer mortality in 10-year period from date of enty to trial (</t>
    </r>
    <r>
      <rPr>
        <b/>
        <sz val="10"/>
        <color theme="1"/>
        <rFont val="Calibri"/>
        <family val="2"/>
        <scheme val="minor"/>
      </rPr>
      <t>Swedish Two County index</t>
    </r>
    <r>
      <rPr>
        <sz val="10"/>
        <color theme="1"/>
        <rFont val="Calibri"/>
        <family val="2"/>
        <scheme val="minor"/>
      </rPr>
      <t>);  adjusted for excess diagnosis; Screening vs control</t>
    </r>
  </si>
  <si>
    <t>Swedish Two Country index (S2C) includes size, lymph node status, grade and histological type.</t>
  </si>
  <si>
    <t>Predicted deaths in 10-year period from date of entry to trial (S2C)</t>
  </si>
  <si>
    <t>Adjusted for excess diagnosis, using MST of 1.75 for S2C.</t>
  </si>
  <si>
    <t>% of breast cancers (grade 1-3) that were screen-detected (screening arm, intervention period, including non-attenders) (%)</t>
  </si>
  <si>
    <t>Grade 1-3</t>
  </si>
  <si>
    <t>Censored at date of breast cancer diagnosis</t>
  </si>
  <si>
    <t>Intervention period</t>
  </si>
  <si>
    <t>Number of grade 1, 2 or 3 breast cancers that were screen-detected in intervention period</t>
  </si>
  <si>
    <t>Number of all breast cancers (grade 1, 2 and 3) diagnosed in intervention period (screen-detected + symptomatic interval cancers + symptomatic in non-attenders) (includes only cancers with known grade)</t>
  </si>
  <si>
    <t>Text: Of those cancers in the intervention group diagnosed 
in the intervention phase, 171 (42%) of 406 grade 1 and 2 
cancers were screen-detected compared with 76 (23%) 
of 330 grade 3 cancers.</t>
  </si>
  <si>
    <t>% of high-grade breast cancers (grade 3) that were screen-detected (screening arm, intervention period, including non-attenders) (%)</t>
  </si>
  <si>
    <t>Grade 3</t>
  </si>
  <si>
    <t>Number of grade 3 breast cancers that were screen-detected in intervention period</t>
  </si>
  <si>
    <t>Number of all grade 3 breast cancers diagnosed in intervention period (screen-detected + symptomatic interval cancers + symptomatic in non-attenders) (includes only cancers with known grade)</t>
  </si>
  <si>
    <r>
      <t>Absolute incidence of invasive breast cancers diagnosed during the intervention period (before first NHSBSP screen) that were</t>
    </r>
    <r>
      <rPr>
        <b/>
        <sz val="10"/>
        <rFont val="Calibri"/>
        <family val="2"/>
        <scheme val="minor"/>
      </rPr>
      <t xml:space="preserve"> node negative</t>
    </r>
    <r>
      <rPr>
        <sz val="10"/>
        <rFont val="Calibri"/>
        <family val="2"/>
        <scheme val="minor"/>
      </rPr>
      <t xml:space="preserve"> at diagnosis (per 1,000 PY); Screening vs control</t>
    </r>
  </si>
  <si>
    <t xml:space="preserve">Up to the end of 2009 supplied to the triallists. In addition, pathology reviewed and the pathological variables reclassified by a panel of three expert breast pathologists. This included all cancers diagnosed in the intervention phase of the trial. </t>
  </si>
  <si>
    <t>2006?</t>
  </si>
  <si>
    <t>569,016 PY;
mean 10.6 years</t>
  </si>
  <si>
    <t>1,129,491 PY;
mean 10.6 years</t>
  </si>
  <si>
    <t>Node status unknown</t>
  </si>
  <si>
    <t>Number of invasive breast cancers diagnosed during the intervention period (before first NHSBSP screen) that were node negative at diagnosis</t>
  </si>
  <si>
    <t>Person-years from study entry to just before first NHSBSP screen (intervention period)</t>
  </si>
  <si>
    <t>Table 8 (denominator) and Table 9 (Numerator)</t>
  </si>
  <si>
    <r>
      <t>Absolute incidence of invasive breast cancers diagnosed during the intervention period (before first NHSBSP screen) that were</t>
    </r>
    <r>
      <rPr>
        <b/>
        <sz val="10"/>
        <rFont val="Calibri"/>
        <family val="2"/>
        <scheme val="minor"/>
      </rPr>
      <t xml:space="preserve"> node positive</t>
    </r>
    <r>
      <rPr>
        <sz val="10"/>
        <rFont val="Calibri"/>
        <family val="2"/>
        <scheme val="minor"/>
      </rPr>
      <t xml:space="preserve"> at diagnosis (per 1,000 PY); Screening vs control</t>
    </r>
  </si>
  <si>
    <t>Number of invasive breast cancers diagnosed during the intervention period (before first NHSBSP screen) that were node positive at diagnosis</t>
  </si>
  <si>
    <r>
      <t>Absolute incidence of invasive breast cancers diagnosed during the intervention period (before first NHSBSP screen) that were</t>
    </r>
    <r>
      <rPr>
        <b/>
        <sz val="10"/>
        <rFont val="Calibri"/>
        <family val="2"/>
        <scheme val="minor"/>
      </rPr>
      <t xml:space="preserve"> </t>
    </r>
    <r>
      <rPr>
        <sz val="10"/>
        <rFont val="Calibri"/>
        <family val="2"/>
      </rPr>
      <t>≤</t>
    </r>
    <r>
      <rPr>
        <b/>
        <sz val="10"/>
        <rFont val="Calibri"/>
        <family val="2"/>
        <scheme val="minor"/>
      </rPr>
      <t>20 mm</t>
    </r>
    <r>
      <rPr>
        <sz val="10"/>
        <rFont val="Calibri"/>
        <family val="2"/>
        <scheme val="minor"/>
      </rPr>
      <t xml:space="preserve"> at diagnosis; Screening vs control</t>
    </r>
  </si>
  <si>
    <r>
      <rPr>
        <sz val="10"/>
        <color theme="1"/>
        <rFont val="Calibri"/>
        <family val="2"/>
      </rPr>
      <t>≤</t>
    </r>
    <r>
      <rPr>
        <sz val="10"/>
        <color theme="1"/>
        <rFont val="Calibri"/>
        <family val="2"/>
        <scheme val="minor"/>
      </rPr>
      <t>20 mm</t>
    </r>
  </si>
  <si>
    <t>Unknown size</t>
  </si>
  <si>
    <r>
      <t xml:space="preserve">Number of invasive breast cancers diagnosed during the intervention period that were </t>
    </r>
    <r>
      <rPr>
        <sz val="10"/>
        <rFont val="Calibri"/>
        <family val="2"/>
      </rPr>
      <t>≤</t>
    </r>
    <r>
      <rPr>
        <sz val="10"/>
        <rFont val="Calibri"/>
        <family val="2"/>
        <scheme val="minor"/>
      </rPr>
      <t>20 mm at diagnosis</t>
    </r>
  </si>
  <si>
    <r>
      <t>Absolute incidence of invasive breast cancers diagnosed during the intervention period (before first NHSBSP screen)  that were</t>
    </r>
    <r>
      <rPr>
        <b/>
        <sz val="10"/>
        <rFont val="Calibri"/>
        <family val="2"/>
        <scheme val="minor"/>
      </rPr>
      <t xml:space="preserve"> &gt;20 mm</t>
    </r>
    <r>
      <rPr>
        <sz val="10"/>
        <rFont val="Calibri"/>
        <family val="2"/>
        <scheme val="minor"/>
      </rPr>
      <t xml:space="preserve"> at diagnosis; Screening vs control</t>
    </r>
  </si>
  <si>
    <t>&gt;20 mm</t>
  </si>
  <si>
    <t>Number of invasive breast cancers diagnosed during the intervention period that were &gt;20 mm at diagnosis</t>
  </si>
  <si>
    <r>
      <t xml:space="preserve">% of invasive breast cancers diagnosed during the intervention period (before first NHSBSP screen) that were </t>
    </r>
    <r>
      <rPr>
        <b/>
        <sz val="10"/>
        <rFont val="Calibri"/>
        <family val="2"/>
        <scheme val="minor"/>
      </rPr>
      <t>node positive</t>
    </r>
    <r>
      <rPr>
        <sz val="10"/>
        <rFont val="Calibri"/>
        <family val="2"/>
        <scheme val="minor"/>
      </rPr>
      <t xml:space="preserve"> at diagnosis; Screening vs control</t>
    </r>
  </si>
  <si>
    <t>Number of invasive breast cancers diagnosed during the intervention period that were node positive at diagnosis</t>
  </si>
  <si>
    <t>Number of invasive breast cancers diagnosed during the intervention period (before first NHSBSP screen) with information on node status (including cancers with unknown node status)</t>
  </si>
  <si>
    <r>
      <t>% of invasive breast cancers diagnosed during the intervention period (before first NHSBSP screen) that were</t>
    </r>
    <r>
      <rPr>
        <b/>
        <sz val="10"/>
        <rFont val="Calibri"/>
        <family val="2"/>
        <scheme val="minor"/>
      </rPr>
      <t xml:space="preserve"> &gt;20 mm</t>
    </r>
    <r>
      <rPr>
        <sz val="10"/>
        <rFont val="Calibri"/>
        <family val="2"/>
        <scheme val="minor"/>
      </rPr>
      <t xml:space="preserve"> at diagnosis; Screening vs control</t>
    </r>
  </si>
  <si>
    <t>Number of invasive breast cancers diagnosed during the intervention period (before first NHSBSP screen) with information on size (including cancers with unknown size)</t>
  </si>
  <si>
    <t>% of invasive breast cancers that are screen-detected during the intervention period (before first NHSBSP screen);
Screening arm only</t>
  </si>
  <si>
    <t>Unkown way of detection</t>
  </si>
  <si>
    <t>Number of invasive breast cancers during the intervention period (before first NHSBSP screen) that are screen-detected</t>
  </si>
  <si>
    <t>Number of invasive breast cancers diagnosed during the intervention period (before first NHSBSP screen)</t>
  </si>
  <si>
    <t>% of invasive, grade 3 breast cancers that are screen-detected during the intervention period (before first NHSBSP screen);
Screening arm only</t>
  </si>
  <si>
    <t>Unkown grade</t>
  </si>
  <si>
    <t>Number of invasive, grade 3 breast cancers during the intervention period (before first NHSBSP screen) that are screen-detected</t>
  </si>
  <si>
    <t>Number of invasive, grade 3 breast cancers diagnosed during the intervention period (before first NHSBSP screen)</t>
  </si>
  <si>
    <t>Diagnostic yield at screening (per 1,000 women); intervention period (before first NHSBSP screen);
Screening arm only</t>
  </si>
  <si>
    <t>Melamed 1984</t>
  </si>
  <si>
    <r>
      <t xml:space="preserve">Lung cancer mortality (per 100 men randomised); </t>
    </r>
    <r>
      <rPr>
        <b/>
        <sz val="10"/>
        <rFont val="Calibri"/>
        <family val="2"/>
        <scheme val="minor"/>
      </rPr>
      <t>lung cancer deaths + diagnostic procedure related deaths (lung cancer present)</t>
    </r>
    <r>
      <rPr>
        <sz val="10"/>
        <rFont val="Calibri"/>
        <family val="2"/>
        <scheme val="minor"/>
      </rPr>
      <t>; follow-up until ~1983 (within last 2 years of writing, published 1984);
Dual screen vs X-ray only</t>
    </r>
  </si>
  <si>
    <t>Contact by letter or telephone; cause of death  based on all available clinical, pathologic
and roentgenographic material, reviewed by a committee.</t>
  </si>
  <si>
    <t>Deaths from other causes</t>
  </si>
  <si>
    <t>~1983</t>
  </si>
  <si>
    <t>&gt;5-8 years</t>
  </si>
  <si>
    <t>Number "Dead of lung cancer" plus "Dead of diagnostic procedure-related causes (lung cancer present)" until ~1983</t>
  </si>
  <si>
    <t>Included the 144 and 144 confirmed lung cancer cases in the 'Dual screen' and 'X-ray only' groups, respectively.
Table 6 also reports on 13 and 8 probable lung cancer cases.</t>
  </si>
  <si>
    <r>
      <t xml:space="preserve">Lung cancer mortality (per 100 men randomised); </t>
    </r>
    <r>
      <rPr>
        <b/>
        <sz val="10"/>
        <rFont val="Calibri"/>
        <family val="2"/>
        <scheme val="minor"/>
      </rPr>
      <t>deaths from lung cancer only</t>
    </r>
    <r>
      <rPr>
        <sz val="10"/>
        <rFont val="Calibri"/>
        <family val="2"/>
        <scheme val="minor"/>
      </rPr>
      <t>; follow-up until ~1983 (within last 2 years of writing, published 1984);
Dual screen vs X-ray only</t>
    </r>
  </si>
  <si>
    <t>Number "Dead of lung cancer" until ~1983</t>
  </si>
  <si>
    <t>All-cause mortality (per 100 men randomised); follow-up until ~1983 (within last 2 years of writing, published 1984);
Dual screen vs X-ray only</t>
  </si>
  <si>
    <t>Number of deaths from all causes (up to ~1983)</t>
  </si>
  <si>
    <t>Text: At this writing, there have been 984 deaths from all
causes among the 10,040 men in the program. They are almost equally divided into 493 in the dual screen group, and 491 in the x-ray only group.</t>
  </si>
  <si>
    <t>Melamed 1987</t>
  </si>
  <si>
    <t>Lung cancer mortality (per 100 men randomised); lung cancer cases detected during active screening period or in 2-year postscreen period; "still being followed" (~1987)
Dual screen vs X-ray only</t>
  </si>
  <si>
    <t>~1987</t>
  </si>
  <si>
    <t>&gt;7-10 years</t>
  </si>
  <si>
    <t>Number of lung cancer deaths; follow-up time unclear (~1987, more than 7 years since randomisation)</t>
  </si>
  <si>
    <t>Text: At present, 226 men have died of lung cancer, 111 in the dual screen group and 115 in the chest radiograph only group.</t>
  </si>
  <si>
    <t>Lung cancer mortality (per 100 men randomised); follow-up until 9 years since study entry;
Dual screen vs X-ray only</t>
  </si>
  <si>
    <t>Annual questionnaire responses (or lack of response with further investigation to
determine whether death had occurred). Follow-up in person, by telephone,
from outside medical facilities, and from death certificates as required. Death certificates and relevant clinical records reviewed by a mortality review committee blinded to screening group.</t>
  </si>
  <si>
    <t>LTFU</t>
  </si>
  <si>
    <t>Number of lung cancer deaths; follow-up for 9 years since study entry</t>
  </si>
  <si>
    <t>Lung cancer mortality (per 100,000 PY); follow-up until 9 years since study entry;
Dual screen vs X-ray only</t>
  </si>
  <si>
    <t>Person years (follow-up for 9 years since study entry0</t>
  </si>
  <si>
    <t>Flehinger 1984</t>
  </si>
  <si>
    <t>Diagnostic yield at screening, per 100 men randomised (baseline screen);
Dual screen vs X-ray only</t>
  </si>
  <si>
    <t>Baseline screen</t>
  </si>
  <si>
    <t>Table 3 and text: Fifty-three men had confirmed lung cancer detected as a result of their initial screening examinations: 30 in the dual screen group, and 23 in the X-ray-only group.</t>
  </si>
  <si>
    <t>Absolute incidence of early-stage lung cancers (=completely resected), per 100 men randomised (baseline screen);
Dual screen vs X-ray only</t>
  </si>
  <si>
    <t>Completely resected</t>
  </si>
  <si>
    <t>Lung cancers that could be completely resected</t>
  </si>
  <si>
    <t>Number of lung cancers that could be completely resected (baseline screen)</t>
  </si>
  <si>
    <t>Table 3 and text: In the dual screen group, the “early” carcinomas, that is, those that could be completely resected, were detected by cytology alone or radiology alone in 15 of the 18 cases; conversely, two thirds of the cases detected by cytology alone (6 of 9)
or X-ray alone (9 of 14) were resectable.</t>
  </si>
  <si>
    <t>Includes only those resected cases in which there was no gross or microscopic evidence of residual carcinoma, or involvement of any resection margin. There were 7 cases resected incompletely by that definition, and they are not included as “complete resection.”</t>
  </si>
  <si>
    <t>Absolute incidence of stage I lung cancer (in situ + microinvasive + other), per 100 men randomised (baseline screen);
Dual screen vs X-ray only</t>
  </si>
  <si>
    <t>Number of stage I (in situ + invasive + other, AJCC 1st edition) lung cancers (baseline screen)</t>
  </si>
  <si>
    <t>All Stage I and II cases were postsurgical (pathologic) stages, with the exception of one man with in situ carcinoma established by
bronchoscopic biopsy, who could not tolerate thoracotomy because of poor pulmonary reserve.</t>
  </si>
  <si>
    <t>Absolute incidence of stage II lung cancer, per 100 men randomised (baseline screen);
Dual screen vs X-ray only</t>
  </si>
  <si>
    <t>Number of stage II (AJCC 1st edition) lung cancers (baseline screen)</t>
  </si>
  <si>
    <t>Absolute incidence of stage III lung cancer, per 100 men randomised (baseline screen);
Dual screen vs X-ray only</t>
  </si>
  <si>
    <t>Number of stage III (AJCC 1st edition) lung cancers (baseline screen)</t>
  </si>
  <si>
    <t>Absolute incidence of late stage (stage II-III) lung cancer, per 100 men randomised (baseline screen);
Dual screen vs X-ray only</t>
  </si>
  <si>
    <t>Stage II-III</t>
  </si>
  <si>
    <t>Number of stage II-III (AJCC 1st edition) lung cancers (baseline screen)</t>
  </si>
  <si>
    <t>% of lung cancers diagnosed at late stage (stage II-III) (baseline screen);
Dual screen vs X-ray only</t>
  </si>
  <si>
    <t>Number of lung cancers detected at baseline screen</t>
  </si>
  <si>
    <t>Diagnostic yield at screening, per 100 men randomised (incidence rounds);
Dual screen vs X-ray only</t>
  </si>
  <si>
    <t>1982</t>
  </si>
  <si>
    <t>5-8 years</t>
  </si>
  <si>
    <t>Number of screen-detected lung cancers (incidence rounds)</t>
  </si>
  <si>
    <t>Table 1, Table 2 and text: During the period of screening following the initial examination, a total of 235 cases of "incidence" lung
cancer have been confirmed, 114 in the dual screen group and 121 in the x-ray only group,for incidence rates of 3.7 and 3.8 cases per 1,000 man years, respectively.</t>
  </si>
  <si>
    <t>Diagnostic yield at screening, per 100 men randomised (baseline + incidence rounds);
Dual screen vs X-ray only</t>
  </si>
  <si>
    <t>Number of screen-detected lung cancers (baseline + incidence rounds)</t>
  </si>
  <si>
    <t>% of lung cancers that are screen-detected (baseline + incidence rounds);
Dual screen vs X-ray only</t>
  </si>
  <si>
    <t>Total number of lung cancers detected (screen-detected plus interval cancers)</t>
  </si>
  <si>
    <t>Absolute incidence of stage I lung cancer, per 100 men randomised (incidence rounds + interval cancers);
Dual screen vs X-ray only</t>
  </si>
  <si>
    <t>Number of stage I (AJCC 1st edition) lung cancers (incidence rounds with interval cancers)</t>
  </si>
  <si>
    <t>Table 3 and text: Forty-five of 114 (39 percent) of the dual screen group were stage I, and 50 of 121 (41 percent) in the x-ray only group.</t>
  </si>
  <si>
    <t>Absolute incidence of stage II lung cancer, per 100 men randomised (incidence rounds + interval cancers);
Dual screen vs X-ray only</t>
  </si>
  <si>
    <t>Number of stage II (AJCC 1st edition) lung cancers (incidence rounds with interval cancers)</t>
  </si>
  <si>
    <t>Absolute incidence of stage III lung cancer, per 100 men randomised (incidence rounds + interval cancers);
Dual screen vs X-ray only</t>
  </si>
  <si>
    <t>Number of stage III (AJCC 1st edition) lung cancers (incidence rounds with interval cancers)</t>
  </si>
  <si>
    <t>Absolute incidence of late stage (stage II-III) lung cancer, per 100 men randomised (incidence rounds + interval cancers);
Dual screen vs X-ray only</t>
  </si>
  <si>
    <t>Number of stage II-III (AJCC 1st edition) lung cancers (incidence rounds with interval cancers)</t>
  </si>
  <si>
    <t>% of lung cancers diagnosed at late stage (stage II-III) (incidence rounds + interval cancers);
Dual screen vs X-ray only</t>
  </si>
  <si>
    <t>Number of lung cancers detected at incidence rounds + interval cancers</t>
  </si>
  <si>
    <t>Absolute incidence of stage I lung cancer, per 100 men randomised (whole screening period);
Dual screen vs X-ray only</t>
  </si>
  <si>
    <t>Number of stage I (AJCC 1st edition) lung cancers (whole screening periods)</t>
  </si>
  <si>
    <t>Absolute incidence of stage II lung cancer, per 100 men randomised (whole screening period);
Dual screen vs X-ray only</t>
  </si>
  <si>
    <t>Number of stage II (AJCC 1st edition) lung cancers (whole screening periods)</t>
  </si>
  <si>
    <t>Absolute incidence of stage III lung cancer, per 100 men randomised (whole screening period);
Dual screen vs X-ray only</t>
  </si>
  <si>
    <t>Number of stage III (AJCC 1st edition) lung cancers (whole screening period)</t>
  </si>
  <si>
    <t>Absolute incidence of late stage (stage II-III) lung cancer, per 100 men randomised (whole screening period);
Dual screen vs X-ray only</t>
  </si>
  <si>
    <t>Number of stage II-III (AJCC 1st edition) lung cancers (whole screening periods)</t>
  </si>
  <si>
    <t>% of lung cancers diagnosed at late stage (stage II-III) (whole screening period);
Dual screen vs X-ray only</t>
  </si>
  <si>
    <t>Number of stage II-III (AJCC 1st edition) lung cancers (whole screening period)</t>
  </si>
  <si>
    <t>Number of lung cancers detected at prevalence screen, incidence screen or interval cancers (whole screening period)</t>
  </si>
  <si>
    <t>Absolute incidence of lung cancer with complete resection, per 100 men randomised (whole screening period);
Dual screen vs X-ray only</t>
  </si>
  <si>
    <t>Number of lung cancers with complete resection (whole screening periods)</t>
  </si>
  <si>
    <t>Absolute incidence of stage 0 lung cancers (per 100 men randomised); follow-up until 9 years since study entry;
Dual screen vs X-ray only</t>
  </si>
  <si>
    <t>Annual questionnaire responses (or lack of response with further investigation to determine whether death had occurred). Follow-up in person, by telephone,
from outside medical facilities, and from death certificates as required. Tumour stage obtained from medical records.</t>
  </si>
  <si>
    <t>T3N0M0 cancers
assigned a missing summary stage value</t>
  </si>
  <si>
    <t>Number of all stage 0 lung cancers (AJCC 6th edition); follow-up until 9 years since study entry</t>
  </si>
  <si>
    <t>T categories changed between the first (used during the trials) and 6th editions of the AJCC manual; tumors classified as T3 by the
older version represented either T3 or T4 cancers according
to the current version. This led to some uncertainty in
defining stage. For these purposes, all T3N0M0 cancers
(n = 28 [Hopkins]; n = 18 [Sloan-Kettering]) were assigned a missing summary stage value</t>
  </si>
  <si>
    <t>Absolute incidence of stage 1 lung cancers (per 100 men randomised); follow-up until 9 years since study entry;
Dual screen vs X-ray only</t>
  </si>
  <si>
    <t>Number of all stage 1 lung cancers (AJCC 6th edition); follow-up until 9 years since study entry</t>
  </si>
  <si>
    <t>Absolute incidence of stage 2 lung cancers (per 100 men randomised); follow-up until 9 years since study entry;
Dual screen vs X-ray only</t>
  </si>
  <si>
    <t>Number of all stage 2 lung cancers (AJCC 6th edition); follow-up until 9 years since study entry</t>
  </si>
  <si>
    <t>Absolute incidence of stage 3 lung cancers (per 100 men randomised); follow-up until 9 years since study entry;
Dual screen vs X-ray only</t>
  </si>
  <si>
    <t>Number of all stage 3 lung cancers (AJCC 6th edition); follow-up until 9 years since study entry</t>
  </si>
  <si>
    <t>Absolute incidence of stage 4 lung cancers (per 100 men randomised); follow-up until 9 years since study entry;
Dual screen vs X-ray only</t>
  </si>
  <si>
    <t>Stage 4</t>
  </si>
  <si>
    <t>Number of all stage 4 lung cancers (AJCC 6th edition); follow-up until 9 years since study entry</t>
  </si>
  <si>
    <t>Absolute incidence of late stage (stage 2-4) lung cancers (per 100 men randomised); follow-up until 9 years since study entry;
Dual screen vs X-ray only</t>
  </si>
  <si>
    <t>Number of all stage 2-4 lung cancers (AJCC 6th edition); follow-up until 9 years since study entry</t>
  </si>
  <si>
    <t>% of lung cancers diagnosed at late stage (stage 2-4); follow-up until 9 years since study entry;
Dual screen vs X-ray only</t>
  </si>
  <si>
    <t>Total number of lung cancers detected; follow-up until 9 years since study entry</t>
  </si>
  <si>
    <t>% of lung cancers that are screen-detected; follow-up until 9 years since study entry;
Dual screen vs X-ray only</t>
  </si>
  <si>
    <t>Number of screen-detected lung cacners; follow-up until 9 years since study entry</t>
  </si>
  <si>
    <t>Total number of lung cancers detected (screen-detected plus interval); follow-up until 9 years since study entry</t>
  </si>
  <si>
    <t>Infante 2009</t>
  </si>
  <si>
    <t>Lung cancer mortality (per 100 men); follow-up until 25 January 2008;
Screening vs another type of screening</t>
  </si>
  <si>
    <t>LDCT and clinical review (baseline: + chest X-ray + sputum cytology)</t>
  </si>
  <si>
    <t>Clinical review (baseline: + chest X-ray + sputum cytology)</t>
  </si>
  <si>
    <t>1. Copies from any medical records requested from family; 
2. Copy of clinical charts from the hospital where the patient was last admitted or died; 3. Written information from the family doctor’s records.
Investigators are not blinded to the cause of death nor to subjects’ allocation.</t>
  </si>
  <si>
    <t>Median 35.7 months 
(range 1.8–79.2)</t>
  </si>
  <si>
    <t>Median 31.5 months
 (range 5.5–73.0)</t>
  </si>
  <si>
    <t>Data not available</t>
  </si>
  <si>
    <t>Number of lung cancer deaths, up to 25 January 2008</t>
  </si>
  <si>
    <t>Figure 1, Table 2 and text: As of January 2008, a total of 20/60 patients (33%) died of lung cancer in the LDCT arm…
In the control arm, a total of 20/34 patients (59%) died of lung cancer…
Crude mortality data do not show any significant differences
as to lung cancer-specific mortality...</t>
  </si>
  <si>
    <t>All-cause mortality (per 100 men); follow-up until 25 January 2008;
Screening vs another type of screening</t>
  </si>
  <si>
    <t>Number of deaths from all causes, up to 25 January 2008</t>
  </si>
  <si>
    <t xml:space="preserve">Table 2 and text: 
Abstract: Twenty patients in the LDCT group (1.6%) and 20 controls (1.7%) died of lung cancer, whereas 26 and 25 died of other causes, respectively.
Crude mortality data do not show any significant differences as to lung cancer-specific mortality, mortality for competing causes, and overall mortality (Table 2).
</t>
  </si>
  <si>
    <t>Infante 2015</t>
  </si>
  <si>
    <t>Lung cancer mortality (per 100,000 PY) and hazard ratio (HR); follow-up until 15 May 2013;
Screening vs another type of screening</t>
  </si>
  <si>
    <t>Local health registries; death certificates were cross-checked with hospital records and/or with written reports provided by the attending physicians or by the family doctor. A panel blinded to patients’ assignment reviewed the clinical cases whenever several competing causes of death were possible.</t>
  </si>
  <si>
    <t>≤12 years</t>
  </si>
  <si>
    <t>Median 8.35 years</t>
  </si>
  <si>
    <t>Unknown cause</t>
  </si>
  <si>
    <t>Number of lung cancer deaths, up to 15 May 2013</t>
  </si>
  <si>
    <t>Person years (up to 15 May 2013)</t>
  </si>
  <si>
    <t>&gt; 0.05</t>
  </si>
  <si>
    <t>Table 4, Figure 2 and text: Lung cancer mortality was 543 per 100,000 personyears (95% confidence interval, 413–700) in the LDCT arm versus 544 per 100,000 person-years (95% CI, 410–709) in the control arm (hazard ratio, 0.993; 95% confidence interval, 0.688–1.433).
Lung cancer and all-cause mortality did not differ significantly
between the two arms.</t>
  </si>
  <si>
    <t>Active follow-up was terminated in February 2012, and vital status information as of May 15, 2013 was obtained through health registries for the whole study population, reaching a median follow-up of 8.35 years.</t>
  </si>
  <si>
    <t>Lung cancer mortality (per 100,000 PY) and rate ratio; follow-up until 15 May 2013;
Screening vs another type of screening</t>
  </si>
  <si>
    <t>Table 4 and text: Lung cancer mortality was 543 per 100,000 personyears (95% confidence interval, 413–700) in the LDCT arm versus 544 per 100,000 person-years (95% CI, 410–709) in the control arm...
Lung cancer and all-cause mortality did not differ significantly
between the two arms.</t>
  </si>
  <si>
    <t>Lung cancer mortality (per 100 men) and risk ratio (RR); follow-up until 15 May 2013;
Screening vs another type of screening</t>
  </si>
  <si>
    <t>Per 100 men</t>
  </si>
  <si>
    <t>Table 4 and text: Lung cancer and all-cause mortality did not differ significantly between the two arms.</t>
  </si>
  <si>
    <t>All-cause mortality (per 100,000 PY) and hazard ratio (HR); follow-up until 15 May 2013;
Screening vs another type of screening</t>
  </si>
  <si>
    <t>Number of deaths from all causes, up to 15 May 2013</t>
  </si>
  <si>
    <t>Table 4, Figure 3 and text: ... all-cause mortality rate was 1,655 per 100,000 person-years (95% CI, 1,422–1,916) versus 1,742 per 100,000 person-years (95% CI, 1,494–2,019) in
the control arm (HR, 0.947; 95% CI, 0.769–1.165)...
Lung cancer and all-cause mortality did not differ significantly between the two arms.</t>
  </si>
  <si>
    <t>All-cause mortality (per 100,000 PY) and rate ratio; follow-up until 15 May 2013;
Screening vs another type of screening</t>
  </si>
  <si>
    <t>Table 4 and text: ... all-cause mortality rate was 1,655 per 100,000 person-years (95% CI, 1,422–1,916) versus 1,742 per 100,000 person-years (95% CI, 1,494–2,019) in
the control arm (HR, 0.947; 95% CI, 0.769–1.165)...
Lung cancer and all-cause mortality did not differ significantly between the two arms.</t>
  </si>
  <si>
    <t>All-cause mortality (per 100 men); follow-up until 15 May 2013;
Screening vs another type of screening</t>
  </si>
  <si>
    <t>Infante 2008</t>
  </si>
  <si>
    <t>Absolute incidence of prevalent stage IA cancers at baseline screen (per 1,000 men);
screening vs another type of screening</t>
  </si>
  <si>
    <t>IA</t>
  </si>
  <si>
    <t>March 2001 to February 2006</t>
  </si>
  <si>
    <t>Number of stage IA lung cancers detected at baseline screen</t>
  </si>
  <si>
    <t>Absolute incidence of prevalent stage IB cancers at baseline screen (per 1,000 men);
screening vs another type of screening</t>
  </si>
  <si>
    <t>IB</t>
  </si>
  <si>
    <t>Number of stage IB lung cancers detected at baseline screen</t>
  </si>
  <si>
    <t>Absolute incidence of prevalent stage I cancers at baseline screen (per 1,000 men);
screening vs another type of screening</t>
  </si>
  <si>
    <t>Number of stage I (=IA+IB) lung cancers detected at baseline screen</t>
  </si>
  <si>
    <t>Table 3 and text: Overall, lung cancer prevalence in the control arm was 0.67% (8/1196) with 4/8 (50%0 stage I disease, while the prevalence in the spiral CT group was 2.19% (28/1276) with 16/28 (57%) stage I cancer, respectively.</t>
  </si>
  <si>
    <t>Absolute incidence of prevalent stage IIA cancers at baseline screen (per 1,000 men);
screening vs another type of screening</t>
  </si>
  <si>
    <t>IIA</t>
  </si>
  <si>
    <t>Number of stage IIA lung cancers detected at baseline screen</t>
  </si>
  <si>
    <t>Absolute incidence of prevalent stage IIB cancers at baseline screen (per 1,000 men);
screening vs another type of screening</t>
  </si>
  <si>
    <t>IIB</t>
  </si>
  <si>
    <t>Number of stage IIB lung cancers detected at baseline screen</t>
  </si>
  <si>
    <t>Absolute incidence of prevalent stage IIIA cancers at baseline screen (per 1,000 men);
screening vs another type of screening</t>
  </si>
  <si>
    <t>IIIA</t>
  </si>
  <si>
    <t>Number of stage IIIA lung cancers detected at baseline screen</t>
  </si>
  <si>
    <t>Absolute incidence of prevalent stage IIIB cancers at baseline screen (per 1,000 men);
screening vs another type of screening</t>
  </si>
  <si>
    <t>IIIB</t>
  </si>
  <si>
    <t>Number of stage IIIB lung cancers detected at baseline screen</t>
  </si>
  <si>
    <t>Absolute incidence of prevalent stage IV cancers at baseline screen (per 1,000 men);
screening vs another type of screening</t>
  </si>
  <si>
    <t>Number of stage IV lung cancers detected at baseline screen</t>
  </si>
  <si>
    <t>Diagnostic yield at screening (baseline screen) (per 100 men randomised);
Screening vs another type of screening</t>
  </si>
  <si>
    <t>Figure 1 and text: Overall, lung cancer prevalence in the control arm was 0.67% (8/1196) with 4/8 (50%) stage I disease, while the
prevalence in the spiral CT group was 2.19% (28/1276) with
16/28 (57%) stage I cancer, respectively.</t>
  </si>
  <si>
    <t>Absolute incidence of all stage I lung cancers diagnosed up to 25 January 2008 (per 100 men);
screening vs another type of screening</t>
  </si>
  <si>
    <t>Stage IIIB-IV</t>
  </si>
  <si>
    <t>Hospital records or the family physician's records if the patient did not die in hospital</t>
  </si>
  <si>
    <t>Number of stage I lung cancers diagnosed up to 25 January 2008</t>
  </si>
  <si>
    <t>Figure 1, Table 3 and text: A higher number and proportion of patients with stage I disease were observed the LDCT arm, reaching statistical significance.</t>
  </si>
  <si>
    <t>As of January 25, 2008, the median follow-up was 33.7
months (range, 1.8–79.2) for the entire study population, with
161 subjects or 6.5% having 5 years or more follow-up.</t>
  </si>
  <si>
    <t>Absolute incidence of stage IA lung cancers diagnosed up to 25 January 2008 (per 100 men);
screening vs another type of screening</t>
  </si>
  <si>
    <t>Number of stage IA lung cancers diagnosed up to 25 January 2008</t>
  </si>
  <si>
    <t>Absolute incidence of stage IB lung cancers diagnosed up to 25 January 2008 (per 100 men);
screening vs another type of screening</t>
  </si>
  <si>
    <t>Number of stage IB lung cancers diagnosed up to 25 January 2008</t>
  </si>
  <si>
    <t>Absolute incidence of all stage II lung cancers diagnosed up to 25 January 2008 (per 100 men);
screening vs another type of screening</t>
  </si>
  <si>
    <t>Number of stage II lung cancers diagnosed up to 25 January 2008</t>
  </si>
  <si>
    <t>Absolute incidence of stage IIIA lung cancers diagnosed up to 25 January 2008 (per 100 men);
screening vs another type of screening</t>
  </si>
  <si>
    <t>Number of stage IIIA lung cancers diagnosed up to 25 January 2008</t>
  </si>
  <si>
    <t>Absolute incidence of stage IIIB lung cancers diagnosed up to 25 January 2008 (per 100 men);
screening vs another type of screening</t>
  </si>
  <si>
    <t>Number of stage IIIB lung cancers diagnosed up to 25 January 2008</t>
  </si>
  <si>
    <t>Absolute incidence of stage IV lung cancers diagnosed up to 25 January 2008 (per 100 men);
screening vs another type of screening</t>
  </si>
  <si>
    <t>Number of stage IV lung cancers diagnosed up to 25 January 2008</t>
  </si>
  <si>
    <t>Absolute incidence of stage IIIB-IV lung cancers diagnosed up to 25 January 2008 (per 100 men);
screening vs another type of screening</t>
  </si>
  <si>
    <t>Stage IIIB- IV</t>
  </si>
  <si>
    <t>Number of stage IIIB-IV lung cancers diagnosed up to 25 January 2008</t>
  </si>
  <si>
    <t>Table 3 and text: 
However, the absolute number of patients with advanced lung cancer (stage IIIB–IV) that was detected during the study period was identical in both arms.</t>
  </si>
  <si>
    <t>% of lung cancers diagnosed at late stage (stage IIIB-IV) up to 25 January 2008;
screening vs another type of screening</t>
  </si>
  <si>
    <t>% of lung cancers that are screen-detected (5 screening rounds); follow-up until 25 January 2008;
Screening vs another type of screening</t>
  </si>
  <si>
    <t>Trial data, hospital records or family physician's records</t>
  </si>
  <si>
    <t>Number of screen-detected lung cancers (5 screening rounds; follow-up until January 2008)</t>
  </si>
  <si>
    <t>Number of all lung cancers detected (screen-detected + symptomatic); follow-up until January 2008</t>
  </si>
  <si>
    <t>Figure 1 and text: In the LDCT arm, the majority of patients (78%) were diagnosed with lung cancer by a screening procedure, i.e., 28
(46%) at the baseline screen...  and 32% by follow-up CT,
whereas 10 (16.7%) interval cases were diagnosed during the
observation period due to symptoms or for other reasons, and 3
more after the planned five screening rounds.
In the control arm, 8 (23%) cases were detected at the baseline
screen by a chest radiograph, 9% were suspected clinically during
a scheduled annual examination, and 68% were detected due to
symptoms or other reasons.</t>
  </si>
  <si>
    <t>Absolute incidence of all stage I lung cancers diagnosed up to 15 May 2013 (per 100 men); 
screening vs another type of screening</t>
  </si>
  <si>
    <t>Missing (diagnosis established clinically or obtained by a death certificate)</t>
  </si>
  <si>
    <t>Number of stage I lung cancers diagnosed up to 15 May 2013</t>
  </si>
  <si>
    <t>Table 3 and text, At a glance commentary: … stage I lung cancer was detected in 47 out of 1,264 participants (3.72%) in the LDCT arm and in 16 out of 1,186 (1.35%) in the control arm.
A significantly higher number and proportion of patients with stage IA–IB primary lung cancer was observed the spiral CT arm than in the control arm (47 vs. 16; P = 0.0002),</t>
  </si>
  <si>
    <t>Absolute incidence of stage IA lung cancers diagnosed up to 15 May 2013 (per 100 men); 
screening vs another type of screening</t>
  </si>
  <si>
    <t>Number of stage IA lung cancers diagnosed up to 15 May 2013</t>
  </si>
  <si>
    <t>Absolute incidence of stage IB lung cancers diagnosed up to 15 May 2013 (per 100 men); 
screening vs another type of screening</t>
  </si>
  <si>
    <t>Number of stage IB lung cancers diagnosed up to 15 May 2013</t>
  </si>
  <si>
    <t>Absolute incidence of stage II lung cancers diagnosed up to 15 May 2013 (per 100 men); 
screening vs another type of screening</t>
  </si>
  <si>
    <t>Number of stage II lung cancers diagnosed up to 15 May 2013</t>
  </si>
  <si>
    <t>Absolute incidence of stage IIIA lung cancers diagnosed up to 15 May 2013 (per 100 men); 
screening vs another type of screening</t>
  </si>
  <si>
    <t>Number of stage IIIA lung cancers diagnosed up to 15 May 2013</t>
  </si>
  <si>
    <t>Absolute incidence of stage IIIB lung cancers diagnosed up to 15 May 2013 (per 100 men); 
screening vs another type of screening</t>
  </si>
  <si>
    <t>Number of stage IIIB lung cancers diagnosed up to 15 May 2013</t>
  </si>
  <si>
    <t>Absolute incidence of stage IV lung cancers diagnosed up to 15 May 2013 (per 100 men); 
screening vs another type of screening</t>
  </si>
  <si>
    <t>Number of stage IV lung cancers diagnosed up to 15 May 2013</t>
  </si>
  <si>
    <t>% of lung cancers diagnosed at late stage (stage IV), up to 15 May 2013; 
screening vs another type of screening</t>
  </si>
  <si>
    <t>Total number of lung cancers diagnosed up to 15 May 2013</t>
  </si>
  <si>
    <t>Table 3 and Table E3</t>
  </si>
  <si>
    <t>Absolute incidence of stage II-IV lung cancers diagnosed up to 15 May 2013 (per 100 men); 
screening vs another type of screening</t>
  </si>
  <si>
    <t>Stage II-IV</t>
  </si>
  <si>
    <t>Number of stage II-IV lung cancers diagnosed up to 15 May 2013</t>
  </si>
  <si>
    <t xml:space="preserve">Table 3 and text: … whereas patients with stage II–IV lung cancer accounted for 50 cases in each arm. </t>
  </si>
  <si>
    <t>% of lung cancers diagnosed at late stage (stage II-IV) lung cancers diagnosed up to 15 May 2013; 
screening vs another type of screening</t>
  </si>
  <si>
    <t>% of lung cancers that are screen-detected (5 screening rounds); follow-up until 15 May 2013;
Screening vs another type of screening</t>
  </si>
  <si>
    <t>Number of screen-detected lung cancers (5 screening rounds; follow-up until 15 May 2013)</t>
  </si>
  <si>
    <t>Number of all lung cancers detected (screen-detected + symptomatic); follow-up until February 2012</t>
  </si>
  <si>
    <t>Text: Overall, 66 of 104 patients (63%) were diagnosed with lung cancer by a screening CT, and one patient was diagnosed with lung cancer by sputum cytology. Thirteen patients were diagnosed
with lung cancer due to symptoms between two screening rounds, two patients who did not comply with the screening protocol were diagnosed for other reasons within 5 years of recruitment, and two patients were diagnosed for other reasons within 1 year
from the final screening round. Finally, 20 patients were diagnosed more than 1 year after their final negative CT scan...
Ten out of 72 (14%) patients were diagnosed with lung cancer by CXR and/ or sputum at baseline, three (4%) were detected clinically during a scheduled annual review, and 59 (84%) were detected due to symptoms or other reasons,...</t>
  </si>
  <si>
    <t>Table 3 and text: Ten out of 72 (14%) patients were diagnosed with lung cancer by CXR and/or sputum at baseline.</t>
  </si>
  <si>
    <t>870,094 PY</t>
  </si>
  <si>
    <t>869,526 PY</t>
  </si>
  <si>
    <t>Figure 1; person years from text: For colorectal cancer, for both genders combined, there were ... 870,094 person-years of observation in the intervention arm...  869,526 person-years in the control arm…</t>
  </si>
  <si>
    <t>Becker 2020</t>
  </si>
  <si>
    <t>All-cause mortality (per 1,000 people) (Risk ratio); 1 year since randomisation</t>
  </si>
  <si>
    <t>Record linkage with municipal population registers; death certificates from registers of the local health authorities; personal contact when linkage to registers failed (n=39).
Physicians who had certified death were contacted for details, particularly on a possible diagnosis of lung cancer. 
End point committee classified potential lung cancer deaths with full blinding.</t>
  </si>
  <si>
    <t>Losses to follow-up, other cause death</t>
  </si>
  <si>
    <t>Number of deaths from all causes within 1 year since randomisation</t>
  </si>
  <si>
    <t>Follow-up for lung cancer mortality is complete for all study participants till April 30, 2018, which corresponds to 7 years postrandomization for all study participants</t>
  </si>
  <si>
    <t>All-cause mortality (per 1,000 people) (Risk ratio); 2 years since randomisation</t>
  </si>
  <si>
    <t>Number of ldeaths from all causes within 2 years since randomisation</t>
  </si>
  <si>
    <t>All-cause mortality (per 1,000 people) (Risk ratio); 3 years since randomisation</t>
  </si>
  <si>
    <t>Number of deaths from all causes within 3 years since randomisation</t>
  </si>
  <si>
    <t>All-cause mortality (per 1,000 people) (Risk ratio); 4 years since randomisation</t>
  </si>
  <si>
    <t>Number of deaths from all causes within 4 years since randomisation</t>
  </si>
  <si>
    <t>All-cause mortality (per 1,000 people) (Risk ratio); 5 years since randomisation</t>
  </si>
  <si>
    <t>Number ofdeaths from all causes within 5 years since randomisation</t>
  </si>
  <si>
    <t>All-cause mortality (per 1,000 people) (Risk ratio); 6 years since randomisation</t>
  </si>
  <si>
    <t>Number of deaths from all causes within 6 years since randomisation</t>
  </si>
  <si>
    <t>All-cause mortality (per 1,000 people) (Risk ratio); 7 years since randomisation</t>
  </si>
  <si>
    <t>Number of deaths from all causes within 7 years since randomisation</t>
  </si>
  <si>
    <t>All-cause mortality (per 1,000 people) (Risk ratio); 8 years since randomisation</t>
  </si>
  <si>
    <t>Number of deaths from all causes within 8 years since randomisation</t>
  </si>
  <si>
    <t>Follow-up was only partially complete until April 2018.</t>
  </si>
  <si>
    <t>All-cause mortality (per 1,000 people) (Risk ratio); 9 years since randomisation</t>
  </si>
  <si>
    <t>Number of deaths from all causes within 9 years since randomisation</t>
  </si>
  <si>
    <t>All-cause mortality (per 1,000 people) (Risk ratio); 10 years since randomisation</t>
  </si>
  <si>
    <t>Number of deaths from all causes within 10 years since randomisation</t>
  </si>
  <si>
    <t>All-cause mortality (per 1,000 people) (Risk ratio); follow-up until 30 April 2018 (within 11 years of randomisation)</t>
  </si>
  <si>
    <t>30/04/2018</t>
  </si>
  <si>
    <t>Median 8.89 years</t>
  </si>
  <si>
    <t>Number of deaths from all causes; follow-up until 30 April 2018</t>
  </si>
  <si>
    <t>All-cause mortality (per 1,000 people) (Hazard ratio); follow-up until 30 April 2018 (within 11 years after randomisation)</t>
  </si>
  <si>
    <t>Figure 4 and text: LDCT screening had no significant
impact on all-cause mortality (for men and women
combined, HR = 0.99 [95% CI: 0.79–1.25], p = 0.95</t>
  </si>
  <si>
    <t>Lung cancer mortality (per 1,000 people) (Risk ratio); 1 year since randomisation</t>
  </si>
  <si>
    <t>Number of lung cancer deaths within 1 year since randomisation</t>
  </si>
  <si>
    <t>Figure 3a</t>
  </si>
  <si>
    <t>Lung cancer mortality (per 1,000 people) (Risk ratio); 2 years since randomisation</t>
  </si>
  <si>
    <t>Number of lung cancer deaths within 2 years since randomisation</t>
  </si>
  <si>
    <t>Lung cancer mortality (per 1,000 people) (Risk ratio); 3 years since randomisation</t>
  </si>
  <si>
    <t>Number of lung cancer deaths within 3 years since randomisation</t>
  </si>
  <si>
    <t>Lung cancer mortality (per 1,000 people) (Risk ratio); 4 years since randomisation</t>
  </si>
  <si>
    <t>Number of lung cancer deaths within 4 years since randomisation</t>
  </si>
  <si>
    <t>Lung cancer mortality (per 1,000 people) (Risk ratio); 5 years since randomisation</t>
  </si>
  <si>
    <t>Number of lung cancer deaths within 5 years since randomisation</t>
  </si>
  <si>
    <t>Lung cancer mortality (per 1,000 people) (Risk ratio); 6 years since randomisation</t>
  </si>
  <si>
    <t>Number of lung cancer deaths within 6 years since randomisation</t>
  </si>
  <si>
    <t>Lung cancer mortality (per 1,000 people) (Risk ratio); 7 years since randomisation</t>
  </si>
  <si>
    <t>Number of lung cancer deaths within 7 years since randomisation</t>
  </si>
  <si>
    <t>Lung cancer mortality (per 1,000 people) (Risk ratio); 8 years since randomisation</t>
  </si>
  <si>
    <t>Number of lung cancer deaths within 8 years since randomisation</t>
  </si>
  <si>
    <t>Lung cancer mortality (per 1,000 people) (Risk ratio); 9 years since randomisation</t>
  </si>
  <si>
    <t>Number of lung cancer deaths within 9 years since randomisation</t>
  </si>
  <si>
    <t>Lung cancer mortality (per 1,000 people) (Risk ratio); 10 years since randomisation</t>
  </si>
  <si>
    <t>Number of lung cancer deaths within 10 years since randomisation</t>
  </si>
  <si>
    <t>Lung cancer mortality (per 1,000 people) (Hazard ratio); follow-up until 30 April 2018 (within 11 years of randomisation)</t>
  </si>
  <si>
    <t>Unspecified (R, Leading character of the respective ICD10 group)</t>
  </si>
  <si>
    <t>Number of lung cancer deaths; follow-up until 30 April 2018</t>
  </si>
  <si>
    <t>Figure 3a and abstract: Over an average observation time of 8.8 years after randomization, the hazard ratio for lung cancer mortality was 0.74 (95% CI: 0.46–1.19; p = 0.21) among men and women combined</t>
  </si>
  <si>
    <t>Lung cancer mortality (per 1,000 people) (Risk ratio); follow-up until 30 April 2018 (within 11 years of randomisation)</t>
  </si>
  <si>
    <r>
      <t xml:space="preserve">Lung cancer mortality (per 1,000 people) (Risk ratio); 1 year since randomisation;
</t>
    </r>
    <r>
      <rPr>
        <b/>
        <sz val="10"/>
        <rFont val="Calibri"/>
        <family val="2"/>
        <scheme val="minor"/>
      </rPr>
      <t>Men only</t>
    </r>
  </si>
  <si>
    <t>Number of lung cancer deaths within 1 year since randomisation in men</t>
  </si>
  <si>
    <t>Figure 3b</t>
  </si>
  <si>
    <r>
      <t xml:space="preserve">Lung cancer mortality (per 1,000 people) (Risk ratio); 2 years since randomisation;
</t>
    </r>
    <r>
      <rPr>
        <b/>
        <sz val="10"/>
        <rFont val="Calibri"/>
        <family val="2"/>
        <scheme val="minor"/>
      </rPr>
      <t>Men only</t>
    </r>
  </si>
  <si>
    <t>Number of lung cancer deaths within 2 years since randomisation in men</t>
  </si>
  <si>
    <r>
      <t xml:space="preserve">Lung cancer mortality (per 1,000 people) (Risk ratio); 3 years since randomisation;
</t>
    </r>
    <r>
      <rPr>
        <b/>
        <sz val="10"/>
        <rFont val="Calibri"/>
        <family val="2"/>
        <scheme val="minor"/>
      </rPr>
      <t>Men only</t>
    </r>
  </si>
  <si>
    <t>Number of lung cancer deaths within 3 years since randomisation in men</t>
  </si>
  <si>
    <r>
      <t xml:space="preserve">Lung cancer mortality (per 1,000 people) (Risk ratio); 4 years since randomisation;
</t>
    </r>
    <r>
      <rPr>
        <b/>
        <sz val="10"/>
        <rFont val="Calibri"/>
        <family val="2"/>
        <scheme val="minor"/>
      </rPr>
      <t>Men only</t>
    </r>
  </si>
  <si>
    <t>Number of lung cancer deaths within 4 years since randomisation in men</t>
  </si>
  <si>
    <r>
      <t xml:space="preserve">Lung cancer mortality (per 1,000 people) (Risk ratio); 5 years since randomisation;
</t>
    </r>
    <r>
      <rPr>
        <b/>
        <sz val="10"/>
        <rFont val="Calibri"/>
        <family val="2"/>
        <scheme val="minor"/>
      </rPr>
      <t>Men only</t>
    </r>
  </si>
  <si>
    <t>Number of lung cancer deaths within 5 years since randomisation in men</t>
  </si>
  <si>
    <r>
      <t xml:space="preserve">Lung cancer mortality (per 1,000 people) (Risk ratio); 6 years since randomisation;
</t>
    </r>
    <r>
      <rPr>
        <b/>
        <sz val="10"/>
        <rFont val="Calibri"/>
        <family val="2"/>
        <scheme val="minor"/>
      </rPr>
      <t>Men only</t>
    </r>
  </si>
  <si>
    <t>Number of lung cancer deaths within 6 years since randomisation in men</t>
  </si>
  <si>
    <r>
      <t xml:space="preserve">Lung cancer mortality (per 1,000 people) (Risk ratio); 7 years since randomisation;
</t>
    </r>
    <r>
      <rPr>
        <b/>
        <sz val="10"/>
        <rFont val="Calibri"/>
        <family val="2"/>
        <scheme val="minor"/>
      </rPr>
      <t>Men only</t>
    </r>
  </si>
  <si>
    <t>Number of lung cancer deaths within 7 years since randomisation in men</t>
  </si>
  <si>
    <r>
      <t xml:space="preserve">Lung cancer mortality (per 1,000 people) (Risk ratio); 8 years since randomisation;
</t>
    </r>
    <r>
      <rPr>
        <b/>
        <sz val="10"/>
        <rFont val="Calibri"/>
        <family val="2"/>
        <scheme val="minor"/>
      </rPr>
      <t>Men only</t>
    </r>
  </si>
  <si>
    <t>Number of lung cancer deaths within 8 years since randomisation in men</t>
  </si>
  <si>
    <r>
      <t xml:space="preserve">Lung cancer mortality (per 1,000 people) (Risk ratio); 9 years since randomisation;
</t>
    </r>
    <r>
      <rPr>
        <b/>
        <sz val="10"/>
        <rFont val="Calibri"/>
        <family val="2"/>
        <scheme val="minor"/>
      </rPr>
      <t>Men only</t>
    </r>
  </si>
  <si>
    <t>Number of lung cancer deaths within 9 years since randomisation in men</t>
  </si>
  <si>
    <r>
      <t xml:space="preserve">Lung cancer mortality (per 1,000 people) (Risk ratio); 10 years since randomisation;
</t>
    </r>
    <r>
      <rPr>
        <b/>
        <sz val="10"/>
        <rFont val="Calibri"/>
        <family val="2"/>
        <scheme val="minor"/>
      </rPr>
      <t>Men only</t>
    </r>
  </si>
  <si>
    <t>Number of lung cancer deaths within 10 years since randomisation in men</t>
  </si>
  <si>
    <r>
      <t xml:space="preserve">Lung cancer mortality (per 1,000 people) (Risk ratio); follow-up until 30 April 2018 (within 11 years of randomisation);
</t>
    </r>
    <r>
      <rPr>
        <b/>
        <sz val="10"/>
        <rFont val="Calibri"/>
        <family val="2"/>
        <scheme val="minor"/>
      </rPr>
      <t>Men only</t>
    </r>
  </si>
  <si>
    <t>Number of lung cancer deaths in men; follow-up until 30 April 2018</t>
  </si>
  <si>
    <r>
      <t xml:space="preserve">Lung cancer mortality (per 1,000 people) (Hazard ratio); follow-up until 30 April 2018 (within 11 years of randomisation);
</t>
    </r>
    <r>
      <rPr>
        <b/>
        <sz val="10"/>
        <rFont val="Calibri"/>
        <family val="2"/>
        <scheme val="minor"/>
      </rPr>
      <t>Men only</t>
    </r>
  </si>
  <si>
    <t>Figure 3b and text: Separate analyses by sex showed a statistically significant reduction in lung cancer mortality among women (HR = 0.31 [95% CI: 0.10–0.96], p = 0.04), but not among men (HR = 0.94 [95% CI: 0.54–1.61],
p = 0.81)</t>
  </si>
  <si>
    <r>
      <t xml:space="preserve">Lung cancer mortality (per 1,000 people) (Risk ratio); 1 year since randomisation;
</t>
    </r>
    <r>
      <rPr>
        <b/>
        <sz val="10"/>
        <rFont val="Calibri"/>
        <family val="2"/>
        <scheme val="minor"/>
      </rPr>
      <t>Women only</t>
    </r>
  </si>
  <si>
    <t>Number of lung cancer deaths within 1 year since randomisation in women</t>
  </si>
  <si>
    <r>
      <t xml:space="preserve">Lung cancer mortality (per 1,000 people) (Risk ratio); 2 years since randomisation;
</t>
    </r>
    <r>
      <rPr>
        <b/>
        <sz val="10"/>
        <rFont val="Calibri"/>
        <family val="2"/>
        <scheme val="minor"/>
      </rPr>
      <t>Women only</t>
    </r>
  </si>
  <si>
    <t>Number of lung cancer deaths within 2 years since randomisation in women</t>
  </si>
  <si>
    <r>
      <t xml:space="preserve">Lung cancer mortality (per 1,000 people) (Risk ratio); 3 years since randomisation;
</t>
    </r>
    <r>
      <rPr>
        <b/>
        <sz val="10"/>
        <rFont val="Calibri"/>
        <family val="2"/>
        <scheme val="minor"/>
      </rPr>
      <t>Women only</t>
    </r>
  </si>
  <si>
    <t>Number of lung cancer deaths within 3 years since randomisation in women</t>
  </si>
  <si>
    <r>
      <t xml:space="preserve">Lung cancer mortality (per 1,000 people) (Risk ratio); 4 years since randomisation;
</t>
    </r>
    <r>
      <rPr>
        <b/>
        <sz val="10"/>
        <rFont val="Calibri"/>
        <family val="2"/>
        <scheme val="minor"/>
      </rPr>
      <t>Women only</t>
    </r>
  </si>
  <si>
    <t>Number of lung cancer deaths within 4 years since randomisation in women</t>
  </si>
  <si>
    <r>
      <t xml:space="preserve">Lung cancer mortality (per 1,000 people) (Risk ratio); 5 years since randomisation;
</t>
    </r>
    <r>
      <rPr>
        <b/>
        <sz val="10"/>
        <rFont val="Calibri"/>
        <family val="2"/>
        <scheme val="minor"/>
      </rPr>
      <t>Women only</t>
    </r>
  </si>
  <si>
    <t>Number of lung cancer deaths within 5 years since randomisation in women</t>
  </si>
  <si>
    <r>
      <t xml:space="preserve">Lung cancer mortality (per 1,000 people) (Risk ratio); 6 years since randomisation;
</t>
    </r>
    <r>
      <rPr>
        <b/>
        <sz val="10"/>
        <rFont val="Calibri"/>
        <family val="2"/>
        <scheme val="minor"/>
      </rPr>
      <t>Women only</t>
    </r>
  </si>
  <si>
    <t>Number of lung cancer deaths within 6 years since randomisation in women</t>
  </si>
  <si>
    <r>
      <t xml:space="preserve">Lung cancer mortality (per 1,000 people) (Risk ratio); 7 years since randomisation;
</t>
    </r>
    <r>
      <rPr>
        <b/>
        <sz val="10"/>
        <rFont val="Calibri"/>
        <family val="2"/>
        <scheme val="minor"/>
      </rPr>
      <t>Women only</t>
    </r>
  </si>
  <si>
    <t>Number of lung cancer deaths within 7 years since randomisation in women</t>
  </si>
  <si>
    <r>
      <t xml:space="preserve">Lung cancer mortality (per 1,000 people) (Risk ratio); 8 years since randomisation;
</t>
    </r>
    <r>
      <rPr>
        <b/>
        <sz val="10"/>
        <rFont val="Calibri"/>
        <family val="2"/>
        <scheme val="minor"/>
      </rPr>
      <t>Women only</t>
    </r>
  </si>
  <si>
    <t>Number of lung cancer deaths within 8 years since randomisation in women</t>
  </si>
  <si>
    <r>
      <t xml:space="preserve">Lung cancer mortality (per 1,000 people) (Risk ratio); 9 years since randomisation;
</t>
    </r>
    <r>
      <rPr>
        <b/>
        <sz val="10"/>
        <rFont val="Calibri"/>
        <family val="2"/>
        <scheme val="minor"/>
      </rPr>
      <t>Women only</t>
    </r>
  </si>
  <si>
    <t>Number of lung cancer deaths within 9 years since randomisation in women</t>
  </si>
  <si>
    <r>
      <t xml:space="preserve">Lung cancer mortality (per 1,000 people) (Risk ratio); 10 years since randomisation;
</t>
    </r>
    <r>
      <rPr>
        <b/>
        <sz val="10"/>
        <rFont val="Calibri"/>
        <family val="2"/>
        <scheme val="minor"/>
      </rPr>
      <t>Women only</t>
    </r>
  </si>
  <si>
    <t>Number of lung cancer deaths within 10 years since randomisation in women</t>
  </si>
  <si>
    <r>
      <t xml:space="preserve">Lung cancer mortality (per 1,000 people) (Risk ratio); follow-up until 30 April 2018 (within 11 years of randomisation);
</t>
    </r>
    <r>
      <rPr>
        <b/>
        <sz val="10"/>
        <rFont val="Calibri"/>
        <family val="2"/>
        <scheme val="minor"/>
      </rPr>
      <t>Women only</t>
    </r>
  </si>
  <si>
    <t>Number of lung cancer deaths in women; follow-up until 30 April 2018</t>
  </si>
  <si>
    <r>
      <t xml:space="preserve">Lung cancer mortality (per 1,000 people) (Hazard ratio); follow-up until 30 April 2018 (within 11 years of randomisation);
</t>
    </r>
    <r>
      <rPr>
        <b/>
        <sz val="10"/>
        <rFont val="Calibri"/>
        <family val="2"/>
        <scheme val="minor"/>
      </rPr>
      <t>Women only</t>
    </r>
  </si>
  <si>
    <t>Figure 3b and text: Separate analyses by sex showed a statistically significant reduction in lung cancer mortality among women (HR = 0.31 [95% CI: 0.10–0.96], p = 0.04), but not among men (HR = 0.94 [95% CI: 0.54–1.61],
p = 0.81).</t>
  </si>
  <si>
    <t>Gonzalez 2021</t>
  </si>
  <si>
    <t>Lung cancer mortality (per 100 people); follow-up until 2 July 2019;
Screening vs control</t>
  </si>
  <si>
    <t>Annual follow-up questionnaires (self-reports), and record linkages to mortality registers</t>
  </si>
  <si>
    <t>Death, date of loss to follow-up or 2 July 2019</t>
  </si>
  <si>
    <t>Median 9.96
(IQR 9.0 – 10.6)</t>
  </si>
  <si>
    <t>Number of lung cancer deaths; follow-up until 2 July 2019</t>
  </si>
  <si>
    <t>Supplemental Table 1</t>
  </si>
  <si>
    <t>All-cause mortality (per 100 people); follow-up until 2 July 2019;
Screening vs control</t>
  </si>
  <si>
    <t>Number of deaths from all causes; follow-up until 2 July 2019</t>
  </si>
  <si>
    <t>Becker 2015</t>
  </si>
  <si>
    <t>Absolute incidence of advanced stage (stage II-IV) lung cancers (per 100 people); follow-up until 5 September 2014;
Screening vs controls</t>
  </si>
  <si>
    <t>Stage II and above</t>
  </si>
  <si>
    <t>Actively by annual questionnaire mailing (followed by data collection from the treating physicians
in case of self-reported lung cancer diagnoses) and passively by repeated linkage to the local cancer registries.</t>
  </si>
  <si>
    <t>3 - 6.5 years</t>
  </si>
  <si>
    <t>Range 3 - 6.5 years</t>
  </si>
  <si>
    <t>4-5</t>
  </si>
  <si>
    <t>Number of lung cancers diagnosed at advanced stage (UICC stages II-IV); follow-up until September 2014</t>
  </si>
  <si>
    <t>Table 3, Figure 2, Figure 3 and text: Including the interval cancers, and evaluating according to years after randomization, 18 of the lung cancers in the MSCT group were in UICC stage II+ (by year after randomization: 5, 7, 3, 2, and 1, respectively), whereas we observed 29 in the control group (4, 7, 8, 7, and 3, respectively).</t>
  </si>
  <si>
    <t>% of lung cancers diagnosed at advanced stage (stage II-IV); follow-up until 5 September 2014;
Screening vs controls</t>
  </si>
  <si>
    <t>Total number of lung cancers diagnosed; follow-up until September 2014</t>
  </si>
  <si>
    <t>Text: Including the interval cancers, and evaluating according to years after randomization, 18 of the lung cancers in the MSCT group were in UICC stage II+ (by year after randomization: 5, 7, 3, 2, and 1, respectively), whereas we observed 29 in the control group (4, 7, 8, 7, and 3, respectively).</t>
  </si>
  <si>
    <t>Absolute incidence of advanced stage lung cancer (stage II-IV) (per 100 people); follow-up until 30 April 2018 (within 10 years of randomisation);
Screening vs controls</t>
  </si>
  <si>
    <t>Stage II and above
(alternative: stage III-IV)</t>
  </si>
  <si>
    <t>Stage I
(alternative: stage I-II)</t>
  </si>
  <si>
    <t>Actively through annual contacts at screening visits and self-reports to annual questionaires; record linkage with local cancer registry, death certificates.
Medical records (pathology reports, medical letters from responsible physicians on diagnosis and treatment and radiology reports) was obtained by contacting the treating clinics.</t>
  </si>
  <si>
    <t>Stage not available</t>
  </si>
  <si>
    <t>Number of lung cancers diagnosed at advanced stage (UICC stages II-IV); follow-up until 30 April 2018</t>
  </si>
  <si>
    <t>Figure 1a</t>
  </si>
  <si>
    <t>Follow-up for cancer incidence is considered complete till April 30, 2016, which corresponds to 5 years postrandomization for all study participants; prospective case ascertainment is partially complete for follow-up times between April 2016 and April 2018.</t>
  </si>
  <si>
    <t>Absolute incidence of advanced stage lung cancer (stage II-IV) (per 100 people) (Hazard ratio); follow-up until 30 April 2018 (within 10 years of randomisation);
Screening vs controls</t>
  </si>
  <si>
    <t>Figure 1a and text: Over the full observation time, inclusive of all further follow-up years, the incidence rate of advanced tumors was about 39% lower than in the control group (HR = 0.61 [95% CI:
0.40–0.92], p = 0.02).</t>
  </si>
  <si>
    <r>
      <t xml:space="preserve">Absolute incidence of advanced stage lung cancer (stage II-IV) (per 100 </t>
    </r>
    <r>
      <rPr>
        <b/>
        <sz val="10"/>
        <rFont val="Calibri"/>
        <family val="2"/>
        <scheme val="minor"/>
      </rPr>
      <t>men</t>
    </r>
    <r>
      <rPr>
        <sz val="10"/>
        <rFont val="Calibri"/>
        <family val="2"/>
        <scheme val="minor"/>
      </rPr>
      <t>); 
follow-up until 30 April 2018;
Screening vs controls</t>
    </r>
  </si>
  <si>
    <t>Number of lung cancers diagnosed at advanced stage (UICC stages II-IV) up to 30 April 2018 in men</t>
  </si>
  <si>
    <t>Supplemental Table III</t>
  </si>
  <si>
    <r>
      <t xml:space="preserve">Absolute incidence of advanced stage lung cancer (stage II-IV) (per 100 </t>
    </r>
    <r>
      <rPr>
        <b/>
        <sz val="10"/>
        <rFont val="Calibri"/>
        <family val="2"/>
        <scheme val="minor"/>
      </rPr>
      <t>women</t>
    </r>
    <r>
      <rPr>
        <sz val="10"/>
        <rFont val="Calibri"/>
        <family val="2"/>
        <scheme val="minor"/>
      </rPr>
      <t>); 
follow-up until 30 April 2018;
Screening vs controls</t>
    </r>
  </si>
  <si>
    <t>Number of lung cancers diagnosed at advanced stage (UICC stages II-IV) up to 30 April 2018 in women</t>
  </si>
  <si>
    <t>% of lung cancers diagnosed at advanced stage (stage II-IV); follow-up until 30 April 2018 (within 10 years of randomisation);
Screening vs controls</t>
  </si>
  <si>
    <t>Number of lung cancers diagnosed within 10 years after randomisation (follow-up until 30 April 2018)</t>
  </si>
  <si>
    <r>
      <t xml:space="preserve">% of lung cancers diagnosed at advanced stage (stage II-IV) in </t>
    </r>
    <r>
      <rPr>
        <b/>
        <sz val="10"/>
        <rFont val="Calibri"/>
        <family val="2"/>
        <scheme val="minor"/>
      </rPr>
      <t>men</t>
    </r>
    <r>
      <rPr>
        <sz val="10"/>
        <rFont val="Calibri"/>
        <family val="2"/>
        <scheme val="minor"/>
      </rPr>
      <t>; 
follow-up until 30 April 2018;
Screening vs controls</t>
    </r>
  </si>
  <si>
    <t>Number of lung cancers diagnosed in men within 10 years after randomisation (follow-up until 30 April 2018)</t>
  </si>
  <si>
    <r>
      <t xml:space="preserve">% of lung cancers diagnosed at advanced stage (stage II-IV) in </t>
    </r>
    <r>
      <rPr>
        <b/>
        <sz val="10"/>
        <rFont val="Calibri"/>
        <family val="2"/>
        <scheme val="minor"/>
      </rPr>
      <t>women</t>
    </r>
    <r>
      <rPr>
        <sz val="10"/>
        <rFont val="Calibri"/>
        <family val="2"/>
        <scheme val="minor"/>
      </rPr>
      <t>; 
follow-up until 30 April 2018;
Screening vs controls</t>
    </r>
  </si>
  <si>
    <t>Number of lung cancers diagnosed in women within 10 years after randomisation (follow-up until 30 April 2018)</t>
  </si>
  <si>
    <t>Absolute incidence of advanced stage lung cancer (stage II-IV) (per 100 people); 
1 year after randomisation (active screening period);
Screening vs controls</t>
  </si>
  <si>
    <t>Number of lung cancers diagnosed at advanced stage (UICC stages II-IV) within 1 year after randomisation</t>
  </si>
  <si>
    <t>Absolute incidence of advanced stage lung cancer (stage II-IV) (per 100 people); 
2 years after randomisation (active screening period);
Screening vs controls</t>
  </si>
  <si>
    <t>Number of lung cancers diagnosed at advanced stage (UICC stages II-IV) within 2 years after randomisation</t>
  </si>
  <si>
    <t>Absolute incidence of advanced stage lung cancer (stage II-IV) (per 100 people); 
3 years after randomisation (active screening period);
Screening vs controls</t>
  </si>
  <si>
    <t>Number of lung cancers diagnosed at advanced stage (UICC stages II-IV) within 3 years after randomisation</t>
  </si>
  <si>
    <t>Absolute incidence of advanced stage lung cancer (stage II-IV) (per 100 people); 
4 years after randomisation (active screening period);
Screening vs controls</t>
  </si>
  <si>
    <t>Number of lung cancers diagnosed at advanced stage (UICC stages II-IV) within 4 years after randomisation</t>
  </si>
  <si>
    <t>Absolute incidence of advanced stage lung cancer (stage II-IV) (per 100 people); 
5 years after randomisation (active screening period);
Screening vs controls</t>
  </si>
  <si>
    <t>Number of lung cancers diagnosed at advanced stage (UICC stages II-IV) within 5 years after randomisation (active screening period)</t>
  </si>
  <si>
    <t>Figure 1a and text: At the end of the active screening period
(5 years postrandomization), 33 advanced lung cancer cases had
been observed in the control arm and 20 in the screening arm,
…</t>
  </si>
  <si>
    <t>Absolute incidence of advanced stage lung cancer (stage II-IV) (per 100 people) (Hazard ratio); 
5 years after randomisation (active screening period);
Screening vs controls</t>
  </si>
  <si>
    <t>Figure 1a and text: At the end of the active screening period
(5 years postrandomization), 33 advanced lung cancer cases had
been observed in the control arm and 20 in the screening arm,
and the incidence rate of advanced lung cancers in the screening
arm was reduced by about 39% (HR = 0.61 [95% CI: 0.35–1.07],
p = 0.083).</t>
  </si>
  <si>
    <r>
      <t xml:space="preserve">Absolute incidence of advanced stage lung cancer (stage II-IV) (per 100 </t>
    </r>
    <r>
      <rPr>
        <b/>
        <sz val="10"/>
        <rFont val="Calibri"/>
        <family val="2"/>
        <scheme val="minor"/>
      </rPr>
      <t>men</t>
    </r>
    <r>
      <rPr>
        <sz val="10"/>
        <rFont val="Calibri"/>
        <family val="2"/>
        <scheme val="minor"/>
      </rPr>
      <t>); 
0-5 years after randomisation (active screening period);
Screening vs controls</t>
    </r>
  </si>
  <si>
    <t>Number of lung cancers diagnosed at advanced stage (UICC stages II-IV) within 5 years after randomisation (active screening period) in men</t>
  </si>
  <si>
    <r>
      <t xml:space="preserve">Absolute incidence of advanced stage lung cancer (stage II-IV) (per 100 </t>
    </r>
    <r>
      <rPr>
        <b/>
        <sz val="10"/>
        <rFont val="Calibri"/>
        <family val="2"/>
        <scheme val="minor"/>
      </rPr>
      <t>women</t>
    </r>
    <r>
      <rPr>
        <sz val="10"/>
        <rFont val="Calibri"/>
        <family val="2"/>
        <scheme val="minor"/>
      </rPr>
      <t>); 
0-5 years after randomisation (active screening period);
Screening vs controls</t>
    </r>
  </si>
  <si>
    <t>Number of lung cancers diagnosed at advanced stage (UICC stages II-IV) within 5 years after randomisation (active screening period) in women</t>
  </si>
  <si>
    <t>% of lung cancers diagnosed at advanced stage (stage II-IV); 
5 years after randomisation (active screening period);
Screening vs controls</t>
  </si>
  <si>
    <t>Number of lung cancers diagnosed within 5 years after randomisation (active screening period) (including cancers with stage information not available)</t>
  </si>
  <si>
    <t>Figure 1a, supplemental Table III and text: At the end of the active screening period (5 years postrandomization), 33 advanced lung cancer cases had been observed in the control arm and 20 in the screening arm,…</t>
  </si>
  <si>
    <r>
      <t xml:space="preserve">% of lung cancers diagnosed at advanced stage (stage II-IV) </t>
    </r>
    <r>
      <rPr>
        <b/>
        <sz val="10"/>
        <rFont val="Calibri"/>
        <family val="2"/>
        <scheme val="minor"/>
      </rPr>
      <t>in men</t>
    </r>
    <r>
      <rPr>
        <sz val="10"/>
        <rFont val="Calibri"/>
        <family val="2"/>
        <scheme val="minor"/>
      </rPr>
      <t>;
0-5 years after randomisation (active screening period);
Screening vs controls</t>
    </r>
  </si>
  <si>
    <t>Number of lung cancers diagnosed in men within 5 years after randomisation (active screening period) (including cancers with stage information not available)</t>
  </si>
  <si>
    <r>
      <t xml:space="preserve">% of lung cancers diagnosed at advanced stage (stage II-IV) </t>
    </r>
    <r>
      <rPr>
        <b/>
        <sz val="10"/>
        <rFont val="Calibri"/>
        <family val="2"/>
        <scheme val="minor"/>
      </rPr>
      <t>in women</t>
    </r>
    <r>
      <rPr>
        <sz val="10"/>
        <rFont val="Calibri"/>
        <family val="2"/>
        <scheme val="minor"/>
      </rPr>
      <t>;
0-5 years after randomisation (active screening period);
Screening vs controls</t>
    </r>
  </si>
  <si>
    <t>Number of lung cancers diagnosed in women within 5 years after randomisation (active screening period)</t>
  </si>
  <si>
    <t>Absolute incidence of advanced stage lung cancer (stage II-IV) (per 100 people); 
6 years after randomisation;
Screening vs controls</t>
  </si>
  <si>
    <t>Number of lung cancers diagnosed at advanced stage (UICC stages II-IV) within 6 years after randomisation</t>
  </si>
  <si>
    <t>Absolute incidence of advanced stage lung cancer (stage II-IV) (per 100 people); 
7 years after randomisation;
Screening vs controls</t>
  </si>
  <si>
    <t>Number of lung cancers diagnosed at advanced stage (UICC stages II-IV) within 7 years after randomisation</t>
  </si>
  <si>
    <t>Absolute incidence of advanced stage lung cancer (stage II-IV) (per 100 people); 
8 years after randomisation;
Screening vs controls</t>
  </si>
  <si>
    <t>Number of lung cancers diagnosed at advanced stage (UICC stages II-IV) within 8 years after randomisation</t>
  </si>
  <si>
    <t>Absolute incidence of advanced stage lung cancer (stage II-IV) (per 100 people); 
9 years after randomisation;
Screening vs controls</t>
  </si>
  <si>
    <t>Number of lung cancers diagnosed at advanced stage (UICC stages II-IV) within 9 years after randomisation</t>
  </si>
  <si>
    <t>Absolute incidence of early stage lung cancer (stage I) (per 100 people); 
1 year after randomisation (active screening period);
Screening vs controls</t>
  </si>
  <si>
    <t>Number of lung cancers diagnosed at early stage (UICC stage I) within 1 year after randomisation</t>
  </si>
  <si>
    <t>Figure 1b</t>
  </si>
  <si>
    <t>Absolute incidence of early stage lung cancer (stage I) (per 100 people); 
2 years after randomisation (active screening period);
Screening vs controls</t>
  </si>
  <si>
    <t>Number of lung cancers diagnosed at early stage (UICC stage I) within 2 years after randomisation</t>
  </si>
  <si>
    <t>Absolute incidence of early stage lung cancer (stage I) (per 100 people); 
3 years after randomisation (active screening period);
Screening vs controls</t>
  </si>
  <si>
    <t>Number of lung cancers diagnosed at early stage (UICC stage I) within 3 years after randomisation</t>
  </si>
  <si>
    <t>Absolute incidence of early stage lung cancer (stage I) (per 100 people); 
4 years after randomisation (active screening period);
Screening vs controls</t>
  </si>
  <si>
    <t>Number of lung cancers diagnosed at early stage (UICC stage I) within 4 years after randomisation</t>
  </si>
  <si>
    <t>Absolute incidence of early stage lung cancer (stage I) (per 100 people); 
5 years after randomisation (active screening period);
Screening vs controls</t>
  </si>
  <si>
    <t>Number of lung cancers diagnosed at early stage (UICC stage I) within 5 years after randomisation</t>
  </si>
  <si>
    <t>Absolute incidence of early stage lung cancer (stage I) (per 100 people) with hazard ratio; 
5 years after randomisation (active screening period);
Screening vs controls</t>
  </si>
  <si>
    <t>Figure 1b and text: For early-stage (UICC stage I) tumors
screening caused an overall increase in diagnosis during the active
screening period, as compared to the control arm (for the first
5 years postrandomization: HR = 14.1 [95% CI: 4.37–45.5],
p &lt; 0.0001; Fig. 1b),</t>
  </si>
  <si>
    <r>
      <t>Absolute incidence of early stage lung cancer (stage I) (per 100</t>
    </r>
    <r>
      <rPr>
        <b/>
        <sz val="10"/>
        <rFont val="Calibri"/>
        <family val="2"/>
        <scheme val="minor"/>
      </rPr>
      <t xml:space="preserve"> men</t>
    </r>
    <r>
      <rPr>
        <sz val="10"/>
        <rFont val="Calibri"/>
        <family val="2"/>
        <scheme val="minor"/>
      </rPr>
      <t>); 
5 years after randomisation (active screening period);
Screening vs controls</t>
    </r>
  </si>
  <si>
    <t>Number of lung cancers diagnosed at early stage (UICC stage I) within 5 years after randomisation in men</t>
  </si>
  <si>
    <r>
      <t xml:space="preserve">Absolute incidence of early stage lung cancer (stage I) (per 100 </t>
    </r>
    <r>
      <rPr>
        <b/>
        <sz val="10"/>
        <rFont val="Calibri"/>
        <family val="2"/>
        <scheme val="minor"/>
      </rPr>
      <t>women</t>
    </r>
    <r>
      <rPr>
        <sz val="10"/>
        <rFont val="Calibri"/>
        <family val="2"/>
        <scheme val="minor"/>
      </rPr>
      <t>); 
5 years after randomisation (active screening period);
Screening vs controls</t>
    </r>
  </si>
  <si>
    <t>Number of lung cancers diagnosed at early stage (UICC stage I) within 5 years after randomisation in women</t>
  </si>
  <si>
    <t>Absolute incidence of early stage lung cancer (stage I) (per 100 people); 
6 years after randomisation;
Screening vs controls</t>
  </si>
  <si>
    <t>Number of lung cancers diagnosed at early stage (UICC stage I) within 6 years after randomisation</t>
  </si>
  <si>
    <t>Absolute incidence of early stage lung cancer (stage I) (per 100 people); 
7 years after randomisation;
Screening vs controls</t>
  </si>
  <si>
    <t>Number of lung cancers diagnosed at early stage (UICC stage I) within 7 years after randomisation</t>
  </si>
  <si>
    <t>Absolute incidence of early stage lung cancer (stage I) (per 100 people); 
8 years after randomisation;
Screening vs controls</t>
  </si>
  <si>
    <t>Number of lung cancers diagnosed at early stage (UICC stage I) within 8 years after randomisation</t>
  </si>
  <si>
    <t>Absolute incidence of early stage lung cancer (stage I) (per 100 people); 
9 years after randomisation;
Screening vs controls</t>
  </si>
  <si>
    <t>Number of lung cancers diagnosed at early stage (UICC stage I) within 9 years after randomisation</t>
  </si>
  <si>
    <t>Absolute incidence of early stage lung cancer (stage I) (per 100 people); 
10 years after randomisation;
Screening vs controls</t>
  </si>
  <si>
    <t>Number of lung cancers diagnosed at early stage (UICC stage I) within 10 years after randomisation</t>
  </si>
  <si>
    <r>
      <t>Absolute incidence of early stage lung cancer (stage I) (per 100</t>
    </r>
    <r>
      <rPr>
        <b/>
        <sz val="10"/>
        <rFont val="Calibri"/>
        <family val="2"/>
        <scheme val="minor"/>
      </rPr>
      <t xml:space="preserve"> men</t>
    </r>
    <r>
      <rPr>
        <sz val="10"/>
        <rFont val="Calibri"/>
        <family val="2"/>
        <scheme val="minor"/>
      </rPr>
      <t>); 
10 years after randomisation;
Screening vs controls</t>
    </r>
  </si>
  <si>
    <t>Number of lung cancers diagnosed at early stage (UICC stage I) within 10 years after randomisation in men</t>
  </si>
  <si>
    <r>
      <t xml:space="preserve">Absolute incidence of early stage lung cancer (stage I) (per 100 </t>
    </r>
    <r>
      <rPr>
        <b/>
        <sz val="10"/>
        <rFont val="Calibri"/>
        <family val="2"/>
        <scheme val="minor"/>
      </rPr>
      <t>women</t>
    </r>
    <r>
      <rPr>
        <sz val="10"/>
        <rFont val="Calibri"/>
        <family val="2"/>
        <scheme val="minor"/>
      </rPr>
      <t>); 
10 years after randomisation;
Screening vs controls</t>
    </r>
  </si>
  <si>
    <t>Number of lung cancers diagnosed at early stage (UICC stage I) within 10 years after randomisation in women</t>
  </si>
  <si>
    <t>Absolute incidence of early stage lung cancer (stage I-II) (per 100 people); 
1 year after randomisation (active screening period);
Screening vs controls</t>
  </si>
  <si>
    <t>Number of lung cancers diagnosed at early stage (UICC stage I-II) within 1 year after randomisation</t>
  </si>
  <si>
    <t>Supplemental Figure IIb</t>
  </si>
  <si>
    <t>Absolute incidence of early stage lung cancer (stage I-II) (per 100 people); 
2 years after randomisation (active screening period);
Screening vs controls</t>
  </si>
  <si>
    <t>Number of lung cancers diagnosed at early stage (UICC stage I-II) within 2 years after randomisation</t>
  </si>
  <si>
    <t>Absolute incidence of early stage lung cancer (stage I-II) (per 100 people); 
3 years after randomisation (active screening period);
Screening vs controls</t>
  </si>
  <si>
    <t>Number of lung cancers diagnosed at early stage (UICC stage I-II) within 3 years after randomisation</t>
  </si>
  <si>
    <t>Absolute incidence of early stage lung cancer (stage I-II) (per 100 people); 
4 years after randomisation (active screening period);
Screening vs controls</t>
  </si>
  <si>
    <t>Number of lung cancers diagnosed at early stage (UICC stage I-II) within 4 years after randomisation</t>
  </si>
  <si>
    <t>Absolute incidence of early stage lung cancer (stage I-II) (per 100 people); 
5 years after randomisation (active screening period);
Screening vs controls</t>
  </si>
  <si>
    <t>Number of lung cancers diagnosed at early stage (UICC stage I-II) within 5 years after randomisation</t>
  </si>
  <si>
    <t>Absolute incidence of early stage lung cancer (stage I-II) with hazard ratio (per 100 people); 
5 years after randomisation (active screening period);
Screening vs controls</t>
  </si>
  <si>
    <t>Supplemental Figure IIb and text in supplement: For non-advanced (UICC stage I/II) tumors screening caused an overall increase in diagnosis during the active screening period, as com-pared to the control arm (for the first 5 years post-randomization: HR= 5.92 [95%CI:  2.79 - 12.53], p&lt;0.0001).</t>
  </si>
  <si>
    <r>
      <t>Absolute incidence of early stage lung cancer (stage I-II) (per 100</t>
    </r>
    <r>
      <rPr>
        <b/>
        <sz val="10"/>
        <rFont val="Calibri"/>
        <family val="2"/>
        <scheme val="minor"/>
      </rPr>
      <t xml:space="preserve"> men</t>
    </r>
    <r>
      <rPr>
        <sz val="10"/>
        <rFont val="Calibri"/>
        <family val="2"/>
        <scheme val="minor"/>
      </rPr>
      <t>); 
5 years after randomisation (active screening period);
Screening vs controls</t>
    </r>
  </si>
  <si>
    <t>Number of lung cancers diagnosed at early stage (UICC stage I-II) within 5 years after randomisation in men</t>
  </si>
  <si>
    <t>Follow-up for cancer incidence is considered complete till April 30, 2016, which corresponds to 5 years postrandomization for all study participants; prospective case ascertainment is partially complete for follow-up times between April 2016 and April 2018.
5+3 does not add up to the 9 cases reported in Supplemental Figure IIb.</t>
  </si>
  <si>
    <r>
      <t xml:space="preserve">Absolute incidence of early stage lung cancer (stage I-II) (per 100 </t>
    </r>
    <r>
      <rPr>
        <b/>
        <sz val="10"/>
        <rFont val="Calibri"/>
        <family val="2"/>
        <scheme val="minor"/>
      </rPr>
      <t>women</t>
    </r>
    <r>
      <rPr>
        <sz val="10"/>
        <rFont val="Calibri"/>
        <family val="2"/>
        <scheme val="minor"/>
      </rPr>
      <t>); 
5 years after randomisation (active screening period);
Screening vs controls</t>
    </r>
  </si>
  <si>
    <t>Number of lung cancers diagnosed at early stage (UICC stage I-II) within 5 years after randomisation in women</t>
  </si>
  <si>
    <t>Absolute incidence of early stage lung cancer (stage I-II) (per 100 people); 
6 years after randomisation;
Screening vs controls</t>
  </si>
  <si>
    <t>Number of lung cancers diagnosed at early stage (UICC stage I-II) within 6 years after randomisation</t>
  </si>
  <si>
    <t>Absolute incidence of early stage lung cancer (stage I-II) (per 100 people); 
7 years after randomisation;
Screening vs controls</t>
  </si>
  <si>
    <t>Number of lung cancers diagnosed at early stage (UICC stage I-II) within 7 years after randomisation</t>
  </si>
  <si>
    <t>Absolute incidence of early stage lung cancer (stage I-II) (per 100 people); 
8 years after randomisation;
Screening vs controls</t>
  </si>
  <si>
    <t>Number of lung cancers diagnosed at early stage (UICC stage I-II) within 8 years after randomisation</t>
  </si>
  <si>
    <t>Absolute incidence of early stage lung cancer (stage I-II) (per 100 people); 
9 years after randomisation;
Screening vs controls</t>
  </si>
  <si>
    <t>Number of lung cancers diagnosed at early stage (UICC stage I-II) within 9 years after randomisation</t>
  </si>
  <si>
    <t>Absolute incidence of early stage lung cancer (stage I-II) (per 100 people); 
10 years after randomisation;
Screening vs controls</t>
  </si>
  <si>
    <t>Number of lung cancers diagnosed at early stage (UICC stage I-II) within 10 years after randomisation</t>
  </si>
  <si>
    <r>
      <t>Absolute incidence of early stage lung cancer (stage I-II) (per 100</t>
    </r>
    <r>
      <rPr>
        <b/>
        <sz val="10"/>
        <rFont val="Calibri"/>
        <family val="2"/>
        <scheme val="minor"/>
      </rPr>
      <t xml:space="preserve"> men</t>
    </r>
    <r>
      <rPr>
        <sz val="10"/>
        <rFont val="Calibri"/>
        <family val="2"/>
        <scheme val="minor"/>
      </rPr>
      <t>); 
10 years after randomisation;
Screening vs controls</t>
    </r>
  </si>
  <si>
    <t>Number of lung cancers diagnosed at early stage (UICC stage I-II) within 10 years after randomisation in men</t>
  </si>
  <si>
    <r>
      <t xml:space="preserve">Absolute incidence of early stage lung cancer (stage I-II) (per 100 </t>
    </r>
    <r>
      <rPr>
        <b/>
        <sz val="10"/>
        <rFont val="Calibri"/>
        <family val="2"/>
        <scheme val="minor"/>
      </rPr>
      <t>women</t>
    </r>
    <r>
      <rPr>
        <sz val="10"/>
        <rFont val="Calibri"/>
        <family val="2"/>
        <scheme val="minor"/>
      </rPr>
      <t>); 
10 years after randomisation;
Screening vs controls</t>
    </r>
  </si>
  <si>
    <t>Number of lung cancers diagnosed at early stage (UICC stage I-II) within 10 years after randomisation in women</t>
  </si>
  <si>
    <t>Absolute incidence of advanced stage lung cancer (stage III-IV) (per 100 people); 
1 year after randomisation (active screening period);
Screening vs controls</t>
  </si>
  <si>
    <t>Number of lung cancers diagnosed at late stage (UICC stage III-IV) within 1 year after randomisation</t>
  </si>
  <si>
    <t>Supplemental Figure IIa</t>
  </si>
  <si>
    <t>Absolute incidence of advanced stage lung cancer (stage III-IV) (per 100 people); 
2 years after randomisation (active screening period);
Screening vs controls</t>
  </si>
  <si>
    <t>Number of lung cancers diagnosed at late stage (UICC stage III-IV) within 2 years after randomisation</t>
  </si>
  <si>
    <t>Absolute incidence of advanced stage lung cancer (stage III-IV) (per 100 people); 
3 years after randomisation (active screening period);
Screening vs controls</t>
  </si>
  <si>
    <t>Number of lung cancers diagnosed at late stage (UICC stage III-IV) within 3 years after randomisation</t>
  </si>
  <si>
    <t>Absolute incidence of advanced stage lung cancer (stage III-IV) (per 100 people); 
4 years after randomisation (active screening period);
Screening vs controls</t>
  </si>
  <si>
    <t>Number of lung cancers diagnosed at late stage (UICC stage III-IV) within 4 years after randomisation</t>
  </si>
  <si>
    <t>Absolute incidence of advanced stage lung cancer (stage III-IV) (per 100 people); 
5 years after randomisation (active screening period);
Screening vs controls</t>
  </si>
  <si>
    <t>Number of lung cancers diagnosed at late stage (UICC stage III-IV) within 5 years after randomisation</t>
  </si>
  <si>
    <t>Absolute incidence of advanced stage lung cancer (stage III-IV) (per 100 people) with hazard ratio; 
5 years after randomisation (active screening period);
Screening vs controls</t>
  </si>
  <si>
    <t xml:space="preserve">Supplemental Figure IIa and text in supplement: At the end of the active screening period (5 years post-randomization), the incidence rate of advanced lung cancers in the screening arm was reduced by about 46% (HR=0.54 [95%CI:  0.29 - 1.01], p=0.06). </t>
  </si>
  <si>
    <r>
      <t xml:space="preserve">Absolute incidence of advanced stage lung cancer (stage III-IV) (per 100 </t>
    </r>
    <r>
      <rPr>
        <b/>
        <sz val="10"/>
        <rFont val="Calibri"/>
        <family val="2"/>
        <scheme val="minor"/>
      </rPr>
      <t>men</t>
    </r>
    <r>
      <rPr>
        <sz val="10"/>
        <rFont val="Calibri"/>
        <family val="2"/>
        <scheme val="minor"/>
      </rPr>
      <t>); 
0-5 years after randomisation (active screening period);
Screening vs controls</t>
    </r>
  </si>
  <si>
    <t>Number of lung cancers diagnosed at advanced stage (UICC stages III-IV) within 5 years after randomisation (active screening period) in men</t>
  </si>
  <si>
    <r>
      <t xml:space="preserve">Absolute incidence of advanced stage lung cancer (stage III-IV) (per 100 </t>
    </r>
    <r>
      <rPr>
        <b/>
        <sz val="10"/>
        <rFont val="Calibri"/>
        <family val="2"/>
        <scheme val="minor"/>
      </rPr>
      <t>women</t>
    </r>
    <r>
      <rPr>
        <sz val="10"/>
        <rFont val="Calibri"/>
        <family val="2"/>
        <scheme val="minor"/>
      </rPr>
      <t>); 
0-5 years after randomisation (active screening period);
Screening vs controls</t>
    </r>
  </si>
  <si>
    <t>Number of lung cancers diagnosed at advanced stage (UICC stages III-IV) within 5 years after randomisation (active screening period) in women</t>
  </si>
  <si>
    <t>% of lung cancers diagnosed at advanced stage (stage III-IV); 
5 years after randomisation (active screening period);
Screening vs controls</t>
  </si>
  <si>
    <t>Number of lung cancers diagnosed at advanced stage (UICC stages III-IV) within 5 years after randomisation (active screening period)</t>
  </si>
  <si>
    <t>Supplemental Figure IIa and supplemental Table III</t>
  </si>
  <si>
    <r>
      <t xml:space="preserve">% of lung cancers diagnosed at advanced stage (stage III-IV) </t>
    </r>
    <r>
      <rPr>
        <b/>
        <sz val="10"/>
        <rFont val="Calibri"/>
        <family val="2"/>
        <scheme val="minor"/>
      </rPr>
      <t>in men</t>
    </r>
    <r>
      <rPr>
        <sz val="10"/>
        <rFont val="Calibri"/>
        <family val="2"/>
        <scheme val="minor"/>
      </rPr>
      <t>;
0-5 years after randomisation (active screening period);
Screening vs controls</t>
    </r>
  </si>
  <si>
    <r>
      <t xml:space="preserve">% of lung cancers diagnosed at advanced stage (stage III-IV) </t>
    </r>
    <r>
      <rPr>
        <b/>
        <sz val="10"/>
        <rFont val="Calibri"/>
        <family val="2"/>
        <scheme val="minor"/>
      </rPr>
      <t>in women</t>
    </r>
    <r>
      <rPr>
        <sz val="10"/>
        <rFont val="Calibri"/>
        <family val="2"/>
        <scheme val="minor"/>
      </rPr>
      <t>;
0-5 years after randomisation (active screening period);
Screening vs controls</t>
    </r>
  </si>
  <si>
    <t>Absolute incidence of advanced stage lung cancer (stage III-IV) (per 100 people); 
6 years after randomisation;
Screening vs controls</t>
  </si>
  <si>
    <t>Number of lung cancers diagnosed at late stage (UICC stage III-IV) within 6 years after randomisation</t>
  </si>
  <si>
    <t>Absolute incidence ofadvanced stage lung cancer (stage III-IV) (per 100 people); 
7 years after randomisation;
Screening vs controls</t>
  </si>
  <si>
    <t>Number of lung cancers diagnosed at late stage (UICC stage III-IV) within 7 years after randomisation</t>
  </si>
  <si>
    <t>Absolute incidence of advanced stage lung cancer (stage III-IV) (per 100 people); 
8 years after randomisation;
Screening vs controls</t>
  </si>
  <si>
    <t>Number of lung cancers diagnosed at late stage (UICC stage III-IV) within 8 years after randomisation</t>
  </si>
  <si>
    <t>Absolute incidence of advanced stage lung cancer (stage III-IV) (per 100 people); 
9 years after randomisation;
Screening vs controls</t>
  </si>
  <si>
    <t>Number of lung cancers diagnosed at late stage (UICC stage III-IV) within 9 years after randomisation</t>
  </si>
  <si>
    <t>Absolute incidence of advanced stage lung cancer (stage III-IV) (per 100 people); 
10 years after randomisation;
Screening vs controls</t>
  </si>
  <si>
    <t>Number of lung cancers diagnosed at late stage (UICC stage III-IV) within 10 years after randomisation</t>
  </si>
  <si>
    <t>Absolute incidence of advanced stage lung cancer (stage III-IV) with hazard ratio (per 100 people); 
10 years after randomisation;
Screening vs controls</t>
  </si>
  <si>
    <t xml:space="preserve">Supplemental Figure IIa and text in supplement: Over the full observation time, inclusive of all further follow-up years, the incidence rate of advanced tumors was about 42% lower than in the control group (HR=0.58 [95%CI: 0.37 - 0.91], p=0.02). </t>
  </si>
  <si>
    <r>
      <t xml:space="preserve">Absolute incidence of advanced stage lung cancer (stage III-IV) (per 100 </t>
    </r>
    <r>
      <rPr>
        <b/>
        <sz val="10"/>
        <rFont val="Calibri"/>
        <family val="2"/>
        <scheme val="minor"/>
      </rPr>
      <t>men</t>
    </r>
    <r>
      <rPr>
        <sz val="10"/>
        <rFont val="Calibri"/>
        <family val="2"/>
        <scheme val="minor"/>
      </rPr>
      <t>); 
10 years after randomisation;
Screening vs controls</t>
    </r>
  </si>
  <si>
    <t>Number of lung cancers diagnosed at advanced stage (UICC stages III-IV) within 10 years after randomisation in men</t>
  </si>
  <si>
    <r>
      <t xml:space="preserve">Absolute incidence of advanced stage lung cancer (stage III-IV) (per 100 </t>
    </r>
    <r>
      <rPr>
        <b/>
        <sz val="10"/>
        <rFont val="Calibri"/>
        <family val="2"/>
        <scheme val="minor"/>
      </rPr>
      <t>women</t>
    </r>
    <r>
      <rPr>
        <sz val="10"/>
        <rFont val="Calibri"/>
        <family val="2"/>
        <scheme val="minor"/>
      </rPr>
      <t>); 
10 years after randomisation;
Screening vs controls</t>
    </r>
  </si>
  <si>
    <t>Number of lung cancers diagnosed at advanced stage (UICC stages III-IV) within 10 years after randomisation in women</t>
  </si>
  <si>
    <t>% of lung cancers diagnosed at advanced stage (stage III-IV); follow-up until 30 April 2018 (10 years after randomisation);
Screening vs controls</t>
  </si>
  <si>
    <t>Number of lung cancers diagnosed at advanced stage (UICC stages III-IV); follow-up until 30 April 2018</t>
  </si>
  <si>
    <r>
      <t xml:space="preserve">% of lung cancers diagnosed at advanced stage (stage III-IV) in </t>
    </r>
    <r>
      <rPr>
        <b/>
        <sz val="10"/>
        <rFont val="Calibri"/>
        <family val="2"/>
        <scheme val="minor"/>
      </rPr>
      <t>men</t>
    </r>
    <r>
      <rPr>
        <sz val="10"/>
        <rFont val="Calibri"/>
        <family val="2"/>
        <scheme val="minor"/>
      </rPr>
      <t>; 
follow-up until 30 April 2018;
Screening vs controls</t>
    </r>
  </si>
  <si>
    <t>Number of lung cancers diagnosed at advanced stage (UICC stages III-IV) up to 30 April 2018 in men</t>
  </si>
  <si>
    <r>
      <t xml:space="preserve">% of lung cancers diagnosed at advanced stage (stage III-IV) in </t>
    </r>
    <r>
      <rPr>
        <b/>
        <sz val="10"/>
        <rFont val="Calibri"/>
        <family val="2"/>
        <scheme val="minor"/>
      </rPr>
      <t>women</t>
    </r>
    <r>
      <rPr>
        <sz val="10"/>
        <rFont val="Calibri"/>
        <family val="2"/>
        <scheme val="minor"/>
      </rPr>
      <t>; 
follow-up until 30 April 2018;
Screening vs controls</t>
    </r>
  </si>
  <si>
    <t>Number of lung cancers diagnosed at advanced stage (UICC stages III-IV) up to 30 April 2018 in women</t>
  </si>
  <si>
    <t>Diagnostic yield at screening (%) (all 5 rounds);
Screening arm only</t>
  </si>
  <si>
    <t>Way of detection unknown</t>
  </si>
  <si>
    <t>Number of screen-detected lung cancers (all 5 rounds)</t>
  </si>
  <si>
    <t xml:space="preserve">Table 2 and text: Depending upon mode of calculation,
the estimated sensitivity of LDCT screening ranged from
about 83% to 91% (Sescreen = 91.3% [0.84–0.98], Secontrol = 82.9% [0.70–0.95]).
</t>
  </si>
  <si>
    <t>Interval cases were cases of lung cancer clinically diagnosed in the screening arm between annual screens, or within 12 months since a participant’s last screen, but which had remained undetected by LDCT.</t>
  </si>
  <si>
    <t>% of lung cancers that are screen-detected (Rounds 1-5); follow-up until 30 April 2018
Screening arm only</t>
  </si>
  <si>
    <t>Total number of lung cancers detected up to 30 April 2018 (screen-detected plus interval cancers plus cancers detected after the intervention phase)</t>
  </si>
  <si>
    <t>% of lung cancers that are screen-detected (Rounds 1-5); active screening period;
Screening arm only</t>
  </si>
  <si>
    <t>Active screening period</t>
  </si>
  <si>
    <t>Total number of lung cancers detected (screen-detected plus interval cancers in the active screening period)</t>
  </si>
  <si>
    <t xml:space="preserve">Table 2 and text: Depending upon mode of calculation,
the estimated sensitivity of LDCT screening ranged from
about 83% to 91% (Sescreen = 91.3% [0.84–0.98], Secontrol = 82.9%
[0.70–0.95]).
</t>
  </si>
  <si>
    <t>% of lung cancers that are screen-detected (Rounds 1-5); follow-up until 30 April 2019
Screening arm only</t>
  </si>
  <si>
    <t>Annual follow-up questionnaires (self-reports), and record linkages to cancer registries and mortality registers; medical records (pathology reports, medical letters from responsible physicians on diagnosis and treatment and radiology reports, with their exact
dates) by contacting the treating clinics.</t>
  </si>
  <si>
    <t>Lung cancer diagnosis, death and date of loss to follow-up or 30 April 2019</t>
  </si>
  <si>
    <t>Median 9.76
(IQR 8.8 – 10.4)</t>
  </si>
  <si>
    <t>Total number of lung cancers detected up to 30 April 2019 (screen-detected plus interval cancers plus cancers detected after the intervention phase)</t>
  </si>
  <si>
    <t>Supplemental Table 4</t>
  </si>
  <si>
    <t>Non-screen detected cases are interval cancer cases (diagnosed in between screening appointments or within one year of the last screening appointment, following a negative screening appointment), as well as lung cancer cases diagnosed later than one year after last screening.</t>
  </si>
  <si>
    <t>Roberts 1990</t>
  </si>
  <si>
    <r>
      <t>breast cancer death within 7 years since randomisation (survey start date) per 10,000 women-years at risk,</t>
    </r>
    <r>
      <rPr>
        <b/>
        <sz val="10"/>
        <rFont val="Calibri"/>
        <family val="2"/>
        <scheme val="minor"/>
      </rPr>
      <t xml:space="preserve"> cohort 1</t>
    </r>
    <r>
      <rPr>
        <sz val="10"/>
        <rFont val="Calibri"/>
        <family val="2"/>
        <scheme val="minor"/>
      </rPr>
      <t>, screening vs no screening</t>
    </r>
  </si>
  <si>
    <r>
      <t xml:space="preserve">OPCS (Office of Population Censuses and Surveys) and GRO (General Register Office) data, </t>
    </r>
    <r>
      <rPr>
        <strike/>
        <sz val="10"/>
        <rFont val="Calibri"/>
        <family val="2"/>
        <scheme val="minor"/>
      </rPr>
      <t xml:space="preserve">
</t>
    </r>
    <r>
      <rPr>
        <sz val="10"/>
        <rFont val="Calibri"/>
        <family val="2"/>
        <scheme val="minor"/>
      </rPr>
      <t>breast cancer defined as cause of death if death certificate recorded ICD 174.</t>
    </r>
  </si>
  <si>
    <t>All eligible women (unless lost to follow-up) will remain in the study population until they die.
women who moved abroad were deemed lost to follow-up and censored at that point</t>
  </si>
  <si>
    <t>Cohort 1 (1979-1981)</t>
  </si>
  <si>
    <t xml:space="preserve">7 years </t>
  </si>
  <si>
    <t>157,946 PY;
mean 6.8 years</t>
  </si>
  <si>
    <t>147,854 PY;
mean 6.8 years</t>
  </si>
  <si>
    <t>breast cancer death = death of a woman in the study for which the death certificate recorded breast cancer (ICD174) as primary or secondary cause of death</t>
  </si>
  <si>
    <t>women-years at risk</t>
  </si>
  <si>
    <t>10,000 women-years at risk</t>
  </si>
  <si>
    <t>age</t>
  </si>
  <si>
    <t xml:space="preserve">Table VIII and text "which became 17% (relative risk [RR]=083, 95% CI 0-58-1-18) after adjustment for age." </t>
  </si>
  <si>
    <t>none of these differences reached statistical significance"</t>
  </si>
  <si>
    <r>
      <t>breast cancer death within 7 years since randomisation (survey start date) per women included in analysis,</t>
    </r>
    <r>
      <rPr>
        <b/>
        <sz val="10"/>
        <rFont val="Calibri"/>
        <family val="2"/>
        <scheme val="minor"/>
      </rPr>
      <t xml:space="preserve"> cohort 1; </t>
    </r>
    <r>
      <rPr>
        <sz val="10"/>
        <rFont val="Calibri"/>
        <family val="2"/>
        <scheme val="minor"/>
      </rPr>
      <t>screening vs no screening</t>
    </r>
  </si>
  <si>
    <t>OPCS (Office of Population Censuses and Surveys) and GRO (General Register Office) data, 
breast cancer defined as cause of death if death certificate recorded ICD 174.</t>
  </si>
  <si>
    <t>n women included in analysis</t>
  </si>
  <si>
    <t>Table VIII for numerator and Table I for denominator</t>
  </si>
  <si>
    <r>
      <t xml:space="preserve">all cause mortality within 7 years per 10,000 women years, </t>
    </r>
    <r>
      <rPr>
        <b/>
        <sz val="10"/>
        <rFont val="Calibri"/>
        <family val="2"/>
        <scheme val="minor"/>
      </rPr>
      <t>cohort 1</t>
    </r>
    <r>
      <rPr>
        <sz val="10"/>
        <rFont val="Calibri"/>
        <family val="2"/>
        <scheme val="minor"/>
      </rPr>
      <t>, screening vs no screening</t>
    </r>
  </si>
  <si>
    <t xml:space="preserve">OPCS (Office of Population Censuses and Surveys) and GRO (General Register Office) data, 
</t>
  </si>
  <si>
    <t>all cause mortality</t>
  </si>
  <si>
    <t>10000 women-years at risk</t>
  </si>
  <si>
    <t>text Mortality on page 244 and table IX when totalled</t>
  </si>
  <si>
    <r>
      <t xml:space="preserve">all cause mortality within 7 years per number of women included in analysis, </t>
    </r>
    <r>
      <rPr>
        <b/>
        <sz val="10"/>
        <rFont val="Calibri"/>
        <family val="2"/>
        <scheme val="minor"/>
      </rPr>
      <t xml:space="preserve"> cohort 1,</t>
    </r>
    <r>
      <rPr>
        <sz val="10"/>
        <rFont val="Calibri"/>
        <family val="2"/>
        <scheme val="minor"/>
      </rPr>
      <t xml:space="preserve"> screening vs no screening</t>
    </r>
  </si>
  <si>
    <r>
      <rPr>
        <strike/>
        <sz val="10"/>
        <rFont val="Calibri"/>
        <family val="2"/>
        <scheme val="minor"/>
      </rPr>
      <t>NA</t>
    </r>
    <r>
      <rPr>
        <sz val="10"/>
        <rFont val="Calibri"/>
        <family val="2"/>
        <scheme val="minor"/>
      </rPr>
      <t xml:space="preserve"> text Mortality on page 244 and table IX when totalled</t>
    </r>
  </si>
  <si>
    <t>Alexander 1994</t>
  </si>
  <si>
    <r>
      <t xml:space="preserve">breast cancer death (death certificate) within 10 years since randomisation (survey start date) per 10000 women-years at risk, </t>
    </r>
    <r>
      <rPr>
        <b/>
        <sz val="10"/>
        <rFont val="Calibri"/>
        <family val="2"/>
        <scheme val="minor"/>
      </rPr>
      <t xml:space="preserve"> cohort 1,</t>
    </r>
    <r>
      <rPr>
        <sz val="10"/>
        <rFont val="Calibri"/>
        <family val="2"/>
        <scheme val="minor"/>
      </rPr>
      <t xml:space="preserve"> screening vs no screening</t>
    </r>
  </si>
  <si>
    <t>1978-1988: local follow-up for mortality as independent data sources alongside flagging; since then, only flagging; 3 definitions for BC death: 1) death cerficate part 1 or 2; 2) BC death underlined on death certificate or derived from formal application of WHO rule 3; 3) BC death underlined on death certificate or another cause was underlined in women with BC, but case note review (3 doctors) identified BC as the underlying cause.</t>
  </si>
  <si>
    <t>219,215 PY;
mean 9.6 years</t>
  </si>
  <si>
    <t>201,821 PY;
mean 9.5 years</t>
  </si>
  <si>
    <t>breast cancer death = death of a woman in the study for which the death certificate recorded breast cancer as primary or secondary cause of death</t>
  </si>
  <si>
    <t>for extra binomial regression (cluster randomisation), age at survey entry</t>
  </si>
  <si>
    <t>Table II and Table I for denominator</t>
  </si>
  <si>
    <t>Deaths occurring as results of non-epithelial cancers in the breast (e.g. sarcoma, lymphoma)
are not included in the anlysis.</t>
  </si>
  <si>
    <r>
      <t xml:space="preserve">breast cancer death (underlined cause or WHO rule 3) within 10 years since randomisation (survey start date) per 10000 women-years at risk, </t>
    </r>
    <r>
      <rPr>
        <b/>
        <sz val="10"/>
        <rFont val="Calibri"/>
        <family val="2"/>
        <scheme val="minor"/>
      </rPr>
      <t xml:space="preserve"> cohort 1, </t>
    </r>
    <r>
      <rPr>
        <sz val="10"/>
        <rFont val="Calibri"/>
        <family val="2"/>
        <scheme val="minor"/>
      </rPr>
      <t>screening vs no screening</t>
    </r>
  </si>
  <si>
    <t>breast cancer as underlying cause of death = underlined cause on death certificate or formal WHO rules attributed death to BC when a non-specific cause was underlined</t>
  </si>
  <si>
    <t>for extrabinomial regression (cluster randomisation), age at survey entry</t>
  </si>
  <si>
    <t>Table II, Table I for denominator, and text: For the principal end point (breast cancer as the underlying cause using death certificate information) the reduction was 18% (relative risk = 0.82, 95% confidence interval 0.61-1.11).</t>
  </si>
  <si>
    <r>
      <t xml:space="preserve">breast cancer death (underlined cause or confirmed via case note review) within 10 years since randomisation (survey start date) per 10000 women-years at risk, </t>
    </r>
    <r>
      <rPr>
        <b/>
        <sz val="10"/>
        <rFont val="Calibri"/>
        <family val="2"/>
        <scheme val="minor"/>
      </rPr>
      <t xml:space="preserve">cohort 1, </t>
    </r>
    <r>
      <rPr>
        <sz val="10"/>
        <rFont val="Calibri"/>
        <family val="2"/>
        <scheme val="minor"/>
      </rPr>
      <t>screening vs no screening</t>
    </r>
  </si>
  <si>
    <t xml:space="preserve">breast cancer as underlying cause of death = underlined cause on death certificate or case note review idenitifed BC as underlying cause </t>
  </si>
  <si>
    <r>
      <t xml:space="preserve">breast cancer death (death certificate data) within 10 years since randomisation (survey start date) per 10000 women-years at risk, </t>
    </r>
    <r>
      <rPr>
        <b/>
        <sz val="10"/>
        <rFont val="Calibri"/>
        <family val="2"/>
        <scheme val="minor"/>
      </rPr>
      <t>cohort 1, 50-64 years</t>
    </r>
    <r>
      <rPr>
        <sz val="10"/>
        <rFont val="Calibri"/>
        <family val="2"/>
        <scheme val="minor"/>
      </rPr>
      <t>, screening vs no screening</t>
    </r>
  </si>
  <si>
    <t>50-64 from initial cohort</t>
  </si>
  <si>
    <t xml:space="preserve">10 years
</t>
  </si>
  <si>
    <t>162,465 PY;
mean 9.5 years</t>
  </si>
  <si>
    <t>147,233 PY;
mean 9.4 years</t>
  </si>
  <si>
    <t xml:space="preserve">for extrabinomial regression (cluster randomisation), age at survey entry, </t>
  </si>
  <si>
    <t>Table III and Table I for denominator</t>
  </si>
  <si>
    <r>
      <t xml:space="preserve">breast cancer death (death certificate data) within 10 years since randomisation (survey start date) per 10000 women-years at risk, </t>
    </r>
    <r>
      <rPr>
        <b/>
        <sz val="10"/>
        <rFont val="Calibri"/>
        <family val="2"/>
        <scheme val="minor"/>
      </rPr>
      <t>cohort 1, 45-49 years,</t>
    </r>
    <r>
      <rPr>
        <sz val="10"/>
        <rFont val="Calibri"/>
        <family val="2"/>
        <scheme val="minor"/>
      </rPr>
      <t xml:space="preserve"> screening vs no screening</t>
    </r>
  </si>
  <si>
    <t>45-49 from initial cohort</t>
  </si>
  <si>
    <t>56,750 PY;
mean 9.8 years</t>
  </si>
  <si>
    <t>54,588 PY;
mean 9.8 years</t>
  </si>
  <si>
    <r>
      <t>breast cancer death (death certificate data) within 6-10 years since randomisation (survey start date) per 10000 women-years at risk</t>
    </r>
    <r>
      <rPr>
        <b/>
        <sz val="10"/>
        <rFont val="Calibri"/>
        <family val="2"/>
        <scheme val="minor"/>
      </rPr>
      <t>, cohorts 1-3, 45-49 years</t>
    </r>
    <r>
      <rPr>
        <sz val="10"/>
        <rFont val="Calibri"/>
        <family val="2"/>
        <scheme val="minor"/>
      </rPr>
      <t>, screening vs no screening</t>
    </r>
  </si>
  <si>
    <t>45-49 from initial cohort and cohorts 2-3 (updates)</t>
  </si>
  <si>
    <t>10 years for cohort 1;
8 years for cohort 2;
6 years for cohort 3</t>
  </si>
  <si>
    <t>97,206 PY;
mean 8.4 years</t>
  </si>
  <si>
    <t>88,766 PY;
mean 8.6 years</t>
  </si>
  <si>
    <t>3-7</t>
  </si>
  <si>
    <t>for extrabinomial regression (cluster randomisation), age at survey entry, length of follow-up</t>
  </si>
  <si>
    <r>
      <t>All-cause mortality; per 10,000 women-years at risk,</t>
    </r>
    <r>
      <rPr>
        <b/>
        <sz val="10"/>
        <rFont val="Calibri"/>
        <family val="2"/>
        <scheme val="minor"/>
      </rPr>
      <t xml:space="preserve"> cohorts 1-3</t>
    </r>
    <r>
      <rPr>
        <sz val="10"/>
        <rFont val="Calibri"/>
        <family val="2"/>
        <scheme val="minor"/>
      </rPr>
      <t>, follow-up until 31/12/1991, screening vs no screening</t>
    </r>
  </si>
  <si>
    <t>1978-1988: local follow-up for mortality as independent data sources alongside flagging; since then, only flagging</t>
  </si>
  <si>
    <t>259,671 PY;
mean 9.1 years</t>
  </si>
  <si>
    <t>235,999 PY;
mean 9.1 years</t>
  </si>
  <si>
    <t>Total number of deaths up to 31/12/1991</t>
  </si>
  <si>
    <t>Women-years at risk</t>
  </si>
  <si>
    <t>Table I for denominator and text: The rates in the study
group were 15% lower than in the controls (relative risk =
0.85, 95% confidence interval 0.79-0.92).</t>
  </si>
  <si>
    <t>Alexander 1999</t>
  </si>
  <si>
    <r>
      <t xml:space="preserve">breast cancer death within 14 years since randomisation (survey start date) per 10000 women-years at risk, </t>
    </r>
    <r>
      <rPr>
        <b/>
        <sz val="10"/>
        <rFont val="Calibri"/>
        <family val="2"/>
        <scheme val="minor"/>
      </rPr>
      <t>cohort 1</t>
    </r>
    <r>
      <rPr>
        <sz val="10"/>
        <rFont val="Calibri"/>
        <family val="2"/>
        <scheme val="minor"/>
      </rPr>
      <t>; screening vs no screening</t>
    </r>
  </si>
  <si>
    <t>Flagging by the General Registry Office in Edingburgh; breast cancer mentioned on death certificate as underlying cause according to WHO rules and checked against trial database and other sources if necessary</t>
  </si>
  <si>
    <t>Censoring as applied to to cases diagnosed after study year 10,  and study years 9-12 in additional analyses, results were not affected by censoring</t>
  </si>
  <si>
    <t>45-64 year olds from initial cohort only</t>
  </si>
  <si>
    <t>301,155 PY;
mean 13.1 years</t>
  </si>
  <si>
    <t>276,363 PY;
mean 12.9 years</t>
  </si>
  <si>
    <t>breast cancer as underlying cause of death</t>
  </si>
  <si>
    <r>
      <rPr>
        <strike/>
        <sz val="10"/>
        <rFont val="Calibri"/>
        <family val="2"/>
        <scheme val="minor"/>
      </rPr>
      <t>10000</t>
    </r>
    <r>
      <rPr>
        <sz val="10"/>
        <rFont val="Calibri"/>
        <family val="2"/>
        <scheme val="minor"/>
      </rPr>
      <t xml:space="preserve"> women-years at risk</t>
    </r>
  </si>
  <si>
    <t>age and SES-2</t>
  </si>
  <si>
    <t>table 3 (and table 1 for denominator)</t>
  </si>
  <si>
    <t>Reported RR adjusted for cluster design.</t>
  </si>
  <si>
    <r>
      <t xml:space="preserve">breast cancer death within 10 to 14 years since randomisation (survey start date) per 10000 women-years at risk, </t>
    </r>
    <r>
      <rPr>
        <b/>
        <sz val="10"/>
        <rFont val="Calibri"/>
        <family val="2"/>
        <scheme val="minor"/>
      </rPr>
      <t>cohorts 1-3, 45-49 years</t>
    </r>
    <r>
      <rPr>
        <sz val="10"/>
        <rFont val="Calibri"/>
        <family val="2"/>
        <scheme val="minor"/>
      </rPr>
      <t>; screening vs no screening</t>
    </r>
  </si>
  <si>
    <t>45-49 year-olds (all three cohorts)</t>
  </si>
  <si>
    <t>14,12 and 10 years for 3 cohorts</t>
  </si>
  <si>
    <t>139,868 PY;
mean 12.2 years</t>
  </si>
  <si>
    <t>126,413 PY;
mean 12.3 years</t>
  </si>
  <si>
    <t>7, 5 and 3</t>
  </si>
  <si>
    <t>Number of stage 0 breast cancer by IUCC (TNM) clinical staging per number of women randomised, 7 years of follow-up; screening versus no screening</t>
  </si>
  <si>
    <t>0 (non-invasive disease)</t>
  </si>
  <si>
    <t>Advanced disease = positive nodes, or tumours greater than 2 cm, or stage III and IV disease</t>
  </si>
  <si>
    <t>standard UICC clinical staging (UICC, 4th edn, 1987); source NR</t>
  </si>
  <si>
    <t>Stage not known</t>
  </si>
  <si>
    <t>number of breast cancers for TNM stage 0 (non-invasive disease)</t>
  </si>
  <si>
    <t>study population = n randomised</t>
  </si>
  <si>
    <t>per 1,000</t>
  </si>
  <si>
    <t>Table V for numerator (table I for denominator)</t>
  </si>
  <si>
    <t>Number stage 0 of breast cancer by IUCC (TNM) clinical staging per women-years, screening vs no screening</t>
  </si>
  <si>
    <t>women-years</t>
  </si>
  <si>
    <t>per 10,000 women years</t>
  </si>
  <si>
    <t>Number of stage I breast cancer by IUCC (TNM) clinical staging per number of women randomised, 7 years of follow-up; screening versus no screening</t>
  </si>
  <si>
    <t>number of breast cancers for TNM stage I</t>
  </si>
  <si>
    <t>Number of stage I breast cancer by IUCC (TNM) clinical staging per women-years, 7 years of follow-up; screening vs no screening</t>
  </si>
  <si>
    <t>Number of stage II breast cancer by IUCC (TNM) clinical staging per number of women randomised, 7 years of follow-up; screening versus no screening</t>
  </si>
  <si>
    <t>number of breast cancers for TNM stage II</t>
  </si>
  <si>
    <t>Number of stage II breast cancer by IUCC (TNM) clinical staging per women-years, 7 years of follow-up; screening vs no screening</t>
  </si>
  <si>
    <t>Number of stage III breast cancer by IUCC (TNM) clinical staging per number of women randomised, 7 years of follow-up; screening versus no screening</t>
  </si>
  <si>
    <t>number of breast cancers for TNM stage III</t>
  </si>
  <si>
    <t>Number of stage III breast cancer by IUCC (TNM) clinical staging per women-years, 7 years of follow-up; screening vs no screening</t>
  </si>
  <si>
    <t>Number of stage IV breast cancer by IUCC (TNM) clinical staging per number of women randomised, 7 years of follow-up; screening versus no screening</t>
  </si>
  <si>
    <t>number of breast cancers for TNM stage IV</t>
  </si>
  <si>
    <t>Number of stage IV breast cancer by IUCC (TNM) clinical staging per women-years, 7 years of follow-up; screening vs no screening</t>
  </si>
  <si>
    <t>Number of stage III-IV breast cancer by IUCC (TNM) clinical staging per women-years, 7 years of follow-up; screening vs no screening</t>
  </si>
  <si>
    <t>number of breast cancers for TNM stage III-IV</t>
  </si>
  <si>
    <t>% of breast cancers that are diagnosed at late stage (stage III), screening versus no screening</t>
  </si>
  <si>
    <t>Total number of breast cancers detected; 7 years of follow-up (including cancers with missing stage data)</t>
  </si>
  <si>
    <t>Table V</t>
  </si>
  <si>
    <t>% of breast cancers that are diagnosed at late stage (stage IV), screening versus no screening</t>
  </si>
  <si>
    <t>% of breast cancers that are diagnosed at late stage (stage III-IV), screening versus no screening</t>
  </si>
  <si>
    <t>Diagnostic yield at screening (7 screening rounds) - Cancers detected per 1000 women randomised to screening arm</t>
  </si>
  <si>
    <t>Number of cancers screen detected (7 screening rounds)</t>
  </si>
  <si>
    <t>women randomised for screening</t>
  </si>
  <si>
    <t>per 1000 women</t>
  </si>
  <si>
    <t>34 interval cancers within 12 months of screening rounds
2 phyllodes tumours of the breast omitted.</t>
  </si>
  <si>
    <t>% target cancers that are screen detected in screening arm; follow-up for 7 years</t>
  </si>
  <si>
    <t>total cancers detected (screen-detected, interval cancers, cancers in non-attenders, others); 7 years of follow-up)</t>
  </si>
  <si>
    <t>2 phyllodes tumours of the breast omitted.</t>
  </si>
  <si>
    <r>
      <t>Number of stage 0 (in situ) breast cancer by IUCC (TNM) clinical staging per number of women randomised,</t>
    </r>
    <r>
      <rPr>
        <b/>
        <sz val="10"/>
        <rFont val="Calibri"/>
        <family val="2"/>
        <scheme val="minor"/>
      </rPr>
      <t xml:space="preserve"> cohort 1</t>
    </r>
    <r>
      <rPr>
        <sz val="10"/>
        <rFont val="Calibri"/>
        <family val="2"/>
        <scheme val="minor"/>
      </rPr>
      <t>, 10 years of follow-up, screening versus no screening</t>
    </r>
  </si>
  <si>
    <t>Advanced = stage III and IV or as defined by Tabar 1985 (stage III-IV, or stage I-II with pathological size &gt;20 mm or node positive)</t>
  </si>
  <si>
    <t>1978-1988: local follow-up for breast cancer incidence as independent data sources alongside flagging; since then, only flagging; matching against Scottish Cancer Registration Scheme; standard UICC clinical staging (UICC, 4th edn, 1987)</t>
  </si>
  <si>
    <r>
      <rPr>
        <strike/>
        <sz val="10"/>
        <rFont val="Calibri"/>
        <family val="2"/>
        <scheme val="minor"/>
      </rPr>
      <t xml:space="preserve">0 </t>
    </r>
    <r>
      <rPr>
        <sz val="10"/>
        <rFont val="Calibri"/>
        <family val="2"/>
        <scheme val="minor"/>
      </rPr>
      <t>18</t>
    </r>
  </si>
  <si>
    <t>UICC stage unknown</t>
  </si>
  <si>
    <r>
      <rPr>
        <strike/>
        <sz val="10"/>
        <rFont val="Calibri"/>
        <family val="2"/>
        <scheme val="minor"/>
      </rPr>
      <t xml:space="preserve">0 </t>
    </r>
    <r>
      <rPr>
        <sz val="10"/>
        <rFont val="Calibri"/>
        <family val="2"/>
        <scheme val="minor"/>
      </rPr>
      <t>35</t>
    </r>
  </si>
  <si>
    <t>Breast cancers with UICC stage 0</t>
  </si>
  <si>
    <t>trial population = n included in analysis</t>
  </si>
  <si>
    <t>table IV</t>
  </si>
  <si>
    <t>study also reported cancer in women ever screened (per protocol analysis) for all stages</t>
  </si>
  <si>
    <r>
      <t xml:space="preserve">Number of stage 0 (in situ) breast cancer by IUCC (TNM) clinical staging per women years at risk, </t>
    </r>
    <r>
      <rPr>
        <b/>
        <sz val="10"/>
        <rFont val="Calibri"/>
        <family val="2"/>
        <scheme val="minor"/>
      </rPr>
      <t>cohort 1</t>
    </r>
    <r>
      <rPr>
        <sz val="10"/>
        <rFont val="Calibri"/>
        <family val="2"/>
        <scheme val="minor"/>
      </rPr>
      <t>, 10 years of follow-up, screening versus no screening</t>
    </r>
  </si>
  <si>
    <t>per 10000 women years</t>
  </si>
  <si>
    <t>table IV (for nominator) and Table I for denominator</t>
  </si>
  <si>
    <r>
      <t xml:space="preserve">Number of stage I/II breast cancer by IUCC (TNM) clinical staging per number of women randomised, </t>
    </r>
    <r>
      <rPr>
        <b/>
        <sz val="10"/>
        <rFont val="Calibri"/>
        <family val="2"/>
        <scheme val="minor"/>
      </rPr>
      <t>cohort 1</t>
    </r>
    <r>
      <rPr>
        <sz val="10"/>
        <rFont val="Calibri"/>
        <family val="2"/>
        <scheme val="minor"/>
      </rPr>
      <t>, 10 years of follow-up, screening versus no screening</t>
    </r>
  </si>
  <si>
    <t>I/II</t>
  </si>
  <si>
    <t>Breast cancers with UICC stage I + II</t>
  </si>
  <si>
    <t xml:space="preserve">for satge I/II also reported by pathoolgical classification considering size and nodal status but not extracted because not available for all stages </t>
  </si>
  <si>
    <r>
      <t xml:space="preserve">Number of stage I/II breast cancer by IUCC (TNM) clinical staging per women years at risk, </t>
    </r>
    <r>
      <rPr>
        <b/>
        <sz val="10"/>
        <rFont val="Calibri"/>
        <family val="2"/>
        <scheme val="minor"/>
      </rPr>
      <t>cohort 1</t>
    </r>
    <r>
      <rPr>
        <sz val="10"/>
        <rFont val="Calibri"/>
        <family val="2"/>
        <scheme val="minor"/>
      </rPr>
      <t>, 10 years of follow-up, screening versus no screening</t>
    </r>
  </si>
  <si>
    <r>
      <t xml:space="preserve">Number of stage III breast cancer by IUCC (TNM) clinical staging per number of women randomised, </t>
    </r>
    <r>
      <rPr>
        <b/>
        <sz val="10"/>
        <rFont val="Calibri"/>
        <family val="2"/>
        <scheme val="minor"/>
      </rPr>
      <t>cohort 1</t>
    </r>
    <r>
      <rPr>
        <sz val="10"/>
        <rFont val="Calibri"/>
        <family val="2"/>
        <scheme val="minor"/>
      </rPr>
      <t>, 10 years of follow-up, screening versus no screening</t>
    </r>
  </si>
  <si>
    <t>Breast cancers with UICC stage III</t>
  </si>
  <si>
    <r>
      <t xml:space="preserve">Number of stage III breast cancer by IUCC (TNM) clinical staging per women years at risk, </t>
    </r>
    <r>
      <rPr>
        <b/>
        <sz val="10"/>
        <rFont val="Calibri"/>
        <family val="2"/>
        <scheme val="minor"/>
      </rPr>
      <t>cohort 1</t>
    </r>
    <r>
      <rPr>
        <sz val="10"/>
        <rFont val="Calibri"/>
        <family val="2"/>
        <scheme val="minor"/>
      </rPr>
      <t>, 10 years of follow-up, screening versus no screening</t>
    </r>
  </si>
  <si>
    <r>
      <t xml:space="preserve">Number of stage IV breast cancer by IUCC (TNM) clinical staging per number of women randomised, </t>
    </r>
    <r>
      <rPr>
        <b/>
        <sz val="10"/>
        <rFont val="Calibri"/>
        <family val="2"/>
        <scheme val="minor"/>
      </rPr>
      <t>cohort 1</t>
    </r>
    <r>
      <rPr>
        <sz val="10"/>
        <rFont val="Calibri"/>
        <family val="2"/>
        <scheme val="minor"/>
      </rPr>
      <t>, 10 years of follow-up, screening versus no screening</t>
    </r>
  </si>
  <si>
    <t>Breast cancers with UICC stage IV</t>
  </si>
  <si>
    <r>
      <t xml:space="preserve">Number of stage IV breast cancer by IUCC (TNM) clinical staging per women years at risk, </t>
    </r>
    <r>
      <rPr>
        <b/>
        <sz val="10"/>
        <rFont val="Calibri"/>
        <family val="2"/>
        <scheme val="minor"/>
      </rPr>
      <t>cohort 1</t>
    </r>
    <r>
      <rPr>
        <sz val="10"/>
        <rFont val="Calibri"/>
        <family val="2"/>
        <scheme val="minor"/>
      </rPr>
      <t>, 10 years of follow-up, screening versus no screening</t>
    </r>
  </si>
  <si>
    <t xml:space="preserve"> 10 years</t>
  </si>
  <si>
    <r>
      <t>Number of stage III-IV breast cancer by IUCC (TNM) clinical staging per number of women randomised,</t>
    </r>
    <r>
      <rPr>
        <b/>
        <sz val="10"/>
        <rFont val="Calibri"/>
        <family val="2"/>
        <scheme val="minor"/>
      </rPr>
      <t xml:space="preserve"> cohort 1</t>
    </r>
    <r>
      <rPr>
        <sz val="10"/>
        <rFont val="Calibri"/>
        <family val="2"/>
        <scheme val="minor"/>
      </rPr>
      <t>, 10 years of follow-up, screening versus no screening</t>
    </r>
  </si>
  <si>
    <t>III + IV</t>
  </si>
  <si>
    <t>Breast cancers with UICC stage III + IV</t>
  </si>
  <si>
    <r>
      <t xml:space="preserve">Number of stage III- IV breast cancer by IUCC (TNM) clinical staging per women years at risk, </t>
    </r>
    <r>
      <rPr>
        <b/>
        <sz val="10"/>
        <rFont val="Calibri"/>
        <family val="2"/>
        <scheme val="minor"/>
      </rPr>
      <t>cohort 1</t>
    </r>
    <r>
      <rPr>
        <sz val="10"/>
        <rFont val="Calibri"/>
        <family val="2"/>
        <scheme val="minor"/>
      </rPr>
      <t>, 10 years of follow-up, screening versus no screening</t>
    </r>
  </si>
  <si>
    <t xml:space="preserve"> NR</t>
  </si>
  <si>
    <r>
      <t>% of breast cancers diagnosed at late stage (stage III or IV),</t>
    </r>
    <r>
      <rPr>
        <b/>
        <sz val="10"/>
        <rFont val="Calibri"/>
        <family val="2"/>
        <scheme val="minor"/>
      </rPr>
      <t xml:space="preserve"> cohort 1</t>
    </r>
    <r>
      <rPr>
        <sz val="10"/>
        <rFont val="Calibri"/>
        <family val="2"/>
        <scheme val="minor"/>
      </rPr>
      <t>, 10 years of follow-up, screening versus no screening</t>
    </r>
  </si>
  <si>
    <t>Breast cancers with UICC stage III or IV</t>
  </si>
  <si>
    <t>Total number of breast cancers detected; 10 years of follow-up (including cancers with missing stage data)</t>
  </si>
  <si>
    <t>table IV and text: The UICC stage distribution is more favourable for the study population than for the controls (Table IV); percentages of invasive cancers classified as stages III or IV are
17% and 32% respectively.</t>
  </si>
  <si>
    <t>% in text are based on invasive cancers only, so exclude 42 and 11 in-situ (stage 0) cancers.</t>
  </si>
  <si>
    <r>
      <t xml:space="preserve">% of </t>
    </r>
    <r>
      <rPr>
        <b/>
        <sz val="10"/>
        <rFont val="Calibri"/>
        <family val="2"/>
        <scheme val="minor"/>
      </rPr>
      <t xml:space="preserve">invasive </t>
    </r>
    <r>
      <rPr>
        <sz val="10"/>
        <rFont val="Calibri"/>
        <family val="2"/>
        <scheme val="minor"/>
      </rPr>
      <t xml:space="preserve">breast cancers diagnosed at late stage (stage III or IV), </t>
    </r>
    <r>
      <rPr>
        <b/>
        <sz val="10"/>
        <rFont val="Calibri"/>
        <family val="2"/>
        <scheme val="minor"/>
      </rPr>
      <t>cohort 1</t>
    </r>
    <r>
      <rPr>
        <sz val="10"/>
        <rFont val="Calibri"/>
        <family val="2"/>
        <scheme val="minor"/>
      </rPr>
      <t>, 10 years of follow-up, screening versus no screening</t>
    </r>
  </si>
  <si>
    <r>
      <t xml:space="preserve">Total number of </t>
    </r>
    <r>
      <rPr>
        <b/>
        <sz val="10"/>
        <rFont val="Calibri"/>
        <family val="2"/>
        <scheme val="minor"/>
      </rPr>
      <t xml:space="preserve">invasive </t>
    </r>
    <r>
      <rPr>
        <sz val="10"/>
        <rFont val="Calibri"/>
        <family val="2"/>
        <scheme val="minor"/>
      </rPr>
      <t>breast cancers detected; 10 years of follow-up (including cancers with missing stage data)</t>
    </r>
  </si>
  <si>
    <r>
      <t>Number of advanced breast cancer (</t>
    </r>
    <r>
      <rPr>
        <b/>
        <sz val="10"/>
        <rFont val="Calibri"/>
        <family val="2"/>
        <scheme val="minor"/>
      </rPr>
      <t>definition by Tabar 1985</t>
    </r>
    <r>
      <rPr>
        <sz val="10"/>
        <rFont val="Calibri"/>
        <family val="2"/>
        <scheme val="minor"/>
      </rPr>
      <t xml:space="preserve">) per number of women randomised, </t>
    </r>
    <r>
      <rPr>
        <b/>
        <sz val="10"/>
        <rFont val="Calibri"/>
        <family val="2"/>
        <scheme val="minor"/>
      </rPr>
      <t>cohort 1</t>
    </r>
    <r>
      <rPr>
        <sz val="10"/>
        <rFont val="Calibri"/>
        <family val="2"/>
        <scheme val="minor"/>
      </rPr>
      <t>, 10 years of follow-up, screening versus no screening</t>
    </r>
  </si>
  <si>
    <t>Stage III-IV, or stage I-II with pathological size &gt;20 mm or node positive</t>
  </si>
  <si>
    <t>Size unknown</t>
  </si>
  <si>
    <t>Number of advanced breast cancers (stage III or IV, or stage I/II with pathological size &gt;20 mm or node positive)</t>
  </si>
  <si>
    <r>
      <t>Number of advanced breast cancer (</t>
    </r>
    <r>
      <rPr>
        <b/>
        <sz val="10"/>
        <rFont val="Calibri"/>
        <family val="2"/>
        <scheme val="minor"/>
      </rPr>
      <t>definition by Tabar 1985</t>
    </r>
    <r>
      <rPr>
        <sz val="10"/>
        <rFont val="Calibri"/>
        <family val="2"/>
        <scheme val="minor"/>
      </rPr>
      <t>) per women years at risk,</t>
    </r>
    <r>
      <rPr>
        <b/>
        <sz val="10"/>
        <rFont val="Calibri"/>
        <family val="2"/>
        <scheme val="minor"/>
      </rPr>
      <t xml:space="preserve"> cohort 1</t>
    </r>
    <r>
      <rPr>
        <sz val="10"/>
        <rFont val="Calibri"/>
        <family val="2"/>
        <scheme val="minor"/>
      </rPr>
      <t>, 10 years of follow-up, screening versus no screening</t>
    </r>
  </si>
  <si>
    <r>
      <t>% of breast cancers diagnosed at late stage (</t>
    </r>
    <r>
      <rPr>
        <b/>
        <sz val="10"/>
        <rFont val="Calibri"/>
        <family val="2"/>
        <scheme val="minor"/>
      </rPr>
      <t>definition by Tabar 1985</t>
    </r>
    <r>
      <rPr>
        <sz val="10"/>
        <rFont val="Calibri"/>
        <family val="2"/>
        <scheme val="minor"/>
      </rPr>
      <t xml:space="preserve">), </t>
    </r>
    <r>
      <rPr>
        <b/>
        <sz val="10"/>
        <rFont val="Calibri"/>
        <family val="2"/>
        <scheme val="minor"/>
      </rPr>
      <t>cohort 1</t>
    </r>
    <r>
      <rPr>
        <sz val="10"/>
        <rFont val="Calibri"/>
        <family val="2"/>
        <scheme val="minor"/>
      </rPr>
      <t>, 10 years of follow-up, screening versus no screening</t>
    </r>
  </si>
  <si>
    <t>stage III or
IV, pathological size &gt;20 mm or node positive</t>
  </si>
  <si>
    <t>Total number of breast cancers detected; 10 years of follow-up (including cancers with missing size data)</t>
  </si>
  <si>
    <t>table IV and text: The proportions of invasive cancers which are in this category are 53.5% and 73.5% for study and control groups respectively</t>
  </si>
  <si>
    <r>
      <t xml:space="preserve">% of </t>
    </r>
    <r>
      <rPr>
        <b/>
        <sz val="10"/>
        <rFont val="Calibri"/>
        <family val="2"/>
        <scheme val="minor"/>
      </rPr>
      <t xml:space="preserve">invasive </t>
    </r>
    <r>
      <rPr>
        <sz val="10"/>
        <rFont val="Calibri"/>
        <family val="2"/>
        <scheme val="minor"/>
      </rPr>
      <t>breast cancers diagnosed at late stage (</t>
    </r>
    <r>
      <rPr>
        <b/>
        <sz val="10"/>
        <rFont val="Calibri"/>
        <family val="2"/>
        <scheme val="minor"/>
      </rPr>
      <t>definition by Tabar 1985</t>
    </r>
    <r>
      <rPr>
        <sz val="10"/>
        <rFont val="Calibri"/>
        <family val="2"/>
        <scheme val="minor"/>
      </rPr>
      <t xml:space="preserve">), </t>
    </r>
    <r>
      <rPr>
        <b/>
        <sz val="10"/>
        <rFont val="Calibri"/>
        <family val="2"/>
        <scheme val="minor"/>
      </rPr>
      <t>cohort 1</t>
    </r>
    <r>
      <rPr>
        <sz val="10"/>
        <rFont val="Calibri"/>
        <family val="2"/>
        <scheme val="minor"/>
      </rPr>
      <t>, 10 years of follow-up, screening versus no screening</t>
    </r>
  </si>
  <si>
    <r>
      <t xml:space="preserve">Total number of </t>
    </r>
    <r>
      <rPr>
        <b/>
        <sz val="10"/>
        <rFont val="Calibri"/>
        <family val="2"/>
        <scheme val="minor"/>
      </rPr>
      <t xml:space="preserve">invasive </t>
    </r>
    <r>
      <rPr>
        <sz val="10"/>
        <rFont val="Calibri"/>
        <family val="2"/>
        <scheme val="minor"/>
      </rPr>
      <t>breast cancers detected; 10 years of follow-up (including cancers with missing size data)</t>
    </r>
  </si>
  <si>
    <t>Anderson 2000</t>
  </si>
  <si>
    <r>
      <t>% of breast cancers diagnosed at late stage (</t>
    </r>
    <r>
      <rPr>
        <b/>
        <sz val="10"/>
        <rFont val="Calibri"/>
        <family val="2"/>
        <scheme val="minor"/>
      </rPr>
      <t>locally advanced or metastatic</t>
    </r>
    <r>
      <rPr>
        <sz val="10"/>
        <rFont val="Calibri"/>
        <family val="2"/>
        <scheme val="minor"/>
      </rPr>
      <t>); cohorts 1-3; diagnosed up to 10 years since study entry</t>
    </r>
  </si>
  <si>
    <t>Locally advanced or metastatic</t>
  </si>
  <si>
    <t>Locally advanced and/or metastatic</t>
  </si>
  <si>
    <t>Entry to the database of pathology information relating to size, histological nature of cancers and lymph node status through completion of a standardized form; slides of all cancers and axillary nodes examined by two pathologists during the trial field work, including those diagnosed in other local pathology departments (Western General Hospital, St
John’s Hospital); few cases treated in distant hospitals, relevant data extracted from pathology reports.</t>
  </si>
  <si>
    <t>All 3 cohorts</t>
  </si>
  <si>
    <t>Unknown node status / metastases</t>
  </si>
  <si>
    <t>Number of locally advanced or metastatic breast cancers; diagnosed up to 10 years since study entry</t>
  </si>
  <si>
    <t>Total number of breast cancers diagnosed up to 10 years since study entry (including non-invasive and micro-invasive cancers)</t>
  </si>
  <si>
    <t xml:space="preserve">Table 1 and text: The two notable features are the excess of cancers in the screened population (55.7%), and the major proportion of inoperable cancers in the control population (36.8%), almost double that in those offered screening. </t>
  </si>
  <si>
    <t>Denominator includes 50 (screening) and 13 (controls) non-invasive or micro-invasive cancers.</t>
  </si>
  <si>
    <t>Anderson 1991</t>
  </si>
  <si>
    <t>Absolute incidence of pT1 (1-20 mm) breast cancers (per 1,000 women); diagnosed up to 31/12/1988;
Screening vs controls</t>
  </si>
  <si>
    <t>1-20 mm</t>
  </si>
  <si>
    <t>More than pT2 (20-50 mm)</t>
  </si>
  <si>
    <t>Non-invasive (pTIS) or stage I (pT1, 1-20 mm, node negative)</t>
  </si>
  <si>
    <t>Pathological information relating to size, lymph node
status and histological nature of cancers entered on a
standardised form for entry into the pathology register database of the EBSP. The sections from all cancers were examined by two pathologists and categorised at the time of diagnosis.</t>
  </si>
  <si>
    <t xml:space="preserve">8 unknown presentation;
55 pTIS (non-invasive);
9 with clinical diagnosis only;
2 Phyllodes tumours not included.
</t>
  </si>
  <si>
    <t>11 pTIS (non-invasive);
9 with clinical diagnosis only;
7 with unknown stage;
1 Phyllodes tumour not included.</t>
  </si>
  <si>
    <t>Number of breast cancers with pathological size pT1 (1-20 mm); diagnosed up to December 1988</t>
  </si>
  <si>
    <t>Number of women randomised, by arm</t>
  </si>
  <si>
    <t>Absolute incidence of pT2 (20-50 mm) breast cancers (per 1,000 women); diagnosed up to 31/12/1988;
Screening vs controls</t>
  </si>
  <si>
    <t>20-50 mm</t>
  </si>
  <si>
    <t>Number of breast cancers with pathological size pT2 (20-50 mm); diagnosed up to December 1988</t>
  </si>
  <si>
    <t>Absolute incidence of pT3 (&gt;50 mm) breast cancers (per 1,000 women); diagnosed up to 31/12/1988;
Screening vs controls</t>
  </si>
  <si>
    <t>&gt;50 mm</t>
  </si>
  <si>
    <t>Number of breast cancers with pathological size pT3 (&gt;50 mm); diagnosed up to December 1988</t>
  </si>
  <si>
    <t>Absolute incidence of node negative breast cancers (per 1,000 women); diagnosed up to 31/12/1988;
Screening vs controls</t>
  </si>
  <si>
    <t>8 unknown presentation;
91 unknown node status (including 9 with clinical diagnosis only);
2 Phyllodes tumours not included.</t>
  </si>
  <si>
    <t>119 unknown node status (including 9 with clinical diagnosis only);
1 Phyllodes tumour not included.</t>
  </si>
  <si>
    <t>Number of node negative breast cancers; diagnosed up to December 1988</t>
  </si>
  <si>
    <t>Absolute incidence of node positive breast cancers (per 1,000 women); diagnosed up to 31/12/1988;
Screening vs controls</t>
  </si>
  <si>
    <t>Number of node positive breast cancers; diagnosed up to December 1988</t>
  </si>
  <si>
    <t>Absolute incidence of pT1 (1-20 mm) and node-negative (=stage 1) breast cancers (per 1,000 women); diagnosed up to 31/12/1988;
Screening vs controls</t>
  </si>
  <si>
    <t xml:space="preserve">8 unknown presentation;
55 pTIS (non-invasive);
91 unknown node status (including 9 with clinical diagnosis only);
2 Phyllodes tumours not included.
</t>
  </si>
  <si>
    <t>11 pTIS (non-invasive);
119 Unknown node status (including 9 with clinical diagnosis only);
1 Phyllodes tumour not included.</t>
  </si>
  <si>
    <t>Number of breast cancers with pathological size pT1 (1-20 mm) and node-negative (=stage I); diagnosed up to December 1988</t>
  </si>
  <si>
    <t>Diagnostic yield at screening (non-invasive and invasive breast cancers), prevalence screen and incidence screens (per 1,000 women); diagnosed up to 31/12/1988;
Screening vs controls</t>
  </si>
  <si>
    <t>8 unknown presentation;
2 Phyllodes tumours not included.</t>
  </si>
  <si>
    <t>Number of invasive and non-invasive (pTIS) breast cancers that were screen-detected (prevalence screen and incidence screens) up to December 1988</t>
  </si>
  <si>
    <t>Number of women randomised in screening arm</t>
  </si>
  <si>
    <t>Table I and Table III</t>
  </si>
  <si>
    <t>Diagnostic yield at screening (pTIS = noninvasive), prevalence screen and incidence screens (per 1,000 women); diagnosed up to 31/12/1988;
Screening vs controls</t>
  </si>
  <si>
    <t>Non-invasive</t>
  </si>
  <si>
    <t>Number of non-invasive (pTIS) breast cancers that were screen-detected (prevalence screen and incidence screens) up to December 1988</t>
  </si>
  <si>
    <t>Diagnostic yield at screening (invasive breast cancers), prevalence screen and incidence screens (per 1,000 women); diagnosed up to 31/12/1988;
Screening vs controls</t>
  </si>
  <si>
    <t>Number of invasive breast cancers that were screen-detected (prevalence screen and incidence screens) up to December 1988</t>
  </si>
  <si>
    <t>% of breast cancers (invasive + non-invasive) that are screen-detected (prevalence screen and incidence screens); diagnosed up to 31/12/1988;
Screening vs controls</t>
  </si>
  <si>
    <t>Total number of breast cancers (invasive + non-invasive); up to 31/12/1988 (excluding Phyllodes tumours and cancers with unknown presentation)</t>
  </si>
  <si>
    <r>
      <t xml:space="preserve">% of </t>
    </r>
    <r>
      <rPr>
        <b/>
        <sz val="10"/>
        <rFont val="Calibri"/>
        <family val="2"/>
        <scheme val="minor"/>
      </rPr>
      <t xml:space="preserve">invasive </t>
    </r>
    <r>
      <rPr>
        <sz val="10"/>
        <rFont val="Calibri"/>
        <family val="2"/>
        <scheme val="minor"/>
      </rPr>
      <t>breast cancers that are screen-detected (prevalence screen and incidence screens); diagnosed up to 31/12/1988;
Screening vs controls</t>
    </r>
  </si>
  <si>
    <r>
      <t xml:space="preserve">Total number of </t>
    </r>
    <r>
      <rPr>
        <b/>
        <sz val="10"/>
        <rFont val="Calibri"/>
        <family val="2"/>
        <scheme val="minor"/>
      </rPr>
      <t xml:space="preserve">invasive </t>
    </r>
    <r>
      <rPr>
        <sz val="10"/>
        <rFont val="Calibri"/>
        <family val="2"/>
        <scheme val="minor"/>
      </rPr>
      <t>breast cancers; up to 31/12/1988 (excluding Phyllodes tumours and cancers with unknown presentation)</t>
    </r>
  </si>
  <si>
    <r>
      <t xml:space="preserve">Absolute incidence of pT1 (1-20 mm) breast cancers (per 1,000 women </t>
    </r>
    <r>
      <rPr>
        <b/>
        <sz val="10"/>
        <rFont val="Calibri"/>
        <family val="2"/>
        <scheme val="minor"/>
      </rPr>
      <t>in cohort 1</t>
    </r>
    <r>
      <rPr>
        <sz val="10"/>
        <rFont val="Calibri"/>
        <family val="2"/>
        <scheme val="minor"/>
      </rPr>
      <t>); diagnosed up to 31/12/1988;
Screening vs controls</t>
    </r>
  </si>
  <si>
    <t xml:space="preserve">Unknown presentation;
pTIS (non-invasive)
</t>
  </si>
  <si>
    <t>pTIS (non-invasive)</t>
  </si>
  <si>
    <r>
      <t xml:space="preserve">Number of breast cancers with pathological size pT1 (1-20 mm) </t>
    </r>
    <r>
      <rPr>
        <b/>
        <sz val="10"/>
        <rFont val="Calibri"/>
        <family val="2"/>
        <scheme val="minor"/>
      </rPr>
      <t>in cohort 1</t>
    </r>
    <r>
      <rPr>
        <sz val="10"/>
        <rFont val="Calibri"/>
        <family val="2"/>
        <scheme val="minor"/>
      </rPr>
      <t>; diagnosed up to December 1988</t>
    </r>
  </si>
  <si>
    <r>
      <t xml:space="preserve">Number of women randomised </t>
    </r>
    <r>
      <rPr>
        <b/>
        <sz val="10"/>
        <rFont val="Calibri"/>
        <family val="2"/>
        <scheme val="minor"/>
      </rPr>
      <t>to cohort 1</t>
    </r>
    <r>
      <rPr>
        <sz val="10"/>
        <rFont val="Calibri"/>
        <family val="2"/>
        <scheme val="minor"/>
      </rPr>
      <t>, by arm</t>
    </r>
  </si>
  <si>
    <t>Table IV</t>
  </si>
  <si>
    <r>
      <t xml:space="preserve">Absolute incidence of pT2 (20-50 mm) breast cancers (per 1,000 women </t>
    </r>
    <r>
      <rPr>
        <b/>
        <sz val="10"/>
        <rFont val="Calibri"/>
        <family val="2"/>
        <scheme val="minor"/>
      </rPr>
      <t>in cohort 1</t>
    </r>
    <r>
      <rPr>
        <sz val="10"/>
        <rFont val="Calibri"/>
        <family val="2"/>
        <scheme val="minor"/>
      </rPr>
      <t>); diagnosed up to 31/12/1988;
Screening vs controls</t>
    </r>
  </si>
  <si>
    <r>
      <t xml:space="preserve">Number of breast cancers with pathological size pT2 (20-50 mm) </t>
    </r>
    <r>
      <rPr>
        <b/>
        <sz val="10"/>
        <rFont val="Calibri"/>
        <family val="2"/>
        <scheme val="minor"/>
      </rPr>
      <t>in cohort 1</t>
    </r>
    <r>
      <rPr>
        <sz val="10"/>
        <rFont val="Calibri"/>
        <family val="2"/>
        <scheme val="minor"/>
      </rPr>
      <t>; diagnosed up to December 1988</t>
    </r>
  </si>
  <si>
    <t>Miller 1992</t>
  </si>
  <si>
    <t>CNBSS-2</t>
  </si>
  <si>
    <t>Breast cancer mortality; 7 years of follow-up; per 10,000 PY
MP vs PO</t>
  </si>
  <si>
    <t>Initial and annual self-administered questionnaires, from the screening examinations, from the patients' physicians, by record linkage to the Canadian National Mortality Data Base. Expert panels evaluated death data.</t>
  </si>
  <si>
    <t>Number of breast cancer deaths, 7 years after entry</t>
  </si>
  <si>
    <t>Per 10,000 PY</t>
  </si>
  <si>
    <t xml:space="preserve">Table 9 and text: However, at 7 years the total number of deaths from breast cancer was virtually the same in the MP and PO groups (38 and 39 respectively). </t>
  </si>
  <si>
    <t>Bias: The number of deaths recorded since 1988, from follow-up of the participants and cancer registry linkages, may not represent all of the women who died of breast cancer.</t>
  </si>
  <si>
    <t>Breast cancer mortality; 7 years of follow-up; per 1,000 women,
MP vs PO</t>
  </si>
  <si>
    <t>Table 9 and text: However, at 7 years the total number of deaths from breast cancer was virtually the same in the MP and PO groups (38 and 39 respectively). The ratio of the
proportions of death from breast cancer in the MP
group compared with those in the PO group was 0.97 (95% CI 0.62 to 1.52).</t>
  </si>
  <si>
    <t>Breast cancer mortality; per 1,000 women, up to 31/12/1988;
MP vs PO</t>
  </si>
  <si>
    <t>about 3-9 years</t>
  </si>
  <si>
    <t>Number of breast cancer deaths, up to 31/12/1988</t>
  </si>
  <si>
    <t>Table 8</t>
  </si>
  <si>
    <t>Fewer deaths from breast cancer were recorded in Table 8 because the cutoff for the linkage with the Canadian Mortality Data Base, Statistics Canada, was Dec. 31, 1988. The tabulated underlying cause of death was calculated on the basis of all available information.</t>
  </si>
  <si>
    <t>All-cause mortality; per 1,000 women, up to 31/12/1988;
MP vs PO</t>
  </si>
  <si>
    <t>Number of deaths from all causes, up to 31/12/1988</t>
  </si>
  <si>
    <t>CNBSS-1</t>
  </si>
  <si>
    <t>Breast cancer mortality; 7 years of follow-up; per 10,000 PY
MP vs UC</t>
  </si>
  <si>
    <t>Initial and annual self-administered questionnaires, from the screening examinations, from the patients' physicians, by record linkage to the Canadian National Mortality Data Base. Expert panels evaluated death data for those whose death certificate mentioned breast cancer and for those whose cause of death was reported as unknown, unknown primary cancer, lung cancer, colon cancer or liver cancer.</t>
  </si>
  <si>
    <t>4-5 MP;
1 UC</t>
  </si>
  <si>
    <t>Table 9  and text: There were 38 deaths from breast cancer in the MP group and 28 in the UC group… the difference was not
significant.</t>
  </si>
  <si>
    <t>Breast cancer mortality; 7 years of follow-up; per 1,000 women,
MP vs UC</t>
  </si>
  <si>
    <t>Table 9 and text: There were 38 deaths from breast cancer in the MP group and 28 in the UC group. The ratio of the proportions of death from breast cancer in the MP group compared with those in the UC group was 1.36 (95% confidence interval 0.84 to 2.21).</t>
  </si>
  <si>
    <t>Breast cancer mortality; per 1,000 women, up to 31/12/1988;
MP vs UC</t>
  </si>
  <si>
    <t>Fewer deaths from breast cancer were recorded in Table 8 because the cutoff for the linkage with the CMDB was Dec. 31, 1988.</t>
  </si>
  <si>
    <t>All-cause mortality; per 1,000 women, up to 31/12/1988;
MP vs UC</t>
  </si>
  <si>
    <t xml:space="preserve">Initial and annual self-administered questionnaires, from the screening examinations, from the patients' physicians, by record linkage to the Canadian National Mortality Data Base. </t>
  </si>
  <si>
    <t>Miller 1997</t>
  </si>
  <si>
    <t>Breast cancer mortality; per 1,000 women, up to 31/12/1993;
MP vs UC</t>
  </si>
  <si>
    <t>Annual follow-up of all women known to have been diagnosed with breast cancer, and by linking CNBSS records to the Canadian National Mortality Data Base (CNMDB)</t>
  </si>
  <si>
    <t>mean 10.5 years
(range 8.75 to 13 years)</t>
  </si>
  <si>
    <t>Number of breast cancer deaths, up to 31/12/1993</t>
  </si>
  <si>
    <t xml:space="preserve">Text: Using the data from the CNMDB to December 31, 1993, we identified 82 breast cancer deaths in the MP arm and 72 in the UC arm. </t>
  </si>
  <si>
    <t>Breast cancer mortality; per 10,000 PY; rate ratio, up to 31/12/1993;
MP vs UC</t>
  </si>
  <si>
    <t>Text: In terms of person-years of observation to December 31, 1993, this is a rate ratio of 1.14 (95% confidence interval [CI]: 0.83–1.56).</t>
  </si>
  <si>
    <t>All-cause mortality; per 1,000 women, up to 31/12/1993;
MP vs UC</t>
  </si>
  <si>
    <t>Number of deaths from all causes, up to 31/12/1993</t>
  </si>
  <si>
    <t>Table 4 and text: All-cause mortality was almost identical comparing the two groups; the nonsignificant excess
of breast cancer deaths in the MP arm was balanced by
an excess of other cancer deaths in the UC arm.</t>
  </si>
  <si>
    <t>Miller 2000</t>
  </si>
  <si>
    <t>Breast cancer mortality; per 1,000 women, up to 31/12/1993;
MP vs PO</t>
  </si>
  <si>
    <t>Record linkage with the Canadian National Cancer Registry and National Mortality Database to December 31, 1993. Blinded expert panels (3 oncologists) evaluated death data for those whose death certificate mentioned breast cancer and for those whose cause of death was reported as unknown, unknown primary cancer, lung cancer, colon cancer or liver cancer.</t>
  </si>
  <si>
    <t>Table 3 and text: There were 88 deaths from breast
cancer in the mammography plus physical examination group
and 90 deaths in the physical examination-only group, for a
cumulative rate ratio of 0.98 (95% CI = 0.73–1.31).</t>
  </si>
  <si>
    <t>All-cause mortality; per 1,000 women, up to 31/12/1993;
MP vs PO</t>
  </si>
  <si>
    <t xml:space="preserve">Record linkage with the Canadian National Cancer Registry and National Mortality Database to December 31, 1993. </t>
  </si>
  <si>
    <t>Table 3 and text: The total numbers of deaths were similar in the mammography plus physical examination and physical examination-only groups, 734 and 690, respectively</t>
  </si>
  <si>
    <r>
      <t xml:space="preserve">Breast cancer mortality from </t>
    </r>
    <r>
      <rPr>
        <b/>
        <sz val="10"/>
        <rFont val="Calibri"/>
        <family val="2"/>
        <scheme val="minor"/>
      </rPr>
      <t>all breast cancers diagnosed to 31/12/1993</t>
    </r>
    <r>
      <rPr>
        <sz val="10"/>
        <rFont val="Calibri"/>
        <family val="2"/>
        <scheme val="minor"/>
      </rPr>
      <t>; per 10,000 PY, up to 30/06/1996;
MP vs PO</t>
    </r>
  </si>
  <si>
    <t>Record linkage with the Canadian National Cancer Registry and National Mortality Database to December 31, 1993, and by active follow-up of breast cancer patients to June 30, 1996. Blinded expert panels (3 oncologists) evaluated death data for those whose death certificate mentioned breast cancer and for those whose cause of death was reported as unknown, unknown primary cancer, lung cancer, colon cancer or liver cancer.</t>
  </si>
  <si>
    <t>mean 13 years (range 11-16 years)</t>
  </si>
  <si>
    <r>
      <t xml:space="preserve">Number of breast cancer deaths from </t>
    </r>
    <r>
      <rPr>
        <b/>
        <sz val="10"/>
        <rFont val="Calibri"/>
        <family val="2"/>
        <scheme val="minor"/>
      </rPr>
      <t>all breast cancers diagnosed to 31/12/1993;</t>
    </r>
    <r>
      <rPr>
        <sz val="10"/>
        <rFont val="Calibri"/>
        <family val="2"/>
        <scheme val="minor"/>
      </rPr>
      <t xml:space="preserve"> follow-up to 30/06/1996</t>
    </r>
  </si>
  <si>
    <t>Figure 1, Table 4 and text: Including deaths from all breast cancers ascertained through December 31, 1993
(bottom section, Table 4), yields 107 in the mammography plus physical examination arm and 105 in the physical examinationonly arm, for a cumulative rate ratio of 1.02 (95% CI = 0.78–1.33).</t>
  </si>
  <si>
    <r>
      <t xml:space="preserve">Breast cancer mortality from </t>
    </r>
    <r>
      <rPr>
        <b/>
        <sz val="10"/>
        <rFont val="Calibri"/>
        <family val="2"/>
        <scheme val="minor"/>
      </rPr>
      <t>breast cancers diagnosed to 5 years from entry</t>
    </r>
    <r>
      <rPr>
        <sz val="10"/>
        <rFont val="Calibri"/>
        <family val="2"/>
        <scheme val="minor"/>
      </rPr>
      <t>; per 1,000 women, follow-up to 30/06/1996;
MP vs PO</t>
    </r>
  </si>
  <si>
    <r>
      <t xml:space="preserve">Number of breast cancer deaths in </t>
    </r>
    <r>
      <rPr>
        <b/>
        <sz val="10"/>
        <rFont val="Calibri"/>
        <family val="2"/>
        <scheme val="minor"/>
      </rPr>
      <t>breast cancers diagnosed to 5 years from entry</t>
    </r>
    <r>
      <rPr>
        <sz val="10"/>
        <rFont val="Calibri"/>
        <family val="2"/>
        <scheme val="minor"/>
      </rPr>
      <t>; follow-up to 30/06/1996</t>
    </r>
  </si>
  <si>
    <t>Table 4 and text: If only breast cancer deaths occurring in those diagnosed with breast cancer in the first 5 years after entry are considered (top section, Table 4), the rate ratio is 1.09 (95% CI = 0.78–1.51).</t>
  </si>
  <si>
    <r>
      <t xml:space="preserve">Breast cancer mortality from </t>
    </r>
    <r>
      <rPr>
        <b/>
        <sz val="10"/>
        <rFont val="Calibri"/>
        <family val="2"/>
        <scheme val="minor"/>
      </rPr>
      <t>breast cancers diagnosed to 6 years from entry</t>
    </r>
    <r>
      <rPr>
        <sz val="10"/>
        <rFont val="Calibri"/>
        <family val="2"/>
        <scheme val="minor"/>
      </rPr>
      <t>; per 1,000 women, follow-up to 30/06/1996;
MP vs PO</t>
    </r>
  </si>
  <si>
    <r>
      <t xml:space="preserve">Number of breast cancer deaths in </t>
    </r>
    <r>
      <rPr>
        <b/>
        <sz val="10"/>
        <rFont val="Calibri"/>
        <family val="2"/>
        <scheme val="minor"/>
      </rPr>
      <t>breast cancers diagnosed to 6 years from entry</t>
    </r>
    <r>
      <rPr>
        <sz val="10"/>
        <rFont val="Calibri"/>
        <family val="2"/>
        <scheme val="minor"/>
      </rPr>
      <t>; follow-up to 30/06/1996</t>
    </r>
  </si>
  <si>
    <r>
      <t xml:space="preserve">Breast cancer mortality from </t>
    </r>
    <r>
      <rPr>
        <b/>
        <sz val="10"/>
        <rFont val="Calibri"/>
        <family val="2"/>
        <scheme val="minor"/>
      </rPr>
      <t>breast cancers diagnosed to 7 years from entry</t>
    </r>
    <r>
      <rPr>
        <sz val="10"/>
        <rFont val="Calibri"/>
        <family val="2"/>
        <scheme val="minor"/>
      </rPr>
      <t>; per 1,000 women, follow-up to 30/06/1996;
MP vs PO</t>
    </r>
  </si>
  <si>
    <r>
      <t xml:space="preserve">Number of breast cancer deaths in </t>
    </r>
    <r>
      <rPr>
        <b/>
        <sz val="10"/>
        <rFont val="Calibri"/>
        <family val="2"/>
        <scheme val="minor"/>
      </rPr>
      <t>breast cancers diagnosed to 7 years from entry</t>
    </r>
    <r>
      <rPr>
        <sz val="10"/>
        <rFont val="Calibri"/>
        <family val="2"/>
        <scheme val="minor"/>
      </rPr>
      <t>; follow-up to 30/06/1996</t>
    </r>
  </si>
  <si>
    <r>
      <t xml:space="preserve">Breast cancer mortality from </t>
    </r>
    <r>
      <rPr>
        <b/>
        <sz val="10"/>
        <rFont val="Calibri"/>
        <family val="2"/>
        <scheme val="minor"/>
      </rPr>
      <t>breast cancers diagnosed to 8 years from entry</t>
    </r>
    <r>
      <rPr>
        <sz val="10"/>
        <rFont val="Calibri"/>
        <family val="2"/>
        <scheme val="minor"/>
      </rPr>
      <t>; per 1,000 women, follow-up to 30/06/1996;
MP vs PO</t>
    </r>
  </si>
  <si>
    <r>
      <t xml:space="preserve">Number of breast cancer deaths in </t>
    </r>
    <r>
      <rPr>
        <b/>
        <sz val="10"/>
        <rFont val="Calibri"/>
        <family val="2"/>
        <scheme val="minor"/>
      </rPr>
      <t>breast cancers diagnosed to 8 years from entry</t>
    </r>
    <r>
      <rPr>
        <sz val="10"/>
        <rFont val="Calibri"/>
        <family val="2"/>
        <scheme val="minor"/>
      </rPr>
      <t>; follow-up to 30/06/1996</t>
    </r>
  </si>
  <si>
    <r>
      <t xml:space="preserve">Breast cancer mortality from </t>
    </r>
    <r>
      <rPr>
        <b/>
        <sz val="10"/>
        <rFont val="Calibri"/>
        <family val="2"/>
        <scheme val="minor"/>
      </rPr>
      <t>breast cancers diagnosed to 9 years from entry</t>
    </r>
    <r>
      <rPr>
        <sz val="10"/>
        <rFont val="Calibri"/>
        <family val="2"/>
        <scheme val="minor"/>
      </rPr>
      <t>; per 1,000 women, follow-up to 30/06/1996;
MP vs PO</t>
    </r>
  </si>
  <si>
    <r>
      <t xml:space="preserve">Number of breast cancer deaths in </t>
    </r>
    <r>
      <rPr>
        <b/>
        <sz val="10"/>
        <rFont val="Calibri"/>
        <family val="2"/>
        <scheme val="minor"/>
      </rPr>
      <t>breast cancers diagnosed to 9 years from entry</t>
    </r>
    <r>
      <rPr>
        <sz val="10"/>
        <rFont val="Calibri"/>
        <family val="2"/>
        <scheme val="minor"/>
      </rPr>
      <t>; follow-up to 30/06/1996</t>
    </r>
  </si>
  <si>
    <t>Miller 2002</t>
  </si>
  <si>
    <r>
      <t xml:space="preserve">Breast cancer mortality from </t>
    </r>
    <r>
      <rPr>
        <b/>
        <sz val="10"/>
        <rFont val="Calibri"/>
        <family val="2"/>
        <scheme val="minor"/>
      </rPr>
      <t>all breast cancers diagnosed to 31/12/1993</t>
    </r>
    <r>
      <rPr>
        <sz val="10"/>
        <rFont val="Calibri"/>
        <family val="2"/>
        <scheme val="minor"/>
      </rPr>
      <t>; per 1,000 women, up to 30/06/1996;
MP vs UC</t>
    </r>
  </si>
  <si>
    <t>Until 1988: Initial and annual self-administered questionnaires, from the screening examinations, from the patients' physicians, by record linkage to the Canadian National Mortality Data Base. Annual follow-up of all women known to have been diagnosed with breast cancer, and by linking CNBSS records to the Canadian National Mortality Data Base (CNMDB). Expert panels blindly evaluated death data for those whose death certificate mentioned breast cancer and for those whose cause of death was reported as unknown, unknown primary cancer, lung cancer, colon cancer or liver cancer.</t>
  </si>
  <si>
    <t>mean 13 years (range 11.3-16.5 years)</t>
  </si>
  <si>
    <t>Number of breast cancer deaths diagnosed to 31/12/1993, up to 30/06/1996</t>
  </si>
  <si>
    <t>Figure 1 and Table 2</t>
  </si>
  <si>
    <t>The follow-up period is longer for the data in Table
2 than the data in Table 1 because we only had data on non–breast cancer causes of death through 1993.</t>
  </si>
  <si>
    <r>
      <t xml:space="preserve">Breast cancer mortality from </t>
    </r>
    <r>
      <rPr>
        <b/>
        <sz val="10"/>
        <rFont val="Calibri"/>
        <family val="2"/>
        <scheme val="minor"/>
      </rPr>
      <t>all breast cancers diagnosed to 31/12/1993</t>
    </r>
    <r>
      <rPr>
        <sz val="10"/>
        <rFont val="Calibri"/>
        <family val="2"/>
        <scheme val="minor"/>
      </rPr>
      <t>; per 10,000 PY, up to 30/06/1996;
MP vs UC</t>
    </r>
  </si>
  <si>
    <t>Figure 1, Table 2 and text: Including deaths from all
cases of breast cancer diagnosed yielded a rate ratio of 0.97
(CI, 0.74 to 1.27).</t>
  </si>
  <si>
    <r>
      <t xml:space="preserve">Breast cancer mortality from </t>
    </r>
    <r>
      <rPr>
        <b/>
        <sz val="10"/>
        <rFont val="Calibri"/>
        <family val="2"/>
        <scheme val="minor"/>
      </rPr>
      <t>breast cancers diagnosed to 5 years from entry</t>
    </r>
    <r>
      <rPr>
        <sz val="10"/>
        <rFont val="Calibri"/>
        <family val="2"/>
        <scheme val="minor"/>
      </rPr>
      <t>; per 1,000 women, follow-up to 30/06/1996;
MP vs UC</t>
    </r>
  </si>
  <si>
    <t>Table 2 and text: When we included only breast cancer deaths in women with cancer diagnosed in the first 5 years after
entry, the rate ratio was 1.07 (CI ,0.75 to 1.52).</t>
  </si>
  <si>
    <r>
      <t xml:space="preserve">Breast cancer mortality from </t>
    </r>
    <r>
      <rPr>
        <b/>
        <sz val="10"/>
        <rFont val="Calibri"/>
        <family val="2"/>
        <scheme val="minor"/>
      </rPr>
      <t>breast cancers diagnosed to 6 years from entry</t>
    </r>
    <r>
      <rPr>
        <sz val="10"/>
        <rFont val="Calibri"/>
        <family val="2"/>
        <scheme val="minor"/>
      </rPr>
      <t>; per 1,000 women, follow-up to 30/06/1996;
MP vs UC</t>
    </r>
  </si>
  <si>
    <r>
      <t xml:space="preserve">Breast cancer mortality from </t>
    </r>
    <r>
      <rPr>
        <b/>
        <sz val="10"/>
        <rFont val="Calibri"/>
        <family val="2"/>
        <scheme val="minor"/>
      </rPr>
      <t>breast cancers diagnosed to 7 years from entry</t>
    </r>
    <r>
      <rPr>
        <sz val="10"/>
        <rFont val="Calibri"/>
        <family val="2"/>
        <scheme val="minor"/>
      </rPr>
      <t>; per 1,000 women, follow-up to 30/06/1996;
MP vs UC</t>
    </r>
  </si>
  <si>
    <r>
      <t xml:space="preserve">Breast cancer mortality from </t>
    </r>
    <r>
      <rPr>
        <b/>
        <sz val="10"/>
        <rFont val="Calibri"/>
        <family val="2"/>
        <scheme val="minor"/>
      </rPr>
      <t>breast cancers diagnosed to 8 years from entry</t>
    </r>
    <r>
      <rPr>
        <sz val="10"/>
        <rFont val="Calibri"/>
        <family val="2"/>
        <scheme val="minor"/>
      </rPr>
      <t>; per 1,000 women, follow-up to 30/06/1996;
MP vs UC</t>
    </r>
  </si>
  <si>
    <r>
      <t xml:space="preserve">Breast cancer mortality from </t>
    </r>
    <r>
      <rPr>
        <b/>
        <sz val="10"/>
        <rFont val="Calibri"/>
        <family val="2"/>
        <scheme val="minor"/>
      </rPr>
      <t>breast cancers diagnosed to 9 years from entry</t>
    </r>
    <r>
      <rPr>
        <sz val="10"/>
        <rFont val="Calibri"/>
        <family val="2"/>
        <scheme val="minor"/>
      </rPr>
      <t>; per 1,000 women, follow-up to 30/06/1996;
MP vs UC</t>
    </r>
  </si>
  <si>
    <t>31/12/193</t>
  </si>
  <si>
    <t>Table 1 and text: The 84 breast cancer deaths in
the mammography group and 75 breast cancer deaths in
the usual care group yielded acumulative rate ratio of 1.12
(CI, 0.82 to 1.53).</t>
  </si>
  <si>
    <t xml:space="preserve">Until 1988: Initial and annual self-administered questionnaires, from the screening examinations, from the patients' physicians, by record linkage to the Canadian National Mortality Data Base. Annual follow-up of all women known to have been diagnosed with breast cancer, and by linking CNBSS records to the Canadian National Mortality Data Base (CNMDB). </t>
  </si>
  <si>
    <t>Miller 2014</t>
  </si>
  <si>
    <t>CNBSS (1 and 2 combined)</t>
  </si>
  <si>
    <r>
      <t>Breast cancer mortality from</t>
    </r>
    <r>
      <rPr>
        <b/>
        <sz val="10"/>
        <rFont val="Calibri"/>
        <family val="2"/>
        <scheme val="minor"/>
      </rPr>
      <t xml:space="preserve"> invasive cancers detected in years 1-5 (screening period)</t>
    </r>
    <r>
      <rPr>
        <sz val="10"/>
        <rFont val="Calibri"/>
        <family val="2"/>
        <scheme val="minor"/>
      </rPr>
      <t>; per 10,000 women; follow-up to 31/12/2005</t>
    </r>
  </si>
  <si>
    <t>Breast cancer cases followed through annual communication with the treating surgeon until 30 June 1996. Underlying cause of death for those women with breast cancer who died determined by blinded expert oncologists review. Subsequent to 30 June 1996, passive follow-up of all participants through record linkage (Canadian Cancer Registry, Canadian national mortality database, maintained by Statistics Canada in Ottawa). Certified underlying cause of death as coded within Statistics Canada.</t>
  </si>
  <si>
    <t>CNBSS-1 and CNBSS-2 combined</t>
  </si>
  <si>
    <t>Up to 25 years</t>
  </si>
  <si>
    <t>Mean 21.9 years (up to 25 years)</t>
  </si>
  <si>
    <t>4-5
(CNBSS-1 control: 1)</t>
  </si>
  <si>
    <t>Missing year of diagnosis</t>
  </si>
  <si>
    <t>Number of breast cancer deaths from all invasive breast cancers diagnosed in years 1-5 (screening period); follow-up to 31/12/2005</t>
  </si>
  <si>
    <t>Per 10,000 women</t>
  </si>
  <si>
    <t>Table 3, Fig. 4 and text: Overall, the 25 year cumulative mortality from breast cancers diagnosed during the screening period was similar between women in the mammography and control arms... (1.05, 0.85 to 1.30; P=0.63).</t>
  </si>
  <si>
    <t>Cox proportional hazards model to calculate hazard
ratios with 95% confidence intervals.</t>
  </si>
  <si>
    <r>
      <t xml:space="preserve">Breast cancer mortality from </t>
    </r>
    <r>
      <rPr>
        <b/>
        <sz val="10"/>
        <rFont val="Calibri"/>
        <family val="2"/>
        <scheme val="minor"/>
      </rPr>
      <t>invasive cancers detected in years 1-6 (screening period extended)</t>
    </r>
    <r>
      <rPr>
        <sz val="10"/>
        <rFont val="Calibri"/>
        <family val="2"/>
        <scheme val="minor"/>
      </rPr>
      <t>; per 10,000 women; follow-up to 31/12/2005</t>
    </r>
  </si>
  <si>
    <t>Number of breast cancer deaths from all invasive breast cancers diagnosed in years 1-6 (screening period extended); follow-up to 31/12/2005</t>
  </si>
  <si>
    <t>Text: The hazard ratio remained similar if the screening period was extended to six years (1.06, 0.87 to 1.29; P=0.55) or seven years (1.07, 0.89 to 1.29; P=0.46).</t>
  </si>
  <si>
    <r>
      <t>Breast cancer mortality from</t>
    </r>
    <r>
      <rPr>
        <b/>
        <sz val="10"/>
        <rFont val="Calibri"/>
        <family val="2"/>
        <scheme val="minor"/>
      </rPr>
      <t xml:space="preserve"> invasive cancers detected in years 1-7 (screening period extended)</t>
    </r>
    <r>
      <rPr>
        <sz val="10"/>
        <rFont val="Calibri"/>
        <family val="2"/>
        <scheme val="minor"/>
      </rPr>
      <t>; per 10,000 women; follow-up to 31/12/2005</t>
    </r>
  </si>
  <si>
    <t>Number of breast cancer deaths from all invasive breast cancers diagnosed in years 1-7 (screening period extended); follow-up to 31/12/2005</t>
  </si>
  <si>
    <r>
      <t>Breast cancer mortality from</t>
    </r>
    <r>
      <rPr>
        <b/>
        <sz val="10"/>
        <rFont val="Calibri"/>
        <family val="2"/>
        <scheme val="minor"/>
      </rPr>
      <t xml:space="preserve"> invasive cancers detected in years 1-5 (screening period)</t>
    </r>
    <r>
      <rPr>
        <sz val="10"/>
        <rFont val="Calibri"/>
        <family val="2"/>
        <scheme val="minor"/>
      </rPr>
      <t xml:space="preserve">; per 10,000 women; follow-up to 31/12/2005 </t>
    </r>
    <r>
      <rPr>
        <b/>
        <sz val="10"/>
        <rFont val="Calibri"/>
        <family val="2"/>
        <scheme val="minor"/>
      </rPr>
      <t>(CNBSS-1)</t>
    </r>
  </si>
  <si>
    <t xml:space="preserve">4-5 MP;
1 UC
</t>
  </si>
  <si>
    <t>Text: For women aged 40-49 at assignment the hazard ratio for 25 year breast cancer specific mortality associated with
mammography was 1.09 (95% confidence interval 0.80 to 1.49; P=0.58) …</t>
  </si>
  <si>
    <r>
      <t>Breast cancer mortality from</t>
    </r>
    <r>
      <rPr>
        <b/>
        <sz val="10"/>
        <rFont val="Calibri"/>
        <family val="2"/>
        <scheme val="minor"/>
      </rPr>
      <t xml:space="preserve"> invasive cancers detected in years 1-5 (screening period)</t>
    </r>
    <r>
      <rPr>
        <sz val="10"/>
        <rFont val="Calibri"/>
        <family val="2"/>
        <scheme val="minor"/>
      </rPr>
      <t>; per 10,000 women; follow-up to 31/12/2005 (</t>
    </r>
    <r>
      <rPr>
        <b/>
        <sz val="10"/>
        <rFont val="Calibri"/>
        <family val="2"/>
        <scheme val="minor"/>
      </rPr>
      <t>CNBSS-2)</t>
    </r>
  </si>
  <si>
    <t>Text: … for women aged 50-59 at assignment was 1.02 (0.77 to 1.36; P=0.88).</t>
  </si>
  <si>
    <t>Breast cancer mortality; per 10,000 women; follow-up to 31/12/2005</t>
  </si>
  <si>
    <t>Number of breast cancer deaths; follow-up to 31/12/2005</t>
  </si>
  <si>
    <t>Table 3, Fig. 3 and text: The 25 year cumulative mortality
from breast cancer was similar between women in the
mammography arm and control arm ... (0.99, 0.88 to 1.12;
P=0.87).</t>
  </si>
  <si>
    <t>All-cause mortality from cancers; per 10,000 women; follow-up to 31/12/2005</t>
  </si>
  <si>
    <t>Number of deaths from all causes; follow-up to 31/12/2005</t>
  </si>
  <si>
    <t>Fig. 2 and text: The 25 year cumulative mortality from all causes of death was similar between women in the mammography and control arms (fig 2⇓) (1.02, 0.98 to 1.06; P=0.28).</t>
  </si>
  <si>
    <t>Narod 2014</t>
  </si>
  <si>
    <t>Breast cancer mortality before age 60; per 100 women</t>
  </si>
  <si>
    <t xml:space="preserve">Follow-up was conducted actively until June 1996 and then passively through record linkage until December 31, 2005 (Canadian Cancer Registry and the Canadian Vital Statistics Death Database, maintained by Statistics Canada in Ottawa). </t>
  </si>
  <si>
    <t>Censored at death from breast cancer
or from another cause</t>
  </si>
  <si>
    <t>Mean 15.2 years (range 11-20 years)</t>
  </si>
  <si>
    <t>Number of breast cancer deaths before 60 years</t>
  </si>
  <si>
    <t>Figure 1 and text: Of 256 deaths from breast cancer recorded in the study cohort, 134 occurred in women allocated to
mammography, and 122 occurred in those receiving usual care and not allocated to mammography. The cumulative risk of death from breast cancer to age 60 was 0.53% for women assigned to mammography and 0.48% for women not so assigned. The hazard ratio for death from breast cancer, given the use of screening mammography, was 1.10 (95% CI: 0.86 to 1.40; p = 0.45)</t>
  </si>
  <si>
    <r>
      <t xml:space="preserve">Diagnostic yield at screening, </t>
    </r>
    <r>
      <rPr>
        <b/>
        <sz val="10"/>
        <rFont val="Calibri"/>
        <family val="2"/>
        <scheme val="minor"/>
      </rPr>
      <t>invasive</t>
    </r>
    <r>
      <rPr>
        <sz val="10"/>
        <rFont val="Calibri"/>
        <family val="2"/>
        <scheme val="minor"/>
      </rPr>
      <t xml:space="preserve"> breast cancers (4-5 screening rounds); per 1,000 women;
MP vs PO</t>
    </r>
  </si>
  <si>
    <t>Initial and annual self-administered questionnaires, from the screening examinations, from the patients' physicians, from the provincial cancer registries. Expert panels evaluated histologic data.</t>
  </si>
  <si>
    <t>5 screening rounds</t>
  </si>
  <si>
    <t>Number of screen-detected cancers (5 screening rounds)</t>
  </si>
  <si>
    <t>Screen-detected cancer was diagnosed as a direct result of a recommendation from the NBSS review clinic.</t>
  </si>
  <si>
    <r>
      <t xml:space="preserve">% of </t>
    </r>
    <r>
      <rPr>
        <b/>
        <sz val="10"/>
        <rFont val="Calibri"/>
        <family val="2"/>
        <scheme val="minor"/>
      </rPr>
      <t>invasive</t>
    </r>
    <r>
      <rPr>
        <sz val="10"/>
        <rFont val="Calibri"/>
        <family val="2"/>
        <scheme val="minor"/>
      </rPr>
      <t xml:space="preserve"> breast cancers that are screen-detected (4-5 screening rounds); follow-up through 7 years;
MP vs PO</t>
    </r>
  </si>
  <si>
    <t>Total number of breast cancers detected; follow-up through 7 years</t>
  </si>
  <si>
    <r>
      <t xml:space="preserve">Absolute incidence of node-negative, </t>
    </r>
    <r>
      <rPr>
        <b/>
        <sz val="10"/>
        <rFont val="Calibri"/>
        <family val="2"/>
        <scheme val="minor"/>
      </rPr>
      <t xml:space="preserve">invasive </t>
    </r>
    <r>
      <rPr>
        <sz val="10"/>
        <rFont val="Calibri"/>
        <family val="2"/>
        <scheme val="minor"/>
      </rPr>
      <t>breast cancers; follow-up through 7 years;
MP vs PO</t>
    </r>
  </si>
  <si>
    <t>Node-negative</t>
  </si>
  <si>
    <t>Nodal status unknown</t>
  </si>
  <si>
    <t>Number of node-negative, invasive breast cancers; diagnosed through 7 years of follow-up</t>
  </si>
  <si>
    <r>
      <t xml:space="preserve">Absolute incidence of node-positive, </t>
    </r>
    <r>
      <rPr>
        <b/>
        <sz val="10"/>
        <rFont val="Calibri"/>
        <family val="2"/>
        <scheme val="minor"/>
      </rPr>
      <t xml:space="preserve">invasive </t>
    </r>
    <r>
      <rPr>
        <sz val="10"/>
        <rFont val="Calibri"/>
        <family val="2"/>
        <scheme val="minor"/>
      </rPr>
      <t>breast cancers; follow-up through 7 years;
MP vs PO</t>
    </r>
  </si>
  <si>
    <t>Node-positive</t>
  </si>
  <si>
    <t>Number of node-positive, invasive breast cancers; diagnosed through 7 years of follow-up</t>
  </si>
  <si>
    <t>Table 7 and text: Yet, with up to 7 years of follow-up
from entry, this addition did not reduce the cumulative
incidence rate of node-positive breast cancer,…</t>
  </si>
  <si>
    <r>
      <t>Absolute incidence of node-positive (</t>
    </r>
    <r>
      <rPr>
        <b/>
        <sz val="10"/>
        <rFont val="Calibri"/>
        <family val="2"/>
        <scheme val="minor"/>
      </rPr>
      <t>1-3 nodes</t>
    </r>
    <r>
      <rPr>
        <sz val="10"/>
        <rFont val="Calibri"/>
        <family val="2"/>
        <scheme val="minor"/>
      </rPr>
      <t xml:space="preserve">), </t>
    </r>
    <r>
      <rPr>
        <b/>
        <sz val="10"/>
        <rFont val="Calibri"/>
        <family val="2"/>
        <scheme val="minor"/>
      </rPr>
      <t xml:space="preserve">invasive </t>
    </r>
    <r>
      <rPr>
        <sz val="10"/>
        <rFont val="Calibri"/>
        <family val="2"/>
        <scheme val="minor"/>
      </rPr>
      <t>breast cancers; follow-up through 7 years;
MP vs PO</t>
    </r>
  </si>
  <si>
    <t>1-3 nodes</t>
  </si>
  <si>
    <r>
      <t>Number of node-positive (</t>
    </r>
    <r>
      <rPr>
        <b/>
        <sz val="10"/>
        <rFont val="Calibri"/>
        <family val="2"/>
        <scheme val="minor"/>
      </rPr>
      <t>1-3 nodes</t>
    </r>
    <r>
      <rPr>
        <sz val="10"/>
        <rFont val="Calibri"/>
        <family val="2"/>
        <scheme val="minor"/>
      </rPr>
      <t>), invasive breast cancers; diagnosed through 7 years of follow-up</t>
    </r>
  </si>
  <si>
    <r>
      <t>Absolute incidence of node-positive (</t>
    </r>
    <r>
      <rPr>
        <b/>
        <sz val="10"/>
        <rFont val="Calibri"/>
        <family val="2"/>
      </rPr>
      <t>≥4</t>
    </r>
    <r>
      <rPr>
        <b/>
        <sz val="10"/>
        <rFont val="Calibri"/>
        <family val="2"/>
        <scheme val="minor"/>
      </rPr>
      <t xml:space="preserve"> nodes</t>
    </r>
    <r>
      <rPr>
        <sz val="10"/>
        <rFont val="Calibri"/>
        <family val="2"/>
        <scheme val="minor"/>
      </rPr>
      <t xml:space="preserve">), </t>
    </r>
    <r>
      <rPr>
        <b/>
        <sz val="10"/>
        <rFont val="Calibri"/>
        <family val="2"/>
        <scheme val="minor"/>
      </rPr>
      <t xml:space="preserve">invasive </t>
    </r>
    <r>
      <rPr>
        <sz val="10"/>
        <rFont val="Calibri"/>
        <family val="2"/>
        <scheme val="minor"/>
      </rPr>
      <t>breast cancers; follow-up through 7 years;
MP vs PO</t>
    </r>
  </si>
  <si>
    <t>≥4 nodes</t>
  </si>
  <si>
    <r>
      <t>Number of node-positive (</t>
    </r>
    <r>
      <rPr>
        <b/>
        <sz val="10"/>
        <rFont val="Calibri"/>
        <family val="2"/>
        <scheme val="minor"/>
      </rPr>
      <t>≥4 nodes</t>
    </r>
    <r>
      <rPr>
        <sz val="10"/>
        <rFont val="Calibri"/>
        <family val="2"/>
        <scheme val="minor"/>
      </rPr>
      <t>), invasive breast cancers; diagnosed through 7 years of follow-up</t>
    </r>
  </si>
  <si>
    <r>
      <t xml:space="preserve">Absolute incidence of small (&lt;2 cm), </t>
    </r>
    <r>
      <rPr>
        <b/>
        <sz val="10"/>
        <rFont val="Calibri"/>
        <family val="2"/>
        <scheme val="minor"/>
      </rPr>
      <t xml:space="preserve">invasive </t>
    </r>
    <r>
      <rPr>
        <sz val="10"/>
        <rFont val="Calibri"/>
        <family val="2"/>
        <scheme val="minor"/>
      </rPr>
      <t>breast cancers; follow-up through 7 years;
MP vs PO</t>
    </r>
  </si>
  <si>
    <t>Missing size</t>
  </si>
  <si>
    <t>Number of small (&lt;2 cm), invasive breast cancers; diagnosed through 7 years of follow-up</t>
  </si>
  <si>
    <t>Text:  For all screening years combined, the MP group had significantly more small invasive tumours than the PO group if screen-detected, interval and incident tumours are combined (202 v. 144) …</t>
  </si>
  <si>
    <r>
      <t>Absolute incidence of large (</t>
    </r>
    <r>
      <rPr>
        <sz val="10"/>
        <rFont val="Calibri"/>
        <family val="2"/>
      </rPr>
      <t>≥</t>
    </r>
    <r>
      <rPr>
        <sz val="10"/>
        <rFont val="Calibri"/>
        <family val="2"/>
        <scheme val="minor"/>
      </rPr>
      <t xml:space="preserve">2 cm), </t>
    </r>
    <r>
      <rPr>
        <b/>
        <sz val="10"/>
        <rFont val="Calibri"/>
        <family val="2"/>
        <scheme val="minor"/>
      </rPr>
      <t xml:space="preserve">invasive </t>
    </r>
    <r>
      <rPr>
        <sz val="10"/>
        <rFont val="Calibri"/>
        <family val="2"/>
        <scheme val="minor"/>
      </rPr>
      <t>breast cancers; follow-up through 7 years;
MP vs PO</t>
    </r>
  </si>
  <si>
    <t>≥2 cm</t>
  </si>
  <si>
    <t>Number of large (≥2 cm), invasive breast cancers; diagnosed through 7 years of follow-up</t>
  </si>
  <si>
    <t>Text:  For all screening years combined, ...the PO group had more large tumours (20 mm or more than the MP group (128 v. 104) (p &lt; 0.002).</t>
  </si>
  <si>
    <r>
      <t xml:space="preserve">Diagnostic yield at screening, </t>
    </r>
    <r>
      <rPr>
        <b/>
        <sz val="10"/>
        <rFont val="Calibri"/>
        <family val="2"/>
        <scheme val="minor"/>
      </rPr>
      <t>invasive</t>
    </r>
    <r>
      <rPr>
        <sz val="10"/>
        <rFont val="Calibri"/>
        <family val="2"/>
        <scheme val="minor"/>
      </rPr>
      <t xml:space="preserve"> breast cancers (5 screening rounds); per 1,000 women;
MP vs UC</t>
    </r>
  </si>
  <si>
    <t>Initial and annual self-administered questionnaires, from the screening examinations, from the patients' physicians, from the provincial cancer registries. Breast cancer size and grade of the tumour as well as the axillary node status determined by pathologists in community hospitals who conformed to their own standards of practice.</t>
  </si>
  <si>
    <t>Screen-detected cancer was diagnosed as a direct result of a recommendation from the NBSS review clinic (within 12 months).</t>
  </si>
  <si>
    <r>
      <t xml:space="preserve">% of </t>
    </r>
    <r>
      <rPr>
        <b/>
        <sz val="10"/>
        <rFont val="Calibri"/>
        <family val="2"/>
        <scheme val="minor"/>
      </rPr>
      <t>invasive</t>
    </r>
    <r>
      <rPr>
        <sz val="10"/>
        <rFont val="Calibri"/>
        <family val="2"/>
        <scheme val="minor"/>
      </rPr>
      <t xml:space="preserve"> breast cancers that are screen-detected (5 screening rounds); follow-up through 7 years;
MP vs UC</t>
    </r>
  </si>
  <si>
    <r>
      <t xml:space="preserve">Absolute incidence of node-negative, </t>
    </r>
    <r>
      <rPr>
        <b/>
        <sz val="10"/>
        <rFont val="Calibri"/>
        <family val="2"/>
        <scheme val="minor"/>
      </rPr>
      <t xml:space="preserve">invasive </t>
    </r>
    <r>
      <rPr>
        <sz val="10"/>
        <rFont val="Calibri"/>
        <family val="2"/>
        <scheme val="minor"/>
      </rPr>
      <t>breast cancers; follow-up through 7 years;
MP vs UC</t>
    </r>
  </si>
  <si>
    <t>Table 7 and text: Of the women with invasive breast cancer through to 7 years, 191 and 157 women in the MP and UC groups respectively had no node involvement.</t>
  </si>
  <si>
    <r>
      <t xml:space="preserve">Absolute incidence of node-positive, </t>
    </r>
    <r>
      <rPr>
        <b/>
        <sz val="10"/>
        <rFont val="Calibri"/>
        <family val="2"/>
        <scheme val="minor"/>
      </rPr>
      <t xml:space="preserve">invasive </t>
    </r>
    <r>
      <rPr>
        <sz val="10"/>
        <rFont val="Calibri"/>
        <family val="2"/>
        <scheme val="minor"/>
      </rPr>
      <t>breast cancers; follow-up through 7 years;
MP vs UC</t>
    </r>
  </si>
  <si>
    <r>
      <t>Absolute incidence of node-positive (</t>
    </r>
    <r>
      <rPr>
        <b/>
        <sz val="10"/>
        <rFont val="Calibri"/>
        <family val="2"/>
        <scheme val="minor"/>
      </rPr>
      <t>1-3 nodes</t>
    </r>
    <r>
      <rPr>
        <sz val="10"/>
        <rFont val="Calibri"/>
        <family val="2"/>
        <scheme val="minor"/>
      </rPr>
      <t xml:space="preserve">), </t>
    </r>
    <r>
      <rPr>
        <b/>
        <sz val="10"/>
        <rFont val="Calibri"/>
        <family val="2"/>
        <scheme val="minor"/>
      </rPr>
      <t xml:space="preserve">invasive </t>
    </r>
    <r>
      <rPr>
        <sz val="10"/>
        <rFont val="Calibri"/>
        <family val="2"/>
        <scheme val="minor"/>
      </rPr>
      <t>breast cancers; follow-up through 7 years;
MP vs UC</t>
    </r>
  </si>
  <si>
    <t>Table 7 and text: … 55 and 43 had one to three nodes involved,…</t>
  </si>
  <si>
    <r>
      <t>Absolute incidence of node-positive (</t>
    </r>
    <r>
      <rPr>
        <b/>
        <sz val="10"/>
        <rFont val="Calibri"/>
        <family val="2"/>
      </rPr>
      <t>≥4</t>
    </r>
    <r>
      <rPr>
        <b/>
        <sz val="10"/>
        <rFont val="Calibri"/>
        <family val="2"/>
        <scheme val="minor"/>
      </rPr>
      <t xml:space="preserve"> nodes</t>
    </r>
    <r>
      <rPr>
        <sz val="10"/>
        <rFont val="Calibri"/>
        <family val="2"/>
        <scheme val="minor"/>
      </rPr>
      <t xml:space="preserve">), </t>
    </r>
    <r>
      <rPr>
        <b/>
        <sz val="10"/>
        <rFont val="Calibri"/>
        <family val="2"/>
        <scheme val="minor"/>
      </rPr>
      <t xml:space="preserve">invasive </t>
    </r>
    <r>
      <rPr>
        <sz val="10"/>
        <rFont val="Calibri"/>
        <family val="2"/>
        <scheme val="minor"/>
      </rPr>
      <t>breast cancers; follow-up through 7 years;
MP vs UC</t>
    </r>
  </si>
  <si>
    <t>Table 7 and text: … 47 and 23 had four or more nodes involved.</t>
  </si>
  <si>
    <r>
      <t xml:space="preserve">Absolute incidence of small (&lt;2 cm), </t>
    </r>
    <r>
      <rPr>
        <b/>
        <sz val="10"/>
        <rFont val="Calibri"/>
        <family val="2"/>
        <scheme val="minor"/>
      </rPr>
      <t xml:space="preserve">invasive </t>
    </r>
    <r>
      <rPr>
        <sz val="10"/>
        <rFont val="Calibri"/>
        <family val="2"/>
        <scheme val="minor"/>
      </rPr>
      <t>breast cancers; follow-up through 7 years;
MP vs UC</t>
    </r>
  </si>
  <si>
    <t xml:space="preserve">Text:  For all years combined, the MP group had more small tumours than the UC group if screen-detected, interval and incident tumours are combined (156 v. 116). </t>
  </si>
  <si>
    <r>
      <t>Absolute incidence of large (</t>
    </r>
    <r>
      <rPr>
        <sz val="10"/>
        <rFont val="Calibri"/>
        <family val="2"/>
      </rPr>
      <t>≥</t>
    </r>
    <r>
      <rPr>
        <sz val="10"/>
        <rFont val="Calibri"/>
        <family val="2"/>
        <scheme val="minor"/>
      </rPr>
      <t xml:space="preserve">2 cm), </t>
    </r>
    <r>
      <rPr>
        <b/>
        <sz val="10"/>
        <rFont val="Calibri"/>
        <family val="2"/>
        <scheme val="minor"/>
      </rPr>
      <t xml:space="preserve">invasive </t>
    </r>
    <r>
      <rPr>
        <sz val="10"/>
        <rFont val="Calibri"/>
        <family val="2"/>
        <scheme val="minor"/>
      </rPr>
      <t>breast cancers; follow-up through 7 years;
MP vs UC</t>
    </r>
  </si>
  <si>
    <t>Text:  Also, the number of large tumours (20 mm or more) was slightly higher in the former group (119 v. 101).</t>
  </si>
  <si>
    <r>
      <t xml:space="preserve">Absolute incidence of invasive breast cancers with </t>
    </r>
    <r>
      <rPr>
        <b/>
        <sz val="10"/>
        <rFont val="Calibri"/>
        <family val="2"/>
        <scheme val="minor"/>
      </rPr>
      <t>size &lt;9 mm</t>
    </r>
    <r>
      <rPr>
        <sz val="10"/>
        <rFont val="Calibri"/>
        <family val="2"/>
        <scheme val="minor"/>
      </rPr>
      <t>; 1 year of follow-up;
MP vs PO</t>
    </r>
  </si>
  <si>
    <t>&lt;9 mm</t>
  </si>
  <si>
    <t>1980-1988: Surgery and pathology reports for all diagnostic and therapeutic procedures; all slides reviewed by a CNBSS pathologist. If the community and CNBSS pathologist disagreed, slides were reviewed by a panel of 3-5 other CNBSS pathologists.
After 1988, linkage with the National Cancer Registry maintained by Statistics Canada, Ottawa; surgery and pathology reports for breast cancers; no review by a CNBSS pathologist; the diagnosis by the local pathologist accepted for study purposes.</t>
  </si>
  <si>
    <t>Number of invasive breast cancers with size &lt;9 mm; 1 year follow-up</t>
  </si>
  <si>
    <r>
      <t xml:space="preserve">Absolute incidence of invasive breast cancers with </t>
    </r>
    <r>
      <rPr>
        <b/>
        <sz val="10"/>
        <rFont val="Calibri"/>
        <family val="2"/>
        <scheme val="minor"/>
      </rPr>
      <t>size 10-14 mm</t>
    </r>
    <r>
      <rPr>
        <sz val="10"/>
        <rFont val="Calibri"/>
        <family val="2"/>
        <scheme val="minor"/>
      </rPr>
      <t>; 1 year of follow-up;
MP vs PO</t>
    </r>
  </si>
  <si>
    <t>1980-1988: Surgery and pathology reports for all diagnostic and therapeutic procedures; all slides  reviewed by a CNBSS pathologist. If the community and CNBSS pathologist disagreed, slides were reviewed by a panel of 3-5 other CNBSS pathologists.
After 1988, linkage with the National Cancer Registry maintained by Statistics Canada, Ottawa; surgery and pathology reports for breast cancers; no review by a CNBSS pathologist; the diagnosis by the local pathologist accepted for study purposes.</t>
  </si>
  <si>
    <t>Number of invasive breast cancers with size 10-14 mm; 1 year of follow-up</t>
  </si>
  <si>
    <r>
      <t xml:space="preserve">Absolute incidence of invasive breast cancers with </t>
    </r>
    <r>
      <rPr>
        <b/>
        <sz val="10"/>
        <rFont val="Calibri"/>
        <family val="2"/>
        <scheme val="minor"/>
      </rPr>
      <t>size 15-19 mm</t>
    </r>
    <r>
      <rPr>
        <sz val="10"/>
        <rFont val="Calibri"/>
        <family val="2"/>
        <scheme val="minor"/>
      </rPr>
      <t>;1 year of follow-up;
MP vs PO</t>
    </r>
  </si>
  <si>
    <t>Number of invasive breast cancers with size 15-19 mm; 1 year of follow-up</t>
  </si>
  <si>
    <r>
      <t xml:space="preserve">Absolute incidence of invasive breast cancers with </t>
    </r>
    <r>
      <rPr>
        <b/>
        <sz val="10"/>
        <rFont val="Calibri"/>
        <family val="2"/>
        <scheme val="minor"/>
      </rPr>
      <t>size 20-39 mm</t>
    </r>
    <r>
      <rPr>
        <sz val="10"/>
        <rFont val="Calibri"/>
        <family val="2"/>
        <scheme val="minor"/>
      </rPr>
      <t>; 1 year of follow-up;
MP vs PO</t>
    </r>
  </si>
  <si>
    <t>20-39 mm</t>
  </si>
  <si>
    <t>Number of invasive breast cancers with size 20-39 mm; 1 year of follow-up</t>
  </si>
  <si>
    <r>
      <t xml:space="preserve">Absolute incidence of invasive breast cancers with </t>
    </r>
    <r>
      <rPr>
        <b/>
        <sz val="10"/>
        <rFont val="Calibri"/>
        <family val="2"/>
        <scheme val="minor"/>
      </rPr>
      <t>size 40-49 mm</t>
    </r>
    <r>
      <rPr>
        <sz val="10"/>
        <rFont val="Calibri"/>
        <family val="2"/>
        <scheme val="minor"/>
      </rPr>
      <t>; 1 year of follow-up;
MP vs PO</t>
    </r>
  </si>
  <si>
    <t>40-49 mm</t>
  </si>
  <si>
    <t>Number of invasive breast cancers with size 40-49 mm; 1 year of follow-up</t>
  </si>
  <si>
    <r>
      <t xml:space="preserve">Absolute incidence of invasive breast cancers with </t>
    </r>
    <r>
      <rPr>
        <b/>
        <sz val="10"/>
        <rFont val="Calibri"/>
        <family val="2"/>
        <scheme val="minor"/>
      </rPr>
      <t>&lt;20 mm</t>
    </r>
    <r>
      <rPr>
        <sz val="10"/>
        <rFont val="Calibri"/>
        <family val="2"/>
        <scheme val="minor"/>
      </rPr>
      <t>; 1 year of follow-up;
MP vs PO</t>
    </r>
  </si>
  <si>
    <t>Number of invasive breast cancers with size &lt;20 mm; 1 year of follow-up</t>
  </si>
  <si>
    <r>
      <t xml:space="preserve">Absolute incidence of invasive breast cancers with </t>
    </r>
    <r>
      <rPr>
        <b/>
        <sz val="10"/>
        <rFont val="Calibri"/>
        <family val="2"/>
      </rPr>
      <t>≥</t>
    </r>
    <r>
      <rPr>
        <b/>
        <sz val="10"/>
        <rFont val="Calibri"/>
        <family val="2"/>
        <scheme val="minor"/>
      </rPr>
      <t>20 mm</t>
    </r>
    <r>
      <rPr>
        <sz val="10"/>
        <rFont val="Calibri"/>
        <family val="2"/>
        <scheme val="minor"/>
      </rPr>
      <t>; 1 year of follow-up;
MP vs PO</t>
    </r>
  </si>
  <si>
    <t>Number of invasive breast cancers with size ≥20 mm; 1 year of follow-up</t>
  </si>
  <si>
    <r>
      <t xml:space="preserve">Absolute incidence of invasive breast cancers with </t>
    </r>
    <r>
      <rPr>
        <b/>
        <sz val="10"/>
        <rFont val="Calibri"/>
        <family val="2"/>
        <scheme val="minor"/>
      </rPr>
      <t>size &lt;9 mm</t>
    </r>
    <r>
      <rPr>
        <sz val="10"/>
        <rFont val="Calibri"/>
        <family val="2"/>
        <scheme val="minor"/>
      </rPr>
      <t>; 5 years of follow-up;
MP vs PO</t>
    </r>
  </si>
  <si>
    <t>Number of invasive breast cancers with size &lt;9 mm; 5 years follow-up</t>
  </si>
  <si>
    <r>
      <t xml:space="preserve">Absolute incidence of invasive breast cancers with </t>
    </r>
    <r>
      <rPr>
        <b/>
        <sz val="10"/>
        <rFont val="Calibri"/>
        <family val="2"/>
        <scheme val="minor"/>
      </rPr>
      <t>size 10-14 mm</t>
    </r>
    <r>
      <rPr>
        <sz val="10"/>
        <rFont val="Calibri"/>
        <family val="2"/>
        <scheme val="minor"/>
      </rPr>
      <t>; 5 years of follow-up;
MP vs PO</t>
    </r>
  </si>
  <si>
    <t>Number of invasive breast cancers with size 10-14 mm;5 years of follow-up</t>
  </si>
  <si>
    <r>
      <t xml:space="preserve">Absolute incidence of invasive breast cancers with </t>
    </r>
    <r>
      <rPr>
        <b/>
        <sz val="10"/>
        <rFont val="Calibri"/>
        <family val="2"/>
        <scheme val="minor"/>
      </rPr>
      <t>size 15-19 mm</t>
    </r>
    <r>
      <rPr>
        <sz val="10"/>
        <rFont val="Calibri"/>
        <family val="2"/>
        <scheme val="minor"/>
      </rPr>
      <t>; 5 years of follow-up;
MP vs PO</t>
    </r>
  </si>
  <si>
    <t>Number of invasive breast cancers with size 15-19 mm; 5 years of follow-up</t>
  </si>
  <si>
    <r>
      <t xml:space="preserve">Absolute incidence of invasive breast cancers with </t>
    </r>
    <r>
      <rPr>
        <b/>
        <sz val="10"/>
        <rFont val="Calibri"/>
        <family val="2"/>
        <scheme val="minor"/>
      </rPr>
      <t>size 20-39 mm</t>
    </r>
    <r>
      <rPr>
        <sz val="10"/>
        <rFont val="Calibri"/>
        <family val="2"/>
        <scheme val="minor"/>
      </rPr>
      <t>; 5 years of follow-up;
MP vs PO</t>
    </r>
  </si>
  <si>
    <t>Number of invasive breast cancers with size 20-39 mm; 5 years of follow-up</t>
  </si>
  <si>
    <r>
      <t xml:space="preserve">Absolute incidence of invasive breast cancers with </t>
    </r>
    <r>
      <rPr>
        <b/>
        <sz val="10"/>
        <rFont val="Calibri"/>
        <family val="2"/>
        <scheme val="minor"/>
      </rPr>
      <t>size 40-49 mm</t>
    </r>
    <r>
      <rPr>
        <sz val="10"/>
        <rFont val="Calibri"/>
        <family val="2"/>
        <scheme val="minor"/>
      </rPr>
      <t>; 5 years of follow-up;
MP vs PO</t>
    </r>
  </si>
  <si>
    <t>Number of invasive breast cancers with size 40-49 mm; 5 years of follow-up</t>
  </si>
  <si>
    <r>
      <t xml:space="preserve">Absolute incidence of invasive breast cancers with </t>
    </r>
    <r>
      <rPr>
        <b/>
        <sz val="10"/>
        <rFont val="Calibri"/>
        <family val="2"/>
        <scheme val="minor"/>
      </rPr>
      <t>&lt;20 mm</t>
    </r>
    <r>
      <rPr>
        <sz val="10"/>
        <rFont val="Calibri"/>
        <family val="2"/>
        <scheme val="minor"/>
      </rPr>
      <t>; 5 years of follow-up;
MP vs PO</t>
    </r>
  </si>
  <si>
    <t>Number of invasive breast cancers with size &lt;20 mm; 5 years of follow-up</t>
  </si>
  <si>
    <r>
      <t xml:space="preserve">Absolute incidence of invasive breast cancers with </t>
    </r>
    <r>
      <rPr>
        <b/>
        <sz val="10"/>
        <rFont val="Calibri"/>
        <family val="2"/>
      </rPr>
      <t>≥</t>
    </r>
    <r>
      <rPr>
        <b/>
        <sz val="10"/>
        <rFont val="Calibri"/>
        <family val="2"/>
        <scheme val="minor"/>
      </rPr>
      <t>20 mm</t>
    </r>
    <r>
      <rPr>
        <sz val="10"/>
        <rFont val="Calibri"/>
        <family val="2"/>
        <scheme val="minor"/>
      </rPr>
      <t>; 5 years of follow-up;
MP vs PO</t>
    </r>
  </si>
  <si>
    <t>Number of invasive breast cancers with size ≥20 mm; 5 years of follow-up</t>
  </si>
  <si>
    <r>
      <t xml:space="preserve">Absolute incidence of invasive breast cancers with </t>
    </r>
    <r>
      <rPr>
        <b/>
        <sz val="10"/>
        <rFont val="Calibri"/>
        <family val="2"/>
        <scheme val="minor"/>
      </rPr>
      <t>size &lt;9 mm</t>
    </r>
    <r>
      <rPr>
        <sz val="10"/>
        <rFont val="Calibri"/>
        <family val="2"/>
        <scheme val="minor"/>
      </rPr>
      <t>; first 9 years of follow-up;
MP vs PO</t>
    </r>
  </si>
  <si>
    <t>Number of invasive breast cancers with size &lt;9 mm; first 9 years of follow-up</t>
  </si>
  <si>
    <r>
      <t xml:space="preserve">Absolute incidence of invasive breast cancers with </t>
    </r>
    <r>
      <rPr>
        <b/>
        <sz val="10"/>
        <rFont val="Calibri"/>
        <family val="2"/>
        <scheme val="minor"/>
      </rPr>
      <t>size 10-14 mm</t>
    </r>
    <r>
      <rPr>
        <sz val="10"/>
        <rFont val="Calibri"/>
        <family val="2"/>
        <scheme val="minor"/>
      </rPr>
      <t>; first 9 years of follow-up;
MP vs PO</t>
    </r>
  </si>
  <si>
    <t>Number of invasive breast cancers with size 10-14 mm; first 9 years of follow-up</t>
  </si>
  <si>
    <r>
      <t xml:space="preserve">Absolute incidence of invasive breast cancers with </t>
    </r>
    <r>
      <rPr>
        <b/>
        <sz val="10"/>
        <rFont val="Calibri"/>
        <family val="2"/>
        <scheme val="minor"/>
      </rPr>
      <t>size 15-19 mm</t>
    </r>
    <r>
      <rPr>
        <sz val="10"/>
        <rFont val="Calibri"/>
        <family val="2"/>
        <scheme val="minor"/>
      </rPr>
      <t>; first 9 years of follow-up;
MP vs PO</t>
    </r>
  </si>
  <si>
    <t>Number of invasive breast cancers with size 15-19 mm; first 9 years of follow-up</t>
  </si>
  <si>
    <r>
      <t xml:space="preserve">Absolute incidence of invasive breast cancers with </t>
    </r>
    <r>
      <rPr>
        <b/>
        <sz val="10"/>
        <rFont val="Calibri"/>
        <family val="2"/>
        <scheme val="minor"/>
      </rPr>
      <t>size 20-39 mm</t>
    </r>
    <r>
      <rPr>
        <sz val="10"/>
        <rFont val="Calibri"/>
        <family val="2"/>
        <scheme val="minor"/>
      </rPr>
      <t>; first 9 years of follow-up;
MP vs PO</t>
    </r>
  </si>
  <si>
    <t>Number of invasive breast cancers with size 20-39 mm; first 9 years of follow-up</t>
  </si>
  <si>
    <r>
      <t xml:space="preserve">Absolute incidence of invasive breast cancers with </t>
    </r>
    <r>
      <rPr>
        <b/>
        <sz val="10"/>
        <rFont val="Calibri"/>
        <family val="2"/>
        <scheme val="minor"/>
      </rPr>
      <t>size 40-49 mm</t>
    </r>
    <r>
      <rPr>
        <sz val="10"/>
        <rFont val="Calibri"/>
        <family val="2"/>
        <scheme val="minor"/>
      </rPr>
      <t>; first 9 years of follow-up;
MP vs PO</t>
    </r>
  </si>
  <si>
    <t>Number of invasive breast cancers with size 40-49 mm; first 9 years of follow-up</t>
  </si>
  <si>
    <r>
      <t xml:space="preserve">Absolute incidence of invasive breast cancers with </t>
    </r>
    <r>
      <rPr>
        <b/>
        <sz val="10"/>
        <rFont val="Calibri"/>
        <family val="2"/>
        <scheme val="minor"/>
      </rPr>
      <t>&lt;20 mm</t>
    </r>
    <r>
      <rPr>
        <sz val="10"/>
        <rFont val="Calibri"/>
        <family val="2"/>
        <scheme val="minor"/>
      </rPr>
      <t>; first 9 years of follow-up;
MP vs PO</t>
    </r>
  </si>
  <si>
    <t>Number of invasive breast cancers with size &lt;20 mm; first 9 years of follow-up</t>
  </si>
  <si>
    <r>
      <t xml:space="preserve">Absolute incidence of invasive breast cancers with </t>
    </r>
    <r>
      <rPr>
        <b/>
        <sz val="10"/>
        <rFont val="Calibri"/>
        <family val="2"/>
      </rPr>
      <t>≥</t>
    </r>
    <r>
      <rPr>
        <b/>
        <sz val="10"/>
        <rFont val="Calibri"/>
        <family val="2"/>
        <scheme val="minor"/>
      </rPr>
      <t>20 mm</t>
    </r>
    <r>
      <rPr>
        <sz val="10"/>
        <rFont val="Calibri"/>
        <family val="2"/>
        <scheme val="minor"/>
      </rPr>
      <t>; first 9 years of follow-up;
MP vs PO</t>
    </r>
  </si>
  <si>
    <t>Number of invasive breast cancers with size ≥20 mm; first 9 years of follow-up</t>
  </si>
  <si>
    <r>
      <t xml:space="preserve">Absolute incidence of </t>
    </r>
    <r>
      <rPr>
        <b/>
        <sz val="10"/>
        <rFont val="Calibri"/>
        <family val="2"/>
        <scheme val="minor"/>
      </rPr>
      <t>node-positive</t>
    </r>
    <r>
      <rPr>
        <sz val="10"/>
        <rFont val="Calibri"/>
        <family val="2"/>
        <scheme val="minor"/>
      </rPr>
      <t xml:space="preserve"> invasive breast cancers; first 9 years of follow-up;
MP vs PO</t>
    </r>
  </si>
  <si>
    <t>Positive</t>
  </si>
  <si>
    <t>Unknown lymph node status</t>
  </si>
  <si>
    <t>Number of node-positive, invasive breast cancers; first 9 years of follow-up</t>
  </si>
  <si>
    <t>Text: Of the 524 invasive breast cancers ascertained
in the mammography plus physical examination group
in the first 9 years, 163 (31%) were known to be lymph node
positive compared with 500 and 173 (35%) , respectively, in the
physical examination-only group, a statistically nonsignificant
difference (P&gt;.1).</t>
  </si>
  <si>
    <t>% of invasive breast cancers diagnosed at late stage (=node-positive); first 9 years of follow-up;
MP vs PO</t>
  </si>
  <si>
    <t>Total number of breast cancers detected; follow-up through 9 years (including cancers with missing node status)</t>
  </si>
  <si>
    <t>&gt;0.1</t>
  </si>
  <si>
    <r>
      <t xml:space="preserve">Diagnostic yield at screening, </t>
    </r>
    <r>
      <rPr>
        <b/>
        <sz val="10"/>
        <rFont val="Calibri"/>
        <family val="2"/>
        <scheme val="minor"/>
      </rPr>
      <t>invasive</t>
    </r>
    <r>
      <rPr>
        <sz val="10"/>
        <rFont val="Calibri"/>
        <family val="2"/>
        <scheme val="minor"/>
      </rPr>
      <t xml:space="preserve"> breast cancers (4-5 screening rounds); per 1,000 women;
MP vs UC</t>
    </r>
  </si>
  <si>
    <t>During the screening period,the center coordinators
collected surgery and pathology reports for breast-related
diagnostic and therapeutic procedures.</t>
  </si>
  <si>
    <t>5 - 6 years</t>
  </si>
  <si>
    <t>Appendix Table 2</t>
  </si>
  <si>
    <r>
      <t xml:space="preserve">% of </t>
    </r>
    <r>
      <rPr>
        <b/>
        <sz val="10"/>
        <rFont val="Calibri"/>
        <family val="2"/>
        <scheme val="minor"/>
      </rPr>
      <t>invasive</t>
    </r>
    <r>
      <rPr>
        <sz val="10"/>
        <rFont val="Calibri"/>
        <family val="2"/>
        <scheme val="minor"/>
      </rPr>
      <t xml:space="preserve"> breast cancers that are screen-detected (4-5 screening rounds); follow-up to 31/12/1993;
MP vs UC</t>
    </r>
  </si>
  <si>
    <t>During the screening period,the center coordinators
collected surgery and pathology reports for breast-related
diagnostic and therapeutic procedures. Initial and annual self-administered questionnaires, from the screening examinations, from the patients' physicians, from the provincial cancer registries. Breast cancer size and grade of the tumour as well as the axillary node status determined by pathologists in community hospitals who conformed to their own standards of practice.</t>
  </si>
  <si>
    <r>
      <t xml:space="preserve">Absolute incidence of invasive breast cancers with </t>
    </r>
    <r>
      <rPr>
        <b/>
        <sz val="10"/>
        <rFont val="Calibri"/>
        <family val="2"/>
        <scheme val="minor"/>
      </rPr>
      <t>size &lt;9 mm</t>
    </r>
    <r>
      <rPr>
        <sz val="10"/>
        <rFont val="Calibri"/>
        <family val="2"/>
        <scheme val="minor"/>
      </rPr>
      <t>; total to year 9;
MP vs US</t>
    </r>
  </si>
  <si>
    <t>Number of invasive breast cancers with size &lt;9 mm; total to year 9</t>
  </si>
  <si>
    <r>
      <t xml:space="preserve">Absolute incidence of invasive breast cancers with </t>
    </r>
    <r>
      <rPr>
        <b/>
        <sz val="10"/>
        <rFont val="Calibri"/>
        <family val="2"/>
        <scheme val="minor"/>
      </rPr>
      <t>size 10-14 mm</t>
    </r>
    <r>
      <rPr>
        <sz val="10"/>
        <rFont val="Calibri"/>
        <family val="2"/>
        <scheme val="minor"/>
      </rPr>
      <t>; total to year 9;
MP vs US</t>
    </r>
  </si>
  <si>
    <t>Number of invasive breast cancers with size 10-14 mm;  f total to year 9</t>
  </si>
  <si>
    <r>
      <t xml:space="preserve">Absolute incidence of invasive breast cancers with </t>
    </r>
    <r>
      <rPr>
        <b/>
        <sz val="10"/>
        <rFont val="Calibri"/>
        <family val="2"/>
        <scheme val="minor"/>
      </rPr>
      <t>size 15-19 mm</t>
    </r>
    <r>
      <rPr>
        <sz val="10"/>
        <rFont val="Calibri"/>
        <family val="2"/>
        <scheme val="minor"/>
      </rPr>
      <t>; total to year 9;
MP vs PO</t>
    </r>
  </si>
  <si>
    <t>Number of invasive breast cancers with size 15-19 mm;   total to year 9</t>
  </si>
  <si>
    <r>
      <t xml:space="preserve">Absolute incidence of invasive breast cancers with </t>
    </r>
    <r>
      <rPr>
        <b/>
        <sz val="10"/>
        <rFont val="Calibri"/>
        <family val="2"/>
        <scheme val="minor"/>
      </rPr>
      <t>size 20-39 mm</t>
    </r>
    <r>
      <rPr>
        <sz val="10"/>
        <rFont val="Calibri"/>
        <family val="2"/>
        <scheme val="minor"/>
      </rPr>
      <t>; total to year 9;
MP vs US</t>
    </r>
  </si>
  <si>
    <t>Number of invasive breast cancers with size 20-39 mm; total to year 9</t>
  </si>
  <si>
    <r>
      <t xml:space="preserve">Absolute incidence of invasive breast cancers with </t>
    </r>
    <r>
      <rPr>
        <b/>
        <sz val="10"/>
        <rFont val="Calibri"/>
        <family val="2"/>
        <scheme val="minor"/>
      </rPr>
      <t>size 40-49 mm</t>
    </r>
    <r>
      <rPr>
        <sz val="10"/>
        <rFont val="Calibri"/>
        <family val="2"/>
        <scheme val="minor"/>
      </rPr>
      <t>; total to year 9;
MP vs US</t>
    </r>
  </si>
  <si>
    <t>Number of invasive breast cancers with size 40-49 mm; total to year 9</t>
  </si>
  <si>
    <r>
      <t xml:space="preserve">Absolute incidence of invasive breast cancers with </t>
    </r>
    <r>
      <rPr>
        <b/>
        <sz val="10"/>
        <rFont val="Calibri"/>
        <family val="2"/>
        <scheme val="minor"/>
      </rPr>
      <t>&lt;20 mm</t>
    </r>
    <r>
      <rPr>
        <sz val="10"/>
        <rFont val="Calibri"/>
        <family val="2"/>
        <scheme val="minor"/>
      </rPr>
      <t>;  total to year 9;
MP vs US</t>
    </r>
  </si>
  <si>
    <t>Number of invasive breast cancers with size &lt;20 mm;  total to year 9</t>
  </si>
  <si>
    <r>
      <t xml:space="preserve">Absolute incidence of invasive breast cancers with </t>
    </r>
    <r>
      <rPr>
        <b/>
        <sz val="10"/>
        <rFont val="Calibri"/>
        <family val="2"/>
      </rPr>
      <t>≥</t>
    </r>
    <r>
      <rPr>
        <b/>
        <sz val="10"/>
        <rFont val="Calibri"/>
        <family val="2"/>
        <scheme val="minor"/>
      </rPr>
      <t>20 mm</t>
    </r>
    <r>
      <rPr>
        <sz val="10"/>
        <rFont val="Calibri"/>
        <family val="2"/>
        <scheme val="minor"/>
      </rPr>
      <t>; total to year 9;
MP vs US</t>
    </r>
  </si>
  <si>
    <t>Number of invasive breast cancers with size ≥20 mm;  total to year 9</t>
  </si>
  <si>
    <r>
      <t xml:space="preserve">Absolute incidence of invasive breast cancers with </t>
    </r>
    <r>
      <rPr>
        <b/>
        <sz val="10"/>
        <rFont val="Calibri"/>
        <family val="2"/>
        <scheme val="minor"/>
      </rPr>
      <t>size &lt;9 mm</t>
    </r>
    <r>
      <rPr>
        <sz val="10"/>
        <rFont val="Calibri"/>
        <family val="2"/>
        <scheme val="minor"/>
      </rPr>
      <t>; total to year 1;
MP vs US</t>
    </r>
  </si>
  <si>
    <t>Number of invasive breast cancers with size &lt;9 mm; total to year 1</t>
  </si>
  <si>
    <r>
      <t xml:space="preserve">Absolute incidence of invasive breast cancers with </t>
    </r>
    <r>
      <rPr>
        <b/>
        <sz val="10"/>
        <rFont val="Calibri"/>
        <family val="2"/>
        <scheme val="minor"/>
      </rPr>
      <t>size 10-14 mm</t>
    </r>
    <r>
      <rPr>
        <sz val="10"/>
        <rFont val="Calibri"/>
        <family val="2"/>
        <scheme val="minor"/>
      </rPr>
      <t>; total to year 1;
MP vs US</t>
    </r>
  </si>
  <si>
    <t>Number of invasive breast cancers with size 10-14 mm;  f total to year 1</t>
  </si>
  <si>
    <r>
      <t xml:space="preserve">Absolute incidence of invasive breast cancers with </t>
    </r>
    <r>
      <rPr>
        <b/>
        <sz val="10"/>
        <rFont val="Calibri"/>
        <family val="2"/>
        <scheme val="minor"/>
      </rPr>
      <t>size 15-19 mm</t>
    </r>
    <r>
      <rPr>
        <sz val="10"/>
        <rFont val="Calibri"/>
        <family val="2"/>
        <scheme val="minor"/>
      </rPr>
      <t>; total to year 1;
MP vs PO</t>
    </r>
  </si>
  <si>
    <t>Number of invasive breast cancers with size 15-19 mm;   total to year 1</t>
  </si>
  <si>
    <r>
      <t xml:space="preserve">Absolute incidence of invasive breast cancers with </t>
    </r>
    <r>
      <rPr>
        <b/>
        <sz val="10"/>
        <rFont val="Calibri"/>
        <family val="2"/>
        <scheme val="minor"/>
      </rPr>
      <t>size 20-39 mm</t>
    </r>
    <r>
      <rPr>
        <sz val="10"/>
        <rFont val="Calibri"/>
        <family val="2"/>
        <scheme val="minor"/>
      </rPr>
      <t>; total to year 1;
MP vs US</t>
    </r>
  </si>
  <si>
    <t>Number of invasive breast cancers with size 20-39 mm; total to year 1</t>
  </si>
  <si>
    <r>
      <t xml:space="preserve">Absolute incidence of invasive breast cancers with </t>
    </r>
    <r>
      <rPr>
        <b/>
        <sz val="10"/>
        <rFont val="Calibri"/>
        <family val="2"/>
        <scheme val="minor"/>
      </rPr>
      <t>size 40-49 mm</t>
    </r>
    <r>
      <rPr>
        <sz val="10"/>
        <rFont val="Calibri"/>
        <family val="2"/>
        <scheme val="minor"/>
      </rPr>
      <t>; total to year 1;
MP vs US</t>
    </r>
  </si>
  <si>
    <t>Number of invasive breast cancers with size 40-49 mm; total to year 1</t>
  </si>
  <si>
    <r>
      <t xml:space="preserve">Absolute incidence of invasive breast cancers with </t>
    </r>
    <r>
      <rPr>
        <b/>
        <sz val="10"/>
        <rFont val="Calibri"/>
        <family val="2"/>
        <scheme val="minor"/>
      </rPr>
      <t>&lt;20 mm</t>
    </r>
    <r>
      <rPr>
        <sz val="10"/>
        <rFont val="Calibri"/>
        <family val="2"/>
        <scheme val="minor"/>
      </rPr>
      <t>;  total to year 1;
MP vs US</t>
    </r>
  </si>
  <si>
    <t>Number of invasive breast cancers with size &lt;20 mm;  total to year 1</t>
  </si>
  <si>
    <r>
      <t xml:space="preserve">Absolute incidence of invasive breast cancers with </t>
    </r>
    <r>
      <rPr>
        <b/>
        <sz val="10"/>
        <rFont val="Calibri"/>
        <family val="2"/>
      </rPr>
      <t>≥</t>
    </r>
    <r>
      <rPr>
        <b/>
        <sz val="10"/>
        <rFont val="Calibri"/>
        <family val="2"/>
        <scheme val="minor"/>
      </rPr>
      <t>20 mm</t>
    </r>
    <r>
      <rPr>
        <sz val="10"/>
        <rFont val="Calibri"/>
        <family val="2"/>
        <scheme val="minor"/>
      </rPr>
      <t>; total to year 1;
MP vs US</t>
    </r>
  </si>
  <si>
    <t>Number of invasive breast cancers with size ≥20 mm;  total to year 1</t>
  </si>
  <si>
    <r>
      <t xml:space="preserve">Absolute incidence of invasive breast cancers with </t>
    </r>
    <r>
      <rPr>
        <b/>
        <sz val="10"/>
        <rFont val="Calibri"/>
        <family val="2"/>
        <scheme val="minor"/>
      </rPr>
      <t>size &lt;9 mm</t>
    </r>
    <r>
      <rPr>
        <sz val="10"/>
        <rFont val="Calibri"/>
        <family val="2"/>
        <scheme val="minor"/>
      </rPr>
      <t>; total to year 5;
MP vs US</t>
    </r>
  </si>
  <si>
    <t>Number of invasive breast cancers with size &lt;9 mm; total to year 5</t>
  </si>
  <si>
    <r>
      <t xml:space="preserve">Absolute incidence of invasive breast cancers with </t>
    </r>
    <r>
      <rPr>
        <b/>
        <sz val="10"/>
        <rFont val="Calibri"/>
        <family val="2"/>
        <scheme val="minor"/>
      </rPr>
      <t>size 10-14 mm</t>
    </r>
    <r>
      <rPr>
        <sz val="10"/>
        <rFont val="Calibri"/>
        <family val="2"/>
        <scheme val="minor"/>
      </rPr>
      <t>; total to year 5;
MP vs US</t>
    </r>
  </si>
  <si>
    <t>Number of invasive breast cancers with size 10-14 mm;  f total to year 5</t>
  </si>
  <si>
    <r>
      <t xml:space="preserve">Absolute incidence of invasive breast cancers with </t>
    </r>
    <r>
      <rPr>
        <b/>
        <sz val="10"/>
        <rFont val="Calibri"/>
        <family val="2"/>
        <scheme val="minor"/>
      </rPr>
      <t>size 15-19 mm</t>
    </r>
    <r>
      <rPr>
        <sz val="10"/>
        <rFont val="Calibri"/>
        <family val="2"/>
        <scheme val="minor"/>
      </rPr>
      <t>; total to year 5;
MP vs PO</t>
    </r>
  </si>
  <si>
    <t>Number of invasive breast cancers with size 15-19 mm;   total to year 5</t>
  </si>
  <si>
    <r>
      <t xml:space="preserve">Absolute incidence of invasive breast cancers with </t>
    </r>
    <r>
      <rPr>
        <b/>
        <sz val="10"/>
        <rFont val="Calibri"/>
        <family val="2"/>
        <scheme val="minor"/>
      </rPr>
      <t>size 20-39 mm</t>
    </r>
    <r>
      <rPr>
        <sz val="10"/>
        <rFont val="Calibri"/>
        <family val="2"/>
        <scheme val="minor"/>
      </rPr>
      <t>; total to year 5;
MP vs US</t>
    </r>
  </si>
  <si>
    <t>Number of invasive breast cancers with size 20-39 mm; total to year 5</t>
  </si>
  <si>
    <r>
      <t xml:space="preserve">Absolute incidence of invasive breast cancers with </t>
    </r>
    <r>
      <rPr>
        <b/>
        <sz val="10"/>
        <rFont val="Calibri"/>
        <family val="2"/>
        <scheme val="minor"/>
      </rPr>
      <t>size 40-49 mm</t>
    </r>
    <r>
      <rPr>
        <sz val="10"/>
        <rFont val="Calibri"/>
        <family val="2"/>
        <scheme val="minor"/>
      </rPr>
      <t>; total to year 5;
MP vs US</t>
    </r>
  </si>
  <si>
    <t>Number of invasive breast cancers with size 40-49 mm; total to year 5</t>
  </si>
  <si>
    <r>
      <t xml:space="preserve">Absolute incidence of invasive breast cancers with </t>
    </r>
    <r>
      <rPr>
        <b/>
        <sz val="10"/>
        <rFont val="Calibri"/>
        <family val="2"/>
        <scheme val="minor"/>
      </rPr>
      <t>&lt;20 mm</t>
    </r>
    <r>
      <rPr>
        <sz val="10"/>
        <rFont val="Calibri"/>
        <family val="2"/>
        <scheme val="minor"/>
      </rPr>
      <t>;  total to year 5;
MP vs US</t>
    </r>
  </si>
  <si>
    <t>Number of invasive breast cancers with size &lt;20 mm;  total to year 5</t>
  </si>
  <si>
    <r>
      <t xml:space="preserve">Absolute incidence of invasive breast cancers with </t>
    </r>
    <r>
      <rPr>
        <b/>
        <sz val="10"/>
        <rFont val="Calibri"/>
        <family val="2"/>
      </rPr>
      <t>≥</t>
    </r>
    <r>
      <rPr>
        <b/>
        <sz val="10"/>
        <rFont val="Calibri"/>
        <family val="2"/>
        <scheme val="minor"/>
      </rPr>
      <t>20 mm</t>
    </r>
    <r>
      <rPr>
        <sz val="10"/>
        <rFont val="Calibri"/>
        <family val="2"/>
        <scheme val="minor"/>
      </rPr>
      <t>; total to year 5;
MP vs US</t>
    </r>
  </si>
  <si>
    <t>Number of invasive breast cancers with size ≥20 mm;  total to year 5</t>
  </si>
  <si>
    <t>Shen 2005</t>
  </si>
  <si>
    <t>Absolute incidence of stage I invasive breast cancers, per 1,000 women; first 5 years after randomisation</t>
  </si>
  <si>
    <t>CNBSS trial data</t>
  </si>
  <si>
    <t>Number of invasive breast cancer with stage I (TNM system); first 5 years after randomisation</t>
  </si>
  <si>
    <t>Absolute incidence of stage II invasive breast cancers, per 1,000 women; first 5 years after randomisation</t>
  </si>
  <si>
    <t>Number of invasive breast cancer with stage II (TNM system); first 5 years after randomisation</t>
  </si>
  <si>
    <t>Absolute incidence of stage III/IV invasive breast cancers, per 1,000 women; first 5 years after randomisation</t>
  </si>
  <si>
    <t>Number of invasive breast cancer with stage III/IV (TNM system); first 5 years after randomisation</t>
  </si>
  <si>
    <t>% of invasive breast cancers diagnosed at late stage (stage III-IV); first 5 years after randomisation</t>
  </si>
  <si>
    <t>Total number of invasive breast cancers, diagnosed in the first 5 years (including cases with unknown stage)</t>
  </si>
  <si>
    <t>Absolute incidence of breast cancers (invasive and in situ) with size ≤2 cm, per 1,000 women; first 5 years after randomisation</t>
  </si>
  <si>
    <t>≤2 cm</t>
  </si>
  <si>
    <t>Number of breast cancers with size ≤2 cm (invasive and in situ); first 5 years after randomisation</t>
  </si>
  <si>
    <t>Absolute incidence of breast cancers (invasive and in situ) with size &gt;2 cm, per 1,000 women; first 5 years after randomisation</t>
  </si>
  <si>
    <t>&gt;2 cm</t>
  </si>
  <si>
    <t>Number of breast cancer with size &gt;2 cm (invasive and in situ); first 5 years after randomisation</t>
  </si>
  <si>
    <t>Absolute incidence of lymph node-negative breast cancers (invasive and in situ), per 1,000 women; first 5 years after randomisation</t>
  </si>
  <si>
    <t>Number of lymph node-negative breast cancer (invasive and in situ); first 5 years after randomisation</t>
  </si>
  <si>
    <t>Absolute incidence of lymph node-positive breast cancers (invasive and in situ), per 1,000 women; first 5 years after randomisation</t>
  </si>
  <si>
    <t>Number of lymph node-positive breast cancer (invasive and in situ); first 5 years after randomisation</t>
  </si>
  <si>
    <t>Absolute incidence of invasive, lymph node-negative breast cancers, per 1,000 women; first 5 years after randomisation (screening phase)</t>
  </si>
  <si>
    <t>During the screening period: surgical and pathology reports for all diagnostic and therapeutic procedures, including those for women aged 40-49 who were not returning for further screening, and for interval cancers. A CNBSS pathologist reviewed representative slides of all biopsy samples.</t>
  </si>
  <si>
    <t>Number of invasive, lymph node-negative breast cancer; first 5 years after randomisation (screening phase)</t>
  </si>
  <si>
    <t>Absolute incidence of invasive, lymph node-positive breast cancers, per 1,000 women; first 5 years after randomisation (screening phase)</t>
  </si>
  <si>
    <t>Number of invasive, lymph node-positive breast cancer; first 5 years after randomisation (screening phase)</t>
  </si>
  <si>
    <t>Schroder, 2009</t>
  </si>
  <si>
    <r>
      <t xml:space="preserve">Prostate cancer mortality (per 1,000 PY);
up to 31/12/2006; </t>
    </r>
    <r>
      <rPr>
        <b/>
        <sz val="10"/>
        <color rgb="FF228E2C"/>
        <rFont val="Calibri"/>
        <family val="2"/>
        <scheme val="minor"/>
      </rPr>
      <t>men aged 55-69 years</t>
    </r>
    <r>
      <rPr>
        <sz val="10"/>
        <color rgb="FF228E2C"/>
        <rFont val="Calibri"/>
        <family val="2"/>
        <scheme val="minor"/>
      </rPr>
      <t>; excluding France;
Screening vs control</t>
    </r>
  </si>
  <si>
    <t>Blood PSA only or plus other tests (depends on centre)</t>
  </si>
  <si>
    <t>Each centre reported data on mortality twice a year to a central data center.
Causes of death from registries and individual chart review, were assigned according to definitions and procedures developed for the trial (blinded). A committee that analyzed causes of death was formed at each center, and an international committee coordinated the work of these national committees.</t>
  </si>
  <si>
    <t>death, emigration, or a uniform censoring date (December 31, 2006)</t>
  </si>
  <si>
    <t>Excluding France;
55-69 years</t>
  </si>
  <si>
    <t>December 31, 2006</t>
  </si>
  <si>
    <t>643,401 PY;
mean 8.8 years;
median 9.0 years</t>
  </si>
  <si>
    <t>785,585 PY;
mean 8.8 years;
median 9.0 years</t>
  </si>
  <si>
    <t>Prostate cancer deaths (definite and probable prostate cancer deaths and deaths associated with prostate-cancer–related interventions)</t>
  </si>
  <si>
    <t>per 1000 person-years</t>
  </si>
  <si>
    <t>after adjustment for sequential testing with alpha spending due to two previous interim analyses</t>
  </si>
  <si>
    <t>Text p1325 left column: ...there were 214 prostate-cancer deaths in the screening group and 326 in the control group in the core age group. ... The unadjusted rate ratio for death from prostate cancer in the screening group was 0.80 (95% confidence interval [CI], 0.67 to 0.95; P = 0.01); after adjustment for sequential testing with alpha spending due to two previous interim analyses (based on Poisson regression analysis), the rate ratio was 0.80 (95% CI, 0.65 to 0.98; P = 0.04).</t>
  </si>
  <si>
    <t>The rates of death in the two study groups began to diverge after 7 to 8 years and continued to diverge further over time. 
PSA screening was associated with a significant absolute reduction of 0.71 prostate-cancer death per 1000 men</t>
  </si>
  <si>
    <r>
      <t xml:space="preserve">Prostate cancer mortality (per 1,000 PY);
up to 31/12/2006; </t>
    </r>
    <r>
      <rPr>
        <b/>
        <sz val="10"/>
        <color rgb="FF228E2C"/>
        <rFont val="Calibri"/>
        <family val="2"/>
        <scheme val="minor"/>
      </rPr>
      <t>all ages</t>
    </r>
    <r>
      <rPr>
        <sz val="10"/>
        <color rgb="FF228E2C"/>
        <rFont val="Calibri"/>
        <family val="2"/>
        <scheme val="minor"/>
      </rPr>
      <t>; excluding France;
Screening vs control</t>
    </r>
  </si>
  <si>
    <t>Whole trial excluding France</t>
  </si>
  <si>
    <t>737,397 PY;
mean 8.9 years</t>
  </si>
  <si>
    <t>878,547 PY;
mean 8.9 years</t>
  </si>
  <si>
    <t>Poisson regression analysis was used to estimate the ratio of mortality in the intervention group to mortality in the control group, stratified according to study center and age group at randomization.</t>
  </si>
  <si>
    <r>
      <t xml:space="preserve">Prostate cancer mortality (per 1,000 PY);
up to 31/12/2006; </t>
    </r>
    <r>
      <rPr>
        <b/>
        <sz val="10"/>
        <color rgb="FF228E2C"/>
        <rFont val="Calibri"/>
        <family val="2"/>
        <scheme val="minor"/>
      </rPr>
      <t>men aged 50-54 years</t>
    </r>
    <r>
      <rPr>
        <sz val="10"/>
        <color rgb="FF228E2C"/>
        <rFont val="Calibri"/>
        <family val="2"/>
        <scheme val="minor"/>
      </rPr>
      <t>; excluding France;
Screening vs control</t>
    </r>
  </si>
  <si>
    <t>Excluding France;
50-54 years</t>
  </si>
  <si>
    <t>55,241 PY</t>
  </si>
  <si>
    <t>53,734 PY</t>
  </si>
  <si>
    <r>
      <t xml:space="preserve">Prostate cancer mortality (per 1,000 PY);
up to 31/12/2006; </t>
    </r>
    <r>
      <rPr>
        <b/>
        <sz val="10"/>
        <color rgb="FF228E2C"/>
        <rFont val="Calibri"/>
        <family val="2"/>
        <scheme val="minor"/>
      </rPr>
      <t>men aged 55-59 years</t>
    </r>
    <r>
      <rPr>
        <sz val="10"/>
        <color rgb="FF228E2C"/>
        <rFont val="Calibri"/>
        <family val="2"/>
        <scheme val="minor"/>
      </rPr>
      <t>; excluding France;
Screening vs control</t>
    </r>
  </si>
  <si>
    <t>Excluding France;
55-59 years</t>
  </si>
  <si>
    <t>316,389 PY</t>
  </si>
  <si>
    <t>402,062 PY</t>
  </si>
  <si>
    <r>
      <t xml:space="preserve">Prostate cancer mortality (per 1,000 PY);
up to 31/12/2006; </t>
    </r>
    <r>
      <rPr>
        <b/>
        <sz val="10"/>
        <color rgb="FF228E2C"/>
        <rFont val="Calibri"/>
        <family val="2"/>
        <scheme val="minor"/>
      </rPr>
      <t>men aged 60-64 years</t>
    </r>
    <r>
      <rPr>
        <sz val="10"/>
        <color rgb="FF228E2C"/>
        <rFont val="Calibri"/>
        <family val="2"/>
        <scheme val="minor"/>
      </rPr>
      <t>; excluding France;
Screening vs control</t>
    </r>
  </si>
  <si>
    <t>Excluding France;
60-64 years</t>
  </si>
  <si>
    <t>191,542 PY</t>
  </si>
  <si>
    <t>221,113 PY</t>
  </si>
  <si>
    <r>
      <t xml:space="preserve">Prostate cancer mortality (per 1,000 PY);
up to 31/12/2006; </t>
    </r>
    <r>
      <rPr>
        <b/>
        <sz val="10"/>
        <color rgb="FF228E2C"/>
        <rFont val="Calibri"/>
        <family val="2"/>
        <scheme val="minor"/>
      </rPr>
      <t>men aged 65-69 years</t>
    </r>
    <r>
      <rPr>
        <sz val="10"/>
        <color rgb="FF228E2C"/>
        <rFont val="Calibri"/>
        <family val="2"/>
        <scheme val="minor"/>
      </rPr>
      <t>; excluding France;
Screening vs control</t>
    </r>
  </si>
  <si>
    <t>Excluding France;
65-69 years</t>
  </si>
  <si>
    <t>135,470 PY</t>
  </si>
  <si>
    <t>162,410 PY</t>
  </si>
  <si>
    <r>
      <t xml:space="preserve">Prostate cancer mortality (per 1,000 PY);
up to 31/12/2006; </t>
    </r>
    <r>
      <rPr>
        <b/>
        <sz val="10"/>
        <color rgb="FF228E2C"/>
        <rFont val="Calibri"/>
        <family val="2"/>
        <scheme val="minor"/>
      </rPr>
      <t>men aged 70-74 years</t>
    </r>
    <r>
      <rPr>
        <sz val="10"/>
        <color rgb="FF228E2C"/>
        <rFont val="Calibri"/>
        <family val="2"/>
        <scheme val="minor"/>
      </rPr>
      <t>; excluding France;
Screening vs control</t>
    </r>
  </si>
  <si>
    <t>Excluding France;
70-74 years</t>
  </si>
  <si>
    <t>38,755 PY</t>
  </si>
  <si>
    <t>39,228 PY</t>
  </si>
  <si>
    <r>
      <t xml:space="preserve">All-cause mortality (per 1,000 PY);
up to 31/12/2006; </t>
    </r>
    <r>
      <rPr>
        <b/>
        <sz val="10"/>
        <color rgb="FF00B050"/>
        <rFont val="Calibri"/>
        <family val="2"/>
        <scheme val="minor"/>
      </rPr>
      <t>men aged 55-69 years</t>
    </r>
    <r>
      <rPr>
        <sz val="10"/>
        <color rgb="FF00B050"/>
        <rFont val="Calibri"/>
        <family val="2"/>
        <scheme val="minor"/>
      </rPr>
      <t>; excluding France;
Screening vs control</t>
    </r>
  </si>
  <si>
    <t>Each centre reported data on mortality twice a year to a central
data center.
Causes of death from registries and individual chart review, were assigned according to definitions and procedures developed for the trial (blinded). A committee that analyzed causes of death was formed at each center, and an international committee coordinated the work of these national committees.</t>
  </si>
  <si>
    <t>643,401 PY;
mean 8.8 years</t>
  </si>
  <si>
    <t>785,585 PY;
mean 8.8 years</t>
  </si>
  <si>
    <t>Deaths from all causes; men aged 55-69 years; up to 31/12/2006</t>
  </si>
  <si>
    <t>Schroder, 2012</t>
  </si>
  <si>
    <r>
      <t xml:space="preserve">All deaths from any cause (per 1,000 PY);
whole trial excluding France; </t>
    </r>
    <r>
      <rPr>
        <b/>
        <sz val="10"/>
        <color rgb="FF00B050"/>
        <rFont val="Calibri"/>
        <family val="2"/>
        <scheme val="minor"/>
      </rPr>
      <t>age group 55-69 years;</t>
    </r>
    <r>
      <rPr>
        <sz val="10"/>
        <color rgb="FF00B050"/>
        <rFont val="Calibri"/>
        <family val="2"/>
        <scheme val="minor"/>
      </rPr>
      <t xml:space="preserve">
up to 31/12/2008</t>
    </r>
  </si>
  <si>
    <t>Causes of death from registries and individual chart review, were assigned according to definitions and procedures developed for the trial. A committee that analyzed causes of death was formed at each center, and an international committee coordinated the work of these national committees</t>
  </si>
  <si>
    <t>death, emigration, or a uniform censoring date (December 31, 2008)</t>
  </si>
  <si>
    <t>Whole trial excluding France;
55-69 years</t>
  </si>
  <si>
    <t>December 31, 2008</t>
  </si>
  <si>
    <t>764,233 PY;
mean 10.5 years</t>
  </si>
  <si>
    <t>933,052 PY;
mean 10.4 years</t>
  </si>
  <si>
    <t>Deaths from all causes; men aged 55-69 years; up to 31/12/2008</t>
  </si>
  <si>
    <t>We used Poisson regression analysis to calculate rate ratios, which were adjusted according to center.</t>
  </si>
  <si>
    <t>Table 5A in supplementary appendix and text: Overall mortality was similar in the two study groups, with 18.2 deaths per 1000 person-years in the screening group and 18.5 per 1000 personyears in the control group (rate ratio, 0.99; 95% CI, 0.97 to 1.01).</t>
  </si>
  <si>
    <r>
      <t xml:space="preserve">All deaths from any cause (per 1,000 PY);
whole trial excluding France; </t>
    </r>
    <r>
      <rPr>
        <b/>
        <sz val="10"/>
        <color rgb="FF00B050"/>
        <rFont val="Calibri"/>
        <family val="2"/>
        <scheme val="minor"/>
      </rPr>
      <t>all ages;</t>
    </r>
    <r>
      <rPr>
        <sz val="10"/>
        <color rgb="FF00B050"/>
        <rFont val="Calibri"/>
        <family val="2"/>
        <scheme val="minor"/>
      </rPr>
      <t xml:space="preserve">
up to 31/12/2008</t>
    </r>
  </si>
  <si>
    <t>874,644 PY;
mean 10.6 years</t>
  </si>
  <si>
    <t>1,042,672 PY;
mean 10.5 years</t>
  </si>
  <si>
    <t>Deaths from any cause; up to 31/12/2008</t>
  </si>
  <si>
    <t>Table 5A in supplementary appendix</t>
  </si>
  <si>
    <r>
      <t xml:space="preserve">All deaths from any cause (per 1,000 PY);
whole trial excluding France; </t>
    </r>
    <r>
      <rPr>
        <b/>
        <sz val="10"/>
        <color rgb="FF00B050"/>
        <rFont val="Calibri"/>
        <family val="2"/>
      </rPr>
      <t>≤54 years</t>
    </r>
    <r>
      <rPr>
        <b/>
        <sz val="10"/>
        <color rgb="FF00B050"/>
        <rFont val="Calibri"/>
        <family val="2"/>
        <scheme val="minor"/>
      </rPr>
      <t>;</t>
    </r>
    <r>
      <rPr>
        <sz val="10"/>
        <color rgb="FF00B050"/>
        <rFont val="Calibri"/>
        <family val="2"/>
        <scheme val="minor"/>
      </rPr>
      <t xml:space="preserve">
up to 31/12/2008</t>
    </r>
  </si>
  <si>
    <t>Whole trial excluding France;
&lt;=54 years</t>
  </si>
  <si>
    <t>66,010 PY</t>
  </si>
  <si>
    <t>64,334 PY</t>
  </si>
  <si>
    <r>
      <t xml:space="preserve">Deaths from any cause </t>
    </r>
    <r>
      <rPr>
        <b/>
        <sz val="10"/>
        <color rgb="FF00B050"/>
        <rFont val="Calibri"/>
        <family val="2"/>
        <scheme val="minor"/>
      </rPr>
      <t xml:space="preserve">in men </t>
    </r>
    <r>
      <rPr>
        <b/>
        <sz val="10"/>
        <color rgb="FF00B050"/>
        <rFont val="Calibri"/>
        <family val="2"/>
      </rPr>
      <t>≤</t>
    </r>
    <r>
      <rPr>
        <b/>
        <sz val="9.4"/>
        <color rgb="FF00B050"/>
        <rFont val="Calibri"/>
        <family val="2"/>
      </rPr>
      <t>54 years</t>
    </r>
    <r>
      <rPr>
        <sz val="10"/>
        <color rgb="FF00B050"/>
        <rFont val="Calibri"/>
        <family val="2"/>
        <scheme val="minor"/>
      </rPr>
      <t>;
up to 31/12/2008</t>
    </r>
  </si>
  <si>
    <t>Table 8A in supplementary appendix</t>
  </si>
  <si>
    <r>
      <t xml:space="preserve">All deaths from any cause (per 1,000 PY);
whole trial excluding France; </t>
    </r>
    <r>
      <rPr>
        <b/>
        <sz val="10"/>
        <color rgb="FF00B050"/>
        <rFont val="Calibri"/>
        <family val="2"/>
      </rPr>
      <t>55-59 years</t>
    </r>
    <r>
      <rPr>
        <b/>
        <sz val="10"/>
        <color rgb="FF00B050"/>
        <rFont val="Calibri"/>
        <family val="2"/>
        <scheme val="minor"/>
      </rPr>
      <t>;</t>
    </r>
    <r>
      <rPr>
        <sz val="10"/>
        <color rgb="FF00B050"/>
        <rFont val="Calibri"/>
        <family val="2"/>
        <scheme val="minor"/>
      </rPr>
      <t xml:space="preserve">
up to 31/12/2008</t>
    </r>
  </si>
  <si>
    <t>Whole trial excluding France;
55-59 years</t>
  </si>
  <si>
    <t>378,539 PY</t>
  </si>
  <si>
    <t>480,748 PY</t>
  </si>
  <si>
    <r>
      <t xml:space="preserve">Deaths from any cause </t>
    </r>
    <r>
      <rPr>
        <b/>
        <sz val="10"/>
        <color rgb="FF00B050"/>
        <rFont val="Calibri"/>
        <family val="2"/>
        <scheme val="minor"/>
      </rPr>
      <t xml:space="preserve">in men </t>
    </r>
    <r>
      <rPr>
        <b/>
        <sz val="9.4"/>
        <color rgb="FF00B050"/>
        <rFont val="Calibri"/>
        <family val="2"/>
      </rPr>
      <t>55-59 years</t>
    </r>
    <r>
      <rPr>
        <sz val="10"/>
        <color rgb="FF00B050"/>
        <rFont val="Calibri"/>
        <family val="2"/>
        <scheme val="minor"/>
      </rPr>
      <t>;
up to 31/12/2008</t>
    </r>
  </si>
  <si>
    <r>
      <t xml:space="preserve">All deaths from any cause (per 1,000 PY);
whole trial excluding France; </t>
    </r>
    <r>
      <rPr>
        <b/>
        <sz val="10"/>
        <color rgb="FF00B050"/>
        <rFont val="Calibri"/>
        <family val="2"/>
        <scheme val="minor"/>
      </rPr>
      <t>60-64</t>
    </r>
    <r>
      <rPr>
        <b/>
        <sz val="10"/>
        <color rgb="FF00B050"/>
        <rFont val="Calibri"/>
        <family val="2"/>
      </rPr>
      <t xml:space="preserve"> years</t>
    </r>
    <r>
      <rPr>
        <b/>
        <sz val="10"/>
        <color rgb="FF00B050"/>
        <rFont val="Calibri"/>
        <family val="2"/>
        <scheme val="minor"/>
      </rPr>
      <t>;</t>
    </r>
    <r>
      <rPr>
        <sz val="10"/>
        <color rgb="FF00B050"/>
        <rFont val="Calibri"/>
        <family val="2"/>
        <scheme val="minor"/>
      </rPr>
      <t xml:space="preserve">
up to 31/12/2008</t>
    </r>
  </si>
  <si>
    <t>Whole trial excluding France;
60-64 years</t>
  </si>
  <si>
    <t>226,339 PY</t>
  </si>
  <si>
    <t>261,588 PY</t>
  </si>
  <si>
    <r>
      <t xml:space="preserve">Deaths from any cause </t>
    </r>
    <r>
      <rPr>
        <b/>
        <sz val="10"/>
        <color rgb="FF00B050"/>
        <rFont val="Calibri"/>
        <family val="2"/>
        <scheme val="minor"/>
      </rPr>
      <t>in men 60-64</t>
    </r>
    <r>
      <rPr>
        <b/>
        <sz val="9.4"/>
        <color rgb="FF00B050"/>
        <rFont val="Calibri"/>
        <family val="2"/>
      </rPr>
      <t xml:space="preserve"> years</t>
    </r>
    <r>
      <rPr>
        <sz val="10"/>
        <color rgb="FF00B050"/>
        <rFont val="Calibri"/>
        <family val="2"/>
        <scheme val="minor"/>
      </rPr>
      <t>;
up to 31/12/2008</t>
    </r>
  </si>
  <si>
    <r>
      <t xml:space="preserve">All deaths from any cause (per 1,000 PY);
whole trial excluding France; </t>
    </r>
    <r>
      <rPr>
        <b/>
        <sz val="10"/>
        <color rgb="FF00B050"/>
        <rFont val="Calibri"/>
        <family val="2"/>
        <scheme val="minor"/>
      </rPr>
      <t>65-70</t>
    </r>
    <r>
      <rPr>
        <b/>
        <sz val="10"/>
        <color rgb="FF00B050"/>
        <rFont val="Calibri"/>
        <family val="2"/>
      </rPr>
      <t xml:space="preserve"> years</t>
    </r>
    <r>
      <rPr>
        <b/>
        <sz val="10"/>
        <color rgb="FF00B050"/>
        <rFont val="Calibri"/>
        <family val="2"/>
        <scheme val="minor"/>
      </rPr>
      <t>;</t>
    </r>
    <r>
      <rPr>
        <sz val="10"/>
        <color rgb="FF00B050"/>
        <rFont val="Calibri"/>
        <family val="2"/>
        <scheme val="minor"/>
      </rPr>
      <t xml:space="preserve">
up to 31/12/2008</t>
    </r>
  </si>
  <si>
    <t>Whole trial excluding France;
65-69 years</t>
  </si>
  <si>
    <t>159,355 PY</t>
  </si>
  <si>
    <t>190,717 PY</t>
  </si>
  <si>
    <r>
      <t xml:space="preserve">Deaths from any cause </t>
    </r>
    <r>
      <rPr>
        <b/>
        <sz val="10"/>
        <color rgb="FF00B050"/>
        <rFont val="Calibri"/>
        <family val="2"/>
        <scheme val="minor"/>
      </rPr>
      <t>in men 65-69</t>
    </r>
    <r>
      <rPr>
        <b/>
        <sz val="9.4"/>
        <color rgb="FF00B050"/>
        <rFont val="Calibri"/>
        <family val="2"/>
      </rPr>
      <t xml:space="preserve"> years</t>
    </r>
    <r>
      <rPr>
        <sz val="10"/>
        <color rgb="FF00B050"/>
        <rFont val="Calibri"/>
        <family val="2"/>
        <scheme val="minor"/>
      </rPr>
      <t>;
up to 31/12/2008</t>
    </r>
  </si>
  <si>
    <r>
      <t xml:space="preserve">All deaths from any cause (per 1,000 PY);
whole trial excluding France; </t>
    </r>
    <r>
      <rPr>
        <b/>
        <sz val="10"/>
        <color rgb="FF00B050"/>
        <rFont val="Calibri"/>
        <family val="2"/>
        <scheme val="minor"/>
      </rPr>
      <t>70+</t>
    </r>
    <r>
      <rPr>
        <b/>
        <sz val="10"/>
        <color rgb="FF00B050"/>
        <rFont val="Calibri"/>
        <family val="2"/>
      </rPr>
      <t xml:space="preserve"> years</t>
    </r>
    <r>
      <rPr>
        <b/>
        <sz val="10"/>
        <color rgb="FF00B050"/>
        <rFont val="Calibri"/>
        <family val="2"/>
        <scheme val="minor"/>
      </rPr>
      <t>;</t>
    </r>
    <r>
      <rPr>
        <sz val="10"/>
        <color rgb="FF00B050"/>
        <rFont val="Calibri"/>
        <family val="2"/>
        <scheme val="minor"/>
      </rPr>
      <t xml:space="preserve">
up to 31/12/2008</t>
    </r>
  </si>
  <si>
    <t>Whole trial excluding France;
70+ years</t>
  </si>
  <si>
    <t>44,402 PY</t>
  </si>
  <si>
    <t>45,285 PY</t>
  </si>
  <si>
    <r>
      <t xml:space="preserve">Deaths from any cause </t>
    </r>
    <r>
      <rPr>
        <b/>
        <sz val="10"/>
        <color rgb="FF00B050"/>
        <rFont val="Calibri"/>
        <family val="2"/>
        <scheme val="minor"/>
      </rPr>
      <t>in men 70+</t>
    </r>
    <r>
      <rPr>
        <b/>
        <sz val="9.4"/>
        <color rgb="FF00B050"/>
        <rFont val="Calibri"/>
        <family val="2"/>
      </rPr>
      <t xml:space="preserve"> years;
</t>
    </r>
    <r>
      <rPr>
        <sz val="10"/>
        <color rgb="FF00B050"/>
        <rFont val="Calibri"/>
        <family val="2"/>
      </rPr>
      <t>up to 31/12/2008</t>
    </r>
  </si>
  <si>
    <r>
      <t xml:space="preserve">prostate cancer deaths (per 1,000 PY);
</t>
    </r>
    <r>
      <rPr>
        <b/>
        <sz val="10"/>
        <color rgb="FF00B050"/>
        <rFont val="Calibri"/>
        <family val="2"/>
        <scheme val="minor"/>
      </rPr>
      <t>Netherlands; age group 55-69 years;</t>
    </r>
    <r>
      <rPr>
        <sz val="10"/>
        <color rgb="FF00B050"/>
        <rFont val="Calibri"/>
        <family val="2"/>
        <scheme val="minor"/>
      </rPr>
      <t xml:space="preserve">
up to 31/12/2008</t>
    </r>
  </si>
  <si>
    <t>Netherlands;
55-69 years</t>
  </si>
  <si>
    <t>186,082 PY</t>
  </si>
  <si>
    <t>184,999 PY</t>
  </si>
  <si>
    <r>
      <t xml:space="preserve">Deaths from prostate cancer </t>
    </r>
    <r>
      <rPr>
        <b/>
        <sz val="10"/>
        <color rgb="FF00B050"/>
        <rFont val="Calibri"/>
        <family val="2"/>
        <scheme val="minor"/>
      </rPr>
      <t xml:space="preserve">in men aged 55-69 years </t>
    </r>
    <r>
      <rPr>
        <sz val="10"/>
        <color rgb="FF00B050"/>
        <rFont val="Calibri"/>
        <family val="2"/>
        <scheme val="minor"/>
      </rPr>
      <t>up to 31/12/2008</t>
    </r>
  </si>
  <si>
    <t xml:space="preserve">Figure 1A and Table 4A in supplementary appendix </t>
  </si>
  <si>
    <r>
      <t xml:space="preserve">prostate cancer deaths (per 1,000 PY);
</t>
    </r>
    <r>
      <rPr>
        <b/>
        <sz val="10"/>
        <color rgb="FF00B050"/>
        <rFont val="Calibri"/>
        <family val="2"/>
        <scheme val="minor"/>
      </rPr>
      <t>Belgium; age group 55-69 years;</t>
    </r>
    <r>
      <rPr>
        <sz val="10"/>
        <color rgb="FF00B050"/>
        <rFont val="Calibri"/>
        <family val="2"/>
        <scheme val="minor"/>
      </rPr>
      <t xml:space="preserve">
up to 31/12/2008</t>
    </r>
  </si>
  <si>
    <t>Belgium;
age 55-69 years</t>
  </si>
  <si>
    <t>48,270 PY</t>
  </si>
  <si>
    <t>47,102 PY</t>
  </si>
  <si>
    <r>
      <t xml:space="preserve">prostate cancer deaths (per 1,000 PY);
</t>
    </r>
    <r>
      <rPr>
        <b/>
        <sz val="10"/>
        <color rgb="FF00B050"/>
        <rFont val="Calibri"/>
        <family val="2"/>
        <scheme val="minor"/>
      </rPr>
      <t>Sweden; age group 55-69 years;</t>
    </r>
    <r>
      <rPr>
        <sz val="10"/>
        <color rgb="FF00B050"/>
        <rFont val="Calibri"/>
        <family val="2"/>
        <scheme val="minor"/>
      </rPr>
      <t xml:space="preserve">
up to 31/12/2008</t>
    </r>
  </si>
  <si>
    <t>Sweden;
age 55-69 years</t>
  </si>
  <si>
    <t>73,663 PY</t>
  </si>
  <si>
    <t>74,031 PY</t>
  </si>
  <si>
    <r>
      <t xml:space="preserve">prostate cancer deaths (per 1,000 PY);
</t>
    </r>
    <r>
      <rPr>
        <b/>
        <sz val="10"/>
        <color rgb="FF00B050"/>
        <rFont val="Calibri"/>
        <family val="2"/>
        <scheme val="minor"/>
      </rPr>
      <t>Finland; age group 55-69 years;</t>
    </r>
    <r>
      <rPr>
        <sz val="10"/>
        <color rgb="FF00B050"/>
        <rFont val="Calibri"/>
        <family val="2"/>
        <scheme val="minor"/>
      </rPr>
      <t xml:space="preserve">
up to 31/12/2008</t>
    </r>
  </si>
  <si>
    <t>Finland;
age 55-69 years</t>
  </si>
  <si>
    <t>333,535 PY</t>
  </si>
  <si>
    <t>504,263 PY</t>
  </si>
  <si>
    <r>
      <t xml:space="preserve">prostate cancer deaths (per 1,000 PY);
</t>
    </r>
    <r>
      <rPr>
        <b/>
        <sz val="10"/>
        <color rgb="FF00B050"/>
        <rFont val="Calibri"/>
        <family val="2"/>
        <scheme val="minor"/>
      </rPr>
      <t>Italy; age group 55-69 years;</t>
    </r>
    <r>
      <rPr>
        <sz val="10"/>
        <color rgb="FF00B050"/>
        <rFont val="Calibri"/>
        <family val="2"/>
        <scheme val="minor"/>
      </rPr>
      <t xml:space="preserve">
up to 31/12/2008</t>
    </r>
  </si>
  <si>
    <t>Italy;
age 55-69 years</t>
  </si>
  <si>
    <t>72,315 PY</t>
  </si>
  <si>
    <t>71,691 PY</t>
  </si>
  <si>
    <r>
      <t xml:space="preserve">prostate cancer deaths (per 1,000 PY);
</t>
    </r>
    <r>
      <rPr>
        <b/>
        <sz val="10"/>
        <color rgb="FF00B050"/>
        <rFont val="Calibri"/>
        <family val="2"/>
        <scheme val="minor"/>
      </rPr>
      <t>Spain; age group 55-69 years;</t>
    </r>
    <r>
      <rPr>
        <sz val="10"/>
        <color rgb="FF00B050"/>
        <rFont val="Calibri"/>
        <family val="2"/>
        <scheme val="minor"/>
      </rPr>
      <t xml:space="preserve">
up to 31/12/2008</t>
    </r>
  </si>
  <si>
    <t>Spain;
age 55-69 years</t>
  </si>
  <si>
    <t>10,969 PY</t>
  </si>
  <si>
    <t>11,819 PY</t>
  </si>
  <si>
    <r>
      <t xml:space="preserve">prostate cancer deaths (per 1,000 PY);
</t>
    </r>
    <r>
      <rPr>
        <b/>
        <sz val="10"/>
        <color rgb="FF00B050"/>
        <rFont val="Calibri"/>
        <family val="2"/>
        <scheme val="minor"/>
      </rPr>
      <t>Switzerland; age group 55-69 years;</t>
    </r>
    <r>
      <rPr>
        <sz val="10"/>
        <color rgb="FF00B050"/>
        <rFont val="Calibri"/>
        <family val="2"/>
        <scheme val="minor"/>
      </rPr>
      <t xml:space="preserve">
up to 31/12/2008</t>
    </r>
  </si>
  <si>
    <t>Switzerland;
age 55-69 years</t>
  </si>
  <si>
    <t>39,398 PY</t>
  </si>
  <si>
    <t>39,147 PY</t>
  </si>
  <si>
    <r>
      <t xml:space="preserve">prostate cancer deaths (per 1,000 PY);
</t>
    </r>
    <r>
      <rPr>
        <b/>
        <sz val="10"/>
        <color rgb="FF00B050"/>
        <rFont val="Calibri"/>
        <family val="2"/>
        <scheme val="minor"/>
      </rPr>
      <t xml:space="preserve">whole trial excluding France;
age 55-69 years;
</t>
    </r>
    <r>
      <rPr>
        <sz val="10"/>
        <color rgb="FF00B050"/>
        <rFont val="Calibri"/>
        <family val="2"/>
        <scheme val="minor"/>
      </rPr>
      <t>up to 31/12/2008</t>
    </r>
  </si>
  <si>
    <t>764,233 PY</t>
  </si>
  <si>
    <t>933,052 PY</t>
  </si>
  <si>
    <t>Deaths from prostate cancer; men aged 55-69 years; up to 31/12/2008</t>
  </si>
  <si>
    <t>Table 3 and text: There were 299 deaths from prostate cancer in the screening group and 462 in the control group,
with death rates of 0.39 and 0.50 per 1000 personyears,
respectively. Overall, a rate ratio of 0.79 (95% CI, 0.68 to 0.91; P = 0.001), corresponding to a relative risk reduction of 21% in favor of screening, was found</t>
  </si>
  <si>
    <r>
      <t xml:space="preserve">Prostate cancer mortality (per 1,000 PY);
whole trial excluding France; </t>
    </r>
    <r>
      <rPr>
        <b/>
        <sz val="10"/>
        <color rgb="FF00B050"/>
        <rFont val="Calibri"/>
        <family val="2"/>
        <scheme val="minor"/>
      </rPr>
      <t>all ages;</t>
    </r>
    <r>
      <rPr>
        <sz val="10"/>
        <color rgb="FF00B050"/>
        <rFont val="Calibri"/>
        <family val="2"/>
        <scheme val="minor"/>
      </rPr>
      <t xml:space="preserve">
up to 31/12/2008</t>
    </r>
  </si>
  <si>
    <t>Deaths from prostate cancer; up to 31/12/2008</t>
  </si>
  <si>
    <r>
      <t xml:space="preserve">Prostate cancer mortality (per 1,000 PY);
whole trial excluding France; </t>
    </r>
    <r>
      <rPr>
        <b/>
        <sz val="10"/>
        <color rgb="FF00B050"/>
        <rFont val="Calibri"/>
        <family val="2"/>
      </rPr>
      <t>≤54 years</t>
    </r>
    <r>
      <rPr>
        <b/>
        <sz val="10"/>
        <color rgb="FF00B050"/>
        <rFont val="Calibri"/>
        <family val="2"/>
        <scheme val="minor"/>
      </rPr>
      <t>;</t>
    </r>
    <r>
      <rPr>
        <sz val="10"/>
        <color rgb="FF00B050"/>
        <rFont val="Calibri"/>
        <family val="2"/>
        <scheme val="minor"/>
      </rPr>
      <t xml:space="preserve">
up to 31/12/2008</t>
    </r>
  </si>
  <si>
    <r>
      <t xml:space="preserve">Deaths from prostate cancer </t>
    </r>
    <r>
      <rPr>
        <b/>
        <sz val="10"/>
        <color rgb="FF00B050"/>
        <rFont val="Calibri"/>
        <family val="2"/>
        <scheme val="minor"/>
      </rPr>
      <t xml:space="preserve">in men </t>
    </r>
    <r>
      <rPr>
        <b/>
        <sz val="10"/>
        <color rgb="FF00B050"/>
        <rFont val="Calibri"/>
        <family val="2"/>
      </rPr>
      <t>≤</t>
    </r>
    <r>
      <rPr>
        <b/>
        <sz val="9.4"/>
        <color rgb="FF00B050"/>
        <rFont val="Calibri"/>
        <family val="2"/>
      </rPr>
      <t>54 years</t>
    </r>
    <r>
      <rPr>
        <sz val="10"/>
        <color rgb="FF00B050"/>
        <rFont val="Calibri"/>
        <family val="2"/>
        <scheme val="minor"/>
      </rPr>
      <t>;
up to 31/12/2008</t>
    </r>
  </si>
  <si>
    <r>
      <t xml:space="preserve">Prostate cancer mortality (per 1,000 PY);
whole trial excluding France; </t>
    </r>
    <r>
      <rPr>
        <b/>
        <sz val="10"/>
        <color rgb="FF00B050"/>
        <rFont val="Calibri"/>
        <family val="2"/>
      </rPr>
      <t>55-59 years</t>
    </r>
    <r>
      <rPr>
        <b/>
        <sz val="10"/>
        <color rgb="FF00B050"/>
        <rFont val="Calibri"/>
        <family val="2"/>
        <scheme val="minor"/>
      </rPr>
      <t>;</t>
    </r>
    <r>
      <rPr>
        <sz val="10"/>
        <color rgb="FF00B050"/>
        <rFont val="Calibri"/>
        <family val="2"/>
        <scheme val="minor"/>
      </rPr>
      <t xml:space="preserve">
up to 31/12/2008</t>
    </r>
  </si>
  <si>
    <r>
      <t xml:space="preserve">Deaths from prostate cancer </t>
    </r>
    <r>
      <rPr>
        <b/>
        <sz val="10"/>
        <color rgb="FF00B050"/>
        <rFont val="Calibri"/>
        <family val="2"/>
        <scheme val="minor"/>
      </rPr>
      <t xml:space="preserve">in men </t>
    </r>
    <r>
      <rPr>
        <b/>
        <sz val="9.4"/>
        <color rgb="FF00B050"/>
        <rFont val="Calibri"/>
        <family val="2"/>
      </rPr>
      <t>55-59 years</t>
    </r>
    <r>
      <rPr>
        <sz val="10"/>
        <color rgb="FF00B050"/>
        <rFont val="Calibri"/>
        <family val="2"/>
        <scheme val="minor"/>
      </rPr>
      <t>;
up to 31/12/2008</t>
    </r>
  </si>
  <si>
    <r>
      <t xml:space="preserve">Prostate cancer mortality (per 1,000 PY);
whole trial excluding France; </t>
    </r>
    <r>
      <rPr>
        <b/>
        <sz val="10"/>
        <color rgb="FF00B050"/>
        <rFont val="Calibri"/>
        <family val="2"/>
        <scheme val="minor"/>
      </rPr>
      <t>60-64</t>
    </r>
    <r>
      <rPr>
        <b/>
        <sz val="10"/>
        <color rgb="FF00B050"/>
        <rFont val="Calibri"/>
        <family val="2"/>
      </rPr>
      <t xml:space="preserve"> years</t>
    </r>
    <r>
      <rPr>
        <b/>
        <sz val="10"/>
        <color rgb="FF00B050"/>
        <rFont val="Calibri"/>
        <family val="2"/>
        <scheme val="minor"/>
      </rPr>
      <t>;</t>
    </r>
    <r>
      <rPr>
        <sz val="10"/>
        <color rgb="FF00B050"/>
        <rFont val="Calibri"/>
        <family val="2"/>
        <scheme val="minor"/>
      </rPr>
      <t xml:space="preserve">
up to 31/12/2008</t>
    </r>
  </si>
  <si>
    <r>
      <t xml:space="preserve">Deaths from prostate cancer </t>
    </r>
    <r>
      <rPr>
        <b/>
        <sz val="10"/>
        <color rgb="FF00B050"/>
        <rFont val="Calibri"/>
        <family val="2"/>
        <scheme val="minor"/>
      </rPr>
      <t>in men 60-64</t>
    </r>
    <r>
      <rPr>
        <b/>
        <sz val="9.4"/>
        <color rgb="FF00B050"/>
        <rFont val="Calibri"/>
        <family val="2"/>
      </rPr>
      <t xml:space="preserve"> years</t>
    </r>
    <r>
      <rPr>
        <sz val="10"/>
        <color rgb="FF00B050"/>
        <rFont val="Calibri"/>
        <family val="2"/>
        <scheme val="minor"/>
      </rPr>
      <t>;
up to 31/12/2008</t>
    </r>
  </si>
  <si>
    <r>
      <t xml:space="preserve">Prostate cancer mortality (per 1,000 PY);
whole trial excluding France; </t>
    </r>
    <r>
      <rPr>
        <b/>
        <sz val="10"/>
        <color rgb="FF00B050"/>
        <rFont val="Calibri"/>
        <family val="2"/>
        <scheme val="minor"/>
      </rPr>
      <t>65-69</t>
    </r>
    <r>
      <rPr>
        <b/>
        <sz val="10"/>
        <color rgb="FF00B050"/>
        <rFont val="Calibri"/>
        <family val="2"/>
      </rPr>
      <t xml:space="preserve"> years</t>
    </r>
    <r>
      <rPr>
        <b/>
        <sz val="10"/>
        <color rgb="FF00B050"/>
        <rFont val="Calibri"/>
        <family val="2"/>
        <scheme val="minor"/>
      </rPr>
      <t>;</t>
    </r>
    <r>
      <rPr>
        <sz val="10"/>
        <color rgb="FF00B050"/>
        <rFont val="Calibri"/>
        <family val="2"/>
        <scheme val="minor"/>
      </rPr>
      <t xml:space="preserve">
up to 31/12/2008</t>
    </r>
  </si>
  <si>
    <r>
      <t xml:space="preserve">Deathsfrom prostate cancer </t>
    </r>
    <r>
      <rPr>
        <b/>
        <sz val="10"/>
        <color rgb="FF00B050"/>
        <rFont val="Calibri"/>
        <family val="2"/>
        <scheme val="minor"/>
      </rPr>
      <t>in men 65-69</t>
    </r>
    <r>
      <rPr>
        <b/>
        <sz val="9.4"/>
        <color rgb="FF00B050"/>
        <rFont val="Calibri"/>
        <family val="2"/>
      </rPr>
      <t xml:space="preserve"> years</t>
    </r>
    <r>
      <rPr>
        <sz val="10"/>
        <color rgb="FF00B050"/>
        <rFont val="Calibri"/>
        <family val="2"/>
        <scheme val="minor"/>
      </rPr>
      <t>;
up to 31/12/2008</t>
    </r>
  </si>
  <si>
    <r>
      <t xml:space="preserve">Prostate cancer mortality (per 1,000 PY);
whole trial excluding France; </t>
    </r>
    <r>
      <rPr>
        <b/>
        <sz val="10"/>
        <color rgb="FF00B050"/>
        <rFont val="Calibri"/>
        <family val="2"/>
        <scheme val="minor"/>
      </rPr>
      <t>70+</t>
    </r>
    <r>
      <rPr>
        <b/>
        <sz val="10"/>
        <color rgb="FF00B050"/>
        <rFont val="Calibri"/>
        <family val="2"/>
      </rPr>
      <t xml:space="preserve"> years</t>
    </r>
    <r>
      <rPr>
        <b/>
        <sz val="10"/>
        <color rgb="FF00B050"/>
        <rFont val="Calibri"/>
        <family val="2"/>
        <scheme val="minor"/>
      </rPr>
      <t>;</t>
    </r>
    <r>
      <rPr>
        <sz val="10"/>
        <color rgb="FF00B050"/>
        <rFont val="Calibri"/>
        <family val="2"/>
        <scheme val="minor"/>
      </rPr>
      <t xml:space="preserve">
up to 31/12/2008</t>
    </r>
  </si>
  <si>
    <r>
      <t xml:space="preserve">prostate cancer deaths (per 1,000 PY);
</t>
    </r>
    <r>
      <rPr>
        <b/>
        <sz val="10"/>
        <color rgb="FF00B050"/>
        <rFont val="Calibri"/>
        <family val="2"/>
        <scheme val="minor"/>
      </rPr>
      <t xml:space="preserve">whole trial excluding France;
age 55-69 years;
</t>
    </r>
    <r>
      <rPr>
        <sz val="10"/>
        <color rgb="FF00B050"/>
        <rFont val="Calibri"/>
        <family val="2"/>
        <scheme val="minor"/>
      </rPr>
      <t>study years 1-9</t>
    </r>
  </si>
  <si>
    <t>608,852 PY</t>
  </si>
  <si>
    <t>745,912 PY</t>
  </si>
  <si>
    <t>Deaths from prostate cancer; men aged 55-69 years; study years 1-9</t>
  </si>
  <si>
    <t>Table 3 and text: Rate ratios for the period of 1 to 9 years and the period of 1 to 11 years were 0.85 (95% CI, 0.71 to
1.03)…</t>
  </si>
  <si>
    <r>
      <t xml:space="preserve">prostate cancer deaths (per 1,000 PY);
</t>
    </r>
    <r>
      <rPr>
        <b/>
        <sz val="10"/>
        <color rgb="FF00B050"/>
        <rFont val="Calibri"/>
        <family val="2"/>
        <scheme val="minor"/>
      </rPr>
      <t xml:space="preserve">whole trial excluding France;
age 55-69 years;
</t>
    </r>
    <r>
      <rPr>
        <sz val="10"/>
        <color rgb="FF00B050"/>
        <rFont val="Calibri"/>
        <family val="2"/>
        <scheme val="minor"/>
      </rPr>
      <t>study years 1-11</t>
    </r>
  </si>
  <si>
    <t>Deaths from prostate cancer; men aged 55-69 years; study years 1-11</t>
  </si>
  <si>
    <t>Table 3 and text: Rate ratios for the period of 1 to 9 years and the period of 1 to 11 years were 0.85 (95% CI, 0.71 to
1.03) and 0.79 (95% CI, 0.67 to 0.92), respectively.</t>
  </si>
  <si>
    <r>
      <t xml:space="preserve">prostate cancer deaths (per 1,000 PY);
</t>
    </r>
    <r>
      <rPr>
        <b/>
        <sz val="10"/>
        <color rgb="FF00B050"/>
        <rFont val="Calibri"/>
        <family val="2"/>
        <scheme val="minor"/>
      </rPr>
      <t xml:space="preserve">Netherlands;
age 55-69 years;
</t>
    </r>
    <r>
      <rPr>
        <sz val="10"/>
        <color rgb="FF00B050"/>
        <rFont val="Calibri"/>
        <family val="2"/>
        <scheme val="minor"/>
      </rPr>
      <t>study years 1-9</t>
    </r>
  </si>
  <si>
    <t>NR for sub-group</t>
  </si>
  <si>
    <t>Appendix Table 7A1</t>
  </si>
  <si>
    <r>
      <t xml:space="preserve">prostate cancer deaths (per 1,000 PY);
</t>
    </r>
    <r>
      <rPr>
        <b/>
        <sz val="10"/>
        <color rgb="FF00B050"/>
        <rFont val="Calibri"/>
        <family val="2"/>
        <scheme val="minor"/>
      </rPr>
      <t xml:space="preserve">Netherlands;
age 55-69 years;
</t>
    </r>
    <r>
      <rPr>
        <sz val="10"/>
        <color rgb="FF00B050"/>
        <rFont val="Calibri"/>
        <family val="2"/>
        <scheme val="minor"/>
      </rPr>
      <t>study years 1-11</t>
    </r>
  </si>
  <si>
    <r>
      <t xml:space="preserve">prostate cancer deaths (per 1,000 PY);
</t>
    </r>
    <r>
      <rPr>
        <b/>
        <sz val="10"/>
        <color rgb="FF00B050"/>
        <rFont val="Calibri"/>
        <family val="2"/>
        <scheme val="minor"/>
      </rPr>
      <t xml:space="preserve">Belgium;
age 55-69 years;
</t>
    </r>
    <r>
      <rPr>
        <sz val="10"/>
        <color rgb="FF00B050"/>
        <rFont val="Calibri"/>
        <family val="2"/>
        <scheme val="minor"/>
      </rPr>
      <t>study years 1-9</t>
    </r>
  </si>
  <si>
    <t>Belgium;
55-69 years</t>
  </si>
  <si>
    <r>
      <t xml:space="preserve">prostate cancer deaths (per 1,000 PY);
</t>
    </r>
    <r>
      <rPr>
        <b/>
        <sz val="10"/>
        <color rgb="FF00B050"/>
        <rFont val="Calibri"/>
        <family val="2"/>
        <scheme val="minor"/>
      </rPr>
      <t xml:space="preserve">Belgium;
age 55-69 years;
</t>
    </r>
    <r>
      <rPr>
        <sz val="10"/>
        <color rgb="FF00B050"/>
        <rFont val="Calibri"/>
        <family val="2"/>
        <scheme val="minor"/>
      </rPr>
      <t>study years 1-11</t>
    </r>
  </si>
  <si>
    <r>
      <t xml:space="preserve">prostate cancer deaths (per 1,000 PY);
</t>
    </r>
    <r>
      <rPr>
        <b/>
        <sz val="10"/>
        <color rgb="FF00B050"/>
        <rFont val="Calibri"/>
        <family val="2"/>
        <scheme val="minor"/>
      </rPr>
      <t xml:space="preserve">Sweden;
age 55-69 years;
</t>
    </r>
    <r>
      <rPr>
        <sz val="10"/>
        <color rgb="FF00B050"/>
        <rFont val="Calibri"/>
        <family val="2"/>
        <scheme val="minor"/>
      </rPr>
      <t>study years 1-9</t>
    </r>
  </si>
  <si>
    <t>Sweden;
55-69 years</t>
  </si>
  <si>
    <r>
      <t xml:space="preserve">prostate cancer deaths (per 1,000 PY);
</t>
    </r>
    <r>
      <rPr>
        <b/>
        <sz val="10"/>
        <color rgb="FF00B050"/>
        <rFont val="Calibri"/>
        <family val="2"/>
        <scheme val="minor"/>
      </rPr>
      <t xml:space="preserve">Sweden;
age 55-69 years;
</t>
    </r>
    <r>
      <rPr>
        <sz val="10"/>
        <color rgb="FF00B050"/>
        <rFont val="Calibri"/>
        <family val="2"/>
        <scheme val="minor"/>
      </rPr>
      <t>study years 1-11</t>
    </r>
  </si>
  <si>
    <r>
      <t xml:space="preserve">prostate cancer deaths (per 1,000 PY);
</t>
    </r>
    <r>
      <rPr>
        <b/>
        <sz val="10"/>
        <color rgb="FF00B050"/>
        <rFont val="Calibri"/>
        <family val="2"/>
        <scheme val="minor"/>
      </rPr>
      <t xml:space="preserve">Finland;
age 55-69 years;
</t>
    </r>
    <r>
      <rPr>
        <sz val="10"/>
        <color rgb="FF00B050"/>
        <rFont val="Calibri"/>
        <family val="2"/>
        <scheme val="minor"/>
      </rPr>
      <t>study years 1-9</t>
    </r>
  </si>
  <si>
    <t>Finland;
55-69 years</t>
  </si>
  <si>
    <r>
      <t xml:space="preserve">prostate cancer deaths (per 1,000 PY);
</t>
    </r>
    <r>
      <rPr>
        <b/>
        <sz val="10"/>
        <color rgb="FF00B050"/>
        <rFont val="Calibri"/>
        <family val="2"/>
        <scheme val="minor"/>
      </rPr>
      <t xml:space="preserve">Finland;
age 55-69 years;
</t>
    </r>
    <r>
      <rPr>
        <sz val="10"/>
        <color rgb="FF00B050"/>
        <rFont val="Calibri"/>
        <family val="2"/>
        <scheme val="minor"/>
      </rPr>
      <t>study years 1-11</t>
    </r>
  </si>
  <si>
    <r>
      <t xml:space="preserve">prostate cancer deaths (per 1,000 PY);
</t>
    </r>
    <r>
      <rPr>
        <b/>
        <sz val="10"/>
        <color rgb="FF00B050"/>
        <rFont val="Calibri"/>
        <family val="2"/>
        <scheme val="minor"/>
      </rPr>
      <t xml:space="preserve">Italy;
age 55-69 years;
</t>
    </r>
    <r>
      <rPr>
        <sz val="10"/>
        <color rgb="FF00B050"/>
        <rFont val="Calibri"/>
        <family val="2"/>
        <scheme val="minor"/>
      </rPr>
      <t>study years 1-9</t>
    </r>
  </si>
  <si>
    <t>Italy;
55-69 years</t>
  </si>
  <si>
    <r>
      <t xml:space="preserve">prostate cancer deaths (per 1,000 PY);
</t>
    </r>
    <r>
      <rPr>
        <b/>
        <sz val="10"/>
        <color rgb="FF00B050"/>
        <rFont val="Calibri"/>
        <family val="2"/>
        <scheme val="minor"/>
      </rPr>
      <t xml:space="preserve">Italy;
age 55-69 years;
</t>
    </r>
    <r>
      <rPr>
        <sz val="10"/>
        <color rgb="FF00B050"/>
        <rFont val="Calibri"/>
        <family val="2"/>
        <scheme val="minor"/>
      </rPr>
      <t>study years 1-11</t>
    </r>
  </si>
  <si>
    <r>
      <t xml:space="preserve">prostate cancer deaths (per 1,000 PY);
</t>
    </r>
    <r>
      <rPr>
        <b/>
        <sz val="10"/>
        <color rgb="FF00B050"/>
        <rFont val="Calibri"/>
        <family val="2"/>
        <scheme val="minor"/>
      </rPr>
      <t xml:space="preserve">Spain;
age 55-69 years;
</t>
    </r>
    <r>
      <rPr>
        <sz val="10"/>
        <color rgb="FF00B050"/>
        <rFont val="Calibri"/>
        <family val="2"/>
        <scheme val="minor"/>
      </rPr>
      <t>study years 1-9</t>
    </r>
  </si>
  <si>
    <t>Spain;
55-69 years</t>
  </si>
  <si>
    <r>
      <t xml:space="preserve">prostate cancer deaths (per 1,000 PY);
</t>
    </r>
    <r>
      <rPr>
        <b/>
        <sz val="10"/>
        <color rgb="FF00B050"/>
        <rFont val="Calibri"/>
        <family val="2"/>
        <scheme val="minor"/>
      </rPr>
      <t xml:space="preserve">Spain;
age 55-69 years;
</t>
    </r>
    <r>
      <rPr>
        <sz val="10"/>
        <color rgb="FF00B050"/>
        <rFont val="Calibri"/>
        <family val="2"/>
        <scheme val="minor"/>
      </rPr>
      <t>study years 1-11</t>
    </r>
  </si>
  <si>
    <r>
      <t xml:space="preserve">prostate cancer deaths (per 1,000 PY);
</t>
    </r>
    <r>
      <rPr>
        <b/>
        <sz val="10"/>
        <color rgb="FF00B050"/>
        <rFont val="Calibri"/>
        <family val="2"/>
        <scheme val="minor"/>
      </rPr>
      <t xml:space="preserve">Switzerland;
age 55-69 years;
</t>
    </r>
    <r>
      <rPr>
        <sz val="10"/>
        <color rgb="FF00B050"/>
        <rFont val="Calibri"/>
        <family val="2"/>
        <scheme val="minor"/>
      </rPr>
      <t>study years 1-9</t>
    </r>
  </si>
  <si>
    <t>Switzerland;
55-69 years</t>
  </si>
  <si>
    <r>
      <t xml:space="preserve">prostate cancer deaths (per 1,000 PY);
</t>
    </r>
    <r>
      <rPr>
        <b/>
        <sz val="10"/>
        <color rgb="FF00B050"/>
        <rFont val="Calibri"/>
        <family val="2"/>
        <scheme val="minor"/>
      </rPr>
      <t xml:space="preserve">Switzerland;
age 55-69 years;
</t>
    </r>
    <r>
      <rPr>
        <sz val="10"/>
        <color rgb="FF00B050"/>
        <rFont val="Calibri"/>
        <family val="2"/>
        <scheme val="minor"/>
      </rPr>
      <t>study years 1-11</t>
    </r>
  </si>
  <si>
    <r>
      <t xml:space="preserve">prostate cancer deaths (per 1,000 PY);
</t>
    </r>
    <r>
      <rPr>
        <b/>
        <sz val="10"/>
        <color rgb="FF00B050"/>
        <rFont val="Calibri"/>
        <family val="2"/>
        <scheme val="minor"/>
      </rPr>
      <t xml:space="preserve">whole trial excluding France;
all ages;
</t>
    </r>
    <r>
      <rPr>
        <sz val="10"/>
        <color rgb="FF00B050"/>
        <rFont val="Calibri"/>
        <family val="2"/>
        <scheme val="minor"/>
      </rPr>
      <t>study years 1-9</t>
    </r>
  </si>
  <si>
    <r>
      <t xml:space="preserve">Deaths from prostate cancer; </t>
    </r>
    <r>
      <rPr>
        <b/>
        <sz val="10"/>
        <color rgb="FF00B050"/>
        <rFont val="Calibri"/>
        <family val="2"/>
        <scheme val="minor"/>
      </rPr>
      <t>all ages;</t>
    </r>
    <r>
      <rPr>
        <sz val="10"/>
        <color rgb="FF00B050"/>
        <rFont val="Calibri"/>
        <family val="2"/>
        <scheme val="minor"/>
      </rPr>
      <t xml:space="preserve"> study years 1-9</t>
    </r>
  </si>
  <si>
    <t>Appendix Table 7A2</t>
  </si>
  <si>
    <r>
      <t xml:space="preserve">prostate cancer deaths (per 1,000 PY);
</t>
    </r>
    <r>
      <rPr>
        <b/>
        <sz val="10"/>
        <color rgb="FF00B050"/>
        <rFont val="Calibri"/>
        <family val="2"/>
        <scheme val="minor"/>
      </rPr>
      <t xml:space="preserve">whole trial excluding France;
all ages;
</t>
    </r>
    <r>
      <rPr>
        <sz val="10"/>
        <color rgb="FF00B050"/>
        <rFont val="Calibri"/>
        <family val="2"/>
        <scheme val="minor"/>
      </rPr>
      <t>study years 1-11</t>
    </r>
  </si>
  <si>
    <r>
      <t xml:space="preserve">Deaths from prostate cancer; </t>
    </r>
    <r>
      <rPr>
        <b/>
        <sz val="10"/>
        <color rgb="FF00B050"/>
        <rFont val="Calibri"/>
        <family val="2"/>
        <scheme val="minor"/>
      </rPr>
      <t xml:space="preserve">all ages; </t>
    </r>
    <r>
      <rPr>
        <sz val="10"/>
        <color rgb="FF00B050"/>
        <rFont val="Calibri"/>
        <family val="2"/>
        <scheme val="minor"/>
      </rPr>
      <t>study years 1-11</t>
    </r>
  </si>
  <si>
    <r>
      <t xml:space="preserve">prostate cancer deaths (per 1,000 PY);
</t>
    </r>
    <r>
      <rPr>
        <b/>
        <sz val="10"/>
        <color rgb="FF00B050"/>
        <rFont val="Calibri"/>
        <family val="2"/>
        <scheme val="minor"/>
      </rPr>
      <t xml:space="preserve">Netherlands;
all ages;
</t>
    </r>
    <r>
      <rPr>
        <sz val="10"/>
        <color rgb="FF00B050"/>
        <rFont val="Calibri"/>
        <family val="2"/>
        <scheme val="minor"/>
      </rPr>
      <t>study years 1-9</t>
    </r>
  </si>
  <si>
    <t>Netherlands</t>
  </si>
  <si>
    <r>
      <t xml:space="preserve">prostate cancer deaths (per 1,000 PY);
</t>
    </r>
    <r>
      <rPr>
        <b/>
        <sz val="10"/>
        <color rgb="FF00B050"/>
        <rFont val="Calibri"/>
        <family val="2"/>
        <scheme val="minor"/>
      </rPr>
      <t xml:space="preserve">Netherlands;
all ages;
</t>
    </r>
    <r>
      <rPr>
        <sz val="10"/>
        <color rgb="FF00B050"/>
        <rFont val="Calibri"/>
        <family val="2"/>
        <scheme val="minor"/>
      </rPr>
      <t>study years 1-11</t>
    </r>
  </si>
  <si>
    <r>
      <t xml:space="preserve">prostate cancer deaths (per 1,000 PY);
</t>
    </r>
    <r>
      <rPr>
        <b/>
        <sz val="10"/>
        <color rgb="FF00B050"/>
        <rFont val="Calibri"/>
        <family val="2"/>
        <scheme val="minor"/>
      </rPr>
      <t xml:space="preserve">Belgium;
all ages;
</t>
    </r>
    <r>
      <rPr>
        <sz val="10"/>
        <color rgb="FF00B050"/>
        <rFont val="Calibri"/>
        <family val="2"/>
        <scheme val="minor"/>
      </rPr>
      <t>study years 1-9</t>
    </r>
  </si>
  <si>
    <t>Belgium</t>
  </si>
  <si>
    <r>
      <t xml:space="preserve">prostate cancer deaths (per 1,000 PY);
</t>
    </r>
    <r>
      <rPr>
        <b/>
        <sz val="10"/>
        <color rgb="FF00B050"/>
        <rFont val="Calibri"/>
        <family val="2"/>
        <scheme val="minor"/>
      </rPr>
      <t xml:space="preserve">Belgium;
all ages;
</t>
    </r>
    <r>
      <rPr>
        <sz val="10"/>
        <color rgb="FF00B050"/>
        <rFont val="Calibri"/>
        <family val="2"/>
        <scheme val="minor"/>
      </rPr>
      <t>study years 1-11</t>
    </r>
  </si>
  <si>
    <r>
      <t xml:space="preserve">prostate cancer deaths (per 1,000 PY);
</t>
    </r>
    <r>
      <rPr>
        <b/>
        <sz val="10"/>
        <color rgb="FF00B050"/>
        <rFont val="Calibri"/>
        <family val="2"/>
        <scheme val="minor"/>
      </rPr>
      <t xml:space="preserve">Sweden;
all ages;
</t>
    </r>
    <r>
      <rPr>
        <sz val="10"/>
        <color rgb="FF00B050"/>
        <rFont val="Calibri"/>
        <family val="2"/>
        <scheme val="minor"/>
      </rPr>
      <t>study years 1-9</t>
    </r>
  </si>
  <si>
    <t>Sweden</t>
  </si>
  <si>
    <r>
      <t xml:space="preserve">prostate cancer deaths (per 1,000 PY);
</t>
    </r>
    <r>
      <rPr>
        <b/>
        <sz val="10"/>
        <color rgb="FF00B050"/>
        <rFont val="Calibri"/>
        <family val="2"/>
        <scheme val="minor"/>
      </rPr>
      <t xml:space="preserve">Sweden;
all ages;
</t>
    </r>
    <r>
      <rPr>
        <sz val="10"/>
        <color rgb="FF00B050"/>
        <rFont val="Calibri"/>
        <family val="2"/>
        <scheme val="minor"/>
      </rPr>
      <t>study years 1-11</t>
    </r>
  </si>
  <si>
    <r>
      <t xml:space="preserve">prostate cancer deaths (per 1,000 PY);
</t>
    </r>
    <r>
      <rPr>
        <b/>
        <sz val="10"/>
        <color rgb="FF00B050"/>
        <rFont val="Calibri"/>
        <family val="2"/>
        <scheme val="minor"/>
      </rPr>
      <t xml:space="preserve">Finland;
all ages;
</t>
    </r>
    <r>
      <rPr>
        <sz val="10"/>
        <color rgb="FF00B050"/>
        <rFont val="Calibri"/>
        <family val="2"/>
        <scheme val="minor"/>
      </rPr>
      <t>study years 1-9</t>
    </r>
  </si>
  <si>
    <t>Finland</t>
  </si>
  <si>
    <r>
      <t xml:space="preserve">prostate cancer deaths (per 1,000 PY);
</t>
    </r>
    <r>
      <rPr>
        <b/>
        <sz val="10"/>
        <color rgb="FF00B050"/>
        <rFont val="Calibri"/>
        <family val="2"/>
        <scheme val="minor"/>
      </rPr>
      <t xml:space="preserve">Finland;
all ages;
</t>
    </r>
    <r>
      <rPr>
        <sz val="10"/>
        <color rgb="FF00B050"/>
        <rFont val="Calibri"/>
        <family val="2"/>
        <scheme val="minor"/>
      </rPr>
      <t>study years 1-11</t>
    </r>
  </si>
  <si>
    <r>
      <t xml:space="preserve">prostate cancer deaths (per 1,000 PY);
</t>
    </r>
    <r>
      <rPr>
        <b/>
        <sz val="10"/>
        <color rgb="FF00B050"/>
        <rFont val="Calibri"/>
        <family val="2"/>
        <scheme val="minor"/>
      </rPr>
      <t xml:space="preserve">Italy;
all ages;
</t>
    </r>
    <r>
      <rPr>
        <sz val="10"/>
        <color rgb="FF00B050"/>
        <rFont val="Calibri"/>
        <family val="2"/>
        <scheme val="minor"/>
      </rPr>
      <t>study years 1-9</t>
    </r>
  </si>
  <si>
    <t>Italy</t>
  </si>
  <si>
    <r>
      <t xml:space="preserve">prostate cancer deaths (per 1,000 PY);
</t>
    </r>
    <r>
      <rPr>
        <b/>
        <sz val="10"/>
        <color rgb="FF00B050"/>
        <rFont val="Calibri"/>
        <family val="2"/>
        <scheme val="minor"/>
      </rPr>
      <t xml:space="preserve">Italy;
all ages;
</t>
    </r>
    <r>
      <rPr>
        <sz val="10"/>
        <color rgb="FF00B050"/>
        <rFont val="Calibri"/>
        <family val="2"/>
        <scheme val="minor"/>
      </rPr>
      <t>study years 1-11</t>
    </r>
  </si>
  <si>
    <r>
      <t xml:space="preserve">prostate cancer deaths (per 1,000 PY);
</t>
    </r>
    <r>
      <rPr>
        <b/>
        <sz val="10"/>
        <color rgb="FF00B050"/>
        <rFont val="Calibri"/>
        <family val="2"/>
        <scheme val="minor"/>
      </rPr>
      <t xml:space="preserve">Spain;
all ages;
</t>
    </r>
    <r>
      <rPr>
        <sz val="10"/>
        <color rgb="FF00B050"/>
        <rFont val="Calibri"/>
        <family val="2"/>
        <scheme val="minor"/>
      </rPr>
      <t>study years 1-9</t>
    </r>
  </si>
  <si>
    <t>Spain</t>
  </si>
  <si>
    <r>
      <t xml:space="preserve">prostate cancer deaths (per 1,000 PY);
</t>
    </r>
    <r>
      <rPr>
        <b/>
        <sz val="10"/>
        <color rgb="FF00B050"/>
        <rFont val="Calibri"/>
        <family val="2"/>
        <scheme val="minor"/>
      </rPr>
      <t xml:space="preserve">Spain;
all ages;
</t>
    </r>
    <r>
      <rPr>
        <sz val="10"/>
        <color rgb="FF00B050"/>
        <rFont val="Calibri"/>
        <family val="2"/>
        <scheme val="minor"/>
      </rPr>
      <t>study years 1-11</t>
    </r>
  </si>
  <si>
    <r>
      <t xml:space="preserve">prostate cancer deaths (per 1,000 PY);
</t>
    </r>
    <r>
      <rPr>
        <b/>
        <sz val="10"/>
        <color rgb="FF00B050"/>
        <rFont val="Calibri"/>
        <family val="2"/>
        <scheme val="minor"/>
      </rPr>
      <t xml:space="preserve">Switzerland;
all ages;
</t>
    </r>
    <r>
      <rPr>
        <sz val="10"/>
        <color rgb="FF00B050"/>
        <rFont val="Calibri"/>
        <family val="2"/>
        <scheme val="minor"/>
      </rPr>
      <t>study years 1-9</t>
    </r>
  </si>
  <si>
    <t>Switzerland</t>
  </si>
  <si>
    <r>
      <t xml:space="preserve">prostate cancer deaths (per 1,000 PY);
</t>
    </r>
    <r>
      <rPr>
        <b/>
        <sz val="10"/>
        <color rgb="FF00B050"/>
        <rFont val="Calibri"/>
        <family val="2"/>
        <scheme val="minor"/>
      </rPr>
      <t xml:space="preserve">Switzerland;
all ages;
</t>
    </r>
    <r>
      <rPr>
        <sz val="10"/>
        <color rgb="FF00B050"/>
        <rFont val="Calibri"/>
        <family val="2"/>
        <scheme val="minor"/>
      </rPr>
      <t>study years 1-11</t>
    </r>
  </si>
  <si>
    <t>Schroder, 2014</t>
  </si>
  <si>
    <r>
      <t xml:space="preserve">prostate cancer deaths (per 1,000 PY);
</t>
    </r>
    <r>
      <rPr>
        <b/>
        <sz val="10"/>
        <color rgb="FF00B050"/>
        <rFont val="Calibri"/>
        <family val="2"/>
        <scheme val="minor"/>
      </rPr>
      <t xml:space="preserve">whole trial (excluding France);
age 55-69 years;
</t>
    </r>
    <r>
      <rPr>
        <sz val="10"/>
        <color rgb="FF00B050"/>
        <rFont val="Calibri"/>
        <family val="2"/>
        <scheme val="minor"/>
      </rPr>
      <t>years 1-9</t>
    </r>
  </si>
  <si>
    <t>PCa deaths ascertained by local, independent, causes of death committees evaluating all deaths in men diagnosed with PCa and/or PCa as a cause of death in the death certificate, blinded to trial arm and following the same algorithm in all centers. If consensus was not reached, the international causes of death committee was consulted. Of the evaluated deaths, those classified as ‘definitely PCa’ and ‘probably PCa’ and intervention related deaths were used as the outcome events in the analysis.</t>
  </si>
  <si>
    <t>death, emigration, or a uniform censoring date (December 31, 2010 or 9 years of FU)</t>
  </si>
  <si>
    <t>Whole trial, excluding France, 55-69 years</t>
  </si>
  <si>
    <t>614,590 PY</t>
  </si>
  <si>
    <t>751,777 PY</t>
  </si>
  <si>
    <r>
      <t xml:space="preserve">Prostate cancer deaths (definite and probable prostate cancer deaths and deaths associated with prostate-cancer–related interventions); </t>
    </r>
    <r>
      <rPr>
        <b/>
        <sz val="10"/>
        <color rgb="FF00B050"/>
        <rFont val="Calibri"/>
        <family val="2"/>
        <scheme val="minor"/>
      </rPr>
      <t>in men aged 55-69 years; years 1-9</t>
    </r>
  </si>
  <si>
    <t>Table 2b</t>
  </si>
  <si>
    <r>
      <t xml:space="preserve">prostate cancer deaths (per 1,000 PY);
</t>
    </r>
    <r>
      <rPr>
        <b/>
        <sz val="10"/>
        <color rgb="FF00B050"/>
        <rFont val="Calibri"/>
        <family val="2"/>
        <scheme val="minor"/>
      </rPr>
      <t xml:space="preserve">whole trial (excluding France);
age 55-69 years;
</t>
    </r>
    <r>
      <rPr>
        <sz val="10"/>
        <color rgb="FF00B050"/>
        <rFont val="Calibri"/>
        <family val="2"/>
        <scheme val="minor"/>
      </rPr>
      <t>years 1-11</t>
    </r>
  </si>
  <si>
    <t>death, emigration, or a uniform censoring date (December 31, 2010 or 11 years of FU)</t>
  </si>
  <si>
    <t>732,133 PY</t>
  </si>
  <si>
    <t>896,367 PY</t>
  </si>
  <si>
    <r>
      <t xml:space="preserve">Prostate cancer deaths (definite and probable prostate cancer deaths and deaths associated with prostate-cancer–related interventions); </t>
    </r>
    <r>
      <rPr>
        <b/>
        <sz val="10"/>
        <color rgb="FF00B050"/>
        <rFont val="Calibri"/>
        <family val="2"/>
        <scheme val="minor"/>
      </rPr>
      <t>in men aged 55-69 years; years 1-11</t>
    </r>
  </si>
  <si>
    <t>Table 2b and text: A similar RR of 0.78 (95% CI 0.66–0.91, p=0.002) was seen after 11 years.</t>
  </si>
  <si>
    <r>
      <t xml:space="preserve">prostate cancer deaths (per 1,000 PY);
</t>
    </r>
    <r>
      <rPr>
        <b/>
        <sz val="10"/>
        <color rgb="FF00B050"/>
        <rFont val="Calibri"/>
        <family val="2"/>
        <scheme val="minor"/>
      </rPr>
      <t xml:space="preserve">whole trial (excluding France);
age 55-69 years;
</t>
    </r>
    <r>
      <rPr>
        <sz val="10"/>
        <color rgb="FF00B050"/>
        <rFont val="Calibri"/>
        <family val="2"/>
        <scheme val="minor"/>
      </rPr>
      <t>years 1-13</t>
    </r>
  </si>
  <si>
    <t>death, emigration, or a uniform censoring date (December 31, 2010 or 13 years of FU)</t>
  </si>
  <si>
    <t>825,018 PY</t>
  </si>
  <si>
    <t>1,011,192 PY</t>
  </si>
  <si>
    <r>
      <t xml:space="preserve">Prostate cancer deaths (definite and probable prostate cancer deaths and deaths associated with prostate-cancer–related interventions); </t>
    </r>
    <r>
      <rPr>
        <b/>
        <sz val="10"/>
        <color rgb="FF00B050"/>
        <rFont val="Calibri"/>
        <family val="2"/>
        <scheme val="minor"/>
      </rPr>
      <t>in men aged 55-69 years; years 1-13</t>
    </r>
  </si>
  <si>
    <t>Table 2b and text: With follow-up truncated at 13 years, PCa mortality was 0.43 per 1,000 person-years in the intervention arm and 0.54 per 1,000 person-years in the control arm translating into a RR of 0.79 (95% CI 0.69–0.91, p=0.001), or a relative risk reduction of 21% in men randomized to screening</t>
  </si>
  <si>
    <r>
      <t xml:space="preserve">prostate cancer deaths (per 1,000 PY);
</t>
    </r>
    <r>
      <rPr>
        <b/>
        <sz val="10"/>
        <color rgb="FF00B050"/>
        <rFont val="Calibri"/>
        <family val="2"/>
        <scheme val="minor"/>
      </rPr>
      <t xml:space="preserve">whole trial (including France);
all ages;
</t>
    </r>
    <r>
      <rPr>
        <sz val="10"/>
        <color rgb="FF00B050"/>
        <rFont val="Calibri"/>
        <family val="2"/>
        <scheme val="minor"/>
      </rPr>
      <t>years 1-9</t>
    </r>
  </si>
  <si>
    <r>
      <t xml:space="preserve">Prostate cancer deaths (definite and probable prostate cancer deaths and deaths associated with prostate-cancer–related interventions); </t>
    </r>
    <r>
      <rPr>
        <b/>
        <sz val="10"/>
        <color rgb="FF00B050"/>
        <rFont val="Calibri"/>
        <family val="2"/>
        <scheme val="minor"/>
      </rPr>
      <t>in  years 1-9</t>
    </r>
  </si>
  <si>
    <t>Appendix Table 2b</t>
  </si>
  <si>
    <r>
      <t xml:space="preserve">prostate cancer deaths (per 1,000 PY);
</t>
    </r>
    <r>
      <rPr>
        <b/>
        <sz val="10"/>
        <color rgb="FF00B050"/>
        <rFont val="Calibri"/>
        <family val="2"/>
        <scheme val="minor"/>
      </rPr>
      <t xml:space="preserve">whole trial (excluding France);
all ages;
</t>
    </r>
    <r>
      <rPr>
        <sz val="10"/>
        <color rgb="FF00B050"/>
        <rFont val="Calibri"/>
        <family val="2"/>
        <scheme val="minor"/>
      </rPr>
      <t>years 1-11</t>
    </r>
  </si>
  <si>
    <t>Excluding France</t>
  </si>
  <si>
    <r>
      <t xml:space="preserve">Prostate cancer deaths (definite and probable prostate cancer deaths and deaths associated with prostate-cancer–related interventions); </t>
    </r>
    <r>
      <rPr>
        <b/>
        <sz val="10"/>
        <color rgb="FF00B050"/>
        <rFont val="Calibri"/>
        <family val="2"/>
        <scheme val="minor"/>
      </rPr>
      <t>in  years 1-11</t>
    </r>
  </si>
  <si>
    <r>
      <t xml:space="preserve">prostate cancer deaths (per 1,000 PY);
</t>
    </r>
    <r>
      <rPr>
        <b/>
        <sz val="10"/>
        <color rgb="FF00B050"/>
        <rFont val="Calibri"/>
        <family val="2"/>
        <scheme val="minor"/>
      </rPr>
      <t xml:space="preserve">whole trial (excluding France);
all ages;
</t>
    </r>
    <r>
      <rPr>
        <sz val="10"/>
        <color rgb="FF00B050"/>
        <rFont val="Calibri"/>
        <family val="2"/>
        <scheme val="minor"/>
      </rPr>
      <t>up to 31/12/2010 (truncated at 13 years)</t>
    </r>
  </si>
  <si>
    <t>December 31, 2010</t>
  </si>
  <si>
    <t>935,185 PY</t>
  </si>
  <si>
    <t>1,120,432 PY</t>
  </si>
  <si>
    <r>
      <t xml:space="preserve">Prostate cancer deaths (definite and probable prostate cancer deaths and deaths associated with prostate-cancer–related interventions) </t>
    </r>
    <r>
      <rPr>
        <b/>
        <sz val="10"/>
        <color rgb="FF00B050"/>
        <rFont val="Calibri"/>
        <family val="2"/>
        <scheme val="minor"/>
      </rPr>
      <t>in men of all ages</t>
    </r>
  </si>
  <si>
    <t>Table 4 and text: In addition to the core age group, a significant reduction in PCa mortality was found for all 181,999 men aged 50–74 years at entry (excluding France), with a rate ratio 0.83 (95% CI 0.73–0.94, p=0.004)</t>
  </si>
  <si>
    <r>
      <t>All deaths from any cause (per 1,000 PY);
whole trial excluding France;</t>
    </r>
    <r>
      <rPr>
        <b/>
        <sz val="10"/>
        <color rgb="FF00B050"/>
        <rFont val="Calibri"/>
        <family val="2"/>
        <scheme val="minor"/>
      </rPr>
      <t xml:space="preserve"> age group 55-69 years;</t>
    </r>
    <r>
      <rPr>
        <sz val="10"/>
        <color rgb="FF00B050"/>
        <rFont val="Calibri"/>
        <family val="2"/>
        <scheme val="minor"/>
      </rPr>
      <t xml:space="preserve">
up to 31/12/2010 (truncated at 13 years)</t>
    </r>
  </si>
  <si>
    <t>death, emigration, or a uniform censoring date (December 31, 2010 truncated at 13 years of FU)</t>
  </si>
  <si>
    <t>Deaths from any cause, men aged 55-69 years; up to 31/12/2010 or 13 years of FU</t>
  </si>
  <si>
    <t>Table 4 and text: As shown in table 4, all-cause mortality did not differ between the two trial arms (18.6 and 18.9 per 1,000 person-years in the core age group, RR 1.00 (95%CI 0.98–1.02, p=0.82)).</t>
  </si>
  <si>
    <r>
      <t xml:space="preserve">All deaths from any cause (per 1,000 PY);
whole trial excluding France; </t>
    </r>
    <r>
      <rPr>
        <b/>
        <sz val="10"/>
        <color rgb="FF00B050"/>
        <rFont val="Calibri"/>
        <family val="2"/>
        <scheme val="minor"/>
      </rPr>
      <t>all ages;</t>
    </r>
    <r>
      <rPr>
        <sz val="10"/>
        <color rgb="FF00B050"/>
        <rFont val="Calibri"/>
        <family val="2"/>
        <scheme val="minor"/>
      </rPr>
      <t xml:space="preserve">
up to 31/12/2010 (truncated at 13 years)</t>
    </r>
  </si>
  <si>
    <t>Whole trial, excluding France</t>
  </si>
  <si>
    <t>Deaths from any cause;  men of all ages; up to 31/12/2010 or 13 years of FU</t>
  </si>
  <si>
    <r>
      <t xml:space="preserve">prostate cancer deaths (per 1,000 PY);
</t>
    </r>
    <r>
      <rPr>
        <b/>
        <sz val="10"/>
        <color rgb="FF00B050"/>
        <rFont val="Calibri"/>
        <family val="2"/>
        <scheme val="minor"/>
      </rPr>
      <t xml:space="preserve">whole trial (excluding France);
men </t>
    </r>
    <r>
      <rPr>
        <b/>
        <sz val="10"/>
        <color rgb="FF00B050"/>
        <rFont val="Calibri"/>
        <family val="2"/>
      </rPr>
      <t>≤</t>
    </r>
    <r>
      <rPr>
        <b/>
        <sz val="9.8000000000000007"/>
        <color rgb="FF00B050"/>
        <rFont val="Calibri"/>
        <family val="2"/>
      </rPr>
      <t>54 years</t>
    </r>
    <r>
      <rPr>
        <b/>
        <sz val="10"/>
        <color rgb="FF00B050"/>
        <rFont val="Calibri"/>
        <family val="2"/>
        <scheme val="minor"/>
      </rPr>
      <t xml:space="preserve">;
</t>
    </r>
    <r>
      <rPr>
        <sz val="10"/>
        <color rgb="FF00B050"/>
        <rFont val="Calibri"/>
        <family val="2"/>
        <scheme val="minor"/>
      </rPr>
      <t>up to 31/12/2010 (truncated at 13 years)</t>
    </r>
  </si>
  <si>
    <t>Excluding France;
≤54 years</t>
  </si>
  <si>
    <t>64,265 PY</t>
  </si>
  <si>
    <t>62,312 PY</t>
  </si>
  <si>
    <r>
      <t xml:space="preserve">Prostate cancer deaths (definite and probable prostate cancer deaths and deaths associated with prostate-cancer–related interventions) </t>
    </r>
    <r>
      <rPr>
        <b/>
        <sz val="10"/>
        <color rgb="FF00B050"/>
        <rFont val="Calibri"/>
        <family val="2"/>
        <scheme val="minor"/>
      </rPr>
      <t>in men ≤54 years</t>
    </r>
  </si>
  <si>
    <r>
      <t xml:space="preserve">prostate cancer deaths (per 1,000 PY);
</t>
    </r>
    <r>
      <rPr>
        <b/>
        <sz val="10"/>
        <color rgb="FF00B050"/>
        <rFont val="Calibri"/>
        <family val="2"/>
        <scheme val="minor"/>
      </rPr>
      <t>whole trial (excluding France);
men 55-59</t>
    </r>
    <r>
      <rPr>
        <b/>
        <sz val="9.8000000000000007"/>
        <color rgb="FF00B050"/>
        <rFont val="Calibri"/>
        <family val="2"/>
      </rPr>
      <t xml:space="preserve"> years</t>
    </r>
    <r>
      <rPr>
        <b/>
        <sz val="10"/>
        <color rgb="FF00B050"/>
        <rFont val="Calibri"/>
        <family val="2"/>
        <scheme val="minor"/>
      </rPr>
      <t xml:space="preserve">;
</t>
    </r>
    <r>
      <rPr>
        <sz val="10"/>
        <color rgb="FF00B050"/>
        <rFont val="Calibri"/>
        <family val="2"/>
        <scheme val="minor"/>
      </rPr>
      <t>up to 31/12/2010 (truncated at 13 years)</t>
    </r>
  </si>
  <si>
    <t>411,834 PY</t>
  </si>
  <si>
    <t>524,314 PY</t>
  </si>
  <si>
    <r>
      <t xml:space="preserve">Prostate cancer deaths (definite and probable prostate cancer deaths and deaths associated with prostate-cancer–related interventions) </t>
    </r>
    <r>
      <rPr>
        <b/>
        <sz val="10"/>
        <color rgb="FF00B050"/>
        <rFont val="Calibri"/>
        <family val="2"/>
        <scheme val="minor"/>
      </rPr>
      <t>in men 55-59 years</t>
    </r>
  </si>
  <si>
    <r>
      <t xml:space="preserve">prostate cancer deaths (per 1,000 PY);
</t>
    </r>
    <r>
      <rPr>
        <b/>
        <sz val="10"/>
        <color rgb="FF00B050"/>
        <rFont val="Calibri"/>
        <family val="2"/>
        <scheme val="minor"/>
      </rPr>
      <t>whole trial (excluding France);
men 60-64</t>
    </r>
    <r>
      <rPr>
        <b/>
        <sz val="9.8000000000000007"/>
        <color rgb="FF00B050"/>
        <rFont val="Calibri"/>
        <family val="2"/>
      </rPr>
      <t xml:space="preserve"> years</t>
    </r>
    <r>
      <rPr>
        <b/>
        <sz val="10"/>
        <color rgb="FF00B050"/>
        <rFont val="Calibri"/>
        <family val="2"/>
        <scheme val="minor"/>
      </rPr>
      <t xml:space="preserve">;
</t>
    </r>
    <r>
      <rPr>
        <sz val="10"/>
        <color rgb="FF00B050"/>
        <rFont val="Calibri"/>
        <family val="2"/>
        <scheme val="minor"/>
      </rPr>
      <t>up to 31/12/2010 (truncated at 13 years)</t>
    </r>
  </si>
  <si>
    <t>240,895 PY</t>
  </si>
  <si>
    <t>280,404 PY</t>
  </si>
  <si>
    <r>
      <t xml:space="preserve">Prostate cancer deaths (definite and probable prostate cancer deaths and deaths associated with prostate-cancer–related interventions) </t>
    </r>
    <r>
      <rPr>
        <b/>
        <sz val="10"/>
        <color rgb="FF00B050"/>
        <rFont val="Calibri"/>
        <family val="2"/>
        <scheme val="minor"/>
      </rPr>
      <t>in men 60-64 years</t>
    </r>
  </si>
  <si>
    <r>
      <t xml:space="preserve">prostate cancer deaths (per 1,000 PY);
</t>
    </r>
    <r>
      <rPr>
        <b/>
        <sz val="10"/>
        <color rgb="FF00B050"/>
        <rFont val="Calibri"/>
        <family val="2"/>
        <scheme val="minor"/>
      </rPr>
      <t>whole trial (excluding France);
men 65-69</t>
    </r>
    <r>
      <rPr>
        <b/>
        <sz val="9.8000000000000007"/>
        <color rgb="FF00B050"/>
        <rFont val="Calibri"/>
        <family val="2"/>
      </rPr>
      <t xml:space="preserve"> years</t>
    </r>
    <r>
      <rPr>
        <b/>
        <sz val="10"/>
        <color rgb="FF00B050"/>
        <rFont val="Calibri"/>
        <family val="2"/>
        <scheme val="minor"/>
      </rPr>
      <t xml:space="preserve">;
</t>
    </r>
    <r>
      <rPr>
        <sz val="10"/>
        <color rgb="FF00B050"/>
        <rFont val="Calibri"/>
        <family val="2"/>
        <scheme val="minor"/>
      </rPr>
      <t>up to 31/12/2010 (truncated at 13 years)</t>
    </r>
  </si>
  <si>
    <t>172,289 PY</t>
  </si>
  <si>
    <t>206,474 PY</t>
  </si>
  <si>
    <r>
      <t xml:space="preserve">Prostate cancer deaths (definite and probable prostate cancer deaths and deaths associated with prostate-cancer–related interventions) </t>
    </r>
    <r>
      <rPr>
        <b/>
        <sz val="10"/>
        <color rgb="FF00B050"/>
        <rFont val="Calibri"/>
        <family val="2"/>
        <scheme val="minor"/>
      </rPr>
      <t>in men 65-69 years</t>
    </r>
  </si>
  <si>
    <r>
      <t xml:space="preserve">prostate cancer deaths (per 1,000 PY);
</t>
    </r>
    <r>
      <rPr>
        <b/>
        <sz val="10"/>
        <color rgb="FF00B050"/>
        <rFont val="Calibri"/>
        <family val="2"/>
        <scheme val="minor"/>
      </rPr>
      <t>whole trial (excluding France);
men 70+</t>
    </r>
    <r>
      <rPr>
        <b/>
        <sz val="9.8000000000000007"/>
        <color rgb="FF00B050"/>
        <rFont val="Calibri"/>
        <family val="2"/>
      </rPr>
      <t xml:space="preserve"> years</t>
    </r>
    <r>
      <rPr>
        <b/>
        <sz val="10"/>
        <color rgb="FF00B050"/>
        <rFont val="Calibri"/>
        <family val="2"/>
        <scheme val="minor"/>
      </rPr>
      <t xml:space="preserve">;
</t>
    </r>
    <r>
      <rPr>
        <sz val="10"/>
        <color rgb="FF00B050"/>
        <rFont val="Calibri"/>
        <family val="2"/>
        <scheme val="minor"/>
      </rPr>
      <t>up to 31/12/2010 (truncated at 13 years)</t>
    </r>
  </si>
  <si>
    <t>Excluding France;
70+ years</t>
  </si>
  <si>
    <t>45,903 PY</t>
  </si>
  <si>
    <t>46,928 PY</t>
  </si>
  <si>
    <r>
      <t xml:space="preserve">Prostate cancer deaths (definite and probable prostate cancer deaths and deaths associated with prostate-cancer–related interventions) </t>
    </r>
    <r>
      <rPr>
        <b/>
        <sz val="10"/>
        <color rgb="FF00B050"/>
        <rFont val="Calibri"/>
        <family val="2"/>
        <scheme val="minor"/>
      </rPr>
      <t>in men 70+ years</t>
    </r>
  </si>
  <si>
    <r>
      <t xml:space="preserve">prostate cancer deaths (per 1,000 PY);
</t>
    </r>
    <r>
      <rPr>
        <b/>
        <sz val="10"/>
        <color rgb="FF00B050"/>
        <rFont val="Calibri"/>
        <family val="2"/>
        <scheme val="minor"/>
      </rPr>
      <t>Netherlands; age group 55-69 years;</t>
    </r>
    <r>
      <rPr>
        <sz val="10"/>
        <color rgb="FF00B050"/>
        <rFont val="Calibri"/>
        <family val="2"/>
        <scheme val="minor"/>
      </rPr>
      <t xml:space="preserve">
13 years of FU</t>
    </r>
  </si>
  <si>
    <t>199958 PY</t>
  </si>
  <si>
    <t>199165 PY</t>
  </si>
  <si>
    <r>
      <t xml:space="preserve">Prostate cancer deaths (definite and probable prostate cancer deaths and deaths associated with prostate-cancer–related interventions) </t>
    </r>
    <r>
      <rPr>
        <b/>
        <sz val="10"/>
        <color rgb="FF00B050"/>
        <rFont val="Calibri"/>
        <family val="2"/>
        <scheme val="minor"/>
      </rPr>
      <t>in men aged 55-69 years; up to 13 years of FU</t>
    </r>
  </si>
  <si>
    <t>Table 4A in supplementary appendix and text: An analysis of PCa mortality in the intervention and control arms in the core age group of individual centers shows significant RR’s only for Sweden (RR 0.62) and the Netherlands (RR 0.67) (appendix table 4).</t>
  </si>
  <si>
    <r>
      <t xml:space="preserve">prostate cancer deaths (per 1,000 PY);
</t>
    </r>
    <r>
      <rPr>
        <b/>
        <sz val="10"/>
        <color rgb="FF00B050"/>
        <rFont val="Calibri"/>
        <family val="2"/>
        <scheme val="minor"/>
      </rPr>
      <t>Belgium; age group 55-69 years;</t>
    </r>
    <r>
      <rPr>
        <sz val="10"/>
        <color rgb="FF00B050"/>
        <rFont val="Calibri"/>
        <family val="2"/>
        <scheme val="minor"/>
      </rPr>
      <t xml:space="preserve">
13 years of FU</t>
    </r>
  </si>
  <si>
    <t>46939 PY</t>
  </si>
  <si>
    <t>45932 PY</t>
  </si>
  <si>
    <t xml:space="preserve">Table 4A in supplementary appendix </t>
  </si>
  <si>
    <r>
      <t xml:space="preserve">prostate cancer deaths (per 1,000 PY);
</t>
    </r>
    <r>
      <rPr>
        <b/>
        <sz val="10"/>
        <color rgb="FF00B050"/>
        <rFont val="Calibri"/>
        <family val="2"/>
        <scheme val="minor"/>
      </rPr>
      <t>Sweden; age group 55-69 years;</t>
    </r>
    <r>
      <rPr>
        <sz val="10"/>
        <color rgb="FF00B050"/>
        <rFont val="Calibri"/>
        <family val="2"/>
        <scheme val="minor"/>
      </rPr>
      <t xml:space="preserve">
13 years of FU</t>
    </r>
  </si>
  <si>
    <t>69152 PY</t>
  </si>
  <si>
    <t>69498 PY</t>
  </si>
  <si>
    <r>
      <t xml:space="preserve">prostate cancer deaths (per 1,000 PY);
</t>
    </r>
    <r>
      <rPr>
        <b/>
        <sz val="10"/>
        <color rgb="FF00B050"/>
        <rFont val="Calibri"/>
        <family val="2"/>
        <scheme val="minor"/>
      </rPr>
      <t>Finland; age group 55-69 years;</t>
    </r>
    <r>
      <rPr>
        <sz val="10"/>
        <color rgb="FF00B050"/>
        <rFont val="Calibri"/>
        <family val="2"/>
        <scheme val="minor"/>
      </rPr>
      <t xml:space="preserve">
13 years of FU</t>
    </r>
  </si>
  <si>
    <t>365529 PY</t>
  </si>
  <si>
    <t>553046 PY</t>
  </si>
  <si>
    <r>
      <t xml:space="preserve">prostate cancer deaths (per 1,000 PY);
</t>
    </r>
    <r>
      <rPr>
        <b/>
        <sz val="10"/>
        <color rgb="FF00B050"/>
        <rFont val="Calibri"/>
        <family val="2"/>
        <scheme val="minor"/>
      </rPr>
      <t>Italy; age group 55-69 years;</t>
    </r>
    <r>
      <rPr>
        <sz val="10"/>
        <color rgb="FF00B050"/>
        <rFont val="Calibri"/>
        <family val="2"/>
        <scheme val="minor"/>
      </rPr>
      <t xml:space="preserve">
13 years of FU</t>
    </r>
  </si>
  <si>
    <t>82457 PY</t>
  </si>
  <si>
    <t>81715 PY</t>
  </si>
  <si>
    <r>
      <t xml:space="preserve">prostate cancer deaths (per 1,000 PY);
</t>
    </r>
    <r>
      <rPr>
        <b/>
        <sz val="10"/>
        <color rgb="FF00B050"/>
        <rFont val="Calibri"/>
        <family val="2"/>
        <scheme val="minor"/>
      </rPr>
      <t>Spain; age group 55-69 years;</t>
    </r>
    <r>
      <rPr>
        <sz val="10"/>
        <color rgb="FF00B050"/>
        <rFont val="Calibri"/>
        <family val="2"/>
        <scheme val="minor"/>
      </rPr>
      <t xml:space="preserve">
13 years of FU</t>
    </r>
  </si>
  <si>
    <t>12594 PY</t>
  </si>
  <si>
    <t>13583 PY</t>
  </si>
  <si>
    <r>
      <t xml:space="preserve">prostate cancer deaths (per 1,000 PY);
</t>
    </r>
    <r>
      <rPr>
        <b/>
        <sz val="10"/>
        <color rgb="FF00B050"/>
        <rFont val="Calibri"/>
        <family val="2"/>
        <scheme val="minor"/>
      </rPr>
      <t>Switzerland; age group 55-69 years;</t>
    </r>
    <r>
      <rPr>
        <sz val="10"/>
        <color rgb="FF00B050"/>
        <rFont val="Calibri"/>
        <family val="2"/>
        <scheme val="minor"/>
      </rPr>
      <t xml:space="preserve">
13 years of FU</t>
    </r>
  </si>
  <si>
    <t>48388 PY</t>
  </si>
  <si>
    <t>48253 PY</t>
  </si>
  <si>
    <t>Hugosson, 2019</t>
  </si>
  <si>
    <t xml:space="preserve">prostate cancer deaths (per 1,000 PY); excluding France;
age group 55-69 years;
years 1-16
</t>
  </si>
  <si>
    <t>For deceased men with PCa, medical records were evaluated by a cause of death (COD) committee using a standardised flow-chart to establish the COD, masked regarding the randomisation arm. Official CODs were used in Finland since 2003 after demonstrating a very high concordance with that obtained by the local COD committee.</t>
  </si>
  <si>
    <t>death, emigration, or a uniform censoring date (December 31, 2014 or 16 years of FU)</t>
  </si>
  <si>
    <t>December 31, 2014</t>
  </si>
  <si>
    <t>985,382 PY</t>
  </si>
  <si>
    <t>1,207,411 PY</t>
  </si>
  <si>
    <t>Prostate cancer deaths; years 1-16</t>
  </si>
  <si>
    <t>Rate ratios (RRs; ratio of incidence per person year),..., and the corresponding differences were calculated using Poisson regression analysis, with the control arm for Finland weighted by 1:1.5 due to unequal allocation (agreed upon when Finland joined the trial).</t>
  </si>
  <si>
    <t>Table 3 and text: The RR of PCa mortality between the arms was 0.80 at 16 yr (95% CI 0.72–0.89, p &lt; 0.001).</t>
  </si>
  <si>
    <t xml:space="preserve">prostate cancer deaths (per 1,000 PY); excluding France;
age group 55-69 years;
years 1-13
</t>
  </si>
  <si>
    <t>death, emigration, or a uniform censoring date (13 years of FU)</t>
  </si>
  <si>
    <t>848,802 PY</t>
  </si>
  <si>
    <t>1,038,723 PY</t>
  </si>
  <si>
    <t>Prostate cancer deaths; years 1-13</t>
  </si>
  <si>
    <t xml:space="preserve">prostate cancer deaths (per 1,000 PY); excluding France;
age group 55-69 years;
years 1-11
</t>
  </si>
  <si>
    <t>death, emigration, or a uniform censoring date (11 years of FU)</t>
  </si>
  <si>
    <t>735,205 PY</t>
  </si>
  <si>
    <t>899,370 PY</t>
  </si>
  <si>
    <t>Prostate cancer deaths; years 1-11</t>
  </si>
  <si>
    <t xml:space="preserve">prostate cancer deaths (per 1,000 PY); excluding France;
age group 55-69 years;
years 1-9
</t>
  </si>
  <si>
    <t>death, emigration, or a uniform censoring date (9 years of FU)</t>
  </si>
  <si>
    <t>612,723 PY</t>
  </si>
  <si>
    <t>749,801 PY</t>
  </si>
  <si>
    <t>Prostate cancer deaths; years 1-9</t>
  </si>
  <si>
    <r>
      <t xml:space="preserve">prostate cancer deaths (per 1,000 PY); excluding France;
</t>
    </r>
    <r>
      <rPr>
        <b/>
        <sz val="10"/>
        <color rgb="FF00B050"/>
        <rFont val="Calibri"/>
        <family val="2"/>
        <scheme val="minor"/>
      </rPr>
      <t>all ages;</t>
    </r>
    <r>
      <rPr>
        <sz val="10"/>
        <color rgb="FF00B050"/>
        <rFont val="Calibri"/>
        <family val="2"/>
        <scheme val="minor"/>
      </rPr>
      <t xml:space="preserve">
years 1-16
</t>
    </r>
  </si>
  <si>
    <t>1,115,179 PY</t>
  </si>
  <si>
    <t>1,336,046 PY</t>
  </si>
  <si>
    <r>
      <t xml:space="preserve">prostate cancer deaths (per 1,000 PY); excluding France;
</t>
    </r>
    <r>
      <rPr>
        <b/>
        <sz val="10"/>
        <color rgb="FF00B050"/>
        <rFont val="Calibri"/>
        <family val="2"/>
        <scheme val="minor"/>
      </rPr>
      <t xml:space="preserve">men </t>
    </r>
    <r>
      <rPr>
        <b/>
        <sz val="10"/>
        <color rgb="FF00B050"/>
        <rFont val="Calibri"/>
        <family val="2"/>
      </rPr>
      <t>≤</t>
    </r>
    <r>
      <rPr>
        <b/>
        <sz val="9.3000000000000007"/>
        <color rgb="FF00B050"/>
        <rFont val="Calibri"/>
        <family val="2"/>
      </rPr>
      <t>54 years</t>
    </r>
    <r>
      <rPr>
        <b/>
        <sz val="10"/>
        <color rgb="FF00B050"/>
        <rFont val="Calibri"/>
        <family val="2"/>
        <scheme val="minor"/>
      </rPr>
      <t>;</t>
    </r>
    <r>
      <rPr>
        <sz val="10"/>
        <color rgb="FF00B050"/>
        <rFont val="Calibri"/>
        <family val="2"/>
        <scheme val="minor"/>
      </rPr>
      <t xml:space="preserve">
years 1-16
</t>
    </r>
  </si>
  <si>
    <t>Whole trial, excluding France, 
&lt;=54 years</t>
  </si>
  <si>
    <t>78,103 PY</t>
  </si>
  <si>
    <t>75,684 PY</t>
  </si>
  <si>
    <r>
      <t xml:space="preserve">prostate cancer deaths (per 1,000 PY); excluding France;
</t>
    </r>
    <r>
      <rPr>
        <b/>
        <sz val="10"/>
        <color rgb="FF00B050"/>
        <rFont val="Calibri"/>
        <family val="2"/>
        <scheme val="minor"/>
      </rPr>
      <t xml:space="preserve">men </t>
    </r>
    <r>
      <rPr>
        <b/>
        <sz val="9.3000000000000007"/>
        <color rgb="FF00B050"/>
        <rFont val="Calibri"/>
        <family val="2"/>
      </rPr>
      <t>55-59 years</t>
    </r>
    <r>
      <rPr>
        <b/>
        <sz val="10"/>
        <color rgb="FF00B050"/>
        <rFont val="Calibri"/>
        <family val="2"/>
        <scheme val="minor"/>
      </rPr>
      <t>;</t>
    </r>
    <r>
      <rPr>
        <sz val="10"/>
        <color rgb="FF00B050"/>
        <rFont val="Calibri"/>
        <family val="2"/>
        <scheme val="minor"/>
      </rPr>
      <t xml:space="preserve">
years 1-16
</t>
    </r>
  </si>
  <si>
    <t>Whole trial, excluding France, 
55-59 years</t>
  </si>
  <si>
    <t>498,452 PY</t>
  </si>
  <si>
    <t>633,581PY</t>
  </si>
  <si>
    <r>
      <t xml:space="preserve">prostate cancer deaths (per 1,000 PY); excluding France;
</t>
    </r>
    <r>
      <rPr>
        <b/>
        <sz val="10"/>
        <color rgb="FF00B050"/>
        <rFont val="Calibri"/>
        <family val="2"/>
        <scheme val="minor"/>
      </rPr>
      <t>men 60-64</t>
    </r>
    <r>
      <rPr>
        <b/>
        <sz val="9.3000000000000007"/>
        <color rgb="FF00B050"/>
        <rFont val="Calibri"/>
        <family val="2"/>
      </rPr>
      <t xml:space="preserve"> years</t>
    </r>
    <r>
      <rPr>
        <b/>
        <sz val="10"/>
        <color rgb="FF00B050"/>
        <rFont val="Calibri"/>
        <family val="2"/>
        <scheme val="minor"/>
      </rPr>
      <t>;</t>
    </r>
    <r>
      <rPr>
        <sz val="10"/>
        <color rgb="FF00B050"/>
        <rFont val="Calibri"/>
        <family val="2"/>
        <scheme val="minor"/>
      </rPr>
      <t xml:space="preserve">
years 1-16
</t>
    </r>
  </si>
  <si>
    <t>Whole trial, excluding France,
60-64 years</t>
  </si>
  <si>
    <t>286,709 PY</t>
  </si>
  <si>
    <t>334,022 PY</t>
  </si>
  <si>
    <r>
      <t xml:space="preserve">prostate cancer deaths (per 1,000 PY); excluding France;
</t>
    </r>
    <r>
      <rPr>
        <b/>
        <sz val="10"/>
        <color rgb="FF00B050"/>
        <rFont val="Calibri"/>
        <family val="2"/>
        <scheme val="minor"/>
      </rPr>
      <t>men 65-69</t>
    </r>
    <r>
      <rPr>
        <b/>
        <sz val="9.3000000000000007"/>
        <color rgb="FF00B050"/>
        <rFont val="Calibri"/>
        <family val="2"/>
      </rPr>
      <t xml:space="preserve"> years</t>
    </r>
    <r>
      <rPr>
        <b/>
        <sz val="10"/>
        <color rgb="FF00B050"/>
        <rFont val="Calibri"/>
        <family val="2"/>
        <scheme val="minor"/>
      </rPr>
      <t>;</t>
    </r>
    <r>
      <rPr>
        <sz val="10"/>
        <color rgb="FF00B050"/>
        <rFont val="Calibri"/>
        <family val="2"/>
        <scheme val="minor"/>
      </rPr>
      <t xml:space="preserve">
years 1-16
</t>
    </r>
  </si>
  <si>
    <t>Whole trial, excluding France, 
65-69 years</t>
  </si>
  <si>
    <t>200,221 PY</t>
  </si>
  <si>
    <t>239,808 PY</t>
  </si>
  <si>
    <r>
      <t xml:space="preserve">prostate cancer deaths (per 1,000 PY); excluding France;
</t>
    </r>
    <r>
      <rPr>
        <b/>
        <sz val="10"/>
        <color rgb="FF00B050"/>
        <rFont val="Calibri"/>
        <family val="2"/>
        <scheme val="minor"/>
      </rPr>
      <t>men 70+</t>
    </r>
    <r>
      <rPr>
        <b/>
        <sz val="9.3000000000000007"/>
        <color rgb="FF00B050"/>
        <rFont val="Calibri"/>
        <family val="2"/>
      </rPr>
      <t xml:space="preserve"> years</t>
    </r>
    <r>
      <rPr>
        <b/>
        <sz val="10"/>
        <color rgb="FF00B050"/>
        <rFont val="Calibri"/>
        <family val="2"/>
        <scheme val="minor"/>
      </rPr>
      <t>;</t>
    </r>
    <r>
      <rPr>
        <sz val="10"/>
        <color rgb="FF00B050"/>
        <rFont val="Calibri"/>
        <family val="2"/>
        <scheme val="minor"/>
      </rPr>
      <t xml:space="preserve">
years 1-16
</t>
    </r>
  </si>
  <si>
    <t>Whole trial, excluding France, 
70+ years</t>
  </si>
  <si>
    <t>51,694 PY</t>
  </si>
  <si>
    <t>52,952 PY</t>
  </si>
  <si>
    <r>
      <t xml:space="preserve">All deaths from any cause (per 1,000 PY);
excluding France;
</t>
    </r>
    <r>
      <rPr>
        <b/>
        <sz val="10"/>
        <color rgb="FF00B050"/>
        <rFont val="Calibri"/>
        <family val="2"/>
        <scheme val="minor"/>
      </rPr>
      <t>age 55-69 years;</t>
    </r>
    <r>
      <rPr>
        <sz val="10"/>
        <color rgb="FF00B050"/>
        <rFont val="Calibri"/>
        <family val="2"/>
        <scheme val="minor"/>
      </rPr>
      <t xml:space="preserve">
years 1-16</t>
    </r>
  </si>
  <si>
    <t>Whole trial, excluding France and core age group</t>
  </si>
  <si>
    <t>Deaths from all causes; years 1-16</t>
  </si>
  <si>
    <r>
      <t xml:space="preserve">All deaths from any cause (per 1,000 PY);
excluding France;
</t>
    </r>
    <r>
      <rPr>
        <b/>
        <sz val="10"/>
        <color rgb="FF00B050"/>
        <rFont val="Calibri"/>
        <family val="2"/>
        <scheme val="minor"/>
      </rPr>
      <t>all ages;</t>
    </r>
    <r>
      <rPr>
        <sz val="10"/>
        <color rgb="FF00B050"/>
        <rFont val="Calibri"/>
        <family val="2"/>
        <scheme val="minor"/>
      </rPr>
      <t xml:space="preserve">
years 1-16</t>
    </r>
  </si>
  <si>
    <r>
      <t xml:space="preserve">prostate cancer deaths (per 1,000 PY);
</t>
    </r>
    <r>
      <rPr>
        <b/>
        <sz val="10"/>
        <color rgb="FF00B050"/>
        <rFont val="Calibri"/>
        <family val="2"/>
        <scheme val="minor"/>
      </rPr>
      <t xml:space="preserve">Belgium;
age 55-69 years;
</t>
    </r>
    <r>
      <rPr>
        <sz val="10"/>
        <color rgb="FF00B050"/>
        <rFont val="Calibri"/>
        <family val="2"/>
        <scheme val="minor"/>
      </rPr>
      <t>years 1-16</t>
    </r>
  </si>
  <si>
    <t>Supplementary Table 2</t>
  </si>
  <si>
    <r>
      <t xml:space="preserve">prostate cancer deaths (per 1,000 PY);
</t>
    </r>
    <r>
      <rPr>
        <b/>
        <sz val="10"/>
        <color rgb="FF00B050"/>
        <rFont val="Calibri"/>
        <family val="2"/>
        <scheme val="minor"/>
      </rPr>
      <t xml:space="preserve">Finland;
age 55-69 years;
</t>
    </r>
    <r>
      <rPr>
        <sz val="10"/>
        <color rgb="FF00B050"/>
        <rFont val="Calibri"/>
        <family val="2"/>
        <scheme val="minor"/>
      </rPr>
      <t>years 1-16</t>
    </r>
  </si>
  <si>
    <r>
      <t xml:space="preserve">prostate cancer deaths (per 1,000 PY);
</t>
    </r>
    <r>
      <rPr>
        <b/>
        <sz val="10"/>
        <color rgb="FF00B050"/>
        <rFont val="Calibri"/>
        <family val="2"/>
        <scheme val="minor"/>
      </rPr>
      <t xml:space="preserve">Italy;
age 55-69 years;
</t>
    </r>
    <r>
      <rPr>
        <sz val="10"/>
        <color rgb="FF00B050"/>
        <rFont val="Calibri"/>
        <family val="2"/>
        <scheme val="minor"/>
      </rPr>
      <t>years 1-16</t>
    </r>
  </si>
  <si>
    <r>
      <t xml:space="preserve">prostate cancer deaths (per 1,000 PY);
</t>
    </r>
    <r>
      <rPr>
        <b/>
        <sz val="10"/>
        <color rgb="FF00B050"/>
        <rFont val="Calibri"/>
        <family val="2"/>
        <scheme val="minor"/>
      </rPr>
      <t xml:space="preserve">Netherlands;
age 55-69 years;
</t>
    </r>
    <r>
      <rPr>
        <sz val="10"/>
        <color rgb="FF00B050"/>
        <rFont val="Calibri"/>
        <family val="2"/>
        <scheme val="minor"/>
      </rPr>
      <t>years 1-16</t>
    </r>
  </si>
  <si>
    <r>
      <t xml:space="preserve">prostate cancer deaths (per 1,000 PY);
</t>
    </r>
    <r>
      <rPr>
        <b/>
        <sz val="10"/>
        <color rgb="FF00B050"/>
        <rFont val="Calibri"/>
        <family val="2"/>
        <scheme val="minor"/>
      </rPr>
      <t xml:space="preserve">Spain;
age 55-69 years;
</t>
    </r>
    <r>
      <rPr>
        <sz val="10"/>
        <color rgb="FF00B050"/>
        <rFont val="Calibri"/>
        <family val="2"/>
        <scheme val="minor"/>
      </rPr>
      <t>years 1-16</t>
    </r>
  </si>
  <si>
    <r>
      <t xml:space="preserve">prostate cancer deaths (per 1,000 PY);
</t>
    </r>
    <r>
      <rPr>
        <b/>
        <sz val="10"/>
        <color rgb="FF00B050"/>
        <rFont val="Calibri"/>
        <family val="2"/>
        <scheme val="minor"/>
      </rPr>
      <t xml:space="preserve">Sweden;
age 55-69 years;
</t>
    </r>
    <r>
      <rPr>
        <sz val="10"/>
        <color rgb="FF00B050"/>
        <rFont val="Calibri"/>
        <family val="2"/>
        <scheme val="minor"/>
      </rPr>
      <t>years 1-16</t>
    </r>
  </si>
  <si>
    <r>
      <t xml:space="preserve">prostate cancer deaths (per 1,000 PY);
</t>
    </r>
    <r>
      <rPr>
        <b/>
        <sz val="10"/>
        <color rgb="FF00B050"/>
        <rFont val="Calibri"/>
        <family val="2"/>
        <scheme val="minor"/>
      </rPr>
      <t xml:space="preserve">Switzerland;
age 55-69 years;
</t>
    </r>
    <r>
      <rPr>
        <sz val="10"/>
        <color rgb="FF00B050"/>
        <rFont val="Calibri"/>
        <family val="2"/>
        <scheme val="minor"/>
      </rPr>
      <t>years 1-16</t>
    </r>
  </si>
  <si>
    <t>Lujan, 2014</t>
  </si>
  <si>
    <t>All deaths from any cause (per 1,000 PY);
Spain;
up to 18/07/2013 (corresponding to death data up to year 2011)</t>
  </si>
  <si>
    <t>Date and cause of death were obtained by linkage with data recorded from death certificates available at the Spanish Instituto Nacional de Estadı´stica (National Statistics). Latest death data available correspond to year 2011.</t>
  </si>
  <si>
    <t>from randomization to either death date or data analysis date, 18 July 2013</t>
  </si>
  <si>
    <t>Up to 17 years</t>
  </si>
  <si>
    <t>Median 15.28 years (range 0.58-17.44)</t>
  </si>
  <si>
    <t>Median 15.08 years (range 0.03-17.26)</t>
  </si>
  <si>
    <t>Deaths from any cause up to 18/07/2013 (corresponding to death data up to year 2011)</t>
  </si>
  <si>
    <t>Results on P188: Eventually, 554 men (554/4276, 13%) died, 303 (303/2415, 12.5%) in the screening arm and 251 (251/1861, 13.5%) in the control arm (P=0.34). All-cause mortality was 8.60 deaths per 1000 person-years in the screening arm versus 9.38 deaths per 1000 person-years in the control arm (rate ratio in the screening arm: 0.92; 95% confidence interval: 0.78–1.08).</t>
  </si>
  <si>
    <t>All deaths from any cause (per 100 men);
Spain;
up to 18/07/2013 (corresponding to death data up to year 2011)</t>
  </si>
  <si>
    <t>No of men randomised, by arm</t>
  </si>
  <si>
    <t xml:space="preserve">Results on P188: Eventually, 554 men (554/4276, 13%) died, 303 (303/2415, 12.5%) in the screening arm and 251 (251/1861, 13.5%) in the control arm (P=0.34). </t>
  </si>
  <si>
    <t>prostate cancer deaths (per 1,000 PY);
Spain; 
up to 18/07/2013 (corresponding to death data up to year 2011)</t>
  </si>
  <si>
    <t>Prostate cancer deaths; up to 18/07/2013 (corresponding to death data up to year 2011)</t>
  </si>
  <si>
    <t>Results on P188: Only 10 men (10/4276, 0.23%) died from PC, 5 (5/2415, 0.21%) in the screening arm and 5 (5/1861, 0.27%) in the control arm. Again, no differences (P=0.67) were found between both study arms (Figure 3). PC mortality was 0.14 deaths per 1000 personyears in the screening arm versus 0.19 in the control arm. Rate ratio in the screening arm was 0.76; 95% confidence interval: 0.22–2.62), corresponding to a nonsignificant 24% reduction of PC mortality owing to screening.</t>
  </si>
  <si>
    <t>prostate cancer deaths (per 100 men);
Spain; 
up to 18/07/2013 (corresponding to death data up to year 2011)</t>
  </si>
  <si>
    <t>Lujan, 2015</t>
  </si>
  <si>
    <t>All deaths from any cause (%);
Spain;
up to 23 March 2014 (mortality data up to year 2012)</t>
  </si>
  <si>
    <t>Date and cause of death were obtained by linkage with data recorded from death certificates available at the Spanish Instituto Nacional de Estadı´stica (National Statistics). Latest death data available correspond to year 2012.</t>
  </si>
  <si>
    <t>from randomization to either death date or data analysis date, March 23rd 2014</t>
  </si>
  <si>
    <t>Up to 18 years</t>
  </si>
  <si>
    <t>Median 15.92 years (range 0.58-18.12)</t>
  </si>
  <si>
    <t>Median 15.75 years (range 0.03-17.94)</t>
  </si>
  <si>
    <t>Deaths from any cause; up to 23/03/2014 (corresponding to death data up to year 2012)</t>
  </si>
  <si>
    <t xml:space="preserve">Text: A total of 618 (14.5%)males died at the moment of this analysis throughout themonitoring: 340 (14.1%) in the screening arm and 278 (14.9%) in the control arm. </t>
  </si>
  <si>
    <t>Prostate cancer deaths (%);
Spain;
up to 23 March 2014 (mortality data up to year 2012)</t>
  </si>
  <si>
    <t>Deaths from prostate cancer; up to 23/03/2014 (corresponding to death data up to year 2012)</t>
  </si>
  <si>
    <t>Table 5 and text: Only 12 patients (3.6%) died from PC.</t>
  </si>
  <si>
    <t>Lujan, 2020</t>
  </si>
  <si>
    <t>Prostate cancer deaths (%);
Spain;
up to 31 July 2019 (mortality data up to year 2017)</t>
  </si>
  <si>
    <t>Date and cause of death were obtained by linkage with data recorded from death certificates available at the Spanish Instituto Nacional de Estadı´stica (National Statistics). Latest death data available correspond to year 2017</t>
  </si>
  <si>
    <t>Follow-up time, defined as the period elapsed from randomization until death or until the date of the last update of the database (07/31/2019).</t>
  </si>
  <si>
    <t>Up to 23 years</t>
  </si>
  <si>
    <t>Median 21.15 years (range 0.58-23.47)</t>
  </si>
  <si>
    <t>Median 21.01 years (range 0.03-23.29)</t>
  </si>
  <si>
    <t>No of prostate cancer deaths up to 31/07/2019 (corresponding to death data up to year 2017)</t>
  </si>
  <si>
    <t xml:space="preserve">Table 2 and text: PCa was the cause of death in only 20 patients (4.1% of patients who died from cancer, 0.4% of recruited men)… It was not possible to detect statistically significant differences between the arms of the study in terms of cancer-specific mortality(Fig. 3, P = ,768) </t>
  </si>
  <si>
    <t>All deaths from any cause (%);
Spain;
up to 31 July 2019 (mortality data up to year 2017)</t>
  </si>
  <si>
    <t>Deaths from all causes up to 31/07/2019 (corresponding to death data up to year 2017)</t>
  </si>
  <si>
    <t>Text: Until the time of this analysis, 994 men (23.2% of the total) died: 544 (22.5%) in the intervention arm and 450 (24.2%) in the controlarm. It was not possible to detect statistically significant differencesbetween the arms of the study in terms of cancer-specific mortality (Fig. 3, P = ,768) or all-cause mortality (P = ,192).</t>
  </si>
  <si>
    <t>Berenguer, 2003</t>
  </si>
  <si>
    <t>All deaths from any cause (per 1,000 men);
Spain;
up to Feburary 2003</t>
  </si>
  <si>
    <t>We recorded all death events (and cause) until February 2003 with the aid of mortality lists produced at our Department, and with lists from our Hospital’s Central Database.</t>
  </si>
  <si>
    <t>February 2003</t>
  </si>
  <si>
    <t>Deaths from any cause up to February 2003</t>
  </si>
  <si>
    <t>Text: To February 2003, 85 deaths have been recorded, 53 in the screened and 32 in the control group.</t>
  </si>
  <si>
    <t>van Leeuwen, 2010</t>
  </si>
  <si>
    <r>
      <t xml:space="preserve">All deaths from any cause (per 100 men);
</t>
    </r>
    <r>
      <rPr>
        <b/>
        <sz val="10"/>
        <color rgb="FF00B050"/>
        <rFont val="Calibri"/>
        <family val="2"/>
        <scheme val="minor"/>
      </rPr>
      <t>Netherlands;</t>
    </r>
    <r>
      <rPr>
        <sz val="10"/>
        <color rgb="FF00B050"/>
        <rFont val="Calibri"/>
        <family val="2"/>
        <scheme val="minor"/>
      </rPr>
      <t xml:space="preserve">
up to 31/12/2006</t>
    </r>
  </si>
  <si>
    <t>Linking the trial database with the Causes of Death Registry of Statistics Netherlands</t>
  </si>
  <si>
    <t>the date of censoring was at emigration or 31 December 2006</t>
  </si>
  <si>
    <t>No of deaths from all causes; up to 31/12/2006</t>
  </si>
  <si>
    <t>Text: Up to the end of 2006, a total of 4077 (19.2%)
men died in the intervention arm (21.67 men per 1000
person-years) and a total of 3977 (18.8%) died in the
control arm (21.20 men per 1000 person-years).</t>
  </si>
  <si>
    <r>
      <t xml:space="preserve">All deaths from any cause (per 1,000 PY);
</t>
    </r>
    <r>
      <rPr>
        <b/>
        <sz val="10"/>
        <color rgb="FF00B050"/>
        <rFont val="Calibri"/>
        <family val="2"/>
        <scheme val="minor"/>
      </rPr>
      <t>Netherlands;</t>
    </r>
    <r>
      <rPr>
        <sz val="10"/>
        <color rgb="FF00B050"/>
        <rFont val="Calibri"/>
        <family val="2"/>
        <scheme val="minor"/>
      </rPr>
      <t xml:space="preserve"> up to 31/12/2006</t>
    </r>
  </si>
  <si>
    <t>Table 3 and text: Up to the end of 2006, a total of 4077 (19.2%)
men died in the intervention arm (21.67 men per 1000
person-years) and a total of 3977 (18.8%) died in the
control arm (21.20 men per 1000 person-years). This
resulted in a cumulative all-cause mortality that was not significantly different between the two arms: RR 1.02 (95% CI
0.98–1.07).</t>
  </si>
  <si>
    <r>
      <t xml:space="preserve">prostate cancer deaths (definitely PC death’, ‘possible PC death’ or ‘PC intervention related death'); per 1,000 PY;
</t>
    </r>
    <r>
      <rPr>
        <b/>
        <sz val="10"/>
        <color rgb="FF00B050"/>
        <rFont val="Calibri"/>
        <family val="2"/>
        <scheme val="minor"/>
      </rPr>
      <t>Netherlands;</t>
    </r>
    <r>
      <rPr>
        <sz val="10"/>
        <color rgb="FF00B050"/>
        <rFont val="Calibri"/>
        <family val="2"/>
        <scheme val="minor"/>
      </rPr>
      <t xml:space="preserve">
up to 31/12/2006</t>
    </r>
  </si>
  <si>
    <t>Linking the trial database with the Causes of Death Registry of Statistics Netherlands; all deaths in PC cases in the study reviewed by a national independent causes of death committee (CODC)
using predefined flow charts or by an international committee
if no consensus was reached; PC death =  ‘definitely
PC death’, ‘possible PC death’ or ‘PC intervention related death'.</t>
  </si>
  <si>
    <t>No of PC deaths (definitely PC death’, ‘possible PC death’ or ‘PC intervention related death'); up to 31/12/2006</t>
  </si>
  <si>
    <t>Table 3 and text: Up to the end of 2006, in the intervention arm 0.42 men per 1000 person-years and in the control arm 0.48 men per 1000 person-years died from a PC-related cause of death
according to the CODC. This resulted in a non-significant
reduction in PC mortality rate of 14% in the intervention
population relative to the control arm: RR 0.86 (95% CI
0.64–1.17).</t>
  </si>
  <si>
    <r>
      <t xml:space="preserve">prostate cancer deaths (definitely PC death’, ‘possible PC death’ or ‘PC intervention related death'); per 1,000 PY;
</t>
    </r>
    <r>
      <rPr>
        <b/>
        <sz val="10"/>
        <color rgb="FF00B050"/>
        <rFont val="Calibri"/>
        <family val="2"/>
        <scheme val="minor"/>
      </rPr>
      <t>men aged 55-64 years at randomisation;
Netherlands;</t>
    </r>
    <r>
      <rPr>
        <sz val="10"/>
        <color rgb="FF00B050"/>
        <rFont val="Calibri"/>
        <family val="2"/>
        <scheme val="minor"/>
      </rPr>
      <t xml:space="preserve">
up to 31/12/2006</t>
    </r>
  </si>
  <si>
    <t>Netherlands;
55-64 years</t>
  </si>
  <si>
    <r>
      <t xml:space="preserve">No of PC deaths (definitely PC death’, ‘possible PC death’ or ‘PC intervention related death') </t>
    </r>
    <r>
      <rPr>
        <b/>
        <sz val="10"/>
        <color rgb="FF00B050"/>
        <rFont val="Calibri"/>
        <family val="2"/>
        <scheme val="minor"/>
      </rPr>
      <t>in men aged 55-64 years at randomisation</t>
    </r>
    <r>
      <rPr>
        <sz val="10"/>
        <color rgb="FF00B050"/>
        <rFont val="Calibri"/>
        <family val="2"/>
        <scheme val="minor"/>
      </rPr>
      <t>; up to 31/12/2006</t>
    </r>
  </si>
  <si>
    <r>
      <t xml:space="preserve">prostate cancer deaths (definitely PC death’, ‘possible PC death’ or ‘PC intervention related death'); per 1,000 PY;
</t>
    </r>
    <r>
      <rPr>
        <b/>
        <sz val="10"/>
        <color rgb="FF00B050"/>
        <rFont val="Calibri"/>
        <family val="2"/>
        <scheme val="minor"/>
      </rPr>
      <t>men aged 65-74 years at randomisation;
Netherlands;</t>
    </r>
    <r>
      <rPr>
        <sz val="10"/>
        <color rgb="FF00B050"/>
        <rFont val="Calibri"/>
        <family val="2"/>
        <scheme val="minor"/>
      </rPr>
      <t xml:space="preserve">
up to 31/12/2006</t>
    </r>
  </si>
  <si>
    <t>Netherlands;
65-74 years</t>
  </si>
  <si>
    <r>
      <t xml:space="preserve">No of PC deaths (definitely PC death’, ‘possible PC death’ or ‘PC intervention related death') </t>
    </r>
    <r>
      <rPr>
        <b/>
        <sz val="10"/>
        <color rgb="FF00B050"/>
        <rFont val="Calibri"/>
        <family val="2"/>
        <scheme val="minor"/>
      </rPr>
      <t>in men aged 65-74 years at randomisation</t>
    </r>
    <r>
      <rPr>
        <sz val="10"/>
        <color rgb="FF00B050"/>
        <rFont val="Calibri"/>
        <family val="2"/>
        <scheme val="minor"/>
      </rPr>
      <t>; up to 31/12/2006</t>
    </r>
  </si>
  <si>
    <t>Robool, 2013</t>
  </si>
  <si>
    <r>
      <t xml:space="preserve">prostate cancer deaths (per 1,000 men);
</t>
    </r>
    <r>
      <rPr>
        <b/>
        <sz val="10"/>
        <color rgb="FF00B050"/>
        <rFont val="Calibri"/>
        <family val="2"/>
        <scheme val="minor"/>
      </rPr>
      <t>men aged 55-74 years at randomisation;
Netherlands;</t>
    </r>
    <r>
      <rPr>
        <sz val="10"/>
        <color rgb="FF00B050"/>
        <rFont val="Calibri"/>
        <family val="2"/>
        <scheme val="minor"/>
      </rPr>
      <t xml:space="preserve">
up to 31/12/2010</t>
    </r>
  </si>
  <si>
    <t>The total study database was linked yearly to the databases of the Dutch Cancer Registry and of Statistics Netherlands.</t>
  </si>
  <si>
    <t>Netherlands;
55-74 years</t>
  </si>
  <si>
    <t xml:space="preserve"> Median 12.8 years</t>
  </si>
  <si>
    <r>
      <t xml:space="preserve">No of PC deaths </t>
    </r>
    <r>
      <rPr>
        <b/>
        <sz val="10"/>
        <color rgb="FF00B050"/>
        <rFont val="Calibri"/>
        <family val="2"/>
        <scheme val="minor"/>
      </rPr>
      <t>in men aged 55-74 years at randomisation</t>
    </r>
    <r>
      <rPr>
        <sz val="10"/>
        <color rgb="FF00B050"/>
        <rFont val="Calibri"/>
        <family val="2"/>
        <scheme val="minor"/>
      </rPr>
      <t>; up to 31/12/2010</t>
    </r>
  </si>
  <si>
    <t xml:space="preserve">Table 3, Table 5 and text: In the S-arm, per 1000 men randomized, ... 7 men per 1000 men randomized (151 of 20 985) died of Pca. Similar numbers were obtained for the C-arm per 1000 men randomized:... nine men (188 of 20 917) died of PCa. </t>
  </si>
  <si>
    <r>
      <t xml:space="preserve">prostate cancer deaths (per 1,000 men);
</t>
    </r>
    <r>
      <rPr>
        <b/>
        <sz val="10"/>
        <color rgb="FF00B050"/>
        <rFont val="Calibri"/>
        <family val="2"/>
        <scheme val="minor"/>
      </rPr>
      <t>men aged 55-69 years at randomisation;
Netherlands;</t>
    </r>
    <r>
      <rPr>
        <sz val="10"/>
        <color rgb="FF00B050"/>
        <rFont val="Calibri"/>
        <family val="2"/>
        <scheme val="minor"/>
      </rPr>
      <t xml:space="preserve">
up to 31/12/2010</t>
    </r>
  </si>
  <si>
    <r>
      <t xml:space="preserve">No of PC deaths </t>
    </r>
    <r>
      <rPr>
        <b/>
        <sz val="10"/>
        <color rgb="FF00B050"/>
        <rFont val="Calibri"/>
        <family val="2"/>
        <scheme val="minor"/>
      </rPr>
      <t>in men aged 55-69 years at randomisation</t>
    </r>
    <r>
      <rPr>
        <sz val="10"/>
        <color rgb="FF00B050"/>
        <rFont val="Calibri"/>
        <family val="2"/>
        <scheme val="minor"/>
      </rPr>
      <t>; up to 31/12/2010</t>
    </r>
  </si>
  <si>
    <t>Table 5 and text: With a median follow-up of 12.8 yr, the Rotterdam center of the ERSPC shows a statistically significant PCa-specific mortality reduction of 31.6% in the age group 55–69 yr at time of randomization.</t>
  </si>
  <si>
    <r>
      <t xml:space="preserve">prostate cancer deaths (per 1,000 men);
</t>
    </r>
    <r>
      <rPr>
        <b/>
        <sz val="10"/>
        <color rgb="FF00B050"/>
        <rFont val="Calibri"/>
        <family val="2"/>
        <scheme val="minor"/>
      </rPr>
      <t>men aged 70-74 years at randomisation;
Netherlands;</t>
    </r>
    <r>
      <rPr>
        <sz val="10"/>
        <color rgb="FF00B050"/>
        <rFont val="Calibri"/>
        <family val="2"/>
        <scheme val="minor"/>
      </rPr>
      <t xml:space="preserve">
up to 31/12/2010</t>
    </r>
  </si>
  <si>
    <t>Netherlands;
70-74 years</t>
  </si>
  <si>
    <r>
      <t xml:space="preserve">No of PC deaths </t>
    </r>
    <r>
      <rPr>
        <b/>
        <sz val="10"/>
        <color rgb="FF00B050"/>
        <rFont val="Calibri"/>
        <family val="2"/>
        <scheme val="minor"/>
      </rPr>
      <t>in men aged 70-74 years at randomisation</t>
    </r>
    <r>
      <rPr>
        <sz val="10"/>
        <color rgb="FF00B050"/>
        <rFont val="Calibri"/>
        <family val="2"/>
        <scheme val="minor"/>
      </rPr>
      <t>; up to 31/12/2010</t>
    </r>
  </si>
  <si>
    <t>Kilpelainen, 2013</t>
  </si>
  <si>
    <r>
      <t xml:space="preserve">All deaths from any cause (%);
</t>
    </r>
    <r>
      <rPr>
        <b/>
        <sz val="10"/>
        <color rgb="FF00B050"/>
        <rFont val="Calibri"/>
        <family val="2"/>
        <scheme val="minor"/>
      </rPr>
      <t>Finland;</t>
    </r>
    <r>
      <rPr>
        <sz val="10"/>
        <color rgb="FF00B050"/>
        <rFont val="Calibri"/>
        <family val="2"/>
        <scheme val="minor"/>
      </rPr>
      <t xml:space="preserve">
12 years of follow-up or 31/12/2010</t>
    </r>
  </si>
  <si>
    <t>In Finland, all deaths are registered in the causes of death registry by Statistics Finland</t>
  </si>
  <si>
    <t>the date of censoring was at emigration, 31 December 2010 or 12 years of follow-up</t>
  </si>
  <si>
    <t>Mean 10.8 (SD2.8) years</t>
  </si>
  <si>
    <t>2-3</t>
  </si>
  <si>
    <t>Deaths from any cause; 12 years of follow-up or 31/12/2010</t>
  </si>
  <si>
    <t>Table 2 and p722: Altogether 6618 men died in the SA during follow-up (cumulative mortality = 20.8%), and of them, 149 died of PC (cumulative mortality = 0.47%). In the CA, there were 10079 deaths (20.9%), of which 266 (0.55%) were caused by PC (ie, screening prevented 27 PC deaths)... The hazard ratio for overall death between trial arms was 0.99 (95% CI = 0.96 to 1.02; P = .69).</t>
  </si>
  <si>
    <r>
      <t xml:space="preserve">prostate cancer deaths (%);
</t>
    </r>
    <r>
      <rPr>
        <b/>
        <sz val="10"/>
        <color rgb="FF00B050"/>
        <rFont val="Calibri"/>
        <family val="2"/>
        <scheme val="minor"/>
      </rPr>
      <t>Finland;</t>
    </r>
    <r>
      <rPr>
        <sz val="10"/>
        <color rgb="FF00B050"/>
        <rFont val="Calibri"/>
        <family val="2"/>
        <scheme val="minor"/>
      </rPr>
      <t xml:space="preserve">
12 years of follow-up or 31/12/2010</t>
    </r>
  </si>
  <si>
    <t>In Finland, all deaths are registered in the causes of death registry by Statistics Finland. Men who had PC (code C61 in ICD-10) as the underlying cause of death in the official causes of death registry were defined as PC deaths.</t>
  </si>
  <si>
    <t>Other causes (might include unknown causes)</t>
  </si>
  <si>
    <t>Deaths from prostate cancer; 12 years of follow-up or 31/12/2010</t>
  </si>
  <si>
    <t>Table 2 and p722: Altogether 6618 men died in the SA during follow-up (cumulative mortality = 20.8%), and of them, 149 died of PC (cumulative mortality = 0.47%). In the CA, there were 10079 deaths (20.9%), of which 266 (0.55%) were caused by PC (ie, screening prevented 27 PC deaths). The hazard ratio between trial arms was 0.85 (95% CI = 0.69 to 1.04; P = .10) for PC death.</t>
  </si>
  <si>
    <t>Pakarainen, 2019</t>
  </si>
  <si>
    <t>All deaths from any cause (per 100,000 PY);
Finland;
up to 31/12/2013</t>
  </si>
  <si>
    <t xml:space="preserve">Follow-up ended at death, emigration, or common closing date (December 31, 2013). </t>
  </si>
  <si>
    <t>31st December 2013</t>
  </si>
  <si>
    <t>Deaths from any cause, up to 31/12/2013</t>
  </si>
  <si>
    <t>Age-adjusted</t>
  </si>
  <si>
    <t>prostate cancer deaths (per 100,000 PY);
Finland;
up to 31/12/2013</t>
  </si>
  <si>
    <r>
      <rPr>
        <strike/>
        <sz val="10"/>
        <color rgb="FF00B050"/>
        <rFont val="Calibri"/>
        <family val="2"/>
        <scheme val="minor"/>
      </rPr>
      <t xml:space="preserve"> </t>
    </r>
    <r>
      <rPr>
        <sz val="10"/>
        <color rgb="FF00B050"/>
        <rFont val="Calibri"/>
        <family val="2"/>
        <scheme val="minor"/>
      </rPr>
      <t>Prostate cancer deaths; up to 31/12/2013</t>
    </r>
  </si>
  <si>
    <t>Table 1, Table 3 and text: There were 229 prostate cancer–related deaths in the screening and 383 in the control arm (HR 0.90; 95% CI, 0.77–1.06; Tables 1 and 3).</t>
  </si>
  <si>
    <t>prostate cancer deaths (per 100,000 PY);
Finland;
0-4 years of follow-up</t>
  </si>
  <si>
    <t>Follow-up ended at death, emigration, or 4 years of FU</t>
  </si>
  <si>
    <r>
      <rPr>
        <strike/>
        <sz val="10"/>
        <color rgb="FF00B050"/>
        <rFont val="Calibri"/>
        <family val="2"/>
        <scheme val="minor"/>
      </rPr>
      <t xml:space="preserve"> </t>
    </r>
    <r>
      <rPr>
        <sz val="10"/>
        <color rgb="FF00B050"/>
        <rFont val="Calibri"/>
        <family val="2"/>
        <scheme val="minor"/>
      </rPr>
      <t>Prostate cancer deaths within 4 years since study entry</t>
    </r>
  </si>
  <si>
    <t>Hugosson, 2010</t>
  </si>
  <si>
    <t>All deaths from any cause (per 1,000 men);
up to 31/12/2008 (up to 14 years)</t>
  </si>
  <si>
    <t xml:space="preserve">Copy of the cause of death (COD) certificate. Linkage with the Population Register every third month. Causes of death for men diagnosed with prostate cancer determined by an independent COD committee (blinded to study arm) including all medical records, pathology reports, autopsy protocols  according to a standard algorithm used in the ERSPC.
</t>
  </si>
  <si>
    <t>The last date of follow-up was date of death, date of emigration, or December 31, 2008. Men deceased or emigrated before randomisation date or men with prevalent prostate cancer were excluded</t>
  </si>
  <si>
    <t>December 31, 2008.</t>
  </si>
  <si>
    <t>Median 14 years</t>
  </si>
  <si>
    <t>Deaths from any cause;  up to 31/12/2008 (max. 14 years of FU)</t>
  </si>
  <si>
    <t>Those randomised who were included in analysis (see censoring)</t>
  </si>
  <si>
    <t>prostate cancer deaths (definite, probable, intervention-related); per 1,000 men;
up to 31/12/2008 (up to 14 years)</t>
  </si>
  <si>
    <t xml:space="preserve">Deaths classified as definitive prostate cancer deaths, intervention-related deaths (i.e. deaths from diagnostic procedures or treatment), or probable prostate cancer deaths; up to 31/12/2008 (max. 14 years of FU) </t>
  </si>
  <si>
    <t>Table 4 and text: According to the COD committee review, 78 men in the control group died from prostate cancer (77 according to death certificates) compared to 44 (45 according to death certificates) in the screening group… The main outcome analysis performed on intention-to-screen showed that the RR of dying from prostate cancer was 0.56 (95% CI 0.39–0.82, p=0.002) in the screening compared to the control group.</t>
  </si>
  <si>
    <t>Hugosson, 2018</t>
  </si>
  <si>
    <r>
      <t xml:space="preserve">All deaths from any cause; (per 1,000 PY);
</t>
    </r>
    <r>
      <rPr>
        <b/>
        <sz val="10"/>
        <color rgb="FF00B050"/>
        <rFont val="Calibri"/>
        <family val="2"/>
        <scheme val="minor"/>
      </rPr>
      <t xml:space="preserve">Sweden; </t>
    </r>
    <r>
      <rPr>
        <sz val="10"/>
        <color rgb="FF00B050"/>
        <rFont val="Calibri"/>
        <family val="2"/>
        <scheme val="minor"/>
      </rPr>
      <t xml:space="preserve">
18 years of follow-up</t>
    </r>
  </si>
  <si>
    <t>Cause of death for men diagnosed with PC was determined by an independent committee using a standardized algorithm and review of medical charts.</t>
  </si>
  <si>
    <t xml:space="preserve">The last date of follow-up was date of death, date of emigration, or December 31, 2012. </t>
  </si>
  <si>
    <t>Dec 31, 2012</t>
  </si>
  <si>
    <t>155374 PY</t>
  </si>
  <si>
    <t>155245 PY</t>
  </si>
  <si>
    <t>3-9</t>
  </si>
  <si>
    <t>Deaths from any cause; 18 years of follow-up</t>
  </si>
  <si>
    <t>per 1000 PY</t>
  </si>
  <si>
    <t>Table 1, Table 2, Table 3a and text: Of the 9950 men in the screening group, 2844 (28.6%) died within 18 yr, of whom 79 (0.79%) died from PC. The corresponding figures in the control group were 2857 (28.7%) and 122 (1.23%).</t>
  </si>
  <si>
    <r>
      <t xml:space="preserve">All deaths from any cause; (per 1,000 PY);
</t>
    </r>
    <r>
      <rPr>
        <b/>
        <sz val="10"/>
        <color rgb="FF00B050"/>
        <rFont val="Calibri"/>
        <family val="2"/>
        <scheme val="minor"/>
      </rPr>
      <t>Sweden; age 50-54 years;</t>
    </r>
    <r>
      <rPr>
        <sz val="10"/>
        <color rgb="FF00B050"/>
        <rFont val="Calibri"/>
        <family val="2"/>
        <scheme val="minor"/>
      </rPr>
      <t xml:space="preserve">
18 years of follow-up</t>
    </r>
  </si>
  <si>
    <t>Sweden;
50-54 years</t>
  </si>
  <si>
    <t>Deaths from any cause; 18 years of follow-up in men aged 50-54 years</t>
  </si>
  <si>
    <t>Table 3a</t>
  </si>
  <si>
    <r>
      <t xml:space="preserve">All deaths from any cause; (per 1,000 PY);
</t>
    </r>
    <r>
      <rPr>
        <b/>
        <sz val="10"/>
        <color rgb="FF00B050"/>
        <rFont val="Calibri"/>
        <family val="2"/>
        <scheme val="minor"/>
      </rPr>
      <t>Sweden; age 55-59 years;</t>
    </r>
    <r>
      <rPr>
        <sz val="10"/>
        <color rgb="FF00B050"/>
        <rFont val="Calibri"/>
        <family val="2"/>
        <scheme val="minor"/>
      </rPr>
      <t xml:space="preserve">
18 years of follow-up</t>
    </r>
  </si>
  <si>
    <t>Sweden;
55-59 years</t>
  </si>
  <si>
    <t>Deaths from any cause; 18 years of follow-up in men aged 55-59 years</t>
  </si>
  <si>
    <r>
      <t xml:space="preserve">All deaths from any cause; (per 1,000 PY);
</t>
    </r>
    <r>
      <rPr>
        <b/>
        <sz val="10"/>
        <color rgb="FF00B050"/>
        <rFont val="Calibri"/>
        <family val="2"/>
        <scheme val="minor"/>
      </rPr>
      <t>Sweden; age 60-64 years;</t>
    </r>
    <r>
      <rPr>
        <sz val="10"/>
        <color rgb="FF00B050"/>
        <rFont val="Calibri"/>
        <family val="2"/>
        <scheme val="minor"/>
      </rPr>
      <t xml:space="preserve">
18 years of follow-up</t>
    </r>
  </si>
  <si>
    <t>Sweden;
60-64 years</t>
  </si>
  <si>
    <t>Deaths from any cause; 18 years of follow-up in men aged 60-64 years</t>
  </si>
  <si>
    <r>
      <t xml:space="preserve">prostate cancer deaths (per 1,000 PY);
</t>
    </r>
    <r>
      <rPr>
        <b/>
        <sz val="10"/>
        <color rgb="FF00B050"/>
        <rFont val="Calibri"/>
        <family val="2"/>
        <scheme val="minor"/>
      </rPr>
      <t>Sweden;</t>
    </r>
    <r>
      <rPr>
        <sz val="10"/>
        <color rgb="FF00B050"/>
        <rFont val="Calibri"/>
        <family val="2"/>
        <scheme val="minor"/>
      </rPr>
      <t xml:space="preserve">
18 years of follow-up</t>
    </r>
  </si>
  <si>
    <t>The last date of follow-up was date of death, date of emigration, or December 31, 2012.</t>
  </si>
  <si>
    <t>155,374 PY</t>
  </si>
  <si>
    <t>155,245 PY</t>
  </si>
  <si>
    <t>Deaths from prostate cancer; 18 years of follow-up</t>
  </si>
  <si>
    <t>Table 1, Table 2, Table 3aand text: Of the 9950 men in the screening group, 2844 (28.6%) died within 18 yr, of whom 79 (0.79%) died from PC. The corresponding figures in the control group were 2857 (28.7%) and 122 (1.23%)… Prostate cancer mortality rate at 18 years was 0.51 (95% CI 0.41–0.64) per 1000 person-years in the screening group and 0.79 (95% CI 0.66–0.94) in the control group,...
The RR and the HR for PC mortality were almost identical: 0.65 (95% CI 0.49–0.87, p=0.003) and 0.65 (95% CI 0.49–0.86) respectively.</t>
  </si>
  <si>
    <r>
      <t xml:space="preserve">prostate cancer deaths (per 1,000 PY);
</t>
    </r>
    <r>
      <rPr>
        <b/>
        <sz val="10"/>
        <color rgb="FF00B050"/>
        <rFont val="Calibri"/>
        <family val="2"/>
        <scheme val="minor"/>
      </rPr>
      <t>Sweden; age 50-54 years;</t>
    </r>
    <r>
      <rPr>
        <sz val="10"/>
        <color rgb="FF00B050"/>
        <rFont val="Calibri"/>
        <family val="2"/>
        <scheme val="minor"/>
      </rPr>
      <t xml:space="preserve">
18 years of follow-up</t>
    </r>
  </si>
  <si>
    <t>Deaths from prostate cancer; 18 years of follow-up in men aged 50-54 years</t>
  </si>
  <si>
    <t>Table 2 and Table 3a and text: For the youngest group of men (50–54 years at the start of screening), an organized screening program led to... a non-significant reduction in PC mortality (RR 0.50, 95% CI, 0.22 to 1.11).</t>
  </si>
  <si>
    <r>
      <t xml:space="preserve">prostate cancer deaths (per 1,000 PY);
</t>
    </r>
    <r>
      <rPr>
        <b/>
        <sz val="10"/>
        <color rgb="FF00B050"/>
        <rFont val="Calibri"/>
        <family val="2"/>
        <scheme val="minor"/>
      </rPr>
      <t>Sweden; age 55-59 years;</t>
    </r>
    <r>
      <rPr>
        <sz val="10"/>
        <color rgb="FF00B050"/>
        <rFont val="Calibri"/>
        <family val="2"/>
        <scheme val="minor"/>
      </rPr>
      <t xml:space="preserve">
18 years of follow-up</t>
    </r>
  </si>
  <si>
    <t>Deaths from prostate cancer; 18 years of follow-up in men aged 55-59 years</t>
  </si>
  <si>
    <t>Table 2 and Table 3a and text: Men who were 55–59 years of age at the start of screening experienced a large reduction in PC mortality (RR 0.47, 95% CI, 0.29 to 0.78).</t>
  </si>
  <si>
    <r>
      <t xml:space="preserve">prostate cancer deaths (per 1,000 PY);
</t>
    </r>
    <r>
      <rPr>
        <b/>
        <sz val="10"/>
        <color rgb="FF00B050"/>
        <rFont val="Calibri"/>
        <family val="2"/>
        <scheme val="minor"/>
      </rPr>
      <t>Sweden; age 60-64 years;</t>
    </r>
    <r>
      <rPr>
        <sz val="10"/>
        <color rgb="FF00B050"/>
        <rFont val="Calibri"/>
        <family val="2"/>
        <scheme val="minor"/>
      </rPr>
      <t xml:space="preserve">
18 years of follow-up</t>
    </r>
  </si>
  <si>
    <t>Deaths from prostate cancer; 18 years of follow-up in men aged 60-64 years</t>
  </si>
  <si>
    <t>Table 2 and Table 3a and text: Interestingly, the oldest age group only had a small, non-significant, PC mortality reduction (all men: 0.85, 95% CI, 0.58 to 1.26,</t>
  </si>
  <si>
    <r>
      <t xml:space="preserve">prostate cancer deaths (per 1,000 PY);
</t>
    </r>
    <r>
      <rPr>
        <b/>
        <sz val="10"/>
        <color rgb="FF00B050"/>
        <rFont val="Calibri"/>
        <family val="2"/>
        <scheme val="minor"/>
      </rPr>
      <t>Sweden;</t>
    </r>
    <r>
      <rPr>
        <sz val="10"/>
        <color rgb="FF00B050"/>
        <rFont val="Calibri"/>
        <family val="2"/>
        <scheme val="minor"/>
      </rPr>
      <t xml:space="preserve">
16 years of follow-up</t>
    </r>
  </si>
  <si>
    <t>141,118 PY</t>
  </si>
  <si>
    <t>141,035 PY</t>
  </si>
  <si>
    <t>Deaths from prostate cancers; 16 years of follow-up</t>
  </si>
  <si>
    <r>
      <t xml:space="preserve">prostate cancer deaths (per 1,000 PY);
</t>
    </r>
    <r>
      <rPr>
        <b/>
        <sz val="10"/>
        <color rgb="FF00B050"/>
        <rFont val="Calibri"/>
        <family val="2"/>
        <scheme val="minor"/>
      </rPr>
      <t>Sweden;</t>
    </r>
    <r>
      <rPr>
        <sz val="10"/>
        <color rgb="FF00B050"/>
        <rFont val="Calibri"/>
        <family val="2"/>
        <scheme val="minor"/>
      </rPr>
      <t xml:space="preserve">
14 years of follow-up</t>
    </r>
  </si>
  <si>
    <t>125,973 PY</t>
  </si>
  <si>
    <t>125,914 PY</t>
  </si>
  <si>
    <t>Deaths from prostate cancers; 14 years of follow-up</t>
  </si>
  <si>
    <t>Franlund, 2022</t>
  </si>
  <si>
    <t>All deaths from any cause; (per 1,000 PY);
Sweden;
22 years of follow-up (31/12/2016)</t>
  </si>
  <si>
    <t>Linkage with the Swedish Population Register and the Regional Cancer Register of Western Sweden; Causes of death for men diagnosed with prostate cancer were determined by an independent COD committee. The group allocation was blinded to the members of the committee.</t>
  </si>
  <si>
    <t>The last date of follow-up was date of death, date of emigration, or December 31, 2016.</t>
  </si>
  <si>
    <t>Dec 31, 2016</t>
  </si>
  <si>
    <t>22 years</t>
  </si>
  <si>
    <t>177,091 PY</t>
  </si>
  <si>
    <t>177,152 PY</t>
  </si>
  <si>
    <t>Up to 10</t>
  </si>
  <si>
    <t>Deaths from any cause;  up to 31/12/2016 ( 22 years of FU)</t>
  </si>
  <si>
    <r>
      <t xml:space="preserve">prostate cancer deaths (per 1,000 PY);
</t>
    </r>
    <r>
      <rPr>
        <b/>
        <sz val="10"/>
        <color rgb="FF00B050"/>
        <rFont val="Calibri"/>
        <family val="2"/>
        <scheme val="minor"/>
      </rPr>
      <t>Sweden;</t>
    </r>
    <r>
      <rPr>
        <sz val="10"/>
        <color rgb="FF00B050"/>
        <rFont val="Calibri"/>
        <family val="2"/>
        <scheme val="minor"/>
      </rPr>
      <t xml:space="preserve">
22 years of follow-up (31/12/2016)</t>
    </r>
  </si>
  <si>
    <t>Deaths from prostate cancer; 22 years of follow-up (31/12/2016)</t>
  </si>
  <si>
    <t>Table 3 and text: A total of 112 men died of PC in the SG compared
with 158 in the CG (RR[0.71, 95% CI, 0.55-0.91, p[0.005).</t>
  </si>
  <si>
    <t>All deaths from any cause; (per 1,000 PY);
Sweden;
18 years of follow-up</t>
  </si>
  <si>
    <t xml:space="preserve">The last date of follow-up was date of death, date of emigration, or December 31, 2016. </t>
  </si>
  <si>
    <t>152,760 PY</t>
  </si>
  <si>
    <t>152,620 PY</t>
  </si>
  <si>
    <r>
      <t xml:space="preserve">prostate cancer deaths (per 1,000 PY);
</t>
    </r>
    <r>
      <rPr>
        <b/>
        <sz val="10"/>
        <color rgb="FF00B050"/>
        <rFont val="Calibri"/>
        <family val="2"/>
        <scheme val="minor"/>
      </rPr>
      <t>Sweden;</t>
    </r>
    <r>
      <rPr>
        <sz val="10"/>
        <color rgb="FF00B050"/>
        <rFont val="Calibri"/>
        <family val="2"/>
        <scheme val="minor"/>
      </rPr>
      <t xml:space="preserve">
18 years of follow-up (31/12/2016)</t>
    </r>
  </si>
  <si>
    <t>Deaths from prostate cancer;  18 years of follow-up</t>
  </si>
  <si>
    <t>All deaths from any cause; (per 1,000 PY);
Sweden;
14 years of follow-up</t>
  </si>
  <si>
    <t>124,217 PY</t>
  </si>
  <si>
    <t>124,139 PY</t>
  </si>
  <si>
    <t>Deaths from any cause; 14 years of follow-up</t>
  </si>
  <si>
    <r>
      <t xml:space="preserve">prostate cancer deaths (per 1,000 PY);
</t>
    </r>
    <r>
      <rPr>
        <b/>
        <sz val="10"/>
        <color rgb="FF00B050"/>
        <rFont val="Calibri"/>
        <family val="2"/>
        <scheme val="minor"/>
      </rPr>
      <t>Sweden;</t>
    </r>
    <r>
      <rPr>
        <sz val="10"/>
        <color rgb="FF00B050"/>
        <rFont val="Calibri"/>
        <family val="2"/>
        <scheme val="minor"/>
      </rPr>
      <t xml:space="preserve">
14 years of follow-up (31/12/2016)</t>
    </r>
  </si>
  <si>
    <t>Deaths from prostate cancer;  14 years of follow-up</t>
  </si>
  <si>
    <t>Villers, 2020</t>
  </si>
  <si>
    <t>All deaths from any cause (per 1,000 PY); 
France;
up to 31/12/2013</t>
  </si>
  <si>
    <t>French National Institute of Statistics and Economic Studies (INSEE)and the National Directory for the Identification of Individuals (RNIPP). Cause of death obtained from the cancer registries and from the French National Epidemiological Center for the Medical Causes of Death (CépiDc).</t>
  </si>
  <si>
    <t>France</t>
  </si>
  <si>
    <t>Median 9.5 years (IQR 8.9-9.8)</t>
  </si>
  <si>
    <t>Deaths from any cause; up to 31/12/2013</t>
  </si>
  <si>
    <t>Table 5 and text: All-cause mortality did not differ between the 2 arms(RR = 1.03 [0.99—1.08], P = 0.1)</t>
  </si>
  <si>
    <t>All deaths from any cause (per 1,000 PY); 
France;
age 55-59 years;
up to 31/12/2013</t>
  </si>
  <si>
    <t>France;
55-59 years</t>
  </si>
  <si>
    <t>127,785 PY</t>
  </si>
  <si>
    <t>128,170 PY</t>
  </si>
  <si>
    <t>Deaths from any cause in men aged 55-59 years; up to 31/12/2013</t>
  </si>
  <si>
    <t>All deaths from any cause (per 1,000 PY); 
France;
age 60-64 years;
up to 31/12/2013</t>
  </si>
  <si>
    <t>France;
60-64 years</t>
  </si>
  <si>
    <t>117,844 PY</t>
  </si>
  <si>
    <t>116,567 PY</t>
  </si>
  <si>
    <t>Deaths from any cause in men aged 60-64 years; up to 31/12/2013</t>
  </si>
  <si>
    <t>All deaths from any cause (per 1,000 PY); 
France;
age 65-69 years;
up to 31/12/2013</t>
  </si>
  <si>
    <t>France;
65-69 years</t>
  </si>
  <si>
    <t>105,460 PY</t>
  </si>
  <si>
    <t>103,555 PY</t>
  </si>
  <si>
    <t>Deaths from any cause in men aged 65-69 years; up to 31/12/2013</t>
  </si>
  <si>
    <t>prostate cancer deaths (per 1,000 PY); 
France;
up to 31/12/2013</t>
  </si>
  <si>
    <t>Deaths from prostate cancer; up to 31/12/2013</t>
  </si>
  <si>
    <t>Table 4 and text: Mortality from PCa did notdiffer between arms (RR = 1.03 [0.75—1.42], P = 0.9).</t>
  </si>
  <si>
    <t>prostate cancer deaths (per 1,000 PY); 
France;
age 55-59 years;
up to 31/12/2013</t>
  </si>
  <si>
    <t>Deaths from prostate cancer in men aged 55-59 years; up to 31/12/2013</t>
  </si>
  <si>
    <t>prostate cancer deaths (per 1,000 PY); 
France;
age 60-64 years;
up to 31/12/2013</t>
  </si>
  <si>
    <t>Deaths from prostate cancer in men aged 60-64 years; up to 31/12/2013</t>
  </si>
  <si>
    <t>prostate cancer deaths (per 1,000 PY); 
France;
age 65-69 years
up to 31/12/2013</t>
  </si>
  <si>
    <t>Deaths from prostate cancer in men aged 65-69 years; up to 31/12/2013</t>
  </si>
  <si>
    <t>prostate cancer deaths (per 1,000 PY); 
France;
1 year of follow-up</t>
  </si>
  <si>
    <t>38,065 PY</t>
  </si>
  <si>
    <t>37,729 PY</t>
  </si>
  <si>
    <t>Deaths from prostate cancer; 1 year of follow-up</t>
  </si>
  <si>
    <t>Figure 2B</t>
  </si>
  <si>
    <t>prostate cancer deaths (per 1,000 PY); 
France;
2 years of follow-up</t>
  </si>
  <si>
    <t>75,690 PY</t>
  </si>
  <si>
    <t>75,020 PY</t>
  </si>
  <si>
    <t>Deaths from prostate cancer; 2 years of follow-up</t>
  </si>
  <si>
    <t>prostate cancer deaths (per 1,000 PY); 
France;
3 years of follow-up</t>
  </si>
  <si>
    <t>112,845 PY</t>
  </si>
  <si>
    <t>111,854 PY</t>
  </si>
  <si>
    <t>Deaths from prostate cancer; 3 years of follow-up</t>
  </si>
  <si>
    <t>prostate cancer deaths (per 1,000 PY); 
France;
4 years of follow-up</t>
  </si>
  <si>
    <t>149,457 PY</t>
  </si>
  <si>
    <t>148,238 PY</t>
  </si>
  <si>
    <t>Deaths from prostate cancer; 4 years of follow-up</t>
  </si>
  <si>
    <t>prostate cancer deaths (per 1,000 PY); 
France;
5 years of follow-up</t>
  </si>
  <si>
    <t>185,575 PY</t>
  </si>
  <si>
    <t>184,112 PY</t>
  </si>
  <si>
    <t>Deaths from prostate cancer; 5 years of follow-up</t>
  </si>
  <si>
    <t>prostate cancer deaths (per 1,000 men); 
France;
6 years of follow-up</t>
  </si>
  <si>
    <t>219,473 PY</t>
  </si>
  <si>
    <t>Deaths from prostate cancer; 6 years of follow-up</t>
  </si>
  <si>
    <t>N analysed, by arm</t>
  </si>
  <si>
    <t>Person years for year 6 missing for screening arm.</t>
  </si>
  <si>
    <t>prostate cancer deaths (per 1,000 men); 
France;
7 years of follow-up</t>
  </si>
  <si>
    <t>254,240 PY</t>
  </si>
  <si>
    <t>Deaths from prostate cancer; 7 years of follow-up</t>
  </si>
  <si>
    <t>prostate cancer deaths (per 1,000 men); 
France;
8 years of follow-up</t>
  </si>
  <si>
    <t>288,434 PY</t>
  </si>
  <si>
    <t>Deaths from prostate cancer; 8 years of follow-up</t>
  </si>
  <si>
    <t>prostate cancer deaths (per 1,000 men); 
France;
9 years of follow-up</t>
  </si>
  <si>
    <t>315,246 PY</t>
  </si>
  <si>
    <t>Deaths from prostate cancer; 9 years of follow-up</t>
  </si>
  <si>
    <t>prostate cancer deaths (per 1,000 men); 
France;
10 years of follow-up</t>
  </si>
  <si>
    <t>324,363 PY</t>
  </si>
  <si>
    <t>Deaths from prostate cancer; 10 years of follow-up</t>
  </si>
  <si>
    <t>5. % of target cancers that are screen-detected; whole trial excluding France;
up to 31/12/2006</t>
  </si>
  <si>
    <t>Each center reported data on recruitment,
screening, and mortality twice a year to a central
data center.</t>
  </si>
  <si>
    <t>Median 9 years</t>
  </si>
  <si>
    <t xml:space="preserve">Whole trial excluding France </t>
  </si>
  <si>
    <t>Way of detection</t>
  </si>
  <si>
    <t>No. of screen-detected cancers in screening cohort; up to 31/12/2006</t>
  </si>
  <si>
    <t>Number of prostate cancers in screening cohort; up to 31/12/2006</t>
  </si>
  <si>
    <t>Table 1A in supplementary appendix</t>
  </si>
  <si>
    <t>5. % of target cancers that are screen-detected; Netherlands;
up to 31/12/2006</t>
  </si>
  <si>
    <t>Table 1A in supplementary appendix. Note numbers in red I suspect are an error in the tables</t>
  </si>
  <si>
    <t>5. % of target cancers that are screen-detected; Belgium;
up to 31/12/2006</t>
  </si>
  <si>
    <t xml:space="preserve">Belgium </t>
  </si>
  <si>
    <t>5. % of target cancers that are screen-detected; Sweden;
up to 31/12/2006</t>
  </si>
  <si>
    <t>5. % of target cancers that are screen-detected; Finland;
up to 31/12/2006</t>
  </si>
  <si>
    <t>5. % of target cancers that are screen-detected; Italy;
up to 31/12/2006</t>
  </si>
  <si>
    <t>5. % of target cancers that are screen-detected; Spain;
up to 31/12/2006</t>
  </si>
  <si>
    <t>5. % of target cancers that are screen-detected; Switzerland;
up to 31/12/2006</t>
  </si>
  <si>
    <r>
      <t xml:space="preserve">5. % of target cancers that are screen-detected; whole trial excluding France; </t>
    </r>
    <r>
      <rPr>
        <b/>
        <sz val="10"/>
        <color rgb="FF00B050"/>
        <rFont val="Calibri"/>
        <family val="2"/>
        <scheme val="minor"/>
      </rPr>
      <t>core age group: 55-69 years;</t>
    </r>
    <r>
      <rPr>
        <sz val="10"/>
        <color rgb="FF00B050"/>
        <rFont val="Calibri"/>
        <family val="2"/>
        <scheme val="minor"/>
      </rPr>
      <t xml:space="preserve">
up to 31/12/2006</t>
    </r>
  </si>
  <si>
    <r>
      <t xml:space="preserve">5. % of target cancers that are screen-detected; Netherlands; </t>
    </r>
    <r>
      <rPr>
        <b/>
        <sz val="10"/>
        <color rgb="FF00B050"/>
        <rFont val="Calibri"/>
        <family val="2"/>
        <scheme val="minor"/>
      </rPr>
      <t>core age group: 55-69 years</t>
    </r>
    <r>
      <rPr>
        <sz val="10"/>
        <color rgb="FF00B050"/>
        <rFont val="Calibri"/>
        <family val="2"/>
        <scheme val="minor"/>
      </rPr>
      <t>;
up to 31/12/2006</t>
    </r>
  </si>
  <si>
    <r>
      <t xml:space="preserve">5. % of target cancers that are screen-detected; Belgium; </t>
    </r>
    <r>
      <rPr>
        <b/>
        <sz val="10"/>
        <color rgb="FF00B050"/>
        <rFont val="Calibri"/>
        <family val="2"/>
        <scheme val="minor"/>
      </rPr>
      <t>core age group: 55-69 years;</t>
    </r>
    <r>
      <rPr>
        <sz val="10"/>
        <color rgb="FF00B050"/>
        <rFont val="Calibri"/>
        <family val="2"/>
        <scheme val="minor"/>
      </rPr>
      <t xml:space="preserve">
up to 31/12/2006</t>
    </r>
  </si>
  <si>
    <r>
      <t xml:space="preserve">5. % of target cancers that are screen-detected; Sweden; </t>
    </r>
    <r>
      <rPr>
        <b/>
        <sz val="10"/>
        <color rgb="FF00B050"/>
        <rFont val="Calibri"/>
        <family val="2"/>
        <scheme val="minor"/>
      </rPr>
      <t>core age group: 55-69 years;</t>
    </r>
    <r>
      <rPr>
        <sz val="10"/>
        <color rgb="FF00B050"/>
        <rFont val="Calibri"/>
        <family val="2"/>
        <scheme val="minor"/>
      </rPr>
      <t xml:space="preserve">
up to 31/12/2006</t>
    </r>
  </si>
  <si>
    <r>
      <t xml:space="preserve">5. % of target cancers that are screen-detected; Finland; </t>
    </r>
    <r>
      <rPr>
        <b/>
        <sz val="10"/>
        <color rgb="FF00B050"/>
        <rFont val="Calibri"/>
        <family val="2"/>
        <scheme val="minor"/>
      </rPr>
      <t>core age group: 55-69 years;</t>
    </r>
    <r>
      <rPr>
        <sz val="10"/>
        <color rgb="FF00B050"/>
        <rFont val="Calibri"/>
        <family val="2"/>
        <scheme val="minor"/>
      </rPr>
      <t xml:space="preserve">
up to 31/12/2006</t>
    </r>
  </si>
  <si>
    <r>
      <t xml:space="preserve">5. % of target cancers that are screen-detected; Italy; </t>
    </r>
    <r>
      <rPr>
        <b/>
        <sz val="10"/>
        <color rgb="FF00B050"/>
        <rFont val="Calibri"/>
        <family val="2"/>
        <scheme val="minor"/>
      </rPr>
      <t>core age group: 55-69 years;</t>
    </r>
    <r>
      <rPr>
        <sz val="10"/>
        <color rgb="FF00B050"/>
        <rFont val="Calibri"/>
        <family val="2"/>
        <scheme val="minor"/>
      </rPr>
      <t xml:space="preserve">
up to 31/12/2006</t>
    </r>
  </si>
  <si>
    <r>
      <t xml:space="preserve">5. % of target cancers that are screen-detected; Spain; </t>
    </r>
    <r>
      <rPr>
        <b/>
        <sz val="10"/>
        <color rgb="FF00B050"/>
        <rFont val="Calibri"/>
        <family val="2"/>
        <scheme val="minor"/>
      </rPr>
      <t>core age group: 55-69 years;</t>
    </r>
    <r>
      <rPr>
        <sz val="10"/>
        <color rgb="FF00B050"/>
        <rFont val="Calibri"/>
        <family val="2"/>
        <scheme val="minor"/>
      </rPr>
      <t xml:space="preserve">
up to 31/12/2006</t>
    </r>
  </si>
  <si>
    <r>
      <t xml:space="preserve">5. % of target cancers that are screen-detected; Switzerland; </t>
    </r>
    <r>
      <rPr>
        <b/>
        <sz val="10"/>
        <color rgb="FF00B050"/>
        <rFont val="Calibri"/>
        <family val="2"/>
        <scheme val="minor"/>
      </rPr>
      <t>core age group: 55-69 years;</t>
    </r>
    <r>
      <rPr>
        <sz val="10"/>
        <color rgb="FF00B050"/>
        <rFont val="Calibri"/>
        <family val="2"/>
        <scheme val="minor"/>
      </rPr>
      <t xml:space="preserve">
up to 31/12/2006</t>
    </r>
  </si>
  <si>
    <t>7. Diagnostic yield at screening (per 1,000 men); 
whole trial excluding France;
up to 31/12/2006</t>
  </si>
  <si>
    <t>Number of men analysed, in arm</t>
  </si>
  <si>
    <t>7. Diagnostic yield at screening (per 1,000 men); Netherlands;
up to 31/12/2006</t>
  </si>
  <si>
    <t>7. Diagnostic yield at screening (per 1,000 men); 
Belgium;
up to 31/12/2006</t>
  </si>
  <si>
    <t>7. Diagnostic yield at screening (per 1,000 men); 
Sweden;
up to 31/12/2006</t>
  </si>
  <si>
    <t>7. Diagnostic yield at screening (per 1,000 men);  
Finland;
up to 31/12/2006</t>
  </si>
  <si>
    <t>7. Diagnostic yield at screening (per 1,000 men); 
Italy;
up to 31/12/2006</t>
  </si>
  <si>
    <t>7. Diagnostic yield at screening (per 1,000 men); 
Spain;
up to 31/12/2006</t>
  </si>
  <si>
    <t>7. Diagnostic yield at screening (per 1,000 men); Switzerland;
up to 31/12/2006</t>
  </si>
  <si>
    <r>
      <t xml:space="preserve">7. Diagnostic yield at screening (per 1,000 men); 
whole trial excluding France and Portugal; </t>
    </r>
    <r>
      <rPr>
        <b/>
        <sz val="10"/>
        <color rgb="FF00B050"/>
        <rFont val="Calibri"/>
        <family val="2"/>
        <scheme val="minor"/>
      </rPr>
      <t>core age group: 55-69 years;</t>
    </r>
    <r>
      <rPr>
        <sz val="10"/>
        <color rgb="FF00B050"/>
        <rFont val="Calibri"/>
        <family val="2"/>
        <scheme val="minor"/>
      </rPr>
      <t xml:space="preserve">
up to 31/12/2006</t>
    </r>
  </si>
  <si>
    <r>
      <t xml:space="preserve">7. Diagnostic yield at screening (per 1,000 men); Netherlands; </t>
    </r>
    <r>
      <rPr>
        <b/>
        <sz val="10"/>
        <color rgb="FF00B050"/>
        <rFont val="Calibri"/>
        <family val="2"/>
        <scheme val="minor"/>
      </rPr>
      <t>core age group: 55-69 years;</t>
    </r>
    <r>
      <rPr>
        <sz val="10"/>
        <color rgb="FF00B050"/>
        <rFont val="Calibri"/>
        <family val="2"/>
        <scheme val="minor"/>
      </rPr>
      <t xml:space="preserve">
up to 31/12/2006</t>
    </r>
  </si>
  <si>
    <r>
      <t xml:space="preserve">7. Diagnostic yield at screening (per 1,000 men); 
Belgium; </t>
    </r>
    <r>
      <rPr>
        <b/>
        <sz val="10"/>
        <color rgb="FF00B050"/>
        <rFont val="Calibri"/>
        <family val="2"/>
        <scheme val="minor"/>
      </rPr>
      <t>core age group: 55-69 years;</t>
    </r>
    <r>
      <rPr>
        <sz val="10"/>
        <color rgb="FF00B050"/>
        <rFont val="Calibri"/>
        <family val="2"/>
        <scheme val="minor"/>
      </rPr>
      <t xml:space="preserve">
up to 31/12/2006</t>
    </r>
  </si>
  <si>
    <r>
      <t xml:space="preserve">7. Diagnostic yield at screening (per 1,000 men); 
Sweden; </t>
    </r>
    <r>
      <rPr>
        <b/>
        <sz val="10"/>
        <color rgb="FF00B050"/>
        <rFont val="Calibri"/>
        <family val="2"/>
        <scheme val="minor"/>
      </rPr>
      <t>core age group: 55-69 years;</t>
    </r>
    <r>
      <rPr>
        <sz val="10"/>
        <color rgb="FF00B050"/>
        <rFont val="Calibri"/>
        <family val="2"/>
        <scheme val="minor"/>
      </rPr>
      <t xml:space="preserve">
up to 31/12/2006</t>
    </r>
  </si>
  <si>
    <r>
      <t xml:space="preserve">7. Diagnostic yield at screening (per 1,000 men);  
Finland; </t>
    </r>
    <r>
      <rPr>
        <b/>
        <sz val="10"/>
        <color rgb="FF00B050"/>
        <rFont val="Calibri"/>
        <family val="2"/>
        <scheme val="minor"/>
      </rPr>
      <t>core age group: 55-69 years;</t>
    </r>
    <r>
      <rPr>
        <sz val="10"/>
        <color rgb="FF00B050"/>
        <rFont val="Calibri"/>
        <family val="2"/>
        <scheme val="minor"/>
      </rPr>
      <t xml:space="preserve">
up to 31/12/2006</t>
    </r>
  </si>
  <si>
    <r>
      <t xml:space="preserve">7. Diagnostic yield at screening (per 1,000 men); 
Italy; </t>
    </r>
    <r>
      <rPr>
        <b/>
        <sz val="10"/>
        <color rgb="FF00B050"/>
        <rFont val="Calibri"/>
        <family val="2"/>
        <scheme val="minor"/>
      </rPr>
      <t>core age group: 55-69 years;</t>
    </r>
    <r>
      <rPr>
        <sz val="10"/>
        <color rgb="FF00B050"/>
        <rFont val="Calibri"/>
        <family val="2"/>
        <scheme val="minor"/>
      </rPr>
      <t xml:space="preserve">
up to 31/12/2006</t>
    </r>
  </si>
  <si>
    <r>
      <t xml:space="preserve">7. Diagnostic yield at screening (per 1,000 men); 
Spain; </t>
    </r>
    <r>
      <rPr>
        <b/>
        <sz val="10"/>
        <color rgb="FF00B050"/>
        <rFont val="Calibri"/>
        <family val="2"/>
        <scheme val="minor"/>
      </rPr>
      <t>core age group: 55-69 years;</t>
    </r>
    <r>
      <rPr>
        <sz val="10"/>
        <color rgb="FF00B050"/>
        <rFont val="Calibri"/>
        <family val="2"/>
        <scheme val="minor"/>
      </rPr>
      <t xml:space="preserve">
up to 31/12/2006</t>
    </r>
  </si>
  <si>
    <r>
      <t xml:space="preserve">7. Diagnostic yield at screening (per 1,000 men); Switzerland; </t>
    </r>
    <r>
      <rPr>
        <b/>
        <sz val="10"/>
        <color rgb="FF00B050"/>
        <rFont val="Calibri"/>
        <family val="2"/>
        <scheme val="minor"/>
      </rPr>
      <t>core age group: 55-69 years;</t>
    </r>
    <r>
      <rPr>
        <sz val="10"/>
        <color rgb="FF00B050"/>
        <rFont val="Calibri"/>
        <family val="2"/>
        <scheme val="minor"/>
      </rPr>
      <t xml:space="preserve">
up to 31/12/2006</t>
    </r>
  </si>
  <si>
    <t>5. % of target cancers that are screen-detected; whole trial (including France);
up to 31/12/2008</t>
  </si>
  <si>
    <t>Each trial center followed the common core protocol and provided key data to the joint independent data center every 6 months.</t>
  </si>
  <si>
    <t>Median 9.9 years</t>
  </si>
  <si>
    <t>No. of screen-detected cancers in screening cohort; up to 31/12/2008</t>
  </si>
  <si>
    <t>Number of prostate cancers in screening cohort</t>
  </si>
  <si>
    <t>Table 1A in supplementary appendix which is the data for all ages</t>
  </si>
  <si>
    <t>5. % of target cancers that are screen-detected; whole trial (excluding France);
up to 31/12/2008</t>
  </si>
  <si>
    <t>Median 11.0 years</t>
  </si>
  <si>
    <t>5. % of target cancers that are screen-detected; Netherlands;
up to 31/12/2008</t>
  </si>
  <si>
    <t>5. % of target cancers that are screen-detected; Belgium;
up to 31/12/2008</t>
  </si>
  <si>
    <t>Median 12.1 years</t>
  </si>
  <si>
    <t>5. % of target cancers that are screen-detected; Sweden;
up to 31/12/2008</t>
  </si>
  <si>
    <t>Median 14.0 years</t>
  </si>
  <si>
    <t>5. % of target cancers that are screen-detected; Finland;
up to 31/12/2008</t>
  </si>
  <si>
    <t>5. % of target cancers that are screen-detected; Italy;
up to 31/12/2008</t>
  </si>
  <si>
    <t>Median 10.7 years</t>
  </si>
  <si>
    <t>5. % of target cancers that are screen-detected; Spain;
up to 31/12/2008</t>
  </si>
  <si>
    <t>Median 10.6 years</t>
  </si>
  <si>
    <t>5. % of target cancers that are screen-detected; Switzerland;
up to 31/12/2008</t>
  </si>
  <si>
    <t>Median 8.2 years</t>
  </si>
  <si>
    <t>5. % of target cancers that are screen-detected; Herault (France);
up to 31/12/2008</t>
  </si>
  <si>
    <t>Median 4.4 years</t>
  </si>
  <si>
    <t>Herault</t>
  </si>
  <si>
    <t>5. % of target cancers that are screen-detected; Tarn (France);
up to 31/12/2008</t>
  </si>
  <si>
    <t>Median 5.5 years</t>
  </si>
  <si>
    <t>Tarn</t>
  </si>
  <si>
    <r>
      <t xml:space="preserve">5. % of target cancers that are screen-detected; whole trial (including France);
</t>
    </r>
    <r>
      <rPr>
        <b/>
        <sz val="10"/>
        <color rgb="FF00B050"/>
        <rFont val="Calibri"/>
        <family val="2"/>
        <scheme val="minor"/>
      </rPr>
      <t>men aged 55-69 years;</t>
    </r>
    <r>
      <rPr>
        <sz val="10"/>
        <color rgb="FF00B050"/>
        <rFont val="Calibri"/>
        <family val="2"/>
        <scheme val="minor"/>
      </rPr>
      <t xml:space="preserve">
up to 31/12/2008</t>
    </r>
  </si>
  <si>
    <t xml:space="preserve"> Median 9.8 years</t>
  </si>
  <si>
    <t>55-69 years</t>
  </si>
  <si>
    <r>
      <t xml:space="preserve">5. % of target cancers that are screen-detected; whole trial (excluding France);
</t>
    </r>
    <r>
      <rPr>
        <b/>
        <sz val="10"/>
        <color rgb="FF00B050"/>
        <rFont val="Calibri"/>
        <family val="2"/>
        <scheme val="minor"/>
      </rPr>
      <t>men aged 55-69 years;</t>
    </r>
    <r>
      <rPr>
        <sz val="10"/>
        <color rgb="FF00B050"/>
        <rFont val="Calibri"/>
        <family val="2"/>
        <scheme val="minor"/>
      </rPr>
      <t xml:space="preserve">
up to 31/12/2008</t>
    </r>
  </si>
  <si>
    <r>
      <t xml:space="preserve">5. % of target cancers that are screen-detected; Netherlands;
</t>
    </r>
    <r>
      <rPr>
        <b/>
        <sz val="10"/>
        <color rgb="FF00B050"/>
        <rFont val="Calibri"/>
        <family val="2"/>
        <scheme val="minor"/>
      </rPr>
      <t>men aged 55-69 years;</t>
    </r>
    <r>
      <rPr>
        <sz val="10"/>
        <color rgb="FF00B050"/>
        <rFont val="Calibri"/>
        <family val="2"/>
        <scheme val="minor"/>
      </rPr>
      <t xml:space="preserve">
up to 31/12/2008</t>
    </r>
  </si>
  <si>
    <t>Median 11.1 years</t>
  </si>
  <si>
    <r>
      <t xml:space="preserve">5. % of target cancers that are screen-detected; Belgium;
</t>
    </r>
    <r>
      <rPr>
        <b/>
        <sz val="10"/>
        <color rgb="FF00B050"/>
        <rFont val="Calibri"/>
        <family val="2"/>
        <scheme val="minor"/>
      </rPr>
      <t>men aged 55-69 years;</t>
    </r>
    <r>
      <rPr>
        <sz val="10"/>
        <color rgb="FF00B050"/>
        <rFont val="Calibri"/>
        <family val="2"/>
        <scheme val="minor"/>
      </rPr>
      <t xml:space="preserve">
up to 31/12/2008</t>
    </r>
  </si>
  <si>
    <r>
      <t xml:space="preserve">5. % of target cancers that are screen-detected; Sweden;
</t>
    </r>
    <r>
      <rPr>
        <b/>
        <sz val="10"/>
        <color rgb="FF00B050"/>
        <rFont val="Calibri"/>
        <family val="2"/>
        <scheme val="minor"/>
      </rPr>
      <t>men aged 55-69 years;</t>
    </r>
    <r>
      <rPr>
        <sz val="10"/>
        <color rgb="FF00B050"/>
        <rFont val="Calibri"/>
        <family val="2"/>
        <scheme val="minor"/>
      </rPr>
      <t xml:space="preserve">
up to 31/12/2008</t>
    </r>
  </si>
  <si>
    <r>
      <t xml:space="preserve">5. % of target cancers that are screen-detected; Finland;
</t>
    </r>
    <r>
      <rPr>
        <b/>
        <sz val="10"/>
        <color rgb="FF00B050"/>
        <rFont val="Calibri"/>
        <family val="2"/>
        <scheme val="minor"/>
      </rPr>
      <t>men aged 55-69 years;</t>
    </r>
    <r>
      <rPr>
        <sz val="10"/>
        <color rgb="FF00B050"/>
        <rFont val="Calibri"/>
        <family val="2"/>
        <scheme val="minor"/>
      </rPr>
      <t xml:space="preserve">
up to 31/12/2008</t>
    </r>
  </si>
  <si>
    <r>
      <t xml:space="preserve">5. % of target cancers that are screen-detected; Italy;
</t>
    </r>
    <r>
      <rPr>
        <b/>
        <sz val="10"/>
        <color rgb="FF00B050"/>
        <rFont val="Calibri"/>
        <family val="2"/>
        <scheme val="minor"/>
      </rPr>
      <t>men aged 55-69 years;</t>
    </r>
    <r>
      <rPr>
        <sz val="10"/>
        <color rgb="FF00B050"/>
        <rFont val="Calibri"/>
        <family val="2"/>
        <scheme val="minor"/>
      </rPr>
      <t xml:space="preserve">
up to 31/12/2008</t>
    </r>
  </si>
  <si>
    <r>
      <t xml:space="preserve">5. % of target cancers that are screen-detected; Spain;
</t>
    </r>
    <r>
      <rPr>
        <b/>
        <sz val="10"/>
        <color rgb="FF00B050"/>
        <rFont val="Calibri"/>
        <family val="2"/>
        <scheme val="minor"/>
      </rPr>
      <t>men aged 55-69 years;</t>
    </r>
    <r>
      <rPr>
        <sz val="10"/>
        <color rgb="FF00B050"/>
        <rFont val="Calibri"/>
        <family val="2"/>
        <scheme val="minor"/>
      </rPr>
      <t xml:space="preserve">
up to 31/12/2008</t>
    </r>
  </si>
  <si>
    <r>
      <t xml:space="preserve">5. % of target cancers that are screen-detected; Switzerland;
</t>
    </r>
    <r>
      <rPr>
        <b/>
        <sz val="10"/>
        <color rgb="FF00B050"/>
        <rFont val="Calibri"/>
        <family val="2"/>
        <scheme val="minor"/>
      </rPr>
      <t>men aged 55-69 years;</t>
    </r>
    <r>
      <rPr>
        <sz val="10"/>
        <color rgb="FF00B050"/>
        <rFont val="Calibri"/>
        <family val="2"/>
        <scheme val="minor"/>
      </rPr>
      <t xml:space="preserve">
up to 31/12/2008</t>
    </r>
  </si>
  <si>
    <r>
      <t xml:space="preserve">5. % of target cancers that are screen-detected; Herault (France);
</t>
    </r>
    <r>
      <rPr>
        <b/>
        <sz val="10"/>
        <color rgb="FF00B050"/>
        <rFont val="Calibri"/>
        <family val="2"/>
        <scheme val="minor"/>
      </rPr>
      <t>men aged 55-69 years;</t>
    </r>
    <r>
      <rPr>
        <sz val="10"/>
        <color rgb="FF00B050"/>
        <rFont val="Calibri"/>
        <family val="2"/>
        <scheme val="minor"/>
      </rPr>
      <t xml:space="preserve">
up to 31/12/2008</t>
    </r>
  </si>
  <si>
    <t>Herault;
55-69 years</t>
  </si>
  <si>
    <r>
      <t xml:space="preserve">5. % of target cancers that are screen-detected; Tarn (France);
</t>
    </r>
    <r>
      <rPr>
        <b/>
        <sz val="10"/>
        <color rgb="FF00B050"/>
        <rFont val="Calibri"/>
        <family val="2"/>
        <scheme val="minor"/>
      </rPr>
      <t>men aged 55-69 years;</t>
    </r>
    <r>
      <rPr>
        <sz val="10"/>
        <color rgb="FF00B050"/>
        <rFont val="Calibri"/>
        <family val="2"/>
        <scheme val="minor"/>
      </rPr>
      <t xml:space="preserve">
up to 31/12/2008</t>
    </r>
  </si>
  <si>
    <t>Tarn;
55-69 years</t>
  </si>
  <si>
    <t>7. Diagnostic yield at screening (per 1,000 men); whole trial (including France);
up to 31/12/2008</t>
  </si>
  <si>
    <t>7. Diagnostic yield at screening (per 1,000 men); whole trial (excluding France);
up to 31/12/2008</t>
  </si>
  <si>
    <t>7. Diagnostic yield at screening (per 1,000 men); Netherlands;
up to 31/12/2008</t>
  </si>
  <si>
    <t>7. Diagnostic yield at screening (per 1,000 men); Belgium;
up to 31/12/2008</t>
  </si>
  <si>
    <t>7. Diagnostic yield at screening (per 1,000 men); Sweden;
up to 31/12/2008</t>
  </si>
  <si>
    <t>7. Diagnostic yield at screening (per 1,000 men); Finland;
up to 31/12/2008</t>
  </si>
  <si>
    <t>7. Diagnostic yield at screening (per 1,000 men); Italy;
up to 31/12/2008</t>
  </si>
  <si>
    <t>7. Diagnostic yield at screening (per 1,000 men); Spain;
up to 31/12/2008</t>
  </si>
  <si>
    <t>7. Diagnostic yield at screening (per 1,000 men); Switzerland;
up to 31/12/2008</t>
  </si>
  <si>
    <t>7. Diagnostic yield at screening (per 1,000 men); Herault (France);
up to 31/12/2008</t>
  </si>
  <si>
    <t>7. Diagnostic yield at screening (per 1,000 men); Tarn (France);
up to 31/12/2008</t>
  </si>
  <si>
    <r>
      <t xml:space="preserve">7. Diagnostic yield at screening (per 1,000 men); whole trial (including France);
</t>
    </r>
    <r>
      <rPr>
        <b/>
        <sz val="10"/>
        <color rgb="FF00B050"/>
        <rFont val="Calibri"/>
        <family val="2"/>
        <scheme val="minor"/>
      </rPr>
      <t>men aged 55-69 years;</t>
    </r>
    <r>
      <rPr>
        <sz val="10"/>
        <color rgb="FF00B050"/>
        <rFont val="Calibri"/>
        <family val="2"/>
        <scheme val="minor"/>
      </rPr>
      <t xml:space="preserve">
up to 31/12/2008</t>
    </r>
  </si>
  <si>
    <r>
      <t xml:space="preserve">7. Diagnostic yield at screening (per 1,000 men); whole trial (excluding France);
</t>
    </r>
    <r>
      <rPr>
        <b/>
        <sz val="10"/>
        <color rgb="FF00B050"/>
        <rFont val="Calibri"/>
        <family val="2"/>
        <scheme val="minor"/>
      </rPr>
      <t>men aged 55-69 years;</t>
    </r>
    <r>
      <rPr>
        <sz val="10"/>
        <color rgb="FF00B050"/>
        <rFont val="Calibri"/>
        <family val="2"/>
        <scheme val="minor"/>
      </rPr>
      <t xml:space="preserve">
up to 31/12/2008</t>
    </r>
  </si>
  <si>
    <r>
      <t xml:space="preserve">7. Diagnostic yield at screening (per 1,000 men); Netherlands;
</t>
    </r>
    <r>
      <rPr>
        <b/>
        <sz val="10"/>
        <color rgb="FF00B050"/>
        <rFont val="Calibri"/>
        <family val="2"/>
        <scheme val="minor"/>
      </rPr>
      <t>men aged 55-69 years;</t>
    </r>
    <r>
      <rPr>
        <sz val="10"/>
        <color rgb="FF00B050"/>
        <rFont val="Calibri"/>
        <family val="2"/>
        <scheme val="minor"/>
      </rPr>
      <t xml:space="preserve">
up to 31/12/2008</t>
    </r>
  </si>
  <si>
    <r>
      <t xml:space="preserve">7. Diagnostic yield at screening (per 1,000 men); Belgium;
</t>
    </r>
    <r>
      <rPr>
        <b/>
        <sz val="10"/>
        <color rgb="FF00B050"/>
        <rFont val="Calibri"/>
        <family val="2"/>
        <scheme val="minor"/>
      </rPr>
      <t>men aged 55-69 years;</t>
    </r>
    <r>
      <rPr>
        <sz val="10"/>
        <color rgb="FF00B050"/>
        <rFont val="Calibri"/>
        <family val="2"/>
        <scheme val="minor"/>
      </rPr>
      <t xml:space="preserve">
up to 31/12/2008</t>
    </r>
  </si>
  <si>
    <r>
      <t xml:space="preserve">7. Diagnostic yield at screening (per 1,000 men); Sweden;
</t>
    </r>
    <r>
      <rPr>
        <b/>
        <sz val="10"/>
        <color rgb="FF00B050"/>
        <rFont val="Calibri"/>
        <family val="2"/>
        <scheme val="minor"/>
      </rPr>
      <t>men aged 55-69 years;</t>
    </r>
    <r>
      <rPr>
        <sz val="10"/>
        <color rgb="FF00B050"/>
        <rFont val="Calibri"/>
        <family val="2"/>
        <scheme val="minor"/>
      </rPr>
      <t xml:space="preserve">
up to 31/12/2008</t>
    </r>
  </si>
  <si>
    <r>
      <t xml:space="preserve">7. Diagnostic yield at screening (per 1,000 men); Finland;
</t>
    </r>
    <r>
      <rPr>
        <b/>
        <sz val="10"/>
        <color rgb="FF00B050"/>
        <rFont val="Calibri"/>
        <family val="2"/>
        <scheme val="minor"/>
      </rPr>
      <t>men aged 55-69 years;</t>
    </r>
    <r>
      <rPr>
        <sz val="10"/>
        <color rgb="FF00B050"/>
        <rFont val="Calibri"/>
        <family val="2"/>
        <scheme val="minor"/>
      </rPr>
      <t xml:space="preserve">
up to 31/12/2008</t>
    </r>
  </si>
  <si>
    <r>
      <t xml:space="preserve">7. Diagnostic yield at screening (per 1,000 men); Italy;
</t>
    </r>
    <r>
      <rPr>
        <b/>
        <sz val="10"/>
        <color rgb="FF00B050"/>
        <rFont val="Calibri"/>
        <family val="2"/>
        <scheme val="minor"/>
      </rPr>
      <t>men aged 55-69 years;</t>
    </r>
    <r>
      <rPr>
        <sz val="10"/>
        <color rgb="FF00B050"/>
        <rFont val="Calibri"/>
        <family val="2"/>
        <scheme val="minor"/>
      </rPr>
      <t xml:space="preserve">
up to 31/12/2008</t>
    </r>
  </si>
  <si>
    <r>
      <t xml:space="preserve">7. Diagnostic yield at screening (per 1,000 men); Spain;
</t>
    </r>
    <r>
      <rPr>
        <b/>
        <sz val="10"/>
        <color rgb="FF00B050"/>
        <rFont val="Calibri"/>
        <family val="2"/>
        <scheme val="minor"/>
      </rPr>
      <t>men aged 55-69 years;</t>
    </r>
    <r>
      <rPr>
        <sz val="10"/>
        <color rgb="FF00B050"/>
        <rFont val="Calibri"/>
        <family val="2"/>
        <scheme val="minor"/>
      </rPr>
      <t xml:space="preserve">
up to 31/12/2008</t>
    </r>
  </si>
  <si>
    <r>
      <t xml:space="preserve">7. Diagnostic yield at screening (per 1,000 men); Switzerland;
</t>
    </r>
    <r>
      <rPr>
        <b/>
        <sz val="10"/>
        <color rgb="FF00B050"/>
        <rFont val="Calibri"/>
        <family val="2"/>
        <scheme val="minor"/>
      </rPr>
      <t>men aged 55-69 years;</t>
    </r>
    <r>
      <rPr>
        <sz val="10"/>
        <color rgb="FF00B050"/>
        <rFont val="Calibri"/>
        <family val="2"/>
        <scheme val="minor"/>
      </rPr>
      <t xml:space="preserve">
up to 31/12/2008</t>
    </r>
  </si>
  <si>
    <r>
      <t xml:space="preserve">7. Diagnostic yield at screening (per 1,000 men); Herault (France);
</t>
    </r>
    <r>
      <rPr>
        <b/>
        <sz val="10"/>
        <color rgb="FF00B050"/>
        <rFont val="Calibri"/>
        <family val="2"/>
        <scheme val="minor"/>
      </rPr>
      <t>men aged 55-69 years;</t>
    </r>
    <r>
      <rPr>
        <sz val="10"/>
        <color rgb="FF00B050"/>
        <rFont val="Calibri"/>
        <family val="2"/>
        <scheme val="minor"/>
      </rPr>
      <t xml:space="preserve">
up to 31/12/2008</t>
    </r>
  </si>
  <si>
    <r>
      <t xml:space="preserve">7. Diagnostic yield at screening (per 1,000 men); Tarn (France);
</t>
    </r>
    <r>
      <rPr>
        <b/>
        <sz val="10"/>
        <color rgb="FF00B050"/>
        <rFont val="Calibri"/>
        <family val="2"/>
        <scheme val="minor"/>
      </rPr>
      <t>men aged 55-69 years;</t>
    </r>
    <r>
      <rPr>
        <sz val="10"/>
        <color rgb="FF00B050"/>
        <rFont val="Calibri"/>
        <family val="2"/>
        <scheme val="minor"/>
      </rPr>
      <t xml:space="preserve">
up to 31/12/2008</t>
    </r>
  </si>
  <si>
    <t>5. % of target cancers that are screen-detected; whole trial (including France);
up to 31/12/2010</t>
  </si>
  <si>
    <t>Median 11.4 years</t>
  </si>
  <si>
    <t>No. of screen-detected cancers in screening cohort; up to 31/12/2010</t>
  </si>
  <si>
    <t>Number of prostate cancers in screening cohort; up to 31/12/2010</t>
  </si>
  <si>
    <t>5. % of target cancers that are screen-detected; whole trial (excluding France);
up to 31/12/2010</t>
  </si>
  <si>
    <t>Median 13.0 years</t>
  </si>
  <si>
    <t>Whole trial (excluding France)</t>
  </si>
  <si>
    <t>5. % of target cancers that are screen-detected; Netherlands;
up to 31/12/2010</t>
  </si>
  <si>
    <t>Median 12.8 years</t>
  </si>
  <si>
    <t>5. % of target cancers that are screen-detected; Belgium;
up to 31/12/2010</t>
  </si>
  <si>
    <t>5. % of target cancers that are screen-detected; Sweden;
up to 31/12/2010</t>
  </si>
  <si>
    <t>5. % of target cancers that are screen-detected; Finland;
up to 31/12/2010</t>
  </si>
  <si>
    <t>5. % of target cancers that are screen-detected; Italy;
up to 31/12/2010</t>
  </si>
  <si>
    <t>Median 12.6 years</t>
  </si>
  <si>
    <t>5. % of target cancers that are screen-detected; Spain;
up to 31/12/2010</t>
  </si>
  <si>
    <t>5. % of target cancers that are screen-detected; Switzerland;
up to 31/12/2010</t>
  </si>
  <si>
    <t>Median 10.2 years</t>
  </si>
  <si>
    <t>5. % of target cancers that are screen-detected; Herault (France);
up to 31/12/2010</t>
  </si>
  <si>
    <t>Median 6.4 years</t>
  </si>
  <si>
    <t>5. % of target cancers that are screen-detected; Tarn (France);
up to 31/12/2010</t>
  </si>
  <si>
    <t>Median 7.5 years</t>
  </si>
  <si>
    <r>
      <t xml:space="preserve">5. % of target cancers that are screen-detected; whole trial (including France);
</t>
    </r>
    <r>
      <rPr>
        <b/>
        <sz val="10"/>
        <color rgb="FF00B050"/>
        <rFont val="Calibri"/>
        <family val="2"/>
        <scheme val="minor"/>
      </rPr>
      <t>men aged 55-69 years;</t>
    </r>
    <r>
      <rPr>
        <sz val="10"/>
        <color rgb="FF00B050"/>
        <rFont val="Calibri"/>
        <family val="2"/>
        <scheme val="minor"/>
      </rPr>
      <t xml:space="preserve">
up to 31/12/2010</t>
    </r>
  </si>
  <si>
    <t xml:space="preserve"> Median 11.3 years</t>
  </si>
  <si>
    <r>
      <t xml:space="preserve">5. % of target cancers that are screen-detected; whole trial (excluding France);
</t>
    </r>
    <r>
      <rPr>
        <b/>
        <sz val="10"/>
        <color rgb="FF00B050"/>
        <rFont val="Calibri"/>
        <family val="2"/>
        <scheme val="minor"/>
      </rPr>
      <t>men aged 55-69 years;</t>
    </r>
    <r>
      <rPr>
        <sz val="10"/>
        <color rgb="FF00B050"/>
        <rFont val="Calibri"/>
        <family val="2"/>
        <scheme val="minor"/>
      </rPr>
      <t xml:space="preserve">
up to 31/12/2010</t>
    </r>
  </si>
  <si>
    <t xml:space="preserve"> Median 13.0 years</t>
  </si>
  <si>
    <t>Whole trial excluding France; 
55-69 years</t>
  </si>
  <si>
    <r>
      <t xml:space="preserve">5. % of target cancers that are screen-detected; Netherlands;
</t>
    </r>
    <r>
      <rPr>
        <b/>
        <sz val="10"/>
        <color rgb="FF00B050"/>
        <rFont val="Calibri"/>
        <family val="2"/>
        <scheme val="minor"/>
      </rPr>
      <t>men aged 55-69 years;</t>
    </r>
    <r>
      <rPr>
        <sz val="10"/>
        <color rgb="FF00B050"/>
        <rFont val="Calibri"/>
        <family val="2"/>
        <scheme val="minor"/>
      </rPr>
      <t xml:space="preserve">
up to 31/12/2010</t>
    </r>
  </si>
  <si>
    <r>
      <t xml:space="preserve">5. % of target cancers that are screen-detected; Belgium;
</t>
    </r>
    <r>
      <rPr>
        <b/>
        <sz val="10"/>
        <color rgb="FF00B050"/>
        <rFont val="Calibri"/>
        <family val="2"/>
        <scheme val="minor"/>
      </rPr>
      <t>men aged 55-69 years;</t>
    </r>
    <r>
      <rPr>
        <sz val="10"/>
        <color rgb="FF00B050"/>
        <rFont val="Calibri"/>
        <family val="2"/>
        <scheme val="minor"/>
      </rPr>
      <t xml:space="preserve">
up to 31/12/2010</t>
    </r>
  </si>
  <si>
    <r>
      <t xml:space="preserve">5. % of target cancers that are screen-detected; Sweden;
</t>
    </r>
    <r>
      <rPr>
        <b/>
        <sz val="10"/>
        <color rgb="FF00B050"/>
        <rFont val="Calibri"/>
        <family val="2"/>
        <scheme val="minor"/>
      </rPr>
      <t>men aged 55-69 years;</t>
    </r>
    <r>
      <rPr>
        <sz val="10"/>
        <color rgb="FF00B050"/>
        <rFont val="Calibri"/>
        <family val="2"/>
        <scheme val="minor"/>
      </rPr>
      <t xml:space="preserve">
up to 31/12/2010</t>
    </r>
  </si>
  <si>
    <r>
      <t xml:space="preserve">5. % of target cancers that are screen-detected; Finland;
</t>
    </r>
    <r>
      <rPr>
        <b/>
        <sz val="10"/>
        <color rgb="FF00B050"/>
        <rFont val="Calibri"/>
        <family val="2"/>
        <scheme val="minor"/>
      </rPr>
      <t>men aged 55-69 years;</t>
    </r>
    <r>
      <rPr>
        <sz val="10"/>
        <color rgb="FF00B050"/>
        <rFont val="Calibri"/>
        <family val="2"/>
        <scheme val="minor"/>
      </rPr>
      <t xml:space="preserve">
up to 31/12/2010</t>
    </r>
  </si>
  <si>
    <r>
      <t xml:space="preserve">5. % of target cancers that are screen-detected; Italy;
</t>
    </r>
    <r>
      <rPr>
        <b/>
        <sz val="10"/>
        <color rgb="FF00B050"/>
        <rFont val="Calibri"/>
        <family val="2"/>
        <scheme val="minor"/>
      </rPr>
      <t>men aged 55-69 years;</t>
    </r>
    <r>
      <rPr>
        <sz val="10"/>
        <color rgb="FF00B050"/>
        <rFont val="Calibri"/>
        <family val="2"/>
        <scheme val="minor"/>
      </rPr>
      <t xml:space="preserve">
up to 31/12/2010</t>
    </r>
  </si>
  <si>
    <t>Median 12.7 years</t>
  </si>
  <si>
    <r>
      <t xml:space="preserve">5. % of target cancers that are screen-detected; Spain;
</t>
    </r>
    <r>
      <rPr>
        <b/>
        <sz val="10"/>
        <color rgb="FF00B050"/>
        <rFont val="Calibri"/>
        <family val="2"/>
        <scheme val="minor"/>
      </rPr>
      <t>men aged 55-69 years;</t>
    </r>
    <r>
      <rPr>
        <sz val="10"/>
        <color rgb="FF00B050"/>
        <rFont val="Calibri"/>
        <family val="2"/>
        <scheme val="minor"/>
      </rPr>
      <t xml:space="preserve">
up to 31/12/2010</t>
    </r>
  </si>
  <si>
    <r>
      <t xml:space="preserve">5. % of target cancers that are screen-detected; Switzerland;
</t>
    </r>
    <r>
      <rPr>
        <b/>
        <sz val="10"/>
        <color rgb="FF00B050"/>
        <rFont val="Calibri"/>
        <family val="2"/>
        <scheme val="minor"/>
      </rPr>
      <t>men aged 55-69 years;</t>
    </r>
    <r>
      <rPr>
        <sz val="10"/>
        <color rgb="FF00B050"/>
        <rFont val="Calibri"/>
        <family val="2"/>
        <scheme val="minor"/>
      </rPr>
      <t xml:space="preserve">
up to 31/12/2010</t>
    </r>
  </si>
  <si>
    <r>
      <t xml:space="preserve">5. % of target cancers that are screen-detected; Herault (France);
</t>
    </r>
    <r>
      <rPr>
        <b/>
        <sz val="10"/>
        <color rgb="FF00B050"/>
        <rFont val="Calibri"/>
        <family val="2"/>
        <scheme val="minor"/>
      </rPr>
      <t>men aged 55-69 years;</t>
    </r>
    <r>
      <rPr>
        <sz val="10"/>
        <color rgb="FF00B050"/>
        <rFont val="Calibri"/>
        <family val="2"/>
        <scheme val="minor"/>
      </rPr>
      <t xml:space="preserve">
up to 31/12/2010</t>
    </r>
  </si>
  <si>
    <r>
      <t xml:space="preserve">5. % of target cancers that are screen-detected; Tarn (France);
</t>
    </r>
    <r>
      <rPr>
        <b/>
        <sz val="10"/>
        <color rgb="FF00B050"/>
        <rFont val="Calibri"/>
        <family val="2"/>
        <scheme val="minor"/>
      </rPr>
      <t>men aged 55-69 years;</t>
    </r>
    <r>
      <rPr>
        <sz val="10"/>
        <color rgb="FF00B050"/>
        <rFont val="Calibri"/>
        <family val="2"/>
        <scheme val="minor"/>
      </rPr>
      <t xml:space="preserve">
up to 31/12/2010</t>
    </r>
  </si>
  <si>
    <t>7. Diagnostic yield at screening (per 1,000 men); whole trial (including France);
up to 31/12/2010</t>
  </si>
  <si>
    <t>7. Diagnostic yield at screening (per 1,000 men);  whole trial (excluding France);
up to 31/12/2010</t>
  </si>
  <si>
    <t>7. Diagnostic yield at screening (per 1,000 men);  Netherlands;
up to 31/12/2010</t>
  </si>
  <si>
    <t>7. Diagnostic yield at screening (per 1,000 men); Belgium;
up to 31/12/2010</t>
  </si>
  <si>
    <t>7. Diagnostic yield at screening (per 1,000 men); Sweden;
up to 31/12/2010</t>
  </si>
  <si>
    <t>7. Diagnostic yield at screening (per 1,000 men); Finland;
up to 31/12/2010</t>
  </si>
  <si>
    <t>7. Diagnostic yield at screening (per 1,000 men); Italy;
up to 31/12/2010</t>
  </si>
  <si>
    <t>7. Diagnostic yield at screening (per 1,000 men); Spain;
up to 31/12/2010</t>
  </si>
  <si>
    <t>7. Diagnostic yield at screening (per 1,000 men);  Switzerland;
up to 31/12/2010</t>
  </si>
  <si>
    <t>7. Diagnostic yield at screening (per 1,000 men); Herault (France);
up to 31/12/2010</t>
  </si>
  <si>
    <t>7. Diagnostic yield at screening (per 1,000 men); Tarn (France);
up to 31/12/2010</t>
  </si>
  <si>
    <r>
      <t xml:space="preserve">7. Diagnostic yield at screening (per 1,000 men);  whole trial (including France);
</t>
    </r>
    <r>
      <rPr>
        <b/>
        <sz val="10"/>
        <color rgb="FF00B050"/>
        <rFont val="Calibri"/>
        <family val="2"/>
        <scheme val="minor"/>
      </rPr>
      <t>men aged 55-69 years;</t>
    </r>
    <r>
      <rPr>
        <sz val="10"/>
        <color rgb="FF00B050"/>
        <rFont val="Calibri"/>
        <family val="2"/>
        <scheme val="minor"/>
      </rPr>
      <t xml:space="preserve">
up to 31/12/2010</t>
    </r>
  </si>
  <si>
    <r>
      <t xml:space="preserve">7. Diagnostic yield at screening (per 1,000 men); whole trial (excluding France);
</t>
    </r>
    <r>
      <rPr>
        <b/>
        <sz val="10"/>
        <color rgb="FF00B050"/>
        <rFont val="Calibri"/>
        <family val="2"/>
        <scheme val="minor"/>
      </rPr>
      <t>men aged 55-69 years;</t>
    </r>
    <r>
      <rPr>
        <sz val="10"/>
        <color rgb="FF00B050"/>
        <rFont val="Calibri"/>
        <family val="2"/>
        <scheme val="minor"/>
      </rPr>
      <t xml:space="preserve">
up to 31/12/2010</t>
    </r>
  </si>
  <si>
    <r>
      <t xml:space="preserve">7. Diagnostic yield at screening (per 1,000 men); Netherlands;
</t>
    </r>
    <r>
      <rPr>
        <b/>
        <sz val="10"/>
        <color rgb="FF00B050"/>
        <rFont val="Calibri"/>
        <family val="2"/>
        <scheme val="minor"/>
      </rPr>
      <t>men aged 55-69 years;</t>
    </r>
    <r>
      <rPr>
        <sz val="10"/>
        <color rgb="FF00B050"/>
        <rFont val="Calibri"/>
        <family val="2"/>
        <scheme val="minor"/>
      </rPr>
      <t xml:space="preserve">
up to 31/12/2010</t>
    </r>
  </si>
  <si>
    <r>
      <t xml:space="preserve">7. Diagnostic yield at screening (per 1,000 men); Belgium;
</t>
    </r>
    <r>
      <rPr>
        <b/>
        <sz val="10"/>
        <color rgb="FF00B050"/>
        <rFont val="Calibri"/>
        <family val="2"/>
        <scheme val="minor"/>
      </rPr>
      <t>men aged 55-69 years;</t>
    </r>
    <r>
      <rPr>
        <sz val="10"/>
        <color rgb="FF00B050"/>
        <rFont val="Calibri"/>
        <family val="2"/>
        <scheme val="minor"/>
      </rPr>
      <t xml:space="preserve">
up to 31/12/2010</t>
    </r>
  </si>
  <si>
    <r>
      <t xml:space="preserve">7. Diagnostic yield at screening (per 1,000 men); Sweden;
</t>
    </r>
    <r>
      <rPr>
        <b/>
        <sz val="10"/>
        <color rgb="FF00B050"/>
        <rFont val="Calibri"/>
        <family val="2"/>
        <scheme val="minor"/>
      </rPr>
      <t>men aged 55-69 years;</t>
    </r>
    <r>
      <rPr>
        <sz val="10"/>
        <color rgb="FF00B050"/>
        <rFont val="Calibri"/>
        <family val="2"/>
        <scheme val="minor"/>
      </rPr>
      <t xml:space="preserve">
up to 31/12/2010</t>
    </r>
  </si>
  <si>
    <r>
      <t xml:space="preserve">7. Diagnostic yield at screening (per 1,000 men); Finland;
</t>
    </r>
    <r>
      <rPr>
        <b/>
        <sz val="10"/>
        <color rgb="FF00B050"/>
        <rFont val="Calibri"/>
        <family val="2"/>
        <scheme val="minor"/>
      </rPr>
      <t>men aged 55-69 years;</t>
    </r>
    <r>
      <rPr>
        <sz val="10"/>
        <color rgb="FF00B050"/>
        <rFont val="Calibri"/>
        <family val="2"/>
        <scheme val="minor"/>
      </rPr>
      <t xml:space="preserve">
up to 31/12/2010</t>
    </r>
  </si>
  <si>
    <r>
      <t xml:space="preserve">7. Diagnostic yield at screening (per 1,000 men); Italy;
</t>
    </r>
    <r>
      <rPr>
        <b/>
        <sz val="10"/>
        <color rgb="FF00B050"/>
        <rFont val="Calibri"/>
        <family val="2"/>
        <scheme val="minor"/>
      </rPr>
      <t>men aged 55-69 years;</t>
    </r>
    <r>
      <rPr>
        <sz val="10"/>
        <color rgb="FF00B050"/>
        <rFont val="Calibri"/>
        <family val="2"/>
        <scheme val="minor"/>
      </rPr>
      <t xml:space="preserve">
up to 31/12/2010</t>
    </r>
  </si>
  <si>
    <r>
      <t xml:space="preserve">7. Diagnostic yield at screening (per 1,000 men); Spain;
</t>
    </r>
    <r>
      <rPr>
        <b/>
        <sz val="10"/>
        <color rgb="FF00B050"/>
        <rFont val="Calibri"/>
        <family val="2"/>
        <scheme val="minor"/>
      </rPr>
      <t>men aged 55-69 years;</t>
    </r>
    <r>
      <rPr>
        <sz val="10"/>
        <color rgb="FF00B050"/>
        <rFont val="Calibri"/>
        <family val="2"/>
        <scheme val="minor"/>
      </rPr>
      <t xml:space="preserve">
up to 31/12/2010</t>
    </r>
  </si>
  <si>
    <r>
      <t xml:space="preserve">7. Diagnostic yield at screening (per 1,000 men);  Switzerland;
</t>
    </r>
    <r>
      <rPr>
        <b/>
        <sz val="10"/>
        <color rgb="FF00B050"/>
        <rFont val="Calibri"/>
        <family val="2"/>
        <scheme val="minor"/>
      </rPr>
      <t>men aged 55-69 years;</t>
    </r>
    <r>
      <rPr>
        <sz val="10"/>
        <color rgb="FF00B050"/>
        <rFont val="Calibri"/>
        <family val="2"/>
        <scheme val="minor"/>
      </rPr>
      <t xml:space="preserve">
up to 31/12/2010</t>
    </r>
  </si>
  <si>
    <r>
      <t xml:space="preserve">7. Diagnostic yield at screening (per 1,000 men); Herault (France);
</t>
    </r>
    <r>
      <rPr>
        <b/>
        <sz val="10"/>
        <color rgb="FF00B050"/>
        <rFont val="Calibri"/>
        <family val="2"/>
        <scheme val="minor"/>
      </rPr>
      <t>men aged 55-69 years;</t>
    </r>
    <r>
      <rPr>
        <sz val="10"/>
        <color rgb="FF00B050"/>
        <rFont val="Calibri"/>
        <family val="2"/>
        <scheme val="minor"/>
      </rPr>
      <t xml:space="preserve">
up to 31/12/2010</t>
    </r>
  </si>
  <si>
    <r>
      <t xml:space="preserve">7. Diagnostic yield at screening (per 1,000 men); Tarn (France);
</t>
    </r>
    <r>
      <rPr>
        <b/>
        <sz val="10"/>
        <color rgb="FF00B050"/>
        <rFont val="Calibri"/>
        <family val="2"/>
        <scheme val="minor"/>
      </rPr>
      <t>men aged 55-69 years;</t>
    </r>
    <r>
      <rPr>
        <sz val="10"/>
        <color rgb="FF00B050"/>
        <rFont val="Calibri"/>
        <family val="2"/>
        <scheme val="minor"/>
      </rPr>
      <t xml:space="preserve">
up to 31/12/2010</t>
    </r>
  </si>
  <si>
    <r>
      <t xml:space="preserve">5. % of target cancers that are screen-detected; whole trial (including France);
</t>
    </r>
    <r>
      <rPr>
        <b/>
        <sz val="10"/>
        <color rgb="FF00B050"/>
        <rFont val="Calibri"/>
        <family val="2"/>
        <scheme val="minor"/>
      </rPr>
      <t>men aged 55-69 years;</t>
    </r>
    <r>
      <rPr>
        <sz val="10"/>
        <color rgb="FF00B050"/>
        <rFont val="Calibri"/>
        <family val="2"/>
        <scheme val="minor"/>
      </rPr>
      <t xml:space="preserve">
up to 31/12/2014 or 16 years of FU</t>
    </r>
  </si>
  <si>
    <t>PCa incidence was monitored by country for cancer and vital status. All randomised men were linked with cancer registers and reported biannually to the central database.</t>
  </si>
  <si>
    <t>16 year FU</t>
  </si>
  <si>
    <t>Median 13.0 years (IQR 9.5-16.0)</t>
  </si>
  <si>
    <t>No. of screen-detected cancers in screening cohort; up to 31/12/2014 or 16 years of FU</t>
  </si>
  <si>
    <t>Number of prostate cancers in screening cohort; up to 31/12/2014 or 16 years of FU</t>
  </si>
  <si>
    <r>
      <t xml:space="preserve">5. % of target cancers that are screen-detected; whole trial excluding France;
</t>
    </r>
    <r>
      <rPr>
        <b/>
        <sz val="10"/>
        <color rgb="FF00B050"/>
        <rFont val="Calibri"/>
        <family val="2"/>
        <scheme val="minor"/>
      </rPr>
      <t>men aged 55-69 years;</t>
    </r>
    <r>
      <rPr>
        <sz val="10"/>
        <color rgb="FF00B050"/>
        <rFont val="Calibri"/>
        <family val="2"/>
        <scheme val="minor"/>
      </rPr>
      <t xml:space="preserve">
up to 31/12/2014 or 16 years of FU</t>
    </r>
  </si>
  <si>
    <t>Median 16.0 years (IQR 13.0-16.0)</t>
  </si>
  <si>
    <r>
      <t xml:space="preserve">5. % of target cancers that are screen-detected; Netherlands;
</t>
    </r>
    <r>
      <rPr>
        <b/>
        <sz val="10"/>
        <color rgb="FF00B050"/>
        <rFont val="Calibri"/>
        <family val="2"/>
        <scheme val="minor"/>
      </rPr>
      <t>men aged 55-69 years;</t>
    </r>
    <r>
      <rPr>
        <sz val="10"/>
        <color rgb="FF00B050"/>
        <rFont val="Calibri"/>
        <family val="2"/>
        <scheme val="minor"/>
      </rPr>
      <t xml:space="preserve">
up to 31/12/2014 or 16 years of FU</t>
    </r>
  </si>
  <si>
    <t>Median 16.0 years (IQR 13.8-16.0)</t>
  </si>
  <si>
    <r>
      <t xml:space="preserve">5. % of target cancers that are screen-detected; Belgium;
</t>
    </r>
    <r>
      <rPr>
        <b/>
        <sz val="10"/>
        <color rgb="FF00B050"/>
        <rFont val="Calibri"/>
        <family val="2"/>
        <scheme val="minor"/>
      </rPr>
      <t>men aged 55-69 years;</t>
    </r>
    <r>
      <rPr>
        <sz val="10"/>
        <color rgb="FF00B050"/>
        <rFont val="Calibri"/>
        <family val="2"/>
        <scheme val="minor"/>
      </rPr>
      <t xml:space="preserve">
up to 31/12/2014 or 16 years of FU</t>
    </r>
  </si>
  <si>
    <t>Median 16.0 years (IQR 11.1-16.0)</t>
  </si>
  <si>
    <r>
      <t xml:space="preserve">5. % of target cancers that are screen-detected; Sweden;
</t>
    </r>
    <r>
      <rPr>
        <b/>
        <sz val="10"/>
        <color rgb="FF00B050"/>
        <rFont val="Calibri"/>
        <family val="2"/>
        <scheme val="minor"/>
      </rPr>
      <t>men aged 55-69 years;</t>
    </r>
    <r>
      <rPr>
        <sz val="10"/>
        <color rgb="FF00B050"/>
        <rFont val="Calibri"/>
        <family val="2"/>
        <scheme val="minor"/>
      </rPr>
      <t xml:space="preserve">
up to 31/12/2014 or 16 years of FU</t>
    </r>
  </si>
  <si>
    <t>Median 16.0 years (IQR 13.9-16.0)</t>
  </si>
  <si>
    <r>
      <t xml:space="preserve">5. % of target cancers that are screen-detected; Finland;
</t>
    </r>
    <r>
      <rPr>
        <b/>
        <sz val="10"/>
        <color rgb="FF00B050"/>
        <rFont val="Calibri"/>
        <family val="2"/>
        <scheme val="minor"/>
      </rPr>
      <t>men aged 55-69 years;</t>
    </r>
    <r>
      <rPr>
        <sz val="10"/>
        <color rgb="FF00B050"/>
        <rFont val="Calibri"/>
        <family val="2"/>
        <scheme val="minor"/>
      </rPr>
      <t xml:space="preserve">
up to 31/12/2014 or 16 years of FU</t>
    </r>
  </si>
  <si>
    <r>
      <t xml:space="preserve">5. % of target cancers that are screen-detected; Italy;
</t>
    </r>
    <r>
      <rPr>
        <b/>
        <sz val="10"/>
        <color rgb="FF00B050"/>
        <rFont val="Calibri"/>
        <family val="2"/>
        <scheme val="minor"/>
      </rPr>
      <t>men aged 55-69 years;</t>
    </r>
    <r>
      <rPr>
        <sz val="10"/>
        <color rgb="FF00B050"/>
        <rFont val="Calibri"/>
        <family val="2"/>
        <scheme val="minor"/>
      </rPr>
      <t xml:space="preserve">
up to 31/12/2014 or 16 years of FU</t>
    </r>
  </si>
  <si>
    <t>Median 15.0 years (IQR 13.2-16.0)</t>
  </si>
  <si>
    <r>
      <t xml:space="preserve">5. % of target cancers that are screen-detected; Spain;
</t>
    </r>
    <r>
      <rPr>
        <b/>
        <sz val="10"/>
        <color rgb="FF00B050"/>
        <rFont val="Calibri"/>
        <family val="2"/>
        <scheme val="minor"/>
      </rPr>
      <t>men aged 55-69 years;</t>
    </r>
    <r>
      <rPr>
        <sz val="10"/>
        <color rgb="FF00B050"/>
        <rFont val="Calibri"/>
        <family val="2"/>
        <scheme val="minor"/>
      </rPr>
      <t xml:space="preserve">
up to 31/12/2014 or 16 years of FU</t>
    </r>
  </si>
  <si>
    <t>Median 16.0 years (IQR 15.1-15.9)</t>
  </si>
  <si>
    <r>
      <t xml:space="preserve">5. % of target cancers that are screen-detected; Switzerland;
</t>
    </r>
    <r>
      <rPr>
        <b/>
        <sz val="10"/>
        <color rgb="FF00B050"/>
        <rFont val="Calibri"/>
        <family val="2"/>
        <scheme val="minor"/>
      </rPr>
      <t>men aged 55-69 years;</t>
    </r>
    <r>
      <rPr>
        <sz val="10"/>
        <color rgb="FF00B050"/>
        <rFont val="Calibri"/>
        <family val="2"/>
        <scheme val="minor"/>
      </rPr>
      <t xml:space="preserve">
up to 31/12/2014 or 16 years of FU</t>
    </r>
  </si>
  <si>
    <r>
      <t xml:space="preserve">5. % of target cancers that are screen-detected; Herault (France);
</t>
    </r>
    <r>
      <rPr>
        <b/>
        <sz val="10"/>
        <color rgb="FF00B050"/>
        <rFont val="Calibri"/>
        <family val="2"/>
        <scheme val="minor"/>
      </rPr>
      <t>men aged 55-69 years;</t>
    </r>
    <r>
      <rPr>
        <sz val="10"/>
        <color rgb="FF00B050"/>
        <rFont val="Calibri"/>
        <family val="2"/>
        <scheme val="minor"/>
      </rPr>
      <t xml:space="preserve">
up to 31/12/2014 or 16 years of FU</t>
    </r>
  </si>
  <si>
    <t>Median 9.0 years (IQR 8.9-9.6)</t>
  </si>
  <si>
    <r>
      <t xml:space="preserve">5. % of target cancers that are screen-detected; Tarn (France);
</t>
    </r>
    <r>
      <rPr>
        <b/>
        <sz val="10"/>
        <color rgb="FF00B050"/>
        <rFont val="Calibri"/>
        <family val="2"/>
        <scheme val="minor"/>
      </rPr>
      <t>men aged 55-69 years;</t>
    </r>
    <r>
      <rPr>
        <sz val="10"/>
        <color rgb="FF00B050"/>
        <rFont val="Calibri"/>
        <family val="2"/>
        <scheme val="minor"/>
      </rPr>
      <t xml:space="preserve">
up to 31/12/2014 or 16 years of FU</t>
    </r>
  </si>
  <si>
    <t>Median 11.0 years (IQR 9.8-10.5)</t>
  </si>
  <si>
    <r>
      <t xml:space="preserve">7. Diagnostic yield at screening (per 1,000 men); whole trial (including France);
</t>
    </r>
    <r>
      <rPr>
        <b/>
        <sz val="10"/>
        <color rgb="FF00B050"/>
        <rFont val="Calibri"/>
        <family val="2"/>
        <scheme val="minor"/>
      </rPr>
      <t>men aged 55-69 years;</t>
    </r>
    <r>
      <rPr>
        <sz val="10"/>
        <color rgb="FF00B050"/>
        <rFont val="Calibri"/>
        <family val="2"/>
        <scheme val="minor"/>
      </rPr>
      <t xml:space="preserve">
up to 31/12/2014 or 16 years of FU</t>
    </r>
  </si>
  <si>
    <r>
      <t xml:space="preserve">7. Diagnostic yield at screening (per 1,000 men); whole trial excluding France;
</t>
    </r>
    <r>
      <rPr>
        <b/>
        <sz val="10"/>
        <color rgb="FF00B050"/>
        <rFont val="Calibri"/>
        <family val="2"/>
        <scheme val="minor"/>
      </rPr>
      <t>men aged 55-69 years;</t>
    </r>
    <r>
      <rPr>
        <sz val="10"/>
        <color rgb="FF00B050"/>
        <rFont val="Calibri"/>
        <family val="2"/>
        <scheme val="minor"/>
      </rPr>
      <t xml:space="preserve">
up to 31/12/2014 or 16 years of FU</t>
    </r>
  </si>
  <si>
    <r>
      <t xml:space="preserve">7. Diagnostic yield at screening (per 1,000 men); Netherlands;
</t>
    </r>
    <r>
      <rPr>
        <b/>
        <sz val="10"/>
        <color rgb="FF00B050"/>
        <rFont val="Calibri"/>
        <family val="2"/>
        <scheme val="minor"/>
      </rPr>
      <t>men aged 55-69 years;</t>
    </r>
    <r>
      <rPr>
        <sz val="10"/>
        <color rgb="FF00B050"/>
        <rFont val="Calibri"/>
        <family val="2"/>
        <scheme val="minor"/>
      </rPr>
      <t xml:space="preserve">
up to 31/12/2014 or 16 years of FU</t>
    </r>
  </si>
  <si>
    <r>
      <t xml:space="preserve">7. Diagnostic yield at screening (per 1,000 men); Belgium;
</t>
    </r>
    <r>
      <rPr>
        <b/>
        <sz val="10"/>
        <color rgb="FF00B050"/>
        <rFont val="Calibri"/>
        <family val="2"/>
        <scheme val="minor"/>
      </rPr>
      <t>men aged 55-69 years;</t>
    </r>
    <r>
      <rPr>
        <sz val="10"/>
        <color rgb="FF00B050"/>
        <rFont val="Calibri"/>
        <family val="2"/>
        <scheme val="minor"/>
      </rPr>
      <t xml:space="preserve">
up to 31/12/2014 or 16 years of FU</t>
    </r>
  </si>
  <si>
    <r>
      <t xml:space="preserve">7. Diagnostic yield at screening (per 1,000 men); Sweden;
</t>
    </r>
    <r>
      <rPr>
        <b/>
        <sz val="10"/>
        <color rgb="FF00B050"/>
        <rFont val="Calibri"/>
        <family val="2"/>
        <scheme val="minor"/>
      </rPr>
      <t>men aged 55-69 years;</t>
    </r>
    <r>
      <rPr>
        <sz val="10"/>
        <color rgb="FF00B050"/>
        <rFont val="Calibri"/>
        <family val="2"/>
        <scheme val="minor"/>
      </rPr>
      <t xml:space="preserve">
up to 31/12/2014 or 16 years of FU</t>
    </r>
  </si>
  <si>
    <r>
      <t xml:space="preserve">7. Diagnostic yield at screening (per 1,000 men); Finland;
</t>
    </r>
    <r>
      <rPr>
        <b/>
        <sz val="10"/>
        <color rgb="FF00B050"/>
        <rFont val="Calibri"/>
        <family val="2"/>
        <scheme val="minor"/>
      </rPr>
      <t>men aged 55-69 years;</t>
    </r>
    <r>
      <rPr>
        <sz val="10"/>
        <color rgb="FF00B050"/>
        <rFont val="Calibri"/>
        <family val="2"/>
        <scheme val="minor"/>
      </rPr>
      <t xml:space="preserve">
up to 31/12/2014 or 16 years of FU</t>
    </r>
  </si>
  <si>
    <r>
      <t xml:space="preserve">7. Diagnostic yield at screening (per 1,000 men); Italy;
</t>
    </r>
    <r>
      <rPr>
        <b/>
        <sz val="10"/>
        <color rgb="FF00B050"/>
        <rFont val="Calibri"/>
        <family val="2"/>
        <scheme val="minor"/>
      </rPr>
      <t>men aged 55-69 years;</t>
    </r>
    <r>
      <rPr>
        <sz val="10"/>
        <color rgb="FF00B050"/>
        <rFont val="Calibri"/>
        <family val="2"/>
        <scheme val="minor"/>
      </rPr>
      <t xml:space="preserve">
up to 31/12/2014 or 16 years of FU</t>
    </r>
  </si>
  <si>
    <r>
      <t xml:space="preserve">7. Diagnostic yield at screening (per 1,000 men); Spain;
</t>
    </r>
    <r>
      <rPr>
        <b/>
        <sz val="10"/>
        <color rgb="FF00B050"/>
        <rFont val="Calibri"/>
        <family val="2"/>
        <scheme val="minor"/>
      </rPr>
      <t>men aged 55-69 years;</t>
    </r>
    <r>
      <rPr>
        <sz val="10"/>
        <color rgb="FF00B050"/>
        <rFont val="Calibri"/>
        <family val="2"/>
        <scheme val="minor"/>
      </rPr>
      <t xml:space="preserve">
up to 31/12/2014 or 16 years of FU</t>
    </r>
  </si>
  <si>
    <r>
      <t xml:space="preserve">7. Diagnostic yield at screening (per 1,000 men); Switzerland;
</t>
    </r>
    <r>
      <rPr>
        <b/>
        <sz val="10"/>
        <color rgb="FF00B050"/>
        <rFont val="Calibri"/>
        <family val="2"/>
        <scheme val="minor"/>
      </rPr>
      <t>men aged 55-69 years;</t>
    </r>
    <r>
      <rPr>
        <sz val="10"/>
        <color rgb="FF00B050"/>
        <rFont val="Calibri"/>
        <family val="2"/>
        <scheme val="minor"/>
      </rPr>
      <t xml:space="preserve">
up to 31/12/2014 or 16 years of FU</t>
    </r>
  </si>
  <si>
    <r>
      <t xml:space="preserve">7. Diagnostic yield at screening (per 1,000 men); Herault (France);
</t>
    </r>
    <r>
      <rPr>
        <b/>
        <sz val="10"/>
        <color rgb="FF00B050"/>
        <rFont val="Calibri"/>
        <family val="2"/>
        <scheme val="minor"/>
      </rPr>
      <t>men aged 55-69 years;</t>
    </r>
    <r>
      <rPr>
        <sz val="10"/>
        <color rgb="FF00B050"/>
        <rFont val="Calibri"/>
        <family val="2"/>
        <scheme val="minor"/>
      </rPr>
      <t xml:space="preserve">
up to 31/12/2014 or 16 years of FU</t>
    </r>
  </si>
  <si>
    <r>
      <t xml:space="preserve">7. Diagnostic yield at screening (per 1,000 men); Tarn (France);
</t>
    </r>
    <r>
      <rPr>
        <b/>
        <sz val="10"/>
        <color rgb="FF00B050"/>
        <rFont val="Calibri"/>
        <family val="2"/>
        <scheme val="minor"/>
      </rPr>
      <t>men aged 55-69 years;</t>
    </r>
    <r>
      <rPr>
        <sz val="10"/>
        <color rgb="FF00B050"/>
        <rFont val="Calibri"/>
        <family val="2"/>
        <scheme val="minor"/>
      </rPr>
      <t xml:space="preserve">
up to 31/12/2014 or 16 years of FU</t>
    </r>
  </si>
  <si>
    <t>van der Cruijsen-Koeter, 2005</t>
  </si>
  <si>
    <r>
      <t xml:space="preserve">5. % of target cancers that are screen-detected; </t>
    </r>
    <r>
      <rPr>
        <b/>
        <sz val="10"/>
        <color rgb="FF00B050"/>
        <rFont val="Calibri"/>
        <family val="2"/>
        <scheme val="minor"/>
      </rPr>
      <t>Netherlands;
men randomised October 1993 to December 31, 1998;</t>
    </r>
    <r>
      <rPr>
        <sz val="10"/>
        <color rgb="FF00B050"/>
        <rFont val="Calibri"/>
        <family val="2"/>
        <scheme val="minor"/>
      </rPr>
      <t xml:space="preserve">
up to 01/01/2003</t>
    </r>
  </si>
  <si>
    <t>Yearly linkage with Rotterdam Cancer Registry database; review of patient charts at the local hospitals.</t>
  </si>
  <si>
    <t>January 01, 
2003</t>
  </si>
  <si>
    <t>No. of screen-detected cancers in screening cohort; up to 01/01/2003</t>
  </si>
  <si>
    <t>Number of prostate cancers in screening cohort; up to 01/01/20023</t>
  </si>
  <si>
    <r>
      <t xml:space="preserve">6. % of aggressive target cancers  (Gleason score 8-10) that are screen-detected; </t>
    </r>
    <r>
      <rPr>
        <b/>
        <sz val="10"/>
        <color rgb="FF00B050"/>
        <rFont val="Calibri"/>
        <family val="2"/>
        <scheme val="minor"/>
      </rPr>
      <t>Netherlands;
men randomised October 1993 to December 31, 1998;</t>
    </r>
    <r>
      <rPr>
        <sz val="10"/>
        <color rgb="FF00B050"/>
        <rFont val="Calibri"/>
        <family val="2"/>
        <scheme val="minor"/>
      </rPr>
      <t xml:space="preserve">
up to 01/01/2003</t>
    </r>
  </si>
  <si>
    <t>No. of aggressive (Gleason score 8-10) screen-detected cancers in screening cohort; up to 01/01/2003</t>
  </si>
  <si>
    <t>Number of aggressive (Gleason score 8-10) prostate cancers in screening cohort; up to 01/01/2003</t>
  </si>
  <si>
    <r>
      <t xml:space="preserve">6. % of aggressive target cancers  (Gleason score 7-10) that are screen-detected; </t>
    </r>
    <r>
      <rPr>
        <b/>
        <sz val="10"/>
        <color rgb="FF00B050"/>
        <rFont val="Calibri"/>
        <family val="2"/>
        <scheme val="minor"/>
      </rPr>
      <t>Netherlands;
men randomised October 1993 to December 31, 1998;</t>
    </r>
    <r>
      <rPr>
        <sz val="10"/>
        <color rgb="FF00B050"/>
        <rFont val="Calibri"/>
        <family val="2"/>
        <scheme val="minor"/>
      </rPr>
      <t xml:space="preserve">
up to 01/01/2003</t>
    </r>
  </si>
  <si>
    <t>No. of aggressive (Gleason score 7-10) screen-detected cancers in screening cohort; up to 01/01/2003</t>
  </si>
  <si>
    <t>Number of aggressive (Gleason score 7-10) prostate cancers in screening cohort; up to 01/01/2003</t>
  </si>
  <si>
    <r>
      <t xml:space="preserve">7. Diagnostic yield at screening (per 1,000 men); </t>
    </r>
    <r>
      <rPr>
        <b/>
        <sz val="10"/>
        <color rgb="FF00B050"/>
        <rFont val="Calibri"/>
        <family val="2"/>
        <scheme val="minor"/>
      </rPr>
      <t>Netherlands;
men randomised October 1993 to December 31, 1998;</t>
    </r>
    <r>
      <rPr>
        <sz val="10"/>
        <color rgb="FF00B050"/>
        <rFont val="Calibri"/>
        <family val="2"/>
        <scheme val="minor"/>
      </rPr>
      <t xml:space="preserve">
up to 01/01/2003</t>
    </r>
  </si>
  <si>
    <r>
      <t xml:space="preserve">5. % of target cancers that are screen-detected; </t>
    </r>
    <r>
      <rPr>
        <b/>
        <sz val="10"/>
        <color rgb="FF00B050"/>
        <rFont val="Calibri"/>
        <family val="2"/>
        <scheme val="minor"/>
      </rPr>
      <t>Netherlands;</t>
    </r>
    <r>
      <rPr>
        <sz val="10"/>
        <color rgb="FF00B050"/>
        <rFont val="Calibri"/>
        <family val="2"/>
        <scheme val="minor"/>
      </rPr>
      <t xml:space="preserve">
</t>
    </r>
    <r>
      <rPr>
        <b/>
        <sz val="10"/>
        <color rgb="FF00B050"/>
        <rFont val="Calibri"/>
        <family val="2"/>
        <scheme val="minor"/>
      </rPr>
      <t>men aged 55-74 years;</t>
    </r>
    <r>
      <rPr>
        <sz val="10"/>
        <color rgb="FF00B050"/>
        <rFont val="Calibri"/>
        <family val="2"/>
        <scheme val="minor"/>
      </rPr>
      <t xml:space="preserve">
up to 31/12/2010</t>
    </r>
  </si>
  <si>
    <t>Table 1 and Fig. 1 and text: In the current study, a total of 42 941 screens were conducted in 19 838 men (a mean of 2.16 screens per man), resulting in 2113 PCas detected.</t>
  </si>
  <si>
    <r>
      <t xml:space="preserve">7. Diagnostic yield at screening (per 1,000 men); </t>
    </r>
    <r>
      <rPr>
        <b/>
        <sz val="10"/>
        <color rgb="FF00B050"/>
        <rFont val="Calibri"/>
        <family val="2"/>
        <scheme val="minor"/>
      </rPr>
      <t>Netherlands;</t>
    </r>
    <r>
      <rPr>
        <sz val="10"/>
        <color rgb="FF00B050"/>
        <rFont val="Calibri"/>
        <family val="2"/>
        <scheme val="minor"/>
      </rPr>
      <t xml:space="preserve">
</t>
    </r>
    <r>
      <rPr>
        <b/>
        <sz val="10"/>
        <color rgb="FF00B050"/>
        <rFont val="Calibri"/>
        <family val="2"/>
        <scheme val="minor"/>
      </rPr>
      <t>men aged 55-74 years;</t>
    </r>
    <r>
      <rPr>
        <sz val="10"/>
        <color rgb="FF00B050"/>
        <rFont val="Calibri"/>
        <family val="2"/>
        <scheme val="minor"/>
      </rPr>
      <t xml:space="preserve">
up to 31/12/2010</t>
    </r>
  </si>
  <si>
    <r>
      <t xml:space="preserve">6. % of aggressive target cancers  (Gleason score 8-10) that are screen-detected; </t>
    </r>
    <r>
      <rPr>
        <b/>
        <sz val="10"/>
        <color rgb="FF00B050"/>
        <rFont val="Calibri"/>
        <family val="2"/>
        <scheme val="minor"/>
      </rPr>
      <t>Netherlands;
men aged 55-74 years;
up to 31/12/2010</t>
    </r>
  </si>
  <si>
    <t>No. of aggressive (Gleason score 8-10) screen-detected cancers in screening cohort; up to 31/12/2010</t>
  </si>
  <si>
    <t>Number of aggressive (Gleason score 8-10) prostate cancers in screening cohort; up to 31/12/2010</t>
  </si>
  <si>
    <r>
      <t xml:space="preserve">6. % of aggressive target cancers  (Gleason score 7-10) that are screen-detected; </t>
    </r>
    <r>
      <rPr>
        <b/>
        <sz val="10"/>
        <color rgb="FF00B050"/>
        <rFont val="Calibri"/>
        <family val="2"/>
        <scheme val="minor"/>
      </rPr>
      <t>Netherlands;
men aged 55-74 years;
up to 31/12/2010</t>
    </r>
  </si>
  <si>
    <t>No. of aggressive (Gleason score 7-10) screen-detected cancers in screening cohort; up to 31/12/2010</t>
  </si>
  <si>
    <t>Number of aggressive (Gleason score 7-10) prostate cancers in screening cohort; up to 31/12/2010</t>
  </si>
  <si>
    <r>
      <t xml:space="preserve">5. % of target cancers that are screen-detected; </t>
    </r>
    <r>
      <rPr>
        <b/>
        <sz val="10"/>
        <color rgb="FF00B050"/>
        <rFont val="Calibri"/>
        <family val="2"/>
        <scheme val="minor"/>
      </rPr>
      <t xml:space="preserve">Spain; </t>
    </r>
    <r>
      <rPr>
        <sz val="10"/>
        <color rgb="FF00B050"/>
        <rFont val="Calibri"/>
        <family val="2"/>
        <scheme val="minor"/>
      </rPr>
      <t>2 screening rounds;
up to February 2003</t>
    </r>
  </si>
  <si>
    <t>No. of screen-detected cancers in screening cohort; up to February 2003</t>
  </si>
  <si>
    <t>Number of prostate cancers in screening cohort; up to February 2003</t>
  </si>
  <si>
    <t>Table 3 and Table 5</t>
  </si>
  <si>
    <r>
      <t xml:space="preserve">7. Diagnostic yield at screening (per 1,000 men); </t>
    </r>
    <r>
      <rPr>
        <b/>
        <sz val="10"/>
        <color rgb="FF00B050"/>
        <rFont val="Calibri"/>
        <family val="2"/>
        <scheme val="minor"/>
      </rPr>
      <t xml:space="preserve">Spain; </t>
    </r>
    <r>
      <rPr>
        <sz val="10"/>
        <color rgb="FF00B050"/>
        <rFont val="Calibri"/>
        <family val="2"/>
        <scheme val="minor"/>
      </rPr>
      <t>2 screening rounds;
up to February 2003</t>
    </r>
  </si>
  <si>
    <t>Number of men randomised, in arm</t>
  </si>
  <si>
    <t>Kilpelainen, 2010</t>
  </si>
  <si>
    <r>
      <t>5. % of prostate cancers that are screen-detected (3 screening rounds);</t>
    </r>
    <r>
      <rPr>
        <b/>
        <sz val="10"/>
        <color rgb="FF00B050"/>
        <rFont val="Calibri"/>
        <family val="2"/>
        <scheme val="minor"/>
      </rPr>
      <t xml:space="preserve">
Finland;
</t>
    </r>
    <r>
      <rPr>
        <sz val="10"/>
        <color rgb="FF00B050"/>
        <rFont val="Calibri"/>
        <family val="2"/>
        <scheme val="minor"/>
      </rPr>
      <t>follow-up until 31/12/2007</t>
    </r>
  </si>
  <si>
    <t>Nationwide, population-based Finnish Cancer Registry</t>
  </si>
  <si>
    <t>December 31st, 2007</t>
  </si>
  <si>
    <t>Mean 9.2 (SD 2.7) years</t>
  </si>
  <si>
    <t>No. of screen-detected cancers in screening cohort (3 screening rounds); up to 31/12/2007</t>
  </si>
  <si>
    <t>Number of prostate cancers in screening cohort; up to 31/12/2007</t>
  </si>
  <si>
    <r>
      <t>7. Diagnostic yield at screening (3 screening rounds); per 1,000 men;</t>
    </r>
    <r>
      <rPr>
        <b/>
        <sz val="10"/>
        <color rgb="FF00B050"/>
        <rFont val="Calibri"/>
        <family val="2"/>
        <scheme val="minor"/>
      </rPr>
      <t xml:space="preserve">
Finland;
</t>
    </r>
    <r>
      <rPr>
        <sz val="10"/>
        <color rgb="FF00B050"/>
        <rFont val="Calibri"/>
        <family val="2"/>
        <scheme val="minor"/>
      </rPr>
      <t>follow-up until 31/12/2007</t>
    </r>
  </si>
  <si>
    <t>Hugosson, 2004</t>
  </si>
  <si>
    <r>
      <t>5. % of prostate cancers that are screen-detected (4 screening rounds);</t>
    </r>
    <r>
      <rPr>
        <b/>
        <sz val="10"/>
        <color rgb="FF00B050"/>
        <rFont val="Calibri"/>
        <family val="2"/>
        <scheme val="minor"/>
      </rPr>
      <t xml:space="preserve">
Sweden;
</t>
    </r>
    <r>
      <rPr>
        <sz val="10"/>
        <color rgb="FF00B050"/>
        <rFont val="Calibri"/>
        <family val="2"/>
        <scheme val="minor"/>
      </rPr>
      <t>follow-up for 8 years (31/12/2002)</t>
    </r>
  </si>
  <si>
    <t xml:space="preserve">Regional cancer registry; for all men with malignant disease, clinical records were traced and retrospectively studied. </t>
  </si>
  <si>
    <t>December 31, 2002</t>
  </si>
  <si>
    <t>No. of screen-detected cancers in screening cohort (4 screening rounds); up to 31/12/2002</t>
  </si>
  <si>
    <t>Number of prostate cancers in screening cohort; up to 31/12/2002</t>
  </si>
  <si>
    <t>Table 1 and table 3</t>
  </si>
  <si>
    <r>
      <t>7.Diagnostic yield at screening (4 screening rounds); per 1,000 men;</t>
    </r>
    <r>
      <rPr>
        <b/>
        <sz val="10"/>
        <color rgb="FF00B050"/>
        <rFont val="Calibri"/>
        <family val="2"/>
        <scheme val="minor"/>
      </rPr>
      <t xml:space="preserve">
Sweden;
</t>
    </r>
    <r>
      <rPr>
        <sz val="10"/>
        <color rgb="FF00B050"/>
        <rFont val="Calibri"/>
        <family val="2"/>
        <scheme val="minor"/>
      </rPr>
      <t>follow-up for 8 years (31/12/2002)</t>
    </r>
  </si>
  <si>
    <r>
      <t>5. % of prostate cancers that are screen-detected (7 screening rounds);</t>
    </r>
    <r>
      <rPr>
        <b/>
        <sz val="10"/>
        <color rgb="FF00B050"/>
        <rFont val="Calibri"/>
        <family val="2"/>
        <scheme val="minor"/>
      </rPr>
      <t xml:space="preserve">
Sweden;
</t>
    </r>
    <r>
      <rPr>
        <sz val="10"/>
        <color rgb="FF00B050"/>
        <rFont val="Calibri"/>
        <family val="2"/>
        <scheme val="minor"/>
      </rPr>
      <t>follow-up for 14 years (31/12/2008)</t>
    </r>
  </si>
  <si>
    <t>Link with West- Swedish Regional Cancer Registry every third month since the study start. In 2009, we linked to all 6 Regional Cancer Registries in Sweden. For PC cases, all available medical documentation was retrieved for establishing tumour stage, treatment, and disease course.</t>
  </si>
  <si>
    <t>No. of screen-detected cancers in screening cohort (7 screening rounds); up to 31/12/2008 (max 14 years)</t>
  </si>
  <si>
    <t>Number of prostate cancers in screening cohort; up to 31/12/2008 (max. 14 years)</t>
  </si>
  <si>
    <t>Table 1 and text: Of those detected in the screening group 896/1138 cases (78.7%) were diagnosed as a result of invitation to the study.</t>
  </si>
  <si>
    <r>
      <t>7. Diagnostic yield at screening (7 screening rounds); per 1,000 men;</t>
    </r>
    <r>
      <rPr>
        <b/>
        <sz val="10"/>
        <color rgb="FF00B050"/>
        <rFont val="Calibri"/>
        <family val="2"/>
        <scheme val="minor"/>
      </rPr>
      <t xml:space="preserve">
Sweden;
</t>
    </r>
    <r>
      <rPr>
        <sz val="10"/>
        <color rgb="FF00B050"/>
        <rFont val="Calibri"/>
        <family val="2"/>
        <scheme val="minor"/>
      </rPr>
      <t>follow-up for 14 years (31/12/2008)</t>
    </r>
  </si>
  <si>
    <r>
      <t>5. % of prostate cancers that are screen-detected (up to 10 screening rounds);</t>
    </r>
    <r>
      <rPr>
        <b/>
        <sz val="10"/>
        <color rgb="FF00B050"/>
        <rFont val="Calibri"/>
        <family val="2"/>
        <scheme val="minor"/>
      </rPr>
      <t xml:space="preserve">
Sweden;
</t>
    </r>
    <r>
      <rPr>
        <sz val="10"/>
        <color rgb="FF00B050"/>
        <rFont val="Calibri"/>
        <family val="2"/>
        <scheme val="minor"/>
      </rPr>
      <t>follow-up for 22 years (31/12/2016)</t>
    </r>
  </si>
  <si>
    <t>Linkage with the Swedish Population Register and
the Regional Cancer Register of Western Sweden.</t>
  </si>
  <si>
    <t>December 31, 2016</t>
  </si>
  <si>
    <t>No. of screen-detected cancers in screening cohort (up to 10 screening rounds); up to 31/12/2016 (22 years)</t>
  </si>
  <si>
    <t>Number of prostate cancers in screening cohort; up to 31/12/2016 (22 years)</t>
  </si>
  <si>
    <t>Figure 1 and text: Invitation to the study led to diagnosis of 1,046 cancers. During 22 years of followup, an additional 482 cancers were diagnosed in the SG, albeit outside the program…</t>
  </si>
  <si>
    <r>
      <t>7. Diagnostic yield at screening (up to 10 screening rounds); per 1,000 men;</t>
    </r>
    <r>
      <rPr>
        <b/>
        <sz val="10"/>
        <color rgb="FF00B050"/>
        <rFont val="Calibri"/>
        <family val="2"/>
        <scheme val="minor"/>
      </rPr>
      <t xml:space="preserve">
Sweden;
</t>
    </r>
    <r>
      <rPr>
        <sz val="10"/>
        <color rgb="FF00B050"/>
        <rFont val="Calibri"/>
        <family val="2"/>
        <scheme val="minor"/>
      </rPr>
      <t>follow-up for 22 years (31/12/2016)</t>
    </r>
  </si>
  <si>
    <t xml:space="preserve">Figure 1 and text: Invitation to the study led to diagnosis of 1,046 cancers. </t>
  </si>
  <si>
    <r>
      <t>5. % of prostate cancers that are screen-detected (2 screening rounds);</t>
    </r>
    <r>
      <rPr>
        <b/>
        <sz val="10"/>
        <color rgb="FF00B050"/>
        <rFont val="Calibri"/>
        <family val="2"/>
        <scheme val="minor"/>
      </rPr>
      <t xml:space="preserve">
France;
</t>
    </r>
    <r>
      <rPr>
        <sz val="10"/>
        <color rgb="FF00B050"/>
        <rFont val="Calibri"/>
        <family val="2"/>
        <scheme val="minor"/>
      </rPr>
      <t>up to 31/12/2013</t>
    </r>
  </si>
  <si>
    <t>Tarn and Hérault population-based cancer register.</t>
  </si>
  <si>
    <t>December 31, 2013</t>
  </si>
  <si>
    <t>No. of screen-detected cancers in screening cohort (2 screening rounds); up to 31/12/2013</t>
  </si>
  <si>
    <t>Number of prostate cancers in screening cohort; up to 31/12/2013</t>
  </si>
  <si>
    <t>Table 1 and text: Among the2,479 PCa detected in the screening arm, 14% were diag-nosed within 1 year of PSA testing (screen detected).</t>
  </si>
  <si>
    <r>
      <t>7. Diagnostic yield at screening (2 screening rounds); per 1,000 men;</t>
    </r>
    <r>
      <rPr>
        <b/>
        <sz val="10"/>
        <color rgb="FF00B050"/>
        <rFont val="Calibri"/>
        <family val="2"/>
        <scheme val="minor"/>
      </rPr>
      <t xml:space="preserve">
France;
</t>
    </r>
    <r>
      <rPr>
        <sz val="10"/>
        <color rgb="FF00B050"/>
        <rFont val="Calibri"/>
        <family val="2"/>
        <scheme val="minor"/>
      </rPr>
      <t>up to 31/12/2013</t>
    </r>
  </si>
  <si>
    <t>No. of screen-detected cancers in screening cohort (2 screening rounds); median follow-up of 9.5 years</t>
  </si>
  <si>
    <t>Table 1 and text: Among the 2,479 PCa detected in the screening arm, 14% were diagnosed within 1 year of PSA testing (screen detected).</t>
  </si>
  <si>
    <r>
      <t>1./4. Absolute incidence of prostate cancers with T1/T1A/T1B at diagnosis</t>
    </r>
    <r>
      <rPr>
        <b/>
        <sz val="10"/>
        <color rgb="FF00B050"/>
        <rFont val="Calibri"/>
        <family val="2"/>
        <scheme val="minor"/>
      </rPr>
      <t xml:space="preserve"> in men aged 55-69 years </t>
    </r>
    <r>
      <rPr>
        <sz val="10"/>
        <color rgb="FF00B050"/>
        <rFont val="Calibri"/>
        <family val="2"/>
        <scheme val="minor"/>
      </rPr>
      <t>(per 1,000 men); excluding France;
up to 31/12/2006</t>
    </r>
  </si>
  <si>
    <t>T1/T1A/T1B</t>
  </si>
  <si>
    <t>No definition, stage distribution reported</t>
  </si>
  <si>
    <t xml:space="preserve"> Median 8.8 years</t>
  </si>
  <si>
    <t xml:space="preserve"> Median 9.0 years</t>
  </si>
  <si>
    <t>Missing T stage</t>
  </si>
  <si>
    <t>No of prostate cancers with T stage group T1/TA/TB in men aged 55-59 years; up to 31/12/2006</t>
  </si>
  <si>
    <t>Number of men aged 55-69 years analysed, by arm</t>
  </si>
  <si>
    <t>Appendix 6, Table A</t>
  </si>
  <si>
    <r>
      <t xml:space="preserve">1./4. Absolute incidence of prostate cancers with T1c at diagnosis </t>
    </r>
    <r>
      <rPr>
        <b/>
        <sz val="10"/>
        <color rgb="FF00B050"/>
        <rFont val="Calibri"/>
        <family val="2"/>
        <scheme val="minor"/>
      </rPr>
      <t xml:space="preserve">in men aged 55-69 years </t>
    </r>
    <r>
      <rPr>
        <sz val="10"/>
        <color rgb="FF00B050"/>
        <rFont val="Calibri"/>
        <family val="2"/>
        <scheme val="minor"/>
      </rPr>
      <t>(per 1,000 men); excluding France;
up to 31/12/2006</t>
    </r>
  </si>
  <si>
    <t>T1c</t>
  </si>
  <si>
    <t>No of prostate cancers with T stage group T1c in men aged 55-59 years; up to 31/12/2006</t>
  </si>
  <si>
    <r>
      <t>1./4. Absolute incidence of prostate cancers with T2 at diagnosis</t>
    </r>
    <r>
      <rPr>
        <b/>
        <sz val="10"/>
        <color rgb="FF00B050"/>
        <rFont val="Calibri"/>
        <family val="2"/>
        <scheme val="minor"/>
      </rPr>
      <t xml:space="preserve"> in men aged 55-69 years </t>
    </r>
    <r>
      <rPr>
        <sz val="10"/>
        <color rgb="FF00B050"/>
        <rFont val="Calibri"/>
        <family val="2"/>
        <scheme val="minor"/>
      </rPr>
      <t>(per 1,000 men)</t>
    </r>
    <r>
      <rPr>
        <b/>
        <sz val="10"/>
        <color rgb="FF00B050"/>
        <rFont val="Calibri"/>
        <family val="2"/>
        <scheme val="minor"/>
      </rPr>
      <t>; excluding France;</t>
    </r>
    <r>
      <rPr>
        <sz val="10"/>
        <color rgb="FF00B050"/>
        <rFont val="Calibri"/>
        <family val="2"/>
        <scheme val="minor"/>
      </rPr>
      <t xml:space="preserve">
up to 31/12/2006</t>
    </r>
  </si>
  <si>
    <t>No of prostate cancers with T stage group T2 in men aged 55-59 years; up to 31/12/2006</t>
  </si>
  <si>
    <r>
      <t>1./4. Absolute incidence of prostate cancers with T3 at diagnosis</t>
    </r>
    <r>
      <rPr>
        <b/>
        <sz val="10"/>
        <color rgb="FF00B050"/>
        <rFont val="Calibri"/>
        <family val="2"/>
        <scheme val="minor"/>
      </rPr>
      <t xml:space="preserve"> in men aged 55-69 years </t>
    </r>
    <r>
      <rPr>
        <sz val="10"/>
        <color rgb="FF00B050"/>
        <rFont val="Calibri"/>
        <family val="2"/>
        <scheme val="minor"/>
      </rPr>
      <t>(per 1,000 men); excluding France;
up to 31/12/2006</t>
    </r>
  </si>
  <si>
    <t>No of prostate cancers with T stage group T3 in men aged 55-59 years; up to 31/12/2006</t>
  </si>
  <si>
    <r>
      <t>1./4. Absolute incidence of prostate cancers with T4 at diagnosis</t>
    </r>
    <r>
      <rPr>
        <b/>
        <sz val="10"/>
        <color rgb="FF00B050"/>
        <rFont val="Calibri"/>
        <family val="2"/>
        <scheme val="minor"/>
      </rPr>
      <t xml:space="preserve"> in men aged 55-69 years </t>
    </r>
    <r>
      <rPr>
        <sz val="10"/>
        <color rgb="FF00B050"/>
        <rFont val="Calibri"/>
        <family val="2"/>
        <scheme val="minor"/>
      </rPr>
      <t>(per 1,000 men); excluding France;
up to 31/12/2006</t>
    </r>
  </si>
  <si>
    <t>No of prostate cancers with T stage group T4 in men aged 55-59 years; up to 31/12/2006</t>
  </si>
  <si>
    <r>
      <t>1./4. Absolute incidence of prostate cancers with M1 disease (or PSA &gt; 100 ng/ml) at diagnosis</t>
    </r>
    <r>
      <rPr>
        <b/>
        <sz val="10"/>
        <color rgb="FF00B050"/>
        <rFont val="Calibri"/>
        <family val="2"/>
        <scheme val="minor"/>
      </rPr>
      <t xml:space="preserve"> in men aged 55-69 years </t>
    </r>
    <r>
      <rPr>
        <sz val="10"/>
        <color rgb="FF00B050"/>
        <rFont val="Calibri"/>
        <family val="2"/>
        <scheme val="minor"/>
      </rPr>
      <t>(per 1,000 PY); excluding France;
up to 31/12/2006</t>
    </r>
  </si>
  <si>
    <t>Missing M stage</t>
  </si>
  <si>
    <t>No of prostate cancers with M1 disease (positive results on a bone scan or a PSA value of more than 100 ng per milliliter in those without bone-scan results) in men aged 55-59 years; up to 31/12/2006</t>
  </si>
  <si>
    <t>Appendix 6, Table A and text: For example, the number of men
with positive results on a bone scan (or a PSA value of more than 100 ng per milliliter in those without bone-scan results) was 0.23 per 1000 person-years in the screening group, as compared
with 0.39 per 1000 person-years in the control group, a 41% reduction in the screening group (P&lt;0.001).</t>
  </si>
  <si>
    <r>
      <t>1./4. Absolute incidence of prostate cancers with T1/T1A/T1B at diagnosis</t>
    </r>
    <r>
      <rPr>
        <b/>
        <sz val="10"/>
        <color rgb="FF00B050"/>
        <rFont val="Calibri"/>
        <family val="2"/>
        <scheme val="minor"/>
      </rPr>
      <t xml:space="preserve"> in men aged 55-69 years </t>
    </r>
    <r>
      <rPr>
        <sz val="10"/>
        <color rgb="FF00B050"/>
        <rFont val="Calibri"/>
        <family val="2"/>
        <scheme val="minor"/>
      </rPr>
      <t xml:space="preserve">(per 1,000 men);
</t>
    </r>
    <r>
      <rPr>
        <b/>
        <sz val="10"/>
        <color rgb="FF00B050"/>
        <rFont val="Calibri"/>
        <family val="2"/>
        <scheme val="minor"/>
      </rPr>
      <t>Netherlands;</t>
    </r>
    <r>
      <rPr>
        <sz val="10"/>
        <color rgb="FF00B050"/>
        <rFont val="Calibri"/>
        <family val="2"/>
        <scheme val="minor"/>
      </rPr>
      <t xml:space="preserve">
up to 31/12/2008</t>
    </r>
  </si>
  <si>
    <t>Advanced = stage T3 or T4 or with distant metastasis</t>
  </si>
  <si>
    <t xml:space="preserve">Netherlands;
55-69 years </t>
  </si>
  <si>
    <t>No of prostate cancers with T stage group T1/TA/TB in men aged 55-59 years; up to 31/12/2008</t>
  </si>
  <si>
    <t>Table 2A in supplementary appendix</t>
  </si>
  <si>
    <r>
      <t xml:space="preserve">1./4. Absolute incidence of prostate cancers with T1c at diagnosis </t>
    </r>
    <r>
      <rPr>
        <b/>
        <sz val="10"/>
        <color rgb="FF00B050"/>
        <rFont val="Calibri"/>
        <family val="2"/>
        <scheme val="minor"/>
      </rPr>
      <t xml:space="preserve">in men aged 55-69 years </t>
    </r>
    <r>
      <rPr>
        <sz val="10"/>
        <color rgb="FF00B050"/>
        <rFont val="Calibri"/>
        <family val="2"/>
        <scheme val="minor"/>
      </rPr>
      <t xml:space="preserve">(per 1,000 men);
</t>
    </r>
    <r>
      <rPr>
        <b/>
        <sz val="10"/>
        <color rgb="FF00B050"/>
        <rFont val="Calibri"/>
        <family val="2"/>
        <scheme val="minor"/>
      </rPr>
      <t>Netherlands;</t>
    </r>
    <r>
      <rPr>
        <sz val="10"/>
        <color rgb="FF00B050"/>
        <rFont val="Calibri"/>
        <family val="2"/>
        <scheme val="minor"/>
      </rPr>
      <t xml:space="preserve">
up to 31/12/2008</t>
    </r>
  </si>
  <si>
    <t>No of prostate cancers with T stage group T1c in men aged 55-59 years; up to 31/12/2008</t>
  </si>
  <si>
    <r>
      <t>1./4. Absolute incidence of prostate cancers with T2 at diagnosis</t>
    </r>
    <r>
      <rPr>
        <b/>
        <sz val="10"/>
        <color rgb="FF00B050"/>
        <rFont val="Calibri"/>
        <family val="2"/>
        <scheme val="minor"/>
      </rPr>
      <t xml:space="preserve"> in men aged 55-69 years </t>
    </r>
    <r>
      <rPr>
        <sz val="10"/>
        <color rgb="FF00B050"/>
        <rFont val="Calibri"/>
        <family val="2"/>
        <scheme val="minor"/>
      </rPr>
      <t>(per 1,000 men)</t>
    </r>
    <r>
      <rPr>
        <b/>
        <sz val="10"/>
        <color rgb="FF00B050"/>
        <rFont val="Calibri"/>
        <family val="2"/>
        <scheme val="minor"/>
      </rPr>
      <t>;
Netherlands;</t>
    </r>
    <r>
      <rPr>
        <sz val="10"/>
        <color rgb="FF00B050"/>
        <rFont val="Calibri"/>
        <family val="2"/>
        <scheme val="minor"/>
      </rPr>
      <t xml:space="preserve">
up to 31/12/2008</t>
    </r>
  </si>
  <si>
    <t>No of prostate cancers with T stage group T2 in men aged 55-59 years; up to 31/12/2008</t>
  </si>
  <si>
    <r>
      <t>1./4. Absolute incidence of prostate cancers with T3 at diagnosis</t>
    </r>
    <r>
      <rPr>
        <b/>
        <sz val="10"/>
        <color rgb="FF00B050"/>
        <rFont val="Calibri"/>
        <family val="2"/>
        <scheme val="minor"/>
      </rPr>
      <t xml:space="preserve"> in men aged 55-69 years </t>
    </r>
    <r>
      <rPr>
        <sz val="10"/>
        <color rgb="FF00B050"/>
        <rFont val="Calibri"/>
        <family val="2"/>
        <scheme val="minor"/>
      </rPr>
      <t xml:space="preserve">(per 1,000 men);
</t>
    </r>
    <r>
      <rPr>
        <b/>
        <sz val="10"/>
        <color rgb="FF00B050"/>
        <rFont val="Calibri"/>
        <family val="2"/>
        <scheme val="minor"/>
      </rPr>
      <t>Netherlands;</t>
    </r>
    <r>
      <rPr>
        <sz val="10"/>
        <color rgb="FF00B050"/>
        <rFont val="Calibri"/>
        <family val="2"/>
        <scheme val="minor"/>
      </rPr>
      <t xml:space="preserve">
up to 31/12/2008</t>
    </r>
  </si>
  <si>
    <t>No of prostate cancers with T stage group T3 in men aged 55-59 years; up to 31/12/2008</t>
  </si>
  <si>
    <r>
      <t>1./4. Absolute incidence of prostate cancers with T4 at diagnosis</t>
    </r>
    <r>
      <rPr>
        <b/>
        <sz val="10"/>
        <color rgb="FF00B050"/>
        <rFont val="Calibri"/>
        <family val="2"/>
        <scheme val="minor"/>
      </rPr>
      <t xml:space="preserve"> in men aged 55-69 years </t>
    </r>
    <r>
      <rPr>
        <sz val="10"/>
        <color rgb="FF00B050"/>
        <rFont val="Calibri"/>
        <family val="2"/>
        <scheme val="minor"/>
      </rPr>
      <t xml:space="preserve">(per 1,000 men);
</t>
    </r>
    <r>
      <rPr>
        <b/>
        <sz val="10"/>
        <color rgb="FF00B050"/>
        <rFont val="Calibri"/>
        <family val="2"/>
        <scheme val="minor"/>
      </rPr>
      <t>Netherlands;</t>
    </r>
    <r>
      <rPr>
        <sz val="10"/>
        <color rgb="FF00B050"/>
        <rFont val="Calibri"/>
        <family val="2"/>
        <scheme val="minor"/>
      </rPr>
      <t xml:space="preserve">
up to 31/12/2008</t>
    </r>
  </si>
  <si>
    <t>No of prostate cancers with T stage group T4 in men aged 55-59 years; up to 31/12/2008</t>
  </si>
  <si>
    <r>
      <t xml:space="preserve">1./4. Absolute incidence of prostate cancers with T1/T1A/T1B at diagnosis in </t>
    </r>
    <r>
      <rPr>
        <b/>
        <sz val="10"/>
        <color rgb="FF00B050"/>
        <rFont val="Calibri"/>
        <family val="2"/>
        <scheme val="minor"/>
      </rPr>
      <t>men aged 55-69 years (per 1,000 men);
Belgium;</t>
    </r>
    <r>
      <rPr>
        <sz val="10"/>
        <color rgb="FF00B050"/>
        <rFont val="Calibri"/>
        <family val="2"/>
        <scheme val="minor"/>
      </rPr>
      <t xml:space="preserve">
up to 31/12/2008</t>
    </r>
  </si>
  <si>
    <t xml:space="preserve">Belgium;
55-69 years </t>
  </si>
  <si>
    <r>
      <t xml:space="preserve">1./4. Absolute incidence of prostate cancers with T1c at diagnosis in </t>
    </r>
    <r>
      <rPr>
        <b/>
        <sz val="10"/>
        <color rgb="FF00B050"/>
        <rFont val="Calibri"/>
        <family val="2"/>
        <scheme val="minor"/>
      </rPr>
      <t>men aged 55-69 years (per 1,000 men);
Belgium;</t>
    </r>
    <r>
      <rPr>
        <sz val="10"/>
        <color rgb="FF00B050"/>
        <rFont val="Calibri"/>
        <family val="2"/>
        <scheme val="minor"/>
      </rPr>
      <t xml:space="preserve">
up to 31/12/2008</t>
    </r>
  </si>
  <si>
    <r>
      <t xml:space="preserve">1./4. Absolute incidence of prostate cancers with T2 at diagnosis </t>
    </r>
    <r>
      <rPr>
        <b/>
        <sz val="10"/>
        <color rgb="FF00B050"/>
        <rFont val="Calibri"/>
        <family val="2"/>
        <scheme val="minor"/>
      </rPr>
      <t>in men aged 55-69 years (per 1,000 men);
Belgium;</t>
    </r>
    <r>
      <rPr>
        <sz val="10"/>
        <color rgb="FF00B050"/>
        <rFont val="Calibri"/>
        <family val="2"/>
        <scheme val="minor"/>
      </rPr>
      <t xml:space="preserve">
up to 31/12/2008</t>
    </r>
  </si>
  <si>
    <r>
      <t xml:space="preserve">1./4. Absolute incidence of prostate cancers with T3 at diagnosis in </t>
    </r>
    <r>
      <rPr>
        <b/>
        <sz val="10"/>
        <color rgb="FF00B050"/>
        <rFont val="Calibri"/>
        <family val="2"/>
        <scheme val="minor"/>
      </rPr>
      <t>men aged 55-69 years (per 1,000 men);
Belgium;</t>
    </r>
    <r>
      <rPr>
        <sz val="10"/>
        <color rgb="FF00B050"/>
        <rFont val="Calibri"/>
        <family val="2"/>
        <scheme val="minor"/>
      </rPr>
      <t xml:space="preserve">
up to 31/12/2008</t>
    </r>
  </si>
  <si>
    <r>
      <t xml:space="preserve">1./4. Absolute incidence of prostate cancers with T4 at diagnosis in </t>
    </r>
    <r>
      <rPr>
        <b/>
        <sz val="10"/>
        <color rgb="FF00B050"/>
        <rFont val="Calibri"/>
        <family val="2"/>
        <scheme val="minor"/>
      </rPr>
      <t>men aged 55-69 years (per 1,000 men);
Belgium;</t>
    </r>
    <r>
      <rPr>
        <sz val="10"/>
        <color rgb="FF00B050"/>
        <rFont val="Calibri"/>
        <family val="2"/>
        <scheme val="minor"/>
      </rPr>
      <t xml:space="preserve">
up to 31/12/2008</t>
    </r>
  </si>
  <si>
    <r>
      <t xml:space="preserve">1./4. Absolute incidence of prostate cancers with T1/T1A/T1B at diagnosis in </t>
    </r>
    <r>
      <rPr>
        <b/>
        <sz val="10"/>
        <color rgb="FF00B050"/>
        <rFont val="Calibri"/>
        <family val="2"/>
        <scheme val="minor"/>
      </rPr>
      <t>men aged 55-69 years (per 1,000 men);
Sweden;</t>
    </r>
    <r>
      <rPr>
        <sz val="10"/>
        <color rgb="FF00B050"/>
        <rFont val="Calibri"/>
        <family val="2"/>
        <scheme val="minor"/>
      </rPr>
      <t xml:space="preserve">
up to 31/12/2008</t>
    </r>
  </si>
  <si>
    <r>
      <t xml:space="preserve">1./4. Absolute incidence of prostate cancers with T1c at diagnosis in </t>
    </r>
    <r>
      <rPr>
        <b/>
        <sz val="10"/>
        <color rgb="FF00B050"/>
        <rFont val="Calibri"/>
        <family val="2"/>
        <scheme val="minor"/>
      </rPr>
      <t>men aged 55-69 years (per 1,000 men);
Sweden;</t>
    </r>
    <r>
      <rPr>
        <sz val="10"/>
        <color rgb="FF00B050"/>
        <rFont val="Calibri"/>
        <family val="2"/>
        <scheme val="minor"/>
      </rPr>
      <t xml:space="preserve">
up to 31/12/2008</t>
    </r>
  </si>
  <si>
    <r>
      <t xml:space="preserve">1./4. Absolute incidence of prostate cancers with T2 at diagnosis </t>
    </r>
    <r>
      <rPr>
        <b/>
        <sz val="10"/>
        <color rgb="FF00B050"/>
        <rFont val="Calibri"/>
        <family val="2"/>
        <scheme val="minor"/>
      </rPr>
      <t>in men aged 55-69 years (per 1,000 men);
Sweden;</t>
    </r>
    <r>
      <rPr>
        <sz val="10"/>
        <color rgb="FF00B050"/>
        <rFont val="Calibri"/>
        <family val="2"/>
        <scheme val="minor"/>
      </rPr>
      <t xml:space="preserve">
up to 31/12/2008</t>
    </r>
  </si>
  <si>
    <r>
      <t xml:space="preserve">1./4. Absolute incidence of prostate cancers with T3 at diagnosis in </t>
    </r>
    <r>
      <rPr>
        <b/>
        <sz val="10"/>
        <color rgb="FF00B050"/>
        <rFont val="Calibri"/>
        <family val="2"/>
        <scheme val="minor"/>
      </rPr>
      <t>men aged 55-69 years (per 1,000 men);
Sweden;</t>
    </r>
    <r>
      <rPr>
        <sz val="10"/>
        <color rgb="FF00B050"/>
        <rFont val="Calibri"/>
        <family val="2"/>
        <scheme val="minor"/>
      </rPr>
      <t xml:space="preserve">
up to 31/12/2008</t>
    </r>
  </si>
  <si>
    <r>
      <t xml:space="preserve">1./4. Absolute incidence of prostate cancers with T4 at diagnosis in </t>
    </r>
    <r>
      <rPr>
        <b/>
        <sz val="10"/>
        <color rgb="FF00B050"/>
        <rFont val="Calibri"/>
        <family val="2"/>
        <scheme val="minor"/>
      </rPr>
      <t>men aged 55-69 years (per 1,000 men);
Sweden;</t>
    </r>
    <r>
      <rPr>
        <sz val="10"/>
        <color rgb="FF00B050"/>
        <rFont val="Calibri"/>
        <family val="2"/>
        <scheme val="minor"/>
      </rPr>
      <t xml:space="preserve">
up to 31/12/2008</t>
    </r>
  </si>
  <si>
    <r>
      <t xml:space="preserve">1./4. Absolute incidence of prostate cancers with T1/T1A/T1B at diagnosis in </t>
    </r>
    <r>
      <rPr>
        <b/>
        <sz val="10"/>
        <color rgb="FF00B050"/>
        <rFont val="Calibri"/>
        <family val="2"/>
        <scheme val="minor"/>
      </rPr>
      <t>men aged 55-69 years (per 1,000 men);
Finland;</t>
    </r>
    <r>
      <rPr>
        <sz val="10"/>
        <color rgb="FF00B050"/>
        <rFont val="Calibri"/>
        <family val="2"/>
        <scheme val="minor"/>
      </rPr>
      <t xml:space="preserve">
up to 31/12/2008</t>
    </r>
  </si>
  <si>
    <r>
      <t xml:space="preserve">1./4. Absolute incidence of prostate cancers with T1c at diagnosis in </t>
    </r>
    <r>
      <rPr>
        <b/>
        <sz val="10"/>
        <color rgb="FF00B050"/>
        <rFont val="Calibri"/>
        <family val="2"/>
        <scheme val="minor"/>
      </rPr>
      <t>men aged 55-69 years (per 1,000 men);
Finland;</t>
    </r>
    <r>
      <rPr>
        <sz val="10"/>
        <color rgb="FF00B050"/>
        <rFont val="Calibri"/>
        <family val="2"/>
        <scheme val="minor"/>
      </rPr>
      <t xml:space="preserve">
up to 31/12/2008</t>
    </r>
  </si>
  <si>
    <r>
      <t xml:space="preserve">1./4. Absolute incidence of prostate cancers with T2 at diagnosis </t>
    </r>
    <r>
      <rPr>
        <b/>
        <sz val="10"/>
        <color rgb="FF00B050"/>
        <rFont val="Calibri"/>
        <family val="2"/>
        <scheme val="minor"/>
      </rPr>
      <t>in men aged 55-69 years (per 1,000 men);
Finland;</t>
    </r>
    <r>
      <rPr>
        <sz val="10"/>
        <color rgb="FF00B050"/>
        <rFont val="Calibri"/>
        <family val="2"/>
        <scheme val="minor"/>
      </rPr>
      <t xml:space="preserve">
up to 31/12/2008</t>
    </r>
  </si>
  <si>
    <r>
      <t xml:space="preserve">1./4. Absolute incidence of prostate cancers with T3 at diagnosis in </t>
    </r>
    <r>
      <rPr>
        <b/>
        <sz val="10"/>
        <color rgb="FF00B050"/>
        <rFont val="Calibri"/>
        <family val="2"/>
        <scheme val="minor"/>
      </rPr>
      <t>men aged 55-69 years (per 1,000 men);
Finland;</t>
    </r>
    <r>
      <rPr>
        <sz val="10"/>
        <color rgb="FF00B050"/>
        <rFont val="Calibri"/>
        <family val="2"/>
        <scheme val="minor"/>
      </rPr>
      <t xml:space="preserve">
up to 31/12/2008</t>
    </r>
  </si>
  <si>
    <r>
      <t xml:space="preserve">1./4. Absolute incidence of prostate cancers with T4 at diagnosis in </t>
    </r>
    <r>
      <rPr>
        <b/>
        <sz val="10"/>
        <color rgb="FF00B050"/>
        <rFont val="Calibri"/>
        <family val="2"/>
        <scheme val="minor"/>
      </rPr>
      <t>men aged 55-69 years (per 1,000 men);
Finland;</t>
    </r>
    <r>
      <rPr>
        <sz val="10"/>
        <color rgb="FF00B050"/>
        <rFont val="Calibri"/>
        <family val="2"/>
        <scheme val="minor"/>
      </rPr>
      <t xml:space="preserve">
up to 31/12/2008</t>
    </r>
  </si>
  <si>
    <r>
      <t xml:space="preserve">1./4. Absolute incidence of prostate cancers with T1/T1A/T1B at diagnosis in </t>
    </r>
    <r>
      <rPr>
        <b/>
        <sz val="10"/>
        <color rgb="FF00B050"/>
        <rFont val="Calibri"/>
        <family val="2"/>
        <scheme val="minor"/>
      </rPr>
      <t>men aged 55-69 years (per 1,000 men);
Italy;</t>
    </r>
    <r>
      <rPr>
        <sz val="10"/>
        <color rgb="FF00B050"/>
        <rFont val="Calibri"/>
        <family val="2"/>
        <scheme val="minor"/>
      </rPr>
      <t xml:space="preserve">
up to 31/12/2008</t>
    </r>
  </si>
  <si>
    <r>
      <t xml:space="preserve">1./4. Absolute incidence of prostate cancers with T1c at diagnosis in </t>
    </r>
    <r>
      <rPr>
        <b/>
        <sz val="10"/>
        <color rgb="FF00B050"/>
        <rFont val="Calibri"/>
        <family val="2"/>
        <scheme val="minor"/>
      </rPr>
      <t>men aged 55-69 years (per 1,000 men);
Italy;</t>
    </r>
    <r>
      <rPr>
        <sz val="10"/>
        <color rgb="FF00B050"/>
        <rFont val="Calibri"/>
        <family val="2"/>
        <scheme val="minor"/>
      </rPr>
      <t xml:space="preserve">
up to 31/12/2008</t>
    </r>
  </si>
  <si>
    <r>
      <t xml:space="preserve">1./4. Absolute incidence of prostate cancers with T2 at diagnosis </t>
    </r>
    <r>
      <rPr>
        <b/>
        <sz val="10"/>
        <color rgb="FF00B050"/>
        <rFont val="Calibri"/>
        <family val="2"/>
        <scheme val="minor"/>
      </rPr>
      <t>in men aged 55-69 years (per 1,000 men);
Italy;</t>
    </r>
    <r>
      <rPr>
        <sz val="10"/>
        <color rgb="FF00B050"/>
        <rFont val="Calibri"/>
        <family val="2"/>
        <scheme val="minor"/>
      </rPr>
      <t xml:space="preserve">
up to 31/12/2008</t>
    </r>
  </si>
  <si>
    <r>
      <t xml:space="preserve">1./4. Absolute incidence of prostate cancers with T3 at diagnosis in </t>
    </r>
    <r>
      <rPr>
        <b/>
        <sz val="10"/>
        <color rgb="FF00B050"/>
        <rFont val="Calibri"/>
        <family val="2"/>
        <scheme val="minor"/>
      </rPr>
      <t>men aged 55-69 years (per 1,000 men);
Italy;</t>
    </r>
    <r>
      <rPr>
        <sz val="10"/>
        <color rgb="FF00B050"/>
        <rFont val="Calibri"/>
        <family val="2"/>
        <scheme val="minor"/>
      </rPr>
      <t xml:space="preserve">
up to 31/12/2008</t>
    </r>
  </si>
  <si>
    <r>
      <t xml:space="preserve">1./4. Absolute incidence of prostate cancers with T4 at diagnosis in </t>
    </r>
    <r>
      <rPr>
        <b/>
        <sz val="10"/>
        <color rgb="FF00B050"/>
        <rFont val="Calibri"/>
        <family val="2"/>
        <scheme val="minor"/>
      </rPr>
      <t>men aged 55-69 years (per 1,000 men);
Italy;</t>
    </r>
    <r>
      <rPr>
        <sz val="10"/>
        <color rgb="FF00B050"/>
        <rFont val="Calibri"/>
        <family val="2"/>
        <scheme val="minor"/>
      </rPr>
      <t xml:space="preserve">
up to 31/12/2008</t>
    </r>
  </si>
  <si>
    <r>
      <t xml:space="preserve">1./4. Absolute incidence of prostate cancers with T1/T1A/T1B at diagnosis in </t>
    </r>
    <r>
      <rPr>
        <b/>
        <sz val="10"/>
        <color rgb="FF00B050"/>
        <rFont val="Calibri"/>
        <family val="2"/>
        <scheme val="minor"/>
      </rPr>
      <t>men aged 55-69 years (per 1,000 men);
Spain;</t>
    </r>
    <r>
      <rPr>
        <sz val="10"/>
        <color rgb="FF00B050"/>
        <rFont val="Calibri"/>
        <family val="2"/>
        <scheme val="minor"/>
      </rPr>
      <t xml:space="preserve">
up to 31/12/2008</t>
    </r>
  </si>
  <si>
    <r>
      <t xml:space="preserve">1./4. Absolute incidence of prostate cancers with T1c at diagnosis in </t>
    </r>
    <r>
      <rPr>
        <b/>
        <sz val="10"/>
        <color rgb="FF00B050"/>
        <rFont val="Calibri"/>
        <family val="2"/>
        <scheme val="minor"/>
      </rPr>
      <t>men aged 55-69 years (per 1,000 men);
Spain;</t>
    </r>
    <r>
      <rPr>
        <sz val="10"/>
        <color rgb="FF00B050"/>
        <rFont val="Calibri"/>
        <family val="2"/>
        <scheme val="minor"/>
      </rPr>
      <t xml:space="preserve">
up to 31/12/2008</t>
    </r>
  </si>
  <si>
    <r>
      <t xml:space="preserve">1./4. Absolute incidence of prostate cancers with T2 at diagnosis </t>
    </r>
    <r>
      <rPr>
        <b/>
        <sz val="10"/>
        <color rgb="FF00B050"/>
        <rFont val="Calibri"/>
        <family val="2"/>
        <scheme val="minor"/>
      </rPr>
      <t>in men aged 55-69 years (per 1,000 men);
Spain;</t>
    </r>
    <r>
      <rPr>
        <sz val="10"/>
        <color rgb="FF00B050"/>
        <rFont val="Calibri"/>
        <family val="2"/>
        <scheme val="minor"/>
      </rPr>
      <t xml:space="preserve">
up to 31/12/2008</t>
    </r>
  </si>
  <si>
    <r>
      <t xml:space="preserve">1./4. Absolute incidence of prostate cancers with T3 at diagnosis in </t>
    </r>
    <r>
      <rPr>
        <b/>
        <sz val="10"/>
        <color rgb="FF00B050"/>
        <rFont val="Calibri"/>
        <family val="2"/>
        <scheme val="minor"/>
      </rPr>
      <t>men aged 55-69 years (per 1,000 men);
Spain;</t>
    </r>
    <r>
      <rPr>
        <sz val="10"/>
        <color rgb="FF00B050"/>
        <rFont val="Calibri"/>
        <family val="2"/>
        <scheme val="minor"/>
      </rPr>
      <t xml:space="preserve">
up to 31/12/2008</t>
    </r>
  </si>
  <si>
    <r>
      <t xml:space="preserve">1./4. Absolute incidence of prostate cancers with T4 at diagnosis in </t>
    </r>
    <r>
      <rPr>
        <b/>
        <sz val="10"/>
        <color rgb="FF00B050"/>
        <rFont val="Calibri"/>
        <family val="2"/>
        <scheme val="minor"/>
      </rPr>
      <t>men aged 55-69 years (per 1,000 men);
Spain;</t>
    </r>
    <r>
      <rPr>
        <sz val="10"/>
        <color rgb="FF00B050"/>
        <rFont val="Calibri"/>
        <family val="2"/>
        <scheme val="minor"/>
      </rPr>
      <t xml:space="preserve">
up to 31/12/2008</t>
    </r>
  </si>
  <si>
    <r>
      <t xml:space="preserve">1./4. Absolute incidence of prostate cancers with T1/T1A/T1B at diagnosis in </t>
    </r>
    <r>
      <rPr>
        <b/>
        <sz val="10"/>
        <color rgb="FF00B050"/>
        <rFont val="Calibri"/>
        <family val="2"/>
        <scheme val="minor"/>
      </rPr>
      <t>men aged 55-69 years (per 1,000 men);
Switzerland;</t>
    </r>
    <r>
      <rPr>
        <sz val="10"/>
        <color rgb="FF00B050"/>
        <rFont val="Calibri"/>
        <family val="2"/>
        <scheme val="minor"/>
      </rPr>
      <t xml:space="preserve">
up to 31/12/2008</t>
    </r>
  </si>
  <si>
    <r>
      <t xml:space="preserve">1./4. Absolute incidence of prostate cancers with T1c at diagnosis in </t>
    </r>
    <r>
      <rPr>
        <b/>
        <sz val="10"/>
        <color rgb="FF00B050"/>
        <rFont val="Calibri"/>
        <family val="2"/>
        <scheme val="minor"/>
      </rPr>
      <t>men aged 55-69 years (per 1,000 men);
Switzerland;</t>
    </r>
    <r>
      <rPr>
        <sz val="10"/>
        <color rgb="FF00B050"/>
        <rFont val="Calibri"/>
        <family val="2"/>
        <scheme val="minor"/>
      </rPr>
      <t xml:space="preserve">
up to 31/12/2008</t>
    </r>
  </si>
  <si>
    <r>
      <t xml:space="preserve">1./4. Absolute incidence of prostate cancers with T2 at diagnosis </t>
    </r>
    <r>
      <rPr>
        <b/>
        <sz val="10"/>
        <color rgb="FF00B050"/>
        <rFont val="Calibri"/>
        <family val="2"/>
        <scheme val="minor"/>
      </rPr>
      <t>in men aged 55-69 years (per 1,000 men);
Switzerland;</t>
    </r>
    <r>
      <rPr>
        <sz val="10"/>
        <color rgb="FF00B050"/>
        <rFont val="Calibri"/>
        <family val="2"/>
        <scheme val="minor"/>
      </rPr>
      <t xml:space="preserve">
up to 31/12/2008</t>
    </r>
  </si>
  <si>
    <r>
      <t xml:space="preserve">1./4. Absolute incidence of prostate cancers with T3 at diagnosis in </t>
    </r>
    <r>
      <rPr>
        <b/>
        <sz val="10"/>
        <color rgb="FF00B050"/>
        <rFont val="Calibri"/>
        <family val="2"/>
        <scheme val="minor"/>
      </rPr>
      <t>men aged 55-69 years (per 1,000 men);
Switzerland;</t>
    </r>
    <r>
      <rPr>
        <sz val="10"/>
        <color rgb="FF00B050"/>
        <rFont val="Calibri"/>
        <family val="2"/>
        <scheme val="minor"/>
      </rPr>
      <t xml:space="preserve">
up to 31/12/2008</t>
    </r>
  </si>
  <si>
    <r>
      <t xml:space="preserve">1./4. Absolute incidence of prostate cancers with T4 at diagnosis in </t>
    </r>
    <r>
      <rPr>
        <b/>
        <sz val="10"/>
        <color rgb="FF00B050"/>
        <rFont val="Calibri"/>
        <family val="2"/>
        <scheme val="minor"/>
      </rPr>
      <t>men aged 55-69 years (per 1,000 men);
Switzerland;</t>
    </r>
    <r>
      <rPr>
        <sz val="10"/>
        <color rgb="FF00B050"/>
        <rFont val="Calibri"/>
        <family val="2"/>
        <scheme val="minor"/>
      </rPr>
      <t xml:space="preserve">
up to 31/12/2008</t>
    </r>
  </si>
  <si>
    <r>
      <t xml:space="preserve">1./4. Absolute incidence of prostate cancers with T1/T1A/T1B at diagnosis in </t>
    </r>
    <r>
      <rPr>
        <b/>
        <sz val="10"/>
        <color rgb="FF00B050"/>
        <rFont val="Calibri"/>
        <family val="2"/>
        <scheme val="minor"/>
      </rPr>
      <t>men aged 55-69 years (per 1,000 men);
France - Herault;</t>
    </r>
    <r>
      <rPr>
        <sz val="10"/>
        <color rgb="FF00B050"/>
        <rFont val="Calibri"/>
        <family val="2"/>
        <scheme val="minor"/>
      </rPr>
      <t xml:space="preserve">
up to 31/12/2008</t>
    </r>
  </si>
  <si>
    <r>
      <t xml:space="preserve">1./4. Absolute incidence of prostate cancers with T1c at diagnosis in </t>
    </r>
    <r>
      <rPr>
        <b/>
        <sz val="10"/>
        <color rgb="FF00B050"/>
        <rFont val="Calibri"/>
        <family val="2"/>
        <scheme val="minor"/>
      </rPr>
      <t>men aged 55-69 years (per 1,000 men);
France - Herault;</t>
    </r>
    <r>
      <rPr>
        <sz val="10"/>
        <color rgb="FF00B050"/>
        <rFont val="Calibri"/>
        <family val="2"/>
        <scheme val="minor"/>
      </rPr>
      <t xml:space="preserve">
up to 31/12/2008</t>
    </r>
  </si>
  <si>
    <r>
      <t xml:space="preserve">1./4. Absolute incidence of prostate cancers with T2 at diagnosis </t>
    </r>
    <r>
      <rPr>
        <b/>
        <sz val="10"/>
        <color rgb="FF00B050"/>
        <rFont val="Calibri"/>
        <family val="2"/>
        <scheme val="minor"/>
      </rPr>
      <t>in men aged 55-69 years (per 1,000 men);
France - Herault;</t>
    </r>
    <r>
      <rPr>
        <sz val="10"/>
        <color rgb="FF00B050"/>
        <rFont val="Calibri"/>
        <family val="2"/>
        <scheme val="minor"/>
      </rPr>
      <t xml:space="preserve">
up to 31/12/2008</t>
    </r>
  </si>
  <si>
    <r>
      <t xml:space="preserve">1./4. Absolute incidence of prostate cancers with T3 at diagnosis in </t>
    </r>
    <r>
      <rPr>
        <b/>
        <sz val="10"/>
        <color rgb="FF00B050"/>
        <rFont val="Calibri"/>
        <family val="2"/>
        <scheme val="minor"/>
      </rPr>
      <t>men aged 55-69 years (per 1,000 men);
France - Herault;</t>
    </r>
    <r>
      <rPr>
        <sz val="10"/>
        <color rgb="FF00B050"/>
        <rFont val="Calibri"/>
        <family val="2"/>
        <scheme val="minor"/>
      </rPr>
      <t xml:space="preserve">
up to 31/12/2008</t>
    </r>
  </si>
  <si>
    <r>
      <t xml:space="preserve">1./4. Absolute incidence of prostate cancers with T4 at diagnosis in </t>
    </r>
    <r>
      <rPr>
        <b/>
        <sz val="10"/>
        <color rgb="FF00B050"/>
        <rFont val="Calibri"/>
        <family val="2"/>
        <scheme val="minor"/>
      </rPr>
      <t>men aged 55-69 years (per 1,000 men);
France - Herault;</t>
    </r>
    <r>
      <rPr>
        <sz val="10"/>
        <color rgb="FF00B050"/>
        <rFont val="Calibri"/>
        <family val="2"/>
        <scheme val="minor"/>
      </rPr>
      <t xml:space="preserve">
up to 31/12/2008</t>
    </r>
  </si>
  <si>
    <r>
      <t xml:space="preserve">1./4. Absolute incidence of prostate cancers with T1/T1A/T1B at diagnosis in </t>
    </r>
    <r>
      <rPr>
        <b/>
        <sz val="10"/>
        <color rgb="FF00B050"/>
        <rFont val="Calibri"/>
        <family val="2"/>
        <scheme val="minor"/>
      </rPr>
      <t>men aged 55-69 years (per 1,000 men);
France - Tarn;</t>
    </r>
    <r>
      <rPr>
        <sz val="10"/>
        <color rgb="FF00B050"/>
        <rFont val="Calibri"/>
        <family val="2"/>
        <scheme val="minor"/>
      </rPr>
      <t xml:space="preserve">
up to 31/12/2008</t>
    </r>
  </si>
  <si>
    <r>
      <t xml:space="preserve">1./4. Absolute incidence of prostate cancers with T1c at diagnosis in </t>
    </r>
    <r>
      <rPr>
        <b/>
        <sz val="10"/>
        <color rgb="FF00B050"/>
        <rFont val="Calibri"/>
        <family val="2"/>
        <scheme val="minor"/>
      </rPr>
      <t>men aged 55-69 years (per 1,000 men);
France -  Tarn;</t>
    </r>
    <r>
      <rPr>
        <sz val="10"/>
        <color rgb="FF00B050"/>
        <rFont val="Calibri"/>
        <family val="2"/>
        <scheme val="minor"/>
      </rPr>
      <t xml:space="preserve">
up to 31/12/2008</t>
    </r>
  </si>
  <si>
    <r>
      <t xml:space="preserve">1./4. Absolute incidence of prostate cancers with T2 at diagnosis </t>
    </r>
    <r>
      <rPr>
        <b/>
        <sz val="10"/>
        <color rgb="FF00B050"/>
        <rFont val="Calibri"/>
        <family val="2"/>
        <scheme val="minor"/>
      </rPr>
      <t>in men aged 55-69 years (per 1,000 men);
France -  Tarn;</t>
    </r>
    <r>
      <rPr>
        <sz val="10"/>
        <color rgb="FF00B050"/>
        <rFont val="Calibri"/>
        <family val="2"/>
        <scheme val="minor"/>
      </rPr>
      <t xml:space="preserve">
up to 31/12/2008</t>
    </r>
  </si>
  <si>
    <r>
      <t xml:space="preserve">1./4. Absolute incidence of prostate cancers with T3 at diagnosis in </t>
    </r>
    <r>
      <rPr>
        <b/>
        <sz val="10"/>
        <color rgb="FF00B050"/>
        <rFont val="Calibri"/>
        <family val="2"/>
        <scheme val="minor"/>
      </rPr>
      <t>men aged 55-69 years (per 1,000 men);
France -  Tarn;</t>
    </r>
    <r>
      <rPr>
        <sz val="10"/>
        <color rgb="FF00B050"/>
        <rFont val="Calibri"/>
        <family val="2"/>
        <scheme val="minor"/>
      </rPr>
      <t xml:space="preserve">
up to 31/12/2008</t>
    </r>
  </si>
  <si>
    <r>
      <t xml:space="preserve">1./4. Absolute incidence of prostate cancers with T4 at diagnosis in </t>
    </r>
    <r>
      <rPr>
        <b/>
        <sz val="10"/>
        <color rgb="FF00B050"/>
        <rFont val="Calibri"/>
        <family val="2"/>
        <scheme val="minor"/>
      </rPr>
      <t>men aged 55-69 years (per 1,000 men);
France -  Tarn;</t>
    </r>
    <r>
      <rPr>
        <sz val="10"/>
        <color rgb="FF00B050"/>
        <rFont val="Calibri"/>
        <family val="2"/>
        <scheme val="minor"/>
      </rPr>
      <t xml:space="preserve">
up to 31/12/2008</t>
    </r>
  </si>
  <si>
    <r>
      <t xml:space="preserve">1./4. Absolute incidence of prostate cancers with T1/T1A/T1B at diagnosis in </t>
    </r>
    <r>
      <rPr>
        <b/>
        <sz val="10"/>
        <color rgb="FF00B050"/>
        <rFont val="Calibri"/>
        <family val="2"/>
        <scheme val="minor"/>
      </rPr>
      <t>men aged 55-69 years (per 1,000 men);
whole trial including France;</t>
    </r>
    <r>
      <rPr>
        <sz val="10"/>
        <color rgb="FF00B050"/>
        <rFont val="Calibri"/>
        <family val="2"/>
        <scheme val="minor"/>
      </rPr>
      <t xml:space="preserve">
up to 31/12/2008</t>
    </r>
  </si>
  <si>
    <t>Median 9.8 years</t>
  </si>
  <si>
    <r>
      <t xml:space="preserve">1./4. Absolute incidence of prostate cancers with T1c at diagnosis in </t>
    </r>
    <r>
      <rPr>
        <b/>
        <sz val="10"/>
        <color rgb="FF00B050"/>
        <rFont val="Calibri"/>
        <family val="2"/>
        <scheme val="minor"/>
      </rPr>
      <t>men aged 55-69 years (per 1,000 men);
whole trial including France;</t>
    </r>
    <r>
      <rPr>
        <sz val="10"/>
        <color rgb="FF00B050"/>
        <rFont val="Calibri"/>
        <family val="2"/>
        <scheme val="minor"/>
      </rPr>
      <t xml:space="preserve">
up to 31/12/2008</t>
    </r>
  </si>
  <si>
    <r>
      <t xml:space="preserve">1./4. Absolute incidence of prostate cancers with T2 at diagnosis </t>
    </r>
    <r>
      <rPr>
        <b/>
        <sz val="10"/>
        <color rgb="FF00B050"/>
        <rFont val="Calibri"/>
        <family val="2"/>
        <scheme val="minor"/>
      </rPr>
      <t>in men aged 55-69 years (per 1,000 men);
whole trial including France;</t>
    </r>
    <r>
      <rPr>
        <sz val="10"/>
        <color rgb="FF00B050"/>
        <rFont val="Calibri"/>
        <family val="2"/>
        <scheme val="minor"/>
      </rPr>
      <t xml:space="preserve">
up to 31/12/2008</t>
    </r>
  </si>
  <si>
    <r>
      <t xml:space="preserve">1./4. Absolute incidence of prostate cancers with T3 at diagnosis in </t>
    </r>
    <r>
      <rPr>
        <b/>
        <sz val="10"/>
        <color rgb="FF00B050"/>
        <rFont val="Calibri"/>
        <family val="2"/>
        <scheme val="minor"/>
      </rPr>
      <t>men aged 55-69 years (per 1,000 men);
whole trial including France;</t>
    </r>
    <r>
      <rPr>
        <sz val="10"/>
        <color rgb="FF00B050"/>
        <rFont val="Calibri"/>
        <family val="2"/>
        <scheme val="minor"/>
      </rPr>
      <t xml:space="preserve">
up to 31/12/2008</t>
    </r>
  </si>
  <si>
    <r>
      <t xml:space="preserve">1./4. Absolute incidence of prostate cancers with T4 at diagnosis in </t>
    </r>
    <r>
      <rPr>
        <b/>
        <sz val="10"/>
        <color rgb="FF00B050"/>
        <rFont val="Calibri"/>
        <family val="2"/>
        <scheme val="minor"/>
      </rPr>
      <t>men aged 55-69 years (per 1,000 men);
whole trial including France;</t>
    </r>
    <r>
      <rPr>
        <sz val="10"/>
        <color rgb="FF00B050"/>
        <rFont val="Calibri"/>
        <family val="2"/>
        <scheme val="minor"/>
      </rPr>
      <t xml:space="preserve">
up to 31/12/2008</t>
    </r>
  </si>
  <si>
    <r>
      <t>1./4. Absolute incidence of prostate cancers with low risk at diagnosis</t>
    </r>
    <r>
      <rPr>
        <b/>
        <sz val="10"/>
        <color rgb="FF00B050"/>
        <rFont val="Calibri"/>
        <family val="2"/>
        <scheme val="minor"/>
      </rPr>
      <t xml:space="preserve"> in men aged 55-69 years </t>
    </r>
    <r>
      <rPr>
        <sz val="10"/>
        <color rgb="FF00B050"/>
        <rFont val="Calibri"/>
        <family val="2"/>
        <scheme val="minor"/>
      </rPr>
      <t xml:space="preserve">(per 1,000 men);
</t>
    </r>
    <r>
      <rPr>
        <b/>
        <sz val="10"/>
        <color rgb="FF00B050"/>
        <rFont val="Calibri"/>
        <family val="2"/>
        <scheme val="minor"/>
      </rPr>
      <t>whole trial including France;</t>
    </r>
    <r>
      <rPr>
        <sz val="10"/>
        <color rgb="FF00B050"/>
        <rFont val="Calibri"/>
        <family val="2"/>
        <scheme val="minor"/>
      </rPr>
      <t xml:space="preserve">
up to 31/12/2008</t>
    </r>
  </si>
  <si>
    <t>Low risk (T1-T2 and Gleason score 6)</t>
  </si>
  <si>
    <t>Missing risk group</t>
  </si>
  <si>
    <t>No of prostate cancers with low risk (T1-T2 and Gleason score 6) in men aged 55-59 years; up to 31/12/2008</t>
  </si>
  <si>
    <t>Figure 1 and Table 2C in supplementary appendix</t>
  </si>
  <si>
    <r>
      <t>1./4. Absolute incidence of prostate cancers with intermediate risk at diagnosis</t>
    </r>
    <r>
      <rPr>
        <b/>
        <sz val="10"/>
        <color rgb="FF00B050"/>
        <rFont val="Calibri"/>
        <family val="2"/>
        <scheme val="minor"/>
      </rPr>
      <t xml:space="preserve"> in men aged 55-69 years </t>
    </r>
    <r>
      <rPr>
        <sz val="10"/>
        <color rgb="FF00B050"/>
        <rFont val="Calibri"/>
        <family val="2"/>
        <scheme val="minor"/>
      </rPr>
      <t xml:space="preserve">(per 1,000 men);
</t>
    </r>
    <r>
      <rPr>
        <b/>
        <sz val="10"/>
        <color rgb="FF00B050"/>
        <rFont val="Calibri"/>
        <family val="2"/>
        <scheme val="minor"/>
      </rPr>
      <t>whole trial including France;</t>
    </r>
    <r>
      <rPr>
        <sz val="10"/>
        <color rgb="FF00B050"/>
        <rFont val="Calibri"/>
        <family val="2"/>
        <scheme val="minor"/>
      </rPr>
      <t xml:space="preserve">
up to 31/12/2008</t>
    </r>
  </si>
  <si>
    <t>Intermediate risk (T1-T3 and Gleason score 7)</t>
  </si>
  <si>
    <t>No of prostate cancers with intermediate risk (T1-T3 and Gleason score 7) in men aged 55-59 years; up to 31/12/2008</t>
  </si>
  <si>
    <r>
      <t>1./4. Absolute incidence of prostate cancers with high risk at diagnosis</t>
    </r>
    <r>
      <rPr>
        <b/>
        <sz val="10"/>
        <color rgb="FF00B050"/>
        <rFont val="Calibri"/>
        <family val="2"/>
        <scheme val="minor"/>
      </rPr>
      <t xml:space="preserve"> in men aged 55-69 years </t>
    </r>
    <r>
      <rPr>
        <sz val="10"/>
        <color rgb="FF00B050"/>
        <rFont val="Calibri"/>
        <family val="2"/>
        <scheme val="minor"/>
      </rPr>
      <t xml:space="preserve">(per 1,000 men);
</t>
    </r>
    <r>
      <rPr>
        <b/>
        <sz val="10"/>
        <color rgb="FF00B050"/>
        <rFont val="Calibri"/>
        <family val="2"/>
        <scheme val="minor"/>
      </rPr>
      <t>whole trial including France;</t>
    </r>
    <r>
      <rPr>
        <sz val="10"/>
        <color rgb="FF00B050"/>
        <rFont val="Calibri"/>
        <family val="2"/>
        <scheme val="minor"/>
      </rPr>
      <t xml:space="preserve">
up to 31/12/2008</t>
    </r>
  </si>
  <si>
    <t>High risk (T1-T3 and Gleason score 8-10; or T4)</t>
  </si>
  <si>
    <t>No of prostate cancers with high risk (T1-T3 and Gleason score 8-10; or T4) in men aged 55-59 years; up to 31/12/2008</t>
  </si>
  <si>
    <r>
      <t>1./4. Absolute incidence of prostate cancers with M1 disease (or PSA &gt; 100 ng/ml) at diagnosis</t>
    </r>
    <r>
      <rPr>
        <b/>
        <sz val="10"/>
        <color rgb="FF00B050"/>
        <rFont val="Calibri"/>
        <family val="2"/>
        <scheme val="minor"/>
      </rPr>
      <t xml:space="preserve"> in men aged 55-69 years </t>
    </r>
    <r>
      <rPr>
        <sz val="10"/>
        <color rgb="FF00B050"/>
        <rFont val="Calibri"/>
        <family val="2"/>
        <scheme val="minor"/>
      </rPr>
      <t xml:space="preserve">(per 1,000 men);
</t>
    </r>
    <r>
      <rPr>
        <b/>
        <sz val="10"/>
        <color rgb="FF00B050"/>
        <rFont val="Calibri"/>
        <family val="2"/>
        <scheme val="minor"/>
      </rPr>
      <t>whole trial including France;</t>
    </r>
    <r>
      <rPr>
        <sz val="10"/>
        <color rgb="FF00B050"/>
        <rFont val="Calibri"/>
        <family val="2"/>
        <scheme val="minor"/>
      </rPr>
      <t xml:space="preserve">
up to 31/12/2008</t>
    </r>
  </si>
  <si>
    <t>M1 (or PSA &gt; 100 ng/ml)</t>
  </si>
  <si>
    <t>No of prostate cancers with M1 disease (positive results on a bone scan or a PSA value of more than 100 ng per milliliter in those without bone-scan results) in men aged 55-59 years; up to 31/12/2008</t>
  </si>
  <si>
    <r>
      <t xml:space="preserve">1./4. Absolute incidence of prostate cancers with T1/T1A/T1B at diagnosis in </t>
    </r>
    <r>
      <rPr>
        <b/>
        <sz val="10"/>
        <color rgb="FF00B050"/>
        <rFont val="Calibri"/>
        <family val="2"/>
        <scheme val="minor"/>
      </rPr>
      <t>men aged 55-69 years (per 1,000 men);
whole trial excluding France;</t>
    </r>
    <r>
      <rPr>
        <sz val="10"/>
        <color rgb="FF00B050"/>
        <rFont val="Calibri"/>
        <family val="2"/>
        <scheme val="minor"/>
      </rPr>
      <t xml:space="preserve">
up to 31/12/2008</t>
    </r>
  </si>
  <si>
    <r>
      <t xml:space="preserve">1./4. Absolute incidence of prostate cancers with T1c at diagnosis in </t>
    </r>
    <r>
      <rPr>
        <b/>
        <sz val="10"/>
        <color rgb="FF00B050"/>
        <rFont val="Calibri"/>
        <family val="2"/>
        <scheme val="minor"/>
      </rPr>
      <t>men aged 55-69 years (per 1,000 men);
whole trial excluding France;</t>
    </r>
    <r>
      <rPr>
        <sz val="10"/>
        <color rgb="FF00B050"/>
        <rFont val="Calibri"/>
        <family val="2"/>
        <scheme val="minor"/>
      </rPr>
      <t xml:space="preserve">
up to 31/12/2008</t>
    </r>
  </si>
  <si>
    <r>
      <t xml:space="preserve">1./4. Absolute incidence of prostate cancers with T2 at diagnosis </t>
    </r>
    <r>
      <rPr>
        <b/>
        <sz val="10"/>
        <color rgb="FF00B050"/>
        <rFont val="Calibri"/>
        <family val="2"/>
        <scheme val="minor"/>
      </rPr>
      <t>in men aged 55-69 years (per 1,000 men);
whole trial excluding France;</t>
    </r>
    <r>
      <rPr>
        <sz val="10"/>
        <color rgb="FF00B050"/>
        <rFont val="Calibri"/>
        <family val="2"/>
        <scheme val="minor"/>
      </rPr>
      <t xml:space="preserve">
up to 31/12/2008</t>
    </r>
  </si>
  <si>
    <r>
      <t xml:space="preserve">1./4. Absolute incidence of prostate cancers with T3 at diagnosis in </t>
    </r>
    <r>
      <rPr>
        <b/>
        <sz val="10"/>
        <color rgb="FF00B050"/>
        <rFont val="Calibri"/>
        <family val="2"/>
        <scheme val="minor"/>
      </rPr>
      <t>men aged 55-69 years (per 1,000 men);
whole trial excluding France;</t>
    </r>
    <r>
      <rPr>
        <sz val="10"/>
        <color rgb="FF00B050"/>
        <rFont val="Calibri"/>
        <family val="2"/>
        <scheme val="minor"/>
      </rPr>
      <t xml:space="preserve">
up to 31/12/2008</t>
    </r>
  </si>
  <si>
    <r>
      <t xml:space="preserve">1./4. Absolute incidence of prostate cancers with T4 at diagnosis in </t>
    </r>
    <r>
      <rPr>
        <b/>
        <sz val="10"/>
        <color rgb="FF00B050"/>
        <rFont val="Calibri"/>
        <family val="2"/>
        <scheme val="minor"/>
      </rPr>
      <t>men aged 55-69 years (per 1,000 men);
whole trial excluding France;</t>
    </r>
    <r>
      <rPr>
        <sz val="10"/>
        <color rgb="FF00B050"/>
        <rFont val="Calibri"/>
        <family val="2"/>
        <scheme val="minor"/>
      </rPr>
      <t xml:space="preserve">
up to 31/12/2008</t>
    </r>
  </si>
  <si>
    <r>
      <t>1./4. Absolute incidence of prostate cancers with low risk at diagnosis</t>
    </r>
    <r>
      <rPr>
        <b/>
        <sz val="10"/>
        <color rgb="FF00B050"/>
        <rFont val="Calibri"/>
        <family val="2"/>
        <scheme val="minor"/>
      </rPr>
      <t xml:space="preserve"> in men aged 55-69 years </t>
    </r>
    <r>
      <rPr>
        <sz val="10"/>
        <color rgb="FF00B050"/>
        <rFont val="Calibri"/>
        <family val="2"/>
        <scheme val="minor"/>
      </rPr>
      <t xml:space="preserve">(per 1,000 men);
</t>
    </r>
    <r>
      <rPr>
        <b/>
        <sz val="10"/>
        <color rgb="FF00B050"/>
        <rFont val="Calibri"/>
        <family val="2"/>
        <scheme val="minor"/>
      </rPr>
      <t>whole trial excluding France;</t>
    </r>
    <r>
      <rPr>
        <sz val="10"/>
        <color rgb="FF00B050"/>
        <rFont val="Calibri"/>
        <family val="2"/>
        <scheme val="minor"/>
      </rPr>
      <t xml:space="preserve">
up to 31/12/2008</t>
    </r>
  </si>
  <si>
    <r>
      <t xml:space="preserve">Low risk (T1-T2 and Gleason score </t>
    </r>
    <r>
      <rPr>
        <sz val="10"/>
        <color rgb="FF00B050"/>
        <rFont val="Calibri"/>
        <family val="2"/>
      </rPr>
      <t>≤</t>
    </r>
    <r>
      <rPr>
        <sz val="10"/>
        <color rgb="FF00B050"/>
        <rFont val="Calibri"/>
        <family val="2"/>
        <scheme val="minor"/>
      </rPr>
      <t>6)</t>
    </r>
  </si>
  <si>
    <r>
      <t xml:space="preserve">No of prostate cancers with low risk (T1-T2 and Gleason score </t>
    </r>
    <r>
      <rPr>
        <sz val="10"/>
        <color rgb="FF00B050"/>
        <rFont val="Calibri"/>
        <family val="2"/>
      </rPr>
      <t>≤</t>
    </r>
    <r>
      <rPr>
        <sz val="10"/>
        <color rgb="FF00B050"/>
        <rFont val="Calibri"/>
        <family val="2"/>
        <scheme val="minor"/>
      </rPr>
      <t>6) in men aged 55-59 years; up to 31/12/2008</t>
    </r>
  </si>
  <si>
    <r>
      <t>1./4. Absolute incidence of prostate cancers with intermediate risk at diagnosis</t>
    </r>
    <r>
      <rPr>
        <b/>
        <sz val="10"/>
        <color rgb="FF00B050"/>
        <rFont val="Calibri"/>
        <family val="2"/>
        <scheme val="minor"/>
      </rPr>
      <t xml:space="preserve"> in men aged 55-69 years </t>
    </r>
    <r>
      <rPr>
        <sz val="10"/>
        <color rgb="FF00B050"/>
        <rFont val="Calibri"/>
        <family val="2"/>
        <scheme val="minor"/>
      </rPr>
      <t xml:space="preserve">(per 1,000 men);
</t>
    </r>
    <r>
      <rPr>
        <b/>
        <sz val="10"/>
        <color rgb="FF00B050"/>
        <rFont val="Calibri"/>
        <family val="2"/>
        <scheme val="minor"/>
      </rPr>
      <t>whole trial excluding France;</t>
    </r>
    <r>
      <rPr>
        <sz val="10"/>
        <color rgb="FF00B050"/>
        <rFont val="Calibri"/>
        <family val="2"/>
        <scheme val="minor"/>
      </rPr>
      <t xml:space="preserve">
up to 31/12/2008</t>
    </r>
  </si>
  <si>
    <r>
      <t xml:space="preserve">Intermediate risk (T1-T2 and Gleason score 7; T3 and Gleason score </t>
    </r>
    <r>
      <rPr>
        <sz val="10"/>
        <color rgb="FF00B050"/>
        <rFont val="Calibri"/>
        <family val="2"/>
      </rPr>
      <t>≤</t>
    </r>
    <r>
      <rPr>
        <sz val="9.1999999999999993"/>
        <color rgb="FF00B050"/>
        <rFont val="Calibri"/>
        <family val="2"/>
      </rPr>
      <t>7</t>
    </r>
    <r>
      <rPr>
        <sz val="10"/>
        <color rgb="FF00B050"/>
        <rFont val="Calibri"/>
        <family val="2"/>
        <scheme val="minor"/>
      </rPr>
      <t>)</t>
    </r>
  </si>
  <si>
    <t>No of prostate cancers with intermediate risk (T1-T2 and Gleason score 7; T3 and Gleason score ≤7) in men aged 55-59 years; up to 31/12/2008</t>
  </si>
  <si>
    <r>
      <t>1./4. Absolute incidence of prostate cancers with high risk at diagnosis</t>
    </r>
    <r>
      <rPr>
        <b/>
        <sz val="10"/>
        <color rgb="FF00B050"/>
        <rFont val="Calibri"/>
        <family val="2"/>
        <scheme val="minor"/>
      </rPr>
      <t xml:space="preserve"> in men aged 55-69 years </t>
    </r>
    <r>
      <rPr>
        <sz val="10"/>
        <color rgb="FF00B050"/>
        <rFont val="Calibri"/>
        <family val="2"/>
        <scheme val="minor"/>
      </rPr>
      <t xml:space="preserve">(per 1,000 men);
</t>
    </r>
    <r>
      <rPr>
        <b/>
        <sz val="10"/>
        <color rgb="FF00B050"/>
        <rFont val="Calibri"/>
        <family val="2"/>
        <scheme val="minor"/>
      </rPr>
      <t>whole trial excluding France;</t>
    </r>
    <r>
      <rPr>
        <sz val="10"/>
        <color rgb="FF00B050"/>
        <rFont val="Calibri"/>
        <family val="2"/>
        <scheme val="minor"/>
      </rPr>
      <t xml:space="preserve">
up to 31/12/2008</t>
    </r>
  </si>
  <si>
    <r>
      <t>1./4. Absolute incidence of prostate cancers with M1 disease (or PSA &gt; 100 ng/ml) at diagnosis</t>
    </r>
    <r>
      <rPr>
        <b/>
        <sz val="10"/>
        <color rgb="FF00B050"/>
        <rFont val="Calibri"/>
        <family val="2"/>
        <scheme val="minor"/>
      </rPr>
      <t xml:space="preserve"> in men aged 55-69 years </t>
    </r>
    <r>
      <rPr>
        <sz val="10"/>
        <color rgb="FF00B050"/>
        <rFont val="Calibri"/>
        <family val="2"/>
        <scheme val="minor"/>
      </rPr>
      <t xml:space="preserve">(per 1,000 men);
</t>
    </r>
    <r>
      <rPr>
        <b/>
        <sz val="10"/>
        <color rgb="FF00B050"/>
        <rFont val="Calibri"/>
        <family val="2"/>
        <scheme val="minor"/>
      </rPr>
      <t>whole trial excluding France;</t>
    </r>
    <r>
      <rPr>
        <sz val="10"/>
        <color rgb="FF00B050"/>
        <rFont val="Calibri"/>
        <family val="2"/>
        <scheme val="minor"/>
      </rPr>
      <t xml:space="preserve">
up to 31/12/2008</t>
    </r>
  </si>
  <si>
    <r>
      <t>1./4. Absolute incidence of prostate cancers with low risk at diagnosis</t>
    </r>
    <r>
      <rPr>
        <b/>
        <sz val="10"/>
        <color rgb="FF00B050"/>
        <rFont val="Calibri"/>
        <family val="2"/>
        <scheme val="minor"/>
      </rPr>
      <t xml:space="preserve"> in men aged 55-69 years </t>
    </r>
    <r>
      <rPr>
        <sz val="10"/>
        <color rgb="FF00B050"/>
        <rFont val="Calibri"/>
        <family val="2"/>
        <scheme val="minor"/>
      </rPr>
      <t xml:space="preserve">(per 1,000 PY);
</t>
    </r>
    <r>
      <rPr>
        <b/>
        <sz val="10"/>
        <color rgb="FF00B050"/>
        <rFont val="Calibri"/>
        <family val="2"/>
        <scheme val="minor"/>
      </rPr>
      <t>whole trial excluding France;</t>
    </r>
    <r>
      <rPr>
        <sz val="10"/>
        <color rgb="FF00B050"/>
        <rFont val="Calibri"/>
        <family val="2"/>
        <scheme val="minor"/>
      </rPr>
      <t xml:space="preserve">
years 1-13</t>
    </r>
  </si>
  <si>
    <t>775,527 PY</t>
  </si>
  <si>
    <t>980,474 PY</t>
  </si>
  <si>
    <r>
      <t xml:space="preserve">No of prostate cancers with low risk (T1-T2 and Gleason score </t>
    </r>
    <r>
      <rPr>
        <sz val="10"/>
        <color rgb="FF00B050"/>
        <rFont val="Calibri"/>
        <family val="2"/>
      </rPr>
      <t>≤</t>
    </r>
    <r>
      <rPr>
        <sz val="10"/>
        <color rgb="FF00B050"/>
        <rFont val="Calibri"/>
        <family val="2"/>
        <scheme val="minor"/>
      </rPr>
      <t>6) in men aged 55-59 years; years 1-13</t>
    </r>
  </si>
  <si>
    <r>
      <t>1./4. Absolute incidence of prostate cancers with intermediate risk at diagnosis</t>
    </r>
    <r>
      <rPr>
        <b/>
        <sz val="10"/>
        <color rgb="FF00B050"/>
        <rFont val="Calibri"/>
        <family val="2"/>
        <scheme val="minor"/>
      </rPr>
      <t xml:space="preserve"> in men aged 55-69 years </t>
    </r>
    <r>
      <rPr>
        <sz val="10"/>
        <color rgb="FF00B050"/>
        <rFont val="Calibri"/>
        <family val="2"/>
        <scheme val="minor"/>
      </rPr>
      <t xml:space="preserve">(per 1,000 PY);
</t>
    </r>
    <r>
      <rPr>
        <b/>
        <sz val="10"/>
        <color rgb="FF00B050"/>
        <rFont val="Calibri"/>
        <family val="2"/>
        <scheme val="minor"/>
      </rPr>
      <t>whole trial excluding France;</t>
    </r>
    <r>
      <rPr>
        <sz val="10"/>
        <color rgb="FF00B050"/>
        <rFont val="Calibri"/>
        <family val="2"/>
        <scheme val="minor"/>
      </rPr>
      <t xml:space="preserve">
years 1-13</t>
    </r>
  </si>
  <si>
    <t>No of prostate cancers with intermediate risk (T1-T2 and Gleason score 7; T3 and Gleason score ≤7) in men aged 55-59 years; years 1-13</t>
  </si>
  <si>
    <r>
      <t>1./4. Absolute incidence of prostate cancers with high risk at diagnosis</t>
    </r>
    <r>
      <rPr>
        <b/>
        <sz val="10"/>
        <color rgb="FF00B050"/>
        <rFont val="Calibri"/>
        <family val="2"/>
        <scheme val="minor"/>
      </rPr>
      <t xml:space="preserve"> in men aged 55-69 years </t>
    </r>
    <r>
      <rPr>
        <sz val="10"/>
        <color rgb="FF00B050"/>
        <rFont val="Calibri"/>
        <family val="2"/>
        <scheme val="minor"/>
      </rPr>
      <t xml:space="preserve">(per 1,000 PY);
</t>
    </r>
    <r>
      <rPr>
        <b/>
        <sz val="10"/>
        <color rgb="FF00B050"/>
        <rFont val="Calibri"/>
        <family val="2"/>
        <scheme val="minor"/>
      </rPr>
      <t>whole trial excluding France;</t>
    </r>
    <r>
      <rPr>
        <sz val="10"/>
        <color rgb="FF00B050"/>
        <rFont val="Calibri"/>
        <family val="2"/>
        <scheme val="minor"/>
      </rPr>
      <t xml:space="preserve">
years 1-13</t>
    </r>
  </si>
  <si>
    <t>No of prostate cancers with high risk (T1-T3 and Gleason score 8-10; or T4) in men aged 55-59 years; years 1-13</t>
  </si>
  <si>
    <r>
      <t>1./4. Absolute incidence of prostate cancers with M1 disease (or PSA &gt; 100 ng/ml) at diagnosis</t>
    </r>
    <r>
      <rPr>
        <b/>
        <sz val="10"/>
        <color rgb="FF00B050"/>
        <rFont val="Calibri"/>
        <family val="2"/>
        <scheme val="minor"/>
      </rPr>
      <t xml:space="preserve"> in men aged 55-69 years </t>
    </r>
    <r>
      <rPr>
        <sz val="10"/>
        <color rgb="FF00B050"/>
        <rFont val="Calibri"/>
        <family val="2"/>
        <scheme val="minor"/>
      </rPr>
      <t xml:space="preserve">(per 1,000 PY);
</t>
    </r>
    <r>
      <rPr>
        <b/>
        <sz val="10"/>
        <color rgb="FF00B050"/>
        <rFont val="Calibri"/>
        <family val="2"/>
        <scheme val="minor"/>
      </rPr>
      <t>whole trial excluding France;</t>
    </r>
    <r>
      <rPr>
        <sz val="10"/>
        <color rgb="FF00B050"/>
        <rFont val="Calibri"/>
        <family val="2"/>
        <scheme val="minor"/>
      </rPr>
      <t xml:space="preserve">
years 1-13</t>
    </r>
  </si>
  <si>
    <t>No of prostate cancers with M1 disease (positive results on a bone scan or a PSA value of more than 100 ng per milliliter in those without bone-scan results) in men aged 55-59 years; years 1-13</t>
  </si>
  <si>
    <r>
      <t xml:space="preserve">1./4. Absolute incidence of prostate cancers with T1c at diagnosis in </t>
    </r>
    <r>
      <rPr>
        <b/>
        <sz val="10"/>
        <color rgb="FF00B050"/>
        <rFont val="Calibri"/>
        <family val="2"/>
        <scheme val="minor"/>
      </rPr>
      <t>men aged 55-69 years (per 1,000 PY);
whole trial excluding France;</t>
    </r>
    <r>
      <rPr>
        <sz val="10"/>
        <color rgb="FF00B050"/>
        <rFont val="Calibri"/>
        <family val="2"/>
        <scheme val="minor"/>
      </rPr>
      <t xml:space="preserve">
year 1</t>
    </r>
  </si>
  <si>
    <t>71,089.84 PY</t>
  </si>
  <si>
    <t>88,282.97 PY</t>
  </si>
  <si>
    <t>No of prostate cancers with T stage group T1c in men aged 55-59 years; year 1</t>
  </si>
  <si>
    <t>Appendix table 5</t>
  </si>
  <si>
    <r>
      <t>1./4. Absolute incidence of prostate cancers with low risk at diagnosis</t>
    </r>
    <r>
      <rPr>
        <b/>
        <sz val="10"/>
        <color rgb="FF00B050"/>
        <rFont val="Calibri"/>
        <family val="2"/>
        <scheme val="minor"/>
      </rPr>
      <t xml:space="preserve"> in men of all ages </t>
    </r>
    <r>
      <rPr>
        <sz val="10"/>
        <color rgb="FF00B050"/>
        <rFont val="Calibri"/>
        <family val="2"/>
        <scheme val="minor"/>
      </rPr>
      <t xml:space="preserve">(per 1,000 PY);
</t>
    </r>
    <r>
      <rPr>
        <b/>
        <sz val="10"/>
        <color rgb="FF00B050"/>
        <rFont val="Calibri"/>
        <family val="2"/>
        <scheme val="minor"/>
      </rPr>
      <t>whole trial excluding France;</t>
    </r>
    <r>
      <rPr>
        <sz val="10"/>
        <color rgb="FF00B050"/>
        <rFont val="Calibri"/>
        <family val="2"/>
        <scheme val="minor"/>
      </rPr>
      <t xml:space="preserve">
years 1-13</t>
    </r>
  </si>
  <si>
    <t>879,450 PY</t>
  </si>
  <si>
    <t>1,086,705 PY</t>
  </si>
  <si>
    <r>
      <t xml:space="preserve">No of prostate cancers with low risk (T1-T2 and Gleason score </t>
    </r>
    <r>
      <rPr>
        <sz val="10"/>
        <color rgb="FF00B050"/>
        <rFont val="Calibri"/>
        <family val="2"/>
      </rPr>
      <t>≤</t>
    </r>
    <r>
      <rPr>
        <sz val="10"/>
        <color rgb="FF00B050"/>
        <rFont val="Calibri"/>
        <family val="2"/>
        <scheme val="minor"/>
      </rPr>
      <t>6) in men of all ages; years 1-13</t>
    </r>
  </si>
  <si>
    <t>Figure 1 in supplementary appendix</t>
  </si>
  <si>
    <r>
      <t>1./4. Absolute incidence of prostate cancers with intermediate risk at diagnosis</t>
    </r>
    <r>
      <rPr>
        <b/>
        <sz val="10"/>
        <color rgb="FF00B050"/>
        <rFont val="Calibri"/>
        <family val="2"/>
        <scheme val="minor"/>
      </rPr>
      <t xml:space="preserve"> in men of all ages </t>
    </r>
    <r>
      <rPr>
        <sz val="10"/>
        <color rgb="FF00B050"/>
        <rFont val="Calibri"/>
        <family val="2"/>
        <scheme val="minor"/>
      </rPr>
      <t xml:space="preserve">(per 1,000 PY);
</t>
    </r>
    <r>
      <rPr>
        <b/>
        <sz val="10"/>
        <color rgb="FF00B050"/>
        <rFont val="Calibri"/>
        <family val="2"/>
        <scheme val="minor"/>
      </rPr>
      <t>whole trial excluding France;</t>
    </r>
    <r>
      <rPr>
        <sz val="10"/>
        <color rgb="FF00B050"/>
        <rFont val="Calibri"/>
        <family val="2"/>
        <scheme val="minor"/>
      </rPr>
      <t xml:space="preserve">
years 1-13</t>
    </r>
  </si>
  <si>
    <t>No of prostate cancers with intermediate risk (T1-T2 and Gleason score 7; T3 and Gleason score ≤7) in men of all ages; years 1-13</t>
  </si>
  <si>
    <r>
      <t>1./4. Absolute incidence of prostate cancers with high risk at diagnosis</t>
    </r>
    <r>
      <rPr>
        <b/>
        <sz val="10"/>
        <color rgb="FF00B050"/>
        <rFont val="Calibri"/>
        <family val="2"/>
        <scheme val="minor"/>
      </rPr>
      <t xml:space="preserve"> in men of all ages </t>
    </r>
    <r>
      <rPr>
        <sz val="10"/>
        <color rgb="FF00B050"/>
        <rFont val="Calibri"/>
        <family val="2"/>
        <scheme val="minor"/>
      </rPr>
      <t xml:space="preserve">(per 1,000 PY);
</t>
    </r>
    <r>
      <rPr>
        <b/>
        <sz val="10"/>
        <color rgb="FF00B050"/>
        <rFont val="Calibri"/>
        <family val="2"/>
        <scheme val="minor"/>
      </rPr>
      <t>whole trial excluding France;</t>
    </r>
    <r>
      <rPr>
        <sz val="10"/>
        <color rgb="FF00B050"/>
        <rFont val="Calibri"/>
        <family val="2"/>
        <scheme val="minor"/>
      </rPr>
      <t xml:space="preserve">
years 1-13</t>
    </r>
  </si>
  <si>
    <t>No of prostate cancers with high risk (T1-T3 and Gleason score 8-10; or T4) in men of all ages; years 1-13</t>
  </si>
  <si>
    <r>
      <t>1./4. Absolute incidence of prostate cancers with M1 disease (or PSA &gt; 100 ng/ml) at diagnosis</t>
    </r>
    <r>
      <rPr>
        <b/>
        <sz val="10"/>
        <color rgb="FF00B050"/>
        <rFont val="Calibri"/>
        <family val="2"/>
        <scheme val="minor"/>
      </rPr>
      <t xml:space="preserve"> in men of all ages </t>
    </r>
    <r>
      <rPr>
        <sz val="10"/>
        <color rgb="FF00B050"/>
        <rFont val="Calibri"/>
        <family val="2"/>
        <scheme val="minor"/>
      </rPr>
      <t xml:space="preserve">(per 1,000 PY);
</t>
    </r>
    <r>
      <rPr>
        <b/>
        <sz val="10"/>
        <color rgb="FF00B050"/>
        <rFont val="Calibri"/>
        <family val="2"/>
        <scheme val="minor"/>
      </rPr>
      <t>whole trial excluding France;</t>
    </r>
    <r>
      <rPr>
        <sz val="10"/>
        <color rgb="FF00B050"/>
        <rFont val="Calibri"/>
        <family val="2"/>
        <scheme val="minor"/>
      </rPr>
      <t xml:space="preserve">
years 1-13</t>
    </r>
  </si>
  <si>
    <t>No of prostate cancers with M1 disease (positive results on a bone scan or a PSA value of more than 100 ng per milliliter in those without bone-scan results) in men of all ages; years 1-13</t>
  </si>
  <si>
    <t>Hugosson 2019</t>
  </si>
  <si>
    <r>
      <t>1./4. Absolute incidence of prostate cancers with low risk at diagnosis</t>
    </r>
    <r>
      <rPr>
        <b/>
        <sz val="10"/>
        <color rgb="FF00B050"/>
        <rFont val="Calibri"/>
        <family val="2"/>
        <scheme val="minor"/>
      </rPr>
      <t xml:space="preserve"> in men aged 55-69 years </t>
    </r>
    <r>
      <rPr>
        <sz val="10"/>
        <color rgb="FF00B050"/>
        <rFont val="Calibri"/>
        <family val="2"/>
        <scheme val="minor"/>
      </rPr>
      <t xml:space="preserve">(per 1,000 PY);
</t>
    </r>
    <r>
      <rPr>
        <b/>
        <sz val="10"/>
        <color rgb="FF00B050"/>
        <rFont val="Calibri"/>
        <family val="2"/>
        <scheme val="minor"/>
      </rPr>
      <t>whole trial excluding France;</t>
    </r>
    <r>
      <rPr>
        <sz val="10"/>
        <color rgb="FF00B050"/>
        <rFont val="Calibri"/>
        <family val="2"/>
        <scheme val="minor"/>
      </rPr>
      <t xml:space="preserve">
years 1-16</t>
    </r>
  </si>
  <si>
    <t>PCa incidence was monitored by country for cancer and vital status. All randomised men were linked with cancer registers and reported biannually to the central database. TNM stage, PSA, Gleason score, and primary treatment were abstracted from medical records.</t>
  </si>
  <si>
    <t>918,300 PY</t>
  </si>
  <si>
    <t>1,162,062 PY</t>
  </si>
  <si>
    <t>Missing risk group (missing T stage or Gleason score; PSA &lt;100)</t>
  </si>
  <si>
    <r>
      <t xml:space="preserve">No of prostate cancers with low risk (T1-T2 and Gleason score </t>
    </r>
    <r>
      <rPr>
        <sz val="10"/>
        <color rgb="FF00B050"/>
        <rFont val="Calibri"/>
        <family val="2"/>
      </rPr>
      <t>≤</t>
    </r>
    <r>
      <rPr>
        <sz val="10"/>
        <color rgb="FF00B050"/>
        <rFont val="Calibri"/>
        <family val="2"/>
        <scheme val="minor"/>
      </rPr>
      <t>6) in men aged 55-59 years; years 1-16</t>
    </r>
  </si>
  <si>
    <r>
      <t>1./4. Absolute incidence of prostate cancers with intermediate risk at diagnosis</t>
    </r>
    <r>
      <rPr>
        <b/>
        <sz val="10"/>
        <color rgb="FF00B050"/>
        <rFont val="Calibri"/>
        <family val="2"/>
        <scheme val="minor"/>
      </rPr>
      <t xml:space="preserve"> in men aged 55-69 years </t>
    </r>
    <r>
      <rPr>
        <sz val="10"/>
        <color rgb="FF00B050"/>
        <rFont val="Calibri"/>
        <family val="2"/>
        <scheme val="minor"/>
      </rPr>
      <t xml:space="preserve">(per 1,000 PY);
</t>
    </r>
    <r>
      <rPr>
        <b/>
        <sz val="10"/>
        <color rgb="FF00B050"/>
        <rFont val="Calibri"/>
        <family val="2"/>
        <scheme val="minor"/>
      </rPr>
      <t>whole trial excluding France;</t>
    </r>
    <r>
      <rPr>
        <sz val="10"/>
        <color rgb="FF00B050"/>
        <rFont val="Calibri"/>
        <family val="2"/>
        <scheme val="minor"/>
      </rPr>
      <t xml:space="preserve">
years 1-16</t>
    </r>
  </si>
  <si>
    <t>No of prostate cancers with intermediate risk (T1-T2 and Gleason score 7; T3 and Gleason score ≤7) in men aged 55-59 years; years 1-16</t>
  </si>
  <si>
    <r>
      <t>1./4. Absolute incidence of prostate cancers with high risk at diagnosis</t>
    </r>
    <r>
      <rPr>
        <b/>
        <sz val="10"/>
        <color rgb="FF00B050"/>
        <rFont val="Calibri"/>
        <family val="2"/>
        <scheme val="minor"/>
      </rPr>
      <t xml:space="preserve"> in men aged 55-69 years </t>
    </r>
    <r>
      <rPr>
        <sz val="10"/>
        <color rgb="FF00B050"/>
        <rFont val="Calibri"/>
        <family val="2"/>
        <scheme val="minor"/>
      </rPr>
      <t xml:space="preserve">(per 1,000 PY);
</t>
    </r>
    <r>
      <rPr>
        <b/>
        <sz val="10"/>
        <color rgb="FF00B050"/>
        <rFont val="Calibri"/>
        <family val="2"/>
        <scheme val="minor"/>
      </rPr>
      <t>whole trial excluding France;</t>
    </r>
    <r>
      <rPr>
        <sz val="10"/>
        <color rgb="FF00B050"/>
        <rFont val="Calibri"/>
        <family val="2"/>
        <scheme val="minor"/>
      </rPr>
      <t xml:space="preserve">
years 1-16</t>
    </r>
  </si>
  <si>
    <t>No of prostate cancers with high risk (T1-T3 and Gleason score 8-10; or T4) in men aged 55-59 years; years 1-16</t>
  </si>
  <si>
    <r>
      <t>1./4. Absolute incidence of prostate cancers with M1 disease (or PSA &gt; 100 ng/ml) at diagnosis</t>
    </r>
    <r>
      <rPr>
        <b/>
        <sz val="10"/>
        <color rgb="FF00B050"/>
        <rFont val="Calibri"/>
        <family val="2"/>
        <scheme val="minor"/>
      </rPr>
      <t xml:space="preserve"> in men aged 55-69 years </t>
    </r>
    <r>
      <rPr>
        <sz val="10"/>
        <color rgb="FF00B050"/>
        <rFont val="Calibri"/>
        <family val="2"/>
        <scheme val="minor"/>
      </rPr>
      <t xml:space="preserve">(per 1,000 PY);
</t>
    </r>
    <r>
      <rPr>
        <b/>
        <sz val="10"/>
        <color rgb="FF00B050"/>
        <rFont val="Calibri"/>
        <family val="2"/>
        <scheme val="minor"/>
      </rPr>
      <t>whole trial excluding France;</t>
    </r>
    <r>
      <rPr>
        <sz val="10"/>
        <color rgb="FF00B050"/>
        <rFont val="Calibri"/>
        <family val="2"/>
        <scheme val="minor"/>
      </rPr>
      <t xml:space="preserve">
years 1-16</t>
    </r>
  </si>
  <si>
    <t>No of prostate cancers with M1 disease (positive results on a bone scan or a PSA value of more than 100 ng per milliliter in those without bone-scan results) in men aged 55-59 years; years 1-16</t>
  </si>
  <si>
    <t>Postma, 2006</t>
  </si>
  <si>
    <r>
      <t>1./4. Absolute incidence of prostate cancers with T1C at diagnosis</t>
    </r>
    <r>
      <rPr>
        <b/>
        <sz val="10"/>
        <color rgb="FF00B050"/>
        <rFont val="Calibri"/>
        <family val="2"/>
        <scheme val="minor"/>
      </rPr>
      <t xml:space="preserve"> </t>
    </r>
    <r>
      <rPr>
        <sz val="10"/>
        <color rgb="FF00B050"/>
        <rFont val="Calibri"/>
        <family val="2"/>
        <scheme val="minor"/>
      </rPr>
      <t>(per 100 men);</t>
    </r>
    <r>
      <rPr>
        <b/>
        <sz val="10"/>
        <color rgb="FF00B050"/>
        <rFont val="Calibri"/>
        <family val="2"/>
        <scheme val="minor"/>
      </rPr>
      <t xml:space="preserve">
Netherlands; all ages;</t>
    </r>
    <r>
      <rPr>
        <sz val="10"/>
        <color rgb="FF00B050"/>
        <rFont val="Calibri"/>
        <family val="2"/>
        <scheme val="minor"/>
      </rPr>
      <t xml:space="preserve">
up to 01/07/2003 or age 75</t>
    </r>
  </si>
  <si>
    <t>(clinically) advanced disease (T4N0M0/TXN1M0/
TXN0M1)</t>
  </si>
  <si>
    <t>After review, pathologic stage (TNM 1992 classification) [9] and Gleason score [10] were determined by two uro-pathologists</t>
  </si>
  <si>
    <t>Randomization to the cut-off date of 1st of
July-2003. The cut-off date was overruled if death, prostate cancer diagnosis or the age of 75 occurred before the cut-off date.</t>
  </si>
  <si>
    <t>July 1, 2003</t>
  </si>
  <si>
    <t>Unknown/other (TURP detected)</t>
  </si>
  <si>
    <t>88 Unknown;
29 other (TURP detected)</t>
  </si>
  <si>
    <t>No of prostate cancers with T stage group T1C; up to 01/07/2003 or age 75</t>
  </si>
  <si>
    <t>Number of men randomised, by arm</t>
  </si>
  <si>
    <r>
      <t>1./4. Absolute incidence of prostate cancers with T2 at diagnosis</t>
    </r>
    <r>
      <rPr>
        <b/>
        <sz val="10"/>
        <color rgb="FF00B050"/>
        <rFont val="Calibri"/>
        <family val="2"/>
        <scheme val="minor"/>
      </rPr>
      <t xml:space="preserve"> </t>
    </r>
    <r>
      <rPr>
        <sz val="10"/>
        <color rgb="FF00B050"/>
        <rFont val="Calibri"/>
        <family val="2"/>
        <scheme val="minor"/>
      </rPr>
      <t>(per 100 men);</t>
    </r>
    <r>
      <rPr>
        <b/>
        <sz val="10"/>
        <color rgb="FF00B050"/>
        <rFont val="Calibri"/>
        <family val="2"/>
        <scheme val="minor"/>
      </rPr>
      <t xml:space="preserve">
Netherlands; all ages;</t>
    </r>
    <r>
      <rPr>
        <sz val="10"/>
        <color rgb="FF00B050"/>
        <rFont val="Calibri"/>
        <family val="2"/>
        <scheme val="minor"/>
      </rPr>
      <t xml:space="preserve">
up to 01/07/2003 or age 75</t>
    </r>
  </si>
  <si>
    <t>No of prostate cancers with T stage group T2; up to 01/07/2003 or age 75</t>
  </si>
  <si>
    <r>
      <t>1./4. Absolute incidence of prostate cancers with T3 at diagnosis</t>
    </r>
    <r>
      <rPr>
        <b/>
        <sz val="10"/>
        <color rgb="FF00B050"/>
        <rFont val="Calibri"/>
        <family val="2"/>
        <scheme val="minor"/>
      </rPr>
      <t xml:space="preserve"> </t>
    </r>
    <r>
      <rPr>
        <sz val="10"/>
        <color rgb="FF00B050"/>
        <rFont val="Calibri"/>
        <family val="2"/>
        <scheme val="minor"/>
      </rPr>
      <t>(per 100 men);</t>
    </r>
    <r>
      <rPr>
        <b/>
        <sz val="10"/>
        <color rgb="FF00B050"/>
        <rFont val="Calibri"/>
        <family val="2"/>
        <scheme val="minor"/>
      </rPr>
      <t xml:space="preserve">
Netherlands; all ages;</t>
    </r>
    <r>
      <rPr>
        <sz val="10"/>
        <color rgb="FF00B050"/>
        <rFont val="Calibri"/>
        <family val="2"/>
        <scheme val="minor"/>
      </rPr>
      <t xml:space="preserve">
up to 01/07/2003 or age 75</t>
    </r>
  </si>
  <si>
    <t>No of prostate cancers with T stage group T3; up to 01/07/2003 or age 75</t>
  </si>
  <si>
    <r>
      <t>1./4. Absolute incidence of prostate cancers with T4/N1/M1 at diagnosis</t>
    </r>
    <r>
      <rPr>
        <b/>
        <sz val="10"/>
        <color rgb="FF00B050"/>
        <rFont val="Calibri"/>
        <family val="2"/>
        <scheme val="minor"/>
      </rPr>
      <t xml:space="preserve"> </t>
    </r>
    <r>
      <rPr>
        <sz val="10"/>
        <color rgb="FF00B050"/>
        <rFont val="Calibri"/>
        <family val="2"/>
        <scheme val="minor"/>
      </rPr>
      <t>(per 100 men);</t>
    </r>
    <r>
      <rPr>
        <b/>
        <sz val="10"/>
        <color rgb="FF00B050"/>
        <rFont val="Calibri"/>
        <family val="2"/>
        <scheme val="minor"/>
      </rPr>
      <t xml:space="preserve">
Netherlands; all ages;</t>
    </r>
    <r>
      <rPr>
        <sz val="10"/>
        <color rgb="FF00B050"/>
        <rFont val="Calibri"/>
        <family val="2"/>
        <scheme val="minor"/>
      </rPr>
      <t xml:space="preserve">
up to 01/07/2003 or age 75</t>
    </r>
  </si>
  <si>
    <t>T4/N1/M1</t>
  </si>
  <si>
    <t>No of prostate cancers with T4/N1/M1; up to 01/07/2003 or age 75</t>
  </si>
  <si>
    <t>Table 1 and text: The absolute number of (clinically) advanced disease (T4N0M0/TXN1M0/TXN0M1) was higher in the control arm (47 vs. 36).</t>
  </si>
  <si>
    <r>
      <t>1./4. Absolute incidence of prostate cancers with T4/N1/M1 at diagnosis</t>
    </r>
    <r>
      <rPr>
        <b/>
        <sz val="10"/>
        <color rgb="FF00B050"/>
        <rFont val="Calibri"/>
        <family val="2"/>
        <scheme val="minor"/>
      </rPr>
      <t xml:space="preserve"> </t>
    </r>
    <r>
      <rPr>
        <sz val="10"/>
        <color rgb="FF00B050"/>
        <rFont val="Calibri"/>
        <family val="2"/>
        <scheme val="minor"/>
      </rPr>
      <t>(per 100,000 PY);</t>
    </r>
    <r>
      <rPr>
        <b/>
        <sz val="10"/>
        <color rgb="FF00B050"/>
        <rFont val="Calibri"/>
        <family val="2"/>
        <scheme val="minor"/>
      </rPr>
      <t xml:space="preserve">
Netherlands; all ages;</t>
    </r>
    <r>
      <rPr>
        <sz val="10"/>
        <color rgb="FF00B050"/>
        <rFont val="Calibri"/>
        <family val="2"/>
        <scheme val="minor"/>
      </rPr>
      <t xml:space="preserve">
up to 01/07/2003 or age 75</t>
    </r>
  </si>
  <si>
    <t>Table 1 and text: The absolute number of (clinically) advanced disease (T4N0M0/TXN1M0/TXN0M1) was higher in the control arm (47 vs. 36)… The proportion of men with clinically advanced cancers, likely to be beyond reach of curative
treatment (T4/N1/M1) was higher in the screening
arm compared to the control arm (6.0 vs. 4.6 per
100,000 man years).</t>
  </si>
  <si>
    <r>
      <t>3. % of prostate cancers diagnosed at late stage (T4/N1/M1);</t>
    </r>
    <r>
      <rPr>
        <b/>
        <sz val="10"/>
        <color rgb="FF00B050"/>
        <rFont val="Calibri"/>
        <family val="2"/>
        <scheme val="minor"/>
      </rPr>
      <t xml:space="preserve">
Netherlands; all ages;</t>
    </r>
    <r>
      <rPr>
        <sz val="10"/>
        <color rgb="FF00B050"/>
        <rFont val="Calibri"/>
        <family val="2"/>
        <scheme val="minor"/>
      </rPr>
      <t xml:space="preserve">
up to 01/07/2003 or age 75</t>
    </r>
  </si>
  <si>
    <t>Total number of prostate cancers; diagnosed up to 01/07/2003 or age 75 (including cancers with unknown stage)</t>
  </si>
  <si>
    <t>Roobol, 2013</t>
  </si>
  <si>
    <r>
      <t xml:space="preserve">1./4. Absolute incidence of prostate cancers with T1A/T1B at diagnosis in </t>
    </r>
    <r>
      <rPr>
        <b/>
        <sz val="10"/>
        <color rgb="FF00B050"/>
        <rFont val="Calibri"/>
        <family val="2"/>
        <scheme val="minor"/>
      </rPr>
      <t>men aged 55-74 years (per 1,000 men);
Netherlands;</t>
    </r>
    <r>
      <rPr>
        <sz val="10"/>
        <color rgb="FF00B050"/>
        <rFont val="Calibri"/>
        <family val="2"/>
        <scheme val="minor"/>
      </rPr>
      <t xml:space="preserve">
up to 31/12/2010</t>
    </r>
  </si>
  <si>
    <t>T1A_B</t>
  </si>
  <si>
    <t>T3 and T4</t>
  </si>
  <si>
    <t>The total study database was linked yearly to the databases of the Dutch Cancer Registry and of Statistics Netherlands (TNM 1992).</t>
  </si>
  <si>
    <t>Unknown clinical stage</t>
  </si>
  <si>
    <t>No of prostate cancers with T stage group T1A-T1B at diagnosis; up to 31/12/2010</t>
  </si>
  <si>
    <r>
      <t xml:space="preserve">1./4. Absolute incidence of prostate cancers with T1C at diagnosis in </t>
    </r>
    <r>
      <rPr>
        <b/>
        <sz val="10"/>
        <color rgb="FF00B050"/>
        <rFont val="Calibri"/>
        <family val="2"/>
        <scheme val="minor"/>
      </rPr>
      <t>men aged 55-74 years (per 1,000 men);
Netherlands;</t>
    </r>
    <r>
      <rPr>
        <sz val="10"/>
        <color rgb="FF00B050"/>
        <rFont val="Calibri"/>
        <family val="2"/>
        <scheme val="minor"/>
      </rPr>
      <t xml:space="preserve">
up to 31/12/2010</t>
    </r>
  </si>
  <si>
    <t>T1C</t>
  </si>
  <si>
    <t>No of prostate cancers with T stage group T1C at diagnosis; up to 31/12/2010</t>
  </si>
  <si>
    <r>
      <t xml:space="preserve">1./4. Absolute incidence of prostate cancers with T2 at diagnosis in </t>
    </r>
    <r>
      <rPr>
        <b/>
        <sz val="10"/>
        <color rgb="FF00B050"/>
        <rFont val="Calibri"/>
        <family val="2"/>
        <scheme val="minor"/>
      </rPr>
      <t>men aged 55-74 years (per 1,000 men);
Netherlands;</t>
    </r>
    <r>
      <rPr>
        <sz val="10"/>
        <color rgb="FF00B050"/>
        <rFont val="Calibri"/>
        <family val="2"/>
        <scheme val="minor"/>
      </rPr>
      <t xml:space="preserve">
up to 31/12/2010</t>
    </r>
  </si>
  <si>
    <t>No of prostate cancers with T stage group T2 at diagnosis; up to 31/12/2010</t>
  </si>
  <si>
    <r>
      <t xml:space="preserve">1./4. Absolute incidence of prostate cancers with T3 at diagnosis in </t>
    </r>
    <r>
      <rPr>
        <b/>
        <sz val="10"/>
        <color rgb="FF00B050"/>
        <rFont val="Calibri"/>
        <family val="2"/>
        <scheme val="minor"/>
      </rPr>
      <t>men aged 55-74 years (per 1,000 men);
Netherlands;</t>
    </r>
    <r>
      <rPr>
        <sz val="10"/>
        <color rgb="FF00B050"/>
        <rFont val="Calibri"/>
        <family val="2"/>
        <scheme val="minor"/>
      </rPr>
      <t xml:space="preserve">
up to 31/12/2010</t>
    </r>
  </si>
  <si>
    <t>No of prostate cancers with T stage group T3 at diagnosis; up to 31/12/2010</t>
  </si>
  <si>
    <r>
      <t xml:space="preserve">1./4. Absolute incidence of prostate cancers with T4 at diagnosis in </t>
    </r>
    <r>
      <rPr>
        <b/>
        <sz val="10"/>
        <color rgb="FF00B050"/>
        <rFont val="Calibri"/>
        <family val="2"/>
        <scheme val="minor"/>
      </rPr>
      <t>men aged 55-74 years (per 1,000 men);
Netherlands;</t>
    </r>
    <r>
      <rPr>
        <sz val="10"/>
        <color rgb="FF00B050"/>
        <rFont val="Calibri"/>
        <family val="2"/>
        <scheme val="minor"/>
      </rPr>
      <t xml:space="preserve">
up to 31/12/2010</t>
    </r>
  </si>
  <si>
    <t>No of prostate cancers with T stage group T4 at diagnosis; up to 31/12/2010</t>
  </si>
  <si>
    <r>
      <t>1./4. Absolute incidence of prostate cancers with low risk at diagnosis</t>
    </r>
    <r>
      <rPr>
        <b/>
        <sz val="10"/>
        <color rgb="FF00B050"/>
        <rFont val="Calibri"/>
        <family val="2"/>
        <scheme val="minor"/>
      </rPr>
      <t xml:space="preserve"> in men aged 55-74 years </t>
    </r>
    <r>
      <rPr>
        <sz val="10"/>
        <color rgb="FF00B050"/>
        <rFont val="Calibri"/>
        <family val="2"/>
        <scheme val="minor"/>
      </rPr>
      <t xml:space="preserve">(per 1,000 men);
</t>
    </r>
    <r>
      <rPr>
        <b/>
        <sz val="10"/>
        <color rgb="FF00B050"/>
        <rFont val="Calibri"/>
        <family val="2"/>
        <scheme val="minor"/>
      </rPr>
      <t xml:space="preserve">Netherlands;
</t>
    </r>
    <r>
      <rPr>
        <sz val="10"/>
        <color rgb="FF00B050"/>
        <rFont val="Calibri"/>
        <family val="2"/>
        <scheme val="minor"/>
      </rPr>
      <t>up to 31/12/2010</t>
    </r>
  </si>
  <si>
    <t>High risk or M+</t>
  </si>
  <si>
    <r>
      <t xml:space="preserve">No of prostate cancers with low risk (T1-T2 and Gleason score </t>
    </r>
    <r>
      <rPr>
        <sz val="10"/>
        <color rgb="FF00B050"/>
        <rFont val="Calibri"/>
        <family val="2"/>
      </rPr>
      <t>≤</t>
    </r>
    <r>
      <rPr>
        <sz val="10"/>
        <color rgb="FF00B050"/>
        <rFont val="Calibri"/>
        <family val="2"/>
        <scheme val="minor"/>
      </rPr>
      <t>6) in men aged 55-74 years; up to 31/12/2010</t>
    </r>
  </si>
  <si>
    <r>
      <t>1./4. Absolute incidence of prostate cancers with intermediate risk at diagnosis</t>
    </r>
    <r>
      <rPr>
        <b/>
        <sz val="10"/>
        <color rgb="FF00B050"/>
        <rFont val="Calibri"/>
        <family val="2"/>
        <scheme val="minor"/>
      </rPr>
      <t xml:space="preserve"> in men  aged 55-74 years</t>
    </r>
    <r>
      <rPr>
        <sz val="10"/>
        <color rgb="FF00B050"/>
        <rFont val="Calibri"/>
        <family val="2"/>
        <scheme val="minor"/>
      </rPr>
      <t xml:space="preserve"> (per 1,000 men);</t>
    </r>
    <r>
      <rPr>
        <b/>
        <sz val="10"/>
        <color rgb="FF00B050"/>
        <rFont val="Calibri"/>
        <family val="2"/>
        <scheme val="minor"/>
      </rPr>
      <t xml:space="preserve">
Netherlands;
up to 31/12/2010</t>
    </r>
  </si>
  <si>
    <t>No of prostate cancers with intermediate risk (T1-T2 and Gleason score 7; T3 and Gleason score ≤7) in men aged 55-74 years; up to 31/12/2010</t>
  </si>
  <si>
    <r>
      <t>1./4. Absolute incidence of prostate cancers with high risk at diagnosis</t>
    </r>
    <r>
      <rPr>
        <b/>
        <sz val="10"/>
        <color rgb="FF00B050"/>
        <rFont val="Calibri"/>
        <family val="2"/>
        <scheme val="minor"/>
      </rPr>
      <t xml:space="preserve"> in men aged 55-74 years (per 1,000 men);
Netherlands;
up to 31/12/2010</t>
    </r>
  </si>
  <si>
    <t>No of prostate cancers with high risk (T1-T3 and Gleason score 8-10; or T4) in men aged 55-74 years; up to 31/12/2010</t>
  </si>
  <si>
    <r>
      <t>1./4. Absolute incidence of prostate cancers with M1 disease (or PSA &gt; 100 ng/ml) at diagnosis</t>
    </r>
    <r>
      <rPr>
        <b/>
        <sz val="10"/>
        <color rgb="FF00B050"/>
        <rFont val="Calibri"/>
        <family val="2"/>
        <scheme val="minor"/>
      </rPr>
      <t xml:space="preserve"> in men aged 55-74 years (per 1,000 men);
Netherlands;
up to 31/12/2010</t>
    </r>
  </si>
  <si>
    <t>No of prostate cancers with M1 disease (positive results on a bone scan or a PSA value of more than 100 ng per milliliter in those without bone-scan results) in men aged 55-74 years; up to 31/12/2010</t>
  </si>
  <si>
    <r>
      <t>1./4. Absolute incidence of prostate cancers with T1A/T1B at diagnosis (per 1,000 men);</t>
    </r>
    <r>
      <rPr>
        <b/>
        <sz val="10"/>
        <color rgb="FF00B050"/>
        <rFont val="Calibri"/>
        <family val="2"/>
        <scheme val="minor"/>
      </rPr>
      <t xml:space="preserve">
Spain;</t>
    </r>
    <r>
      <rPr>
        <sz val="10"/>
        <color rgb="FF00B050"/>
        <rFont val="Calibri"/>
        <family val="2"/>
        <scheme val="minor"/>
      </rPr>
      <t xml:space="preserve">
up to February 2003</t>
    </r>
  </si>
  <si>
    <t>T1A-B</t>
  </si>
  <si>
    <t>No of prostate cancers with T stage group T1A/T1B (and NX/M0) at diagnosis; up to February 2003</t>
  </si>
  <si>
    <r>
      <t>1./4. Absolute incidence of prostate cancers with T1C at diagnosis (per 1,000 men);</t>
    </r>
    <r>
      <rPr>
        <b/>
        <sz val="10"/>
        <color rgb="FF00B050"/>
        <rFont val="Calibri"/>
        <family val="2"/>
        <scheme val="minor"/>
      </rPr>
      <t xml:space="preserve">
Spain;</t>
    </r>
    <r>
      <rPr>
        <sz val="10"/>
        <color rgb="FF00B050"/>
        <rFont val="Calibri"/>
        <family val="2"/>
        <scheme val="minor"/>
      </rPr>
      <t xml:space="preserve">
up to February 2003</t>
    </r>
  </si>
  <si>
    <t>Locally advanced (T3-T4) or metastatic (M1)</t>
  </si>
  <si>
    <t>Clinically localised (T1-T2)</t>
  </si>
  <si>
    <t>No of prostate cancers with T stage group T1C (and NX/M0) at diagnosis; up to February 2003</t>
  </si>
  <si>
    <r>
      <t>1./4. Absolute incidence of prostate cancers with T2 at diagnosis (per 1,000 men);</t>
    </r>
    <r>
      <rPr>
        <b/>
        <sz val="10"/>
        <color rgb="FF00B050"/>
        <rFont val="Calibri"/>
        <family val="2"/>
        <scheme val="minor"/>
      </rPr>
      <t xml:space="preserve">
Spain;</t>
    </r>
    <r>
      <rPr>
        <sz val="10"/>
        <color rgb="FF00B050"/>
        <rFont val="Calibri"/>
        <family val="2"/>
        <scheme val="minor"/>
      </rPr>
      <t xml:space="preserve">
up to February 2003</t>
    </r>
  </si>
  <si>
    <t>No of prostate cancers with T stage group T2 (and NX/M0) at diagnosis; up to February 2003</t>
  </si>
  <si>
    <r>
      <t>1./4. Absolute incidence of prostate cancers with T3-T4 at diagnosis (per 1,000 men);</t>
    </r>
    <r>
      <rPr>
        <b/>
        <sz val="10"/>
        <color rgb="FF00B050"/>
        <rFont val="Calibri"/>
        <family val="2"/>
        <scheme val="minor"/>
      </rPr>
      <t xml:space="preserve">
Spain;</t>
    </r>
    <r>
      <rPr>
        <sz val="10"/>
        <color rgb="FF00B050"/>
        <rFont val="Calibri"/>
        <family val="2"/>
        <scheme val="minor"/>
      </rPr>
      <t xml:space="preserve">
up to February 2003</t>
    </r>
  </si>
  <si>
    <t>T3-T4</t>
  </si>
  <si>
    <t>No of prostate cancers with T stage group T3-T4 (and NX/M0) at diagnosis; up to February 2003</t>
  </si>
  <si>
    <r>
      <t>1./4. Absolute incidence of prostate cancers with M1 at diagnosis (per 1,000 men);</t>
    </r>
    <r>
      <rPr>
        <b/>
        <sz val="10"/>
        <color rgb="FF00B050"/>
        <rFont val="Calibri"/>
        <family val="2"/>
        <scheme val="minor"/>
      </rPr>
      <t xml:space="preserve">
Spain;</t>
    </r>
    <r>
      <rPr>
        <sz val="10"/>
        <color rgb="FF00B050"/>
        <rFont val="Calibri"/>
        <family val="2"/>
        <scheme val="minor"/>
      </rPr>
      <t xml:space="preserve">
up to February 2003</t>
    </r>
  </si>
  <si>
    <t>No of prostate cancers with distant metastases (M1) at diagnosis; up to February 2003</t>
  </si>
  <si>
    <r>
      <t>3. % of prostate cancers diagnosed at late stage (T3-T4 or M1) (per 1,000 men);</t>
    </r>
    <r>
      <rPr>
        <b/>
        <sz val="10"/>
        <color rgb="FF00B050"/>
        <rFont val="Calibri"/>
        <family val="2"/>
        <scheme val="minor"/>
      </rPr>
      <t xml:space="preserve">
Spain;</t>
    </r>
    <r>
      <rPr>
        <sz val="10"/>
        <color rgb="FF00B050"/>
        <rFont val="Calibri"/>
        <family val="2"/>
        <scheme val="minor"/>
      </rPr>
      <t xml:space="preserve">
up to February 2003</t>
    </r>
  </si>
  <si>
    <t>T3-T4 or M1</t>
  </si>
  <si>
    <t>No of prostate cancers with T stage T3-T4 or distant metastases (M1) at diagnosis; up to February 2003</t>
  </si>
  <si>
    <t>No of prostate cancers detected up to February 2003</t>
  </si>
  <si>
    <t>Table 5 and text: .. in the present study, 88.6% of the cancers detected were clinically localized (T1–2) and only 11.4% were locally advanced or metastatic.</t>
  </si>
  <si>
    <r>
      <t>1./4. Absolute incidence of organ-confined prostate cancer (per 1,000 men);</t>
    </r>
    <r>
      <rPr>
        <b/>
        <sz val="10"/>
        <color rgb="FF00B050"/>
        <rFont val="Calibri"/>
        <family val="2"/>
        <scheme val="minor"/>
      </rPr>
      <t xml:space="preserve">
Spain;</t>
    </r>
    <r>
      <rPr>
        <sz val="10"/>
        <color rgb="FF00B050"/>
        <rFont val="Calibri"/>
        <family val="2"/>
        <scheme val="minor"/>
      </rPr>
      <t xml:space="preserve">
up to September 2013</t>
    </r>
  </si>
  <si>
    <t>Clinical stage</t>
  </si>
  <si>
    <t>Organ confined</t>
  </si>
  <si>
    <t>Organ-confined</t>
  </si>
  <si>
    <t>Crossing of databases with the Patologic Anatomy departments of the University Hospital of Getafe (Getafe, Madrid, Spain) and the University Hospital Infanta Cristina (Parla, Madrid, Spain).</t>
  </si>
  <si>
    <t>September 2013</t>
  </si>
  <si>
    <t>No of organ confined prostate cancers at diagnosis; up to September 2013</t>
  </si>
  <si>
    <r>
      <t>1./4. Absolute incidence of extracapsular prostate cancer (per 1,000 men);</t>
    </r>
    <r>
      <rPr>
        <b/>
        <sz val="10"/>
        <color rgb="FF00B050"/>
        <rFont val="Calibri"/>
        <family val="2"/>
        <scheme val="minor"/>
      </rPr>
      <t xml:space="preserve">
Spain;</t>
    </r>
    <r>
      <rPr>
        <sz val="10"/>
        <color rgb="FF00B050"/>
        <rFont val="Calibri"/>
        <family val="2"/>
        <scheme val="minor"/>
      </rPr>
      <t xml:space="preserve">
up to September 2013</t>
    </r>
  </si>
  <si>
    <t>Extracapsular</t>
  </si>
  <si>
    <t>No of extracapsular prostate cancers at diagnosis; up to September 2013</t>
  </si>
  <si>
    <r>
      <t>1./4. Absolute incidence of regional (N+) prostate cancer (per 1,000 men);</t>
    </r>
    <r>
      <rPr>
        <b/>
        <sz val="10"/>
        <color rgb="FF00B050"/>
        <rFont val="Calibri"/>
        <family val="2"/>
        <scheme val="minor"/>
      </rPr>
      <t xml:space="preserve">
Spain;</t>
    </r>
    <r>
      <rPr>
        <sz val="10"/>
        <color rgb="FF00B050"/>
        <rFont val="Calibri"/>
        <family val="2"/>
        <scheme val="minor"/>
      </rPr>
      <t xml:space="preserve">
up to September 2013</t>
    </r>
  </si>
  <si>
    <t>No of regional (N+) prostate cancers at diagnosis; up to September 2013</t>
  </si>
  <si>
    <r>
      <t>1./4. Absolute incidence of metastatic (M+) prostate cancer (per 1,000 men);</t>
    </r>
    <r>
      <rPr>
        <b/>
        <sz val="10"/>
        <color rgb="FF00B050"/>
        <rFont val="Calibri"/>
        <family val="2"/>
        <scheme val="minor"/>
      </rPr>
      <t xml:space="preserve">
Spain;</t>
    </r>
    <r>
      <rPr>
        <sz val="10"/>
        <color rgb="FF00B050"/>
        <rFont val="Calibri"/>
        <family val="2"/>
        <scheme val="minor"/>
      </rPr>
      <t xml:space="preserve">
up to September 2013</t>
    </r>
  </si>
  <si>
    <t>M+</t>
  </si>
  <si>
    <t>No of metastatic (M+) prostate cancers at diagnosis; up to September 2013</t>
  </si>
  <si>
    <r>
      <t>1./4. Absolute incidence of prostate cancer with tumour stage group 1 (per 1,000 men);</t>
    </r>
    <r>
      <rPr>
        <b/>
        <sz val="10"/>
        <color rgb="FF00B050"/>
        <rFont val="Calibri"/>
        <family val="2"/>
        <scheme val="minor"/>
      </rPr>
      <t xml:space="preserve">
Spain;</t>
    </r>
    <r>
      <rPr>
        <sz val="10"/>
        <color rgb="FF00B050"/>
        <rFont val="Calibri"/>
        <family val="2"/>
        <scheme val="minor"/>
      </rPr>
      <t xml:space="preserve">
up to September 2013</t>
    </r>
  </si>
  <si>
    <t>TSG 1 =
No M1, No N1, 
T1/T2 or unknown,
PSA &lt;10,
Gleason 2-6</t>
  </si>
  <si>
    <t>Crossing of databases with the Patologic Anatomy departments of the University Hospital of Getafe (Getafe, Madrid, Spain) and the University Hospital Infanta Cristina (Parla, Madrid, Spain). Tumor stage groups (TSG), where TNM clinical staging data, PSA value, and Gleason score are taken into account.</t>
  </si>
  <si>
    <t>Unknown tumour stage group (No M1, no N1, unknown stage, any or unknown PSA,  any or unknown Gleason</t>
  </si>
  <si>
    <t>No of prostate cancers with tumour stage group 1 at diagnosis; up to September 2013</t>
  </si>
  <si>
    <r>
      <t>1./4. Absolute incidence of prostate cancer with tumour stage group 2 (per 1,000 men);</t>
    </r>
    <r>
      <rPr>
        <b/>
        <sz val="10"/>
        <color rgb="FF00B050"/>
        <rFont val="Calibri"/>
        <family val="2"/>
        <scheme val="minor"/>
      </rPr>
      <t xml:space="preserve">
Spain;</t>
    </r>
    <r>
      <rPr>
        <sz val="10"/>
        <color rgb="FF00B050"/>
        <rFont val="Calibri"/>
        <family val="2"/>
        <scheme val="minor"/>
      </rPr>
      <t xml:space="preserve">
up to September 2013</t>
    </r>
  </si>
  <si>
    <t>TSG 2 =
No M1, No N1, 
T1/T2 or unknown,
PSA 10-&lt;20 and Gleason 2-6 OR
PSA &lt;20 and Gleason 7</t>
  </si>
  <si>
    <t>No of prostate cancers with tumour stage group 2 at diagnosis; up to September 2013</t>
  </si>
  <si>
    <r>
      <t>1./4. Absolute incidence of prostate cancer with tumour stage group 3 (per 1,000 men);</t>
    </r>
    <r>
      <rPr>
        <b/>
        <sz val="10"/>
        <color rgb="FF00B050"/>
        <rFont val="Calibri"/>
        <family val="2"/>
        <scheme val="minor"/>
      </rPr>
      <t xml:space="preserve">
Spain;</t>
    </r>
    <r>
      <rPr>
        <sz val="10"/>
        <color rgb="FF00B050"/>
        <rFont val="Calibri"/>
        <family val="2"/>
        <scheme val="minor"/>
      </rPr>
      <t xml:space="preserve">
up to September 2013</t>
    </r>
  </si>
  <si>
    <t>TSG 3 =
No M1, No N1, 
T1/T2 or unknown,
PSA 20+ and Gleason 2-7 OR
PSA any/unknown and Gleason 8-10;
T3 with any/unknown PSA and any/unknown Gleason</t>
  </si>
  <si>
    <t>No of prostate cancers with tumour stage group 3 at diagnosis;  up to September 2013</t>
  </si>
  <si>
    <r>
      <t>1./4. Absolute incidence of prostate cancer with tumour stage group 4 (per 1,000 men);</t>
    </r>
    <r>
      <rPr>
        <b/>
        <sz val="10"/>
        <color rgb="FF00B050"/>
        <rFont val="Calibri"/>
        <family val="2"/>
        <scheme val="minor"/>
      </rPr>
      <t xml:space="preserve">
Spain;</t>
    </r>
    <r>
      <rPr>
        <sz val="10"/>
        <color rgb="FF00B050"/>
        <rFont val="Calibri"/>
        <family val="2"/>
        <scheme val="minor"/>
      </rPr>
      <t xml:space="preserve">
up to September 2013</t>
    </r>
  </si>
  <si>
    <t xml:space="preserve">TSG 4 =
M1 or N1 or T4 or PSA &gt;100 and
any/unknown Gleason </t>
  </si>
  <si>
    <t>No of prostate cancers with tumour stage group 4 at diagnosis; up to September 2013</t>
  </si>
  <si>
    <r>
      <t>1./4. Absolute incidence of organ-confined prostate cancer (per 1,000 men);</t>
    </r>
    <r>
      <rPr>
        <b/>
        <sz val="10"/>
        <color rgb="FF00B050"/>
        <rFont val="Calibri"/>
        <family val="2"/>
        <scheme val="minor"/>
      </rPr>
      <t xml:space="preserve">
Spain;</t>
    </r>
    <r>
      <rPr>
        <sz val="10"/>
        <color rgb="FF00B050"/>
        <rFont val="Calibri"/>
        <family val="2"/>
        <scheme val="minor"/>
      </rPr>
      <t xml:space="preserve">
up to July 2019</t>
    </r>
  </si>
  <si>
    <t>July 2019</t>
  </si>
  <si>
    <t>No of organ confined prostate cancers at diagnosis; up to July 2019</t>
  </si>
  <si>
    <t>Text: Of the 285 tumors detected, 216 (75.8%) debuted in the organ-confined clinical stage, 149 (79.3%) corresponded to the intervention armand 67 (69.1%) to the control arm</t>
  </si>
  <si>
    <r>
      <t>1./4. Absolute incidence of metastatic (M+) prostate cancer (per 1,000 men);</t>
    </r>
    <r>
      <rPr>
        <b/>
        <sz val="10"/>
        <color rgb="FF00B050"/>
        <rFont val="Calibri"/>
        <family val="2"/>
        <scheme val="minor"/>
      </rPr>
      <t xml:space="preserve">
Spain;</t>
    </r>
    <r>
      <rPr>
        <sz val="10"/>
        <color rgb="FF00B050"/>
        <rFont val="Calibri"/>
        <family val="2"/>
        <scheme val="minor"/>
      </rPr>
      <t xml:space="preserve">
up to July 2019</t>
    </r>
  </si>
  <si>
    <t>No of metastatic (M+) prostate cancers at diagnosis; up to July 2019</t>
  </si>
  <si>
    <t>Text: A total of 12 patients (4.2%) hadmetastatic disease at presentation (M + ); 7 (3.7%) corresponded tothe intervention arm and 5 (5.2%) to the control arm. The difference between both arms, in terms of clinical staging at diagnosis,was not statistically significant (P = ,086).</t>
  </si>
  <si>
    <r>
      <t>1./4. Absolute incidence of advanced prostate cancer (per 100 men);</t>
    </r>
    <r>
      <rPr>
        <b/>
        <sz val="10"/>
        <color rgb="FF00B050"/>
        <rFont val="Calibri"/>
        <family val="2"/>
        <scheme val="minor"/>
      </rPr>
      <t xml:space="preserve">
Spain;</t>
    </r>
    <r>
      <rPr>
        <sz val="10"/>
        <color rgb="FF00B050"/>
        <rFont val="Calibri"/>
        <family val="2"/>
        <scheme val="minor"/>
      </rPr>
      <t xml:space="preserve">
up to July 2019</t>
    </r>
  </si>
  <si>
    <t>No of advanced prostate cancers at diagnosis; up to July 2019</t>
  </si>
  <si>
    <t>Text: Of the 285 PCa diagnosed, 15 presented advanced stage atdiagnosis: 7 (0.3%) in the intervention arm and 8 (0.4%) in the con-trol arm.</t>
  </si>
  <si>
    <t xml:space="preserve">van der Cruijsen-Koeter, 2005 </t>
  </si>
  <si>
    <r>
      <t>1./4. Absolute incidence of prostate cancers with T1A-B at diagnosis</t>
    </r>
    <r>
      <rPr>
        <b/>
        <sz val="10"/>
        <color rgb="FF00B050"/>
        <rFont val="Calibri"/>
        <family val="2"/>
        <scheme val="minor"/>
      </rPr>
      <t xml:space="preserve"> </t>
    </r>
    <r>
      <rPr>
        <sz val="10"/>
        <color rgb="FF00B050"/>
        <rFont val="Calibri"/>
        <family val="2"/>
        <scheme val="minor"/>
      </rPr>
      <t>(per 100 men);</t>
    </r>
    <r>
      <rPr>
        <b/>
        <sz val="10"/>
        <color rgb="FF00B050"/>
        <rFont val="Calibri"/>
        <family val="2"/>
        <scheme val="minor"/>
      </rPr>
      <t xml:space="preserve">
Netherlands (randomised October 1993 to December 31, 1998); all ages;</t>
    </r>
    <r>
      <rPr>
        <sz val="10"/>
        <color rgb="FF00B050"/>
        <rFont val="Calibri"/>
        <family val="2"/>
        <scheme val="minor"/>
      </rPr>
      <t xml:space="preserve">
up to 01/01/2003</t>
    </r>
  </si>
  <si>
    <t>advanced (T3 and T4)</t>
  </si>
  <si>
    <t>nonadvanced (T1 and T2)</t>
  </si>
  <si>
    <t>a single genitourinary pathologist (THvdK) assessed Gleason score prospectively in each case .All tumors were staged according to the 1992 TNM system.</t>
  </si>
  <si>
    <t>1st of January 2003</t>
  </si>
  <si>
    <t>No of prostate cancers with T stage group T1A-B</t>
  </si>
  <si>
    <r>
      <t>1./4. Absolute incidence of prostate cancers with T1C at diagnosis</t>
    </r>
    <r>
      <rPr>
        <b/>
        <sz val="10"/>
        <color rgb="FF00B050"/>
        <rFont val="Calibri"/>
        <family val="2"/>
        <scheme val="minor"/>
      </rPr>
      <t xml:space="preserve"> </t>
    </r>
    <r>
      <rPr>
        <sz val="10"/>
        <color rgb="FF00B050"/>
        <rFont val="Calibri"/>
        <family val="2"/>
        <scheme val="minor"/>
      </rPr>
      <t>(per 100 men);</t>
    </r>
    <r>
      <rPr>
        <b/>
        <sz val="10"/>
        <color rgb="FF00B050"/>
        <rFont val="Calibri"/>
        <family val="2"/>
        <scheme val="minor"/>
      </rPr>
      <t xml:space="preserve">
Netherlands (randomised October 1993 to December 31, 1998); all ages;</t>
    </r>
    <r>
      <rPr>
        <sz val="10"/>
        <color rgb="FF00B050"/>
        <rFont val="Calibri"/>
        <family val="2"/>
        <scheme val="minor"/>
      </rPr>
      <t xml:space="preserve">
up to 01/01/2003</t>
    </r>
  </si>
  <si>
    <t>a single genitourinary pathologist(THvdK) assessed Gleason score prospectively in each case.All tumors were staged according to the 1992 TNM system.</t>
  </si>
  <si>
    <t>No of prostate cancers with T stage group T1C</t>
  </si>
  <si>
    <t>Table 4 and text: Considering the total number of men randomized T1C cancers were diagnosed 5.8 times more often in the screening arm of the trial compared with the control arm (2.9% vs 0.5% of all men randomized, p = 0.001).</t>
  </si>
  <si>
    <r>
      <t>1./4. Absolute incidence of prostate cancers with T2A-C at diagnosis</t>
    </r>
    <r>
      <rPr>
        <b/>
        <sz val="10"/>
        <color rgb="FF00B050"/>
        <rFont val="Calibri"/>
        <family val="2"/>
        <scheme val="minor"/>
      </rPr>
      <t xml:space="preserve"> </t>
    </r>
    <r>
      <rPr>
        <sz val="10"/>
        <color rgb="FF00B050"/>
        <rFont val="Calibri"/>
        <family val="2"/>
        <scheme val="minor"/>
      </rPr>
      <t>(per 100 men);</t>
    </r>
    <r>
      <rPr>
        <b/>
        <sz val="10"/>
        <color rgb="FF00B050"/>
        <rFont val="Calibri"/>
        <family val="2"/>
        <scheme val="minor"/>
      </rPr>
      <t xml:space="preserve">
Netherlands (randomised October 1993 to December 31, 1998); all ages;</t>
    </r>
    <r>
      <rPr>
        <sz val="10"/>
        <color rgb="FF00B050"/>
        <rFont val="Calibri"/>
        <family val="2"/>
        <scheme val="minor"/>
      </rPr>
      <t xml:space="preserve">
up to 01/01/2003</t>
    </r>
  </si>
  <si>
    <t>T2A-C</t>
  </si>
  <si>
    <t>No of prostate cancers with T stage group T2A-C</t>
  </si>
  <si>
    <r>
      <t>1./4. Absolute incidence of prostate cancers with T3A-B at diagnosis</t>
    </r>
    <r>
      <rPr>
        <b/>
        <sz val="10"/>
        <color rgb="FF00B050"/>
        <rFont val="Calibri"/>
        <family val="2"/>
        <scheme val="minor"/>
      </rPr>
      <t xml:space="preserve"> </t>
    </r>
    <r>
      <rPr>
        <sz val="10"/>
        <color rgb="FF00B050"/>
        <rFont val="Calibri"/>
        <family val="2"/>
        <scheme val="minor"/>
      </rPr>
      <t>(per 100 men);</t>
    </r>
    <r>
      <rPr>
        <b/>
        <sz val="10"/>
        <color rgb="FF00B050"/>
        <rFont val="Calibri"/>
        <family val="2"/>
        <scheme val="minor"/>
      </rPr>
      <t xml:space="preserve">
Netherlands (randomised October 1993 to December 31, 1998); all ages;</t>
    </r>
    <r>
      <rPr>
        <sz val="10"/>
        <color rgb="FF00B050"/>
        <rFont val="Calibri"/>
        <family val="2"/>
        <scheme val="minor"/>
      </rPr>
      <t xml:space="preserve">
up to 01/01/2003</t>
    </r>
  </si>
  <si>
    <t>T3A-B</t>
  </si>
  <si>
    <t>No of prostate cancers with T stage group T3A-B</t>
  </si>
  <si>
    <r>
      <t>1./4. Absolute incidence of prostate cancers with T3C at diagnosis</t>
    </r>
    <r>
      <rPr>
        <b/>
        <sz val="10"/>
        <color rgb="FF00B050"/>
        <rFont val="Calibri"/>
        <family val="2"/>
        <scheme val="minor"/>
      </rPr>
      <t xml:space="preserve"> </t>
    </r>
    <r>
      <rPr>
        <sz val="10"/>
        <color rgb="FF00B050"/>
        <rFont val="Calibri"/>
        <family val="2"/>
        <scheme val="minor"/>
      </rPr>
      <t>(per 100 men);</t>
    </r>
    <r>
      <rPr>
        <b/>
        <sz val="10"/>
        <color rgb="FF00B050"/>
        <rFont val="Calibri"/>
        <family val="2"/>
        <scheme val="minor"/>
      </rPr>
      <t xml:space="preserve">
Netherlands (randomised October 1993 to December 31, 1998); all ages;</t>
    </r>
    <r>
      <rPr>
        <sz val="10"/>
        <color rgb="FF00B050"/>
        <rFont val="Calibri"/>
        <family val="2"/>
        <scheme val="minor"/>
      </rPr>
      <t xml:space="preserve">
up to 01/01/2003</t>
    </r>
  </si>
  <si>
    <t>T3C</t>
  </si>
  <si>
    <t>No of prostate cancers with T stage group T3C</t>
  </si>
  <si>
    <r>
      <t>1./4. Absolute incidence of prostate cancers with T4A-B at diagnosis</t>
    </r>
    <r>
      <rPr>
        <b/>
        <sz val="10"/>
        <color rgb="FF00B050"/>
        <rFont val="Calibri"/>
        <family val="2"/>
        <scheme val="minor"/>
      </rPr>
      <t xml:space="preserve"> </t>
    </r>
    <r>
      <rPr>
        <sz val="10"/>
        <color rgb="FF00B050"/>
        <rFont val="Calibri"/>
        <family val="2"/>
        <scheme val="minor"/>
      </rPr>
      <t>(per 100 men);</t>
    </r>
    <r>
      <rPr>
        <b/>
        <sz val="10"/>
        <color rgb="FF00B050"/>
        <rFont val="Calibri"/>
        <family val="2"/>
        <scheme val="minor"/>
      </rPr>
      <t xml:space="preserve">
Netherlands (randomised October 1993 to December 31, 1998); all ages;</t>
    </r>
    <r>
      <rPr>
        <sz val="10"/>
        <color rgb="FF00B050"/>
        <rFont val="Calibri"/>
        <family val="2"/>
        <scheme val="minor"/>
      </rPr>
      <t xml:space="preserve">
up to 01/01/2003</t>
    </r>
  </si>
  <si>
    <t>T4A-B</t>
  </si>
  <si>
    <t>No of prostate cancers with T stage group T4A-B</t>
  </si>
  <si>
    <r>
      <t>1./4. Absolute incidence of prostate cancers with lymph node metastasis at diagnosis</t>
    </r>
    <r>
      <rPr>
        <b/>
        <sz val="10"/>
        <color rgb="FF00B050"/>
        <rFont val="Calibri"/>
        <family val="2"/>
        <scheme val="minor"/>
      </rPr>
      <t xml:space="preserve"> </t>
    </r>
    <r>
      <rPr>
        <sz val="10"/>
        <color rgb="FF00B050"/>
        <rFont val="Calibri"/>
        <family val="2"/>
        <scheme val="minor"/>
      </rPr>
      <t>(per 100 men);</t>
    </r>
    <r>
      <rPr>
        <b/>
        <sz val="10"/>
        <color rgb="FF00B050"/>
        <rFont val="Calibri"/>
        <family val="2"/>
        <scheme val="minor"/>
      </rPr>
      <t xml:space="preserve">
Netherlands (randomised October 1993 to December 31, 1998); all ages;</t>
    </r>
    <r>
      <rPr>
        <sz val="10"/>
        <color rgb="FF00B050"/>
        <rFont val="Calibri"/>
        <family val="2"/>
        <scheme val="minor"/>
      </rPr>
      <t xml:space="preserve">
up to 01/01/2003</t>
    </r>
  </si>
  <si>
    <t>Missing N stage</t>
  </si>
  <si>
    <t>No of prostate cancers with lymph node metastasis</t>
  </si>
  <si>
    <r>
      <t>1./4. Absolute incidence of prostate cancers with distant metastasis at diagnosis</t>
    </r>
    <r>
      <rPr>
        <b/>
        <sz val="10"/>
        <color rgb="FF00B050"/>
        <rFont val="Calibri"/>
        <family val="2"/>
        <scheme val="minor"/>
      </rPr>
      <t xml:space="preserve"> </t>
    </r>
    <r>
      <rPr>
        <sz val="10"/>
        <color rgb="FF00B050"/>
        <rFont val="Calibri"/>
        <family val="2"/>
        <scheme val="minor"/>
      </rPr>
      <t>(per 100 men);</t>
    </r>
    <r>
      <rPr>
        <b/>
        <sz val="10"/>
        <color rgb="FF00B050"/>
        <rFont val="Calibri"/>
        <family val="2"/>
        <scheme val="minor"/>
      </rPr>
      <t xml:space="preserve">
Netherlands (randomised October 1993 to December 31, 1998); all ages;</t>
    </r>
    <r>
      <rPr>
        <sz val="10"/>
        <color rgb="FF00B050"/>
        <rFont val="Calibri"/>
        <family val="2"/>
        <scheme val="minor"/>
      </rPr>
      <t xml:space="preserve">
up to 01/01/2003</t>
    </r>
  </si>
  <si>
    <t>Distant metastasis</t>
  </si>
  <si>
    <t>Missing metastasis status</t>
  </si>
  <si>
    <t>No of prostate cancers with distant metastasis</t>
  </si>
  <si>
    <t>Table 4 and text: Also, in relation to the total number of men randomized distant metastases were 5.0 times more frequent in the control arm. This was a statistically significant difference in favor of th escreening arm (p &lt; 0.001).</t>
  </si>
  <si>
    <t>Makinen, 2003</t>
  </si>
  <si>
    <r>
      <t>1./4. Absolute incidence of prostate cancers with T1NXM0 at diagnosis</t>
    </r>
    <r>
      <rPr>
        <b/>
        <sz val="10"/>
        <color rgb="FF00B050"/>
        <rFont val="Calibri"/>
        <family val="2"/>
        <scheme val="minor"/>
      </rPr>
      <t xml:space="preserve"> </t>
    </r>
    <r>
      <rPr>
        <sz val="10"/>
        <color rgb="FF00B050"/>
        <rFont val="Calibri"/>
        <family val="2"/>
        <scheme val="minor"/>
      </rPr>
      <t>(per 100 men);</t>
    </r>
    <r>
      <rPr>
        <b/>
        <sz val="10"/>
        <color rgb="FF00B050"/>
        <rFont val="Calibri"/>
        <family val="2"/>
        <scheme val="minor"/>
      </rPr>
      <t xml:space="preserve">
Finland (randomised 1996-1999);
</t>
    </r>
    <r>
      <rPr>
        <sz val="10"/>
        <color rgb="FF00B050"/>
        <rFont val="Calibri"/>
        <family val="2"/>
        <scheme val="minor"/>
      </rPr>
      <t>1 year of follow-up</t>
    </r>
  </si>
  <si>
    <t>T1NXM0</t>
  </si>
  <si>
    <t>Advanced = T3-4NXM0/T1-4NXM1</t>
  </si>
  <si>
    <t xml:space="preserve">Record linkage with the Finnish Cancer Registry and discharge databases of hospitals in the study area, diagnoses were based on histological examination. Clinical staging at diagnosis was conducted according to the TNM classification primarily with TRUS and bone scan, but when necessary, other modalities were also used (6) unblinded to study arm. </t>
  </si>
  <si>
    <t>Missing TNM stage</t>
  </si>
  <si>
    <t>No of prostate cancers with TNM stage T1NXM0; first postrandomisation year</t>
  </si>
  <si>
    <t>No information was available on interval cancers in the screened group.</t>
  </si>
  <si>
    <r>
      <t>1./4. Absolute incidence of prostate cancers with T2NXM0 at diagnosis</t>
    </r>
    <r>
      <rPr>
        <b/>
        <sz val="10"/>
        <color rgb="FF00B050"/>
        <rFont val="Calibri"/>
        <family val="2"/>
        <scheme val="minor"/>
      </rPr>
      <t xml:space="preserve"> </t>
    </r>
    <r>
      <rPr>
        <sz val="10"/>
        <color rgb="FF00B050"/>
        <rFont val="Calibri"/>
        <family val="2"/>
        <scheme val="minor"/>
      </rPr>
      <t>(per 100 men);</t>
    </r>
    <r>
      <rPr>
        <b/>
        <sz val="10"/>
        <color rgb="FF00B050"/>
        <rFont val="Calibri"/>
        <family val="2"/>
        <scheme val="minor"/>
      </rPr>
      <t xml:space="preserve">
Finland (randomised 1996-1999);</t>
    </r>
    <r>
      <rPr>
        <sz val="10"/>
        <color rgb="FF00B050"/>
        <rFont val="Calibri"/>
        <family val="2"/>
        <scheme val="minor"/>
      </rPr>
      <t xml:space="preserve">
1 year of follow-up</t>
    </r>
  </si>
  <si>
    <t>T2NXM0</t>
  </si>
  <si>
    <t>No of prostate cancers with TNM stage T2NXM0; first postrandomisation year</t>
  </si>
  <si>
    <r>
      <t>1./4. Absolute incidence of prostate cancers with T3-4NXM0/T1-4NXM1 at diagnosis</t>
    </r>
    <r>
      <rPr>
        <b/>
        <sz val="10"/>
        <color rgb="FF00B050"/>
        <rFont val="Calibri"/>
        <family val="2"/>
        <scheme val="minor"/>
      </rPr>
      <t xml:space="preserve"> </t>
    </r>
    <r>
      <rPr>
        <sz val="10"/>
        <color rgb="FF00B050"/>
        <rFont val="Calibri"/>
        <family val="2"/>
        <scheme val="minor"/>
      </rPr>
      <t>(per 100 men);</t>
    </r>
    <r>
      <rPr>
        <b/>
        <sz val="10"/>
        <color rgb="FF00B050"/>
        <rFont val="Calibri"/>
        <family val="2"/>
        <scheme val="minor"/>
      </rPr>
      <t xml:space="preserve">
Finland (randomised 1996-1999);</t>
    </r>
    <r>
      <rPr>
        <sz val="10"/>
        <color rgb="FF00B050"/>
        <rFont val="Calibri"/>
        <family val="2"/>
        <scheme val="minor"/>
      </rPr>
      <t xml:space="preserve">
1 year of follow-up</t>
    </r>
  </si>
  <si>
    <t>T3-4NXM0/T1-4NXM1</t>
  </si>
  <si>
    <t>No of prostate cancers with TNM stage T3-4NXM0/T1-4NXM1; first postrandomisation year</t>
  </si>
  <si>
    <t>Table 2 and text: Yet, both the absolute number (75 versus 38 cases)
and number of nonlocal cancers relative to the number of men
(cumulative incidence 0.3 versus 0.1%) were higher in the
screening than control arm of the trial.</t>
  </si>
  <si>
    <r>
      <t>3. % of prostate cancers diagnsoed at late-stage (T3-4NXM0/T1-4NXM1);</t>
    </r>
    <r>
      <rPr>
        <b/>
        <sz val="10"/>
        <color rgb="FF00B050"/>
        <rFont val="Calibri"/>
        <family val="2"/>
        <scheme val="minor"/>
      </rPr>
      <t xml:space="preserve">
Finland (randomised 1996-1999);</t>
    </r>
    <r>
      <rPr>
        <sz val="10"/>
        <color rgb="FF00B050"/>
        <rFont val="Calibri"/>
        <family val="2"/>
        <scheme val="minor"/>
      </rPr>
      <t xml:space="preserve">
1 year of follow-up</t>
    </r>
  </si>
  <si>
    <t>Record linkage with the Finnish Cancer Registry and discharge databases of hospitals in the study area, diagnoses were based on histological examination. Clinical staging at diagnosis was conducted according to the TNM classification primarily with TRUS and bone scan, but when necessary, other modalities were also used (6) unblinded to study arm.</t>
  </si>
  <si>
    <t>No of prostate cancers with TNM stage T3-4NXM0/T1-4NXM1; first postrandomisation</t>
  </si>
  <si>
    <t>Total number of prostate cancers; diagnosed in first year postrandomisation (including cancers with unknown stage)</t>
  </si>
  <si>
    <t>Table 2 and text: Our results revealed a substantially smaller proportion of advanced prostate cancer in the screening than in the control arm (18 versus 35%) but no reduction in cumulative incidence of advanced prostate cancer.</t>
  </si>
  <si>
    <r>
      <t>1./4. Absolute incidence of prostate cancers with T1-2N0M0 (=localised) at diagnosis</t>
    </r>
    <r>
      <rPr>
        <b/>
        <sz val="10"/>
        <color rgb="FF00B050"/>
        <rFont val="Calibri"/>
        <family val="2"/>
        <scheme val="minor"/>
      </rPr>
      <t xml:space="preserve"> </t>
    </r>
    <r>
      <rPr>
        <sz val="10"/>
        <color rgb="FF00B050"/>
        <rFont val="Calibri"/>
        <family val="2"/>
        <scheme val="minor"/>
      </rPr>
      <t>(per 1,000 PY);</t>
    </r>
    <r>
      <rPr>
        <b/>
        <sz val="10"/>
        <color rgb="FF00B050"/>
        <rFont val="Calibri"/>
        <family val="2"/>
        <scheme val="minor"/>
      </rPr>
      <t xml:space="preserve">
Finland;
</t>
    </r>
    <r>
      <rPr>
        <sz val="10"/>
        <color rgb="FF00B050"/>
        <rFont val="Calibri"/>
        <family val="2"/>
        <scheme val="minor"/>
      </rPr>
      <t>follow-up until 31/12/2007</t>
    </r>
  </si>
  <si>
    <t>T1-2N0M0</t>
  </si>
  <si>
    <t>Advanced:T3-4,N1 or M1</t>
  </si>
  <si>
    <t>Localised: T1-2,N0,M0</t>
  </si>
  <si>
    <t>Nationwide, population-based Finnish Cancer Registry; diagnosis of prostate cancer was based on histopathologic examination, as was determination of the Gleason score.</t>
  </si>
  <si>
    <t>Mean 9.3 (SD 2.7) years</t>
  </si>
  <si>
    <t>TNM stage not available</t>
  </si>
  <si>
    <r>
      <t>No of localised prostate cancers</t>
    </r>
    <r>
      <rPr>
        <strike/>
        <sz val="10"/>
        <color rgb="FF00B050"/>
        <rFont val="Calibri"/>
        <family val="2"/>
        <scheme val="minor"/>
      </rPr>
      <t xml:space="preserve"> </t>
    </r>
    <r>
      <rPr>
        <sz val="10"/>
        <color rgb="FF00B050"/>
        <rFont val="Calibri"/>
        <family val="2"/>
        <scheme val="minor"/>
      </rPr>
      <t xml:space="preserve"> (T1-2N0M0) at diagnosis; follow-up until 31/12/2007</t>
    </r>
  </si>
  <si>
    <t>per 1,000 PY</t>
  </si>
  <si>
    <r>
      <t xml:space="preserve">Table 3 and Text p1701: The incidence of localized PC was 7.5 in the SA and 4.6/1,000 pyrs in the CA (IRR 1.63, 95% CI 1.5–1.7, p </t>
    </r>
    <r>
      <rPr>
        <sz val="10"/>
        <color rgb="FF00B050"/>
        <rFont val="Calibri"/>
        <family val="2"/>
      </rPr>
      <t>≤</t>
    </r>
    <r>
      <rPr>
        <sz val="10"/>
        <color rgb="FF00B050"/>
        <rFont val="Calibri"/>
        <family val="2"/>
        <scheme val="minor"/>
      </rPr>
      <t xml:space="preserve">
0.001).</t>
    </r>
  </si>
  <si>
    <r>
      <t>1./4. Absolute incidence of prostate cancers with T3-4, N1 or M1 (=advanced)  at diagnosis</t>
    </r>
    <r>
      <rPr>
        <b/>
        <sz val="10"/>
        <color rgb="FF00B050"/>
        <rFont val="Calibri"/>
        <family val="2"/>
        <scheme val="minor"/>
      </rPr>
      <t xml:space="preserve"> </t>
    </r>
    <r>
      <rPr>
        <sz val="10"/>
        <color rgb="FF00B050"/>
        <rFont val="Calibri"/>
        <family val="2"/>
        <scheme val="minor"/>
      </rPr>
      <t>(per 1,000 PY);</t>
    </r>
    <r>
      <rPr>
        <b/>
        <sz val="10"/>
        <color rgb="FF00B050"/>
        <rFont val="Calibri"/>
        <family val="2"/>
        <scheme val="minor"/>
      </rPr>
      <t xml:space="preserve">
Finland;
</t>
    </r>
    <r>
      <rPr>
        <sz val="10"/>
        <color rgb="FF00B050"/>
        <rFont val="Calibri"/>
        <family val="2"/>
        <scheme val="minor"/>
      </rPr>
      <t>follow-up until 31/12/2007</t>
    </r>
  </si>
  <si>
    <t>T3-4, N1 or M1</t>
  </si>
  <si>
    <t>No of advanced prostate cancers (T3-4, N1 or M1) at diagnosis; follow-up until 31/12/2007</t>
  </si>
  <si>
    <t>Table 3 and Text p1701: The incidence of advanced PC was 1.1 in the SA and 1.5/1,000 pyrs in the CA (IRR 0.69, 95% CI 0.6–0.8, p &lt;
0.001) (Fig. 3).</t>
  </si>
  <si>
    <r>
      <t>3. % of prostate cancers diagnosed at late stage (T3-4, N1 or M1);</t>
    </r>
    <r>
      <rPr>
        <b/>
        <sz val="10"/>
        <color rgb="FF00B050"/>
        <rFont val="Calibri"/>
        <family val="2"/>
        <scheme val="minor"/>
      </rPr>
      <t xml:space="preserve">
Finland;
</t>
    </r>
    <r>
      <rPr>
        <sz val="10"/>
        <color rgb="FF00B050"/>
        <rFont val="Calibri"/>
        <family val="2"/>
        <scheme val="minor"/>
      </rPr>
      <t>follow-up until 31/12/2007</t>
    </r>
  </si>
  <si>
    <t>Total number of prostate cancers diagnosed up to 31/12/2007 (including cancers with unknown TNM stage)</t>
  </si>
  <si>
    <r>
      <t>1./4. Absolute incidence of prostate cancers with T3-4, N1 or M1 (=advanced)  at diagnosis</t>
    </r>
    <r>
      <rPr>
        <b/>
        <sz val="10"/>
        <color rgb="FF00B050"/>
        <rFont val="Calibri"/>
        <family val="2"/>
        <scheme val="minor"/>
      </rPr>
      <t xml:space="preserve"> </t>
    </r>
    <r>
      <rPr>
        <sz val="10"/>
        <color rgb="FF00B050"/>
        <rFont val="Calibri"/>
        <family val="2"/>
        <scheme val="minor"/>
      </rPr>
      <t>(per 1,000 PY);</t>
    </r>
    <r>
      <rPr>
        <b/>
        <sz val="10"/>
        <color rgb="FF00B050"/>
        <rFont val="Calibri"/>
        <family val="2"/>
        <scheme val="minor"/>
      </rPr>
      <t xml:space="preserve">
Finland; men aged 55 years at randomisation;
</t>
    </r>
    <r>
      <rPr>
        <sz val="10"/>
        <color rgb="FF00B050"/>
        <rFont val="Calibri"/>
        <family val="2"/>
        <scheme val="minor"/>
      </rPr>
      <t>follow-up until 31/12/2007</t>
    </r>
  </si>
  <si>
    <t>Finland;
55 years</t>
  </si>
  <si>
    <t>No of advanced prostate cancers (T3-4, N1 or M1) at diagnosis in men aged 55 years at randomisation; follow-up until 31/12/2007</t>
  </si>
  <si>
    <t>Text: Among men aged 55 years at entry, IRR was 0.84 (CI 0.6–1.2, p = 0.33),…</t>
  </si>
  <si>
    <r>
      <t>1./4. Absolute incidence of prostate cancers with T3-4, N1 or M1 (=advanced)  at diagnosis</t>
    </r>
    <r>
      <rPr>
        <b/>
        <sz val="10"/>
        <color rgb="FF00B050"/>
        <rFont val="Calibri"/>
        <family val="2"/>
        <scheme val="minor"/>
      </rPr>
      <t xml:space="preserve"> </t>
    </r>
    <r>
      <rPr>
        <sz val="10"/>
        <color rgb="FF00B050"/>
        <rFont val="Calibri"/>
        <family val="2"/>
        <scheme val="minor"/>
      </rPr>
      <t>(per 1,000 PY);</t>
    </r>
    <r>
      <rPr>
        <b/>
        <sz val="10"/>
        <color rgb="FF00B050"/>
        <rFont val="Calibri"/>
        <family val="2"/>
        <scheme val="minor"/>
      </rPr>
      <t xml:space="preserve">
Finland; men aged 59 years at randomisation;
</t>
    </r>
    <r>
      <rPr>
        <sz val="10"/>
        <color rgb="FF00B050"/>
        <rFont val="Calibri"/>
        <family val="2"/>
        <scheme val="minor"/>
      </rPr>
      <t>follow-up until 31/12/2007</t>
    </r>
  </si>
  <si>
    <t>Finland;
59 years</t>
  </si>
  <si>
    <t>No of advanced prostate cancers (T3-4, N1 or M1) at diagnosis in men aged 59 years at randomisation; follow-up until 31/12/2007</t>
  </si>
  <si>
    <t>Text: … in the 59-year-olds, IRR was 0.79 (CI 0.6–1.0, p = 0.09),…</t>
  </si>
  <si>
    <r>
      <t>1./4. Absolute incidence of prostate cancers with T3-4, N1 or M1 (=advanced)  at diagnosis</t>
    </r>
    <r>
      <rPr>
        <b/>
        <sz val="10"/>
        <color rgb="FF00B050"/>
        <rFont val="Calibri"/>
        <family val="2"/>
        <scheme val="minor"/>
      </rPr>
      <t xml:space="preserve"> </t>
    </r>
    <r>
      <rPr>
        <sz val="10"/>
        <color rgb="FF00B050"/>
        <rFont val="Calibri"/>
        <family val="2"/>
        <scheme val="minor"/>
      </rPr>
      <t>(per 1,000 PY);</t>
    </r>
    <r>
      <rPr>
        <b/>
        <sz val="10"/>
        <color rgb="FF00B050"/>
        <rFont val="Calibri"/>
        <family val="2"/>
        <scheme val="minor"/>
      </rPr>
      <t xml:space="preserve">
Finland; men aged 63 years at randomisation;
</t>
    </r>
    <r>
      <rPr>
        <sz val="10"/>
        <color rgb="FF00B050"/>
        <rFont val="Calibri"/>
        <family val="2"/>
        <scheme val="minor"/>
      </rPr>
      <t>follow-up until 31/12/2007</t>
    </r>
  </si>
  <si>
    <t>Finland;
63 years</t>
  </si>
  <si>
    <t>No of advanced prostate cancers (T3-4, N1 or M1) at diagnosis in men aged 63 years at randomisation; follow-up until 31/12/2007</t>
  </si>
  <si>
    <t>Text: … in the 63-year-olds, IRR was 0.83 (CI 0.6–1.1, p = 0.14),…</t>
  </si>
  <si>
    <r>
      <t>1./4. Absolute incidence of prostate cancers with T3-4, N1 or M1 (=advanced)  at diagnosis</t>
    </r>
    <r>
      <rPr>
        <b/>
        <sz val="10"/>
        <color rgb="FF00B050"/>
        <rFont val="Calibri"/>
        <family val="2"/>
        <scheme val="minor"/>
      </rPr>
      <t xml:space="preserve"> </t>
    </r>
    <r>
      <rPr>
        <sz val="10"/>
        <color rgb="FF00B050"/>
        <rFont val="Calibri"/>
        <family val="2"/>
        <scheme val="minor"/>
      </rPr>
      <t>(per 1,000 PY);</t>
    </r>
    <r>
      <rPr>
        <b/>
        <sz val="10"/>
        <color rgb="FF00B050"/>
        <rFont val="Calibri"/>
        <family val="2"/>
        <scheme val="minor"/>
      </rPr>
      <t xml:space="preserve">
Finland; men aged 67 years at randomisation;
</t>
    </r>
    <r>
      <rPr>
        <sz val="10"/>
        <color rgb="FF00B050"/>
        <rFont val="Calibri"/>
        <family val="2"/>
        <scheme val="minor"/>
      </rPr>
      <t>follow-up until 31/12/2007</t>
    </r>
  </si>
  <si>
    <t>Finland;
67 years</t>
  </si>
  <si>
    <t>No of advanced prostate cancers (T3-4, N1 or M1) at diagnosis in men aged 67 years at randomisation; follow-up until 31/12/2007</t>
  </si>
  <si>
    <t>Text: … and in the 67-year-olds, IRR was 0.57 (CI 0.5–0.7, p &lt; 0.001).</t>
  </si>
  <si>
    <t>Kilpelainen. 2013</t>
  </si>
  <si>
    <r>
      <t>1./4. Absolute incidence of prostate cancers   with low risk at diagnosis</t>
    </r>
    <r>
      <rPr>
        <b/>
        <sz val="10"/>
        <color rgb="FF00B050"/>
        <rFont val="Calibri"/>
        <family val="2"/>
        <scheme val="minor"/>
      </rPr>
      <t xml:space="preserve"> </t>
    </r>
    <r>
      <rPr>
        <sz val="10"/>
        <color rgb="FF00B050"/>
        <rFont val="Calibri"/>
        <family val="2"/>
        <scheme val="minor"/>
      </rPr>
      <t>(%);</t>
    </r>
    <r>
      <rPr>
        <b/>
        <sz val="10"/>
        <color rgb="FF00B050"/>
        <rFont val="Calibri"/>
        <family val="2"/>
        <scheme val="minor"/>
      </rPr>
      <t xml:space="preserve">
Finland;
</t>
    </r>
    <r>
      <rPr>
        <sz val="10"/>
        <color rgb="FF00B050"/>
        <rFont val="Calibri"/>
        <family val="2"/>
        <scheme val="minor"/>
      </rPr>
      <t>follow-up for 12 years (or 31/12/2010)</t>
    </r>
  </si>
  <si>
    <r>
      <t xml:space="preserve">Low risk: T1-T2, N0/X, M0 and Gleason </t>
    </r>
    <r>
      <rPr>
        <sz val="10"/>
        <color rgb="FF00B050"/>
        <rFont val="Calibri"/>
        <family val="2"/>
      </rPr>
      <t>≤</t>
    </r>
    <r>
      <rPr>
        <sz val="10"/>
        <color rgb="FF00B050"/>
        <rFont val="Calibri"/>
        <family val="2"/>
        <scheme val="minor"/>
      </rPr>
      <t>6</t>
    </r>
  </si>
  <si>
    <t>Advanced = T3 to T4, M1, or N1</t>
  </si>
  <si>
    <t>nationwide, population-based Finnish Cancer Registry,</t>
  </si>
  <si>
    <t>Unknown risk</t>
  </si>
  <si>
    <t>No. of low risk prostate cancers; follow-up for 12 years (or 31/12/2010)</t>
  </si>
  <si>
    <t>Total no. of men in arm</t>
  </si>
  <si>
    <r>
      <t>1./4. Absolute incidence of prostate cancers   with moderate risk at diagnosis</t>
    </r>
    <r>
      <rPr>
        <b/>
        <sz val="10"/>
        <color rgb="FF00B050"/>
        <rFont val="Calibri"/>
        <family val="2"/>
        <scheme val="minor"/>
      </rPr>
      <t xml:space="preserve"> </t>
    </r>
    <r>
      <rPr>
        <sz val="10"/>
        <color rgb="FF00B050"/>
        <rFont val="Calibri"/>
        <family val="2"/>
        <scheme val="minor"/>
      </rPr>
      <t>(%);</t>
    </r>
    <r>
      <rPr>
        <b/>
        <sz val="10"/>
        <color rgb="FF00B050"/>
        <rFont val="Calibri"/>
        <family val="2"/>
        <scheme val="minor"/>
      </rPr>
      <t xml:space="preserve">
Finland;
</t>
    </r>
    <r>
      <rPr>
        <sz val="10"/>
        <color rgb="FF00B050"/>
        <rFont val="Calibri"/>
        <family val="2"/>
        <scheme val="minor"/>
      </rPr>
      <t>follow-up for 12 years (or 31/12/2010)</t>
    </r>
  </si>
  <si>
    <t>Moderate: T1-T2, N0/X, M0 and Gleason 7, or T3 with a Gleason score ≤7</t>
  </si>
  <si>
    <t>No. of moderate risk prostate cancers; follow-up for 12 years (or 31/12/2010)</t>
  </si>
  <si>
    <r>
      <t>1./4. Absolute incidence of prostate cancers   with high risk at diagnosis</t>
    </r>
    <r>
      <rPr>
        <b/>
        <sz val="10"/>
        <color rgb="FF00B050"/>
        <rFont val="Calibri"/>
        <family val="2"/>
        <scheme val="minor"/>
      </rPr>
      <t xml:space="preserve"> </t>
    </r>
    <r>
      <rPr>
        <sz val="10"/>
        <color rgb="FF00B050"/>
        <rFont val="Calibri"/>
        <family val="2"/>
        <scheme val="minor"/>
      </rPr>
      <t>(%);</t>
    </r>
    <r>
      <rPr>
        <b/>
        <sz val="10"/>
        <color rgb="FF00B050"/>
        <rFont val="Calibri"/>
        <family val="2"/>
        <scheme val="minor"/>
      </rPr>
      <t xml:space="preserve">
Finland;
</t>
    </r>
    <r>
      <rPr>
        <sz val="10"/>
        <color rgb="FF00B050"/>
        <rFont val="Calibri"/>
        <family val="2"/>
        <scheme val="minor"/>
      </rPr>
      <t>follow-up for 12 years (or 31/12/2010)</t>
    </r>
  </si>
  <si>
    <t>High: T1-T3, N0/X, M0 and GS 8-10; or T4 or M1 or N1 (with any Gleason score)</t>
  </si>
  <si>
    <t>No. of high risk prostate cancers; follow-up for 12 years (or 31/12/2010)</t>
  </si>
  <si>
    <r>
      <t>1./4. Absolute incidence of prostate cancers   with low risk at diagnosis</t>
    </r>
    <r>
      <rPr>
        <b/>
        <sz val="10"/>
        <color rgb="FF00B050"/>
        <rFont val="Calibri"/>
        <family val="2"/>
        <scheme val="minor"/>
      </rPr>
      <t xml:space="preserve"> </t>
    </r>
    <r>
      <rPr>
        <sz val="10"/>
        <color rgb="FF00B050"/>
        <rFont val="Calibri"/>
        <family val="2"/>
        <scheme val="minor"/>
      </rPr>
      <t>(per 1,000 PY);</t>
    </r>
    <r>
      <rPr>
        <b/>
        <sz val="10"/>
        <color rgb="FF00B050"/>
        <rFont val="Calibri"/>
        <family val="2"/>
        <scheme val="minor"/>
      </rPr>
      <t xml:space="preserve">
Finland;
</t>
    </r>
    <r>
      <rPr>
        <sz val="10"/>
        <color rgb="FF00B050"/>
        <rFont val="Calibri"/>
        <family val="2"/>
        <scheme val="minor"/>
      </rPr>
      <t>follow-up for 12 years (or 31/12/2010)</t>
    </r>
  </si>
  <si>
    <t>Table 1 and p722: Incidence for low-risk PC was 5.4 per 1000 person-years in the SA and 3.1 per 1000 person-years in the CA (HR = 1.75, 95% CI = 1.64 to 1.87; P &lt; .001).</t>
  </si>
  <si>
    <r>
      <t>1./4. Absolute incidence of prostate cancers   with moderate risk at diagnosis</t>
    </r>
    <r>
      <rPr>
        <b/>
        <sz val="10"/>
        <color rgb="FF00B050"/>
        <rFont val="Calibri"/>
        <family val="2"/>
        <scheme val="minor"/>
      </rPr>
      <t xml:space="preserve"> </t>
    </r>
    <r>
      <rPr>
        <sz val="10"/>
        <color rgb="FF00B050"/>
        <rFont val="Calibri"/>
        <family val="2"/>
        <scheme val="minor"/>
      </rPr>
      <t>(er 1,000 PY);</t>
    </r>
    <r>
      <rPr>
        <b/>
        <sz val="10"/>
        <color rgb="FF00B050"/>
        <rFont val="Calibri"/>
        <family val="2"/>
        <scheme val="minor"/>
      </rPr>
      <t xml:space="preserve">
Finland;
</t>
    </r>
    <r>
      <rPr>
        <sz val="10"/>
        <color rgb="FF00B050"/>
        <rFont val="Calibri"/>
        <family val="2"/>
        <scheme val="minor"/>
      </rPr>
      <t>follow-up for 12 years (or 31/12/2010)</t>
    </r>
  </si>
  <si>
    <t>Table 1 and p722: Incidence for moderate-risk PC was 2.2 per 1000
person-years in the SA and 2.1 per 1000 person-years in the CA
(HR = 1.03, 95% CI = 0.94 to 1.14; P = .48);…</t>
  </si>
  <si>
    <r>
      <t>1./4. Absolute incidence of prostate cancers   with high risk at diagnosis</t>
    </r>
    <r>
      <rPr>
        <b/>
        <sz val="10"/>
        <color rgb="FF00B050"/>
        <rFont val="Calibri"/>
        <family val="2"/>
        <scheme val="minor"/>
      </rPr>
      <t xml:space="preserve"> </t>
    </r>
    <r>
      <rPr>
        <sz val="10"/>
        <color rgb="FF00B050"/>
        <rFont val="Calibri"/>
        <family val="2"/>
        <scheme val="minor"/>
      </rPr>
      <t>(per 1,000 PY);</t>
    </r>
    <r>
      <rPr>
        <b/>
        <sz val="10"/>
        <color rgb="FF00B050"/>
        <rFont val="Calibri"/>
        <family val="2"/>
        <scheme val="minor"/>
      </rPr>
      <t xml:space="preserve">
Finland;
</t>
    </r>
    <r>
      <rPr>
        <sz val="10"/>
        <color rgb="FF00B050"/>
        <rFont val="Calibri"/>
        <family val="2"/>
        <scheme val="minor"/>
      </rPr>
      <t>follow-up for 12 years (or 31/12/2010)</t>
    </r>
  </si>
  <si>
    <t>Table 1 and p722: … and incidence for highrisk PC was 1.2 per 1000 person-years in the SA and 1.4 per 1000 person-years in the CA (HR = 0.86, 95% CI = 0.76 to 0.97; P = .02).</t>
  </si>
  <si>
    <r>
      <t>1./4. Absolute incidence of advanced (T3-4 or N1 or M1) prostate cancers  at diagnosis</t>
    </r>
    <r>
      <rPr>
        <b/>
        <sz val="10"/>
        <color rgb="FF00B050"/>
        <rFont val="Calibri"/>
        <family val="2"/>
        <scheme val="minor"/>
      </rPr>
      <t xml:space="preserve"> </t>
    </r>
    <r>
      <rPr>
        <sz val="10"/>
        <color rgb="FF00B050"/>
        <rFont val="Calibri"/>
        <family val="2"/>
        <scheme val="minor"/>
      </rPr>
      <t>(per 1,000 PY);</t>
    </r>
    <r>
      <rPr>
        <b/>
        <sz val="10"/>
        <color rgb="FF00B050"/>
        <rFont val="Calibri"/>
        <family val="2"/>
        <scheme val="minor"/>
      </rPr>
      <t xml:space="preserve">
Finland;
</t>
    </r>
    <r>
      <rPr>
        <sz val="10"/>
        <color rgb="FF00B050"/>
        <rFont val="Calibri"/>
        <family val="2"/>
        <scheme val="minor"/>
      </rPr>
      <t>follow-up for 12 years (or 31/12/2010)</t>
    </r>
  </si>
  <si>
    <t>No. of advanced prostate cancers (T3-T4 or N1 or M1); follow-up for 12 years (or 31/12/2010)</t>
  </si>
  <si>
    <t>p722: The incidence of advanced PC was 1.2 per 1000 person-years in the SA and 1.6 per 1000 person-years in the CA (HR = 0.73, 95%
CI = 0.64 to 0.82; P &lt; .001).</t>
  </si>
  <si>
    <r>
      <t>1./4. Absolute incidence of prostate cancers   with T stage T1A-B at diagnosis</t>
    </r>
    <r>
      <rPr>
        <b/>
        <sz val="10"/>
        <color rgb="FF00B050"/>
        <rFont val="Calibri"/>
        <family val="2"/>
        <scheme val="minor"/>
      </rPr>
      <t xml:space="preserve"> </t>
    </r>
    <r>
      <rPr>
        <sz val="10"/>
        <color rgb="FF00B050"/>
        <rFont val="Calibri"/>
        <family val="2"/>
        <scheme val="minor"/>
      </rPr>
      <t>(%);</t>
    </r>
    <r>
      <rPr>
        <b/>
        <sz val="10"/>
        <color rgb="FF00B050"/>
        <rFont val="Calibri"/>
        <family val="2"/>
        <scheme val="minor"/>
      </rPr>
      <t xml:space="preserve">
Sweden;
</t>
    </r>
    <r>
      <rPr>
        <sz val="10"/>
        <color rgb="FF00B050"/>
        <rFont val="Calibri"/>
        <family val="2"/>
        <scheme val="minor"/>
      </rPr>
      <t>follow-up for 8 years (31/12/2002)</t>
    </r>
  </si>
  <si>
    <t>Locally advanced or metastatic (T3-T4, N1 or M1)</t>
  </si>
  <si>
    <t>Regional cancer registry; for all men with malignant disease, clinical records were traced and retrospectively studied. All biopsy (and radical prostatectomy) specimens evaluated by a single pathologist (C.-G.P.). 
1997 International Union Against Cancer staging system.</t>
  </si>
  <si>
    <t>T stage Tx</t>
  </si>
  <si>
    <t>No of prostate cancers with TNM stage group T1A-B; follow-up for 8 years (31/12/2002)</t>
  </si>
  <si>
    <t>Number of men analysed, by arm</t>
  </si>
  <si>
    <r>
      <t>1./4. Absolute incidence of prostate cancers   with T stage T1C at diagnosis</t>
    </r>
    <r>
      <rPr>
        <b/>
        <sz val="10"/>
        <color rgb="FF00B050"/>
        <rFont val="Calibri"/>
        <family val="2"/>
        <scheme val="minor"/>
      </rPr>
      <t xml:space="preserve"> </t>
    </r>
    <r>
      <rPr>
        <sz val="10"/>
        <color rgb="FF00B050"/>
        <rFont val="Calibri"/>
        <family val="2"/>
        <scheme val="minor"/>
      </rPr>
      <t>(%);</t>
    </r>
    <r>
      <rPr>
        <b/>
        <sz val="10"/>
        <color rgb="FF00B050"/>
        <rFont val="Calibri"/>
        <family val="2"/>
        <scheme val="minor"/>
      </rPr>
      <t xml:space="preserve">
Sweden;
</t>
    </r>
    <r>
      <rPr>
        <sz val="10"/>
        <color rgb="FF00B050"/>
        <rFont val="Calibri"/>
        <family val="2"/>
        <scheme val="minor"/>
      </rPr>
      <t>follow-up for 8 years (31/12/2002)</t>
    </r>
  </si>
  <si>
    <t>No of prostate cancers with TNM stage group T1C; follow-up for 8 years (31/12/2002)</t>
  </si>
  <si>
    <r>
      <t>1./4. Absolute incidence of prostate cancers   with T stage T2 at diagnosis</t>
    </r>
    <r>
      <rPr>
        <b/>
        <sz val="10"/>
        <color rgb="FF00B050"/>
        <rFont val="Calibri"/>
        <family val="2"/>
        <scheme val="minor"/>
      </rPr>
      <t xml:space="preserve"> </t>
    </r>
    <r>
      <rPr>
        <sz val="10"/>
        <color rgb="FF00B050"/>
        <rFont val="Calibri"/>
        <family val="2"/>
        <scheme val="minor"/>
      </rPr>
      <t>(%);</t>
    </r>
    <r>
      <rPr>
        <b/>
        <sz val="10"/>
        <color rgb="FF00B050"/>
        <rFont val="Calibri"/>
        <family val="2"/>
        <scheme val="minor"/>
      </rPr>
      <t xml:space="preserve">
Sweden;
</t>
    </r>
    <r>
      <rPr>
        <sz val="10"/>
        <color rgb="FF00B050"/>
        <rFont val="Calibri"/>
        <family val="2"/>
        <scheme val="minor"/>
      </rPr>
      <t>follow-up for 8 years (31/12/2002)</t>
    </r>
  </si>
  <si>
    <t>No of prostate cancers with TNM stage group T2; follow-up for 8 years (31/12/2002)</t>
  </si>
  <si>
    <r>
      <t>1./4. Absolute incidence of prostate cancers   with T stage T3 at diagnosis</t>
    </r>
    <r>
      <rPr>
        <b/>
        <sz val="10"/>
        <color rgb="FF00B050"/>
        <rFont val="Calibri"/>
        <family val="2"/>
        <scheme val="minor"/>
      </rPr>
      <t xml:space="preserve"> </t>
    </r>
    <r>
      <rPr>
        <sz val="10"/>
        <color rgb="FF00B050"/>
        <rFont val="Calibri"/>
        <family val="2"/>
        <scheme val="minor"/>
      </rPr>
      <t>(%);</t>
    </r>
    <r>
      <rPr>
        <b/>
        <sz val="10"/>
        <color rgb="FF00B050"/>
        <rFont val="Calibri"/>
        <family val="2"/>
        <scheme val="minor"/>
      </rPr>
      <t xml:space="preserve">
Sweden;
</t>
    </r>
    <r>
      <rPr>
        <sz val="10"/>
        <color rgb="FF00B050"/>
        <rFont val="Calibri"/>
        <family val="2"/>
        <scheme val="minor"/>
      </rPr>
      <t>follow-up for 8 years (31/12/2002)</t>
    </r>
  </si>
  <si>
    <t>No of prostate cancers with TNM stage group T3; follow-up for 8 years (31/12/2002)</t>
  </si>
  <si>
    <r>
      <t>1./4. Absolute incidence of prostate cancers   with T stage T4 at diagnosis</t>
    </r>
    <r>
      <rPr>
        <b/>
        <sz val="10"/>
        <color rgb="FF00B050"/>
        <rFont val="Calibri"/>
        <family val="2"/>
        <scheme val="minor"/>
      </rPr>
      <t xml:space="preserve"> </t>
    </r>
    <r>
      <rPr>
        <sz val="10"/>
        <color rgb="FF00B050"/>
        <rFont val="Calibri"/>
        <family val="2"/>
        <scheme val="minor"/>
      </rPr>
      <t>(%);</t>
    </r>
    <r>
      <rPr>
        <b/>
        <sz val="10"/>
        <color rgb="FF00B050"/>
        <rFont val="Calibri"/>
        <family val="2"/>
        <scheme val="minor"/>
      </rPr>
      <t xml:space="preserve">
Sweden;
</t>
    </r>
    <r>
      <rPr>
        <sz val="10"/>
        <color rgb="FF00B050"/>
        <rFont val="Calibri"/>
        <family val="2"/>
        <scheme val="minor"/>
      </rPr>
      <t>follow-up for 8 years (31/12/2002)</t>
    </r>
  </si>
  <si>
    <t>No of prostate cancers with TNM stage group T4; follow-up for 8 years (31/12/2002)</t>
  </si>
  <si>
    <r>
      <t>1./4. Absolute incidence of prostate cancers   with N1M0 (any T) at diagnosis</t>
    </r>
    <r>
      <rPr>
        <b/>
        <sz val="10"/>
        <color rgb="FF00B050"/>
        <rFont val="Calibri"/>
        <family val="2"/>
        <scheme val="minor"/>
      </rPr>
      <t xml:space="preserve"> </t>
    </r>
    <r>
      <rPr>
        <sz val="10"/>
        <color rgb="FF00B050"/>
        <rFont val="Calibri"/>
        <family val="2"/>
        <scheme val="minor"/>
      </rPr>
      <t>(%);</t>
    </r>
    <r>
      <rPr>
        <b/>
        <sz val="10"/>
        <color rgb="FF00B050"/>
        <rFont val="Calibri"/>
        <family val="2"/>
        <scheme val="minor"/>
      </rPr>
      <t xml:space="preserve">
Sweden;
</t>
    </r>
    <r>
      <rPr>
        <sz val="10"/>
        <color rgb="FF00B050"/>
        <rFont val="Calibri"/>
        <family val="2"/>
        <scheme val="minor"/>
      </rPr>
      <t>follow-up for 8 years (31/12/2002)</t>
    </r>
  </si>
  <si>
    <t>N1M0, any T</t>
  </si>
  <si>
    <t>No of prostate cancers with TNM stage group N1M0 (any T); follow-up for 8 years (31/12/2002)</t>
  </si>
  <si>
    <r>
      <t>1./4. Absolute incidence of prostate cancers   with M1 (any T, any N), at diagnosis</t>
    </r>
    <r>
      <rPr>
        <b/>
        <sz val="10"/>
        <color rgb="FF00B050"/>
        <rFont val="Calibri"/>
        <family val="2"/>
        <scheme val="minor"/>
      </rPr>
      <t xml:space="preserve"> </t>
    </r>
    <r>
      <rPr>
        <sz val="10"/>
        <color rgb="FF00B050"/>
        <rFont val="Calibri"/>
        <family val="2"/>
        <scheme val="minor"/>
      </rPr>
      <t>(%);</t>
    </r>
    <r>
      <rPr>
        <b/>
        <sz val="10"/>
        <color rgb="FF00B050"/>
        <rFont val="Calibri"/>
        <family val="2"/>
        <scheme val="minor"/>
      </rPr>
      <t xml:space="preserve">
Sweden;
</t>
    </r>
    <r>
      <rPr>
        <sz val="10"/>
        <color rgb="FF00B050"/>
        <rFont val="Calibri"/>
        <family val="2"/>
        <scheme val="minor"/>
      </rPr>
      <t>follow-up for 8 years (31/12/2002)</t>
    </r>
  </si>
  <si>
    <t>M1, and any T, any N</t>
  </si>
  <si>
    <t>No of prostate cancers with TNM stage group M1 (any N, any T); follow-up for 8 years (31/12/2002)</t>
  </si>
  <si>
    <r>
      <t>1./4. Absolute incidence of prostate cancers with locally advanced or metastatic disease (T3-T4, N1 or M1) at diagnosis</t>
    </r>
    <r>
      <rPr>
        <b/>
        <sz val="10"/>
        <color rgb="FF00B050"/>
        <rFont val="Calibri"/>
        <family val="2"/>
        <scheme val="minor"/>
      </rPr>
      <t xml:space="preserve"> </t>
    </r>
    <r>
      <rPr>
        <sz val="10"/>
        <color rgb="FF00B050"/>
        <rFont val="Calibri"/>
        <family val="2"/>
        <scheme val="minor"/>
      </rPr>
      <t>(%);</t>
    </r>
    <r>
      <rPr>
        <b/>
        <sz val="10"/>
        <color rgb="FF00B050"/>
        <rFont val="Calibri"/>
        <family val="2"/>
        <scheme val="minor"/>
      </rPr>
      <t xml:space="preserve">
Sweden;
</t>
    </r>
    <r>
      <rPr>
        <sz val="10"/>
        <color rgb="FF00B050"/>
        <rFont val="Calibri"/>
        <family val="2"/>
        <scheme val="minor"/>
      </rPr>
      <t>follow-up for 8 years (31/12/2002)</t>
    </r>
  </si>
  <si>
    <t>T3-T4, N1 or M1</t>
  </si>
  <si>
    <t>No of prostate cancers with locally advanced or metastatic disease (T3-T4, N1 or M1)  follow-up for 8 years (31/12/2002)</t>
  </si>
  <si>
    <t>Aus, 2007</t>
  </si>
  <si>
    <r>
      <t>1./4. Absolute incidence of prostate cancers   with T stage T1 at diagnosis</t>
    </r>
    <r>
      <rPr>
        <b/>
        <sz val="10"/>
        <color rgb="FF00B050"/>
        <rFont val="Calibri"/>
        <family val="2"/>
        <scheme val="minor"/>
      </rPr>
      <t xml:space="preserve"> </t>
    </r>
    <r>
      <rPr>
        <sz val="10"/>
        <color rgb="FF00B050"/>
        <rFont val="Calibri"/>
        <family val="2"/>
        <scheme val="minor"/>
      </rPr>
      <t>(%);</t>
    </r>
    <r>
      <rPr>
        <b/>
        <sz val="10"/>
        <color rgb="FF00B050"/>
        <rFont val="Calibri"/>
        <family val="2"/>
        <scheme val="minor"/>
      </rPr>
      <t xml:space="preserve">
Sweden;
</t>
    </r>
    <r>
      <rPr>
        <sz val="10"/>
        <color rgb="FF00B050"/>
        <rFont val="Calibri"/>
        <family val="2"/>
        <scheme val="minor"/>
      </rPr>
      <t>follow-up for 10 years (31/12/2004)</t>
    </r>
  </si>
  <si>
    <t>Advanced = M1 or PSA &gt;100 ng/ml</t>
  </si>
  <si>
    <t>Linking to the National Swedish Cancer Registry</t>
  </si>
  <si>
    <t>December 31, 2004</t>
  </si>
  <si>
    <t>No of prostate cancers with T stage T1 at diagnosis; follow-up for 10 years (31/12/2004)</t>
  </si>
  <si>
    <r>
      <t>1./4. Absolute incidence of prostate cancers   with T stage T2 at diagnosis</t>
    </r>
    <r>
      <rPr>
        <b/>
        <sz val="10"/>
        <color rgb="FF00B050"/>
        <rFont val="Calibri"/>
        <family val="2"/>
        <scheme val="minor"/>
      </rPr>
      <t xml:space="preserve"> </t>
    </r>
    <r>
      <rPr>
        <sz val="10"/>
        <color rgb="FF00B050"/>
        <rFont val="Calibri"/>
        <family val="2"/>
        <scheme val="minor"/>
      </rPr>
      <t>(%);</t>
    </r>
    <r>
      <rPr>
        <b/>
        <sz val="10"/>
        <color rgb="FF00B050"/>
        <rFont val="Calibri"/>
        <family val="2"/>
        <scheme val="minor"/>
      </rPr>
      <t xml:space="preserve">
Sweden;
</t>
    </r>
    <r>
      <rPr>
        <sz val="10"/>
        <color rgb="FF00B050"/>
        <rFont val="Calibri"/>
        <family val="2"/>
        <scheme val="minor"/>
      </rPr>
      <t>follow-up for 10 years (31/12/2004)</t>
    </r>
  </si>
  <si>
    <t>No of prostate cancers with T stage T2 at diagnosis; follow-up for 10 years (31/12/2004)</t>
  </si>
  <si>
    <r>
      <t>1./4. Absolute incidence of prostate cancers   with T stage T3 at diagnosis</t>
    </r>
    <r>
      <rPr>
        <b/>
        <sz val="10"/>
        <color rgb="FF00B050"/>
        <rFont val="Calibri"/>
        <family val="2"/>
        <scheme val="minor"/>
      </rPr>
      <t xml:space="preserve"> </t>
    </r>
    <r>
      <rPr>
        <sz val="10"/>
        <color rgb="FF00B050"/>
        <rFont val="Calibri"/>
        <family val="2"/>
        <scheme val="minor"/>
      </rPr>
      <t>(%);</t>
    </r>
    <r>
      <rPr>
        <b/>
        <sz val="10"/>
        <color rgb="FF00B050"/>
        <rFont val="Calibri"/>
        <family val="2"/>
        <scheme val="minor"/>
      </rPr>
      <t xml:space="preserve">
Sweden;
</t>
    </r>
    <r>
      <rPr>
        <sz val="10"/>
        <color rgb="FF00B050"/>
        <rFont val="Calibri"/>
        <family val="2"/>
        <scheme val="minor"/>
      </rPr>
      <t>follow-up for 10 years (31/12/2004)</t>
    </r>
  </si>
  <si>
    <t>No of prostate cancers with T stage T3 at diagnosis; follow-up for 10 years (31/12/2004)</t>
  </si>
  <si>
    <r>
      <t>1./4. Absolute incidence of prostate cancers   with T stage T4 at diagnosis</t>
    </r>
    <r>
      <rPr>
        <b/>
        <sz val="10"/>
        <color rgb="FF00B050"/>
        <rFont val="Calibri"/>
        <family val="2"/>
        <scheme val="minor"/>
      </rPr>
      <t xml:space="preserve"> </t>
    </r>
    <r>
      <rPr>
        <sz val="10"/>
        <color rgb="FF00B050"/>
        <rFont val="Calibri"/>
        <family val="2"/>
        <scheme val="minor"/>
      </rPr>
      <t>(%);</t>
    </r>
    <r>
      <rPr>
        <b/>
        <sz val="10"/>
        <color rgb="FF00B050"/>
        <rFont val="Calibri"/>
        <family val="2"/>
        <scheme val="minor"/>
      </rPr>
      <t xml:space="preserve">
Sweden;
</t>
    </r>
    <r>
      <rPr>
        <sz val="10"/>
        <color rgb="FF00B050"/>
        <rFont val="Calibri"/>
        <family val="2"/>
        <scheme val="minor"/>
      </rPr>
      <t>follow-up for 10 years (31/12/2004)</t>
    </r>
  </si>
  <si>
    <t>No of prostate cancers with T stage T4 at diagnosis; follow-up for 10 years (31/12/2004)</t>
  </si>
  <si>
    <r>
      <t>1./4. Absolute incidence of prostate cancers   with N stage N0 at diagnosis</t>
    </r>
    <r>
      <rPr>
        <b/>
        <sz val="10"/>
        <color rgb="FF00B050"/>
        <rFont val="Calibri"/>
        <family val="2"/>
        <scheme val="minor"/>
      </rPr>
      <t xml:space="preserve"> </t>
    </r>
    <r>
      <rPr>
        <sz val="10"/>
        <color rgb="FF00B050"/>
        <rFont val="Calibri"/>
        <family val="2"/>
        <scheme val="minor"/>
      </rPr>
      <t>(%);</t>
    </r>
    <r>
      <rPr>
        <b/>
        <sz val="10"/>
        <color rgb="FF00B050"/>
        <rFont val="Calibri"/>
        <family val="2"/>
        <scheme val="minor"/>
      </rPr>
      <t xml:space="preserve">
Sweden;
</t>
    </r>
    <r>
      <rPr>
        <sz val="10"/>
        <color rgb="FF00B050"/>
        <rFont val="Calibri"/>
        <family val="2"/>
        <scheme val="minor"/>
      </rPr>
      <t>follow-up for 10 years (31/12/2004)</t>
    </r>
  </si>
  <si>
    <t>N stage Nx</t>
  </si>
  <si>
    <t>No of prostate cancers with N stage N0 at diagnosis; follow-up for 10 years (31/12/2004)</t>
  </si>
  <si>
    <t>Only patients with tumours suitable for treatment with curative intent (M0 or Mx with a serum PSA of &lt;20 ng/ml) were subjected to nodal staging (N staging).</t>
  </si>
  <si>
    <r>
      <t>1./4. Absolute incidence of prostate cancers   with N stage N1 at diagnosis</t>
    </r>
    <r>
      <rPr>
        <b/>
        <sz val="10"/>
        <color rgb="FF00B050"/>
        <rFont val="Calibri"/>
        <family val="2"/>
        <scheme val="minor"/>
      </rPr>
      <t xml:space="preserve"> </t>
    </r>
    <r>
      <rPr>
        <sz val="10"/>
        <color rgb="FF00B050"/>
        <rFont val="Calibri"/>
        <family val="2"/>
        <scheme val="minor"/>
      </rPr>
      <t>(%);</t>
    </r>
    <r>
      <rPr>
        <b/>
        <sz val="10"/>
        <color rgb="FF00B050"/>
        <rFont val="Calibri"/>
        <family val="2"/>
        <scheme val="minor"/>
      </rPr>
      <t xml:space="preserve">
Sweden;
</t>
    </r>
    <r>
      <rPr>
        <sz val="10"/>
        <color rgb="FF00B050"/>
        <rFont val="Calibri"/>
        <family val="2"/>
        <scheme val="minor"/>
      </rPr>
      <t>follow-up for 10 years (31/12/2004)</t>
    </r>
  </si>
  <si>
    <t>No of prostate cancers with N stage N1 at diagnosis; follow-up for 10 years (31/12/2004)</t>
  </si>
  <si>
    <r>
      <t>1./4. Absolute incidence of prostate cancers   with M stage M0 at diagnosis</t>
    </r>
    <r>
      <rPr>
        <b/>
        <sz val="10"/>
        <color rgb="FF00B050"/>
        <rFont val="Calibri"/>
        <family val="2"/>
        <scheme val="minor"/>
      </rPr>
      <t xml:space="preserve"> </t>
    </r>
    <r>
      <rPr>
        <sz val="10"/>
        <color rgb="FF00B050"/>
        <rFont val="Calibri"/>
        <family val="2"/>
        <scheme val="minor"/>
      </rPr>
      <t>(%);</t>
    </r>
    <r>
      <rPr>
        <b/>
        <sz val="10"/>
        <color rgb="FF00B050"/>
        <rFont val="Calibri"/>
        <family val="2"/>
        <scheme val="minor"/>
      </rPr>
      <t xml:space="preserve">
Sweden;
</t>
    </r>
    <r>
      <rPr>
        <sz val="10"/>
        <color rgb="FF00B050"/>
        <rFont val="Calibri"/>
        <family val="2"/>
        <scheme val="minor"/>
      </rPr>
      <t>follow-up for 10 years (31/12/2004)</t>
    </r>
  </si>
  <si>
    <t>M stage Mx</t>
  </si>
  <si>
    <t>No of prostate cancers with M stage M0 at diagnosis; follow-up for 10 years (31/12/2004)</t>
  </si>
  <si>
    <r>
      <t>1./4. Absolute incidence of prostate cancers   with M stage M1 at diagnosis</t>
    </r>
    <r>
      <rPr>
        <b/>
        <sz val="10"/>
        <color rgb="FF00B050"/>
        <rFont val="Calibri"/>
        <family val="2"/>
        <scheme val="minor"/>
      </rPr>
      <t xml:space="preserve"> </t>
    </r>
    <r>
      <rPr>
        <sz val="10"/>
        <color rgb="FF00B050"/>
        <rFont val="Calibri"/>
        <family val="2"/>
        <scheme val="minor"/>
      </rPr>
      <t>(%);</t>
    </r>
    <r>
      <rPr>
        <b/>
        <sz val="10"/>
        <color rgb="FF00B050"/>
        <rFont val="Calibri"/>
        <family val="2"/>
        <scheme val="minor"/>
      </rPr>
      <t xml:space="preserve">
Sweden;
</t>
    </r>
    <r>
      <rPr>
        <sz val="10"/>
        <color rgb="FF00B050"/>
        <rFont val="Calibri"/>
        <family val="2"/>
        <scheme val="minor"/>
      </rPr>
      <t>follow-up for 10 years (31/12/2004)</t>
    </r>
  </si>
  <si>
    <t>No of prostate cancers with M stage M1 at diagnosis; follow-up for 10 years (31/12/2004)</t>
  </si>
  <si>
    <r>
      <t>1./4. Absolute incidence of prostate cancers   with metastatic disease (M1 or PSA &gt;100 ng/ml) at diagnosis</t>
    </r>
    <r>
      <rPr>
        <b/>
        <sz val="10"/>
        <color rgb="FF00B050"/>
        <rFont val="Calibri"/>
        <family val="2"/>
        <scheme val="minor"/>
      </rPr>
      <t xml:space="preserve"> </t>
    </r>
    <r>
      <rPr>
        <sz val="10"/>
        <color rgb="FF00B050"/>
        <rFont val="Calibri"/>
        <family val="2"/>
        <scheme val="minor"/>
      </rPr>
      <t>(%);</t>
    </r>
    <r>
      <rPr>
        <b/>
        <sz val="10"/>
        <color rgb="FF00B050"/>
        <rFont val="Calibri"/>
        <family val="2"/>
        <scheme val="minor"/>
      </rPr>
      <t xml:space="preserve">
Sweden;
</t>
    </r>
    <r>
      <rPr>
        <sz val="10"/>
        <color rgb="FF00B050"/>
        <rFont val="Calibri"/>
        <family val="2"/>
        <scheme val="minor"/>
      </rPr>
      <t>follow-up for 10 years (31/12/2004)</t>
    </r>
  </si>
  <si>
    <t>No of prostate cancers with metastatic disease (M1 or PSA &gt;100 ng/ml) at diagnosis; follow-up for 10 years (31/12/2004)</t>
  </si>
  <si>
    <t>Text: The number of men found with metastatic prostate cancer at the time of diagnosis (or who had a PSA &gt; 100 ng/ml) was 24 (20 M1, 4 PSA &gt; 100 ng/ml; 0.24%) in the screening arm compared
with 47 (37 M1, 10 PSA &gt; 100 ng/ml; 0.47%) in the control arm ( p = 0.0084). This difference represents a 48.9% reduction in the risk of being diagnosed with advanced prostate cancer during a 10-yr period for those randomized to active screening.</t>
  </si>
  <si>
    <r>
      <t>1./4. Absolute incidence of prostate cancers with low risk at diagnosis</t>
    </r>
    <r>
      <rPr>
        <b/>
        <sz val="10"/>
        <color rgb="FF00B050"/>
        <rFont val="Calibri"/>
        <family val="2"/>
        <scheme val="minor"/>
      </rPr>
      <t xml:space="preserve"> </t>
    </r>
    <r>
      <rPr>
        <sz val="10"/>
        <color rgb="FF00B050"/>
        <rFont val="Calibri"/>
        <family val="2"/>
        <scheme val="minor"/>
      </rPr>
      <t>(per 100 men);</t>
    </r>
    <r>
      <rPr>
        <b/>
        <sz val="10"/>
        <color rgb="FF00B050"/>
        <rFont val="Calibri"/>
        <family val="2"/>
        <scheme val="minor"/>
      </rPr>
      <t xml:space="preserve">
Sweden;
</t>
    </r>
    <r>
      <rPr>
        <sz val="10"/>
        <color rgb="FF00B050"/>
        <rFont val="Calibri"/>
        <family val="2"/>
        <scheme val="minor"/>
      </rPr>
      <t>follow-up for 14 years (or 31/12/2008)</t>
    </r>
  </si>
  <si>
    <r>
      <t xml:space="preserve">Low risk = T1 and Gleason score </t>
    </r>
    <r>
      <rPr>
        <sz val="10"/>
        <color rgb="FF00B050"/>
        <rFont val="Calibri"/>
        <family val="2"/>
      </rPr>
      <t>≤</t>
    </r>
    <r>
      <rPr>
        <sz val="10"/>
        <color rgb="FF00B050"/>
        <rFont val="Calibri"/>
        <family val="2"/>
        <scheme val="minor"/>
      </rPr>
      <t>6 and PSA &lt;10 and not N1 or M1.</t>
    </r>
  </si>
  <si>
    <t>Advanced = N1 or M1 or PSA &gt; 100 ng/ml</t>
  </si>
  <si>
    <t>Early = low- and moderate-risk cancer</t>
  </si>
  <si>
    <t>The last date of follow-up was date of death, date of emigration, or December 31, 2008</t>
  </si>
  <si>
    <t>No of prostate cancers with low risk at diagnosis; follow up for 14 years (31/12/2008)</t>
  </si>
  <si>
    <r>
      <t>1./4. Absolute incidence of prostate cancers  with moderate risk at diagnosis</t>
    </r>
    <r>
      <rPr>
        <b/>
        <sz val="10"/>
        <color rgb="FF00B050"/>
        <rFont val="Calibri"/>
        <family val="2"/>
        <scheme val="minor"/>
      </rPr>
      <t xml:space="preserve"> </t>
    </r>
    <r>
      <rPr>
        <sz val="10"/>
        <color rgb="FF00B050"/>
        <rFont val="Calibri"/>
        <family val="2"/>
        <scheme val="minor"/>
      </rPr>
      <t>(per 100men);</t>
    </r>
    <r>
      <rPr>
        <b/>
        <sz val="10"/>
        <color rgb="FF00B050"/>
        <rFont val="Calibri"/>
        <family val="2"/>
        <scheme val="minor"/>
      </rPr>
      <t xml:space="preserve">
Sweden;
</t>
    </r>
    <r>
      <rPr>
        <sz val="10"/>
        <color rgb="FF00B050"/>
        <rFont val="Calibri"/>
        <family val="2"/>
        <scheme val="minor"/>
      </rPr>
      <t>follow-up for 14 years (or 31/12/2008)</t>
    </r>
  </si>
  <si>
    <r>
      <t xml:space="preserve">Moderate = T1–2 and/or Gleason score </t>
    </r>
    <r>
      <rPr>
        <sz val="10"/>
        <color rgb="FF00B050"/>
        <rFont val="Calibri"/>
        <family val="2"/>
      </rPr>
      <t>≤</t>
    </r>
    <r>
      <rPr>
        <sz val="10"/>
        <color rgb="FF00B050"/>
        <rFont val="Calibri"/>
        <family val="2"/>
        <scheme val="minor"/>
      </rPr>
      <t>7 and/or PSA &lt;20, but not N1 or M1, and not meeting the criteria for low risk</t>
    </r>
  </si>
  <si>
    <t>The last date of follow-up was date of death, date of emigration, or December 31, 2008.</t>
  </si>
  <si>
    <t>No of prostate cancers with moderate risk at diagnosis; follow up for 14 years (31/12/2008)</t>
  </si>
  <si>
    <r>
      <t>1./4. Absolute incidence of prostate cancers  wit high risk at diagnosis</t>
    </r>
    <r>
      <rPr>
        <b/>
        <sz val="10"/>
        <color rgb="FF00B050"/>
        <rFont val="Calibri"/>
        <family val="2"/>
        <scheme val="minor"/>
      </rPr>
      <t xml:space="preserve"> </t>
    </r>
    <r>
      <rPr>
        <sz val="10"/>
        <color rgb="FF00B050"/>
        <rFont val="Calibri"/>
        <family val="2"/>
        <scheme val="minor"/>
      </rPr>
      <t>(per 100 men);</t>
    </r>
    <r>
      <rPr>
        <b/>
        <sz val="10"/>
        <color rgb="FF00B050"/>
        <rFont val="Calibri"/>
        <family val="2"/>
        <scheme val="minor"/>
      </rPr>
      <t xml:space="preserve">
Sweden;
</t>
    </r>
    <r>
      <rPr>
        <sz val="10"/>
        <color rgb="FF00B050"/>
        <rFont val="Calibri"/>
        <family val="2"/>
        <scheme val="minor"/>
      </rPr>
      <t>follow-up for 14 years (or 31/12/2008)</t>
    </r>
  </si>
  <si>
    <r>
      <t xml:space="preserve">High = T1–4 and/or Gleason score </t>
    </r>
    <r>
      <rPr>
        <sz val="10"/>
        <color rgb="FF00B050"/>
        <rFont val="Calibri"/>
        <family val="2"/>
      </rPr>
      <t>≥</t>
    </r>
    <r>
      <rPr>
        <sz val="10"/>
        <color rgb="FF00B050"/>
        <rFont val="Calibri"/>
        <family val="2"/>
        <scheme val="minor"/>
      </rPr>
      <t>8 and/or PSA &lt;100, but not N1 or M1, and not meeting the criteria for low or moderate risk</t>
    </r>
  </si>
  <si>
    <t>No of prostate cancers with high risk at diagnosis; follow up for 14 years (31/12/2008)</t>
  </si>
  <si>
    <r>
      <t>1./4. Absolute incidence of advanced prostate cancers at diagnosis</t>
    </r>
    <r>
      <rPr>
        <b/>
        <sz val="10"/>
        <color rgb="FF00B050"/>
        <rFont val="Calibri"/>
        <family val="2"/>
        <scheme val="minor"/>
      </rPr>
      <t xml:space="preserve"> </t>
    </r>
    <r>
      <rPr>
        <sz val="10"/>
        <color rgb="FF00B050"/>
        <rFont val="Calibri"/>
        <family val="2"/>
        <scheme val="minor"/>
      </rPr>
      <t>(per 100 men);</t>
    </r>
    <r>
      <rPr>
        <b/>
        <sz val="10"/>
        <color rgb="FF00B050"/>
        <rFont val="Calibri"/>
        <family val="2"/>
        <scheme val="minor"/>
      </rPr>
      <t xml:space="preserve">
Sweden;
</t>
    </r>
    <r>
      <rPr>
        <sz val="10"/>
        <color rgb="FF00B050"/>
        <rFont val="Calibri"/>
        <family val="2"/>
        <scheme val="minor"/>
      </rPr>
      <t>follow-up for 14 years (or 31/12/2008)</t>
    </r>
  </si>
  <si>
    <t>Advanced = N1 or M1 or PSA 100</t>
  </si>
  <si>
    <t>No of advanced prostate cancers at diagnosis; follow up for 14 years (31/12/2008)</t>
  </si>
  <si>
    <t>Table 2 and text: The number of men with advanced prostate cancer (metastases or PSA &gt;100 ng/ml at diagnosis) was lower in the screening arm: 46 men compared to 87 in the control arm (p=0.0003).</t>
  </si>
  <si>
    <r>
      <t>1./4. Absolute incidence of prostate cancers with low risk at diagnosis</t>
    </r>
    <r>
      <rPr>
        <b/>
        <sz val="10"/>
        <color rgb="FF00B050"/>
        <rFont val="Calibri"/>
        <family val="2"/>
        <scheme val="minor"/>
      </rPr>
      <t xml:space="preserve"> </t>
    </r>
    <r>
      <rPr>
        <sz val="10"/>
        <color rgb="FF00B050"/>
        <rFont val="Calibri"/>
        <family val="2"/>
        <scheme val="minor"/>
      </rPr>
      <t>(per 100 men);</t>
    </r>
    <r>
      <rPr>
        <b/>
        <sz val="10"/>
        <color rgb="FF00B050"/>
        <rFont val="Calibri"/>
        <family val="2"/>
        <scheme val="minor"/>
      </rPr>
      <t xml:space="preserve">
Sweden;
</t>
    </r>
    <r>
      <rPr>
        <sz val="10"/>
        <color rgb="FF00B050"/>
        <rFont val="Calibri"/>
        <family val="2"/>
        <scheme val="minor"/>
      </rPr>
      <t>follow-up for 18 years (or 31/12/2012)</t>
    </r>
  </si>
  <si>
    <t>143,776 PY;
mean 14.4 years</t>
  </si>
  <si>
    <t>149,129 PY;
mean 15.0 years</t>
  </si>
  <si>
    <t>No of prostate cancers with low risk at diagnosis; follow up for 18 years (31/12/2012)</t>
  </si>
  <si>
    <r>
      <t>1./4. Absolute incidence of prostate cancers  with moderate risk at diagnosis</t>
    </r>
    <r>
      <rPr>
        <b/>
        <sz val="10"/>
        <color rgb="FF00B050"/>
        <rFont val="Calibri"/>
        <family val="2"/>
        <scheme val="minor"/>
      </rPr>
      <t xml:space="preserve"> </t>
    </r>
    <r>
      <rPr>
        <sz val="10"/>
        <color rgb="FF00B050"/>
        <rFont val="Calibri"/>
        <family val="2"/>
        <scheme val="minor"/>
      </rPr>
      <t>(per 100men);</t>
    </r>
    <r>
      <rPr>
        <b/>
        <sz val="10"/>
        <color rgb="FF00B050"/>
        <rFont val="Calibri"/>
        <family val="2"/>
        <scheme val="minor"/>
      </rPr>
      <t xml:space="preserve">
Sweden;
</t>
    </r>
    <r>
      <rPr>
        <sz val="10"/>
        <color rgb="FF00B050"/>
        <rFont val="Calibri"/>
        <family val="2"/>
        <scheme val="minor"/>
      </rPr>
      <t>follow-up for 18 years (or 31/12/2012)</t>
    </r>
  </si>
  <si>
    <t>No of prostate cancers with moderate risk at diagnosis; follow up for 18 years (31/12/2012)</t>
  </si>
  <si>
    <r>
      <t>1./4. Absolute incidence of prostate cancers  wit high risk at diagnosis</t>
    </r>
    <r>
      <rPr>
        <b/>
        <sz val="10"/>
        <color rgb="FF00B050"/>
        <rFont val="Calibri"/>
        <family val="2"/>
        <scheme val="minor"/>
      </rPr>
      <t xml:space="preserve"> </t>
    </r>
    <r>
      <rPr>
        <sz val="10"/>
        <color rgb="FF00B050"/>
        <rFont val="Calibri"/>
        <family val="2"/>
        <scheme val="minor"/>
      </rPr>
      <t>(per 100 men);</t>
    </r>
    <r>
      <rPr>
        <b/>
        <sz val="10"/>
        <color rgb="FF00B050"/>
        <rFont val="Calibri"/>
        <family val="2"/>
        <scheme val="minor"/>
      </rPr>
      <t xml:space="preserve">
Sweden;
</t>
    </r>
    <r>
      <rPr>
        <sz val="10"/>
        <color rgb="FF00B050"/>
        <rFont val="Calibri"/>
        <family val="2"/>
        <scheme val="minor"/>
      </rPr>
      <t>follow-up for 18 years (or 31/12/2012)</t>
    </r>
  </si>
  <si>
    <t>No of prostate cancers with high risk at diagnosis; follow up for 18 years (31/12/2012)</t>
  </si>
  <si>
    <r>
      <t>1./4. Absolute incidence of advanced prostate cancers at diagnosis</t>
    </r>
    <r>
      <rPr>
        <b/>
        <sz val="10"/>
        <color rgb="FF00B050"/>
        <rFont val="Calibri"/>
        <family val="2"/>
        <scheme val="minor"/>
      </rPr>
      <t xml:space="preserve"> </t>
    </r>
    <r>
      <rPr>
        <sz val="10"/>
        <color rgb="FF00B050"/>
        <rFont val="Calibri"/>
        <family val="2"/>
        <scheme val="minor"/>
      </rPr>
      <t>(per 100 men);</t>
    </r>
    <r>
      <rPr>
        <b/>
        <sz val="10"/>
        <color rgb="FF00B050"/>
        <rFont val="Calibri"/>
        <family val="2"/>
        <scheme val="minor"/>
      </rPr>
      <t xml:space="preserve">
Sweden;
</t>
    </r>
    <r>
      <rPr>
        <sz val="10"/>
        <color rgb="FF00B050"/>
        <rFont val="Calibri"/>
        <family val="2"/>
        <scheme val="minor"/>
      </rPr>
      <t>follow-up for 18 years (or 31/12/2012)</t>
    </r>
  </si>
  <si>
    <t>No of advanced prostate cancers at diagnosis; follow up for 18 years (31/12/2012)</t>
  </si>
  <si>
    <r>
      <t>1./4. Absolute incidence of metastatic prostate cancers at diagnosis</t>
    </r>
    <r>
      <rPr>
        <b/>
        <sz val="10"/>
        <color rgb="FF00B050"/>
        <rFont val="Calibri"/>
        <family val="2"/>
        <scheme val="minor"/>
      </rPr>
      <t xml:space="preserve"> </t>
    </r>
    <r>
      <rPr>
        <sz val="10"/>
        <color rgb="FF00B050"/>
        <rFont val="Calibri"/>
        <family val="2"/>
        <scheme val="minor"/>
      </rPr>
      <t>(per 100 men);</t>
    </r>
    <r>
      <rPr>
        <b/>
        <sz val="10"/>
        <color rgb="FF00B050"/>
        <rFont val="Calibri"/>
        <family val="2"/>
        <scheme val="minor"/>
      </rPr>
      <t xml:space="preserve">
Sweden;
</t>
    </r>
    <r>
      <rPr>
        <sz val="10"/>
        <color rgb="FF00B050"/>
        <rFont val="Calibri"/>
        <family val="2"/>
        <scheme val="minor"/>
      </rPr>
      <t>follow-up for 18 years (or 31/12/2012)</t>
    </r>
  </si>
  <si>
    <t>Metastatic</t>
  </si>
  <si>
    <t>Unknown metastasis status</t>
  </si>
  <si>
    <t>No of metastatic prostate cancers at diagnosis; follow up for 18 years (31/12/212) in risk group</t>
  </si>
  <si>
    <r>
      <t>1./4. Absolute incidence of prostate cancers with low risk at diagnosis</t>
    </r>
    <r>
      <rPr>
        <b/>
        <sz val="10"/>
        <color rgb="FF00B050"/>
        <rFont val="Calibri"/>
        <family val="2"/>
        <scheme val="minor"/>
      </rPr>
      <t xml:space="preserve"> </t>
    </r>
    <r>
      <rPr>
        <sz val="10"/>
        <color rgb="FF00B050"/>
        <rFont val="Calibri"/>
        <family val="2"/>
        <scheme val="minor"/>
      </rPr>
      <t>(per 100 men);</t>
    </r>
    <r>
      <rPr>
        <b/>
        <sz val="10"/>
        <color rgb="FF00B050"/>
        <rFont val="Calibri"/>
        <family val="2"/>
        <scheme val="minor"/>
      </rPr>
      <t xml:space="preserve">
Sweden;
</t>
    </r>
    <r>
      <rPr>
        <sz val="10"/>
        <color rgb="FF00B050"/>
        <rFont val="Calibri"/>
        <family val="2"/>
        <scheme val="minor"/>
      </rPr>
      <t>follow-up for 22 years (or 31/12/2016)</t>
    </r>
  </si>
  <si>
    <t>Linkage with the Swedish Population Register and
the Regional Cancer Register of Western Sweden; for
men with PC, all medical documentation was collected to establish tumor stage/grade at diagnosis, disease course and treatment(s) received.</t>
  </si>
  <si>
    <t>161,456 PY</t>
  </si>
  <si>
    <t>168,212 PY</t>
  </si>
  <si>
    <t>Unknown risk group</t>
  </si>
  <si>
    <t>10 no treatment (detected on autopsy);
69 unknown risk group</t>
  </si>
  <si>
    <t>No of prostate cancers with low risk at diagnosis; follow up for 22 years (31/12/2016)</t>
  </si>
  <si>
    <r>
      <t>1./4. Absolute incidence of prostate cancers  with intermediate risk at diagnosis</t>
    </r>
    <r>
      <rPr>
        <b/>
        <sz val="10"/>
        <color rgb="FF00B050"/>
        <rFont val="Calibri"/>
        <family val="2"/>
        <scheme val="minor"/>
      </rPr>
      <t xml:space="preserve"> </t>
    </r>
    <r>
      <rPr>
        <sz val="10"/>
        <color rgb="FF00B050"/>
        <rFont val="Calibri"/>
        <family val="2"/>
        <scheme val="minor"/>
      </rPr>
      <t>(per 100 men);</t>
    </r>
    <r>
      <rPr>
        <b/>
        <sz val="10"/>
        <color rgb="FF00B050"/>
        <rFont val="Calibri"/>
        <family val="2"/>
        <scheme val="minor"/>
      </rPr>
      <t xml:space="preserve">
Sweden;
</t>
    </r>
    <r>
      <rPr>
        <sz val="10"/>
        <color rgb="FF00B050"/>
        <rFont val="Calibri"/>
        <family val="2"/>
        <scheme val="minor"/>
      </rPr>
      <t>follow-up for 22 years (or 31/12/2016)</t>
    </r>
  </si>
  <si>
    <r>
      <t xml:space="preserve">Intermediate = T1–2 and/or Gleason score </t>
    </r>
    <r>
      <rPr>
        <sz val="10"/>
        <color rgb="FF00B050"/>
        <rFont val="Calibri"/>
        <family val="2"/>
      </rPr>
      <t>≤</t>
    </r>
    <r>
      <rPr>
        <sz val="10"/>
        <color rgb="FF00B050"/>
        <rFont val="Calibri"/>
        <family val="2"/>
        <scheme val="minor"/>
      </rPr>
      <t>7 and/or PSA &lt;20, but not N1 or M1, and not meeting the criteria for low risk</t>
    </r>
  </si>
  <si>
    <t>No of prostate cancers with intermediate risk at diagnosis; follow up for 22 years (31/12/2016)</t>
  </si>
  <si>
    <r>
      <t>1./4. Absolute incidence of prostate cancers  wit high risk at diagnosis</t>
    </r>
    <r>
      <rPr>
        <b/>
        <sz val="10"/>
        <color rgb="FF00B050"/>
        <rFont val="Calibri"/>
        <family val="2"/>
        <scheme val="minor"/>
      </rPr>
      <t xml:space="preserve"> </t>
    </r>
    <r>
      <rPr>
        <sz val="10"/>
        <color rgb="FF00B050"/>
        <rFont val="Calibri"/>
        <family val="2"/>
        <scheme val="minor"/>
      </rPr>
      <t>(per 100 men);</t>
    </r>
    <r>
      <rPr>
        <b/>
        <sz val="10"/>
        <color rgb="FF00B050"/>
        <rFont val="Calibri"/>
        <family val="2"/>
        <scheme val="minor"/>
      </rPr>
      <t xml:space="preserve">
Sweden;
</t>
    </r>
    <r>
      <rPr>
        <sz val="10"/>
        <color rgb="FF00B050"/>
        <rFont val="Calibri"/>
        <family val="2"/>
        <scheme val="minor"/>
      </rPr>
      <t>follow-up for 22 years (or 31/12/2016)</t>
    </r>
  </si>
  <si>
    <t>No of prostate cancers high risk at diagnosis; follow up for 22 years (31/12/2016)</t>
  </si>
  <si>
    <r>
      <t>1./4. Absolute incidence of prostate cancers with advanced risk at diagnosis</t>
    </r>
    <r>
      <rPr>
        <b/>
        <sz val="10"/>
        <color rgb="FF00B050"/>
        <rFont val="Calibri"/>
        <family val="2"/>
        <scheme val="minor"/>
      </rPr>
      <t xml:space="preserve"> </t>
    </r>
    <r>
      <rPr>
        <sz val="10"/>
        <color rgb="FF00B050"/>
        <rFont val="Calibri"/>
        <family val="2"/>
        <scheme val="minor"/>
      </rPr>
      <t>(per 100 men);</t>
    </r>
    <r>
      <rPr>
        <b/>
        <sz val="10"/>
        <color rgb="FF00B050"/>
        <rFont val="Calibri"/>
        <family val="2"/>
        <scheme val="minor"/>
      </rPr>
      <t xml:space="preserve">
Sweden;
</t>
    </r>
    <r>
      <rPr>
        <sz val="10"/>
        <color rgb="FF00B050"/>
        <rFont val="Calibri"/>
        <family val="2"/>
        <scheme val="minor"/>
      </rPr>
      <t>follow-up for 22 years (or 31/12/2016)</t>
    </r>
  </si>
  <si>
    <t>No of advanced prostate cancers at diagnosis; follow up for 22 years (31/12/2014)</t>
  </si>
  <si>
    <t>Villers,2020</t>
  </si>
  <si>
    <r>
      <t>1./4. Absolute incidence of prostate cancer with risk category 1 at diagnosis</t>
    </r>
    <r>
      <rPr>
        <b/>
        <sz val="10"/>
        <color rgb="FF00B050"/>
        <rFont val="Calibri"/>
        <family val="2"/>
        <scheme val="minor"/>
      </rPr>
      <t xml:space="preserve"> </t>
    </r>
    <r>
      <rPr>
        <sz val="10"/>
        <color rgb="FF00B050"/>
        <rFont val="Calibri"/>
        <family val="2"/>
        <scheme val="minor"/>
      </rPr>
      <t>(per 1,000 PY);</t>
    </r>
    <r>
      <rPr>
        <b/>
        <sz val="10"/>
        <color rgb="FF00B050"/>
        <rFont val="Calibri"/>
        <family val="2"/>
        <scheme val="minor"/>
      </rPr>
      <t xml:space="preserve">
France;
</t>
    </r>
    <r>
      <rPr>
        <sz val="10"/>
        <color rgb="FF00B050"/>
        <rFont val="Calibri"/>
        <family val="2"/>
        <scheme val="minor"/>
      </rPr>
      <t>up to 31/12/2013</t>
    </r>
  </si>
  <si>
    <t>1: T1-2/unknown and not N1/M1 and Gleason score ≤ 6 and PSA &lt; 10 ng/ml</t>
  </si>
  <si>
    <t>Tarn and Hérault population-based cancer register. Tumour characteristics and treatment modalities were recorded. Tumours were classified into risk groups accordingto the ERSPC study code-book</t>
  </si>
  <si>
    <t>Unknown risk classification</t>
  </si>
  <si>
    <t>No of prostate cancers in risk category 1 at diagnosis; up to 31/12/2013</t>
  </si>
  <si>
    <r>
      <t>1./4. Absolute incidence of prostate cancer with risk category 2 at diagnosis</t>
    </r>
    <r>
      <rPr>
        <b/>
        <sz val="10"/>
        <color rgb="FF00B050"/>
        <rFont val="Calibri"/>
        <family val="2"/>
        <scheme val="minor"/>
      </rPr>
      <t xml:space="preserve"> </t>
    </r>
    <r>
      <rPr>
        <sz val="10"/>
        <color rgb="FF00B050"/>
        <rFont val="Calibri"/>
        <family val="2"/>
        <scheme val="minor"/>
      </rPr>
      <t>(per  1,000 PY);</t>
    </r>
    <r>
      <rPr>
        <b/>
        <sz val="10"/>
        <color rgb="FF00B050"/>
        <rFont val="Calibri"/>
        <family val="2"/>
        <scheme val="minor"/>
      </rPr>
      <t xml:space="preserve">
France;
</t>
    </r>
    <r>
      <rPr>
        <sz val="10"/>
        <color rgb="FF00B050"/>
        <rFont val="Calibri"/>
        <family val="2"/>
        <scheme val="minor"/>
      </rPr>
      <t>up to 31/12/2013</t>
    </r>
  </si>
  <si>
    <t>2: T1-2/unknown and not N1/M1 and (Gleason score ≤ 6 and 10 ≤ PSA &lt; 20 ng/ml or Gleason score = 7 and PSA &lt; 20 ng/ml)</t>
  </si>
  <si>
    <t>No of prostate cancers in risk category 2 at diagnosis; up to 31/12/2013</t>
  </si>
  <si>
    <r>
      <t>1./4. Absolute incidence of prostate cancer with risk category 3 at diagnosis</t>
    </r>
    <r>
      <rPr>
        <b/>
        <sz val="10"/>
        <color rgb="FF00B050"/>
        <rFont val="Calibri"/>
        <family val="2"/>
        <scheme val="minor"/>
      </rPr>
      <t xml:space="preserve"> </t>
    </r>
    <r>
      <rPr>
        <sz val="10"/>
        <color rgb="FF00B050"/>
        <rFont val="Calibri"/>
        <family val="2"/>
        <scheme val="minor"/>
      </rPr>
      <t>(per 1,000 PY);</t>
    </r>
    <r>
      <rPr>
        <b/>
        <sz val="10"/>
        <color rgb="FF00B050"/>
        <rFont val="Calibri"/>
        <family val="2"/>
        <scheme val="minor"/>
      </rPr>
      <t xml:space="preserve">
France;
</t>
    </r>
    <r>
      <rPr>
        <sz val="10"/>
        <color rgb="FF00B050"/>
        <rFont val="Calibri"/>
        <family val="2"/>
        <scheme val="minor"/>
      </rPr>
      <t>up to 31/12/2013</t>
    </r>
  </si>
  <si>
    <t>3: T1-2/unknown and not N1/M1 and (Gleason score ≤ 7/unknown and PSA ≥ 20 ng/ml or 7 ≤ Gleason score≤ 10) or T3 and not N1/M1]</t>
  </si>
  <si>
    <t>No of prostate cancers in risk  category 3 at diagnosis; up to 31/12/2013</t>
  </si>
  <si>
    <r>
      <t>1./4. Absolute incidence of prostate cancer with risk category 4 at diagnosis</t>
    </r>
    <r>
      <rPr>
        <b/>
        <sz val="10"/>
        <color rgb="FF00B050"/>
        <rFont val="Calibri"/>
        <family val="2"/>
        <scheme val="minor"/>
      </rPr>
      <t xml:space="preserve"> </t>
    </r>
    <r>
      <rPr>
        <sz val="10"/>
        <color rgb="FF00B050"/>
        <rFont val="Calibri"/>
        <family val="2"/>
        <scheme val="minor"/>
      </rPr>
      <t>(per  1,000 PY);</t>
    </r>
    <r>
      <rPr>
        <b/>
        <sz val="10"/>
        <color rgb="FF00B050"/>
        <rFont val="Calibri"/>
        <family val="2"/>
        <scheme val="minor"/>
      </rPr>
      <t xml:space="preserve">
France;
</t>
    </r>
    <r>
      <rPr>
        <sz val="10"/>
        <color rgb="FF00B050"/>
        <rFont val="Calibri"/>
        <family val="2"/>
        <scheme val="minor"/>
      </rPr>
      <t>up to 31/12/2013</t>
    </r>
  </si>
  <si>
    <t>4: T4 or N1/M1 or PSA &gt; 100 ng/ml</t>
  </si>
  <si>
    <t>No of prostate cancers in risk category 4 at diagnosis; up to 31/12/2013</t>
  </si>
  <si>
    <t>Boevee, 2010</t>
  </si>
  <si>
    <r>
      <t>1./4. Absolute incidence of prostate cancers   with T stage T1A-B at diagnosis</t>
    </r>
    <r>
      <rPr>
        <b/>
        <sz val="10"/>
        <color rgb="FF00B050"/>
        <rFont val="Calibri"/>
        <family val="2"/>
        <scheme val="minor"/>
      </rPr>
      <t xml:space="preserve"> </t>
    </r>
    <r>
      <rPr>
        <sz val="10"/>
        <color rgb="FF00B050"/>
        <rFont val="Calibri"/>
        <family val="2"/>
        <scheme val="minor"/>
      </rPr>
      <t>(per 10,000 men);</t>
    </r>
    <r>
      <rPr>
        <b/>
        <sz val="10"/>
        <color rgb="FF00B050"/>
        <rFont val="Calibri"/>
        <family val="2"/>
        <scheme val="minor"/>
      </rPr>
      <t xml:space="preserve">
Whole trial (excluding France);
</t>
    </r>
    <r>
      <rPr>
        <sz val="10"/>
        <color rgb="FF00B050"/>
        <rFont val="Calibri"/>
        <family val="2"/>
        <scheme val="minor"/>
      </rPr>
      <t>follow-up to 31/12/2006</t>
    </r>
  </si>
  <si>
    <t>T1A-T1B</t>
  </si>
  <si>
    <t>advanced disease = T3 and T4 disease; metastatic disease =  N1, N2, N3 and M1.</t>
  </si>
  <si>
    <t>Organ confined disease = 
T1 and T2 disease</t>
  </si>
  <si>
    <t xml:space="preserve">Linkage with national cancer registries; cancers classified according to the 1992 TNM classification.
</t>
  </si>
  <si>
    <t>Follow-up for mortality analyses began at randomization and ended at death, emigration or a uniform censoring date (December 31, 2006) up to 3rd screening round in intervention arm (6th round in Sweden)</t>
  </si>
  <si>
    <t>December 31st 2006</t>
  </si>
  <si>
    <t>Mean 9 years</t>
  </si>
  <si>
    <t>3 (6 in Sweden)</t>
  </si>
  <si>
    <t>whole trial excluding France</t>
  </si>
  <si>
    <t>Unknown T stage</t>
  </si>
  <si>
    <t>No of prostate cancers with T stage group  T1A-B at diagnosis;
follow-up to 31/12/2006</t>
  </si>
  <si>
    <t>Per 10,000 men</t>
  </si>
  <si>
    <t>Missing data on stage and grade were filled in taking into account the stage and grade distribution in the available data, assuming that there is no bias in this respect in obtaining follow-up data.</t>
  </si>
  <si>
    <r>
      <t>1./4. Absolute incidence of prostate cancers   with T stage T1C at diagnosis</t>
    </r>
    <r>
      <rPr>
        <b/>
        <sz val="10"/>
        <color rgb="FF00B050"/>
        <rFont val="Calibri"/>
        <family val="2"/>
        <scheme val="minor"/>
      </rPr>
      <t xml:space="preserve"> </t>
    </r>
    <r>
      <rPr>
        <sz val="10"/>
        <color rgb="FF00B050"/>
        <rFont val="Calibri"/>
        <family val="2"/>
        <scheme val="minor"/>
      </rPr>
      <t>(per 10,000 men);</t>
    </r>
    <r>
      <rPr>
        <b/>
        <sz val="10"/>
        <color rgb="FF00B050"/>
        <rFont val="Calibri"/>
        <family val="2"/>
        <scheme val="minor"/>
      </rPr>
      <t xml:space="preserve">
Whole trial (excluding France);
</t>
    </r>
    <r>
      <rPr>
        <sz val="10"/>
        <color rgb="FF00B050"/>
        <rFont val="Calibri"/>
        <family val="2"/>
        <scheme val="minor"/>
      </rPr>
      <t>follow-up to 31/12/2006</t>
    </r>
  </si>
  <si>
    <t>No of prostate cancers with T stage group  T1C at diagnosis;
follow-up to 31/12/2006</t>
  </si>
  <si>
    <r>
      <t>1./4. Absolute incidence of prostate cancers   with T stage T2 at diagnosis</t>
    </r>
    <r>
      <rPr>
        <b/>
        <sz val="10"/>
        <color rgb="FF00B050"/>
        <rFont val="Calibri"/>
        <family val="2"/>
        <scheme val="minor"/>
      </rPr>
      <t xml:space="preserve"> </t>
    </r>
    <r>
      <rPr>
        <sz val="10"/>
        <color rgb="FF00B050"/>
        <rFont val="Calibri"/>
        <family val="2"/>
        <scheme val="minor"/>
      </rPr>
      <t>(per 10,000 men);</t>
    </r>
    <r>
      <rPr>
        <b/>
        <sz val="10"/>
        <color rgb="FF00B050"/>
        <rFont val="Calibri"/>
        <family val="2"/>
        <scheme val="minor"/>
      </rPr>
      <t xml:space="preserve">
Whole trial (excluding France);
</t>
    </r>
    <r>
      <rPr>
        <sz val="10"/>
        <color rgb="FF00B050"/>
        <rFont val="Calibri"/>
        <family val="2"/>
        <scheme val="minor"/>
      </rPr>
      <t>follow-up to 31/12/2006</t>
    </r>
  </si>
  <si>
    <t>No of prostate cancers with T stage group  T2 at diagnosis;
follow-up to 31/12/2006</t>
  </si>
  <si>
    <r>
      <t>1./4. Absolute incidence of prostate cancers   with T stage T3 at diagnosis</t>
    </r>
    <r>
      <rPr>
        <b/>
        <sz val="10"/>
        <color rgb="FF00B050"/>
        <rFont val="Calibri"/>
        <family val="2"/>
        <scheme val="minor"/>
      </rPr>
      <t xml:space="preserve"> </t>
    </r>
    <r>
      <rPr>
        <sz val="10"/>
        <color rgb="FF00B050"/>
        <rFont val="Calibri"/>
        <family val="2"/>
        <scheme val="minor"/>
      </rPr>
      <t>(per 10,000 men);</t>
    </r>
    <r>
      <rPr>
        <b/>
        <sz val="10"/>
        <color rgb="FF00B050"/>
        <rFont val="Calibri"/>
        <family val="2"/>
        <scheme val="minor"/>
      </rPr>
      <t xml:space="preserve">
Whole trial (excluding France);
</t>
    </r>
    <r>
      <rPr>
        <sz val="10"/>
        <color rgb="FF00B050"/>
        <rFont val="Calibri"/>
        <family val="2"/>
        <scheme val="minor"/>
      </rPr>
      <t>follow-up to 31/12/2006</t>
    </r>
  </si>
  <si>
    <t>No of prostate cancers with T stage group  T3 at diagnosis;
follow-up to 31/12/2006</t>
  </si>
  <si>
    <r>
      <t>1./4. Absolute incidence of prostate cancers   with T stage T4 at diagnosis</t>
    </r>
    <r>
      <rPr>
        <b/>
        <sz val="10"/>
        <color rgb="FF00B050"/>
        <rFont val="Calibri"/>
        <family val="2"/>
        <scheme val="minor"/>
      </rPr>
      <t xml:space="preserve"> </t>
    </r>
    <r>
      <rPr>
        <sz val="10"/>
        <color rgb="FF00B050"/>
        <rFont val="Calibri"/>
        <family val="2"/>
        <scheme val="minor"/>
      </rPr>
      <t>(per 10,000 men);</t>
    </r>
    <r>
      <rPr>
        <b/>
        <sz val="10"/>
        <color rgb="FF00B050"/>
        <rFont val="Calibri"/>
        <family val="2"/>
        <scheme val="minor"/>
      </rPr>
      <t xml:space="preserve">
Whole trial (excluding France);
</t>
    </r>
    <r>
      <rPr>
        <sz val="10"/>
        <color rgb="FF00B050"/>
        <rFont val="Calibri"/>
        <family val="2"/>
        <scheme val="minor"/>
      </rPr>
      <t>follow-up to 31/12/2006</t>
    </r>
  </si>
  <si>
    <t>No of prostate cancers with T stage group  T4 at diagnosis;
follow-up to 31/12/2006</t>
  </si>
  <si>
    <r>
      <t>1./4. Absolute incidence of prostate cancers with lymph node metastasis at diagnosis</t>
    </r>
    <r>
      <rPr>
        <b/>
        <sz val="10"/>
        <color rgb="FF00B050"/>
        <rFont val="Calibri"/>
        <family val="2"/>
        <scheme val="minor"/>
      </rPr>
      <t xml:space="preserve"> </t>
    </r>
    <r>
      <rPr>
        <sz val="10"/>
        <color rgb="FF00B050"/>
        <rFont val="Calibri"/>
        <family val="2"/>
        <scheme val="minor"/>
      </rPr>
      <t>(per 10,000 men);</t>
    </r>
    <r>
      <rPr>
        <b/>
        <sz val="10"/>
        <color rgb="FF00B050"/>
        <rFont val="Calibri"/>
        <family val="2"/>
        <scheme val="minor"/>
      </rPr>
      <t xml:space="preserve">
Whole trial (excluding France);
</t>
    </r>
    <r>
      <rPr>
        <sz val="10"/>
        <color rgb="FF00B050"/>
        <rFont val="Calibri"/>
        <family val="2"/>
        <scheme val="minor"/>
      </rPr>
      <t>follow-up to 31/12/2006</t>
    </r>
  </si>
  <si>
    <t>Follow-up for mortality analyses began at randomization and ended at death, emigration or a uniform censoring date (December 31, 2006) with identical follow-up in the two study arms; up to 3rd screening round in intervention arm (6th round in Sweden)</t>
  </si>
  <si>
    <t>No of prostate cancers with lymph node metastasis at diagnosis;
follow-up to 31/12/2006</t>
  </si>
  <si>
    <r>
      <t>1./4. Absolute incidence of prostate cancers with distant metastasis at diagnosis</t>
    </r>
    <r>
      <rPr>
        <b/>
        <sz val="10"/>
        <color rgb="FF00B050"/>
        <rFont val="Calibri"/>
        <family val="2"/>
        <scheme val="minor"/>
      </rPr>
      <t xml:space="preserve"> </t>
    </r>
    <r>
      <rPr>
        <sz val="10"/>
        <color rgb="FF00B050"/>
        <rFont val="Calibri"/>
        <family val="2"/>
        <scheme val="minor"/>
      </rPr>
      <t>(per 10,000 men);</t>
    </r>
    <r>
      <rPr>
        <b/>
        <sz val="10"/>
        <color rgb="FF00B050"/>
        <rFont val="Calibri"/>
        <family val="2"/>
        <scheme val="minor"/>
      </rPr>
      <t xml:space="preserve">
Whole trial (excluding France);
</t>
    </r>
    <r>
      <rPr>
        <sz val="10"/>
        <color rgb="FF00B050"/>
        <rFont val="Calibri"/>
        <family val="2"/>
        <scheme val="minor"/>
      </rPr>
      <t>follow-up to 31/12/2006</t>
    </r>
  </si>
  <si>
    <t>No of prostate cancers with distant metastasis at diagnosis;
follow-up to 31/12/2006</t>
  </si>
  <si>
    <r>
      <t>1./4. Absolute incidence of organ-confined (T1 and T2) prostate cancers  at diagnosis</t>
    </r>
    <r>
      <rPr>
        <b/>
        <sz val="10"/>
        <color rgb="FF00B050"/>
        <rFont val="Calibri"/>
        <family val="2"/>
        <scheme val="minor"/>
      </rPr>
      <t xml:space="preserve"> </t>
    </r>
    <r>
      <rPr>
        <sz val="10"/>
        <color rgb="FF00B050"/>
        <rFont val="Calibri"/>
        <family val="2"/>
        <scheme val="minor"/>
      </rPr>
      <t>(per 10,000 men);</t>
    </r>
    <r>
      <rPr>
        <b/>
        <sz val="10"/>
        <color rgb="FF00B050"/>
        <rFont val="Calibri"/>
        <family val="2"/>
        <scheme val="minor"/>
      </rPr>
      <t xml:space="preserve">
Whole trial (excluding France);
</t>
    </r>
    <r>
      <rPr>
        <sz val="10"/>
        <color rgb="FF00B050"/>
        <rFont val="Calibri"/>
        <family val="2"/>
        <scheme val="minor"/>
      </rPr>
      <t>follow-up to 31/12/2006</t>
    </r>
  </si>
  <si>
    <t>T1 or T2, N0, M0</t>
  </si>
  <si>
    <t>Unknown TNM stage or unknown treatment?</t>
  </si>
  <si>
    <t>No of organ confined (T1 and T2) prostate cancers at diagnosis;
follow-up to 31/12/2006</t>
  </si>
  <si>
    <t>Table 2a and Table 2b</t>
  </si>
  <si>
    <r>
      <t>1./4. Absolute incidence of prostate cancers with advanced disease (T3 and T4) at diagnosis</t>
    </r>
    <r>
      <rPr>
        <b/>
        <sz val="10"/>
        <color rgb="FF00B050"/>
        <rFont val="Calibri"/>
        <family val="2"/>
        <scheme val="minor"/>
      </rPr>
      <t xml:space="preserve"> </t>
    </r>
    <r>
      <rPr>
        <sz val="10"/>
        <color rgb="FF00B050"/>
        <rFont val="Calibri"/>
        <family val="2"/>
        <scheme val="minor"/>
      </rPr>
      <t>(per 10,000 men);</t>
    </r>
    <r>
      <rPr>
        <b/>
        <sz val="10"/>
        <color rgb="FF00B050"/>
        <rFont val="Calibri"/>
        <family val="2"/>
        <scheme val="minor"/>
      </rPr>
      <t xml:space="preserve">
Whole trial (excluding France);
</t>
    </r>
    <r>
      <rPr>
        <sz val="10"/>
        <color rgb="FF00B050"/>
        <rFont val="Calibri"/>
        <family val="2"/>
        <scheme val="minor"/>
      </rPr>
      <t>follow-up to 31/12/2006</t>
    </r>
  </si>
  <si>
    <t>T3 or T4, N0, M0</t>
  </si>
  <si>
    <t>No of prostate cancers with advanced disease (T3 and T4) at diagnosis;
follow-up to 31/12/2006</t>
  </si>
  <si>
    <r>
      <t>1./4. Absolute incidence of prostate cancers with metastatic disease (N1, N2, N3 and M1) at diagnosis</t>
    </r>
    <r>
      <rPr>
        <b/>
        <sz val="10"/>
        <color rgb="FF00B050"/>
        <rFont val="Calibri"/>
        <family val="2"/>
        <scheme val="minor"/>
      </rPr>
      <t xml:space="preserve"> </t>
    </r>
    <r>
      <rPr>
        <sz val="10"/>
        <color rgb="FF00B050"/>
        <rFont val="Calibri"/>
        <family val="2"/>
        <scheme val="minor"/>
      </rPr>
      <t>(per 10,000 men);</t>
    </r>
    <r>
      <rPr>
        <b/>
        <sz val="10"/>
        <color rgb="FF00B050"/>
        <rFont val="Calibri"/>
        <family val="2"/>
        <scheme val="minor"/>
      </rPr>
      <t xml:space="preserve">
Whole trial (excluding France);
</t>
    </r>
    <r>
      <rPr>
        <sz val="10"/>
        <color rgb="FF00B050"/>
        <rFont val="Calibri"/>
        <family val="2"/>
        <scheme val="minor"/>
      </rPr>
      <t>follow-up to 31/12/2006</t>
    </r>
  </si>
  <si>
    <t>N1-3 or M1</t>
  </si>
  <si>
    <t>No of prostate cancers with metastatic disease (N1-3 or M1) at diagnosis;
follow-up to 31/12/2006</t>
  </si>
  <si>
    <r>
      <t>1./4. Absolute incidence of prostate cancers with Gleason score 2-6 at diagnosis</t>
    </r>
    <r>
      <rPr>
        <b/>
        <sz val="10"/>
        <color rgb="FF00B050"/>
        <rFont val="Calibri"/>
        <family val="2"/>
        <scheme val="minor"/>
      </rPr>
      <t xml:space="preserve"> in men aged 55-69 years </t>
    </r>
    <r>
      <rPr>
        <sz val="10"/>
        <color rgb="FF00B050"/>
        <rFont val="Calibri"/>
        <family val="2"/>
        <scheme val="minor"/>
      </rPr>
      <t>(per 1,000 men); excluding France;
up to 31/12/2006</t>
    </r>
  </si>
  <si>
    <t>Excluding France,
55-69 years</t>
  </si>
  <si>
    <t>Not yet in database</t>
  </si>
  <si>
    <t>No of prostate cancers with Gleason score</t>
  </si>
  <si>
    <t xml:space="preserve">Appendix 6 Table A </t>
  </si>
  <si>
    <r>
      <t>1./4. Absolute incidence of prostate cancers with Gleason score 7 at diagnosis</t>
    </r>
    <r>
      <rPr>
        <b/>
        <sz val="10"/>
        <color rgb="FF00B050"/>
        <rFont val="Calibri"/>
        <family val="2"/>
        <scheme val="minor"/>
      </rPr>
      <t xml:space="preserve"> in men aged 55-69 years </t>
    </r>
    <r>
      <rPr>
        <sz val="10"/>
        <color rgb="FF00B050"/>
        <rFont val="Calibri"/>
        <family val="2"/>
        <scheme val="minor"/>
      </rPr>
      <t>(per 1,000 men);
up to 31/12/2006</t>
    </r>
  </si>
  <si>
    <r>
      <t>1./4. Absolute incidence of prostate cancers with Gleason score 8-10 at diagnosis</t>
    </r>
    <r>
      <rPr>
        <b/>
        <sz val="10"/>
        <color rgb="FF00B050"/>
        <rFont val="Calibri"/>
        <family val="2"/>
        <scheme val="minor"/>
      </rPr>
      <t xml:space="preserve"> in men aged 55-69 years </t>
    </r>
    <r>
      <rPr>
        <sz val="10"/>
        <color rgb="FF00B050"/>
        <rFont val="Calibri"/>
        <family val="2"/>
        <scheme val="minor"/>
      </rPr>
      <t>(per 1,000 men);
up to 31/12/2006</t>
    </r>
  </si>
  <si>
    <r>
      <t>3. % of prostate cancers diagnosed at late stage (Gleason score 7+) at diagnosis</t>
    </r>
    <r>
      <rPr>
        <b/>
        <sz val="10"/>
        <color rgb="FF00B050"/>
        <rFont val="Calibri"/>
        <family val="2"/>
        <scheme val="minor"/>
      </rPr>
      <t xml:space="preserve"> in men aged 55-69 years</t>
    </r>
    <r>
      <rPr>
        <sz val="10"/>
        <color rgb="FF00B050"/>
        <rFont val="Calibri"/>
        <family val="2"/>
        <scheme val="minor"/>
      </rPr>
      <t>;
up to 31/12/2006</t>
    </r>
  </si>
  <si>
    <t>7+</t>
  </si>
  <si>
    <t>Total number of prostate cancers detected up to 31/12/2006 (including cancers with unknown Gleason score)</t>
  </si>
  <si>
    <t>Appendix 6 Table A and text: … the proportions with a Gleason score of 7 or more were 27.8% in the screening group and
45.2% in the control group.</t>
  </si>
  <si>
    <t>% in text are based on a denominator excluding cancers with missing Gleason score.</t>
  </si>
  <si>
    <r>
      <t>1./4. Absolute incidence of prostate cancers with Gleason score 2-6 at diagnosis</t>
    </r>
    <r>
      <rPr>
        <b/>
        <sz val="10"/>
        <color rgb="FF00B050"/>
        <rFont val="Calibri"/>
        <family val="2"/>
        <scheme val="minor"/>
      </rPr>
      <t xml:space="preserve"> in men aged 55-69 years </t>
    </r>
    <r>
      <rPr>
        <sz val="10"/>
        <color rgb="FF00B050"/>
        <rFont val="Calibri"/>
        <family val="2"/>
        <scheme val="minor"/>
      </rPr>
      <t xml:space="preserve">(per 1,000 men); </t>
    </r>
    <r>
      <rPr>
        <b/>
        <sz val="10"/>
        <color rgb="FF00B050"/>
        <rFont val="Calibri"/>
        <family val="2"/>
        <scheme val="minor"/>
      </rPr>
      <t>Netherlands;</t>
    </r>
    <r>
      <rPr>
        <sz val="10"/>
        <color rgb="FF00B050"/>
        <rFont val="Calibri"/>
        <family val="2"/>
        <scheme val="minor"/>
      </rPr>
      <t xml:space="preserve">
up to 31/12/2008</t>
    </r>
  </si>
  <si>
    <t>Aggressive = Gleason 8-10</t>
  </si>
  <si>
    <t>No of prostate cancers with Gleason score 2-6; diagnosed up to 31/12/2008</t>
  </si>
  <si>
    <t>Table 2B in supplementary appendix</t>
  </si>
  <si>
    <r>
      <t>1./4. Absolute incidence of prostate cancers with Gleason score 7 at diagnosis</t>
    </r>
    <r>
      <rPr>
        <b/>
        <sz val="10"/>
        <color rgb="FF00B050"/>
        <rFont val="Calibri"/>
        <family val="2"/>
        <scheme val="minor"/>
      </rPr>
      <t xml:space="preserve"> in men aged 55-69 years </t>
    </r>
    <r>
      <rPr>
        <sz val="10"/>
        <color rgb="FF00B050"/>
        <rFont val="Calibri"/>
        <family val="2"/>
        <scheme val="minor"/>
      </rPr>
      <t xml:space="preserve">(per 1,000 men);
</t>
    </r>
    <r>
      <rPr>
        <b/>
        <sz val="10"/>
        <color rgb="FF00B050"/>
        <rFont val="Calibri"/>
        <family val="2"/>
        <scheme val="minor"/>
      </rPr>
      <t>Netherlands;</t>
    </r>
    <r>
      <rPr>
        <sz val="10"/>
        <color rgb="FF00B050"/>
        <rFont val="Calibri"/>
        <family val="2"/>
        <scheme val="minor"/>
      </rPr>
      <t xml:space="preserve">
up to 31/12/2008</t>
    </r>
  </si>
  <si>
    <t>No of prostate cancers with Gleason score 7; diagnosed up to 31/12/2008</t>
  </si>
  <si>
    <r>
      <t>1./4. Absolute incidence of prostate cancers with Gleason score 8-10 at diagnosis</t>
    </r>
    <r>
      <rPr>
        <b/>
        <sz val="10"/>
        <color rgb="FF00B050"/>
        <rFont val="Calibri"/>
        <family val="2"/>
        <scheme val="minor"/>
      </rPr>
      <t xml:space="preserve"> in men aged 55-69 years </t>
    </r>
    <r>
      <rPr>
        <sz val="10"/>
        <color rgb="FF00B050"/>
        <rFont val="Calibri"/>
        <family val="2"/>
        <scheme val="minor"/>
      </rPr>
      <t xml:space="preserve">(per 1,000 men);
</t>
    </r>
    <r>
      <rPr>
        <b/>
        <sz val="10"/>
        <color rgb="FF00B050"/>
        <rFont val="Calibri"/>
        <family val="2"/>
        <scheme val="minor"/>
      </rPr>
      <t>Netherlands;</t>
    </r>
    <r>
      <rPr>
        <sz val="10"/>
        <color rgb="FF00B050"/>
        <rFont val="Calibri"/>
        <family val="2"/>
        <scheme val="minor"/>
      </rPr>
      <t xml:space="preserve">
up to 31/12/2008</t>
    </r>
  </si>
  <si>
    <t>No of prostate cancers with Gleason score 8-10; diagnosed up to 31/12/2008</t>
  </si>
  <si>
    <r>
      <t>1./4. Absolute incidence of prostate cancers with Gleason score 2-6 at diagnosis</t>
    </r>
    <r>
      <rPr>
        <b/>
        <sz val="10"/>
        <color rgb="FF00B050"/>
        <rFont val="Calibri"/>
        <family val="2"/>
        <scheme val="minor"/>
      </rPr>
      <t xml:space="preserve"> in men aged 55-69 years </t>
    </r>
    <r>
      <rPr>
        <sz val="10"/>
        <color rgb="FF00B050"/>
        <rFont val="Calibri"/>
        <family val="2"/>
        <scheme val="minor"/>
      </rPr>
      <t xml:space="preserve">(per 1,000 men); </t>
    </r>
    <r>
      <rPr>
        <b/>
        <sz val="10"/>
        <color rgb="FF00B050"/>
        <rFont val="Calibri"/>
        <family val="2"/>
        <scheme val="minor"/>
      </rPr>
      <t>Belgium;</t>
    </r>
    <r>
      <rPr>
        <sz val="10"/>
        <color rgb="FF00B050"/>
        <rFont val="Calibri"/>
        <family val="2"/>
        <scheme val="minor"/>
      </rPr>
      <t xml:space="preserve">
up to 31/12/2008</t>
    </r>
  </si>
  <si>
    <r>
      <t>1./4. Absolute incidence of prostate cancers with Gleason score 7 at diagnosis</t>
    </r>
    <r>
      <rPr>
        <b/>
        <sz val="10"/>
        <color rgb="FF00B050"/>
        <rFont val="Calibri"/>
        <family val="2"/>
        <scheme val="minor"/>
      </rPr>
      <t xml:space="preserve"> in men aged 55-69 years </t>
    </r>
    <r>
      <rPr>
        <sz val="10"/>
        <color rgb="FF00B050"/>
        <rFont val="Calibri"/>
        <family val="2"/>
        <scheme val="minor"/>
      </rPr>
      <t xml:space="preserve">(per 1,000 men);
</t>
    </r>
    <r>
      <rPr>
        <b/>
        <sz val="10"/>
        <color rgb="FF00B050"/>
        <rFont val="Calibri"/>
        <family val="2"/>
        <scheme val="minor"/>
      </rPr>
      <t>Belgium;</t>
    </r>
    <r>
      <rPr>
        <sz val="10"/>
        <color rgb="FF00B050"/>
        <rFont val="Calibri"/>
        <family val="2"/>
        <scheme val="minor"/>
      </rPr>
      <t xml:space="preserve">
up to 31/12/2008</t>
    </r>
  </si>
  <si>
    <r>
      <t>1./4. Absolute incidence of prostate cancers with Gleason score 8-10 at diagnosis</t>
    </r>
    <r>
      <rPr>
        <b/>
        <sz val="10"/>
        <color rgb="FF00B050"/>
        <rFont val="Calibri"/>
        <family val="2"/>
        <scheme val="minor"/>
      </rPr>
      <t xml:space="preserve"> in men aged 55-69 years </t>
    </r>
    <r>
      <rPr>
        <sz val="10"/>
        <color rgb="FF00B050"/>
        <rFont val="Calibri"/>
        <family val="2"/>
        <scheme val="minor"/>
      </rPr>
      <t xml:space="preserve">(per 1,000 men);
</t>
    </r>
    <r>
      <rPr>
        <b/>
        <sz val="10"/>
        <color rgb="FF00B050"/>
        <rFont val="Calibri"/>
        <family val="2"/>
        <scheme val="minor"/>
      </rPr>
      <t>Belgium;</t>
    </r>
    <r>
      <rPr>
        <sz val="10"/>
        <color rgb="FF00B050"/>
        <rFont val="Calibri"/>
        <family val="2"/>
        <scheme val="minor"/>
      </rPr>
      <t xml:space="preserve">
up to 31/12/2008</t>
    </r>
  </si>
  <si>
    <r>
      <t>1./4. Absolute incidence of prostate cancers with Gleason score 2-6 at diagnosis</t>
    </r>
    <r>
      <rPr>
        <b/>
        <sz val="10"/>
        <color rgb="FF00B050"/>
        <rFont val="Calibri"/>
        <family val="2"/>
        <scheme val="minor"/>
      </rPr>
      <t xml:space="preserve"> in men aged 55-69 years </t>
    </r>
    <r>
      <rPr>
        <sz val="10"/>
        <color rgb="FF00B050"/>
        <rFont val="Calibri"/>
        <family val="2"/>
        <scheme val="minor"/>
      </rPr>
      <t xml:space="preserve">(per 1,000 men); </t>
    </r>
    <r>
      <rPr>
        <b/>
        <sz val="10"/>
        <color rgb="FF00B050"/>
        <rFont val="Calibri"/>
        <family val="2"/>
        <scheme val="minor"/>
      </rPr>
      <t>Sweden;</t>
    </r>
    <r>
      <rPr>
        <sz val="10"/>
        <color rgb="FF00B050"/>
        <rFont val="Calibri"/>
        <family val="2"/>
        <scheme val="minor"/>
      </rPr>
      <t xml:space="preserve">
up to 31/12/2008</t>
    </r>
  </si>
  <si>
    <r>
      <t>1./4. Absolute incidence of prostate cancers with Gleason score 7 at diagnosis</t>
    </r>
    <r>
      <rPr>
        <b/>
        <sz val="10"/>
        <color rgb="FF00B050"/>
        <rFont val="Calibri"/>
        <family val="2"/>
        <scheme val="minor"/>
      </rPr>
      <t xml:space="preserve"> in men aged 55-69 years </t>
    </r>
    <r>
      <rPr>
        <sz val="10"/>
        <color rgb="FF00B050"/>
        <rFont val="Calibri"/>
        <family val="2"/>
        <scheme val="minor"/>
      </rPr>
      <t xml:space="preserve">(per 1,000 men);
</t>
    </r>
    <r>
      <rPr>
        <b/>
        <sz val="10"/>
        <color rgb="FF00B050"/>
        <rFont val="Calibri"/>
        <family val="2"/>
        <scheme val="minor"/>
      </rPr>
      <t>Sweden;</t>
    </r>
    <r>
      <rPr>
        <sz val="10"/>
        <color rgb="FF00B050"/>
        <rFont val="Calibri"/>
        <family val="2"/>
        <scheme val="minor"/>
      </rPr>
      <t xml:space="preserve">
up to 31/12/2008</t>
    </r>
  </si>
  <si>
    <r>
      <t>1./4. Absolute incidence of prostate cancers with Gleason score 8-10 at diagnosis</t>
    </r>
    <r>
      <rPr>
        <b/>
        <sz val="10"/>
        <color rgb="FF00B050"/>
        <rFont val="Calibri"/>
        <family val="2"/>
        <scheme val="minor"/>
      </rPr>
      <t xml:space="preserve"> in men aged 55-69 years </t>
    </r>
    <r>
      <rPr>
        <sz val="10"/>
        <color rgb="FF00B050"/>
        <rFont val="Calibri"/>
        <family val="2"/>
        <scheme val="minor"/>
      </rPr>
      <t xml:space="preserve">(per 1,000 men);
</t>
    </r>
    <r>
      <rPr>
        <b/>
        <sz val="10"/>
        <color rgb="FF00B050"/>
        <rFont val="Calibri"/>
        <family val="2"/>
        <scheme val="minor"/>
      </rPr>
      <t>Sweden;</t>
    </r>
    <r>
      <rPr>
        <sz val="10"/>
        <color rgb="FF00B050"/>
        <rFont val="Calibri"/>
        <family val="2"/>
        <scheme val="minor"/>
      </rPr>
      <t xml:space="preserve">
up to 31/12/2008</t>
    </r>
  </si>
  <si>
    <r>
      <t>1./4. Absolute incidence of prostate cancers with Gleason score 2-6 at diagnosis</t>
    </r>
    <r>
      <rPr>
        <b/>
        <sz val="10"/>
        <color rgb="FF00B050"/>
        <rFont val="Calibri"/>
        <family val="2"/>
        <scheme val="minor"/>
      </rPr>
      <t xml:space="preserve"> in men aged 55-69 years </t>
    </r>
    <r>
      <rPr>
        <sz val="10"/>
        <color rgb="FF00B050"/>
        <rFont val="Calibri"/>
        <family val="2"/>
        <scheme val="minor"/>
      </rPr>
      <t xml:space="preserve">(per 1,000 men); </t>
    </r>
    <r>
      <rPr>
        <b/>
        <sz val="10"/>
        <color rgb="FF00B050"/>
        <rFont val="Calibri"/>
        <family val="2"/>
        <scheme val="minor"/>
      </rPr>
      <t>Finland;</t>
    </r>
    <r>
      <rPr>
        <sz val="10"/>
        <color rgb="FF00B050"/>
        <rFont val="Calibri"/>
        <family val="2"/>
        <scheme val="minor"/>
      </rPr>
      <t xml:space="preserve">
up to 31/12/2008</t>
    </r>
  </si>
  <si>
    <r>
      <t>1./4. Absolute incidence of prostate cancers with Gleason score 7 at diagnosis</t>
    </r>
    <r>
      <rPr>
        <b/>
        <sz val="10"/>
        <color rgb="FF00B050"/>
        <rFont val="Calibri"/>
        <family val="2"/>
        <scheme val="minor"/>
      </rPr>
      <t xml:space="preserve"> in men aged 55-69 years </t>
    </r>
    <r>
      <rPr>
        <sz val="10"/>
        <color rgb="FF00B050"/>
        <rFont val="Calibri"/>
        <family val="2"/>
        <scheme val="minor"/>
      </rPr>
      <t xml:space="preserve">(per 1,000 men);
</t>
    </r>
    <r>
      <rPr>
        <b/>
        <sz val="10"/>
        <color rgb="FF00B050"/>
        <rFont val="Calibri"/>
        <family val="2"/>
        <scheme val="minor"/>
      </rPr>
      <t>Finland;</t>
    </r>
    <r>
      <rPr>
        <sz val="10"/>
        <color rgb="FF00B050"/>
        <rFont val="Calibri"/>
        <family val="2"/>
        <scheme val="minor"/>
      </rPr>
      <t xml:space="preserve">
up to 31/12/2008</t>
    </r>
  </si>
  <si>
    <r>
      <t>1./4. Absolute incidence of prostate cancers with Gleason score 8-10 at diagnosis</t>
    </r>
    <r>
      <rPr>
        <b/>
        <sz val="10"/>
        <color rgb="FF00B050"/>
        <rFont val="Calibri"/>
        <family val="2"/>
        <scheme val="minor"/>
      </rPr>
      <t xml:space="preserve"> in men aged 55-69 years </t>
    </r>
    <r>
      <rPr>
        <sz val="10"/>
        <color rgb="FF00B050"/>
        <rFont val="Calibri"/>
        <family val="2"/>
        <scheme val="minor"/>
      </rPr>
      <t xml:space="preserve">(per 1,000 men);
</t>
    </r>
    <r>
      <rPr>
        <b/>
        <sz val="10"/>
        <color rgb="FF00B050"/>
        <rFont val="Calibri"/>
        <family val="2"/>
        <scheme val="minor"/>
      </rPr>
      <t>Finland;</t>
    </r>
    <r>
      <rPr>
        <sz val="10"/>
        <color rgb="FF00B050"/>
        <rFont val="Calibri"/>
        <family val="2"/>
        <scheme val="minor"/>
      </rPr>
      <t xml:space="preserve">
up to 31/12/2008</t>
    </r>
  </si>
  <si>
    <r>
      <t>1./4. Absolute incidence of prostate cancers with Gleason score 2-6 at diagnosis</t>
    </r>
    <r>
      <rPr>
        <b/>
        <sz val="10"/>
        <color rgb="FF00B050"/>
        <rFont val="Calibri"/>
        <family val="2"/>
        <scheme val="minor"/>
      </rPr>
      <t xml:space="preserve"> in men aged 55-69 years </t>
    </r>
    <r>
      <rPr>
        <sz val="10"/>
        <color rgb="FF00B050"/>
        <rFont val="Calibri"/>
        <family val="2"/>
        <scheme val="minor"/>
      </rPr>
      <t xml:space="preserve">(per 1,000 men); </t>
    </r>
    <r>
      <rPr>
        <b/>
        <sz val="10"/>
        <color rgb="FF00B050"/>
        <rFont val="Calibri"/>
        <family val="2"/>
        <scheme val="minor"/>
      </rPr>
      <t>Italy;</t>
    </r>
    <r>
      <rPr>
        <sz val="10"/>
        <color rgb="FF00B050"/>
        <rFont val="Calibri"/>
        <family val="2"/>
        <scheme val="minor"/>
      </rPr>
      <t xml:space="preserve">
up to 31/12/2008</t>
    </r>
  </si>
  <si>
    <r>
      <t>1./4. Absolute incidence of prostate cancers with Gleason score 7 at diagnosis</t>
    </r>
    <r>
      <rPr>
        <b/>
        <sz val="10"/>
        <color rgb="FF00B050"/>
        <rFont val="Calibri"/>
        <family val="2"/>
        <scheme val="minor"/>
      </rPr>
      <t xml:space="preserve"> in men aged 55-69 years </t>
    </r>
    <r>
      <rPr>
        <sz val="10"/>
        <color rgb="FF00B050"/>
        <rFont val="Calibri"/>
        <family val="2"/>
        <scheme val="minor"/>
      </rPr>
      <t xml:space="preserve">(per 1,000 men);
</t>
    </r>
    <r>
      <rPr>
        <b/>
        <sz val="10"/>
        <color rgb="FF00B050"/>
        <rFont val="Calibri"/>
        <family val="2"/>
        <scheme val="minor"/>
      </rPr>
      <t>Italy;</t>
    </r>
    <r>
      <rPr>
        <sz val="10"/>
        <color rgb="FF00B050"/>
        <rFont val="Calibri"/>
        <family val="2"/>
        <scheme val="minor"/>
      </rPr>
      <t xml:space="preserve">
up to 31/12/2008</t>
    </r>
  </si>
  <si>
    <r>
      <t>1./4. Absolute incidence of prostate cancers with Gleason score 8-10 at diagnosis</t>
    </r>
    <r>
      <rPr>
        <b/>
        <sz val="10"/>
        <color rgb="FF00B050"/>
        <rFont val="Calibri"/>
        <family val="2"/>
        <scheme val="minor"/>
      </rPr>
      <t xml:space="preserve"> in men aged 55-69 years </t>
    </r>
    <r>
      <rPr>
        <sz val="10"/>
        <color rgb="FF00B050"/>
        <rFont val="Calibri"/>
        <family val="2"/>
        <scheme val="minor"/>
      </rPr>
      <t xml:space="preserve">(per 1,000 men);
</t>
    </r>
    <r>
      <rPr>
        <b/>
        <sz val="10"/>
        <color rgb="FF00B050"/>
        <rFont val="Calibri"/>
        <family val="2"/>
        <scheme val="minor"/>
      </rPr>
      <t>Italy;</t>
    </r>
    <r>
      <rPr>
        <sz val="10"/>
        <color rgb="FF00B050"/>
        <rFont val="Calibri"/>
        <family val="2"/>
        <scheme val="minor"/>
      </rPr>
      <t xml:space="preserve">
up to 31/12/2008</t>
    </r>
  </si>
  <si>
    <r>
      <t>1./4. Absolute incidence of prostate cancers with Gleason score 2-6 at diagnosis</t>
    </r>
    <r>
      <rPr>
        <b/>
        <sz val="10"/>
        <color rgb="FF00B050"/>
        <rFont val="Calibri"/>
        <family val="2"/>
        <scheme val="minor"/>
      </rPr>
      <t xml:space="preserve"> in men aged 55-69 years </t>
    </r>
    <r>
      <rPr>
        <sz val="10"/>
        <color rgb="FF00B050"/>
        <rFont val="Calibri"/>
        <family val="2"/>
        <scheme val="minor"/>
      </rPr>
      <t xml:space="preserve">(per 1,000 men); </t>
    </r>
    <r>
      <rPr>
        <b/>
        <sz val="10"/>
        <color rgb="FF00B050"/>
        <rFont val="Calibri"/>
        <family val="2"/>
        <scheme val="minor"/>
      </rPr>
      <t>Spain;</t>
    </r>
    <r>
      <rPr>
        <sz val="10"/>
        <color rgb="FF00B050"/>
        <rFont val="Calibri"/>
        <family val="2"/>
        <scheme val="minor"/>
      </rPr>
      <t xml:space="preserve">
up to 31/12/2008</t>
    </r>
  </si>
  <si>
    <r>
      <t>1./4. Absolute incidence of prostate cancers with Gleason score 7 at diagnosis</t>
    </r>
    <r>
      <rPr>
        <b/>
        <sz val="10"/>
        <color rgb="FF00B050"/>
        <rFont val="Calibri"/>
        <family val="2"/>
        <scheme val="minor"/>
      </rPr>
      <t xml:space="preserve"> in men aged 55-69 years </t>
    </r>
    <r>
      <rPr>
        <sz val="10"/>
        <color rgb="FF00B050"/>
        <rFont val="Calibri"/>
        <family val="2"/>
        <scheme val="minor"/>
      </rPr>
      <t xml:space="preserve">(per 1,000 men);
</t>
    </r>
    <r>
      <rPr>
        <b/>
        <sz val="10"/>
        <color rgb="FF00B050"/>
        <rFont val="Calibri"/>
        <family val="2"/>
        <scheme val="minor"/>
      </rPr>
      <t>Spain;</t>
    </r>
    <r>
      <rPr>
        <sz val="10"/>
        <color rgb="FF00B050"/>
        <rFont val="Calibri"/>
        <family val="2"/>
        <scheme val="minor"/>
      </rPr>
      <t xml:space="preserve">
up to 31/12/2008</t>
    </r>
  </si>
  <si>
    <r>
      <t>1./4. Absolute incidence of prostate cancers with Gleason score 8-10 at diagnosis</t>
    </r>
    <r>
      <rPr>
        <b/>
        <sz val="10"/>
        <color rgb="FF00B050"/>
        <rFont val="Calibri"/>
        <family val="2"/>
        <scheme val="minor"/>
      </rPr>
      <t xml:space="preserve"> in men aged 55-69 years </t>
    </r>
    <r>
      <rPr>
        <sz val="10"/>
        <color rgb="FF00B050"/>
        <rFont val="Calibri"/>
        <family val="2"/>
        <scheme val="minor"/>
      </rPr>
      <t xml:space="preserve">(per 1,000 men);
</t>
    </r>
    <r>
      <rPr>
        <b/>
        <sz val="10"/>
        <color rgb="FF00B050"/>
        <rFont val="Calibri"/>
        <family val="2"/>
        <scheme val="minor"/>
      </rPr>
      <t>Spain;</t>
    </r>
    <r>
      <rPr>
        <sz val="10"/>
        <color rgb="FF00B050"/>
        <rFont val="Calibri"/>
        <family val="2"/>
        <scheme val="minor"/>
      </rPr>
      <t xml:space="preserve">
up to 31/12/2008</t>
    </r>
  </si>
  <si>
    <r>
      <t>1./4. Absolute incidence of prostate cancers with Gleason score 2-6 at diagnosis</t>
    </r>
    <r>
      <rPr>
        <b/>
        <sz val="10"/>
        <color rgb="FF00B050"/>
        <rFont val="Calibri"/>
        <family val="2"/>
        <scheme val="minor"/>
      </rPr>
      <t xml:space="preserve"> in men aged 55-69 years </t>
    </r>
    <r>
      <rPr>
        <sz val="10"/>
        <color rgb="FF00B050"/>
        <rFont val="Calibri"/>
        <family val="2"/>
        <scheme val="minor"/>
      </rPr>
      <t xml:space="preserve">(per 1,000 men); </t>
    </r>
    <r>
      <rPr>
        <b/>
        <sz val="10"/>
        <color rgb="FF00B050"/>
        <rFont val="Calibri"/>
        <family val="2"/>
        <scheme val="minor"/>
      </rPr>
      <t>Switzerland;</t>
    </r>
    <r>
      <rPr>
        <sz val="10"/>
        <color rgb="FF00B050"/>
        <rFont val="Calibri"/>
        <family val="2"/>
        <scheme val="minor"/>
      </rPr>
      <t xml:space="preserve">
up to 31/12/2008</t>
    </r>
  </si>
  <si>
    <r>
      <t>1./4. Absolute incidence of prostate cancers with Gleason score 7 at diagnosis</t>
    </r>
    <r>
      <rPr>
        <b/>
        <sz val="10"/>
        <color rgb="FF00B050"/>
        <rFont val="Calibri"/>
        <family val="2"/>
        <scheme val="minor"/>
      </rPr>
      <t xml:space="preserve"> in men aged 55-69 years </t>
    </r>
    <r>
      <rPr>
        <sz val="10"/>
        <color rgb="FF00B050"/>
        <rFont val="Calibri"/>
        <family val="2"/>
        <scheme val="minor"/>
      </rPr>
      <t xml:space="preserve">(per 1,000 men);
</t>
    </r>
    <r>
      <rPr>
        <b/>
        <sz val="10"/>
        <color rgb="FF00B050"/>
        <rFont val="Calibri"/>
        <family val="2"/>
        <scheme val="minor"/>
      </rPr>
      <t>Switzerland;</t>
    </r>
    <r>
      <rPr>
        <sz val="10"/>
        <color rgb="FF00B050"/>
        <rFont val="Calibri"/>
        <family val="2"/>
        <scheme val="minor"/>
      </rPr>
      <t xml:space="preserve">
up to 31/12/2008</t>
    </r>
  </si>
  <si>
    <r>
      <t>1./4. Absolute incidence of prostate cancers with Gleason score 8-10 at diagnosis</t>
    </r>
    <r>
      <rPr>
        <b/>
        <sz val="10"/>
        <color rgb="FF00B050"/>
        <rFont val="Calibri"/>
        <family val="2"/>
        <scheme val="minor"/>
      </rPr>
      <t xml:space="preserve"> in men aged 55-69 years </t>
    </r>
    <r>
      <rPr>
        <sz val="10"/>
        <color rgb="FF00B050"/>
        <rFont val="Calibri"/>
        <family val="2"/>
        <scheme val="minor"/>
      </rPr>
      <t xml:space="preserve">(per 1,000 men);
</t>
    </r>
    <r>
      <rPr>
        <b/>
        <sz val="10"/>
        <color rgb="FF00B050"/>
        <rFont val="Calibri"/>
        <family val="2"/>
        <scheme val="minor"/>
      </rPr>
      <t>Switzerland;</t>
    </r>
    <r>
      <rPr>
        <sz val="10"/>
        <color rgb="FF00B050"/>
        <rFont val="Calibri"/>
        <family val="2"/>
        <scheme val="minor"/>
      </rPr>
      <t xml:space="preserve">
up to 31/12/2008</t>
    </r>
  </si>
  <si>
    <r>
      <t>1./4. Absolute incidence of prostate cancers with Gleason score 2-6 at diagnosis</t>
    </r>
    <r>
      <rPr>
        <b/>
        <sz val="10"/>
        <color rgb="FF00B050"/>
        <rFont val="Calibri"/>
        <family val="2"/>
        <scheme val="minor"/>
      </rPr>
      <t xml:space="preserve"> in men aged 55-69 years </t>
    </r>
    <r>
      <rPr>
        <sz val="10"/>
        <color rgb="FF00B050"/>
        <rFont val="Calibri"/>
        <family val="2"/>
        <scheme val="minor"/>
      </rPr>
      <t xml:space="preserve">(per 1,000 men); </t>
    </r>
    <r>
      <rPr>
        <b/>
        <sz val="10"/>
        <color rgb="FF00B050"/>
        <rFont val="Calibri"/>
        <family val="2"/>
        <scheme val="minor"/>
      </rPr>
      <t>France - Herault;</t>
    </r>
    <r>
      <rPr>
        <sz val="10"/>
        <color rgb="FF00B050"/>
        <rFont val="Calibri"/>
        <family val="2"/>
        <scheme val="minor"/>
      </rPr>
      <t xml:space="preserve">
up to 31/12/2008</t>
    </r>
  </si>
  <si>
    <t>France - Herault;
55-69 years</t>
  </si>
  <si>
    <r>
      <t>1./4. Absolute incidence of prostate cancers with Gleason score 7 at diagnosis</t>
    </r>
    <r>
      <rPr>
        <b/>
        <sz val="10"/>
        <color rgb="FF00B050"/>
        <rFont val="Calibri"/>
        <family val="2"/>
        <scheme val="minor"/>
      </rPr>
      <t xml:space="preserve"> in men aged 55-69 years </t>
    </r>
    <r>
      <rPr>
        <sz val="10"/>
        <color rgb="FF00B050"/>
        <rFont val="Calibri"/>
        <family val="2"/>
        <scheme val="minor"/>
      </rPr>
      <t xml:space="preserve">(per 1,000 men);
</t>
    </r>
    <r>
      <rPr>
        <b/>
        <sz val="10"/>
        <color rgb="FF00B050"/>
        <rFont val="Calibri"/>
        <family val="2"/>
        <scheme val="minor"/>
      </rPr>
      <t>France - Herault;</t>
    </r>
    <r>
      <rPr>
        <sz val="10"/>
        <color rgb="FF00B050"/>
        <rFont val="Calibri"/>
        <family val="2"/>
        <scheme val="minor"/>
      </rPr>
      <t xml:space="preserve">
up to 31/12/2008</t>
    </r>
  </si>
  <si>
    <r>
      <t>1./4. Absolute incidence of prostate cancers with Gleason score 8-10 at diagnosis</t>
    </r>
    <r>
      <rPr>
        <b/>
        <sz val="10"/>
        <color rgb="FF00B050"/>
        <rFont val="Calibri"/>
        <family val="2"/>
        <scheme val="minor"/>
      </rPr>
      <t xml:space="preserve"> in men aged 55-69 years </t>
    </r>
    <r>
      <rPr>
        <sz val="10"/>
        <color rgb="FF00B050"/>
        <rFont val="Calibri"/>
        <family val="2"/>
        <scheme val="minor"/>
      </rPr>
      <t xml:space="preserve">(per 1,000 men);
</t>
    </r>
    <r>
      <rPr>
        <b/>
        <sz val="10"/>
        <color rgb="FF00B050"/>
        <rFont val="Calibri"/>
        <family val="2"/>
        <scheme val="minor"/>
      </rPr>
      <t>France - Herault;</t>
    </r>
    <r>
      <rPr>
        <sz val="10"/>
        <color rgb="FF00B050"/>
        <rFont val="Calibri"/>
        <family val="2"/>
        <scheme val="minor"/>
      </rPr>
      <t xml:space="preserve">
up to 31/12/2008</t>
    </r>
  </si>
  <si>
    <r>
      <t>1./4. Absolute incidence of prostate cancers with Gleason score 2-6 at diagnosis</t>
    </r>
    <r>
      <rPr>
        <b/>
        <sz val="10"/>
        <color rgb="FF00B050"/>
        <rFont val="Calibri"/>
        <family val="2"/>
        <scheme val="minor"/>
      </rPr>
      <t xml:space="preserve"> in men aged 55-69 years </t>
    </r>
    <r>
      <rPr>
        <sz val="10"/>
        <color rgb="FF00B050"/>
        <rFont val="Calibri"/>
        <family val="2"/>
        <scheme val="minor"/>
      </rPr>
      <t xml:space="preserve">(per 1,000 men); </t>
    </r>
    <r>
      <rPr>
        <b/>
        <sz val="10"/>
        <color rgb="FF00B050"/>
        <rFont val="Calibri"/>
        <family val="2"/>
        <scheme val="minor"/>
      </rPr>
      <t>France - Tarn;</t>
    </r>
    <r>
      <rPr>
        <sz val="10"/>
        <color rgb="FF00B050"/>
        <rFont val="Calibri"/>
        <family val="2"/>
        <scheme val="minor"/>
      </rPr>
      <t xml:space="preserve">
up to 31/12/2008</t>
    </r>
  </si>
  <si>
    <t>France - Tarn;
55-69 years</t>
  </si>
  <si>
    <r>
      <t>1./4. Absolute incidence of prostate cancers with Gleason score 7 at diagnosis</t>
    </r>
    <r>
      <rPr>
        <b/>
        <sz val="10"/>
        <color rgb="FF00B050"/>
        <rFont val="Calibri"/>
        <family val="2"/>
        <scheme val="minor"/>
      </rPr>
      <t xml:space="preserve"> in men aged 55-69 years </t>
    </r>
    <r>
      <rPr>
        <sz val="10"/>
        <color rgb="FF00B050"/>
        <rFont val="Calibri"/>
        <family val="2"/>
        <scheme val="minor"/>
      </rPr>
      <t xml:space="preserve">(per 1,000 men);
</t>
    </r>
    <r>
      <rPr>
        <b/>
        <sz val="10"/>
        <color rgb="FF00B050"/>
        <rFont val="Calibri"/>
        <family val="2"/>
        <scheme val="minor"/>
      </rPr>
      <t>France - Tarn;</t>
    </r>
    <r>
      <rPr>
        <sz val="10"/>
        <color rgb="FF00B050"/>
        <rFont val="Calibri"/>
        <family val="2"/>
        <scheme val="minor"/>
      </rPr>
      <t xml:space="preserve">
up to 31/12/2008</t>
    </r>
  </si>
  <si>
    <r>
      <t>1./4. Absolute incidence of prostate cancers with Gleason score 8-10 at diagnosis</t>
    </r>
    <r>
      <rPr>
        <b/>
        <sz val="10"/>
        <color rgb="FF00B050"/>
        <rFont val="Calibri"/>
        <family val="2"/>
        <scheme val="minor"/>
      </rPr>
      <t xml:space="preserve"> in men aged 55-69 years </t>
    </r>
    <r>
      <rPr>
        <sz val="10"/>
        <color rgb="FF00B050"/>
        <rFont val="Calibri"/>
        <family val="2"/>
        <scheme val="minor"/>
      </rPr>
      <t xml:space="preserve">(per 1,000 men);
</t>
    </r>
    <r>
      <rPr>
        <b/>
        <sz val="10"/>
        <color rgb="FF00B050"/>
        <rFont val="Calibri"/>
        <family val="2"/>
        <scheme val="minor"/>
      </rPr>
      <t>France - Tarn;</t>
    </r>
    <r>
      <rPr>
        <sz val="10"/>
        <color rgb="FF00B050"/>
        <rFont val="Calibri"/>
        <family val="2"/>
        <scheme val="minor"/>
      </rPr>
      <t xml:space="preserve">
up to 31/12/2008</t>
    </r>
  </si>
  <si>
    <r>
      <t>1./4. Absolute incidence of prostate cancers with Gleason score 2-6 at diagnosis</t>
    </r>
    <r>
      <rPr>
        <b/>
        <sz val="10"/>
        <color rgb="FF00B050"/>
        <rFont val="Calibri"/>
        <family val="2"/>
        <scheme val="minor"/>
      </rPr>
      <t xml:space="preserve"> in men aged 55-69 years </t>
    </r>
    <r>
      <rPr>
        <sz val="10"/>
        <color rgb="FF00B050"/>
        <rFont val="Calibri"/>
        <family val="2"/>
        <scheme val="minor"/>
      </rPr>
      <t xml:space="preserve">(per 1,000 men); </t>
    </r>
    <r>
      <rPr>
        <b/>
        <sz val="10"/>
        <color rgb="FF00B050"/>
        <rFont val="Calibri"/>
        <family val="2"/>
        <scheme val="minor"/>
      </rPr>
      <t>whole trial (including France);</t>
    </r>
    <r>
      <rPr>
        <sz val="10"/>
        <color rgb="FF00B050"/>
        <rFont val="Calibri"/>
        <family val="2"/>
        <scheme val="minor"/>
      </rPr>
      <t xml:space="preserve">
up to 31/12/2008</t>
    </r>
  </si>
  <si>
    <r>
      <t>1./4. Absolute incidence of prostate cancers with Gleason score 7 at diagnosis</t>
    </r>
    <r>
      <rPr>
        <b/>
        <sz val="10"/>
        <color rgb="FF00B050"/>
        <rFont val="Calibri"/>
        <family val="2"/>
        <scheme val="minor"/>
      </rPr>
      <t xml:space="preserve"> in men aged 55-69 years </t>
    </r>
    <r>
      <rPr>
        <sz val="10"/>
        <color rgb="FF00B050"/>
        <rFont val="Calibri"/>
        <family val="2"/>
        <scheme val="minor"/>
      </rPr>
      <t xml:space="preserve">(per 1,000 men);
</t>
    </r>
    <r>
      <rPr>
        <b/>
        <sz val="10"/>
        <color rgb="FF00B050"/>
        <rFont val="Calibri"/>
        <family val="2"/>
        <scheme val="minor"/>
      </rPr>
      <t>whole trial (including France);</t>
    </r>
    <r>
      <rPr>
        <sz val="10"/>
        <color rgb="FF00B050"/>
        <rFont val="Calibri"/>
        <family val="2"/>
        <scheme val="minor"/>
      </rPr>
      <t xml:space="preserve">
up to 31/12/2008</t>
    </r>
  </si>
  <si>
    <r>
      <t>1./4. Absolute incidence of prostate cancers with Gleason score 8-10 at diagnosis</t>
    </r>
    <r>
      <rPr>
        <b/>
        <sz val="10"/>
        <color rgb="FF00B050"/>
        <rFont val="Calibri"/>
        <family val="2"/>
        <scheme val="minor"/>
      </rPr>
      <t xml:space="preserve"> in men aged 55-69 years </t>
    </r>
    <r>
      <rPr>
        <sz val="10"/>
        <color rgb="FF00B050"/>
        <rFont val="Calibri"/>
        <family val="2"/>
        <scheme val="minor"/>
      </rPr>
      <t xml:space="preserve">(per 1,000 men);
</t>
    </r>
    <r>
      <rPr>
        <b/>
        <sz val="10"/>
        <color rgb="FF00B050"/>
        <rFont val="Calibri"/>
        <family val="2"/>
        <scheme val="minor"/>
      </rPr>
      <t>whole trial (including France);</t>
    </r>
    <r>
      <rPr>
        <sz val="10"/>
        <color rgb="FF00B050"/>
        <rFont val="Calibri"/>
        <family val="2"/>
        <scheme val="minor"/>
      </rPr>
      <t xml:space="preserve">
up to 31/12/2008</t>
    </r>
  </si>
  <si>
    <r>
      <t>1./4. Absolute incidence of prostate cancers with Gleason score 2-6 at diagnosis</t>
    </r>
    <r>
      <rPr>
        <b/>
        <sz val="10"/>
        <color rgb="FF00B050"/>
        <rFont val="Calibri"/>
        <family val="2"/>
        <scheme val="minor"/>
      </rPr>
      <t xml:space="preserve"> in men aged 55-69 years </t>
    </r>
    <r>
      <rPr>
        <sz val="10"/>
        <color rgb="FF00B050"/>
        <rFont val="Calibri"/>
        <family val="2"/>
        <scheme val="minor"/>
      </rPr>
      <t xml:space="preserve">(per 1,000 men); </t>
    </r>
    <r>
      <rPr>
        <b/>
        <sz val="10"/>
        <color rgb="FF00B050"/>
        <rFont val="Calibri"/>
        <family val="2"/>
        <scheme val="minor"/>
      </rPr>
      <t>whole trial (excluding France);</t>
    </r>
    <r>
      <rPr>
        <sz val="10"/>
        <color rgb="FF00B050"/>
        <rFont val="Calibri"/>
        <family val="2"/>
        <scheme val="minor"/>
      </rPr>
      <t xml:space="preserve">
up to 31/12/2008</t>
    </r>
  </si>
  <si>
    <r>
      <t>1./4. Absolute incidence of prostate cancers with Gleason score 7 at diagnosis</t>
    </r>
    <r>
      <rPr>
        <b/>
        <sz val="10"/>
        <color rgb="FF00B050"/>
        <rFont val="Calibri"/>
        <family val="2"/>
        <scheme val="minor"/>
      </rPr>
      <t xml:space="preserve"> in men aged 55-69 years </t>
    </r>
    <r>
      <rPr>
        <sz val="10"/>
        <color rgb="FF00B050"/>
        <rFont val="Calibri"/>
        <family val="2"/>
        <scheme val="minor"/>
      </rPr>
      <t xml:space="preserve">(per 1,000 men);
</t>
    </r>
    <r>
      <rPr>
        <b/>
        <sz val="10"/>
        <color rgb="FF00B050"/>
        <rFont val="Calibri"/>
        <family val="2"/>
        <scheme val="minor"/>
      </rPr>
      <t>whole trial (excluding France);</t>
    </r>
    <r>
      <rPr>
        <sz val="10"/>
        <color rgb="FF00B050"/>
        <rFont val="Calibri"/>
        <family val="2"/>
        <scheme val="minor"/>
      </rPr>
      <t xml:space="preserve">
up to 31/12/2008</t>
    </r>
  </si>
  <si>
    <r>
      <t>1./4. Absolute incidence of prostate cancers with Gleason score 8-10 at diagnosis</t>
    </r>
    <r>
      <rPr>
        <b/>
        <sz val="10"/>
        <color rgb="FF00B050"/>
        <rFont val="Calibri"/>
        <family val="2"/>
        <scheme val="minor"/>
      </rPr>
      <t xml:space="preserve"> in men aged 55-69 years </t>
    </r>
    <r>
      <rPr>
        <sz val="10"/>
        <color rgb="FF00B050"/>
        <rFont val="Calibri"/>
        <family val="2"/>
        <scheme val="minor"/>
      </rPr>
      <t xml:space="preserve">(per 1,000 men);
</t>
    </r>
    <r>
      <rPr>
        <b/>
        <sz val="10"/>
        <color rgb="FF00B050"/>
        <rFont val="Calibri"/>
        <family val="2"/>
        <scheme val="minor"/>
      </rPr>
      <t>whole trial (excluding France);</t>
    </r>
    <r>
      <rPr>
        <sz val="10"/>
        <color rgb="FF00B050"/>
        <rFont val="Calibri"/>
        <family val="2"/>
        <scheme val="minor"/>
      </rPr>
      <t xml:space="preserve">
up to 31/12/2008</t>
    </r>
  </si>
  <si>
    <t>&lt;7</t>
  </si>
  <si>
    <t>Gleason score 7-10</t>
  </si>
  <si>
    <t xml:space="preserve">Unknown Gleason score
</t>
  </si>
  <si>
    <t>45 unknown Gleason score;
54 TURP and cystoprostatectomy</t>
  </si>
  <si>
    <t>No of prostate cancers with Gleason score 7-10; up to 01/07/2003 or age 75</t>
  </si>
  <si>
    <t>Total number of prostate cancers; diagnosed up to 01/07/2003 or age 75 (including cancers with unknown Gleason score or TURP)</t>
  </si>
  <si>
    <t>&lt;=6</t>
  </si>
  <si>
    <t>7 (3+4)</t>
  </si>
  <si>
    <t>7 (4+3)</t>
  </si>
  <si>
    <t>Gleason score 7 or higher</t>
  </si>
  <si>
    <t>No of prostate cancers with Gleason score 7-10; up to 01/01/2003</t>
  </si>
  <si>
    <t>Total no of prostate cancers; up to 01/01/2003 (including cancers with unknown Gleason score)</t>
  </si>
  <si>
    <t>Table 5 and text: In the control arm about 55% of cancers had a Gleason score 7 or higher, which was a significantly higher difference than in the screening arm of the trial (p&lt; 0.001).</t>
  </si>
  <si>
    <t>Agressive =
Gleason score 8–10, T3-4, N1 or M1</t>
  </si>
  <si>
    <t>Regional cancer registry; for all men with malignant disease, clinical records were traced and retrospectively studied. All biopsy (and radical prostatectomy) specimens evaluated by a single pathologist (C.-G.P.). 
Graded according to the Gleason grading system.</t>
  </si>
  <si>
    <t>Gleason score unavailable</t>
  </si>
  <si>
    <t>3-4</t>
  </si>
  <si>
    <t>Gleason score Gx</t>
  </si>
  <si>
    <t>Linkage with national cancer registries; grading of the cancers was done using the Gleason
grading system.</t>
  </si>
  <si>
    <r>
      <t>1./4. Absolute incidence of prostate cancers with WHO grade I at diagnosis</t>
    </r>
    <r>
      <rPr>
        <b/>
        <sz val="10"/>
        <color rgb="FF00B050"/>
        <rFont val="Calibri"/>
        <family val="2"/>
        <scheme val="minor"/>
      </rPr>
      <t xml:space="preserve"> </t>
    </r>
    <r>
      <rPr>
        <sz val="10"/>
        <color rgb="FF00B050"/>
        <rFont val="Calibri"/>
        <family val="2"/>
        <scheme val="minor"/>
      </rPr>
      <t>(per 100 men);</t>
    </r>
    <r>
      <rPr>
        <b/>
        <sz val="10"/>
        <color rgb="FF00B050"/>
        <rFont val="Calibri"/>
        <family val="2"/>
        <scheme val="minor"/>
      </rPr>
      <t xml:space="preserve">
Finland (randomised 1996-1999);</t>
    </r>
    <r>
      <rPr>
        <sz val="10"/>
        <color rgb="FF00B050"/>
        <rFont val="Calibri"/>
        <family val="2"/>
        <scheme val="minor"/>
      </rPr>
      <t xml:space="preserve">
1 year of follow-up</t>
    </r>
  </si>
  <si>
    <t>Record linkage with the Finnish Cancer Registry and discharge databases of hospitals in the study area, diagnoses were based on histological examination.  The histological characteristics of detected tumors at biopsy were graded according to the WHO system (7) unblinded to study arm.</t>
  </si>
  <si>
    <t>No of prostate cancers with WHO GRADE I, 1 year post randomisation</t>
  </si>
  <si>
    <r>
      <t>1./4. Absolute incidence of prostate cancers with WHO grade II at diagnosis</t>
    </r>
    <r>
      <rPr>
        <b/>
        <sz val="10"/>
        <color rgb="FF00B050"/>
        <rFont val="Calibri"/>
        <family val="2"/>
        <scheme val="minor"/>
      </rPr>
      <t xml:space="preserve"> </t>
    </r>
    <r>
      <rPr>
        <sz val="10"/>
        <color rgb="FF00B050"/>
        <rFont val="Calibri"/>
        <family val="2"/>
        <scheme val="minor"/>
      </rPr>
      <t>(per 100 men);</t>
    </r>
    <r>
      <rPr>
        <b/>
        <sz val="10"/>
        <color rgb="FF00B050"/>
        <rFont val="Calibri"/>
        <family val="2"/>
        <scheme val="minor"/>
      </rPr>
      <t xml:space="preserve">
Finland (randomised 1996-1999);</t>
    </r>
    <r>
      <rPr>
        <sz val="10"/>
        <color rgb="FF00B050"/>
        <rFont val="Calibri"/>
        <family val="2"/>
        <scheme val="minor"/>
      </rPr>
      <t xml:space="preserve">
1 year of follow-up</t>
    </r>
  </si>
  <si>
    <t>No of prostate cancers with WHO GRADE II, 1 year post randomisation</t>
  </si>
  <si>
    <r>
      <t>1./4. Absolute incidence of prostate cancers with WHO grade III at diagnosis</t>
    </r>
    <r>
      <rPr>
        <b/>
        <sz val="10"/>
        <color rgb="FF00B050"/>
        <rFont val="Calibri"/>
        <family val="2"/>
        <scheme val="minor"/>
      </rPr>
      <t xml:space="preserve"> </t>
    </r>
    <r>
      <rPr>
        <sz val="10"/>
        <color rgb="FF00B050"/>
        <rFont val="Calibri"/>
        <family val="2"/>
        <scheme val="minor"/>
      </rPr>
      <t>(per 100 men);</t>
    </r>
    <r>
      <rPr>
        <b/>
        <sz val="10"/>
        <color rgb="FF00B050"/>
        <rFont val="Calibri"/>
        <family val="2"/>
        <scheme val="minor"/>
      </rPr>
      <t xml:space="preserve">
Finland (randomised 1996-1999);</t>
    </r>
    <r>
      <rPr>
        <sz val="10"/>
        <color rgb="FF00B050"/>
        <rFont val="Calibri"/>
        <family val="2"/>
        <scheme val="minor"/>
      </rPr>
      <t xml:space="preserve">
1 year of follow-up</t>
    </r>
  </si>
  <si>
    <t>No of prostate cancers with WHO GRADE III, 1 year post randomisation</t>
  </si>
  <si>
    <t>Table 2 and text: However, the number (32 versus 8 cases) as well as cumulative incidence (0.1 versus 0.02%) of poorly differentiated cancer were higher in the screening arm than among controls.</t>
  </si>
  <si>
    <t>Osses 2019</t>
  </si>
  <si>
    <t>ERSPC Pilot 1</t>
  </si>
  <si>
    <t>Prostate cancer mortality (per 1,000 men);
follow-up for median 19 years (IQR 12-24)</t>
  </si>
  <si>
    <t>Blood PSA + DRE + TRUS</t>
  </si>
  <si>
    <t>2016?</t>
  </si>
  <si>
    <t>Median 19 years (IQR 12–24)</t>
  </si>
  <si>
    <t>Up to 5</t>
  </si>
  <si>
    <t>Number of deaths from prostate cancer; 19 years of follow-up</t>
  </si>
  <si>
    <t>Nelson-Aalen estimate</t>
  </si>
  <si>
    <t>Table 1 and text: Five men in the S-arm and 11 men in the C-arm died because of PCa. Overall RR of PCa death in men allocated to the S-arm relative to the C-arm was 0.48 (95% CI: 0.17–1.36); 19 yr-specific RR of PCa death was 0.47 (95% CI: 0.14–1.50]) in favor of screening.</t>
  </si>
  <si>
    <t>All-cause mortality (per 1,000 men);
follow-up for median 19 years (IQR 12-24)</t>
  </si>
  <si>
    <r>
      <t xml:space="preserve">Absolute incidence of prostate cancers with </t>
    </r>
    <r>
      <rPr>
        <b/>
        <sz val="10"/>
        <rFont val="Calibri"/>
        <family val="2"/>
        <scheme val="minor"/>
      </rPr>
      <t>T stage T1</t>
    </r>
    <r>
      <rPr>
        <sz val="10"/>
        <rFont val="Calibri"/>
        <family val="2"/>
        <scheme val="minor"/>
      </rPr>
      <t xml:space="preserve"> at diagnosis (per 1,000 men);
follow-up for median 19 years (IQR 12-24)</t>
    </r>
  </si>
  <si>
    <t>Metastatic disease = N1 and/or M1 and/or PSA &gt;100 ng/ml</t>
  </si>
  <si>
    <t>TNM-staging</t>
  </si>
  <si>
    <t>Number of prostate cancers with T stage T1 at diagnosis, up to 19 years of follow-up</t>
  </si>
  <si>
    <r>
      <t xml:space="preserve">Absolute incidence of prostate cancers with </t>
    </r>
    <r>
      <rPr>
        <b/>
        <sz val="10"/>
        <rFont val="Calibri"/>
        <family val="2"/>
        <scheme val="minor"/>
      </rPr>
      <t>T stage T2</t>
    </r>
    <r>
      <rPr>
        <sz val="10"/>
        <rFont val="Calibri"/>
        <family val="2"/>
        <scheme val="minor"/>
      </rPr>
      <t xml:space="preserve"> at diagnosis (per 1,000 men);
follow-up for median 19 years (IQR 12-24)</t>
    </r>
  </si>
  <si>
    <t>Number of prostate cancers with T stage T2 at diagnosis, up to 19 years of follow-up</t>
  </si>
  <si>
    <r>
      <t xml:space="preserve">Absolute incidence of prostate cancers with </t>
    </r>
    <r>
      <rPr>
        <b/>
        <sz val="10"/>
        <rFont val="Calibri"/>
        <family val="2"/>
        <scheme val="minor"/>
      </rPr>
      <t>T stage T3</t>
    </r>
    <r>
      <rPr>
        <sz val="10"/>
        <rFont val="Calibri"/>
        <family val="2"/>
        <scheme val="minor"/>
      </rPr>
      <t xml:space="preserve"> at diagnosis (per 1,000 men);
follow-up for median 19 years (IQR 12-24)</t>
    </r>
  </si>
  <si>
    <t>Number of prostate cancers with T stage T3 at diagnosis, up to 19 years of follow-up</t>
  </si>
  <si>
    <r>
      <t xml:space="preserve">Absolute incidence of prostate cancers with </t>
    </r>
    <r>
      <rPr>
        <b/>
        <sz val="10"/>
        <rFont val="Calibri"/>
        <family val="2"/>
        <scheme val="minor"/>
      </rPr>
      <t>T stage T4</t>
    </r>
    <r>
      <rPr>
        <sz val="10"/>
        <rFont val="Calibri"/>
        <family val="2"/>
        <scheme val="minor"/>
      </rPr>
      <t xml:space="preserve"> at diagnosis (per 1,000 men);
follow-up for median 19 years (IQR 12-24)</t>
    </r>
  </si>
  <si>
    <t>Number of prostate cancers with T stage T4 at diagnosis, up to 19 years of follow-up</t>
  </si>
  <si>
    <r>
      <t xml:space="preserve">Absolute incidence of prostate cancers with </t>
    </r>
    <r>
      <rPr>
        <b/>
        <sz val="10"/>
        <rFont val="Calibri"/>
        <family val="2"/>
        <scheme val="minor"/>
      </rPr>
      <t>N stage N0</t>
    </r>
    <r>
      <rPr>
        <sz val="10"/>
        <rFont val="Calibri"/>
        <family val="2"/>
        <scheme val="minor"/>
      </rPr>
      <t xml:space="preserve"> at diagnosis (per 1,000 men);
follow-up for median 19 years (IQR 12-24)</t>
    </r>
  </si>
  <si>
    <t>Node negative (N0)</t>
  </si>
  <si>
    <t>NX</t>
  </si>
  <si>
    <t>Number of prostate cancers with N stage N0 at diagnosis, up to 19 years of follow-up</t>
  </si>
  <si>
    <r>
      <t xml:space="preserve">Absolute incidence of prostate cancers with </t>
    </r>
    <r>
      <rPr>
        <b/>
        <sz val="10"/>
        <rFont val="Calibri"/>
        <family val="2"/>
        <scheme val="minor"/>
      </rPr>
      <t>N stage N1</t>
    </r>
    <r>
      <rPr>
        <sz val="10"/>
        <rFont val="Calibri"/>
        <family val="2"/>
        <scheme val="minor"/>
      </rPr>
      <t xml:space="preserve"> at diagnosis (per 1,000 men);
follow-up for median 19 years (IQR 12-24)</t>
    </r>
  </si>
  <si>
    <t>Node positive (N1)</t>
  </si>
  <si>
    <t>Controls: Three men had both N1 and M1 disease.</t>
  </si>
  <si>
    <r>
      <t xml:space="preserve">Absolute incidence of prostate cancers with </t>
    </r>
    <r>
      <rPr>
        <b/>
        <sz val="10"/>
        <rFont val="Calibri"/>
        <family val="2"/>
        <scheme val="minor"/>
      </rPr>
      <t>M stage M0</t>
    </r>
    <r>
      <rPr>
        <sz val="10"/>
        <rFont val="Calibri"/>
        <family val="2"/>
        <scheme val="minor"/>
      </rPr>
      <t xml:space="preserve"> at diagnosis (per 1,000 men);
follow-up for median 19 years (IQR 12-24)</t>
    </r>
  </si>
  <si>
    <t>No distant metastases (M0)</t>
  </si>
  <si>
    <t>MX</t>
  </si>
  <si>
    <t>Number of prostate cancers with M stage M0 at diagnosis, up to 19 years of follow-up</t>
  </si>
  <si>
    <r>
      <t xml:space="preserve">Absolute incidence of prostate cancers with </t>
    </r>
    <r>
      <rPr>
        <b/>
        <sz val="10"/>
        <rFont val="Calibri"/>
        <family val="2"/>
        <scheme val="minor"/>
      </rPr>
      <t>M stage M1</t>
    </r>
    <r>
      <rPr>
        <sz val="10"/>
        <rFont val="Calibri"/>
        <family val="2"/>
        <scheme val="minor"/>
      </rPr>
      <t xml:space="preserve"> at diagnosis (per 1,000 men);
follow-up for median 19 years (IQR 12-24)</t>
    </r>
  </si>
  <si>
    <t>Distant metastases (M1)</t>
  </si>
  <si>
    <t>Number of prostate cancers with M stage M1 at diagnosis, up to 19 years of follow-up</t>
  </si>
  <si>
    <r>
      <t xml:space="preserve">Absolute incidence of prostate cancers with </t>
    </r>
    <r>
      <rPr>
        <b/>
        <sz val="10"/>
        <rFont val="Calibri"/>
        <family val="2"/>
        <scheme val="minor"/>
      </rPr>
      <t>metastatic disease (N1 and/or M1 and/or PSA &gt;100 ng/ml)</t>
    </r>
    <r>
      <rPr>
        <sz val="10"/>
        <rFont val="Calibri"/>
        <family val="2"/>
        <scheme val="minor"/>
      </rPr>
      <t xml:space="preserve"> at diagnosis (per 1,000 men);
follow-up for median 19 years (IQR 12-24)</t>
    </r>
  </si>
  <si>
    <t>Metastatic disease (N1 and/or N1 and/or PSA &gt;100)</t>
  </si>
  <si>
    <t>Missing N stage, M stage or PSA level</t>
  </si>
  <si>
    <t>Number of prostate cancers with metastatic disease (N1 and/or M1 and/or PSA &gt;100) at diagnosis, up to 19 years of follow-up</t>
  </si>
  <si>
    <t>Table 1 and text: The M+ disease was detected in three men in
the S-arm versus eight men in the C-arm.</t>
  </si>
  <si>
    <r>
      <t xml:space="preserve">Absolute incidence of prostate cancers with </t>
    </r>
    <r>
      <rPr>
        <b/>
        <sz val="10"/>
        <rFont val="Calibri"/>
        <family val="2"/>
        <scheme val="minor"/>
      </rPr>
      <t xml:space="preserve">Gleason score </t>
    </r>
    <r>
      <rPr>
        <b/>
        <sz val="10"/>
        <rFont val="Calibri"/>
        <family val="2"/>
      </rPr>
      <t>≥</t>
    </r>
    <r>
      <rPr>
        <b/>
        <sz val="10"/>
        <rFont val="Calibri"/>
        <family val="2"/>
        <scheme val="minor"/>
      </rPr>
      <t>3+4</t>
    </r>
    <r>
      <rPr>
        <sz val="10"/>
        <rFont val="Calibri"/>
        <family val="2"/>
        <scheme val="minor"/>
      </rPr>
      <t xml:space="preserve"> at diagnosis (per 1,000 men);
follow-up for median 19 years (IQR 12-24)</t>
    </r>
  </si>
  <si>
    <t>≥7 (3+4)</t>
  </si>
  <si>
    <t>Gleason grading</t>
  </si>
  <si>
    <r>
      <t xml:space="preserve">Number of prostate cancers with Gleason score </t>
    </r>
    <r>
      <rPr>
        <sz val="10"/>
        <rFont val="Calibri"/>
        <family val="2"/>
      </rPr>
      <t>≥</t>
    </r>
    <r>
      <rPr>
        <sz val="10"/>
        <rFont val="Calibri"/>
        <family val="2"/>
        <scheme val="minor"/>
      </rPr>
      <t>3+4 (≥7) at diagnosis, up to 19 years of follow-up</t>
    </r>
  </si>
  <si>
    <t>Pitkaniemi 2015</t>
  </si>
  <si>
    <r>
      <t xml:space="preserve">CRC mortality in </t>
    </r>
    <r>
      <rPr>
        <b/>
        <sz val="10"/>
        <rFont val="Calibri"/>
        <family val="2"/>
        <scheme val="minor"/>
      </rPr>
      <t xml:space="preserve">men and women </t>
    </r>
    <r>
      <rPr>
        <sz val="10"/>
        <rFont val="Calibri"/>
        <family val="2"/>
        <scheme val="minor"/>
      </rPr>
      <t>(per 100,000 PY); follow-up until 31/12/2012;
Screening vs control</t>
    </r>
  </si>
  <si>
    <t>Central Population Register; cause of death obtained from Statistics Finland through record linkage with the unique personal identification number.</t>
  </si>
  <si>
    <t>Death, emigration, or to the end of 2012, whichever came first.</t>
  </si>
  <si>
    <t>Randomised 2004-2012</t>
  </si>
  <si>
    <t>Up to 8.3 years</t>
  </si>
  <si>
    <t>Median 4.5 years (range 0.0-8.3)</t>
  </si>
  <si>
    <t>Missing cause of death.</t>
  </si>
  <si>
    <r>
      <t xml:space="preserve">Number of deaths from CRC in </t>
    </r>
    <r>
      <rPr>
        <b/>
        <sz val="10"/>
        <rFont val="Calibri"/>
        <family val="2"/>
        <scheme val="minor"/>
      </rPr>
      <t>men and women</t>
    </r>
    <r>
      <rPr>
        <sz val="10"/>
        <rFont val="Calibri"/>
        <family val="2"/>
        <scheme val="minor"/>
      </rPr>
      <t>; follow-up until 31/12/2012</t>
    </r>
  </si>
  <si>
    <r>
      <t xml:space="preserve">Person years </t>
    </r>
    <r>
      <rPr>
        <b/>
        <sz val="10"/>
        <rFont val="Calibri"/>
        <family val="2"/>
        <scheme val="minor"/>
      </rPr>
      <t>in men and women</t>
    </r>
  </si>
  <si>
    <t>Table 3 and text: CRC was the cause of death for 170
persons in the screening arm and 164 persons in the
control arm (table 3). We did not find any difference in
CRC mortality rate between the screening and the
control arm (RR 1.04; 0.84 to 1.28)</t>
  </si>
  <si>
    <r>
      <t xml:space="preserve">CRC mortality in </t>
    </r>
    <r>
      <rPr>
        <b/>
        <sz val="10"/>
        <rFont val="Calibri"/>
        <family val="2"/>
        <scheme val="minor"/>
      </rPr>
      <t xml:space="preserve">men </t>
    </r>
    <r>
      <rPr>
        <sz val="10"/>
        <rFont val="Calibri"/>
        <family val="2"/>
        <scheme val="minor"/>
      </rPr>
      <t>(per 100,000 PY); follow-up until 31/12/2012;
Screening vs control</t>
    </r>
  </si>
  <si>
    <t>395,614 PY;
mean 4.4 years</t>
  </si>
  <si>
    <t>395,851 PY;
mean 4.4 years</t>
  </si>
  <si>
    <r>
      <t xml:space="preserve">Number of deaths from CRC in </t>
    </r>
    <r>
      <rPr>
        <b/>
        <sz val="10"/>
        <rFont val="Calibri"/>
        <family val="2"/>
        <scheme val="minor"/>
      </rPr>
      <t>men</t>
    </r>
    <r>
      <rPr>
        <sz val="10"/>
        <rFont val="Calibri"/>
        <family val="2"/>
        <scheme val="minor"/>
      </rPr>
      <t>; follow-up until 31/12/2012</t>
    </r>
  </si>
  <si>
    <r>
      <t xml:space="preserve">Person years </t>
    </r>
    <r>
      <rPr>
        <b/>
        <sz val="10"/>
        <rFont val="Calibri"/>
        <family val="2"/>
        <scheme val="minor"/>
      </rPr>
      <t>in men</t>
    </r>
  </si>
  <si>
    <t>Table 3 and text: In males, the CRC mortality rate ratio was 0.88 (0.66 to 1.16) and in females, 1.33 (0.94 to 1.87).</t>
  </si>
  <si>
    <r>
      <t xml:space="preserve">CRC mortality in </t>
    </r>
    <r>
      <rPr>
        <b/>
        <sz val="10"/>
        <rFont val="Calibri"/>
        <family val="2"/>
        <scheme val="minor"/>
      </rPr>
      <t xml:space="preserve">women </t>
    </r>
    <r>
      <rPr>
        <sz val="10"/>
        <rFont val="Calibri"/>
        <family val="2"/>
        <scheme val="minor"/>
      </rPr>
      <t>(per 100,000 PY); follow-up until 31/12/2012;
Screening vs control</t>
    </r>
  </si>
  <si>
    <t>409,866 PY;
mean 4.5 years</t>
  </si>
  <si>
    <t>409,843 PY;
mean 4.5 years</t>
  </si>
  <si>
    <r>
      <t xml:space="preserve">Number of deaths from CRC in </t>
    </r>
    <r>
      <rPr>
        <b/>
        <sz val="10"/>
        <rFont val="Calibri"/>
        <family val="2"/>
        <scheme val="minor"/>
      </rPr>
      <t>women</t>
    </r>
    <r>
      <rPr>
        <sz val="10"/>
        <rFont val="Calibri"/>
        <family val="2"/>
        <scheme val="minor"/>
      </rPr>
      <t>; follow-up until 31/12/2012</t>
    </r>
  </si>
  <si>
    <r>
      <t xml:space="preserve">Person years </t>
    </r>
    <r>
      <rPr>
        <b/>
        <sz val="10"/>
        <rFont val="Calibri"/>
        <family val="2"/>
        <scheme val="minor"/>
      </rPr>
      <t>in women</t>
    </r>
  </si>
  <si>
    <r>
      <t xml:space="preserve">All-cause mortality in </t>
    </r>
    <r>
      <rPr>
        <b/>
        <sz val="10"/>
        <rFont val="Calibri"/>
        <family val="2"/>
        <scheme val="minor"/>
      </rPr>
      <t xml:space="preserve">men and women </t>
    </r>
    <r>
      <rPr>
        <sz val="10"/>
        <rFont val="Calibri"/>
        <family val="2"/>
        <scheme val="minor"/>
      </rPr>
      <t>(per 100,000 PY); follow-up until 31/12/2012;
Screening vs control</t>
    </r>
  </si>
  <si>
    <r>
      <t xml:space="preserve">Number of deaths from all causes in </t>
    </r>
    <r>
      <rPr>
        <b/>
        <sz val="10"/>
        <rFont val="Calibri"/>
        <family val="2"/>
        <scheme val="minor"/>
      </rPr>
      <t>men and women</t>
    </r>
    <r>
      <rPr>
        <sz val="10"/>
        <rFont val="Calibri"/>
        <family val="2"/>
        <scheme val="minor"/>
      </rPr>
      <t>; follow-up until 31/12/2012</t>
    </r>
  </si>
  <si>
    <t>Table 3 and text: A total of 15 963 deaths occurred during the follow-up (table 3), 8000 deaths in the screening arm and 7963 in the control arm. We did not find any difference between study arms in overall mortality rate (rate ratio, RR, 1.00; 95% CI 0.97 to 1.04)...</t>
  </si>
  <si>
    <r>
      <t xml:space="preserve">All-cause mortality in </t>
    </r>
    <r>
      <rPr>
        <b/>
        <sz val="10"/>
        <rFont val="Calibri"/>
        <family val="2"/>
        <scheme val="minor"/>
      </rPr>
      <t xml:space="preserve">men </t>
    </r>
    <r>
      <rPr>
        <sz val="10"/>
        <rFont val="Calibri"/>
        <family val="2"/>
        <scheme val="minor"/>
      </rPr>
      <t>(per 100,000 PY); follow-up until 31/12/2012;
Screening vs control</t>
    </r>
  </si>
  <si>
    <r>
      <t xml:space="preserve">Number of deaths from all causes in </t>
    </r>
    <r>
      <rPr>
        <b/>
        <sz val="10"/>
        <rFont val="Calibri"/>
        <family val="2"/>
        <scheme val="minor"/>
      </rPr>
      <t>men</t>
    </r>
    <r>
      <rPr>
        <sz val="10"/>
        <rFont val="Calibri"/>
        <family val="2"/>
        <scheme val="minor"/>
      </rPr>
      <t>; follow-up until 31/12/2012</t>
    </r>
  </si>
  <si>
    <t>Table 3 and text: The overall mortality rate in screening and control arms was similar in females (RR 1.00; 0.95 to 1.06) and in males (RR 1.01; 0.97 to 1.05).</t>
  </si>
  <si>
    <r>
      <t xml:space="preserve">All-cause mortality in </t>
    </r>
    <r>
      <rPr>
        <b/>
        <sz val="10"/>
        <rFont val="Calibri"/>
        <family val="2"/>
        <scheme val="minor"/>
      </rPr>
      <t xml:space="preserve">women </t>
    </r>
    <r>
      <rPr>
        <sz val="10"/>
        <rFont val="Calibri"/>
        <family val="2"/>
        <scheme val="minor"/>
      </rPr>
      <t>(per 100,000 PY); follow-up until 31/12/2012;
Screening vs control</t>
    </r>
  </si>
  <si>
    <r>
      <t xml:space="preserve">Number of deaths from all causes in </t>
    </r>
    <r>
      <rPr>
        <b/>
        <sz val="10"/>
        <rFont val="Calibri"/>
        <family val="2"/>
        <scheme val="minor"/>
      </rPr>
      <t>women</t>
    </r>
    <r>
      <rPr>
        <sz val="10"/>
        <rFont val="Calibri"/>
        <family val="2"/>
        <scheme val="minor"/>
      </rPr>
      <t>; follow-up until 31/12/2012</t>
    </r>
  </si>
  <si>
    <t>Paimela 2010</t>
  </si>
  <si>
    <t>Absolute incidence of early stage (stage I-II) CRC (per 1,000 people randomised);
follow-up until sampling for 2nd screeing round or 31/12/2007</t>
  </si>
  <si>
    <t>Advanced colorectal cancer: stage III–IV, any T N1 M0–1</t>
  </si>
  <si>
    <t>Early colorectal cancer: stage I–II, T1–4 N0 M0</t>
  </si>
  <si>
    <t>Finnish Cancer Registry database</t>
  </si>
  <si>
    <t>Death, diagnosis of colorectal cancer (International Classification of Diseases (ICD) 10: C18–C20), sampling for the next screening round or on 31 December 2007,
whichever came first.</t>
  </si>
  <si>
    <t>Mean 23 months</t>
  </si>
  <si>
    <t>Randomised 2004-2006</t>
  </si>
  <si>
    <t>Stage unknown</t>
  </si>
  <si>
    <t>Number of stage I-II CRC diagnosed up to 2nd screening round or 31/12/2007</t>
  </si>
  <si>
    <t>Number of people randomised, by arm</t>
  </si>
  <si>
    <t>Absolute incidence of advanced stage (stage III-IV) CRC (per 1,000 people randomised);
follow-up until sampling for 2nd screeing round or 31/12/2007</t>
  </si>
  <si>
    <t>Number of stage III-IV CRC diagnosed up to 2nd screening round or 31/12/2007</t>
  </si>
  <si>
    <t>% of CRC diagnosed at late stage (stage III-IV);
follow-up until sampling for 2nd screeing round or 31/12/2007</t>
  </si>
  <si>
    <t>Total number of CRC diagnosed up to 2nd screening round or 31/12/2007 (including cancers with unknown stage)</t>
  </si>
  <si>
    <t>Diagnostic yield at screening; invasive CRC (first screening round); per 1,000 people randomised;
FOBT arm only</t>
  </si>
  <si>
    <t>Number of screen-detected invasive CRC at first screening round</t>
  </si>
  <si>
    <t>Table 1 and text: Of 128 colorectal cancers in the screened group, 66 (51·6 per cent) were found in those with a positive FOBT,…</t>
  </si>
  <si>
    <t>Diagnostic yield at screening; adenomatous polyps (first screening round); per 1,000 people randomised;
FOBT arm only</t>
  </si>
  <si>
    <t>Number of screen-detected adenomatous polyps at first screening round</t>
  </si>
  <si>
    <t>Diagnostic yield at screening; invasive CRC or adenomatous polyps (first screening round); per 1,000 people randomised;
FOBT arm only</t>
  </si>
  <si>
    <t>Number of screen-detected invasive CRCs or adenomatous polyps at first screening round</t>
  </si>
  <si>
    <t>% of invasive CRC that are screen-detected; follow-up until sampling for 2nd screeing round or 31/12/2007;
FOBT arm only</t>
  </si>
  <si>
    <t>Total number of CRC diagnosed up to 2nd screening round or 31/12/2007</t>
  </si>
  <si>
    <t>Chiu 2017</t>
  </si>
  <si>
    <t>Absolute incidence of localised (non-advanced) CRC (per 1,000 people analysed);
follow-up until 31/12/2007</t>
  </si>
  <si>
    <t>Localised= non-advanced</t>
  </si>
  <si>
    <t>Advanced = non-localised (regional or distant metastases or lymph
node involvement)</t>
  </si>
  <si>
    <t>Localised?</t>
  </si>
  <si>
    <t>Number of localised CRC diagnosed up 31/12/2007 (prevalent, interval, refuser 1st round, 2nd round screening)</t>
  </si>
  <si>
    <t>First complete round and a second partial round</t>
  </si>
  <si>
    <t>Absolute incidence of non-localised (advanced) CRC (per 1,000 people analysed);
follow-up until 31/12/2007</t>
  </si>
  <si>
    <t>Non-localised = advanced (N1 or M1)</t>
  </si>
  <si>
    <t>Number of non-localised CRC diagnosed up 31/12/2007 (prevalent, interval, refuser 1st round, 2nd round screening)</t>
  </si>
  <si>
    <t>% of CRC diagnosed at late stage (non-localised; N1 or M1);
follow-up until 31/12/2007</t>
  </si>
  <si>
    <t>Total number of CRC diagnosed up to 31/12/2007 (including cancers with unknown stage)</t>
  </si>
  <si>
    <t>Diagostic yield at screening; CRC (1st complete round and 2nd partial round); per 1,000 people analysed;
follow-up until 31/12/2007;
FOBT arm only</t>
  </si>
  <si>
    <t>Unknown mode of detection</t>
  </si>
  <si>
    <t>Number of screen-detected CRC (prevalent screening or second screening round)</t>
  </si>
  <si>
    <t>% of CRC that are screen-detected (1st complete round and 2nd partial round);
follow-up until 31/12/2007;
FOBT arm only</t>
  </si>
  <si>
    <t>Total number of CRC diagnosed up to 31/12/2007 (screen-detected, interval, refusers)</t>
  </si>
  <si>
    <t>Koskenvuo 2019</t>
  </si>
  <si>
    <r>
      <t xml:space="preserve">Absolute incidence of CRC with T </t>
    </r>
    <r>
      <rPr>
        <sz val="10"/>
        <rFont val="Calibri"/>
        <family val="2"/>
      </rPr>
      <t xml:space="preserve">≤ 2 </t>
    </r>
    <r>
      <rPr>
        <b/>
        <sz val="10"/>
        <rFont val="Calibri"/>
        <family val="2"/>
      </rPr>
      <t>(men + women</t>
    </r>
    <r>
      <rPr>
        <sz val="10"/>
        <rFont val="Calibri"/>
        <family val="2"/>
      </rPr>
      <t>; left + right colon); per 1,000 people analysed; follow-up until 31/12/2011</t>
    </r>
  </si>
  <si>
    <r>
      <t xml:space="preserve">T </t>
    </r>
    <r>
      <rPr>
        <sz val="10"/>
        <rFont val="Calibri"/>
        <family val="2"/>
      </rPr>
      <t>≤ 2</t>
    </r>
  </si>
  <si>
    <t>Finnish Cancer Registry; identified hospitals treating the patients with CRC; clinical and pathological UICC TNM stage extracted manually from medical records.</t>
  </si>
  <si>
    <t>CRC diagnosis, death or emigration.</t>
  </si>
  <si>
    <t>Randomised 2004-2011</t>
  </si>
  <si>
    <t xml:space="preserve">67
</t>
  </si>
  <si>
    <t>65 missing T stage;
2 missing laterality</t>
  </si>
  <si>
    <t>54 missing T stage;
3 missing laterality</t>
  </si>
  <si>
    <r>
      <t xml:space="preserve">Number of CRC with T </t>
    </r>
    <r>
      <rPr>
        <sz val="10"/>
        <rFont val="Calibri"/>
        <family val="2"/>
      </rPr>
      <t>≤ 2; diagnosed up to 31/12/2011</t>
    </r>
  </si>
  <si>
    <t>Number of people analysed, by arm</t>
  </si>
  <si>
    <r>
      <t>Absolute incidence of CRC with T &gt;</t>
    </r>
    <r>
      <rPr>
        <sz val="10"/>
        <rFont val="Calibri"/>
        <family val="2"/>
      </rPr>
      <t xml:space="preserve"> 2 (</t>
    </r>
    <r>
      <rPr>
        <b/>
        <sz val="10"/>
        <rFont val="Calibri"/>
        <family val="2"/>
      </rPr>
      <t>men + women</t>
    </r>
    <r>
      <rPr>
        <sz val="10"/>
        <rFont val="Calibri"/>
        <family val="2"/>
      </rPr>
      <t>; left + right colon); per 1,000 people analysed; follow-up until 31/12/2011</t>
    </r>
  </si>
  <si>
    <r>
      <t xml:space="preserve">T &gt; </t>
    </r>
    <r>
      <rPr>
        <sz val="10"/>
        <rFont val="Calibri"/>
        <family val="2"/>
      </rPr>
      <t>2</t>
    </r>
  </si>
  <si>
    <r>
      <t>Number of CRC with T &gt;</t>
    </r>
    <r>
      <rPr>
        <sz val="10"/>
        <rFont val="Calibri"/>
        <family val="2"/>
      </rPr>
      <t xml:space="preserve"> 2; diagnosed up to 31/12/2011</t>
    </r>
  </si>
  <si>
    <r>
      <t>Absolute incidence of CRC with N0</t>
    </r>
    <r>
      <rPr>
        <sz val="10"/>
        <rFont val="Calibri"/>
        <family val="2"/>
      </rPr>
      <t xml:space="preserve"> (</t>
    </r>
    <r>
      <rPr>
        <b/>
        <sz val="10"/>
        <rFont val="Calibri"/>
        <family val="2"/>
      </rPr>
      <t>men + women</t>
    </r>
    <r>
      <rPr>
        <sz val="10"/>
        <rFont val="Calibri"/>
        <family val="2"/>
      </rPr>
      <t>; left + right colon); per 1,000 people analysed; follow-up until 31/12/2011</t>
    </r>
  </si>
  <si>
    <t>86 missing N category;
2 missing laterality</t>
  </si>
  <si>
    <t>66 missing N category;
3 missing laterality</t>
  </si>
  <si>
    <r>
      <t>Number of CRC with N0</t>
    </r>
    <r>
      <rPr>
        <sz val="10"/>
        <rFont val="Calibri"/>
        <family val="2"/>
      </rPr>
      <t>; diagnosed up to 31/12/2011</t>
    </r>
  </si>
  <si>
    <r>
      <t>Absolute incidence of CRC with N</t>
    </r>
    <r>
      <rPr>
        <sz val="10"/>
        <rFont val="Calibri"/>
        <family val="2"/>
      </rPr>
      <t>≥1 (</t>
    </r>
    <r>
      <rPr>
        <b/>
        <sz val="10"/>
        <rFont val="Calibri"/>
        <family val="2"/>
      </rPr>
      <t>men + women</t>
    </r>
    <r>
      <rPr>
        <sz val="10"/>
        <rFont val="Calibri"/>
        <family val="2"/>
      </rPr>
      <t>; left + right colon); per 1,000 people analysed; follow-up until 31/12/2011</t>
    </r>
  </si>
  <si>
    <t>N≥1</t>
  </si>
  <si>
    <r>
      <t>Number of CRC with N</t>
    </r>
    <r>
      <rPr>
        <sz val="10"/>
        <rFont val="Calibri"/>
        <family val="2"/>
      </rPr>
      <t>≥1; diagnosed up to 31/12/2011</t>
    </r>
  </si>
  <si>
    <r>
      <t>Absolute incidence of CRC with M0</t>
    </r>
    <r>
      <rPr>
        <sz val="10"/>
        <rFont val="Calibri"/>
        <family val="2"/>
      </rPr>
      <t xml:space="preserve"> (</t>
    </r>
    <r>
      <rPr>
        <b/>
        <sz val="10"/>
        <rFont val="Calibri"/>
        <family val="2"/>
      </rPr>
      <t>men + women</t>
    </r>
    <r>
      <rPr>
        <sz val="10"/>
        <rFont val="Calibri"/>
        <family val="2"/>
      </rPr>
      <t>; left + right colon); per 1,000 people analysed; follow-up until 31/12/2011</t>
    </r>
  </si>
  <si>
    <t>M category</t>
  </si>
  <si>
    <t>6 missing M category;
2 missing laterality</t>
  </si>
  <si>
    <t>4 missing M category;
3 missing laterality</t>
  </si>
  <si>
    <r>
      <t>Number of CRC with M0</t>
    </r>
    <r>
      <rPr>
        <sz val="10"/>
        <rFont val="Calibri"/>
        <family val="2"/>
      </rPr>
      <t>; diagnosed up to 31/12/2011</t>
    </r>
  </si>
  <si>
    <r>
      <t>Absolute incidence of CRC with M1</t>
    </r>
    <r>
      <rPr>
        <sz val="10"/>
        <rFont val="Calibri"/>
        <family val="2"/>
      </rPr>
      <t xml:space="preserve"> (</t>
    </r>
    <r>
      <rPr>
        <b/>
        <sz val="10"/>
        <rFont val="Calibri"/>
        <family val="2"/>
      </rPr>
      <t>men + women</t>
    </r>
    <r>
      <rPr>
        <sz val="10"/>
        <rFont val="Calibri"/>
        <family val="2"/>
      </rPr>
      <t>; left + right colon); per 1,000 people analysed; follow-up until 31/12/2011</t>
    </r>
  </si>
  <si>
    <r>
      <t>Number of CRC with M1</t>
    </r>
    <r>
      <rPr>
        <sz val="10"/>
        <rFont val="Calibri"/>
        <family val="2"/>
      </rPr>
      <t>; diagnosed up to 31/12/2011</t>
    </r>
  </si>
  <si>
    <r>
      <t xml:space="preserve">Absolute incidence of CRC with T </t>
    </r>
    <r>
      <rPr>
        <sz val="10"/>
        <rFont val="Calibri"/>
        <family val="2"/>
      </rPr>
      <t xml:space="preserve">≤ 2 </t>
    </r>
    <r>
      <rPr>
        <b/>
        <sz val="10"/>
        <rFont val="Calibri"/>
        <family val="2"/>
      </rPr>
      <t>(men</t>
    </r>
    <r>
      <rPr>
        <sz val="10"/>
        <rFont val="Calibri"/>
        <family val="2"/>
      </rPr>
      <t>; left + right colon); per 1,000 people analysed; follow-up until 31/12/2011</t>
    </r>
  </si>
  <si>
    <t xml:space="preserve">32
</t>
  </si>
  <si>
    <t>30 missing T stage;
2 missing laterality</t>
  </si>
  <si>
    <t>25 missing T stage;
1 missing laterality</t>
  </si>
  <si>
    <r>
      <t xml:space="preserve">Number of CRC with T </t>
    </r>
    <r>
      <rPr>
        <sz val="10"/>
        <rFont val="Calibri"/>
        <family val="2"/>
      </rPr>
      <t xml:space="preserve">≤ 2 </t>
    </r>
    <r>
      <rPr>
        <b/>
        <sz val="10"/>
        <rFont val="Calibri"/>
        <family val="2"/>
      </rPr>
      <t>in men</t>
    </r>
    <r>
      <rPr>
        <sz val="10"/>
        <rFont val="Calibri"/>
        <family val="2"/>
      </rPr>
      <t>; diagnosed up to 31/12/2011</t>
    </r>
  </si>
  <si>
    <r>
      <t>Absolute incidence of CRC with T &gt;</t>
    </r>
    <r>
      <rPr>
        <sz val="10"/>
        <rFont val="Calibri"/>
        <family val="2"/>
      </rPr>
      <t xml:space="preserve"> 2 (</t>
    </r>
    <r>
      <rPr>
        <b/>
        <sz val="10"/>
        <rFont val="Calibri"/>
        <family val="2"/>
      </rPr>
      <t>men</t>
    </r>
    <r>
      <rPr>
        <sz val="10"/>
        <rFont val="Calibri"/>
        <family val="2"/>
      </rPr>
      <t>; left + right colon); per 1,000 people analysed; follow-up until 31/12/2011</t>
    </r>
  </si>
  <si>
    <r>
      <t>Number of CRC with T &gt;</t>
    </r>
    <r>
      <rPr>
        <sz val="10"/>
        <rFont val="Calibri"/>
        <family val="2"/>
      </rPr>
      <t xml:space="preserve"> 2 </t>
    </r>
    <r>
      <rPr>
        <b/>
        <sz val="10"/>
        <rFont val="Calibri"/>
        <family val="2"/>
      </rPr>
      <t>in men</t>
    </r>
    <r>
      <rPr>
        <sz val="10"/>
        <rFont val="Calibri"/>
        <family val="2"/>
      </rPr>
      <t>; diagnosed up to 31/12/2011</t>
    </r>
  </si>
  <si>
    <r>
      <t>Absolute incidence of CRC with N0</t>
    </r>
    <r>
      <rPr>
        <sz val="10"/>
        <rFont val="Calibri"/>
        <family val="2"/>
      </rPr>
      <t xml:space="preserve"> (</t>
    </r>
    <r>
      <rPr>
        <b/>
        <sz val="10"/>
        <rFont val="Calibri"/>
        <family val="2"/>
      </rPr>
      <t>men</t>
    </r>
    <r>
      <rPr>
        <sz val="10"/>
        <rFont val="Calibri"/>
        <family val="2"/>
      </rPr>
      <t>; left + right colon); per 1,000 people analysed; follow-up until 31/12/2011</t>
    </r>
  </si>
  <si>
    <t>41 missing N category;
2 missing laterality</t>
  </si>
  <si>
    <t>30 missing N category;
1 missing laterality</t>
  </si>
  <si>
    <r>
      <t xml:space="preserve">Number of CRC with N0 </t>
    </r>
    <r>
      <rPr>
        <b/>
        <sz val="10"/>
        <rFont val="Calibri"/>
        <family val="2"/>
        <scheme val="minor"/>
      </rPr>
      <t>in men</t>
    </r>
    <r>
      <rPr>
        <sz val="10"/>
        <rFont val="Calibri"/>
        <family val="2"/>
      </rPr>
      <t>; diagnosed up to 31/12/2011</t>
    </r>
  </si>
  <si>
    <r>
      <t>Absolute incidence of CRC with N</t>
    </r>
    <r>
      <rPr>
        <sz val="10"/>
        <rFont val="Calibri"/>
        <family val="2"/>
      </rPr>
      <t>≥1 (</t>
    </r>
    <r>
      <rPr>
        <b/>
        <sz val="10"/>
        <rFont val="Calibri"/>
        <family val="2"/>
      </rPr>
      <t>men</t>
    </r>
    <r>
      <rPr>
        <sz val="10"/>
        <rFont val="Calibri"/>
        <family val="2"/>
      </rPr>
      <t>; left + right colon); per 1,000 people analysed; follow-up until 31/12/2011</t>
    </r>
  </si>
  <si>
    <r>
      <t>Number of CRC with N</t>
    </r>
    <r>
      <rPr>
        <sz val="10"/>
        <rFont val="Calibri"/>
        <family val="2"/>
      </rPr>
      <t xml:space="preserve">≥1 </t>
    </r>
    <r>
      <rPr>
        <b/>
        <sz val="10"/>
        <rFont val="Calibri"/>
        <family val="2"/>
      </rPr>
      <t>in men</t>
    </r>
    <r>
      <rPr>
        <sz val="10"/>
        <rFont val="Calibri"/>
        <family val="2"/>
      </rPr>
      <t>; diagnosed up to 31/12/2011</t>
    </r>
  </si>
  <si>
    <r>
      <t>Absolute incidence of CRC with M0</t>
    </r>
    <r>
      <rPr>
        <sz val="10"/>
        <rFont val="Calibri"/>
        <family val="2"/>
      </rPr>
      <t xml:space="preserve"> (</t>
    </r>
    <r>
      <rPr>
        <b/>
        <sz val="10"/>
        <rFont val="Calibri"/>
        <family val="2"/>
      </rPr>
      <t>men</t>
    </r>
    <r>
      <rPr>
        <sz val="10"/>
        <rFont val="Calibri"/>
        <family val="2"/>
      </rPr>
      <t>; left + right colon); per 1,000 people analysed; follow-up until 31/12/2011</t>
    </r>
  </si>
  <si>
    <t>1 missing M category;
1 missing laterality</t>
  </si>
  <si>
    <r>
      <t xml:space="preserve">Number of CRC with M0 </t>
    </r>
    <r>
      <rPr>
        <b/>
        <sz val="10"/>
        <rFont val="Calibri"/>
        <family val="2"/>
        <scheme val="minor"/>
      </rPr>
      <t>in men</t>
    </r>
    <r>
      <rPr>
        <sz val="10"/>
        <rFont val="Calibri"/>
        <family val="2"/>
      </rPr>
      <t>; diagnosed up to 31/12/2011</t>
    </r>
  </si>
  <si>
    <r>
      <t>Absolute incidence of CRC with M1</t>
    </r>
    <r>
      <rPr>
        <sz val="10"/>
        <rFont val="Calibri"/>
        <family val="2"/>
      </rPr>
      <t xml:space="preserve"> (</t>
    </r>
    <r>
      <rPr>
        <b/>
        <sz val="10"/>
        <rFont val="Calibri"/>
        <family val="2"/>
      </rPr>
      <t>men</t>
    </r>
    <r>
      <rPr>
        <sz val="10"/>
        <rFont val="Calibri"/>
        <family val="2"/>
      </rPr>
      <t>; left + right colon); per 1,000 people analysed; follow-up until 31/12/2011</t>
    </r>
  </si>
  <si>
    <r>
      <t xml:space="preserve">Number of CRC with M1 </t>
    </r>
    <r>
      <rPr>
        <b/>
        <sz val="10"/>
        <rFont val="Calibri"/>
        <family val="2"/>
        <scheme val="minor"/>
      </rPr>
      <t>in men</t>
    </r>
    <r>
      <rPr>
        <sz val="10"/>
        <rFont val="Calibri"/>
        <family val="2"/>
      </rPr>
      <t>; diagnosed up to 31/12/2011</t>
    </r>
  </si>
  <si>
    <r>
      <t xml:space="preserve">Absolute incidence of CRC with T </t>
    </r>
    <r>
      <rPr>
        <sz val="10"/>
        <rFont val="Calibri"/>
        <family val="2"/>
      </rPr>
      <t xml:space="preserve">≤ 2 </t>
    </r>
    <r>
      <rPr>
        <b/>
        <sz val="10"/>
        <rFont val="Calibri"/>
        <family val="2"/>
      </rPr>
      <t>(women</t>
    </r>
    <r>
      <rPr>
        <sz val="10"/>
        <rFont val="Calibri"/>
        <family val="2"/>
      </rPr>
      <t>; left + right colon); per 1,000 people analysed; follow-up until 31/12/2011</t>
    </r>
  </si>
  <si>
    <t xml:space="preserve">35
</t>
  </si>
  <si>
    <t>35 missing T stage;
0 missing laterality</t>
  </si>
  <si>
    <t>29 missing T stage;
2 missing laterality</t>
  </si>
  <si>
    <r>
      <t xml:space="preserve">Number of CRC with T </t>
    </r>
    <r>
      <rPr>
        <sz val="10"/>
        <rFont val="Calibri"/>
        <family val="2"/>
      </rPr>
      <t xml:space="preserve">≤ 2 </t>
    </r>
    <r>
      <rPr>
        <b/>
        <sz val="10"/>
        <rFont val="Calibri"/>
        <family val="2"/>
      </rPr>
      <t>in women</t>
    </r>
    <r>
      <rPr>
        <sz val="10"/>
        <rFont val="Calibri"/>
        <family val="2"/>
      </rPr>
      <t>; diagnosed up to 31/12/2011</t>
    </r>
  </si>
  <si>
    <r>
      <t>Absolute incidence of CRC with T &gt;</t>
    </r>
    <r>
      <rPr>
        <sz val="10"/>
        <rFont val="Calibri"/>
        <family val="2"/>
      </rPr>
      <t xml:space="preserve"> 2 (</t>
    </r>
    <r>
      <rPr>
        <b/>
        <sz val="10"/>
        <rFont val="Calibri"/>
        <family val="2"/>
      </rPr>
      <t>women</t>
    </r>
    <r>
      <rPr>
        <sz val="10"/>
        <rFont val="Calibri"/>
        <family val="2"/>
      </rPr>
      <t>; left + right colon); per 1,000 people analysed; follow-up until 31/12/2011</t>
    </r>
  </si>
  <si>
    <r>
      <t>Number of CRC with T &gt;</t>
    </r>
    <r>
      <rPr>
        <sz val="10"/>
        <rFont val="Calibri"/>
        <family val="2"/>
      </rPr>
      <t xml:space="preserve"> 2 </t>
    </r>
    <r>
      <rPr>
        <b/>
        <sz val="10"/>
        <rFont val="Calibri"/>
        <family val="2"/>
      </rPr>
      <t>in women</t>
    </r>
    <r>
      <rPr>
        <sz val="10"/>
        <rFont val="Calibri"/>
        <family val="2"/>
      </rPr>
      <t>; diagnosed up to 31/12/2011</t>
    </r>
  </si>
  <si>
    <r>
      <t>Absolute incidence of CRC with N0</t>
    </r>
    <r>
      <rPr>
        <sz val="10"/>
        <rFont val="Calibri"/>
        <family val="2"/>
      </rPr>
      <t xml:space="preserve"> (</t>
    </r>
    <r>
      <rPr>
        <b/>
        <sz val="10"/>
        <rFont val="Calibri"/>
        <family val="2"/>
      </rPr>
      <t>women</t>
    </r>
    <r>
      <rPr>
        <sz val="10"/>
        <rFont val="Calibri"/>
        <family val="2"/>
      </rPr>
      <t>; left + right colon); per 1,000 people analysed; follow-up until 31/12/2011</t>
    </r>
  </si>
  <si>
    <t>45 missing N category;
0 missing laterality</t>
  </si>
  <si>
    <t>36 missing N category;
2 missing laterality</t>
  </si>
  <si>
    <r>
      <t xml:space="preserve">Number of CRC with N0 </t>
    </r>
    <r>
      <rPr>
        <b/>
        <sz val="10"/>
        <rFont val="Calibri"/>
        <family val="2"/>
        <scheme val="minor"/>
      </rPr>
      <t>in women</t>
    </r>
    <r>
      <rPr>
        <sz val="10"/>
        <rFont val="Calibri"/>
        <family val="2"/>
      </rPr>
      <t>; diagnosed up to 31/12/2011</t>
    </r>
  </si>
  <si>
    <r>
      <t>Absolute incidence of CRC with N</t>
    </r>
    <r>
      <rPr>
        <sz val="10"/>
        <rFont val="Calibri"/>
        <family val="2"/>
      </rPr>
      <t>≥1 (</t>
    </r>
    <r>
      <rPr>
        <b/>
        <sz val="10"/>
        <rFont val="Calibri"/>
        <family val="2"/>
      </rPr>
      <t>women</t>
    </r>
    <r>
      <rPr>
        <sz val="10"/>
        <rFont val="Calibri"/>
        <family val="2"/>
      </rPr>
      <t>; left + right colon); per 1,000 people analysed; follow-up until 31/12/2011</t>
    </r>
  </si>
  <si>
    <r>
      <t>Number of CRC with N</t>
    </r>
    <r>
      <rPr>
        <sz val="10"/>
        <rFont val="Calibri"/>
        <family val="2"/>
      </rPr>
      <t xml:space="preserve">≥1 </t>
    </r>
    <r>
      <rPr>
        <b/>
        <sz val="10"/>
        <rFont val="Calibri"/>
        <family val="2"/>
      </rPr>
      <t>in women</t>
    </r>
    <r>
      <rPr>
        <sz val="10"/>
        <rFont val="Calibri"/>
        <family val="2"/>
      </rPr>
      <t>; diagnosed up to 31/12/2011</t>
    </r>
  </si>
  <si>
    <r>
      <t>Absolute incidence of CRC with M0</t>
    </r>
    <r>
      <rPr>
        <sz val="10"/>
        <rFont val="Calibri"/>
        <family val="2"/>
      </rPr>
      <t xml:space="preserve"> (</t>
    </r>
    <r>
      <rPr>
        <b/>
        <sz val="10"/>
        <rFont val="Calibri"/>
        <family val="2"/>
      </rPr>
      <t>women</t>
    </r>
    <r>
      <rPr>
        <sz val="10"/>
        <rFont val="Calibri"/>
        <family val="2"/>
      </rPr>
      <t>; left + right colon); per 1,000 people analysed; follow-up until 31/12/2011</t>
    </r>
  </si>
  <si>
    <t>0 missing M category;
0 missing laterality</t>
  </si>
  <si>
    <t>3 missing M category;
2 missing laterality</t>
  </si>
  <si>
    <r>
      <t xml:space="preserve">Number of CRC with M0 </t>
    </r>
    <r>
      <rPr>
        <b/>
        <sz val="10"/>
        <rFont val="Calibri"/>
        <family val="2"/>
        <scheme val="minor"/>
      </rPr>
      <t>in women</t>
    </r>
    <r>
      <rPr>
        <sz val="10"/>
        <rFont val="Calibri"/>
        <family val="2"/>
      </rPr>
      <t>; diagnosed up to 31/12/2011</t>
    </r>
  </si>
  <si>
    <r>
      <t>Absolute incidence of CRC with M1</t>
    </r>
    <r>
      <rPr>
        <sz val="10"/>
        <rFont val="Calibri"/>
        <family val="2"/>
      </rPr>
      <t xml:space="preserve"> (</t>
    </r>
    <r>
      <rPr>
        <b/>
        <sz val="10"/>
        <rFont val="Calibri"/>
        <family val="2"/>
      </rPr>
      <t>women</t>
    </r>
    <r>
      <rPr>
        <sz val="10"/>
        <rFont val="Calibri"/>
        <family val="2"/>
      </rPr>
      <t>; left + right colon); per 1,000 people analysed; follow-up until 31/12/2011</t>
    </r>
  </si>
  <si>
    <r>
      <t xml:space="preserve">Number of CRC with M1 </t>
    </r>
    <r>
      <rPr>
        <b/>
        <sz val="10"/>
        <rFont val="Calibri"/>
        <family val="2"/>
        <scheme val="minor"/>
      </rPr>
      <t>in women</t>
    </r>
    <r>
      <rPr>
        <sz val="10"/>
        <rFont val="Calibri"/>
        <family val="2"/>
      </rPr>
      <t>; diagnosed up to 31/12/2011</t>
    </r>
  </si>
  <si>
    <r>
      <t>Diagnostic yield at screening (</t>
    </r>
    <r>
      <rPr>
        <b/>
        <sz val="10"/>
        <rFont val="Calibri"/>
        <family val="2"/>
        <scheme val="minor"/>
      </rPr>
      <t>men and women</t>
    </r>
    <r>
      <rPr>
        <sz val="10"/>
        <rFont val="Calibri"/>
        <family val="2"/>
        <scheme val="minor"/>
      </rPr>
      <t>); 2004-2012;
FOBT arm only</t>
    </r>
  </si>
  <si>
    <t>Linkage with the Finnish Cancer Registry</t>
  </si>
  <si>
    <t>CRC diagnosis, death, emigration,
or to the end of 2012, whichever came first.</t>
  </si>
  <si>
    <t>Number of screen-detected CRC (diagnosed within 6 months of screening test); 2004-2012</t>
  </si>
  <si>
    <r>
      <t>Number of</t>
    </r>
    <r>
      <rPr>
        <b/>
        <sz val="10"/>
        <rFont val="Calibri"/>
        <family val="2"/>
        <scheme val="minor"/>
      </rPr>
      <t xml:space="preserve"> men and women</t>
    </r>
    <r>
      <rPr>
        <sz val="10"/>
        <rFont val="Calibri"/>
        <family val="2"/>
        <scheme val="minor"/>
      </rPr>
      <t xml:space="preserve"> analysed; screening arm</t>
    </r>
  </si>
  <si>
    <t>Screen-detected CRC = cancer diagnosed within 6 months from the screening test.</t>
  </si>
  <si>
    <r>
      <t>Diagnostic yield at screening (</t>
    </r>
    <r>
      <rPr>
        <b/>
        <sz val="10"/>
        <rFont val="Calibri"/>
        <family val="2"/>
        <scheme val="minor"/>
      </rPr>
      <t>men</t>
    </r>
    <r>
      <rPr>
        <sz val="10"/>
        <rFont val="Calibri"/>
        <family val="2"/>
        <scheme val="minor"/>
      </rPr>
      <t>); 2004-2012;
FOBT arm only</t>
    </r>
  </si>
  <si>
    <r>
      <t xml:space="preserve">Number of screen-detected CRC (diagnosed within 6 months of screening test) </t>
    </r>
    <r>
      <rPr>
        <b/>
        <sz val="10"/>
        <rFont val="Calibri"/>
        <family val="2"/>
        <scheme val="minor"/>
      </rPr>
      <t>in men</t>
    </r>
    <r>
      <rPr>
        <sz val="10"/>
        <rFont val="Calibri"/>
        <family val="2"/>
        <scheme val="minor"/>
      </rPr>
      <t>; 2004-2012</t>
    </r>
  </si>
  <si>
    <r>
      <t xml:space="preserve">Number of </t>
    </r>
    <r>
      <rPr>
        <b/>
        <sz val="10"/>
        <rFont val="Calibri"/>
        <family val="2"/>
        <scheme val="minor"/>
      </rPr>
      <t>men</t>
    </r>
    <r>
      <rPr>
        <sz val="10"/>
        <rFont val="Calibri"/>
        <family val="2"/>
        <scheme val="minor"/>
      </rPr>
      <t xml:space="preserve"> analysed; screening arm</t>
    </r>
  </si>
  <si>
    <t>Table 2 (nominator0; Table 1 (denominator)</t>
  </si>
  <si>
    <r>
      <t>Diagnostic yield at screening (</t>
    </r>
    <r>
      <rPr>
        <b/>
        <sz val="10"/>
        <rFont val="Calibri"/>
        <family val="2"/>
        <scheme val="minor"/>
      </rPr>
      <t>women</t>
    </r>
    <r>
      <rPr>
        <sz val="10"/>
        <rFont val="Calibri"/>
        <family val="2"/>
        <scheme val="minor"/>
      </rPr>
      <t>); 2004-2012;
FOBT arm only</t>
    </r>
  </si>
  <si>
    <r>
      <t xml:space="preserve">Number of </t>
    </r>
    <r>
      <rPr>
        <b/>
        <sz val="10"/>
        <rFont val="Calibri"/>
        <family val="2"/>
        <scheme val="minor"/>
      </rPr>
      <t>women</t>
    </r>
    <r>
      <rPr>
        <sz val="10"/>
        <rFont val="Calibri"/>
        <family val="2"/>
        <scheme val="minor"/>
      </rPr>
      <t xml:space="preserve"> analysed; screening arm</t>
    </r>
  </si>
  <si>
    <r>
      <t>% of CRC that are screen-detected (</t>
    </r>
    <r>
      <rPr>
        <b/>
        <sz val="10"/>
        <rFont val="Calibri"/>
        <family val="2"/>
        <scheme val="minor"/>
      </rPr>
      <t>men and women</t>
    </r>
    <r>
      <rPr>
        <sz val="10"/>
        <rFont val="Calibri"/>
        <family val="2"/>
        <scheme val="minor"/>
      </rPr>
      <t>); 2004-2012;
FOBT arm only</t>
    </r>
  </si>
  <si>
    <r>
      <t xml:space="preserve">Total number of CRC diagnosed up to 31/12/2012 </t>
    </r>
    <r>
      <rPr>
        <b/>
        <sz val="10"/>
        <rFont val="Calibri"/>
        <family val="2"/>
        <scheme val="minor"/>
      </rPr>
      <t>in men and women</t>
    </r>
  </si>
  <si>
    <t>Table 2 and text: The proportion of screen-detected CRCs was 42.7% of all CRCs (41.7% among males and 43.9% in females)…</t>
  </si>
  <si>
    <r>
      <t>% of CRC that are screen-detected (</t>
    </r>
    <r>
      <rPr>
        <b/>
        <sz val="10"/>
        <rFont val="Calibri"/>
        <family val="2"/>
        <scheme val="minor"/>
      </rPr>
      <t>men</t>
    </r>
    <r>
      <rPr>
        <sz val="10"/>
        <rFont val="Calibri"/>
        <family val="2"/>
        <scheme val="minor"/>
      </rPr>
      <t>); 2004-2012;
FOBT arm only</t>
    </r>
  </si>
  <si>
    <r>
      <t xml:space="preserve">Total number of CRC diagnosed up to 31/12/2012 </t>
    </r>
    <r>
      <rPr>
        <b/>
        <sz val="10"/>
        <rFont val="Calibri"/>
        <family val="2"/>
        <scheme val="minor"/>
      </rPr>
      <t>in men</t>
    </r>
  </si>
  <si>
    <r>
      <t>% of CRC that are screen-detected (</t>
    </r>
    <r>
      <rPr>
        <b/>
        <sz val="10"/>
        <rFont val="Calibri"/>
        <family val="2"/>
        <scheme val="minor"/>
      </rPr>
      <t>women</t>
    </r>
    <r>
      <rPr>
        <sz val="10"/>
        <rFont val="Calibri"/>
        <family val="2"/>
        <scheme val="minor"/>
      </rPr>
      <t>); 2004-2012;
FOBT arm only</t>
    </r>
  </si>
  <si>
    <r>
      <t xml:space="preserve">Total number of CRC diagnosed up to 31/12/2012 </t>
    </r>
    <r>
      <rPr>
        <b/>
        <sz val="10"/>
        <rFont val="Calibri"/>
        <family val="2"/>
        <scheme val="minor"/>
      </rPr>
      <t xml:space="preserve">in </t>
    </r>
    <r>
      <rPr>
        <sz val="10"/>
        <rFont val="Calibri"/>
        <family val="2"/>
        <scheme val="minor"/>
      </rPr>
      <t>wo</t>
    </r>
    <r>
      <rPr>
        <b/>
        <sz val="10"/>
        <rFont val="Calibri"/>
        <family val="2"/>
        <scheme val="minor"/>
      </rPr>
      <t>men</t>
    </r>
  </si>
  <si>
    <t>Kronborg 1987</t>
  </si>
  <si>
    <t>CRC mortality (per 1,000 people randomised); up to September 1986 (first year);
Screening vs control</t>
  </si>
  <si>
    <t>EDP patient file and the health office of the county; all surgeons asked to report cancers
and adenoma directly to the screening office; death certificates evaluated blindly; impartial death review committee (5 members) decided, whenever doubt exists, whether a person has died of colorectal cancer.</t>
  </si>
  <si>
    <t>Up to 1 year</t>
  </si>
  <si>
    <t xml:space="preserve">Impossible for the death review com-
mittee to decide whether death had occurred from
colorectal cancer </t>
  </si>
  <si>
    <t>Number of deaths from CRC; up to September 1986</t>
  </si>
  <si>
    <t>Table IX</t>
  </si>
  <si>
    <t>It was impossible for the death review com-
mittee to decide whether death had occurred from
colorectal cancer in six patients (one person with a
negative H-11, two dropouts, one who developed
distant spread from an unknown tumor before
invitation could be mailed, and two patients
among those excluded from randomization).</t>
  </si>
  <si>
    <t>All-cause (per 1,000 people randomised); up to September 1986 (first year);
Screening vs control</t>
  </si>
  <si>
    <t>Number of deaths from all causes; up to September 1986</t>
  </si>
  <si>
    <t>Table IX and text: The total number of deaths was similar in the control and screening groups.</t>
  </si>
  <si>
    <t>Kronborg 1989</t>
  </si>
  <si>
    <t>CRC mortality (per 1,000 people randomised); August 1985 to October 1988;
Screening vs control</t>
  </si>
  <si>
    <t>Up to 38 months</t>
  </si>
  <si>
    <t>Number of deaths from CRC; up to October 1988</t>
  </si>
  <si>
    <t>Table XI and text: The total number of deaths from CRC was 37 in the screening group and 51 among controls. The estimated death rate from CRC was 1.2 per 1,000 persons in the screening group (37 of 30,970) versus 1.6 per 1,000 persons among the controls (51 of 30,968; p=0.16) (RR = 0.72; 95% C. I., 0.47-1.11).</t>
  </si>
  <si>
    <t>All-cause mortality (per 1,000 people randomised); August 1985 to October 1988;
Screening vs control</t>
  </si>
  <si>
    <t>Number of deaths from all causes; up to October 1988</t>
  </si>
  <si>
    <t>Kronborg 1992</t>
  </si>
  <si>
    <t>CRC mortality (per 1,000 people randomised); fullfilment of 1/5 death criteria; up to 1990 (first 5 years);
Screening vs control</t>
  </si>
  <si>
    <t>New diagnoses of cancer and adenoma and death certificates obtained continuously from the EDP patient file and the health office of the county; furthermore, all doctors asked to report directly to the screening office; death certificates evaluated blindly to group allocation; impartial death review committee decided, whenever doubt existed, whether death from CRC had occured.</t>
  </si>
  <si>
    <t>Number of deaths from CRC (fullfilment of 1/5 death criteria); up to 1990 (first 5 years)</t>
  </si>
  <si>
    <t>Table IV and text: Death from CRC is not significantly less frequent in the test group than in controls (p=0.24).</t>
  </si>
  <si>
    <t>Cause of death could not be established in 258 persons from the test groups and 257 among controls.</t>
  </si>
  <si>
    <t>CRC mortality (per 1,000 people randomised); fullfilment of 1/5 death criteria + death from CRC cannot be excluded; up to 1990 (first 5 years);
Screening vs control</t>
  </si>
  <si>
    <t>Number of deaths from CRC (fullfilment of 1/5 death criteria + death from CRC cannot be excluded + death from complications after surgery); up to 1990 (first 5 years)</t>
  </si>
  <si>
    <t>CRC mortality (per 1,000 people randomised); fullfilment of 1/5 death criteria + death from CRC cannot be excluded + death from complications after surgery; up to 1990 (first 5 years);
Screening vs control</t>
  </si>
  <si>
    <t>Number of deaths from CRC (fullfilment of 1/5 death criteria + death from CRC cannot be excluded); up to 1990 (first 5 years)</t>
  </si>
  <si>
    <t>All-cause mortality (per 1,000 people randomised); up to 1990 (first 5 years);
Screening vs control</t>
  </si>
  <si>
    <t>Number of deaths from all causes; up to 1990 (first 5 years)</t>
  </si>
  <si>
    <t>Kronborg 1996</t>
  </si>
  <si>
    <t>All-cause mortality (per 1,000 PY); August 1985 to August 1995;
Screening vs control</t>
  </si>
  <si>
    <t>Funen patient database and the county public-health
officer; blinded assessment of death certificates for cause of death; referral to independent review committee if unclear if CRC was cause of death.</t>
  </si>
  <si>
    <t>August 1985</t>
  </si>
  <si>
    <t>281,883 PY;
mean 9.1 years</t>
  </si>
  <si>
    <t>281,328 PY;
mean 9.1 years</t>
  </si>
  <si>
    <t>Number of deaths from all causes; up to August 1995 (10 years)</t>
  </si>
  <si>
    <t>Person-years (up to August 1995)</t>
  </si>
  <si>
    <t>Table 6 and text: Mortality rates for all causes of death did not differ significantly between the groups.</t>
  </si>
  <si>
    <t>CRC mortality (per 1,000 PY); death from CRC; August 1985 to August 1995;
Screening vs control</t>
  </si>
  <si>
    <t>Number of deaths from CRC; up to August 1995 (10 years)</t>
  </si>
  <si>
    <t>Table 6 and text: The ratio of CRC mortality rates in screening and control groups was significantly less than 1·0.</t>
  </si>
  <si>
    <t>CRC mortality (per 1,000 PY); death from CRC and complications from treatment; August 1985 to August 1995;
Screening vs control</t>
  </si>
  <si>
    <t>Number of deaths from CRC and complications from treatment; up to August 1995 (10 years)</t>
  </si>
  <si>
    <t>Table 6 and text: The ratio of CRC mortality rates in screening and control groups was significantly less than 1·0. … reduction of 18% in CRC mortality, which was independent of sex and age, in individuals aged 45–75 years.</t>
  </si>
  <si>
    <t>Jorgensen 2002</t>
  </si>
  <si>
    <t>All-cause mortality (per 1,000 PY); August 1985 to August 1998 (13 years);
Screening vs control</t>
  </si>
  <si>
    <t>Death certificates were obtained from the county public
health office and the central health authorities; blinded assessment of death certificates for cause of death; referral to independent review committee if unclear if CRC was cause of death.</t>
  </si>
  <si>
    <t>Death or 1 August 1998</t>
  </si>
  <si>
    <t>01/08/1998</t>
  </si>
  <si>
    <t>Up to 13 years</t>
  </si>
  <si>
    <t>352,343 PY;
mean 11.4 years</t>
  </si>
  <si>
    <t>351,670 PY;
mean 11.4 years</t>
  </si>
  <si>
    <t>Number of deaths from all causes; up to 1 August 1998 (13 years)</t>
  </si>
  <si>
    <t>Person-years (up to August 1998)</t>
  </si>
  <si>
    <t>Table 4 and text: Mortality rates from all causes were identical in the screening group and controls.</t>
  </si>
  <si>
    <t>CRC mortality (per 1,000 PY); death from CRC; August 1985 to August 1998 (13 years);
Screening vs control</t>
  </si>
  <si>
    <t>Number of deaths from CRC; up to 1 August 1998 (13 years)</t>
  </si>
  <si>
    <t>Table 4 and text: Mortality from CRC was significantly less in the screening group (relative risk (RR) 0.82 (0.69–0.97))…</t>
  </si>
  <si>
    <t>CRC mortality (per 1,000 PY); death from CRC including complications from treatment; August 1985 to August 1998 (13 years);
Screening vs control</t>
  </si>
  <si>
    <t>Number of deaths from CRC including complications from treatment; up to 1 August 1998 (13 years)</t>
  </si>
  <si>
    <t>Adjusted for age and sex</t>
  </si>
  <si>
    <t>Table 4 and text: ... the risk of death from CRC was reduced to 0.85 (0.73–1.00) relative to the risk among controls after 13 years and seven screening rounds.</t>
  </si>
  <si>
    <t>CRC mortality (per 1,000 PY); death from CRC proximal to sigmoid colon including complications from treatment; August 1985 to August 1998 (13 years);
Screening vs control</t>
  </si>
  <si>
    <t>Number of deaths from CRC proximal to sigmoid colon including complications from treatment; up to 1 August 1998 (13 years)</t>
  </si>
  <si>
    <t>Table 4 and text: Our screening programme with H-II resulted in an 8% reduction in the risk of death from CRC located in the sigmoid colon and rectum compared with a reduction of 28% for patients with CRC in the remaining colon.</t>
  </si>
  <si>
    <t>CRC mortality (per 1,000 PY); death from distal CRC including complications from treatment; August 1985 to August 1998 (13 years);
Screening vs control</t>
  </si>
  <si>
    <t>Number of deaths from distal CRC including complications from treatment; up to 1 August 1998 (13 years)</t>
  </si>
  <si>
    <t>Kronborg 2004</t>
  </si>
  <si>
    <t>All-cause mortality (per 1,000 PY); August 1985 to August 2002 (up to 17 years);
Screening vs control</t>
  </si>
  <si>
    <t>Death or August 2002 (17 years since initiation of the study)</t>
  </si>
  <si>
    <t>01/08/2002</t>
  </si>
  <si>
    <t>431,190 PY;
mean 13.9 years</t>
  </si>
  <si>
    <t>430,755 PY;
mean 13.9 years</t>
  </si>
  <si>
    <t>Number of deaths from all causes; up to 1 August 2002 (up to 17 years)</t>
  </si>
  <si>
    <t>Person-years (up to August 2002)</t>
  </si>
  <si>
    <t>Table VI</t>
  </si>
  <si>
    <t>CRC mortality (per 1,000 PY); death from CRC; August 1985 to August 2002 (up to 17 years);
Screening vs control</t>
  </si>
  <si>
    <t>Number of deaths from CRC; up to 1 August 2002 (up to 17 years)</t>
  </si>
  <si>
    <t>Table VI and text: Mortality from CRC was less in
the test group, but the difference did not reach statistical
significance when postoperative complications were included</t>
  </si>
  <si>
    <t>CRC mortality (per 1,000 PY); death from CRC including complications from treatment; August 1985 to August 2002 (up to 17 years);
Screening vs control</t>
  </si>
  <si>
    <t>Number of deaths from CRC including complications from treatment; up to 1 August 2002 (up to 17 years)</t>
  </si>
  <si>
    <t>Table VI and text: Mortality from CRC was less in
the test group, but the difference did not reach statistical
significance when postoperative complications were included. Adjustment for age and sex did not change the last figures (0.89 (0.78–1.02)).</t>
  </si>
  <si>
    <t>Death certificates delivered by the county public health office and the central health authorities; blinded assessment of death certificates for cause of death; referral to independent review committee if unclear if CRC was cause of death.</t>
  </si>
  <si>
    <t>Shaukat 2021</t>
  </si>
  <si>
    <t>All-cause mortality (per 1,000 PY); 30 years of follow-up;
Screening vs control</t>
  </si>
  <si>
    <t>CRC as a cause of death was based on manual chart review and coded death certificates. After 2002: Danish National Patient Register, the Central Person Register, and the Danish Register of Cause of Death.</t>
  </si>
  <si>
    <t>Death or 30 years of follow-up</t>
  </si>
  <si>
    <t>30 years</t>
  </si>
  <si>
    <t>605,023;
mean 19.5 years</t>
  </si>
  <si>
    <t>603,953;
mean 19.5 years</t>
  </si>
  <si>
    <t>Number of deaths from all causes; 30 years of follow-up</t>
  </si>
  <si>
    <t>Person-years (30 years of follow-up)</t>
  </si>
  <si>
    <t>CRC mortality (per 1,000 PY); death from CRC; 30 years of follow-up;
Screening vs control</t>
  </si>
  <si>
    <t>Number of deaths from CRC; 30 years of follow-up</t>
  </si>
  <si>
    <t>All-cause mortality (per 100 randomised); 30 years of follow-up;
Screening vs control</t>
  </si>
  <si>
    <t>Adjusted for compliance</t>
  </si>
  <si>
    <t>Table 1 and Figure 2</t>
  </si>
  <si>
    <t>CRC mortality (per 100 randomised); death from CRC; 30 years of follow-up;
Screening vs control</t>
  </si>
  <si>
    <t>Table 1, Figure 2 and text: In the Funen trial, there was a small but not statistically significant difference in 30-year CRC mortality between the screening and control groups (RR, 0.94; 95% CI, 0.85 to 1.04; RD, -0.27%; 95% CI, -0.72% to 0.19%).</t>
  </si>
  <si>
    <t>Diagnostic yield at screening - CRC (per 1,000 people randomised); first screening round (1985-1986)</t>
  </si>
  <si>
    <t>EDP patient file and the health office of the county; all surgeons asked to report cancers and adenoma directly to the screening office; pathologist is unaware of the group to which the persons belong.</t>
  </si>
  <si>
    <t>Mode of detection</t>
  </si>
  <si>
    <t>Number of CRC detected in FOBT-positive persons (CRC or CRC+adenoma); first screening round</t>
  </si>
  <si>
    <t>Number of people randomised in screening arm</t>
  </si>
  <si>
    <t>Diagnostic yield at screening - Colorectal neoplasia (CRC or adenoma) (per 1,000 people randomised); first screening round (1985-1986)</t>
  </si>
  <si>
    <t>Number of colorectal neoplasia (CRC or adenoma) detected in FOBT-positive persons; first screening round</t>
  </si>
  <si>
    <t>Table V and text: Colorectal neoplasia was found in 123 of the
209 persons with positive H-II.</t>
  </si>
  <si>
    <t>% of CRC that are screen-detected; up to September 1986 (first year)</t>
  </si>
  <si>
    <t>Total number of CRC detected (screen-detected; interval; refusers; diagnosed before screening)</t>
  </si>
  <si>
    <t>Number of CRC with ≤2 cm diameter; follow-up until September 1986</t>
  </si>
  <si>
    <t>Table VII</t>
  </si>
  <si>
    <t>3 cm</t>
  </si>
  <si>
    <t>Number of CRC with 3 cm diameter; follow-up until September 1986</t>
  </si>
  <si>
    <t>≥4 cm</t>
  </si>
  <si>
    <t>Number of CRC with ≥4 cm diameter; follow-up until September 1986</t>
  </si>
  <si>
    <t>A</t>
  </si>
  <si>
    <t>Classification not possible</t>
  </si>
  <si>
    <t>Number of CRC with Dukes' A stage; follow-up until September 1986</t>
  </si>
  <si>
    <t>B</t>
  </si>
  <si>
    <t>Number of CRC with Dukes' B stage; follow-up until September 1986</t>
  </si>
  <si>
    <t>C</t>
  </si>
  <si>
    <t>Number of CRC with Dukes' C stage; follow-up until September 1986</t>
  </si>
  <si>
    <t>Distant spread (now D)</t>
  </si>
  <si>
    <t>Number of CRC with distant spread; follow-up until September 1986</t>
  </si>
  <si>
    <t>&lt;10 mm</t>
  </si>
  <si>
    <t>Number with largest adenoma &lt;10 mm; follow-up until September 1986</t>
  </si>
  <si>
    <t>Table VIII</t>
  </si>
  <si>
    <t>10-19 mm</t>
  </si>
  <si>
    <t>Number with largest adenoma 10-19 mm; follow-up until September 1986</t>
  </si>
  <si>
    <t>Adenomas</t>
  </si>
  <si>
    <t>Number with at least 1 adenoma; follow-up until September 1986</t>
  </si>
  <si>
    <t>Diagnostic yield at screening - CRC (per 1,000 people randomised); first 2 screening rounds (August 1985 - October 1988)</t>
  </si>
  <si>
    <t>Number of CRC detected in FOBT-positive persons; 2 screening rounds</t>
  </si>
  <si>
    <t>Diagnostic yield at screening - Colorectal adenoma (per 1,000 people randomised); first 2 screening rounds (August 1985 - October 1988)</t>
  </si>
  <si>
    <t>Number of colorectal adenoma detected in FOBT-positive persons; 2 screening rounds</t>
  </si>
  <si>
    <t>% of CRC that are screen-detected; August 1985 - October 1988</t>
  </si>
  <si>
    <t>Number of CRC with ≤2 cm diameter; follow-up until October 1988</t>
  </si>
  <si>
    <t>Number of CRC with 3 cm diameter; follow-up until October 1988</t>
  </si>
  <si>
    <t>&lt;4 cm</t>
  </si>
  <si>
    <t>Number of CRC with &lt;4 cm diameter; follow-up until October 1988</t>
  </si>
  <si>
    <t>Table VIII and text: The size of cancers (Table VIII) in accordance with the largest diameter wasmore often less than 4 cm in the screening group (43 of 147) than in the controls (15 of 115; p=0.002).</t>
  </si>
  <si>
    <t>4 cm</t>
  </si>
  <si>
    <t>Number of CRC with 4 cm diameter; follow-up until October 1988</t>
  </si>
  <si>
    <t>≥5 cm</t>
  </si>
  <si>
    <t>Number of CRC with ≥5 cm diameter; follow-up until October 1988</t>
  </si>
  <si>
    <t>Number of CRC with Dukes' A stage; follow-up until October 1988</t>
  </si>
  <si>
    <t>Table IX and text: Accordingly, tumor stages with the best prognosis were detected more frequently in the screening group (26 Dukes A) than in the controls (p=0.0001</t>
  </si>
  <si>
    <t>Number of CRC with Dukes' B stage; follow-up until October 1988</t>
  </si>
  <si>
    <t>Number of CRC with Dukes' C stage; follow-up until October 1988</t>
  </si>
  <si>
    <t>Number of CRC with distant spread; follow-up until October 1988</t>
  </si>
  <si>
    <t>Text: In the screening group 221 persons were found to have adenomas, in contrast to 100 among controls.</t>
  </si>
  <si>
    <t>Excluding adenomas in patients with CRC. All adenomas have been removed.</t>
  </si>
  <si>
    <t>Bech 1991</t>
  </si>
  <si>
    <t>New diagnoses of cancer and adenoma and death certificates obtained continuously from the EDP patient file and the health office of the county; furthermore, all doctors asked to report directly to the screening office. Pathological classification of all cancers and polyps performed by one pathologist blinded to study arm.</t>
  </si>
  <si>
    <t>Up to 4 years</t>
  </si>
  <si>
    <t>Number with largest adenoma &lt;10 mm; follow-up until August 1989</t>
  </si>
  <si>
    <t>Number with largest adenoma 10-19 mm; follow-up until August 1989</t>
  </si>
  <si>
    <t>Number with at least 1 adenoma; follow-up until August 1989</t>
  </si>
  <si>
    <t>Diagnostic yield at screening - CRC (per 1,000 people randomised); 5 screening rounds (August 1985 - August 1995)</t>
  </si>
  <si>
    <t>Funen patient database and the county public-health
officer. Danish National Registry of Patients checked 3x during the study (the last time was in November, 1995). Crosscheck with the Danish Cancer Society in late 1995.</t>
  </si>
  <si>
    <t>Number of CRC detected in FOBT-positive persons; 5 screening rounds</t>
  </si>
  <si>
    <t>% of CRC that is screen-detected; 5 screening rounds (August 1985 - August 1995)</t>
  </si>
  <si>
    <t>Number of CRC detected up to August 1995</t>
  </si>
  <si>
    <t>Table 3 (nominator) and Figure 1 (denominator)</t>
  </si>
  <si>
    <t>Absolute incidence of CRC with Dukes' stage A (per 1,000 people randomised); August 1985 - August 1995</t>
  </si>
  <si>
    <t>Advanced = stage C, distant spread, and no
classification</t>
  </si>
  <si>
    <t>Funen patient database and the county public-health
officer. Danish National Registry of Patients checked 3x during the study (the last time was in November, 1995). Crosscheck with the Danish Cancer Society in late 1995. Dukes’ staging of tumours and classification of adenomas done by one investigator under masked conditions.</t>
  </si>
  <si>
    <t>CRC diagnosis or death</t>
  </si>
  <si>
    <t>No classification</t>
  </si>
  <si>
    <t>Number of CRC with Dukes' stage A; August 1985 to August 1995</t>
  </si>
  <si>
    <t>Absolute incidence of CRC with Dukes' stage B (per 1,000 people randomised); August 1985 - August 1995</t>
  </si>
  <si>
    <t>Number of CRC with Dukes' stage B; August 1985 to August 1995</t>
  </si>
  <si>
    <t>Absolute incidence of CRC with Dukes' stage C (per 1,000 people randomised); August 1985 - August 1995</t>
  </si>
  <si>
    <t>Number of CRC with Dukes' stage C; August 1985 to August 1995</t>
  </si>
  <si>
    <t>Absolute incidence of CRC with distant spread (per 1,000 people randomised); August 1985 - August 1995</t>
  </si>
  <si>
    <t>Number of CRC with distant spread August 1985 to August 1995</t>
  </si>
  <si>
    <t>Absolute incidence of CRC with Dukes' stage A (per 1,000 PY); August 1985 - August 1995</t>
  </si>
  <si>
    <t>Absolute incidence of CRC with Dukes' stage B (per 1,000 PY); August 1985 - August 1995</t>
  </si>
  <si>
    <t>Absolute incidence of CRC with Dukes' stage C (per 1,000 PY); August 1985 - August 1995</t>
  </si>
  <si>
    <t>Absolute incidence of CRC with distant spread (per 1,000 PY); August 1985 - August 1995</t>
  </si>
  <si>
    <t>Number of CRC with distant spread; August 1985 to August 1995</t>
  </si>
  <si>
    <t>Absolute incidence of late stage CRC (stage C, distant spread, no classification) (per 1,000 PY); August 1985 - August 1995</t>
  </si>
  <si>
    <t>C, distant sprad or no classification</t>
  </si>
  <si>
    <t>Number of CRC with Dukes' stage C, distant spread or no classification; August 1985 to August 1995</t>
  </si>
  <si>
    <t>% of CRC diagnosed at late stage (Dukes' stage C, distant spread, no classification); August 1985 - August 1995</t>
  </si>
  <si>
    <t>Total number of CRC diagnosed August 1985 to August 1995</t>
  </si>
  <si>
    <t>Table 4 and text: The proportion of stage A CRC was significantly lower in the control group than in the screening group (11 vs 22%, p&lt;0·01), whereas the proportion of more advanced CRC (stage C, distant spread, and no classification) was significantly higher in the control group than in the screening group.</t>
  </si>
  <si>
    <t>Diagnostic yield at screening - CRC (per 1,000 people randomised); 9 screening rounds (August 1985 - August 2002)</t>
  </si>
  <si>
    <t>Funen County Database and the Danish National Registration of patients; cross-check with the Danish Cancer Registry</t>
  </si>
  <si>
    <t>Number of CRC detected in FOBT-positive persons; 9 screening rounds</t>
  </si>
  <si>
    <t>% of CRC that is screen-detected; 9 screening rounds (August 1985 - August 2002)</t>
  </si>
  <si>
    <t>Number of CRC detected up to August 2002</t>
  </si>
  <si>
    <t>Table V (nominator); Table VI (denominator)</t>
  </si>
  <si>
    <t>Absolute incidence of CRC with Dukes' stage A (per 1,000 PY); August 1985 - August 2002</t>
  </si>
  <si>
    <t>Early = Dukes' A</t>
  </si>
  <si>
    <t>Number of CRC with Dukes' stage A; August 1985 to August 2002</t>
  </si>
  <si>
    <t>Text: Early CRC (Dukes’ A) was found by screening in 36% of the CRC subjects with positive H-II (72/199) compared with 11% among controls (99/874). Including all subjects in the test group, the figures decreased to 18% (162/889).</t>
  </si>
  <si>
    <t>Nystrom 1993</t>
  </si>
  <si>
    <t>Breast cancer mortality (per 1,000 PY); all cancers diagnosed after randomisation; BC as underlying cause of death; follow-up until 31/12/1989;
study vs control group</t>
  </si>
  <si>
    <t>Linked to regional cancer registers and to the Swedish Cause of Death Register; blinded, independent review of cause of death in breast cancer cases by 4 experts with disagreements resolved by consensus.</t>
  </si>
  <si>
    <t>40-59 years (excludes 39 year olds)</t>
  </si>
  <si>
    <t xml:space="preserve">129,000 PY;
mean 6.2 years
</t>
  </si>
  <si>
    <t>181,000 PY;
mean 6.3 years</t>
  </si>
  <si>
    <t>Study group: 5
Control: 1</t>
  </si>
  <si>
    <t>Number of deaths with breast cancer as underlying cause of death in all cases diagnosed after randomisation up to 31/12/1989</t>
  </si>
  <si>
    <t>Weighted RRs and CIs were calculated by
Mantel-Haenszel procedures.</t>
  </si>
  <si>
    <t>Table II and Table III</t>
  </si>
  <si>
    <t>Follow-up model; RRs were calculated
by the density method, with total person-time experience of the cohort by time interval of follow-up as a basis for estimating the mortality rates. Weighted RRs and CIs were calculated by
Mantel-Haenszel procedures.</t>
  </si>
  <si>
    <t>Breast cancer mortality (per 1,000 PY); cancers diagnosed in screening period only; BC as underlying cause of death; follow-up until 31/12/1989;
study vs control group</t>
  </si>
  <si>
    <t>Number of deaths with breast cancer as underlying cause of death in all cases diagnosed in screening period; follow up to 31/12/1989</t>
  </si>
  <si>
    <t>Evaluation model; RRs were calculated
by the density method, with total person-time experience of the cohort by time interval of follow-up as a basis for estimating the mortality rates. Weighted RRs and CIs were calculated by
Mantel-Haenszel procedures.</t>
  </si>
  <si>
    <t>Bjurstam 1997</t>
  </si>
  <si>
    <r>
      <t>Breast cancer mortality</t>
    </r>
    <r>
      <rPr>
        <b/>
        <sz val="10"/>
        <rFont val="Calibri"/>
        <family val="2"/>
        <scheme val="minor"/>
      </rPr>
      <t xml:space="preserve"> in women aged 39-49 years </t>
    </r>
    <r>
      <rPr>
        <sz val="10"/>
        <rFont val="Calibri"/>
        <family val="2"/>
        <scheme val="minor"/>
      </rPr>
      <t>(per 1,000 PY); cancers diagnosed in screening period only; BC as underlying cause of death; follow-up until 31/12/1994;
study vs control group</t>
    </r>
  </si>
  <si>
    <t>BC deaths identified from the Swedish
cause of death register (except for one death that occurred abroad)</t>
  </si>
  <si>
    <t>39-49 years</t>
  </si>
  <si>
    <t>138,402 PY;
mean 11.8 years</t>
  </si>
  <si>
    <t xml:space="preserve">168,025 PY;
mean 11.8 years
</t>
  </si>
  <si>
    <r>
      <t xml:space="preserve">Number of deaths with breast cancer  as underlying cause of death in all cases (invasive + DCIS) </t>
    </r>
    <r>
      <rPr>
        <b/>
        <sz val="10"/>
        <rFont val="Calibri"/>
        <family val="2"/>
        <scheme val="minor"/>
      </rPr>
      <t>diagnosed up to the time immediately after the first screen of the control group</t>
    </r>
    <r>
      <rPr>
        <sz val="10"/>
        <rFont val="Calibri"/>
        <family val="2"/>
        <scheme val="minor"/>
      </rPr>
      <t>; followed up to 31/12/1994</t>
    </r>
  </si>
  <si>
    <t>Table 3 and text: A significant reduction in breast carcinoma mortality was observed in the study group (P = 0.035), with a RR of 0.55.</t>
  </si>
  <si>
    <t>These figures do not include 4 cases of lobular carcinoma in situ in the study group (there were no such cases in the control group).</t>
  </si>
  <si>
    <r>
      <t xml:space="preserve">Breast cancer mortality </t>
    </r>
    <r>
      <rPr>
        <b/>
        <sz val="10"/>
        <rFont val="Calibri"/>
        <family val="2"/>
        <scheme val="minor"/>
      </rPr>
      <t>in women aged 39-49 years</t>
    </r>
    <r>
      <rPr>
        <sz val="10"/>
        <rFont val="Calibri"/>
        <family val="2"/>
        <scheme val="minor"/>
      </rPr>
      <t xml:space="preserve"> (per 1,000 PY); cancers diagnosed in screening period </t>
    </r>
    <r>
      <rPr>
        <b/>
        <sz val="10"/>
        <rFont val="Calibri"/>
        <family val="2"/>
        <scheme val="minor"/>
      </rPr>
      <t>excluding cases diagnosed at exit screen</t>
    </r>
    <r>
      <rPr>
        <sz val="10"/>
        <rFont val="Calibri"/>
        <family val="2"/>
        <scheme val="minor"/>
      </rPr>
      <t>; BC as underlying cause of death; follow-up until 31/12/1994;
study vs control group</t>
    </r>
  </si>
  <si>
    <r>
      <t xml:space="preserve">Number of deaths with breast cancer  as underlying cause of death in all cases (invasive + DCIS) </t>
    </r>
    <r>
      <rPr>
        <b/>
        <sz val="10"/>
        <rFont val="Calibri"/>
        <family val="2"/>
        <scheme val="minor"/>
      </rPr>
      <t>diagnosed  in the screening period excluding cases diagnosed at exit screen</t>
    </r>
    <r>
      <rPr>
        <sz val="10"/>
        <rFont val="Calibri"/>
        <family val="2"/>
        <scheme val="minor"/>
      </rPr>
      <t>; followed up to 31/12/1994</t>
    </r>
  </si>
  <si>
    <t>Person-years in study group adjusted to account for additional tumours in the study group due to lead time by adding 0.87 (sensitivity) multiplied by 2.21 (mean sojourn time) minus 0.81 (the expected lead time minus the time from screening the study group to the close of the trial, i.e., the excess person-years of incidence anticipated by lead time) multiplied by the number screened at the last study group screen to the study group person-years. Thus we added 1.4 x 8,675 x 0.87 = 10,566 to the person-years.</t>
  </si>
  <si>
    <t>Text: In the subsidiary analysis, excluding those carcinomas diagnosed at the first screen of the control group left 155 breast carcinomas and 36 breast carcinoma deaths in the control group, with the carcinomas in the study group being unchanged… If we performed the same adjustment to the person-years of total follow up and recalculated the mortality, there were 18 deaths and 148,968 person-years in the study group, 36 deaths and 168,025 person-years in the control group, and a RR of 0.56 (P = 0.046; 95% CI, 0.31–0.99).</t>
  </si>
  <si>
    <r>
      <t xml:space="preserve">All-cause mortality </t>
    </r>
    <r>
      <rPr>
        <b/>
        <sz val="10"/>
        <rFont val="Calibri"/>
        <family val="2"/>
        <scheme val="minor"/>
      </rPr>
      <t>in women aged 39-49 years</t>
    </r>
    <r>
      <rPr>
        <sz val="10"/>
        <rFont val="Calibri"/>
        <family val="2"/>
        <scheme val="minor"/>
      </rPr>
      <t xml:space="preserve"> (per 1,000 PY); follow-up until 31/12/1994;
study vs control group</t>
    </r>
  </si>
  <si>
    <t>Number of deaths from all causes up to 31/12/1994</t>
  </si>
  <si>
    <t>Table 3 and text: The rate of death from all causes was 2.96 per 1000 person-years in the study group, and 3.03 per 1000 person-years in the control group, a RR of 0.98. The difference was not significant…</t>
  </si>
  <si>
    <t>Larsson 1997</t>
  </si>
  <si>
    <r>
      <t xml:space="preserve">Breast cancer mortality </t>
    </r>
    <r>
      <rPr>
        <b/>
        <sz val="10"/>
        <rFont val="Calibri"/>
        <family val="2"/>
        <scheme val="minor"/>
      </rPr>
      <t>in women aged 40-49 years</t>
    </r>
    <r>
      <rPr>
        <sz val="10"/>
        <rFont val="Calibri"/>
        <family val="2"/>
        <scheme val="minor"/>
      </rPr>
      <t xml:space="preserve"> (per 1,000 PY); cancers diagnosed after completion of the first screening round of the control group excluded;
study vs control group</t>
    </r>
  </si>
  <si>
    <t>Swedish Cancer and Cause of Death Register at Statistics Sweden; cause of death as reported in cause of death register.</t>
  </si>
  <si>
    <t>Median 9.9 years (IQR 9.7-10.3)</t>
  </si>
  <si>
    <t>Number of breast cancer deaths in cases diagnosed in the screening period (including exit screen in the control group); follow-up to 31/12/1993</t>
  </si>
  <si>
    <t>Nystrom 2002</t>
  </si>
  <si>
    <r>
      <t xml:space="preserve">Breast cancer mortality </t>
    </r>
    <r>
      <rPr>
        <b/>
        <sz val="10"/>
        <rFont val="Calibri"/>
        <family val="2"/>
        <scheme val="minor"/>
      </rPr>
      <t>in women aged 40-59 years</t>
    </r>
    <r>
      <rPr>
        <sz val="10"/>
        <rFont val="Calibri"/>
        <family val="2"/>
        <scheme val="minor"/>
      </rPr>
      <t xml:space="preserve"> (per 1,000 PY); cancers diagnosed in screening period only; follow-up until 31/12/1996;
study vs control group</t>
    </r>
  </si>
  <si>
    <t>Swedish Cancer and Cause of Death Register at Statistics Sweden; breast cancer as underlying cause of death according to Statistics Sweden</t>
  </si>
  <si>
    <t>Median 13.2 years
(IQR 12.7-14.0)</t>
  </si>
  <si>
    <t>Median 13.3 years
(IQR 12.7-14.0)</t>
  </si>
  <si>
    <t>Study group: 4-5
Control: 1</t>
  </si>
  <si>
    <t>Number of deaths with breast cancer as underlying cause of death in all cases diagnosed in screening period; follow up to 31/12/1996</t>
  </si>
  <si>
    <r>
      <t xml:space="preserve">All-cause mortality </t>
    </r>
    <r>
      <rPr>
        <b/>
        <sz val="10"/>
        <rFont val="Calibri"/>
        <family val="2"/>
        <scheme val="minor"/>
      </rPr>
      <t>in women aged 40-65 years</t>
    </r>
    <r>
      <rPr>
        <sz val="10"/>
        <rFont val="Calibri"/>
        <family val="2"/>
        <scheme val="minor"/>
      </rPr>
      <t xml:space="preserve"> (per 1,000 PY); follow-up to 31/12/1996;
study vs control group</t>
    </r>
  </si>
  <si>
    <t>Swedish Cancer and Cause of Death Register at Statistics Sweden</t>
  </si>
  <si>
    <t>Number of deaths from all causes up to 31/12/1996</t>
  </si>
  <si>
    <t>Bjurstam 2003</t>
  </si>
  <si>
    <r>
      <t xml:space="preserve">Breast cancer mortality from cases diagnosed in screening period (per 1,000 women); </t>
    </r>
    <r>
      <rPr>
        <b/>
        <sz val="10"/>
        <rFont val="Calibri"/>
        <family val="2"/>
        <scheme val="minor"/>
      </rPr>
      <t>blinded review of cause of death by independent endpoint committee (EPC)</t>
    </r>
    <r>
      <rPr>
        <sz val="10"/>
        <rFont val="Calibri"/>
        <family val="2"/>
        <scheme val="minor"/>
      </rPr>
      <t>; follow-up to 31/12/1996;
Study group vs control group</t>
    </r>
  </si>
  <si>
    <t>Local follow-up and the Swedish Cancer Register backed up by the Swedish Cause of Death Register; 2 independent
endpoint committees classified the
underlying cause of death from blinded patient records according to the same protocol.</t>
  </si>
  <si>
    <t>Deaths from breast carcinomas that were diagnosed in both cohorts during the screening phase of the trial, up to and including the first screen of the control group</t>
  </si>
  <si>
    <t>Poisson regression; adjusted for individual
years of birth.</t>
  </si>
  <si>
    <t>Table 3 and text: In the EPC evaluation model, the overall
effect was a 21% mortality reduction in the study
group, which was not significant (relative risk [RR],
0.79; 95% confidence interval [95% CI], 0.58–1.08; P =
0.14).</t>
  </si>
  <si>
    <t>EPC evaluation model</t>
  </si>
  <si>
    <r>
      <t xml:space="preserve">Breast cancer mortality from cases diagnosed in screening period (per 1,000 women </t>
    </r>
    <r>
      <rPr>
        <b/>
        <sz val="10"/>
        <rFont val="Calibri"/>
        <family val="2"/>
        <scheme val="minor"/>
      </rPr>
      <t>aged 39-44 years</t>
    </r>
    <r>
      <rPr>
        <sz val="10"/>
        <rFont val="Calibri"/>
        <family val="2"/>
        <scheme val="minor"/>
      </rPr>
      <t xml:space="preserve">); </t>
    </r>
    <r>
      <rPr>
        <b/>
        <sz val="10"/>
        <rFont val="Calibri"/>
        <family val="2"/>
        <scheme val="minor"/>
      </rPr>
      <t>blinded review of cause of death by independent endpoint committee (EPC)</t>
    </r>
    <r>
      <rPr>
        <sz val="10"/>
        <rFont val="Calibri"/>
        <family val="2"/>
        <scheme val="minor"/>
      </rPr>
      <t>; follow-up to 31/12/1996;
Study group vs control group</t>
    </r>
  </si>
  <si>
    <t>39-44 years</t>
  </si>
  <si>
    <r>
      <t xml:space="preserve">Deaths from breast carcinomas that were diagnosed in both cohorts </t>
    </r>
    <r>
      <rPr>
        <b/>
        <sz val="10"/>
        <rFont val="Calibri"/>
        <family val="2"/>
        <scheme val="minor"/>
      </rPr>
      <t>in women aged 39-44 years</t>
    </r>
    <r>
      <rPr>
        <sz val="10"/>
        <rFont val="Calibri"/>
        <family val="2"/>
        <scheme val="minor"/>
      </rPr>
      <t xml:space="preserve"> during the screening phase of the trial, up to and including the first screen of the control group</t>
    </r>
  </si>
  <si>
    <r>
      <t xml:space="preserve">Number of women </t>
    </r>
    <r>
      <rPr>
        <b/>
        <sz val="10"/>
        <rFont val="Calibri"/>
        <family val="2"/>
        <scheme val="minor"/>
      </rPr>
      <t>aged 39-44 years</t>
    </r>
    <r>
      <rPr>
        <sz val="10"/>
        <rFont val="Calibri"/>
        <family val="2"/>
        <scheme val="minor"/>
      </rPr>
      <t xml:space="preserve"> analysed, by arm</t>
    </r>
  </si>
  <si>
    <r>
      <t xml:space="preserve">Breast cancer mortality from cases diagnosed in screening period (per 1,000 women </t>
    </r>
    <r>
      <rPr>
        <b/>
        <sz val="10"/>
        <rFont val="Calibri"/>
        <family val="2"/>
        <scheme val="minor"/>
      </rPr>
      <t>aged 45-49 years</t>
    </r>
    <r>
      <rPr>
        <sz val="10"/>
        <rFont val="Calibri"/>
        <family val="2"/>
        <scheme val="minor"/>
      </rPr>
      <t xml:space="preserve">); </t>
    </r>
    <r>
      <rPr>
        <b/>
        <sz val="10"/>
        <rFont val="Calibri"/>
        <family val="2"/>
        <scheme val="minor"/>
      </rPr>
      <t>blinded review of cause of death by independent endpoint committee (EPC)</t>
    </r>
    <r>
      <rPr>
        <sz val="10"/>
        <rFont val="Calibri"/>
        <family val="2"/>
        <scheme val="minor"/>
      </rPr>
      <t>; follow-up to 31/12/1996;
Study group vs control group</t>
    </r>
  </si>
  <si>
    <t>45-49 years</t>
  </si>
  <si>
    <r>
      <t xml:space="preserve">Deaths from breast carcinomas that were diagnosed in both cohorts </t>
    </r>
    <r>
      <rPr>
        <b/>
        <sz val="10"/>
        <rFont val="Calibri"/>
        <family val="2"/>
        <scheme val="minor"/>
      </rPr>
      <t>in women aged 45-49 years</t>
    </r>
    <r>
      <rPr>
        <sz val="10"/>
        <rFont val="Calibri"/>
        <family val="2"/>
        <scheme val="minor"/>
      </rPr>
      <t xml:space="preserve"> during the screening phase of the trial, up to and including the first screen of the control group</t>
    </r>
  </si>
  <si>
    <r>
      <t xml:space="preserve">Number of women </t>
    </r>
    <r>
      <rPr>
        <b/>
        <sz val="10"/>
        <rFont val="Calibri"/>
        <family val="2"/>
        <scheme val="minor"/>
      </rPr>
      <t>aged 45-49 years</t>
    </r>
    <r>
      <rPr>
        <sz val="10"/>
        <rFont val="Calibri"/>
        <family val="2"/>
        <scheme val="minor"/>
      </rPr>
      <t xml:space="preserve"> analysed, by arm</t>
    </r>
  </si>
  <si>
    <r>
      <t xml:space="preserve">Breast cancer mortality from cases diagnosed in screening period (per 1,000 women </t>
    </r>
    <r>
      <rPr>
        <b/>
        <sz val="10"/>
        <rFont val="Calibri"/>
        <family val="2"/>
        <scheme val="minor"/>
      </rPr>
      <t>aged 50-54 years</t>
    </r>
    <r>
      <rPr>
        <sz val="10"/>
        <rFont val="Calibri"/>
        <family val="2"/>
        <scheme val="minor"/>
      </rPr>
      <t xml:space="preserve">); </t>
    </r>
    <r>
      <rPr>
        <b/>
        <sz val="10"/>
        <rFont val="Calibri"/>
        <family val="2"/>
        <scheme val="minor"/>
      </rPr>
      <t>blinded review of cause of death by independent endpoint committee (EPC)</t>
    </r>
    <r>
      <rPr>
        <sz val="10"/>
        <rFont val="Calibri"/>
        <family val="2"/>
        <scheme val="minor"/>
      </rPr>
      <t>; follow-up to 31/12/1996;
Study group vs control group</t>
    </r>
  </si>
  <si>
    <t>50-54 years</t>
  </si>
  <si>
    <r>
      <t xml:space="preserve">Deaths from breast carcinomas that were diagnosed in both cohorts </t>
    </r>
    <r>
      <rPr>
        <b/>
        <sz val="10"/>
        <rFont val="Calibri"/>
        <family val="2"/>
        <scheme val="minor"/>
      </rPr>
      <t>in women aged 50-54 years</t>
    </r>
    <r>
      <rPr>
        <sz val="10"/>
        <rFont val="Calibri"/>
        <family val="2"/>
        <scheme val="minor"/>
      </rPr>
      <t xml:space="preserve"> during the screening phase of the trial, up to and including the first screen of the control group</t>
    </r>
  </si>
  <si>
    <r>
      <t xml:space="preserve">Number of women </t>
    </r>
    <r>
      <rPr>
        <b/>
        <sz val="10"/>
        <rFont val="Calibri"/>
        <family val="2"/>
        <scheme val="minor"/>
      </rPr>
      <t>aged 50-54 years</t>
    </r>
    <r>
      <rPr>
        <sz val="10"/>
        <rFont val="Calibri"/>
        <family val="2"/>
        <scheme val="minor"/>
      </rPr>
      <t xml:space="preserve"> analysed, by arm</t>
    </r>
  </si>
  <si>
    <r>
      <t xml:space="preserve">Breast cancer mortality from cases diagnosed in screening period (per 1,000 women </t>
    </r>
    <r>
      <rPr>
        <b/>
        <sz val="10"/>
        <rFont val="Calibri"/>
        <family val="2"/>
        <scheme val="minor"/>
      </rPr>
      <t>aged 55-59 years</t>
    </r>
    <r>
      <rPr>
        <sz val="10"/>
        <rFont val="Calibri"/>
        <family val="2"/>
        <scheme val="minor"/>
      </rPr>
      <t xml:space="preserve">); </t>
    </r>
    <r>
      <rPr>
        <b/>
        <sz val="10"/>
        <rFont val="Calibri"/>
        <family val="2"/>
        <scheme val="minor"/>
      </rPr>
      <t>blinded review of cause of death by independent endpoint committee (EPC)</t>
    </r>
    <r>
      <rPr>
        <sz val="10"/>
        <rFont val="Calibri"/>
        <family val="2"/>
        <scheme val="minor"/>
      </rPr>
      <t>; follow-up to 31/12/1996;
Study group vs control group</t>
    </r>
  </si>
  <si>
    <r>
      <t xml:space="preserve">Deaths from breast carcinomas that were diagnosed in both cohorts </t>
    </r>
    <r>
      <rPr>
        <b/>
        <sz val="10"/>
        <rFont val="Calibri"/>
        <family val="2"/>
        <scheme val="minor"/>
      </rPr>
      <t>in women aged 55-59 years</t>
    </r>
    <r>
      <rPr>
        <sz val="10"/>
        <rFont val="Calibri"/>
        <family val="2"/>
        <scheme val="minor"/>
      </rPr>
      <t xml:space="preserve"> during the screening phase of the trial, up to and including the first screen of the control group</t>
    </r>
  </si>
  <si>
    <r>
      <t xml:space="preserve">Number of women </t>
    </r>
    <r>
      <rPr>
        <b/>
        <sz val="10"/>
        <rFont val="Calibri"/>
        <family val="2"/>
        <scheme val="minor"/>
      </rPr>
      <t>aged 55-59 years</t>
    </r>
    <r>
      <rPr>
        <sz val="10"/>
        <rFont val="Calibri"/>
        <family val="2"/>
        <scheme val="minor"/>
      </rPr>
      <t xml:space="preserve"> analysed, by arm</t>
    </r>
  </si>
  <si>
    <r>
      <t xml:space="preserve">Breast cancer mortality from cases diagnosed in screening period; </t>
    </r>
    <r>
      <rPr>
        <b/>
        <sz val="10"/>
        <rFont val="Calibri"/>
        <family val="2"/>
        <scheme val="minor"/>
      </rPr>
      <t>cause of death from death register</t>
    </r>
    <r>
      <rPr>
        <sz val="10"/>
        <rFont val="Calibri"/>
        <family val="2"/>
        <scheme val="minor"/>
      </rPr>
      <t>; follow-up to 31/12/1996;
Study group vs control group</t>
    </r>
  </si>
  <si>
    <t>Local follow-up and the Swedish Cancer Register backed up by the Swedish Cause of Death Register; cause of death classified by the
Swedish Cause of Death Register</t>
  </si>
  <si>
    <t>Table 3 and text: The result with the SCB evaluation model was a 24% reduction in mortality, which approached statistical
significance (P = 0.08).</t>
  </si>
  <si>
    <t>SCB evaluation model</t>
  </si>
  <si>
    <r>
      <t xml:space="preserve">Breast cancer mortality from cases diagnosed in screening period (per 1,000 women </t>
    </r>
    <r>
      <rPr>
        <b/>
        <sz val="10"/>
        <rFont val="Calibri"/>
        <family val="2"/>
        <scheme val="minor"/>
      </rPr>
      <t>aged 39-44 years</t>
    </r>
    <r>
      <rPr>
        <sz val="10"/>
        <rFont val="Calibri"/>
        <family val="2"/>
        <scheme val="minor"/>
      </rPr>
      <t xml:space="preserve">); </t>
    </r>
    <r>
      <rPr>
        <b/>
        <sz val="10"/>
        <rFont val="Calibri"/>
        <family val="2"/>
        <scheme val="minor"/>
      </rPr>
      <t>cause of death from death register</t>
    </r>
    <r>
      <rPr>
        <sz val="10"/>
        <rFont val="Calibri"/>
        <family val="2"/>
        <scheme val="minor"/>
      </rPr>
      <t>; follow-up to 31/12/1996;
Study group vs control group</t>
    </r>
  </si>
  <si>
    <r>
      <t xml:space="preserve">Breast cancer mortality from cases diagnosed in screening period (per 1,000 women </t>
    </r>
    <r>
      <rPr>
        <b/>
        <sz val="10"/>
        <rFont val="Calibri"/>
        <family val="2"/>
        <scheme val="minor"/>
      </rPr>
      <t>aged 45-49 years</t>
    </r>
    <r>
      <rPr>
        <sz val="10"/>
        <rFont val="Calibri"/>
        <family val="2"/>
        <scheme val="minor"/>
      </rPr>
      <t xml:space="preserve">); </t>
    </r>
    <r>
      <rPr>
        <b/>
        <sz val="10"/>
        <rFont val="Calibri"/>
        <family val="2"/>
        <scheme val="minor"/>
      </rPr>
      <t>cause of death from death register</t>
    </r>
    <r>
      <rPr>
        <sz val="10"/>
        <rFont val="Calibri"/>
        <family val="2"/>
        <scheme val="minor"/>
      </rPr>
      <t>; follow-up to 31/12/1996;
Study group vs control group</t>
    </r>
  </si>
  <si>
    <t>Table 3 and text: ...in the SCB evaluation model, significant reductions in breast carcinoma mortality of 56% and 44% were found among the groups of women ages 45–49 years and
39–49 years, respectively.</t>
  </si>
  <si>
    <r>
      <t xml:space="preserve">Breast cancer mortality from cases diagnosed in screening period (per 1,000 women </t>
    </r>
    <r>
      <rPr>
        <b/>
        <sz val="10"/>
        <rFont val="Calibri"/>
        <family val="2"/>
        <scheme val="minor"/>
      </rPr>
      <t>aged 50-54 years</t>
    </r>
    <r>
      <rPr>
        <sz val="10"/>
        <rFont val="Calibri"/>
        <family val="2"/>
        <scheme val="minor"/>
      </rPr>
      <t xml:space="preserve">); </t>
    </r>
    <r>
      <rPr>
        <b/>
        <sz val="10"/>
        <rFont val="Calibri"/>
        <family val="2"/>
        <scheme val="minor"/>
      </rPr>
      <t>cause of death from death register</t>
    </r>
    <r>
      <rPr>
        <sz val="10"/>
        <rFont val="Calibri"/>
        <family val="2"/>
        <scheme val="minor"/>
      </rPr>
      <t>; follow-up to 31/12/1996;
Study group vs control group</t>
    </r>
  </si>
  <si>
    <r>
      <t xml:space="preserve">Breast cancer mortality from cases diagnosed in screening period (per 1,000 women </t>
    </r>
    <r>
      <rPr>
        <b/>
        <sz val="10"/>
        <rFont val="Calibri"/>
        <family val="2"/>
        <scheme val="minor"/>
      </rPr>
      <t>aged 55-59 years</t>
    </r>
    <r>
      <rPr>
        <sz val="10"/>
        <rFont val="Calibri"/>
        <family val="2"/>
        <scheme val="minor"/>
      </rPr>
      <t xml:space="preserve">); </t>
    </r>
    <r>
      <rPr>
        <b/>
        <sz val="10"/>
        <rFont val="Calibri"/>
        <family val="2"/>
        <scheme val="minor"/>
      </rPr>
      <t>cause of death from death register</t>
    </r>
    <r>
      <rPr>
        <sz val="10"/>
        <rFont val="Calibri"/>
        <family val="2"/>
        <scheme val="minor"/>
      </rPr>
      <t>; follow-up to 31/12/1996;
Study group vs control group</t>
    </r>
  </si>
  <si>
    <r>
      <t xml:space="preserve">Breast cancer mortality from all cases diagnosed up to 31/12/1996; </t>
    </r>
    <r>
      <rPr>
        <b/>
        <sz val="10"/>
        <rFont val="Calibri"/>
        <family val="2"/>
        <scheme val="minor"/>
      </rPr>
      <t>cause of death from death register</t>
    </r>
    <r>
      <rPr>
        <sz val="10"/>
        <rFont val="Calibri"/>
        <family val="2"/>
        <scheme val="minor"/>
      </rPr>
      <t>; follow-up to 31/12/1996;
Study group vs control group</t>
    </r>
  </si>
  <si>
    <t>Deaths from breast carcinomas that were diagnosed up to 31/12/1996</t>
  </si>
  <si>
    <t>Table 3 and text: Using the SBC follow-up model, the reduction in breast cancer mortality was 23%, demonstrating borderline
significance (RR, 0.77; 95% CI, 0.60–1.00; P =0.05).</t>
  </si>
  <si>
    <t>SCB follow-up model</t>
  </si>
  <si>
    <r>
      <t xml:space="preserve">Breast cancer mortality from all cases diagnosed up to 31/12/1996; (per 1,000 women </t>
    </r>
    <r>
      <rPr>
        <b/>
        <sz val="10"/>
        <rFont val="Calibri"/>
        <family val="2"/>
        <scheme val="minor"/>
      </rPr>
      <t>aged 39-44 years</t>
    </r>
    <r>
      <rPr>
        <sz val="10"/>
        <rFont val="Calibri"/>
        <family val="2"/>
        <scheme val="minor"/>
      </rPr>
      <t xml:space="preserve">); </t>
    </r>
    <r>
      <rPr>
        <b/>
        <sz val="10"/>
        <rFont val="Calibri"/>
        <family val="2"/>
        <scheme val="minor"/>
      </rPr>
      <t>cause of death from death register</t>
    </r>
    <r>
      <rPr>
        <sz val="10"/>
        <rFont val="Calibri"/>
        <family val="2"/>
        <scheme val="minor"/>
      </rPr>
      <t>; follow-up to 31/12/1996;
Study group vs control group</t>
    </r>
  </si>
  <si>
    <r>
      <t xml:space="preserve">Deaths from breast carcinomas that were diagnosed up to 31/12/1996 </t>
    </r>
    <r>
      <rPr>
        <b/>
        <sz val="10"/>
        <rFont val="Calibri"/>
        <family val="2"/>
        <scheme val="minor"/>
      </rPr>
      <t>in women aged 39-44 years</t>
    </r>
  </si>
  <si>
    <r>
      <t xml:space="preserve">Breast cancer mortality from all cases diagnosed up to 31/12/1996 (per 1,000 women </t>
    </r>
    <r>
      <rPr>
        <b/>
        <sz val="10"/>
        <rFont val="Calibri"/>
        <family val="2"/>
        <scheme val="minor"/>
      </rPr>
      <t>aged 45-49 years</t>
    </r>
    <r>
      <rPr>
        <sz val="10"/>
        <rFont val="Calibri"/>
        <family val="2"/>
        <scheme val="minor"/>
      </rPr>
      <t xml:space="preserve">); </t>
    </r>
    <r>
      <rPr>
        <b/>
        <sz val="10"/>
        <rFont val="Calibri"/>
        <family val="2"/>
        <scheme val="minor"/>
      </rPr>
      <t>cause of death from death register</t>
    </r>
    <r>
      <rPr>
        <sz val="10"/>
        <rFont val="Calibri"/>
        <family val="2"/>
        <scheme val="minor"/>
      </rPr>
      <t>; follow-up to 31/12/1996;
Study group vs control group</t>
    </r>
  </si>
  <si>
    <r>
      <t xml:space="preserve">Deaths from breast carcinomas that were diagnosed up to 31/12/1996 </t>
    </r>
    <r>
      <rPr>
        <b/>
        <sz val="10"/>
        <rFont val="Calibri"/>
        <family val="2"/>
        <scheme val="minor"/>
      </rPr>
      <t>in women aged 45-50 years</t>
    </r>
  </si>
  <si>
    <r>
      <t xml:space="preserve">Breast cancer mortality from all cases diagnosed up to 31/12/1996 (per 1,000 women </t>
    </r>
    <r>
      <rPr>
        <b/>
        <sz val="10"/>
        <rFont val="Calibri"/>
        <family val="2"/>
        <scheme val="minor"/>
      </rPr>
      <t>aged 50-54 years</t>
    </r>
    <r>
      <rPr>
        <sz val="10"/>
        <rFont val="Calibri"/>
        <family val="2"/>
        <scheme val="minor"/>
      </rPr>
      <t xml:space="preserve">); </t>
    </r>
    <r>
      <rPr>
        <b/>
        <sz val="10"/>
        <rFont val="Calibri"/>
        <family val="2"/>
        <scheme val="minor"/>
      </rPr>
      <t>cause of death from death register</t>
    </r>
    <r>
      <rPr>
        <sz val="10"/>
        <rFont val="Calibri"/>
        <family val="2"/>
        <scheme val="minor"/>
      </rPr>
      <t>; follow-up to 31/12/1996;
Study group vs control group</t>
    </r>
  </si>
  <si>
    <r>
      <t xml:space="preserve">Deaths from breast carcinomas that were diagnosed up to 31/12/1996 </t>
    </r>
    <r>
      <rPr>
        <b/>
        <sz val="10"/>
        <rFont val="Calibri"/>
        <family val="2"/>
        <scheme val="minor"/>
      </rPr>
      <t>in women aged 50-54 years</t>
    </r>
  </si>
  <si>
    <r>
      <t xml:space="preserve">Breast cancer mortality from all cases diagnosed up to 31/12/1996 (per 1,000 women </t>
    </r>
    <r>
      <rPr>
        <b/>
        <sz val="10"/>
        <rFont val="Calibri"/>
        <family val="2"/>
        <scheme val="minor"/>
      </rPr>
      <t>aged 55-59 years</t>
    </r>
    <r>
      <rPr>
        <sz val="10"/>
        <rFont val="Calibri"/>
        <family val="2"/>
        <scheme val="minor"/>
      </rPr>
      <t xml:space="preserve">); </t>
    </r>
    <r>
      <rPr>
        <b/>
        <sz val="10"/>
        <rFont val="Calibri"/>
        <family val="2"/>
        <scheme val="minor"/>
      </rPr>
      <t>cause of death from death register</t>
    </r>
    <r>
      <rPr>
        <sz val="10"/>
        <rFont val="Calibri"/>
        <family val="2"/>
        <scheme val="minor"/>
      </rPr>
      <t>; follow-up to 31/12/1996;
Study group vs control group</t>
    </r>
  </si>
  <si>
    <r>
      <t xml:space="preserve">Deaths from breast carcinomas that were diagnosed up to 31/12/1996 </t>
    </r>
    <r>
      <rPr>
        <b/>
        <sz val="10"/>
        <rFont val="Calibri"/>
        <family val="2"/>
        <scheme val="minor"/>
      </rPr>
      <t>in women aged 55-59 years</t>
    </r>
  </si>
  <si>
    <t>All cause mortality; follow-up to 31/12/1996;
Study group vs control group</t>
  </si>
  <si>
    <t>Deaths from all causes up to 31/12/1996</t>
  </si>
  <si>
    <t>Discussion: We observed a nonsignificant reduction 5%) in all-cause mortality in the study group (RR, 0.95; 95% CI, 0.89–
1.02).</t>
  </si>
  <si>
    <t>Bjurstam 2016</t>
  </si>
  <si>
    <r>
      <t xml:space="preserve">Breast cancer mortality from cases diagnosed in screening period; </t>
    </r>
    <r>
      <rPr>
        <b/>
        <sz val="10"/>
        <rFont val="Calibri"/>
        <family val="2"/>
        <scheme val="minor"/>
      </rPr>
      <t>cause of death from death register</t>
    </r>
    <r>
      <rPr>
        <sz val="10"/>
        <rFont val="Calibri"/>
        <family val="2"/>
        <scheme val="minor"/>
      </rPr>
      <t>; follow-up to 31/12/2007;
Study group vs control group</t>
    </r>
  </si>
  <si>
    <t>Causes of death were taken from the Swedish Cause of Death Registry</t>
  </si>
  <si>
    <t>Median 24 years</t>
  </si>
  <si>
    <t>Poisson regression with a conservative variance estimate to take account of the cluster randomization</t>
  </si>
  <si>
    <t>Table 1 and text: There was a significant 30% reduction in breast cancer mortality in the intervention arm (RR, 0.70; 95% CI, 0.53-0.93; P = .01).</t>
  </si>
  <si>
    <r>
      <t xml:space="preserve">Breast cancer mortality from cases diagnosed in screening period </t>
    </r>
    <r>
      <rPr>
        <b/>
        <sz val="10"/>
        <rFont val="Calibri"/>
        <family val="2"/>
        <scheme val="minor"/>
      </rPr>
      <t>in women aged 39-49 years</t>
    </r>
    <r>
      <rPr>
        <sz val="10"/>
        <rFont val="Calibri"/>
        <family val="2"/>
        <scheme val="minor"/>
      </rPr>
      <t xml:space="preserve">; </t>
    </r>
    <r>
      <rPr>
        <b/>
        <sz val="10"/>
        <rFont val="Calibri"/>
        <family val="2"/>
        <scheme val="minor"/>
      </rPr>
      <t>cause of death from death register</t>
    </r>
    <r>
      <rPr>
        <sz val="10"/>
        <rFont val="Calibri"/>
        <family val="2"/>
        <scheme val="minor"/>
      </rPr>
      <t>; follow-up to 31/12/2007;
Study group vs control group</t>
    </r>
  </si>
  <si>
    <r>
      <t xml:space="preserve">Deaths from breast carcinomas that were diagnosed in both cohorts during the screening phase of the trial, up to and including the first screen of the control group </t>
    </r>
    <r>
      <rPr>
        <b/>
        <sz val="10"/>
        <rFont val="Calibri"/>
        <family val="2"/>
        <scheme val="minor"/>
      </rPr>
      <t>in women aged 39-49 years</t>
    </r>
  </si>
  <si>
    <r>
      <t xml:space="preserve">Number of women analysed </t>
    </r>
    <r>
      <rPr>
        <b/>
        <sz val="10"/>
        <rFont val="Calibri"/>
        <family val="2"/>
        <scheme val="minor"/>
      </rPr>
      <t>aged 39-49 years</t>
    </r>
    <r>
      <rPr>
        <sz val="10"/>
        <rFont val="Calibri"/>
        <family val="2"/>
        <scheme val="minor"/>
      </rPr>
      <t>, by arm</t>
    </r>
  </si>
  <si>
    <t>Table 1 and text: … the mortality reduction in the intervention arm was significant (40%) for the 39- to 49-year age group (RR,
0.60; 95% CI, 0.43-0.85; P 5 .003)</t>
  </si>
  <si>
    <r>
      <t xml:space="preserve">Breast cancer mortality from cases diagnosed in screening period </t>
    </r>
    <r>
      <rPr>
        <b/>
        <sz val="10"/>
        <rFont val="Calibri"/>
        <family val="2"/>
        <scheme val="minor"/>
      </rPr>
      <t>in women aged 50-59 years</t>
    </r>
    <r>
      <rPr>
        <sz val="10"/>
        <rFont val="Calibri"/>
        <family val="2"/>
        <scheme val="minor"/>
      </rPr>
      <t xml:space="preserve">; </t>
    </r>
    <r>
      <rPr>
        <b/>
        <sz val="10"/>
        <rFont val="Calibri"/>
        <family val="2"/>
        <scheme val="minor"/>
      </rPr>
      <t>cause of death from death register</t>
    </r>
    <r>
      <rPr>
        <sz val="10"/>
        <rFont val="Calibri"/>
        <family val="2"/>
        <scheme val="minor"/>
      </rPr>
      <t>; follow-up to 31/12/2007;
Study group vs control group</t>
    </r>
  </si>
  <si>
    <r>
      <t xml:space="preserve">Deaths from breast carcinomas that were diagnosed in both cohorts during the screening phase of the trial, up to and including the first screen of the control group </t>
    </r>
    <r>
      <rPr>
        <b/>
        <sz val="10"/>
        <rFont val="Calibri"/>
        <family val="2"/>
        <scheme val="minor"/>
      </rPr>
      <t>in women aged 50-59 years</t>
    </r>
  </si>
  <si>
    <r>
      <t xml:space="preserve">Number of women analysed </t>
    </r>
    <r>
      <rPr>
        <b/>
        <sz val="10"/>
        <rFont val="Calibri"/>
        <family val="2"/>
        <scheme val="minor"/>
      </rPr>
      <t>aged 50-59 years</t>
    </r>
    <r>
      <rPr>
        <sz val="10"/>
        <rFont val="Calibri"/>
        <family val="2"/>
        <scheme val="minor"/>
      </rPr>
      <t>, by arm</t>
    </r>
  </si>
  <si>
    <t>Table 1 and text: … the mortality reduction in the intervention arm was ... Nonsignificant (18%) for the 50- to 59-year age group (RR, 0.82; 95% CI, 0.54-1.26; P = .4).</t>
  </si>
  <si>
    <r>
      <t>Diagnostic yield at screening (</t>
    </r>
    <r>
      <rPr>
        <b/>
        <sz val="10"/>
        <rFont val="Calibri"/>
        <family val="2"/>
        <scheme val="minor"/>
      </rPr>
      <t>invasive carcinoma</t>
    </r>
    <r>
      <rPr>
        <sz val="10"/>
        <rFont val="Calibri"/>
        <family val="2"/>
        <scheme val="minor"/>
      </rPr>
      <t xml:space="preserve">); per 1,000 women </t>
    </r>
    <r>
      <rPr>
        <b/>
        <sz val="10"/>
        <rFont val="Calibri"/>
        <family val="2"/>
        <scheme val="minor"/>
      </rPr>
      <t>aged 39-49 years</t>
    </r>
    <r>
      <rPr>
        <sz val="10"/>
        <rFont val="Calibri"/>
        <family val="2"/>
        <scheme val="minor"/>
      </rPr>
      <t>; 5 screening rounds or 1 exit screen;
study vs control group</t>
    </r>
  </si>
  <si>
    <t>Average 7 years</t>
  </si>
  <si>
    <t>Number of screen-detected, invasive carcinoma (5 screening rounds or 1 exit screen)</t>
  </si>
  <si>
    <t>Table 2 and Table 4</t>
  </si>
  <si>
    <r>
      <t>Diagnostic yield at screening (</t>
    </r>
    <r>
      <rPr>
        <b/>
        <sz val="10"/>
        <rFont val="Calibri"/>
        <family val="2"/>
        <scheme val="minor"/>
      </rPr>
      <t>DCIS +</t>
    </r>
    <r>
      <rPr>
        <sz val="10"/>
        <rFont val="Calibri"/>
        <family val="2"/>
        <scheme val="minor"/>
      </rPr>
      <t xml:space="preserve"> </t>
    </r>
    <r>
      <rPr>
        <b/>
        <sz val="10"/>
        <rFont val="Calibri"/>
        <family val="2"/>
        <scheme val="minor"/>
      </rPr>
      <t>invasive carcinoma</t>
    </r>
    <r>
      <rPr>
        <sz val="10"/>
        <rFont val="Calibri"/>
        <family val="2"/>
        <scheme val="minor"/>
      </rPr>
      <t xml:space="preserve">); per 1,000 women </t>
    </r>
    <r>
      <rPr>
        <b/>
        <sz val="10"/>
        <rFont val="Calibri"/>
        <family val="2"/>
        <scheme val="minor"/>
      </rPr>
      <t>aged 39-49 years</t>
    </r>
    <r>
      <rPr>
        <sz val="10"/>
        <rFont val="Calibri"/>
        <family val="2"/>
        <scheme val="minor"/>
      </rPr>
      <t>; 5 screening rounds or 1 exit screen;
study vs control group</t>
    </r>
  </si>
  <si>
    <t>6-7 years</t>
  </si>
  <si>
    <t>Number of screen-detected, DCIS + invasive carcinoma (5 screening rounds or 1 exit screen)</t>
  </si>
  <si>
    <t>Cases of DCIS were included as carcinoma whereas cases of lobular carcinoma in situ have not.</t>
  </si>
  <si>
    <r>
      <t xml:space="preserve">% of </t>
    </r>
    <r>
      <rPr>
        <b/>
        <sz val="10"/>
        <rFont val="Calibri"/>
        <family val="2"/>
        <scheme val="minor"/>
      </rPr>
      <t xml:space="preserve">invasive carcinoma </t>
    </r>
    <r>
      <rPr>
        <sz val="10"/>
        <rFont val="Calibri"/>
        <family val="2"/>
        <scheme val="minor"/>
      </rPr>
      <t xml:space="preserve">that has been screen-detected during the screening  period </t>
    </r>
    <r>
      <rPr>
        <b/>
        <sz val="10"/>
        <rFont val="Calibri"/>
        <family val="2"/>
        <scheme val="minor"/>
      </rPr>
      <t xml:space="preserve"> in women aged 39-49 years</t>
    </r>
    <r>
      <rPr>
        <sz val="10"/>
        <rFont val="Calibri"/>
        <family val="2"/>
        <scheme val="minor"/>
      </rPr>
      <t xml:space="preserve"> (5 screening rounds or 1 exit screen);
study vs control group</t>
    </r>
  </si>
  <si>
    <t>5 screening;
1 control</t>
  </si>
  <si>
    <r>
      <t xml:space="preserve">Total number of </t>
    </r>
    <r>
      <rPr>
        <b/>
        <sz val="10"/>
        <rFont val="Calibri"/>
        <family val="2"/>
        <scheme val="minor"/>
      </rPr>
      <t xml:space="preserve">invasive </t>
    </r>
    <r>
      <rPr>
        <sz val="10"/>
        <rFont val="Calibri"/>
        <family val="2"/>
        <scheme val="minor"/>
      </rPr>
      <t xml:space="preserve">breast carcinomas diagnosed up to the time immediately after the first screen of the control group </t>
    </r>
  </si>
  <si>
    <r>
      <t xml:space="preserve">% of </t>
    </r>
    <r>
      <rPr>
        <b/>
        <sz val="10"/>
        <rFont val="Calibri"/>
        <family val="2"/>
        <scheme val="minor"/>
      </rPr>
      <t xml:space="preserve">DCIS + invasive carcinoma </t>
    </r>
    <r>
      <rPr>
        <sz val="10"/>
        <rFont val="Calibri"/>
        <family val="2"/>
        <scheme val="minor"/>
      </rPr>
      <t xml:space="preserve">that has been screen-detected during the screening  period </t>
    </r>
    <r>
      <rPr>
        <b/>
        <sz val="10"/>
        <rFont val="Calibri"/>
        <family val="2"/>
        <scheme val="minor"/>
      </rPr>
      <t xml:space="preserve">in women aged 39-49 years </t>
    </r>
    <r>
      <rPr>
        <sz val="10"/>
        <rFont val="Calibri"/>
        <family val="2"/>
        <scheme val="minor"/>
      </rPr>
      <t>(5 screening rounds or 1 exit screen);
study vs control group</t>
    </r>
  </si>
  <si>
    <r>
      <t>Total number of breast carcinomas (</t>
    </r>
    <r>
      <rPr>
        <b/>
        <sz val="10"/>
        <rFont val="Calibri"/>
        <family val="2"/>
        <scheme val="minor"/>
      </rPr>
      <t>invasive + DCIS</t>
    </r>
    <r>
      <rPr>
        <sz val="10"/>
        <rFont val="Calibri"/>
        <family val="2"/>
        <scheme val="minor"/>
      </rPr>
      <t>) diagnosed up to the time immediately after the first screen of the control group (excluding 4 cases of lobular carcinoma in situ in the study group)</t>
    </r>
  </si>
  <si>
    <t>Table 2, Table 4 and text: During the screening period of the trial there were 144 breast carcinomas diagnosed in the study group and 195 breast carcinomas diagnosed in the control group.</t>
  </si>
  <si>
    <r>
      <t xml:space="preserve">Absolute incidence of </t>
    </r>
    <r>
      <rPr>
        <b/>
        <sz val="10"/>
        <rFont val="Calibri"/>
        <family val="2"/>
        <scheme val="minor"/>
      </rPr>
      <t>lymph node-positive</t>
    </r>
    <r>
      <rPr>
        <sz val="10"/>
        <rFont val="Calibri"/>
        <family val="2"/>
        <scheme val="minor"/>
      </rPr>
      <t xml:space="preserve"> tumours during the screening phase </t>
    </r>
    <r>
      <rPr>
        <b/>
        <sz val="10"/>
        <rFont val="Calibri"/>
        <family val="2"/>
        <scheme val="minor"/>
      </rPr>
      <t xml:space="preserve">in women aged 39-49 years </t>
    </r>
    <r>
      <rPr>
        <sz val="10"/>
        <rFont val="Calibri"/>
        <family val="2"/>
        <scheme val="minor"/>
      </rPr>
      <t>(per 1,000 PY);
study vs control group</t>
    </r>
  </si>
  <si>
    <t>Lymph node-positive</t>
  </si>
  <si>
    <t>81,341 PY;
mean 6.9 years</t>
  </si>
  <si>
    <t>98,748 PY;
mean 6.9 years</t>
  </si>
  <si>
    <t>Number of  lymph node-positive tumours detected during the screening phase</t>
  </si>
  <si>
    <t>Table 7 and text: The relative incidence of lymph node positive tumors in the study group (0.65) is consistent with the effect on mortality (RR = 0.55).</t>
  </si>
  <si>
    <t>Table 7 and Table 4 (for denominator)</t>
  </si>
  <si>
    <r>
      <t>Diagnostic yield at screening (</t>
    </r>
    <r>
      <rPr>
        <b/>
        <sz val="10"/>
        <rFont val="Calibri"/>
        <family val="2"/>
        <scheme val="minor"/>
      </rPr>
      <t>invasive carcinoma</t>
    </r>
    <r>
      <rPr>
        <sz val="10"/>
        <rFont val="Calibri"/>
        <family val="2"/>
        <scheme val="minor"/>
      </rPr>
      <t>); per 1,000 women; 5 screening rounds;
study group only</t>
    </r>
  </si>
  <si>
    <t>Treatment centers, pathology laboratories, and the national cancer registration system.</t>
  </si>
  <si>
    <t>131,314 PY;
mean 6.1 years</t>
  </si>
  <si>
    <t>Number of screen-detected, invasive carcinoma (4-5 screening rounds)</t>
  </si>
  <si>
    <t>Detection status was defined as screen detected if the tumor was detected at a routine screen.</t>
  </si>
  <si>
    <r>
      <t>Diagnostic yield at screening (</t>
    </r>
    <r>
      <rPr>
        <b/>
        <sz val="10"/>
        <rFont val="Calibri"/>
        <family val="2"/>
        <scheme val="minor"/>
      </rPr>
      <t>DCIS +</t>
    </r>
    <r>
      <rPr>
        <sz val="10"/>
        <rFont val="Calibri"/>
        <family val="2"/>
        <scheme val="minor"/>
      </rPr>
      <t xml:space="preserve"> </t>
    </r>
    <r>
      <rPr>
        <b/>
        <sz val="10"/>
        <rFont val="Calibri"/>
        <family val="2"/>
        <scheme val="minor"/>
      </rPr>
      <t>invasive carcinoma</t>
    </r>
    <r>
      <rPr>
        <sz val="10"/>
        <rFont val="Calibri"/>
        <family val="2"/>
        <scheme val="minor"/>
      </rPr>
      <t>); per 1,000 women; 5 screening rounds (study) or screen 1 (controls);
study group vs control group</t>
    </r>
  </si>
  <si>
    <t>177,704 PY;
mean 5.9 years</t>
  </si>
  <si>
    <t>Number of screen-detected DCIS + invasive carcinoma (4-5 study screening rounds or 1 screen for controls)</t>
  </si>
  <si>
    <r>
      <t xml:space="preserve">% of </t>
    </r>
    <r>
      <rPr>
        <b/>
        <sz val="10"/>
        <rFont val="Calibri"/>
        <family val="2"/>
        <scheme val="minor"/>
      </rPr>
      <t xml:space="preserve">invasive carcinoma </t>
    </r>
    <r>
      <rPr>
        <sz val="10"/>
        <rFont val="Calibri"/>
        <family val="2"/>
        <scheme val="minor"/>
      </rPr>
      <t>that has been screen-detected during the screening  period; 5 screening rounds; follow-up until 31/12/1996;
study group only</t>
    </r>
  </si>
  <si>
    <r>
      <t xml:space="preserve">Total number of </t>
    </r>
    <r>
      <rPr>
        <b/>
        <sz val="10"/>
        <rFont val="Calibri"/>
        <family val="2"/>
        <scheme val="minor"/>
      </rPr>
      <t xml:space="preserve">invasive </t>
    </r>
    <r>
      <rPr>
        <sz val="10"/>
        <rFont val="Calibri"/>
        <family val="2"/>
        <scheme val="minor"/>
      </rPr>
      <t>breast carcinomas diagnosed up 31/12/1996</t>
    </r>
  </si>
  <si>
    <t>Table 1 and text: At the end of follow-up (SCB
follow-up model), there were 608 women in the study
group and 901 women in the control group with invasive
breast carcinoma.</t>
  </si>
  <si>
    <r>
      <t xml:space="preserve">% of </t>
    </r>
    <r>
      <rPr>
        <b/>
        <sz val="10"/>
        <rFont val="Calibri"/>
        <family val="2"/>
        <scheme val="minor"/>
      </rPr>
      <t xml:space="preserve">invasive carcinoma </t>
    </r>
    <r>
      <rPr>
        <sz val="10"/>
        <rFont val="Calibri"/>
        <family val="2"/>
        <scheme val="minor"/>
      </rPr>
      <t>that has been screen-detected during the screening  period; 5 screening rounds;
study group only</t>
    </r>
  </si>
  <si>
    <r>
      <t xml:space="preserve">Total number of </t>
    </r>
    <r>
      <rPr>
        <b/>
        <sz val="10"/>
        <rFont val="Calibri"/>
        <family val="2"/>
        <scheme val="minor"/>
      </rPr>
      <t xml:space="preserve">invasive </t>
    </r>
    <r>
      <rPr>
        <sz val="10"/>
        <rFont val="Calibri"/>
        <family val="2"/>
        <scheme val="minor"/>
      </rPr>
      <t>breast carcinomas detected during the screening period</t>
    </r>
  </si>
  <si>
    <t>Table 1 and text: There were 309 women diagnosed
with breast carcinomas in the study group during
the screening phase of the trial (271 invasive and
38 in situ [12%] tumors) and 455 women diagnosed
with breast carcinoma in the control group (415 invasive
and 40 in situ [9%]).</t>
  </si>
  <si>
    <r>
      <t xml:space="preserve">% of </t>
    </r>
    <r>
      <rPr>
        <b/>
        <sz val="10"/>
        <rFont val="Calibri"/>
        <family val="2"/>
        <scheme val="minor"/>
      </rPr>
      <t>DCIS +</t>
    </r>
    <r>
      <rPr>
        <sz val="10"/>
        <rFont val="Calibri"/>
        <family val="2"/>
        <scheme val="minor"/>
      </rPr>
      <t xml:space="preserve"> </t>
    </r>
    <r>
      <rPr>
        <b/>
        <sz val="10"/>
        <rFont val="Calibri"/>
        <family val="2"/>
        <scheme val="minor"/>
      </rPr>
      <t xml:space="preserve">invasive carcinoma </t>
    </r>
    <r>
      <rPr>
        <sz val="10"/>
        <rFont val="Calibri"/>
        <family val="2"/>
        <scheme val="minor"/>
      </rPr>
      <t>that has been screen-detected during the screening  period; 5 screening rounds;
study group only</t>
    </r>
  </si>
  <si>
    <t>Number of screen-detected, invasive carcinoma or DCIS (4-5 screening rounds)</t>
  </si>
  <si>
    <r>
      <t>Total number of</t>
    </r>
    <r>
      <rPr>
        <b/>
        <sz val="10"/>
        <rFont val="Calibri"/>
        <family val="2"/>
        <scheme val="minor"/>
      </rPr>
      <t xml:space="preserve"> breast carcinomas (invasive or DCIS)</t>
    </r>
    <r>
      <rPr>
        <sz val="10"/>
        <rFont val="Calibri"/>
        <family val="2"/>
        <scheme val="minor"/>
      </rPr>
      <t xml:space="preserve"> detected during the screening period</t>
    </r>
  </si>
  <si>
    <r>
      <t>Diagnostic yield at screening (</t>
    </r>
    <r>
      <rPr>
        <b/>
        <sz val="10"/>
        <rFont val="Calibri"/>
        <family val="2"/>
        <scheme val="minor"/>
      </rPr>
      <t>invasive carcinoma</t>
    </r>
    <r>
      <rPr>
        <sz val="10"/>
        <rFont val="Calibri"/>
        <family val="2"/>
        <scheme val="minor"/>
      </rPr>
      <t xml:space="preserve">); per 1,000 women </t>
    </r>
    <r>
      <rPr>
        <b/>
        <sz val="10"/>
        <rFont val="Calibri"/>
        <family val="2"/>
        <scheme val="minor"/>
      </rPr>
      <t>aged 39-44 years</t>
    </r>
    <r>
      <rPr>
        <sz val="10"/>
        <rFont val="Calibri"/>
        <family val="2"/>
        <scheme val="minor"/>
      </rPr>
      <t>; 5 screening rounds;
study group only</t>
    </r>
  </si>
  <si>
    <t>46,661 PY;
mean 7.1 years</t>
  </si>
  <si>
    <r>
      <t xml:space="preserve">Number of screen-detected, invasive carcinoma </t>
    </r>
    <r>
      <rPr>
        <b/>
        <sz val="10"/>
        <rFont val="Calibri"/>
        <family val="2"/>
        <scheme val="minor"/>
      </rPr>
      <t>in women aged 39-44 years</t>
    </r>
    <r>
      <rPr>
        <sz val="10"/>
        <rFont val="Calibri"/>
        <family val="2"/>
        <scheme val="minor"/>
      </rPr>
      <t xml:space="preserve"> (4-5 screening rounds)</t>
    </r>
  </si>
  <si>
    <r>
      <t xml:space="preserve">Number of people analysed </t>
    </r>
    <r>
      <rPr>
        <b/>
        <sz val="10"/>
        <rFont val="Calibri"/>
        <family val="2"/>
        <scheme val="minor"/>
      </rPr>
      <t>in women aged 39-44 years</t>
    </r>
    <r>
      <rPr>
        <sz val="10"/>
        <rFont val="Calibri"/>
        <family val="2"/>
        <scheme val="minor"/>
      </rPr>
      <t>, by arm</t>
    </r>
  </si>
  <si>
    <r>
      <t>Diagnostic yield at screening (</t>
    </r>
    <r>
      <rPr>
        <b/>
        <sz val="10"/>
        <rFont val="Calibri"/>
        <family val="2"/>
        <scheme val="minor"/>
      </rPr>
      <t>DCIS +</t>
    </r>
    <r>
      <rPr>
        <sz val="10"/>
        <rFont val="Calibri"/>
        <family val="2"/>
        <scheme val="minor"/>
      </rPr>
      <t xml:space="preserve"> </t>
    </r>
    <r>
      <rPr>
        <b/>
        <sz val="10"/>
        <rFont val="Calibri"/>
        <family val="2"/>
        <scheme val="minor"/>
      </rPr>
      <t>invasive carcinoma</t>
    </r>
    <r>
      <rPr>
        <sz val="10"/>
        <rFont val="Calibri"/>
        <family val="2"/>
        <scheme val="minor"/>
      </rPr>
      <t xml:space="preserve">); per 1,000 women </t>
    </r>
    <r>
      <rPr>
        <b/>
        <sz val="10"/>
        <rFont val="Calibri"/>
        <family val="2"/>
        <scheme val="minor"/>
      </rPr>
      <t>aged 39-44 years</t>
    </r>
    <r>
      <rPr>
        <sz val="10"/>
        <rFont val="Calibri"/>
        <family val="2"/>
        <scheme val="minor"/>
      </rPr>
      <t>;  5 screening rounds (study) or screen 1 (controls);
study group vs control group</t>
    </r>
  </si>
  <si>
    <r>
      <t xml:space="preserve">Number of screen-detected, DCIS + invasive carcinoma </t>
    </r>
    <r>
      <rPr>
        <b/>
        <sz val="10"/>
        <rFont val="Calibri"/>
        <family val="2"/>
        <scheme val="minor"/>
      </rPr>
      <t>in women aged 39-44 years</t>
    </r>
    <r>
      <rPr>
        <sz val="10"/>
        <rFont val="Calibri"/>
        <family val="2"/>
        <scheme val="minor"/>
      </rPr>
      <t xml:space="preserve"> (4-5 screening rounds)</t>
    </r>
  </si>
  <si>
    <r>
      <t xml:space="preserve">% of </t>
    </r>
    <r>
      <rPr>
        <b/>
        <sz val="10"/>
        <rFont val="Calibri"/>
        <family val="2"/>
        <scheme val="minor"/>
      </rPr>
      <t xml:space="preserve">invasive carcinoma </t>
    </r>
    <r>
      <rPr>
        <sz val="10"/>
        <rFont val="Calibri"/>
        <family val="2"/>
        <scheme val="minor"/>
      </rPr>
      <t xml:space="preserve">that has been screen-detected </t>
    </r>
    <r>
      <rPr>
        <b/>
        <sz val="10"/>
        <rFont val="Calibri"/>
        <family val="2"/>
        <scheme val="minor"/>
      </rPr>
      <t>in women aged 39-44 years</t>
    </r>
    <r>
      <rPr>
        <sz val="10"/>
        <rFont val="Calibri"/>
        <family val="2"/>
        <scheme val="minor"/>
      </rPr>
      <t xml:space="preserve"> during the screening  period; 5 screening rounds;
study group only</t>
    </r>
  </si>
  <si>
    <r>
      <t xml:space="preserve">Total number of </t>
    </r>
    <r>
      <rPr>
        <b/>
        <sz val="10"/>
        <rFont val="Calibri"/>
        <family val="2"/>
        <scheme val="minor"/>
      </rPr>
      <t xml:space="preserve">invasive </t>
    </r>
    <r>
      <rPr>
        <sz val="10"/>
        <rFont val="Calibri"/>
        <family val="2"/>
        <scheme val="minor"/>
      </rPr>
      <t xml:space="preserve">breast carcinomas detected during the screening period </t>
    </r>
    <r>
      <rPr>
        <b/>
        <sz val="10"/>
        <rFont val="Calibri"/>
        <family val="2"/>
        <scheme val="minor"/>
      </rPr>
      <t>in women aged 39-44 years</t>
    </r>
  </si>
  <si>
    <r>
      <t xml:space="preserve">% of </t>
    </r>
    <r>
      <rPr>
        <b/>
        <sz val="10"/>
        <rFont val="Calibri"/>
        <family val="2"/>
        <scheme val="minor"/>
      </rPr>
      <t>DCIS +</t>
    </r>
    <r>
      <rPr>
        <sz val="10"/>
        <rFont val="Calibri"/>
        <family val="2"/>
        <scheme val="minor"/>
      </rPr>
      <t xml:space="preserve"> </t>
    </r>
    <r>
      <rPr>
        <b/>
        <sz val="10"/>
        <rFont val="Calibri"/>
        <family val="2"/>
        <scheme val="minor"/>
      </rPr>
      <t xml:space="preserve">invasive carcinoma </t>
    </r>
    <r>
      <rPr>
        <sz val="10"/>
        <rFont val="Calibri"/>
        <family val="2"/>
        <scheme val="minor"/>
      </rPr>
      <t xml:space="preserve">that has been screen-detected </t>
    </r>
    <r>
      <rPr>
        <b/>
        <sz val="10"/>
        <rFont val="Calibri"/>
        <family val="2"/>
        <scheme val="minor"/>
      </rPr>
      <t xml:space="preserve">in women aged 39-44 years </t>
    </r>
    <r>
      <rPr>
        <sz val="10"/>
        <rFont val="Calibri"/>
        <family val="2"/>
        <scheme val="minor"/>
      </rPr>
      <t>during the screening  period; 5 screening rounds;
study group only</t>
    </r>
  </si>
  <si>
    <r>
      <t xml:space="preserve">Number of screen-detected, invasive carcinoma or DCIS </t>
    </r>
    <r>
      <rPr>
        <b/>
        <sz val="10"/>
        <rFont val="Calibri"/>
        <family val="2"/>
        <scheme val="minor"/>
      </rPr>
      <t>in women aged 39-44 year</t>
    </r>
    <r>
      <rPr>
        <sz val="10"/>
        <rFont val="Calibri"/>
        <family val="2"/>
        <scheme val="minor"/>
      </rPr>
      <t>s(4-5 screening rounds)</t>
    </r>
  </si>
  <si>
    <r>
      <t>Total number of</t>
    </r>
    <r>
      <rPr>
        <b/>
        <sz val="10"/>
        <rFont val="Calibri"/>
        <family val="2"/>
        <scheme val="minor"/>
      </rPr>
      <t xml:space="preserve"> breast carcinomas (invasive or DCIS)</t>
    </r>
    <r>
      <rPr>
        <sz val="10"/>
        <rFont val="Calibri"/>
        <family val="2"/>
        <scheme val="minor"/>
      </rPr>
      <t xml:space="preserve"> detected during the screening period </t>
    </r>
    <r>
      <rPr>
        <b/>
        <sz val="10"/>
        <rFont val="Calibri"/>
        <family val="2"/>
        <scheme val="minor"/>
      </rPr>
      <t>in women aged 39-44 years</t>
    </r>
  </si>
  <si>
    <r>
      <t>Diagnostic yield at screening (</t>
    </r>
    <r>
      <rPr>
        <b/>
        <sz val="10"/>
        <rFont val="Calibri"/>
        <family val="2"/>
        <scheme val="minor"/>
      </rPr>
      <t>invasive carcinoma</t>
    </r>
    <r>
      <rPr>
        <sz val="10"/>
        <rFont val="Calibri"/>
        <family val="2"/>
        <scheme val="minor"/>
      </rPr>
      <t xml:space="preserve">); per 1,000 women </t>
    </r>
    <r>
      <rPr>
        <b/>
        <sz val="10"/>
        <rFont val="Calibri"/>
        <family val="2"/>
        <scheme val="minor"/>
      </rPr>
      <t>aged 45-49 years</t>
    </r>
    <r>
      <rPr>
        <sz val="10"/>
        <rFont val="Calibri"/>
        <family val="2"/>
        <scheme val="minor"/>
      </rPr>
      <t>; 5 screening rounds;
study group only</t>
    </r>
  </si>
  <si>
    <t>35,089 PY;
mean 6.8 years</t>
  </si>
  <si>
    <r>
      <t xml:space="preserve">Number of screen-detected, invasive carcinoma </t>
    </r>
    <r>
      <rPr>
        <b/>
        <sz val="10"/>
        <rFont val="Calibri"/>
        <family val="2"/>
        <scheme val="minor"/>
      </rPr>
      <t>in women aged 45-49 years</t>
    </r>
    <r>
      <rPr>
        <sz val="10"/>
        <rFont val="Calibri"/>
        <family val="2"/>
        <scheme val="minor"/>
      </rPr>
      <t xml:space="preserve"> (4-5 screening rounds)</t>
    </r>
  </si>
  <si>
    <r>
      <t xml:space="preserve">Number of people analysed </t>
    </r>
    <r>
      <rPr>
        <b/>
        <sz val="10"/>
        <rFont val="Calibri"/>
        <family val="2"/>
        <scheme val="minor"/>
      </rPr>
      <t>in women aged 45-49 years</t>
    </r>
    <r>
      <rPr>
        <sz val="10"/>
        <rFont val="Calibri"/>
        <family val="2"/>
        <scheme val="minor"/>
      </rPr>
      <t>, by arm</t>
    </r>
  </si>
  <si>
    <r>
      <t>Diagnostic yield at screening (</t>
    </r>
    <r>
      <rPr>
        <b/>
        <sz val="10"/>
        <rFont val="Calibri"/>
        <family val="2"/>
        <scheme val="minor"/>
      </rPr>
      <t>DCIS +</t>
    </r>
    <r>
      <rPr>
        <sz val="10"/>
        <rFont val="Calibri"/>
        <family val="2"/>
        <scheme val="minor"/>
      </rPr>
      <t xml:space="preserve"> </t>
    </r>
    <r>
      <rPr>
        <b/>
        <sz val="10"/>
        <rFont val="Calibri"/>
        <family val="2"/>
        <scheme val="minor"/>
      </rPr>
      <t>invasive carcinoma</t>
    </r>
    <r>
      <rPr>
        <sz val="10"/>
        <rFont val="Calibri"/>
        <family val="2"/>
        <scheme val="minor"/>
      </rPr>
      <t xml:space="preserve">); per 1,000 women </t>
    </r>
    <r>
      <rPr>
        <b/>
        <sz val="10"/>
        <rFont val="Calibri"/>
        <family val="2"/>
        <scheme val="minor"/>
      </rPr>
      <t>aged 45-49 years</t>
    </r>
    <r>
      <rPr>
        <sz val="10"/>
        <rFont val="Calibri"/>
        <family val="2"/>
        <scheme val="minor"/>
      </rPr>
      <t>; 5 screening rounds (study) or screen 1 (controls);
study group vs control group</t>
    </r>
  </si>
  <si>
    <r>
      <t xml:space="preserve">Number of screen-detected, DCIS + invasive carcinoma </t>
    </r>
    <r>
      <rPr>
        <b/>
        <sz val="10"/>
        <rFont val="Calibri"/>
        <family val="2"/>
        <scheme val="minor"/>
      </rPr>
      <t>in women aged 45-49 years</t>
    </r>
    <r>
      <rPr>
        <sz val="10"/>
        <rFont val="Calibri"/>
        <family val="2"/>
        <scheme val="minor"/>
      </rPr>
      <t xml:space="preserve"> (4-5 screening rounds)</t>
    </r>
  </si>
  <si>
    <r>
      <t xml:space="preserve">% of </t>
    </r>
    <r>
      <rPr>
        <b/>
        <sz val="10"/>
        <rFont val="Calibri"/>
        <family val="2"/>
        <scheme val="minor"/>
      </rPr>
      <t xml:space="preserve">invasive carcinoma </t>
    </r>
    <r>
      <rPr>
        <sz val="10"/>
        <rFont val="Calibri"/>
        <family val="2"/>
        <scheme val="minor"/>
      </rPr>
      <t xml:space="preserve">that has been screen-detected </t>
    </r>
    <r>
      <rPr>
        <b/>
        <sz val="10"/>
        <rFont val="Calibri"/>
        <family val="2"/>
        <scheme val="minor"/>
      </rPr>
      <t>in women aged 45-49 years</t>
    </r>
    <r>
      <rPr>
        <sz val="10"/>
        <rFont val="Calibri"/>
        <family val="2"/>
        <scheme val="minor"/>
      </rPr>
      <t xml:space="preserve"> during the screening  period; 5 screening rounds;
study group only</t>
    </r>
  </si>
  <si>
    <r>
      <t xml:space="preserve">Total number of </t>
    </r>
    <r>
      <rPr>
        <b/>
        <sz val="10"/>
        <rFont val="Calibri"/>
        <family val="2"/>
        <scheme val="minor"/>
      </rPr>
      <t xml:space="preserve">invasive </t>
    </r>
    <r>
      <rPr>
        <sz val="10"/>
        <rFont val="Calibri"/>
        <family val="2"/>
        <scheme val="minor"/>
      </rPr>
      <t xml:space="preserve">breast carcinomas detected during the screening period </t>
    </r>
    <r>
      <rPr>
        <b/>
        <sz val="10"/>
        <rFont val="Calibri"/>
        <family val="2"/>
        <scheme val="minor"/>
      </rPr>
      <t>in women aged 45-49 years</t>
    </r>
  </si>
  <si>
    <r>
      <t xml:space="preserve">% of </t>
    </r>
    <r>
      <rPr>
        <b/>
        <sz val="10"/>
        <rFont val="Calibri"/>
        <family val="2"/>
        <scheme val="minor"/>
      </rPr>
      <t>DCIS +</t>
    </r>
    <r>
      <rPr>
        <sz val="10"/>
        <rFont val="Calibri"/>
        <family val="2"/>
        <scheme val="minor"/>
      </rPr>
      <t xml:space="preserve"> </t>
    </r>
    <r>
      <rPr>
        <b/>
        <sz val="10"/>
        <rFont val="Calibri"/>
        <family val="2"/>
        <scheme val="minor"/>
      </rPr>
      <t xml:space="preserve">invasive carcinoma </t>
    </r>
    <r>
      <rPr>
        <sz val="10"/>
        <rFont val="Calibri"/>
        <family val="2"/>
        <scheme val="minor"/>
      </rPr>
      <t xml:space="preserve">that has been screen-detected </t>
    </r>
    <r>
      <rPr>
        <b/>
        <sz val="10"/>
        <rFont val="Calibri"/>
        <family val="2"/>
        <scheme val="minor"/>
      </rPr>
      <t xml:space="preserve">in women aged 45-49 years </t>
    </r>
    <r>
      <rPr>
        <sz val="10"/>
        <rFont val="Calibri"/>
        <family val="2"/>
        <scheme val="minor"/>
      </rPr>
      <t>during the screening  period; 5 screening rounds;
study group only</t>
    </r>
  </si>
  <si>
    <r>
      <t xml:space="preserve">Number of screen-detected, invasive carcinoma or DCIS </t>
    </r>
    <r>
      <rPr>
        <b/>
        <sz val="10"/>
        <rFont val="Calibri"/>
        <family val="2"/>
        <scheme val="minor"/>
      </rPr>
      <t>in women aged 45-49 year</t>
    </r>
    <r>
      <rPr>
        <sz val="10"/>
        <rFont val="Calibri"/>
        <family val="2"/>
        <scheme val="minor"/>
      </rPr>
      <t>s(4-5 screening rounds)</t>
    </r>
  </si>
  <si>
    <r>
      <t>Total number of</t>
    </r>
    <r>
      <rPr>
        <b/>
        <sz val="10"/>
        <rFont val="Calibri"/>
        <family val="2"/>
        <scheme val="minor"/>
      </rPr>
      <t xml:space="preserve"> breast carcinomas (invasive or DCIS)</t>
    </r>
    <r>
      <rPr>
        <sz val="10"/>
        <rFont val="Calibri"/>
        <family val="2"/>
        <scheme val="minor"/>
      </rPr>
      <t xml:space="preserve"> detected during the screening period </t>
    </r>
    <r>
      <rPr>
        <b/>
        <sz val="10"/>
        <rFont val="Calibri"/>
        <family val="2"/>
        <scheme val="minor"/>
      </rPr>
      <t>in women aged 45-49 years</t>
    </r>
  </si>
  <si>
    <r>
      <t>Diagnostic yield at screening (</t>
    </r>
    <r>
      <rPr>
        <b/>
        <sz val="10"/>
        <rFont val="Calibri"/>
        <family val="2"/>
        <scheme val="minor"/>
      </rPr>
      <t>invasive carcinoma</t>
    </r>
    <r>
      <rPr>
        <sz val="10"/>
        <rFont val="Calibri"/>
        <family val="2"/>
        <scheme val="minor"/>
      </rPr>
      <t xml:space="preserve">); per 1,000 women </t>
    </r>
    <r>
      <rPr>
        <b/>
        <sz val="10"/>
        <rFont val="Calibri"/>
        <family val="2"/>
        <scheme val="minor"/>
      </rPr>
      <t>aged 50-54 years</t>
    </r>
    <r>
      <rPr>
        <sz val="10"/>
        <rFont val="Calibri"/>
        <family val="2"/>
        <scheme val="minor"/>
      </rPr>
      <t>; 5 screening rounds;
study group only</t>
    </r>
  </si>
  <si>
    <t>24,346;
mean 5.1 years</t>
  </si>
  <si>
    <r>
      <t xml:space="preserve">Number of screen-detected, invasive carcinoma </t>
    </r>
    <r>
      <rPr>
        <b/>
        <sz val="10"/>
        <rFont val="Calibri"/>
        <family val="2"/>
        <scheme val="minor"/>
      </rPr>
      <t>in women aged 50-54 years</t>
    </r>
    <r>
      <rPr>
        <sz val="10"/>
        <rFont val="Calibri"/>
        <family val="2"/>
        <scheme val="minor"/>
      </rPr>
      <t xml:space="preserve"> (4-5 screening rounds)</t>
    </r>
  </si>
  <si>
    <r>
      <t xml:space="preserve">Number of people analysed </t>
    </r>
    <r>
      <rPr>
        <b/>
        <sz val="10"/>
        <rFont val="Calibri"/>
        <family val="2"/>
        <scheme val="minor"/>
      </rPr>
      <t>in women aged 50-54 years</t>
    </r>
    <r>
      <rPr>
        <sz val="10"/>
        <rFont val="Calibri"/>
        <family val="2"/>
        <scheme val="minor"/>
      </rPr>
      <t>, by arm</t>
    </r>
  </si>
  <si>
    <r>
      <t>Diagnostic yield at screening (</t>
    </r>
    <r>
      <rPr>
        <b/>
        <sz val="10"/>
        <rFont val="Calibri"/>
        <family val="2"/>
        <scheme val="minor"/>
      </rPr>
      <t>DCIS +</t>
    </r>
    <r>
      <rPr>
        <sz val="10"/>
        <rFont val="Calibri"/>
        <family val="2"/>
        <scheme val="minor"/>
      </rPr>
      <t xml:space="preserve"> </t>
    </r>
    <r>
      <rPr>
        <b/>
        <sz val="10"/>
        <rFont val="Calibri"/>
        <family val="2"/>
        <scheme val="minor"/>
      </rPr>
      <t>invasive carcinoma</t>
    </r>
    <r>
      <rPr>
        <sz val="10"/>
        <rFont val="Calibri"/>
        <family val="2"/>
        <scheme val="minor"/>
      </rPr>
      <t xml:space="preserve">); per 1,000 women </t>
    </r>
    <r>
      <rPr>
        <b/>
        <sz val="10"/>
        <rFont val="Calibri"/>
        <family val="2"/>
        <scheme val="minor"/>
      </rPr>
      <t>aged 50-54 years</t>
    </r>
    <r>
      <rPr>
        <sz val="10"/>
        <rFont val="Calibri"/>
        <family val="2"/>
        <scheme val="minor"/>
      </rPr>
      <t>; 5 screening rounds (study) or screen 1 (controls);
study group vs control group</t>
    </r>
  </si>
  <si>
    <r>
      <t xml:space="preserve">Number of screen-detected, DCIS + invasive carcinoma </t>
    </r>
    <r>
      <rPr>
        <b/>
        <sz val="10"/>
        <rFont val="Calibri"/>
        <family val="2"/>
        <scheme val="minor"/>
      </rPr>
      <t>in women aged 50-54  years</t>
    </r>
    <r>
      <rPr>
        <sz val="10"/>
        <rFont val="Calibri"/>
        <family val="2"/>
        <scheme val="minor"/>
      </rPr>
      <t xml:space="preserve"> (4-5 screening rounds)</t>
    </r>
  </si>
  <si>
    <r>
      <t xml:space="preserve">% of </t>
    </r>
    <r>
      <rPr>
        <b/>
        <sz val="10"/>
        <rFont val="Calibri"/>
        <family val="2"/>
        <scheme val="minor"/>
      </rPr>
      <t xml:space="preserve">invasive carcinoma </t>
    </r>
    <r>
      <rPr>
        <sz val="10"/>
        <rFont val="Calibri"/>
        <family val="2"/>
        <scheme val="minor"/>
      </rPr>
      <t xml:space="preserve">that has been screen-detected </t>
    </r>
    <r>
      <rPr>
        <b/>
        <sz val="10"/>
        <rFont val="Calibri"/>
        <family val="2"/>
        <scheme val="minor"/>
      </rPr>
      <t>in women aged 50-54 years</t>
    </r>
    <r>
      <rPr>
        <sz val="10"/>
        <rFont val="Calibri"/>
        <family val="2"/>
        <scheme val="minor"/>
      </rPr>
      <t xml:space="preserve"> during the screening  period; 5 screening rounds;
study group only</t>
    </r>
  </si>
  <si>
    <r>
      <t xml:space="preserve">Total number of </t>
    </r>
    <r>
      <rPr>
        <b/>
        <sz val="10"/>
        <rFont val="Calibri"/>
        <family val="2"/>
        <scheme val="minor"/>
      </rPr>
      <t xml:space="preserve">invasive </t>
    </r>
    <r>
      <rPr>
        <sz val="10"/>
        <rFont val="Calibri"/>
        <family val="2"/>
        <scheme val="minor"/>
      </rPr>
      <t xml:space="preserve">breast carcinomas detected during the screening period </t>
    </r>
    <r>
      <rPr>
        <b/>
        <sz val="10"/>
        <rFont val="Calibri"/>
        <family val="2"/>
        <scheme val="minor"/>
      </rPr>
      <t>in women aged 50-54 years</t>
    </r>
  </si>
  <si>
    <r>
      <t xml:space="preserve">% of </t>
    </r>
    <r>
      <rPr>
        <b/>
        <sz val="10"/>
        <rFont val="Calibri"/>
        <family val="2"/>
        <scheme val="minor"/>
      </rPr>
      <t>DCIS +</t>
    </r>
    <r>
      <rPr>
        <sz val="10"/>
        <rFont val="Calibri"/>
        <family val="2"/>
        <scheme val="minor"/>
      </rPr>
      <t xml:space="preserve"> </t>
    </r>
    <r>
      <rPr>
        <b/>
        <sz val="10"/>
        <rFont val="Calibri"/>
        <family val="2"/>
        <scheme val="minor"/>
      </rPr>
      <t xml:space="preserve">invasive carcinoma </t>
    </r>
    <r>
      <rPr>
        <sz val="10"/>
        <rFont val="Calibri"/>
        <family val="2"/>
        <scheme val="minor"/>
      </rPr>
      <t xml:space="preserve">that has been screen-detected </t>
    </r>
    <r>
      <rPr>
        <b/>
        <sz val="10"/>
        <rFont val="Calibri"/>
        <family val="2"/>
        <scheme val="minor"/>
      </rPr>
      <t xml:space="preserve">in women aged 50-54 years </t>
    </r>
    <r>
      <rPr>
        <sz val="10"/>
        <rFont val="Calibri"/>
        <family val="2"/>
        <scheme val="minor"/>
      </rPr>
      <t>during the screening  period; 5 screening rounds;
study group only</t>
    </r>
  </si>
  <si>
    <r>
      <t xml:space="preserve">Number of screen-detected, invasive carcinoma or DCIS </t>
    </r>
    <r>
      <rPr>
        <b/>
        <sz val="10"/>
        <rFont val="Calibri"/>
        <family val="2"/>
        <scheme val="minor"/>
      </rPr>
      <t>in women aged 50-54 year</t>
    </r>
    <r>
      <rPr>
        <sz val="10"/>
        <rFont val="Calibri"/>
        <family val="2"/>
        <scheme val="minor"/>
      </rPr>
      <t>s(4-5 screening rounds)</t>
    </r>
  </si>
  <si>
    <r>
      <t>Total number of</t>
    </r>
    <r>
      <rPr>
        <b/>
        <sz val="10"/>
        <rFont val="Calibri"/>
        <family val="2"/>
        <scheme val="minor"/>
      </rPr>
      <t xml:space="preserve"> breast carcinomas (invasive or DCIS)</t>
    </r>
    <r>
      <rPr>
        <sz val="10"/>
        <rFont val="Calibri"/>
        <family val="2"/>
        <scheme val="minor"/>
      </rPr>
      <t xml:space="preserve"> detected during the screening period </t>
    </r>
    <r>
      <rPr>
        <b/>
        <sz val="10"/>
        <rFont val="Calibri"/>
        <family val="2"/>
        <scheme val="minor"/>
      </rPr>
      <t>in women aged 50-54 years</t>
    </r>
  </si>
  <si>
    <r>
      <t>Diagnostic yield at screening (</t>
    </r>
    <r>
      <rPr>
        <b/>
        <sz val="10"/>
        <rFont val="Calibri"/>
        <family val="2"/>
        <scheme val="minor"/>
      </rPr>
      <t>invasive carcinoma</t>
    </r>
    <r>
      <rPr>
        <sz val="10"/>
        <rFont val="Calibri"/>
        <family val="2"/>
        <scheme val="minor"/>
      </rPr>
      <t xml:space="preserve">); per 1,000 women </t>
    </r>
    <r>
      <rPr>
        <b/>
        <sz val="10"/>
        <rFont val="Calibri"/>
        <family val="2"/>
        <scheme val="minor"/>
      </rPr>
      <t>aged 55-59 years</t>
    </r>
    <r>
      <rPr>
        <sz val="10"/>
        <rFont val="Calibri"/>
        <family val="2"/>
        <scheme val="minor"/>
      </rPr>
      <t>; 5 screening rounds;
study group only</t>
    </r>
  </si>
  <si>
    <t>25,218 PY;
mean 4.9 years</t>
  </si>
  <si>
    <r>
      <t xml:space="preserve">Number of screen-detected, invasive carcinoma </t>
    </r>
    <r>
      <rPr>
        <b/>
        <sz val="10"/>
        <rFont val="Calibri"/>
        <family val="2"/>
        <scheme val="minor"/>
      </rPr>
      <t>in women aged 55-59 years</t>
    </r>
    <r>
      <rPr>
        <sz val="10"/>
        <rFont val="Calibri"/>
        <family val="2"/>
        <scheme val="minor"/>
      </rPr>
      <t xml:space="preserve"> (4-5 screening rounds)</t>
    </r>
  </si>
  <si>
    <r>
      <t xml:space="preserve">Number of people analysed </t>
    </r>
    <r>
      <rPr>
        <b/>
        <sz val="10"/>
        <rFont val="Calibri"/>
        <family val="2"/>
        <scheme val="minor"/>
      </rPr>
      <t>in women aged 55-59 years</t>
    </r>
    <r>
      <rPr>
        <sz val="10"/>
        <rFont val="Calibri"/>
        <family val="2"/>
        <scheme val="minor"/>
      </rPr>
      <t>, by arm</t>
    </r>
  </si>
  <si>
    <r>
      <t>Diagnostic yield at screening (</t>
    </r>
    <r>
      <rPr>
        <b/>
        <sz val="10"/>
        <rFont val="Calibri"/>
        <family val="2"/>
        <scheme val="minor"/>
      </rPr>
      <t>DCIS +</t>
    </r>
    <r>
      <rPr>
        <sz val="10"/>
        <rFont val="Calibri"/>
        <family val="2"/>
        <scheme val="minor"/>
      </rPr>
      <t xml:space="preserve"> </t>
    </r>
    <r>
      <rPr>
        <b/>
        <sz val="10"/>
        <rFont val="Calibri"/>
        <family val="2"/>
        <scheme val="minor"/>
      </rPr>
      <t>invasive carcinoma</t>
    </r>
    <r>
      <rPr>
        <sz val="10"/>
        <rFont val="Calibri"/>
        <family val="2"/>
        <scheme val="minor"/>
      </rPr>
      <t xml:space="preserve">); per 1,000 women </t>
    </r>
    <r>
      <rPr>
        <b/>
        <sz val="10"/>
        <rFont val="Calibri"/>
        <family val="2"/>
        <scheme val="minor"/>
      </rPr>
      <t>aged 55-59 years</t>
    </r>
    <r>
      <rPr>
        <sz val="10"/>
        <rFont val="Calibri"/>
        <family val="2"/>
        <scheme val="minor"/>
      </rPr>
      <t>;  5 screening rounds (study) or screen 1 (controls);
study group vs control group</t>
    </r>
  </si>
  <si>
    <r>
      <t xml:space="preserve">Number of screen-detected, DCIS + invasive carcinoma </t>
    </r>
    <r>
      <rPr>
        <b/>
        <sz val="10"/>
        <rFont val="Calibri"/>
        <family val="2"/>
        <scheme val="minor"/>
      </rPr>
      <t>in women aged 55-59 years</t>
    </r>
    <r>
      <rPr>
        <sz val="10"/>
        <rFont val="Calibri"/>
        <family val="2"/>
        <scheme val="minor"/>
      </rPr>
      <t xml:space="preserve"> (4-5 screening rounds)</t>
    </r>
  </si>
  <si>
    <r>
      <t xml:space="preserve">% of </t>
    </r>
    <r>
      <rPr>
        <b/>
        <sz val="10"/>
        <rFont val="Calibri"/>
        <family val="2"/>
        <scheme val="minor"/>
      </rPr>
      <t xml:space="preserve">invasive carcinoma </t>
    </r>
    <r>
      <rPr>
        <sz val="10"/>
        <rFont val="Calibri"/>
        <family val="2"/>
        <scheme val="minor"/>
      </rPr>
      <t xml:space="preserve">that has been screen-detected </t>
    </r>
    <r>
      <rPr>
        <b/>
        <sz val="10"/>
        <rFont val="Calibri"/>
        <family val="2"/>
        <scheme val="minor"/>
      </rPr>
      <t>in women aged 55-59 years</t>
    </r>
    <r>
      <rPr>
        <sz val="10"/>
        <rFont val="Calibri"/>
        <family val="2"/>
        <scheme val="minor"/>
      </rPr>
      <t xml:space="preserve"> during the screening  period; 5 screening rounds;
study group only</t>
    </r>
  </si>
  <si>
    <r>
      <t xml:space="preserve">Total number of </t>
    </r>
    <r>
      <rPr>
        <b/>
        <sz val="10"/>
        <rFont val="Calibri"/>
        <family val="2"/>
        <scheme val="minor"/>
      </rPr>
      <t xml:space="preserve">invasive </t>
    </r>
    <r>
      <rPr>
        <sz val="10"/>
        <rFont val="Calibri"/>
        <family val="2"/>
        <scheme val="minor"/>
      </rPr>
      <t xml:space="preserve">breast carcinomas detected during the screening period </t>
    </r>
    <r>
      <rPr>
        <b/>
        <sz val="10"/>
        <rFont val="Calibri"/>
        <family val="2"/>
        <scheme val="minor"/>
      </rPr>
      <t>in women aged 55-59 years</t>
    </r>
  </si>
  <si>
    <r>
      <t xml:space="preserve">% of </t>
    </r>
    <r>
      <rPr>
        <b/>
        <sz val="10"/>
        <rFont val="Calibri"/>
        <family val="2"/>
        <scheme val="minor"/>
      </rPr>
      <t>DCIS +</t>
    </r>
    <r>
      <rPr>
        <sz val="10"/>
        <rFont val="Calibri"/>
        <family val="2"/>
        <scheme val="minor"/>
      </rPr>
      <t xml:space="preserve"> </t>
    </r>
    <r>
      <rPr>
        <b/>
        <sz val="10"/>
        <rFont val="Calibri"/>
        <family val="2"/>
        <scheme val="minor"/>
      </rPr>
      <t xml:space="preserve">invasive carcinoma </t>
    </r>
    <r>
      <rPr>
        <sz val="10"/>
        <rFont val="Calibri"/>
        <family val="2"/>
        <scheme val="minor"/>
      </rPr>
      <t xml:space="preserve">that has been screen-detected </t>
    </r>
    <r>
      <rPr>
        <b/>
        <sz val="10"/>
        <rFont val="Calibri"/>
        <family val="2"/>
        <scheme val="minor"/>
      </rPr>
      <t xml:space="preserve">in women aged 55-59 years </t>
    </r>
    <r>
      <rPr>
        <sz val="10"/>
        <rFont val="Calibri"/>
        <family val="2"/>
        <scheme val="minor"/>
      </rPr>
      <t>during the screening  period; 5 screening rounds;
study group only</t>
    </r>
  </si>
  <si>
    <r>
      <t xml:space="preserve">Number of screen-detected, invasive carcinoma or DCIS </t>
    </r>
    <r>
      <rPr>
        <b/>
        <sz val="10"/>
        <rFont val="Calibri"/>
        <family val="2"/>
        <scheme val="minor"/>
      </rPr>
      <t>in women aged 55-59 year</t>
    </r>
    <r>
      <rPr>
        <sz val="10"/>
        <rFont val="Calibri"/>
        <family val="2"/>
        <scheme val="minor"/>
      </rPr>
      <t>s(4-5 screening rounds)</t>
    </r>
  </si>
  <si>
    <r>
      <t>Total number of</t>
    </r>
    <r>
      <rPr>
        <b/>
        <sz val="10"/>
        <rFont val="Calibri"/>
        <family val="2"/>
        <scheme val="minor"/>
      </rPr>
      <t xml:space="preserve"> breast carcinomas (invasive or DCIS)</t>
    </r>
    <r>
      <rPr>
        <sz val="10"/>
        <rFont val="Calibri"/>
        <family val="2"/>
        <scheme val="minor"/>
      </rPr>
      <t xml:space="preserve"> detected during the screening period </t>
    </r>
    <r>
      <rPr>
        <b/>
        <sz val="10"/>
        <rFont val="Calibri"/>
        <family val="2"/>
        <scheme val="minor"/>
      </rPr>
      <t>in women aged 55-59 years</t>
    </r>
  </si>
  <si>
    <r>
      <t xml:space="preserve">Absolute incidence of </t>
    </r>
    <r>
      <rPr>
        <b/>
        <sz val="10"/>
        <rFont val="Calibri"/>
        <family val="2"/>
        <scheme val="minor"/>
      </rPr>
      <t>lymph node-positive</t>
    </r>
    <r>
      <rPr>
        <sz val="10"/>
        <rFont val="Calibri"/>
        <family val="2"/>
        <scheme val="minor"/>
      </rPr>
      <t xml:space="preserve"> tumours during the screening phase (per 1,000 PY);
study vs control group</t>
    </r>
  </si>
  <si>
    <t>Table 4 and Table 1 (for denominator)</t>
  </si>
  <si>
    <r>
      <t xml:space="preserve">Absolute incidence of </t>
    </r>
    <r>
      <rPr>
        <b/>
        <sz val="10"/>
        <rFont val="Calibri"/>
        <family val="2"/>
        <scheme val="minor"/>
      </rPr>
      <t>lymph node-positive</t>
    </r>
    <r>
      <rPr>
        <sz val="10"/>
        <rFont val="Calibri"/>
        <family val="2"/>
        <scheme val="minor"/>
      </rPr>
      <t xml:space="preserve"> tumours during the screening phase </t>
    </r>
    <r>
      <rPr>
        <b/>
        <sz val="10"/>
        <rFont val="Calibri"/>
        <family val="2"/>
        <scheme val="minor"/>
      </rPr>
      <t>in women aged 39-44 years</t>
    </r>
    <r>
      <rPr>
        <sz val="10"/>
        <rFont val="Calibri"/>
        <family val="2"/>
        <scheme val="minor"/>
      </rPr>
      <t xml:space="preserve"> (per 1,000 PY);
study vs control group</t>
    </r>
  </si>
  <si>
    <t>58,587 PY;
mean 7.1 years</t>
  </si>
  <si>
    <r>
      <t xml:space="preserve">Number of  lymph node-positive tumours detected during the screening phase </t>
    </r>
    <r>
      <rPr>
        <b/>
        <sz val="10"/>
        <rFont val="Calibri"/>
        <family val="2"/>
        <scheme val="minor"/>
      </rPr>
      <t>in women aged 39-44 years</t>
    </r>
  </si>
  <si>
    <r>
      <t xml:space="preserve">Person years </t>
    </r>
    <r>
      <rPr>
        <b/>
        <sz val="10"/>
        <rFont val="Calibri"/>
        <family val="2"/>
        <scheme val="minor"/>
      </rPr>
      <t>in women aged 39-44 years</t>
    </r>
  </si>
  <si>
    <r>
      <t xml:space="preserve">Absolute incidence of </t>
    </r>
    <r>
      <rPr>
        <b/>
        <sz val="10"/>
        <rFont val="Calibri"/>
        <family val="2"/>
        <scheme val="minor"/>
      </rPr>
      <t>lymph node-positive</t>
    </r>
    <r>
      <rPr>
        <sz val="10"/>
        <rFont val="Calibri"/>
        <family val="2"/>
        <scheme val="minor"/>
      </rPr>
      <t xml:space="preserve"> tumours during the screening phase </t>
    </r>
    <r>
      <rPr>
        <b/>
        <sz val="10"/>
        <rFont val="Calibri"/>
        <family val="2"/>
        <scheme val="minor"/>
      </rPr>
      <t>in women aged 45-49 years years</t>
    </r>
    <r>
      <rPr>
        <sz val="10"/>
        <rFont val="Calibri"/>
        <family val="2"/>
        <scheme val="minor"/>
      </rPr>
      <t xml:space="preserve"> (per 1,000 PY);
study vs control group</t>
    </r>
  </si>
  <si>
    <t>40,748 PY;
mean 6.8 years</t>
  </si>
  <si>
    <r>
      <t xml:space="preserve">Number of  lymph node-positive tumours detected during the screening phase </t>
    </r>
    <r>
      <rPr>
        <b/>
        <sz val="10"/>
        <rFont val="Calibri"/>
        <family val="2"/>
        <scheme val="minor"/>
      </rPr>
      <t>in women aged 45-49 years</t>
    </r>
  </si>
  <si>
    <r>
      <t xml:space="preserve">Person years </t>
    </r>
    <r>
      <rPr>
        <b/>
        <sz val="10"/>
        <rFont val="Calibri"/>
        <family val="2"/>
        <scheme val="minor"/>
      </rPr>
      <t>in women aged 45-49 years</t>
    </r>
  </si>
  <si>
    <r>
      <t xml:space="preserve">Absolute incidence of </t>
    </r>
    <r>
      <rPr>
        <b/>
        <sz val="10"/>
        <rFont val="Calibri"/>
        <family val="2"/>
        <scheme val="minor"/>
      </rPr>
      <t>lymph node-positive</t>
    </r>
    <r>
      <rPr>
        <sz val="10"/>
        <rFont val="Calibri"/>
        <family val="2"/>
        <scheme val="minor"/>
      </rPr>
      <t xml:space="preserve"> tumours during the screening phase </t>
    </r>
    <r>
      <rPr>
        <b/>
        <sz val="10"/>
        <rFont val="Calibri"/>
        <family val="2"/>
        <scheme val="minor"/>
      </rPr>
      <t>in women aged 50-54 years years</t>
    </r>
    <r>
      <rPr>
        <sz val="10"/>
        <rFont val="Calibri"/>
        <family val="2"/>
        <scheme val="minor"/>
      </rPr>
      <t xml:space="preserve"> (per 1,000 PY);
study vs control group</t>
    </r>
  </si>
  <si>
    <t>37,584 PY;
mean 5.1 years</t>
  </si>
  <si>
    <r>
      <t xml:space="preserve">Number of  lymph node-positive tumours detected during the screening phase </t>
    </r>
    <r>
      <rPr>
        <b/>
        <sz val="10"/>
        <rFont val="Calibri"/>
        <family val="2"/>
        <scheme val="minor"/>
      </rPr>
      <t>in women aged 50-54 years</t>
    </r>
  </si>
  <si>
    <r>
      <t xml:space="preserve">Person years </t>
    </r>
    <r>
      <rPr>
        <b/>
        <sz val="10"/>
        <rFont val="Calibri"/>
        <family val="2"/>
        <scheme val="minor"/>
      </rPr>
      <t>in women aged 50-54 years</t>
    </r>
  </si>
  <si>
    <r>
      <t xml:space="preserve">Absolute incidence of </t>
    </r>
    <r>
      <rPr>
        <b/>
        <sz val="10"/>
        <rFont val="Calibri"/>
        <family val="2"/>
        <scheme val="minor"/>
      </rPr>
      <t>lymph node-positive</t>
    </r>
    <r>
      <rPr>
        <sz val="10"/>
        <rFont val="Calibri"/>
        <family val="2"/>
        <scheme val="minor"/>
      </rPr>
      <t xml:space="preserve"> tumours during the screening phase </t>
    </r>
    <r>
      <rPr>
        <b/>
        <sz val="10"/>
        <rFont val="Calibri"/>
        <family val="2"/>
        <scheme val="minor"/>
      </rPr>
      <t>in women aged 55-59 years years</t>
    </r>
    <r>
      <rPr>
        <sz val="10"/>
        <rFont val="Calibri"/>
        <family val="2"/>
        <scheme val="minor"/>
      </rPr>
      <t xml:space="preserve"> (per 1,000 PY);
study vs control group</t>
    </r>
  </si>
  <si>
    <t>40,785 PY;
mean 4.9 years</t>
  </si>
  <si>
    <r>
      <t xml:space="preserve">Number of  lymph node-positive tumours detected during the screening phase </t>
    </r>
    <r>
      <rPr>
        <b/>
        <sz val="10"/>
        <rFont val="Calibri"/>
        <family val="2"/>
        <scheme val="minor"/>
      </rPr>
      <t>in women aged 55-59 years</t>
    </r>
  </si>
  <si>
    <r>
      <t xml:space="preserve">Absolute incidence of </t>
    </r>
    <r>
      <rPr>
        <b/>
        <sz val="10"/>
        <rFont val="Calibri"/>
        <family val="2"/>
        <scheme val="minor"/>
      </rPr>
      <t>lymph node-positive</t>
    </r>
    <r>
      <rPr>
        <sz val="10"/>
        <rFont val="Calibri"/>
        <family val="2"/>
        <scheme val="minor"/>
      </rPr>
      <t xml:space="preserve"> tumours during the screening phase </t>
    </r>
    <r>
      <rPr>
        <b/>
        <sz val="10"/>
        <rFont val="Calibri"/>
        <family val="2"/>
        <scheme val="minor"/>
      </rPr>
      <t>in women aged 39-49 years years</t>
    </r>
    <r>
      <rPr>
        <sz val="10"/>
        <rFont val="Calibri"/>
        <family val="2"/>
        <scheme val="minor"/>
      </rPr>
      <t xml:space="preserve"> (per 1,000 PY);
study vs control group</t>
    </r>
  </si>
  <si>
    <t>81,750 PY;
mean 7.0 years</t>
  </si>
  <si>
    <t>99,335 PY;
mean 7.0 years</t>
  </si>
  <si>
    <r>
      <t xml:space="preserve">Number of  lymph node-positive tumours detected during the screening phase </t>
    </r>
    <r>
      <rPr>
        <b/>
        <sz val="10"/>
        <rFont val="Calibri"/>
        <family val="2"/>
        <scheme val="minor"/>
      </rPr>
      <t>in women aged 39-49 years</t>
    </r>
  </si>
  <si>
    <r>
      <t xml:space="preserve">Person years </t>
    </r>
    <r>
      <rPr>
        <b/>
        <sz val="10"/>
        <rFont val="Calibri"/>
        <family val="2"/>
        <scheme val="minor"/>
      </rPr>
      <t>in women aged 39-49 years</t>
    </r>
  </si>
  <si>
    <r>
      <t xml:space="preserve">Absolute incidence of </t>
    </r>
    <r>
      <rPr>
        <b/>
        <sz val="10"/>
        <rFont val="Calibri"/>
        <family val="2"/>
        <scheme val="minor"/>
      </rPr>
      <t>lymph node-positive</t>
    </r>
    <r>
      <rPr>
        <sz val="10"/>
        <rFont val="Calibri"/>
        <family val="2"/>
        <scheme val="minor"/>
      </rPr>
      <t xml:space="preserve"> tumours during the screening phase </t>
    </r>
    <r>
      <rPr>
        <b/>
        <sz val="10"/>
        <rFont val="Calibri"/>
        <family val="2"/>
        <scheme val="minor"/>
      </rPr>
      <t>in women aged 50-59 years years</t>
    </r>
    <r>
      <rPr>
        <sz val="10"/>
        <rFont val="Calibri"/>
        <family val="2"/>
        <scheme val="minor"/>
      </rPr>
      <t xml:space="preserve"> (per 1,000 PY);
study vs control group</t>
    </r>
  </si>
  <si>
    <t>49,564 PY;
mean 5.0 years</t>
  </si>
  <si>
    <t>78,369 PY;
mean 5.0 years</t>
  </si>
  <si>
    <r>
      <t xml:space="preserve">Number of  lymph node-positive tumours detected during the screening phase </t>
    </r>
    <r>
      <rPr>
        <b/>
        <sz val="10"/>
        <rFont val="Calibri"/>
        <family val="2"/>
        <scheme val="minor"/>
      </rPr>
      <t>in women aged 50-59 years</t>
    </r>
  </si>
  <si>
    <r>
      <t xml:space="preserve">Person years </t>
    </r>
    <r>
      <rPr>
        <b/>
        <sz val="10"/>
        <rFont val="Calibri"/>
        <family val="2"/>
        <scheme val="minor"/>
      </rPr>
      <t>in women aged 50-59 years</t>
    </r>
  </si>
  <si>
    <t>Cancers were ascertained from the National Cancer Registry, which was augmented by local medical records.</t>
  </si>
  <si>
    <r>
      <t xml:space="preserve">Absolute incidence of </t>
    </r>
    <r>
      <rPr>
        <b/>
        <sz val="10"/>
        <rFont val="Calibri"/>
        <family val="2"/>
        <scheme val="minor"/>
      </rPr>
      <t>lymph node-positive, invasive breast cancers</t>
    </r>
    <r>
      <rPr>
        <sz val="10"/>
        <rFont val="Calibri"/>
        <family val="2"/>
        <scheme val="minor"/>
      </rPr>
      <t xml:space="preserve"> detected in screening period (per 1,000 women);
study group vs control group</t>
    </r>
  </si>
  <si>
    <t>30 days after last screen</t>
  </si>
  <si>
    <t>Node Status Not Known/
Nodes Not Examined</t>
  </si>
  <si>
    <t>Number of lymph node-positive, invasive breast cancers detected in the screening period (including cancers detected at screen 1 from the control group)</t>
  </si>
  <si>
    <t>Table 3 and text: There was a nonsignificant reduction in the incidence of node-positive cases in the intervention arm (RR, 0.80; 95% CI, 0.61-1.05; P = .1).</t>
  </si>
  <si>
    <r>
      <t xml:space="preserve">Absolute incidence of </t>
    </r>
    <r>
      <rPr>
        <b/>
        <sz val="10"/>
        <rFont val="Calibri"/>
        <family val="2"/>
        <scheme val="minor"/>
      </rPr>
      <t>lymph node-negative, invasive breast cancers</t>
    </r>
    <r>
      <rPr>
        <sz val="10"/>
        <rFont val="Calibri"/>
        <family val="2"/>
        <scheme val="minor"/>
      </rPr>
      <t xml:space="preserve"> detected in screening period (per 1,000 women);
study group vs control group</t>
    </r>
  </si>
  <si>
    <t>Number of lymph node-negaive, invasive breast cancers detected in the screening period (including cancers detected at screen 1 from the control group)</t>
  </si>
  <si>
    <r>
      <t>% of invasive breast cancers diagnosed at late stage (</t>
    </r>
    <r>
      <rPr>
        <b/>
        <sz val="10"/>
        <rFont val="Calibri"/>
        <family val="2"/>
        <scheme val="minor"/>
      </rPr>
      <t>lymph node-positive</t>
    </r>
    <r>
      <rPr>
        <sz val="10"/>
        <rFont val="Calibri"/>
        <family val="2"/>
        <scheme val="minor"/>
      </rPr>
      <t xml:space="preserve"> tumours) during the screening phase;
study vs control group</t>
    </r>
  </si>
  <si>
    <t>Total number of invasive breast cancers diagnosed during the screening phase (including cases with unknown node status)</t>
  </si>
  <si>
    <r>
      <t xml:space="preserve">Absolute incidence of </t>
    </r>
    <r>
      <rPr>
        <b/>
        <sz val="10"/>
        <rFont val="Calibri"/>
        <family val="2"/>
        <scheme val="minor"/>
      </rPr>
      <t>lymph node-positive, invasive breast cancers</t>
    </r>
    <r>
      <rPr>
        <sz val="10"/>
        <rFont val="Calibri"/>
        <family val="2"/>
        <scheme val="minor"/>
      </rPr>
      <t xml:space="preserve"> detected in screening period (per 1,000 women </t>
    </r>
    <r>
      <rPr>
        <b/>
        <sz val="10"/>
        <rFont val="Calibri"/>
        <family val="2"/>
        <scheme val="minor"/>
      </rPr>
      <t>aged 39-49 years</t>
    </r>
    <r>
      <rPr>
        <sz val="10"/>
        <rFont val="Calibri"/>
        <family val="2"/>
        <scheme val="minor"/>
      </rPr>
      <t>);
study group vs control group</t>
    </r>
  </si>
  <si>
    <r>
      <t xml:space="preserve">Number of lymph node-positive, invasive breast cancers detected in the screening period (including cancers detected at screen 1 from the control group) </t>
    </r>
    <r>
      <rPr>
        <b/>
        <sz val="10"/>
        <rFont val="Calibri"/>
        <family val="2"/>
        <scheme val="minor"/>
      </rPr>
      <t>in women aged 39-49 years</t>
    </r>
  </si>
  <si>
    <r>
      <t>Number of women</t>
    </r>
    <r>
      <rPr>
        <b/>
        <sz val="10"/>
        <rFont val="Calibri"/>
        <family val="2"/>
        <scheme val="minor"/>
      </rPr>
      <t xml:space="preserve"> aged 39-49 years</t>
    </r>
    <r>
      <rPr>
        <sz val="10"/>
        <rFont val="Calibri"/>
        <family val="2"/>
        <scheme val="minor"/>
      </rPr>
      <t xml:space="preserve"> analysed, by arm</t>
    </r>
  </si>
  <si>
    <t>Table 3 and text: The reduction in the incidence rate of node-positive cancers was significant in the 39- to 49-year age group
(RR, 0.65; 95% CI, 0.43-0.97; P = .03) but not in the 50-
to 59-year group (RR, 0.98; 95% CI, 0.67-1.43; P = .9).</t>
  </si>
  <si>
    <r>
      <t xml:space="preserve">Absolute incidence of </t>
    </r>
    <r>
      <rPr>
        <b/>
        <sz val="10"/>
        <rFont val="Calibri"/>
        <family val="2"/>
        <scheme val="minor"/>
      </rPr>
      <t>lymph node-negative, invasive breast cancers</t>
    </r>
    <r>
      <rPr>
        <sz val="10"/>
        <rFont val="Calibri"/>
        <family val="2"/>
        <scheme val="minor"/>
      </rPr>
      <t xml:space="preserve"> detected in screening period (per 1,000 women </t>
    </r>
    <r>
      <rPr>
        <b/>
        <sz val="10"/>
        <rFont val="Calibri"/>
        <family val="2"/>
        <scheme val="minor"/>
      </rPr>
      <t>aged 39-49 years</t>
    </r>
    <r>
      <rPr>
        <sz val="10"/>
        <rFont val="Calibri"/>
        <family val="2"/>
        <scheme val="minor"/>
      </rPr>
      <t>);
study group vs control group</t>
    </r>
  </si>
  <si>
    <r>
      <t xml:space="preserve">Number of lymph node-negaive, invasive breast cancers detected in the screening period (including cancers detected at screen 1 from the control group) </t>
    </r>
    <r>
      <rPr>
        <b/>
        <sz val="10"/>
        <rFont val="Calibri"/>
        <family val="2"/>
        <scheme val="minor"/>
      </rPr>
      <t>in women aged 39-49 years</t>
    </r>
  </si>
  <si>
    <r>
      <t>% of invasive breast cancers diagnosed at late stage (</t>
    </r>
    <r>
      <rPr>
        <b/>
        <sz val="10"/>
        <rFont val="Calibri"/>
        <family val="2"/>
        <scheme val="minor"/>
      </rPr>
      <t>lymph node-positive</t>
    </r>
    <r>
      <rPr>
        <sz val="10"/>
        <rFont val="Calibri"/>
        <family val="2"/>
        <scheme val="minor"/>
      </rPr>
      <t xml:space="preserve"> tumours) during the screening phase </t>
    </r>
    <r>
      <rPr>
        <b/>
        <sz val="10"/>
        <rFont val="Calibri"/>
        <family val="2"/>
        <scheme val="minor"/>
      </rPr>
      <t>in women aged 39-49 years</t>
    </r>
    <r>
      <rPr>
        <sz val="10"/>
        <rFont val="Calibri"/>
        <family val="2"/>
        <scheme val="minor"/>
      </rPr>
      <t>;
study vs control group</t>
    </r>
  </si>
  <si>
    <r>
      <t xml:space="preserve">Total number of invasive breast cancers diagnosed during the screening phase (including cases with unknown node status) </t>
    </r>
    <r>
      <rPr>
        <b/>
        <sz val="10"/>
        <rFont val="Calibri"/>
        <family val="2"/>
        <scheme val="minor"/>
      </rPr>
      <t>in women aged 39-49 years</t>
    </r>
  </si>
  <si>
    <r>
      <t xml:space="preserve">Absolute incidence of </t>
    </r>
    <r>
      <rPr>
        <b/>
        <sz val="10"/>
        <rFont val="Calibri"/>
        <family val="2"/>
        <scheme val="minor"/>
      </rPr>
      <t>lymph node-positive, invasive breast cancers</t>
    </r>
    <r>
      <rPr>
        <sz val="10"/>
        <rFont val="Calibri"/>
        <family val="2"/>
        <scheme val="minor"/>
      </rPr>
      <t xml:space="preserve"> detected in screening period (per 1,000 women </t>
    </r>
    <r>
      <rPr>
        <b/>
        <sz val="10"/>
        <rFont val="Calibri"/>
        <family val="2"/>
        <scheme val="minor"/>
      </rPr>
      <t>aged 50-59 years</t>
    </r>
    <r>
      <rPr>
        <sz val="10"/>
        <rFont val="Calibri"/>
        <family val="2"/>
        <scheme val="minor"/>
      </rPr>
      <t>);
study group vs control group</t>
    </r>
  </si>
  <si>
    <r>
      <t xml:space="preserve">Number of lymph node-positive, invasive breast cancers detected in the screening period (including cancers detected at screen 1 from the control group) </t>
    </r>
    <r>
      <rPr>
        <b/>
        <sz val="10"/>
        <rFont val="Calibri"/>
        <family val="2"/>
        <scheme val="minor"/>
      </rPr>
      <t>in women aged 50-59 years</t>
    </r>
  </si>
  <si>
    <r>
      <t>Number of women</t>
    </r>
    <r>
      <rPr>
        <b/>
        <sz val="10"/>
        <rFont val="Calibri"/>
        <family val="2"/>
        <scheme val="minor"/>
      </rPr>
      <t xml:space="preserve"> aged 50-59 years</t>
    </r>
    <r>
      <rPr>
        <sz val="10"/>
        <rFont val="Calibri"/>
        <family val="2"/>
        <scheme val="minor"/>
      </rPr>
      <t xml:space="preserve"> analysed, by arm</t>
    </r>
  </si>
  <si>
    <t>Table 3 and text: The reduction in the incidence rate of node-positive cancers was significant in the 39- to 49-year age group
(RR, 0.65; 95% CI, 0.43-0.97; P5 .03) but not in the 50-
to 59-year group (RR, 0.98; 95% CI, 0.67-1.43; P = .9).</t>
  </si>
  <si>
    <r>
      <t xml:space="preserve">Absolute incidence of </t>
    </r>
    <r>
      <rPr>
        <b/>
        <sz val="10"/>
        <rFont val="Calibri"/>
        <family val="2"/>
        <scheme val="minor"/>
      </rPr>
      <t>lymph node-negative, invasive breast cancers</t>
    </r>
    <r>
      <rPr>
        <sz val="10"/>
        <rFont val="Calibri"/>
        <family val="2"/>
        <scheme val="minor"/>
      </rPr>
      <t xml:space="preserve"> detected in screening period (per 1,000 women </t>
    </r>
    <r>
      <rPr>
        <b/>
        <sz val="10"/>
        <rFont val="Calibri"/>
        <family val="2"/>
        <scheme val="minor"/>
      </rPr>
      <t>aged 50-59 years</t>
    </r>
    <r>
      <rPr>
        <sz val="10"/>
        <rFont val="Calibri"/>
        <family val="2"/>
        <scheme val="minor"/>
      </rPr>
      <t>);
study group vs control group</t>
    </r>
  </si>
  <si>
    <r>
      <t xml:space="preserve">Number of lymph node-negaive, invasive breast cancers detected in the screening period (including cancers detected at screen 1 from the control group) </t>
    </r>
    <r>
      <rPr>
        <b/>
        <sz val="10"/>
        <rFont val="Calibri"/>
        <family val="2"/>
        <scheme val="minor"/>
      </rPr>
      <t>in women aged 50-59 years</t>
    </r>
  </si>
  <si>
    <r>
      <t>% of invasive breast cancers diagnosed at late stage (</t>
    </r>
    <r>
      <rPr>
        <b/>
        <sz val="10"/>
        <rFont val="Calibri"/>
        <family val="2"/>
        <scheme val="minor"/>
      </rPr>
      <t>lymph node-positive</t>
    </r>
    <r>
      <rPr>
        <sz val="10"/>
        <rFont val="Calibri"/>
        <family val="2"/>
        <scheme val="minor"/>
      </rPr>
      <t xml:space="preserve"> tumours) during the screening phase </t>
    </r>
    <r>
      <rPr>
        <b/>
        <sz val="10"/>
        <rFont val="Calibri"/>
        <family val="2"/>
        <scheme val="minor"/>
      </rPr>
      <t>in women aged 50-59 years</t>
    </r>
    <r>
      <rPr>
        <sz val="10"/>
        <rFont val="Calibri"/>
        <family val="2"/>
        <scheme val="minor"/>
      </rPr>
      <t>;
study vs control group</t>
    </r>
  </si>
  <si>
    <r>
      <t xml:space="preserve">Total number of invasive breast cancers diagnosed during the screening phase (including cases with unknown node status) </t>
    </r>
    <r>
      <rPr>
        <b/>
        <sz val="10"/>
        <rFont val="Calibri"/>
        <family val="2"/>
        <scheme val="minor"/>
      </rPr>
      <t>in women aged 50-59 years</t>
    </r>
  </si>
  <si>
    <t>Lindholm 2008</t>
  </si>
  <si>
    <t>CRC mortality (all cohorts: DOB 1918-1931); per 1,000 PY; up to 31/12/2001;
Screening vs no screening</t>
  </si>
  <si>
    <t xml:space="preserve">Swedish National Population Register; Natinal Death Register for for time and cause of death; an independent, blinded reviewer evaluated if any uncertainty about the cause of death. </t>
  </si>
  <si>
    <t>31 December 2001, or death (from all causes) or date of emigration.</t>
  </si>
  <si>
    <t>Up to 19 years 5 months</t>
  </si>
  <si>
    <t>Mean 15.5 years
(range 11.25 to 19.42 years)</t>
  </si>
  <si>
    <t>0.9% for whole trial</t>
  </si>
  <si>
    <t>Number of deaths from CRC (all cohorts: DOB 1918-1931) up to 31/12/2001</t>
  </si>
  <si>
    <t>Person-years (up to 31/12/2001)</t>
  </si>
  <si>
    <t>Table 4 and text: However, the groups differed significantly
in colorectal cancer mortality (odds ratio 0·84 (95 per cent
c.i. 0·71 to 0·99)). Thus, there was a significant 16 per cent reduction in mortality from colorectal cancer 19 years after the start of the screening programme.</t>
  </si>
  <si>
    <t>The underlying cause was obtained for 99·1 per cent of all deaths in the total study population.</t>
  </si>
  <si>
    <t>CRC mortality (all cohorts: DOB 1918-1931); per 1,000 people randomised; up to 31/12/2001;
Screening vs no screening</t>
  </si>
  <si>
    <t>Number of people randomised; by arm</t>
  </si>
  <si>
    <t>All-cause mortality (all cohorts: DOB 1918-1931); per 1,000 PY; up to 31/12/2001;
Screening vs no screening</t>
  </si>
  <si>
    <t>Number of deaths from all causes (all cohorts: DOB 1918-1931) up to 31/12/2001</t>
  </si>
  <si>
    <t>Table 4 and text: Of the 34 144 individuals in the screening group, 10 591 had died by the end of 2001, compared with 10 432 of the 34 164 in the control group. There was no difference in all-cause mortality rates between the groups (P = 0·174).</t>
  </si>
  <si>
    <t>All-cause mortality (all cohorts: DOB 1918-1931); per 1,000 people randomised; up to 31/12/2001;
Screening vs no screening</t>
  </si>
  <si>
    <t>Kewenter 1988</t>
  </si>
  <si>
    <t>Diagnostic yield at screening, CRC (2 rounds); per 1,000 people analysed; cohort 1 (DOB 1918-1922); up to December 1985</t>
  </si>
  <si>
    <t>Local Cancer and Death Register, weekly contact with the three Departments of Surgery in the city of Goteborg, and continuous contact with the register at the Department of Pathology. Individuals leaving the area are continuously observed through the National Cancer Register.</t>
  </si>
  <si>
    <t>Mean 27 months</t>
  </si>
  <si>
    <t>Randomised in 1982</t>
  </si>
  <si>
    <t>Number of screen-detected CRC; 2 screening rounds from cohort 1 (randomised in 1982)</t>
  </si>
  <si>
    <t>Number of people analysed in 1982 (DOB 1918-1922) in screening arm</t>
  </si>
  <si>
    <t>Diagnostic yield at screening, Adenomas (2 rounds); per 1,000 people analysed; cohort 1 (DOB 1918-1922); up to December 1985</t>
  </si>
  <si>
    <t>Number of screen-detected adenomas; 2 screening rounds from cohort 1 (randomised in 1982)</t>
  </si>
  <si>
    <t>Diagnostic yield at screening, neoplastic disease (CRC + adenomas) (2 rounds); per 1,000 people analysed; cohort 1 (DOB 1918-1922); up to December 1985</t>
  </si>
  <si>
    <t>Number of screen-detected neoplastic disease (CRC + adenomas); 2 screening rounds from cohort 1 (randomised in 1982)</t>
  </si>
  <si>
    <t>Table 2 and Table 6</t>
  </si>
  <si>
    <t>% of CRC that are screen-detected (2 rounds, up to December 1985);  cohort 1 (DOB 1918-1922); up to December 1985</t>
  </si>
  <si>
    <t>Number of screen-detected CRC;  2 screening rounds from cohort 1 (randomised in 1982)</t>
  </si>
  <si>
    <t>Total number of CRC diagnosed up to December 1985 (screen-detected, interval cancers, cancers in nonresponders)</t>
  </si>
  <si>
    <t>Table 2 and text underneath Table 4: Diagnosed with Hemoccult II are those cases (35/61) in the screening group that were found with the aid of the Hemoccult II test.</t>
  </si>
  <si>
    <t>Absolute incidence of Dukes' A CRC; per 1,000 people analysed; cohort 1 (DOB 1918-1922); up to December 1985;
Screening vs control</t>
  </si>
  <si>
    <t>Number of people with Dukes' A CRC; cohort 1 (DOB 1918-1922); up to December 1985</t>
  </si>
  <si>
    <t>Number of people analysed in 1982 (DOB 1918-1922), by arm</t>
  </si>
  <si>
    <t>Absolute incidence of Dukes' B CRC; per 1,000 people analysed; cohort 1 (DOB 1918-1922); up to December 1985;
Screening vs control</t>
  </si>
  <si>
    <t>Number of people with Dukes' B CRC; cohort 1 (DOB 1918-1922); up to December 1985</t>
  </si>
  <si>
    <t>Absolute incidence of Dukes' C CRC; per 1,000 people analysed; cohort 1 (DOB 1918-1922); up to December 1985;
Screening vs control</t>
  </si>
  <si>
    <t>Number of people with Dukes' C CRC; cohort 1 (DOB 1918-1922); up to December 1985</t>
  </si>
  <si>
    <t>Absolute incidence of Dukes' D CRC; per 1,000 people analysed; cohort 1 (DOB 1918-1922); up to December 1985;
Screening vs control</t>
  </si>
  <si>
    <t>D</t>
  </si>
  <si>
    <t>Number of people with Dukes' D CRC; cohort 1 (DOB 1918-1922); up to December 1985</t>
  </si>
  <si>
    <t>Absolute incidence of CRC; per 1,000 people analysed; cohort 1 (DOB 1918-1922); up to December 1985;
Screening vs control</t>
  </si>
  <si>
    <t>Number of people with CRC; cohort 1 (DOB 1918-1922); up to December 1985</t>
  </si>
  <si>
    <t>Table 4 and text: Significantly more carcinomas (61) were
found in the test group compared to the control group (20).</t>
  </si>
  <si>
    <t>Absolute incidence of adenomas; per 1,000 people analysed; cohort 1 (DOB 1918-1922); up to December 1985;
Screening vs control</t>
  </si>
  <si>
    <t>Number of people with adenomas; cohort 1 (DOB 1918-1922); up to December 1985</t>
  </si>
  <si>
    <t>Table 2 and text: Colorectal adenomas were diagnosed in 162 subjects in the test group and in 24 subjects in the control group
(P &lt; 0.01, Table 2).</t>
  </si>
  <si>
    <t>Absolute incidence of adenomas ≥1 cm; per 1,000 people analysed; cohort 1 (DOB 1918-1922); up to December 1985;
Screening vs control</t>
  </si>
  <si>
    <t>Adenoma ≥1 cm</t>
  </si>
  <si>
    <t>Number of people with adenomas ≥1 cm; cohort 1 (DOB 1918-1922); up to December 1985</t>
  </si>
  <si>
    <t>Text: One hundred four and eleven, respectively, of these adenomas were one centimeter or larger in diameter (P &lt; 0.0 1).</t>
  </si>
  <si>
    <t>Kewenter 1994</t>
  </si>
  <si>
    <t>Absolute incidence of Dukes' A CRC; per 1,000 people analysed; cohort 1 (DOB 1918-1922); 1 year of follow-up after rescreening;
Screening vs control</t>
  </si>
  <si>
    <t>Advanced = Dukes' D</t>
  </si>
  <si>
    <t>Local cancer and death registers, the register of the Department of Pathology, and the two Departments of Surgery in Goteborg.</t>
  </si>
  <si>
    <t>1 year after rescreening</t>
  </si>
  <si>
    <t>Number of people with Dukes' A CRC; cohort 1 (DOB 1918-1922); 1 year of follow-up after rescreening</t>
  </si>
  <si>
    <t>The first year of followup in each age group started one month after the second reminder letter had been sent out in the
rescreening.</t>
  </si>
  <si>
    <t>Absolute incidence of Dukes' B CRC; per 1,000 people analysed; cohort 1 (DOB 1918-1922); 1 year of follow-up after rescreening;
Screening vs control</t>
  </si>
  <si>
    <t>Number of people with Dukes' B CRC; cohort 1 (DOB 1918-1922); 1 year of follow-up after rescreening</t>
  </si>
  <si>
    <t>Absolute incidence of Dukes' C CRC; per 1,000 people analysed; cohort 1 (DOB 1918-1922); 1 year of follow-up after rescreening;
Screening vs control</t>
  </si>
  <si>
    <t>Number of people with Dukes' C CRC; cohort 1 (DOB 1918-1922); 1 year of follow-up after rescreening</t>
  </si>
  <si>
    <t>Absolute incidence of Dukes' D CRC; per 1,000 people analysed; cohort 1 (DOB 1918-1922); 1 year of follow-up after rescreening;
Screening vs control</t>
  </si>
  <si>
    <t>Number of people with Dukes' D CRC; cohort 1 (DOB 1918-1922); 1 year of follow-up after rescreening</t>
  </si>
  <si>
    <t>% of CRC diagnosed at advanced stage (Dukes' D); cohort 1 (DOB 1918-1922); 1 year of follow-up after rescreening;
Screening vs control</t>
  </si>
  <si>
    <t>Total number of CRC diagnosed up to 1 year after rescreening</t>
  </si>
  <si>
    <t>Absolute incidence of Dukes' A CRC; per 1,000 people analysed; cohort 1 (DOB 1918-1922); 2 years of follow-up after rescreening;
Screening vs control</t>
  </si>
  <si>
    <t>2 years after rescreening</t>
  </si>
  <si>
    <t>Number of people with Dukes' A CRC; cohort 1 (DOB 1918-1922); 2 years of follow-up after rescreening</t>
  </si>
  <si>
    <t>Absolute incidence of Dukes' B CRC; per 1,000 people analysed; cohort 1 (DOB 1918-1922); 2 years of follow-up after rescreening;
Screening vs control</t>
  </si>
  <si>
    <t>Number of people with Dukes' B CRC; cohort 1 (DOB 1918-1922); 2 years of follow-up after rescreening</t>
  </si>
  <si>
    <t>Absolute incidence of Dukes' C CRC; per 1,000 people analysed; cohort 1 (DOB 1918-1922); 2 years of follow-up after rescreening;
Screening vs control</t>
  </si>
  <si>
    <t>Number of people with Dukes' C CRC; cohort 1 (DOB 1918-1922); 2 years of follow-up after rescreening</t>
  </si>
  <si>
    <t>Absolute incidence of Dukes' D CRC; per 1,000 people analysed; cohort 1 (DOB 1918-1922); 2 years of follow-up after rescreening;
Screening vs control</t>
  </si>
  <si>
    <t>Number of people with Dukes' D CRC; cohort 1 (DOB 1918-1922); 2 years of follow-up after rescreening</t>
  </si>
  <si>
    <t>% of CRC diagnosed at advanced stage (Dukes' D); cohort 1 (DOB 1918-1922); 2 years of follow-up after rescreening;
Screening vs control</t>
  </si>
  <si>
    <t>Total number of CRC diagnosed up to 2 years after rescreening</t>
  </si>
  <si>
    <t>Absolute incidence of Dukes' A CRC; per 1,000 people analysed; cohort 1 (DOB 1918-1922); 3 years of follow-up after rescreening;
Screening vs control</t>
  </si>
  <si>
    <t>3 years after rescreening</t>
  </si>
  <si>
    <t>Number of people with Dukes' A CRC; cohort 1 (DOB 1918-1922); 3 years of follow-up after rescreening</t>
  </si>
  <si>
    <t>Absolute incidence of Dukes' B CRC; per 1,000 people analysed; cohort 1 (DOB 1918-1922); 3 years of follow-up after rescreening;
Screening vs control</t>
  </si>
  <si>
    <t>Number of people with Dukes' B CRC; cohort 1 (DOB 1918-1922); 3 years of follow-up after rescreening</t>
  </si>
  <si>
    <t>Absolute incidence of Dukes' C CRC; per 1,000 people analysed; cohort 1 (DOB 1918-1922); 3 years of follow-up after rescreening;
Screening vs control</t>
  </si>
  <si>
    <t>Number of people with Dukes' C CRC; cohort 1 (DOB 1918-1922); 3 years of follow-up after rescreening</t>
  </si>
  <si>
    <t>Absolute incidence of Dukes' D CRC; per 1,000 people analysed; cohort 1 (DOB 1918-1922); 3 years of follow-up after rescreening;
Screening vs control</t>
  </si>
  <si>
    <t>Number of people with Dukes' D CRC; cohort 1 (DOB 1918-1922); 3 years of follow-up after rescreening</t>
  </si>
  <si>
    <t>% of CRC diagnosed at advanced stage (Dukes' D); cohort 1 (DOB 1918-1922); 3 years of follow-up after rescreening;
Screening vs control</t>
  </si>
  <si>
    <t>Total number of CRC diagnosed up to 3 years after rescreening</t>
  </si>
  <si>
    <t>Absolute incidence of Dukes' A CRC; per 1,000 people analysed; cohort 1 (DOB 1918-1922); 4 years of follow-up after rescreening;
Screening vs control</t>
  </si>
  <si>
    <t>4 years after rescreening</t>
  </si>
  <si>
    <t>Number of people with Dukes' A CRC; cohort 1 (DOB 1918-1922); 4 years of follow-up after rescreening</t>
  </si>
  <si>
    <t>Absolute incidence of Dukes' B CRC; per 1,000 people analysed; cohort 1 (DOB 1918-1922); 4 years of follow-up after rescreening;
Screening vs control</t>
  </si>
  <si>
    <t>Number of people with Dukes' B CRC; cohort 1 (DOB 1918-1922); 4 years of follow-up after rescreening</t>
  </si>
  <si>
    <t>Absolute incidence of Dukes' C CRC; per 1,000 people analysed; cohort 1 (DOB 1918-1922); 4 years of follow-up after rescreening;
Screening vs control</t>
  </si>
  <si>
    <t>Number of people with Dukes' C CRC; cohort 1 (DOB 1918-1922); 4 years of follow-up after rescreening</t>
  </si>
  <si>
    <t>Absolute incidence of Dukes' D CRC; per 1,000 people analysed; cohort 1 (DOB 1918-1922); 4 years of follow-up after rescreening;
Screening vs control</t>
  </si>
  <si>
    <t>Number of people with Dukes' D CRC; cohort 1 (DOB 1918-1922); 4 years of follow-up after rescreening</t>
  </si>
  <si>
    <t>% of CRC diagnosed at advanced stage (Dukes' D); cohort 1 (DOB 1918-1922); 4 years of follow-up after rescreening;
Screening vs control</t>
  </si>
  <si>
    <t>Total number of CRC diagnosed up to 4 years after rescreening</t>
  </si>
  <si>
    <t>Absolute incidence of Dukes' A CRC; per 1,000 people analysed; cohort 1 (DOB 1918-1922); 5 years of follow-up after rescreening;
Screening vs control</t>
  </si>
  <si>
    <t>5 years after rescreening</t>
  </si>
  <si>
    <t>Number of people with Dukes' A CRC; cohort 1 (DOB 1918-1922); 5 years of follow-up after rescreening</t>
  </si>
  <si>
    <t>Absolute incidence of Dukes' B CRC; per 1,000 people analysed; cohort 1 (DOB 1918-1922); 5 years of follow-up after rescreening;
Screening vs control</t>
  </si>
  <si>
    <t>Number of people with Dukes' B CRC; cohort 1 (DOB 1918-1922); 5 years of follow-up after rescreening</t>
  </si>
  <si>
    <t>Absolute incidence of Dukes' C CRC; per 1,000 people analysed; cohort 1 (DOB 1918-1922); 5 years of follow-up after rescreening;
Screening vs control</t>
  </si>
  <si>
    <t>Number of people with Dukes' C CRC; cohort 1 (DOB 1918-1922); 5 years of follow-up after rescreening</t>
  </si>
  <si>
    <t>Absolute incidence of Dukes' D CRC; per 1,000 people analysed; cohort 1 (DOB 1918-1922); 5 years of follow-up after rescreening;
Screening vs control</t>
  </si>
  <si>
    <t>Number of people with Dukes' D CRC; cohort 1 (DOB 1918-1922); 5 years of follow-up after rescreening</t>
  </si>
  <si>
    <t>% of CRC diagnosed at advanced stage (Dukes' D); cohort 1 (DOB 1918-1922); 5 years of follow-up after rescreening;
Screening vs control</t>
  </si>
  <si>
    <t>Total number of CRC diagnosed up to 5 years after rescreening</t>
  </si>
  <si>
    <t>Absolute incidence of Dukes' A CRC; per 1,000 people analysed; cohort 1 (DOB 1918-1922); 6 years of follow-up after rescreening;
Screening vs control</t>
  </si>
  <si>
    <t>6 years after rescreening</t>
  </si>
  <si>
    <t>Number of people with Dukes' A CRC; cohort 1 (DOB 1918-1922); 6 years of follow-up after rescreening</t>
  </si>
  <si>
    <t>Absolute incidence of Dukes' B CRC; per 1,000 people analysed; cohort 1 (DOB 1918-1922); 6 years of follow-up after rescreening;
Screening vs control</t>
  </si>
  <si>
    <t>Number of people with Dukes' B CRC; cohort 1 (DOB 1918-1922); 6 years of follow-up after rescreening</t>
  </si>
  <si>
    <t>Absolute incidence of Dukes' C CRC; per 1,000 people analysed; cohort 1 (DOB 1918-1922); 6 years of follow-up after rescreening;
Screening vs control</t>
  </si>
  <si>
    <t>Number of people with Dukes' C CRC; cohort 1 (DOB 1918-1922); 6 years of follow-up after rescreening</t>
  </si>
  <si>
    <t>Absolute incidence of Dukes' D CRC; per 1,000 people analysed; cohort 1 (DOB 1918-1922); 6 years of follow-up after rescreening;
Screening vs control</t>
  </si>
  <si>
    <t>Number of people with Dukes' D CRC; cohort 1 (DOB 1918-1922); 6 years of follow-up after rescreening</t>
  </si>
  <si>
    <t>% of CRC diagnosed at advanced stage (Dukes' D); cohort 1 (DOB 1918-1922); 6 years of follow-up after rescreening;
Screening vs control</t>
  </si>
  <si>
    <t>Total number of CRC diagnosed up to 6 years after rescreening</t>
  </si>
  <si>
    <t>Absolute incidence of Dukes' A CRC; per 1,000 people analysed; cohort 1 (DOB 1918-1922); 7 years of follow-up after rescreening;
Screening vs control</t>
  </si>
  <si>
    <t>7 years after rescreening</t>
  </si>
  <si>
    <t>Number of people with Dukes' A CRC; cohort 1 (DOB 1918-1922); 7 years of follow-up after rescreening</t>
  </si>
  <si>
    <t>Absolute incidence of Dukes' B CRC; per 1,000 people analysed; cohort 1 (DOB 1918-1922); 7 years of follow-up after rescreening;
Screening vs control</t>
  </si>
  <si>
    <t>Number of people with Dukes' B CRC; cohort 1 (DOB 1918-1922); 7 years of follow-up after rescreening</t>
  </si>
  <si>
    <t>Absolute incidence of Dukes' C CRC; per 1,000 people analysed; cohort 1 (DOB 1918-1922); 7 years of follow-up after rescreening;
Screening vs control</t>
  </si>
  <si>
    <t>Number of people with Dukes' C CRC; cohort 1 (DOB 1918-1922); 7 years of follow-up after rescreening</t>
  </si>
  <si>
    <t>Absolute incidence of Dukes' D CRC; per 1,000 people analysed; cohort 1 (DOB 1918-1922); 7 years of follow-up after rescreening;
Screening vs control</t>
  </si>
  <si>
    <t>Number of people with Dukes' D CRC; cohort 1 (DOB 1918-1922); 7 years of follow-up after rescreening</t>
  </si>
  <si>
    <t>% of CRC diagnosed at advanced stage (Dukes' D); cohort 1 (DOB 1918-1922); 7 years of follow-up after rescreening;
Screening vs control</t>
  </si>
  <si>
    <t>Total number of CRC diagnosed up to 7 years after rescreening</t>
  </si>
  <si>
    <t>Absolute incidence of people with CRC; per 1,000 people analysed; cohort 1 (DOB 1918-1922); 1 year of follow-up after rescreening;
Screening vs control</t>
  </si>
  <si>
    <t>Number of people with CRC; cohort 1 (DOB 1918-1922); 1 year of follow-up after rescreening</t>
  </si>
  <si>
    <t>Absolute incidence of people with adenomas; per 1,000 people analysed; cohort 1 (DOB 1918-1922); 1 year of follow-up after rescreening;
Screening vs control</t>
  </si>
  <si>
    <t>Adenoma</t>
  </si>
  <si>
    <t>Number of people with adenomas; cohort 1 (DOB 1918-1922); 1 year of follow-up after rescreening</t>
  </si>
  <si>
    <t>Absolute incidence of people with adenomas ≥1 cm; per 1,000 people analysed; cohort 1 (DOB 1918-1922); 1 year of follow-up after rescreening;
Screening vs control</t>
  </si>
  <si>
    <r>
      <t xml:space="preserve">Adenoma </t>
    </r>
    <r>
      <rPr>
        <sz val="10"/>
        <rFont val="Calibri"/>
        <family val="2"/>
      </rPr>
      <t>≥</t>
    </r>
    <r>
      <rPr>
        <sz val="9.1"/>
        <rFont val="Calibri"/>
        <family val="2"/>
      </rPr>
      <t>1 cm</t>
    </r>
  </si>
  <si>
    <t>Number of people with adenomas ≥1 cm; cohort 1 (DOB 1918-1922); 1 year of follow-up after rescreening</t>
  </si>
  <si>
    <t>Absolute incidence of people with CRC; per 1,000 people analysed; cohort 1 (DOB 1918-1922); 2 years of follow-up after rescreening;
Screening vs control</t>
  </si>
  <si>
    <t>Number of people with CRC; cohort 1 (DOB 1918-1922); 2 years of follow-up after rescreening</t>
  </si>
  <si>
    <t>Absolute incidence of people with adenomas; per 1,000 people analysed; cohort 1 (DOB 1918-1922); 2 years of follow-up after rescreening;
Screening vs control</t>
  </si>
  <si>
    <t>Number of people with adenomas; cohort 1 (DOB 1918-1922); 2 years of follow-up after rescreening</t>
  </si>
  <si>
    <t>Absolute incidence of people with adenomas ≥1 cm; per 1,000 people analysed; cohort 1 (DOB 1918-1922); 2 years of follow-up after rescreening;
Screening vs control</t>
  </si>
  <si>
    <t>Number of people with adenomas ≥1 cm; cohort 1 (DOB 1918-1922); 2 years of follow-up after rescreening</t>
  </si>
  <si>
    <t>Absolute incidence of people with CRC; per 1,000 people analysed; cohort 1 (DOB 1918-1922); 3 years of follow-up after rescreening;
Screening vs control</t>
  </si>
  <si>
    <t>Number of people with CRC; cohort 1 (DOB 1918-1922); 3 years of follow-up after rescreening</t>
  </si>
  <si>
    <t>Absolute incidence of people with adenomas; per 1,000 people analysed; cohort 1 (DOB 1918-1922); 3 years of follow-up after rescreening;
Screening vs control</t>
  </si>
  <si>
    <t>Number of people with adenomas; cohort 1 (DOB 1918-1922); 3 years of follow-up after rescreening</t>
  </si>
  <si>
    <t>Absolute incidence of people with adenomas ≥1 cm; per 1,000 people analysed; cohort 1 (DOB 1918-1922); 3 years of follow-up after rescreening;
Screening vs control</t>
  </si>
  <si>
    <t>Number of people with adenomas ≥1 cm; cohort 1 (DOB 1918-1922); 3 years of follow-up after rescreening</t>
  </si>
  <si>
    <t>Absolute incidence of people with CRC; per 1,000 people analysed; cohort 1 (DOB 1918-1922); 4 years of follow-up after rescreening;
Screening vs control</t>
  </si>
  <si>
    <t>Number of people with CRC; cohort 1 (DOB 1918-1922); 4 years of follow-up after rescreening</t>
  </si>
  <si>
    <t>Absolute incidence of people with adenomas; per 1,000 people analysed; cohort 1 (DOB 1918-1922); 4 years of follow-up after rescreening;
Screening vs control</t>
  </si>
  <si>
    <t>Number of people with adenomas; cohort 1 (DOB 1918-1922); 4 years of follow-up after rescreening</t>
  </si>
  <si>
    <t>Absolute incidence of people with adenomas ≥1 cm; per 1,000 people analysed; cohort 1 (DOB 1918-1922); 4 years of follow-up after rescreening;
Screening vs control</t>
  </si>
  <si>
    <t>Number of people with adenomas ≥1 cm; cohort 1 (DOB 1918-1922); 4 years of follow-up after rescreening</t>
  </si>
  <si>
    <t>Absolute incidence of people with CRC; per 1,000 people analysed; cohort 1 (DOB 1918-1922); 5 years of follow-up after rescreening;
Screening vs control</t>
  </si>
  <si>
    <t>Number of people with CRC; cohort 1 (DOB 1918-1922); 5 years of follow-up after rescreening</t>
  </si>
  <si>
    <t>Absolute incidence of people with adenomas; per 1,000 people analysed; cohort 1 (DOB 1918-1922); 5 years of follow-up after rescreening;
Screening vs control</t>
  </si>
  <si>
    <t>Number of people with adenomas; cohort 1 (DOB 1918-1922); 5 years of follow-up after rescreening</t>
  </si>
  <si>
    <t>Absolute incidence of people with adenomas ≥1 cm; per 1,000 people analysed; cohort 1 (DOB 1918-1922); 5 years of follow-up after rescreening;
Screening vs control</t>
  </si>
  <si>
    <t>Number of people with adenomas ≥1 cm; cohort 1 (DOB 1918-1922); 5 years of follow-up after rescreening</t>
  </si>
  <si>
    <t>Absolute incidence of people with CRC; per 1,000 people analysed; cohort 1 (DOB 1918-1922); 6 years of follow-up after rescreening;
Screening vs control</t>
  </si>
  <si>
    <t>Number of people with CRC; cohort 1 (DOB 1918-1922); 6 years of follow-up after rescreening</t>
  </si>
  <si>
    <t>Absolute incidence of people with adenomas; per 1,000 people analysed; cohort 1 (DOB 1918-1922); 6 years of follow-up after rescreening;
Screening vs control</t>
  </si>
  <si>
    <t>Number of people with adenomas; cohort 1 (DOB 1918-1922); 6 years of follow-up after rescreening</t>
  </si>
  <si>
    <t>Absolute incidence of people with adenomas ≥1 cm; per 1,000 people analysed; cohort 1 (DOB 1918-1922); 6 years of follow-up after rescreening;
Screening vs control</t>
  </si>
  <si>
    <t>Number of people with adenomas ≥1 cm; cohort 1 (DOB 1918-1922); 6 years of follow-up after rescreening</t>
  </si>
  <si>
    <t>Absolute incidence of people with CRC; per 1,000 people analysed; cohort 1 (DOB 1918-1922); 7 years of follow-up after rescreening;
Screening vs control</t>
  </si>
  <si>
    <t>Number of people with CRC; cohort 1 (DOB 1918-1922); 7 years of follow-up after rescreening</t>
  </si>
  <si>
    <t>Absolute incidence of people with adenomas; per 1,000 people analysed; cohort 1 (DOB 1918-1922); 7 years of follow-up after rescreening;
Screening vs control</t>
  </si>
  <si>
    <t>Number of people with adenomas; cohort 1 (DOB 1918-1922); 7 years of follow-up after rescreening</t>
  </si>
  <si>
    <t>Absolute incidence of people with adenomas ≥1 cm; per 1,000 people analysed; cohort 1 (DOB 1918-1922); 7 years of follow-up after rescreening;
Screening vs control</t>
  </si>
  <si>
    <t>Number of people with adenomas ≥1 cm; cohort 1 (DOB 1918-1922); 7 years of follow-up after rescreening</t>
  </si>
  <si>
    <t>Diagnostic yield at screening, CRC (2 rounds); per 1,000 people randomised; all cohorts (DOB 1918-1931); up to the end of 1st rescreening</t>
  </si>
  <si>
    <t>Register at the Dept. of Pathology and the Swedish Cancer Register</t>
  </si>
  <si>
    <t>End of 1st rescreening</t>
  </si>
  <si>
    <t>Number of screen-detected CRC; 2 screening rounds from all cohorts (DOB 1918-1931)</t>
  </si>
  <si>
    <t>Number of people (DOB 1918-1931) randomised in screening arm</t>
  </si>
  <si>
    <t>713 in the test and 593 in the control group died before the second test was sent out; 58 and 29 respectively, could not be located.</t>
  </si>
  <si>
    <r>
      <t xml:space="preserve">Diagnostic yield at screening, people with adenomas </t>
    </r>
    <r>
      <rPr>
        <sz val="10"/>
        <rFont val="Calibri"/>
        <family val="2"/>
      </rPr>
      <t>≥</t>
    </r>
    <r>
      <rPr>
        <sz val="9.9"/>
        <rFont val="Calibri"/>
        <family val="2"/>
      </rPr>
      <t>1 cm</t>
    </r>
    <r>
      <rPr>
        <sz val="10"/>
        <rFont val="Calibri"/>
        <family val="2"/>
        <scheme val="minor"/>
      </rPr>
      <t xml:space="preserve"> (2 rounds); per 1,000 people randomised; all cohorts (DOB 1918-1931); up to the end of 1st rescreening</t>
    </r>
  </si>
  <si>
    <r>
      <t xml:space="preserve">Number of subjects with screen-detected adenomas </t>
    </r>
    <r>
      <rPr>
        <sz val="10"/>
        <rFont val="Calibri"/>
        <family val="2"/>
      </rPr>
      <t>≥</t>
    </r>
    <r>
      <rPr>
        <sz val="9.9"/>
        <rFont val="Calibri"/>
        <family val="2"/>
      </rPr>
      <t>1 cm</t>
    </r>
    <r>
      <rPr>
        <sz val="10"/>
        <rFont val="Calibri"/>
        <family val="2"/>
        <scheme val="minor"/>
      </rPr>
      <t>; 2 screening rounds from all cohorts (DOB 1918-1931)</t>
    </r>
  </si>
  <si>
    <t>% of CRC that are screen-detected (2 rounds); all cohorts (DOB 1918-1931); up to the end of rescreening</t>
  </si>
  <si>
    <t>Total number of CRC diagnosed; all cohorts (DOB 1918-1931); up to the end of rescreening</t>
  </si>
  <si>
    <t>% of CRC that are screen-detected (2 rounds); all cohorts (DOB 1918-1931); up to October 1992</t>
  </si>
  <si>
    <t>2-7 years after 1st rescreening</t>
  </si>
  <si>
    <t>Total number of CRC diagnosed; all cohorts (DOB 1918-1931); up to October 1992</t>
  </si>
  <si>
    <t>Table V, Table VII and text: When carcinomas in the screening
period are included, 249 and 235 subjects with carcinomas
were diagnosed in the two groups, respectively.</t>
  </si>
  <si>
    <t>Absolute incidence of CRC; per 1,000 people randomised; all cohorts (DOB 1918-1931); up to the end of 1st rescreening;
Screening vs control</t>
  </si>
  <si>
    <t>Number of people with CRC; all cohorts (DOB 1918-1931); start of first screening to end of rescreening</t>
  </si>
  <si>
    <t>Number of people randomised (DOB 1918-1931), by arm</t>
  </si>
  <si>
    <t>Table V and text: Altogether 117 carcinomas were diagnosed in the screening group and 44 in the control group from the start of the
first screening to the end of the rescreening (p &lt; 0.001)</t>
  </si>
  <si>
    <t>Absolute incidence of adenomas; per 1,000 people randomised; all cohorts (DOB 1918-1931); up to the end of 1st rescreening;
Screening vs control</t>
  </si>
  <si>
    <t>Number of people with adenomas; all cohorts (DOB 1918-1931); start of first screening to end of rescreening</t>
  </si>
  <si>
    <t>Table IV and text: Four hundred and nineteen subjects with 563 adenomas were diagnosed in the test group and 51 subjects with 64
adenomas in the control group (Table IV).</t>
  </si>
  <si>
    <r>
      <t xml:space="preserve">Absolute incidence of adenomas </t>
    </r>
    <r>
      <rPr>
        <sz val="10"/>
        <rFont val="Calibri"/>
        <family val="2"/>
      </rPr>
      <t>≥1 cm</t>
    </r>
    <r>
      <rPr>
        <sz val="10"/>
        <rFont val="Calibri"/>
        <family val="2"/>
        <scheme val="minor"/>
      </rPr>
      <t>; per 1,000 people randomised; all cohorts (DOB 1918-1931); up to the end of 1st rescreening;
Screening vs control</t>
    </r>
  </si>
  <si>
    <r>
      <t xml:space="preserve">Adenomas </t>
    </r>
    <r>
      <rPr>
        <sz val="10"/>
        <rFont val="Calibri"/>
        <family val="2"/>
      </rPr>
      <t>≥1 cm</t>
    </r>
  </si>
  <si>
    <t>Number of people with adenomas ≥1 cm; all cohorts (DOB 1918-1931); start of first screening to end of rescreening</t>
  </si>
  <si>
    <r>
      <t xml:space="preserve">Table V and text: Of these, 258 and 24 subjects, respectively, had at least 1 adenoma with a diameter of </t>
    </r>
    <r>
      <rPr>
        <sz val="10"/>
        <rFont val="Calibri"/>
        <family val="2"/>
      </rPr>
      <t xml:space="preserve">≥1 </t>
    </r>
    <r>
      <rPr>
        <sz val="10"/>
        <rFont val="Calibri"/>
        <family val="2"/>
        <scheme val="minor"/>
      </rPr>
      <t>cm (Table V).</t>
    </r>
  </si>
  <si>
    <t>Absolute incidence of Dukes' A CRC; per 1,000 people randomised; all cohorts (DOB 1918-1931); up to the end of 1st rescreening;
Screening vs control</t>
  </si>
  <si>
    <t>Number of people with Dukes' A CRC; all cohorts (DOB 1918-1931); start of first screening to end of rescreening</t>
  </si>
  <si>
    <t>Absolute incidence of Dukes' B CRC; per 1,000 people randomised; all cohorts (DOB 1918-1931); up to the end of 1st rescreening;
Screening vs control</t>
  </si>
  <si>
    <t>Number of people with Dukes' B CRC; all cohorts (DOB 1918-1931); start of first screening to end of rescreening</t>
  </si>
  <si>
    <t>Absolute incidence of Dukes' C CRC; per 1,000 people randomised; all cohorts (DOB 1918-1931); up to the end of 1st rescreening;
Screening vs control</t>
  </si>
  <si>
    <t>Number of people with Dukes' C CRC; all cohorts (DOB 1918-1931); start of first screening to end of rescreening</t>
  </si>
  <si>
    <t>Absolute incidence of Dukes' D CRC; per 1,000 people randomised; all cohorts (DOB 1918-1931); up to the end of 1st rescreening;
Screening vs control</t>
  </si>
  <si>
    <t>Number of people with Dukes' D CRC; all cohorts (DOB 1918-1931); start of first screening to end of rescreening</t>
  </si>
  <si>
    <t>Table VI and text: The incidence of stage-D cancers did not differ between the whole test group and the control group during or after
the screening periods.</t>
  </si>
  <si>
    <t>% of CRC diagnosed at late-stage (Dukes' D); all cohorts (DOB 1918-1931); up to the end of 1st rescreening;
Screening vs control</t>
  </si>
  <si>
    <t>Total number of CRC diagnosed up to the end of rescreening</t>
  </si>
  <si>
    <t>Absolute incidence of CRC; per 1,000 people randomised; all cohorts (DOB 1918-1931); up to October 1992;
Screening vs control</t>
  </si>
  <si>
    <t>Number of people with CRC; all cohorts (DOB 1918-1931); up to October 1992</t>
  </si>
  <si>
    <t>Table VII and text: When carcinomas in the screening
period are included, 249 and 235 subjects with carcinomas
were diagnosed in the two groups, respectively.</t>
  </si>
  <si>
    <t>Table VII column heading says "Responders", but from numbers below the table and in the text, this column might be for the whole test group (responders + non-responders)?
713 in the test and 593 in the control group died before the second test was sent out; 58 and 29 respectively, could not be located.</t>
  </si>
  <si>
    <r>
      <t xml:space="preserve">Absolute incidence of adenomas </t>
    </r>
    <r>
      <rPr>
        <sz val="10"/>
        <rFont val="Calibri"/>
        <family val="2"/>
      </rPr>
      <t>≥1 cm</t>
    </r>
    <r>
      <rPr>
        <sz val="10"/>
        <rFont val="Calibri"/>
        <family val="2"/>
        <scheme val="minor"/>
      </rPr>
      <t>; per 1,000 people randomised; all cohorts (DOB 1918-1931); up to October 1992;
Screening vs control</t>
    </r>
  </si>
  <si>
    <t>Adenomas ≥1 cm</t>
  </si>
  <si>
    <t>Number of people with adenomas  ≥1 cm; all cohorts (DOB 1918-1931); up to October 1992</t>
  </si>
  <si>
    <t>Table V (up to the end of rescreening) plus numbers in text for follow-up period: Sixty-nine and 76 subjects with at least one adenoma al.0 cm were diagnosed in the respective groups during the follow-up period.</t>
  </si>
  <si>
    <t>Absolute incidence of Dukes' A CRC; per 1,000 people randomised; all cohorts (DOB 1918-1931); up to October 1992;
Screening vs control</t>
  </si>
  <si>
    <t>Number of people with Dukes' A CRC; all cohorts (DOB 1918-1931); up to October 1992</t>
  </si>
  <si>
    <t>Table VI plus Table VII</t>
  </si>
  <si>
    <t>Absolute incidence of Dukes' B CRC; per 1,000 people randomised; all cohorts (DOB 1918-1931); up to October 1992;
Screening vs control</t>
  </si>
  <si>
    <t>Number of people with Dukes' B CRC; all cohorts (DOB 1918-1931); up to October 1992</t>
  </si>
  <si>
    <t>Absolute incidence of Dukes' C CRC; per 1,000 people randomised; all cohorts (DOB 1918-1931); up to October 1992;
Screening vs control</t>
  </si>
  <si>
    <t>Number of people with Dukes' C CRC; all cohorts (DOB 1918-1931); up to October 1992</t>
  </si>
  <si>
    <t>Absolute incidence of Dukes' D CRC; per 1,000 people randomised; all cohorts (DOB 1918-1931); up to October 1992;
Screening vs control</t>
  </si>
  <si>
    <t>Number of people with Dukes' D CRC; all cohorts (DOB 1918-1931); up to October 1992</t>
  </si>
  <si>
    <t>Table VI plus Table VII and text: The incidence of stage-D cancers did not differ between the whole test group and the control group during or after the screening periods.</t>
  </si>
  <si>
    <t>% of CRC diagnosed at late-stage (Dukes' D); all cohorts (DOB 1918-1931); up to October 1992;
Screening vs control</t>
  </si>
  <si>
    <t>Total number of CRC diagnosed up to October 1992</t>
  </si>
  <si>
    <t>Diagnostic yield at screening, CRC (2-3 rounds); per 1,000 people randomised; all cohorts (DOB 1918-1931); up to the end of 2nd rescreening</t>
  </si>
  <si>
    <t>CRC - register at the Department of Pathology and the National Cancer Register.
Adenomas - local pathology register.</t>
  </si>
  <si>
    <t>End of 2nd rescreening</t>
  </si>
  <si>
    <t>Number of screen-detected CRC; 2-3 screening rounds from all cohorts (DOB 1918-1931)</t>
  </si>
  <si>
    <t>Table 2 and text: A total of 104 cancers were detected by screening.</t>
  </si>
  <si>
    <t>Diagnostic yield at screening, people with adenomas (2-3 rounds); per 1,000 people randomised; all cohorts (DOB 1918-1931); up to the end of 2nd rescreening</t>
  </si>
  <si>
    <t>Number of subjects with screen-detected adenomas; 2-3 screening rounds from all cohorts (DOB 1918-1931)</t>
  </si>
  <si>
    <t xml:space="preserve">Text: After a positive FOBT result, 633 adenomas were
detected and removed in 476 individuals. </t>
  </si>
  <si>
    <r>
      <t xml:space="preserve">Diagnostic yield at screening, people with adenomas </t>
    </r>
    <r>
      <rPr>
        <sz val="10"/>
        <rFont val="Calibri"/>
        <family val="2"/>
      </rPr>
      <t>≥</t>
    </r>
    <r>
      <rPr>
        <sz val="9.9"/>
        <rFont val="Calibri"/>
        <family val="2"/>
      </rPr>
      <t>1 cm</t>
    </r>
    <r>
      <rPr>
        <sz val="10"/>
        <rFont val="Calibri"/>
        <family val="2"/>
        <scheme val="minor"/>
      </rPr>
      <t xml:space="preserve"> (2-3 rounds); per 1,000 people randomised; all cohorts (DOB 1918-1931); up to the end of 2nd rescreening</t>
    </r>
  </si>
  <si>
    <r>
      <t xml:space="preserve">Number of subjects with screen-detected adenomas </t>
    </r>
    <r>
      <rPr>
        <sz val="10"/>
        <rFont val="Calibri"/>
        <family val="2"/>
      </rPr>
      <t>≥</t>
    </r>
    <r>
      <rPr>
        <sz val="9.9"/>
        <rFont val="Calibri"/>
        <family val="2"/>
      </rPr>
      <t>1 cm</t>
    </r>
    <r>
      <rPr>
        <sz val="10"/>
        <rFont val="Calibri"/>
        <family val="2"/>
        <scheme val="minor"/>
      </rPr>
      <t>; 2-3 screening rounds from all cohorts (DOB 1918-1931)</t>
    </r>
  </si>
  <si>
    <t>Table 2 and text: After a positive FOBT result, 633 adenomas were
detected and removed in 476 individuals. A total of 345 adenomas in 305 individuals were 1·0 cm or larger.</t>
  </si>
  <si>
    <t>% of CRC that are screen-detected (2-3 rounds); all cohorts (DOB 1918-1931); up to 31/12/2001</t>
  </si>
  <si>
    <t>Total number of CRC diagnosed; all cohorts (DOB 1918-1931); up to 31/12/2001</t>
  </si>
  <si>
    <t>Absolute incidence of CRC; per 1,000 people randomised; all cohorts (DOB 1918-1931); up to 31/12/2001;
Screening vs control</t>
  </si>
  <si>
    <t>Number of people with CRC; all cohorts (DOB 1918-1931); up to 31/12/2001</t>
  </si>
  <si>
    <r>
      <t xml:space="preserve">Absolute incidence of adenoma </t>
    </r>
    <r>
      <rPr>
        <sz val="10"/>
        <rFont val="Calibri"/>
        <family val="2"/>
      </rPr>
      <t>≥1 cm</t>
    </r>
    <r>
      <rPr>
        <sz val="10"/>
        <rFont val="Calibri"/>
        <family val="2"/>
        <scheme val="minor"/>
      </rPr>
      <t>; per 1,000 people randomised; all cohorts (DOB 1918-1931); up to 31/12/2001;
Screening vs control</t>
    </r>
  </si>
  <si>
    <t>Number of people with adenomas ≥1 cm; all cohorts (DOB 1918-1931); up to 31/12/2001</t>
  </si>
  <si>
    <t>Table 3 and text: At the end of follow-up, 515 individuals in the screening group had an adenoma of 1·0 cm or larger compared with 317 of the controls (P &lt; 0·001)</t>
  </si>
  <si>
    <r>
      <t xml:space="preserve">Absolute incidence of adenoma </t>
    </r>
    <r>
      <rPr>
        <sz val="10"/>
        <rFont val="Calibri"/>
        <family val="2"/>
      </rPr>
      <t>≥2 cm</t>
    </r>
    <r>
      <rPr>
        <sz val="10"/>
        <rFont val="Calibri"/>
        <family val="2"/>
        <scheme val="minor"/>
      </rPr>
      <t>; per 1,000 people randomised; all cohorts (DOB 1918-1931); up to 31/12/2001;
Screening vs control</t>
    </r>
  </si>
  <si>
    <t>Adenoma ≥2 cm</t>
  </si>
  <si>
    <t>Number of people with adenomas ≥2 cm; all cohorts (DOB 1918-1931); up to 31/12/2001</t>
  </si>
  <si>
    <t>Absolute incidence of Dukes' A CRC; per 1,000 people randomised; all cohorts (DOB 1918-1931); up to 31/12/2001;
Screening vs control</t>
  </si>
  <si>
    <t>CRC - register at the Department of Pathology and the National Cancer Register.
Staging of all CRC mainly done by 1 pathologist according to the Turnbull modification of Dukes’ staging system.
Adenomas - local pathology register.</t>
  </si>
  <si>
    <t>Missing Dukes' stage</t>
  </si>
  <si>
    <t>Number of people with Dukes' A CRC; all cohorts (DOB 1918-1931); up to 31/12/2001</t>
  </si>
  <si>
    <t>Absolute incidence of Dukes' B CRC; per 1,000 people randomised; all cohorts (DOB 1918-1931); up to 31/12/2001;
Screening vs control</t>
  </si>
  <si>
    <t>Number of people with Dukes' B CRC; all cohorts (DOB 1918-1931); up to 31/12/2001</t>
  </si>
  <si>
    <t>Absolute incidence of Dukes' C CRC; per 1,000 people randomised; all cohorts (DOB 1918-1931); up to 31/12/2001;
Screening vs control</t>
  </si>
  <si>
    <t>Number of people with Dukes' C CRC; all cohorts (DOB 1918-1931); up to 31/12/2001</t>
  </si>
  <si>
    <t>Absolute incidence of Dukes' D CRC; per 1,000 people randomised; all cohorts (DOB 1918-1931); up to 31/12/2001;
Screening vs control</t>
  </si>
  <si>
    <t>Number of people with Dukes' D CRC; all cohorts (DOB 1918-1931); up to 31/12/2001</t>
  </si>
  <si>
    <t>% of CRC diagnosed at late stage (Dukes' D); all cohorts (DOB 1918-1931); up to 31/12/2001;
Screening vs control</t>
  </si>
  <si>
    <t>Total number of CRC diagnosed up to 13/12/2001</t>
  </si>
  <si>
    <t>Absolute incidence of CRC; per 1,000 PY; all cohorts (DOB 1918-1931); up to 31/12/2001;
Screening vs control</t>
  </si>
  <si>
    <t>Table 4 and text: The screening and control groups did not differ in incidence of colorectal cancer after 19 years (incidence
ratio 0·96 (95 per cent confidence interval (c.i.) 0·86 to 1·06)).</t>
  </si>
  <si>
    <r>
      <t xml:space="preserve">Absolute incidence of adenoma </t>
    </r>
    <r>
      <rPr>
        <sz val="10"/>
        <rFont val="Calibri"/>
        <family val="2"/>
      </rPr>
      <t>≥1 cm</t>
    </r>
    <r>
      <rPr>
        <sz val="10"/>
        <rFont val="Calibri"/>
        <family val="2"/>
        <scheme val="minor"/>
      </rPr>
      <t>; per 1,000 PY; all cohorts (DOB 1918-1931); up to 31/12/2001;
Screening vs control</t>
    </r>
  </si>
  <si>
    <t>Table 3 (nominator); Table 4 (denominator) and text: At the end of follow-up, 515 individuals in the screening group had an adenoma of 1·0 cm or larger compared with 317 of the controls (P &lt; 0·001)</t>
  </si>
  <si>
    <r>
      <t xml:space="preserve">Absolute incidence of adenoma </t>
    </r>
    <r>
      <rPr>
        <sz val="10"/>
        <rFont val="Calibri"/>
        <family val="2"/>
      </rPr>
      <t>≥2 cm</t>
    </r>
    <r>
      <rPr>
        <sz val="10"/>
        <rFont val="Calibri"/>
        <family val="2"/>
        <scheme val="minor"/>
      </rPr>
      <t>; per 1,000 PY; all cohorts (DOB 1918-1931); up to 31/12/2001;
Screening vs control</t>
    </r>
  </si>
  <si>
    <t>Table 3 (nominator); Table 4 (denominator)</t>
  </si>
  <si>
    <t>Absolute incidence of Dukes' A CRC; per 1,000 PY; all cohorts (DOB 1918-1931); up to 31/12/2001;
Screening vs control</t>
  </si>
  <si>
    <t>Absolute incidence of Dukes' B CRC; per 1,000 PY; all cohorts (DOB 1918-1931); up to 31/12/2001;
Screening vs control</t>
  </si>
  <si>
    <t>Absolute incidence of Dukes' C CRC; per 1,000 PY; all cohorts (DOB 1918-1931); up to 31/12/2001;
Screening vs control</t>
  </si>
  <si>
    <t>Absolute incidence of Dukes' D CRC; per 1,000 PY; all cohorts (DOB 1918-1931); up to 31/12/2001;
Screening vs control</t>
  </si>
  <si>
    <t>Strax 1971</t>
  </si>
  <si>
    <t>Breast cancer mortality (per 1,000 women); 
up to 31 October 1969;
Screening vs control</t>
  </si>
  <si>
    <t>Up to 6 years</t>
  </si>
  <si>
    <t>Number of breast cancer deaths up to 31 October 1969</t>
  </si>
  <si>
    <t>Text: By the end of October 1969, there were 52 deaths in which breast cancer was the underlying cause among the control women; the corresponding number of deaths among study women, those screened and those who refused screening combined, was much smaller, 31.</t>
  </si>
  <si>
    <t>Shapiro 1973</t>
  </si>
  <si>
    <t>Breast cancer mortality (per 10,000 PY); 
5 years of follow-up from study entry;
Screening vs control</t>
  </si>
  <si>
    <t>149,286.9 PY;
mean 4.94 years</t>
  </si>
  <si>
    <t>151,718.3 PY;
mean 4.93 years</t>
  </si>
  <si>
    <t>Number of breast cancer deaths during 5 years of follow-up from entry</t>
  </si>
  <si>
    <t>Table I and text: The results of the breast cancer study provide clear evidence that over the short-run period of 5 years of follow-up, the study women have about one-third lower mortality from breast cancer than the controls.</t>
  </si>
  <si>
    <t>Shapiro 1974</t>
  </si>
  <si>
    <t>Breast cancer mortality (per 1,000 women); 
2 completed years from date of entry;
Screening vs control</t>
  </si>
  <si>
    <t>60,203.2 PY;
mean 1.99 years</t>
  </si>
  <si>
    <t>6,1222.9 PY;
mean 1.99 years</t>
  </si>
  <si>
    <t>Number of breast cancer deaths during 2 completed years from entry</t>
  </si>
  <si>
    <t>Breast cancer mortality (per 1,000 women); 
3 completed years from date of entry;
Screening vs control</t>
  </si>
  <si>
    <t>90,081.1 PY;
mean 2.98 years</t>
  </si>
  <si>
    <t>91,580.2 PY;
mean 2.98 years</t>
  </si>
  <si>
    <t>Number of breast cancer deaths during 3 completed years from entry</t>
  </si>
  <si>
    <t>Breast cancer mortality (per 1,000 women); 
4 completed years from date of entry;
Screening vs control</t>
  </si>
  <si>
    <t>119,780.1 PY;
mean 3.96 years</t>
  </si>
  <si>
    <t>121,754.3 PY;
mean 3.96 years</t>
  </si>
  <si>
    <t>Number of breast cancer deaths during 4 completed years from entry</t>
  </si>
  <si>
    <t>Breast cancer mortality (per 1,000 women); 
5 completed years from date of entry;
Screening vs control</t>
  </si>
  <si>
    <t>Number of breast cancer deaths during 5 completed years from entry</t>
  </si>
  <si>
    <t>Breast cancer mortality in cases diagnosed in the first 5 years since entry (per 1,000 women); 
follow-up for 6 completed years from date of entry;
Screening vs control</t>
  </si>
  <si>
    <t>178,567.0 PY;
mean 5.91 years</t>
  </si>
  <si>
    <t>181,464.6 PY;
mean 5.90 years</t>
  </si>
  <si>
    <t>Number of breast cancer deaths in cases diagnosed in the first 5 years since entry; follow-up for 6 completed years from date of entry</t>
  </si>
  <si>
    <t>At this stage breast cancer deaths in years 6 and 7 are not believed to be completely identified.</t>
  </si>
  <si>
    <t>Breast cancer mortality in cases diagnosed in the first 5 years since entry (per 1,000 women); 
follow-up for 7 completed years from date of entry;
Screening vs control</t>
  </si>
  <si>
    <t>207,613.8 PY;
mean 6.87 years</t>
  </si>
  <si>
    <t>210,969 PY;
mean 6.86 years</t>
  </si>
  <si>
    <t>Number of breast cancer deaths in cases diagnosed in the first 5 years since entry; follow-up for 7 completed years from date of entry</t>
  </si>
  <si>
    <t>Shapiro 1977</t>
  </si>
  <si>
    <t>All-cause mortality (per 10,000 PY); 
5 years from date of entry;
Screening vs control</t>
  </si>
  <si>
    <t>149,483 PY;
mean 4.8 years</t>
  </si>
  <si>
    <t>152,356 PY;
mean 4.9 years</t>
  </si>
  <si>
    <t>Number of deaths from all causes (all causes excluding breast cancer + breast cancer deaths) during 5 years from entry</t>
  </si>
  <si>
    <t>Table 2 and Table 7</t>
  </si>
  <si>
    <t>Breast cancer mortality in cases diagnosed in the first 5 years since entry (per 1,000 women); 
8 years from date of entry;
Screening vs control</t>
  </si>
  <si>
    <t>236,414.8 PY;
mean 7.82 years</t>
  </si>
  <si>
    <t>240,254.6 PY;
mean 7.81 years</t>
  </si>
  <si>
    <t>Number of breast cancer deaths in cases diagnosed in the first 5 years since entry; follow-up until 8 years from entry</t>
  </si>
  <si>
    <t>Counts of breast cancer deaths in the first five years of follow-up are unlikely to change; for years six to nine, additional follow-up is underway for complete counts.</t>
  </si>
  <si>
    <t>Breast cancer mortality in cases diagnosed in the first 5 years since entry (per 1,000 women); 
9 years from date of entry;
Screening vs control</t>
  </si>
  <si>
    <t>264,972.8 PY;
mean 8.76 years</t>
  </si>
  <si>
    <t>269,289.3 PY;
mean 8.75 years</t>
  </si>
  <si>
    <t>Number of breast cancer deaths in cases diagnosed in the first 5 years since entry; follow-up until 9 years from entry</t>
  </si>
  <si>
    <t>Table 7 and text: At the end of 9 years, there were 91 deaths due to breast cancer in the total study group, or about 30% less than the 128 deaths in the control group.</t>
  </si>
  <si>
    <r>
      <t xml:space="preserve">Breast cancer mortality in cases diagnosed in the first 5 years since entry (per 1,000 women </t>
    </r>
    <r>
      <rPr>
        <b/>
        <sz val="10"/>
        <rFont val="Calibri"/>
        <family val="2"/>
        <scheme val="minor"/>
      </rPr>
      <t>aged 40-49 years at entry</t>
    </r>
    <r>
      <rPr>
        <sz val="10"/>
        <rFont val="Calibri"/>
        <family val="2"/>
        <scheme val="minor"/>
      </rPr>
      <t>); 
9 years from date of entry;
Screening vs control</t>
    </r>
  </si>
  <si>
    <r>
      <t xml:space="preserve">Number of breast cancer deaths in cases diagnosed in the first 5 years since entry </t>
    </r>
    <r>
      <rPr>
        <b/>
        <sz val="10"/>
        <rFont val="Calibri"/>
        <family val="2"/>
        <scheme val="minor"/>
      </rPr>
      <t>in women aged 40-49 years at entry</t>
    </r>
    <r>
      <rPr>
        <sz val="10"/>
        <rFont val="Calibri"/>
        <family val="2"/>
        <scheme val="minor"/>
      </rPr>
      <t>; follow-up until 9 years from entry</t>
    </r>
  </si>
  <si>
    <r>
      <t xml:space="preserve">Number of women randomised </t>
    </r>
    <r>
      <rPr>
        <b/>
        <sz val="10"/>
        <rFont val="Calibri"/>
        <family val="2"/>
        <scheme val="minor"/>
      </rPr>
      <t>aged 40-49 years</t>
    </r>
    <r>
      <rPr>
        <sz val="10"/>
        <rFont val="Calibri"/>
        <family val="2"/>
        <scheme val="minor"/>
      </rPr>
      <t>, by arm</t>
    </r>
  </si>
  <si>
    <t>Table 8 and Table 1 to estimate denominator</t>
  </si>
  <si>
    <r>
      <t xml:space="preserve">Breast cancer mortality in cases diagnosed in the first 5 years since entry (per 1,000 women </t>
    </r>
    <r>
      <rPr>
        <b/>
        <sz val="10"/>
        <rFont val="Calibri"/>
        <family val="2"/>
        <scheme val="minor"/>
      </rPr>
      <t>aged 50-59 years at entry</t>
    </r>
    <r>
      <rPr>
        <sz val="10"/>
        <rFont val="Calibri"/>
        <family val="2"/>
        <scheme val="minor"/>
      </rPr>
      <t>); 
9 years from date of entry;
Screening vs control</t>
    </r>
  </si>
  <si>
    <r>
      <t xml:space="preserve">Number of breast cancer deaths in cases diagnosed in the first 5 years since entry </t>
    </r>
    <r>
      <rPr>
        <b/>
        <sz val="10"/>
        <rFont val="Calibri"/>
        <family val="2"/>
        <scheme val="minor"/>
      </rPr>
      <t>in women aged 50-59 years at entry</t>
    </r>
    <r>
      <rPr>
        <sz val="10"/>
        <rFont val="Calibri"/>
        <family val="2"/>
        <scheme val="minor"/>
      </rPr>
      <t>; follow-up until 9 years from entry</t>
    </r>
  </si>
  <si>
    <r>
      <t xml:space="preserve">Number of women randomised </t>
    </r>
    <r>
      <rPr>
        <b/>
        <sz val="10"/>
        <rFont val="Calibri"/>
        <family val="2"/>
        <scheme val="minor"/>
      </rPr>
      <t>aged 50-59 years</t>
    </r>
    <r>
      <rPr>
        <sz val="10"/>
        <rFont val="Calibri"/>
        <family val="2"/>
        <scheme val="minor"/>
      </rPr>
      <t>, by arm</t>
    </r>
  </si>
  <si>
    <r>
      <t xml:space="preserve">Breast cancer mortality in cases diagnosed in the first 5 years since entry (per 1,000 women </t>
    </r>
    <r>
      <rPr>
        <b/>
        <sz val="10"/>
        <rFont val="Calibri"/>
        <family val="2"/>
        <scheme val="minor"/>
      </rPr>
      <t>aged 60-64 years at entry</t>
    </r>
    <r>
      <rPr>
        <sz val="10"/>
        <rFont val="Calibri"/>
        <family val="2"/>
        <scheme val="minor"/>
      </rPr>
      <t>); 
9 years from date of entry;
Screening vs control</t>
    </r>
  </si>
  <si>
    <r>
      <t xml:space="preserve">Number of breast cancer deaths in cases diagnosed in the first 5 years since entry </t>
    </r>
    <r>
      <rPr>
        <b/>
        <sz val="10"/>
        <rFont val="Calibri"/>
        <family val="2"/>
        <scheme val="minor"/>
      </rPr>
      <t>in women aged 60-64 years at entry</t>
    </r>
    <r>
      <rPr>
        <sz val="10"/>
        <rFont val="Calibri"/>
        <family val="2"/>
        <scheme val="minor"/>
      </rPr>
      <t>; follow-up until 9 years from entry</t>
    </r>
  </si>
  <si>
    <r>
      <t xml:space="preserve">Number of women randomised </t>
    </r>
    <r>
      <rPr>
        <b/>
        <sz val="10"/>
        <rFont val="Calibri"/>
        <family val="2"/>
        <scheme val="minor"/>
      </rPr>
      <t>aged 60-64 years</t>
    </r>
    <r>
      <rPr>
        <sz val="10"/>
        <rFont val="Calibri"/>
        <family val="2"/>
        <scheme val="minor"/>
      </rPr>
      <t>, by arm</t>
    </r>
  </si>
  <si>
    <t>Shapiro 1978</t>
  </si>
  <si>
    <t>Breast cancer mortality (per 1,000 women); 
3 years from date of entry;
Screening vs control</t>
  </si>
  <si>
    <t>Number of breast cancer deaths in cases diagnosed in the first 3 years since entry</t>
  </si>
  <si>
    <t>Breast cancer mortality (per 1,000 women); 
4 years from date of entry;
Screening vs control</t>
  </si>
  <si>
    <t>Number of breast cancer deaths in cases diagnosed in the first 4 years since entry</t>
  </si>
  <si>
    <t>Breast cancer mortality (per 1,000 women); 
5 years from date of entry;
Screening vs control</t>
  </si>
  <si>
    <t>Number of breast cancer deaths in cases diagnosed in the first 5 years since entry</t>
  </si>
  <si>
    <r>
      <t xml:space="preserve">Breast cancer mortality in cases </t>
    </r>
    <r>
      <rPr>
        <b/>
        <sz val="10"/>
        <rFont val="Calibri"/>
        <family val="2"/>
        <scheme val="minor"/>
      </rPr>
      <t>diagnosed in the first 5 years since entry</t>
    </r>
    <r>
      <rPr>
        <sz val="10"/>
        <rFont val="Calibri"/>
        <family val="2"/>
        <scheme val="minor"/>
      </rPr>
      <t xml:space="preserve"> (per 1,000 women); 
6 years from date of entry;
Screening vs control</t>
    </r>
  </si>
  <si>
    <t>Number of breast cancer deaths in cases diagnosed in the first 5 years since entry; follow-up until 6 years from entry</t>
  </si>
  <si>
    <r>
      <t xml:space="preserve">Breast cancer mortality in cases </t>
    </r>
    <r>
      <rPr>
        <b/>
        <sz val="10"/>
        <rFont val="Calibri"/>
        <family val="2"/>
        <scheme val="minor"/>
      </rPr>
      <t>diagnosed in the first 5 years since entry</t>
    </r>
    <r>
      <rPr>
        <sz val="10"/>
        <rFont val="Calibri"/>
        <family val="2"/>
        <scheme val="minor"/>
      </rPr>
      <t xml:space="preserve"> (per 1,000 women); 
7 years from date of entry;
Screening vs control</t>
    </r>
  </si>
  <si>
    <t>Number of breast cancer deaths in cases diagnosed in the first 5 years since entry; follow-up until 7 years from entry</t>
  </si>
  <si>
    <r>
      <t xml:space="preserve">Breast cancer mortality in cases </t>
    </r>
    <r>
      <rPr>
        <b/>
        <sz val="10"/>
        <rFont val="Calibri"/>
        <family val="2"/>
        <scheme val="minor"/>
      </rPr>
      <t>diagnosed in the first 5 years since entry</t>
    </r>
    <r>
      <rPr>
        <sz val="10"/>
        <rFont val="Calibri"/>
        <family val="2"/>
        <scheme val="minor"/>
      </rPr>
      <t xml:space="preserve"> (per 1,000 women); 
8 years from date of entry;
Screening vs control</t>
    </r>
  </si>
  <si>
    <t>Counts for year 8-10  will remain qualified until a 10 year survey underway of all study and control group women not already identified as leaving breast cancer is completed.</t>
  </si>
  <si>
    <r>
      <t xml:space="preserve">Breast cancer mortality in cases </t>
    </r>
    <r>
      <rPr>
        <b/>
        <sz val="10"/>
        <rFont val="Calibri"/>
        <family val="2"/>
        <scheme val="minor"/>
      </rPr>
      <t>diagnosed in the first 5 years since entry</t>
    </r>
    <r>
      <rPr>
        <sz val="10"/>
        <rFont val="Calibri"/>
        <family val="2"/>
        <scheme val="minor"/>
      </rPr>
      <t xml:space="preserve"> (per 1,000 women); 
9 years from date of entry;
Screening vs control</t>
    </r>
  </si>
  <si>
    <r>
      <t xml:space="preserve">Breast cancer mortality in cases </t>
    </r>
    <r>
      <rPr>
        <b/>
        <sz val="10"/>
        <rFont val="Calibri"/>
        <family val="2"/>
        <scheme val="minor"/>
      </rPr>
      <t>diagnosed in the first 5 years since entry</t>
    </r>
    <r>
      <rPr>
        <sz val="10"/>
        <rFont val="Calibri"/>
        <family val="2"/>
        <scheme val="minor"/>
      </rPr>
      <t xml:space="preserve"> (per 1,000 women); 
10 years from date of entry;
Screening vs control</t>
    </r>
  </si>
  <si>
    <t>293,282.1 PY;
mean 9.70 years</t>
  </si>
  <si>
    <t>298,086.3 PY;
mean 9.69 years</t>
  </si>
  <si>
    <t>Number of breast cancer deaths in cases diagnosed in the first 5 years since entry; follow-up until 10 years from entry</t>
  </si>
  <si>
    <t>Table 1 and text: At the end of 10 years, there were 97 deaths due to breast cancer in the total study group, or about 30% less than the 137 deaths in the control group.</t>
  </si>
  <si>
    <r>
      <t xml:space="preserve">Breast cancer mortality in cases diagnosed in the first 5 years since entry (per 1,000 women </t>
    </r>
    <r>
      <rPr>
        <b/>
        <sz val="10"/>
        <rFont val="Calibri"/>
        <family val="2"/>
        <scheme val="minor"/>
      </rPr>
      <t>aged 40-49 at entry</t>
    </r>
    <r>
      <rPr>
        <sz val="10"/>
        <rFont val="Calibri"/>
        <family val="2"/>
        <scheme val="minor"/>
      </rPr>
      <t>); 
10 years from date of entry;
Screening vs control</t>
    </r>
  </si>
  <si>
    <r>
      <t xml:space="preserve">Number of breast cancer deaths in cases diagnosed in the first 5 years since entry </t>
    </r>
    <r>
      <rPr>
        <b/>
        <sz val="10"/>
        <rFont val="Calibri"/>
        <family val="2"/>
        <scheme val="minor"/>
      </rPr>
      <t>in women aged 40-49 years at entry</t>
    </r>
    <r>
      <rPr>
        <sz val="10"/>
        <rFont val="Calibri"/>
        <family val="2"/>
        <scheme val="minor"/>
      </rPr>
      <t>; follow-up until 10 years from entry</t>
    </r>
  </si>
  <si>
    <r>
      <t xml:space="preserve">Number of women randomised </t>
    </r>
    <r>
      <rPr>
        <b/>
        <sz val="10"/>
        <rFont val="Calibri"/>
        <family val="2"/>
        <scheme val="minor"/>
      </rPr>
      <t>aged 40-49 at entry</t>
    </r>
    <r>
      <rPr>
        <sz val="10"/>
        <rFont val="Calibri"/>
        <family val="2"/>
        <scheme val="minor"/>
      </rPr>
      <t>, by arm</t>
    </r>
  </si>
  <si>
    <r>
      <t xml:space="preserve">Breast cancer mortality in cases diagnosed in the first 5 years since entry (per 1,000 women </t>
    </r>
    <r>
      <rPr>
        <b/>
        <sz val="10"/>
        <rFont val="Calibri"/>
        <family val="2"/>
        <scheme val="minor"/>
      </rPr>
      <t>aged 50-59 at entry</t>
    </r>
    <r>
      <rPr>
        <sz val="10"/>
        <rFont val="Calibri"/>
        <family val="2"/>
        <scheme val="minor"/>
      </rPr>
      <t>); 
10 years from date of entry;
Screening vs control</t>
    </r>
  </si>
  <si>
    <r>
      <t xml:space="preserve">Number of breast cancer deaths in cases diagnosed in the first 5 years since entry </t>
    </r>
    <r>
      <rPr>
        <b/>
        <sz val="10"/>
        <rFont val="Calibri"/>
        <family val="2"/>
        <scheme val="minor"/>
      </rPr>
      <t>in women aged 50-59 years at entry</t>
    </r>
    <r>
      <rPr>
        <sz val="10"/>
        <rFont val="Calibri"/>
        <family val="2"/>
        <scheme val="minor"/>
      </rPr>
      <t>; follow-up until 10 years from entry</t>
    </r>
  </si>
  <si>
    <r>
      <t xml:space="preserve">Number of women randomised </t>
    </r>
    <r>
      <rPr>
        <b/>
        <sz val="10"/>
        <rFont val="Calibri"/>
        <family val="2"/>
        <scheme val="minor"/>
      </rPr>
      <t>aged 50-59 at entry</t>
    </r>
    <r>
      <rPr>
        <sz val="10"/>
        <rFont val="Calibri"/>
        <family val="2"/>
        <scheme val="minor"/>
      </rPr>
      <t>, by arm</t>
    </r>
  </si>
  <si>
    <t>Table 2 and text: All of the contrasts involving women aged 50-59 are statistically significant (p&lt;0.05).</t>
  </si>
  <si>
    <r>
      <t xml:space="preserve">Breast cancer mortality in cases diagnosed in the first 5 years since entry (per 1,000 women </t>
    </r>
    <r>
      <rPr>
        <b/>
        <sz val="10"/>
        <rFont val="Calibri"/>
        <family val="2"/>
        <scheme val="minor"/>
      </rPr>
      <t>aged 60-64 at entry</t>
    </r>
    <r>
      <rPr>
        <sz val="10"/>
        <rFont val="Calibri"/>
        <family val="2"/>
        <scheme val="minor"/>
      </rPr>
      <t>); 
10 years from date of entry;
Screening vs control</t>
    </r>
  </si>
  <si>
    <r>
      <t xml:space="preserve">Number of breast cancer deaths in cases diagnosed in the first 5 years since entry </t>
    </r>
    <r>
      <rPr>
        <b/>
        <sz val="10"/>
        <rFont val="Calibri"/>
        <family val="2"/>
        <scheme val="minor"/>
      </rPr>
      <t>in women aged 60-64 years at entry</t>
    </r>
    <r>
      <rPr>
        <sz val="10"/>
        <rFont val="Calibri"/>
        <family val="2"/>
        <scheme val="minor"/>
      </rPr>
      <t>; follow-up until 10 years from entry</t>
    </r>
  </si>
  <si>
    <r>
      <t xml:space="preserve">Number of women randomised </t>
    </r>
    <r>
      <rPr>
        <b/>
        <sz val="10"/>
        <rFont val="Calibri"/>
        <family val="2"/>
        <scheme val="minor"/>
      </rPr>
      <t>aged 60-64 at entry</t>
    </r>
    <r>
      <rPr>
        <sz val="10"/>
        <rFont val="Calibri"/>
        <family val="2"/>
        <scheme val="minor"/>
      </rPr>
      <t>, by arm</t>
    </r>
  </si>
  <si>
    <t>Table 2 and text: At ages 60 and over, the probability of the difference being due to chance factors 0.10 (two-tailed test applied to age at entry data).</t>
  </si>
  <si>
    <t>Shapiro 1982</t>
  </si>
  <si>
    <r>
      <t xml:space="preserve">Breast cancer mortality (per 1,000 women) in </t>
    </r>
    <r>
      <rPr>
        <b/>
        <sz val="10"/>
        <rFont val="Calibri"/>
        <family val="2"/>
        <scheme val="minor"/>
      </rPr>
      <t>cases diagnosed 5 years from date of entry</t>
    </r>
    <r>
      <rPr>
        <sz val="10"/>
        <rFont val="Calibri"/>
        <family val="2"/>
        <scheme val="minor"/>
      </rPr>
      <t>; follow-up until 7 years from entry;
Screening vs control</t>
    </r>
  </si>
  <si>
    <t>Periodic communication with women (or their next of kin) on the breast cancer registries established in the study, searches of hospital insurance and death records, and surveys 5 and 10 years after entry of all 62,000 women whose status was not already known through other sources. Other tracing methods for residual groups; new survey 15-17 years after entry under way</t>
  </si>
  <si>
    <t>&lt;0.01</t>
  </si>
  <si>
    <t>Results thus far indicate that nearly all cases of breast cancer that occurred during the first 10 years after entry are now known; however, this may not be so for later years.
Data include death due to breast cancer among cases histologically confirmed within a specified interval after entry and deaths among women with breast cancer as underlying cause but with no histologically confirmed diagnosis before death.</t>
  </si>
  <si>
    <r>
      <t xml:space="preserve">Breast cancer mortality (per 1,000 women) in cases </t>
    </r>
    <r>
      <rPr>
        <b/>
        <sz val="10"/>
        <rFont val="Calibri"/>
        <family val="2"/>
        <scheme val="minor"/>
      </rPr>
      <t>diagnosed 5 years from date of entry</t>
    </r>
    <r>
      <rPr>
        <sz val="10"/>
        <rFont val="Calibri"/>
        <family val="2"/>
        <scheme val="minor"/>
      </rPr>
      <t>; follow-up until 10 years from entry;
Screening vs control</t>
    </r>
  </si>
  <si>
    <t>Periodic communication with women (or their next of kin) on the breast cancer registries established in the study, searches of hospital insurance and death records, and surveys 5 and 10 years after entry of all 62,000 women whose status was not already known through other sources. Other tracing methods for residual groups; new survey 15-17 years after entry under way.</t>
  </si>
  <si>
    <r>
      <t xml:space="preserve">Breast cancer mortality (per 1,000 women); in cases </t>
    </r>
    <r>
      <rPr>
        <b/>
        <sz val="10"/>
        <rFont val="Calibri"/>
        <family val="2"/>
        <scheme val="minor"/>
      </rPr>
      <t>diagnosed 5 years from date of entry</t>
    </r>
    <r>
      <rPr>
        <sz val="10"/>
        <rFont val="Calibri"/>
        <family val="2"/>
        <scheme val="minor"/>
      </rPr>
      <t>; follow-up until 14 years from entry;
Screening vs control</t>
    </r>
  </si>
  <si>
    <t>Number of breast cancer deaths in cases diagnosed in the first 5 years since entry; follow-up until 14 years from entry</t>
  </si>
  <si>
    <r>
      <t xml:space="preserve">Breast cancer mortality (per 1,000 women) in </t>
    </r>
    <r>
      <rPr>
        <b/>
        <sz val="10"/>
        <rFont val="Calibri"/>
        <family val="2"/>
        <scheme val="minor"/>
      </rPr>
      <t>cases diagnosed 7 years from date of entry</t>
    </r>
    <r>
      <rPr>
        <sz val="10"/>
        <rFont val="Calibri"/>
        <family val="2"/>
        <scheme val="minor"/>
      </rPr>
      <t>; follow-up until 7 years from entry;
Screening vs control</t>
    </r>
  </si>
  <si>
    <t>Number of breast cancer deaths in cases diagnosed in the first 7 years since entry; follow-up until 7 years from entry</t>
  </si>
  <si>
    <r>
      <t xml:space="preserve">Breast cancer mortality (per 1,000 women) in cases </t>
    </r>
    <r>
      <rPr>
        <b/>
        <sz val="10"/>
        <rFont val="Calibri"/>
        <family val="2"/>
        <scheme val="minor"/>
      </rPr>
      <t>diagnosed 7 years from date of entry</t>
    </r>
    <r>
      <rPr>
        <sz val="10"/>
        <rFont val="Calibri"/>
        <family val="2"/>
        <scheme val="minor"/>
      </rPr>
      <t>; follow-up until 10 years from entry;
Screening vs control</t>
    </r>
  </si>
  <si>
    <t>Number of breast cancer deaths in cases diagnosed in the first 7 years since entry; follow-up until 10 years from entry</t>
  </si>
  <si>
    <r>
      <t xml:space="preserve">Breast cancer mortality (per 1,000 women); in cases </t>
    </r>
    <r>
      <rPr>
        <b/>
        <sz val="10"/>
        <rFont val="Calibri"/>
        <family val="2"/>
        <scheme val="minor"/>
      </rPr>
      <t>diagnosed 7 years from date of entry</t>
    </r>
    <r>
      <rPr>
        <sz val="10"/>
        <rFont val="Calibri"/>
        <family val="2"/>
        <scheme val="minor"/>
      </rPr>
      <t>; follow-up until 14 years from entry;
Screening vs control</t>
    </r>
  </si>
  <si>
    <t>Number of breast cancer deaths in cases diagnosed in the first 7 years since entry; follow-up until 14 years from entry</t>
  </si>
  <si>
    <r>
      <t xml:space="preserve">Breast cancer mortality (per 1,000 women) in cases </t>
    </r>
    <r>
      <rPr>
        <b/>
        <sz val="10"/>
        <rFont val="Calibri"/>
        <family val="2"/>
        <scheme val="minor"/>
      </rPr>
      <t>diagnosed 10 years from date of entry</t>
    </r>
    <r>
      <rPr>
        <sz val="10"/>
        <rFont val="Calibri"/>
        <family val="2"/>
        <scheme val="minor"/>
      </rPr>
      <t>; follow-up until 10 years from entry;
Screening vs control</t>
    </r>
  </si>
  <si>
    <t>Number of breast cancer deaths in cases diagnosed in the first 10 years since entry; follow-up until 10 years from entry</t>
  </si>
  <si>
    <r>
      <t xml:space="preserve">Breast cancer mortality (per 1,000 women); in cases </t>
    </r>
    <r>
      <rPr>
        <b/>
        <sz val="10"/>
        <rFont val="Calibri"/>
        <family val="2"/>
        <scheme val="minor"/>
      </rPr>
      <t>diagnosed 10 years from date of entry</t>
    </r>
    <r>
      <rPr>
        <sz val="10"/>
        <rFont val="Calibri"/>
        <family val="2"/>
        <scheme val="minor"/>
      </rPr>
      <t>; follow-up until 14 years from entry;
Screening vs control</t>
    </r>
  </si>
  <si>
    <t>Number of breast cancer deaths in cases diagnosed in the first 10 years since entry; follow-up until 14 years from entry</t>
  </si>
  <si>
    <r>
      <t xml:space="preserve">Breast cancer mortality in cases diagnosed in the first 5 years since entry (per 1,000 women </t>
    </r>
    <r>
      <rPr>
        <b/>
        <sz val="10"/>
        <rFont val="Calibri"/>
        <family val="2"/>
        <scheme val="minor"/>
      </rPr>
      <t>aged 40-49 at entry</t>
    </r>
    <r>
      <rPr>
        <sz val="10"/>
        <rFont val="Calibri"/>
        <family val="2"/>
        <scheme val="minor"/>
      </rPr>
      <t>); 
Screening vs control</t>
    </r>
  </si>
  <si>
    <r>
      <t xml:space="preserve">Number of breast cancer deaths in cases diagnosed in the first 5 years since entry </t>
    </r>
    <r>
      <rPr>
        <b/>
        <sz val="10"/>
        <rFont val="Calibri"/>
        <family val="2"/>
        <scheme val="minor"/>
      </rPr>
      <t>in women aged 40-49 years at entry</t>
    </r>
    <r>
      <rPr>
        <sz val="10"/>
        <rFont val="Calibri"/>
        <family val="2"/>
        <scheme val="minor"/>
      </rPr>
      <t>; follow-up until 5 years from entry</t>
    </r>
  </si>
  <si>
    <t>Data include death due to breast cancer among cases histologically confirmed within a specified interval after entry and deaths among women with breast cancer as underlying cause but with no histologically confirmed diagnosis before death.</t>
  </si>
  <si>
    <r>
      <t xml:space="preserve">Breast cancer mortality in cases diagnosed in the first 5 years since entry (per 1,000 women </t>
    </r>
    <r>
      <rPr>
        <b/>
        <sz val="10"/>
        <rFont val="Calibri"/>
        <family val="2"/>
        <scheme val="minor"/>
      </rPr>
      <t>aged 50-59 at entry</t>
    </r>
    <r>
      <rPr>
        <sz val="10"/>
        <rFont val="Calibri"/>
        <family val="2"/>
        <scheme val="minor"/>
      </rPr>
      <t>); 
Screening vs control</t>
    </r>
  </si>
  <si>
    <r>
      <t xml:space="preserve">Number of breast cancer deaths in cases diagnosed in the first 5 years since entry </t>
    </r>
    <r>
      <rPr>
        <b/>
        <sz val="10"/>
        <rFont val="Calibri"/>
        <family val="2"/>
        <scheme val="minor"/>
      </rPr>
      <t>in women aged 50-59 years at entry</t>
    </r>
    <r>
      <rPr>
        <sz val="10"/>
        <rFont val="Calibri"/>
        <family val="2"/>
        <scheme val="minor"/>
      </rPr>
      <t>; follow-up until 5 years from entry</t>
    </r>
  </si>
  <si>
    <r>
      <t xml:space="preserve">Breast cancer mortality in cases diagnosed in the first 5 years since entry (per 1,000 women </t>
    </r>
    <r>
      <rPr>
        <b/>
        <sz val="10"/>
        <rFont val="Calibri"/>
        <family val="2"/>
        <scheme val="minor"/>
      </rPr>
      <t>aged 60-64 at entry</t>
    </r>
    <r>
      <rPr>
        <sz val="10"/>
        <rFont val="Calibri"/>
        <family val="2"/>
        <scheme val="minor"/>
      </rPr>
      <t>); 
Screening vs control</t>
    </r>
  </si>
  <si>
    <r>
      <t xml:space="preserve">Number of breast cancer deaths in cases diagnosed in the first 5 years since entry </t>
    </r>
    <r>
      <rPr>
        <b/>
        <sz val="10"/>
        <rFont val="Calibri"/>
        <family val="2"/>
        <scheme val="minor"/>
      </rPr>
      <t>in women aged 60-64 years at entry</t>
    </r>
    <r>
      <rPr>
        <sz val="10"/>
        <rFont val="Calibri"/>
        <family val="2"/>
        <scheme val="minor"/>
      </rPr>
      <t>; follow-up until 5 years from entry</t>
    </r>
  </si>
  <si>
    <r>
      <t xml:space="preserve">Breast cancer mortality in cases diagnosed in the first 5 years since entry (per 1,000 women </t>
    </r>
    <r>
      <rPr>
        <b/>
        <sz val="10"/>
        <rFont val="Calibri"/>
        <family val="2"/>
        <scheme val="minor"/>
      </rPr>
      <t>aged 40-49 at entry</t>
    </r>
    <r>
      <rPr>
        <sz val="10"/>
        <rFont val="Calibri"/>
        <family val="2"/>
        <scheme val="minor"/>
      </rPr>
      <t>); 
14 years from date of entry;
Screening vs control</t>
    </r>
  </si>
  <si>
    <r>
      <t xml:space="preserve">Number of breast cancer deaths in cases diagnosed in the first 5 years since entry </t>
    </r>
    <r>
      <rPr>
        <b/>
        <sz val="10"/>
        <rFont val="Calibri"/>
        <family val="2"/>
        <scheme val="minor"/>
      </rPr>
      <t>in women aged 40-49 years at entry</t>
    </r>
    <r>
      <rPr>
        <sz val="10"/>
        <rFont val="Calibri"/>
        <family val="2"/>
        <scheme val="minor"/>
      </rPr>
      <t>; follow-up until 14 years from entry</t>
    </r>
  </si>
  <si>
    <r>
      <t xml:space="preserve">Breast cancer mortality in cases diagnosed in the first 5 years since entry (per 1,000 women </t>
    </r>
    <r>
      <rPr>
        <b/>
        <sz val="10"/>
        <rFont val="Calibri"/>
        <family val="2"/>
        <scheme val="minor"/>
      </rPr>
      <t>aged 50-59 at entry</t>
    </r>
    <r>
      <rPr>
        <sz val="10"/>
        <rFont val="Calibri"/>
        <family val="2"/>
        <scheme val="minor"/>
      </rPr>
      <t>); 
14 years from date of entry;
Screening vs control</t>
    </r>
  </si>
  <si>
    <r>
      <t xml:space="preserve">Number of breast cancer deaths in cases diagnosed in the first 5 years since entry </t>
    </r>
    <r>
      <rPr>
        <b/>
        <sz val="10"/>
        <rFont val="Calibri"/>
        <family val="2"/>
        <scheme val="minor"/>
      </rPr>
      <t>in women aged 50-59 years at entry</t>
    </r>
    <r>
      <rPr>
        <sz val="10"/>
        <rFont val="Calibri"/>
        <family val="2"/>
        <scheme val="minor"/>
      </rPr>
      <t>; follow-up until 14 years from entry</t>
    </r>
  </si>
  <si>
    <r>
      <t xml:space="preserve">Breast cancer mortality in cases diagnosed in the first 5 years since entry (per 1,000 women </t>
    </r>
    <r>
      <rPr>
        <b/>
        <sz val="10"/>
        <rFont val="Calibri"/>
        <family val="2"/>
        <scheme val="minor"/>
      </rPr>
      <t>aged 60-64 at entry</t>
    </r>
    <r>
      <rPr>
        <sz val="10"/>
        <rFont val="Calibri"/>
        <family val="2"/>
        <scheme val="minor"/>
      </rPr>
      <t>); 
14 years from date of entry;
Screening vs control</t>
    </r>
  </si>
  <si>
    <r>
      <t xml:space="preserve">Number of breast cancer deaths in cases diagnosed in the first 5 years since entry </t>
    </r>
    <r>
      <rPr>
        <b/>
        <sz val="10"/>
        <rFont val="Calibri"/>
        <family val="2"/>
        <scheme val="minor"/>
      </rPr>
      <t>in women aged 60-64 years at entry</t>
    </r>
    <r>
      <rPr>
        <sz val="10"/>
        <rFont val="Calibri"/>
        <family val="2"/>
        <scheme val="minor"/>
      </rPr>
      <t>; follow-up until 14 years from entry</t>
    </r>
  </si>
  <si>
    <t>Strax 1984</t>
  </si>
  <si>
    <r>
      <t xml:space="preserve">Breast cancer mortality in cases diagnosed in the first 6 years since entry (per 1,000 women </t>
    </r>
    <r>
      <rPr>
        <b/>
        <sz val="10"/>
        <rFont val="Calibri"/>
        <family val="2"/>
        <scheme val="minor"/>
      </rPr>
      <t>aged 40-49 at entry</t>
    </r>
    <r>
      <rPr>
        <sz val="10"/>
        <rFont val="Calibri"/>
        <family val="2"/>
        <scheme val="minor"/>
      </rPr>
      <t>); 
10 years from date of entry;
Screening vs control</t>
    </r>
  </si>
  <si>
    <r>
      <t xml:space="preserve">Number of breast cancer deaths in cases diagnosed in the first 6 years since entry </t>
    </r>
    <r>
      <rPr>
        <b/>
        <sz val="10"/>
        <rFont val="Calibri"/>
        <family val="2"/>
        <scheme val="minor"/>
      </rPr>
      <t>in women aged 40-49 years at entry</t>
    </r>
    <r>
      <rPr>
        <sz val="10"/>
        <rFont val="Calibri"/>
        <family val="2"/>
        <scheme val="minor"/>
      </rPr>
      <t>; follow-up until 10 years from entry</t>
    </r>
  </si>
  <si>
    <r>
      <t xml:space="preserve">Breast cancer mortality in cases diagnosed in the first 6 years since entry (per 1,000 women </t>
    </r>
    <r>
      <rPr>
        <b/>
        <sz val="10"/>
        <rFont val="Calibri"/>
        <family val="2"/>
        <scheme val="minor"/>
      </rPr>
      <t>aged 40-49 at entry</t>
    </r>
    <r>
      <rPr>
        <sz val="10"/>
        <rFont val="Calibri"/>
        <family val="2"/>
        <scheme val="minor"/>
      </rPr>
      <t>); 
14 years from date of entry;
Screening vs control</t>
    </r>
  </si>
  <si>
    <r>
      <t xml:space="preserve">Number of breast cancer deaths in cases diagnosed in the first 6 years since entry </t>
    </r>
    <r>
      <rPr>
        <b/>
        <sz val="10"/>
        <rFont val="Calibri"/>
        <family val="2"/>
        <scheme val="minor"/>
      </rPr>
      <t>in women aged 40-49 years at entry</t>
    </r>
    <r>
      <rPr>
        <sz val="10"/>
        <rFont val="Calibri"/>
        <family val="2"/>
        <scheme val="minor"/>
      </rPr>
      <t>; follow-up until 14 years from entry</t>
    </r>
  </si>
  <si>
    <r>
      <t xml:space="preserve">Breast cancer mortality in cases diagnosed in the first 7 years since entry (per 1,000 women </t>
    </r>
    <r>
      <rPr>
        <b/>
        <sz val="10"/>
        <rFont val="Calibri"/>
        <family val="2"/>
        <scheme val="minor"/>
      </rPr>
      <t>aged 40-49 at entry</t>
    </r>
    <r>
      <rPr>
        <sz val="10"/>
        <rFont val="Calibri"/>
        <family val="2"/>
        <scheme val="minor"/>
      </rPr>
      <t>); 
10 years from date of entry;
Screening vs control</t>
    </r>
  </si>
  <si>
    <r>
      <t xml:space="preserve">Number of breast cancer deaths in cases diagnosed in the first 7 years since entry </t>
    </r>
    <r>
      <rPr>
        <b/>
        <sz val="10"/>
        <rFont val="Calibri"/>
        <family val="2"/>
        <scheme val="minor"/>
      </rPr>
      <t>in women aged 40-49 years at entry</t>
    </r>
    <r>
      <rPr>
        <sz val="10"/>
        <rFont val="Calibri"/>
        <family val="2"/>
        <scheme val="minor"/>
      </rPr>
      <t>; follow-up until 10 years from entry</t>
    </r>
  </si>
  <si>
    <r>
      <t xml:space="preserve">Breast cancer mortality in cases diagnosed in the first 7 years since entry (per 1,000 women </t>
    </r>
    <r>
      <rPr>
        <b/>
        <sz val="10"/>
        <rFont val="Calibri"/>
        <family val="2"/>
        <scheme val="minor"/>
      </rPr>
      <t>aged 40-49 at entry</t>
    </r>
    <r>
      <rPr>
        <sz val="10"/>
        <rFont val="Calibri"/>
        <family val="2"/>
        <scheme val="minor"/>
      </rPr>
      <t>); 
14 years from date of entry;
Screening vs control</t>
    </r>
  </si>
  <si>
    <r>
      <t xml:space="preserve">Number of breast cancer deaths in cases diagnosed in the first 7 years since entry </t>
    </r>
    <r>
      <rPr>
        <b/>
        <sz val="10"/>
        <rFont val="Calibri"/>
        <family val="2"/>
        <scheme val="minor"/>
      </rPr>
      <t>in women aged 40-49 years at entry</t>
    </r>
    <r>
      <rPr>
        <sz val="10"/>
        <rFont val="Calibri"/>
        <family val="2"/>
        <scheme val="minor"/>
      </rPr>
      <t>; follow-up until 14 years from entry</t>
    </r>
  </si>
  <si>
    <t>Habbema 1986</t>
  </si>
  <si>
    <r>
      <t xml:space="preserve">Breast cancer mortality in cases diagnosed in the first 7 years since entry (per 1,000 women </t>
    </r>
    <r>
      <rPr>
        <b/>
        <sz val="10"/>
        <rFont val="Calibri"/>
        <family val="2"/>
        <scheme val="minor"/>
      </rPr>
      <t>aged 50-59 at entry</t>
    </r>
    <r>
      <rPr>
        <sz val="10"/>
        <rFont val="Calibri"/>
        <family val="2"/>
        <scheme val="minor"/>
      </rPr>
      <t>); 
14 years from date of entry;
Screening vs control</t>
    </r>
  </si>
  <si>
    <r>
      <t xml:space="preserve">Number of breast cancer deaths in cases diagnosed in the first 7 years since entry </t>
    </r>
    <r>
      <rPr>
        <b/>
        <sz val="10"/>
        <rFont val="Calibri"/>
        <family val="2"/>
        <scheme val="minor"/>
      </rPr>
      <t>in women aged 50-59 years at entry</t>
    </r>
    <r>
      <rPr>
        <sz val="10"/>
        <rFont val="Calibri"/>
        <family val="2"/>
        <scheme val="minor"/>
      </rPr>
      <t>; follow-up until 14 years from entry</t>
    </r>
  </si>
  <si>
    <r>
      <t xml:space="preserve">Breast cancer mortality in cases diagnosed in the first 7 years since entry (per 1,000 women </t>
    </r>
    <r>
      <rPr>
        <b/>
        <sz val="10"/>
        <rFont val="Calibri"/>
        <family val="2"/>
        <scheme val="minor"/>
      </rPr>
      <t>aged 60-64 at entry</t>
    </r>
    <r>
      <rPr>
        <sz val="10"/>
        <rFont val="Calibri"/>
        <family val="2"/>
        <scheme val="minor"/>
      </rPr>
      <t>); 
14 years from date of entry;
Screening vs control</t>
    </r>
  </si>
  <si>
    <r>
      <t xml:space="preserve">Number of breast cancer deaths in cases diagnosed in the first 7 years since entry </t>
    </r>
    <r>
      <rPr>
        <b/>
        <sz val="10"/>
        <rFont val="Calibri"/>
        <family val="2"/>
        <scheme val="minor"/>
      </rPr>
      <t>in women aged 60-64 years at entry</t>
    </r>
    <r>
      <rPr>
        <sz val="10"/>
        <rFont val="Calibri"/>
        <family val="2"/>
        <scheme val="minor"/>
      </rPr>
      <t>; follow-up until 14 years from entry</t>
    </r>
  </si>
  <si>
    <t>Shapiro 1985</t>
  </si>
  <si>
    <t>Intensive follow-up of all confirmed BC cases through matching death records on file in various health departments (New York City, upstate New York, New Jersey, Connecticut, and Florida) against the total file of study women and the file of controls; copies of death certificates including sections on cause of death are obtained. Mail surveys after 5, 10 and 15 years since entry for all women other than those known to be dead or on the breast cancer registry. Follow-up of known BC cases through communication with health care providers, the women or surviving relatives was 100%.</t>
  </si>
  <si>
    <r>
      <t xml:space="preserve">Breast cancer mortality (per 1,000 women) in cases </t>
    </r>
    <r>
      <rPr>
        <b/>
        <sz val="10"/>
        <rFont val="Calibri"/>
        <family val="2"/>
        <scheme val="minor"/>
      </rPr>
      <t>diagnosed 5 years from date of entry</t>
    </r>
    <r>
      <rPr>
        <sz val="10"/>
        <rFont val="Calibri"/>
        <family val="2"/>
        <scheme val="minor"/>
      </rPr>
      <t>; follow-up until 16 years from entry;
Screening vs control</t>
    </r>
  </si>
  <si>
    <t>Number of breast cancer deaths in cases diagnosed in the first 5 years since entry; follow-up until 16 years from entry</t>
  </si>
  <si>
    <r>
      <t xml:space="preserve">Breast cancer mortality (per 1,000 women) in cases </t>
    </r>
    <r>
      <rPr>
        <b/>
        <sz val="10"/>
        <rFont val="Calibri"/>
        <family val="2"/>
        <scheme val="minor"/>
      </rPr>
      <t>diagnosed 7 years from date of entry</t>
    </r>
    <r>
      <rPr>
        <sz val="10"/>
        <rFont val="Calibri"/>
        <family val="2"/>
        <scheme val="minor"/>
      </rPr>
      <t>; follow-up until 16 years from entry;
Screening vs control</t>
    </r>
  </si>
  <si>
    <t>Number of breast cancer deaths in cases diagnosed in the first 7 years since entry; follow-up until 16 years from entry</t>
  </si>
  <si>
    <r>
      <t xml:space="preserve">Breast cancer mortality (per 1,000 women) in cases </t>
    </r>
    <r>
      <rPr>
        <b/>
        <sz val="10"/>
        <rFont val="Calibri"/>
        <family val="2"/>
        <scheme val="minor"/>
      </rPr>
      <t>diagnosed 10 years from date of entry</t>
    </r>
    <r>
      <rPr>
        <sz val="10"/>
        <rFont val="Calibri"/>
        <family val="2"/>
        <scheme val="minor"/>
      </rPr>
      <t>; follow-up until 16 years from entry;
Screening vs control</t>
    </r>
  </si>
  <si>
    <t>Number of breast cancer deaths in cases diagnosed in the first 10 years since entry; follow-up until 16 years from entry</t>
  </si>
  <si>
    <r>
      <t xml:space="preserve">Breast cancer mortality in cases diagnosed in the first 5 years since entry (per 1,000 women </t>
    </r>
    <r>
      <rPr>
        <b/>
        <sz val="10"/>
        <rFont val="Calibri"/>
        <family val="2"/>
        <scheme val="minor"/>
      </rPr>
      <t>aged 40-49 at entry</t>
    </r>
    <r>
      <rPr>
        <sz val="10"/>
        <rFont val="Calibri"/>
        <family val="2"/>
        <scheme val="minor"/>
      </rPr>
      <t>); 
16 years from date of entry;
Screening vs control</t>
    </r>
  </si>
  <si>
    <r>
      <t xml:space="preserve">Number of breast cancer deaths in cases diagnosed in the first 5 years since entry </t>
    </r>
    <r>
      <rPr>
        <b/>
        <sz val="10"/>
        <rFont val="Calibri"/>
        <family val="2"/>
        <scheme val="minor"/>
      </rPr>
      <t>in women aged 40-49 years at entry</t>
    </r>
    <r>
      <rPr>
        <sz val="10"/>
        <rFont val="Calibri"/>
        <family val="2"/>
        <scheme val="minor"/>
      </rPr>
      <t>; follow-up until 16 years from entry</t>
    </r>
  </si>
  <si>
    <r>
      <t xml:space="preserve">Breast cancer mortality in cases diagnosed in the first 5 years since entry (per 1,000 women </t>
    </r>
    <r>
      <rPr>
        <b/>
        <sz val="10"/>
        <rFont val="Calibri"/>
        <family val="2"/>
        <scheme val="minor"/>
      </rPr>
      <t>aged 50-59 at entry</t>
    </r>
    <r>
      <rPr>
        <sz val="10"/>
        <rFont val="Calibri"/>
        <family val="2"/>
        <scheme val="minor"/>
      </rPr>
      <t>); 
16 years from date of entry;
Screening vs control</t>
    </r>
  </si>
  <si>
    <r>
      <t xml:space="preserve">Number of breast cancer deaths in cases diagnosed in the first 5 years since entry </t>
    </r>
    <r>
      <rPr>
        <b/>
        <sz val="10"/>
        <rFont val="Calibri"/>
        <family val="2"/>
        <scheme val="minor"/>
      </rPr>
      <t>in women aged 50-59 years at entry</t>
    </r>
    <r>
      <rPr>
        <sz val="10"/>
        <rFont val="Calibri"/>
        <family val="2"/>
        <scheme val="minor"/>
      </rPr>
      <t>; follow-up until 16 years from entry</t>
    </r>
  </si>
  <si>
    <r>
      <t xml:space="preserve">Breast cancer mortality in cases diagnosed in the first 5 years since entry (per 1,000 women </t>
    </r>
    <r>
      <rPr>
        <b/>
        <sz val="10"/>
        <rFont val="Calibri"/>
        <family val="2"/>
        <scheme val="minor"/>
      </rPr>
      <t>aged 60-64 at entry</t>
    </r>
    <r>
      <rPr>
        <sz val="10"/>
        <rFont val="Calibri"/>
        <family val="2"/>
        <scheme val="minor"/>
      </rPr>
      <t>); 
16 years from date of entry;
Screening vs control</t>
    </r>
  </si>
  <si>
    <r>
      <t xml:space="preserve">Number of breast cancer deaths in cases diagnosed in the first 5 years since entry </t>
    </r>
    <r>
      <rPr>
        <b/>
        <sz val="10"/>
        <rFont val="Calibri"/>
        <family val="2"/>
        <scheme val="minor"/>
      </rPr>
      <t>in women aged 60-64 years at entry</t>
    </r>
    <r>
      <rPr>
        <sz val="10"/>
        <rFont val="Calibri"/>
        <family val="2"/>
        <scheme val="minor"/>
      </rPr>
      <t>; follow-up until 16 years from entry</t>
    </r>
  </si>
  <si>
    <t>Aron 1986</t>
  </si>
  <si>
    <t>Breast cancer mortality (per 1,000 PY); 
1 completed year from date of entry;
Screening vs control</t>
  </si>
  <si>
    <t>30,174.5 PY;
mean 0.998 years</t>
  </si>
  <si>
    <t>30,685.1 PY;
mean 0.997 years</t>
  </si>
  <si>
    <t>Breast cancer mortality (per 1,000 PY); 
2 completed years from date of entry;
Screening vs control</t>
  </si>
  <si>
    <t>Breast cancer mortality (per 1,000 PY); 
3 completed years from date of entry;
Screening vs control</t>
  </si>
  <si>
    <t>Breast cancer mortality (per 1,000 PY); 
4 completed years from date of entry;
Screening vs control</t>
  </si>
  <si>
    <t>Table 1 and text: ...the mortality difference first appears in the fourth year from entry into the screening trial and persists at least through the tenth year, well after the screening intervention stopped in the middle of the fourth year.</t>
  </si>
  <si>
    <t>Breast cancer mortality (per 1,000 PY); 
5 completed years from date of entry;
Screening vs control</t>
  </si>
  <si>
    <t>Breast cancer mortality (per 1,000 PY); 
6 completed years from date of entry;
Screening vs control</t>
  </si>
  <si>
    <t>Number of breast cancer deaths during 6 completed years from entry</t>
  </si>
  <si>
    <t>Breast cancer mortality (per 1,000 PY); 
7 completed years from date of entry;
Screening vs control</t>
  </si>
  <si>
    <t>Number of breast cancer deaths during 7 completed years from entry</t>
  </si>
  <si>
    <t>Breast cancer mortality (per 1,000 PY); 
8 completed years from date of entry;
Screening vs control</t>
  </si>
  <si>
    <t>Number of breast cancer deaths during 8 completed years from entry</t>
  </si>
  <si>
    <t>Breast cancer mortality (per 1,000 PY); 
9 completed years from date of entry;
Screening vs control</t>
  </si>
  <si>
    <t>Number of breast cancer deaths during 9 completed years from entry</t>
  </si>
  <si>
    <t>Breast cancer mortality (per 1,000 PY); 
10 completed years from date of entry;
Screening vs control</t>
  </si>
  <si>
    <t>Number of breast cancer deaths during 10 completed years from entry</t>
  </si>
  <si>
    <t>All-cause mortality (per 1,000 PY); 
10 completed years from date of entry;
Screening vs control</t>
  </si>
  <si>
    <t>Number of deaths from all causes during 10 completed years from entry</t>
  </si>
  <si>
    <t>Text: ... at ten years from entry, there are 147 breast cancer deaths out of 2062 total deaths in the study population, and 192 breast cancer deaths out of 2116 total deaths in the control population.</t>
  </si>
  <si>
    <t>Shapiro 1989</t>
  </si>
  <si>
    <r>
      <t xml:space="preserve">Breast cancer mortality (per 1,000 women) in cases </t>
    </r>
    <r>
      <rPr>
        <b/>
        <sz val="10"/>
        <rFont val="Calibri"/>
        <family val="2"/>
        <scheme val="minor"/>
      </rPr>
      <t>diagnosed 5 years from date of entry</t>
    </r>
    <r>
      <rPr>
        <sz val="10"/>
        <rFont val="Calibri"/>
        <family val="2"/>
        <scheme val="minor"/>
      </rPr>
      <t>; follow-up until 18 years from entry;
Screening vs control</t>
    </r>
  </si>
  <si>
    <r>
      <t xml:space="preserve">Breast cancer mortality (per 1,000 women) in cases </t>
    </r>
    <r>
      <rPr>
        <b/>
        <sz val="10"/>
        <rFont val="Calibri"/>
        <family val="2"/>
        <scheme val="minor"/>
      </rPr>
      <t>diagnosed 7 years from date of entry</t>
    </r>
    <r>
      <rPr>
        <sz val="10"/>
        <rFont val="Calibri"/>
        <family val="2"/>
        <scheme val="minor"/>
      </rPr>
      <t>; follow-up until 18 years from entry;
Screening vs control</t>
    </r>
  </si>
  <si>
    <r>
      <t xml:space="preserve">Breast cancer mortality (per 1,000 women) in cases </t>
    </r>
    <r>
      <rPr>
        <b/>
        <sz val="10"/>
        <rFont val="Calibri"/>
        <family val="2"/>
        <scheme val="minor"/>
      </rPr>
      <t>diagnosed 10 years from date of entry</t>
    </r>
    <r>
      <rPr>
        <sz val="10"/>
        <rFont val="Calibri"/>
        <family val="2"/>
        <scheme val="minor"/>
      </rPr>
      <t>; follow-up until 18 years from entry;
Screening vs control</t>
    </r>
  </si>
  <si>
    <t>Shapiro 1966</t>
  </si>
  <si>
    <t>Diagnostic yield at screening (per 1,000 women); screened by 30/04/1965; followed up to 31/05/1965</t>
  </si>
  <si>
    <t>Patient's medical record in HIP and records
of hospital admissions; surgical and pathological
findings in breast cancer cases obtained
from hospital charts; project's coordinating
pathologist reviews slides and conducts special
studies of tissue blocks, when available</t>
  </si>
  <si>
    <t>recruited up to 31/03/1965</t>
  </si>
  <si>
    <t>Number of breast cancers that have been screen-detected in the first screening round (screened by 30/04/1965, diagnosed by 31/05/1965)</t>
  </si>
  <si>
    <t>Number of women randomised to screening arm</t>
  </si>
  <si>
    <t>Tables 1-3 and text: Twenty-three breast cancers have been confirmed pathologically, 15 within seven weeks after the
patients were screened.</t>
  </si>
  <si>
    <t>% of breast cancers that are screen-detected; screened by 30/04/1965; followed up to 31/05/1965</t>
  </si>
  <si>
    <t>Total number of breast cancers diagnosed up to 31/05/1965 (results of screening, between screening examinations, nonattenders)</t>
  </si>
  <si>
    <r>
      <t xml:space="preserve">% of breast cancers that are screen-detected </t>
    </r>
    <r>
      <rPr>
        <b/>
        <sz val="10"/>
        <rFont val="Calibri"/>
        <family val="2"/>
        <scheme val="minor"/>
      </rPr>
      <t>in women aged 40-49 years</t>
    </r>
    <r>
      <rPr>
        <sz val="10"/>
        <rFont val="Calibri"/>
        <family val="2"/>
        <scheme val="minor"/>
      </rPr>
      <t>; screened by 30/04/1965; followed up to 31/05/1965</t>
    </r>
  </si>
  <si>
    <t>40-49 years (recruited up to 31/03/1965)</t>
  </si>
  <si>
    <r>
      <t xml:space="preserve">Number of breast cancers that have been screen-detected in the first screening round </t>
    </r>
    <r>
      <rPr>
        <b/>
        <sz val="10"/>
        <rFont val="Calibri"/>
        <family val="2"/>
        <scheme val="minor"/>
      </rPr>
      <t>in women aged 40-49 years</t>
    </r>
    <r>
      <rPr>
        <sz val="10"/>
        <rFont val="Calibri"/>
        <family val="2"/>
        <scheme val="minor"/>
      </rPr>
      <t xml:space="preserve"> (screened by 30/04/1965, diagnosed by 31/05/1965)</t>
    </r>
  </si>
  <si>
    <r>
      <t xml:space="preserve">Total number of breast cancers diagnosed up to 31/05/1965 (results of screening, between screening examinations, nonattenders) </t>
    </r>
    <r>
      <rPr>
        <b/>
        <sz val="10"/>
        <rFont val="Calibri"/>
        <family val="2"/>
        <scheme val="minor"/>
      </rPr>
      <t>in women aged 40-49 years</t>
    </r>
  </si>
  <si>
    <r>
      <t xml:space="preserve">% of breast cancers that are screen-detected </t>
    </r>
    <r>
      <rPr>
        <b/>
        <sz val="10"/>
        <rFont val="Calibri"/>
        <family val="2"/>
        <scheme val="minor"/>
      </rPr>
      <t>in women aged 50-59 years</t>
    </r>
    <r>
      <rPr>
        <sz val="10"/>
        <rFont val="Calibri"/>
        <family val="2"/>
        <scheme val="minor"/>
      </rPr>
      <t>; screened by 30/04/1965; followed up to 31/05/1965</t>
    </r>
  </si>
  <si>
    <t>50-59 years (recruited up to 31/03/1965)</t>
  </si>
  <si>
    <r>
      <t xml:space="preserve">Number of breast cancers that have been screen-detected in the first screening round </t>
    </r>
    <r>
      <rPr>
        <b/>
        <sz val="10"/>
        <rFont val="Calibri"/>
        <family val="2"/>
        <scheme val="minor"/>
      </rPr>
      <t>in women aged 50-59 years</t>
    </r>
    <r>
      <rPr>
        <sz val="10"/>
        <rFont val="Calibri"/>
        <family val="2"/>
        <scheme val="minor"/>
      </rPr>
      <t xml:space="preserve"> (screened by 30/04/1965, diagnosed by 31/05/1965)</t>
    </r>
  </si>
  <si>
    <r>
      <t xml:space="preserve">Total number of breast cancers diagnosed up to 31/05/1965 (results of screening, between screening examinations, nonattenders) </t>
    </r>
    <r>
      <rPr>
        <b/>
        <sz val="10"/>
        <rFont val="Calibri"/>
        <family val="2"/>
        <scheme val="minor"/>
      </rPr>
      <t>in women aged 50-59 years</t>
    </r>
  </si>
  <si>
    <r>
      <t xml:space="preserve">% of breast cancers that are screen-detected </t>
    </r>
    <r>
      <rPr>
        <b/>
        <sz val="10"/>
        <rFont val="Calibri"/>
        <family val="2"/>
        <scheme val="minor"/>
      </rPr>
      <t>in women aged 60-64 years</t>
    </r>
    <r>
      <rPr>
        <sz val="10"/>
        <rFont val="Calibri"/>
        <family val="2"/>
        <scheme val="minor"/>
      </rPr>
      <t>; screened by 30/04/1965; followed up to 31/05/1965</t>
    </r>
  </si>
  <si>
    <t>60-64 years (recruited up to 31/03/1965)</t>
  </si>
  <si>
    <r>
      <t xml:space="preserve">Number of breast cancers that have been screen-detected in the first screening round </t>
    </r>
    <r>
      <rPr>
        <b/>
        <sz val="10"/>
        <rFont val="Calibri"/>
        <family val="2"/>
        <scheme val="minor"/>
      </rPr>
      <t>in women aged 60-64 years</t>
    </r>
    <r>
      <rPr>
        <sz val="10"/>
        <rFont val="Calibri"/>
        <family val="2"/>
        <scheme val="minor"/>
      </rPr>
      <t xml:space="preserve"> (screened by 30/04/1965, diagnosed by 31/05/1965)</t>
    </r>
  </si>
  <si>
    <r>
      <t xml:space="preserve">Total number of breast cancers diagnosed up to 31/05/1965 (results of screening, between screening examinations, nonattenders) </t>
    </r>
    <r>
      <rPr>
        <b/>
        <sz val="10"/>
        <rFont val="Calibri"/>
        <family val="2"/>
        <scheme val="minor"/>
      </rPr>
      <t>in women aged 60-64 years</t>
    </r>
  </si>
  <si>
    <t>Unknown node status (no histologic evidence available)</t>
  </si>
  <si>
    <t>Number of node-positive breast cancers diagnosed by 31/05/1965</t>
  </si>
  <si>
    <r>
      <t>% of breast cancers diagnosed at late stage (</t>
    </r>
    <r>
      <rPr>
        <b/>
        <sz val="10"/>
        <rFont val="Calibri"/>
        <family val="2"/>
        <scheme val="minor"/>
      </rPr>
      <t>node-positive)</t>
    </r>
    <r>
      <rPr>
        <sz val="10"/>
        <rFont val="Calibri"/>
        <family val="2"/>
        <scheme val="minor"/>
      </rPr>
      <t>; follow-up until 31/05/1965;
Screening vs control</t>
    </r>
  </si>
  <si>
    <t>30130.5 PY</t>
  </si>
  <si>
    <t>Total number of breast cancers diagnosed up to 31/05/1965 (including cancers with unknown node status)</t>
  </si>
  <si>
    <t>Strax 1967</t>
  </si>
  <si>
    <t>% of breast cancers that are screen-detected; initial screening round; first year of follow-up</t>
  </si>
  <si>
    <t xml:space="preserve">Number of breast cancers that have been screen-detected in the first screening round </t>
  </si>
  <si>
    <t>Total number of breast cancers diagnosed in the first year after entry (results of screening, between screening examinations, nonattenders)</t>
  </si>
  <si>
    <t>Table 2 and table legend: An additional 12 cancers were
detected during the 12-month interval between initial
and first annual examinations. Sixty-seven per cent of
these cases had no nodal involvement.</t>
  </si>
  <si>
    <r>
      <t>% of breast cancers diagnosed at late stage (</t>
    </r>
    <r>
      <rPr>
        <b/>
        <sz val="10"/>
        <rFont val="Calibri"/>
        <family val="2"/>
        <scheme val="minor"/>
      </rPr>
      <t>node-positive)</t>
    </r>
    <r>
      <rPr>
        <sz val="10"/>
        <rFont val="Calibri"/>
        <family val="2"/>
        <scheme val="minor"/>
      </rPr>
      <t xml:space="preserve"> in the first year after entry;
Screening vs control</t>
    </r>
  </si>
  <si>
    <t>Unknown node status</t>
  </si>
  <si>
    <t>Number of node-positive breast cancers diagnosed in the first year after entry</t>
  </si>
  <si>
    <t>Total number of breast cancers diagnosed in the first year after entry</t>
  </si>
  <si>
    <t>Diagnostic yield at screening (per 1,000 women); 5 years of observation from entry</t>
  </si>
  <si>
    <t>Patient's medical record in HIP and records
of hospital admissions; surgical and pathological
findings in breast cancer cases obtained
from hospital charts; project's coordinating
pathologist blindly reviews slides and conducts special studies of tissue blocks, when available</t>
  </si>
  <si>
    <t>148,551.3 PY</t>
  </si>
  <si>
    <t>Number of breast cancers that have been screen-detected in the first 5 years after entry (4 screening rounds)</t>
  </si>
  <si>
    <t>% of breast cancer that are screen-detected; 5 years of observation from entry</t>
  </si>
  <si>
    <t>Total number of breast cancers detected in the first 5 years after entry</t>
  </si>
  <si>
    <t>Table 3, Table 4 and text: In the aggregate, 299 breast cancers were diagnosed among the 31,000 study women …</t>
  </si>
  <si>
    <r>
      <t xml:space="preserve">Absolute incidence of </t>
    </r>
    <r>
      <rPr>
        <b/>
        <sz val="10"/>
        <rFont val="Calibri"/>
        <family val="2"/>
        <scheme val="minor"/>
      </rPr>
      <t>node-negative</t>
    </r>
    <r>
      <rPr>
        <sz val="10"/>
        <rFont val="Calibri"/>
        <family val="2"/>
        <scheme val="minor"/>
      </rPr>
      <t xml:space="preserve"> breast cancers (per 1,000 women); 5 years of observation from entry</t>
    </r>
  </si>
  <si>
    <t>151,114 PY</t>
  </si>
  <si>
    <t>Number of breast cancers that are node-negative in the first 5 years after entry</t>
  </si>
  <si>
    <r>
      <t xml:space="preserve">Absolute incidence of </t>
    </r>
    <r>
      <rPr>
        <b/>
        <sz val="10"/>
        <rFont val="Calibri"/>
        <family val="2"/>
        <scheme val="minor"/>
      </rPr>
      <t>node-positive</t>
    </r>
    <r>
      <rPr>
        <sz val="10"/>
        <rFont val="Calibri"/>
        <family val="2"/>
        <scheme val="minor"/>
      </rPr>
      <t xml:space="preserve"> breast cancers (per 1,000 women); 5 years of observation from entry</t>
    </r>
  </si>
  <si>
    <r>
      <t>% of breast cancers diagnosed at late stage (</t>
    </r>
    <r>
      <rPr>
        <b/>
        <sz val="10"/>
        <rFont val="Calibri"/>
        <family val="2"/>
        <scheme val="minor"/>
      </rPr>
      <t>node-positive</t>
    </r>
    <r>
      <rPr>
        <sz val="10"/>
        <rFont val="Calibri"/>
        <family val="2"/>
        <scheme val="minor"/>
      </rPr>
      <t>); 5 years of observation from entry</t>
    </r>
  </si>
  <si>
    <t>Total number of breast cancers diagnosed in the first 5 years after entry (including cases with unknown node status)</t>
  </si>
  <si>
    <t>38/299 cancers in study group and 24/285 cancers in control group were intraductal or lobular in situ cancers.</t>
  </si>
  <si>
    <r>
      <t>Absolute incidence of breast cancers</t>
    </r>
    <r>
      <rPr>
        <b/>
        <sz val="10"/>
        <rFont val="Calibri"/>
        <family val="2"/>
        <scheme val="minor"/>
      </rPr>
      <t xml:space="preserve"> </t>
    </r>
    <r>
      <rPr>
        <b/>
        <sz val="10"/>
        <rFont val="Calibri"/>
        <family val="2"/>
      </rPr>
      <t>≤2.0 cm</t>
    </r>
    <r>
      <rPr>
        <sz val="10"/>
        <rFont val="Calibri"/>
        <family val="2"/>
      </rPr>
      <t xml:space="preserve"> </t>
    </r>
    <r>
      <rPr>
        <sz val="10"/>
        <rFont val="Calibri"/>
        <family val="2"/>
        <scheme val="minor"/>
      </rPr>
      <t>(per 1,000 women); 5 years of observation from entry</t>
    </r>
  </si>
  <si>
    <t>≤2.0 cm</t>
  </si>
  <si>
    <t>Intraductal and lobular in situ cases and cases with unknown tumor size</t>
  </si>
  <si>
    <t>Number of  breast cancers ≤2.0 cm diagnosed in the first 5 years after entry</t>
  </si>
  <si>
    <r>
      <t>Absolute incidence of breast cancers</t>
    </r>
    <r>
      <rPr>
        <b/>
        <sz val="10"/>
        <rFont val="Calibri"/>
        <family val="2"/>
        <scheme val="minor"/>
      </rPr>
      <t xml:space="preserve"> &gt;</t>
    </r>
    <r>
      <rPr>
        <b/>
        <sz val="10"/>
        <rFont val="Calibri"/>
        <family val="2"/>
      </rPr>
      <t>2.1 cm</t>
    </r>
    <r>
      <rPr>
        <sz val="10"/>
        <rFont val="Calibri"/>
        <family val="2"/>
      </rPr>
      <t xml:space="preserve"> </t>
    </r>
    <r>
      <rPr>
        <sz val="10"/>
        <rFont val="Calibri"/>
        <family val="2"/>
        <scheme val="minor"/>
      </rPr>
      <t>(per 1,000 women); 5 years of observation from entry</t>
    </r>
  </si>
  <si>
    <t>&gt;2.1 cm</t>
  </si>
  <si>
    <t>Number of  breast cancers &gt;2.1 cm diagnosed in the first 5 years after entry</t>
  </si>
  <si>
    <t>Patient's records in HIP; notice of hospital claims paid by insurance; surgical and pathological findings in patients with breast cancer obtained from hospital charts; project's coordinating pathologist reviews slides and conducts special studies of tissue blocks, when available; clinicians investigate nodal involvement and lesion size. Mail surveys after 5, 10 and 15 years since entry for all women other than those known to be dead or on the breast cancer registry. Cancer registry of New York State Department of Health.</t>
  </si>
  <si>
    <t>Number of women analysed in screening arm</t>
  </si>
  <si>
    <t>% of breast cancer that are screen-detected; 10 years of observation from entry</t>
  </si>
  <si>
    <t>290,789.8 PY;
mean 9.62 years</t>
  </si>
  <si>
    <t>295,872.2 PY;
mean 9.62 years</t>
  </si>
  <si>
    <t>Number of breast cancers that have been screen-detected in the first 10 years after entry (4 screening rounds)</t>
  </si>
  <si>
    <t>Total number of breast cancers detected in the first 10 years after entry</t>
  </si>
  <si>
    <t>Text: Of the 604 study cases, 174 arose in women who refused to be screened, 132 were detected as a result of screening…</t>
  </si>
  <si>
    <t>A total of 25 cases (9 study; 16 control) were not confirmed histologically prior to death; these cases have a date of death only and have been excluded from breast cancer incidence and case survival analysis</t>
  </si>
  <si>
    <t>Paci 2017</t>
  </si>
  <si>
    <t>All-cause mortality (per 100 people);
Follow-up until 31 December 2014;
Screening vs control</t>
  </si>
  <si>
    <t>Population mortality registries and included a
check for residential status.</t>
  </si>
  <si>
    <t>Migration or end of follow-up</t>
  </si>
  <si>
    <t>Median 9.3 years (IQR 8.8–9.9)</t>
  </si>
  <si>
    <t>Total number of deaths; follow-up until 31 December 2014</t>
  </si>
  <si>
    <t>Table 3 and text: After a median follow-up of 9.3 years (Q1–Q3: 8.8–9.9), the active group showed a non-significant 17% reduction (RR=0.83; 95% CI 0.67 to 1.03; p=0.08) in overall mortality … There were 154 deaths in the active group and 181 deaths in the control group, corresponding to rates of death from any cause of 105.1 and 127.0, respectively, per
10 000 person years</t>
  </si>
  <si>
    <t>Screening period plus post-screening period</t>
  </si>
  <si>
    <t>All-cause mortality (per 10,000 PY);
Follow-up until 31 December 2014;
Screening vs control</t>
  </si>
  <si>
    <t>Person years up to 31 December 2014</t>
  </si>
  <si>
    <t>All-cause mortality (per 100 people);
1 year since randomisation;
Screening vs control</t>
  </si>
  <si>
    <t>Total number of deaths; follow-up for 1 year since randomisation</t>
  </si>
  <si>
    <t>Figure 3A</t>
  </si>
  <si>
    <t>Screening period</t>
  </si>
  <si>
    <t>All-cause mortality (per 100 people);
2 years since randomisation;
Screening vs control</t>
  </si>
  <si>
    <t>Total number of deaths; follow-up for 2 years since randomisation</t>
  </si>
  <si>
    <t>All-cause mortality (per 100 people);
3 years since randomisation;
Screening vs control</t>
  </si>
  <si>
    <t>Total number of deaths; follow-up for 3 years since randomisation</t>
  </si>
  <si>
    <t>All-cause mortality (per 100 people);
4 years since randomisation (screening period);
Screening vs control</t>
  </si>
  <si>
    <t>Total number of deaths; follow-up for 4 years since randomisation</t>
  </si>
  <si>
    <t>Figure 3A and text: Although overall mortality was quite similar in the two groups during the screening phase (RR=0.97; p=0.86), …</t>
  </si>
  <si>
    <t>All-cause mortality (per 100 people);
5 years since randomisation;
Screening vs control</t>
  </si>
  <si>
    <t>Total number of deaths; follow-up for 5 years since randomisation</t>
  </si>
  <si>
    <t>All-cause mortality (per 100 people);
6 years since randomisation;
Screening vs control</t>
  </si>
  <si>
    <t>Total number of deaths; follow-up for 6 years since randomisation</t>
  </si>
  <si>
    <t>All-cause mortality (per 100 people);
7 years since randomisation;
Screening vs control</t>
  </si>
  <si>
    <t>Total number of deaths; follow-up for 7 years since randomisation</t>
  </si>
  <si>
    <t>All-cause mortality (per 100 people);
8 years since randomisation;
Screening vs control</t>
  </si>
  <si>
    <t>Total number of deaths; follow-up for 8 years since randomisation</t>
  </si>
  <si>
    <t>All-cause mortality (per 100 people);
9 years since randomisation;
Screening vs control</t>
  </si>
  <si>
    <t>Total number of deaths; follow-up for 9 years since randomisation</t>
  </si>
  <si>
    <t>Lung cancer mortality (per 100 people);
Follow-up until 31 December 2014;
Screening vs control</t>
  </si>
  <si>
    <t>Population mortality registries and included a
check for residential status. An independent committee reviewed and revised the causes of death in a blinded fashion in 31 (9%) of deaths.</t>
  </si>
  <si>
    <t>Number of lung cancer deaths; follow-up until 31 December 2014</t>
  </si>
  <si>
    <t>Table 3 and text: After a median follow-up of 9.3 years (Q1–Q3: 8.8–9.9), the active group showed a … 30% reduction (RR=0.70; 95% CI 0.47 to 1.03; p=0.07) in LC-specific mortality compared with the control group… Among these, 43 deaths from LC (29.3 per 10 000 person-years) were observed in the active group compared with 60 (42.1 per 10 000) in the control group...</t>
  </si>
  <si>
    <t>Lung cancer mortality (per 10,000 PY);
Follow-up until 31 December 2014;
Screening vs control</t>
  </si>
  <si>
    <t>Lung cancer mortality (per 100 people);
1 year since randomisation;
Screening vs control</t>
  </si>
  <si>
    <t>Total number of lung cancer deaths; follow-up for 1 year since randomisation</t>
  </si>
  <si>
    <t>Figure 3B</t>
  </si>
  <si>
    <t>Lung cancer mortality (per 100 people);
2 years since randomisation;
Screening vs control</t>
  </si>
  <si>
    <t>Total number of lung cancer deaths; follow-up for 2 years since randomisation</t>
  </si>
  <si>
    <t>Lung cancer mortality (per 100 people);
3 years since randomisation;
Screening vs control</t>
  </si>
  <si>
    <t>Total number of lung cancer deaths; follow-up for 3 years since randomisation</t>
  </si>
  <si>
    <t>Lung cancer mortality (per 100 people);
4 years since randomisation;
Screening vs control</t>
  </si>
  <si>
    <t>Total number of lung cancer deaths; follow-up for 4 years since randomisation</t>
  </si>
  <si>
    <t>Figure 3B and text: There was a slight non-significant
excess of LC-specific mortality in the active group during the
screening period (RR=1.20; p=0.62)…</t>
  </si>
  <si>
    <t>Lung cancer mortality (per 100 people);
5 years since randomisation;
Screening vs control</t>
  </si>
  <si>
    <t>Total number of lung cancer deaths; follow-up for 5 years since randomisation</t>
  </si>
  <si>
    <t>Figure 3B and text: … the difference between the two
groups became evident from the sixth year.</t>
  </si>
  <si>
    <t>Lung cancer mortality (per 100 people);
6 years since randomisation;
Screening vs control</t>
  </si>
  <si>
    <t>Total number of lung cancer deaths; follow-up for 6 years since randomisation</t>
  </si>
  <si>
    <t>Lung cancer mortality (per 100 people);
7 years since randomisation;
Screening vs control</t>
  </si>
  <si>
    <t>Total number of lung cancer deaths; follow-up for 7 years since randomisation</t>
  </si>
  <si>
    <t>Lung cancermortality (per 100 people);
8 years since randomisation;
Screening vs control</t>
  </si>
  <si>
    <t>Total number of lung cancer deaths; follow-up for 8 years since randomisation</t>
  </si>
  <si>
    <t>Lung cancer mortality (per 100 people);
9 years since randomisation;
Screening vs control</t>
  </si>
  <si>
    <t>Total number of lung cancer deaths; follow-up for 9 years since randomisation</t>
  </si>
  <si>
    <t>Paci 2019</t>
  </si>
  <si>
    <t>Lung cancer mortality (per 10,000 PY);
follow-up until 31 December 2016;
Screening vs control</t>
  </si>
  <si>
    <t>Regional mortality registry; revision of
the cause of deaths using a specified algorithm (see #670)</t>
  </si>
  <si>
    <t>Median 11.3 years</t>
  </si>
  <si>
    <t>Total number of lung cancer deaths; follow-up until 31 December 2016</t>
  </si>
  <si>
    <t>Person years; follow-up until 31 December 2016</t>
  </si>
  <si>
    <t>Table 1 and text: The extension of the follow-up yielded
an overall mortality rate significantly lower in the active as compared to control group (RR=0.80; 95%CI:0.66–0.96) whereas the reduction of LC mortality remained not statistically significant (RR=0.76, 95%CI:0.54–1.07)...
whereas the LC mortality remained not significantly
lower (RR=0.76; p=.12).</t>
  </si>
  <si>
    <t>Lung cancer mortality (per 100 people);
follow-up until 31 December 2016;
Screening vs control</t>
  </si>
  <si>
    <t>All-cause mortality (per 10,000 PY);
follow-up until 31 December 2016;
Screening vs control</t>
  </si>
  <si>
    <t>Total number of deaths (all causes); follow-up until 31 December 2016</t>
  </si>
  <si>
    <t>Table 1 and text: The extension of the follow-up yielded
an overall mortality rate significantly lower in the active as compared to control group (RR=0.80; 95%CI:0.66–0.96)…
The 2-years extension of follow-up in the ITALUNG trial confirmed a significant decrease in the overall mortality (RR=0.80; p=.018)</t>
  </si>
  <si>
    <t>All-cause mortality (per 100 people);
follow-up until 31 December 2016;
Screening vs control</t>
  </si>
  <si>
    <t>Absolute incidence of stage I lung cancers; diagnosed up to 31 December 2013 (per 100 people);
Screening vs control</t>
  </si>
  <si>
    <t>NR (use stage III or IV in #669)</t>
  </si>
  <si>
    <t>Tuscan Cancer Registry data; disease stage was determined on the basis of histology reports (pTNM) or clinical information when histology reports were not available according to the 7th edition of the TNM classification</t>
  </si>
  <si>
    <t>Median 8.5 years
(IQR 7.9–8.9)</t>
  </si>
  <si>
    <t>Number of stage I lung cancers diagnosed up to 31 December 2013</t>
  </si>
  <si>
    <t>Table 2 and text: A greater proportion of stage I LC was observed in the active group (36% vs 11%, p&lt;0.001).</t>
  </si>
  <si>
    <t>Absolute incidence of stage II lung cancers; diagnosed up to 31 December 2013 (per 100 people);
Screening vs control</t>
  </si>
  <si>
    <t>Number of stage II lung cancers diagnosed up to 31 December 2013</t>
  </si>
  <si>
    <t>Absolute incidence of stage III lung cancers; diagnosed up to 31 December 2013 (per 100 people);
Screening vs control</t>
  </si>
  <si>
    <t>Number of stage III lung cancers diagnosed up to 31 December 2013</t>
  </si>
  <si>
    <t>Absolute incidence of stage IV  lung cancers; diagnosed up to 31 December 2013 (per 100 people);
Screening vs control</t>
  </si>
  <si>
    <t>Number of stage IV lung cancers diagnosed up to 31 December 2013</t>
  </si>
  <si>
    <t>Absolute incidence of late stage (stage III-IV) lung cancers; diagnosed up to 31 December 2013 (per 100 people);
Screening vs control</t>
  </si>
  <si>
    <t>Number of stage III-IV lung cancers diagnosed up to 31 December 2013</t>
  </si>
  <si>
    <t>Calculated by reviewers (stage III plus stage IV)</t>
  </si>
  <si>
    <t>% of lung cancers diagnosed at late stage (stage III-IV) up to 31 December 2013;
Screening vs control</t>
  </si>
  <si>
    <t>Total number of lung cancers diagnosed up to 31 December 2013 (including cancers with missing data on stage)</t>
  </si>
  <si>
    <t>Diagnostic yield at screening (4 screening rounds), per 100 people randomised;
Screening arm only</t>
  </si>
  <si>
    <t>Tuscan Cancer Registry</t>
  </si>
  <si>
    <t>Number of lung cancers that have been screen-detected</t>
  </si>
  <si>
    <t>Text: Among the LC cases diagnosed in the active group, 38 (57%) were screen-detected, 25 (37%) were clinically detected in screened subjects and 4 (6%) were clinically detected in unscreened subjects (ie, those who refused screening immediately after randomisation).</t>
  </si>
  <si>
    <t>% of lung cancers that are screen-detected (after 4 screening rounds), diagnosed up to 31 December 2013;
Screening arm only</t>
  </si>
  <si>
    <t>Number of all lung cancers detected; follow-up until 31 December 2013</t>
  </si>
  <si>
    <t>Paci 2021</t>
  </si>
  <si>
    <t>% of lung cancers that are screen-detected (after 4 screening rounds), diagnosed up to 31 December 2016;
Screening arm only</t>
  </si>
  <si>
    <t>Number of all lung cancers detected; follow-up until 31 December 2016</t>
  </si>
  <si>
    <t>Text: There were 38 (42%) SD and 53 NSD cases in the active arm. The latter included cases clinically detected in the screening interval (N=6).</t>
  </si>
  <si>
    <t>Absolute incidence of stage I lung cancers (per 100 people), diagnosed up to 31 December 2016;
Screening vs control</t>
  </si>
  <si>
    <t>Unknown stage:
0 in SD;
13 in NSD</t>
  </si>
  <si>
    <t>Number of stage I lung cancers diagnosed up to 31 December 2016</t>
  </si>
  <si>
    <t>Absolute incidence of stage I lung cancers (per 10,000 PY), diagnosed up to 31 December 2016;
Screening vs control</t>
  </si>
  <si>
    <t>Person years (follow-up until 31 December 2016)</t>
  </si>
  <si>
    <t>Table 1 and Figure 1</t>
  </si>
  <si>
    <t>Absolute incidence of stage II lung cancers (per 100 people), diagnosed up to 31 December 2016;
Screening vs control</t>
  </si>
  <si>
    <t>Number of stage II lung cancers diagnosed up to 31 December 2016</t>
  </si>
  <si>
    <t>Absolute incidence of stage II lung cancers (per 10,000 PY), diagnosed up to 31 December 2016;
Screening vs control</t>
  </si>
  <si>
    <t>Absolute incidence of stage III lung cancers (per 100 people), diagnosed up to 31 December 2016;
Screening vs control</t>
  </si>
  <si>
    <t>Number of stage III lung cancers diagnosed up to 31 December 2016</t>
  </si>
  <si>
    <t>Absolute incidence of stage III lung cancers (per 10,000 PY), diagnosed up to 31 December 2016;
Screening vs control</t>
  </si>
  <si>
    <t>Absolute incidence of stage IV lung cancers (per 100 people), diagnosed up to 31 December 2016;
Screening vs control</t>
  </si>
  <si>
    <t>Number of stage IV lung cancers diagnosed up to 31 December 2016</t>
  </si>
  <si>
    <t>Absolute incidence of stage IV lung cancers (per 10,000 PY), diagnosed up to 31 December 2016;
Screening vs control</t>
  </si>
  <si>
    <t>Absolute incidence of late-stage (stage III or IV) lung cancers (per 100 people), diagnosed up to 31 December 2016;
Screening vs control</t>
  </si>
  <si>
    <t>Number of stage III-IV lung cancers diagnosed up to 31 December 2016</t>
  </si>
  <si>
    <t>Calculated by reviewer (stage III plus stage IV)</t>
  </si>
  <si>
    <t>Absolute incidence of late-stage (stage III-IV) lung cancers (per 10,000 PY), diagnosed up to 31 December 2016;
Screening vs control</t>
  </si>
  <si>
    <t>% of lung cancers diagnosed at late stage (stage III or IV), diagnosed up to 31 December 2016;
Screening vs control</t>
  </si>
  <si>
    <t>Total number of lung cancers diagnosed up to 31 December 2016 (including cancers with missing data on stage)</t>
  </si>
  <si>
    <t>Calculated by reviewer (stage III plus stage IV); including cancers with missing data on stage in denominator</t>
  </si>
  <si>
    <t>Andersson 1988</t>
  </si>
  <si>
    <t>MMST I</t>
  </si>
  <si>
    <t>All-cause mortality (per 100 women) until 31/12/1985;
screening vs controls</t>
  </si>
  <si>
    <t>Number of deaths, together with the cause of death, retrieved from the national mortality registry.</t>
  </si>
  <si>
    <t>186,297 PY;
mean 8.8 years</t>
  </si>
  <si>
    <t>187,016 PY;
mean 8.8 years</t>
  </si>
  <si>
    <t>Number of deaths from all causes; up to 31/12/1985</t>
  </si>
  <si>
    <t>Number of women randomised; by arm</t>
  </si>
  <si>
    <t>Breast cancer mortality (per 100,000 PY) until 31/12/1986;
screening vs controls</t>
  </si>
  <si>
    <t>Number of deaths, together with the cause of death, retrieved from the national mortality registry and for patients with breast cancer validated independently (blinded expert committee). Women who had moved out of the country followed up through the national registry of immigrants and emigrants.</t>
  </si>
  <si>
    <t>Other cause of death (might include unknown)</t>
  </si>
  <si>
    <t>Number of breast cancer deaths; up to 31/12/1986</t>
  </si>
  <si>
    <t>Table IX and text: 63 v 66 women died of breast cancer (no significant difference; relative risk 0-96 (95% confidence interval 0.68 to 1.35).</t>
  </si>
  <si>
    <t>Breast cancer mortality (per 100,000 PY);
1 year after study entry;
screening vs controls</t>
  </si>
  <si>
    <t>Number of deaths, together with the cause of death, retrieved from the national mortality registry and for patients with breast cancer validated independently (blinded expert committee). Women who had moved out of the country followed up through the national registry of immigrants
and emigrants.</t>
  </si>
  <si>
    <t>Number of breast cancer deaths; 1 year after study entry</t>
  </si>
  <si>
    <t>Breast cancer mortality (per 100,000 PY); 
2 years after study entry;
screening vs controls</t>
  </si>
  <si>
    <t>Number of breast cancer deaths; 2 years after study entry</t>
  </si>
  <si>
    <t>Breast cancer mortality (per 100,000 PY); 
3 years after study entry;
screening vs controls</t>
  </si>
  <si>
    <t>Number of breast cancer deaths; 3 years after study entry</t>
  </si>
  <si>
    <t>Breast cancer mortality (per 100,000 PY); 
4 years after study entry;
screening vs controls</t>
  </si>
  <si>
    <t>Number of breast cancer deaths; 4 years after study entry</t>
  </si>
  <si>
    <t>Breast cancer mortality (per 100,000 PY); 
5 years after study entry;
screening vs controls</t>
  </si>
  <si>
    <t>Number of breast cancer deaths; 5 years after study entry</t>
  </si>
  <si>
    <t>Breast cancer mortality (per 100,000 PY); 
6 years after study entry;
screening vs controls</t>
  </si>
  <si>
    <t>Number of breast cancer deaths; 6 years after study entry</t>
  </si>
  <si>
    <t>Breast cancer mortality (per 100,000 PY); 
7 years after study entry;
screening vs controls</t>
  </si>
  <si>
    <t>Number of breast cancer deaths; 7 years after study entry</t>
  </si>
  <si>
    <t>Breast cancer mortality (per 100,000 PY); 
8 years after study entry;
screening vs controls</t>
  </si>
  <si>
    <t>Number of breast cancer deaths; 8 years after study entry</t>
  </si>
  <si>
    <t>Breast cancer mortality (per 100,000 PY); 
9 years after study entry;
screening vs controls</t>
  </si>
  <si>
    <t>Number of breast cancer deaths; 9 years after study entry</t>
  </si>
  <si>
    <t>Breast cancer mortality (per 100,000 PY); 
10 years after study entry;
screening vs controls</t>
  </si>
  <si>
    <t>Number of breast cancer deaths; 10 years after study entry</t>
  </si>
  <si>
    <t>Breast cancer mortality (per 1,000 women) until 31/12/1978;
screening vs controls</t>
  </si>
  <si>
    <t>Number of breast cancer deaths; up to 31/12/1978</t>
  </si>
  <si>
    <t>Figure a)</t>
  </si>
  <si>
    <t>Breast cancer mortality (per 1,000 women) until 31/12/1979;
screening vs controls</t>
  </si>
  <si>
    <t>Number of breast cancer deaths; up to 31/12/1979</t>
  </si>
  <si>
    <t>Breast cancer mortality (per 1,000 women) until 31/12/1980;
screening vs controls</t>
  </si>
  <si>
    <t>Number of breast cancer deaths; up to 31/12/1980</t>
  </si>
  <si>
    <t>Breast cancer mortality (per 1,000 women) until 31/12/1981;
screening vs controls</t>
  </si>
  <si>
    <t>Number of breast cancer deaths; up to 31/12/1981</t>
  </si>
  <si>
    <t>Breast cancer mortality (per 1,000 women) until 31/12/1982;
screening vs controls</t>
  </si>
  <si>
    <t>Number of breast cancer deaths; up to 31/12/1982</t>
  </si>
  <si>
    <t>Breast cancer mortality (per 1,000 women) until 31/12/1983;
screening vs controls</t>
  </si>
  <si>
    <t>Number of breast cancer deaths; up to 31/12/1983</t>
  </si>
  <si>
    <t>Breast cancer mortality (per 1,000 women) until 31/12/1984;
screening vs controls</t>
  </si>
  <si>
    <t>Number of breast cancer deaths; up to 31/12/1984</t>
  </si>
  <si>
    <t>Breast cancer mortality (per 1,000 women) until 31/12/1985;
screening vs controls</t>
  </si>
  <si>
    <t>Number of breast cancer deaths; up to 31/12/1985</t>
  </si>
  <si>
    <t>Figure a) and text: During the first seven calendar years of the screening programme the cumulative number of deaths from
breast cancer was higher in the study group than the
control group, but at the end of the trial the opposite
was the case…</t>
  </si>
  <si>
    <t>Breast cancer mortality (per 1,000 women) until 31/12/1986;
screening vs controls</t>
  </si>
  <si>
    <t>Breast cancer mortality (per 1,000 women) until 31/12/1987 (preliminary data);
screening vs controls</t>
  </si>
  <si>
    <t>Number of breast cancer deaths; up to 31/12/1987</t>
  </si>
  <si>
    <t>Preliminary data</t>
  </si>
  <si>
    <t xml:space="preserve">239,000 PY;
mean 11.5 years
</t>
  </si>
  <si>
    <t>240,000 PY;
mean 11.5 years</t>
  </si>
  <si>
    <r>
      <t xml:space="preserve">Breast cancer mortality </t>
    </r>
    <r>
      <rPr>
        <b/>
        <sz val="10"/>
        <rFont val="Calibri"/>
        <family val="2"/>
        <scheme val="minor"/>
      </rPr>
      <t>in women aged 45-49 years</t>
    </r>
    <r>
      <rPr>
        <sz val="10"/>
        <rFont val="Calibri"/>
        <family val="2"/>
        <scheme val="minor"/>
      </rPr>
      <t xml:space="preserve"> (per 1,000 PY); cancers diagnosed after screening of the control group excluded; follow-up until 31/12/1993;
study vs control group</t>
    </r>
  </si>
  <si>
    <t>Regional Cancer Register and Swedish Cause
of Death Register at Statistics Sweden. Statistics Sweden to determine cause of
death.</t>
  </si>
  <si>
    <t>Study group: NR
Control: 0-1</t>
  </si>
  <si>
    <r>
      <t xml:space="preserve">Number of deaths with breast cancer as underlying cause of death in all cases </t>
    </r>
    <r>
      <rPr>
        <b/>
        <sz val="10"/>
        <rFont val="Calibri"/>
        <family val="2"/>
        <scheme val="minor"/>
      </rPr>
      <t>aged 45-49 years</t>
    </r>
    <r>
      <rPr>
        <sz val="10"/>
        <rFont val="Calibri"/>
        <family val="2"/>
        <scheme val="minor"/>
      </rPr>
      <t>; cancers diagnosed after screening of the control group excluded; follow-up until 31/12/1993</t>
    </r>
  </si>
  <si>
    <t>Weighted RRs and confidence intervals (CIs) have been calculated using Mantel_x0002_Haenszel procedures.</t>
  </si>
  <si>
    <t>Women born between 1908 and 1922 not invited to exit screen in 1992/1993.</t>
  </si>
  <si>
    <t>Breast cancer mortality (per 1,000 PY); cancers diagnosed after screening of the control group excluded for women born 1923-1932; follow-up until 31/12/1996;
study vs control group</t>
  </si>
  <si>
    <t>Study group: 6-8
Control: 0-1</t>
  </si>
  <si>
    <t>Number of deaths with breast cancer as underlying cause of death; cancers diagnosed after screening of the control group excluded for women born 1923-1932;  follow up to 31/12/1996</t>
  </si>
  <si>
    <t>All-cause mortality  (per 1,000 PY); follow-up to 31/12/1996;
study vs control group</t>
  </si>
  <si>
    <t>Zackrisson 2006</t>
  </si>
  <si>
    <t>Breast cancer mortality (per 1,000 PY); cancers diagnosed since randomisation; follow-up until 31/12/2001;
study vs control group</t>
  </si>
  <si>
    <t>426,812 PY;
mean 20.2 years</t>
  </si>
  <si>
    <t>429,033 PY;
mean 20.2 years</t>
  </si>
  <si>
    <t>Number of deaths with breast cancer as underlying cause of death; all cancers diagnosed since randomisation; follow up to 31/12/2001</t>
  </si>
  <si>
    <t>Text: Among 584 deaths in women in the invited group with breast cancer 212 (36.3%) were due to breast cancer compared with 274 of 588 (46.6%) in the control group.</t>
  </si>
  <si>
    <t>All-cause mortality (per 1,000 PY); cancers diagnosed since randomisation; follow-up until 31/12/2001;
study vs control group</t>
  </si>
  <si>
    <t>Number of deaths from all causes; follow up to 31/12/2001</t>
  </si>
  <si>
    <t>Text: During follow-up 9279 deaths occurred in the invited group and 9514 in the control group</t>
  </si>
  <si>
    <t>Nystrom 2017</t>
  </si>
  <si>
    <t>Breast cancer mortality (per 1,000 PY); cancers diagnosed &gt;1 month after the last invited women in the birth cohort excluded; follow-up until 31/12/2007;
study vs control group</t>
  </si>
  <si>
    <t>Swedish Cause of Death Register at Statistics Sweden; officially recorded breast cancer as underlying cause of death.</t>
  </si>
  <si>
    <t>Median 30.2 years</t>
  </si>
  <si>
    <t>Number of deaths with breast cancer as underlying cause of death; cancers diagnosed &gt;1 month after the last invited women in the birth cohort excluded; follow-up until 31/12/2007</t>
  </si>
  <si>
    <t>Table 4, Table 5 and text: The nonsignificant
reduction in breast cancer mortality in the MMST I and II and Stockholm trials, after adjustment for age, was 12%, 15%, and 5.8%, respectively.</t>
  </si>
  <si>
    <t>Women in the control group born 1908–1922 were never invited to screening. 
In contrast to earlier follow-ups of the MMST I, end date was set based on when women in the invited group were no longer invited to screening, i.e., one month after the last invited women in the birth cohort.</t>
  </si>
  <si>
    <t>Andersson 1985</t>
  </si>
  <si>
    <t>Diagnostic yield at screening (3 screening rounds); per 1,000 women;
screening arm only</t>
  </si>
  <si>
    <t>NR (3 screening rounds)</t>
  </si>
  <si>
    <t>Number of carcinomas detected at screening 1, 2 and 3</t>
  </si>
  <si>
    <t>The data in the present paper are preliminary and refer mostly to the first three screening rounds, but sometimes results from the fourth round are included.</t>
  </si>
  <si>
    <t>% of breast cancers that are screen-detected; period of 3 screening rounds;
screening arm only</t>
  </si>
  <si>
    <t>Total number of carcinomas detected (screen 1 + screen 2 + screen 3 + Interval + Nonparticipants)</t>
  </si>
  <si>
    <r>
      <t xml:space="preserve">Absolute incidence of 'early' carcinomas (invasive </t>
    </r>
    <r>
      <rPr>
        <sz val="10"/>
        <rFont val="Calibri"/>
        <family val="2"/>
      </rPr>
      <t>≤10 mm)</t>
    </r>
    <r>
      <rPr>
        <sz val="10"/>
        <rFont val="Calibri"/>
        <family val="2"/>
        <scheme val="minor"/>
      </rPr>
      <t xml:space="preserve"> (screening 1, 2 and 3, interval cancers and cancers in nonattenders); per 1,000 women;
Screening vs control</t>
    </r>
  </si>
  <si>
    <t>≤10 mm</t>
  </si>
  <si>
    <t>Axillary metastasis or stage II-IV</t>
  </si>
  <si>
    <r>
      <t xml:space="preserve">Non-invasive or invasive </t>
    </r>
    <r>
      <rPr>
        <sz val="10"/>
        <rFont val="Calibri"/>
        <family val="2"/>
      </rPr>
      <t>≤10 mm</t>
    </r>
  </si>
  <si>
    <t>Number of  invasive carcinomas ≤10 mm detected at screening 1, 2 or 3, interval cancers and in nonattenders</t>
  </si>
  <si>
    <t>% from Table III and total numbers from Table II</t>
  </si>
  <si>
    <r>
      <t xml:space="preserve">Absolute incidence of 'early' carcinomas (non-invasive or invasive </t>
    </r>
    <r>
      <rPr>
        <sz val="10"/>
        <rFont val="Calibri"/>
        <family val="2"/>
      </rPr>
      <t>≤10 mm)</t>
    </r>
    <r>
      <rPr>
        <sz val="10"/>
        <rFont val="Calibri"/>
        <family val="2"/>
        <scheme val="minor"/>
      </rPr>
      <t xml:space="preserve"> (screening 1, 2 and 3, interval cancers and cancers in nonattenders); per 1,000 women;
Screening vs control</t>
    </r>
  </si>
  <si>
    <t>≤10 mm or non-invasive</t>
  </si>
  <si>
    <t>Number of  invasive carcinomas ≤10 mm or non-invasive carcinomas detected at screening 1, 2 or 3, interval cancers and in nonattenders</t>
  </si>
  <si>
    <r>
      <t>Absolute incidence of 'advanced' carcinomas (axillary metastasis</t>
    </r>
    <r>
      <rPr>
        <sz val="10"/>
        <rFont val="Calibri"/>
        <family val="2"/>
      </rPr>
      <t>)</t>
    </r>
    <r>
      <rPr>
        <sz val="10"/>
        <rFont val="Calibri"/>
        <family val="2"/>
        <scheme val="minor"/>
      </rPr>
      <t xml:space="preserve"> (screening 1, 2 and 3, interval cancers and cancers in nonattenders); per 1,000 women;
Screening vs control</t>
    </r>
  </si>
  <si>
    <t>Axillary metastasis</t>
  </si>
  <si>
    <t>Number of  invasive carcinomas  with axillary metastasis detected at screening 1, 2 or 3, interval cancers and in nonattenders</t>
  </si>
  <si>
    <t>% from Table IV and total numbers from Table II</t>
  </si>
  <si>
    <r>
      <t>Absolute incidence of 'advanced' carcinomas (stage II-IV; UICC</t>
    </r>
    <r>
      <rPr>
        <sz val="10"/>
        <rFont val="Calibri"/>
        <family val="2"/>
      </rPr>
      <t>)</t>
    </r>
    <r>
      <rPr>
        <sz val="10"/>
        <rFont val="Calibri"/>
        <family val="2"/>
        <scheme val="minor"/>
      </rPr>
      <t xml:space="preserve"> (screening 1, 2 and 3, interval cancers and cancers in nonattenders); per 1,000 women;
Screening vs control</t>
    </r>
  </si>
  <si>
    <t>II-IV</t>
  </si>
  <si>
    <t>Number of  invasive carcinomas  with UICC stage II-IV detected at screening 1, 2 or 3, interval cancers and in nonattenders</t>
  </si>
  <si>
    <r>
      <t>% of breast cancers diagnosed at late stage (stage II-IV; UICC</t>
    </r>
    <r>
      <rPr>
        <sz val="10"/>
        <rFont val="Calibri"/>
        <family val="2"/>
      </rPr>
      <t>)</t>
    </r>
    <r>
      <rPr>
        <sz val="10"/>
        <rFont val="Calibri"/>
        <family val="2"/>
        <scheme val="minor"/>
      </rPr>
      <t xml:space="preserve"> (screening 1, 2 and 3, interval cancers and cancers in nonattenders);
Screening vs control</t>
    </r>
  </si>
  <si>
    <t>Total number of carcinomas detected including screening round 3</t>
  </si>
  <si>
    <r>
      <t>Absolute incidence of 'advanced' carcinomas (stage II-IV; UICC</t>
    </r>
    <r>
      <rPr>
        <sz val="10"/>
        <rFont val="Calibri"/>
        <family val="2"/>
      </rPr>
      <t>)</t>
    </r>
    <r>
      <rPr>
        <sz val="10"/>
        <rFont val="Calibri"/>
        <family val="2"/>
        <scheme val="minor"/>
      </rPr>
      <t>; per 1,000 women; from date of entry to fourth screening;
Screening vs control</t>
    </r>
  </si>
  <si>
    <t>To 4th screening</t>
  </si>
  <si>
    <t>Number of  invasive carcinomas  with UICC stage II-IV detected from date of entry to 4th screening round</t>
  </si>
  <si>
    <t>Diagnostic yield at screening (5 screening rounds); per 1,000 women;
screening arm only</t>
  </si>
  <si>
    <t>Number of screen-detected carcinomas (5 screening rounds)</t>
  </si>
  <si>
    <t xml:space="preserve">Text: Through June 1985 breast cancer was found in 332 women at screening. </t>
  </si>
  <si>
    <t>% of breast cancers that are screen-detected; follow up to 30/06/1985;
screening arm only</t>
  </si>
  <si>
    <t>Total number of carcinomas detected to June 1985</t>
  </si>
  <si>
    <t>Text: Through June 1985 breast cancer was found in 332 women at screening…. which makes a total of 509 women with breast cancer in the invited group.</t>
  </si>
  <si>
    <t>Andersson 1987</t>
  </si>
  <si>
    <r>
      <t>Absolute incidence of 'advanced' carcinomas (stage II-IV; UICC</t>
    </r>
    <r>
      <rPr>
        <sz val="10"/>
        <rFont val="Calibri"/>
        <family val="2"/>
      </rPr>
      <t>)</t>
    </r>
    <r>
      <rPr>
        <sz val="10"/>
        <rFont val="Calibri"/>
        <family val="2"/>
        <scheme val="minor"/>
      </rPr>
      <t>; per 1,000 women; 8 years after study entry;
Screening vs control</t>
    </r>
  </si>
  <si>
    <t>Number of  invasive carcinomas  with UICC stage II-IV detected from date of entry through June 1985</t>
  </si>
  <si>
    <t>The entire population has not been followed for the whole period.</t>
  </si>
  <si>
    <r>
      <t>Absolute incidence of 'advanced' carcinomas (stage II-IV; UICC</t>
    </r>
    <r>
      <rPr>
        <sz val="10"/>
        <rFont val="Calibri"/>
        <family val="2"/>
      </rPr>
      <t>)</t>
    </r>
    <r>
      <rPr>
        <sz val="10"/>
        <rFont val="Calibri"/>
        <family val="2"/>
        <scheme val="minor"/>
      </rPr>
      <t>; per 1,000 women; 6 years after study entry;
Screening vs control</t>
    </r>
  </si>
  <si>
    <t>Number of  invasive carcinomas  with UICC stage II-IV detected within 6 years from study entry</t>
  </si>
  <si>
    <t>Figure 1 and text: At 6 years the difference was 30 cases,…</t>
  </si>
  <si>
    <t>Diagnostic yield at screening (5-6 screening rounds); per 1,000 women;
screening arm only</t>
  </si>
  <si>
    <t>Mean 8.8 years</t>
  </si>
  <si>
    <t>Number of screen-detected carcinomas (5-6 screening rounds)</t>
  </si>
  <si>
    <t>% of breast cancers that are screen-detected; follow up to 31/12/1986;
screening arm only</t>
  </si>
  <si>
    <t>Total number of carcinomas detected to 31/12/1986 (including 7 women diagnosed after moving out of Malmo. 2 with malignant cystosarcoma phyllodes and 1 patient with fibrosarcoma included)</t>
  </si>
  <si>
    <t>Absolute incidence of stage 0 (UICC) breast cancer; per 100,000 PY; follow-up to 31/12/1986;
Screening vs control</t>
  </si>
  <si>
    <t>Over 98% of the patients with breast cancer in both groups registered with and subsequently treated at Malmo General Hospital. Remaining 2% of patients
identified through the national cancer registry.</t>
  </si>
  <si>
    <t>2 malignant cystosarcoma phyllodes 1 case of
fibrosarcoma not staged. 
Stage was unknown in 6 cases.</t>
  </si>
  <si>
    <t xml:space="preserve">3 malignant cystosarcoma phyllodes and 1
fibrosarcomanot staged. </t>
  </si>
  <si>
    <t>Number of breast cancer with UICC stage 0 detected up to 31/12/1986</t>
  </si>
  <si>
    <t>Absolute incidence of stage I (UICC) breast cancer; per 100,000 PY; follow-up to 31/12/1986;
Screening vs control</t>
  </si>
  <si>
    <t>Number of breast cancer with UICC stage I detected up to 31/12/1986</t>
  </si>
  <si>
    <t>Absolute incidence of stage II (UICC) breast cancer; per 100,000 PY; follow-up to 31/12/1986;
Screening vs control</t>
  </si>
  <si>
    <t>Number of breast cancer with UICC stage II detected up to 31/12/1986</t>
  </si>
  <si>
    <t>Absolute incidence of stage III (UICC) breast cancer; per 100,000 PY; follow-up to 31/12/1986;
Screening vs control</t>
  </si>
  <si>
    <t>Number of breast cancer with UICC stage III detected up to 31/12/1986</t>
  </si>
  <si>
    <t>Absolute incidence of stage IV (UICC) breast cancer; per 100,000 PY; follow-up to 31/12/1986;
Screening vs control</t>
  </si>
  <si>
    <t>Number of breast cancer with UICC stage IV detected up to 31/12/1986</t>
  </si>
  <si>
    <t>Absolute incidence of stage II-IV (UICC) breast cancer; per 100,000 PY; follow-up to 31/12/1986;
Screening vs control</t>
  </si>
  <si>
    <t>Number of breast cancer with UICC stage II-IV detected up to 31/12/1986</t>
  </si>
  <si>
    <r>
      <t>% of breast cancers (</t>
    </r>
    <r>
      <rPr>
        <b/>
        <sz val="10"/>
        <rFont val="Calibri"/>
        <family val="2"/>
        <scheme val="minor"/>
      </rPr>
      <t>stage 0 and invasive</t>
    </r>
    <r>
      <rPr>
        <sz val="10"/>
        <rFont val="Calibri"/>
        <family val="2"/>
        <scheme val="minor"/>
      </rPr>
      <t>) diagnosed at late stage (stage II-IV UICC); follow-up to 31/12/1986;
Screening vs control</t>
    </r>
  </si>
  <si>
    <r>
      <t>Total number of breast cancers (</t>
    </r>
    <r>
      <rPr>
        <b/>
        <sz val="10"/>
        <rFont val="Calibri"/>
        <family val="2"/>
        <scheme val="minor"/>
      </rPr>
      <t>invasive and stage 0</t>
    </r>
    <r>
      <rPr>
        <sz val="10"/>
        <rFont val="Calibri"/>
        <family val="2"/>
        <scheme val="minor"/>
      </rPr>
      <t>) diagnosed up to 31/12/1986 (excluding cancers with unknown stage)</t>
    </r>
  </si>
  <si>
    <t>Table III and text: On the whole the distribution by stage was more favourable in the study group, which had a smaller proportion of stage II-IV cancers than the control group (tables III and IV).</t>
  </si>
  <si>
    <t>Denominator excludes two cases of malignant cystosarcoma phyllodes in study group and three in control group and one case of fibrosarcoma in each group were not staged. Stage was unknown in six cases in study group. See columns AC-AE if you want to add them to the denominator.</t>
  </si>
  <si>
    <r>
      <t xml:space="preserve">% of </t>
    </r>
    <r>
      <rPr>
        <b/>
        <sz val="10"/>
        <rFont val="Calibri"/>
        <family val="2"/>
        <scheme val="minor"/>
      </rPr>
      <t xml:space="preserve">invasive </t>
    </r>
    <r>
      <rPr>
        <sz val="10"/>
        <rFont val="Calibri"/>
        <family val="2"/>
        <scheme val="minor"/>
      </rPr>
      <t>breast cancers diagnosed at late stage (stage II-IV UICC); follow-up to 31/12/1986;
Screening vs control</t>
    </r>
  </si>
  <si>
    <r>
      <t xml:space="preserve">Total number of </t>
    </r>
    <r>
      <rPr>
        <b/>
        <sz val="10"/>
        <rFont val="Calibri"/>
        <family val="2"/>
        <scheme val="minor"/>
      </rPr>
      <t xml:space="preserve">invasive </t>
    </r>
    <r>
      <rPr>
        <sz val="10"/>
        <rFont val="Calibri"/>
        <family val="2"/>
        <scheme val="minor"/>
      </rPr>
      <t>breast cancers diagnosed up to 31/12/1986 (excluding cancers with unknown stage)</t>
    </r>
  </si>
  <si>
    <t>Absolute incidence of stage II-IV (UICC) breast cancer; per 100,000 PY; 1 year after study entry;
Screening vs control</t>
  </si>
  <si>
    <t>Not staged or unknown stage.</t>
  </si>
  <si>
    <t>Number of breast cancer with UICC stage II-IV detected in year 1 after study entry</t>
  </si>
  <si>
    <t>Absolute incidence of stage II-IV (UICC) breast cancer; per 100,000 PY; 2 years after study entry;
Screening vs control</t>
  </si>
  <si>
    <t>Number of breast cancer with UICC stage II-IV detected in 2 years after study entry</t>
  </si>
  <si>
    <t>Absolute incidence of stage II-IV (UICC) breast cancer; per 100,000 PY; 3 years after study entry;
Screening vs control</t>
  </si>
  <si>
    <t>Number of breast cancer with UICC stage II-IV detected in 3 years after study entry</t>
  </si>
  <si>
    <t>Absolute incidence of stage II-IV (UICC) breast cancer; per 100,000 PY; 4 years after study entry;
Screening vs control</t>
  </si>
  <si>
    <t>Number of breast cancer with UICC stage II-IV detected in 4 years after study entry</t>
  </si>
  <si>
    <t>Absolute incidence of stage II-IV (UICC) breast cancer; per 100,000 PY; 5 years after study entry;
Screening vs control</t>
  </si>
  <si>
    <t>Number of breast cancer with UICC stage II-IV detected in 5 years after study entry</t>
  </si>
  <si>
    <t>Absolute incidence of stage II-IV (UICC) breast cancer; per 100,000 PY; 6 years after study entry;
Screening vs control</t>
  </si>
  <si>
    <t>Number of breast cancer with UICC stage II-IV detected in 6 years after study entry</t>
  </si>
  <si>
    <t>Absolute incidence of stage II-IV (UICC) breast cancer; per 100,000 PY; 7 years after study entry;
Screening vs control</t>
  </si>
  <si>
    <t>Number of breast cancer with UICC stage II-IV detected in 7 years after study entry</t>
  </si>
  <si>
    <t>Absolute incidence of stage II-IV (UICC) breast cancer; per 100,000 PY; 8 years after study entry;
Screening vs control</t>
  </si>
  <si>
    <t>Number of breast cancer with UICC stage II-IV detected in 8 years after study entry</t>
  </si>
  <si>
    <t>Absolute incidence of stage II-IV (UICC) breast cancer; per 100,000 PY; 9 years after study entry;
Screening vs control</t>
  </si>
  <si>
    <t>Number of breast cancer with UICC stage II-IV detected in 9 years after study entry</t>
  </si>
  <si>
    <t>Absolute incidence of stage II-IV (UICC) breast cancer; per 100,000 PY; 10 years after study entry;
Screening vs control</t>
  </si>
  <si>
    <t>Number of breast cancer with UICC stage II-IV detected in 10 years after study entry</t>
  </si>
  <si>
    <t>Fontana 1978</t>
  </si>
  <si>
    <t>All-cause mortality (per 1,000 PY); follow-up until 1 November 1977;
4-monthly vs control</t>
  </si>
  <si>
    <t>Number of deaths from all causes; follow-up until 1 November 1977</t>
  </si>
  <si>
    <t>Person years; follow-up until 1 November 1977</t>
  </si>
  <si>
    <t>Text: In the 4-monthly surveillance group the death rate from all causes was 19.3 per thousand per year, while in the control group it was 17.9.</t>
  </si>
  <si>
    <t>Number randomised to each arm not stated, but report number of person years. Unclear if this is the time until lung cancer diagnosis or until death.</t>
  </si>
  <si>
    <t>Lung cancer mortality (per 1,000 PY); follow-up until 1 November 1977;
4-monthly vs control</t>
  </si>
  <si>
    <t>Number of lung cancer death plus postoerative deaths; follow-up until 1 November 1977</t>
  </si>
  <si>
    <t>Text: By November 1, 1977, there had been 21 deaths from lung cancer in each of the two surveillance groups. However, there have been two additional postoperative deaths in the 4-monthly surveillance group that must be attributed to lung cancer.</t>
  </si>
  <si>
    <t>Taylor 1981</t>
  </si>
  <si>
    <t>Lung cancer mortality (per 100 men randomised); follow-up until 31 December 1979 (up to 90 months);
4-monthly vs control</t>
  </si>
  <si>
    <t>Number of lung cancer deaths; follow-up until 31 December 1979</t>
  </si>
  <si>
    <t>Figure 5A and text: There have been 42 lung cancer deaths in the group screened every four months and 50 lung cancer deaths in the control group. This is not a statistically significant difference.
Abstract: Lung cancer mortality is 39 for study patients and 41 for controls.???</t>
  </si>
  <si>
    <t>Sanderson 1982</t>
  </si>
  <si>
    <t>Lung cancer mortality (per 100 men randomised); follow-up until 1 April 1980;
4-monthly vs control</t>
  </si>
  <si>
    <t>Number of lung cancer deaths; follow-up until 1 April 1980</t>
  </si>
  <si>
    <t>Table 10</t>
  </si>
  <si>
    <t>Lung cancer mortality (per 1,000 PY); follow-up until 1 April 1980;
4-monthly vs control</t>
  </si>
  <si>
    <t>Person years; follow-up until 1 April 1980</t>
  </si>
  <si>
    <t>Used person years from Table 6.</t>
  </si>
  <si>
    <t>Fontana 1991</t>
  </si>
  <si>
    <t>Lung cancer mortality (per 100 men randomised); 6-year screening period;
4-monthly vs control</t>
  </si>
  <si>
    <t>Review by expert committee.</t>
  </si>
  <si>
    <t>Number of confirmed lung cancer deaths (histologic or cytologic verification of malignancy and a
compatible clinical presentation); 6-year screening period</t>
  </si>
  <si>
    <t>Figure 8</t>
  </si>
  <si>
    <t>Lung cancer mortality (per 100 men randomised); follow-up until 1 July 1983;
4-monthly vs control</t>
  </si>
  <si>
    <t>Mean 9 years
(Range 7-11.5)</t>
  </si>
  <si>
    <t>Number of confirmed lung cancer deaths (histologic or cytologic verification of malignancy and a
compatible clinical presentation); follow-up until 1 July 1983</t>
  </si>
  <si>
    <t>Table 1 and Figure 8</t>
  </si>
  <si>
    <t>Lung cancer mortality (per 1,000 PY); follow-up until 1 July 1983;
4-monthly vs control</t>
  </si>
  <si>
    <t>Person years, follow-up until 1 July 1983</t>
  </si>
  <si>
    <t>Text: In the group screened every 4 months there were 122
lung cancer deaths, including seven postoperative deaths
(lung cancer death rate, 3.2 per 1000 person-years). There
were 115 lung cancer deaths in the control group, including
six postoperative deaths (lung cancer death rate, 3.0 per 1000 person-years).</t>
  </si>
  <si>
    <t>Marcus 2000</t>
  </si>
  <si>
    <t>Lung cancer mortality and risk ratio (per 1,000 PY); follow-up until 31 December 1996 (25 years);
4-monthly vs control</t>
  </si>
  <si>
    <t xml:space="preserve">Date and cause of death for 1977 men who died by 1 July 1983 obtained from death-certificate information recorded in MLP records. 
National Death Index (NDI)-PLUS from 1983 to 1996 using own developed matching algorithm ('no match' and 'no true match' assumed to be alive); underlying cause of death listed on the death certificate considered to be the primary cause of death.
</t>
  </si>
  <si>
    <t>Median 20.5 years</t>
  </si>
  <si>
    <t>Number of lung cancer deaths (ICD code 162); follow-up until 31 December 1996 (25 years)</t>
  </si>
  <si>
    <t>Person years, follow-up until 31 December 1996</t>
  </si>
  <si>
    <t>Table 2 and text: Our NDI search and our matching algorithm identified 396 lung cancer deaths, bringing the lung cancer death totals to 337 among participants in the intervention arm (76 760.7 person-years) and 303 among participants in the usual-care arm (76 772.4 person-years) as of December 31, 1996 (Fig. 1; Table 2). The median follow-up time was 20.5 years. The lung cancer mortality rate was 4.4 deaths per 1000 person-years (95% CI = 3.9–4.9) in the intervention arm and 3.9 deaths per 1000 person-years (95% CI = 3.5–4.4) in the usual-care arm; the two rates were not statistically significantly different (P = .09; 95% CI for the observed 13% increase in lung cancer mortality in the intervention arm: −5% to 30%).</t>
  </si>
  <si>
    <t>A 95% CI that makes allowance for 25% noncompliance in the intervention arm extends the lower bound to a 6% decrease.</t>
  </si>
  <si>
    <t>Lung cancer mortality and risk ratio (per 100 men randomised); follow-up until 31 December 1996 (25 years);
4-monthly vs control</t>
  </si>
  <si>
    <t>Number of men randomised (in analysis)</t>
  </si>
  <si>
    <t>Lung cancer mortality and hazard ratio (per 1,000 PY); follow-up until 31 December 1996 (25 years);
4-monthly vs control</t>
  </si>
  <si>
    <t xml:space="preserve">Date and cause of death for 1977 men who died by 1 July 1983 obtained from death-certificate information recorded in MLP records. 
National Death Index (NDI)-PLUS from 1983 to 1996  using own developed matching algorithm ('no match' and 'no true match' assumed to be alive); underlying cause of death listed on the death certificate considered to be the primary cause of death.
</t>
  </si>
  <si>
    <t>Adjustment for 4 established lung cancer risk factors (age, smoking [measured as pack-years smoked], exposure to non-tobacco lung carcinogens, and history of pulmonary illness)</t>
  </si>
  <si>
    <t>Table 2 and text: The finding of similar lung cancer mortalities in both study arms remained after adjustment for four established lung cancer risk factors (age, smoking [measured as pack-years smoked], exposure to non-tobacco lung carcinogens, and history of pulmonary illness) (unadjusted hazard ratio [HR] = 1.1 [95% CI = 1.0–1.3]; adjusted HR = 1.1 [95% CI = 1.0–1.3]).</t>
  </si>
  <si>
    <t>Lung cancer mortality and rate ratio (per 1,000 PY); identified via recommended NDI algorithm; follow-up until 31 December 1996 (25 years);
4-monthly vs control</t>
  </si>
  <si>
    <t xml:space="preserve">Date and cause of death for 1977 men who died by 1 July 1983 obtained from death-certificate information recorded in MLP records. 
National Death Index (NDI)-PLUS from 1983 to 1996 using recommended NDI algorithm.
</t>
  </si>
  <si>
    <t>Number of lung cancer deaths (ICD code 162); identified via recommended NDI algorithm; follow-up until 31 December 1996 (25 years)</t>
  </si>
  <si>
    <t>Text: The recommended NDI algorithm identified 299 lung cancer deaths, for a total of 289 and 254 lung cancer deaths in the intervention and usual-care arms, respectively. Using this algorithm, lung cancer mortality was 3.6 (95% CI _x0001_ 3.2–4.1) in the intervention arm and 3.2 (95% CI _x0001_ 2.8–3.6) in the usual-care arm. This algorithm correctly identified 80% of the aforementioned 933 participants known to have died after July 1, 1983.</t>
  </si>
  <si>
    <t>All-cause mortality (per 1,000 PY); follow-up until 31 December 1996 (25 years);
4-monthly vs control</t>
  </si>
  <si>
    <t xml:space="preserve">Date and cause of death for 1977 men who died by 1 July 1983 obtained from death-certificate information recorded in MLP records. 
National Death Index (NDI)-PLUS from 1983 to 1996 using own developed matching algorithm ('no match' and 'no true match' assumed to be alive).
</t>
  </si>
  <si>
    <t>Number of deaths from all causes (death by 1 July 1983 from MLP records or true match from NDI); follow-up until 31 December 1996 (25 years)</t>
  </si>
  <si>
    <t>Table 2 and text: All-cause mortality and mortalities
from other cancers, COPD, IHD, and respiratory ailments
other than COPD and lung cancer also did not differ by study
arm (Table 2).</t>
  </si>
  <si>
    <t>All-cause mortality (per 100 men randomised); follow-up until 31 December 1996 (25 years);
4-monthly vs control</t>
  </si>
  <si>
    <t>Lung cancer mortality and risk ratio (per 100 men randomised); lung cancers diagnosed prior to 1 July 1983; follow-up until 31 December 1996 (25 years);
4-monthly vs control</t>
  </si>
  <si>
    <t>Number of lung cancer deaths (ICD code 162) in cases diagnosed prior to 1 July 1983; follow-up until 31 December 1996 (25 years)</t>
  </si>
  <si>
    <t>Lung cancer mortality and rate ratio (per 1,000 PY); lung cancers diagnosed prior to 1 July 1983; follow-up until 31 December 1996 (25 years);
4-monthly vs control</t>
  </si>
  <si>
    <t>Baker 2008</t>
  </si>
  <si>
    <t>Lung cancer mortality and risk ratio (per 100 men randomised); follow-up until 31 December 1978 (up to 7 years);
4-monthly vs control</t>
  </si>
  <si>
    <t>Number of lung cancer deaths; follow-up until 31 December 1978 (up to 7 years)</t>
  </si>
  <si>
    <t>Lung cancer mortality and risk ratio (per 100 men randomised); follow-up until 31 December 1979 (up to 8 years);
4-monthly vs control</t>
  </si>
  <si>
    <t>Number of lung cancer deaths; follow-up until 31 December 1979 (up to 8 years)</t>
  </si>
  <si>
    <t>Lung cancer mortality and risk ratio (per 100 men randomised); follow-up until 31 December 1980 (up to 9 years);
4-monthly vs control</t>
  </si>
  <si>
    <t>Number of lung cancer deaths; follow-up until 31 December 1980 (up to 9 years)</t>
  </si>
  <si>
    <t>Lung cancer mortality and risk ratio (per 100 men randomised); follow-up until 31 December 1981 (up to 10 years);
4-monthly vs control</t>
  </si>
  <si>
    <t>Number of lung cancer deaths; follow-up until 31 December 1981 (up to 10 years)</t>
  </si>
  <si>
    <t>Lung cancer mortality and risk ratio (per 100 men randomised); follow-up until 31 December 1982 (up to 11 years);
4-monthly vs control</t>
  </si>
  <si>
    <t>Number of lung cancer deaths; follow-up until 31 December 1982 (up to 11 years)</t>
  </si>
  <si>
    <t>Lung cancer mortality and risk ratio (per 100 men randomised); follow-up until 31 December 1983 (up to 12 years);
4-monthly vs control</t>
  </si>
  <si>
    <t>Number of lung cancer deaths; follow-up until 31 December 1983 (up to 12 years)</t>
  </si>
  <si>
    <t>Lung cancer mortality and risk ratio (per 100 men randomised); 1 year since randomisation (assessed 31/12/1983);
4-monthly vs control</t>
  </si>
  <si>
    <t>Number of lung cancer deaths within 1 year since randomisation; follow-up until 31 December 1983 (up to 12 years)</t>
  </si>
  <si>
    <t>Lung cancer mortality and risk ratio (per 100 men randomised); 2 years since randomisation (assessed 31/12/1983);
4-monthly vs control</t>
  </si>
  <si>
    <t>Number of lung cancer deaths within 2 years since randomisation; follow-up until 31 December 1983 (up to 12 years)</t>
  </si>
  <si>
    <t>Lung cancer mortality and risk ratio (per 100 men randomised); 3 years since randomisation (assessed 31/12/1983);
4-monthly vs control</t>
  </si>
  <si>
    <t>Number of lung cancer deaths within 3 years since randomisation; follow-up until 31 December 1983 (up to 12 years)</t>
  </si>
  <si>
    <t>Lung cancer mortality and risk ratio (per 100 men randomised); 4 years since randomisation (assessed 31/12/1983);
4-monthly vs control</t>
  </si>
  <si>
    <t>Number of lung cancer deaths within 4 years since randomisation; follow-up until 31 December 1983 (up to 12 years)</t>
  </si>
  <si>
    <t>Lung cancer mortality and risk ratio (per 100 men randomised); 5 years since randomisation (assessed 31/12/1983);
4-monthly vs control</t>
  </si>
  <si>
    <t>Number of lung cancer deaths within 5 years since randomisation; follow-up until 31 December 1983 (up to 12 years)</t>
  </si>
  <si>
    <t>Lung cancer mortality and risk ratio (per 100 men randomised); 6 years since randomisation (assessed 31/12/1983);
4-monthly vs control</t>
  </si>
  <si>
    <t>Number of lung cancer deaths within 6 years since randomisation; follow-up until 31 December 1983 (up to 12 years)</t>
  </si>
  <si>
    <t>Lung cancer mortality and risk ratio (per 100 men randomised); 7 years since randomisation (assessed 31/12/1983);
4-monthly vs control</t>
  </si>
  <si>
    <t>Number of lung cancer deaths within 7 years since randomisation; follow-up until 31 December 1983 (up to 12 years)</t>
  </si>
  <si>
    <t>Lung cancer mortality and risk ratio (per 100 men randomised); 8 years since randomisation (assessed 31/12/1983);
4-monthly vs control</t>
  </si>
  <si>
    <t>Number of lung cancer deaths within 8 years since randomisation; follow-up until 31 December 1983 (up to 12 years)</t>
  </si>
  <si>
    <t>Lung cancer mortality and risk ratio (per 100 men randomised); 9 years since randomisation (assessed 31/12/1983);
4-monthly vs control</t>
  </si>
  <si>
    <t>Number of lung cancer deaths within 9 years since randomisation; follow-up until 31 December 1983 (up to 12 years)</t>
  </si>
  <si>
    <t>Lung cancer mortality and risk ratio (per 100 men randomised); 10 years since randomisation (assessed 31/12/1983);
4-monthly vs control</t>
  </si>
  <si>
    <t>Number of lung cancer deaths within 10 years since randomisation; follow-up until 31 December 1983 (up to 12 years)</t>
  </si>
  <si>
    <t>Lung cancer mortality and risk ratio (per 100 men randomised); 11 years since randomisation (assessed 31/12/1983);
4-monthly vs control</t>
  </si>
  <si>
    <t>Number of lung cancer deaths within 11 years since randomisation; follow-up until 31 December 1983 (up to 12 years)</t>
  </si>
  <si>
    <t>Lung cancer mortality (per 100 men randomised); death certificate cause of death; follow-up until 1 July 1983;
4-monthly vs control</t>
  </si>
  <si>
    <t>Standard questionnaire, which was
sent to control arm participants annually and to intervention arm participants every four months during the screening period and annually thereafter. Death certificate cause of death.</t>
  </si>
  <si>
    <t>Number of lung cancer deaths according to death certificate; follow-up until 1 July 1983</t>
  </si>
  <si>
    <t>Table 1, Table 2 and text: Overall there were 237 lung cancer deaths according to mortality review, and 224 according to the death certificate.</t>
  </si>
  <si>
    <t>Lung cancer mortality (per 1,000 PY) and hazard ratio; death certificate cause of death; follow-up until 1 July 1983;
4-monthly vs control</t>
  </si>
  <si>
    <t>Table 1, Table 2 and text: While the corresponding
mortality rates using the death certificate-reported underlying causes of death were slightly lower (3.1 and 2.8 per 1,000 person-years in the intense screening and control arms, respectively), the hazard ratio was very similar to that using the review committee-defined outcome (HR 1.1, 95 percent CI 0.9, 1.5).</t>
  </si>
  <si>
    <t>Lung cancer mortality (per 1,000 PY) and hazard ratio; cause of death according to mortality review committee; follow-up until 1 July 1983;
4-monthly vs control</t>
  </si>
  <si>
    <t xml:space="preserve">Standard questionnaire, which was
sent to control arm participants annually and to intervention arm participants every four months during the screening period and annually thereafter. Mortality review committee blinded to study arm used death certificate, medical records, and/or autopsy report) for the purposes of determining the cause of death. </t>
  </si>
  <si>
    <t>Number of deaths classified by the committee as definitely due to lung cancer; follow-up until 1 July 1983</t>
  </si>
  <si>
    <t xml:space="preserve">Table 1, Table 2 and text: When the mortality review committee’s determination of cause of death was used, lung cancer mortality in the intense screening arm of the trial was 3.2 per 1,000 person-years, as compared to 3.0 per 1,000 person-years in the control arm (hazard ratio (HR)
from a Cox proportional hazards model 1.1, 95 percent CI 0.8, 1.4). </t>
  </si>
  <si>
    <t>All-cause mortality (per 100 men randomised); follow-up until 1 July 1983;
4-monthly vs control</t>
  </si>
  <si>
    <t>Standard questionnaire, which was
sent to control arm participants annually and to intervention arm participants every four months during the screening period and annually thereafter.</t>
  </si>
  <si>
    <t>Total number of deaths (lung cancer deaths plus non-lung cancer deaths); follow-up until 1 July 1983</t>
  </si>
  <si>
    <t>Table 1, Table 2 and text: During the course of follow-up, there were 1,873 deaths.</t>
  </si>
  <si>
    <t>Fontana 1985</t>
  </si>
  <si>
    <t>Lung cancer mortality (per 1,000 PY); 01/01/1983 (backdated to 01/01/1982)
4-monthly vs control</t>
  </si>
  <si>
    <t>Number of lung cancer deaths on 01/01/1983 (backdated to 01/01/1982)</t>
  </si>
  <si>
    <t>Person years on 01/01/1983 (backdated to 01/01/1982)</t>
  </si>
  <si>
    <t>~32,000</t>
  </si>
  <si>
    <t>Text: With this surgical deaths included, the death rate from lung cancer was 2.9 per 1000 PY in the 4-monthly group and 2.8 in the controls.</t>
  </si>
  <si>
    <t>Deaths attributed to surgery for lung cancer included as lung cancer deaths.</t>
  </si>
  <si>
    <t>All-cause mortality (per 1,000 PY); 01/01/1983 (backdated to 01/01/1982)
4-monthly vs control</t>
  </si>
  <si>
    <t>Number of deaths from all causes on 01/01/1983 (backdated to 01/01/1982)</t>
  </si>
  <si>
    <t>Text: The death rate (per 1,000 PY) from all causes was 23.5 in the 4-monthly group and 23.1 in the control group - not significanlty different.</t>
  </si>
  <si>
    <t xml:space="preserve">% of screen-detected lung cancers; follow-up until 1 November 1977;
4-monthly </t>
  </si>
  <si>
    <t>Number of screen-detected incident lung cancers; follow-up until 1 November 1977</t>
  </si>
  <si>
    <t>Total number of incident lung cancers detected until 1 November 1977</t>
  </si>
  <si>
    <t>Number of men randomised to each arm not reported.</t>
  </si>
  <si>
    <t>Absolute incidence of stage I lung cancers (per 1,000 PY); follow-up until 1 November 1977;
4-monthly vs control</t>
  </si>
  <si>
    <t>Number of stage I (AJC) lung cancers (postsurgical plus clinical); follow-up until 1 November 1977</t>
  </si>
  <si>
    <t>Person-years; follow-up until 1 November 1977</t>
  </si>
  <si>
    <t>Absolute incidence of stage III lung cancers (per 1,000 PY); follow-up until 1 November 1977;
4-monthly vs control</t>
  </si>
  <si>
    <t>Number of stage III (AJC) lung cancers; follow-up until 1 November 1977</t>
  </si>
  <si>
    <t>Absolute incidence of lung cancers with "curative" surgery (per 1,000 PY); follow-up until 1 November 1977;
4-monthly vs control</t>
  </si>
  <si>
    <t>Number of lung cancers with "curative" surgery; follow-up until 1 November 1977</t>
  </si>
  <si>
    <t>% of lung cancers diagnosed at late stage (stage III); follow-up until 1 November 1977;
4-monthly vs control</t>
  </si>
  <si>
    <t>RR</t>
  </si>
  <si>
    <t>Absolute incidence of low stage (stage I) lung cancers (per 100 men randomised); follow-up until 31/12/1979;
4-monthly vs control</t>
  </si>
  <si>
    <t>Not postsurgical stage I, all other stages</t>
  </si>
  <si>
    <t>Postsurgical stage I (AJC); localised</t>
  </si>
  <si>
    <t>Number of postsurgical stage I (AJC) lung cancers; follow-up until 31 December 1979</t>
  </si>
  <si>
    <t>Table 1 and text: It indicates that among the patients rescreened every four months 104 new incidence cases of lung cancer have been detected; 50 (48%) of them were classified as “AJC* postsurgical Stage I…. In the control group, only 72 cases have been detected, and 15 (21%) of these were low stage.</t>
  </si>
  <si>
    <t>Absolute incidence of higher stages (advanced, &gt;stage I) lung cancers (per 100 men randomised); follow-up until 31/12/1979;
4-monthly vs control</t>
  </si>
  <si>
    <t>&gt;Stage I</t>
  </si>
  <si>
    <t>Number of lung cancers detected at higher stage (&gt; stage I; AJC); follow-up until 31 December 1979</t>
  </si>
  <si>
    <t>% of lung cancers diagnosed at advanced stage (&gt;stage I); follow-up until 31/12/1979;
4-monthly vs control</t>
  </si>
  <si>
    <t>Total number of incident lung cancers detected until 31 December 1979</t>
  </si>
  <si>
    <t>% of lung cancers that are screen-detected; follow-up until 31/12/1979;
4-monthly only</t>
  </si>
  <si>
    <t>Number of incident lung cancers that are screen-detected; up to 31 December 1979</t>
  </si>
  <si>
    <t>Diagnostic yield at screening (per 100 men randomised); follow-up until 31/12/1979;
4-monthly only</t>
  </si>
  <si>
    <t>Absolute incidence of postsurgical stage I lung cancers (per 100 men randomised); follow-up until 01/04/1980;
4-monthly vs control</t>
  </si>
  <si>
    <t>Missing data</t>
  </si>
  <si>
    <t>Number of postsurgical stage I (AJC) lung cancers; follow-up until 1 April 1980</t>
  </si>
  <si>
    <t>Table 5, Table 9 and text: More than three times as many postsurgical stage I cases of lung cancer were identified by screening
than were found in the control group…. There were 51 patients with postsurgical stage I cancers among the participants, as
compared with 16 among the controls.</t>
  </si>
  <si>
    <t>Absolute incidence of postsurgical stage I lung cancers (per 1,000 PY); follow-up until 01/04/1980;
4-monthly vs control</t>
  </si>
  <si>
    <t>Person-years; follow-up until 1 April 1980</t>
  </si>
  <si>
    <t>Table 5, Table 9 and Table 6 for person years</t>
  </si>
  <si>
    <t>Absolute incidence of lung cancers of all other stages (not postsurgical stage I) (per 100 men randomised); follow-up until 01/04/1980;
4-monthly vs control</t>
  </si>
  <si>
    <t>Number of all lung cancers other than postsurgical stage I (AJC); follow-up until 1 April 1980</t>
  </si>
  <si>
    <t>Absolute incidence of lung cancers of all other stages (not postsurgical stage I) (per 1,000 PY); follow-up until 01/04/1980;
4-monthly vs control</t>
  </si>
  <si>
    <t>Table 5 and Table 6 for person years</t>
  </si>
  <si>
    <t>% of lung cancers diagnosed at late stage (not postsurgical stage I) (per 100 men randomised); follow-up until 01/04/1980;
4-monthly vs control</t>
  </si>
  <si>
    <t>Total number of incident lung cancers detected up to 1 April 1980 (including cancers with missing stage data)</t>
  </si>
  <si>
    <t>Absolute incidence of lung cancers with "curative" resection (per 100 men randomised); follow-up until 01/04/1980;
4-monthly vs control</t>
  </si>
  <si>
    <t>Number of lung cancers with "curative" resection; follow-up until 1 April 1980</t>
  </si>
  <si>
    <t>Absolute incidence of lung cancers  with "curative" resection (per 1,000 PY); follow-up until 01/04/1980;
4-monthly vs control</t>
  </si>
  <si>
    <t>% of lung cancers that are screen-detected; follow-up until 01/04/1980;
4-monthly only</t>
  </si>
  <si>
    <t>Number of incident lung cancers that are screen-detected; up to 1 April 1980</t>
  </si>
  <si>
    <t>Total number of incident lung cancers detected until 1 April 1980</t>
  </si>
  <si>
    <t>Diagnostic yield at screening (per 100 men randomised); follow-up until 01/04/1980;
4-monthly only</t>
  </si>
  <si>
    <t>Absolute incidence of stage I (postsurgical plus clinical) lung cancers (per 100 men randomised); follow-up until 01/04/1980;
4-monthly vs control</t>
  </si>
  <si>
    <t>Number of postsurgical or clinical stage I (AJC) lung cancers; follow-up until 1 April 1980</t>
  </si>
  <si>
    <t>Absolute incidence of stage I (postsurgical plus clinical) lung cancers (per 1,000 PY); follow-up until 01/04/1980;
4-monthly vs control</t>
  </si>
  <si>
    <t>Table 9 and Table 6 for person years</t>
  </si>
  <si>
    <t>Absolute incidence of stage II lung cancers (per 100 men randomised); follow-up until 01/04/1980;
4-monthly vs control</t>
  </si>
  <si>
    <t>Number of stage II (AJC) lung cancers; follow-up until 1 April 1980</t>
  </si>
  <si>
    <t>Absolute incidence of stage II lung cancers (per 1,000 PY); follow-up until 01/04/1980;
4-monthly vs control</t>
  </si>
  <si>
    <t>Absolute incidence of stage III lung cancers (per 100 men randomised); follow-up until 01/04/1980;
4-monthly vs control</t>
  </si>
  <si>
    <t>Number of stage III (AJC) lung cancers; follow-up until 1 April 1980</t>
  </si>
  <si>
    <t>Absolute incidence of stage III lung cancers (per 1,000 PY); follow-up until 01/04/1980;
4-monthly vs control</t>
  </si>
  <si>
    <t>Absolute incidence of stage II-III lung cancers (per 100 men randomised); follow-up until 01/04/1980;
4-monthly vs control</t>
  </si>
  <si>
    <t>Number of stage II-III (AJC) lung cancers; follow-up until 1 April 1980</t>
  </si>
  <si>
    <t>Absolute incidence of stage II-III lung cancers (per 1,000 PY); follow-up until 01/04/1980;
4-monthly vs control</t>
  </si>
  <si>
    <t>% of lung cancers diagnosed at late stage (stage II-III); follow-up until 01/04/1980;
4-monthly vs control</t>
  </si>
  <si>
    <t>Total number of incident lung cancers detected until 1 April 1980 (including cancers with missing stage data)</t>
  </si>
  <si>
    <t>% of lung cancers that are screen-detected; follow-up until 01/07/1983;
4-monthly only</t>
  </si>
  <si>
    <t>Number of incident lung cancers that are screen-detected; 6-year screening period</t>
  </si>
  <si>
    <t>Total number of incident lung cancers detected until 1 July 1983</t>
  </si>
  <si>
    <t>Table 2 and text: In the group screened every 4 months, 90 (63%) of the 143 confirmed cases of lung cancer detected during the
6-year screening phase were discovered by one or both of
the screening tests (Table 2).</t>
  </si>
  <si>
    <t>Diagnostic yield at screening (per 100 men randomised); whole 6-year screening period;
4-monthly only</t>
  </si>
  <si>
    <t>Absolute incidence of lung cancer with complete resection (per 100 men randomised); whole 6-year screening period;
4-monthly vs control</t>
  </si>
  <si>
    <t>Complete resection</t>
  </si>
  <si>
    <t>International stages III and IV</t>
  </si>
  <si>
    <t>International stages 0, I, and II</t>
  </si>
  <si>
    <t>Number of incident lung cancers with complete resection detected in 6-year screening period</t>
  </si>
  <si>
    <t>Absolute incidence of lung cancer with complete resection (per 100 men randomised); up to 1 July 1983 (6-year screening period plus 1-5.5 years postscreen);
4-monthly vs control</t>
  </si>
  <si>
    <t>Number of incident lung cancers with complete resection; follow-up until 1 July 1983 (6-year screening period plus 1-5.5 years postscreen)</t>
  </si>
  <si>
    <t>Table 2, Figure 3 and text: There were 43 more cases of resectable lung cancer in the group screened every 4 months than in the control group.</t>
  </si>
  <si>
    <t>Absolute incidence of unresectable lung cancer (per 100 men randomised); whole 6-year screening period;
4-monthly vs control</t>
  </si>
  <si>
    <t>Unresectable</t>
  </si>
  <si>
    <t>Number of incident, unresectable lung cancers detected in 6-year screening period</t>
  </si>
  <si>
    <t>Absolute incidence of unresectable lung cancer (per 100 men randomised); up to 1 July 1983 (6-year screening period plus 1-5.5 years postscreen);
4-monthly vs control</t>
  </si>
  <si>
    <t>Number of incident, unresectable lung cancers; follow-up until 1 July 1983 (6-year screening period plus 1-5.5 years postscreen)</t>
  </si>
  <si>
    <t>Figure 4 and text: However, there were also three more cases
of unresectable cancer… During the entire course of the MLP, the numbers of cases of unresectable lung cancer in the two groups remained nearly equal.</t>
  </si>
  <si>
    <t>Absolute incidence of lung cancer with resected stage 0, I or II at diagnosis (per 100 men randomised); up to 1 July 1983 (6-year screening period plus 1-5.5 years postscreen);
4-monthly vs control</t>
  </si>
  <si>
    <t>Stage 0-II and resected</t>
  </si>
  <si>
    <t>Number of incident lung cancers with stage 0-II at diagnosis that have been resected; follow-up until 1 July 1983 (6-year screening period plus 1-5.5 years postscreen)</t>
  </si>
  <si>
    <t>Figure 6 and text: There were many more early stage, resectable lung cancers in the group screened every 4 months than there were in the control group.</t>
  </si>
  <si>
    <t>Absolute incidence of lung cancer with stage III-IV at diagnosis or unresectable (per 100 men randomised); up to 1 July 1983 (6-year screening period plus 1-5.5 years postscreen);
4-monthly vs control</t>
  </si>
  <si>
    <t>Number of incident lung cancers with stage III-IV at diagnosis or unresectable cancers; follow-up until 1 July 1983 (6-year screening period plus 1-5.5 years postscreen)</t>
  </si>
  <si>
    <t>Figure 6 and text: Although there were more resectable, early stage lung cancers in the screened group than in the control
group, these were never offset by an equally larger number
of unresectable, advanced stage cancers in the control
population</t>
  </si>
  <si>
    <t>Absolute incidence of lung cancer with stage 0, I or II at diagnosis (per 100 men randomised); up to 1 July 1983 (6-year screening period plus 1-5.5 years postscreen);
4-monthly vs control</t>
  </si>
  <si>
    <t>Stage 0-II</t>
  </si>
  <si>
    <t>Number of incident lung cancers with stage 0-II at diagnosis; follow-up until 1 July 1983 (6-year screening period plus 1-5.5 years postscreen)</t>
  </si>
  <si>
    <t>Includes unresected cases with clinical staging only and resected cases with postsurgical treatment pathologic staging.</t>
  </si>
  <si>
    <t>Absolute incidence of lung cancer with stage III-IV at diagnosis (per 100 men randomised); up to 1 July 1983 (6-year screening period plus 1-5.5 years postscreen);
4-monthly vs control</t>
  </si>
  <si>
    <t>Number of incident lung cancers with stage III-IV at diagnosis; follow-up until 1 July 1983 (6-year screening period plus 1-5.5 years postscreen)</t>
  </si>
  <si>
    <t>% of lung cancers diagnosed at late stage (stage III-IV); up to 1 July 1983 (6-year screening period plus 1-5.5 years postscreen);
4-monthly vs control</t>
  </si>
  <si>
    <t>Total number of lung cancers detected up to 1 July 1983 (6-year screening period plus 1-5.5 years postscreen)</t>
  </si>
  <si>
    <t>% of lung cancers that are screen-detected by 01/01/1982;
4-monthly only</t>
  </si>
  <si>
    <t>Number of incident lung cancers that are screen-detected by 01/01/1982</t>
  </si>
  <si>
    <t>Total number of incident lung cancers detected until 1 January 1982</t>
  </si>
  <si>
    <t>Table II and text: In the 4-monthly group, 84 (50%) of the 167 cancers were detected by the screening tests.</t>
  </si>
  <si>
    <t>Diagnostic yield at screening (per 100 men randomised) by 01/01/1982
4-monthly only</t>
  </si>
  <si>
    <t>Absolute incidence of resectable lung cancer (per 100 men randomised); detected up to 01/01/1982;
4-monthly vs control</t>
  </si>
  <si>
    <t>Stage III (AJCC) or unresectable</t>
  </si>
  <si>
    <t>Postsurgical stage I and II (AJCC)</t>
  </si>
  <si>
    <t>Number of resectable lung cancers; diagnosed by 01/01/1982</t>
  </si>
  <si>
    <t>Table II and text: Thus, resectable cancers amounted to 82 (49%) in the 4-monthly screened group and 40 (31%) in the control group.</t>
  </si>
  <si>
    <t>Absolute incidence of lung cancers with postsurgical stage I (per 100 men randomised); detected up to 01/01/1982;
4-monthly vs control</t>
  </si>
  <si>
    <t>Postsurgical stage I</t>
  </si>
  <si>
    <t>Number of lung cancers with postsurgical stage I; diagnosed by 01/01/1982</t>
  </si>
  <si>
    <t>Absolute incidence of lung cancers with postsurgical stage II (per 100 men randomised); detected up to 01/01/1982;
4-monthly vs control</t>
  </si>
  <si>
    <t>Postsurgical stage II</t>
  </si>
  <si>
    <t>Number of lung cancers with postsurgical stage II; diagnosed by 01/01/1982</t>
  </si>
  <si>
    <t>Absolute incidence of early-stage lung cancers (postsurgical stage I or II) (per 100 men randomised); detected up to 01/01/1982;
4-monthly vs control</t>
  </si>
  <si>
    <t>Postsurgical stage I-II</t>
  </si>
  <si>
    <t>Number of lung cancers with postsurgical stage I-II; diagnosed by 01/01/1982</t>
  </si>
  <si>
    <t>Table III, Fig. 2 and text: Classified as postsurgical AJCC (1983) stage I or II were 71 (42%) of the 167 cancers in the 4-monthly screened group but only 32 (25%) of the 131 cancers in the control group.</t>
  </si>
  <si>
    <t>Absolute incidence of late-stage lung cancers (stage III or unresected) (per 100 men randomised); detected up to 01/01/1982;
4-monthly vs control</t>
  </si>
  <si>
    <t>Stage III or unresected</t>
  </si>
  <si>
    <t>Number of lung cancers with stage III or unresectable; diagnosed by 01/01/1982</t>
  </si>
  <si>
    <t>Table III, Fig. 2 and text: … there were 96 cases of AJCC stage III (and unresectable) cancers in the 4-monthly group and 99 in the control group.</t>
  </si>
  <si>
    <t>% of lung cancers diagnosed at late-stage (stage III or unresected); detected up to 01/01/1982;
4-monthly vs control</t>
  </si>
  <si>
    <t>Total number of lung cancers detected up to 1 January 1982</t>
  </si>
  <si>
    <t>Pastorino 2012</t>
  </si>
  <si>
    <t>Lung cancer mortality (per 100,000 PY); follow-up until November 2011;
LDCT (annual) vs control</t>
  </si>
  <si>
    <t>LDCT (Chest) - annual</t>
  </si>
  <si>
    <t>Death certificate from the Istituto Nazionale di Statistica (ISTAT).</t>
  </si>
  <si>
    <t>Information missing from active telephone follow-up and  Lombardy Cancer Registry Office database.</t>
  </si>
  <si>
    <t>Milan</t>
  </si>
  <si>
    <t>November 2011</t>
  </si>
  <si>
    <t>Number of lung cancer deaths, follow-up until November 2011</t>
  </si>
  <si>
    <t>Person years (follow-up until November 2011)</t>
  </si>
  <si>
    <t>Table 3 and text: Deaths from lung cancer were 7, 6, and 12, respectively. Lung cancer mortality rates were 108.5/100000 in the control, 108.8 in the biennial, and 216.0 in the annual
LDCT groups.</t>
  </si>
  <si>
    <t>p=0.21 between all 3 arms</t>
  </si>
  <si>
    <t>Lung cancer mortality (per 100 people); follow-up until November 2011;
LDCT (annual) vs control</t>
  </si>
  <si>
    <t>Lung cancer mortality (per 100,000 PY); follow-up until November 2011;
LDCT (biennial) vs control</t>
  </si>
  <si>
    <t>LDCT (Chest) - biennial</t>
  </si>
  <si>
    <t>Lung cancer mortality (per 100 people); follow-up until November 2011;
LDCT (biennial) vs control</t>
  </si>
  <si>
    <t>Lung cancer mortality (per 100,000 PY) and hazard ratio ratio; follow-up until November 2011;
LDCT (annual + biennial combined) vs control</t>
  </si>
  <si>
    <t>Annual: 6
Biennial: 3</t>
  </si>
  <si>
    <t>Age and smoking</t>
  </si>
  <si>
    <t>Table 3 and text: Deaths from lung cancer were 7, 6, and 12, respectively. Lung cancer mortality rates were 108.5/100000 in the control, 108.8 in the biennial, and 216.0 in the annual
LDCT groups… and the HR was 1.52 (95%CI 0.63–3.65)when the two LDCT arms were together compared with the control
group.</t>
  </si>
  <si>
    <t>Lung cancer mortality (per 100,000 PY) and rate ratio; follow-up until November 2011;
LDCT (annual + biennial combined) vs control</t>
  </si>
  <si>
    <t>Lung cancer mortality (per 100 people); follow-up until November 2011;
LDCT (annual + biennial combined) vs control</t>
  </si>
  <si>
    <t>Lung cancer mortality (per 100,000 PY); follow-up until November 2011;
LDCT (annual) vs LDCT (biennial)</t>
  </si>
  <si>
    <t>Lung cancer mortality (per 100 people); follow-up until November 2011;
LDCT (annual) vs LDCT (biennial)</t>
  </si>
  <si>
    <t>All-cause mortality (per 100,000 PY); follow-up until November 2011;
LDCT (annual) vs control</t>
  </si>
  <si>
    <t>Number of deaths from all causes, follow-up until November 2011</t>
  </si>
  <si>
    <t>Table 3 and text: There were a total of 20 deaths in the
control group as compared with 20 in the biennial and 31
in the annual LDCT groups.Total mortality rate was
310.1/100000 in the control group, 362.5 in the biennial
LDCT, and 557.9 in the annual LDCT.</t>
  </si>
  <si>
    <t>p=0.13 between all 3 arms</t>
  </si>
  <si>
    <t>All-cause mortality (per 100 people); follow-up until November 2011;
LDCT (annual) vs control</t>
  </si>
  <si>
    <t>All-cause mortality (per 100,000 PY); follow-up until November 2011;
LDCT (biennial) vs control</t>
  </si>
  <si>
    <t>All-cause mortality (per 100 people); follow-up until November 2011;
LDCT (biennial) vs control</t>
  </si>
  <si>
    <t>All-cause mortality (per 100,000 PY) and hazard ratio ratio; follow-up until November 2011;
LDCT (annual + biennial combined) vs control</t>
  </si>
  <si>
    <t>Table 3 and text: There were a total of 20 deaths in the
control group as compared with 20 in the biennial and 31
in the annual LDCT groups.Total mortality rate was
310.1/100000 in the control group, 362.5 in the biennial
LDCT, and 557.9 in the annual LDCT... the HR was 1.39 (95%CI 0.83–2.34) when comparing the two LDCT arms together with the control group. After adjustment for age and smoking, the HR was 1.40 (95%
CI, 0.82–2.38).</t>
  </si>
  <si>
    <t>All-cause cancer mortality (per 100,000 PY) and rate ratio; follow-up until November 2011;
LDCT (annual + biennial combined) vs control</t>
  </si>
  <si>
    <t>All-cause mortality (per 100 people); follow-up until November 2011;
LDCT (annual + biennial combined) vs control</t>
  </si>
  <si>
    <t>All-cause mortality (per 100,000 PY); follow-up until November 2011;
LDCT (annual) vs LDCT (biennial)</t>
  </si>
  <si>
    <t>All-cause mortality (per 100 people); follow-up until November 2011;
LDCT (annual) vs LDCT (biennial)</t>
  </si>
  <si>
    <t>Infante 2017</t>
  </si>
  <si>
    <t>Lung-cancer mortality (per 100,000 PY); follow-up until February 2015;
LDCT (combined annual and biennial) vs control</t>
  </si>
  <si>
    <t>Active follow-up was conducted through telephone and record linkage with national and regional administrative databases, which blindly trace the status of all participants.</t>
  </si>
  <si>
    <t>Date of death from causes other than LC  or the date of last follow-up.</t>
  </si>
  <si>
    <t>February 2015</t>
  </si>
  <si>
    <t>Mean 8.25 years</t>
  </si>
  <si>
    <t>Mean 7.0 years</t>
  </si>
  <si>
    <t>Number of lung cancer deaths, follow-up until February 2015</t>
  </si>
  <si>
    <t>Person years (follow-up until February 2015)</t>
  </si>
  <si>
    <t>Lung-cancer mortality (per 100 people randomised); follow-up until February 2015;
LDCT (combined annual and biennial) vs control</t>
  </si>
  <si>
    <t>All-cause mortality (per 100,000 PY); follow-up until February 2015;
LDCT (combined annual and biennial) vs control</t>
  </si>
  <si>
    <t>All-cause mortality (per 100 people randomised); follow-up until February 2015;
LDCT (combined annual and biennial) vs control</t>
  </si>
  <si>
    <t>Pastorino 2019</t>
  </si>
  <si>
    <t>Lung cancer mortality (per 100,000 PY) and hazard ratio;
follow-up until June 2018;
LDCT (combined) vs control</t>
  </si>
  <si>
    <t>Phone calls, email and contacts with general practitioner or referring hospitals, and periodical enquiry to National Statistic and
Cancer Registries.</t>
  </si>
  <si>
    <t>Date of death from causes other than LC or date of last follow-up</t>
  </si>
  <si>
    <t>June 2018</t>
  </si>
  <si>
    <t>Mean 9.41 years</t>
  </si>
  <si>
    <t>Number of lung cancer deaths, follow-up until June 2018</t>
  </si>
  <si>
    <t>Person years; follow-up until June 2018</t>
  </si>
  <si>
    <t>Age, gender and pack years</t>
  </si>
  <si>
    <t>Table 2, Table S2, Figure 1 and text: Table 2 shows that LC mortality was 173/100 000 person-years (40 deaths) in intervention arm and 247/100 000 person-years in control arm (40 deaths, P=0.12)…. with significant 39% (95% CI 5% to 61%) risk reduction by LDCT screening (HR 0.61; 95% CI 0.39–0.95; P=0.02)</t>
  </si>
  <si>
    <t>97 and 66 non-LC deaths in LDCT and control arms, respectively. 1 person lost to follow-up, unclear from which arm.</t>
  </si>
  <si>
    <t>Lung cancer mortality (per 100,000 PY) and rate ratio;
follow-up until June 2018;
LDCT (combined) vs control</t>
  </si>
  <si>
    <t>Table 2, Table S2, Figure 1 and text: Table 2 shows that LC mortality was 173/100 000 person-years (40 deaths) in intervention arm and 247/100 000 person-years in control arm (40 deaths, P=0.12).</t>
  </si>
  <si>
    <t>Lung cancer mortality (per 100 people randomised) and risk ratio;
follow-up until June 2018;
LDCT (combined) vs control</t>
  </si>
  <si>
    <t>Table 2, Table S2, Figure 1 and text: The cumulative risk of 10-year LC mortality was 1.7% in intervention arm and 2.5% in control arm,…</t>
  </si>
  <si>
    <t>All-cause mortality (per 100,000 PY) and hazard ratio;
follow-up until June 2018;
LDCT (combined) vs control</t>
  </si>
  <si>
    <t>Date of last follow-up</t>
  </si>
  <si>
    <t>Number of deaths from all causes; follow-up until June 2018</t>
  </si>
  <si>
    <t>Table 2, Table S2, Figure 1 and text: The overall mortality was 594/100 000 person-years (137 deaths) in intervention arm versus 654/100 000 person-years (106 deaths, P=0.45) in the control arm.... with 20% (95% CI -3% to 38%) risk reduction by LDCT (HR 0.80; 95% CI 0.62–1.03; log-rank P=0.07).</t>
  </si>
  <si>
    <t>1 person lost to follow-up, unclear from which arm.</t>
  </si>
  <si>
    <t>All-cause mortality (per 100,000 PY) and rate ratio;
follow-up until June 2018;
LDCT (combined) vs control</t>
  </si>
  <si>
    <t>Table 2, Table S2, Figure 1</t>
  </si>
  <si>
    <t>All-cause mortality (per 100 people randomised);
follow-up until June 2018;
LDCT (combined) vs control</t>
  </si>
  <si>
    <t>Table 2, Table S2, Figure 1 and text: The cumulative risk of 10-year overall mortality was 5.8% in intervention arm and 6.5% in control arm (Figure 1A)</t>
  </si>
  <si>
    <t>Platform SIATEL 2.0, and the causes of death 
retrieved from the Istituto Nazionale di Statistica.</t>
  </si>
  <si>
    <t>Mean 9.74 years</t>
  </si>
  <si>
    <t>Mean 9.68 years</t>
  </si>
  <si>
    <t>Table 2, Figure 2A and text: LC-specific mortality was 165/100,000 personyears (19 deaths) in the annual arm and 182/100,000 (21 deaths) in the biennial arm, and cumulative LC mortality curves showed no difference among the annual and the biennial arms (HR 1.10, 95% CI 0.59-2.05, Fig. 2a).</t>
  </si>
  <si>
    <t>56 and 38 deaths from other causes in annual and biennial LDCT arms, respectively.</t>
  </si>
  <si>
    <t>Table 2, Figure 2A and text: LC-specific mortality was 165/100,000 personyears (19 deaths) in the annual arm and 182/100,000 (21 deaths) in the biennial arm,…</t>
  </si>
  <si>
    <t>Table 2, Figure 1B and text: At 10-year follow-up, a total of 137 deaths were recorded, 76 in the annual arm (660/100,000 person-years) and 61 in the biennial arm (528/100,000 person-years), with a non-significant decrease of the overall 10-year mortality in the biennial arm (HR 0.80, 95% CI 0.57-1.12).</t>
  </si>
  <si>
    <t>Table 2, Figure 1B and text: At 10-year follow-up, a total of 137 deaths were recorded, 76 in the annual arm (660/100,000 person-years) and 61 in the biennial arm (528/100,000 person-years), …</t>
  </si>
  <si>
    <t>Diagnostic yield at screening (5-year follow-up, November 2011), per 100 people randomised;
Annual vs biennial LDCT</t>
  </si>
  <si>
    <t>Active telephone follow-up and record linkage with the Cancer Registry Office database of Lombardy, which traced the vital status of all participants blindly, without knowing the random allocation.</t>
  </si>
  <si>
    <t>Number of screen-detected lung cancers; follow-up until November 2011</t>
  </si>
  <si>
    <t>Table 2 and text: A total of 49 lung cancers were detected by LDCT
screening, 20 in the biennial and 29 in the annual LDCT
arm; 17 of them were detected at baseline examination
(6 and 11 cases, respectively).</t>
  </si>
  <si>
    <t>Diagnostic yield at screening (5-year follow-up, November 2011), per 100 people randomised;
LDCT screening (annual and biennial combined)</t>
  </si>
  <si>
    <t>Number of screen-detected lung cancers (annual plus biennial LDCT); follow-up until November 2011</t>
  </si>
  <si>
    <t>% of lung cancers that are screen-detected (5-year follow-up, November 2011);
Annual vs biennial LDCT</t>
  </si>
  <si>
    <t>Total number of lung cancers detected; follow-up until November 2011</t>
  </si>
  <si>
    <t>Table 2, Table 3 and text: The number of interval lung cancers, not detected by screening, was the same in the two LDCT arms (five each).</t>
  </si>
  <si>
    <t>% of lung cancers that are screen-detected (5-year follow-up, November 2011);
LDCT screening (annual and biennial combined)</t>
  </si>
  <si>
    <t>Sverzellati 2016</t>
  </si>
  <si>
    <t>Diagnostic yield at screening (7 rounds for LDCT1 and 4 rounds for LDCT2), per 100 people randomised; follow-up until 31 December 2013;
Annual vs biennial LDCT</t>
  </si>
  <si>
    <t>Median 7.3 years</t>
  </si>
  <si>
    <t>Annual: 7
Biennial: 4</t>
  </si>
  <si>
    <t>Number of screen-detected lung cancers; follow-up until 31 December 2013</t>
  </si>
  <si>
    <t>Diagnostic yield at screening (7 rounds for LDCT1 and 4 rounds for LDCT2), per 100 people randomised; follow-up until 31 December 2013;
LDCT (annual and biennial combined)</t>
  </si>
  <si>
    <t>Number of screen-detected lung cancers (LDCT1 + LDCT2); follow-up until 31 December 2013</t>
  </si>
  <si>
    <t>Advanced = stage II or higher</t>
  </si>
  <si>
    <t>Staging data not available</t>
  </si>
  <si>
    <t>Table 2 and text: For early stage lung cancer, the overall proportion (22/41, 53.6 % in LDCT1 and 16/27, 59.2 % in LDCT2; p = 0.65) and detection rate (16/22, 72.7 % in LDCT1 arm vs. 12/16, 75 % in LDCT2 arm; p =0.98) were similar between the LDCT arms.</t>
  </si>
  <si>
    <t>Table 2 and text: For early stage lung cancer, the overall proportion (22/41, 53.6 % in LDCT1 and 16/27, 59.2 % in LDCT2; p = 0.65) and detection rate (16/22, 72.7 % in LDCT1 arm vs. 12/16, 75 % in LDCT2 arm; p =0.98) were similar between the LDCT arms.
The incidence of early stage lung cancer was 271.9 cases per
100,000 person-years in the LDCT1 arm , compared to 196.5
cases per 100,000 person-years in the LDCT2 arm.</t>
  </si>
  <si>
    <t>Staging data not available / indeterminate</t>
  </si>
  <si>
    <t>Stage IIa</t>
  </si>
  <si>
    <t>Stage IIb</t>
  </si>
  <si>
    <t>Diagnostic yield at screening; follow-up until February 2015;
LDCT (annual and biennial combined)</t>
  </si>
  <si>
    <t>Date of death or the date of last follow-up.</t>
  </si>
  <si>
    <t>Number of screen-detected lung cancers; follow-up until February 2015</t>
  </si>
  <si>
    <t>% of lung cancers that are screen-detected; follow-up until February 2015;
LDCT (annual and biennial combined)</t>
  </si>
  <si>
    <t>Total number of lung cancers detected; follow-up until February 2015</t>
  </si>
  <si>
    <t>Absolute incidence of stage IA lung cancers (per 100 people); follow-up until February 2015;
LDCT (annual and biennial combined) vs control</t>
  </si>
  <si>
    <t>Number of stage IA lung cancers; diagnosed up to February 2015</t>
  </si>
  <si>
    <t>Absolute incidence of stage IB lung cancers (per 100 people); follow-up until February 2015;
LDCT (annual and biennial combined) vs control</t>
  </si>
  <si>
    <t>Number of stage IB lung cancers; diagnosed up to February 2015</t>
  </si>
  <si>
    <t>Absolute incidence of stage I lung cancers (per 100 people); follow-up until February 2015;
LDCT (annual and biennial combined) vs control</t>
  </si>
  <si>
    <t>Number of stage I (IA + IB) lung cancers; diagnosed up to February 2015</t>
  </si>
  <si>
    <t>Absolute incidence of stage II lung cancers (per 100 people); follow-up until February 2015;
LDCT (annual and biennial combined) vs control</t>
  </si>
  <si>
    <t>Number of stage II lung cancers; diagnosed up to February 2015</t>
  </si>
  <si>
    <t>Absolute incidence of stage I lung cancers (per 100 people); follow-up until June 2018;
LDCT (annual and biennial combined) vs control</t>
  </si>
  <si>
    <t>Date of death or date of last follow-up</t>
  </si>
  <si>
    <t>Mean 9.35 years</t>
  </si>
  <si>
    <t>Number of stage I lung cancers; diagnosed up to June 2018</t>
  </si>
  <si>
    <t>Table 2 and text: A significantly larger proportion of stage I LC was detected in intervention arm (49/98, 50%) compared with control arm (13/60, 21.7%; P=0.0004; Table 2).</t>
  </si>
  <si>
    <t>Absolute incidence of stage I lung cancers (per 100,000 PY); follow-up until June 2018;
LDCT (annual and biennial combined) vs control</t>
  </si>
  <si>
    <t>Person-years; follow-up until June 2018</t>
  </si>
  <si>
    <t>Absolute incidence of stage II lung cancers (per 100 people); follow-up until June 2018;
LDCT (annual and biennial combined) vs control</t>
  </si>
  <si>
    <t>Number of stage II lung cancers; diagnosed up to June 2018</t>
  </si>
  <si>
    <t>Absolute incidence of stage II lung cancers (per 100,000 PY); follow-up until June 2018;
LDCT (annual and biennial combined) vs control</t>
  </si>
  <si>
    <t>Absolute incidence of stage III lung cancers (per 100 people); follow-up until June 2018;
LDCT (annual and biennial combined) vs control</t>
  </si>
  <si>
    <t>Number of stage III lung cancers; diagnosed up to June 2018</t>
  </si>
  <si>
    <t>Absolute incidence of stage III lung cancers (per 100,000 PY); follow-up until June 2018;
LDCT (annual and biennial combined) vs control</t>
  </si>
  <si>
    <t>Absolute incidence of stage IV lung cancers (per 100 people); follow-up until June 2018;
LDCT (annual and biennial combined) vs control</t>
  </si>
  <si>
    <t>Number of stage IV lung cancers; diagnosed up to June 2018</t>
  </si>
  <si>
    <t>Absolute incidence of stage IV lung cancers (per 100,000 PY); follow-up until June 2018;
LDCT (annual and biennial combined) vs control</t>
  </si>
  <si>
    <t>Absolute incidence of late stage (stage II-IV) lung cancers (per 100 people); follow-up until June 2018;
LDCT (annual and biennial combined) vs control</t>
  </si>
  <si>
    <t>Number of stage II-IV lung cancers; diagnosed up to June 2018</t>
  </si>
  <si>
    <t>Absolute incidence of late stage (stage II-IV) lung cancers (per 100,000 PY); follow-up until June 2018;
LDCT (annual and biennial combined) vs control</t>
  </si>
  <si>
    <t>% of lung cancers diagnosed at late stage (stage II-IV); follow-up until June 2018;
LDCT (annual and biennial combined) vs control</t>
  </si>
  <si>
    <t>Total number of lung cancers diagnosed; follow-up until June 2018</t>
  </si>
  <si>
    <t>Diagnostic yield at screening; follow-up until June 2018;
LDCT (annual and biennial combined)</t>
  </si>
  <si>
    <t>Number of screen-detected lung cancers; follow-up until June 2018</t>
  </si>
  <si>
    <t>% of lung cancers that are screen-detected; follow-up until June 2018;
LDCT (annual and biennial combined)</t>
  </si>
  <si>
    <t>Total number of lung cancers detected; follow-up until June 2018</t>
  </si>
  <si>
    <t>Collected during follow-up.</t>
  </si>
  <si>
    <t>Table 2 and text: Interestingly, the number of LC detected in stage II-IV was higher in the annual arm (27 vs. 22 cases).</t>
  </si>
  <si>
    <t>Mandel 1993</t>
  </si>
  <si>
    <t>CRC mortality (per 1,000 PY);
after 13 years of follow-up;
Annual FOBT vs control</t>
  </si>
  <si>
    <t>FOBT (annual)</t>
  </si>
  <si>
    <t>Mailed annual questionnaires; if no reply, participants were called. Deaths certificates obtained for all participants who died. Independent Deaths Review Committee used uncoded death certificates and medical records to determine of deaths was caused by CRC.</t>
  </si>
  <si>
    <t>184,160 PY;
mean 11.8 years</t>
  </si>
  <si>
    <t>181,966 PY;
mean 11.8 years</t>
  </si>
  <si>
    <t>Number of deaths from CRC (Deaths Review Committee); after 13 years of follow-up</t>
  </si>
  <si>
    <t>Person-years (up to 13 years of follow-up)</t>
  </si>
  <si>
    <t>CRC mortality (per 1,000 people randomised);
after 13 years of follow-up;
Annual FOBT vs control</t>
  </si>
  <si>
    <t xml:space="preserve">Table 4 </t>
  </si>
  <si>
    <t>Cumulative CRC mortality (per 1,000), using life table approach;
during 13 years of follow-up;
Annual FOBT vs control</t>
  </si>
  <si>
    <t>95% CI adjusted for sequential monitoring</t>
  </si>
  <si>
    <t>Table 4 and text: … the cumulative annual mortality rate from CRC was lower in the annually screened group (5.88 per 1,000) than in the biennially screened group (8.33 per 1,000) and the control group (8.83 per 1,000). The rate ratio for mortality from CRC ... was significantly below 1 in the annually screened group (rate ratio, 0.67; 95% CI 0.50 to 0.87)...</t>
  </si>
  <si>
    <t>Group-sequential analysis by means of sequential log-rank statistics as computed from life tables.</t>
  </si>
  <si>
    <t>CRC mortality (per 1,000 PY);
after 13 years of follow-up;
Biennial FOBT vs control</t>
  </si>
  <si>
    <t>FOBT (biennial)</t>
  </si>
  <si>
    <t>183,934 PY;
mean 11.8 years</t>
  </si>
  <si>
    <t>CRC mortality (per 1,000 people randomised);
after 13 years of follow-up;
Biennial FOBT vs control</t>
  </si>
  <si>
    <t>Cumulative CRC mortality (per 1,000), using life table approach;
during 13 years of follow-up;
Biennial FOBT vs control</t>
  </si>
  <si>
    <t>Table 4 and text: … the cumulative annual mortality rate from CRC was lower in the annually screened group (5.88 per 1,000) than in the biennially screened group (8.33 per 1,000) and the control group (8.83 per 1,000). The rate ratio for mortality from CRC ... was significantly below 1 in the annually screened group (rate ratio, 0.67; 95% CI 0.50 to 0.87), but not in the group screened every 2 years (rate ratio, 0.94, 95% CI 0.68 to 1.31).</t>
  </si>
  <si>
    <t>All-cause mortality (per 1,000 PY);
after 13 years of follow-up;
Annual FOBT vs control</t>
  </si>
  <si>
    <t xml:space="preserve">Mailed annual questionnaires; if no reply, participants were called. Deaths certificates obtained for all participants who died. </t>
  </si>
  <si>
    <t>Number of deaths from all causes; after 13 years of follow-up</t>
  </si>
  <si>
    <t>All-cause mortality (per 1,000 people randomised);
after 13 years of follow-up;
Annual FOBT vs control</t>
  </si>
  <si>
    <t>Cumulative all-cause mortality (per 1,000);
using life table approach; during 13 years of follow-up;
Annual FOBT vs control</t>
  </si>
  <si>
    <t>All-cause mortality (per 1,000 PY);
after 13 years of follow-up;
Biennial FOBT vs control</t>
  </si>
  <si>
    <t>All-cause mortality (per 1,000 people randomised);
after 13 years of follow-up;
Biennial FOBT vs control</t>
  </si>
  <si>
    <t>Cumulative all-cause mortality (per 1,000 PY); using life table approach;
during 13 years of follow-up;
Biennial FOBT vs control</t>
  </si>
  <si>
    <t>Mandel 1999</t>
  </si>
  <si>
    <t>CRC mortality (per 1,000 PY);
through 18 years of follow-up;
Annual FOBT vs control</t>
  </si>
  <si>
    <t>Mailed annual questionnaires; death certificates obtained; blinded review of autopsy reports and medical and hospital records of all decedents
in whom gastrointestinal disease was known or suspected to be present at the time of death by Deaths Review Committee.</t>
  </si>
  <si>
    <t>Deaths from other causes censored</t>
  </si>
  <si>
    <t>240,325 PY;
mean 15.4 years</t>
  </si>
  <si>
    <t>237,420 PY;
mean 15.4 years</t>
  </si>
  <si>
    <t>Number of deaths from CRC (Deaths Review Committee); after 18 years of follow-up</t>
  </si>
  <si>
    <t>Person-years (up to 18 years of follow-up)</t>
  </si>
  <si>
    <t>CRC mortality (per 1,000 people randomised;
through 18 years of follow-up;
Annual FOBT vs control</t>
  </si>
  <si>
    <t>Cumulative CRC mortality (per 1,000); using life tables approach;
through 18 years of follow-up;
Annual FOBT vs control</t>
  </si>
  <si>
    <t>Table 1 and text:  The cumulative colorectal cancer mortality rate in the annual group was 33% lower than in the control group (rate ratio, 0.67; 95% CI 0.51–0.83).</t>
  </si>
  <si>
    <t>Cumulative estimates of mortality from colorectal cancer at the end of each follow-up year were made with the life table technique, with deaths from other causes censored (13,14).
Because sequential monitoring ended in 1992, the 95% confidence intervals (CIs) on 18-year cumulative mortality rates were not adjusted for the earlier group-sequential analyses and are thus nominal for the 95% confidence coefficients.</t>
  </si>
  <si>
    <t>CRC mortality (per 1,000 PY);
through  18 years of follow-up;
Biennial FOBT vs control</t>
  </si>
  <si>
    <t>240,163 PY;
mean 15.4 years</t>
  </si>
  <si>
    <t>Table 1 and text: The biennial group had a 21% lower colorectal cancer mortality rate than the control group (rate ratio, 0.79; 95% CI 0.62–0.97).</t>
  </si>
  <si>
    <t>CRC mortality (per 1,000 people randomised;
through  18 years of follow-up;
Biennial  FOBT vs control</t>
  </si>
  <si>
    <t>Cumulative CRC mortality (per 1,000); using life tables approach;
through 18 years of follow-up;
Biennial FOBT vs control</t>
  </si>
  <si>
    <t>All-cause mortality (per 1,000 PY);
through 18 years of follow-up;
Annual FOBT vs control</t>
  </si>
  <si>
    <t>Mailed annual questionnaires; death certificates obtained.</t>
  </si>
  <si>
    <t>Number of deaths from all-causes; after 18 years of follow-up</t>
  </si>
  <si>
    <t>All-cause mortality (per 1,000 people randomised;
through 18 years of follow-up;
Annual FOBT vs control</t>
  </si>
  <si>
    <t>Number of deaths from all causes; after 18 years of follow-up</t>
  </si>
  <si>
    <t>Cumulative all-cause mortality (per 1,000); using life tables approach;
through 18 years of follow-up;
Annual FOBT vs control</t>
  </si>
  <si>
    <t>Table 1 and text; As expected, the cumulative rates of death from all causes were the same in the three study groups, 342, 340, and 343 per 1000 population in the annual, biennial, and control groups, respectively.</t>
  </si>
  <si>
    <t>All-cause mortality (per 1,000 PY);
through 18 years of follow-up;
Biennial FOBT vs control</t>
  </si>
  <si>
    <t>All-cause mortality (per 1,000 people randomised;
through 18 years of follow-up;
Biennial  FOBT vs control</t>
  </si>
  <si>
    <t>Cumulative all-cause mortality (per 1,000);
through 18 years of follow-up;
Biennial FOBT vs control</t>
  </si>
  <si>
    <t>Shaukat 2013</t>
  </si>
  <si>
    <t>CRC mortality (per 1,000 PY); follow-up until 31/12/2008;
Annual FOBT vs control</t>
  </si>
  <si>
    <t>Annual follow-up with the use of written questionnaires and telephone calls between 1976 and 1999. During the first 15 years, blinded review of medical records and death certificates from CRC deaths by a deaths-review committee. Subsequently obtained from the National Death Index (NDI plus search in 2011 for year 1999 through 2008).</t>
  </si>
  <si>
    <t>Through 30 years</t>
  </si>
  <si>
    <t>475,167 PY;
mean 30.5 years</t>
  </si>
  <si>
    <t>469,897 PY;
mean 30.5 years</t>
  </si>
  <si>
    <t>Number of CRC deaths; follow-up until 31/12/2008</t>
  </si>
  <si>
    <t>CRC mortality (per 1,000 people randomised); follow-up until 31/12/2008;
Annual FOBT vs control</t>
  </si>
  <si>
    <t>Cumulative CRC mortality; Kaplan–Meier estimates of survival; follow-up until 31/12/2008;
Annual FOBT vs control</t>
  </si>
  <si>
    <t>Compliance-adjusted</t>
  </si>
  <si>
    <t>Kaplan–Meier estimates of survival over the 30-year period after randomization, and groups were compared without adjustment
for the multiple comparisons over time (at 13 and 18 years).</t>
  </si>
  <si>
    <t>CRC mortality (per 1,000 PY); follow-up until 31/12/2008;
Biennial FOBT vs control</t>
  </si>
  <si>
    <t>475,880 PY;
mean 30.5 years</t>
  </si>
  <si>
    <t xml:space="preserve">Table 1 and text: ... 237 of 11,004 (2.2%) in the biennial-screening group, and 295 of 10,944 (2.7%) in the control group. </t>
  </si>
  <si>
    <t>CRC mortality (per 1,000 people randomised); follow-up until 31/12/2008;
Biennial FOBT vs control</t>
  </si>
  <si>
    <t>Cumulative CRC mortality; Kaplan-Meier estimates of survival, follow-up until 31/12/2008;
Biennial FOBT vs control</t>
  </si>
  <si>
    <t>Table 1 and text: ... 237 of 11,004 (2.2%) in the biennial-screening group, and 295 of 10,944 (2.7%) in the control group. Annual and biennial screening with fecal occult-blood testing reduced colorectal-cancer mortality; the relative risk of death from colorectal cancer was... 0.78 (95% CI, 0.65 to 0.93) with biennial screening.... Compliance-adjusted relative-risk estimates for death from
colorectal cancer for the annual-screening and biennial-screening groups were 0.65 (95% CI, 0.52 to 0.80) and 0.76 (95% CI, 0.61 to 0.95) 
respectively.</t>
  </si>
  <si>
    <t>All-cause  mortality (per 1,000 PY); follow-up until 31/12/2008;
Annual FOBT vs control</t>
  </si>
  <si>
    <t>Annual follow-up with the use of written questionnaires and telephone calls between 1976 and 1999.  Subsequently obtained from the National Death Index (NDI plus search in 2011 for year 1999 through 2008).</t>
  </si>
  <si>
    <t>All-cause mortality (per 1,000 people randomised); follow-up until 31/12/2008;
Annual FOBT vs control</t>
  </si>
  <si>
    <t>Cumulative all-cause mortality; Kaplan-Meier estimates of survival, follow-up until 31/12/2008;
Annual FOBT vs control</t>
  </si>
  <si>
    <t>Table 1 and text: The relative risk of death from any cause was 1.00 (95% CI, 0.99 to 1.01) with annual screening,…</t>
  </si>
  <si>
    <t>All-cause mortality (per 1,000 PY); follow-up until 31/12/2008;
Biennial FOBT vs control</t>
  </si>
  <si>
    <t>All-cause mortality (per 1,000 people randomised); follow-up until 31/12/2008;
Biennial FOBT vs control</t>
  </si>
  <si>
    <t>Cumulative all-cause mortality; Kaplan-Meier estimates of survival; follow-up until 31/12/2008;
Biennial FOBT vs control</t>
  </si>
  <si>
    <t>Table 1 and text: The relative risk of death from any cause was … 0.99 (95% CI, 0.98 to 1.01) with biennial screening,…</t>
  </si>
  <si>
    <t>Absolute incidence of Dukes' A CRC (per 1,000 PY); 13 years of follow-up;
Annual FOBT vs control</t>
  </si>
  <si>
    <t>Dukes' D?</t>
  </si>
  <si>
    <t>Dukes' A?</t>
  </si>
  <si>
    <t>Mailed annual questionnaires; if no reply, participants were called. Medical repords obtained for all reported lesions. Study pathologists staged all CRC using the Turnbull modification of the 1932 Dukes' staging system.</t>
  </si>
  <si>
    <t>Number of Dukes' A CRC; up to 13 years of follow-up</t>
  </si>
  <si>
    <t>CRC in Figures 3, 4 and Table 5 add up to 354, 368 and 394 cancers, whereas text and Table 4 for report 323, 323 and 356 cases. Some numbers seem to include CRC cases diagnosed before randomisation whereas others seem exclude them.</t>
  </si>
  <si>
    <t>Absolute incidence of Dukes' B CRC (per 1,000 PY); 13 years of follow-up;
Annual FOBT vs control</t>
  </si>
  <si>
    <t>Number of Dukes' B CRC; up to 13 years of follow-up</t>
  </si>
  <si>
    <t>Absolute incidence of Dukes' C CRC (per 1,000 PY); 13 years of follow-up;
Annual FOBT vs control</t>
  </si>
  <si>
    <t>Number of Dukes' C CRC; up to 13 years of follow-up</t>
  </si>
  <si>
    <t>Absolute incidence of Dukes' D CRC (per 1,000 PY); 13 years of follow-up;
Annual FOBT vs control</t>
  </si>
  <si>
    <t>Number of Dukes' D CRC; up to 13 years of follow-up</t>
  </si>
  <si>
    <t>Table 5 and text: Table 5 shows that there were twice as many Dukes' stage D cancers in the control group than in the annually screening group (65 vs 33, respectively).</t>
  </si>
  <si>
    <t>% of CRC diagnosed at late stage (Dukes' D); 13 years of follow-up;
Annual FOBT vs control</t>
  </si>
  <si>
    <t>Total number of CRC diagnosed up to 13 years of follow-up (including unstaged CRC)</t>
  </si>
  <si>
    <t>Absolute incidence of Dukes' A CRC (per 1,000 PY); 13 years of follow-up;
Biennial FOBT vs control</t>
  </si>
  <si>
    <t>Absolute incidence of Dukes' B CRC (per 1,000 PY); 13 years of follow-up;
Biennial FOBT vs control</t>
  </si>
  <si>
    <t xml:space="preserve">Table 5 </t>
  </si>
  <si>
    <t>Absolute incidence of Dukes' C CRC (per 1,000 PY); 13 years of follow-up;
Biennial FOBT vs control</t>
  </si>
  <si>
    <t>Absolute incidence of Dukes' D CRC (per 1,000 PY); 13 years of follow-up;
Biennial FOBT vs control</t>
  </si>
  <si>
    <t>% of CRC diagnosed at late stage (Dukes' D); 13 years of follow-up;
Biennial FOBT vs control</t>
  </si>
  <si>
    <t>Diagnostic yield at screening (CRC); per 1,000 people randomised; all rounds;
Annual FOBT vs biennial FOBT</t>
  </si>
  <si>
    <t xml:space="preserve">Mailed annual questionnaires; if no reply, participants were called. Medical repords obtained for all reported lesions. </t>
  </si>
  <si>
    <t>Annual: 11
Biennial: 6</t>
  </si>
  <si>
    <t>Method of detection</t>
  </si>
  <si>
    <t>Number of screen-detected CRC; all screening rounds</t>
  </si>
  <si>
    <t>Total number of CRC diagnosed up to 13 years of follow-up (including CRC diagnosed before randomisation)</t>
  </si>
  <si>
    <t>Absolute incidence of Dukes' A CRC (per 1,000 people randomised); 18 years of follow-up;
Annual FOBT vs control</t>
  </si>
  <si>
    <t>Mailed annual questionnaires; review of medical and hospital records to verify the diagnosis. Tissue specimen obtained and reviewed by the study pathologists to verify the diagnosis and, if colorectal cancer, to classify the Dukes' stage.</t>
  </si>
  <si>
    <t>Number of Dukes' A CRC; up to 18 years of follow-up</t>
  </si>
  <si>
    <t>Data estimated from Figure 2 using WebPlotDigitizer.</t>
  </si>
  <si>
    <t>Absolute incidence of Dukes' A CRC (per 1,000 people randomised); 18 years of follow-up;
Biennial FOBT vs control</t>
  </si>
  <si>
    <t>Absolute incidence of Dukes' B CRC (per 1,000 people randomised); 18 years of follow-up;
Annual FOBT vs control</t>
  </si>
  <si>
    <t>Number of Dukes' B CRC; up to 18 years of follow-up</t>
  </si>
  <si>
    <t>Absolute incidence of Dukes' B CRC (per 1,000 people randomised); 18 years of follow-up;
Biennial FOBT vs control</t>
  </si>
  <si>
    <t>Absolute incidence of Dukes' C CRC (per 1,000 people randomised); 18 years of follow-up;
Annual FOBT vs control</t>
  </si>
  <si>
    <t>Number of Dukes' C CRC; up to 18 years of follow-up</t>
  </si>
  <si>
    <t>Absolute incidence of Dukes' C CRC (per 1,000 people randomised); 18 years of follow-up;
Biennial FOBT vs control</t>
  </si>
  <si>
    <t>Absolute incidence of Dukes' D CRC (per 1,000 people randomised); 18 years of follow-up;
Annual FOBT vs control</t>
  </si>
  <si>
    <t>Number of Dukes' D CRC; up to 18 years of follow-up</t>
  </si>
  <si>
    <t>Figure 2 and text: The annual and biennial screening groups, respectively, had 47% and 32% fewer Dukes’ stage D cancers than the control group</t>
  </si>
  <si>
    <t>Absolute incidence of Dukes' D CRC (per 1,000 people randomised); 18 years of follow-up;
Biennial FOBT vs control</t>
  </si>
  <si>
    <t>NLST 2011</t>
  </si>
  <si>
    <t>Lung cancer mortality (per 100,000 PY); follow-up until 15/01/2009;
LDCT vs CXR</t>
  </si>
  <si>
    <t>Semiannual (ACRIN) or annual (LSS) questionnaires or National Death Index (NDI) searches. Endpoint verification team blinded to study arm determined whether the cause of death was lung cancer from death certificates.</t>
  </si>
  <si>
    <t>Median 5.5 years
(IQR 5.2-5.9)</t>
  </si>
  <si>
    <t>Number of lung cancer deaths (=death caused by
lung cancer and a death that resulted from the
diagnostic evaluation for or treatment of lung cancer); follow-up until 15/01/2009</t>
  </si>
  <si>
    <t>Person-years (up to 15/01/2009)</t>
  </si>
  <si>
    <t>Text: After the accrual of 144,103 person-years in the low-dose CT group and 143,368 person-years in the radiography group, 356 and 443 deaths from lung cancer in the two groups, respectively, had occurred, corresponding to rates of death from lung cancer of 247 and 309 deaths per 100,000
person-years, respectively, and a relative reduction in the rate of death from lung cancer with low-dose CT screening of 20.0% (95% CI, 6.8 to 26.7; P = 0.004).</t>
  </si>
  <si>
    <t>The earlier censoring date for death from lung cancer was established to allow adequate time for the review process for deaths to be performed to the same, thorough extent in each group.</t>
  </si>
  <si>
    <t>Lung cancer mortality (per 100 people); follow-up until 15/01/2009;
LDCT vs CXR</t>
  </si>
  <si>
    <t>Text: After the accrual of 144,103 person-years in the low-dose CT group and 143,368 person-years in the radiography group, 356 and 443 deaths from lung cancer in the two groups, respectively, had occurred, …</t>
  </si>
  <si>
    <t>All-cause mortality (per 100,000 PY); follow-up until 31/12/2009;
LDCT vs CXR</t>
  </si>
  <si>
    <t>Semiannual (ACRIN) or annual (LSS) questionnaires or National Death Index (NDI) searches.</t>
  </si>
  <si>
    <t>Median 6.5 years (maximum 7.4 years)</t>
  </si>
  <si>
    <t>Vital status not known</t>
  </si>
  <si>
    <t>Number of deaths from all causes; follow of until 31/12/2009</t>
  </si>
  <si>
    <t>Person-years (up to 31/12/2009)</t>
  </si>
  <si>
    <t>Text: There were 1877 deaths in the low-dose CT group,
as compared with 2000 deaths in the radiography
group, representing a significant reduction with
low-dose CT screening of 6.7% (95% CI, 1.2 to
13.6) in the rate of death from any cause (P = 0.02).</t>
  </si>
  <si>
    <t>All-cause mortality (per 100 people randomised); follow-up until 31/12/2009;
LDCT vs CXR</t>
  </si>
  <si>
    <t>Pinsky 2013</t>
  </si>
  <si>
    <t>Lung cancer mortality (per 100,000 PY); follow-up until 31/12/2009;
LDCT vs CXR</t>
  </si>
  <si>
    <t>Annual questionnaires or National Death Index (NDI) searches. Endpoint verification team blinded to study arm determined whether the cause of death was lung cancer from death certificates.</t>
  </si>
  <si>
    <t>Median 6.5 years (IQR 6.1-6.9)</t>
  </si>
  <si>
    <t>Number of lung cancer deaths; follow-up until 31/12/2009</t>
  </si>
  <si>
    <t>Table 2 and text: Our updated analysis (using the later cutoff date of December 31, 2009) continued to demonstrate an overall reduction in lung cancer mortality (RR, 0.84; 95% CI, 0.75-0.95).</t>
  </si>
  <si>
    <t>Lung cancer mortality (per 100 people randomised); follow-up until 31/12/2009;
LDCT vs CXR</t>
  </si>
  <si>
    <t>Censoring of data (31/12/2009)</t>
  </si>
  <si>
    <t>Number of deaths from all causes; follow-up until 31/12/2009</t>
  </si>
  <si>
    <t>NLST 2019</t>
  </si>
  <si>
    <t>Lung cancer mortality (per 1,000 people); follow-up until 31/12/2015 (32 centres) or 31/12/2009 (1 centre);
LDCT vs CXR</t>
  </si>
  <si>
    <t>Active follow-up through annual or semiannual questionnaires or National Death Index (NDI) linkage up to 31/12/2009 with death panel classification of cause of death.
Afterwards passive follow-up through NDI linkage with underlying cause of death
from the NDI.</t>
  </si>
  <si>
    <t>End of mortality follow-up or death, whichever came first.</t>
  </si>
  <si>
    <t>Median 12.3 years (IQR 11.9-12.8)</t>
  </si>
  <si>
    <t>Number of lung cancer deaths; follow-up until 31/12/2015 (32 centres) or 31/12/2009 (1 centre)</t>
  </si>
  <si>
    <t>Table 3 and text: There were 1147 deaths (42.9 per 1000 subjects) due to lung cancer in the LDCT arm versus 1236 (46.2
per 1000) in the CXR arm. ... The RR for lung cancer mortality was 0.92 (95% CI: 0.85–1.00, p = 0.05).</t>
  </si>
  <si>
    <t>Lung cancer mortality (per 1,000 people); lung cancers diagnosed within 6 years of randomisation; follow-up until 31/12/2015 (32 centres) or 31/12/2009 (1 centre);
LDCT vs CXR</t>
  </si>
  <si>
    <t>Number of lung cancer deaths; lung cancers diagnosed within 6 years of randomisation; follow-up until 31/12/2015 (32 centres) or 31/12/2009 (1 centre)</t>
  </si>
  <si>
    <t>Table 3, Supplemental Table 2 and text: Therefore, for the dilution-adjusted analysis,
only those deaths with diagnosis through study year 6
were included. There were 578 such lung cancer deaths
in the LDCT arm versus 646 in the CXR arm, giving a lung cancer mortality RR of 0.89 (95% CI: 0.80–0.997, p = 0.043)</t>
  </si>
  <si>
    <t>Dilution-adjusted analysis</t>
  </si>
  <si>
    <t>Lung cancer mortality (per 1,000 people); lung cancers diagnosed within 3 years of randomisation; follow-up until 31/12/2015 (32 centres) or 31/12/2009 (1 centre);
LDCT vs CXR</t>
  </si>
  <si>
    <t>Number of lung cancer deaths; lung cancers diagnosed within 3 years of randomisation; follow-up until 31/12/2015 (32 centres) or 31/12/2009 (1 centre)</t>
  </si>
  <si>
    <t>Supplemental Table 2</t>
  </si>
  <si>
    <t>Lung cancer mortality (per 1,000 people); lung cancers diagnosed within 4 years of randomisation; follow-up until 31/12/2015 (32 centres) or 31/12/2009 (1 centre);
LDCT vs CXR</t>
  </si>
  <si>
    <t>Number of lung cancer deaths; lung cancers diagnosed within 4 years of randomisation; follow-up until 31/12/2015 (32 centres) or 31/12/2009 (1 centre)</t>
  </si>
  <si>
    <t>Lung cancer mortality (per 1,000 people); lung cancers diagnosed within 5 years of randomisation; follow-up until 31/12/2015 (32 centres) or 31/12/2009 (1 centre);
LDCT vs CXR</t>
  </si>
  <si>
    <t>Number of lung cancer deaths; lung cancers diagnosed within 5 years of randomisation; follow-up until 31/12/2015 (32 centres) or 31/12/2009 (1 centre)</t>
  </si>
  <si>
    <t>Lung cancer mortality (per 1,000 people); lung cancers diagnosed within 7 years of randomisation; follow-up until 31/12/2015 (32 centres) or 31/12/2009 (1 centre);
LDCT vs CXR</t>
  </si>
  <si>
    <t>Number of lung cancer deaths; lung cancers diagnosed within 7 years of randomisation; follow-up until 31/12/2015 (32 centres) or 31/12/2009 (1 centre)</t>
  </si>
  <si>
    <t>Lung cancer mortality (per 1,000 people); lung cancers diagnosed within 8 years of randomisation; follow-up until 31/12/2015 (32 centres) or 31/12/2009 (1 centre);
LDCT vs CXR</t>
  </si>
  <si>
    <t>Number of lung cancer deaths; lung cancers diagnosed within 8 years of randomisation; follow-up until 31/12/2015 (32 centres) or 31/12/2009 (1 centre)</t>
  </si>
  <si>
    <t>All-cause mortality (per 1,000 people); follow-up until 31/12/2015 (32 centres) or 31/12/2009 (1 centre);
LDCT vs CXR</t>
  </si>
  <si>
    <t>Number of deaths from all causes; follow-up until 31/12/2015 (32 centres) or 31/12/2009 (1 centre)</t>
  </si>
  <si>
    <t>Table 3 and text: The overall mortality RR was 0.97 (95% CI:
0.94–1.01).</t>
  </si>
  <si>
    <t>Lung cancer mortality (per 1,000 people); lung cancer deaths through study year 5.0;
LDCT vs CXR</t>
  </si>
  <si>
    <t>5.0 years</t>
  </si>
  <si>
    <t>Median 5.0 years
(IQR 5.0-5.0)</t>
  </si>
  <si>
    <t>Number of lung cancer deaths in the first 5.0 years since randomisation</t>
  </si>
  <si>
    <t>Lung cancer mortality (per 1,000 people); lung cancer deaths through study year 5.5;
LDCT vs CXR</t>
  </si>
  <si>
    <t>5.5 years</t>
  </si>
  <si>
    <t>Median 5.5 years
(IQR 5.5-5.5)</t>
  </si>
  <si>
    <t>Number of lung cancer deaths in the first 5.5 years since randomisation</t>
  </si>
  <si>
    <t>Lung cancer mortality (per 1,000 people); lung cancer deaths through study year 6.0;
LDCT vs CXR</t>
  </si>
  <si>
    <t>6.0 years</t>
  </si>
  <si>
    <t>Median 6.0 years
(IQR 6.0-6.0)</t>
  </si>
  <si>
    <t>Number of lung cancer deaths in the first 6.0 years since randomisation</t>
  </si>
  <si>
    <t>Lung cancer mortality (per 1,000 people); lung cancer deaths through study year 6.5;
LDCT vs CXR</t>
  </si>
  <si>
    <t>6.5 years</t>
  </si>
  <si>
    <t>Median 6.5 years
(IQR 6.5-6.5)</t>
  </si>
  <si>
    <t>Number of lung cancer deaths in the first 6.5 years since randomisation</t>
  </si>
  <si>
    <t>Lung cancer mortality (per 1,000 people); lung cancer deaths through study year 7.0;
LDCT vs CXR</t>
  </si>
  <si>
    <t>7.0 years</t>
  </si>
  <si>
    <t>Median 7.0 years
(IQR 7.0-7.0)</t>
  </si>
  <si>
    <t>Number of lung cancer deaths in the first 7.0 years since randomisation</t>
  </si>
  <si>
    <t>Lung cancer mortality (per 1,000 people randomised); follow-up until 15/01/2009;
LDCT vs CXR</t>
  </si>
  <si>
    <t>Number of lung cancer deaths; follow-up until 15/01/2009</t>
  </si>
  <si>
    <r>
      <t xml:space="preserve">Lung cancer mortality (per 1,000 </t>
    </r>
    <r>
      <rPr>
        <b/>
        <sz val="10"/>
        <rFont val="Calibri"/>
        <family val="2"/>
        <scheme val="minor"/>
      </rPr>
      <t>men</t>
    </r>
    <r>
      <rPr>
        <sz val="10"/>
        <rFont val="Calibri"/>
        <family val="2"/>
        <scheme val="minor"/>
      </rPr>
      <t>); follow-up until 31/12/2015 (32 centres) or 31/12/2009 (1 centre);
LDCT vs CXR</t>
    </r>
  </si>
  <si>
    <t>Number of lung cancer deaths in men; follow-up until 31/12/2015 (32 centres) or 31/12/2009 (1 centre)</t>
  </si>
  <si>
    <t>Table 4 and text: The lung cancer mortality RR was lower for
women (RR = 0.86) than for men (RR = 0.97),...</t>
  </si>
  <si>
    <r>
      <t xml:space="preserve">Lung cancer mortality (per 1,000 </t>
    </r>
    <r>
      <rPr>
        <b/>
        <sz val="10"/>
        <rFont val="Calibri"/>
        <family val="2"/>
        <scheme val="minor"/>
      </rPr>
      <t>men</t>
    </r>
    <r>
      <rPr>
        <sz val="10"/>
        <rFont val="Calibri"/>
        <family val="2"/>
        <scheme val="minor"/>
      </rPr>
      <t>); lung cancers diagnosed within 6 years of randomisation; follow-up until 31/12/2015 (32 centres) or 31/12/2009 (1 centre);
LDCT vs CXR</t>
    </r>
  </si>
  <si>
    <t>Number of lung cancer deaths in men; lung cancers diagnosed within 6 years of randomisation; follow-up until 31/12/2015 (32 centres) or 31/12/2009 (1 centre)</t>
  </si>
  <si>
    <t>Table 4 and text: A similar pattern similar to that in the overall analysis of the RR was observed, with the RR being lower in women (RR = 0.80) than in men (RR = 0.95),...</t>
  </si>
  <si>
    <r>
      <t xml:space="preserve">Lung cancer mortality (per 1,000 </t>
    </r>
    <r>
      <rPr>
        <b/>
        <sz val="10"/>
        <rFont val="Calibri"/>
        <family val="2"/>
        <scheme val="minor"/>
      </rPr>
      <t>women</t>
    </r>
    <r>
      <rPr>
        <sz val="10"/>
        <rFont val="Calibri"/>
        <family val="2"/>
        <scheme val="minor"/>
      </rPr>
      <t>); follow-up until 31/12/2015 (32 centres) or 31/12/2009 (1 centre);
LDCT vs CXR</t>
    </r>
  </si>
  <si>
    <t>Number of lung cancer deaths in women; follow-up until 31/12/2015 (32 centres) or 31/12/2009 (1 centre)</t>
  </si>
  <si>
    <t>Table 4 and text: The lung cancer mortality RR was lower for
women (RR = 0.86) than for men (RR = 0.97),…</t>
  </si>
  <si>
    <r>
      <t xml:space="preserve">Lung cancer mortality (per 1,000 </t>
    </r>
    <r>
      <rPr>
        <b/>
        <sz val="10"/>
        <rFont val="Calibri"/>
        <family val="2"/>
        <scheme val="minor"/>
      </rPr>
      <t>women</t>
    </r>
    <r>
      <rPr>
        <sz val="10"/>
        <rFont val="Calibri"/>
        <family val="2"/>
        <scheme val="minor"/>
      </rPr>
      <t>); lung cancers diagnosed within 6 years of randomisation; follow-up until 31/12/2015 (32 centres) or 31/12/2009 (1 centre);
LDCT vs CXR</t>
    </r>
  </si>
  <si>
    <t>Number of lung cancer deaths in women; lung cancers diagnosed within 6 years of randomisation; follow-up until 31/12/2015 (32 centres) or 31/12/2009 (1 centre)</t>
  </si>
  <si>
    <t>Table 4 and text: A similar pattern similar to that in the overall analysis of the RR was observed, with the RR being lower in women (RR = 0.80) than in men (RR = 0.95),…</t>
  </si>
  <si>
    <r>
      <t>Lung cancer mortality (per 1,000</t>
    </r>
    <r>
      <rPr>
        <b/>
        <sz val="10"/>
        <rFont val="Calibri"/>
        <family val="2"/>
        <scheme val="minor"/>
      </rPr>
      <t xml:space="preserve"> </t>
    </r>
    <r>
      <rPr>
        <sz val="10"/>
        <rFont val="Calibri"/>
        <family val="2"/>
        <scheme val="minor"/>
      </rPr>
      <t>people</t>
    </r>
    <r>
      <rPr>
        <b/>
        <sz val="10"/>
        <rFont val="Calibri"/>
        <family val="2"/>
        <scheme val="minor"/>
      </rPr>
      <t xml:space="preserve"> aged 55-64 years at randomisation</t>
    </r>
    <r>
      <rPr>
        <sz val="10"/>
        <rFont val="Calibri"/>
        <family val="2"/>
        <scheme val="minor"/>
      </rPr>
      <t>); follow-up until 31/12/2015 (32 centres) or 31/12/2009 (1 centre);
LDCT vs CXR</t>
    </r>
  </si>
  <si>
    <t>55-64 years at randomisation</t>
  </si>
  <si>
    <t>Number of lung cancer deaths in people aged 55-64 years at randomisation; follow-up until 31/12/2015 (32 centres) or 31/12/2009 (1 centre)</t>
  </si>
  <si>
    <t>Number of people aged 55-64 years at randomisation</t>
  </si>
  <si>
    <t>Table 4 and text: The lung cancer mortality RR was lower for  ... subjects aged 55 to 64 years at entry (RR = 0.86) than for those aged 65 to 74 years at entry (RR = 1.01).</t>
  </si>
  <si>
    <r>
      <t xml:space="preserve">Lung cancer mortality (per 1,000 people </t>
    </r>
    <r>
      <rPr>
        <b/>
        <sz val="10"/>
        <rFont val="Calibri"/>
        <family val="2"/>
        <scheme val="minor"/>
      </rPr>
      <t>aged 55-64 years at randomisation</t>
    </r>
    <r>
      <rPr>
        <sz val="10"/>
        <rFont val="Calibri"/>
        <family val="2"/>
        <scheme val="minor"/>
      </rPr>
      <t>); lung cancers diagnosed within 6 years of randomisation; follow-up until 31/12/2015 (32 centres) or 31/12/2009 (1 centre);
LDCT vs CXR</t>
    </r>
  </si>
  <si>
    <t>Number of lung cancer deaths in people aged 55-64 years at randomisation; lung cancers diagnosed within 6 years of randomisation; follow-up until 31/12/2015 (32 centres) or 31/12/2009 (1 centre)</t>
  </si>
  <si>
    <t>Table 4 and text: A pattern similar to that in the overall analysis of the RR was observed, with the RR being lower... in younger (RR = 0.85) versus older (RR = 0.94) subjects, ...</t>
  </si>
  <si>
    <r>
      <t>Lung cancer mortality (per 1,000</t>
    </r>
    <r>
      <rPr>
        <b/>
        <sz val="10"/>
        <rFont val="Calibri"/>
        <family val="2"/>
        <scheme val="minor"/>
      </rPr>
      <t xml:space="preserve"> </t>
    </r>
    <r>
      <rPr>
        <sz val="10"/>
        <rFont val="Calibri"/>
        <family val="2"/>
        <scheme val="minor"/>
      </rPr>
      <t>people</t>
    </r>
    <r>
      <rPr>
        <b/>
        <sz val="10"/>
        <rFont val="Calibri"/>
        <family val="2"/>
        <scheme val="minor"/>
      </rPr>
      <t xml:space="preserve"> aged 65-74 years at randomisation</t>
    </r>
    <r>
      <rPr>
        <sz val="10"/>
        <rFont val="Calibri"/>
        <family val="2"/>
        <scheme val="minor"/>
      </rPr>
      <t>); follow-up until 31/12/2015 (32 centres) or 31/12/2009 (1 centre);
LDCT vs CXR</t>
    </r>
  </si>
  <si>
    <t>65-74 years at randomisation</t>
  </si>
  <si>
    <t>Number of lung cancer deaths in people aged 65-74 years at randomisation; follow-up until 31/12/2015 (32 centres) or 31/12/2009 (1 centre)</t>
  </si>
  <si>
    <t>Number of people aged 65-74 years at randomisation</t>
  </si>
  <si>
    <r>
      <t xml:space="preserve">Lung cancer mortality (per 1,000 people </t>
    </r>
    <r>
      <rPr>
        <b/>
        <sz val="10"/>
        <rFont val="Calibri"/>
        <family val="2"/>
        <scheme val="minor"/>
      </rPr>
      <t>aged 65-74 years at randomisation</t>
    </r>
    <r>
      <rPr>
        <sz val="10"/>
        <rFont val="Calibri"/>
        <family val="2"/>
        <scheme val="minor"/>
      </rPr>
      <t>); lung cancers diagnosed within 6 years of randomisation; follow-up until 31/12/2015 (32 centres) or 31/12/2009 (1 centre);
LDCT vs CXR</t>
    </r>
  </si>
  <si>
    <t>Number of lung cancer deaths in people aged 65-74 years at randomisation; lung cancers diagnosed within 6 years of randomisation; follow-up until 31/12/2015 (32 centres) or 31/12/2009 (1 centre)</t>
  </si>
  <si>
    <t>Table 4 and text: A pattern similar to that in the overall analysis of the RR was observed, with the RR being lower... in younger (RR = 0.85) versus older (RR = 0.94) subjects, …</t>
  </si>
  <si>
    <t>Diagnostic yield at screening (T0, T1 and T2); per 100 people randomised
LDCT vs CXR</t>
  </si>
  <si>
    <t>Semiannual (ACRIN) or annual (LSS) questionnaires for interim cancer diagnoses. For people with positive screening test or lung cancer diagnosis: medical records, pathology and tumor-staging reports abstracted by certified medical-record abstractors.</t>
  </si>
  <si>
    <t>Date of diagnosis of lung cancer, death, or censoring of data (31/12/2009)</t>
  </si>
  <si>
    <t>Number of screen-detected lung cancers at T0, T1 and T2</t>
  </si>
  <si>
    <t>Table 3, Table 5 and text: In the low-dose CT group, 649 cancers were diagnosed after a positive screening test...In the radiography group, 279 cancers were diagnosed after a positive screening test,...</t>
  </si>
  <si>
    <t>% of lung cancers that are screen-detected (T0, T1 and T2); follow-up until 31/12/2009
LDCT vs CXR</t>
  </si>
  <si>
    <t>Total number of lung cancers detected up to 31/12/2009</t>
  </si>
  <si>
    <t>Table 3, Table 5 and text: A total of 1060 lung cancers (645 per 100,000 person-years) were diagnosed in the low-dose CT
group, as compared with 941 (572 per 100,000 person-years) in the radiography group (rate ratio, 1.13; 95% confidence interval [CI], 1.03 to 1.23). In the low-dose CT group, 649 cancers were
diagnosed after a positive screening test...In the radiography group, 279 cancers were diagnosed after a positive screening test,...</t>
  </si>
  <si>
    <t>Absolute incidence of stage IA lung cancers (per 100 people randomised); follow-up until 31/12/2009;
LDCT vs CXR</t>
  </si>
  <si>
    <t>Number of stage IA lung cancers; follow-up until 31/12/2009</t>
  </si>
  <si>
    <t>Absolute incidence of stage IB lung cancers (per 100 people randomised); follow-up until 31/12/2009;
LDCT vs CXR</t>
  </si>
  <si>
    <t>Number of stage IB lung cancers; follow-up until 31/12/2009</t>
  </si>
  <si>
    <t>Absolute incidence of stage I lung cancers (per 100 people randomised); follow-up until 31/12/2009;
LDCT vs CXR</t>
  </si>
  <si>
    <t>Number of stage I (IA + IB) lung cancers; follow-up until 31/12/2009</t>
  </si>
  <si>
    <t>Absolute incidence of stage IIA lung cancers (per 100 people randomised); follow-up until 31/12/2009;
LDCT vs CXR</t>
  </si>
  <si>
    <t>Number of stage IIA lung cancers; follow-up until 31/12/2009</t>
  </si>
  <si>
    <t>Absolute incidence of stage IIB lung cancers (per 100 people randomised); follow-up until 31/12/2009;
LDCT vs CXR</t>
  </si>
  <si>
    <t>Number of stage IIB lung cancers; follow-up until 31/12/2009</t>
  </si>
  <si>
    <t>Absolute incidence of stage II lung cancers (per 100 people randomised); follow-up until 31/12/2009;
LDCT vs CXR</t>
  </si>
  <si>
    <t>Semiannual (ACRIN) or annual (LSS) questionnaires for interim cancer diagnoses. For people with positive screening test or lung cancer diagnosis: medical records, pathology and tumor-staging reports abstracted by ceritifed medical-record abstractors.</t>
  </si>
  <si>
    <t>Number of stage II (IIA + IIB) lung cancers; follow-up until 31/12/2009</t>
  </si>
  <si>
    <t>Absolute incidence of stage IIIA lung cancers (per 100 people randomised); follow-up until 31/12/2009;
LDCT vs CXR</t>
  </si>
  <si>
    <t>Number of stage IIIA lung cancers; follow-up until 31/12/2009</t>
  </si>
  <si>
    <t>Absolute incidence of stage IIIB lung cancers (per 100 people randomised); follow-up until 31/12/2009;
LDCT vs CXR</t>
  </si>
  <si>
    <t>Number of stage IIIB lung cancers; follow-up until 31/12/2009</t>
  </si>
  <si>
    <t>Absolute incidence of stage III lung cancers (per 100 people randomised); follow-up until 31/12/2009;
LDCT vs CXR</t>
  </si>
  <si>
    <t>Number of stage III (IIIA + IIIB) lung cancers; follow-up until 31/12/2009</t>
  </si>
  <si>
    <t>Absolute incidence of stage IV lung cancers (per 100 people randomised); follow-up until 31/12/2009;
LDCT vs CXR</t>
  </si>
  <si>
    <t>Number of stage IV lung cancers; follow-up until 31/12/2009</t>
  </si>
  <si>
    <t>Absolute incidence of stage IA lung cancers (per 100 people randomised); T0 screening round;
LDCT vs CXR</t>
  </si>
  <si>
    <t>1-year since T0 or before T1</t>
  </si>
  <si>
    <t>Number of stage IA lung cancers; detected at T0 screening round (screen+, screen-, unscreened)</t>
  </si>
  <si>
    <t>Absolute incidence of stage IB lung cancers (per 100 people randomised); at T0 screening round;
LDCT vs CXR</t>
  </si>
  <si>
    <t>Number of stage IB lung cancers; detected at T0 screening round (screen+, screen-, unscreened)</t>
  </si>
  <si>
    <t>Absolute incidence of stage I lung cancers (per 100 people randomised); at T0 screening round;
LDCT vs CXR</t>
  </si>
  <si>
    <t>Number of stage I (IA + IB) lung cancers; detected at T0 screening round (screen+, screen-, unscreened)</t>
  </si>
  <si>
    <t>Absolute incidence of stage IIA lung cancers (per 100 people randomised); at T0 screening round;
LDCT vs CXR</t>
  </si>
  <si>
    <t>Number of stage IIA lung cancers; detected at T0 screening round (screen+, screen-, unscreened)</t>
  </si>
  <si>
    <t>Absolute incidence of stage IIB lung cancers (per 100 people randomised); at T0 screening round;
LDCT vs CXR</t>
  </si>
  <si>
    <t>Number of stage IIB lung cancers; detected at T0 screening round (screen+, screen-, unscreened)</t>
  </si>
  <si>
    <t>Absolute incidence of stage II lung cancers (per 100 people randomised); follow-up at T0 screening round;
LDCT vs CXR</t>
  </si>
  <si>
    <t>Number of stage II (IIA + IIB) lung cancers; detected at T0 screening round (screen+, screen-, unscreened)</t>
  </si>
  <si>
    <t>Absolute incidence of stage IIIA lung cancers (per 100 people randomised); at T0 screening round;
LDCT vs CXR</t>
  </si>
  <si>
    <t>Number of stage IIIA lung cancers; detected at T0 screening round (screen+, screen-, unscreened)</t>
  </si>
  <si>
    <t>Number of stage IIIB lung cancers; detected at T0 screening round (screen+, screen-, unscreened)</t>
  </si>
  <si>
    <t>Absolute incidence of stage III lung cancers (per 100 people randomised); at T0 screening round;
LDCT vs CXR</t>
  </si>
  <si>
    <t>Number of stage III (IIIA + IIIB) lung cancers; detected at T0 screening round (screen+, screen-, unscreened)</t>
  </si>
  <si>
    <t>Absolute incidence of stage IV lung cancers (per 100 people randomised); at T0 screening round;
LDCT vs CXR</t>
  </si>
  <si>
    <t>Number of stage IV lung cancers; detected at T0 screening round (screen+, screen-, unscreened)</t>
  </si>
  <si>
    <t>Absolute incidence of stage IA lung cancers (per 100 people randomised); T1 screening round;
LDCT vs CXR</t>
  </si>
  <si>
    <t>1-year since T1 or before T2</t>
  </si>
  <si>
    <t>Number of stage IA lung cancers; detected at T1 screening round (screen+, screen-, unscreened)</t>
  </si>
  <si>
    <t>Absolute incidence of stage IB lung cancers (per 100 people randomised); at T1 screening round;
LDCT vs CXR</t>
  </si>
  <si>
    <t>Number of stage IB lung cancers; detected at T1 screening round (screen+, screen-, unscreened)</t>
  </si>
  <si>
    <t>Absolute incidence of stage I lung cancers (per 100 people randomised); at T1 round;
LDCT vs CXR</t>
  </si>
  <si>
    <t>Number of stage I (IA + IB) lung cancers; detected at T1 screening round (screen+, screen-, unscreened)</t>
  </si>
  <si>
    <t>Absolute incidence of stage IIA lung cancers (per 100 people randomised); at T1 screening round;
LDCT vs CXR</t>
  </si>
  <si>
    <t>Number of stage IIA lung cancers; detected at T1 screening round (screen+, screen-, unscreened)</t>
  </si>
  <si>
    <t>Absolute incidence of stage IIB lung cancers (per 100 people randomised); at T1 screening round;
LDCT vs CXR</t>
  </si>
  <si>
    <t>Number of stage IIB lung cancers; detected at T1 screening round (screen+, screen-, unscreened)</t>
  </si>
  <si>
    <t>Absolute incidence of stage II lung cancers (per 100 people randomised); follow-up at T1 screening round;
LDCT vs CXR</t>
  </si>
  <si>
    <t>Number of stage II (IIA + IIB) lung cancers; detected at T1 screening round (screen+, screen-, unscreened)</t>
  </si>
  <si>
    <t>Absolute incidence of stage IIIA lung cancers (per 100 people randomised); at T1 screening round;
LDCT vs CXR</t>
  </si>
  <si>
    <t>Number of stage IIIA lung cancers; detected at T1 screening round (screen+, screen-, unscreened)</t>
  </si>
  <si>
    <t>Number of stage IIIB lung cancers; detected at T1 screening round (screen+, screen-, unscreened)</t>
  </si>
  <si>
    <t>Absolute incidence of stage III lung cancers (per 100 people randomised); at T1 screening round;
LDCT vs CXR</t>
  </si>
  <si>
    <t>Number of stage III (IIIA + IIIB) lung cancers; detected at T1 screening round (screen+, screen-, unscreened)</t>
  </si>
  <si>
    <t>Absolute incidence of stage IV lung cancers (per 100 people randomised); at T1 screening round;
LDCT vs CXR</t>
  </si>
  <si>
    <t>Number of stage IV lung cancers; detected at T1 screening round (screen+, screen-, unscreened)</t>
  </si>
  <si>
    <t>Absolute incidence of stage IA lung cancers (per 100 people randomised); T2 screening round;
LDCT vs CXR</t>
  </si>
  <si>
    <t>1-year since T2</t>
  </si>
  <si>
    <t>Number of stage IA lung cancers; detected at T2 screening round (screen+, screen-, unscreened)</t>
  </si>
  <si>
    <t>Absolute incidence of stage IB lung cancers (per 100 people randomised); at T2 screening round;
LDCT vs CXR</t>
  </si>
  <si>
    <t>Number of stage IB lung cancers; detected at T2 screening round (screen+, screen-, unscreened)</t>
  </si>
  <si>
    <t>Absolute incidence of stage I lung cancers (per 100 people randomised); at T2 round;
LDCT vs CXR</t>
  </si>
  <si>
    <t>Number of stage I (IA + IB) lung cancers; detected at T2 screening round (screen+, screen-, unscreened)</t>
  </si>
  <si>
    <t>Absolute incidence of stage IIA lung cancers (per 100 people randomised); at T2 screening round;
LDCT vs CXR</t>
  </si>
  <si>
    <t>Number of stage IIA lung cancers; detected at T2 screening round (screen+, screen-, unscreened)</t>
  </si>
  <si>
    <t>Absolute incidence of stage IIB lung cancers (per 100 people randomised); at T2 screening round;
LDCT vs CXR</t>
  </si>
  <si>
    <t>Number of stage IIB lung cancers; detected at T2 screening round (screen+, screen-, unscreened)</t>
  </si>
  <si>
    <t>Absolute incidence of stage II lung cancers (per 100 people randomised); follow-up at T2 screening round;
LDCT vs CXR</t>
  </si>
  <si>
    <t>Number of stage II (IIA + IIB) lung cancers; detected at T2 screening round (screen+, screen-, unscreened)</t>
  </si>
  <si>
    <t>Absolute incidence of stage IIIA lung cancers (per 100 people randomised); at T2 screening round;
LDCT vs CXR</t>
  </si>
  <si>
    <t>Number of stage IIIA lung cancers; detected at T2 screening round (screen+, screen-, unscreened)</t>
  </si>
  <si>
    <t>Number of stage IIIB lung cancers; detected at T2 screening round (screen+, screen-, unscreened)</t>
  </si>
  <si>
    <t>Absolute incidence of stage III lung cancers (per 100 people randomised); at T2 screening round;
LDCT vs CXR</t>
  </si>
  <si>
    <t>Number of stage III (IIIA + IIIB) lung cancers; detected at T2 screening round (screen+, screen-, unscreened)</t>
  </si>
  <si>
    <t>Absolute incidence of stage IV lung cancers (per 100 people randomised); at T2 screening round;
LDCT vs CXR</t>
  </si>
  <si>
    <t>Number of stage IV lung cancers; detected at T2 screening round (screen+, screen-, unscreened)</t>
  </si>
  <si>
    <t>Absolute incidence of stage I lung cancers (per 1,000 people randomised); follow-up until 31/12/2014 (22 centres) or 31/12/2009 (11 centres);
LDCT vs CXR</t>
  </si>
  <si>
    <t>Active follow-up through annual or semiannual questionnaires up to 31/12/2009. Medical records abstracted for those with a positive screening test result or lung cancer diagnosis.
Afterwards passive follow-up through linkage with state cancer registries.</t>
  </si>
  <si>
    <t>End of incidence follow-up, date of lung cancer diagnosis, or date of death, whichever came first.</t>
  </si>
  <si>
    <t>Median 11.3 years (IQR 9.0-11.8)</t>
  </si>
  <si>
    <t>Median 11.3 years 
(IQR 8.9-11.8)</t>
  </si>
  <si>
    <t>Number of stage I lung cancers (AJCC 2010); detected until 31/12/2014 (22 centres) or 31/12/2009 (11 centres)</t>
  </si>
  <si>
    <t>Includes 4 cases (2 in each arm) without distinction between Stage IA and IB.</t>
  </si>
  <si>
    <t>Absolute incidence of stage IA lung cancers (per 1,000 people randomised); follow-up until 31/12/2014 (22 centres) or 31/12/2009 (11 centres);
LDCT vs CXR</t>
  </si>
  <si>
    <t>Number of stage IA lung cancers (AJCC 2010); detected until 31/12/2014 (22 centres) or 31/12/2009 (11 centres)</t>
  </si>
  <si>
    <t>2 cases in each arm without distinction between Stage IA and IB.</t>
  </si>
  <si>
    <t>Absolute incidence of stage IB lung cancers (per 1,000 people randomised); follow-up until 31/12/2014 (22 centres) or 31/12/2009 (11 centres);
LDCT vs CXR</t>
  </si>
  <si>
    <t>Number of stage IB lung cancers (AJCC 2010); detected until 31/12/2014 (22 centres) or 31/12/2009 (11 centres)</t>
  </si>
  <si>
    <t>Absolute incidence of stage II lung cancers (per 1,000 people randomised); follow-up until 31/12/2014 (22 centres) or 31/12/2009 (11 centres);
LDCT vs CXR</t>
  </si>
  <si>
    <t>Number of stage II lung cancers (AJCC 2010); detected until 31/12/2014 (22 centres) or 31/12/2009 (11 centres)</t>
  </si>
  <si>
    <t xml:space="preserve">Includes 18 cases (11 in LDCT and 7 in CXR) without distinction between Stage IIA and IIB. </t>
  </si>
  <si>
    <t>Absolute incidence of stage IIA lung cancers (per 1,000 people randomised); follow-up until 31/12/2014 (22 centres) or 31/12/2009 (11 centres);
LDCT vs CXR</t>
  </si>
  <si>
    <t>Number of stage IIA lung cancers (AJCC 2010); detected until 31/12/2014 (22 centres) or 31/12/2009 (11 centres)</t>
  </si>
  <si>
    <t>11 cases in LDCT and 7 cases in CXR without distinction between Stage IIA and IIB.</t>
  </si>
  <si>
    <t>Absolute incidence of stage IIB lung cancers (per 1,000 people randomised); follow-up until 31/12/2014 (22 centres) or 31/12/2009 (11 centres);
LDCT vs CXR</t>
  </si>
  <si>
    <t>Number of stage IIB lung cancers (AJCC 2010); detected until 31/12/2014 (22 centres) or 31/12/2009 (11 centres)</t>
  </si>
  <si>
    <t>Absolute incidence of stage III lung cancers (per 1,000 people randomised); follow-up until 31/12/2014 (22 centres) or 31/12/2009 (11 centres);
LDCT vs CXR</t>
  </si>
  <si>
    <t>Number of stage III lung cancers (AJCC 2010); detected until 31/12/2014 (22 centres) or 31/12/2009 (11 centres)</t>
  </si>
  <si>
    <t xml:space="preserve">Includes 121 cases (10 in LDCT and 11 in CXR) without distinction between Stage IIIA and IIIB. </t>
  </si>
  <si>
    <t>Absolute incidence of stage IIIA lung cancers (per 1,000 people randomised); follow-up until 31/12/2014 (22 centres) or 31/12/2009 (11 centres);
LDCT vs CXR</t>
  </si>
  <si>
    <t>Number of stage IIIA lung cancers (AJCC 2010); detected until 31/12/2014 (22 centres) or 31/12/2009 (11 centres)</t>
  </si>
  <si>
    <t>10 cases in LDCT and 11 cases in CXR without distinction between Stage IIIA and IIIB.</t>
  </si>
  <si>
    <t>Absolute incidence of stage IIIB lung cancers (per 1,000 people randomised); follow-up until 31/12/2014 (22 centres) or 31/12/2009 (11 centres);
LDCT vs CXR</t>
  </si>
  <si>
    <t>Number of stage IIIB lung cancers (AJCC 2010); detected until 31/12/2014 (22 centres) or 31/12/2009 (11 centres)</t>
  </si>
  <si>
    <t>10 cases in LDCT and 11 cases in CXR without distinction between Stage IIA and IIB.</t>
  </si>
  <si>
    <t>Absolute incidence of stage IV lung cancers (per 1,000 people randomised); follow-up until 31/12/2014 (22 centres) or 31/12/2009 (11 centres);
LDCT vs CXR</t>
  </si>
  <si>
    <t>Number of stage IV lung cancers (AJCC 2010); detected until 31/12/2014 (22 centres) or 31/12/2009 (11 centres)</t>
  </si>
  <si>
    <t>Table 3, Table 4 and text: There were 468 stage IV cases in the LDCT arm versus 597 in the CXR arm, giving a RR of 0.79 (95% CI: 0.70–0.89)</t>
  </si>
  <si>
    <t>Absolute incidence of stage IV lung cancers (per 1,000 people randomised) diagnosed within 6 years since randomisation;
LDCT vs CXR</t>
  </si>
  <si>
    <t>Number of stage IV lung cancers (AJCC 2010); diagnosed within 6 years since randomisation</t>
  </si>
  <si>
    <t>Table 4 and text: Considering the same study period as in the dilution-adjusted analysis (through study year 6), there were 245 (LDCT) versus 344 (CXR) cases (RR = 0.72, 95% CI:0.61–0.84).</t>
  </si>
  <si>
    <r>
      <t>Absolute incidence of stage IV lung cancers (per 1,000</t>
    </r>
    <r>
      <rPr>
        <b/>
        <sz val="10"/>
        <color theme="1"/>
        <rFont val="Calibri"/>
        <family val="2"/>
        <scheme val="minor"/>
      </rPr>
      <t xml:space="preserve"> men</t>
    </r>
    <r>
      <rPr>
        <sz val="10"/>
        <color theme="1"/>
        <rFont val="Calibri"/>
        <family val="2"/>
        <scheme val="minor"/>
      </rPr>
      <t xml:space="preserve"> randomised); follow-up until 31/12/2014 (22 centres) or 31/12/2009 (11 centres);
LDCT vs CXR</t>
    </r>
  </si>
  <si>
    <t>Number of stage IV lung cancers (AJCC 2010) in men; detected until 31/12/2014 (22 centres) or 31/12/2009 (11 centres)</t>
  </si>
  <si>
    <r>
      <t xml:space="preserve">Absolute incidence of stage IV lung cancers (per 1,000 </t>
    </r>
    <r>
      <rPr>
        <b/>
        <sz val="10"/>
        <color theme="1"/>
        <rFont val="Calibri"/>
        <family val="2"/>
        <scheme val="minor"/>
      </rPr>
      <t>men</t>
    </r>
    <r>
      <rPr>
        <sz val="10"/>
        <color theme="1"/>
        <rFont val="Calibri"/>
        <family val="2"/>
        <scheme val="minor"/>
      </rPr>
      <t xml:space="preserve"> randomised) diagnosed within 6 years since randomisation;
LDCT vs CXR</t>
    </r>
  </si>
  <si>
    <t>Number of stage IV lung cancers (AJCC 2010) in men; diagnosed within 6 years since randomisation</t>
  </si>
  <si>
    <r>
      <t>Absolute incidence of stage IV lung cancers (per 1,000</t>
    </r>
    <r>
      <rPr>
        <b/>
        <sz val="10"/>
        <color theme="1"/>
        <rFont val="Calibri"/>
        <family val="2"/>
        <scheme val="minor"/>
      </rPr>
      <t xml:space="preserve"> women</t>
    </r>
    <r>
      <rPr>
        <sz val="10"/>
        <color theme="1"/>
        <rFont val="Calibri"/>
        <family val="2"/>
        <scheme val="minor"/>
      </rPr>
      <t xml:space="preserve"> randomised); follow-up until 31/12/2014 (22 centres) or 31/12/2009 (11 centres);
LDCT vs CXR</t>
    </r>
  </si>
  <si>
    <t>Number of stage IV lung cancers (AJCC 2010) in women; detected until 31/12/2014 (22 centres) or 31/12/2009 (11 centres)</t>
  </si>
  <si>
    <r>
      <t xml:space="preserve">Absolute incidence of stage IV lung cancers (per 1,000 </t>
    </r>
    <r>
      <rPr>
        <b/>
        <sz val="10"/>
        <color theme="1"/>
        <rFont val="Calibri"/>
        <family val="2"/>
        <scheme val="minor"/>
      </rPr>
      <t>women</t>
    </r>
    <r>
      <rPr>
        <sz val="10"/>
        <color theme="1"/>
        <rFont val="Calibri"/>
        <family val="2"/>
        <scheme val="minor"/>
      </rPr>
      <t xml:space="preserve"> randomised) diagnosed within 6 years since randomisation;
LDCT vs CXR</t>
    </r>
  </si>
  <si>
    <t>Number of stage IV lung cancers (AJCC 2010) in women; diagnosed within 6 years since randomisation</t>
  </si>
  <si>
    <r>
      <t>Absolute incidence of stage IV lung cancers (per 1,000 people</t>
    </r>
    <r>
      <rPr>
        <b/>
        <sz val="10"/>
        <color theme="1"/>
        <rFont val="Calibri"/>
        <family val="2"/>
        <scheme val="minor"/>
      </rPr>
      <t xml:space="preserve"> aged 55-64 years at randomisation</t>
    </r>
    <r>
      <rPr>
        <sz val="10"/>
        <color theme="1"/>
        <rFont val="Calibri"/>
        <family val="2"/>
        <scheme val="minor"/>
      </rPr>
      <t>); follow-up until 31/12/2014 (22 centres) or 31/12/2009 (11 centres);
LDCT vs CXR</t>
    </r>
  </si>
  <si>
    <t>Number of stage IV lung cancers (AJCC 2010) in people aged 55-64 years at randomisation; detected until 31/12/2014 (22 centres) or 31/12/2009 (11 centres)</t>
  </si>
  <si>
    <r>
      <t>Absolute incidence of stage IV lung cancers (per 1,000 people</t>
    </r>
    <r>
      <rPr>
        <b/>
        <sz val="10"/>
        <color theme="1"/>
        <rFont val="Calibri"/>
        <family val="2"/>
        <scheme val="minor"/>
      </rPr>
      <t xml:space="preserve"> aged 55-64 years at randomisation</t>
    </r>
    <r>
      <rPr>
        <sz val="10"/>
        <color theme="1"/>
        <rFont val="Calibri"/>
        <family val="2"/>
        <scheme val="minor"/>
      </rPr>
      <t xml:space="preserve"> randomised) diagnosed within 6 years since randomisation;
LDCT vs CXR</t>
    </r>
  </si>
  <si>
    <t>Number of stage IV lung cancers (AJCC 2010) in people aged 55-64 years at randomisation; diagnosed within 6 years since randomisation</t>
  </si>
  <si>
    <r>
      <t>Absolute incidence of stage IV lung cancers (per 1,000 people</t>
    </r>
    <r>
      <rPr>
        <b/>
        <sz val="10"/>
        <color theme="1"/>
        <rFont val="Calibri"/>
        <family val="2"/>
        <scheme val="minor"/>
      </rPr>
      <t xml:space="preserve"> aged 65-74 years at randomisation</t>
    </r>
    <r>
      <rPr>
        <sz val="10"/>
        <color theme="1"/>
        <rFont val="Calibri"/>
        <family val="2"/>
        <scheme val="minor"/>
      </rPr>
      <t>); follow-up until 31/12/2014 (22 centres) or 31/12/2009 (11 centres);
LDCT vs CXR</t>
    </r>
  </si>
  <si>
    <t>Number of stage IV lung cancers (AJCC 2010) in people aged 65-74 years at randomisation; detected until 31/12/2014 (22 centres) or 31/12/2009 (11 centres)</t>
  </si>
  <si>
    <r>
      <t>Absolute incidence of stage IV lung cancers (per 1,000 people</t>
    </r>
    <r>
      <rPr>
        <b/>
        <sz val="10"/>
        <color theme="1"/>
        <rFont val="Calibri"/>
        <family val="2"/>
        <scheme val="minor"/>
      </rPr>
      <t xml:space="preserve"> aged 65-74 years at randomisation</t>
    </r>
    <r>
      <rPr>
        <sz val="10"/>
        <color theme="1"/>
        <rFont val="Calibri"/>
        <family val="2"/>
        <scheme val="minor"/>
      </rPr>
      <t xml:space="preserve"> randomised) diagnosed within 6 years since randomisation;
LDCT vs CXR</t>
    </r>
  </si>
  <si>
    <t>Number of stage IV lung cancers (AJCC 2010) in people aged 65-74 years at randomisation; diagnosed within 6 years since randomisation</t>
  </si>
  <si>
    <t>Hoff 2009</t>
  </si>
  <si>
    <t>Flexible sigmoidoscopy (+/- FOBT)</t>
  </si>
  <si>
    <t>Norwegian cause of death registry (virtually 100% complete); blinded assessment of cause of death.</t>
  </si>
  <si>
    <t>55 - 64 years</t>
  </si>
  <si>
    <t>Minimum 5 years</t>
  </si>
  <si>
    <t>Median 6 years (range 5-7)</t>
  </si>
  <si>
    <t>Virtually complete</t>
  </si>
  <si>
    <t>Number of CRC deaths; follow-up until 31/12/2005</t>
  </si>
  <si>
    <t>Text: A total of 24 of 13 653 people in the screening group
and 99 of 41 092 in the control group died from colorectal
cancer during follow-up.</t>
  </si>
  <si>
    <t>As the cause of death registry has a one year delay compared with the cancer registry, end of follow-up for cause specific death in this paper is 31 December 2005.
Censoring owing to emigration occurred for 1196 people</t>
  </si>
  <si>
    <t>Person-years; up to 31/12/2005</t>
  </si>
  <si>
    <t>Text: A total of 24 of 13 653 people in the screening group
and 99 of 41 092 in the control group died from colorectal
cancer during follow-up. In the screening group
as a whole (intention to screen), total mortality was
reduced by 27% (hazard ratio 0.73, 95% confidence
interval 0.47 to 1.13, P=0.16) for colorectal cancer...</t>
  </si>
  <si>
    <t>Number of deaths from rectosigmoidal cancer; follow-up until 31/12/2005</t>
  </si>
  <si>
    <t>Text: In the screening group as a whole (intention to screen), total mortality was reduced … by 37% (0.63, 0.34 to 1.18, P=0.15) for rectosigmoidal cancer compared with the control group.</t>
  </si>
  <si>
    <t>All-cause mortality - hazard ratio; follow-up until 31/12/2005;
FS +/- FOBT vs no screening</t>
  </si>
  <si>
    <t>Number of deaths from all causes; follow-up until 31/12/2005</t>
  </si>
  <si>
    <t>Text: All cause mortality was similar in the screening
group and the control group (hazard ratio 1.02, 0.98 to
1.07, P=0.28).</t>
  </si>
  <si>
    <t>Holme 2014</t>
  </si>
  <si>
    <t>Norwegian cause of death registry (virtually 100% complete); no death review committee or expert coder to perform an additional
review of death certificates.</t>
  </si>
  <si>
    <t>Death, emigration, or December 31, 2011</t>
  </si>
  <si>
    <t>222,677 PY;
mean 10.8 years</t>
  </si>
  <si>
    <t>832,003 PY;
mean 10.6 years</t>
  </si>
  <si>
    <t>Number of CRC deaths; follow-up until 31/12/2011</t>
  </si>
  <si>
    <t>Person-years; up to 31/12/2011</t>
  </si>
  <si>
    <t>Age-adjusted; accounting or higher age in the screening group</t>
  </si>
  <si>
    <t>Table 3 and text: The age-standardized colorectal cancer mortality rate (per 100 000 person-years) was 31.4 in the screening group and 43.1 in the control group, … and the HR was 0.73 (95% CI, 0.56-0.94).</t>
  </si>
  <si>
    <t>Norwegian cause of death registry (virtually 100% complete); blinded assessment of cause of death, but no death review committee or expert coder to perform an additional
review of death certificates.</t>
  </si>
  <si>
    <r>
      <t xml:space="preserve">CRC mortality (per 1,000 people analysed) and relative risk; follow-up until 31/12/2011;
</t>
    </r>
    <r>
      <rPr>
        <b/>
        <sz val="10"/>
        <rFont val="Calibri"/>
        <family val="2"/>
        <scheme val="minor"/>
      </rPr>
      <t>FS +/- FOBT</t>
    </r>
    <r>
      <rPr>
        <sz val="10"/>
        <rFont val="Calibri"/>
        <family val="2"/>
        <scheme val="minor"/>
      </rPr>
      <t xml:space="preserve"> vs no screening</t>
    </r>
  </si>
  <si>
    <t>Table 3 and text: Therewere no differences in all-cause mortality between the screening and control groups (HR, 0.97; 95% CI, 0.93-1.02).</t>
  </si>
  <si>
    <t>At least 10 years</t>
  </si>
  <si>
    <t>Number of CRC deaths; follow-up for at least 10 years</t>
  </si>
  <si>
    <t>Number of deaths from all causes; follow-up for at least 10 years</t>
  </si>
  <si>
    <t>Holme 2018</t>
  </si>
  <si>
    <t>Norwegian registries (Cause of Death Registry, Population Registry)</t>
  </si>
  <si>
    <t>Death, emigration, or December 31, 2015</t>
  </si>
  <si>
    <t>Median 14.8 years;
290,961 PY</t>
  </si>
  <si>
    <t>Median 14.8 years;
1,090,730 PY</t>
  </si>
  <si>
    <t>Number of CRC deaths; follow-up until 31/12/2015</t>
  </si>
  <si>
    <t>Person-years; up to 31/12/2015</t>
  </si>
  <si>
    <t>Supplemental Table 2 and text: The age-standardized CRC mortality rate per 100,000 person-years was 41.9 in the screening group and 52.9 in the control group, corresponding to 11.0 fewer deaths per 100,000 person-years (95% CI 2.1-19.6) in the screening group; HR 0.79 (95% CI 0.65-0.96).</t>
  </si>
  <si>
    <t>All rates were standardized using the screening group as the reference (13,636 individuals in the 55-64 year old screening group and 6,916 individuals in 50-54 year old screening group; giving an older to younger ratio of 1.97:1).</t>
  </si>
  <si>
    <r>
      <t xml:space="preserve">CRC mortality (per 1,000 people analysed) and relative risk; follow-up until 31/12/2015;
</t>
    </r>
    <r>
      <rPr>
        <b/>
        <sz val="10"/>
        <rFont val="Calibri"/>
        <family val="2"/>
        <scheme val="minor"/>
      </rPr>
      <t>FS +/- FOBT</t>
    </r>
    <r>
      <rPr>
        <sz val="10"/>
        <rFont val="Calibri"/>
        <family val="2"/>
        <scheme val="minor"/>
      </rPr>
      <t xml:space="preserve"> vs no screening</t>
    </r>
  </si>
  <si>
    <t>Number of deaths from all causes; follow-up until 31/12/2015</t>
  </si>
  <si>
    <t>Cancer registry of Norway (virtually 100% complete); blinded assessment of stage.</t>
  </si>
  <si>
    <t>Emigration or colorectal malignancy
other than colorectal carcinoma</t>
  </si>
  <si>
    <t>1999-2000</t>
  </si>
  <si>
    <t>Number of CRC that are screen-detected (1 screening round, 1999-2000)</t>
  </si>
  <si>
    <t>Table and text: The accumulated number of colorectal cancers after six to eight years of follow-up was 123 in the screening
group, including 33 screen detected tumours...</t>
  </si>
  <si>
    <t>Flexible sigmoidoscopy + FOBT</t>
  </si>
  <si>
    <t>Text: Out of 33 prevalent colorectal cancers detected by screening, 17 were in the 6915 people invited for flexible sigmoidoscopy only (2.5 per 1000 invited) and 16 in the 6908 people invited for combined flexible sigmoidoscopy and faecal occult blood
testing (2.3 per 1000 invited).</t>
  </si>
  <si>
    <t>Number of screen-detected neoplastic lesions (1 screening round, 1999-2000)</t>
  </si>
  <si>
    <t>Text: At screening, a neoplastic lesion was found in 19% (1685/8846) of people screened, …</t>
  </si>
  <si>
    <t>Number of screen-detected high-risk adenoma (≥10 mm in diameter, high grade dysplasia or villous components) or CRC (1 screening round, 1999-2000)</t>
  </si>
  <si>
    <t>Text: At screening, ... 5.0% (440/8846) of attenders
had high risk adenoma (≥10 mm in diameter, high grade dysplasia or villous components) or invasive cancer.</t>
  </si>
  <si>
    <t>Number of screen-detected high-risk adenoma (≥10 mm in diameter, high grade dysplasia or villous components) (1 screening round, 1999-2000)</t>
  </si>
  <si>
    <t>Minimum 6 years</t>
  </si>
  <si>
    <t>Median 7 years (range 6-8)</t>
  </si>
  <si>
    <t>Total number of CRC diagnosed up to 31/12/2006 (screen-detected, postscreening, non-attenders)</t>
  </si>
  <si>
    <t>Table and text: The accumulated number of colorectal cancers after six to eight years of follow-up was 123 in the screening
group, including 33 screen detected tumours…</t>
  </si>
  <si>
    <t>Text: Out of 33 prevalent colorectal cancers detected by screening, 17 were in the 6915 people invited for flexible sigmoidoscopy only (2.5 per 1000 invited) and 16 in the 6908 people invited for combined flexible sigmoidoscopy and faecal occult blood
testing (2.3 per 1000 invited)... In the two screening groups, 54 accumulated colorectal cancers occurred in the flexible sigmoidoscopy group (7.9 per 1000) and 69 (10.1 per 1000) in the group invited to combined flexible sigmoidoscopy and faecal occult blood testing.</t>
  </si>
  <si>
    <t>Censoring owing to emigration occurred for 1196 people, and
21 people were censored as a result of colorectal malignancy
other than colorectal carcinoma (13 neuroendocrine (carcinoid) tumours and eight squamous cell carcinomas).</t>
  </si>
  <si>
    <t>Absolute incidence of localised CRC (per 1,000 people analysed); follow-up until 31/12/2006;
FS +/- FOBT vs no screening</t>
  </si>
  <si>
    <t>Advanced = tumours infiltrating neighbouring organs and Dukes’ C.</t>
  </si>
  <si>
    <t>Localised = Dukes’ A and B</t>
  </si>
  <si>
    <t>Stage unspecified</t>
  </si>
  <si>
    <t>Number of localised (Dukes' A or B) CRC; diagnosed up to 31/12/2006</t>
  </si>
  <si>
    <t>Table</t>
  </si>
  <si>
    <t>Absolute incidence of advanced CRC (per 1,000 people analysed); follow-up until 31/12/2006;
FS +/- FOBT vs no screening</t>
  </si>
  <si>
    <t>Dukes' C or tumours infiltrating neighbouring organs</t>
  </si>
  <si>
    <t>Number of advanced (Dukes' C or tumours infiltrating neighbouring orgrans) CRC; diagnosed up to 31/12/2006</t>
  </si>
  <si>
    <t>% of CRC diagnosed at advanced stage; follow-up until 31/12/2006;
FS +/- FOBT vs no screening</t>
  </si>
  <si>
    <t>Total number of CRC diagnosed up to 31/12/2006 (including CRC with unspecified stage)</t>
  </si>
  <si>
    <t>Cancer registry of Norway (virtually 100% complete)</t>
  </si>
  <si>
    <t>Diagnosis of colorectal cancer, death, emigration</t>
  </si>
  <si>
    <t>1999-2000;
2001</t>
  </si>
  <si>
    <t>Number of screen-detected  adenomas (any); 1 screening round (1999-2001)</t>
  </si>
  <si>
    <t>Number of screen-detected CRC; 1 screening round (1999-2001)</t>
  </si>
  <si>
    <t>Median 11.2 years
(221,429 PY)</t>
  </si>
  <si>
    <t>Total number of CRC detected up to 31/12/2011 (screen-detected, post-screen-detected, non-attenders)</t>
  </si>
  <si>
    <t>Absolute incidence of localised (Dukes' A or B) CRC (per 1,000 people analysed); follow-up until 31/12/2011;
FS +/- FOBT vs no screening</t>
  </si>
  <si>
    <t>Advanced = Dukes’ C or D</t>
  </si>
  <si>
    <t>Localised = Dukes' A or B</t>
  </si>
  <si>
    <t>Median 10.9 years
(828,207 PY)</t>
  </si>
  <si>
    <t>Unclassified</t>
  </si>
  <si>
    <t>Number of localised (Dukes' A or B) CRC; diagnosed up to 31/12/2011</t>
  </si>
  <si>
    <t>Absolute incidence of localised (Dukes' A or B) CRC (per 100,000 PY); follow-up until 31/12/2011;
FS +/- FOBT vs no screening</t>
  </si>
  <si>
    <t>Number of person-years (up to 31/12/2011)</t>
  </si>
  <si>
    <t>Table 3 for person years, Table 4</t>
  </si>
  <si>
    <t>Absolute incidence of advanced (Dukes' C or D) CRC (per 1,000 people analysed); follow-up until 31/12/2011;
FS +/- FOBT vs no screening</t>
  </si>
  <si>
    <t>Number of advanced (Dukes' C or D) CRC; diagnosed up to 31/12/2011</t>
  </si>
  <si>
    <t>Absolute incidence of advanced (Dukes' C or D) CRC (per 100,000 PY); follow-up until 31/12/2011;
FS +/- FOBT vs no screening</t>
  </si>
  <si>
    <t>% of CRC diagnosed at advanced stage (Dukes' C or D); follow-up until 31/12/2011;
FS +/- FOBT vs no screening</t>
  </si>
  <si>
    <t>Total number of CRC; diagnosed up to 31/12/2011; including cancers with missing Dukes' stage</t>
  </si>
  <si>
    <t>Hardcastle 1996</t>
  </si>
  <si>
    <t>All-cause mortality (per 1,000 PY);
follow-up until 30/06/1995;
FOBT vs control</t>
  </si>
  <si>
    <t xml:space="preserve">National Health Service Central Registry database, Office of Population Censuses and Surveys, Family Health Service Authority and records of family doctors.
</t>
  </si>
  <si>
    <t>Censoring at the date of death or at June 30, 1995</t>
  </si>
  <si>
    <t>Up to 14.5 years</t>
  </si>
  <si>
    <t>Median 7·8 years (range 4·5–14·5).</t>
  </si>
  <si>
    <t>3-6</t>
  </si>
  <si>
    <t>Number of deaths from all causes; follow-up until 30/06/1995</t>
  </si>
  <si>
    <t>Person-years (up to 30/06/1995)</t>
  </si>
  <si>
    <t>Table 5 and text: Overall, 12 624 (16·8%) screening-group participants and 12 515 (16·7%) controls died. All-cause mortality was similar in the screening and control groups (table 5),…</t>
  </si>
  <si>
    <t>CRC mortality (verified cause of death) (per 1,000 PY);
follow-up until 30/06/1995;
FOBT vs control</t>
  </si>
  <si>
    <t>National Health Service Central Registry database, Office of Population Censuses and Surveys, Family Health Service Authority and records of family doctors.
Cause of death used from death certificates; structured, blinded case-note reviews of certified and registered CRC cases for more reliable information on causes of death.</t>
  </si>
  <si>
    <t>Number of deaths from CRC (verified cause of death); follow-up until 30/06/1995</t>
  </si>
  <si>
    <t>Table 5 and text: The number of verified deaths attributable to CRC was lower in the screening group than in controls (360 vs 420)—a 15% reduction in verified CRC mortality in the
screening group (odds ratio=0·85 [95% CI 0·74–0·98]
p=0·026).</t>
  </si>
  <si>
    <t>We excluded all deaths attributable to CRC when the diagnosis of CRC had been made before the date of study entry.</t>
  </si>
  <si>
    <t>CRC mortality (cause from death certificates) (per 1,000 PY);
follow-up until 30/06/1995;
FOBT vs control</t>
  </si>
  <si>
    <t>Number of deaths from CRC (cause from death certificates); follow-up until 30/06/1995</t>
  </si>
  <si>
    <t>Table 5 and text: When the certified, rather than the verified,
cause of death was used for the analysis of CRC mortality,
the number of deaths from CRC were 350 versus 398 and
the estimated mortality reduction was similar though
slightly smaller (0·88 [0·76–1·01]).</t>
  </si>
  <si>
    <t>Scholefield 2002</t>
  </si>
  <si>
    <t>All-cause mortality (per 1,000 PY);
follow-up until 30/06/1999;
FOBT vs control</t>
  </si>
  <si>
    <t>Local hospital records and flagging at the NHS central register (Office for National Statistics (ONS)).</t>
  </si>
  <si>
    <t>30 June 1999 or death, whichever was earlier.</t>
  </si>
  <si>
    <t>Up to 18.4 years</t>
  </si>
  <si>
    <t>Median 11.7 
(range 8.4–18.4) years</t>
  </si>
  <si>
    <t>Number of deaths from all causes; follow-up until 30/06/1999</t>
  </si>
  <si>
    <t>Person-years (up to 30/06/1999)</t>
  </si>
  <si>
    <t>Table 1 and text: Overall, 20 421 (26.8%) subjects in the intervention group and 20 336 (26.7%) in the control group have died during the study period.</t>
  </si>
  <si>
    <t>CRC mortality (verified cause of death) (per 1,000 PY);
follow-up until 30/06/1999;
FOBT vs control</t>
  </si>
  <si>
    <t>Local hospital records and flagging at the NHS central register (Office for National Statistics (ONS)); cause of death used from death certificates; structured, blinded case-note reviews of certified and registered CRC cases for more reliable information on causes of death; 5% unblinded review</t>
  </si>
  <si>
    <t>Number of deaths from CRC (verified cause of death); follow-up until 30/06/1999</t>
  </si>
  <si>
    <t>Table 1 and text: The rate of verified deaths from CRC was lower in the intervention group compared with controls (0.70 v 0.81), giving a 13% reduction in mortality in the intervention
group (relative risk (RR) 0.87, 95% CI 0.78–0.97; p=0.010)
(table 1). Adjusting for age and sex had little effect on the
estimate of CRC mortality (table 1) or on the 95% confidence
interval.</t>
  </si>
  <si>
    <t>Whyne 2010</t>
  </si>
  <si>
    <t>All-cause mortality (per 100 people randomised);
1981 - 31/12/2008;
FOBT vs control</t>
  </si>
  <si>
    <t>Number of deaths estimated from reported %.</t>
  </si>
  <si>
    <t>CRC mortality (verified cause of death) (per 100 people randomised);
1981 - 31/12/2008;
FOBT vs control</t>
  </si>
  <si>
    <t>Local hospital records and flagging at the NHS central register (Office for National Statistics (ONS)); cause of death used from death certificates; structured, blinded case-note reviews of certified and registered CRC cases for more reliable information on causes of death.</t>
  </si>
  <si>
    <t>48 for both arms combined</t>
  </si>
  <si>
    <t>Number of deaths from CRC (verified cause of death); follow-up until 31/12/2008</t>
  </si>
  <si>
    <t>Number of CRC deaths estimated from reported %.</t>
  </si>
  <si>
    <t>Scholefield 2012</t>
  </si>
  <si>
    <t>All-cause mortality (per 1,000 PY); follow-up until 30/06/2009;
FOBT vs control</t>
  </si>
  <si>
    <t>Death, emigration or 30th June 2009, whichever was earlier.</t>
  </si>
  <si>
    <t>Up to 28.4 years</t>
  </si>
  <si>
    <t>Median 19.5 years
(range 0.0-28.4 years, IQR 10.2)</t>
  </si>
  <si>
    <t>3-5</t>
  </si>
  <si>
    <t>Number of deaths from all causes; follow-up until 30/06/2009</t>
  </si>
  <si>
    <t>Person-years, up to 30/06/2009</t>
  </si>
  <si>
    <t>CRC mortality, verified cause (per 1,000 PY); follow-up until 30/06/2009;
FOBT vs control</t>
  </si>
  <si>
    <t>Local hospital records and flagging at the NHS central register (Office for National Statistics (ONS)); cause of death used from death certificates; structured, blinded case-note reviews of certified and registered CRC cases for more reliable information on causes of death; 5% unblinded review.</t>
  </si>
  <si>
    <t>Number of deaths from CRC (verified cause of death); follow-up until 30/06/2009</t>
  </si>
  <si>
    <t>Adjusted for non-acceptance of first test.</t>
  </si>
  <si>
    <t>Table 2 and text: Deaths from verified CRC showed
a statistically significant reduction in the intervention arm
(RR 0.91, 95% CI 0.84 to 0.98).</t>
  </si>
  <si>
    <t>CRC mortality, cause of death from death certificate (per 1,000 PY); follow-up until 30/06/2009;
FOBT vs control</t>
  </si>
  <si>
    <t>Number of deaths from CRC (cause of death from death certificate); follow-up until 30/06/2009</t>
  </si>
  <si>
    <t>Table 2 and text: The reduction in deaths from certified CRC was similar (RR 0.91, 95% CI 0.84 to 0.99).</t>
  </si>
  <si>
    <t>CRC mortality restricted to cases diagnosed within 12 years from date of entry (per 1,000 PY); follow-up until 30/06/2009;
FOBT vs control</t>
  </si>
  <si>
    <t>Number of deaths from CRC in cases diagnosed within the first 12 years from date of entry; follow-up until 30/06/2009</t>
  </si>
  <si>
    <t>Text: If the mortality analysis was restricted to cases
diagnosed within 12 years from date of entry, the reduction in
the intervention arm was 12% (RR 0.88, 95% CI 0.79 to 0.98).</t>
  </si>
  <si>
    <t>Hardcastle 1989</t>
  </si>
  <si>
    <t>Diagnostic yield at screening, CRC (per 1,000 people randomised; from first 107,349 subjects); baseline screening;
FOBT only</t>
  </si>
  <si>
    <t>Pathology records of the Nottingham hospitals, the Trent Region Cancer Registry, and by information supplied by general practitioners. Subjects who left the Nottingham area were followed by means of the National Health Service Central Register.</t>
  </si>
  <si>
    <t>107,349 randomised</t>
  </si>
  <si>
    <t>Mode of detection missing</t>
  </si>
  <si>
    <t>Number of screen-detected CRC; 1 screening round; 53,464 in screening arm</t>
  </si>
  <si>
    <t>53464 randomised to screening arm</t>
  </si>
  <si>
    <t>Table II and text: Further investigation of these subjects showed 63 cancers (2-3 per 1000 accepting the test).</t>
  </si>
  <si>
    <t>Diagnostic yield at screening, adenomas (per 1,000 people randomised; from first 107,349 subjects); baseline screening;
FOBT only</t>
  </si>
  <si>
    <t xml:space="preserve">Pathology records of the Nottingham hospitals, the Trent Region Cancer Registry, and by information supplied by general practitioners. Subjects who left the Nottingham area were followed by means of the National Health Service Central Register. </t>
  </si>
  <si>
    <t>Number of screen-detected adenomas; 1 screening round; 53,464 in screening arm</t>
  </si>
  <si>
    <t>Text: 367 adenomas were identified in 266 subjects at the initial screen (8 per 1000 persons screened).</t>
  </si>
  <si>
    <t>Diagnostic yield at screening, adenomas &gt;2 cm (per 1,000 people randomised; from first 107,349 subjects); baseline screening;
FOBT only</t>
  </si>
  <si>
    <t>Pathology records of the Nottingham hospitals, the Trent Region Cancer Registry, and by information supplied by general practitioners. Subjects who left the Nottingham area were followed by means of the National Health Service Central Register. Adenomas were sized on endoscopy and the size confirmed after removal by polypectomy.</t>
  </si>
  <si>
    <t>Mode of detection or size missing</t>
  </si>
  <si>
    <t>Number of screen-detected adenomas &gt;2 cm; 1 screening round; 53,464 in screening arm</t>
  </si>
  <si>
    <t>Text: 76 were greater than 2 cm in diameter, 165 between 1 and 2 cm, and 126 less than 1 cm.</t>
  </si>
  <si>
    <t>Number of screen-detected adenomas ≥1 cm cm; 1 screening round; 53,464 in screening arm</t>
  </si>
  <si>
    <t>Diagnostic yield at screening, CRC (per 1,000 people randomised; from first 107,349 subjects); 1-3 screening rounds;
FOBT only</t>
  </si>
  <si>
    <t>Mean 3 years (range 0.5-5 years)</t>
  </si>
  <si>
    <t>1-3</t>
  </si>
  <si>
    <t>Number of screen-detected CRC; 1-3 screening rounds; 53,464 in screening arm</t>
  </si>
  <si>
    <t>9510 subjects have been offered one rescreening test. 3639 people offered screening for a third time (second rescreen).</t>
  </si>
  <si>
    <t>Diagnostic yield at screening, adenomas (per 1,000 people randomised; from first 107,349 subjects); 1-3 screening rounds;
FOBT only</t>
  </si>
  <si>
    <t>Number of screen-detected adenomas; 1-3 screening rounds; 53,464 in screening arm</t>
  </si>
  <si>
    <t>Diagnostic yield at screening, adenomas &gt;2 cm (per 1,000 people randomised; from first 107,349 subjects); 1-3 screening rounds;
FOBT only</t>
  </si>
  <si>
    <t>Number of screen-detected adenomas &gt;2 cm; 1-3 screening rounds; 53,464 in screening arm</t>
  </si>
  <si>
    <t>Number of screen-detected adenomas ≥1 cm; 1-3 screening rounds; 53,464 in screening arm</t>
  </si>
  <si>
    <t>% of CRC that have been screen-detected; first 107,349 subjects randomised; 1-3 screening rounds; mean follow-up 3 years (range 0.5-5 years);
FOBT only</t>
  </si>
  <si>
    <t>Number of screen-detected CRC; 1-3 screening rounds; mean follow-up 3 years (range 0.5-5 years); 53,464 in screening arm</t>
  </si>
  <si>
    <t>Total number of CRC detected; mean follow-up 3 years (range 0.5-5 years)</t>
  </si>
  <si>
    <t>% of high-grade CRC that have been screen-detected; first 107,349 subjects randomised; 1-3 screening rounds; mean follow-up 3 years (range 0.5-5 years);
FOBT only</t>
  </si>
  <si>
    <t>Differentiation</t>
  </si>
  <si>
    <t>Poor</t>
  </si>
  <si>
    <t>Differentiation unknown:
0 screen-detected;
2 interval;
12 non-responders</t>
  </si>
  <si>
    <t>Number of screen-detected CRC with poor differentiation; 1-3 screening rounds; mean follow-up 3 years (range 0.5-5 years); 53,464 in screening arm</t>
  </si>
  <si>
    <t>Total number of CRC with poor differentiation detected; mean follow-up 3 years (range 0.5-5 years)</t>
  </si>
  <si>
    <t>Absolute incidence of stage A CRC (per 1,000 people randomised; from first 107,349 subjects); mean follow-up time of 3 years;
FOBT vs no screening</t>
  </si>
  <si>
    <t>Pathology records of the Nottingham hospitals, the Trent Region Cancer Registry, and by information supplied by general practitioners. Subjects who left the Nottingham area were followed by means of the National Health Service Central Register. Cancers staged according to the system of Duke, with added stage D for patients presenting with distant metastases or inoperable disease.</t>
  </si>
  <si>
    <t>Number of stage A CRC; mean follow-up time 3 years (0.5-5 years); first 107,349 subjects</t>
  </si>
  <si>
    <t>Table II and text: The proportion of stage A cancers was significantly lower in the control group (13/123 [11%]) than in the screen-detected group (40/76 ; X2 = 28-53, p &lt; 0-001) or the whole test group (56/181 [31%]; X2=17-32, p&lt;0-001) (table II).</t>
  </si>
  <si>
    <t>Absolute incidence of stage B CRC (per 1,000 people randomised; from first 107,349 subjects); mean follow-up time of 3 years;
FOBT vs no screening</t>
  </si>
  <si>
    <t>Number of stage B CRC; mean follow-up time 3 years (0.5-5 years); first 107,349 subjects</t>
  </si>
  <si>
    <t>Absolute incidence of stage C CRC (per 1,000 people randomised; from first 107,349 subjects); mean follow-up time of 3 years;
FOBT vs no screening</t>
  </si>
  <si>
    <t>Number of stage C CRC; mean follow-up time 3 years (0.5-5 years); first 107,349 subjects</t>
  </si>
  <si>
    <t>Absolute incidence of stage D CRC (per 1,000 people randomised; from first 107,349 subjects); mean follow-up time of 3 years;
FOBT vs no screening</t>
  </si>
  <si>
    <t>Number of stage D CRC; mean follow-up time 3 years (0.5-5 years); first 107,349 subjects</t>
  </si>
  <si>
    <t xml:space="preserve">Table II and text: The proportion of stage D tumours was
significantly higher in the control group than in the screen-detected group (26/123 [21%] vs 3/76 [4%]; X2 = 7-59, p &lt; 0-001), but did not differ significantly between the control group and the whole test group (table II; X2 = 1,28). </t>
  </si>
  <si>
    <t>Absolute incidence of stage D CRC (per 1,000 PY; first 107,349 subjects randomised); mean follow-up time of 3 years;
FOBT vs no screening</t>
  </si>
  <si>
    <t>Table II and text: The incidence of stage D tumours in the whole test group (0.2 per 1000 person-years) is higher than that in the control group (0.15 per 1000 person-years), showing that no
mortality advantage can be expected in the near future.</t>
  </si>
  <si>
    <t>Diagnostic yield at screening, CRC (per 1,000 people analysed; 3-6 screening rounds offered; up to 30/06/1995
FOBT only</t>
  </si>
  <si>
    <t xml:space="preserve">Histopathology registers of local hospitals, the Trent Regional
Cancer Registry, family doctors’ reports, National Health Service Central Registry database, Office of Population Censuses and Surveys. </t>
  </si>
  <si>
    <t>Number of screen-detected CRC (=diagnosed on colonoscopy after a positive FOB test); 3-6 screening rounds; follow-up until 30/06/1995</t>
  </si>
  <si>
    <t>Table 3 and text: During the study, 236 cases of CRC were detected by screening,...</t>
  </si>
  <si>
    <t>% of CRC that are screen-detected; 3-6 screening rounds offered; up to 30/06/1995
FOBT only</t>
  </si>
  <si>
    <t>Total number of CRC diagnosed, up to 30/06/1995 (screen-detected, interval, non-responders)</t>
  </si>
  <si>
    <t>Table 4 and text: During the study, 236 cases of CRC were detected by screening, 249 interval cancers presented, 400 were
diagnosed in non-responders,… A further eight cases of CRC were
diagnosed in the screening group during endoscopic
follow-up of a screen-detected lesion.</t>
  </si>
  <si>
    <t>Diagnostic yield at screening, Adenomas (per 1,000 people analysed; 3-6 screening rounds offered; up to 30/06/1995
FOBT only</t>
  </si>
  <si>
    <t>Number of screen-detected adenomas; 3-6 screening rounds; follow-up until 30/06/1995</t>
  </si>
  <si>
    <t>Table 6 and text: 710 participants had screen-detected adenomas
retrieved for histological assessment…</t>
  </si>
  <si>
    <t>Number of screen-detected adenomas ≥1 cm; 3-6 screening rounds; follow-up until 30/06/1995</t>
  </si>
  <si>
    <t>Table 6 and text: 128 adenomas were less than 10 mm, 375 were 10–19 mm, and 207 were 20 mm or more, of which three (2·3%), 50 (13·3%), and 44 (21·3%), respectively, were severely dysplastic.</t>
  </si>
  <si>
    <t>Number of screen-detected adenomas ≥2 cm; 3-6 screening rounds; follow-up until 30/06/1995</t>
  </si>
  <si>
    <t>Absolute incidence of Dukes' stage A CRC (per 1,000 people randomised); follow-up until 30/06/1995;
FOBT vs no screening</t>
  </si>
  <si>
    <t>Advanced = Dukes' stage C and D</t>
  </si>
  <si>
    <t>Histopathology registers of local hospitals, the Trent Regional
Cancer Registry, family doctors’ reports, National Health Service Central Registry database, Office of Population Censuses and Surveys. 
Blinded asssessment of stage of CRC and classification of adenomas by pathologist; Turnbull modification of Dukes’ staging with cases with metastatic disease classified as stage D; adenomas treated by endoscopic polypectomy and found to contain invasive cancer classified as stage A.</t>
  </si>
  <si>
    <t>Number of Dukes' stage A CRC; follow-up until 30/06/1995</t>
  </si>
  <si>
    <t>Absolute incidence of Dukes' stage B CRC (per 1,000 people randomised); follow-up until 30/06/1995;
FOBT vs no screening</t>
  </si>
  <si>
    <t>Number of Dukes' stage B CRC; follow-up until 30/06/1995</t>
  </si>
  <si>
    <t>Absolute incidence of Dukes' stage C CRC (per 1,000 people randomised); follow-up until 30/06/1995;
FOBT vs no screening</t>
  </si>
  <si>
    <t>Number of Dukes' stage C CRC; follow-up until 30/06/1995</t>
  </si>
  <si>
    <t>Absolute incidence of Dukes' stage D CRC (per 1,000 people randomised); follow-up until 30/06/1995;
FOBT vs no screening</t>
  </si>
  <si>
    <t>Number of Dukes' stage D CRC; follow-up until 30/06/1995</t>
  </si>
  <si>
    <t>Absolute incidence of advanced stage CRC (Dukes' stage C and D) (per 1,000 people randomised); follow-up until 30/06/1995;
FOBT vs no screening</t>
  </si>
  <si>
    <t>C or D</t>
  </si>
  <si>
    <t>Number of Dukes' stage C or D CRC; follow-up until 30/06/1995</t>
  </si>
  <si>
    <t>Absolute incidence of Dukes' stage A CRC (per 1,000 PY); follow-up until 30/06/1995;
FOBT vs no screening</t>
  </si>
  <si>
    <t>Person-years; up to 30/06/1995</t>
  </si>
  <si>
    <t>Absolute incidence of Dukes' stage B CRC (per 1,000 PY); follow-up until 30/06/1995;
FOBT vs no screening</t>
  </si>
  <si>
    <t>Absolute incidence of Dukes' stage C CRC (per 1,000 PY); follow-up until 30/06/1995;
FOBT vs no screening</t>
  </si>
  <si>
    <t>Absolute incidence of Dukes' stage D CRC (per 1,000 PY); follow-up until 30/06/1995;
FOBT vs no screening</t>
  </si>
  <si>
    <t>Absolute incidence of advanced stage CRC (Dukes' stage C and D) (per 1,000 PY); follow-up until 30/06/1995;
FOBT vs no screening</t>
  </si>
  <si>
    <t>Table 4 and text: The incidence of advanced CRC (stage C and D) was lower in the screening group than in controls (ratio=0·91 [95% CI 0·80–1·04])…</t>
  </si>
  <si>
    <t>% of CRC diagnosed at advanced stage CRC (Dukes' stage C and D); follow-up until 30/06/1995;
FOBT vs no screening</t>
  </si>
  <si>
    <t>Total number of CRC diagnosed, up to 30/06/1995 (including CRC with unknown stage data)</t>
  </si>
  <si>
    <t>Table 4 and text: ...the proportion of advanced tumours (stage C and D) was significantly lower in the screening group than in the control group (46 vs 52%, p&lt;0·01).</t>
  </si>
  <si>
    <t>Mapp 1999</t>
  </si>
  <si>
    <t>Absolute incidence of Dukes' stage A CRC (per 1,000 people randomised); diagnosed during 10-year period of the fieldwork of the trial; 31/12/1996???
FOBT vs no screening</t>
  </si>
  <si>
    <t>Histopathology registers of local hospitals, the Trent Regional
Cancer Registry, family doctors’ reports</t>
  </si>
  <si>
    <t>Censoring at the date of death or 31/12/1996</t>
  </si>
  <si>
    <t>31/12/1996?</t>
  </si>
  <si>
    <t>At least 10 years?</t>
  </si>
  <si>
    <t>Number of Dukes' stage A CRC diagnosed during 10-year period of the fieldwork of the trial; 31/12/1996???</t>
  </si>
  <si>
    <t>Absolute incidence of Dukes' stage B CRC (per 1,000 people randomised); diagnosed during 10-year period of the fieldwork of the trial; 31/12/1996???
FOBT vs no screening</t>
  </si>
  <si>
    <t>Number of Dukes' stage B CRC diagnosed during 10-year period of the fieldwork of the trial; 31/12/1996???</t>
  </si>
  <si>
    <t>Absolute incidence of Dukes' stage C CRC (per 1,000 people randomised); diagnosed during 10-year period of the fieldwork of the trial; 31/12/1996???
FOBT vs no screening</t>
  </si>
  <si>
    <t>Number of Dukes' stage C CRC diagnosed during 10-year period of the fieldwork of the trial; 31/12/1996???</t>
  </si>
  <si>
    <t>Absolute incidence of Dukes' stage D CRC (per 1,000 people randomised); diagnosed during 10-year period of the fieldwork of the trial; 31/12/1996???
FOBT vs no screening</t>
  </si>
  <si>
    <t>Absolute incidence of late stage CRC (Dukes' stage C or D) (per 1,000 people randomised); diagnosed during 10-year period of the fieldwork of the trial; 31/12/1996???
FOBT vs no screening</t>
  </si>
  <si>
    <t>Number of Dukes' stage C or D CRC diagnosed during 10-year period of the fieldwork of the trial; 31/12/1996???</t>
  </si>
  <si>
    <t>% of CRC diagnosed at late stage (Dukes' stage C or D); diagnosed during 10-year period of the fieldwork of the trial; 31/12/1996???
FOBT vs no screening</t>
  </si>
  <si>
    <t>Total number of CRCdiagnosed during 10-year period of the fieldwork of the trial; 31/12/1996??? (including CRC with unknown stage)</t>
  </si>
  <si>
    <t>% of CRC that are screen-detected; 3-6 screening rounds offered; up to 31/12/1996
FOBT only</t>
  </si>
  <si>
    <t>Number of screen-detected CRC (=diagnosed after a positive FOB test); 3-6 screening rounds</t>
  </si>
  <si>
    <t>Total number of CRC diagnosed, up to 31/12/1996 (screen-detected, interval, non-responders, adenoma follow-up)</t>
  </si>
  <si>
    <t>Table 1 and text: CRC diagnosed… screening group (n=1,032)… divided into those detected at the first screen (n=104) and subsequent screen (n=132)...</t>
  </si>
  <si>
    <t>% of high-grade CRC that are screen-detected; 3-6 screening rounds offered; up to 31/12/1996
FOBT only</t>
  </si>
  <si>
    <t>Differentiation unknown:
25 screen-detected;
53 interval;
119 non-responders;
1 adenoma follow-up</t>
  </si>
  <si>
    <t>Number of screen-detected CRC (=diagnosed after a positive FOB test) with poor differentiation; 3-6 screening rounds</t>
  </si>
  <si>
    <t>Total number of CRC with poor differentiation diagnosed, up to 31/12/1996 (screen-detected, interval, non-responders, adenoma follow-up)</t>
  </si>
  <si>
    <t>Absolute incidence of Dukes' A CRC (per 1,000 PY); follow-up until 30/06/2009;
FOBT vs control</t>
  </si>
  <si>
    <t>Local hospital records and flagging at the NHS central register (Office for National Statistics (ONS)); adenomas: histopathology records.</t>
  </si>
  <si>
    <t>Death, cancer diagnosis, emigration or 30th June 2009, whichever was earlier.</t>
  </si>
  <si>
    <t>Dukes' stage not known</t>
  </si>
  <si>
    <t>Number of Dukes' A CRC; diagnosed up to 30/06/2009</t>
  </si>
  <si>
    <t>Absolute incidence of Dukes' B CRC (per 1,000 PY); follow-up until 30/06/2009;
FOBT vs control</t>
  </si>
  <si>
    <t>Number of Dukes' B CRC; diagnosed up to 30/06/2009</t>
  </si>
  <si>
    <t>Absolute incidence of Dukes' C CRC (per 1,000 PY); follow-up until 30/06/2009;
FOBT vs control</t>
  </si>
  <si>
    <t>Number of Dukes' C CRC; diagnosed up to 30/06/2009</t>
  </si>
  <si>
    <t>Absolute incidence of Dukes' D CRC (per 1,000 PY); follow-up until 30/06/2009;
FOBT vs control</t>
  </si>
  <si>
    <t>Number of Dukes' D CRC; diagnosed up to 30/06/2009</t>
  </si>
  <si>
    <t>Absolute incidence of late-stage CRC (Dukes' C or D) CRC (per 1,000 PY); follow-up until 30/06/2009;
FOBT vs control</t>
  </si>
  <si>
    <t>Number of Dukes' C or D CRC; diagnosed up to 30/06/2009</t>
  </si>
  <si>
    <t>% of CRC diagnosed at late-stage CRC (Dukes' C or D); follow-up until 30/06/2009;
FOBT vs control</t>
  </si>
  <si>
    <t>Total number of CRC diagnosed, up to 30/06/2009 (including CRC with unknown stage data)</t>
  </si>
  <si>
    <t>% of CRC that are screen-detected; 3-5 screening rounds; follow-up until 30/06/2009;
FOBT only</t>
  </si>
  <si>
    <t xml:space="preserve">Number of CRC that are screen-detected; first screen or repeat screens (3-5 screening rounds) </t>
  </si>
  <si>
    <t>Total number of CRC diagnosed, up to 30/06/2009 (screen-detected, interval, non-responders, adenoma follow-up)</t>
  </si>
  <si>
    <t>Table 1 and text: Of those in the intervention arm 236 were screen-detected, 1037 presented as interval cancers (between screening rounds) and 47 were detected as a consequence of follow-up protocols for subjects with screen-detected adenomas.</t>
  </si>
  <si>
    <t>Diagnostic yield at screening, Patients with adenomas (per 1,000 people analysed; 3-5 screening rounds offered up to February 1995;
FOBT only</t>
  </si>
  <si>
    <t>Number of screen-detected adenomas; 3-5 screening rounds up to February 1995</t>
  </si>
  <si>
    <t>Frisell 1991</t>
  </si>
  <si>
    <t>Breast cancer mortality (breast cancer as underlying cause of death) in cases diagnosed until 31/12/1986; per 10,000 PY;
follow-up to 31/01/1989;
screening vs control arms</t>
  </si>
  <si>
    <t>Breast cancer data base of the Stockholm Breast Cancer Study Group. Follow up data in that register is based on continuous reports from the responsible clinicians. All breast cancer cases were also checked against official population registers and a computerised register.</t>
  </si>
  <si>
    <t>270,247 PY;
mean 6.9 years</t>
  </si>
  <si>
    <t xml:space="preserve">147,373 PY;
mean 7.4 years
</t>
  </si>
  <si>
    <t>Number of deaths with breast cancer as underlying cause in cases diagnosed up to 31/12/1986; followed up until 31/01/1989</t>
  </si>
  <si>
    <t>Person years, by arm</t>
  </si>
  <si>
    <t>Table 5 and text: Breast cancer was considered to be the underlying cause of death in 39 patients in the SP and 30 in the CP. The relative risk was 0.71 (95 per cent confidence interval: 0.4-1.2). The reduction of mortality was 29 per cent, not reaching the level of significance.</t>
  </si>
  <si>
    <r>
      <t xml:space="preserve">Breast cancer mortality (breast cancer as underlying cause of death) in cases diagnosed until 31/12/1986; per 10,000 PY;
</t>
    </r>
    <r>
      <rPr>
        <b/>
        <sz val="10"/>
        <rFont val="Calibri"/>
        <family val="2"/>
        <scheme val="minor"/>
      </rPr>
      <t>age at entry 50-64 years;</t>
    </r>
    <r>
      <rPr>
        <sz val="10"/>
        <rFont val="Calibri"/>
        <family val="2"/>
        <scheme val="minor"/>
      </rPr>
      <t xml:space="preserve">
follow-up to 31/01/1989;
screening vs control arms</t>
    </r>
  </si>
  <si>
    <t>50-64 years</t>
  </si>
  <si>
    <t>171,092 PY;
mean 6.9 years</t>
  </si>
  <si>
    <t>92,927 PY;
mean 7.2 years</t>
  </si>
  <si>
    <r>
      <t xml:space="preserve">Number of deaths with breast cancer as underlying cause in cases diagnosed up to 31/12/1986; </t>
    </r>
    <r>
      <rPr>
        <b/>
        <sz val="10"/>
        <rFont val="Calibri"/>
        <family val="2"/>
        <scheme val="minor"/>
      </rPr>
      <t xml:space="preserve">age at entry 50-64 years; </t>
    </r>
    <r>
      <rPr>
        <sz val="10"/>
        <rFont val="Calibri"/>
        <family val="2"/>
        <scheme val="minor"/>
      </rPr>
      <t>followed up until 31/01/1989</t>
    </r>
  </si>
  <si>
    <t>Table 5 and text: Of the women over 50, 23 died from breast cancer in the SP and 22 in the CP. In this age group the relative risk was 0.57 (95 per cent confidence interval: 0.3-1.1) and the reduction of mortality was 43 per cent (NS…</t>
  </si>
  <si>
    <r>
      <t xml:space="preserve">Breast cancer mortality (breast cancer as underlying cause of death) in cases diagnosed until 31/12/1986; per 10,000 PY;
</t>
    </r>
    <r>
      <rPr>
        <b/>
        <sz val="10"/>
        <rFont val="Calibri"/>
        <family val="2"/>
        <scheme val="minor"/>
      </rPr>
      <t>age at entry 40-49 years;</t>
    </r>
    <r>
      <rPr>
        <sz val="10"/>
        <rFont val="Calibri"/>
        <family val="2"/>
        <scheme val="minor"/>
      </rPr>
      <t xml:space="preserve">
follow-up to 31/01/1989;
screening vs control arms</t>
    </r>
  </si>
  <si>
    <t>99,155 PY;
mean 6.9 years</t>
  </si>
  <si>
    <t>54,446 PY;
mean 7.7 years</t>
  </si>
  <si>
    <r>
      <t xml:space="preserve">Number of deaths with breast cancer as underlying cause in cases diagnosed up to 31/12/1986; </t>
    </r>
    <r>
      <rPr>
        <b/>
        <sz val="10"/>
        <rFont val="Calibri"/>
        <family val="2"/>
        <scheme val="minor"/>
      </rPr>
      <t xml:space="preserve">age at entry 40-49 years; </t>
    </r>
    <r>
      <rPr>
        <sz val="10"/>
        <rFont val="Calibri"/>
        <family val="2"/>
        <scheme val="minor"/>
      </rPr>
      <t>followed up until 31/01/1989</t>
    </r>
  </si>
  <si>
    <t>Table 5 and text: Of the women under 50, 16 died from breast cancer in the SP and 8 in the CP. The relative risk was 1.09 (95 per cent confidence interval: 0.4-3.0) and no reduction in
mortality was found…</t>
  </si>
  <si>
    <t>Breast cancer mortality (breast cancer as underlying cause of death); per 1,000 PY;
follow-up to 31/12/1989;
screening vs control arms</t>
  </si>
  <si>
    <t>287000 PY;
mean 7.4 years</t>
  </si>
  <si>
    <t>164,000 PY;
mean 7.9 years</t>
  </si>
  <si>
    <t>Number of deaths with breast cancer as underlying cause; followed up until 31/12/1989</t>
  </si>
  <si>
    <t>Breast cancer mortality (breast cancer as underlying cause of death) of cases diagnosed during the screening period (31/12/1986); per 1,000 PY;
follow-up to 31/12/1989;
screening vs control arms</t>
  </si>
  <si>
    <t>Number of deaths with breast cancer as underlying cause in cases diagnosed during the screening  period (up to 31/12/1986); followed up until 31/12/1989</t>
  </si>
  <si>
    <r>
      <t xml:space="preserve">Breast cancer mortality </t>
    </r>
    <r>
      <rPr>
        <b/>
        <sz val="10"/>
        <rFont val="Calibri"/>
        <family val="2"/>
        <scheme val="minor"/>
      </rPr>
      <t>in women aged 40-65 years</t>
    </r>
    <r>
      <rPr>
        <sz val="10"/>
        <rFont val="Calibri"/>
        <family val="2"/>
        <scheme val="minor"/>
      </rPr>
      <t xml:space="preserve"> (per 1,000 PY); cancers diagnosed in screening period only; follow-up until 31/12/1996;
study vs control group</t>
    </r>
  </si>
  <si>
    <t>40-65 years (excludes 39 year olds)</t>
  </si>
  <si>
    <t>Median 14.7 years
(IQR 13.6-15.8)</t>
  </si>
  <si>
    <t>Median 15.1 years
(IQR 13.6-15.8)</t>
  </si>
  <si>
    <t>Study group: 2
Control: 1</t>
  </si>
  <si>
    <t>Frisell 1997</t>
  </si>
  <si>
    <r>
      <t xml:space="preserve">Breast cancer mortality </t>
    </r>
    <r>
      <rPr>
        <b/>
        <sz val="10"/>
        <rFont val="Calibri"/>
        <family val="2"/>
        <scheme val="minor"/>
      </rPr>
      <t>in women aged 40-64 years</t>
    </r>
    <r>
      <rPr>
        <sz val="10"/>
        <rFont val="Calibri"/>
        <family val="2"/>
        <scheme val="minor"/>
      </rPr>
      <t xml:space="preserve"> (per 1,000 PY); cancers diagnosed in screening period only; follow-up until 31/12/1994;
study vs control group</t>
    </r>
  </si>
  <si>
    <t>All detected breast cancer cases included in the breast cancer data base of the Stockholm Breast Cancer Study Group. Followup data in that register based on continuous reports from the clinicians responsible. Re-check of all the breast cancer patients’ records. Check of official population registers and a computerised register covering 95% of the patients in care in the Stockholm region.</t>
  </si>
  <si>
    <t>473,153 PY;
mean 11.7 years</t>
  </si>
  <si>
    <t>239,460 PY;
mean 12.0 years</t>
  </si>
  <si>
    <t>Number of deaths with breast cancer as underlying cause of death in all cases diagnosed in screening period; follow-up until 31/12/1994</t>
  </si>
  <si>
    <t>Table 2 and text: Breast cancer was considered to be the underlying cause of death in 66 women from the study group and 45 from the control group. The relative risk of dying from breast cancer in the study-group was 0.74, 95% confidence interval was 0.5 to 1.1. The mortality reduction in the study group was 26% (p = 0.13; Table 2)</t>
  </si>
  <si>
    <t>Breast cancer cases diagnosed before the randomisation date have also
been excluded.</t>
  </si>
  <si>
    <r>
      <t xml:space="preserve">Breast cancer mortality </t>
    </r>
    <r>
      <rPr>
        <b/>
        <sz val="10"/>
        <rFont val="Calibri"/>
        <family val="2"/>
        <scheme val="minor"/>
      </rPr>
      <t>in women aged 50-64 years</t>
    </r>
    <r>
      <rPr>
        <sz val="10"/>
        <rFont val="Calibri"/>
        <family val="2"/>
        <scheme val="minor"/>
      </rPr>
      <t xml:space="preserve"> (per 1,000 PY); cancers diagnosed in screening period only; follow-up until 31/12/1994;
study vs control group</t>
    </r>
  </si>
  <si>
    <t>299,287 PY;
mean 11.7 years</t>
  </si>
  <si>
    <t>151,634 PY;
mean 11.8 years</t>
  </si>
  <si>
    <r>
      <t xml:space="preserve">Number of deaths with breast cancer as underlying cause of death in all cases </t>
    </r>
    <r>
      <rPr>
        <b/>
        <sz val="10"/>
        <rFont val="Calibri"/>
        <family val="2"/>
        <scheme val="minor"/>
      </rPr>
      <t xml:space="preserve">aged 50-64 years </t>
    </r>
    <r>
      <rPr>
        <sz val="10"/>
        <rFont val="Calibri"/>
        <family val="2"/>
        <scheme val="minor"/>
      </rPr>
      <t>diagnosed in screening period; follow-up until 31/12/1994</t>
    </r>
  </si>
  <si>
    <t>Table 2 and text: Of the women above 50 years of age, 42
died from breast cancer in the study group and 33 in
the control group. In this age group the relative risk
of dying from breast cancer was 0.62 (95% confidence interval 0.38 to 1.0) with a significant mortality reduction of 38% (p = 0.05).</t>
  </si>
  <si>
    <r>
      <t xml:space="preserve">Breast cancer mortality </t>
    </r>
    <r>
      <rPr>
        <b/>
        <sz val="10"/>
        <rFont val="Calibri"/>
        <family val="2"/>
        <scheme val="minor"/>
      </rPr>
      <t>in women aged 40-49 years</t>
    </r>
    <r>
      <rPr>
        <sz val="10"/>
        <rFont val="Calibri"/>
        <family val="2"/>
        <scheme val="minor"/>
      </rPr>
      <t xml:space="preserve"> (per 1,000 PY); cancers diagnosed in screening period only; follow-up until 31/12/1994;
study vs control group</t>
    </r>
  </si>
  <si>
    <t>173,866 PY;
mean 11.7 years</t>
  </si>
  <si>
    <t>87,826 PY;
mean 12.4 years</t>
  </si>
  <si>
    <r>
      <t xml:space="preserve">Number of deaths with breast cancer as underlying cause of death in all cases </t>
    </r>
    <r>
      <rPr>
        <b/>
        <sz val="10"/>
        <rFont val="Calibri"/>
        <family val="2"/>
        <scheme val="minor"/>
      </rPr>
      <t xml:space="preserve">aged 40-49 years </t>
    </r>
    <r>
      <rPr>
        <sz val="10"/>
        <rFont val="Calibri"/>
        <family val="2"/>
        <scheme val="minor"/>
      </rPr>
      <t>diagnosed in screening period; follow-up until 31/12/1994</t>
    </r>
  </si>
  <si>
    <t>Table 2 and text:  Of the women aged under 50 years, 24 died from breast cancer in the study population and 12 in the control population. The relative risk of dying of breast can_x0002_cer was 1.08 (95% confidence interval 0.54 to 2.17),
and no mortality reduction could be observed after
11.4 years of followup.</t>
  </si>
  <si>
    <r>
      <t xml:space="preserve">Breast cancer mortality </t>
    </r>
    <r>
      <rPr>
        <b/>
        <sz val="10"/>
        <rFont val="Calibri"/>
        <family val="2"/>
        <scheme val="minor"/>
      </rPr>
      <t>in women aged 40-64 years</t>
    </r>
    <r>
      <rPr>
        <sz val="10"/>
        <rFont val="Calibri"/>
        <family val="2"/>
        <scheme val="minor"/>
      </rPr>
      <t xml:space="preserve"> (per 1,000 women); cancers diagnosed in screening period only; follow-up until 31/12/1994;
study vs control group</t>
    </r>
  </si>
  <si>
    <t>Table 3 and text: Breast cancer was considered to be the underlying cause of death in 66 women from the study group and 45 from the control group. The relative risk of dying from breast cancer in the study-group was 0.74, 95% confidence interval was 0.5 to 1.1...</t>
  </si>
  <si>
    <r>
      <t xml:space="preserve">Breast cancer mortality </t>
    </r>
    <r>
      <rPr>
        <b/>
        <sz val="10"/>
        <rFont val="Calibri"/>
        <family val="2"/>
        <scheme val="minor"/>
      </rPr>
      <t>in women aged 50-64 years</t>
    </r>
    <r>
      <rPr>
        <sz val="10"/>
        <rFont val="Calibri"/>
        <family val="2"/>
        <scheme val="minor"/>
      </rPr>
      <t xml:space="preserve"> (per 1,000 women); cancers diagnosed in screening period only; follow-up until 31/12/1994;
study vs control group</t>
    </r>
  </si>
  <si>
    <r>
      <t xml:space="preserve">Breast cancer mortality </t>
    </r>
    <r>
      <rPr>
        <b/>
        <sz val="10"/>
        <rFont val="Calibri"/>
        <family val="2"/>
        <scheme val="minor"/>
      </rPr>
      <t>in women aged 40-49 years</t>
    </r>
    <r>
      <rPr>
        <sz val="10"/>
        <rFont val="Calibri"/>
        <family val="2"/>
        <scheme val="minor"/>
      </rPr>
      <t xml:space="preserve"> (per 1,000 women); cancers diagnosed in screening period only; follow-up until 31/12/1994;
study vs control group</t>
    </r>
  </si>
  <si>
    <r>
      <t xml:space="preserve">Breast cancer mortality </t>
    </r>
    <r>
      <rPr>
        <b/>
        <sz val="10"/>
        <rFont val="Calibri"/>
        <family val="2"/>
        <scheme val="minor"/>
      </rPr>
      <t>in women aged 40-49 years</t>
    </r>
    <r>
      <rPr>
        <sz val="10"/>
        <rFont val="Calibri"/>
        <family val="2"/>
        <scheme val="minor"/>
      </rPr>
      <t xml:space="preserve"> (per 1,000 PY); cancers diagnosed in screening period only; follow-up until 31/12/1993;
study vs control group</t>
    </r>
  </si>
  <si>
    <t>Median 11.9 years (IQR 10.6-12.8)</t>
  </si>
  <si>
    <r>
      <t xml:space="preserve">Number of deaths with breast cancer as underlying cause of death in all cases </t>
    </r>
    <r>
      <rPr>
        <b/>
        <sz val="10"/>
        <rFont val="Calibri"/>
        <family val="2"/>
        <scheme val="minor"/>
      </rPr>
      <t xml:space="preserve">aged 40-49 years </t>
    </r>
    <r>
      <rPr>
        <sz val="10"/>
        <rFont val="Calibri"/>
        <family val="2"/>
        <scheme val="minor"/>
      </rPr>
      <t>diagnosed in screening period; follow-up until 31/12/1993</t>
    </r>
  </si>
  <si>
    <r>
      <t xml:space="preserve">Breast cancer mortality </t>
    </r>
    <r>
      <rPr>
        <b/>
        <sz val="10"/>
        <rFont val="Calibri"/>
        <family val="2"/>
        <scheme val="minor"/>
      </rPr>
      <t>in women aged 40+ years</t>
    </r>
    <r>
      <rPr>
        <sz val="10"/>
        <rFont val="Calibri"/>
        <family val="2"/>
        <scheme val="minor"/>
      </rPr>
      <t xml:space="preserve"> (per 1,000 PY); cancers diagnosed in screening period only; follow-up until 31/12/2007;
study vs control group</t>
    </r>
  </si>
  <si>
    <t>40+ years</t>
  </si>
  <si>
    <t>Median 25.6 years</t>
  </si>
  <si>
    <t>Median 26.1 years</t>
  </si>
  <si>
    <r>
      <t xml:space="preserve">Number of deaths with breast cancer as underlying cause of death in all cases </t>
    </r>
    <r>
      <rPr>
        <b/>
        <sz val="10"/>
        <rFont val="Calibri"/>
        <family val="2"/>
        <scheme val="minor"/>
      </rPr>
      <t xml:space="preserve">aged 40+ years </t>
    </r>
    <r>
      <rPr>
        <sz val="10"/>
        <rFont val="Calibri"/>
        <family val="2"/>
        <scheme val="minor"/>
      </rPr>
      <t>diagnosed in screening period; follow-up until 31/12/2007</t>
    </r>
  </si>
  <si>
    <t>Table 4 and text: The youngest trial (Go¨teborg)
showed the highest relative effect (26%), and the lowest
effect was found in the Stockholm trial (5.8%).</t>
  </si>
  <si>
    <r>
      <t xml:space="preserve">Breast cancer mortality </t>
    </r>
    <r>
      <rPr>
        <b/>
        <sz val="10"/>
        <rFont val="Calibri"/>
        <family val="2"/>
        <scheme val="minor"/>
      </rPr>
      <t>in women aged 40+ years</t>
    </r>
    <r>
      <rPr>
        <sz val="10"/>
        <rFont val="Calibri"/>
        <family val="2"/>
        <scheme val="minor"/>
      </rPr>
      <t xml:space="preserve"> (per 1,000 PY); cancers diagnosed in screening period only (including breast cancer deaths not reported to the cancer registry); follow-up until 31/12/2007;
study vs control group</t>
    </r>
  </si>
  <si>
    <r>
      <t xml:space="preserve">Number of deaths with breast cancer as underlying cause of death in all cases </t>
    </r>
    <r>
      <rPr>
        <b/>
        <sz val="10"/>
        <rFont val="Calibri"/>
        <family val="2"/>
        <scheme val="minor"/>
      </rPr>
      <t xml:space="preserve">aged 40+ years </t>
    </r>
    <r>
      <rPr>
        <sz val="10"/>
        <rFont val="Calibri"/>
        <family val="2"/>
        <scheme val="minor"/>
      </rPr>
      <t>diagnosed in screening period; follow-up until 31/12/2007 (including breast cancer deaths not reported to the cancer registry)</t>
    </r>
  </si>
  <si>
    <r>
      <t xml:space="preserve">Breast cancer mortality </t>
    </r>
    <r>
      <rPr>
        <b/>
        <sz val="10"/>
        <rFont val="Calibri"/>
        <family val="2"/>
        <scheme val="minor"/>
      </rPr>
      <t>in women aged 40-49 years</t>
    </r>
    <r>
      <rPr>
        <sz val="10"/>
        <rFont val="Calibri"/>
        <family val="2"/>
        <scheme val="minor"/>
      </rPr>
      <t xml:space="preserve"> (per 1,000 PY); cancers diagnosed in screening period only; follow-up until 31/12/2007;
study vs control group</t>
    </r>
  </si>
  <si>
    <t>345,000 PY;
mean 24.1 years</t>
  </si>
  <si>
    <t>197,000 PY;
mean 24.6 years</t>
  </si>
  <si>
    <r>
      <t xml:space="preserve">Number of deaths with breast cancer as underlying cause of death in all cases </t>
    </r>
    <r>
      <rPr>
        <b/>
        <sz val="10"/>
        <rFont val="Calibri"/>
        <family val="2"/>
        <scheme val="minor"/>
      </rPr>
      <t xml:space="preserve">aged 40-49 years </t>
    </r>
    <r>
      <rPr>
        <sz val="10"/>
        <rFont val="Calibri"/>
        <family val="2"/>
        <scheme val="minor"/>
      </rPr>
      <t>diagnosed in screening period; follow-up until 31/12/2007</t>
    </r>
  </si>
  <si>
    <t>Weighted sum of the trial-specific cumulative risks was calculated, using the number of women randomized in each trial as weights.</t>
  </si>
  <si>
    <r>
      <t xml:space="preserve">Breast cancer mortality </t>
    </r>
    <r>
      <rPr>
        <b/>
        <sz val="10"/>
        <rFont val="Calibri"/>
        <family val="2"/>
        <scheme val="minor"/>
      </rPr>
      <t>in women aged 50-65 years</t>
    </r>
    <r>
      <rPr>
        <sz val="10"/>
        <rFont val="Calibri"/>
        <family val="2"/>
        <scheme val="minor"/>
      </rPr>
      <t xml:space="preserve"> (per 1,000 PY); cancers diagnosed in screening period only (including breast cancer deaths not reported to the cancer registry); follow-up until 31/12/2007;
study vs control group</t>
    </r>
  </si>
  <si>
    <t>50-65 years</t>
  </si>
  <si>
    <t>532,000 PY;
mean 21.4 years</t>
  </si>
  <si>
    <t>280,000 PY;
mean 21.6 years</t>
  </si>
  <si>
    <r>
      <t xml:space="preserve">Number of deaths with breast cancer as underlying cause of death in all cases </t>
    </r>
    <r>
      <rPr>
        <b/>
        <sz val="10"/>
        <rFont val="Calibri"/>
        <family val="2"/>
        <scheme val="minor"/>
      </rPr>
      <t xml:space="preserve">aged 50-65 years </t>
    </r>
    <r>
      <rPr>
        <sz val="10"/>
        <rFont val="Calibri"/>
        <family val="2"/>
        <scheme val="minor"/>
      </rPr>
      <t>diagnosed in screening period; follow-up until 31/12/2007 (including breast cancer deaths not reported to the cancer registry)</t>
    </r>
  </si>
  <si>
    <t>Frisell 1986</t>
  </si>
  <si>
    <r>
      <t>Diagnostic yield at screening;</t>
    </r>
    <r>
      <rPr>
        <b/>
        <sz val="10"/>
        <rFont val="Calibri"/>
        <family val="2"/>
        <scheme val="minor"/>
      </rPr>
      <t xml:space="preserve"> CIS + invasive breast cancers</t>
    </r>
    <r>
      <rPr>
        <sz val="10"/>
        <rFont val="Calibri"/>
        <family val="2"/>
        <scheme val="minor"/>
      </rPr>
      <t xml:space="preserve"> (per 100 women); round 1;
Screening arm only</t>
    </r>
  </si>
  <si>
    <t>June 1983</t>
  </si>
  <si>
    <t>Unknown method of detection</t>
  </si>
  <si>
    <r>
      <t xml:space="preserve">Number of breast cancers </t>
    </r>
    <r>
      <rPr>
        <b/>
        <sz val="10"/>
        <rFont val="Calibri"/>
        <family val="2"/>
        <scheme val="minor"/>
      </rPr>
      <t>(invasive + CIS)</t>
    </r>
    <r>
      <rPr>
        <sz val="10"/>
        <rFont val="Calibri"/>
        <family val="2"/>
        <scheme val="minor"/>
      </rPr>
      <t xml:space="preserve"> detected at screen 1 in study arm</t>
    </r>
  </si>
  <si>
    <t>Table 2 and abstract: The first round disclosed 128 breast cancers (113 invasive and 15 noninvasive), or 4.0 per 1,000 women.</t>
  </si>
  <si>
    <r>
      <t>% of breast cancers (</t>
    </r>
    <r>
      <rPr>
        <b/>
        <sz val="10"/>
        <rFont val="Calibri"/>
        <family val="2"/>
        <scheme val="minor"/>
      </rPr>
      <t>CIS + invasive</t>
    </r>
    <r>
      <rPr>
        <sz val="10"/>
        <rFont val="Calibri"/>
        <family val="2"/>
        <scheme val="minor"/>
      </rPr>
      <t>) that are screen-detected; follow-up for 24 months after screen 1;
Screening arm only</t>
    </r>
  </si>
  <si>
    <r>
      <t>Total number of breast cancers (</t>
    </r>
    <r>
      <rPr>
        <b/>
        <sz val="10"/>
        <rFont val="Calibri"/>
        <family val="2"/>
        <scheme val="minor"/>
      </rPr>
      <t>CIS + invasive</t>
    </r>
    <r>
      <rPr>
        <sz val="10"/>
        <rFont val="Calibri"/>
        <family val="2"/>
        <scheme val="minor"/>
      </rPr>
      <t>) detected in 2 years after screen 1 (SP1 + SP2 + SP3 + SP4)</t>
    </r>
  </si>
  <si>
    <t>Table 2 and text: In the total study population in Stockholm (SP 1 + 2 + 3), 175 cases of breast cancer were registered while screening
was in progress, … In the interval cancer group (SP 4), 21 tumours were found in the first year and 60 cancers were found in the total interval of 2 years.</t>
  </si>
  <si>
    <r>
      <t xml:space="preserve">Diagnostic yield at screening; </t>
    </r>
    <r>
      <rPr>
        <b/>
        <sz val="10"/>
        <rFont val="Calibri"/>
        <family val="2"/>
        <scheme val="minor"/>
      </rPr>
      <t>invasive</t>
    </r>
    <r>
      <rPr>
        <sz val="10"/>
        <rFont val="Calibri"/>
        <family val="2"/>
        <scheme val="minor"/>
      </rPr>
      <t xml:space="preserve"> breast cancers (per 100 women); round 1;
Screening arm only</t>
    </r>
  </si>
  <si>
    <r>
      <t xml:space="preserve">Number of </t>
    </r>
    <r>
      <rPr>
        <b/>
        <sz val="10"/>
        <rFont val="Calibri"/>
        <family val="2"/>
        <scheme val="minor"/>
      </rPr>
      <t xml:space="preserve">invasive </t>
    </r>
    <r>
      <rPr>
        <sz val="10"/>
        <rFont val="Calibri"/>
        <family val="2"/>
        <scheme val="minor"/>
      </rPr>
      <t>breast cancers detected at screen 1 in study arm</t>
    </r>
  </si>
  <si>
    <t xml:space="preserve">Absolute incidence of invasive breast cancers with axillary metastasis (per 100 women); whilst first round of screening in progress (June 1983);
screening vs control arm
</t>
  </si>
  <si>
    <t>Axillary metastasis present</t>
  </si>
  <si>
    <t>A histopathological classification was used for tumour stage and for axillary lymph node metastases.</t>
  </si>
  <si>
    <t>Unknown axillary metastasis</t>
  </si>
  <si>
    <t>Number of invasive breast cancers with axillary metastasis whilst first round of screening was in progress</t>
  </si>
  <si>
    <t>Table 7 and text: In the total study group (SP 1+ 2 + 3), axillary
metastases were present in 28% (43/155) of the cases with invasive breast cancer (see Table 7). In the control group axillary metastases were found in 38%.</t>
  </si>
  <si>
    <t xml:space="preserve">Absolute incidence of advanced (stage II-IV) invasive breast cancers (per 100 women); whilst first round of screening in progress (June 1983);
screening vs control arm
</t>
  </si>
  <si>
    <t>Number of advanced (stage II-IV), invasive breast cancers whilst first round of screening was in progress</t>
  </si>
  <si>
    <t>Table 7 and discussion: In the control group 56% (40/71) belonged to stage II-IV, …</t>
  </si>
  <si>
    <t xml:space="preserve">% of invasive breast cancers diagnosed at advanced (stage II-IV) whilst first round of screening in progress (June 1983);
screening vs control arm
</t>
  </si>
  <si>
    <t>Total number of invasive breast cancers detected whilest first round of screening in progress (June 1093) (no information on cancers with unknown stage)</t>
  </si>
  <si>
    <t>Frisell 1989</t>
  </si>
  <si>
    <r>
      <t>Diagnostic yield at screening;</t>
    </r>
    <r>
      <rPr>
        <b/>
        <sz val="10"/>
        <rFont val="Calibri"/>
        <family val="2"/>
        <scheme val="minor"/>
      </rPr>
      <t xml:space="preserve"> CIS + invasive breast cancers</t>
    </r>
    <r>
      <rPr>
        <sz val="10"/>
        <rFont val="Calibri"/>
        <family val="2"/>
        <scheme val="minor"/>
      </rPr>
      <t xml:space="preserve"> (per 100 women); rounds 1 + 2;
Screening arm only</t>
    </r>
  </si>
  <si>
    <t>~October 1985</t>
  </si>
  <si>
    <t>Number of screen-detected CIS + invasive breast cancers; rounds 1 and 2</t>
  </si>
  <si>
    <t>Table 4 and text: Of the 128 breast cancers detected in the first
round (SP2), 37 were in stages II-IV (II+); in the second round, 21 out of 95 cancers were in stage II+.</t>
  </si>
  <si>
    <r>
      <t>% of breast cancers (</t>
    </r>
    <r>
      <rPr>
        <b/>
        <sz val="10"/>
        <rFont val="Calibri"/>
        <family val="2"/>
        <scheme val="minor"/>
      </rPr>
      <t>CIS + invasive</t>
    </r>
    <r>
      <rPr>
        <sz val="10"/>
        <rFont val="Calibri"/>
        <family val="2"/>
        <scheme val="minor"/>
      </rPr>
      <t>) that are screen-detected (2 screening rounds); follow-up to January 1986;
Screening arm only</t>
    </r>
  </si>
  <si>
    <t>January 1986</t>
  </si>
  <si>
    <r>
      <t xml:space="preserve">Number of breast cancers </t>
    </r>
    <r>
      <rPr>
        <b/>
        <sz val="10"/>
        <rFont val="Calibri"/>
        <family val="2"/>
        <scheme val="minor"/>
      </rPr>
      <t>(invasive + CIS)</t>
    </r>
    <r>
      <rPr>
        <sz val="10"/>
        <rFont val="Calibri"/>
        <family val="2"/>
        <scheme val="minor"/>
      </rPr>
      <t xml:space="preserve"> detected at screening rounds 1 and 2 in study arm</t>
    </r>
  </si>
  <si>
    <r>
      <t>Total number of breast cancers (</t>
    </r>
    <r>
      <rPr>
        <b/>
        <sz val="10"/>
        <rFont val="Calibri"/>
        <family val="2"/>
        <scheme val="minor"/>
      </rPr>
      <t>CIS + invasive</t>
    </r>
    <r>
      <rPr>
        <sz val="10"/>
        <rFont val="Calibri"/>
        <family val="2"/>
        <scheme val="minor"/>
      </rPr>
      <t>) detected up to January 1986</t>
    </r>
  </si>
  <si>
    <t>Including women born on 31st of a months in study group.</t>
  </si>
  <si>
    <t>mean 4.25 years</t>
  </si>
  <si>
    <t>Stage unknown T1</t>
  </si>
  <si>
    <t>Table 5 and text: The number of breast cancer cases in
stage I-IV amounts to 149 and in stage II+ 89, which corresponds to 17.5 per 10,000 person-years in the control group. The corresponding rate for II+ cases is 10.4 per 10,000 person years.</t>
  </si>
  <si>
    <t>Number of women randomised to screening arm; numbers in control group adjusted to match the size of the study group</t>
  </si>
  <si>
    <t>CIS and stage I</t>
  </si>
  <si>
    <t>Breast cancer data base of the Stockholm Breast
Cancer Study Group.</t>
  </si>
  <si>
    <t>Table 4 and text: In the SP 173 cases belonged to stages
II-IV, while the figure in the CP was 210 cases. Thus, the reduction in the number of advanced tumors after six years of screening was 17.6 per cent.</t>
  </si>
  <si>
    <t>Total number of invasive breast cancers diagnosed 1981-1986</t>
  </si>
  <si>
    <t xml:space="preserve">Table 4 and text: In the SP 173 cases belonged to stages
II-IV, while the figure in the CP was 210 cases. </t>
  </si>
  <si>
    <r>
      <t>Diagnostic yield at screening;</t>
    </r>
    <r>
      <rPr>
        <b/>
        <sz val="10"/>
        <rFont val="Calibri"/>
        <family val="2"/>
        <scheme val="minor"/>
      </rPr>
      <t xml:space="preserve"> CIS + invasive breast cancers</t>
    </r>
    <r>
      <rPr>
        <sz val="10"/>
        <rFont val="Calibri"/>
        <family val="2"/>
        <scheme val="minor"/>
      </rPr>
      <t xml:space="preserve"> (per 100 women </t>
    </r>
    <r>
      <rPr>
        <b/>
        <sz val="10"/>
        <rFont val="Calibri"/>
        <family val="2"/>
        <scheme val="minor"/>
      </rPr>
      <t>aged 40-49 years</t>
    </r>
    <r>
      <rPr>
        <sz val="10"/>
        <rFont val="Calibri"/>
        <family val="2"/>
        <scheme val="minor"/>
      </rPr>
      <t>); rounds 1 + 2;
Screening arm only</t>
    </r>
  </si>
  <si>
    <r>
      <t>% of breast cancers (</t>
    </r>
    <r>
      <rPr>
        <b/>
        <sz val="10"/>
        <rFont val="Calibri"/>
        <family val="2"/>
        <scheme val="minor"/>
      </rPr>
      <t>CIS + invasive</t>
    </r>
    <r>
      <rPr>
        <sz val="10"/>
        <rFont val="Calibri"/>
        <family val="2"/>
        <scheme val="minor"/>
      </rPr>
      <t xml:space="preserve">) that are screen-detected </t>
    </r>
    <r>
      <rPr>
        <b/>
        <sz val="10"/>
        <rFont val="Calibri"/>
        <family val="2"/>
        <scheme val="minor"/>
      </rPr>
      <t>in women aged 40-49 years</t>
    </r>
    <r>
      <rPr>
        <sz val="10"/>
        <rFont val="Calibri"/>
        <family val="2"/>
        <scheme val="minor"/>
      </rPr>
      <t xml:space="preserve"> (2 screening rounds); up to 12 years of follow-up;
Screening arm only</t>
    </r>
  </si>
  <si>
    <t>Mean 11.4 years</t>
  </si>
  <si>
    <r>
      <t>Total number of breast cancers (</t>
    </r>
    <r>
      <rPr>
        <b/>
        <sz val="10"/>
        <rFont val="Calibri"/>
        <family val="2"/>
        <scheme val="minor"/>
      </rPr>
      <t>CIS + invasive</t>
    </r>
    <r>
      <rPr>
        <sz val="10"/>
        <rFont val="Calibri"/>
        <family val="2"/>
        <scheme val="minor"/>
      </rPr>
      <t>) detected during up to 12 years of follow-up</t>
    </r>
  </si>
  <si>
    <t>Table 1 and text: In this age group , 118 and 59 breast cancers were diagnosed…</t>
  </si>
  <si>
    <t>All detected breast cancer cases included in the breast cancer data base of the Stockholm Breast Cancer Study Group. Followup data in that register based on continuous reports from the clinicians responsible. Re-check of all the breast
cancer patients’ records. Check of official population registers and a computerised register covering 95% of the patients in care in the Stockholm region.</t>
  </si>
  <si>
    <r>
      <t>% of breast cancers (</t>
    </r>
    <r>
      <rPr>
        <b/>
        <sz val="10"/>
        <rFont val="Calibri"/>
        <family val="2"/>
        <scheme val="minor"/>
      </rPr>
      <t>CIS + invasive</t>
    </r>
    <r>
      <rPr>
        <sz val="10"/>
        <rFont val="Calibri"/>
        <family val="2"/>
        <scheme val="minor"/>
      </rPr>
      <t>) that are screen-detected in women (2 screening rounds); up to 31/12/1986;
Screening arm only</t>
    </r>
  </si>
  <si>
    <t>31/12/1986</t>
  </si>
  <si>
    <t>Table 1 and text: The study populations are sub_x0002_grouped in screening-detected cancers (n = 224 = 52% of the cancers in the SP)…</t>
  </si>
  <si>
    <r>
      <t>Diagnostic yield at screening;</t>
    </r>
    <r>
      <rPr>
        <b/>
        <sz val="10"/>
        <rFont val="Calibri"/>
        <family val="2"/>
        <scheme val="minor"/>
      </rPr>
      <t xml:space="preserve"> invasive breast cancers</t>
    </r>
    <r>
      <rPr>
        <sz val="10"/>
        <rFont val="Calibri"/>
        <family val="2"/>
        <scheme val="minor"/>
      </rPr>
      <t xml:space="preserve"> (per 100 women); rounds 1 + 2;
Screening arm only</t>
    </r>
  </si>
  <si>
    <t>Number of screen-detected invasive breast cancers; rounds 1 and 2</t>
  </si>
  <si>
    <r>
      <t xml:space="preserve">% of </t>
    </r>
    <r>
      <rPr>
        <b/>
        <sz val="10"/>
        <rFont val="Calibri"/>
        <family val="2"/>
        <scheme val="minor"/>
      </rPr>
      <t xml:space="preserve">invasive </t>
    </r>
    <r>
      <rPr>
        <sz val="10"/>
        <rFont val="Calibri"/>
        <family val="2"/>
        <scheme val="minor"/>
      </rPr>
      <t>breast cancers that are screen-detected in women (2 screening rounds); up to 31/12/1986;
Screening arm only</t>
    </r>
  </si>
  <si>
    <t>Number of invasive breast cancers detected at screening rounds 1 and 2 in study arm</t>
  </si>
  <si>
    <t>Total number of invasive breast cancers detected during up to 12 years of follow-up</t>
  </si>
  <si>
    <t>Absolute incidence of stage I, invasive breast cancers (1981-1986); per 10,000 women;
screening vs control group</t>
  </si>
  <si>
    <t xml:space="preserve">Number of stage I, invasive breast cancers; diagnosed up to 31/12/1986 </t>
  </si>
  <si>
    <t>Absolute incidence of stage II, invasive breast cancers (1981-1986); per 10,000 women;
screening vs control group</t>
  </si>
  <si>
    <t xml:space="preserve">Number of stage II, invasive breast cancers; diagnosed up to 31/12/1986 </t>
  </si>
  <si>
    <t>Absolute incidence of stage III-IV, invasive breast cancers (1981-1986); per 10,000 women;
screening vs control group</t>
  </si>
  <si>
    <t xml:space="preserve">Number of stage III-IV, invasive breast cancers; diagnosed up to 31/12/1986 </t>
  </si>
  <si>
    <t>Absolute incidence of stage II-IV, invasive breast cancers (1981-1986); per 10,000 women;
screening vs control group</t>
  </si>
  <si>
    <t xml:space="preserve">Number of stage II-IV, invasive breast cancers; diagnosed up to 31/12/1986 </t>
  </si>
  <si>
    <t>Total number of breast cancers (invasive + CIS) diagnosed 1981-1986</t>
  </si>
  <si>
    <t>Table 1 and text: In the study population 173 cases (40.2%) belonged to stages 2 through 4, while the same figure in the control population was 97 (44.7%).</t>
  </si>
  <si>
    <t>Hoff 1996</t>
  </si>
  <si>
    <t>All-cause mortality (per 100 people); 10 years of follow-up (1983-1993);
Screening vs control</t>
  </si>
  <si>
    <t>1993</t>
  </si>
  <si>
    <t>Number of deaths from all causes; 10 years of follow-up (1983-1993)</t>
  </si>
  <si>
    <t>Table III and text: After 10 years the overall mortality was 50 (13%) of 400 in the screenin group… compared with 29 (7%) of 399 controls (p=0.02).</t>
  </si>
  <si>
    <t>CRC mortality (per 100 people); CRC diagnosed after randomisation; 10 years of follow-up (1983-1993);
Screening vs control</t>
  </si>
  <si>
    <t>National cancer registry of Norway</t>
  </si>
  <si>
    <t>Cause of death in CRC patients</t>
  </si>
  <si>
    <t>Table V and text: In the group of 76 non-attendants, 1 case of Dukes stage C carcinoma was diagnosed… and let to death 3 years later.</t>
  </si>
  <si>
    <t>CRC mortality (per 100 people); CRC diagnosed before or after randomisation; 10 years of follow-up (1983-1993);
Screening vs control</t>
  </si>
  <si>
    <t>Thiis-Evensen 1999</t>
  </si>
  <si>
    <t>All-cause mortality (per 100 people); 11 years of follow-up (January 1983 to December 1994);
Screening vs control</t>
  </si>
  <si>
    <t>Total mortality rates and causes of death were investigated through the files of the official
Norwegian Bureau of Statistics.</t>
  </si>
  <si>
    <t>Deaths from all causes</t>
  </si>
  <si>
    <t>12/1994</t>
  </si>
  <si>
    <t>Number of deaths from all causes; 11 years of follow-up (January 1983 to December 1994)</t>
  </si>
  <si>
    <t>Figure 2 and text: The accumulated overall death rate, from January 1983 to December 1994, showed 55 (14%) deaths in the screening group, compared with 35 (9%) in the control group (Fig. 2) (relative risk, 1.57; 95% CI, 1.03–2.4; P = 0.02 ).</t>
  </si>
  <si>
    <t>CRC mortality (per 100 people); 14 years of follow-up (1983-1996);
Screening vs control</t>
  </si>
  <si>
    <t>1996</t>
  </si>
  <si>
    <t>Number of CRC deaths; 14 years of follow-up (1983-1996)</t>
  </si>
  <si>
    <t>CRC mortality (per 100 people); 13 years of follow-up (1983-1995);
Screening vs control</t>
  </si>
  <si>
    <t>1995</t>
  </si>
  <si>
    <t>Number of CRC deaths; 13 years of follow-up (1983-1995)</t>
  </si>
  <si>
    <t>CRC mortality (per 100 people); 12 years of follow-up (1983-1994);
Screening vs control</t>
  </si>
  <si>
    <t>1994</t>
  </si>
  <si>
    <t>Number of CRC deaths; 12 years of follow-up (1983-1994)</t>
  </si>
  <si>
    <t>Hoff 2001</t>
  </si>
  <si>
    <t>All-cause mortality (per 100 people); 13 years of follow-up (January 1983 to December 1995);
Screening vs control</t>
  </si>
  <si>
    <t>12/1995</t>
  </si>
  <si>
    <t>Number of deaths from all causes; 13 years of follow-up (January 1983 to December 1995)</t>
  </si>
  <si>
    <t>Table 1 and text: The overall survival rate after 13 years was 338 out of 400 (85%) vs 359 out of 399 (90%), respectively in the SG and CG (P=0.02)…</t>
  </si>
  <si>
    <t>Thiis-Evensen 2013</t>
  </si>
  <si>
    <t>CRC mortality (per 100 people); 26 years of follow-up (31/12/2008);
Screening vs control</t>
  </si>
  <si>
    <t>Cancer Registry of Norway, the Cause of Death
Registry, and Statistics Norway</t>
  </si>
  <si>
    <t>Death, emigration, or the end of follow
up</t>
  </si>
  <si>
    <t>26 years</t>
  </si>
  <si>
    <t>8,441.0 PY; 
mean 21.1 years</t>
  </si>
  <si>
    <t>8,996.7 PY:
mean 22.5 years</t>
  </si>
  <si>
    <t>Number of CRC deaths; 26 years of follow-up (up to 31/12/2008)</t>
  </si>
  <si>
    <t>Table 3 and text: Altogether, eight individuals died of colorectal cancer;
one in the screening group (0.25%) and seven in the
control group (1.8%).</t>
  </si>
  <si>
    <t>CRC mortality (per 100,000 PY); with hazard ratio; 26 years of follow-up (31/12/2008);
Screening vs control</t>
  </si>
  <si>
    <t>Person-years (up to 31/12/2008); by arm</t>
  </si>
  <si>
    <t>Table 2, Table 3 and text: The hazard of death from CRC was reduced by 85% in the screening group compared to the control group (HR 0.16, 95% CI 0.02– 1.28, p=0.08).</t>
  </si>
  <si>
    <t>All-cause mortality (per 100 people); 26 years of follow-up (31/12/2008);
Screening vs control</t>
  </si>
  <si>
    <t>Number of deaths from all causes; 26 years of follow-up (up to 31/12/2008)</t>
  </si>
  <si>
    <t>Table 3 and text: After 26 years of follow up, 188 (47%) individuals had died in the screening group, compared with 151 (38%) in the control group…</t>
  </si>
  <si>
    <t>All-cause mortality (per 100,000 PY); with hazard ratio; 26 years of follow-up (31/12/2008);
Screening vs control</t>
  </si>
  <si>
    <t>Table 2, Table 3 and text: After 26 years of follow up, 188 (47%) individuals had died in the screening group, compared with 151 (38%) in the control group (HR 1.37, 95% CI 1.10–1.70, p=0.004).</t>
  </si>
  <si>
    <t>All-cause mortality (per 100,000 PY); with hazard ratio; period I (1983-1995);
Screening vs control</t>
  </si>
  <si>
    <t>Number of deaths from all causes; period I (1983-1995);</t>
  </si>
  <si>
    <t>Person-years (up to 31/12/1995); by arm</t>
  </si>
  <si>
    <t>Text: This difference was only apparent during time period I from 1983 to 1995 (HR 1.68, 95% CI 1.12–1.52, p¼0.04), but not during time period II from 1996 to 2008 (HR 1.10, 95% CI 0.85–1.42, p=0.46).</t>
  </si>
  <si>
    <t>1989</t>
  </si>
  <si>
    <t>% of CRC that are screen-detected; 1-2 rounds of flexible sigmoidoscopy (1983 and 1985); follow-up until 1993;
Screening arm only</t>
  </si>
  <si>
    <t>Number of individuals with screen-detected CRC; 1-2 screening rounds in 1983 an 1985</t>
  </si>
  <si>
    <t>Total number of CRC diagnosed (screen-detected plus CRC in non-attenders), up to 1993</t>
  </si>
  <si>
    <t>Absolute incidence of CRC (per 100 people); follow-up for 10 years (1983-1993);
Screening vs control</t>
  </si>
  <si>
    <t>Number of individuals with CRC; 10 years of follow-up (1983-1993)</t>
  </si>
  <si>
    <t>Number of people analysed; by arm</t>
  </si>
  <si>
    <t>Absolute incidence of Dukes' A CRC (per 100 people); follow-up for 10 years (1983-1993);
Screening vs control</t>
  </si>
  <si>
    <t>Missing Dukes stage</t>
  </si>
  <si>
    <t>Number of individuals with Dukes' A CRC; 10 years of follow-up (1983-1993)</t>
  </si>
  <si>
    <t>Table V (controls) and text (screening): In the screening phase, one … Dukes stage A carcinoma (2 cm in diameter) was found… In the group of 76 non-attendants 1 case of Dukes stage C carcinoma was diagnosed...</t>
  </si>
  <si>
    <t>Absolute incidence of Dukes' B CRC (per 100 people); follow-up for 10 years (1983-1993);
Screening vs control</t>
  </si>
  <si>
    <t>Number of individuals with Dukes' B CRC; 10 years of follow-up (1983-1993)</t>
  </si>
  <si>
    <t>Absolute incidence of Dukes' C CRC (per 100 people); follow-up for 10 years (1983-1993);
Screening vs control</t>
  </si>
  <si>
    <t>Number of individuals with Dukes' C CRC; 10 years of follow-up (1983-1993)</t>
  </si>
  <si>
    <t>Absolute incidence of CRC (per 100 people); follow-up for 14 years (1983-1996);
Screening vs control</t>
  </si>
  <si>
    <t>Hospital files and the files of the National
Cancer Registry of Norway</t>
  </si>
  <si>
    <t>Number of individuals with CRC; 14 years of follow-up (1983-1996)</t>
  </si>
  <si>
    <t>Figure 1 and text: Compared to 2 cases of CRC in 400 individuals enrolled in the screening group, 10 cases of CRC were found among 399 enrolled in the control group (relative risk, 0.2; 95% CI, 0.03– 0.95; P = 0.02).</t>
  </si>
  <si>
    <t>2 CRC in the control group (1 Dukes' B and 1 Dukes' C) detected at exit screen.</t>
  </si>
  <si>
    <t>Absolute incidence of Dukes' A CRC (per 100 people); follow-up for 14 years (1983-1996);
Screening vs control</t>
  </si>
  <si>
    <t>Number of individuals with Dukes' A CRC; 14 years of follow-up (1983-1996)</t>
  </si>
  <si>
    <t>Absolute incidence of Dukes' B CRC (per 100 people); follow-up for 14 years (1983-1996);
Screening vs control</t>
  </si>
  <si>
    <t>Number of individuals with Dukes' B CRC; 14 years of follow-up (1983-1996)</t>
  </si>
  <si>
    <t>Absolute incidence of Dukes' C CRC (per 100 people); follow-up for 14 years (1983-1996);
Screening vs control</t>
  </si>
  <si>
    <t>Number of individuals with Dukes' C CRC; 14 years of follow-up (1983-1996)</t>
  </si>
  <si>
    <t>Absolute incidence of Dukes' D CRC (per 100 people); follow-up for 14 years (1983-1996);
Screening vs control</t>
  </si>
  <si>
    <t>Number of individuals with Dukes' D CRC; 14 years of follow-up (1983-1996)</t>
  </si>
  <si>
    <t>Absolute incidence of CRC (per 100 people); follow-up for 13 years (1983-1995);
Screening vs control</t>
  </si>
  <si>
    <t>Number of individuals with CRC; 13 years of follow-up (1983-1995)</t>
  </si>
  <si>
    <t>Absolute incidence of CRC (per 100 people); follow-up for 12 years (1983-1994);
Screening vs control</t>
  </si>
  <si>
    <t>Number of individuals with CRC; 12 years of follow-up (1983-1994)</t>
  </si>
  <si>
    <t>Absolute incidence of Dukes' A or B CRC (per 100 people); follow-up for 13 years (1983-1995);
Screening vs control</t>
  </si>
  <si>
    <t>A or B</t>
  </si>
  <si>
    <t>Number of individuals with Dukes' A or B CRC; 13 years of follow-up (1983-1995)</t>
  </si>
  <si>
    <t>Absolute incidence of Dukes' C or D CRC (per 100 people); follow-up for 13 years (1983-1995);
Screening vs control</t>
  </si>
  <si>
    <t>Number of individuals with Dukes' C or D CRC; 13 years of follow-up (1983-1995)</t>
  </si>
  <si>
    <t>Absolute incidence of Dukes' A or B CRC (per 100 people); follow-up for 12 years (1983-1994);
Screening vs control</t>
  </si>
  <si>
    <t>Number of individuals with Dukes' A or B CRC; 12 years of follow-up (1983-1994)</t>
  </si>
  <si>
    <t>Absolute incidence of Dukes' C or D CRC (per 100 people); follow-up for 12 years (1983-1994);
Screening vs control</t>
  </si>
  <si>
    <t>Number of individuals with Dukes' C or D CRC; 12 years of follow-up (1983-1994)</t>
  </si>
  <si>
    <t>Number of individuals with screen-detected polyps; 1-2 screening rounds in 1983 an 1985</t>
  </si>
  <si>
    <t>Text: Polyps were found at screening in 112 (35%) out of 324 attending (81% attendance rate).</t>
  </si>
  <si>
    <t xml:space="preserve">Number of individuals with screen-detected adenomas; 1 screening round in 1983 </t>
  </si>
  <si>
    <t xml:space="preserve">Number of individuals with screen-detected high-risk adenomas (high-grade dysplasia, villous components, or size &gt;9mm in diameter); 1 screening round in 1983 </t>
  </si>
  <si>
    <t xml:space="preserve">Number of individuals with screen-detected CRC; 1 screening round in 1983 </t>
  </si>
  <si>
    <t>Number of individuals with screen-detected adenomas; 1 round of colonoscopy (1996)</t>
  </si>
  <si>
    <t>Number of individuals with screen-detected high-risk adenomas (high-grade dysplasia, villous components, or size &gt;9mm in diameter); 1 round of colonoscopy (1996)</t>
  </si>
  <si>
    <t>Number of individuals with screen-detected CRC; 1 round of colonoscopy (1996)</t>
  </si>
  <si>
    <t>Absolute incidence of CRC (per 100 people); follow-up until 31/12/2008;
Screening vs control</t>
  </si>
  <si>
    <t>31/12/2008</t>
  </si>
  <si>
    <t>8,407.1 PY;
mean 21.0 years</t>
  </si>
  <si>
    <t>8,920.2 PY;
mean 22.4 years</t>
  </si>
  <si>
    <t>Number of people with CRC; follow-up until 31/12/2008</t>
  </si>
  <si>
    <t>Table 3 and text: After a follow-up period of 26 years, with a total of 17,327 person-years, 26 patients were diagnosed with
CRC; seven (1.8%) in the screening group and 19 (4.8%) in the control group.</t>
  </si>
  <si>
    <t>Absolute incidence of CRC (per 100,000 PY); with hazard ratio; follow-up until 31/12/2008;
Screening vs control</t>
  </si>
  <si>
    <t>Table 2, Table 3 and text: The cumulative CRC incidence was reduced by 60% in the screening group compared to the control
group (HR 0.40, 95% CI 0.17–0.95, p=0.04;…</t>
  </si>
  <si>
    <t>Absolute incidence of CRC (per 100,000 PY); with hazard ratio; period I (1983-1995);
Screening vs control</t>
  </si>
  <si>
    <t>31/12/1995</t>
  </si>
  <si>
    <t>Number of people with CRC; follow-up until 31/12/1995</t>
  </si>
  <si>
    <t>Text: The incidence reduction was comparable in time period I and time period II (HR for period I 0.30, 95% CI 0.06–1.44, p¼0.13; HR for period II 0.43, 95% CI 0.15–1.22, p=0.11).</t>
  </si>
  <si>
    <t>Ramadas 2023</t>
  </si>
  <si>
    <t>Trivandrum Breast</t>
  </si>
  <si>
    <t>Breast cancer mortality (per 100,000 PY);
Follow-up until 31/12/2019;
CBE vs control</t>
  </si>
  <si>
    <t>Municipal death registration offices, hospital records, death records kept by churches, mosques, and annual house visits. 
Cause of death assessed by two independent experts blinded to group allocation after evaluation of data from hospital records, death certificates, house visits, and
interviews of relatives and friends. If there was disagreement between the two experts, a third expert reviewed the findings.
Breast cancer was assigned as the cause of death if at least two experts agreed.</t>
  </si>
  <si>
    <t>Date of death for participants who died during the study period, or date of
loss to follow‐up for or date of end of follow‐up.</t>
  </si>
  <si>
    <t>Mean 12.3 years</t>
  </si>
  <si>
    <t>Mean 12.4 years</t>
  </si>
  <si>
    <t>Number of breast cancer deaths; follow-up until 31/12/2019 (14 years)</t>
  </si>
  <si>
    <t>Person-years (until 31/12/2019)</t>
  </si>
  <si>
    <t>Adjusted for type of house, age, education, occupation, marital status, total number of pregnancies, menopausal status, and cluster design.</t>
  </si>
  <si>
    <t>Table 4 and text: There were 75 breast cancer deaths in the intervention and 78 in the control groups… The corresponding age‐standardized breast cancer mortality rates were 11.3 and 11.1 per 100,000 (RR, 1.1; 95% CI, 0.8–1.5).</t>
  </si>
  <si>
    <t>Breast cancer mortality (per 1,000 women randomised);
Follow-up until 31/12/2019;
CBE vs control</t>
  </si>
  <si>
    <t>Table 4 and text: There were 75 breast cancer deaths in the intervention and 78 in the control groups…</t>
  </si>
  <si>
    <t>All-cause mortality (per 100,000 PY);
Follow-up until 31/12/2019;
CBE vs control</t>
  </si>
  <si>
    <t>Number of deaths from all causes follow-up until 31/12/2019 (14 years)</t>
  </si>
  <si>
    <t>All-cause mortality (per 1,000 women randomised);
Follow-up until 31/12/2019;
CBE vs control</t>
  </si>
  <si>
    <t>Number of deaths from all causes; follow-up until 31/12/2019 (14 years)</t>
  </si>
  <si>
    <t>Sankar 2011</t>
  </si>
  <si>
    <t>Diagnostic yield at screening (prevalence round);
per 1,000 women randomised;
CBE</t>
  </si>
  <si>
    <t>Incident breast cancer or death via linkage with the Trivandrum district population-based cancer registry. Blinded registry staff collected data on breast cancer patients by actively visiting hospitals and laboratories  and assessed the cause of death using information collected from the municipal death registration offices, hospital records, and house visits.</t>
  </si>
  <si>
    <t>Number of screen-detected breast cancer (round 1)</t>
  </si>
  <si>
    <r>
      <t xml:space="preserve">0.6 per 1,000 women </t>
    </r>
    <r>
      <rPr>
        <b/>
        <sz val="10"/>
        <rFont val="Calibri"/>
        <family val="2"/>
        <scheme val="minor"/>
      </rPr>
      <t>screened</t>
    </r>
  </si>
  <si>
    <t>% of breast cancers that are screen-detected (prevalence round); follow-up until 31/05/2009;
CBE</t>
  </si>
  <si>
    <t>Absolute incidence of early-stage (stage 0-IIA) breast cancers (per 100,000 PY); follow-up until 31/05/2009;
CBE vs control</t>
  </si>
  <si>
    <t>Stage 0-IIA</t>
  </si>
  <si>
    <t>Stage IIB-IV</t>
  </si>
  <si>
    <t>Number of early stage (stage 0-IIA, UICC TNM) breast cancers; follow-up until 31/05/2009</t>
  </si>
  <si>
    <t>Person-years; follow-up until 31/05/2009</t>
  </si>
  <si>
    <t>Figure 1 and Table 2 and text: The age-standardized incidence rates of early-stage breast cancer were 18.8 and 8.1 per 100 000 women in the intervention and control groups, respectively;...</t>
  </si>
  <si>
    <t>Absolute incidence of early-stage (stage 0-IIA) breast cancers (per 1,000 women randomised); follow-up until 31/05/2009;
CBE vs control</t>
  </si>
  <si>
    <t>Absolute incidence of late-stage (stage IIB-IV) breast cancers (per 100,000 PY); follow-up until 31/05/2009;
CBE vs control</t>
  </si>
  <si>
    <t>Number of late stage (stage IIB-IV, UICC TNM) breast cancers; follow-up until 31/05/2009</t>
  </si>
  <si>
    <t>Figure 1 and Table 2 and text: The age-standardized incidence rates of ... of advanced breast cancer (stage IIB or higher) were 19.6 and 21.7 per 100 000 women, respectively.</t>
  </si>
  <si>
    <t>Absolute incidence of late-stage (stage IIB-IV) breast cancers (per 1,000 women randomised); follow-up until 31/05/2009;
CBE vs control</t>
  </si>
  <si>
    <t>% of breast cancers diagnosed at late-stage (stage IIB-IV) breast cancers; follow-up until 31/05/2009;
CBE vs control</t>
  </si>
  <si>
    <t>Total number of breast cancers diagnosed up to 31/05/2009 (including cancers with unknown stage)</t>
  </si>
  <si>
    <t>Absolute incidence of stage 0-I breast cancers (per 100,000 PY); follow-up until 31/05/2009;
CBE vs control</t>
  </si>
  <si>
    <t>Stage 0-I</t>
  </si>
  <si>
    <t>Number of stage 0-I (UICC TNM) breast cancers; follow-up until 31/05/2009</t>
  </si>
  <si>
    <t>Absolute incidence of stage 0-I breast cancers (per 1,000 women randomised); follow-up until 31/05/2009;
CBE vs control</t>
  </si>
  <si>
    <t>Absolute incidence of stage IIA breast cancers (per 100,000 PY); follow-up until 31/05/2009;
CBE vs control</t>
  </si>
  <si>
    <t>Number of stage IIA (UICC TNM) breast cancers; follow-up until 31/05/2009</t>
  </si>
  <si>
    <t>Absolute incidence of stage IIA breast cancers (per 1,000 women randomised); follow-up until 31/05/2009;
CBE vs control</t>
  </si>
  <si>
    <r>
      <t xml:space="preserve">Absolute incidence of breast cancer with size </t>
    </r>
    <r>
      <rPr>
        <sz val="10"/>
        <rFont val="Calibri"/>
        <family val="2"/>
      </rPr>
      <t>≤2 cm</t>
    </r>
    <r>
      <rPr>
        <sz val="10"/>
        <rFont val="Calibri"/>
        <family val="2"/>
        <scheme val="minor"/>
      </rPr>
      <t xml:space="preserve"> (per 100,000 PY); follow-up until 31/05/2009;
CBE vs control</t>
    </r>
  </si>
  <si>
    <r>
      <t xml:space="preserve">Number of breast cancers </t>
    </r>
    <r>
      <rPr>
        <sz val="10"/>
        <rFont val="Calibri"/>
        <family val="2"/>
      </rPr>
      <t>≤2 cm</t>
    </r>
    <r>
      <rPr>
        <sz val="10"/>
        <rFont val="Calibri"/>
        <family val="2"/>
        <scheme val="minor"/>
      </rPr>
      <t>; follow-up until 31/05/2009</t>
    </r>
  </si>
  <si>
    <t>Absolute incidence of breast cancer with size ≤2 cm (per 1,000 women randomised); follow-up until 31/05/2009;
CBE vs control</t>
  </si>
  <si>
    <t>Absolute incidence of node-negative breast cancer (per 100,000 PY); follow-up until 31/05/2009;
CBE vs control</t>
  </si>
  <si>
    <t>Number of node-negative breast cancers; follow-up until 31/05/2009</t>
  </si>
  <si>
    <t>Absolute incidence of node-negative breast cancer (per 1,000 women randomised); follow-up until 31/05/2009;
CBE vs control</t>
  </si>
  <si>
    <t>Diagnostic yield at screening (all 3 rounds);
per 1,000 women randomised;
CBE</t>
  </si>
  <si>
    <t>Home visits and linkage with population-based cancer registry. Cancer registry staff members blinded to study group assignments collected data by visiting hospitals and laboratories where breast cancer cases are diagnosed and treated.</t>
  </si>
  <si>
    <t>Date of diagnosis for women diagnosed with breast cancer, or the date of death, date of loss to follow‐up or date of end of follow‐up (December 31, 2019),</t>
  </si>
  <si>
    <t>Number of screen-detected breast cancer (all 3 rounds)</t>
  </si>
  <si>
    <r>
      <t xml:space="preserve">2.1 per 1,000 women </t>
    </r>
    <r>
      <rPr>
        <b/>
        <sz val="10"/>
        <rFont val="Calibri"/>
        <family val="2"/>
        <scheme val="minor"/>
      </rPr>
      <t>screened</t>
    </r>
  </si>
  <si>
    <t>% of breast cancers that are screen-detected (all 3 rounds); follow-up until 31/12/2019;
CBE</t>
  </si>
  <si>
    <t>Total number of breast cancers diagnosed up to 31/12/2019</t>
  </si>
  <si>
    <t>Absolute incidence of stage I breast cancers (per 1,000 women randomised); follow-up until 31/12/2019;
CBE vs control</t>
  </si>
  <si>
    <t>Stage III-IV (UICC TNM 2005)</t>
  </si>
  <si>
    <t>Stage I-II (UICC TNM 2005)</t>
  </si>
  <si>
    <t>Number of stage I (UICC TNM 2005) breast cancers; follow-up until 31/12/2019</t>
  </si>
  <si>
    <t>Absolute incidence of stage I breast cancers (per 100,000 PY); follow-up until 31/12/2019;
CBE vs control</t>
  </si>
  <si>
    <t>Person-years; follow-up until 31/12/2019</t>
  </si>
  <si>
    <t>Absolute incidence of stage II breast cancers (per 1,000 women randomised); follow-up until 31/12/2019;
CBE vs control</t>
  </si>
  <si>
    <t>Number of stage II (UICC TNM 2005) breast cancers; follow-up until 31/12/2019</t>
  </si>
  <si>
    <t>Absolute incidence of stage II breast cancers (per 100,000 PY); follow-up until 31/12/2019;
CBE vs control</t>
  </si>
  <si>
    <t>Absolute incidence of early-stage (stage I- II) breast cancers (per 1,000 women randomised); follow-up until 31/12/2019;
CBE vs control</t>
  </si>
  <si>
    <t>Number of stage 0-II (UICC TNM 2005) breast cancers; follow-up until 31/12/2019</t>
  </si>
  <si>
    <t>Table 3, Table 4 and text: The ASR of early cancer (stages I/II) was 30.4/100,000 in the intervention and 21.9/100,000 in the control group, with a RR of 1.4 (95% CI, 1.1–1.8).</t>
  </si>
  <si>
    <t>Based on pathological composite stage for women who did not receive neo‐adjuvant chemotherapy and on clinical composite stage for those who received neo‐adjuvant chemotherapy.</t>
  </si>
  <si>
    <t>Absolute incidence of early-stage (stage I-II) breast cancers (per 100,000 PY); follow-up until 31/12/2019;
CBE vs control</t>
  </si>
  <si>
    <t>Absolute incidence of stage III breast cancers (per 1,000 women randomised); follow-up until 31/12/2019;
CBE vs control</t>
  </si>
  <si>
    <t>Number of stage III (UICC TNM 2005) breast cancers; follow-up until 31/12/2019</t>
  </si>
  <si>
    <t>Absolute incidence of stage III breast cancers (per 100,000 PY); follow-up until 31/12/2019;
CBE vs control</t>
  </si>
  <si>
    <t>Absolute incidence of stage IV breast cancers (per 1,000 women randomised); follow-up until 31/12/2019;
CBE vs control</t>
  </si>
  <si>
    <t>Number of stage IV (UICC TNM 2005) breast cancers; follow-up until 31/12/2019</t>
  </si>
  <si>
    <t>Absolute incidence of stage IV breast cancers (per 100,000 PY); follow-up until 31/12/2019;
CBE vs control</t>
  </si>
  <si>
    <t>Absolute incidence of late-stage (stage III-IV) breast cancers (per 1,000 women randomised); follow-up until 31/12/2019;
CBE vs control</t>
  </si>
  <si>
    <t>Number of stage III-IV (UICC TNM 2005) breast cancers; follow-up until 31/12/2019</t>
  </si>
  <si>
    <t>Table 3, Table 4 and text: Advanced (stages III/IV) cancers comprised of 127 (37.7%) cases in the intervention and 114 (41.8%) in the control groups.</t>
  </si>
  <si>
    <t>Absolute incidence of late-stage (stage III-IV) breast cancers (per 100,000 PY); follow-up until 31/12/2019;
CBE vs control</t>
  </si>
  <si>
    <t>Table 3, Table 4 and text: Advanced (stages III/IV) cancers comprised of 127 (37.7%) cases in the intervention and 114 (41.8%) in the control groups…. The corresponding ASR for advanced cancer were 18.9/100,000 and 16.1/100,000, respectively
(RR, 1.1; 95% CI, 0.8–1.5).</t>
  </si>
  <si>
    <t>% of breast cancers diagnosed at late-stage; follow-up until 31/12/2019;
CBE vs control</t>
  </si>
  <si>
    <t>Number of breast cancers diagnosed up to 31/12/2019 (including cancers with unknown stage)</t>
  </si>
  <si>
    <r>
      <t xml:space="preserve">Absolute incidence of breast cancer </t>
    </r>
    <r>
      <rPr>
        <sz val="10"/>
        <rFont val="Calibri"/>
        <family val="2"/>
      </rPr>
      <t xml:space="preserve">≤2 cm </t>
    </r>
    <r>
      <rPr>
        <sz val="10"/>
        <rFont val="Calibri"/>
        <family val="2"/>
        <scheme val="minor"/>
      </rPr>
      <t>(per 1,000 women randomised); follow-up until 31/12/2019;
CBE vs control</t>
    </r>
  </si>
  <si>
    <t>Number of breast cancer ≤2 cm; follow-up until 31/12/2019</t>
  </si>
  <si>
    <t>Figure 1, Table 3 and text: The proportion of breast cancers measuring &lt;2 cm was 19.4% (n = 65) in the intervention
and 13.2% (n = 36) in the control groups.</t>
  </si>
  <si>
    <t>Absolute incidence of breast cancer ≤2 cm (per 100,000 PY); follow-up until 31/12/2019;
CBE vs control</t>
  </si>
  <si>
    <r>
      <t xml:space="preserve">Absolute incidence of breast cancer </t>
    </r>
    <r>
      <rPr>
        <sz val="10"/>
        <rFont val="Calibri"/>
        <family val="2"/>
      </rPr>
      <t xml:space="preserve">2-5 cm </t>
    </r>
    <r>
      <rPr>
        <sz val="10"/>
        <rFont val="Calibri"/>
        <family val="2"/>
        <scheme val="minor"/>
      </rPr>
      <t>(per 1,000 women randomised); follow-up until 31/12/2019;
CBE vs control</t>
    </r>
  </si>
  <si>
    <t>2-5 cm</t>
  </si>
  <si>
    <t>Number of breast cancer 2-5 cm; follow-up until 31/12/2019</t>
  </si>
  <si>
    <t>Absolute incidence of breast cancer 2-5 cm (per 100,000 PY); follow-up until 31/12/2019;
CBE vs control</t>
  </si>
  <si>
    <r>
      <t>Absolute incidence of breast cancer &gt;5</t>
    </r>
    <r>
      <rPr>
        <sz val="10"/>
        <rFont val="Calibri"/>
        <family val="2"/>
      </rPr>
      <t xml:space="preserve"> cm </t>
    </r>
    <r>
      <rPr>
        <sz val="10"/>
        <rFont val="Calibri"/>
        <family val="2"/>
        <scheme val="minor"/>
      </rPr>
      <t>(per 1,000 women randomised); follow-up until 31/12/2019;
CBE vs control</t>
    </r>
  </si>
  <si>
    <t>&gt;5 cm</t>
  </si>
  <si>
    <t>Number of breast cancer &gt;5 cm; follow-up until 31/12/2019</t>
  </si>
  <si>
    <t>Absolute incidence of breast cancer &gt;5 cm (per 100,000 PY); follow-up until 31/12/2019;
CBE vs control</t>
  </si>
  <si>
    <r>
      <t>Absolute incidence of breast cancer &gt;2</t>
    </r>
    <r>
      <rPr>
        <sz val="10"/>
        <rFont val="Calibri"/>
        <family val="2"/>
      </rPr>
      <t xml:space="preserve"> cm </t>
    </r>
    <r>
      <rPr>
        <sz val="10"/>
        <rFont val="Calibri"/>
        <family val="2"/>
        <scheme val="minor"/>
      </rPr>
      <t>(per 1,000 women randomised); follow-up until 31/12/2019;
CBE vs control</t>
    </r>
  </si>
  <si>
    <t>Number of breast cancer &gt;2 cm; follow-up until 31/12/2019</t>
  </si>
  <si>
    <t>Absolute incidence of breast cancer &gt;2 cm (per 100,000 PY); follow-up until 31/12/2019;
CBE vs control</t>
  </si>
  <si>
    <r>
      <t>Absolute incidence of node-negative breast cancer</t>
    </r>
    <r>
      <rPr>
        <sz val="10"/>
        <rFont val="Calibri"/>
        <family val="2"/>
      </rPr>
      <t xml:space="preserve"> </t>
    </r>
    <r>
      <rPr>
        <sz val="10"/>
        <rFont val="Calibri"/>
        <family val="2"/>
        <scheme val="minor"/>
      </rPr>
      <t>(per 1,000 women randomised); follow-up until 31/12/2019;
CBE vs control</t>
    </r>
  </si>
  <si>
    <t>Number of node-negative breast cancer; follow-up until 31/12/2019</t>
  </si>
  <si>
    <t>Absolute incidence of node-negative breast cancer (per 100,000 PY); follow-up until 31/12/2019;
CBE vs control</t>
  </si>
  <si>
    <r>
      <t>Absolute incidence of node-positive breast cancer</t>
    </r>
    <r>
      <rPr>
        <sz val="10"/>
        <rFont val="Calibri"/>
        <family val="2"/>
      </rPr>
      <t xml:space="preserve"> </t>
    </r>
    <r>
      <rPr>
        <sz val="10"/>
        <rFont val="Calibri"/>
        <family val="2"/>
        <scheme val="minor"/>
      </rPr>
      <t>(per 1,000 women randomised); follow-up until 31/12/2019;
CBE vs control</t>
    </r>
  </si>
  <si>
    <t>Number of node-positive breast cancer; follow-up until 31/12/2019</t>
  </si>
  <si>
    <t>Absolute incidence of node-positive breast cancer (per 100,000 PY); follow-up until 31/12/2019;
CBE vs control</t>
  </si>
  <si>
    <t>Tabar 1985</t>
  </si>
  <si>
    <r>
      <t xml:space="preserve">Breast cancer mortality (per 1,000 women </t>
    </r>
    <r>
      <rPr>
        <b/>
        <sz val="10"/>
        <rFont val="Calibri"/>
        <family val="2"/>
        <scheme val="minor"/>
      </rPr>
      <t>aged 40-74 years</t>
    </r>
    <r>
      <rPr>
        <sz val="10"/>
        <rFont val="Calibri"/>
        <family val="2"/>
        <scheme val="minor"/>
      </rPr>
      <t>); up to 31/12/1984;
Study vs control arms</t>
    </r>
  </si>
  <si>
    <t>National Bureau of Statistics; death classified by members of the local project groups as being due to breast cancer only after a full review of the clinical and pathological records; if doubtful the records were reviewed by a combined committee from the 2 counties.</t>
  </si>
  <si>
    <t>40-74 years</t>
  </si>
  <si>
    <t>466,272 PY;
Mean 6.0 years</t>
  </si>
  <si>
    <t>334,016 PY;
mean 5.9 years</t>
  </si>
  <si>
    <r>
      <t xml:space="preserve">Number of deaths from breast cancer </t>
    </r>
    <r>
      <rPr>
        <b/>
        <sz val="10"/>
        <rFont val="Calibri"/>
        <family val="2"/>
        <scheme val="minor"/>
      </rPr>
      <t>in women aged 40-74 years at entry</t>
    </r>
    <r>
      <rPr>
        <sz val="10"/>
        <rFont val="Calibri"/>
        <family val="2"/>
        <scheme val="minor"/>
      </rPr>
      <t>; up to 31/12/1984</t>
    </r>
  </si>
  <si>
    <r>
      <t xml:space="preserve">Number of women analysed </t>
    </r>
    <r>
      <rPr>
        <b/>
        <sz val="10"/>
        <rFont val="Calibri"/>
        <family val="2"/>
        <scheme val="minor"/>
      </rPr>
      <t>aged 40-74 years at entry</t>
    </r>
    <r>
      <rPr>
        <sz val="10"/>
        <rFont val="Calibri"/>
        <family val="2"/>
        <scheme val="minor"/>
      </rPr>
      <t>, by arm</t>
    </r>
  </si>
  <si>
    <t>Stratified by county and age.</t>
  </si>
  <si>
    <t>Table VI and text: Overall there is a 31% reduction in mortality in the study group (p = 0.013, 2-sided test).</t>
  </si>
  <si>
    <r>
      <t xml:space="preserve">Breast cancer mortality (per 1,000 PY in women </t>
    </r>
    <r>
      <rPr>
        <b/>
        <sz val="10"/>
        <rFont val="Calibri"/>
        <family val="2"/>
        <scheme val="minor"/>
      </rPr>
      <t>aged 40-74 years</t>
    </r>
    <r>
      <rPr>
        <sz val="10"/>
        <rFont val="Calibri"/>
        <family val="2"/>
        <scheme val="minor"/>
      </rPr>
      <t>); up to 31/12/1984;
Study vs control arms</t>
    </r>
  </si>
  <si>
    <r>
      <t xml:space="preserve">Person-years in women analysed </t>
    </r>
    <r>
      <rPr>
        <b/>
        <sz val="10"/>
        <rFont val="Calibri"/>
        <family val="2"/>
        <scheme val="minor"/>
      </rPr>
      <t>aged 40-74 years at entry</t>
    </r>
    <r>
      <rPr>
        <sz val="10"/>
        <rFont val="Calibri"/>
        <family val="2"/>
        <scheme val="minor"/>
      </rPr>
      <t>, by arm</t>
    </r>
  </si>
  <si>
    <t>Table VI and Table III for denominator</t>
  </si>
  <si>
    <t>Kopparberg County</t>
  </si>
  <si>
    <t>Stratified by age.</t>
  </si>
  <si>
    <t>Ostergotland County</t>
  </si>
  <si>
    <r>
      <t xml:space="preserve">Breast cancer mortality (per 1,000 women </t>
    </r>
    <r>
      <rPr>
        <b/>
        <sz val="10"/>
        <rFont val="Calibri"/>
        <family val="2"/>
        <scheme val="minor"/>
      </rPr>
      <t>aged 40-49 years at entry</t>
    </r>
    <r>
      <rPr>
        <sz val="10"/>
        <rFont val="Calibri"/>
        <family val="2"/>
        <scheme val="minor"/>
      </rPr>
      <t>); up to 31/12/1984;
Study vs control arms</t>
    </r>
  </si>
  <si>
    <r>
      <t xml:space="preserve">Number of deaths from breast cancer </t>
    </r>
    <r>
      <rPr>
        <b/>
        <sz val="10"/>
        <rFont val="Calibri"/>
        <family val="2"/>
        <scheme val="minor"/>
      </rPr>
      <t>in women aged 40-49 years at entry</t>
    </r>
    <r>
      <rPr>
        <sz val="10"/>
        <rFont val="Calibri"/>
        <family val="2"/>
        <scheme val="minor"/>
      </rPr>
      <t>; up to 31/12/1984</t>
    </r>
  </si>
  <si>
    <r>
      <t xml:space="preserve">Number of women analysed </t>
    </r>
    <r>
      <rPr>
        <b/>
        <sz val="10"/>
        <rFont val="Calibri"/>
        <family val="2"/>
        <scheme val="minor"/>
      </rPr>
      <t>aged 40-49 years at entry</t>
    </r>
    <r>
      <rPr>
        <sz val="10"/>
        <rFont val="Calibri"/>
        <family val="2"/>
        <scheme val="minor"/>
      </rPr>
      <t>, by arm</t>
    </r>
  </si>
  <si>
    <r>
      <t xml:space="preserve">Breast cancer mortality (per 1,000 women </t>
    </r>
    <r>
      <rPr>
        <b/>
        <sz val="10"/>
        <rFont val="Calibri"/>
        <family val="2"/>
        <scheme val="minor"/>
      </rPr>
      <t>aged 50-74 years at entry</t>
    </r>
    <r>
      <rPr>
        <sz val="10"/>
        <rFont val="Calibri"/>
        <family val="2"/>
        <scheme val="minor"/>
      </rPr>
      <t>); up to 31/12/1984;
Study vs control arms</t>
    </r>
  </si>
  <si>
    <t>50-74 years</t>
  </si>
  <si>
    <r>
      <t xml:space="preserve">Number of deaths from breast cancer </t>
    </r>
    <r>
      <rPr>
        <b/>
        <sz val="10"/>
        <rFont val="Calibri"/>
        <family val="2"/>
        <scheme val="minor"/>
      </rPr>
      <t>in women aged 50-74 years at entry</t>
    </r>
    <r>
      <rPr>
        <sz val="10"/>
        <rFont val="Calibri"/>
        <family val="2"/>
        <scheme val="minor"/>
      </rPr>
      <t>; up to 31/12/1984</t>
    </r>
  </si>
  <si>
    <r>
      <t xml:space="preserve">Number of women analysed </t>
    </r>
    <r>
      <rPr>
        <b/>
        <sz val="10"/>
        <rFont val="Calibri"/>
        <family val="2"/>
        <scheme val="minor"/>
      </rPr>
      <t>aged 50-74 years at entry</t>
    </r>
    <r>
      <rPr>
        <sz val="10"/>
        <rFont val="Calibri"/>
        <family val="2"/>
        <scheme val="minor"/>
      </rPr>
      <t>, by arm</t>
    </r>
  </si>
  <si>
    <t>Table VII and text: In the 50-74 age-group, there is an overall reduction in mortality of 40% (p = 0.003).</t>
  </si>
  <si>
    <r>
      <t xml:space="preserve">Breast cancer mortality (per 100,000 women </t>
    </r>
    <r>
      <rPr>
        <b/>
        <sz val="10"/>
        <rFont val="Calibri"/>
        <family val="2"/>
        <scheme val="minor"/>
      </rPr>
      <t>aged 40-74 years</t>
    </r>
    <r>
      <rPr>
        <sz val="10"/>
        <rFont val="Calibri"/>
        <family val="2"/>
        <scheme val="minor"/>
      </rPr>
      <t>); 
1 year since randomisation;
Study vs control arms</t>
    </r>
  </si>
  <si>
    <t>78,085 PY;
mean 1.0 years</t>
  </si>
  <si>
    <t>56782 PY;
mean 1.0 years</t>
  </si>
  <si>
    <r>
      <t xml:space="preserve">Number of deaths from breast cancer </t>
    </r>
    <r>
      <rPr>
        <b/>
        <sz val="10"/>
        <rFont val="Calibri"/>
        <family val="2"/>
        <scheme val="minor"/>
      </rPr>
      <t>in women aged 40-74 years at entry</t>
    </r>
    <r>
      <rPr>
        <sz val="10"/>
        <rFont val="Calibri"/>
        <family val="2"/>
        <scheme val="minor"/>
      </rPr>
      <t>; 
1 year since randomisation (figures for the control group are adjusted for the different size of the control group in Kopparberg county)</t>
    </r>
  </si>
  <si>
    <r>
      <t xml:space="preserve">Number of women analysed </t>
    </r>
    <r>
      <rPr>
        <b/>
        <sz val="10"/>
        <rFont val="Calibri"/>
        <family val="2"/>
        <scheme val="minor"/>
      </rPr>
      <t>aged 40-74 years at entry</t>
    </r>
    <r>
      <rPr>
        <sz val="10"/>
        <rFont val="Calibri"/>
        <family val="2"/>
        <scheme val="minor"/>
      </rPr>
      <t>, by arm (figures for the control group are adjusted for the different size of the control group in Kopparberg county)</t>
    </r>
  </si>
  <si>
    <t>Per 100,000 women</t>
  </si>
  <si>
    <t>The number of cases in the Kopparberg control group has been doubled to allow for the control-group size.</t>
  </si>
  <si>
    <r>
      <t xml:space="preserve">Breast cancer mortality (per 100,000 women </t>
    </r>
    <r>
      <rPr>
        <b/>
        <sz val="10"/>
        <rFont val="Calibri"/>
        <family val="2"/>
        <scheme val="minor"/>
      </rPr>
      <t>aged 40-74 years</t>
    </r>
    <r>
      <rPr>
        <sz val="10"/>
        <rFont val="Calibri"/>
        <family val="2"/>
        <scheme val="minor"/>
      </rPr>
      <t>); 
2 years since randomisation;
Study vs control arms</t>
    </r>
  </si>
  <si>
    <t>155,433 PY;
mean 1.99 years</t>
  </si>
  <si>
    <t>113,075 PY;
mean 1.99 years</t>
  </si>
  <si>
    <r>
      <t xml:space="preserve">Number of deaths from breast cancer </t>
    </r>
    <r>
      <rPr>
        <b/>
        <sz val="10"/>
        <rFont val="Calibri"/>
        <family val="2"/>
        <scheme val="minor"/>
      </rPr>
      <t>in women aged 40-74 years at entry</t>
    </r>
    <r>
      <rPr>
        <sz val="10"/>
        <rFont val="Calibri"/>
        <family val="2"/>
        <scheme val="minor"/>
      </rPr>
      <t>; 
2 years since randomisation (figures for the control group are adjusted for the different size of the control group in Kopparberg county)</t>
    </r>
  </si>
  <si>
    <r>
      <t xml:space="preserve">Breast cancer mortality (per 100,000 women </t>
    </r>
    <r>
      <rPr>
        <b/>
        <sz val="10"/>
        <rFont val="Calibri"/>
        <family val="2"/>
        <scheme val="minor"/>
      </rPr>
      <t>aged 40-74 years</t>
    </r>
    <r>
      <rPr>
        <sz val="10"/>
        <rFont val="Calibri"/>
        <family val="2"/>
        <scheme val="minor"/>
      </rPr>
      <t>); 
3 years since randomisation;
Study vs control arms</t>
    </r>
  </si>
  <si>
    <t>231,437 PY;
mean 2.96 years</t>
  </si>
  <si>
    <t>168,374 PY;
mean 2.97 years</t>
  </si>
  <si>
    <r>
      <t xml:space="preserve">Number of deaths from breast cancer </t>
    </r>
    <r>
      <rPr>
        <b/>
        <sz val="10"/>
        <rFont val="Calibri"/>
        <family val="2"/>
        <scheme val="minor"/>
      </rPr>
      <t>in women aged 40-74 years at entry</t>
    </r>
    <r>
      <rPr>
        <sz val="10"/>
        <rFont val="Calibri"/>
        <family val="2"/>
        <scheme val="minor"/>
      </rPr>
      <t>; 
3 years since randomisation (figures for the control group are adjusted for the different size of the control group in Kopparberg county)</t>
    </r>
  </si>
  <si>
    <r>
      <t xml:space="preserve">Breast cancer mortality (per 100,000 women </t>
    </r>
    <r>
      <rPr>
        <b/>
        <sz val="10"/>
        <rFont val="Calibri"/>
        <family val="2"/>
        <scheme val="minor"/>
      </rPr>
      <t>aged 40-74 years</t>
    </r>
    <r>
      <rPr>
        <sz val="10"/>
        <rFont val="Calibri"/>
        <family val="2"/>
        <scheme val="minor"/>
      </rPr>
      <t>); 
4 years since randomisation;
Study vs control arms</t>
    </r>
  </si>
  <si>
    <t>306,512 PY;
mean 3.93 years</t>
  </si>
  <si>
    <t>222,869 PY;
mean 3.92 years</t>
  </si>
  <si>
    <r>
      <t xml:space="preserve">Number of deaths from breast cancer </t>
    </r>
    <r>
      <rPr>
        <b/>
        <sz val="10"/>
        <rFont val="Calibri"/>
        <family val="2"/>
        <scheme val="minor"/>
      </rPr>
      <t>in women aged 40-74 years at entry</t>
    </r>
    <r>
      <rPr>
        <sz val="10"/>
        <rFont val="Calibri"/>
        <family val="2"/>
        <scheme val="minor"/>
      </rPr>
      <t>; 
4 years since randomisation (figures for the control group are adjusted for the different size of the control group in Kopparberg county)</t>
    </r>
  </si>
  <si>
    <r>
      <t xml:space="preserve">Breast cancer mortality (per 100,000 women </t>
    </r>
    <r>
      <rPr>
        <b/>
        <sz val="10"/>
        <rFont val="Calibri"/>
        <family val="2"/>
        <scheme val="minor"/>
      </rPr>
      <t>aged 40-74 years</t>
    </r>
    <r>
      <rPr>
        <sz val="10"/>
        <rFont val="Calibri"/>
        <family val="2"/>
        <scheme val="minor"/>
      </rPr>
      <t>); 
5 years since randomisation;
Study vs control arms</t>
    </r>
  </si>
  <si>
    <t>377,871 PY;
mean 4.84 years</t>
  </si>
  <si>
    <t>274,534 PY;
mean 4.83 years</t>
  </si>
  <si>
    <r>
      <t xml:space="preserve">Number of deaths from breast cancer </t>
    </r>
    <r>
      <rPr>
        <b/>
        <sz val="10"/>
        <rFont val="Calibri"/>
        <family val="2"/>
        <scheme val="minor"/>
      </rPr>
      <t>in women aged 40-74 years at entry</t>
    </r>
    <r>
      <rPr>
        <sz val="10"/>
        <rFont val="Calibri"/>
        <family val="2"/>
        <scheme val="minor"/>
      </rPr>
      <t>; 
5 years since randomisation (figures for the control group are adjusted for the different size of the control group in Kopparberg county)</t>
    </r>
  </si>
  <si>
    <r>
      <t xml:space="preserve">Breast cancer mortality (per 100,000 women </t>
    </r>
    <r>
      <rPr>
        <b/>
        <sz val="10"/>
        <rFont val="Calibri"/>
        <family val="2"/>
        <scheme val="minor"/>
      </rPr>
      <t>aged 40-74 years</t>
    </r>
    <r>
      <rPr>
        <sz val="10"/>
        <rFont val="Calibri"/>
        <family val="2"/>
        <scheme val="minor"/>
      </rPr>
      <t>); 
6 years since randomisation;
Study vs control arms</t>
    </r>
  </si>
  <si>
    <t>432,631 PY;
mean 5.54 years</t>
  </si>
  <si>
    <t>313,793 PY;
mean 5.53 years</t>
  </si>
  <si>
    <r>
      <t xml:space="preserve">Number of deaths from breast cancer </t>
    </r>
    <r>
      <rPr>
        <b/>
        <sz val="10"/>
        <rFont val="Calibri"/>
        <family val="2"/>
        <scheme val="minor"/>
      </rPr>
      <t>in women aged 40-74 years at entry</t>
    </r>
    <r>
      <rPr>
        <sz val="10"/>
        <rFont val="Calibri"/>
        <family val="2"/>
        <scheme val="minor"/>
      </rPr>
      <t>; 
6 years since randomisation (figures for the control group are adjusted for the different size of the control group in Kopparberg county)</t>
    </r>
  </si>
  <si>
    <r>
      <t xml:space="preserve">Breast cancer mortality (per 100,000 women </t>
    </r>
    <r>
      <rPr>
        <b/>
        <sz val="10"/>
        <rFont val="Calibri"/>
        <family val="2"/>
        <scheme val="minor"/>
      </rPr>
      <t>aged 40-74 years</t>
    </r>
    <r>
      <rPr>
        <sz val="10"/>
        <rFont val="Calibri"/>
        <family val="2"/>
        <scheme val="minor"/>
      </rPr>
      <t>); 
7 years since randomisation;
Study vs control arms</t>
    </r>
  </si>
  <si>
    <t>460,591 PY;
mean 5.90 years</t>
  </si>
  <si>
    <t>331,068 PY;
mean 5.83 years</t>
  </si>
  <si>
    <r>
      <t xml:space="preserve">Number of deaths from breast cancer </t>
    </r>
    <r>
      <rPr>
        <b/>
        <sz val="10"/>
        <rFont val="Calibri"/>
        <family val="2"/>
        <scheme val="minor"/>
      </rPr>
      <t>in women aged 40-74 years at entry</t>
    </r>
    <r>
      <rPr>
        <sz val="10"/>
        <rFont val="Calibri"/>
        <family val="2"/>
        <scheme val="minor"/>
      </rPr>
      <t>; 
7 years since randomisation (figures for the control group are adjusted for the different size of the control group in Kopparberg county)</t>
    </r>
  </si>
  <si>
    <t>Tabar 1989</t>
  </si>
  <si>
    <t>Death was classified as being from breast cancer if breast cancer was considered by the project group to be a primary or contributing cause of death</t>
  </si>
  <si>
    <r>
      <t xml:space="preserve">Breast cancer mortality (per 1,000 women </t>
    </r>
    <r>
      <rPr>
        <b/>
        <sz val="10"/>
        <rFont val="Calibri"/>
        <family val="2"/>
        <scheme val="minor"/>
      </rPr>
      <t>aged 40-74 years</t>
    </r>
    <r>
      <rPr>
        <sz val="10"/>
        <rFont val="Calibri"/>
        <family val="2"/>
        <scheme val="minor"/>
      </rPr>
      <t>); up to 31/12/1985;
Study vs control arms</t>
    </r>
  </si>
  <si>
    <r>
      <t xml:space="preserve">Number of deaths from breast cancer </t>
    </r>
    <r>
      <rPr>
        <b/>
        <sz val="10"/>
        <rFont val="Calibri"/>
        <family val="2"/>
        <scheme val="minor"/>
      </rPr>
      <t>in women aged 40-74 years at entry</t>
    </r>
    <r>
      <rPr>
        <sz val="10"/>
        <rFont val="Calibri"/>
        <family val="2"/>
        <scheme val="minor"/>
      </rPr>
      <t>; up to 31/12/1985</t>
    </r>
  </si>
  <si>
    <r>
      <t xml:space="preserve">Breast cancer mortality (per 1,000 women </t>
    </r>
    <r>
      <rPr>
        <b/>
        <sz val="10"/>
        <rFont val="Calibri"/>
        <family val="2"/>
        <scheme val="minor"/>
      </rPr>
      <t>aged 40-74 years</t>
    </r>
    <r>
      <rPr>
        <sz val="10"/>
        <rFont val="Calibri"/>
        <family val="2"/>
        <scheme val="minor"/>
      </rPr>
      <t>); up to 31/12/1986;
Study vs control arms</t>
    </r>
  </si>
  <si>
    <t>Mean 7.9 years
(minimum 5.9 years)</t>
  </si>
  <si>
    <r>
      <t xml:space="preserve">Number of deaths from breast cancer </t>
    </r>
    <r>
      <rPr>
        <b/>
        <sz val="10"/>
        <rFont val="Calibri"/>
        <family val="2"/>
        <scheme val="minor"/>
      </rPr>
      <t>in women aged 40-74 years at entry</t>
    </r>
    <r>
      <rPr>
        <sz val="10"/>
        <rFont val="Calibri"/>
        <family val="2"/>
        <scheme val="minor"/>
      </rPr>
      <t>; up to 31/12/1986</t>
    </r>
  </si>
  <si>
    <r>
      <t xml:space="preserve">Breast cancer mortality (per 1,000 women </t>
    </r>
    <r>
      <rPr>
        <b/>
        <sz val="10"/>
        <rFont val="Calibri"/>
        <family val="2"/>
        <scheme val="minor"/>
      </rPr>
      <t>aged 40-74 years</t>
    </r>
    <r>
      <rPr>
        <sz val="10"/>
        <rFont val="Calibri"/>
        <family val="2"/>
        <scheme val="minor"/>
      </rPr>
      <t>); up to 31/12/1987;
Study vs control arms</t>
    </r>
  </si>
  <si>
    <r>
      <t xml:space="preserve">Number of deaths from breast cancer </t>
    </r>
    <r>
      <rPr>
        <b/>
        <sz val="10"/>
        <rFont val="Calibri"/>
        <family val="2"/>
        <scheme val="minor"/>
      </rPr>
      <t>in women aged 40-74 years at entry</t>
    </r>
    <r>
      <rPr>
        <sz val="10"/>
        <rFont val="Calibri"/>
        <family val="2"/>
        <scheme val="minor"/>
      </rPr>
      <t>; up to 31/12/1987</t>
    </r>
  </si>
  <si>
    <r>
      <t xml:space="preserve">Breast cancer mortality (per 1,000 PY) in women </t>
    </r>
    <r>
      <rPr>
        <b/>
        <sz val="10"/>
        <rFont val="Calibri"/>
        <family val="2"/>
        <scheme val="minor"/>
      </rPr>
      <t>aged 40-74 years</t>
    </r>
    <r>
      <rPr>
        <sz val="10"/>
        <rFont val="Calibri"/>
        <family val="2"/>
        <scheme val="minor"/>
      </rPr>
      <t>; up to 31/12/1984;
Study vs control arms</t>
    </r>
  </si>
  <si>
    <r>
      <t xml:space="preserve">Person years in women </t>
    </r>
    <r>
      <rPr>
        <b/>
        <sz val="10"/>
        <rFont val="Calibri"/>
        <family val="2"/>
        <scheme val="minor"/>
      </rPr>
      <t>aged 40-74 years at entry</t>
    </r>
    <r>
      <rPr>
        <sz val="10"/>
        <rFont val="Calibri"/>
        <family val="2"/>
        <scheme val="minor"/>
      </rPr>
      <t>, by arm</t>
    </r>
  </si>
  <si>
    <t>Adjusted for county</t>
  </si>
  <si>
    <r>
      <t xml:space="preserve">Breast cancer mortality (per 1,000 PY) in women </t>
    </r>
    <r>
      <rPr>
        <b/>
        <sz val="10"/>
        <rFont val="Calibri"/>
        <family val="2"/>
        <scheme val="minor"/>
      </rPr>
      <t>aged 40-74 years</t>
    </r>
    <r>
      <rPr>
        <sz val="10"/>
        <rFont val="Calibri"/>
        <family val="2"/>
        <scheme val="minor"/>
      </rPr>
      <t>; up to 31/12/1985;
Study vs control arms</t>
    </r>
  </si>
  <si>
    <r>
      <t xml:space="preserve">Breast cancer mortality (per 1,000 women </t>
    </r>
    <r>
      <rPr>
        <b/>
        <sz val="10"/>
        <rFont val="Calibri"/>
        <family val="2"/>
        <scheme val="minor"/>
      </rPr>
      <t>aged 40-74 years</t>
    </r>
    <r>
      <rPr>
        <sz val="10"/>
        <rFont val="Calibri"/>
        <family val="2"/>
        <scheme val="minor"/>
      </rPr>
      <t>); up to 31/12/1986 Kopparberg and 31/12/1987 in Ostergotland;
Study vs control arms</t>
    </r>
  </si>
  <si>
    <t>31/12/1986 (Kopparberg);
31/12/1987 (Ostergotland)</t>
  </si>
  <si>
    <r>
      <t xml:space="preserve">Number of deaths from breast cancer </t>
    </r>
    <r>
      <rPr>
        <b/>
        <sz val="10"/>
        <rFont val="Calibri"/>
        <family val="2"/>
        <scheme val="minor"/>
      </rPr>
      <t>in women aged 40-74 years at entry</t>
    </r>
    <r>
      <rPr>
        <sz val="10"/>
        <rFont val="Calibri"/>
        <family val="2"/>
        <scheme val="minor"/>
      </rPr>
      <t>; up to 31/12/1986 in Kopparberg and 31/12/1987 in Ostergotland</t>
    </r>
  </si>
  <si>
    <r>
      <t xml:space="preserve">Breast cancer mortality (per 1,000 PY) in women </t>
    </r>
    <r>
      <rPr>
        <b/>
        <sz val="10"/>
        <rFont val="Calibri"/>
        <family val="2"/>
        <scheme val="minor"/>
      </rPr>
      <t>aged 40-74 years</t>
    </r>
    <r>
      <rPr>
        <sz val="10"/>
        <rFont val="Calibri"/>
        <family val="2"/>
        <scheme val="minor"/>
      </rPr>
      <t>; up to 31/12/1986 Kopparberg and 31/12/1987 in Ostergotland;
Study vs control arms</t>
    </r>
  </si>
  <si>
    <t>Adjusted for county and age</t>
  </si>
  <si>
    <t>Table 2 and Table 5</t>
  </si>
  <si>
    <r>
      <t xml:space="preserve">Breast cancer mortality (per 1,000 women </t>
    </r>
    <r>
      <rPr>
        <b/>
        <sz val="10"/>
        <rFont val="Calibri"/>
        <family val="2"/>
        <scheme val="minor"/>
      </rPr>
      <t>aged 40-49 years</t>
    </r>
    <r>
      <rPr>
        <sz val="10"/>
        <rFont val="Calibri"/>
        <family val="2"/>
        <scheme val="minor"/>
      </rPr>
      <t>); up to 31/12/1986 Kopparberg and 31/12/1987 in Ostergotland;
Study vs control arms</t>
    </r>
  </si>
  <si>
    <t>160561 PY</t>
  </si>
  <si>
    <t>127364 PY</t>
  </si>
  <si>
    <r>
      <t xml:space="preserve">Number of deaths from breast cancer </t>
    </r>
    <r>
      <rPr>
        <b/>
        <sz val="10"/>
        <rFont val="Calibri"/>
        <family val="2"/>
        <scheme val="minor"/>
      </rPr>
      <t>in women aged 40-49 years at entry</t>
    </r>
    <r>
      <rPr>
        <sz val="10"/>
        <rFont val="Calibri"/>
        <family val="2"/>
        <scheme val="minor"/>
      </rPr>
      <t>; up to 31/12/1986 in Kopparberg and 31/12/1987 in Ostergotland</t>
    </r>
  </si>
  <si>
    <r>
      <t xml:space="preserve">Breast cancer mortality (per 1,000 PY) in women </t>
    </r>
    <r>
      <rPr>
        <b/>
        <sz val="10"/>
        <rFont val="Calibri"/>
        <family val="2"/>
        <scheme val="minor"/>
      </rPr>
      <t>aged 40-49 years</t>
    </r>
    <r>
      <rPr>
        <sz val="10"/>
        <rFont val="Calibri"/>
        <family val="2"/>
        <scheme val="minor"/>
      </rPr>
      <t>; up to 31/12/1986 Kopparberg and 31/12/1987 in Ostergotland;
Study vs control arms</t>
    </r>
  </si>
  <si>
    <r>
      <t xml:space="preserve">Person years in women </t>
    </r>
    <r>
      <rPr>
        <b/>
        <sz val="10"/>
        <rFont val="Calibri"/>
        <family val="2"/>
        <scheme val="minor"/>
      </rPr>
      <t>aged 40-49 years at entry</t>
    </r>
    <r>
      <rPr>
        <sz val="10"/>
        <rFont val="Calibri"/>
        <family val="2"/>
        <scheme val="minor"/>
      </rPr>
      <t>, by arm</t>
    </r>
  </si>
  <si>
    <t>Adjusted for county and time period</t>
  </si>
  <si>
    <t>Table 3 and Table 6</t>
  </si>
  <si>
    <r>
      <t xml:space="preserve">Breast cancer mortality (per 1,000 women </t>
    </r>
    <r>
      <rPr>
        <b/>
        <sz val="10"/>
        <rFont val="Calibri"/>
        <family val="2"/>
        <scheme val="minor"/>
      </rPr>
      <t>aged 50-59 years</t>
    </r>
    <r>
      <rPr>
        <sz val="10"/>
        <rFont val="Calibri"/>
        <family val="2"/>
        <scheme val="minor"/>
      </rPr>
      <t>); up to 31/12/1986 Kopparberg and 31/12/1987 in Ostergotland;
Study vs control arms</t>
    </r>
  </si>
  <si>
    <t>191894 PY</t>
  </si>
  <si>
    <t>139564 PY</t>
  </si>
  <si>
    <r>
      <t xml:space="preserve">Number of deaths from breast cancer </t>
    </r>
    <r>
      <rPr>
        <b/>
        <sz val="10"/>
        <rFont val="Calibri"/>
        <family val="2"/>
        <scheme val="minor"/>
      </rPr>
      <t>in women aged 50-59 years at entry</t>
    </r>
    <r>
      <rPr>
        <sz val="10"/>
        <rFont val="Calibri"/>
        <family val="2"/>
        <scheme val="minor"/>
      </rPr>
      <t>; up to 31/12/1986 in Kopparberg and 31/12/1987 in Ostergotland</t>
    </r>
  </si>
  <si>
    <r>
      <t xml:space="preserve">Number of women analysed </t>
    </r>
    <r>
      <rPr>
        <b/>
        <sz val="10"/>
        <rFont val="Calibri"/>
        <family val="2"/>
        <scheme val="minor"/>
      </rPr>
      <t>aged 50-59 years at entry</t>
    </r>
    <r>
      <rPr>
        <sz val="10"/>
        <rFont val="Calibri"/>
        <family val="2"/>
        <scheme val="minor"/>
      </rPr>
      <t>, by arm</t>
    </r>
  </si>
  <si>
    <r>
      <t xml:space="preserve">Breast cancer mortality (per 1,000 PY) in women </t>
    </r>
    <r>
      <rPr>
        <b/>
        <sz val="10"/>
        <rFont val="Calibri"/>
        <family val="2"/>
        <scheme val="minor"/>
      </rPr>
      <t>aged 50-59 years</t>
    </r>
    <r>
      <rPr>
        <sz val="10"/>
        <rFont val="Calibri"/>
        <family val="2"/>
        <scheme val="minor"/>
      </rPr>
      <t>; up to 31/12/1986 Kopparberg and 31/12/1987 in Ostergotland;
Study vs control arms</t>
    </r>
  </si>
  <si>
    <r>
      <t xml:space="preserve">Person years in women </t>
    </r>
    <r>
      <rPr>
        <b/>
        <sz val="10"/>
        <rFont val="Calibri"/>
        <family val="2"/>
        <scheme val="minor"/>
      </rPr>
      <t>aged 50-59 years at entry</t>
    </r>
    <r>
      <rPr>
        <sz val="10"/>
        <rFont val="Calibri"/>
        <family val="2"/>
        <scheme val="minor"/>
      </rPr>
      <t>, by arm</t>
    </r>
  </si>
  <si>
    <t>Table 3, Table 6 and text: When data were analysed in individual age groups (see table 6), the effect of screening was significant in age groups 50-59 and 60-69, but not in age groups 40-49 and 70-74, where the number of breast cancer deaths was smaller.</t>
  </si>
  <si>
    <r>
      <t xml:space="preserve">Breast cancer mortality (per 1,000 women </t>
    </r>
    <r>
      <rPr>
        <b/>
        <sz val="10"/>
        <rFont val="Calibri"/>
        <family val="2"/>
        <scheme val="minor"/>
      </rPr>
      <t>aged 60-69 years</t>
    </r>
    <r>
      <rPr>
        <sz val="10"/>
        <rFont val="Calibri"/>
        <family val="2"/>
        <scheme val="minor"/>
      </rPr>
      <t>); up to 31/12/1986 Kopparberg and 31/12/1987 in Ostergotland;
Study vs control arms</t>
    </r>
  </si>
  <si>
    <t>60-69 years</t>
  </si>
  <si>
    <t>180547 PY</t>
  </si>
  <si>
    <t>126759 PY</t>
  </si>
  <si>
    <r>
      <t xml:space="preserve">Number of deaths from breast cancer </t>
    </r>
    <r>
      <rPr>
        <b/>
        <sz val="10"/>
        <rFont val="Calibri"/>
        <family val="2"/>
        <scheme val="minor"/>
      </rPr>
      <t>in women aged 60-69 years at entry</t>
    </r>
    <r>
      <rPr>
        <sz val="10"/>
        <rFont val="Calibri"/>
        <family val="2"/>
        <scheme val="minor"/>
      </rPr>
      <t>; up to 31/12/1986 in Kopparberg and 31/12/1987 in Ostergotland</t>
    </r>
  </si>
  <si>
    <r>
      <t xml:space="preserve">Number of women analysed </t>
    </r>
    <r>
      <rPr>
        <b/>
        <sz val="10"/>
        <rFont val="Calibri"/>
        <family val="2"/>
        <scheme val="minor"/>
      </rPr>
      <t>aged 60-69 years at entry</t>
    </r>
    <r>
      <rPr>
        <sz val="10"/>
        <rFont val="Calibri"/>
        <family val="2"/>
        <scheme val="minor"/>
      </rPr>
      <t>, by arm</t>
    </r>
  </si>
  <si>
    <r>
      <t xml:space="preserve">Breast cancer mortality (per 1,000 PY) in women </t>
    </r>
    <r>
      <rPr>
        <b/>
        <sz val="10"/>
        <rFont val="Calibri"/>
        <family val="2"/>
        <scheme val="minor"/>
      </rPr>
      <t>aged 60-69 years</t>
    </r>
    <r>
      <rPr>
        <sz val="10"/>
        <rFont val="Calibri"/>
        <family val="2"/>
        <scheme val="minor"/>
      </rPr>
      <t>; up to 31/12/1986 Kopparberg and 31/12/1987 in Ostergotland;
Study vs control arms</t>
    </r>
  </si>
  <si>
    <r>
      <t xml:space="preserve">Person years in women </t>
    </r>
    <r>
      <rPr>
        <b/>
        <sz val="10"/>
        <rFont val="Calibri"/>
        <family val="2"/>
        <scheme val="minor"/>
      </rPr>
      <t>aged 60-69 years at entry</t>
    </r>
    <r>
      <rPr>
        <sz val="10"/>
        <rFont val="Calibri"/>
        <family val="2"/>
        <scheme val="minor"/>
      </rPr>
      <t>, by arm</t>
    </r>
  </si>
  <si>
    <r>
      <t xml:space="preserve">Breast cancer mortality (per 1,000 women </t>
    </r>
    <r>
      <rPr>
        <b/>
        <sz val="10"/>
        <rFont val="Calibri"/>
        <family val="2"/>
        <scheme val="minor"/>
      </rPr>
      <t>aged 70-74 years</t>
    </r>
    <r>
      <rPr>
        <sz val="10"/>
        <rFont val="Calibri"/>
        <family val="2"/>
        <scheme val="minor"/>
      </rPr>
      <t>); up to 31/12/1986 Kopparberg and 31/12/1987 in Ostergotland;
Study vs control arms</t>
    </r>
  </si>
  <si>
    <t>70-74 years</t>
  </si>
  <si>
    <t>73653 PY</t>
  </si>
  <si>
    <t>52534 PY</t>
  </si>
  <si>
    <r>
      <t xml:space="preserve">Number of deaths from breast cancer </t>
    </r>
    <r>
      <rPr>
        <b/>
        <sz val="10"/>
        <rFont val="Calibri"/>
        <family val="2"/>
        <scheme val="minor"/>
      </rPr>
      <t>in women aged 70-74 years at entry</t>
    </r>
    <r>
      <rPr>
        <sz val="10"/>
        <rFont val="Calibri"/>
        <family val="2"/>
        <scheme val="minor"/>
      </rPr>
      <t>; up to 31/12/1986 in Kopparberg and 31/12/1987 in Ostergotland</t>
    </r>
  </si>
  <si>
    <r>
      <t xml:space="preserve">Number of women analysed </t>
    </r>
    <r>
      <rPr>
        <b/>
        <sz val="10"/>
        <rFont val="Calibri"/>
        <family val="2"/>
        <scheme val="minor"/>
      </rPr>
      <t>aged 70-74 years at entry</t>
    </r>
    <r>
      <rPr>
        <sz val="10"/>
        <rFont val="Calibri"/>
        <family val="2"/>
        <scheme val="minor"/>
      </rPr>
      <t>, by arm</t>
    </r>
  </si>
  <si>
    <r>
      <t xml:space="preserve">Breast cancer mortality (per 1,000 PY) in women </t>
    </r>
    <r>
      <rPr>
        <b/>
        <sz val="10"/>
        <rFont val="Calibri"/>
        <family val="2"/>
        <scheme val="minor"/>
      </rPr>
      <t>aged 70-74 years</t>
    </r>
    <r>
      <rPr>
        <sz val="10"/>
        <rFont val="Calibri"/>
        <family val="2"/>
        <scheme val="minor"/>
      </rPr>
      <t>; up to 31/12/1986 Kopparberg and 31/12/1987 in Ostergotland;
Study vs control arms</t>
    </r>
  </si>
  <si>
    <r>
      <t xml:space="preserve">Person years in </t>
    </r>
    <r>
      <rPr>
        <b/>
        <sz val="10"/>
        <rFont val="Calibri"/>
        <family val="2"/>
        <scheme val="minor"/>
      </rPr>
      <t>aged 70-74 years at entry</t>
    </r>
    <r>
      <rPr>
        <sz val="10"/>
        <rFont val="Calibri"/>
        <family val="2"/>
        <scheme val="minor"/>
      </rPr>
      <t>, by arm</t>
    </r>
  </si>
  <si>
    <r>
      <t xml:space="preserve">Breast cancer mortality (per 1,000 women </t>
    </r>
    <r>
      <rPr>
        <b/>
        <sz val="10"/>
        <rFont val="Calibri"/>
        <family val="2"/>
        <scheme val="minor"/>
      </rPr>
      <t>aged 40-49 years</t>
    </r>
    <r>
      <rPr>
        <sz val="10"/>
        <rFont val="Calibri"/>
        <family val="2"/>
        <scheme val="minor"/>
      </rPr>
      <t>); 1 year since randomisation;
Study vs control arms</t>
    </r>
  </si>
  <si>
    <t>9,571 PY;
mean 0.999 years</t>
  </si>
  <si>
    <t>5,027 PY;
mean 0.999 years</t>
  </si>
  <si>
    <r>
      <t xml:space="preserve">Number of deaths from breast cancer </t>
    </r>
    <r>
      <rPr>
        <b/>
        <sz val="10"/>
        <rFont val="Calibri"/>
        <family val="2"/>
        <scheme val="minor"/>
      </rPr>
      <t>in women aged 40-49 years at entry</t>
    </r>
    <r>
      <rPr>
        <sz val="10"/>
        <rFont val="Calibri"/>
        <family val="2"/>
        <scheme val="minor"/>
      </rPr>
      <t>; 1 year since randomisation</t>
    </r>
  </si>
  <si>
    <r>
      <t xml:space="preserve">Breast cancer mortality (per 1,000 women </t>
    </r>
    <r>
      <rPr>
        <b/>
        <sz val="10"/>
        <rFont val="Calibri"/>
        <family val="2"/>
        <scheme val="minor"/>
      </rPr>
      <t>aged 40-49 years</t>
    </r>
    <r>
      <rPr>
        <sz val="10"/>
        <rFont val="Calibri"/>
        <family val="2"/>
        <scheme val="minor"/>
      </rPr>
      <t>); 2 years since randomisation;
Study vs control arms</t>
    </r>
  </si>
  <si>
    <t>19,064 PY;
mean 1.99 years</t>
  </si>
  <si>
    <t>10,018 PY;
mean 1.99 years</t>
  </si>
  <si>
    <r>
      <t xml:space="preserve">Number of deaths from breast cancer </t>
    </r>
    <r>
      <rPr>
        <b/>
        <sz val="10"/>
        <rFont val="Calibri"/>
        <family val="2"/>
        <scheme val="minor"/>
      </rPr>
      <t>in women aged 40-49 years at entry</t>
    </r>
    <r>
      <rPr>
        <sz val="10"/>
        <rFont val="Calibri"/>
        <family val="2"/>
        <scheme val="minor"/>
      </rPr>
      <t>; 2 years since randomisation</t>
    </r>
  </si>
  <si>
    <r>
      <t xml:space="preserve">Breast cancer mortality (per 1,000 women </t>
    </r>
    <r>
      <rPr>
        <b/>
        <sz val="10"/>
        <rFont val="Calibri"/>
        <family val="2"/>
        <scheme val="minor"/>
      </rPr>
      <t>aged 40-49 years</t>
    </r>
    <r>
      <rPr>
        <sz val="10"/>
        <rFont val="Calibri"/>
        <family val="2"/>
        <scheme val="minor"/>
      </rPr>
      <t>); 3 years since randomisation;
Study vs control arms</t>
    </r>
  </si>
  <si>
    <t>28,468 PY;
mean 2.97 years</t>
  </si>
  <si>
    <t>14,972 PY;
mean 2.98 years</t>
  </si>
  <si>
    <r>
      <t xml:space="preserve">Number of deaths from breast cancer </t>
    </r>
    <r>
      <rPr>
        <b/>
        <sz val="10"/>
        <rFont val="Calibri"/>
        <family val="2"/>
        <scheme val="minor"/>
      </rPr>
      <t>in women aged 40-49 years at entry</t>
    </r>
    <r>
      <rPr>
        <sz val="10"/>
        <rFont val="Calibri"/>
        <family val="2"/>
        <scheme val="minor"/>
      </rPr>
      <t>; 3 years since randomisation</t>
    </r>
  </si>
  <si>
    <r>
      <t xml:space="preserve">Breast cancer mortality (per 1,000 women </t>
    </r>
    <r>
      <rPr>
        <b/>
        <sz val="10"/>
        <rFont val="Calibri"/>
        <family val="2"/>
        <scheme val="minor"/>
      </rPr>
      <t>aged 40-49 years</t>
    </r>
    <r>
      <rPr>
        <sz val="10"/>
        <rFont val="Calibri"/>
        <family val="2"/>
        <scheme val="minor"/>
      </rPr>
      <t>); 4 years since randomisation;
Study vs control arms</t>
    </r>
  </si>
  <si>
    <t>37,795 PY
mean 3.94 years</t>
  </si>
  <si>
    <t>19,883 PY;
mean 3.95 years</t>
  </si>
  <si>
    <r>
      <t xml:space="preserve">Number of deaths from breast cancer </t>
    </r>
    <r>
      <rPr>
        <b/>
        <sz val="10"/>
        <rFont val="Calibri"/>
        <family val="2"/>
        <scheme val="minor"/>
      </rPr>
      <t>in women aged 40-49 years at entry</t>
    </r>
    <r>
      <rPr>
        <sz val="10"/>
        <rFont val="Calibri"/>
        <family val="2"/>
        <scheme val="minor"/>
      </rPr>
      <t>; 4 years since randomisation</t>
    </r>
  </si>
  <si>
    <r>
      <t xml:space="preserve">Breast cancer mortality (per 1,000 women </t>
    </r>
    <r>
      <rPr>
        <b/>
        <sz val="10"/>
        <rFont val="Calibri"/>
        <family val="2"/>
        <scheme val="minor"/>
      </rPr>
      <t>aged 40-49 years</t>
    </r>
    <r>
      <rPr>
        <sz val="10"/>
        <rFont val="Calibri"/>
        <family val="2"/>
        <scheme val="minor"/>
      </rPr>
      <t>); 5 years since randomisation;
Study vs control arms</t>
    </r>
  </si>
  <si>
    <t>47,005 PY;
mean 4.91 years</t>
  </si>
  <si>
    <t>24,731 PY;
mean 4.92 years</t>
  </si>
  <si>
    <r>
      <t xml:space="preserve">Number of deaths from breast cancer </t>
    </r>
    <r>
      <rPr>
        <b/>
        <sz val="10"/>
        <rFont val="Calibri"/>
        <family val="2"/>
        <scheme val="minor"/>
      </rPr>
      <t>in women aged 40-49 years at entry</t>
    </r>
    <r>
      <rPr>
        <sz val="10"/>
        <rFont val="Calibri"/>
        <family val="2"/>
        <scheme val="minor"/>
      </rPr>
      <t>; 5 years since randomisation</t>
    </r>
  </si>
  <si>
    <r>
      <t xml:space="preserve">Breast cancer mortality (per 1,000 women </t>
    </r>
    <r>
      <rPr>
        <b/>
        <sz val="10"/>
        <rFont val="Calibri"/>
        <family val="2"/>
        <scheme val="minor"/>
      </rPr>
      <t>aged 40-49 years</t>
    </r>
    <r>
      <rPr>
        <sz val="10"/>
        <rFont val="Calibri"/>
        <family val="2"/>
        <scheme val="minor"/>
      </rPr>
      <t>); 6 years since randomisation;
Study vs control arms</t>
    </r>
  </si>
  <si>
    <t>56,113 PY;
mean 5.86 years</t>
  </si>
  <si>
    <t>29,533 PY;
mean 5.87 years</t>
  </si>
  <si>
    <r>
      <t xml:space="preserve">Number of deaths from breast cancer </t>
    </r>
    <r>
      <rPr>
        <b/>
        <sz val="10"/>
        <rFont val="Calibri"/>
        <family val="2"/>
        <scheme val="minor"/>
      </rPr>
      <t>in women aged 40-49 years at entry</t>
    </r>
    <r>
      <rPr>
        <sz val="10"/>
        <rFont val="Calibri"/>
        <family val="2"/>
        <scheme val="minor"/>
      </rPr>
      <t>; 6 years since randomisation</t>
    </r>
  </si>
  <si>
    <r>
      <t xml:space="preserve">Breast cancer mortality (per 1,000 women </t>
    </r>
    <r>
      <rPr>
        <b/>
        <sz val="10"/>
        <rFont val="Calibri"/>
        <family val="2"/>
        <scheme val="minor"/>
      </rPr>
      <t>aged 40-49 years</t>
    </r>
    <r>
      <rPr>
        <sz val="10"/>
        <rFont val="Calibri"/>
        <family val="2"/>
        <scheme val="minor"/>
      </rPr>
      <t>); 7 years since randomisation;
Study vs control arms</t>
    </r>
  </si>
  <si>
    <t>64,922 PY;
mean 6.78 years</t>
  </si>
  <si>
    <t>34,300 PY;
mean 6.82 years</t>
  </si>
  <si>
    <r>
      <t xml:space="preserve">Number of deaths from breast cancer </t>
    </r>
    <r>
      <rPr>
        <b/>
        <sz val="10"/>
        <rFont val="Calibri"/>
        <family val="2"/>
        <scheme val="minor"/>
      </rPr>
      <t>in women aged 40-49 years at entry</t>
    </r>
    <r>
      <rPr>
        <sz val="10"/>
        <rFont val="Calibri"/>
        <family val="2"/>
        <scheme val="minor"/>
      </rPr>
      <t>; 7 years since randomisation</t>
    </r>
  </si>
  <si>
    <r>
      <t xml:space="preserve">Breast cancer mortality (per 1,000 women </t>
    </r>
    <r>
      <rPr>
        <b/>
        <sz val="10"/>
        <rFont val="Calibri"/>
        <family val="2"/>
        <scheme val="minor"/>
      </rPr>
      <t>aged 40-49 years</t>
    </r>
    <r>
      <rPr>
        <sz val="10"/>
        <rFont val="Calibri"/>
        <family val="2"/>
        <scheme val="minor"/>
      </rPr>
      <t>); 8 years since randomisation;
Study vs control arms</t>
    </r>
  </si>
  <si>
    <t>71,786 PY;
mean 7.5 years</t>
  </si>
  <si>
    <t>37,991 PY;
mean 7.6 years</t>
  </si>
  <si>
    <r>
      <t xml:space="preserve">Number of deaths from breast cancer </t>
    </r>
    <r>
      <rPr>
        <b/>
        <sz val="10"/>
        <rFont val="Calibri"/>
        <family val="2"/>
        <scheme val="minor"/>
      </rPr>
      <t>in women aged 40-49 years at entry</t>
    </r>
    <r>
      <rPr>
        <sz val="10"/>
        <rFont val="Calibri"/>
        <family val="2"/>
        <scheme val="minor"/>
      </rPr>
      <t>; 8 years since randomisation</t>
    </r>
  </si>
  <si>
    <r>
      <t xml:space="preserve">Breast cancer mortality (per 1,000 women </t>
    </r>
    <r>
      <rPr>
        <b/>
        <sz val="10"/>
        <rFont val="Calibri"/>
        <family val="2"/>
        <scheme val="minor"/>
      </rPr>
      <t>aged 40-49 years</t>
    </r>
    <r>
      <rPr>
        <sz val="10"/>
        <rFont val="Calibri"/>
        <family val="2"/>
        <scheme val="minor"/>
      </rPr>
      <t>); 10 years since randomisation;
Study vs control arms</t>
    </r>
  </si>
  <si>
    <t>76,173 PY;
mean 8.0 years</t>
  </si>
  <si>
    <t>40,246 PY;
mean 8.0 years</t>
  </si>
  <si>
    <r>
      <t xml:space="preserve">Number of deaths from breast cancer </t>
    </r>
    <r>
      <rPr>
        <b/>
        <sz val="10"/>
        <rFont val="Calibri"/>
        <family val="2"/>
        <scheme val="minor"/>
      </rPr>
      <t>in women aged 40-49 years at entry</t>
    </r>
    <r>
      <rPr>
        <sz val="10"/>
        <rFont val="Calibri"/>
        <family val="2"/>
        <scheme val="minor"/>
      </rPr>
      <t>; 10 years since randomisation</t>
    </r>
  </si>
  <si>
    <r>
      <t xml:space="preserve">Breast cancer mortality (per 1,000 women </t>
    </r>
    <r>
      <rPr>
        <b/>
        <sz val="10"/>
        <rFont val="Calibri"/>
        <family val="2"/>
        <scheme val="minor"/>
      </rPr>
      <t>aged 50-59 years</t>
    </r>
    <r>
      <rPr>
        <sz val="10"/>
        <rFont val="Calibri"/>
        <family val="2"/>
        <scheme val="minor"/>
      </rPr>
      <t>); 1 year since randomisation;
Study vs control arms</t>
    </r>
  </si>
  <si>
    <t>11,703 PY;
mean 0.998 years</t>
  </si>
  <si>
    <t>5,545 PY;
mean 0.998 years</t>
  </si>
  <si>
    <r>
      <t xml:space="preserve">Number of deaths from breast cancer </t>
    </r>
    <r>
      <rPr>
        <b/>
        <sz val="10"/>
        <rFont val="Calibri"/>
        <family val="2"/>
        <scheme val="minor"/>
      </rPr>
      <t>in women aged 50-59 years at entry</t>
    </r>
    <r>
      <rPr>
        <sz val="10"/>
        <rFont val="Calibri"/>
        <family val="2"/>
        <scheme val="minor"/>
      </rPr>
      <t>; 1 year since randomisation</t>
    </r>
  </si>
  <si>
    <r>
      <t xml:space="preserve">Breast cancer mortality (per 1,000 women </t>
    </r>
    <r>
      <rPr>
        <b/>
        <sz val="10"/>
        <rFont val="Calibri"/>
        <family val="2"/>
        <scheme val="minor"/>
      </rPr>
      <t>aged 50-59 years</t>
    </r>
    <r>
      <rPr>
        <sz val="10"/>
        <rFont val="Calibri"/>
        <family val="2"/>
        <scheme val="minor"/>
      </rPr>
      <t>); 2 years since randomisation;
Study vs control arms</t>
    </r>
  </si>
  <si>
    <t>23,309 PY;
mean 1.99 years</t>
  </si>
  <si>
    <t>11,042 PY;
mean 1.99 years</t>
  </si>
  <si>
    <r>
      <t xml:space="preserve">Number of deaths from breast cancer </t>
    </r>
    <r>
      <rPr>
        <b/>
        <sz val="10"/>
        <rFont val="Calibri"/>
        <family val="2"/>
        <scheme val="minor"/>
      </rPr>
      <t>in women aged 50-59 years at entry</t>
    </r>
    <r>
      <rPr>
        <sz val="10"/>
        <rFont val="Calibri"/>
        <family val="2"/>
        <scheme val="minor"/>
      </rPr>
      <t>; 2 years since randomisation</t>
    </r>
  </si>
  <si>
    <r>
      <t xml:space="preserve">Breast cancer mortality (per 1,000 women </t>
    </r>
    <r>
      <rPr>
        <b/>
        <sz val="10"/>
        <rFont val="Calibri"/>
        <family val="2"/>
        <scheme val="minor"/>
      </rPr>
      <t>aged 50-59 years</t>
    </r>
    <r>
      <rPr>
        <sz val="10"/>
        <rFont val="Calibri"/>
        <family val="2"/>
        <scheme val="minor"/>
      </rPr>
      <t>); 3 years since randomisation;
Study vs control arms</t>
    </r>
  </si>
  <si>
    <t>34,807 PY;
mean 2.97 years</t>
  </si>
  <si>
    <t>16,488 PY;
mean 2.97 years</t>
  </si>
  <si>
    <r>
      <t xml:space="preserve">Number of deaths from breast cancer </t>
    </r>
    <r>
      <rPr>
        <b/>
        <sz val="10"/>
        <rFont val="Calibri"/>
        <family val="2"/>
        <scheme val="minor"/>
      </rPr>
      <t>in women aged 50-59 years at entry</t>
    </r>
    <r>
      <rPr>
        <sz val="10"/>
        <rFont val="Calibri"/>
        <family val="2"/>
        <scheme val="minor"/>
      </rPr>
      <t>; 3 years since randomisation</t>
    </r>
  </si>
  <si>
    <r>
      <t xml:space="preserve">Breast cancer mortality (per 1,000 women </t>
    </r>
    <r>
      <rPr>
        <b/>
        <sz val="10"/>
        <rFont val="Calibri"/>
        <family val="2"/>
        <scheme val="minor"/>
      </rPr>
      <t>aged 50-59 years</t>
    </r>
    <r>
      <rPr>
        <sz val="10"/>
        <rFont val="Calibri"/>
        <family val="2"/>
        <scheme val="minor"/>
      </rPr>
      <t>); 4 years since randomisation;
Study vs control arms</t>
    </r>
  </si>
  <si>
    <t>46,202 PY;
mean 3.94 years</t>
  </si>
  <si>
    <t>21,880 PY;
mean 3.94 years</t>
  </si>
  <si>
    <r>
      <t xml:space="preserve">Number of deaths from breast cancer </t>
    </r>
    <r>
      <rPr>
        <b/>
        <sz val="10"/>
        <rFont val="Calibri"/>
        <family val="2"/>
        <scheme val="minor"/>
      </rPr>
      <t>in women aged 50-59 years at entry</t>
    </r>
    <r>
      <rPr>
        <sz val="10"/>
        <rFont val="Calibri"/>
        <family val="2"/>
        <scheme val="minor"/>
      </rPr>
      <t>; 4 years since randomisation</t>
    </r>
  </si>
  <si>
    <r>
      <t xml:space="preserve">Breast cancer mortality (per 1,000 women </t>
    </r>
    <r>
      <rPr>
        <b/>
        <sz val="10"/>
        <rFont val="Calibri"/>
        <family val="2"/>
        <scheme val="minor"/>
      </rPr>
      <t>aged 50-59 years</t>
    </r>
    <r>
      <rPr>
        <sz val="10"/>
        <rFont val="Calibri"/>
        <family val="2"/>
        <scheme val="minor"/>
      </rPr>
      <t>); 5 years since randomisation;
Study vs control arms</t>
    </r>
  </si>
  <si>
    <t>57,451 PY;
mean 4.90 years</t>
  </si>
  <si>
    <t>27,204 PY;
mean 4.90 years</t>
  </si>
  <si>
    <r>
      <t xml:space="preserve">Number of deaths from breast cancer </t>
    </r>
    <r>
      <rPr>
        <b/>
        <sz val="10"/>
        <rFont val="Calibri"/>
        <family val="2"/>
        <scheme val="minor"/>
      </rPr>
      <t>in women aged 50-59 years at entry</t>
    </r>
    <r>
      <rPr>
        <sz val="10"/>
        <rFont val="Calibri"/>
        <family val="2"/>
        <scheme val="minor"/>
      </rPr>
      <t>; 5 years since randomisation</t>
    </r>
  </si>
  <si>
    <r>
      <t xml:space="preserve">Breast cancer mortality (per 1,000 women </t>
    </r>
    <r>
      <rPr>
        <b/>
        <sz val="10"/>
        <rFont val="Calibri"/>
        <family val="2"/>
        <scheme val="minor"/>
      </rPr>
      <t>aged 50-59 years</t>
    </r>
    <r>
      <rPr>
        <sz val="10"/>
        <rFont val="Calibri"/>
        <family val="2"/>
        <scheme val="minor"/>
      </rPr>
      <t>); 6 years since randomisation;
Study vs control arms</t>
    </r>
  </si>
  <si>
    <t>68,548 PY;
mean 5.84 years</t>
  </si>
  <si>
    <t>32,473 PY;
mean 5.83 years</t>
  </si>
  <si>
    <r>
      <t xml:space="preserve">Number of deaths from breast cancer </t>
    </r>
    <r>
      <rPr>
        <b/>
        <sz val="10"/>
        <rFont val="Calibri"/>
        <family val="2"/>
        <scheme val="minor"/>
      </rPr>
      <t>in women aged 50-59 years at entry</t>
    </r>
    <r>
      <rPr>
        <sz val="10"/>
        <rFont val="Calibri"/>
        <family val="2"/>
        <scheme val="minor"/>
      </rPr>
      <t>; 6 years since randomisation</t>
    </r>
  </si>
  <si>
    <r>
      <t xml:space="preserve">Breast cancer mortality (per 1,000 women </t>
    </r>
    <r>
      <rPr>
        <b/>
        <sz val="10"/>
        <rFont val="Calibri"/>
        <family val="2"/>
        <scheme val="minor"/>
      </rPr>
      <t>aged 50-59 years</t>
    </r>
    <r>
      <rPr>
        <sz val="10"/>
        <rFont val="Calibri"/>
        <family val="2"/>
        <scheme val="minor"/>
      </rPr>
      <t>); 7 years since randomisation;
Study vs control arms</t>
    </r>
  </si>
  <si>
    <t>79,211 PY;
mean 6.75 years</t>
  </si>
  <si>
    <t>37,693 PY;
mean 6.78 years</t>
  </si>
  <si>
    <r>
      <t xml:space="preserve">Number of deaths from breast cancer </t>
    </r>
    <r>
      <rPr>
        <b/>
        <sz val="10"/>
        <rFont val="Calibri"/>
        <family val="2"/>
        <scheme val="minor"/>
      </rPr>
      <t>in women aged 50-59 years at entry</t>
    </r>
    <r>
      <rPr>
        <sz val="10"/>
        <rFont val="Calibri"/>
        <family val="2"/>
        <scheme val="minor"/>
      </rPr>
      <t>; 7 years since randomisation</t>
    </r>
  </si>
  <si>
    <r>
      <t xml:space="preserve">Breast cancer mortality (per 1,000 women </t>
    </r>
    <r>
      <rPr>
        <b/>
        <sz val="10"/>
        <rFont val="Calibri"/>
        <family val="2"/>
        <scheme val="minor"/>
      </rPr>
      <t>aged 50-59 years</t>
    </r>
    <r>
      <rPr>
        <sz val="10"/>
        <rFont val="Calibri"/>
        <family val="2"/>
        <scheme val="minor"/>
      </rPr>
      <t>); 8 years since randomisation;
Study vs control arms</t>
    </r>
  </si>
  <si>
    <t>87,461 PY;
mean 7.46 years</t>
  </si>
  <si>
    <t>41,658 PY;
mean 7.50 years</t>
  </si>
  <si>
    <r>
      <t xml:space="preserve">Number of deaths from breast cancer </t>
    </r>
    <r>
      <rPr>
        <b/>
        <sz val="10"/>
        <rFont val="Calibri"/>
        <family val="2"/>
        <scheme val="minor"/>
      </rPr>
      <t>in women aged 50-59 years at entry</t>
    </r>
    <r>
      <rPr>
        <sz val="10"/>
        <rFont val="Calibri"/>
        <family val="2"/>
        <scheme val="minor"/>
      </rPr>
      <t>; 8 years since randomisation</t>
    </r>
  </si>
  <si>
    <r>
      <t xml:space="preserve">Breast cancer mortality (per 1,000 women </t>
    </r>
    <r>
      <rPr>
        <b/>
        <sz val="10"/>
        <rFont val="Calibri"/>
        <family val="2"/>
        <scheme val="minor"/>
      </rPr>
      <t>aged 50-59 years</t>
    </r>
    <r>
      <rPr>
        <sz val="10"/>
        <rFont val="Calibri"/>
        <family val="2"/>
        <scheme val="minor"/>
      </rPr>
      <t>); 10 years since randomisation;
Study vs control arms</t>
    </r>
  </si>
  <si>
    <t>92,639 PY;
mean 7.90 years</t>
  </si>
  <si>
    <t>44,125 PY;
mean 7.94 years</t>
  </si>
  <si>
    <r>
      <t xml:space="preserve">Number of deaths from breast cancer </t>
    </r>
    <r>
      <rPr>
        <b/>
        <sz val="10"/>
        <rFont val="Calibri"/>
        <family val="2"/>
        <scheme val="minor"/>
      </rPr>
      <t>in women aged 50-59 years at entry</t>
    </r>
    <r>
      <rPr>
        <sz val="10"/>
        <rFont val="Calibri"/>
        <family val="2"/>
        <scheme val="minor"/>
      </rPr>
      <t>; 10 years since randomisation</t>
    </r>
  </si>
  <si>
    <r>
      <t xml:space="preserve">Breast cancer mortality (per 1,000 women </t>
    </r>
    <r>
      <rPr>
        <b/>
        <sz val="10"/>
        <rFont val="Calibri"/>
        <family val="2"/>
        <scheme val="minor"/>
      </rPr>
      <t>aged 60-69 years</t>
    </r>
    <r>
      <rPr>
        <sz val="10"/>
        <rFont val="Calibri"/>
        <family val="2"/>
        <scheme val="minor"/>
      </rPr>
      <t>); 1 year since randomisation;
Study vs control arms</t>
    </r>
  </si>
  <si>
    <t>11,905 PY;
mean 0.994 years</t>
  </si>
  <si>
    <t>5,527 PY;
mean 0.995 years</t>
  </si>
  <si>
    <r>
      <t xml:space="preserve">Number of deaths from breast cancer </t>
    </r>
    <r>
      <rPr>
        <b/>
        <sz val="10"/>
        <rFont val="Calibri"/>
        <family val="2"/>
        <scheme val="minor"/>
      </rPr>
      <t>in women aged 60-69 years at entry</t>
    </r>
    <r>
      <rPr>
        <sz val="10"/>
        <rFont val="Calibri"/>
        <family val="2"/>
        <scheme val="minor"/>
      </rPr>
      <t>; 1 year since randomisation</t>
    </r>
  </si>
  <si>
    <r>
      <t xml:space="preserve">Breast cancer mortality (per 1,000 women </t>
    </r>
    <r>
      <rPr>
        <b/>
        <sz val="10"/>
        <rFont val="Calibri"/>
        <family val="2"/>
        <scheme val="minor"/>
      </rPr>
      <t>aged 60-69 years</t>
    </r>
    <r>
      <rPr>
        <sz val="10"/>
        <rFont val="Calibri"/>
        <family val="2"/>
        <scheme val="minor"/>
      </rPr>
      <t>); 2 years since randomisation;
Study vs control arms</t>
    </r>
  </si>
  <si>
    <t>23,640 PY;
mean 1.97 years</t>
  </si>
  <si>
    <t>10,977 PY;
mean 1.98 years</t>
  </si>
  <si>
    <r>
      <t xml:space="preserve">Number of deaths from breast cancer </t>
    </r>
    <r>
      <rPr>
        <b/>
        <sz val="10"/>
        <rFont val="Calibri"/>
        <family val="2"/>
        <scheme val="minor"/>
      </rPr>
      <t>in women aged 60-69 years at entry</t>
    </r>
    <r>
      <rPr>
        <sz val="10"/>
        <rFont val="Calibri"/>
        <family val="2"/>
        <scheme val="minor"/>
      </rPr>
      <t>; 2 years since randomisation</t>
    </r>
  </si>
  <si>
    <r>
      <t xml:space="preserve">Breast cancer mortality (per 1,000 women </t>
    </r>
    <r>
      <rPr>
        <b/>
        <sz val="10"/>
        <rFont val="Calibri"/>
        <family val="2"/>
        <scheme val="minor"/>
      </rPr>
      <t>aged 60-69 years</t>
    </r>
    <r>
      <rPr>
        <sz val="10"/>
        <rFont val="Calibri"/>
        <family val="2"/>
        <scheme val="minor"/>
      </rPr>
      <t>); 3 years since randomisation;
Study vs control arms</t>
    </r>
  </si>
  <si>
    <t>35,187 PY;
mean 2.94 years</t>
  </si>
  <si>
    <t>16,331 PY;
mean 2.94 years</t>
  </si>
  <si>
    <r>
      <t xml:space="preserve">Number of deaths from breast cancer </t>
    </r>
    <r>
      <rPr>
        <b/>
        <sz val="10"/>
        <rFont val="Calibri"/>
        <family val="2"/>
        <scheme val="minor"/>
      </rPr>
      <t>in women aged 60-69 years at entry</t>
    </r>
    <r>
      <rPr>
        <sz val="10"/>
        <rFont val="Calibri"/>
        <family val="2"/>
        <scheme val="minor"/>
      </rPr>
      <t>; 3 years since randomisation</t>
    </r>
  </si>
  <si>
    <r>
      <t xml:space="preserve">Breast cancer mortality (per 1,000 women </t>
    </r>
    <r>
      <rPr>
        <b/>
        <sz val="10"/>
        <rFont val="Calibri"/>
        <family val="2"/>
        <scheme val="minor"/>
      </rPr>
      <t>aged 60-69 years</t>
    </r>
    <r>
      <rPr>
        <sz val="10"/>
        <rFont val="Calibri"/>
        <family val="2"/>
        <scheme val="minor"/>
      </rPr>
      <t>); 4 years since randomisation;
Study vs control arms</t>
    </r>
  </si>
  <si>
    <t>46,530 PY;
mean 3.89 years</t>
  </si>
  <si>
    <t>21,574 PY;
mean 3.88 years</t>
  </si>
  <si>
    <r>
      <t xml:space="preserve">Breast cancer mortality (per 1,000 women </t>
    </r>
    <r>
      <rPr>
        <b/>
        <sz val="10"/>
        <rFont val="Calibri"/>
        <family val="2"/>
        <scheme val="minor"/>
      </rPr>
      <t>aged 60-69 years</t>
    </r>
    <r>
      <rPr>
        <sz val="10"/>
        <rFont val="Calibri"/>
        <family val="2"/>
        <scheme val="minor"/>
      </rPr>
      <t>); 5 years since randomisation;
Study vs control arms</t>
    </r>
  </si>
  <si>
    <t>57,622 PY;
mean 4.81 years</t>
  </si>
  <si>
    <t>26,695 PY;
mean 4.81 years</t>
  </si>
  <si>
    <r>
      <t xml:space="preserve">Number of deaths from breast cancer </t>
    </r>
    <r>
      <rPr>
        <b/>
        <sz val="10"/>
        <rFont val="Calibri"/>
        <family val="2"/>
        <scheme val="minor"/>
      </rPr>
      <t>in women aged 60-69 years at entry</t>
    </r>
    <r>
      <rPr>
        <sz val="10"/>
        <rFont val="Calibri"/>
        <family val="2"/>
        <scheme val="minor"/>
      </rPr>
      <t>; 5 years since randomisation</t>
    </r>
  </si>
  <si>
    <r>
      <t xml:space="preserve">Breast cancer mortality (per 1,000 women </t>
    </r>
    <r>
      <rPr>
        <b/>
        <sz val="10"/>
        <rFont val="Calibri"/>
        <family val="2"/>
        <scheme val="minor"/>
      </rPr>
      <t>aged 60-69 years</t>
    </r>
    <r>
      <rPr>
        <sz val="10"/>
        <rFont val="Calibri"/>
        <family val="2"/>
        <scheme val="minor"/>
      </rPr>
      <t>); 6 years since randomisation;
Study vs control arms</t>
    </r>
  </si>
  <si>
    <t>68,455 PY;
mean 5.72 years</t>
  </si>
  <si>
    <t>31,699 PY;
mean 5.71 years</t>
  </si>
  <si>
    <r>
      <t xml:space="preserve">Number of deaths from breast cancer </t>
    </r>
    <r>
      <rPr>
        <b/>
        <sz val="10"/>
        <rFont val="Calibri"/>
        <family val="2"/>
        <scheme val="minor"/>
      </rPr>
      <t>in women aged 60-69 years at entry</t>
    </r>
    <r>
      <rPr>
        <sz val="10"/>
        <rFont val="Calibri"/>
        <family val="2"/>
        <scheme val="minor"/>
      </rPr>
      <t>; 6 years since randomisation</t>
    </r>
  </si>
  <si>
    <r>
      <t xml:space="preserve">Breast cancer mortality (per 1,000 women </t>
    </r>
    <r>
      <rPr>
        <b/>
        <sz val="10"/>
        <rFont val="Calibri"/>
        <family val="2"/>
        <scheme val="minor"/>
      </rPr>
      <t>aged 60-69 years</t>
    </r>
    <r>
      <rPr>
        <sz val="10"/>
        <rFont val="Calibri"/>
        <family val="2"/>
        <scheme val="minor"/>
      </rPr>
      <t>); 7 years since randomisation;
Study vs control arms</t>
    </r>
  </si>
  <si>
    <t>78,675 PY;
mean 6.57 years</t>
  </si>
  <si>
    <t>36,585 PY;
mean 6.59 years</t>
  </si>
  <si>
    <r>
      <t xml:space="preserve">Number of deaths from breast cancer </t>
    </r>
    <r>
      <rPr>
        <b/>
        <sz val="10"/>
        <rFont val="Calibri"/>
        <family val="2"/>
        <scheme val="minor"/>
      </rPr>
      <t>in women aged 60-69 years at entry</t>
    </r>
    <r>
      <rPr>
        <sz val="10"/>
        <rFont val="Calibri"/>
        <family val="2"/>
        <scheme val="minor"/>
      </rPr>
      <t>; 7 years since randomisation</t>
    </r>
  </si>
  <si>
    <r>
      <t xml:space="preserve">Breast cancer mortality (per 1,000 women </t>
    </r>
    <r>
      <rPr>
        <b/>
        <sz val="10"/>
        <rFont val="Calibri"/>
        <family val="2"/>
        <scheme val="minor"/>
      </rPr>
      <t>aged 60-69 years</t>
    </r>
    <r>
      <rPr>
        <sz val="10"/>
        <rFont val="Calibri"/>
        <family val="2"/>
        <scheme val="minor"/>
      </rPr>
      <t>); 8 years since randomisation;
Study vs control arms</t>
    </r>
  </si>
  <si>
    <t>86,330 PY;
mean 7.21 years</t>
  </si>
  <si>
    <t>40,136 PY;
mean 7.23 years</t>
  </si>
  <si>
    <r>
      <t xml:space="preserve">Number of deaths from breast cancer </t>
    </r>
    <r>
      <rPr>
        <b/>
        <sz val="10"/>
        <rFont val="Calibri"/>
        <family val="2"/>
        <scheme val="minor"/>
      </rPr>
      <t>in women aged 60-69 years at entry</t>
    </r>
    <r>
      <rPr>
        <sz val="10"/>
        <rFont val="Calibri"/>
        <family val="2"/>
        <scheme val="minor"/>
      </rPr>
      <t>; 8 years since randomisation</t>
    </r>
  </si>
  <si>
    <r>
      <t xml:space="preserve">Breast cancer mortality (per 1,000 women </t>
    </r>
    <r>
      <rPr>
        <b/>
        <sz val="10"/>
        <rFont val="Calibri"/>
        <family val="2"/>
        <scheme val="minor"/>
      </rPr>
      <t>aged 60-69 years</t>
    </r>
    <r>
      <rPr>
        <sz val="10"/>
        <rFont val="Calibri"/>
        <family val="2"/>
        <scheme val="minor"/>
      </rPr>
      <t>); 10 years since randomisation;
Study vs control arms</t>
    </r>
  </si>
  <si>
    <t>90,864 PY;
mean 7.59 years</t>
  </si>
  <si>
    <t>42,165 PY;
mean 7.59 years</t>
  </si>
  <si>
    <r>
      <t xml:space="preserve">Number of deaths from breast cancer </t>
    </r>
    <r>
      <rPr>
        <b/>
        <sz val="10"/>
        <rFont val="Calibri"/>
        <family val="2"/>
        <scheme val="minor"/>
      </rPr>
      <t>in women aged 60-69 years at entry</t>
    </r>
    <r>
      <rPr>
        <sz val="10"/>
        <rFont val="Calibri"/>
        <family val="2"/>
        <scheme val="minor"/>
      </rPr>
      <t>; 10 years since randomisation</t>
    </r>
  </si>
  <si>
    <r>
      <t xml:space="preserve">Breast cancer mortality (per 1,000 women </t>
    </r>
    <r>
      <rPr>
        <b/>
        <sz val="10"/>
        <rFont val="Calibri"/>
        <family val="2"/>
        <scheme val="minor"/>
      </rPr>
      <t>aged 70-74 years</t>
    </r>
    <r>
      <rPr>
        <sz val="10"/>
        <rFont val="Calibri"/>
        <family val="2"/>
        <scheme val="minor"/>
      </rPr>
      <t>); 1 year since randomisation;
Study vs control arms</t>
    </r>
  </si>
  <si>
    <t>5,237 PY;
mean 0.99 years</t>
  </si>
  <si>
    <t>2,417 PY;
mean 0.99 years</t>
  </si>
  <si>
    <r>
      <t xml:space="preserve">Number of deaths from breast cancer </t>
    </r>
    <r>
      <rPr>
        <b/>
        <sz val="10"/>
        <rFont val="Calibri"/>
        <family val="2"/>
        <scheme val="minor"/>
      </rPr>
      <t>in women aged 70-74 years at entry</t>
    </r>
    <r>
      <rPr>
        <sz val="10"/>
        <rFont val="Calibri"/>
        <family val="2"/>
        <scheme val="minor"/>
      </rPr>
      <t>; 1 year since randomisation</t>
    </r>
  </si>
  <si>
    <r>
      <t xml:space="preserve">Breast cancer mortality (per 1,000 women </t>
    </r>
    <r>
      <rPr>
        <b/>
        <sz val="10"/>
        <rFont val="Calibri"/>
        <family val="2"/>
        <scheme val="minor"/>
      </rPr>
      <t>aged 70-74 years</t>
    </r>
    <r>
      <rPr>
        <sz val="10"/>
        <rFont val="Calibri"/>
        <family val="2"/>
        <scheme val="minor"/>
      </rPr>
      <t>); 2 years since randomisation;
Study vs control arms</t>
    </r>
  </si>
  <si>
    <t>10,323 PY;
mean 1.95 years</t>
  </si>
  <si>
    <t>4,767 PY;
mean 1.95 years</t>
  </si>
  <si>
    <r>
      <t xml:space="preserve">Number of deaths from breast cancer </t>
    </r>
    <r>
      <rPr>
        <b/>
        <sz val="10"/>
        <rFont val="Calibri"/>
        <family val="2"/>
        <scheme val="minor"/>
      </rPr>
      <t>in women aged 70-74 years at entry</t>
    </r>
    <r>
      <rPr>
        <sz val="10"/>
        <rFont val="Calibri"/>
        <family val="2"/>
        <scheme val="minor"/>
      </rPr>
      <t>; 2 years since randomisation</t>
    </r>
  </si>
  <si>
    <r>
      <t xml:space="preserve">Breast cancer mortality (per 1,000 women </t>
    </r>
    <r>
      <rPr>
        <b/>
        <sz val="10"/>
        <rFont val="Calibri"/>
        <family val="2"/>
        <scheme val="minor"/>
      </rPr>
      <t>aged 70-74years</t>
    </r>
    <r>
      <rPr>
        <sz val="10"/>
        <rFont val="Calibri"/>
        <family val="2"/>
        <scheme val="minor"/>
      </rPr>
      <t>); 3 years since randomisation;
Study vs control arms</t>
    </r>
  </si>
  <si>
    <t>15,250 PY;
mean 2.87 years</t>
  </si>
  <si>
    <t>7,036 PY;
mean 2.88 years</t>
  </si>
  <si>
    <r>
      <t xml:space="preserve">Number of deaths from breast cancer </t>
    </r>
    <r>
      <rPr>
        <b/>
        <sz val="10"/>
        <rFont val="Calibri"/>
        <family val="2"/>
        <scheme val="minor"/>
      </rPr>
      <t>in women aged 70-74 years at entry</t>
    </r>
    <r>
      <rPr>
        <sz val="10"/>
        <rFont val="Calibri"/>
        <family val="2"/>
        <scheme val="minor"/>
      </rPr>
      <t>; 3 years since randomisation</t>
    </r>
  </si>
  <si>
    <r>
      <t xml:space="preserve">Breast cancer mortality (per 1,000 women </t>
    </r>
    <r>
      <rPr>
        <b/>
        <sz val="10"/>
        <rFont val="Calibri"/>
        <family val="2"/>
        <scheme val="minor"/>
      </rPr>
      <t>aged 70-74 years</t>
    </r>
    <r>
      <rPr>
        <sz val="10"/>
        <rFont val="Calibri"/>
        <family val="2"/>
        <scheme val="minor"/>
      </rPr>
      <t>); 4 years since randomisation;
Study vs control arms</t>
    </r>
  </si>
  <si>
    <t>20,012 PY;
mean 3.77 years</t>
  </si>
  <si>
    <t>9,216 PY;
mean 3.78 years</t>
  </si>
  <si>
    <r>
      <t xml:space="preserve">Number of deaths from breast cancer </t>
    </r>
    <r>
      <rPr>
        <b/>
        <sz val="10"/>
        <rFont val="Calibri"/>
        <family val="2"/>
        <scheme val="minor"/>
      </rPr>
      <t>in women aged 70-74 years at entry</t>
    </r>
    <r>
      <rPr>
        <sz val="10"/>
        <rFont val="Calibri"/>
        <family val="2"/>
        <scheme val="minor"/>
      </rPr>
      <t>; 4 years since randomisation</t>
    </r>
  </si>
  <si>
    <r>
      <t xml:space="preserve">Breast cancer mortality (per 1,000 women </t>
    </r>
    <r>
      <rPr>
        <b/>
        <sz val="10"/>
        <rFont val="Calibri"/>
        <family val="2"/>
        <scheme val="minor"/>
      </rPr>
      <t>aged 70-74years</t>
    </r>
    <r>
      <rPr>
        <sz val="10"/>
        <rFont val="Calibri"/>
        <family val="2"/>
        <scheme val="minor"/>
      </rPr>
      <t>); 5 years since randomisation;
Study vs control arms</t>
    </r>
  </si>
  <si>
    <t>24,577 PY;
mean 4.63 years</t>
  </si>
  <si>
    <t>11,299 PY;
mean 4.63 years</t>
  </si>
  <si>
    <r>
      <t xml:space="preserve">Number of deaths from breast cancer </t>
    </r>
    <r>
      <rPr>
        <b/>
        <sz val="10"/>
        <rFont val="Calibri"/>
        <family val="2"/>
        <scheme val="minor"/>
      </rPr>
      <t>in women aged 70-74 years at entry</t>
    </r>
    <r>
      <rPr>
        <sz val="10"/>
        <rFont val="Calibri"/>
        <family val="2"/>
        <scheme val="minor"/>
      </rPr>
      <t>; 5 years since randomisation</t>
    </r>
  </si>
  <si>
    <r>
      <t xml:space="preserve">Breast cancer mortality (per 1,000 women </t>
    </r>
    <r>
      <rPr>
        <b/>
        <sz val="10"/>
        <rFont val="Calibri"/>
        <family val="2"/>
        <scheme val="minor"/>
      </rPr>
      <t>aged 70-74 years</t>
    </r>
    <r>
      <rPr>
        <sz val="10"/>
        <rFont val="Calibri"/>
        <family val="2"/>
        <scheme val="minor"/>
      </rPr>
      <t>); 6 years since randomisation;
Study vs control arms</t>
    </r>
  </si>
  <si>
    <t>28,934 PY;
mean 5.45 years</t>
  </si>
  <si>
    <t>13,292 PY;
mean 5.45 years</t>
  </si>
  <si>
    <r>
      <t xml:space="preserve">Number of deaths from breast cancer </t>
    </r>
    <r>
      <rPr>
        <b/>
        <sz val="10"/>
        <rFont val="Calibri"/>
        <family val="2"/>
        <scheme val="minor"/>
      </rPr>
      <t>in women aged 70-74 years at entry</t>
    </r>
    <r>
      <rPr>
        <sz val="10"/>
        <rFont val="Calibri"/>
        <family val="2"/>
        <scheme val="minor"/>
      </rPr>
      <t>; 6 years since randomisation</t>
    </r>
  </si>
  <si>
    <r>
      <t xml:space="preserve">Breast cancer mortality (per 1,000 women </t>
    </r>
    <r>
      <rPr>
        <b/>
        <sz val="10"/>
        <rFont val="Calibri"/>
        <family val="2"/>
        <scheme val="minor"/>
      </rPr>
      <t>aged 70-74 years</t>
    </r>
    <r>
      <rPr>
        <sz val="10"/>
        <rFont val="Calibri"/>
        <family val="2"/>
        <scheme val="minor"/>
      </rPr>
      <t>); 7 years since randomisation;
Study vs control arms</t>
    </r>
  </si>
  <si>
    <t>32,938 PY;
mean 6.21 years</t>
  </si>
  <si>
    <t>15,192 PY;
mean 6.23 years</t>
  </si>
  <si>
    <r>
      <t xml:space="preserve">Number of deaths from breast cancer </t>
    </r>
    <r>
      <rPr>
        <b/>
        <sz val="10"/>
        <rFont val="Calibri"/>
        <family val="2"/>
        <scheme val="minor"/>
      </rPr>
      <t>in women aged 70-74 years at entry</t>
    </r>
    <r>
      <rPr>
        <sz val="10"/>
        <rFont val="Calibri"/>
        <family val="2"/>
        <scheme val="minor"/>
      </rPr>
      <t>; 7 years since randomisation</t>
    </r>
  </si>
  <si>
    <r>
      <t xml:space="preserve">Breast cancer mortality (per 1,000 women </t>
    </r>
    <r>
      <rPr>
        <b/>
        <sz val="10"/>
        <rFont val="Calibri"/>
        <family val="2"/>
        <scheme val="minor"/>
      </rPr>
      <t>aged 70-74 years</t>
    </r>
    <r>
      <rPr>
        <sz val="10"/>
        <rFont val="Calibri"/>
        <family val="2"/>
        <scheme val="minor"/>
      </rPr>
      <t>); 8 years since randomisation;
Study vs control arms</t>
    </r>
  </si>
  <si>
    <t>35,774 PY;
mean 6.74 years</t>
  </si>
  <si>
    <t>16,551 PY;
mean 6.79 years</t>
  </si>
  <si>
    <r>
      <t xml:space="preserve">Number of deaths from breast cancer </t>
    </r>
    <r>
      <rPr>
        <b/>
        <sz val="10"/>
        <rFont val="Calibri"/>
        <family val="2"/>
        <scheme val="minor"/>
      </rPr>
      <t>in women aged  70-74 years at entry</t>
    </r>
    <r>
      <rPr>
        <sz val="10"/>
        <rFont val="Calibri"/>
        <family val="2"/>
        <scheme val="minor"/>
      </rPr>
      <t>; 8 years since randomisation</t>
    </r>
  </si>
  <si>
    <r>
      <t xml:space="preserve">Breast cancer mortality (per 1,000 women </t>
    </r>
    <r>
      <rPr>
        <b/>
        <sz val="10"/>
        <rFont val="Calibri"/>
        <family val="2"/>
        <scheme val="minor"/>
      </rPr>
      <t>aged 70-74 years</t>
    </r>
    <r>
      <rPr>
        <sz val="10"/>
        <rFont val="Calibri"/>
        <family val="2"/>
        <scheme val="minor"/>
      </rPr>
      <t>); 10 years since randomisation;
Study vs control arms</t>
    </r>
  </si>
  <si>
    <t>37,292 PY;
mean 7.03 years</t>
  </si>
  <si>
    <t>17,326 PY;
mean 7.10 years</t>
  </si>
  <si>
    <r>
      <t xml:space="preserve">Number of deaths from breast cancer </t>
    </r>
    <r>
      <rPr>
        <b/>
        <sz val="10"/>
        <rFont val="Calibri"/>
        <family val="2"/>
        <scheme val="minor"/>
      </rPr>
      <t>in women aged 70-74 years at entry</t>
    </r>
    <r>
      <rPr>
        <sz val="10"/>
        <rFont val="Calibri"/>
        <family val="2"/>
        <scheme val="minor"/>
      </rPr>
      <t>; 10 years since randomisation</t>
    </r>
  </si>
  <si>
    <r>
      <t xml:space="preserve">Breast cancer mortality (per 1,000 women </t>
    </r>
    <r>
      <rPr>
        <b/>
        <sz val="10"/>
        <rFont val="Calibri"/>
        <family val="2"/>
        <scheme val="minor"/>
      </rPr>
      <t>aged 40-74 years</t>
    </r>
    <r>
      <rPr>
        <sz val="10"/>
        <rFont val="Calibri"/>
        <family val="2"/>
        <scheme val="minor"/>
      </rPr>
      <t>); 1 year since randomisation;
Study vs control arms</t>
    </r>
  </si>
  <si>
    <r>
      <t xml:space="preserve">Number of deaths from breast cancer </t>
    </r>
    <r>
      <rPr>
        <b/>
        <sz val="10"/>
        <rFont val="Calibri"/>
        <family val="2"/>
        <scheme val="minor"/>
      </rPr>
      <t>in women aged 40-74 years at entry</t>
    </r>
    <r>
      <rPr>
        <sz val="10"/>
        <rFont val="Calibri"/>
        <family val="2"/>
        <scheme val="minor"/>
      </rPr>
      <t>; 1 year since randomisation</t>
    </r>
  </si>
  <si>
    <r>
      <t xml:space="preserve">Breast cancer mortality (per 1,000 women </t>
    </r>
    <r>
      <rPr>
        <b/>
        <sz val="10"/>
        <rFont val="Calibri"/>
        <family val="2"/>
        <scheme val="minor"/>
      </rPr>
      <t>aged 40-74 years</t>
    </r>
    <r>
      <rPr>
        <sz val="10"/>
        <rFont val="Calibri"/>
        <family val="2"/>
        <scheme val="minor"/>
      </rPr>
      <t>); 2 years since randomisation;
Study vs control arms</t>
    </r>
  </si>
  <si>
    <r>
      <t xml:space="preserve">Number of deaths from breast cancer </t>
    </r>
    <r>
      <rPr>
        <b/>
        <sz val="10"/>
        <rFont val="Calibri"/>
        <family val="2"/>
        <scheme val="minor"/>
      </rPr>
      <t>in women aged 40-74 years at entry</t>
    </r>
    <r>
      <rPr>
        <sz val="10"/>
        <rFont val="Calibri"/>
        <family val="2"/>
        <scheme val="minor"/>
      </rPr>
      <t>; 2 years since randomisation</t>
    </r>
  </si>
  <si>
    <r>
      <t xml:space="preserve">Breast cancer mortality (per 1,000 women </t>
    </r>
    <r>
      <rPr>
        <b/>
        <sz val="10"/>
        <rFont val="Calibri"/>
        <family val="2"/>
        <scheme val="minor"/>
      </rPr>
      <t>aged 40-74 years</t>
    </r>
    <r>
      <rPr>
        <sz val="10"/>
        <rFont val="Calibri"/>
        <family val="2"/>
        <scheme val="minor"/>
      </rPr>
      <t>); 3 years since randomisation;
Study vs control arms</t>
    </r>
  </si>
  <si>
    <r>
      <t xml:space="preserve">Number of deaths from breast cancer </t>
    </r>
    <r>
      <rPr>
        <b/>
        <sz val="10"/>
        <rFont val="Calibri"/>
        <family val="2"/>
        <scheme val="minor"/>
      </rPr>
      <t>in women aged 40-74 years at entry</t>
    </r>
    <r>
      <rPr>
        <sz val="10"/>
        <rFont val="Calibri"/>
        <family val="2"/>
        <scheme val="minor"/>
      </rPr>
      <t>; 3 years since randomisation</t>
    </r>
  </si>
  <si>
    <r>
      <t xml:space="preserve">Breast cancer mortality (per 1,000 women </t>
    </r>
    <r>
      <rPr>
        <b/>
        <sz val="10"/>
        <rFont val="Calibri"/>
        <family val="2"/>
        <scheme val="minor"/>
      </rPr>
      <t>aged 40-74 years</t>
    </r>
    <r>
      <rPr>
        <sz val="10"/>
        <rFont val="Calibri"/>
        <family val="2"/>
        <scheme val="minor"/>
      </rPr>
      <t>); 4 years since randomisation;
Study vs control arms</t>
    </r>
  </si>
  <si>
    <r>
      <t xml:space="preserve">Number of deaths from breast cancer </t>
    </r>
    <r>
      <rPr>
        <b/>
        <sz val="10"/>
        <rFont val="Calibri"/>
        <family val="2"/>
        <scheme val="minor"/>
      </rPr>
      <t>in women aged 40-74 years at entry</t>
    </r>
    <r>
      <rPr>
        <sz val="10"/>
        <rFont val="Calibri"/>
        <family val="2"/>
        <scheme val="minor"/>
      </rPr>
      <t>; 4 years since randomisation</t>
    </r>
  </si>
  <si>
    <r>
      <t xml:space="preserve">Breast cancer mortality (per 1,000 women </t>
    </r>
    <r>
      <rPr>
        <b/>
        <sz val="10"/>
        <rFont val="Calibri"/>
        <family val="2"/>
        <scheme val="minor"/>
      </rPr>
      <t>aged 40-74 years</t>
    </r>
    <r>
      <rPr>
        <sz val="10"/>
        <rFont val="Calibri"/>
        <family val="2"/>
        <scheme val="minor"/>
      </rPr>
      <t>); 5 years since randomisation;
Study vs control arms</t>
    </r>
  </si>
  <si>
    <r>
      <t xml:space="preserve">Number of deaths from breast cancer </t>
    </r>
    <r>
      <rPr>
        <b/>
        <sz val="10"/>
        <rFont val="Calibri"/>
        <family val="2"/>
        <scheme val="minor"/>
      </rPr>
      <t>in women aged 40-74 years at entry</t>
    </r>
    <r>
      <rPr>
        <sz val="10"/>
        <rFont val="Calibri"/>
        <family val="2"/>
        <scheme val="minor"/>
      </rPr>
      <t>; 5 years since randomisation</t>
    </r>
  </si>
  <si>
    <r>
      <t xml:space="preserve">Breast cancer mortality (per 1,000 women </t>
    </r>
    <r>
      <rPr>
        <b/>
        <sz val="10"/>
        <rFont val="Calibri"/>
        <family val="2"/>
        <scheme val="minor"/>
      </rPr>
      <t>aged 40-74 years</t>
    </r>
    <r>
      <rPr>
        <sz val="10"/>
        <rFont val="Calibri"/>
        <family val="2"/>
        <scheme val="minor"/>
      </rPr>
      <t>); 6 years since randomisation;
Study vs control arms</t>
    </r>
  </si>
  <si>
    <r>
      <t xml:space="preserve">Number of deaths from breast cancer </t>
    </r>
    <r>
      <rPr>
        <b/>
        <sz val="10"/>
        <rFont val="Calibri"/>
        <family val="2"/>
        <scheme val="minor"/>
      </rPr>
      <t>in women aged 40-74 years at entry</t>
    </r>
    <r>
      <rPr>
        <sz val="10"/>
        <rFont val="Calibri"/>
        <family val="2"/>
        <scheme val="minor"/>
      </rPr>
      <t>; 6 years since randomisation</t>
    </r>
  </si>
  <si>
    <r>
      <t xml:space="preserve">Breast cancer mortality (per 1,000 women </t>
    </r>
    <r>
      <rPr>
        <b/>
        <sz val="10"/>
        <rFont val="Calibri"/>
        <family val="2"/>
        <scheme val="minor"/>
      </rPr>
      <t>aged 40-74 years</t>
    </r>
    <r>
      <rPr>
        <sz val="10"/>
        <rFont val="Calibri"/>
        <family val="2"/>
        <scheme val="minor"/>
      </rPr>
      <t>); 7 years since randomisation;
Study vs control arms</t>
    </r>
  </si>
  <si>
    <r>
      <t xml:space="preserve">Number of deaths from breast cancer </t>
    </r>
    <r>
      <rPr>
        <b/>
        <sz val="10"/>
        <rFont val="Calibri"/>
        <family val="2"/>
        <scheme val="minor"/>
      </rPr>
      <t>in women aged 40-74 years at entry</t>
    </r>
    <r>
      <rPr>
        <sz val="10"/>
        <rFont val="Calibri"/>
        <family val="2"/>
        <scheme val="minor"/>
      </rPr>
      <t>; 7 years since randomisation</t>
    </r>
  </si>
  <si>
    <r>
      <t xml:space="preserve">Breast cancer mortality (per 1,000 women </t>
    </r>
    <r>
      <rPr>
        <b/>
        <sz val="10"/>
        <rFont val="Calibri"/>
        <family val="2"/>
        <scheme val="minor"/>
      </rPr>
      <t>aged 40-74 years</t>
    </r>
    <r>
      <rPr>
        <sz val="10"/>
        <rFont val="Calibri"/>
        <family val="2"/>
        <scheme val="minor"/>
      </rPr>
      <t>); 8 years since randomisation;
Study vs control arms</t>
    </r>
  </si>
  <si>
    <r>
      <t xml:space="preserve">Number of deaths from breast cancer </t>
    </r>
    <r>
      <rPr>
        <b/>
        <sz val="10"/>
        <rFont val="Calibri"/>
        <family val="2"/>
        <scheme val="minor"/>
      </rPr>
      <t>in women aged 40-74 years at entry</t>
    </r>
    <r>
      <rPr>
        <sz val="10"/>
        <rFont val="Calibri"/>
        <family val="2"/>
        <scheme val="minor"/>
      </rPr>
      <t>; 8 years since randomisation</t>
    </r>
  </si>
  <si>
    <r>
      <t xml:space="preserve">Breast cancer mortality (per 1,000 women </t>
    </r>
    <r>
      <rPr>
        <b/>
        <sz val="10"/>
        <rFont val="Calibri"/>
        <family val="2"/>
        <scheme val="minor"/>
      </rPr>
      <t>aged 40-74 years</t>
    </r>
    <r>
      <rPr>
        <sz val="10"/>
        <rFont val="Calibri"/>
        <family val="2"/>
        <scheme val="minor"/>
      </rPr>
      <t>); 10 years since randomisation;
Study vs control arms</t>
    </r>
  </si>
  <si>
    <r>
      <t xml:space="preserve">Number of deaths from breast cancer </t>
    </r>
    <r>
      <rPr>
        <b/>
        <sz val="10"/>
        <rFont val="Calibri"/>
        <family val="2"/>
        <scheme val="minor"/>
      </rPr>
      <t>in women aged 40-74 years at entry</t>
    </r>
    <r>
      <rPr>
        <sz val="10"/>
        <rFont val="Calibri"/>
        <family val="2"/>
        <scheme val="minor"/>
      </rPr>
      <t>; 10 years since randomisation</t>
    </r>
  </si>
  <si>
    <t>10252 PY</t>
  </si>
  <si>
    <t>10567 PY</t>
  </si>
  <si>
    <t>20482 PY</t>
  </si>
  <si>
    <t>21120 PY</t>
  </si>
  <si>
    <t>30691 PY</t>
  </si>
  <si>
    <t>31655 PY</t>
  </si>
  <si>
    <t>40880 PY</t>
  </si>
  <si>
    <t>42168 PY</t>
  </si>
  <si>
    <t>51047 PY</t>
  </si>
  <si>
    <t>52656 PY</t>
  </si>
  <si>
    <t>61188 PY</t>
  </si>
  <si>
    <t>63115 PY</t>
  </si>
  <si>
    <t>70959 PY</t>
  </si>
  <si>
    <t>73275 PY</t>
  </si>
  <si>
    <t>78773 PY</t>
  </si>
  <si>
    <t>81783 PY</t>
  </si>
  <si>
    <t>84388 PY</t>
  </si>
  <si>
    <t>87118 PY</t>
  </si>
  <si>
    <t>11740 PY</t>
  </si>
  <si>
    <t>11225 PY</t>
  </si>
  <si>
    <t>23433 PY</t>
  </si>
  <si>
    <t>22403 PY</t>
  </si>
  <si>
    <t>35073 PY</t>
  </si>
  <si>
    <t>33525 PY</t>
  </si>
  <si>
    <t>46665 PY</t>
  </si>
  <si>
    <t>44591 PY</t>
  </si>
  <si>
    <t>58199 PY</t>
  </si>
  <si>
    <t>55607 PY</t>
  </si>
  <si>
    <t>69659 PY</t>
  </si>
  <si>
    <t>66564 PY</t>
  </si>
  <si>
    <t>80715 PY</t>
  </si>
  <si>
    <t>77194 PY</t>
  </si>
  <si>
    <t>89719 PY</t>
  </si>
  <si>
    <t>86070 PY</t>
  </si>
  <si>
    <t>99255 PY</t>
  </si>
  <si>
    <t>92439 PY</t>
  </si>
  <si>
    <t>11378 PY</t>
  </si>
  <si>
    <t>10660 PY</t>
  </si>
  <si>
    <t>22636 PY</t>
  </si>
  <si>
    <t>21206 PY</t>
  </si>
  <si>
    <t>33760 PY</t>
  </si>
  <si>
    <t>31630 PY</t>
  </si>
  <si>
    <t>44731 PY</t>
  </si>
  <si>
    <t>41920 PY</t>
  </si>
  <si>
    <t>55542 PY</t>
  </si>
  <si>
    <t>52059 PY</t>
  </si>
  <si>
    <t>66188 PY</t>
  </si>
  <si>
    <t>62021 PY</t>
  </si>
  <si>
    <t>76316 PY</t>
  </si>
  <si>
    <t>71493 PY</t>
  </si>
  <si>
    <t>84362 PY</t>
  </si>
  <si>
    <t>79096 PY</t>
  </si>
  <si>
    <t>89683 PY</t>
  </si>
  <si>
    <t>84594 PY</t>
  </si>
  <si>
    <t>4978 PY</t>
  </si>
  <si>
    <t>4805 PY</t>
  </si>
  <si>
    <t>9826 PY</t>
  </si>
  <si>
    <t>9476 PY</t>
  </si>
  <si>
    <t>14530 PY</t>
  </si>
  <si>
    <t>13999 PY</t>
  </si>
  <si>
    <t>19080 PY</t>
  </si>
  <si>
    <t>18369 PY</t>
  </si>
  <si>
    <t>23462 PY</t>
  </si>
  <si>
    <t>22580 PY</t>
  </si>
  <si>
    <t>27659 PY</t>
  </si>
  <si>
    <t>26616 PY</t>
  </si>
  <si>
    <t>31539 PY</t>
  </si>
  <si>
    <t>30348 PY</t>
  </si>
  <si>
    <t>34534 PY</t>
  </si>
  <si>
    <t>33250 PY</t>
  </si>
  <si>
    <t>36361 PY</t>
  </si>
  <si>
    <t>35208 PY</t>
  </si>
  <si>
    <r>
      <t xml:space="preserve">All-cause mortality (per 1,000 women </t>
    </r>
    <r>
      <rPr>
        <b/>
        <sz val="10"/>
        <rFont val="Calibri"/>
        <family val="2"/>
        <scheme val="minor"/>
      </rPr>
      <t>aged 40-74 years</t>
    </r>
    <r>
      <rPr>
        <sz val="10"/>
        <rFont val="Calibri"/>
        <family val="2"/>
        <scheme val="minor"/>
      </rPr>
      <t>); up to 31/12/1986 Kopparberg and 31/12/1987 in Ostergotland;
Study vs control arms</t>
    </r>
  </si>
  <si>
    <r>
      <t xml:space="preserve">Number of deaths from all causes (breast cancer + other causes) </t>
    </r>
    <r>
      <rPr>
        <b/>
        <sz val="10"/>
        <rFont val="Calibri"/>
        <family val="2"/>
        <scheme val="minor"/>
      </rPr>
      <t>in women aged 40-74 years at entry</t>
    </r>
    <r>
      <rPr>
        <sz val="10"/>
        <rFont val="Calibri"/>
        <family val="2"/>
        <scheme val="minor"/>
      </rPr>
      <t>; up to 31/12/1986 in Kopparberg and 31/12/1987 in Ostergotland</t>
    </r>
  </si>
  <si>
    <t>Table 3 and Table 7</t>
  </si>
  <si>
    <t xml:space="preserve">Numbers of deaths from all causes, including breast cancer, can be obtained by adding the corresponding elements of tables 3 and 7. </t>
  </si>
  <si>
    <r>
      <t xml:space="preserve">All-cause mortality (per 1,000 PY) </t>
    </r>
    <r>
      <rPr>
        <b/>
        <sz val="10"/>
        <rFont val="Calibri"/>
        <family val="2"/>
        <scheme val="minor"/>
      </rPr>
      <t>in women</t>
    </r>
    <r>
      <rPr>
        <sz val="10"/>
        <rFont val="Calibri"/>
        <family val="2"/>
        <scheme val="minor"/>
      </rPr>
      <t xml:space="preserve"> </t>
    </r>
    <r>
      <rPr>
        <b/>
        <sz val="10"/>
        <rFont val="Calibri"/>
        <family val="2"/>
        <scheme val="minor"/>
      </rPr>
      <t>aged 40-74 years</t>
    </r>
    <r>
      <rPr>
        <sz val="10"/>
        <rFont val="Calibri"/>
        <family val="2"/>
        <scheme val="minor"/>
      </rPr>
      <t>); up to 31/12/1986 Kopparberg and 31/12/1987 in Ostergotland;
Study vs control arms</t>
    </r>
  </si>
  <si>
    <r>
      <t xml:space="preserve">Person years </t>
    </r>
    <r>
      <rPr>
        <b/>
        <sz val="10"/>
        <rFont val="Calibri"/>
        <family val="2"/>
        <scheme val="minor"/>
      </rPr>
      <t>aged 40-74 years at entry</t>
    </r>
    <r>
      <rPr>
        <sz val="10"/>
        <rFont val="Calibri"/>
        <family val="2"/>
        <scheme val="minor"/>
      </rPr>
      <t>, by arm</t>
    </r>
  </si>
  <si>
    <t>Table 3, Table 7 and Table 9</t>
  </si>
  <si>
    <r>
      <t xml:space="preserve">All-cause mortality (per 1,000 women </t>
    </r>
    <r>
      <rPr>
        <b/>
        <sz val="10"/>
        <rFont val="Calibri"/>
        <family val="2"/>
        <scheme val="minor"/>
      </rPr>
      <t>aged 40-49 years</t>
    </r>
    <r>
      <rPr>
        <sz val="10"/>
        <rFont val="Calibri"/>
        <family val="2"/>
        <scheme val="minor"/>
      </rPr>
      <t>); up to 31/12/1986 Kopparberg and 31/12/1987 in Ostergotland;
Study vs control arms</t>
    </r>
  </si>
  <si>
    <r>
      <t xml:space="preserve">Number of deaths from all causes (breast cancer + other causes) </t>
    </r>
    <r>
      <rPr>
        <b/>
        <sz val="10"/>
        <rFont val="Calibri"/>
        <family val="2"/>
        <scheme val="minor"/>
      </rPr>
      <t>in women aged 40-49 years at entry</t>
    </r>
    <r>
      <rPr>
        <sz val="10"/>
        <rFont val="Calibri"/>
        <family val="2"/>
        <scheme val="minor"/>
      </rPr>
      <t>; up to 31/12/1986 in Kopparberg and 31/12/1987 in Ostergotland</t>
    </r>
  </si>
  <si>
    <r>
      <t xml:space="preserve">All-cause mortality (per 1,000 women </t>
    </r>
    <r>
      <rPr>
        <b/>
        <sz val="10"/>
        <rFont val="Calibri"/>
        <family val="2"/>
        <scheme val="minor"/>
      </rPr>
      <t>aged 50-59 years</t>
    </r>
    <r>
      <rPr>
        <sz val="10"/>
        <rFont val="Calibri"/>
        <family val="2"/>
        <scheme val="minor"/>
      </rPr>
      <t>); up to 31/12/1986 Kopparberg and 31/12/1987 in Ostergotland;
Study vs control arms</t>
    </r>
  </si>
  <si>
    <r>
      <t xml:space="preserve">Number of deaths from all causes (breast cancer + other causes) </t>
    </r>
    <r>
      <rPr>
        <b/>
        <sz val="10"/>
        <rFont val="Calibri"/>
        <family val="2"/>
        <scheme val="minor"/>
      </rPr>
      <t>in women aged 50-59 years at entry</t>
    </r>
    <r>
      <rPr>
        <sz val="10"/>
        <rFont val="Calibri"/>
        <family val="2"/>
        <scheme val="minor"/>
      </rPr>
      <t>; up to 31/12/1986 in Kopparberg and 31/12/1987 in Ostergotland</t>
    </r>
  </si>
  <si>
    <r>
      <t xml:space="preserve">All-cause mortality (per 1,000 women </t>
    </r>
    <r>
      <rPr>
        <b/>
        <sz val="10"/>
        <rFont val="Calibri"/>
        <family val="2"/>
        <scheme val="minor"/>
      </rPr>
      <t>aged 60-69 years</t>
    </r>
    <r>
      <rPr>
        <sz val="10"/>
        <rFont val="Calibri"/>
        <family val="2"/>
        <scheme val="minor"/>
      </rPr>
      <t>);up to 31/12/1986 Kopparberg and 31/12/1987 in Ostergotland;
Study vs control arms</t>
    </r>
  </si>
  <si>
    <r>
      <t xml:space="preserve">Number of deaths from all causes (breast cancer + other causes) </t>
    </r>
    <r>
      <rPr>
        <b/>
        <sz val="10"/>
        <rFont val="Calibri"/>
        <family val="2"/>
        <scheme val="minor"/>
      </rPr>
      <t>in women aged 60-69 years at entry</t>
    </r>
    <r>
      <rPr>
        <sz val="10"/>
        <rFont val="Calibri"/>
        <family val="2"/>
        <scheme val="minor"/>
      </rPr>
      <t>; up to 31/12/1986 in Kopparberg and 31/12/1987 in Ostergotland</t>
    </r>
  </si>
  <si>
    <r>
      <t xml:space="preserve">All-cause mortality (per 1,000 women </t>
    </r>
    <r>
      <rPr>
        <b/>
        <sz val="10"/>
        <rFont val="Calibri"/>
        <family val="2"/>
        <scheme val="minor"/>
      </rPr>
      <t>aged 70-74 years</t>
    </r>
    <r>
      <rPr>
        <sz val="10"/>
        <rFont val="Calibri"/>
        <family val="2"/>
        <scheme val="minor"/>
      </rPr>
      <t>); up to 31/12/1986 Kopparberg and 31/12/1987 in Ostergotland;
Study vs control arms</t>
    </r>
  </si>
  <si>
    <r>
      <t xml:space="preserve">Number of deaths from all causes (breast cancer + other causes) </t>
    </r>
    <r>
      <rPr>
        <b/>
        <sz val="10"/>
        <rFont val="Calibri"/>
        <family val="2"/>
        <scheme val="minor"/>
      </rPr>
      <t>in women aged 70-74 years at entry</t>
    </r>
    <r>
      <rPr>
        <sz val="10"/>
        <rFont val="Calibri"/>
        <family val="2"/>
        <scheme val="minor"/>
      </rPr>
      <t>; up to 31/12/1986 in Kopparberg and 31/12/1987 in Ostergotland</t>
    </r>
  </si>
  <si>
    <t>Tabar 1992</t>
  </si>
  <si>
    <r>
      <t xml:space="preserve">Breast cancer mortality (per 1,000 women </t>
    </r>
    <r>
      <rPr>
        <b/>
        <sz val="10"/>
        <rFont val="Calibri"/>
        <family val="2"/>
        <scheme val="minor"/>
      </rPr>
      <t>aged 40-49 years</t>
    </r>
    <r>
      <rPr>
        <sz val="10"/>
        <rFont val="Calibri"/>
        <family val="2"/>
        <scheme val="minor"/>
      </rPr>
      <t>) in 7 years since randomisation; breast cancers diagnosed from randomisation to end of first screen in controls;
Study vs control arms</t>
    </r>
  </si>
  <si>
    <t>National Bureau of Statistics; death classified as from breast cancer after full review of the clinical and pathological records.</t>
  </si>
  <si>
    <t>65,159 PY</t>
  </si>
  <si>
    <t>34,300 PY</t>
  </si>
  <si>
    <r>
      <t xml:space="preserve">Number of deaths from breast cancer </t>
    </r>
    <r>
      <rPr>
        <b/>
        <sz val="10"/>
        <rFont val="Calibri"/>
        <family val="2"/>
        <scheme val="minor"/>
      </rPr>
      <t>in women aged 40-49 years at entry</t>
    </r>
    <r>
      <rPr>
        <sz val="10"/>
        <rFont val="Calibri"/>
        <family val="2"/>
        <scheme val="minor"/>
      </rPr>
      <t>; breast cancers diagnosed from randomisation to end of first screen in controls; 7 years since randomisation</t>
    </r>
  </si>
  <si>
    <r>
      <t xml:space="preserve">Breast cancer mortality (per 1,000 women </t>
    </r>
    <r>
      <rPr>
        <b/>
        <sz val="10"/>
        <rFont val="Calibri"/>
        <family val="2"/>
        <scheme val="minor"/>
      </rPr>
      <t>aged 40-49 years</t>
    </r>
    <r>
      <rPr>
        <sz val="10"/>
        <rFont val="Calibri"/>
        <family val="2"/>
        <scheme val="minor"/>
      </rPr>
      <t>) in 8 years since randomisation; breast cancers diagnosed from randomisation to end of first screen in controls;
Study vs control arms</t>
    </r>
  </si>
  <si>
    <t>74,146 PY</t>
  </si>
  <si>
    <t>39,035 PY</t>
  </si>
  <si>
    <r>
      <t xml:space="preserve">Number of deaths from breast cancer </t>
    </r>
    <r>
      <rPr>
        <b/>
        <sz val="10"/>
        <rFont val="Calibri"/>
        <family val="2"/>
        <scheme val="minor"/>
      </rPr>
      <t>in women aged 40-49 years at entry</t>
    </r>
    <r>
      <rPr>
        <sz val="10"/>
        <rFont val="Calibri"/>
        <family val="2"/>
        <scheme val="minor"/>
      </rPr>
      <t>; breast cancers diagnosed from randomisation to end of first screen in controls; 8 years since randomisation</t>
    </r>
  </si>
  <si>
    <r>
      <t xml:space="preserve">Breast cancer mortality (per 1,000 women </t>
    </r>
    <r>
      <rPr>
        <b/>
        <sz val="10"/>
        <rFont val="Calibri"/>
        <family val="2"/>
        <scheme val="minor"/>
      </rPr>
      <t>aged 40-49 years</t>
    </r>
    <r>
      <rPr>
        <sz val="10"/>
        <rFont val="Calibri"/>
        <family val="2"/>
        <scheme val="minor"/>
      </rPr>
      <t>) in 9 years since randomisation; breast cancers diagnosed from randomisation to end of first screen in controls;
Study vs control arms</t>
    </r>
  </si>
  <si>
    <t>83,058 PY</t>
  </si>
  <si>
    <t>43,739 PY</t>
  </si>
  <si>
    <r>
      <t xml:space="preserve">Number of deaths from breast cancer </t>
    </r>
    <r>
      <rPr>
        <b/>
        <sz val="10"/>
        <rFont val="Calibri"/>
        <family val="2"/>
        <scheme val="minor"/>
      </rPr>
      <t>in women aged 40-49 years at entry</t>
    </r>
    <r>
      <rPr>
        <sz val="10"/>
        <rFont val="Calibri"/>
        <family val="2"/>
        <scheme val="minor"/>
      </rPr>
      <t>; breast cancers diagnosed from randomisation to end of first screen in controls; follow-up for 9 years since randomisation</t>
    </r>
  </si>
  <si>
    <r>
      <t xml:space="preserve">Breast cancer mortality (per 1,000 women </t>
    </r>
    <r>
      <rPr>
        <b/>
        <sz val="10"/>
        <rFont val="Calibri"/>
        <family val="2"/>
        <scheme val="minor"/>
      </rPr>
      <t>aged 40-49 years</t>
    </r>
    <r>
      <rPr>
        <sz val="10"/>
        <rFont val="Calibri"/>
        <family val="2"/>
        <scheme val="minor"/>
      </rPr>
      <t>) in 10 years since randomisation; breast cancers diagnosed from randomisation to end of first screen in controls;
Study vs control arms</t>
    </r>
  </si>
  <si>
    <t>91,898 PY</t>
  </si>
  <si>
    <t>48,415 PY</t>
  </si>
  <si>
    <r>
      <t xml:space="preserve">Number of deaths from breast cancer </t>
    </r>
    <r>
      <rPr>
        <b/>
        <sz val="10"/>
        <rFont val="Calibri"/>
        <family val="2"/>
        <scheme val="minor"/>
      </rPr>
      <t>in women aged 40-49 years at entry</t>
    </r>
    <r>
      <rPr>
        <sz val="10"/>
        <rFont val="Calibri"/>
        <family val="2"/>
        <scheme val="minor"/>
      </rPr>
      <t>; breast cancers diagnosed from randomisation to end of first screen in controls; follow-up for 10 years since randomisation</t>
    </r>
  </si>
  <si>
    <r>
      <t xml:space="preserve">Breast cancer mortality (per 1,000 women </t>
    </r>
    <r>
      <rPr>
        <b/>
        <sz val="10"/>
        <rFont val="Calibri"/>
        <family val="2"/>
        <scheme val="minor"/>
      </rPr>
      <t>aged 40-49 years</t>
    </r>
    <r>
      <rPr>
        <sz val="10"/>
        <rFont val="Calibri"/>
        <family val="2"/>
        <scheme val="minor"/>
      </rPr>
      <t>) in 10+ years since randomisation; breast cancers diagnosed from randomisation to end of first screen in controls;
Study vs control arms</t>
    </r>
  </si>
  <si>
    <t>&gt;10 years</t>
  </si>
  <si>
    <t>111,360 PY</t>
  </si>
  <si>
    <t>58,838 PY</t>
  </si>
  <si>
    <r>
      <t xml:space="preserve">Number of deaths from breast cancer </t>
    </r>
    <r>
      <rPr>
        <b/>
        <sz val="10"/>
        <rFont val="Calibri"/>
        <family val="2"/>
        <scheme val="minor"/>
      </rPr>
      <t>in women aged 40-49 years at entry</t>
    </r>
    <r>
      <rPr>
        <sz val="10"/>
        <rFont val="Calibri"/>
        <family val="2"/>
        <scheme val="minor"/>
      </rPr>
      <t>; breast cancers diagnosed from randomisation to end of first screen in controls; follow-up for 10+ years since randomisation</t>
    </r>
  </si>
  <si>
    <r>
      <t xml:space="preserve">Breast cancer mortality (per 1,000 women </t>
    </r>
    <r>
      <rPr>
        <b/>
        <sz val="10"/>
        <rFont val="Calibri"/>
        <family val="2"/>
        <scheme val="minor"/>
      </rPr>
      <t>aged 50-59 years</t>
    </r>
    <r>
      <rPr>
        <sz val="10"/>
        <rFont val="Calibri"/>
        <family val="2"/>
        <scheme val="minor"/>
      </rPr>
      <t>) in 7 years since randomisation;  breast cancers diagnosed from randomisation to end of first screen in controls;
Study vs control arms</t>
    </r>
  </si>
  <si>
    <t>80,518 PY</t>
  </si>
  <si>
    <t>37,693 PY</t>
  </si>
  <si>
    <r>
      <t xml:space="preserve">Number of deaths from breast cancer </t>
    </r>
    <r>
      <rPr>
        <b/>
        <sz val="10"/>
        <rFont val="Calibri"/>
        <family val="2"/>
        <scheme val="minor"/>
      </rPr>
      <t>in women aged 50-59 years at entry</t>
    </r>
    <r>
      <rPr>
        <sz val="10"/>
        <rFont val="Calibri"/>
        <family val="2"/>
        <scheme val="minor"/>
      </rPr>
      <t>; breast cancers diagnosed from randomisation to end of first screen in controls; follow-up for 7 years since randomisation</t>
    </r>
  </si>
  <si>
    <r>
      <t xml:space="preserve">Breast cancer mortality (per 1,000 women </t>
    </r>
    <r>
      <rPr>
        <b/>
        <sz val="10"/>
        <rFont val="Calibri"/>
        <family val="2"/>
        <scheme val="minor"/>
      </rPr>
      <t>aged 50-59 years</t>
    </r>
    <r>
      <rPr>
        <sz val="10"/>
        <rFont val="Calibri"/>
        <family val="2"/>
        <scheme val="minor"/>
      </rPr>
      <t>) in 8 years since randomisation;  breast cancers diagnosed from randomisation to end of first screen in controls;
Study vs control arms</t>
    </r>
  </si>
  <si>
    <t>91,375 PY</t>
  </si>
  <si>
    <t>42,863 PY</t>
  </si>
  <si>
    <r>
      <t xml:space="preserve">Number of deaths from breast cancer </t>
    </r>
    <r>
      <rPr>
        <b/>
        <sz val="10"/>
        <rFont val="Calibri"/>
        <family val="2"/>
        <scheme val="minor"/>
      </rPr>
      <t>in women aged 50-59 years at entry</t>
    </r>
    <r>
      <rPr>
        <sz val="10"/>
        <rFont val="Calibri"/>
        <family val="2"/>
        <scheme val="minor"/>
      </rPr>
      <t>; breast cancers diagnosed from randomisation to end of first screen in controls; follow-up for 8 years since randomisation</t>
    </r>
  </si>
  <si>
    <r>
      <t xml:space="preserve">Breast cancer mortality (per 1,000 women </t>
    </r>
    <r>
      <rPr>
        <b/>
        <sz val="10"/>
        <rFont val="Calibri"/>
        <family val="2"/>
        <scheme val="minor"/>
      </rPr>
      <t>aged 50-59 years</t>
    </r>
    <r>
      <rPr>
        <sz val="10"/>
        <rFont val="Calibri"/>
        <family val="2"/>
        <scheme val="minor"/>
      </rPr>
      <t>) in 9 years since randomisation;  breast cancers diagnosed from randomisation to end of first screen in controls;
Study vs control arms</t>
    </r>
  </si>
  <si>
    <t>102,104 PY</t>
  </si>
  <si>
    <t>47,966 PY</t>
  </si>
  <si>
    <r>
      <t xml:space="preserve">Number of deaths from breast cancer </t>
    </r>
    <r>
      <rPr>
        <b/>
        <sz val="10"/>
        <rFont val="Calibri"/>
        <family val="2"/>
        <scheme val="minor"/>
      </rPr>
      <t>in women aged 50-59 years at entry</t>
    </r>
    <r>
      <rPr>
        <sz val="10"/>
        <rFont val="Calibri"/>
        <family val="2"/>
        <scheme val="minor"/>
      </rPr>
      <t>; breast cancers diagnosed from randomisation to end of first screen in controls; follow-up for 9 years since randomisation</t>
    </r>
  </si>
  <si>
    <r>
      <t xml:space="preserve">Breast cancer mortality (per 1,000 women </t>
    </r>
    <r>
      <rPr>
        <b/>
        <sz val="10"/>
        <rFont val="Calibri"/>
        <family val="2"/>
        <scheme val="minor"/>
      </rPr>
      <t>aged 50-59 years</t>
    </r>
    <r>
      <rPr>
        <sz val="10"/>
        <rFont val="Calibri"/>
        <family val="2"/>
        <scheme val="minor"/>
      </rPr>
      <t>) in 10 years since randomisation;  breast cancers diagnosed from randomisation to end of first screen in controls;
Study vs control arms</t>
    </r>
  </si>
  <si>
    <t>112,683 PY</t>
  </si>
  <si>
    <t>52,994 PY</t>
  </si>
  <si>
    <r>
      <t xml:space="preserve">Number of deaths from breast cancer </t>
    </r>
    <r>
      <rPr>
        <b/>
        <sz val="10"/>
        <rFont val="Calibri"/>
        <family val="2"/>
        <scheme val="minor"/>
      </rPr>
      <t>in women aged 50-59 years at entry</t>
    </r>
    <r>
      <rPr>
        <sz val="10"/>
        <rFont val="Calibri"/>
        <family val="2"/>
        <scheme val="minor"/>
      </rPr>
      <t>; breast cancers diagnosed from randomisation to end of first screen in controls; follow-up for 10 years since randomisation</t>
    </r>
  </si>
  <si>
    <r>
      <t xml:space="preserve">Breast cancer mortality (per 1,000 women </t>
    </r>
    <r>
      <rPr>
        <b/>
        <sz val="10"/>
        <rFont val="Calibri"/>
        <family val="2"/>
        <scheme val="minor"/>
      </rPr>
      <t>aged 50-59 years</t>
    </r>
    <r>
      <rPr>
        <sz val="10"/>
        <rFont val="Calibri"/>
        <family val="2"/>
        <scheme val="minor"/>
      </rPr>
      <t>) in 10+ years since randomisation;  breast cancers diagnosed from randomisation to end of first screen in controls;
Study vs control arms</t>
    </r>
  </si>
  <si>
    <t>135,484 PY</t>
  </si>
  <si>
    <t>64,046 PY</t>
  </si>
  <si>
    <r>
      <t xml:space="preserve">Number of deaths from breast cancer </t>
    </r>
    <r>
      <rPr>
        <b/>
        <sz val="10"/>
        <rFont val="Calibri"/>
        <family val="2"/>
        <scheme val="minor"/>
      </rPr>
      <t>in women aged 50-59 years at entry</t>
    </r>
    <r>
      <rPr>
        <sz val="10"/>
        <rFont val="Calibri"/>
        <family val="2"/>
        <scheme val="minor"/>
      </rPr>
      <t>; breast cancers diagnosed from randomisation to end of first screen in controls; follow-up for 10+ years since randomisation</t>
    </r>
  </si>
  <si>
    <r>
      <t xml:space="preserve">Breast cancer mortality (per 1,000 women </t>
    </r>
    <r>
      <rPr>
        <b/>
        <sz val="10"/>
        <rFont val="Calibri"/>
        <family val="2"/>
        <scheme val="minor"/>
      </rPr>
      <t>aged 60-69 years</t>
    </r>
    <r>
      <rPr>
        <sz val="10"/>
        <rFont val="Calibri"/>
        <family val="2"/>
        <scheme val="minor"/>
      </rPr>
      <t>) in 7 years since randomisation;  breast cancers diagnosed from randomisation to end of first screen in controls;
Study vs control arms</t>
    </r>
  </si>
  <si>
    <t>79,048 PY</t>
  </si>
  <si>
    <t>36,585 PY</t>
  </si>
  <si>
    <r>
      <t xml:space="preserve">Number of deaths from breast cancer </t>
    </r>
    <r>
      <rPr>
        <b/>
        <sz val="10"/>
        <rFont val="Calibri"/>
        <family val="2"/>
        <scheme val="minor"/>
      </rPr>
      <t>in women aged 60-69 years at entry</t>
    </r>
    <r>
      <rPr>
        <sz val="10"/>
        <rFont val="Calibri"/>
        <family val="2"/>
        <scheme val="minor"/>
      </rPr>
      <t>; breast cancers diagnosed from randomisation to end of first screen in controls; follow-up for 7 years since randomisation</t>
    </r>
  </si>
  <si>
    <r>
      <t xml:space="preserve">Breast cancer mortality (per 1,000 women </t>
    </r>
    <r>
      <rPr>
        <b/>
        <sz val="10"/>
        <rFont val="Calibri"/>
        <family val="2"/>
        <scheme val="minor"/>
      </rPr>
      <t>aged 60-69 years</t>
    </r>
    <r>
      <rPr>
        <sz val="10"/>
        <rFont val="Calibri"/>
        <family val="2"/>
        <scheme val="minor"/>
      </rPr>
      <t>) in 8 years since randomisation;  breast cancers diagnosed from randomisation to end of first screen in controls;
Study vs control arms</t>
    </r>
  </si>
  <si>
    <t>89,394 PY</t>
  </si>
  <si>
    <t>41,344 PY</t>
  </si>
  <si>
    <r>
      <t xml:space="preserve">Number of deaths from breast cancer </t>
    </r>
    <r>
      <rPr>
        <b/>
        <sz val="10"/>
        <rFont val="Calibri"/>
        <family val="2"/>
        <scheme val="minor"/>
      </rPr>
      <t>in women aged 60-69 years at entry</t>
    </r>
    <r>
      <rPr>
        <sz val="10"/>
        <rFont val="Calibri"/>
        <family val="2"/>
        <scheme val="minor"/>
      </rPr>
      <t>; breast cancers diagnosed from randomisation to end of first screen in controls; follow-up for 8 years since randomisation</t>
    </r>
  </si>
  <si>
    <r>
      <t xml:space="preserve">Breast cancer mortality (per 1,000 women </t>
    </r>
    <r>
      <rPr>
        <b/>
        <sz val="10"/>
        <rFont val="Calibri"/>
        <family val="2"/>
        <scheme val="minor"/>
      </rPr>
      <t>aged 60-69 years</t>
    </r>
    <r>
      <rPr>
        <sz val="10"/>
        <rFont val="Calibri"/>
        <family val="2"/>
        <scheme val="minor"/>
      </rPr>
      <t>) in 9 years since randomisation;  breast cancers diagnosed from randomisation to end of first screen in controls;
Study vs control arms</t>
    </r>
  </si>
  <si>
    <t>99,473 PY</t>
  </si>
  <si>
    <t>45,969 PY</t>
  </si>
  <si>
    <r>
      <t xml:space="preserve">Number of deaths from breast cancer </t>
    </r>
    <r>
      <rPr>
        <b/>
        <sz val="10"/>
        <rFont val="Calibri"/>
        <family val="2"/>
        <scheme val="minor"/>
      </rPr>
      <t>in women aged 60-69 years at entry</t>
    </r>
    <r>
      <rPr>
        <sz val="10"/>
        <rFont val="Calibri"/>
        <family val="2"/>
        <scheme val="minor"/>
      </rPr>
      <t>; breast cancers diagnosed from randomisation to end of first screen in controls; follow-up for 9 years since randomisation</t>
    </r>
  </si>
  <si>
    <r>
      <t xml:space="preserve">Breast cancer mortality (per 1,000 women </t>
    </r>
    <r>
      <rPr>
        <b/>
        <sz val="10"/>
        <rFont val="Calibri"/>
        <family val="2"/>
        <scheme val="minor"/>
      </rPr>
      <t>aged 60-69 years</t>
    </r>
    <r>
      <rPr>
        <sz val="10"/>
        <rFont val="Calibri"/>
        <family val="2"/>
        <scheme val="minor"/>
      </rPr>
      <t>) in 10 years since randomisation;  breast cancers diagnosed from randomisation to end of first screen in controls;
Study vs control arms</t>
    </r>
  </si>
  <si>
    <t>109,281 PY</t>
  </si>
  <si>
    <t>50,474 PY</t>
  </si>
  <si>
    <r>
      <t xml:space="preserve">Number of deaths from breast cancer </t>
    </r>
    <r>
      <rPr>
        <b/>
        <sz val="10"/>
        <rFont val="Calibri"/>
        <family val="2"/>
        <scheme val="minor"/>
      </rPr>
      <t>in women aged 60-69 years at entry</t>
    </r>
    <r>
      <rPr>
        <sz val="10"/>
        <rFont val="Calibri"/>
        <family val="2"/>
        <scheme val="minor"/>
      </rPr>
      <t>; breast cancers diagnosed from randomisation to end of first screen in controls; follow-up for 10 years since randomisation</t>
    </r>
  </si>
  <si>
    <r>
      <t xml:space="preserve">Breast cancer mortality (per 1,000 women </t>
    </r>
    <r>
      <rPr>
        <b/>
        <sz val="10"/>
        <rFont val="Calibri"/>
        <family val="2"/>
        <scheme val="minor"/>
      </rPr>
      <t>aged 60-69 years</t>
    </r>
    <r>
      <rPr>
        <sz val="10"/>
        <rFont val="Calibri"/>
        <family val="2"/>
        <scheme val="minor"/>
      </rPr>
      <t>) in 10+ years since randomisation;  breast cancers diagnosed from randomisation to end of first screen in controls;
Study vs control arms</t>
    </r>
  </si>
  <si>
    <t>129,223 PY</t>
  </si>
  <si>
    <t>59,802 PY</t>
  </si>
  <si>
    <r>
      <t xml:space="preserve">Number of deaths from breast cancer </t>
    </r>
    <r>
      <rPr>
        <b/>
        <sz val="10"/>
        <rFont val="Calibri"/>
        <family val="2"/>
        <scheme val="minor"/>
      </rPr>
      <t>in women aged 60-69 years at entry</t>
    </r>
    <r>
      <rPr>
        <sz val="10"/>
        <rFont val="Calibri"/>
        <family val="2"/>
        <scheme val="minor"/>
      </rPr>
      <t>; breast cancers diagnosed from randomisation to end of first screen in controls; follow-up for 10+ years since randomisation</t>
    </r>
  </si>
  <si>
    <r>
      <t xml:space="preserve">Breast cancer mortality (per 1,000 women </t>
    </r>
    <r>
      <rPr>
        <b/>
        <sz val="10"/>
        <rFont val="Calibri"/>
        <family val="2"/>
        <scheme val="minor"/>
      </rPr>
      <t>aged 70-74 years</t>
    </r>
    <r>
      <rPr>
        <sz val="10"/>
        <rFont val="Calibri"/>
        <family val="2"/>
        <scheme val="minor"/>
      </rPr>
      <t>); 7 years since randomisation;  breast cancers diagnosed from randomisation to end of first screen in controls;
Study vs control arms</t>
    </r>
  </si>
  <si>
    <t>33,085 PY</t>
  </si>
  <si>
    <t>15,192 PY</t>
  </si>
  <si>
    <r>
      <t xml:space="preserve">Number of deaths from breast cancer </t>
    </r>
    <r>
      <rPr>
        <b/>
        <sz val="10"/>
        <rFont val="Calibri"/>
        <family val="2"/>
        <scheme val="minor"/>
      </rPr>
      <t>in women aged 70-74 years at entry</t>
    </r>
    <r>
      <rPr>
        <sz val="10"/>
        <rFont val="Calibri"/>
        <family val="2"/>
        <scheme val="minor"/>
      </rPr>
      <t>; breast cancers diagnosed from randomisation to end of first screen in controls; follow-up for 7 years since randomisation</t>
    </r>
  </si>
  <si>
    <r>
      <t xml:space="preserve">Breast cancer mortality (per 1,000 women </t>
    </r>
    <r>
      <rPr>
        <b/>
        <sz val="10"/>
        <rFont val="Calibri"/>
        <family val="2"/>
        <scheme val="minor"/>
      </rPr>
      <t>aged 70-74 years</t>
    </r>
    <r>
      <rPr>
        <sz val="10"/>
        <rFont val="Calibri"/>
        <family val="2"/>
        <scheme val="minor"/>
      </rPr>
      <t>); 8 years since randomisation;  breast cancers diagnosed from randomisation to end of first screen in controls;
Study vs control arms</t>
    </r>
  </si>
  <si>
    <t>37,015 PY</t>
  </si>
  <si>
    <t>16,995 PY</t>
  </si>
  <si>
    <r>
      <t xml:space="preserve">Number of deaths from breast cancer </t>
    </r>
    <r>
      <rPr>
        <b/>
        <sz val="10"/>
        <rFont val="Calibri"/>
        <family val="2"/>
        <scheme val="minor"/>
      </rPr>
      <t>in women aged  70-74 years at entry</t>
    </r>
    <r>
      <rPr>
        <sz val="10"/>
        <rFont val="Calibri"/>
        <family val="2"/>
        <scheme val="minor"/>
      </rPr>
      <t>; breast cancers diagnosed from randomisation to end of first screen in controls; follow-up for 8 years since randomisation</t>
    </r>
  </si>
  <si>
    <r>
      <t xml:space="preserve">Breast cancer mortality (per 1,000 women </t>
    </r>
    <r>
      <rPr>
        <b/>
        <sz val="10"/>
        <rFont val="Calibri"/>
        <family val="2"/>
        <scheme val="minor"/>
      </rPr>
      <t>aged 70-74 years</t>
    </r>
    <r>
      <rPr>
        <sz val="10"/>
        <rFont val="Calibri"/>
        <family val="2"/>
        <scheme val="minor"/>
      </rPr>
      <t>); 9 years since randomisation; breast cancers diagnosed from randomisation to end of first screen in controls;
Study vs control arms</t>
    </r>
  </si>
  <si>
    <t>40,698 PY</t>
  </si>
  <si>
    <t>18,695 PY</t>
  </si>
  <si>
    <r>
      <t xml:space="preserve">Number of deaths from breast cancer </t>
    </r>
    <r>
      <rPr>
        <b/>
        <sz val="10"/>
        <rFont val="Calibri"/>
        <family val="2"/>
        <scheme val="minor"/>
      </rPr>
      <t>in women aged 70-74 years at entry</t>
    </r>
    <r>
      <rPr>
        <sz val="10"/>
        <rFont val="Calibri"/>
        <family val="2"/>
        <scheme val="minor"/>
      </rPr>
      <t>; breast cancers diagnosed from randomisation to end of first screen in controls; follow-up for 9 years since randomisation</t>
    </r>
  </si>
  <si>
    <r>
      <t xml:space="preserve">Breast cancer mortality (per 1,000 women </t>
    </r>
    <r>
      <rPr>
        <b/>
        <sz val="10"/>
        <rFont val="Calibri"/>
        <family val="2"/>
        <scheme val="minor"/>
      </rPr>
      <t>aged 70-74 years</t>
    </r>
    <r>
      <rPr>
        <sz val="10"/>
        <rFont val="Calibri"/>
        <family val="2"/>
        <scheme val="minor"/>
      </rPr>
      <t>); 10 years since randomisation; breast cancers diagnosed from randomisation to end of first screen in controls;
Study vs control arms</t>
    </r>
  </si>
  <si>
    <t>44,134 PY</t>
  </si>
  <si>
    <t>20,290 PY</t>
  </si>
  <si>
    <r>
      <t xml:space="preserve">Number of deaths from breast cancer </t>
    </r>
    <r>
      <rPr>
        <b/>
        <sz val="10"/>
        <rFont val="Calibri"/>
        <family val="2"/>
        <scheme val="minor"/>
      </rPr>
      <t>in women aged 70-74 years at entry</t>
    </r>
    <r>
      <rPr>
        <sz val="10"/>
        <rFont val="Calibri"/>
        <family val="2"/>
        <scheme val="minor"/>
      </rPr>
      <t>; breast cancers diagnosed from randomisation to end of first screen in controls; follow-up for 10 years since randomisation</t>
    </r>
  </si>
  <si>
    <r>
      <t xml:space="preserve">Breast cancer mortality (per 1,000 women </t>
    </r>
    <r>
      <rPr>
        <b/>
        <sz val="10"/>
        <rFont val="Calibri"/>
        <family val="2"/>
        <scheme val="minor"/>
      </rPr>
      <t>aged 70-74 years</t>
    </r>
    <r>
      <rPr>
        <sz val="10"/>
        <rFont val="Calibri"/>
        <family val="2"/>
        <scheme val="minor"/>
      </rPr>
      <t>); 10+ years since randomisation; breast cancers diagnosed from randomisation to end of first screen in controls;
Study vs control arms</t>
    </r>
  </si>
  <si>
    <t>50,429 PY</t>
  </si>
  <si>
    <t>23,370 PY</t>
  </si>
  <si>
    <r>
      <t xml:space="preserve">Number of deaths from breast cancer </t>
    </r>
    <r>
      <rPr>
        <b/>
        <sz val="10"/>
        <rFont val="Calibri"/>
        <family val="2"/>
        <scheme val="minor"/>
      </rPr>
      <t>in women aged 70-74 years at entry</t>
    </r>
    <r>
      <rPr>
        <sz val="10"/>
        <rFont val="Calibri"/>
        <family val="2"/>
        <scheme val="minor"/>
      </rPr>
      <t>; breast cancers diagnosed from randomisation to end of first screen in controls; follow-up for 10+ years since randomisation</t>
    </r>
  </si>
  <si>
    <t>71,300 PY</t>
  </si>
  <si>
    <t>73,536 PY</t>
  </si>
  <si>
    <t>81,386 PY</t>
  </si>
  <si>
    <t>83,921 PY</t>
  </si>
  <si>
    <t>91,447 PY</t>
  </si>
  <si>
    <t>94,274 PY</t>
  </si>
  <si>
    <t>101,146 PY</t>
  </si>
  <si>
    <t>104,337 PY</t>
  </si>
  <si>
    <t>114,441 PY</t>
  </si>
  <si>
    <t>118,393 PY</t>
  </si>
  <si>
    <t>81,043 PY</t>
  </si>
  <si>
    <t>77,445 PY</t>
  </si>
  <si>
    <t>92,351 PY</t>
  </si>
  <si>
    <t>88,246 PY</t>
  </si>
  <si>
    <t>103,571 PY</t>
  </si>
  <si>
    <t>98,970 PY</t>
  </si>
  <si>
    <t>114,377 PY</t>
  </si>
  <si>
    <t>109,368 PY</t>
  </si>
  <si>
    <t>129,530 PY</t>
  </si>
  <si>
    <t>124,281 PY</t>
  </si>
  <si>
    <t>76,653 PY</t>
  </si>
  <si>
    <t>71,800 PY</t>
  </si>
  <si>
    <t>86,909 PY</t>
  </si>
  <si>
    <t>81,387 PY</t>
  </si>
  <si>
    <t>96,936 PY</t>
  </si>
  <si>
    <t>90,758 PY</t>
  </si>
  <si>
    <t>106,412 PY</t>
  </si>
  <si>
    <t>99,626 PY</t>
  </si>
  <si>
    <t>118,687 PY</t>
  </si>
  <si>
    <t>111,795 PY</t>
  </si>
  <si>
    <t>31,656 PY</t>
  </si>
  <si>
    <t>30,466 PY</t>
  </si>
  <si>
    <t>35,476 PY</t>
  </si>
  <si>
    <t>34,139 PY</t>
  </si>
  <si>
    <t>39,106 PY</t>
  </si>
  <si>
    <t>37,615 PY</t>
  </si>
  <si>
    <t>42,416 PY</t>
  </si>
  <si>
    <t>40,779 PY</t>
  </si>
  <si>
    <t>46,354 PY</t>
  </si>
  <si>
    <t>44,716 PY</t>
  </si>
  <si>
    <r>
      <t xml:space="preserve">Breast cancer mortality (per 1,000 women </t>
    </r>
    <r>
      <rPr>
        <b/>
        <sz val="10"/>
        <rFont val="Calibri"/>
        <family val="2"/>
        <scheme val="minor"/>
      </rPr>
      <t>aged 40-74 years</t>
    </r>
    <r>
      <rPr>
        <sz val="10"/>
        <rFont val="Calibri"/>
        <family val="2"/>
        <scheme val="minor"/>
      </rPr>
      <t>); breast cancers diagnosed from randomisation to end of first screen in controls;</t>
    </r>
    <r>
      <rPr>
        <b/>
        <sz val="10"/>
        <rFont val="Calibri"/>
        <family val="2"/>
        <scheme val="minor"/>
      </rPr>
      <t xml:space="preserve"> average follow-up of 6 years</t>
    </r>
    <r>
      <rPr>
        <sz val="10"/>
        <rFont val="Calibri"/>
        <family val="2"/>
        <scheme val="minor"/>
      </rPr>
      <t>; adjusted for country only;
Study vs control arms</t>
    </r>
  </si>
  <si>
    <t>Mean 6 years</t>
  </si>
  <si>
    <r>
      <t xml:space="preserve">Number of deaths from breast cancer </t>
    </r>
    <r>
      <rPr>
        <b/>
        <sz val="10"/>
        <rFont val="Calibri"/>
        <family val="2"/>
        <scheme val="minor"/>
      </rPr>
      <t>in women aged 40-74 years at entry</t>
    </r>
    <r>
      <rPr>
        <sz val="10"/>
        <rFont val="Calibri"/>
        <family val="2"/>
        <scheme val="minor"/>
      </rPr>
      <t>; breast cancers diagnosed from randomisation to end of first screen in controls; mean follow-up of 6 years</t>
    </r>
  </si>
  <si>
    <t>Person years in women aged 40-74 years at entry</t>
  </si>
  <si>
    <t>Adjusted for county only</t>
  </si>
  <si>
    <t>Table 7 and text: Relative mortality remains stable but the significance increases as the number of deaths accumulates.</t>
  </si>
  <si>
    <r>
      <t xml:space="preserve">Breast cancer mortality (per 1,000 women </t>
    </r>
    <r>
      <rPr>
        <b/>
        <sz val="10"/>
        <rFont val="Calibri"/>
        <family val="2"/>
        <scheme val="minor"/>
      </rPr>
      <t>aged 40-74 years</t>
    </r>
    <r>
      <rPr>
        <sz val="10"/>
        <rFont val="Calibri"/>
        <family val="2"/>
        <scheme val="minor"/>
      </rPr>
      <t xml:space="preserve">); breast cancers diagnosed from randomisation to end of first screen in controls; </t>
    </r>
    <r>
      <rPr>
        <b/>
        <sz val="10"/>
        <rFont val="Calibri"/>
        <family val="2"/>
        <scheme val="minor"/>
      </rPr>
      <t>average follow-up of 8 years</t>
    </r>
    <r>
      <rPr>
        <sz val="10"/>
        <rFont val="Calibri"/>
        <family val="2"/>
        <scheme val="minor"/>
      </rPr>
      <t>; adjusted for county only;
Study vs control arms</t>
    </r>
  </si>
  <si>
    <t>Mean 8 years</t>
  </si>
  <si>
    <r>
      <t xml:space="preserve">Number of deaths from breast cancer </t>
    </r>
    <r>
      <rPr>
        <b/>
        <sz val="10"/>
        <rFont val="Calibri"/>
        <family val="2"/>
        <scheme val="minor"/>
      </rPr>
      <t>in women aged 40-74 years at entry</t>
    </r>
    <r>
      <rPr>
        <sz val="10"/>
        <rFont val="Calibri"/>
        <family val="2"/>
        <scheme val="minor"/>
      </rPr>
      <t>; breast cancers diagnosed from randomisation to end of first screen in controls; mean follow-up of 8 years</t>
    </r>
  </si>
  <si>
    <r>
      <t xml:space="preserve">Breast cancer mortality (per 1,000 women </t>
    </r>
    <r>
      <rPr>
        <b/>
        <sz val="10"/>
        <rFont val="Calibri"/>
        <family val="2"/>
        <scheme val="minor"/>
      </rPr>
      <t>aged 40-74 years</t>
    </r>
    <r>
      <rPr>
        <sz val="10"/>
        <rFont val="Calibri"/>
        <family val="2"/>
        <scheme val="minor"/>
      </rPr>
      <t xml:space="preserve">); breast cancers diagnosed from randomisation to end of first screen in controls; </t>
    </r>
    <r>
      <rPr>
        <b/>
        <sz val="10"/>
        <rFont val="Calibri"/>
        <family val="2"/>
        <scheme val="minor"/>
      </rPr>
      <t>average follow-up of 11 years (31/12/1990)</t>
    </r>
    <r>
      <rPr>
        <sz val="10"/>
        <rFont val="Calibri"/>
        <family val="2"/>
        <scheme val="minor"/>
      </rPr>
      <t>; adjusted for county only;
Study vs control arms</t>
    </r>
  </si>
  <si>
    <t>833,553 PY;
mean 10.8 years</t>
  </si>
  <si>
    <t>605,241 PY;
mean 10.8 years</t>
  </si>
  <si>
    <r>
      <t xml:space="preserve">Number of deaths from breast cancer </t>
    </r>
    <r>
      <rPr>
        <b/>
        <sz val="10"/>
        <rFont val="Calibri"/>
        <family val="2"/>
        <scheme val="minor"/>
      </rPr>
      <t>in women aged 40-74 years at entry</t>
    </r>
    <r>
      <rPr>
        <sz val="10"/>
        <rFont val="Calibri"/>
        <family val="2"/>
        <scheme val="minor"/>
      </rPr>
      <t>; breast cancers diagnosed from randomisation to end of first screen in controls; mean follow-up of 11 years (31/12/1990)</t>
    </r>
  </si>
  <si>
    <t>Table 7 for RR, Table 8 for numerator, Table 2 for denominator and text: Relative mortality remains stable but the significance increases as the number of deaths accumulates.</t>
  </si>
  <si>
    <r>
      <t xml:space="preserve">Breast cancer mortality (per 1,000 women </t>
    </r>
    <r>
      <rPr>
        <b/>
        <sz val="10"/>
        <rFont val="Calibri"/>
        <family val="2"/>
        <scheme val="minor"/>
      </rPr>
      <t>aged 40-74 years</t>
    </r>
    <r>
      <rPr>
        <sz val="10"/>
        <rFont val="Calibri"/>
        <family val="2"/>
        <scheme val="minor"/>
      </rPr>
      <t xml:space="preserve">); breast cancers diagnosed from randomisation to end of first screen in controls; </t>
    </r>
    <r>
      <rPr>
        <b/>
        <sz val="10"/>
        <rFont val="Calibri"/>
        <family val="2"/>
        <scheme val="minor"/>
      </rPr>
      <t>average follow-up of 11 years (31/12/1990)</t>
    </r>
    <r>
      <rPr>
        <sz val="10"/>
        <rFont val="Calibri"/>
        <family val="2"/>
        <scheme val="minor"/>
      </rPr>
      <t>; adjusted for age, time and county;
Study vs control arms</t>
    </r>
  </si>
  <si>
    <t>Adjusted for age, time and county</t>
  </si>
  <si>
    <t>Table 7 for RR, Table 8 for numerator, Table 2 for denominator and text: In this case also, the effect of invitation to screening was significant (p=0.0002).</t>
  </si>
  <si>
    <r>
      <t xml:space="preserve">Breast cancer mortality (per 1,000 women </t>
    </r>
    <r>
      <rPr>
        <b/>
        <sz val="10"/>
        <rFont val="Calibri"/>
        <family val="2"/>
        <scheme val="minor"/>
      </rPr>
      <t>aged 40-49 years</t>
    </r>
    <r>
      <rPr>
        <sz val="10"/>
        <rFont val="Calibri"/>
        <family val="2"/>
        <scheme val="minor"/>
      </rPr>
      <t xml:space="preserve">); breast cancers diagnosed from randomisation to end of first screen in controls; </t>
    </r>
    <r>
      <rPr>
        <b/>
        <sz val="10"/>
        <rFont val="Calibri"/>
        <family val="2"/>
        <scheme val="minor"/>
      </rPr>
      <t>average follow-up of 11 years (31/12/1990)</t>
    </r>
    <r>
      <rPr>
        <sz val="10"/>
        <rFont val="Calibri"/>
        <family val="2"/>
        <scheme val="minor"/>
      </rPr>
      <t>;
Study vs control arms</t>
    </r>
  </si>
  <si>
    <t>225,801 PY;
mean 11.4 years</t>
  </si>
  <si>
    <t>177,231 PY;
mean 11.4 years</t>
  </si>
  <si>
    <r>
      <t xml:space="preserve">Number of deaths from breast cancer </t>
    </r>
    <r>
      <rPr>
        <b/>
        <sz val="10"/>
        <rFont val="Calibri"/>
        <family val="2"/>
        <scheme val="minor"/>
      </rPr>
      <t>in women aged 40-49 years at entry</t>
    </r>
    <r>
      <rPr>
        <sz val="10"/>
        <rFont val="Calibri"/>
        <family val="2"/>
        <scheme val="minor"/>
      </rPr>
      <t>; breast cancers diagnosed from randomisation to end of first screen in controls; mean follow-up of 11 years (31/12/1990)</t>
    </r>
  </si>
  <si>
    <r>
      <t xml:space="preserve">Person years in women </t>
    </r>
    <r>
      <rPr>
        <b/>
        <sz val="10"/>
        <rFont val="Calibri"/>
        <family val="2"/>
        <scheme val="minor"/>
      </rPr>
      <t>aged 40-49 years at entry</t>
    </r>
  </si>
  <si>
    <r>
      <t xml:space="preserve">Breast cancer mortality (per 1,000 women </t>
    </r>
    <r>
      <rPr>
        <b/>
        <sz val="10"/>
        <rFont val="Calibri"/>
        <family val="2"/>
        <scheme val="minor"/>
      </rPr>
      <t>aged 50-59 years</t>
    </r>
    <r>
      <rPr>
        <sz val="10"/>
        <rFont val="Calibri"/>
        <family val="2"/>
        <scheme val="minor"/>
      </rPr>
      <t xml:space="preserve">); breast cancers diagnosed from randomisation to end of first screen in controls; </t>
    </r>
    <r>
      <rPr>
        <b/>
        <sz val="10"/>
        <rFont val="Calibri"/>
        <family val="2"/>
        <scheme val="minor"/>
      </rPr>
      <t>average follow-up of 11 years (31/12/1990)</t>
    </r>
    <r>
      <rPr>
        <sz val="10"/>
        <rFont val="Calibri"/>
        <family val="2"/>
        <scheme val="minor"/>
      </rPr>
      <t>;
Study vs control arms</t>
    </r>
  </si>
  <si>
    <t>265,014 PY;
mean 11.3 years</t>
  </si>
  <si>
    <t>188,327 PY;
mean 11.2 years</t>
  </si>
  <si>
    <r>
      <t xml:space="preserve">Number of deaths from breast cancer </t>
    </r>
    <r>
      <rPr>
        <b/>
        <sz val="10"/>
        <rFont val="Calibri"/>
        <family val="2"/>
        <scheme val="minor"/>
      </rPr>
      <t>in women aged 50-59 years at entry</t>
    </r>
    <r>
      <rPr>
        <sz val="10"/>
        <rFont val="Calibri"/>
        <family val="2"/>
        <scheme val="minor"/>
      </rPr>
      <t>; breast cancers diagnosed from randomisation to end of first screen in controls; mean follow-up of 11 years (31/12/1990)</t>
    </r>
  </si>
  <si>
    <r>
      <t xml:space="preserve">Person years in women </t>
    </r>
    <r>
      <rPr>
        <b/>
        <sz val="10"/>
        <rFont val="Calibri"/>
        <family val="2"/>
        <scheme val="minor"/>
      </rPr>
      <t>aged 50-59 years at entry</t>
    </r>
  </si>
  <si>
    <r>
      <t xml:space="preserve">Breast cancer mortality (per 1,000 women </t>
    </r>
    <r>
      <rPr>
        <b/>
        <sz val="10"/>
        <rFont val="Calibri"/>
        <family val="2"/>
        <scheme val="minor"/>
      </rPr>
      <t>aged 60-69 years</t>
    </r>
    <r>
      <rPr>
        <sz val="10"/>
        <rFont val="Calibri"/>
        <family val="2"/>
        <scheme val="minor"/>
      </rPr>
      <t xml:space="preserve">); breast cancers diagnosed from randomisation to end of first screen in controls; </t>
    </r>
    <r>
      <rPr>
        <b/>
        <sz val="10"/>
        <rFont val="Calibri"/>
        <family val="2"/>
        <scheme val="minor"/>
      </rPr>
      <t>average follow-up of 11 years (31/12/1990)</t>
    </r>
    <r>
      <rPr>
        <sz val="10"/>
        <rFont val="Calibri"/>
        <family val="2"/>
        <scheme val="minor"/>
      </rPr>
      <t>;
Study vs control arms</t>
    </r>
  </si>
  <si>
    <t>247,910 PY;
mean 10.6 years</t>
  </si>
  <si>
    <t>171,597 PY;
mean 10.5 years</t>
  </si>
  <si>
    <r>
      <t xml:space="preserve">Number of deaths from breast cancer </t>
    </r>
    <r>
      <rPr>
        <b/>
        <sz val="10"/>
        <rFont val="Calibri"/>
        <family val="2"/>
        <scheme val="minor"/>
      </rPr>
      <t>in women aged 60-69 years at entry</t>
    </r>
    <r>
      <rPr>
        <sz val="10"/>
        <rFont val="Calibri"/>
        <family val="2"/>
        <scheme val="minor"/>
      </rPr>
      <t>; breast cancers diagnosed from randomisation to end of first screen in controls; mean follow-up of 11 years (31/12/1990)</t>
    </r>
  </si>
  <si>
    <r>
      <t xml:space="preserve">Person years in women </t>
    </r>
    <r>
      <rPr>
        <b/>
        <sz val="10"/>
        <rFont val="Calibri"/>
        <family val="2"/>
        <scheme val="minor"/>
      </rPr>
      <t>aged 60-69 years at entry</t>
    </r>
  </si>
  <si>
    <r>
      <t xml:space="preserve">Breast cancer mortality (per 1,000 women </t>
    </r>
    <r>
      <rPr>
        <b/>
        <sz val="10"/>
        <rFont val="Calibri"/>
        <family val="2"/>
        <scheme val="minor"/>
      </rPr>
      <t>aged 70-74 years</t>
    </r>
    <r>
      <rPr>
        <sz val="10"/>
        <rFont val="Calibri"/>
        <family val="2"/>
        <scheme val="minor"/>
      </rPr>
      <t xml:space="preserve">); breast cancers diagnosed from randomisation to end of first screen in controls; </t>
    </r>
    <r>
      <rPr>
        <b/>
        <sz val="10"/>
        <rFont val="Calibri"/>
        <family val="2"/>
        <scheme val="minor"/>
      </rPr>
      <t>average follow-up of 11 years (31/12/1990)</t>
    </r>
    <r>
      <rPr>
        <sz val="10"/>
        <rFont val="Calibri"/>
        <family val="2"/>
        <scheme val="minor"/>
      </rPr>
      <t>;
Study vs control arms</t>
    </r>
  </si>
  <si>
    <t>96,783 PY;
mean 9.4 years</t>
  </si>
  <si>
    <t>68,086 PY;
mean 9.3 years</t>
  </si>
  <si>
    <r>
      <t xml:space="preserve">Number of deaths from breast cancer </t>
    </r>
    <r>
      <rPr>
        <b/>
        <sz val="10"/>
        <rFont val="Calibri"/>
        <family val="2"/>
        <scheme val="minor"/>
      </rPr>
      <t>in women aged 70-74 years at entry</t>
    </r>
    <r>
      <rPr>
        <sz val="10"/>
        <rFont val="Calibri"/>
        <family val="2"/>
        <scheme val="minor"/>
      </rPr>
      <t>; breast cancers diagnosed from randomisation to end of first screen in controls; mean follow-up of 11 years (31/12/1990)</t>
    </r>
  </si>
  <si>
    <r>
      <t xml:space="preserve">Person years in women </t>
    </r>
    <r>
      <rPr>
        <b/>
        <sz val="10"/>
        <rFont val="Calibri"/>
        <family val="2"/>
        <scheme val="minor"/>
      </rPr>
      <t>aged 70-74 years at entry</t>
    </r>
  </si>
  <si>
    <r>
      <t xml:space="preserve">Breast cancer mortality (breast cancer as underlying cause of death) </t>
    </r>
    <r>
      <rPr>
        <b/>
        <sz val="10"/>
        <rFont val="Calibri"/>
        <family val="2"/>
        <scheme val="minor"/>
      </rPr>
      <t>in women aged 40-74 years</t>
    </r>
    <r>
      <rPr>
        <sz val="10"/>
        <rFont val="Calibri"/>
        <family val="2"/>
        <scheme val="minor"/>
      </rPr>
      <t>; per 1,000 PY;
follow-up to 31/12/1989;
screening vs control arms</t>
    </r>
  </si>
  <si>
    <t>403,000 PY;
mean 10.5 years</t>
  </si>
  <si>
    <t>192,000 PY;
mean 10.4 years</t>
  </si>
  <si>
    <r>
      <t xml:space="preserve">Breast cancer mortality (breast cancer as underlying cause of death) of cases diagnosed during the screening period  (excluding cancers diagnosed after completion of screening of the controls) </t>
    </r>
    <r>
      <rPr>
        <b/>
        <sz val="10"/>
        <rFont val="Calibri"/>
        <family val="2"/>
        <scheme val="minor"/>
      </rPr>
      <t>in women aged 40-74 years</t>
    </r>
    <r>
      <rPr>
        <sz val="10"/>
        <rFont val="Calibri"/>
        <family val="2"/>
        <scheme val="minor"/>
      </rPr>
      <t>; per 1,000 PY;
follow-up to 31/12/1989;
screening vs control arms</t>
    </r>
  </si>
  <si>
    <t>Number of deaths with breast cancer as underlying cause in cases diagnosed during the screening period (excluding cancers diagnosed after completion of screening of the controls); followed up until 31/12/1989</t>
  </si>
  <si>
    <t>372,000 PY;
mean 9.7 years</t>
  </si>
  <si>
    <t>362,000 PY;
mean 9.7 years</t>
  </si>
  <si>
    <t>Number of deaths with breast cancer as underlying cause in cases diagnosed during the screening  period (excluding cancers diagnosed after completion of screening of the controls); followed up until 31/12/1989</t>
  </si>
  <si>
    <t>Chen 1995</t>
  </si>
  <si>
    <r>
      <t xml:space="preserve">Breast cancer mortality of cases diagnosed during the screening period  (excluding cancers diagnosed after completion of screening of the controls) </t>
    </r>
    <r>
      <rPr>
        <b/>
        <sz val="10"/>
        <rFont val="Calibri"/>
        <family val="2"/>
        <scheme val="minor"/>
      </rPr>
      <t>in women aged 40-74 years</t>
    </r>
    <r>
      <rPr>
        <sz val="10"/>
        <rFont val="Calibri"/>
        <family val="2"/>
        <scheme val="minor"/>
      </rPr>
      <t>; per 1,000 PY;
average follow-up 13 years (31/12/1992);
screening vs control arms</t>
    </r>
  </si>
  <si>
    <t>993,945 PY;
mean 12.9 years</t>
  </si>
  <si>
    <t>603,056 PY;
mean 10.8 years</t>
  </si>
  <si>
    <r>
      <t xml:space="preserve">Number of deaths from breast cancer in cases diagnosed during the screening period (excluding cancers diagnosed after completion of screening of the controls) </t>
    </r>
    <r>
      <rPr>
        <b/>
        <sz val="10"/>
        <rFont val="Calibri"/>
        <family val="2"/>
        <scheme val="minor"/>
      </rPr>
      <t>in women aged 40-74 years</t>
    </r>
    <r>
      <rPr>
        <sz val="10"/>
        <rFont val="Calibri"/>
        <family val="2"/>
        <scheme val="minor"/>
      </rPr>
      <t>; average follow-up 13 years (31/12/1992)</t>
    </r>
  </si>
  <si>
    <r>
      <t xml:space="preserve">Person years </t>
    </r>
    <r>
      <rPr>
        <b/>
        <sz val="10"/>
        <rFont val="Calibri"/>
        <family val="2"/>
        <scheme val="minor"/>
      </rPr>
      <t>in women aged 40-74 years</t>
    </r>
    <r>
      <rPr>
        <sz val="10"/>
        <rFont val="Calibri"/>
        <family val="2"/>
        <scheme val="minor"/>
      </rPr>
      <t>, by arm</t>
    </r>
  </si>
  <si>
    <t>Adjusted for county (Poisson analysis)</t>
  </si>
  <si>
    <r>
      <t xml:space="preserve">Breast cancer mortality of cases diagnosed during the screening period  (excluding cancers diagnosed after completion of screening of the controls) </t>
    </r>
    <r>
      <rPr>
        <b/>
        <sz val="10"/>
        <rFont val="Calibri"/>
        <family val="2"/>
        <scheme val="minor"/>
      </rPr>
      <t>in women aged 50-64 years</t>
    </r>
    <r>
      <rPr>
        <sz val="10"/>
        <rFont val="Calibri"/>
        <family val="2"/>
        <scheme val="minor"/>
      </rPr>
      <t>; per 1,000 PY;
average follow-up 13 years (31/12/1992);
screening vs control arms</t>
    </r>
  </si>
  <si>
    <t>426,269 PY;
mean 12.1 years</t>
  </si>
  <si>
    <t>303,617 PY;
mean 12.1 years</t>
  </si>
  <si>
    <r>
      <t xml:space="preserve">Number of deaths from breast cancer in cases diagnosed during the screening period (excluding cancers diagnosed after completion of screening of the controls) </t>
    </r>
    <r>
      <rPr>
        <b/>
        <sz val="10"/>
        <rFont val="Calibri"/>
        <family val="2"/>
        <scheme val="minor"/>
      </rPr>
      <t>in women aged 50-64 years</t>
    </r>
    <r>
      <rPr>
        <sz val="10"/>
        <rFont val="Calibri"/>
        <family val="2"/>
        <scheme val="minor"/>
      </rPr>
      <t>; average follow-up 13 years (31/12/1992)</t>
    </r>
  </si>
  <si>
    <r>
      <t xml:space="preserve">Person years </t>
    </r>
    <r>
      <rPr>
        <b/>
        <sz val="10"/>
        <rFont val="Calibri"/>
        <family val="2"/>
        <scheme val="minor"/>
      </rPr>
      <t>in women aged 50-64 years</t>
    </r>
    <r>
      <rPr>
        <sz val="10"/>
        <rFont val="Calibri"/>
        <family val="2"/>
        <scheme val="minor"/>
      </rPr>
      <t>, by arm</t>
    </r>
  </si>
  <si>
    <t>Table 1 and text: Table 1 shows that the reductions in mortality from breast cancer associated with screening
were 35% and 32% for age groups 50--64 and 65-74 respectively. The reduction in mortality in each age group is significant.</t>
  </si>
  <si>
    <r>
      <t xml:space="preserve">Breast cancer mortality of cases diagnosed during the screening period  (excluding cancers diagnosed after completion of screening of the controls) </t>
    </r>
    <r>
      <rPr>
        <b/>
        <sz val="10"/>
        <rFont val="Calibri"/>
        <family val="2"/>
        <scheme val="minor"/>
      </rPr>
      <t>in women aged 65-74 years</t>
    </r>
    <r>
      <rPr>
        <sz val="10"/>
        <rFont val="Calibri"/>
        <family val="2"/>
        <scheme val="minor"/>
      </rPr>
      <t>; per 1,000 PY;
average follow-up 13 years (31/12/1992);
screening vs control arms</t>
    </r>
  </si>
  <si>
    <t>65-74 years</t>
  </si>
  <si>
    <t>232,784;
mean 10.6 years</t>
  </si>
  <si>
    <t>162,547 PY;
mean 10.6 years</t>
  </si>
  <si>
    <r>
      <t xml:space="preserve">Number of deaths from breast cancer in cases diagnosed during the screening period (excluding cancers diagnosed after completion of screening of the controls) </t>
    </r>
    <r>
      <rPr>
        <b/>
        <sz val="10"/>
        <rFont val="Calibri"/>
        <family val="2"/>
        <scheme val="minor"/>
      </rPr>
      <t>in women aged 65-74 years</t>
    </r>
    <r>
      <rPr>
        <sz val="10"/>
        <rFont val="Calibri"/>
        <family val="2"/>
        <scheme val="minor"/>
      </rPr>
      <t>; average follow-up 13 years (31/12/1992)</t>
    </r>
  </si>
  <si>
    <r>
      <t xml:space="preserve">Person years </t>
    </r>
    <r>
      <rPr>
        <b/>
        <sz val="10"/>
        <rFont val="Calibri"/>
        <family val="2"/>
        <scheme val="minor"/>
      </rPr>
      <t>in women aged 65-74 years</t>
    </r>
    <r>
      <rPr>
        <sz val="10"/>
        <rFont val="Calibri"/>
        <family val="2"/>
        <scheme val="minor"/>
      </rPr>
      <t>, by arm</t>
    </r>
  </si>
  <si>
    <r>
      <t xml:space="preserve">Breast cancer mortality of cases diagnosed during the screening period  (excluding cancers diagnosed after completion of screening of the controls) </t>
    </r>
    <r>
      <rPr>
        <b/>
        <sz val="10"/>
        <rFont val="Calibri"/>
        <family val="2"/>
        <scheme val="minor"/>
      </rPr>
      <t>in women aged 65-69 years</t>
    </r>
    <r>
      <rPr>
        <sz val="10"/>
        <rFont val="Calibri"/>
        <family val="2"/>
        <scheme val="minor"/>
      </rPr>
      <t>; per 1,000 PY;
average follow-up 13 years (31/12/1992);
screening vs control arms</t>
    </r>
  </si>
  <si>
    <t>65-69 years</t>
  </si>
  <si>
    <r>
      <t xml:space="preserve">Number of deaths from breast cancer in cases diagnosed during the screening period (excluding cancers diagnosed after completion of screening of the controls) </t>
    </r>
    <r>
      <rPr>
        <b/>
        <sz val="10"/>
        <rFont val="Calibri"/>
        <family val="2"/>
        <scheme val="minor"/>
      </rPr>
      <t>in women aged 65-69 years</t>
    </r>
    <r>
      <rPr>
        <sz val="10"/>
        <rFont val="Calibri"/>
        <family val="2"/>
        <scheme val="minor"/>
      </rPr>
      <t>; average follow-up 13 years (31/12/1992)</t>
    </r>
  </si>
  <si>
    <r>
      <t xml:space="preserve">Person years </t>
    </r>
    <r>
      <rPr>
        <b/>
        <sz val="10"/>
        <rFont val="Calibri"/>
        <family val="2"/>
        <scheme val="minor"/>
      </rPr>
      <t>in women aged 65-69 years</t>
    </r>
    <r>
      <rPr>
        <sz val="10"/>
        <rFont val="Calibri"/>
        <family val="2"/>
        <scheme val="minor"/>
      </rPr>
      <t>, by arm</t>
    </r>
  </si>
  <si>
    <t>Discussion: The relative risks for breast cancer mortality
are 0·58 (95% CI 0·39 to 0.86) in the age group 65-69 and 0·78 (95% CI 0.53 to 1.20) in the age group 70-74.</t>
  </si>
  <si>
    <r>
      <t xml:space="preserve">Breast cancer mortality of cases diagnosed during the screening period  (excluding cancers diagnosed after completion of screening of the controls) </t>
    </r>
    <r>
      <rPr>
        <b/>
        <sz val="10"/>
        <rFont val="Calibri"/>
        <family val="2"/>
        <scheme val="minor"/>
      </rPr>
      <t>in women aged 70-74 years</t>
    </r>
    <r>
      <rPr>
        <sz val="10"/>
        <rFont val="Calibri"/>
        <family val="2"/>
        <scheme val="minor"/>
      </rPr>
      <t>; per 1,000 PY;
average follow-up 13 years (31/12/1992);
screening vs control arms</t>
    </r>
  </si>
  <si>
    <r>
      <t xml:space="preserve">Number of deaths from breast cancer in cases diagnosed during the screening period (excluding cancers diagnosed after completion of screening of the controls) </t>
    </r>
    <r>
      <rPr>
        <b/>
        <sz val="10"/>
        <rFont val="Calibri"/>
        <family val="2"/>
        <scheme val="minor"/>
      </rPr>
      <t>in women aged 70-74 years</t>
    </r>
    <r>
      <rPr>
        <sz val="10"/>
        <rFont val="Calibri"/>
        <family val="2"/>
        <scheme val="minor"/>
      </rPr>
      <t>; average follow-up 13 years (31/12/1992)</t>
    </r>
  </si>
  <si>
    <t>Tabar 1995</t>
  </si>
  <si>
    <r>
      <t xml:space="preserve">Breast cancer mortality of cases diagnosed during the screening period  (excluding cancers diagnosed after completion of screening of the controls) </t>
    </r>
    <r>
      <rPr>
        <b/>
        <sz val="10"/>
        <rFont val="Calibri"/>
        <family val="2"/>
        <scheme val="minor"/>
      </rPr>
      <t>in women aged 40-74 years</t>
    </r>
    <r>
      <rPr>
        <sz val="10"/>
        <rFont val="Calibri"/>
        <family val="2"/>
        <scheme val="minor"/>
      </rPr>
      <t>; per 1,000 PY; follow-up until 31/12/1992;
screening vs control arms</t>
    </r>
  </si>
  <si>
    <t>965,405 PY;
mean 12.5 years</t>
  </si>
  <si>
    <t>701,207 PY;
mean 12.5 years</t>
  </si>
  <si>
    <r>
      <t xml:space="preserve">Number of deaths from breast cancer in cases diagnosed during the screening period (excluding cancers diagnosed after completion of screening of the controls) </t>
    </r>
    <r>
      <rPr>
        <b/>
        <sz val="10"/>
        <rFont val="Calibri"/>
        <family val="2"/>
        <scheme val="minor"/>
      </rPr>
      <t>in women aged 40-74 years</t>
    </r>
    <r>
      <rPr>
        <sz val="10"/>
        <rFont val="Calibri"/>
        <family val="2"/>
        <scheme val="minor"/>
      </rPr>
      <t>; follow-up until 31/12/1992</t>
    </r>
  </si>
  <si>
    <t>Adjusted for cluser randomisation, county and age.</t>
  </si>
  <si>
    <t>Table 1 and text: These results are based on 269 deaths and 965,405 person-years of follow-up in the ASP and 277 deaths and 701,207 person-years in the PSP. Overall, the result for the age group 40-74 years shows a significant reduction in mortality with invitation to screening with a relative risk of 0.69 and 95% confidence interval
(0.57-0.84).</t>
  </si>
  <si>
    <t>Log linear regression with the incorporation of Breslow's method to take account of the cluster randomization</t>
  </si>
  <si>
    <r>
      <t xml:space="preserve">Breast cancer mortality of cases diagnosed during the screening period  (excluding cancers diagnosed after completion of screening of the controls) </t>
    </r>
    <r>
      <rPr>
        <b/>
        <sz val="10"/>
        <rFont val="Calibri"/>
        <family val="2"/>
        <scheme val="minor"/>
      </rPr>
      <t>in women aged 40-49 years</t>
    </r>
    <r>
      <rPr>
        <sz val="10"/>
        <rFont val="Calibri"/>
        <family val="2"/>
        <scheme val="minor"/>
      </rPr>
      <t>; per 1,000 PY; follow-up until 31/12/1992;
screening vs control arms</t>
    </r>
  </si>
  <si>
    <r>
      <t xml:space="preserve">Number of deaths from breast cancer in cases diagnosed during the screening period (excluding cancers diagnosed after completion of screening of the controls) </t>
    </r>
    <r>
      <rPr>
        <b/>
        <sz val="10"/>
        <rFont val="Calibri"/>
        <family val="2"/>
        <scheme val="minor"/>
      </rPr>
      <t>in women aged 40-49 years</t>
    </r>
    <r>
      <rPr>
        <sz val="10"/>
        <rFont val="Calibri"/>
        <family val="2"/>
        <scheme val="minor"/>
      </rPr>
      <t>; follow-up until 31/12/1992</t>
    </r>
  </si>
  <si>
    <r>
      <t xml:space="preserve">Person years </t>
    </r>
    <r>
      <rPr>
        <b/>
        <sz val="10"/>
        <rFont val="Calibri"/>
        <family val="2"/>
        <scheme val="minor"/>
      </rPr>
      <t>in women aged 40-49 years</t>
    </r>
    <r>
      <rPr>
        <sz val="10"/>
        <rFont val="Calibri"/>
        <family val="2"/>
        <scheme val="minor"/>
      </rPr>
      <t>, by arm</t>
    </r>
  </si>
  <si>
    <t>Adjusted for cluster randomisation and county.</t>
  </si>
  <si>
    <t>Table 1, Table 2 and abstract: The reduction was 34% for women aged 50-74 years and 13% for women aged 40-49 years.</t>
  </si>
  <si>
    <r>
      <t xml:space="preserve">Breast cancer mortality of cases diagnosed during the screening period  (excluding cancers diagnosed after completion of screening of the controls) </t>
    </r>
    <r>
      <rPr>
        <b/>
        <sz val="10"/>
        <rFont val="Calibri"/>
        <family val="2"/>
        <scheme val="minor"/>
      </rPr>
      <t>in women aged 50-59 years</t>
    </r>
    <r>
      <rPr>
        <sz val="10"/>
        <rFont val="Calibri"/>
        <family val="2"/>
        <scheme val="minor"/>
      </rPr>
      <t>; per 1,000 PY; follow-up until 31/12/1992;
screening vs control arms</t>
    </r>
  </si>
  <si>
    <r>
      <t xml:space="preserve">Number of deaths from breast cancer in cases diagnosed during the screening period (excluding cancers diagnosed after completion of screening of the controls) </t>
    </r>
    <r>
      <rPr>
        <b/>
        <sz val="10"/>
        <rFont val="Calibri"/>
        <family val="2"/>
        <scheme val="minor"/>
      </rPr>
      <t>in women aged 50-59 years</t>
    </r>
    <r>
      <rPr>
        <sz val="10"/>
        <rFont val="Calibri"/>
        <family val="2"/>
        <scheme val="minor"/>
      </rPr>
      <t>; follow-up until 31/12/1992</t>
    </r>
  </si>
  <si>
    <r>
      <t xml:space="preserve">Person years </t>
    </r>
    <r>
      <rPr>
        <b/>
        <sz val="10"/>
        <rFont val="Calibri"/>
        <family val="2"/>
        <scheme val="minor"/>
      </rPr>
      <t>in women aged 50-59 years</t>
    </r>
    <r>
      <rPr>
        <sz val="10"/>
        <rFont val="Calibri"/>
        <family val="2"/>
        <scheme val="minor"/>
      </rPr>
      <t>, by arm</t>
    </r>
  </si>
  <si>
    <r>
      <t xml:space="preserve">Breast cancer mortality of cases diagnosed during the screening period  (excluding cancers diagnosed after completion of screening of the controls) </t>
    </r>
    <r>
      <rPr>
        <b/>
        <sz val="10"/>
        <rFont val="Calibri"/>
        <family val="2"/>
        <scheme val="minor"/>
      </rPr>
      <t>in women aged 60-69 years</t>
    </r>
    <r>
      <rPr>
        <sz val="10"/>
        <rFont val="Calibri"/>
        <family val="2"/>
        <scheme val="minor"/>
      </rPr>
      <t>; per 1,000 PY; follow-up until 31/12/1992;
screening vs control arms</t>
    </r>
  </si>
  <si>
    <r>
      <t xml:space="preserve">Number of deaths from breast cancer in cases diagnosed during the screening period (excluding cancers diagnosed after completion of screening of the controls) </t>
    </r>
    <r>
      <rPr>
        <b/>
        <sz val="10"/>
        <rFont val="Calibri"/>
        <family val="2"/>
        <scheme val="minor"/>
      </rPr>
      <t>in women aged 60-69 years</t>
    </r>
    <r>
      <rPr>
        <sz val="10"/>
        <rFont val="Calibri"/>
        <family val="2"/>
        <scheme val="minor"/>
      </rPr>
      <t>; follow-up until 31/12/1992</t>
    </r>
  </si>
  <si>
    <r>
      <t xml:space="preserve">Person years </t>
    </r>
    <r>
      <rPr>
        <b/>
        <sz val="10"/>
        <rFont val="Calibri"/>
        <family val="2"/>
        <scheme val="minor"/>
      </rPr>
      <t>in women aged 60-69 years</t>
    </r>
    <r>
      <rPr>
        <sz val="10"/>
        <rFont val="Calibri"/>
        <family val="2"/>
        <scheme val="minor"/>
      </rPr>
      <t>, by arm</t>
    </r>
  </si>
  <si>
    <r>
      <t xml:space="preserve">Breast cancer mortality of cases diagnosed during the screening period  (excluding cancers diagnosed after completion of screening of the controls) </t>
    </r>
    <r>
      <rPr>
        <b/>
        <sz val="10"/>
        <rFont val="Calibri"/>
        <family val="2"/>
        <scheme val="minor"/>
      </rPr>
      <t>in women aged 70-74 years</t>
    </r>
    <r>
      <rPr>
        <sz val="10"/>
        <rFont val="Calibri"/>
        <family val="2"/>
        <scheme val="minor"/>
      </rPr>
      <t>; per 1,000 PY; follow-up until 31/12/1992;
screening vs control arms</t>
    </r>
  </si>
  <si>
    <r>
      <t xml:space="preserve">Number of deaths from breast cancer in cases diagnosed during the screening period (excluding cancers diagnosed after completion of screening of the controls) </t>
    </r>
    <r>
      <rPr>
        <b/>
        <sz val="10"/>
        <rFont val="Calibri"/>
        <family val="2"/>
        <scheme val="minor"/>
      </rPr>
      <t>in women aged 70-74 years</t>
    </r>
    <r>
      <rPr>
        <sz val="10"/>
        <rFont val="Calibri"/>
        <family val="2"/>
        <scheme val="minor"/>
      </rPr>
      <t>; follow-up until 31/12/1992</t>
    </r>
  </si>
  <si>
    <r>
      <t xml:space="preserve">Person years </t>
    </r>
    <r>
      <rPr>
        <b/>
        <sz val="10"/>
        <rFont val="Calibri"/>
        <family val="2"/>
        <scheme val="minor"/>
      </rPr>
      <t>in women aged 70-74 years</t>
    </r>
    <r>
      <rPr>
        <sz val="10"/>
        <rFont val="Calibri"/>
        <family val="2"/>
        <scheme val="minor"/>
      </rPr>
      <t>, by arm</t>
    </r>
  </si>
  <si>
    <r>
      <t xml:space="preserve">Breast cancer mortality of cases diagnosed during the screening period  (excluding cancers diagnosed after completion of screening of the controls) </t>
    </r>
    <r>
      <rPr>
        <b/>
        <sz val="10"/>
        <rFont val="Calibri"/>
        <family val="2"/>
        <scheme val="minor"/>
      </rPr>
      <t>in women aged 50-74 years</t>
    </r>
    <r>
      <rPr>
        <sz val="10"/>
        <rFont val="Calibri"/>
        <family val="2"/>
        <scheme val="minor"/>
      </rPr>
      <t>; per 1,000 PY; follow-up until 31/12/1992;
screening vs control arms</t>
    </r>
  </si>
  <si>
    <r>
      <t xml:space="preserve">Number of deaths from breast cancer in cases diagnosed during the screening period (excluding cancers diagnosed after completion of screening of the controls) </t>
    </r>
    <r>
      <rPr>
        <b/>
        <sz val="10"/>
        <rFont val="Calibri"/>
        <family val="2"/>
        <scheme val="minor"/>
      </rPr>
      <t>in women aged 50-74 years</t>
    </r>
    <r>
      <rPr>
        <sz val="10"/>
        <rFont val="Calibri"/>
        <family val="2"/>
        <scheme val="minor"/>
      </rPr>
      <t>; follow-up until 31/12/1992</t>
    </r>
  </si>
  <si>
    <r>
      <t xml:space="preserve">Person years </t>
    </r>
    <r>
      <rPr>
        <b/>
        <sz val="10"/>
        <rFont val="Calibri"/>
        <family val="2"/>
        <scheme val="minor"/>
      </rPr>
      <t>in women aged 50-74 years</t>
    </r>
    <r>
      <rPr>
        <sz val="10"/>
        <rFont val="Calibri"/>
        <family val="2"/>
        <scheme val="minor"/>
      </rPr>
      <t>, by arm</t>
    </r>
  </si>
  <si>
    <t>Adjusted for cluster randomisation and age</t>
  </si>
  <si>
    <t>Adjusted for cluster randomisation</t>
  </si>
  <si>
    <r>
      <t xml:space="preserve">Breast cancer mortality </t>
    </r>
    <r>
      <rPr>
        <b/>
        <sz val="10"/>
        <rFont val="Calibri"/>
        <family val="2"/>
        <scheme val="minor"/>
      </rPr>
      <t>in women aged 40-49 years</t>
    </r>
    <r>
      <rPr>
        <sz val="10"/>
        <rFont val="Calibri"/>
        <family val="2"/>
        <scheme val="minor"/>
      </rPr>
      <t xml:space="preserve"> (per 1,000 PY); including first screen of controls and contemporaneous cancers diagnosed in study group; follow-up until 31/12/1993;
study vs control group</t>
    </r>
  </si>
  <si>
    <t>Median 15.2 years (IQR 13.9-16.5)</t>
  </si>
  <si>
    <t>Study group: 4
Control: 1</t>
  </si>
  <si>
    <r>
      <t xml:space="preserve">Number of deaths with breast cancer as underlying cause of death in all cases </t>
    </r>
    <r>
      <rPr>
        <b/>
        <sz val="10"/>
        <rFont val="Calibri"/>
        <family val="2"/>
        <scheme val="minor"/>
      </rPr>
      <t xml:space="preserve">aged 40-49 years; </t>
    </r>
    <r>
      <rPr>
        <sz val="10"/>
        <rFont val="Calibri"/>
        <family val="2"/>
        <scheme val="minor"/>
      </rPr>
      <t>including first screen of controls and contemporaneous cancers diagnosed in study groupy; follow-up until 31/12/1993</t>
    </r>
  </si>
  <si>
    <t>Median 14.2 years (IQR 12.8-15.6)</t>
  </si>
  <si>
    <t>Tabar 1998</t>
  </si>
  <si>
    <r>
      <t xml:space="preserve">Breast cancer mortality of cases diagnosed during the screening period  (excluding cancers diagnosed after completion of screening of the controls) </t>
    </r>
    <r>
      <rPr>
        <b/>
        <sz val="10"/>
        <rFont val="Calibri"/>
        <family val="2"/>
        <scheme val="minor"/>
      </rPr>
      <t>in women aged 40-49 years</t>
    </r>
    <r>
      <rPr>
        <sz val="10"/>
        <rFont val="Calibri"/>
        <family val="2"/>
        <scheme val="minor"/>
      </rPr>
      <t>; per 1,000 PY; follow-up until 31/12/1996;
screening vs control arms</t>
    </r>
  </si>
  <si>
    <t>162340 PY</t>
  </si>
  <si>
    <t>85917 PY</t>
  </si>
  <si>
    <r>
      <t xml:space="preserve">Number of deaths from breast cancer in cases diagnosed during the screening period (excluding cancers diagnosed after completion of screening of the controls) </t>
    </r>
    <r>
      <rPr>
        <b/>
        <sz val="10"/>
        <rFont val="Calibri"/>
        <family val="2"/>
        <scheme val="minor"/>
      </rPr>
      <t>in women aged 40-49 years</t>
    </r>
    <r>
      <rPr>
        <sz val="10"/>
        <rFont val="Calibri"/>
        <family val="2"/>
        <scheme val="minor"/>
      </rPr>
      <t>; follow-up until 31/12/1996</t>
    </r>
  </si>
  <si>
    <r>
      <t xml:space="preserve">Breast cancer mortality of cases diagnosed during the screening period  (excluding cancers diagnosed after completion of screening of the controls) </t>
    </r>
    <r>
      <rPr>
        <b/>
        <sz val="10"/>
        <rFont val="Calibri"/>
        <family val="2"/>
        <scheme val="minor"/>
      </rPr>
      <t>in women aged 50-59 years</t>
    </r>
    <r>
      <rPr>
        <sz val="10"/>
        <rFont val="Calibri"/>
        <family val="2"/>
        <scheme val="minor"/>
      </rPr>
      <t>; per 1,000 PY; follow-up until 31/12/1996;
screening vs control arms</t>
    </r>
  </si>
  <si>
    <t>191500 PY</t>
  </si>
  <si>
    <t>91075 PY</t>
  </si>
  <si>
    <r>
      <t xml:space="preserve">Number of deaths from breast cancer in cases diagnosed during the screening period (excluding cancers diagnosed after completion of screening of the controls) </t>
    </r>
    <r>
      <rPr>
        <b/>
        <sz val="10"/>
        <rFont val="Calibri"/>
        <family val="2"/>
        <scheme val="minor"/>
      </rPr>
      <t>in women aged 50-59 years</t>
    </r>
    <r>
      <rPr>
        <sz val="10"/>
        <rFont val="Calibri"/>
        <family val="2"/>
        <scheme val="minor"/>
      </rPr>
      <t>; follow-up until 31/12/1996</t>
    </r>
  </si>
  <si>
    <r>
      <t xml:space="preserve">Breast cancer mortality of cases diagnosed during the screening period  (excluding cancers diagnosed after completion of screening of the controls) </t>
    </r>
    <r>
      <rPr>
        <b/>
        <sz val="10"/>
        <rFont val="Calibri"/>
        <family val="2"/>
        <scheme val="minor"/>
      </rPr>
      <t>in women aged 60-69 years</t>
    </r>
    <r>
      <rPr>
        <sz val="10"/>
        <rFont val="Calibri"/>
        <family val="2"/>
        <scheme val="minor"/>
      </rPr>
      <t>; per 1,000 PY; follow-up until 31/12/1996;
screening vs control arms</t>
    </r>
  </si>
  <si>
    <t>175358 PY</t>
  </si>
  <si>
    <t>81097 PY</t>
  </si>
  <si>
    <r>
      <t xml:space="preserve">Number of deaths from breast cancer in cases diagnosed during the screening period (excluding cancers diagnosed after completion of screening of the controls) </t>
    </r>
    <r>
      <rPr>
        <b/>
        <sz val="10"/>
        <rFont val="Calibri"/>
        <family val="2"/>
        <scheme val="minor"/>
      </rPr>
      <t>in women aged 60-69 years</t>
    </r>
    <r>
      <rPr>
        <sz val="10"/>
        <rFont val="Calibri"/>
        <family val="2"/>
        <scheme val="minor"/>
      </rPr>
      <t>; follow-up until 31/12/1996</t>
    </r>
  </si>
  <si>
    <r>
      <t xml:space="preserve">Breast cancer mortality of cases diagnosed during the screening period  (excluding cancers diagnosed after completion of screening of the controls) </t>
    </r>
    <r>
      <rPr>
        <b/>
        <sz val="10"/>
        <rFont val="Calibri"/>
        <family val="2"/>
        <scheme val="minor"/>
      </rPr>
      <t>in women aged 70-74 years</t>
    </r>
    <r>
      <rPr>
        <sz val="10"/>
        <rFont val="Calibri"/>
        <family val="2"/>
        <scheme val="minor"/>
      </rPr>
      <t>; per 1,000 PY; follow-up until 31/12/1996;
screening vs control arms</t>
    </r>
  </si>
  <si>
    <t>62467 PY</t>
  </si>
  <si>
    <t>28758 PY</t>
  </si>
  <si>
    <r>
      <t xml:space="preserve">Number of deaths from breast cancer in cases diagnosed during the screening period (excluding cancers diagnosed after completion of screening of the controls) </t>
    </r>
    <r>
      <rPr>
        <b/>
        <sz val="10"/>
        <rFont val="Calibri"/>
        <family val="2"/>
        <scheme val="minor"/>
      </rPr>
      <t>in women aged 70-74 years</t>
    </r>
    <r>
      <rPr>
        <sz val="10"/>
        <rFont val="Calibri"/>
        <family val="2"/>
        <scheme val="minor"/>
      </rPr>
      <t>; follow-up until 31/12/1996</t>
    </r>
  </si>
  <si>
    <r>
      <t xml:space="preserve">Breast cancer mortality of cases diagnosed during the screening period  (excluding cancers diagnosed after completion of screening of the controls) </t>
    </r>
    <r>
      <rPr>
        <b/>
        <sz val="10"/>
        <rFont val="Calibri"/>
        <family val="2"/>
        <scheme val="minor"/>
      </rPr>
      <t>in women aged 40-74 years</t>
    </r>
    <r>
      <rPr>
        <sz val="10"/>
        <rFont val="Calibri"/>
        <family val="2"/>
        <scheme val="minor"/>
      </rPr>
      <t>; per 1,000 PY; follow-up until 31/12/1996;
screening vs control arms</t>
    </r>
  </si>
  <si>
    <t>591665 PY</t>
  </si>
  <si>
    <t>286847 PY</t>
  </si>
  <si>
    <r>
      <t xml:space="preserve">Number of deaths from breast cancer in cases diagnosed during the screening period (excluding cancers diagnosed after completion of screening of the controls) </t>
    </r>
    <r>
      <rPr>
        <b/>
        <sz val="10"/>
        <rFont val="Calibri"/>
        <family val="2"/>
        <scheme val="minor"/>
      </rPr>
      <t>in women aged 40-74 years</t>
    </r>
    <r>
      <rPr>
        <sz val="10"/>
        <rFont val="Calibri"/>
        <family val="2"/>
        <scheme val="minor"/>
      </rPr>
      <t>; follow-up until 31/12/1996</t>
    </r>
  </si>
  <si>
    <t>174,178 PY</t>
  </si>
  <si>
    <t>179,744 PY</t>
  </si>
  <si>
    <t>193,615 PY</t>
  </si>
  <si>
    <t>183,295 PY</t>
  </si>
  <si>
    <t>169,332 PY</t>
  </si>
  <si>
    <t>161,428 PY</t>
  </si>
  <si>
    <t>60,248 PY</t>
  </si>
  <si>
    <t>59,398 PY</t>
  </si>
  <si>
    <t>597373 PY</t>
  </si>
  <si>
    <t>583865 PY</t>
  </si>
  <si>
    <t>336518 PY</t>
  </si>
  <si>
    <t>265661 PY</t>
  </si>
  <si>
    <t>385115 PY</t>
  </si>
  <si>
    <t>274370 PY</t>
  </si>
  <si>
    <t>344690 PY</t>
  </si>
  <si>
    <t>242525 PY</t>
  </si>
  <si>
    <t>122715 PY</t>
  </si>
  <si>
    <t>88156 PY</t>
  </si>
  <si>
    <t>1189038 PY</t>
  </si>
  <si>
    <t>870712 PY</t>
  </si>
  <si>
    <t>Table II, Table III and text: The results are similar to those at the last update [2], with a significant 29% reduction in mortality overall (RR = 0.71, 95% CI 0.60–0.83).</t>
  </si>
  <si>
    <t>Tabar 2000</t>
  </si>
  <si>
    <r>
      <t xml:space="preserve">Breast cancer mortality of cases diagnosed during the screening period  (excluding cancers diagnosed after completion of screening of the controls) </t>
    </r>
    <r>
      <rPr>
        <b/>
        <sz val="10"/>
        <rFont val="Calibri"/>
        <family val="2"/>
        <scheme val="minor"/>
      </rPr>
      <t>in women aged 40-74 years</t>
    </r>
    <r>
      <rPr>
        <sz val="10"/>
        <rFont val="Calibri"/>
        <family val="2"/>
        <scheme val="minor"/>
      </rPr>
      <t>; per 1,000 PY; follow-up until 31/12/1998;
screening vs control arms</t>
    </r>
  </si>
  <si>
    <t>A death was classified as being from breast cancer only after a full review of the clinical or pathologic records (see Tabar 1989; #4097).</t>
  </si>
  <si>
    <t>672482 PY</t>
  </si>
  <si>
    <t>326091 PY</t>
  </si>
  <si>
    <t>2-5</t>
  </si>
  <si>
    <r>
      <t xml:space="preserve">Number of deaths from breast cancer in cases diagnosed during the screening period (excluding cancers diagnosed after completion of screening of the controls) </t>
    </r>
    <r>
      <rPr>
        <b/>
        <sz val="10"/>
        <rFont val="Calibri"/>
        <family val="2"/>
        <scheme val="minor"/>
      </rPr>
      <t>in women aged 40-74 years</t>
    </r>
    <r>
      <rPr>
        <sz val="10"/>
        <rFont val="Calibri"/>
        <family val="2"/>
        <scheme val="minor"/>
      </rPr>
      <t>; follow-up until 31/12/1998</t>
    </r>
  </si>
  <si>
    <t xml:space="preserve">Table 1 </t>
  </si>
  <si>
    <t>Poisson regression</t>
  </si>
  <si>
    <t>660242 PY</t>
  </si>
  <si>
    <t>643696 PY</t>
  </si>
  <si>
    <t>1,332,724 PY;
mean 17.3 years</t>
  </si>
  <si>
    <t>969,787 PY;
mean 17.3 years</t>
  </si>
  <si>
    <t>Table 1, Figure 1 and text: At 20 years follow-up, there is a significant 32% reduction in mortality associated with the invitation to screening (relative risk [RR] = 0.68; 95% CI 0.59 to 0.80; P &lt; 0.001).</t>
  </si>
  <si>
    <r>
      <t xml:space="preserve">Breast cancer mortality of cases diagnosed during the screening period (excluding cancers diagnosed after completion of screening of the controls) </t>
    </r>
    <r>
      <rPr>
        <b/>
        <sz val="10"/>
        <rFont val="Calibri"/>
        <family val="2"/>
        <scheme val="minor"/>
      </rPr>
      <t>in women aged 40-49 years</t>
    </r>
    <r>
      <rPr>
        <sz val="10"/>
        <rFont val="Calibri"/>
        <family val="2"/>
        <scheme val="minor"/>
      </rPr>
      <t>; per 1,000 PY; follow-up until 31/12/1998;
screening vs control arms</t>
    </r>
  </si>
  <si>
    <r>
      <t xml:space="preserve">Number of deaths from breast cancer in cases diagnosed during the screening period (excluding cancers diagnosed after completion of screening of the controls) </t>
    </r>
    <r>
      <rPr>
        <b/>
        <sz val="10"/>
        <rFont val="Calibri"/>
        <family val="2"/>
        <scheme val="minor"/>
      </rPr>
      <t>in women aged 40-49 years</t>
    </r>
    <r>
      <rPr>
        <sz val="10"/>
        <rFont val="Calibri"/>
        <family val="2"/>
        <scheme val="minor"/>
      </rPr>
      <t>; follow-up until 31/12/1998</t>
    </r>
  </si>
  <si>
    <r>
      <t xml:space="preserve">Breast cancer mortality of cases diagnosed during the screening period (excluding cancers diagnosed after completion of screening of the controls) </t>
    </r>
    <r>
      <rPr>
        <b/>
        <sz val="10"/>
        <rFont val="Calibri"/>
        <family val="2"/>
        <scheme val="minor"/>
      </rPr>
      <t>in women aged 50-59 years</t>
    </r>
    <r>
      <rPr>
        <sz val="10"/>
        <rFont val="Calibri"/>
        <family val="2"/>
        <scheme val="minor"/>
      </rPr>
      <t>; per 1,000 PY; follow-up until 31/12/1998;
screening vs control arms</t>
    </r>
  </si>
  <si>
    <r>
      <t xml:space="preserve">Number of deaths from breast cancer in cases diagnosed during the screening period (excluding cancers diagnosed after completion of screening of the controls) </t>
    </r>
    <r>
      <rPr>
        <b/>
        <sz val="10"/>
        <rFont val="Calibri"/>
        <family val="2"/>
        <scheme val="minor"/>
      </rPr>
      <t>in women aged 50-59 years</t>
    </r>
    <r>
      <rPr>
        <sz val="10"/>
        <rFont val="Calibri"/>
        <family val="2"/>
        <scheme val="minor"/>
      </rPr>
      <t>; follow-up until 31/12/1998</t>
    </r>
  </si>
  <si>
    <t>Figure 2C</t>
  </si>
  <si>
    <r>
      <t xml:space="preserve">Breast cancer mortality of cases diagnosed during the screening period (excluding cancers diagnosed after completion of screening of the controls) </t>
    </r>
    <r>
      <rPr>
        <b/>
        <sz val="10"/>
        <rFont val="Calibri"/>
        <family val="2"/>
        <scheme val="minor"/>
      </rPr>
      <t>in women aged 60-69 years</t>
    </r>
    <r>
      <rPr>
        <sz val="10"/>
        <rFont val="Calibri"/>
        <family val="2"/>
        <scheme val="minor"/>
      </rPr>
      <t>; per 1,000 PY; follow-up until 31/12/1998;
screening vs control arms</t>
    </r>
  </si>
  <si>
    <r>
      <t xml:space="preserve">Number of deaths from breast cancer in cases diagnosed during the screening period (excluding cancers diagnosed after completion of screening of the controls) </t>
    </r>
    <r>
      <rPr>
        <b/>
        <sz val="10"/>
        <rFont val="Calibri"/>
        <family val="2"/>
        <scheme val="minor"/>
      </rPr>
      <t>in women aged 60-69 years</t>
    </r>
    <r>
      <rPr>
        <sz val="10"/>
        <rFont val="Calibri"/>
        <family val="2"/>
        <scheme val="minor"/>
      </rPr>
      <t>; follow-up until 31/12/1998</t>
    </r>
  </si>
  <si>
    <t>Figure 2E</t>
  </si>
  <si>
    <r>
      <t xml:space="preserve">Breast cancer mortality of cases diagnosed during the screening period (excluding cancers diagnosed after completion of screening of the controls) </t>
    </r>
    <r>
      <rPr>
        <b/>
        <sz val="10"/>
        <rFont val="Calibri"/>
        <family val="2"/>
        <scheme val="minor"/>
      </rPr>
      <t>in women aged 70-74 years</t>
    </r>
    <r>
      <rPr>
        <sz val="10"/>
        <rFont val="Calibri"/>
        <family val="2"/>
        <scheme val="minor"/>
      </rPr>
      <t>; per 1,000 PY; follow-up until 31/12/1998;
screening vs control arms</t>
    </r>
  </si>
  <si>
    <r>
      <t xml:space="preserve">Number of deaths from breast cancer in cases diagnosed during the screening period (excluding cancers diagnosed after completion of screening of the controls) </t>
    </r>
    <r>
      <rPr>
        <b/>
        <sz val="10"/>
        <rFont val="Calibri"/>
        <family val="2"/>
        <scheme val="minor"/>
      </rPr>
      <t>in women aged 70-74 years</t>
    </r>
    <r>
      <rPr>
        <sz val="10"/>
        <rFont val="Calibri"/>
        <family val="2"/>
        <scheme val="minor"/>
      </rPr>
      <t>; follow-up until 31/12/1998</t>
    </r>
  </si>
  <si>
    <t>Figure 2G</t>
  </si>
  <si>
    <t>Figure 2D</t>
  </si>
  <si>
    <t>Figure 2F</t>
  </si>
  <si>
    <t>Figure 2H</t>
  </si>
  <si>
    <t>Tabar 2002</t>
  </si>
  <si>
    <r>
      <t xml:space="preserve">Breast cancer mortality of cases diagnosed during the screening period (excluding cancers diagnosed after completion of screening of the controls) </t>
    </r>
    <r>
      <rPr>
        <b/>
        <sz val="10"/>
        <rFont val="Calibri"/>
        <family val="2"/>
        <scheme val="minor"/>
      </rPr>
      <t>in women aged 40-49 years</t>
    </r>
    <r>
      <rPr>
        <sz val="10"/>
        <rFont val="Calibri"/>
        <family val="2"/>
        <scheme val="minor"/>
      </rPr>
      <t>; per 1,000 women; follow-up until 31/12/1998;
screening vs control arms</t>
    </r>
  </si>
  <si>
    <r>
      <t xml:space="preserve">Number of women analysed </t>
    </r>
    <r>
      <rPr>
        <b/>
        <sz val="10"/>
        <rFont val="Calibri"/>
        <family val="2"/>
        <scheme val="minor"/>
      </rPr>
      <t>aged 40-49 years</t>
    </r>
    <r>
      <rPr>
        <sz val="10"/>
        <rFont val="Calibri"/>
        <family val="2"/>
        <scheme val="minor"/>
      </rPr>
      <t>, by arm</t>
    </r>
  </si>
  <si>
    <r>
      <t xml:space="preserve">Breast cancer mortality of cases diagnosed during the screening period (excluding cancers diagnosed after completion of screening of the controls) </t>
    </r>
    <r>
      <rPr>
        <b/>
        <sz val="10"/>
        <rFont val="Calibri"/>
        <family val="2"/>
        <scheme val="minor"/>
      </rPr>
      <t>in women aged 50-59 years</t>
    </r>
    <r>
      <rPr>
        <sz val="10"/>
        <rFont val="Calibri"/>
        <family val="2"/>
        <scheme val="minor"/>
      </rPr>
      <t>; per 1,000 women; follow-up until 31/12/1998;
screening vs control arms</t>
    </r>
  </si>
  <si>
    <r>
      <t xml:space="preserve">Breast cancer mortality of cases diagnosed during the screening period (excluding cancers diagnosed after completion of screening of the controls) </t>
    </r>
    <r>
      <rPr>
        <b/>
        <sz val="10"/>
        <rFont val="Calibri"/>
        <family val="2"/>
        <scheme val="minor"/>
      </rPr>
      <t>in women aged 60-69 years</t>
    </r>
    <r>
      <rPr>
        <sz val="10"/>
        <rFont val="Calibri"/>
        <family val="2"/>
        <scheme val="minor"/>
      </rPr>
      <t>; per 1,000 women; follow-up until 31/12/1998;
screening vs control arms</t>
    </r>
  </si>
  <si>
    <r>
      <t xml:space="preserve">Number of women analysed </t>
    </r>
    <r>
      <rPr>
        <b/>
        <sz val="10"/>
        <rFont val="Calibri"/>
        <family val="2"/>
        <scheme val="minor"/>
      </rPr>
      <t>aged 60-69 years</t>
    </r>
    <r>
      <rPr>
        <sz val="10"/>
        <rFont val="Calibri"/>
        <family val="2"/>
        <scheme val="minor"/>
      </rPr>
      <t>, by arm</t>
    </r>
  </si>
  <si>
    <r>
      <t xml:space="preserve">Breast cancer mortality of cases diagnosed during the screening period (excluding cancers diagnosed after completion of screening of the controls) </t>
    </r>
    <r>
      <rPr>
        <b/>
        <sz val="10"/>
        <rFont val="Calibri"/>
        <family val="2"/>
        <scheme val="minor"/>
      </rPr>
      <t>in women aged 70-74 years</t>
    </r>
    <r>
      <rPr>
        <sz val="10"/>
        <rFont val="Calibri"/>
        <family val="2"/>
        <scheme val="minor"/>
      </rPr>
      <t>; per 1,000 women; follow-up until 31/12/1998;
screening vs control arms</t>
    </r>
  </si>
  <si>
    <r>
      <t xml:space="preserve">Number of women analysed </t>
    </r>
    <r>
      <rPr>
        <b/>
        <sz val="10"/>
        <rFont val="Calibri"/>
        <family val="2"/>
        <scheme val="minor"/>
      </rPr>
      <t>aged 70-74 years</t>
    </r>
    <r>
      <rPr>
        <sz val="10"/>
        <rFont val="Calibri"/>
        <family val="2"/>
        <scheme val="minor"/>
      </rPr>
      <t>, by arm</t>
    </r>
  </si>
  <si>
    <r>
      <t xml:space="preserve">Breast cancer mortality of cases diagnosed during the screening period (excluding cancers diagnosed after completion of screening of the controls) </t>
    </r>
    <r>
      <rPr>
        <b/>
        <sz val="10"/>
        <rFont val="Calibri"/>
        <family val="2"/>
        <scheme val="minor"/>
      </rPr>
      <t>in women aged 40-74 years</t>
    </r>
    <r>
      <rPr>
        <sz val="10"/>
        <rFont val="Calibri"/>
        <family val="2"/>
        <scheme val="minor"/>
      </rPr>
      <t>; per 1,000 women; follow-up until 31/12/1998;
screening vs control arms</t>
    </r>
  </si>
  <si>
    <r>
      <t xml:space="preserve">Number of women analysed </t>
    </r>
    <r>
      <rPr>
        <b/>
        <sz val="10"/>
        <rFont val="Calibri"/>
        <family val="2"/>
        <scheme val="minor"/>
      </rPr>
      <t>aged 40-74 years</t>
    </r>
    <r>
      <rPr>
        <sz val="10"/>
        <rFont val="Calibri"/>
        <family val="2"/>
        <scheme val="minor"/>
      </rPr>
      <t>, by arm</t>
    </r>
  </si>
  <si>
    <t>Table 1 and text: Adjusting for age, there was a significant 31% reduction in breast cancer mortality (RR 0.69, 95% CI 0.58–0.80; p&lt;0.001) associated with an invitation to screening.</t>
  </si>
  <si>
    <t>Tabar 2011</t>
  </si>
  <si>
    <r>
      <t xml:space="preserve">Breast cancer mortality of cases diagnosed during the screening period (excluding cancers diagnosed after completion of screening of the controls) </t>
    </r>
    <r>
      <rPr>
        <b/>
        <sz val="10"/>
        <rFont val="Calibri"/>
        <family val="2"/>
        <scheme val="minor"/>
      </rPr>
      <t>in women aged 40-74 years</t>
    </r>
    <r>
      <rPr>
        <sz val="10"/>
        <rFont val="Calibri"/>
        <family val="2"/>
        <scheme val="minor"/>
      </rPr>
      <t>; per 1,000 women; follow-up until 31/12/2005 (Dalarna/Kopparberg) or 31/12/2006 (Ostergotland);</t>
    </r>
    <r>
      <rPr>
        <b/>
        <sz val="10"/>
        <rFont val="Calibri"/>
        <family val="2"/>
        <scheme val="minor"/>
      </rPr>
      <t xml:space="preserve"> Local trial endpoint committee data</t>
    </r>
    <r>
      <rPr>
        <sz val="10"/>
        <rFont val="Calibri"/>
        <family val="2"/>
        <scheme val="minor"/>
      </rPr>
      <t>;
screening vs control arms</t>
    </r>
  </si>
  <si>
    <t>Case status and cause of death determined by local trial end point committees after detailed review of patient records and autopsy data (if available), and  independently, by an external committee.</t>
  </si>
  <si>
    <t>31/12/2005 (W);
31/12/2006 (E)</t>
  </si>
  <si>
    <t>Up to 29 years</t>
  </si>
  <si>
    <r>
      <t xml:space="preserve">Number of deaths from breast cancer in cases diagnosed during the screening period (excluding cancers diagnosed after completion of screening of the controls) </t>
    </r>
    <r>
      <rPr>
        <b/>
        <sz val="10"/>
        <rFont val="Calibri"/>
        <family val="2"/>
        <scheme val="minor"/>
      </rPr>
      <t>in women aged 40-74 years</t>
    </r>
    <r>
      <rPr>
        <sz val="10"/>
        <rFont val="Calibri"/>
        <family val="2"/>
        <scheme val="minor"/>
      </rPr>
      <t>; follow-up until 31/12/2005 (Dalarna/Kopparberg) or 31/12/2006 (Ostergotland); Local trial endpoint committee data</t>
    </r>
  </si>
  <si>
    <t>Table 1 and text: There were 351 breast cancer deaths among the 77,080 subjects in the ASP group and 367 deaths among the 55,985 subjects in the PSP group.</t>
  </si>
  <si>
    <r>
      <t xml:space="preserve">Breast cancer mortality of cases diagnosed during the screening period (excluding cancers diagnosed after completion of screening of the controls) </t>
    </r>
    <r>
      <rPr>
        <b/>
        <sz val="10"/>
        <rFont val="Calibri"/>
        <family val="2"/>
        <scheme val="minor"/>
      </rPr>
      <t>in women aged 40-74 years</t>
    </r>
    <r>
      <rPr>
        <sz val="10"/>
        <rFont val="Calibri"/>
        <family val="2"/>
        <scheme val="minor"/>
      </rPr>
      <t>; per 100,000 PY; follow-up until 31/12/2005 (Dalarna/Kopparberg) or 31/12/2006 (Ostergotland);</t>
    </r>
    <r>
      <rPr>
        <b/>
        <sz val="10"/>
        <rFont val="Calibri"/>
        <family val="2"/>
        <scheme val="minor"/>
      </rPr>
      <t xml:space="preserve"> Local trial endpoint committee data</t>
    </r>
    <r>
      <rPr>
        <sz val="10"/>
        <rFont val="Calibri"/>
        <family val="2"/>
        <scheme val="minor"/>
      </rPr>
      <t>;
screening vs control arms</t>
    </r>
  </si>
  <si>
    <r>
      <t xml:space="preserve">Person- years in women analysed </t>
    </r>
    <r>
      <rPr>
        <b/>
        <sz val="10"/>
        <rFont val="Calibri"/>
        <family val="2"/>
        <scheme val="minor"/>
      </rPr>
      <t>aged 40-74 years</t>
    </r>
    <r>
      <rPr>
        <sz val="10"/>
        <rFont val="Calibri"/>
        <family val="2"/>
        <scheme val="minor"/>
      </rPr>
      <t>, by arm</t>
    </r>
  </si>
  <si>
    <t>Cluster randomisation (negative binomial regression)</t>
  </si>
  <si>
    <t>Figure 1 and text: Taking into account the different sizes of the ASP and PSP groups, there was a highly significant reduction in breast cancer mortality in the population invited to screening (RR = 0.69; 95% confidence interval 0.56, 0.84; P &lt; 0.0001).</t>
  </si>
  <si>
    <r>
      <t xml:space="preserve">Breast cancer mortality of cases diagnosed during the screening period (excluding cancers diagnosed after completion of screening of the controls) </t>
    </r>
    <r>
      <rPr>
        <b/>
        <sz val="10"/>
        <rFont val="Calibri"/>
        <family val="2"/>
        <scheme val="minor"/>
      </rPr>
      <t>in women aged 40-74 years</t>
    </r>
    <r>
      <rPr>
        <sz val="10"/>
        <rFont val="Calibri"/>
        <family val="2"/>
        <scheme val="minor"/>
      </rPr>
      <t>; per 100,000 PY; 10 years after randomisation;</t>
    </r>
    <r>
      <rPr>
        <b/>
        <sz val="10"/>
        <rFont val="Calibri"/>
        <family val="2"/>
        <scheme val="minor"/>
      </rPr>
      <t xml:space="preserve"> Local trial endpoint committee data</t>
    </r>
    <r>
      <rPr>
        <sz val="10"/>
        <rFont val="Calibri"/>
        <family val="2"/>
        <scheme val="minor"/>
      </rPr>
      <t>;
screening vs control arms</t>
    </r>
  </si>
  <si>
    <r>
      <t xml:space="preserve">Number of deaths from breast cancer in cases diagnosed during the screening period (excluding cancers diagnosed after completion of screening of the controls) </t>
    </r>
    <r>
      <rPr>
        <b/>
        <sz val="10"/>
        <rFont val="Calibri"/>
        <family val="2"/>
        <scheme val="minor"/>
      </rPr>
      <t>in women aged 40-74 years</t>
    </r>
    <r>
      <rPr>
        <sz val="10"/>
        <rFont val="Calibri"/>
        <family val="2"/>
        <scheme val="minor"/>
      </rPr>
      <t>; 10 years after randomisation; Local trial endpoint committee data</t>
    </r>
  </si>
  <si>
    <r>
      <t xml:space="preserve">Breast cancer mortality of cases diagnosed during the screening period (excluding cancers diagnosed after completion of screening of the controls) </t>
    </r>
    <r>
      <rPr>
        <b/>
        <sz val="10"/>
        <rFont val="Calibri"/>
        <family val="2"/>
        <scheme val="minor"/>
      </rPr>
      <t>in women aged 40-74 years</t>
    </r>
    <r>
      <rPr>
        <sz val="10"/>
        <rFont val="Calibri"/>
        <family val="2"/>
        <scheme val="minor"/>
      </rPr>
      <t>; per 100,000 PY; 15 years after randomisation;</t>
    </r>
    <r>
      <rPr>
        <b/>
        <sz val="10"/>
        <rFont val="Calibri"/>
        <family val="2"/>
        <scheme val="minor"/>
      </rPr>
      <t xml:space="preserve"> Local trial endpoint committee data</t>
    </r>
    <r>
      <rPr>
        <sz val="10"/>
        <rFont val="Calibri"/>
        <family val="2"/>
        <scheme val="minor"/>
      </rPr>
      <t>;
screening vs control arms</t>
    </r>
  </si>
  <si>
    <r>
      <t xml:space="preserve">Number of deaths from breast cancer in cases diagnosed during the screening period (excluding cancers diagnosed after completion of screening of the controls) </t>
    </r>
    <r>
      <rPr>
        <b/>
        <sz val="10"/>
        <rFont val="Calibri"/>
        <family val="2"/>
        <scheme val="minor"/>
      </rPr>
      <t>in women aged 40-74 years</t>
    </r>
    <r>
      <rPr>
        <sz val="10"/>
        <rFont val="Calibri"/>
        <family val="2"/>
        <scheme val="minor"/>
      </rPr>
      <t>; 15 years after randomisation; Local trial endpoint committee data</t>
    </r>
  </si>
  <si>
    <r>
      <t xml:space="preserve">Breast cancer mortality of cases diagnosed during the screening period (excluding cancers diagnosed after completion of screening of the controls) </t>
    </r>
    <r>
      <rPr>
        <b/>
        <sz val="10"/>
        <rFont val="Calibri"/>
        <family val="2"/>
        <scheme val="minor"/>
      </rPr>
      <t>in women aged 40-74 years</t>
    </r>
    <r>
      <rPr>
        <sz val="10"/>
        <rFont val="Calibri"/>
        <family val="2"/>
        <scheme val="minor"/>
      </rPr>
      <t>; per 100,000 PY; 20 years after randomisation;</t>
    </r>
    <r>
      <rPr>
        <b/>
        <sz val="10"/>
        <rFont val="Calibri"/>
        <family val="2"/>
        <scheme val="minor"/>
      </rPr>
      <t xml:space="preserve"> Local trial endpoint committee data</t>
    </r>
    <r>
      <rPr>
        <sz val="10"/>
        <rFont val="Calibri"/>
        <family val="2"/>
        <scheme val="minor"/>
      </rPr>
      <t>;
screening vs control arms</t>
    </r>
  </si>
  <si>
    <r>
      <t xml:space="preserve">Number of deaths from breast cancer in cases diagnosed during the screening period (excluding cancers diagnosed after completion of screening of the controls) </t>
    </r>
    <r>
      <rPr>
        <b/>
        <sz val="10"/>
        <rFont val="Calibri"/>
        <family val="2"/>
        <scheme val="minor"/>
      </rPr>
      <t>in women aged 40-74 years</t>
    </r>
    <r>
      <rPr>
        <sz val="10"/>
        <rFont val="Calibri"/>
        <family val="2"/>
        <scheme val="minor"/>
      </rPr>
      <t>; 20 years after randomisation; Local trial endpoint committee data</t>
    </r>
  </si>
  <si>
    <r>
      <t xml:space="preserve">Breast cancer mortality of cases diagnosed during the screening period (excluding cancers diagnosed after completion of screening of the controls) </t>
    </r>
    <r>
      <rPr>
        <b/>
        <sz val="10"/>
        <rFont val="Calibri"/>
        <family val="2"/>
        <scheme val="minor"/>
      </rPr>
      <t>in women aged 40-74 years</t>
    </r>
    <r>
      <rPr>
        <sz val="10"/>
        <rFont val="Calibri"/>
        <family val="2"/>
        <scheme val="minor"/>
      </rPr>
      <t>; per 100,000 PY; 25 years after randomisation;</t>
    </r>
    <r>
      <rPr>
        <b/>
        <sz val="10"/>
        <rFont val="Calibri"/>
        <family val="2"/>
        <scheme val="minor"/>
      </rPr>
      <t xml:space="preserve"> Local trial endpoint committee data</t>
    </r>
    <r>
      <rPr>
        <sz val="10"/>
        <rFont val="Calibri"/>
        <family val="2"/>
        <scheme val="minor"/>
      </rPr>
      <t>;
screening vs control arms</t>
    </r>
  </si>
  <si>
    <t>25 years</t>
  </si>
  <si>
    <r>
      <t xml:space="preserve">Number of deaths from breast cancer in cases diagnosed during the screening period (excluding cancers diagnosed after completion of screening of the controls) </t>
    </r>
    <r>
      <rPr>
        <b/>
        <sz val="10"/>
        <rFont val="Calibri"/>
        <family val="2"/>
        <scheme val="minor"/>
      </rPr>
      <t>in women aged 40-74 years</t>
    </r>
    <r>
      <rPr>
        <sz val="10"/>
        <rFont val="Calibri"/>
        <family val="2"/>
        <scheme val="minor"/>
      </rPr>
      <t>; 25 years after randomisation; Local trial endpoint committee data</t>
    </r>
  </si>
  <si>
    <r>
      <t xml:space="preserve">Breast cancer mortality of cases diagnosed during the screening period (excluding cancers diagnosed after completion of screening of the controls) </t>
    </r>
    <r>
      <rPr>
        <b/>
        <sz val="10"/>
        <rFont val="Calibri"/>
        <family val="2"/>
        <scheme val="minor"/>
      </rPr>
      <t>in women aged 40-74 years</t>
    </r>
    <r>
      <rPr>
        <sz val="10"/>
        <rFont val="Calibri"/>
        <family val="2"/>
        <scheme val="minor"/>
      </rPr>
      <t xml:space="preserve">; per 1,000 women; follow-up until 31/12/2005 (Dalarna/Kopparberg) or 31/12/2006 (Ostergotland); </t>
    </r>
    <r>
      <rPr>
        <b/>
        <sz val="10"/>
        <rFont val="Calibri"/>
        <family val="2"/>
        <scheme val="minor"/>
      </rPr>
      <t>Swedish Overview Committee Consensus data</t>
    </r>
    <r>
      <rPr>
        <sz val="10"/>
        <rFont val="Calibri"/>
        <family val="2"/>
        <scheme val="minor"/>
      </rPr>
      <t>;
screening vs control arms</t>
    </r>
  </si>
  <si>
    <r>
      <t xml:space="preserve">Number of deaths from breast cancer in cases diagnosed during the screening period (excluding cancers diagnosed after completion of screening of the controls) </t>
    </r>
    <r>
      <rPr>
        <b/>
        <sz val="10"/>
        <rFont val="Calibri"/>
        <family val="2"/>
        <scheme val="minor"/>
      </rPr>
      <t>in women aged 40-74 years</t>
    </r>
    <r>
      <rPr>
        <sz val="10"/>
        <rFont val="Calibri"/>
        <family val="2"/>
        <scheme val="minor"/>
      </rPr>
      <t>; follow-up until 31/12/2005 (Dalarna/Kopparberg) or 31/12/2006 (Ostergotland); Swedish Overview Committee Consensus data</t>
    </r>
  </si>
  <si>
    <t>Table 2 and text: There were 339 breast cancer deaths in each group according to consensus determination.</t>
  </si>
  <si>
    <r>
      <t xml:space="preserve">Breast cancer mortality of cases diagnosed during the screening period (excluding cancers diagnosed after completion of screening of the controls) </t>
    </r>
    <r>
      <rPr>
        <b/>
        <sz val="10"/>
        <rFont val="Calibri"/>
        <family val="2"/>
        <scheme val="minor"/>
      </rPr>
      <t>in women aged 40-74 years</t>
    </r>
    <r>
      <rPr>
        <sz val="10"/>
        <rFont val="Calibri"/>
        <family val="2"/>
        <scheme val="minor"/>
      </rPr>
      <t xml:space="preserve">; per 100,000 PY; follow-up until 31/12/2005 (Dalarna/Kopparberg) or 31/12/2006 (Ostergotland); </t>
    </r>
    <r>
      <rPr>
        <b/>
        <sz val="10"/>
        <rFont val="Calibri"/>
        <family val="2"/>
        <scheme val="minor"/>
      </rPr>
      <t>Swedish Overview Committee Consensus data</t>
    </r>
    <r>
      <rPr>
        <sz val="10"/>
        <rFont val="Calibri"/>
        <family val="2"/>
        <scheme val="minor"/>
      </rPr>
      <t>;
screening vs control arms</t>
    </r>
  </si>
  <si>
    <t>Figure 2 and text: A lesser but still highly significant reduction in mortality was observed with the consensus data (RR = 0.73; 95% confidence interval 0.59, 0.89; P = 0.002).</t>
  </si>
  <si>
    <r>
      <t xml:space="preserve">Breast cancer mortality of cases diagnosed during the screening period (excluding cancers diagnosed after completion of screening of the controls) </t>
    </r>
    <r>
      <rPr>
        <b/>
        <sz val="10"/>
        <rFont val="Calibri"/>
        <family val="2"/>
        <scheme val="minor"/>
      </rPr>
      <t>in women aged 40-74 years</t>
    </r>
    <r>
      <rPr>
        <sz val="10"/>
        <rFont val="Calibri"/>
        <family val="2"/>
        <scheme val="minor"/>
      </rPr>
      <t xml:space="preserve">; 10 years since randomisation; </t>
    </r>
    <r>
      <rPr>
        <b/>
        <sz val="10"/>
        <rFont val="Calibri"/>
        <family val="2"/>
        <scheme val="minor"/>
      </rPr>
      <t>Swedish Overview Committee Consensus data</t>
    </r>
    <r>
      <rPr>
        <sz val="10"/>
        <rFont val="Calibri"/>
        <family val="2"/>
        <scheme val="minor"/>
      </rPr>
      <t>;
screening vs control arms</t>
    </r>
  </si>
  <si>
    <r>
      <t xml:space="preserve">Number of deaths from breast cancer in cases diagnosed during the screening period (excluding cancers diagnosed after completion of screening of the controls) </t>
    </r>
    <r>
      <rPr>
        <b/>
        <sz val="10"/>
        <rFont val="Calibri"/>
        <family val="2"/>
        <scheme val="minor"/>
      </rPr>
      <t>in women aged 40-74 years</t>
    </r>
    <r>
      <rPr>
        <sz val="10"/>
        <rFont val="Calibri"/>
        <family val="2"/>
        <scheme val="minor"/>
      </rPr>
      <t>; 10 years since randomisation; Swedish Overview Committee Consensus data</t>
    </r>
  </si>
  <si>
    <r>
      <t xml:space="preserve">Breast cancer mortality of cases diagnosed during the screening period (excluding cancers diagnosed after completion of screening of the controls) </t>
    </r>
    <r>
      <rPr>
        <b/>
        <sz val="10"/>
        <rFont val="Calibri"/>
        <family val="2"/>
        <scheme val="minor"/>
      </rPr>
      <t>in women aged 40-74 years</t>
    </r>
    <r>
      <rPr>
        <sz val="10"/>
        <rFont val="Calibri"/>
        <family val="2"/>
        <scheme val="minor"/>
      </rPr>
      <t xml:space="preserve">; 15 years since randomisation; </t>
    </r>
    <r>
      <rPr>
        <b/>
        <sz val="10"/>
        <rFont val="Calibri"/>
        <family val="2"/>
        <scheme val="minor"/>
      </rPr>
      <t>Swedish Overview Committee Consensus data</t>
    </r>
    <r>
      <rPr>
        <sz val="10"/>
        <rFont val="Calibri"/>
        <family val="2"/>
        <scheme val="minor"/>
      </rPr>
      <t>;
screening vs control arms</t>
    </r>
  </si>
  <si>
    <r>
      <t xml:space="preserve">Number of deaths from breast cancer in cases diagnosed during the screening period (excluding cancers diagnosed after completion of screening of the controls) </t>
    </r>
    <r>
      <rPr>
        <b/>
        <sz val="10"/>
        <rFont val="Calibri"/>
        <family val="2"/>
        <scheme val="minor"/>
      </rPr>
      <t>in women aged 40-74 years</t>
    </r>
    <r>
      <rPr>
        <sz val="10"/>
        <rFont val="Calibri"/>
        <family val="2"/>
        <scheme val="minor"/>
      </rPr>
      <t>; 15 years since randomisation; Swedish Overview Committee Consensus data</t>
    </r>
  </si>
  <si>
    <r>
      <t xml:space="preserve">Breast cancer mortality of cases diagnosed during the screening period (excluding cancers diagnosed after completion of screening of the controls) </t>
    </r>
    <r>
      <rPr>
        <b/>
        <sz val="10"/>
        <rFont val="Calibri"/>
        <family val="2"/>
        <scheme val="minor"/>
      </rPr>
      <t>in women aged 40-74 years</t>
    </r>
    <r>
      <rPr>
        <sz val="10"/>
        <rFont val="Calibri"/>
        <family val="2"/>
        <scheme val="minor"/>
      </rPr>
      <t xml:space="preserve">; 20 years since randomisation; </t>
    </r>
    <r>
      <rPr>
        <b/>
        <sz val="10"/>
        <rFont val="Calibri"/>
        <family val="2"/>
        <scheme val="minor"/>
      </rPr>
      <t>Swedish Overview Committee Consensus data</t>
    </r>
    <r>
      <rPr>
        <sz val="10"/>
        <rFont val="Calibri"/>
        <family val="2"/>
        <scheme val="minor"/>
      </rPr>
      <t>;
screening vs control arms</t>
    </r>
  </si>
  <si>
    <r>
      <t xml:space="preserve">Number of deaths from breast cancer in cases diagnosed during the screening period (excluding cancers diagnosed after completion of screening of the controls) </t>
    </r>
    <r>
      <rPr>
        <b/>
        <sz val="10"/>
        <rFont val="Calibri"/>
        <family val="2"/>
        <scheme val="minor"/>
      </rPr>
      <t>in women aged 40-74 years</t>
    </r>
    <r>
      <rPr>
        <sz val="10"/>
        <rFont val="Calibri"/>
        <family val="2"/>
        <scheme val="minor"/>
      </rPr>
      <t>; 20 years since randomisation; Swedish Overview Committee Consensus data</t>
    </r>
  </si>
  <si>
    <r>
      <t xml:space="preserve">Breast cancer mortality of cases diagnosed during the screening period (excluding cancers diagnosed after completion of screening of the controls) </t>
    </r>
    <r>
      <rPr>
        <b/>
        <sz val="10"/>
        <rFont val="Calibri"/>
        <family val="2"/>
        <scheme val="minor"/>
      </rPr>
      <t>in women aged 40-74 years</t>
    </r>
    <r>
      <rPr>
        <sz val="10"/>
        <rFont val="Calibri"/>
        <family val="2"/>
        <scheme val="minor"/>
      </rPr>
      <t xml:space="preserve">; 25 years since randomisation; </t>
    </r>
    <r>
      <rPr>
        <b/>
        <sz val="10"/>
        <rFont val="Calibri"/>
        <family val="2"/>
        <scheme val="minor"/>
      </rPr>
      <t>Swedish Overview Committee Consensus data</t>
    </r>
    <r>
      <rPr>
        <sz val="10"/>
        <rFont val="Calibri"/>
        <family val="2"/>
        <scheme val="minor"/>
      </rPr>
      <t>;
screening vs control arms</t>
    </r>
  </si>
  <si>
    <r>
      <t xml:space="preserve">Number of deaths from breast cancer in cases diagnosed during the screening period (excluding cancers diagnosed after completion of screening of the controls) </t>
    </r>
    <r>
      <rPr>
        <b/>
        <sz val="10"/>
        <rFont val="Calibri"/>
        <family val="2"/>
        <scheme val="minor"/>
      </rPr>
      <t>in women aged 40-74 years</t>
    </r>
    <r>
      <rPr>
        <sz val="10"/>
        <rFont val="Calibri"/>
        <family val="2"/>
        <scheme val="minor"/>
      </rPr>
      <t>; 25 years since randomisation; Swedish Overview Committee Consensus data</t>
    </r>
  </si>
  <si>
    <t>Tabar 1984</t>
  </si>
  <si>
    <t>Mean 3.4 years</t>
  </si>
  <si>
    <t>Table 2, Table 3 and text: Among 39,713 women examined in the first round of screening, 278 breast carcinomas were diagnosed (prevalence 7.0/1,000 screened).</t>
  </si>
  <si>
    <t>Absolute incidence of stage II+ (UICC) breast cancers (per 1,000 women); diagnosed up to 31/07/1982;
Screening vs control</t>
  </si>
  <si>
    <t>II+</t>
  </si>
  <si>
    <t>UICC stage II+</t>
  </si>
  <si>
    <t>UICC stage I or TIS</t>
  </si>
  <si>
    <t>No examination of the lymph nodes</t>
  </si>
  <si>
    <t>Number of stage II+ breast cancers; diagnosed up to 31/07/1982</t>
  </si>
  <si>
    <t>Absolute incidence of stage I or TIS (UICC) breast cancers (per 1,000 women); diagnosed up to 31/07/1982;
Screening vs control</t>
  </si>
  <si>
    <t>I or TIS</t>
  </si>
  <si>
    <t>Number of stage I or TIS breast cancers; diagnosed up to 31/07/1982</t>
  </si>
  <si>
    <t>% of breast cancers diagnosed at late stage (stage II+, UICC); diagnosed up to 31/07/1982;
Screening vs control</t>
  </si>
  <si>
    <t>Total number of breast cancers detected up to 31/07/1982 (including cancers with unknown stage)</t>
  </si>
  <si>
    <r>
      <t xml:space="preserve">% of breast cancers diagnosed at late stage (stage II+, UICC) </t>
    </r>
    <r>
      <rPr>
        <b/>
        <sz val="10"/>
        <rFont val="Calibri"/>
        <family val="2"/>
        <scheme val="minor"/>
      </rPr>
      <t>in women aged 40-69 years</t>
    </r>
    <r>
      <rPr>
        <sz val="10"/>
        <rFont val="Calibri"/>
        <family val="2"/>
        <scheme val="minor"/>
      </rPr>
      <t>; diagnosed up to 31/07/1982;
Screening vs control</t>
    </r>
  </si>
  <si>
    <t>40-69 years</t>
  </si>
  <si>
    <r>
      <t xml:space="preserve">Number of stage II+ breast cancers </t>
    </r>
    <r>
      <rPr>
        <b/>
        <sz val="10"/>
        <rFont val="Calibri"/>
        <family val="2"/>
        <scheme val="minor"/>
      </rPr>
      <t>in women aged 40-69 years</t>
    </r>
    <r>
      <rPr>
        <sz val="10"/>
        <rFont val="Calibri"/>
        <family val="2"/>
        <scheme val="minor"/>
      </rPr>
      <t>; diagnosed up to 31/07/1982</t>
    </r>
  </si>
  <si>
    <r>
      <t xml:space="preserve">Total number of breast cancers detected up to 31/07/1982 (including cancers with unknown stage) </t>
    </r>
    <r>
      <rPr>
        <b/>
        <sz val="10"/>
        <rFont val="Calibri"/>
        <family val="2"/>
        <scheme val="minor"/>
      </rPr>
      <t>in women aged 40-69 years</t>
    </r>
  </si>
  <si>
    <r>
      <t xml:space="preserve">Figure 7 and text: Of the 337 cancer diagnosed in the total study group, age 40-69 years, 193 were either stage I or TIS, 116 were </t>
    </r>
    <r>
      <rPr>
        <sz val="10"/>
        <rFont val="Calibri"/>
        <family val="2"/>
      </rPr>
      <t>≥II cancers, while in 28 cases the tumors were ≤20 mm in diameter, but axillary lymph nodes were not examined histologically (p-NX).
In the control population, which includes about half as many females in Kopparberg county as the total study population, the number of stage I and TIS cases was 40, while 69 cases were stage ≥II. In 4 cases (p-NX), no histologic examination of the lymph nodes was performed.</t>
    </r>
  </si>
  <si>
    <t>Fagerberg 1985</t>
  </si>
  <si>
    <r>
      <t>Diagnostic yield at screening,</t>
    </r>
    <r>
      <rPr>
        <b/>
        <sz val="10"/>
        <rFont val="Calibri"/>
        <family val="2"/>
        <scheme val="minor"/>
      </rPr>
      <t xml:space="preserve"> invasive + in situ</t>
    </r>
    <r>
      <rPr>
        <sz val="10"/>
        <rFont val="Calibri"/>
        <family val="2"/>
        <scheme val="minor"/>
      </rPr>
      <t xml:space="preserve"> breast cancers (per 1,000 women </t>
    </r>
    <r>
      <rPr>
        <b/>
        <sz val="10"/>
        <rFont val="Calibri"/>
        <family val="2"/>
        <scheme val="minor"/>
      </rPr>
      <t>aged 40-74 years</t>
    </r>
    <r>
      <rPr>
        <sz val="10"/>
        <rFont val="Calibri"/>
        <family val="2"/>
        <scheme val="minor"/>
      </rPr>
      <t>); 2 screening rounds (31/08/1983);
Screening arm only</t>
    </r>
  </si>
  <si>
    <t>All specimens, including those from the control group, were reviewed by one pathologist (UICC 1978 for TNM classification and staging); tumor diameter of the cut surgical specimen, or the diameter noted on histopathologic investigation by whole-organ sectioning if this was greater.</t>
  </si>
  <si>
    <t>146,550 PY;
mean 3.8 years</t>
  </si>
  <si>
    <r>
      <t xml:space="preserve">Number of screen-detected </t>
    </r>
    <r>
      <rPr>
        <b/>
        <sz val="10"/>
        <rFont val="Calibri"/>
        <family val="2"/>
        <scheme val="minor"/>
      </rPr>
      <t xml:space="preserve">invasive + in situ </t>
    </r>
    <r>
      <rPr>
        <sz val="10"/>
        <rFont val="Calibri"/>
        <family val="2"/>
        <scheme val="minor"/>
      </rPr>
      <t xml:space="preserve">breast cancers </t>
    </r>
    <r>
      <rPr>
        <b/>
        <sz val="10"/>
        <rFont val="Calibri"/>
        <family val="2"/>
        <scheme val="minor"/>
      </rPr>
      <t>in women aged 40-74 years at entry</t>
    </r>
    <r>
      <rPr>
        <sz val="10"/>
        <rFont val="Calibri"/>
        <family val="2"/>
        <scheme val="minor"/>
      </rPr>
      <t>, up to end of 2nd screening round  (31/08/1983)</t>
    </r>
  </si>
  <si>
    <r>
      <t>Number of women randomised to screening arm (</t>
    </r>
    <r>
      <rPr>
        <b/>
        <sz val="10"/>
        <rFont val="Calibri"/>
        <family val="2"/>
        <scheme val="minor"/>
      </rPr>
      <t>40-74 years at entry</t>
    </r>
    <r>
      <rPr>
        <sz val="10"/>
        <rFont val="Calibri"/>
        <family val="2"/>
        <scheme val="minor"/>
      </rPr>
      <t>)</t>
    </r>
  </si>
  <si>
    <t>Table 2 and text: The study group included 413 cases, of which 332 (80%) were detected by screening.</t>
  </si>
  <si>
    <r>
      <t xml:space="preserve">% of </t>
    </r>
    <r>
      <rPr>
        <b/>
        <sz val="10"/>
        <rFont val="Calibri"/>
        <family val="2"/>
        <scheme val="minor"/>
      </rPr>
      <t xml:space="preserve">invasive + in situ </t>
    </r>
    <r>
      <rPr>
        <sz val="10"/>
        <rFont val="Calibri"/>
        <family val="2"/>
        <scheme val="minor"/>
      </rPr>
      <t xml:space="preserve">breast cancers that are screen-detected </t>
    </r>
    <r>
      <rPr>
        <b/>
        <sz val="10"/>
        <rFont val="Calibri"/>
        <family val="2"/>
        <scheme val="minor"/>
      </rPr>
      <t>in women aged 40-74 years</t>
    </r>
    <r>
      <rPr>
        <sz val="10"/>
        <rFont val="Calibri"/>
        <family val="2"/>
        <scheme val="minor"/>
      </rPr>
      <t>; 2 screening rounds (31/08/1983;
Screening arm only</t>
    </r>
  </si>
  <si>
    <r>
      <t xml:space="preserve">Total number of </t>
    </r>
    <r>
      <rPr>
        <b/>
        <sz val="10"/>
        <rFont val="Calibri"/>
        <family val="2"/>
        <scheme val="minor"/>
      </rPr>
      <t xml:space="preserve">invasive + in situ </t>
    </r>
    <r>
      <rPr>
        <sz val="10"/>
        <rFont val="Calibri"/>
        <family val="2"/>
        <scheme val="minor"/>
      </rPr>
      <t xml:space="preserve">breast cancers detected up to 31/08/1983 </t>
    </r>
    <r>
      <rPr>
        <b/>
        <sz val="10"/>
        <rFont val="Calibri"/>
        <family val="2"/>
        <scheme val="minor"/>
      </rPr>
      <t>in women aged 40-74 years at entry</t>
    </r>
  </si>
  <si>
    <r>
      <t xml:space="preserve">Diagnostic yield at screening, </t>
    </r>
    <r>
      <rPr>
        <b/>
        <sz val="10"/>
        <rFont val="Calibri"/>
        <family val="2"/>
        <scheme val="minor"/>
      </rPr>
      <t>in situ breast cancers</t>
    </r>
    <r>
      <rPr>
        <sz val="10"/>
        <rFont val="Calibri"/>
        <family val="2"/>
        <scheme val="minor"/>
      </rPr>
      <t xml:space="preserve"> (per 1,000 women </t>
    </r>
    <r>
      <rPr>
        <b/>
        <sz val="10"/>
        <rFont val="Calibri"/>
        <family val="2"/>
        <scheme val="minor"/>
      </rPr>
      <t>aged 40-74 years</t>
    </r>
    <r>
      <rPr>
        <sz val="10"/>
        <rFont val="Calibri"/>
        <family val="2"/>
        <scheme val="minor"/>
      </rPr>
      <t>); 2 screening rounds (31/08/1983);
Screening arm only</t>
    </r>
  </si>
  <si>
    <r>
      <t xml:space="preserve">Number of screen-detected </t>
    </r>
    <r>
      <rPr>
        <b/>
        <sz val="10"/>
        <rFont val="Calibri"/>
        <family val="2"/>
        <scheme val="minor"/>
      </rPr>
      <t xml:space="preserve">in situ </t>
    </r>
    <r>
      <rPr>
        <sz val="10"/>
        <rFont val="Calibri"/>
        <family val="2"/>
        <scheme val="minor"/>
      </rPr>
      <t xml:space="preserve">breast cancers </t>
    </r>
    <r>
      <rPr>
        <b/>
        <sz val="10"/>
        <rFont val="Calibri"/>
        <family val="2"/>
        <scheme val="minor"/>
      </rPr>
      <t>in women aged 40-74 years at entry</t>
    </r>
    <r>
      <rPr>
        <sz val="10"/>
        <rFont val="Calibri"/>
        <family val="2"/>
        <scheme val="minor"/>
      </rPr>
      <t>, up to end of 2nd screening round  (31/08/1983)</t>
    </r>
  </si>
  <si>
    <r>
      <t xml:space="preserve">Absolute incidence of </t>
    </r>
    <r>
      <rPr>
        <b/>
        <sz val="10"/>
        <rFont val="Calibri"/>
        <family val="2"/>
        <scheme val="minor"/>
      </rPr>
      <t>ductal in situ</t>
    </r>
    <r>
      <rPr>
        <sz val="10"/>
        <rFont val="Calibri"/>
        <family val="2"/>
        <scheme val="minor"/>
      </rPr>
      <t xml:space="preserve"> breast cancers</t>
    </r>
    <r>
      <rPr>
        <sz val="10"/>
        <rFont val="Calibri"/>
        <family val="2"/>
      </rPr>
      <t xml:space="preserve"> (per 1,000 PY </t>
    </r>
    <r>
      <rPr>
        <b/>
        <sz val="10"/>
        <rFont val="Calibri"/>
        <family val="2"/>
      </rPr>
      <t>in women aged 40-74 years</t>
    </r>
    <r>
      <rPr>
        <sz val="10"/>
        <rFont val="Calibri"/>
        <family val="2"/>
      </rPr>
      <t>); diagnosed up to</t>
    </r>
    <r>
      <rPr>
        <sz val="10"/>
        <rFont val="Calibri"/>
        <family val="2"/>
        <scheme val="minor"/>
      </rPr>
      <t xml:space="preserve"> 31/08/1983;
study vs control arms</t>
    </r>
  </si>
  <si>
    <t>Ductal in situ</t>
  </si>
  <si>
    <t>145,861 PY;
mean 3.8 years</t>
  </si>
  <si>
    <r>
      <t xml:space="preserve">Number of ductal in situ breast cancers with diameter </t>
    </r>
    <r>
      <rPr>
        <b/>
        <sz val="10"/>
        <rFont val="Calibri"/>
        <family val="2"/>
        <scheme val="minor"/>
      </rPr>
      <t xml:space="preserve"> in women aged 40-74 years at entry</t>
    </r>
    <r>
      <rPr>
        <sz val="10"/>
        <rFont val="Calibri"/>
        <family val="2"/>
        <scheme val="minor"/>
      </rPr>
      <t>; up to end of 2nd screening round  (31/08/1983)</t>
    </r>
  </si>
  <si>
    <r>
      <t>Person years (</t>
    </r>
    <r>
      <rPr>
        <b/>
        <sz val="10"/>
        <rFont val="Calibri"/>
        <family val="2"/>
        <scheme val="minor"/>
      </rPr>
      <t>women aged 40-74 years at entry</t>
    </r>
    <r>
      <rPr>
        <sz val="10"/>
        <rFont val="Calibri"/>
        <family val="2"/>
        <scheme val="minor"/>
      </rPr>
      <t>)</t>
    </r>
  </si>
  <si>
    <r>
      <t>Absolute incidence of invasive breast cancers</t>
    </r>
    <r>
      <rPr>
        <b/>
        <sz val="10"/>
        <rFont val="Calibri"/>
        <family val="2"/>
        <scheme val="minor"/>
      </rPr>
      <t xml:space="preserve"> </t>
    </r>
    <r>
      <rPr>
        <b/>
        <sz val="10"/>
        <rFont val="Calibri"/>
        <family val="2"/>
      </rPr>
      <t>≤10 mm</t>
    </r>
    <r>
      <rPr>
        <sz val="10"/>
        <rFont val="Calibri"/>
        <family val="2"/>
      </rPr>
      <t xml:space="preserve"> (per 1,000 PY </t>
    </r>
    <r>
      <rPr>
        <b/>
        <sz val="10"/>
        <rFont val="Calibri"/>
        <family val="2"/>
      </rPr>
      <t>in women aged 40-74 years</t>
    </r>
    <r>
      <rPr>
        <sz val="10"/>
        <rFont val="Calibri"/>
        <family val="2"/>
      </rPr>
      <t>); diagnosed up to</t>
    </r>
    <r>
      <rPr>
        <sz val="10"/>
        <rFont val="Calibri"/>
        <family val="2"/>
        <scheme val="minor"/>
      </rPr>
      <t xml:space="preserve"> 31/08/1983;
study vs control arms</t>
    </r>
  </si>
  <si>
    <r>
      <t xml:space="preserve">Number of invasive breast cancers with diameter </t>
    </r>
    <r>
      <rPr>
        <b/>
        <sz val="10"/>
        <rFont val="Calibri"/>
        <family val="2"/>
        <scheme val="minor"/>
      </rPr>
      <t>≤10 mm in women aged 40-74 years</t>
    </r>
    <r>
      <rPr>
        <sz val="10"/>
        <rFont val="Calibri"/>
        <family val="2"/>
        <scheme val="minor"/>
      </rPr>
      <t>; up to end of 2nd screening round  (31/08/1983)</t>
    </r>
  </si>
  <si>
    <r>
      <t>Absolute incidence of invasive breast cancers</t>
    </r>
    <r>
      <rPr>
        <b/>
        <sz val="10"/>
        <rFont val="Calibri"/>
        <family val="2"/>
        <scheme val="minor"/>
      </rPr>
      <t xml:space="preserve"> 11-20</t>
    </r>
    <r>
      <rPr>
        <b/>
        <sz val="10"/>
        <rFont val="Calibri"/>
        <family val="2"/>
      </rPr>
      <t xml:space="preserve"> mm</t>
    </r>
    <r>
      <rPr>
        <sz val="10"/>
        <rFont val="Calibri"/>
        <family val="2"/>
      </rPr>
      <t xml:space="preserve"> (per 1,000 PY </t>
    </r>
    <r>
      <rPr>
        <b/>
        <sz val="10"/>
        <rFont val="Calibri"/>
        <family val="2"/>
      </rPr>
      <t>in women aged 40-74 years</t>
    </r>
    <r>
      <rPr>
        <sz val="10"/>
        <rFont val="Calibri"/>
        <family val="2"/>
      </rPr>
      <t>); diagnosed up to</t>
    </r>
    <r>
      <rPr>
        <sz val="10"/>
        <rFont val="Calibri"/>
        <family val="2"/>
        <scheme val="minor"/>
      </rPr>
      <t xml:space="preserve"> 31/08/1983;
study vs control arms</t>
    </r>
  </si>
  <si>
    <t>11-20 mm</t>
  </si>
  <si>
    <r>
      <t xml:space="preserve">Number of invasive breast cancers with diameter </t>
    </r>
    <r>
      <rPr>
        <b/>
        <sz val="10"/>
        <rFont val="Calibri"/>
        <family val="2"/>
        <scheme val="minor"/>
      </rPr>
      <t>11-20 mm in women aged 40-74 years</t>
    </r>
    <r>
      <rPr>
        <sz val="10"/>
        <rFont val="Calibri"/>
        <family val="2"/>
        <scheme val="minor"/>
      </rPr>
      <t>; up to end of 2nd screening round  (31/08/1983)</t>
    </r>
  </si>
  <si>
    <r>
      <t>Absolute incidence of invasive breast cancers</t>
    </r>
    <r>
      <rPr>
        <b/>
        <sz val="10"/>
        <rFont val="Calibri"/>
        <family val="2"/>
        <scheme val="minor"/>
      </rPr>
      <t xml:space="preserve"> 21-50</t>
    </r>
    <r>
      <rPr>
        <b/>
        <sz val="10"/>
        <rFont val="Calibri"/>
        <family val="2"/>
      </rPr>
      <t xml:space="preserve"> mm</t>
    </r>
    <r>
      <rPr>
        <sz val="10"/>
        <rFont val="Calibri"/>
        <family val="2"/>
      </rPr>
      <t xml:space="preserve"> (per 1,000 PY </t>
    </r>
    <r>
      <rPr>
        <b/>
        <sz val="10"/>
        <rFont val="Calibri"/>
        <family val="2"/>
      </rPr>
      <t>in women aged 40-74 years</t>
    </r>
    <r>
      <rPr>
        <sz val="10"/>
        <rFont val="Calibri"/>
        <family val="2"/>
      </rPr>
      <t>); diagnosed up to</t>
    </r>
    <r>
      <rPr>
        <sz val="10"/>
        <rFont val="Calibri"/>
        <family val="2"/>
        <scheme val="minor"/>
      </rPr>
      <t xml:space="preserve"> 31/08/1983;
study vs control arms</t>
    </r>
  </si>
  <si>
    <t>21-50 mm</t>
  </si>
  <si>
    <r>
      <t xml:space="preserve">Number of invasive breast cancers with diameter </t>
    </r>
    <r>
      <rPr>
        <b/>
        <sz val="10"/>
        <rFont val="Calibri"/>
        <family val="2"/>
        <scheme val="minor"/>
      </rPr>
      <t>21-50 mm in women aged 40-74 years</t>
    </r>
    <r>
      <rPr>
        <sz val="10"/>
        <rFont val="Calibri"/>
        <family val="2"/>
        <scheme val="minor"/>
      </rPr>
      <t>; up to end of 2nd screening round  (31/08/1983)</t>
    </r>
  </si>
  <si>
    <r>
      <t>Absolute incidence of invasive breast cancers</t>
    </r>
    <r>
      <rPr>
        <b/>
        <sz val="10"/>
        <rFont val="Calibri"/>
        <family val="2"/>
        <scheme val="minor"/>
      </rPr>
      <t xml:space="preserve"> </t>
    </r>
    <r>
      <rPr>
        <b/>
        <sz val="10"/>
        <rFont val="Calibri"/>
        <family val="2"/>
      </rPr>
      <t>≥</t>
    </r>
    <r>
      <rPr>
        <b/>
        <sz val="10"/>
        <rFont val="Calibri"/>
        <family val="2"/>
        <scheme val="minor"/>
      </rPr>
      <t>51</t>
    </r>
    <r>
      <rPr>
        <b/>
        <sz val="10"/>
        <rFont val="Calibri"/>
        <family val="2"/>
      </rPr>
      <t xml:space="preserve"> mm</t>
    </r>
    <r>
      <rPr>
        <sz val="10"/>
        <rFont val="Calibri"/>
        <family val="2"/>
      </rPr>
      <t xml:space="preserve"> (per 1,000 PY </t>
    </r>
    <r>
      <rPr>
        <b/>
        <sz val="10"/>
        <rFont val="Calibri"/>
        <family val="2"/>
      </rPr>
      <t>in women aged 40-74 years</t>
    </r>
    <r>
      <rPr>
        <sz val="10"/>
        <rFont val="Calibri"/>
        <family val="2"/>
      </rPr>
      <t>); diagnosed up to</t>
    </r>
    <r>
      <rPr>
        <sz val="10"/>
        <rFont val="Calibri"/>
        <family val="2"/>
        <scheme val="minor"/>
      </rPr>
      <t xml:space="preserve"> 31/08/1983;
study vs control arms</t>
    </r>
  </si>
  <si>
    <t>≥51 mm</t>
  </si>
  <si>
    <r>
      <t xml:space="preserve">Number of invasive breast cancers with diameter </t>
    </r>
    <r>
      <rPr>
        <sz val="10"/>
        <rFont val="Calibri"/>
        <family val="2"/>
      </rPr>
      <t>≥</t>
    </r>
    <r>
      <rPr>
        <b/>
        <sz val="10"/>
        <rFont val="Calibri"/>
        <family val="2"/>
        <scheme val="minor"/>
      </rPr>
      <t>51 mm in women aged 40-74 years</t>
    </r>
    <r>
      <rPr>
        <sz val="10"/>
        <rFont val="Calibri"/>
        <family val="2"/>
        <scheme val="minor"/>
      </rPr>
      <t>; up to end of 2nd screening round  (31/08/1983)</t>
    </r>
  </si>
  <si>
    <r>
      <t xml:space="preserve">Total number of invasive breast cancers </t>
    </r>
    <r>
      <rPr>
        <b/>
        <sz val="10"/>
        <rFont val="Calibri"/>
        <family val="2"/>
        <scheme val="minor"/>
      </rPr>
      <t>in women aged 40-74 years</t>
    </r>
    <r>
      <rPr>
        <sz val="10"/>
        <rFont val="Calibri"/>
        <family val="2"/>
        <scheme val="minor"/>
      </rPr>
      <t>; diagnosed up to 31/08/1983 (no cancers with missing size)</t>
    </r>
  </si>
  <si>
    <t>Table 5 and text: Breast caxers exceeding 20 mm in diameter comprised 21 per cent of invasive cancers in the study group,
compared with 44 per cent in the control group.</t>
  </si>
  <si>
    <r>
      <t>Absolute incidence of invasive breast cancers</t>
    </r>
    <r>
      <rPr>
        <b/>
        <sz val="10"/>
        <rFont val="Calibri"/>
        <family val="2"/>
        <scheme val="minor"/>
      </rPr>
      <t xml:space="preserve"> </t>
    </r>
    <r>
      <rPr>
        <sz val="10"/>
        <rFont val="Calibri"/>
        <family val="2"/>
        <scheme val="minor"/>
      </rPr>
      <t xml:space="preserve">that are </t>
    </r>
    <r>
      <rPr>
        <b/>
        <sz val="10"/>
        <rFont val="Calibri"/>
        <family val="2"/>
        <scheme val="minor"/>
      </rPr>
      <t>node positive</t>
    </r>
    <r>
      <rPr>
        <b/>
        <sz val="10"/>
        <rFont val="Calibri"/>
        <family val="2"/>
      </rPr>
      <t xml:space="preserve"> </t>
    </r>
    <r>
      <rPr>
        <sz val="10"/>
        <rFont val="Calibri"/>
        <family val="2"/>
      </rPr>
      <t xml:space="preserve">(per 1,000 PY </t>
    </r>
    <r>
      <rPr>
        <b/>
        <sz val="10"/>
        <rFont val="Calibri"/>
        <family val="2"/>
      </rPr>
      <t>in women aged 40-74 years</t>
    </r>
    <r>
      <rPr>
        <sz val="10"/>
        <rFont val="Calibri"/>
        <family val="2"/>
      </rPr>
      <t>); diagnosed up to</t>
    </r>
    <r>
      <rPr>
        <sz val="10"/>
        <rFont val="Calibri"/>
        <family val="2"/>
        <scheme val="minor"/>
      </rPr>
      <t xml:space="preserve"> 31/08/1983;
study vs control arms</t>
    </r>
  </si>
  <si>
    <t>Axillary nodes not explored</t>
  </si>
  <si>
    <r>
      <t xml:space="preserve">Number of invasive breast cancers that are </t>
    </r>
    <r>
      <rPr>
        <b/>
        <sz val="10"/>
        <rFont val="Calibri"/>
        <family val="2"/>
        <scheme val="minor"/>
      </rPr>
      <t>node positive in women aged 40-74 years</t>
    </r>
    <r>
      <rPr>
        <sz val="10"/>
        <rFont val="Calibri"/>
        <family val="2"/>
        <scheme val="minor"/>
      </rPr>
      <t>; up to end of 2nd screening round  (31/08/1983)</t>
    </r>
  </si>
  <si>
    <r>
      <t>% of invasive breast cancers diagnosed at late stage (</t>
    </r>
    <r>
      <rPr>
        <b/>
        <sz val="10"/>
        <rFont val="Calibri"/>
        <family val="2"/>
        <scheme val="minor"/>
      </rPr>
      <t>node positive) in women aged 40-74 years</t>
    </r>
    <r>
      <rPr>
        <sz val="10"/>
        <rFont val="Calibri"/>
        <family val="2"/>
      </rPr>
      <t>; diagnosed up to</t>
    </r>
    <r>
      <rPr>
        <sz val="10"/>
        <rFont val="Calibri"/>
        <family val="2"/>
        <scheme val="minor"/>
      </rPr>
      <t xml:space="preserve"> 31/08/1983;
study vs control arms</t>
    </r>
  </si>
  <si>
    <r>
      <t xml:space="preserve">Total number of invasive breast cancers </t>
    </r>
    <r>
      <rPr>
        <b/>
        <sz val="10"/>
        <rFont val="Calibri"/>
        <family val="2"/>
        <scheme val="minor"/>
      </rPr>
      <t>in women aged 40-74 years at entry</t>
    </r>
    <r>
      <rPr>
        <sz val="10"/>
        <rFont val="Calibri"/>
        <family val="2"/>
        <scheme val="minor"/>
      </rPr>
      <t>; diagnosed up to 31/08/1983 (including cancers with unknown node status)</t>
    </r>
  </si>
  <si>
    <r>
      <t xml:space="preserve">Absolute incidence of </t>
    </r>
    <r>
      <rPr>
        <b/>
        <sz val="10"/>
        <rFont val="Calibri"/>
        <family val="2"/>
        <scheme val="minor"/>
      </rPr>
      <t>stage I</t>
    </r>
    <r>
      <rPr>
        <sz val="10"/>
        <rFont val="Calibri"/>
        <family val="2"/>
        <scheme val="minor"/>
      </rPr>
      <t xml:space="preserve"> breast cancers</t>
    </r>
    <r>
      <rPr>
        <b/>
        <sz val="10"/>
        <rFont val="Calibri"/>
        <family val="2"/>
      </rPr>
      <t xml:space="preserve"> </t>
    </r>
    <r>
      <rPr>
        <sz val="10"/>
        <rFont val="Calibri"/>
        <family val="2"/>
      </rPr>
      <t xml:space="preserve">(per 1,000 women </t>
    </r>
    <r>
      <rPr>
        <b/>
        <sz val="10"/>
        <rFont val="Calibri"/>
        <family val="2"/>
      </rPr>
      <t>aged 40-74 years</t>
    </r>
    <r>
      <rPr>
        <sz val="10"/>
        <rFont val="Calibri"/>
        <family val="2"/>
      </rPr>
      <t>); diagnosed up to</t>
    </r>
    <r>
      <rPr>
        <sz val="10"/>
        <rFont val="Calibri"/>
        <family val="2"/>
        <scheme val="minor"/>
      </rPr>
      <t xml:space="preserve"> 31/12/1984;
study vs control arms</t>
    </r>
  </si>
  <si>
    <t>Up to 6.5 years</t>
  </si>
  <si>
    <t>Mean 5.5 years</t>
  </si>
  <si>
    <r>
      <t xml:space="preserve">Number of </t>
    </r>
    <r>
      <rPr>
        <b/>
        <sz val="10"/>
        <rFont val="Calibri"/>
        <family val="2"/>
        <scheme val="minor"/>
      </rPr>
      <t xml:space="preserve">stage I (UICC) </t>
    </r>
    <r>
      <rPr>
        <sz val="10"/>
        <rFont val="Calibri"/>
        <family val="2"/>
        <scheme val="minor"/>
      </rPr>
      <t xml:space="preserve">breast cancers </t>
    </r>
    <r>
      <rPr>
        <b/>
        <sz val="10"/>
        <rFont val="Calibri"/>
        <family val="2"/>
        <scheme val="minor"/>
      </rPr>
      <t>in women aged 40-74 years</t>
    </r>
    <r>
      <rPr>
        <sz val="10"/>
        <rFont val="Calibri"/>
        <family val="2"/>
        <scheme val="minor"/>
      </rPr>
      <t>; diagnosed up to 31/12/1984</t>
    </r>
  </si>
  <si>
    <r>
      <t xml:space="preserve">Absolute incidence of </t>
    </r>
    <r>
      <rPr>
        <b/>
        <sz val="10"/>
        <rFont val="Calibri"/>
        <family val="2"/>
        <scheme val="minor"/>
      </rPr>
      <t>stage II</t>
    </r>
    <r>
      <rPr>
        <sz val="10"/>
        <rFont val="Calibri"/>
        <family val="2"/>
        <scheme val="minor"/>
      </rPr>
      <t xml:space="preserve"> breast cancers</t>
    </r>
    <r>
      <rPr>
        <b/>
        <sz val="10"/>
        <rFont val="Calibri"/>
        <family val="2"/>
      </rPr>
      <t xml:space="preserve"> </t>
    </r>
    <r>
      <rPr>
        <sz val="10"/>
        <rFont val="Calibri"/>
        <family val="2"/>
      </rPr>
      <t xml:space="preserve">(per 1,000 women </t>
    </r>
    <r>
      <rPr>
        <b/>
        <sz val="10"/>
        <rFont val="Calibri"/>
        <family val="2"/>
      </rPr>
      <t>aged 40-74 years</t>
    </r>
    <r>
      <rPr>
        <sz val="10"/>
        <rFont val="Calibri"/>
        <family val="2"/>
      </rPr>
      <t>); diagnosed up to</t>
    </r>
    <r>
      <rPr>
        <sz val="10"/>
        <rFont val="Calibri"/>
        <family val="2"/>
        <scheme val="minor"/>
      </rPr>
      <t xml:space="preserve"> 31/12/1984;
study vs control arms</t>
    </r>
  </si>
  <si>
    <r>
      <t xml:space="preserve">Number of </t>
    </r>
    <r>
      <rPr>
        <b/>
        <sz val="10"/>
        <rFont val="Calibri"/>
        <family val="2"/>
        <scheme val="minor"/>
      </rPr>
      <t xml:space="preserve">stage II (UICC) </t>
    </r>
    <r>
      <rPr>
        <sz val="10"/>
        <rFont val="Calibri"/>
        <family val="2"/>
        <scheme val="minor"/>
      </rPr>
      <t xml:space="preserve">breast cancers </t>
    </r>
    <r>
      <rPr>
        <b/>
        <sz val="10"/>
        <rFont val="Calibri"/>
        <family val="2"/>
        <scheme val="minor"/>
      </rPr>
      <t>in women aged 40-74 years</t>
    </r>
    <r>
      <rPr>
        <sz val="10"/>
        <rFont val="Calibri"/>
        <family val="2"/>
        <scheme val="minor"/>
      </rPr>
      <t>; diagnosed up to 31/12/1984</t>
    </r>
  </si>
  <si>
    <r>
      <t xml:space="preserve">Absolute incidence of </t>
    </r>
    <r>
      <rPr>
        <b/>
        <sz val="10"/>
        <rFont val="Calibri"/>
        <family val="2"/>
        <scheme val="minor"/>
      </rPr>
      <t>stage III-IV</t>
    </r>
    <r>
      <rPr>
        <sz val="10"/>
        <rFont val="Calibri"/>
        <family val="2"/>
        <scheme val="minor"/>
      </rPr>
      <t xml:space="preserve"> breast cancers</t>
    </r>
    <r>
      <rPr>
        <b/>
        <sz val="10"/>
        <rFont val="Calibri"/>
        <family val="2"/>
      </rPr>
      <t xml:space="preserve"> </t>
    </r>
    <r>
      <rPr>
        <sz val="10"/>
        <rFont val="Calibri"/>
        <family val="2"/>
      </rPr>
      <t xml:space="preserve">(per 1,000 women </t>
    </r>
    <r>
      <rPr>
        <b/>
        <sz val="10"/>
        <rFont val="Calibri"/>
        <family val="2"/>
      </rPr>
      <t>aged 40-74 years</t>
    </r>
    <r>
      <rPr>
        <sz val="10"/>
        <rFont val="Calibri"/>
        <family val="2"/>
      </rPr>
      <t>); diagnosed up to</t>
    </r>
    <r>
      <rPr>
        <sz val="10"/>
        <rFont val="Calibri"/>
        <family val="2"/>
        <scheme val="minor"/>
      </rPr>
      <t xml:space="preserve"> 31/12/1984;
study vs control arms</t>
    </r>
  </si>
  <si>
    <r>
      <t xml:space="preserve">Number of </t>
    </r>
    <r>
      <rPr>
        <b/>
        <sz val="10"/>
        <rFont val="Calibri"/>
        <family val="2"/>
        <scheme val="minor"/>
      </rPr>
      <t xml:space="preserve">stage III-IV (UICC) </t>
    </r>
    <r>
      <rPr>
        <sz val="10"/>
        <rFont val="Calibri"/>
        <family val="2"/>
        <scheme val="minor"/>
      </rPr>
      <t xml:space="preserve">breast cancers </t>
    </r>
    <r>
      <rPr>
        <b/>
        <sz val="10"/>
        <rFont val="Calibri"/>
        <family val="2"/>
        <scheme val="minor"/>
      </rPr>
      <t>in women aged 40-74 years</t>
    </r>
    <r>
      <rPr>
        <sz val="10"/>
        <rFont val="Calibri"/>
        <family val="2"/>
        <scheme val="minor"/>
      </rPr>
      <t>; diagnosed up to 31/12/1984</t>
    </r>
  </si>
  <si>
    <t xml:space="preserve">Table 9 and text: In all separate age groups there is an excess of the most advanced stages of the disease (stage III-IV) in the control group, and the overall difference is statistically significant (p&lt;0.001). </t>
  </si>
  <si>
    <r>
      <t xml:space="preserve">Absolute incidence of </t>
    </r>
    <r>
      <rPr>
        <b/>
        <sz val="10"/>
        <rFont val="Calibri"/>
        <family val="2"/>
        <scheme val="minor"/>
      </rPr>
      <t>stage II-IV</t>
    </r>
    <r>
      <rPr>
        <sz val="10"/>
        <rFont val="Calibri"/>
        <family val="2"/>
        <scheme val="minor"/>
      </rPr>
      <t xml:space="preserve"> breast cancers</t>
    </r>
    <r>
      <rPr>
        <b/>
        <sz val="10"/>
        <rFont val="Calibri"/>
        <family val="2"/>
      </rPr>
      <t xml:space="preserve"> </t>
    </r>
    <r>
      <rPr>
        <sz val="10"/>
        <rFont val="Calibri"/>
        <family val="2"/>
      </rPr>
      <t xml:space="preserve">(per 1,000 women </t>
    </r>
    <r>
      <rPr>
        <b/>
        <sz val="10"/>
        <rFont val="Calibri"/>
        <family val="2"/>
      </rPr>
      <t>aged 40-74 years</t>
    </r>
    <r>
      <rPr>
        <sz val="10"/>
        <rFont val="Calibri"/>
        <family val="2"/>
      </rPr>
      <t>); diagnosed up to</t>
    </r>
    <r>
      <rPr>
        <sz val="10"/>
        <rFont val="Calibri"/>
        <family val="2"/>
        <scheme val="minor"/>
      </rPr>
      <t xml:space="preserve"> 31/12/1984;
study vs control arms</t>
    </r>
  </si>
  <si>
    <r>
      <t xml:space="preserve">Number of </t>
    </r>
    <r>
      <rPr>
        <b/>
        <sz val="10"/>
        <rFont val="Calibri"/>
        <family val="2"/>
        <scheme val="minor"/>
      </rPr>
      <t xml:space="preserve">stage II-IV (UICC) </t>
    </r>
    <r>
      <rPr>
        <sz val="10"/>
        <rFont val="Calibri"/>
        <family val="2"/>
        <scheme val="minor"/>
      </rPr>
      <t xml:space="preserve">breast cancers </t>
    </r>
    <r>
      <rPr>
        <b/>
        <sz val="10"/>
        <rFont val="Calibri"/>
        <family val="2"/>
        <scheme val="minor"/>
      </rPr>
      <t>in women aged 40-74 years</t>
    </r>
    <r>
      <rPr>
        <sz val="10"/>
        <rFont val="Calibri"/>
        <family val="2"/>
        <scheme val="minor"/>
      </rPr>
      <t>; diagnosed up to 31/12/1984</t>
    </r>
  </si>
  <si>
    <t>Table 9 and text: The total number of patients with stage II-IV disease in the control group exceeds that in the study group by 20% (p&lt;0.05).</t>
  </si>
  <si>
    <r>
      <t>% of invasive breast cancers diagnosed at late stage (</t>
    </r>
    <r>
      <rPr>
        <b/>
        <sz val="10"/>
        <rFont val="Calibri"/>
        <family val="2"/>
        <scheme val="minor"/>
      </rPr>
      <t>stage II-IV) in women aged 40-74 years</t>
    </r>
    <r>
      <rPr>
        <sz val="10"/>
        <rFont val="Calibri"/>
        <family val="2"/>
      </rPr>
      <t>; diagnosed up to</t>
    </r>
    <r>
      <rPr>
        <sz val="10"/>
        <rFont val="Calibri"/>
        <family val="2"/>
        <scheme val="minor"/>
      </rPr>
      <t xml:space="preserve"> 31/12/1984;
study vs control arms</t>
    </r>
  </si>
  <si>
    <r>
      <t xml:space="preserve">Total number of invasive breast cancers </t>
    </r>
    <r>
      <rPr>
        <b/>
        <sz val="10"/>
        <rFont val="Calibri"/>
        <family val="2"/>
        <scheme val="minor"/>
      </rPr>
      <t>in women aged 40-74 years</t>
    </r>
    <r>
      <rPr>
        <sz val="10"/>
        <rFont val="Calibri"/>
        <family val="2"/>
        <scheme val="minor"/>
      </rPr>
      <t>; diagnosed up to 31/12/1984 (including cancers with unknown stage)</t>
    </r>
  </si>
  <si>
    <r>
      <t xml:space="preserve">Absolute incidence of </t>
    </r>
    <r>
      <rPr>
        <b/>
        <sz val="10"/>
        <rFont val="Calibri"/>
        <family val="2"/>
        <scheme val="minor"/>
      </rPr>
      <t>stage I</t>
    </r>
    <r>
      <rPr>
        <sz val="10"/>
        <rFont val="Calibri"/>
        <family val="2"/>
        <scheme val="minor"/>
      </rPr>
      <t xml:space="preserve"> breast cancers</t>
    </r>
    <r>
      <rPr>
        <b/>
        <sz val="10"/>
        <rFont val="Calibri"/>
        <family val="2"/>
      </rPr>
      <t xml:space="preserve"> </t>
    </r>
    <r>
      <rPr>
        <sz val="10"/>
        <rFont val="Calibri"/>
        <family val="2"/>
      </rPr>
      <t xml:space="preserve">(per 1,000 women </t>
    </r>
    <r>
      <rPr>
        <b/>
        <sz val="10"/>
        <rFont val="Calibri"/>
        <family val="2"/>
      </rPr>
      <t>aged 40-49 years</t>
    </r>
    <r>
      <rPr>
        <sz val="10"/>
        <rFont val="Calibri"/>
        <family val="2"/>
      </rPr>
      <t>); diagnosed up to</t>
    </r>
    <r>
      <rPr>
        <sz val="10"/>
        <rFont val="Calibri"/>
        <family val="2"/>
        <scheme val="minor"/>
      </rPr>
      <t xml:space="preserve"> 31/12/1984;
study vs control arms</t>
    </r>
  </si>
  <si>
    <r>
      <t xml:space="preserve">Number of </t>
    </r>
    <r>
      <rPr>
        <b/>
        <sz val="10"/>
        <rFont val="Calibri"/>
        <family val="2"/>
        <scheme val="minor"/>
      </rPr>
      <t xml:space="preserve">stage I (UICC) </t>
    </r>
    <r>
      <rPr>
        <sz val="10"/>
        <rFont val="Calibri"/>
        <family val="2"/>
        <scheme val="minor"/>
      </rPr>
      <t>breast cancers</t>
    </r>
    <r>
      <rPr>
        <b/>
        <sz val="10"/>
        <rFont val="Calibri"/>
        <family val="2"/>
        <scheme val="minor"/>
      </rPr>
      <t xml:space="preserve"> in women aged 40-49 years</t>
    </r>
    <r>
      <rPr>
        <sz val="10"/>
        <rFont val="Calibri"/>
        <family val="2"/>
        <scheme val="minor"/>
      </rPr>
      <t>; diagnosed up to 31/12/1984</t>
    </r>
  </si>
  <si>
    <r>
      <t xml:space="preserve">Number of women </t>
    </r>
    <r>
      <rPr>
        <b/>
        <sz val="10"/>
        <rFont val="Calibri"/>
        <family val="2"/>
        <scheme val="minor"/>
      </rPr>
      <t>aged 40-49 years</t>
    </r>
    <r>
      <rPr>
        <sz val="10"/>
        <rFont val="Calibri"/>
        <family val="2"/>
        <scheme val="minor"/>
      </rPr>
      <t xml:space="preserve"> analysed, by arm</t>
    </r>
  </si>
  <si>
    <r>
      <t xml:space="preserve">Absolute incidence of </t>
    </r>
    <r>
      <rPr>
        <b/>
        <sz val="10"/>
        <rFont val="Calibri"/>
        <family val="2"/>
        <scheme val="minor"/>
      </rPr>
      <t>stage II</t>
    </r>
    <r>
      <rPr>
        <sz val="10"/>
        <rFont val="Calibri"/>
        <family val="2"/>
        <scheme val="minor"/>
      </rPr>
      <t xml:space="preserve"> breast cancers</t>
    </r>
    <r>
      <rPr>
        <b/>
        <sz val="10"/>
        <rFont val="Calibri"/>
        <family val="2"/>
      </rPr>
      <t xml:space="preserve"> </t>
    </r>
    <r>
      <rPr>
        <sz val="10"/>
        <rFont val="Calibri"/>
        <family val="2"/>
      </rPr>
      <t xml:space="preserve">(per 1,000 women </t>
    </r>
    <r>
      <rPr>
        <b/>
        <sz val="10"/>
        <rFont val="Calibri"/>
        <family val="2"/>
      </rPr>
      <t xml:space="preserve"> aged 40-49 years</t>
    </r>
    <r>
      <rPr>
        <sz val="10"/>
        <rFont val="Calibri"/>
        <family val="2"/>
      </rPr>
      <t>); diagnosed up to</t>
    </r>
    <r>
      <rPr>
        <sz val="10"/>
        <rFont val="Calibri"/>
        <family val="2"/>
        <scheme val="minor"/>
      </rPr>
      <t xml:space="preserve"> 31/12/1984;
study vs control arms</t>
    </r>
  </si>
  <si>
    <r>
      <t xml:space="preserve">Number of </t>
    </r>
    <r>
      <rPr>
        <b/>
        <sz val="10"/>
        <rFont val="Calibri"/>
        <family val="2"/>
        <scheme val="minor"/>
      </rPr>
      <t xml:space="preserve">stage II (UICC) </t>
    </r>
    <r>
      <rPr>
        <sz val="10"/>
        <rFont val="Calibri"/>
        <family val="2"/>
        <scheme val="minor"/>
      </rPr>
      <t>breast cancers</t>
    </r>
    <r>
      <rPr>
        <b/>
        <sz val="10"/>
        <rFont val="Calibri"/>
        <family val="2"/>
        <scheme val="minor"/>
      </rPr>
      <t xml:space="preserve"> in women aged 40-49 years</t>
    </r>
    <r>
      <rPr>
        <sz val="10"/>
        <rFont val="Calibri"/>
        <family val="2"/>
        <scheme val="minor"/>
      </rPr>
      <t>; diagnosed up to 31/12/1984</t>
    </r>
  </si>
  <si>
    <r>
      <t xml:space="preserve">Absolute incidence of </t>
    </r>
    <r>
      <rPr>
        <b/>
        <sz val="10"/>
        <rFont val="Calibri"/>
        <family val="2"/>
        <scheme val="minor"/>
      </rPr>
      <t>stage III-IV</t>
    </r>
    <r>
      <rPr>
        <sz val="10"/>
        <rFont val="Calibri"/>
        <family val="2"/>
        <scheme val="minor"/>
      </rPr>
      <t xml:space="preserve"> breast cancers</t>
    </r>
    <r>
      <rPr>
        <b/>
        <sz val="10"/>
        <rFont val="Calibri"/>
        <family val="2"/>
      </rPr>
      <t xml:space="preserve"> </t>
    </r>
    <r>
      <rPr>
        <sz val="10"/>
        <rFont val="Calibri"/>
        <family val="2"/>
      </rPr>
      <t xml:space="preserve">(per 1,000 women </t>
    </r>
    <r>
      <rPr>
        <b/>
        <sz val="10"/>
        <rFont val="Calibri"/>
        <family val="2"/>
      </rPr>
      <t>aged 40-49 years</t>
    </r>
    <r>
      <rPr>
        <sz val="10"/>
        <rFont val="Calibri"/>
        <family val="2"/>
      </rPr>
      <t>); diagnosed up to</t>
    </r>
    <r>
      <rPr>
        <sz val="10"/>
        <rFont val="Calibri"/>
        <family val="2"/>
        <scheme val="minor"/>
      </rPr>
      <t xml:space="preserve"> 31/12/1984;
study vs control arms</t>
    </r>
  </si>
  <si>
    <r>
      <t xml:space="preserve">Number of </t>
    </r>
    <r>
      <rPr>
        <b/>
        <sz val="10"/>
        <rFont val="Calibri"/>
        <family val="2"/>
        <scheme val="minor"/>
      </rPr>
      <t xml:space="preserve">stage III-IV (UICC) </t>
    </r>
    <r>
      <rPr>
        <sz val="10"/>
        <rFont val="Calibri"/>
        <family val="2"/>
        <scheme val="minor"/>
      </rPr>
      <t>breast cancers</t>
    </r>
    <r>
      <rPr>
        <b/>
        <sz val="10"/>
        <rFont val="Calibri"/>
        <family val="2"/>
        <scheme val="minor"/>
      </rPr>
      <t xml:space="preserve"> in women aged 40-49 years</t>
    </r>
    <r>
      <rPr>
        <sz val="10"/>
        <rFont val="Calibri"/>
        <family val="2"/>
        <scheme val="minor"/>
      </rPr>
      <t>; diagnosed up to 31/12/1984</t>
    </r>
  </si>
  <si>
    <r>
      <t xml:space="preserve">Absolute incidence of </t>
    </r>
    <r>
      <rPr>
        <b/>
        <sz val="10"/>
        <rFont val="Calibri"/>
        <family val="2"/>
        <scheme val="minor"/>
      </rPr>
      <t>stage II-IV</t>
    </r>
    <r>
      <rPr>
        <sz val="10"/>
        <rFont val="Calibri"/>
        <family val="2"/>
        <scheme val="minor"/>
      </rPr>
      <t xml:space="preserve"> breast cancers</t>
    </r>
    <r>
      <rPr>
        <b/>
        <sz val="10"/>
        <rFont val="Calibri"/>
        <family val="2"/>
      </rPr>
      <t xml:space="preserve"> </t>
    </r>
    <r>
      <rPr>
        <sz val="10"/>
        <rFont val="Calibri"/>
        <family val="2"/>
      </rPr>
      <t xml:space="preserve">(per 1,000 women </t>
    </r>
    <r>
      <rPr>
        <b/>
        <sz val="10"/>
        <rFont val="Calibri"/>
        <family val="2"/>
      </rPr>
      <t>aged 40-49 years</t>
    </r>
    <r>
      <rPr>
        <sz val="10"/>
        <rFont val="Calibri"/>
        <family val="2"/>
      </rPr>
      <t>); diagnosed up to</t>
    </r>
    <r>
      <rPr>
        <sz val="10"/>
        <rFont val="Calibri"/>
        <family val="2"/>
        <scheme val="minor"/>
      </rPr>
      <t xml:space="preserve"> 31/12/1984;
study vs control arms</t>
    </r>
  </si>
  <si>
    <r>
      <t xml:space="preserve">Number of </t>
    </r>
    <r>
      <rPr>
        <b/>
        <sz val="10"/>
        <rFont val="Calibri"/>
        <family val="2"/>
        <scheme val="minor"/>
      </rPr>
      <t xml:space="preserve">stage II-IV (UICC) </t>
    </r>
    <r>
      <rPr>
        <sz val="10"/>
        <rFont val="Calibri"/>
        <family val="2"/>
        <scheme val="minor"/>
      </rPr>
      <t xml:space="preserve">breast cancers </t>
    </r>
    <r>
      <rPr>
        <b/>
        <sz val="10"/>
        <rFont val="Calibri"/>
        <family val="2"/>
        <scheme val="minor"/>
      </rPr>
      <t>in women aged 40-49 years</t>
    </r>
    <r>
      <rPr>
        <sz val="10"/>
        <rFont val="Calibri"/>
        <family val="2"/>
        <scheme val="minor"/>
      </rPr>
      <t>; diagnosed up to 31/12/1984</t>
    </r>
  </si>
  <si>
    <r>
      <t xml:space="preserve">% of invasive breast cancers diagnosed at late stage </t>
    </r>
    <r>
      <rPr>
        <b/>
        <sz val="10"/>
        <rFont val="Calibri"/>
        <family val="2"/>
        <scheme val="minor"/>
      </rPr>
      <t>in women aged 40-49 years</t>
    </r>
    <r>
      <rPr>
        <sz val="10"/>
        <rFont val="Calibri"/>
        <family val="2"/>
        <scheme val="minor"/>
      </rPr>
      <t xml:space="preserve"> (</t>
    </r>
    <r>
      <rPr>
        <b/>
        <sz val="10"/>
        <rFont val="Calibri"/>
        <family val="2"/>
        <scheme val="minor"/>
      </rPr>
      <t>stage II-IV)</t>
    </r>
    <r>
      <rPr>
        <sz val="10"/>
        <rFont val="Calibri"/>
        <family val="2"/>
      </rPr>
      <t>; diagnosed up to</t>
    </r>
    <r>
      <rPr>
        <sz val="10"/>
        <rFont val="Calibri"/>
        <family val="2"/>
        <scheme val="minor"/>
      </rPr>
      <t xml:space="preserve"> 31/12/1984;
study vs control arms</t>
    </r>
  </si>
  <si>
    <r>
      <t xml:space="preserve">Total number of invasive breast cancers in women </t>
    </r>
    <r>
      <rPr>
        <b/>
        <sz val="10"/>
        <rFont val="Calibri"/>
        <family val="2"/>
        <scheme val="minor"/>
      </rPr>
      <t>aged 40-49 years</t>
    </r>
    <r>
      <rPr>
        <sz val="10"/>
        <rFont val="Calibri"/>
        <family val="2"/>
        <scheme val="minor"/>
      </rPr>
      <t>; diagnosed up to 31/12/1984 (no cancers with unknown stage)</t>
    </r>
  </si>
  <si>
    <r>
      <t>Absolute incidence of</t>
    </r>
    <r>
      <rPr>
        <b/>
        <sz val="10"/>
        <rFont val="Calibri"/>
        <family val="2"/>
        <scheme val="minor"/>
      </rPr>
      <t xml:space="preserve"> stage I</t>
    </r>
    <r>
      <rPr>
        <sz val="10"/>
        <rFont val="Calibri"/>
        <family val="2"/>
        <scheme val="minor"/>
      </rPr>
      <t xml:space="preserve"> breast cancers (per 1,000 women</t>
    </r>
    <r>
      <rPr>
        <b/>
        <sz val="10"/>
        <rFont val="Calibri"/>
        <family val="2"/>
        <scheme val="minor"/>
      </rPr>
      <t xml:space="preserve"> aged 50-59 years</t>
    </r>
    <r>
      <rPr>
        <sz val="10"/>
        <rFont val="Calibri"/>
        <family val="2"/>
        <scheme val="minor"/>
      </rPr>
      <t>); diagnosed up to 31/12/1984;
study vs control arms</t>
    </r>
  </si>
  <si>
    <r>
      <t xml:space="preserve">Number of </t>
    </r>
    <r>
      <rPr>
        <b/>
        <sz val="10"/>
        <rFont val="Calibri"/>
        <family val="2"/>
        <scheme val="minor"/>
      </rPr>
      <t xml:space="preserve">stage I </t>
    </r>
    <r>
      <rPr>
        <sz val="10"/>
        <rFont val="Calibri"/>
        <family val="2"/>
        <scheme val="minor"/>
      </rPr>
      <t xml:space="preserve">(UICC) breast cancers in women </t>
    </r>
    <r>
      <rPr>
        <b/>
        <sz val="10"/>
        <rFont val="Calibri"/>
        <family val="2"/>
        <scheme val="minor"/>
      </rPr>
      <t>aged 50-59 years</t>
    </r>
    <r>
      <rPr>
        <sz val="10"/>
        <rFont val="Calibri"/>
        <family val="2"/>
        <scheme val="minor"/>
      </rPr>
      <t>; diagnosed up to 31/12/1984</t>
    </r>
  </si>
  <si>
    <r>
      <t xml:space="preserve">Number of women </t>
    </r>
    <r>
      <rPr>
        <b/>
        <sz val="10"/>
        <rFont val="Calibri"/>
        <family val="2"/>
        <scheme val="minor"/>
      </rPr>
      <t>aged 50-59 years</t>
    </r>
    <r>
      <rPr>
        <sz val="10"/>
        <rFont val="Calibri"/>
        <family val="2"/>
        <scheme val="minor"/>
      </rPr>
      <t xml:space="preserve"> analysed, by arm</t>
    </r>
  </si>
  <si>
    <r>
      <t>Absolute incidence of</t>
    </r>
    <r>
      <rPr>
        <b/>
        <sz val="10"/>
        <rFont val="Calibri"/>
        <family val="2"/>
        <scheme val="minor"/>
      </rPr>
      <t xml:space="preserve"> stage II</t>
    </r>
    <r>
      <rPr>
        <sz val="10"/>
        <rFont val="Calibri"/>
        <family val="2"/>
        <scheme val="minor"/>
      </rPr>
      <t xml:space="preserve"> breast cancers (per 1,000 women  </t>
    </r>
    <r>
      <rPr>
        <b/>
        <sz val="10"/>
        <rFont val="Calibri"/>
        <family val="2"/>
        <scheme val="minor"/>
      </rPr>
      <t>aged 50-59 years</t>
    </r>
    <r>
      <rPr>
        <sz val="10"/>
        <rFont val="Calibri"/>
        <family val="2"/>
        <scheme val="minor"/>
      </rPr>
      <t>); diagnosed up to 31/12/1984;
study vs control arms</t>
    </r>
  </si>
  <si>
    <r>
      <t xml:space="preserve">Number of </t>
    </r>
    <r>
      <rPr>
        <b/>
        <sz val="10"/>
        <rFont val="Calibri"/>
        <family val="2"/>
        <scheme val="minor"/>
      </rPr>
      <t>stage II</t>
    </r>
    <r>
      <rPr>
        <sz val="10"/>
        <rFont val="Calibri"/>
        <family val="2"/>
        <scheme val="minor"/>
      </rPr>
      <t xml:space="preserve"> (UICC) breast cancers in women </t>
    </r>
    <r>
      <rPr>
        <b/>
        <sz val="10"/>
        <rFont val="Calibri"/>
        <family val="2"/>
        <scheme val="minor"/>
      </rPr>
      <t>aged 50-59 years</t>
    </r>
    <r>
      <rPr>
        <sz val="10"/>
        <rFont val="Calibri"/>
        <family val="2"/>
        <scheme val="minor"/>
      </rPr>
      <t>; diagnosed up to 31/12/1984</t>
    </r>
  </si>
  <si>
    <r>
      <t xml:space="preserve">Absolute incidence of </t>
    </r>
    <r>
      <rPr>
        <b/>
        <sz val="10"/>
        <rFont val="Calibri"/>
        <family val="2"/>
        <scheme val="minor"/>
      </rPr>
      <t>stage III-IV</t>
    </r>
    <r>
      <rPr>
        <sz val="10"/>
        <rFont val="Calibri"/>
        <family val="2"/>
        <scheme val="minor"/>
      </rPr>
      <t xml:space="preserve"> breast cancers (per 1,000 women aged</t>
    </r>
    <r>
      <rPr>
        <b/>
        <sz val="10"/>
        <rFont val="Calibri"/>
        <family val="2"/>
        <scheme val="minor"/>
      </rPr>
      <t xml:space="preserve"> 50-59 years</t>
    </r>
    <r>
      <rPr>
        <sz val="10"/>
        <rFont val="Calibri"/>
        <family val="2"/>
        <scheme val="minor"/>
      </rPr>
      <t>); diagnosed up to 31/12/1984;
study vs control arms</t>
    </r>
  </si>
  <si>
    <r>
      <t>Number of</t>
    </r>
    <r>
      <rPr>
        <b/>
        <sz val="10"/>
        <rFont val="Calibri"/>
        <family val="2"/>
        <scheme val="minor"/>
      </rPr>
      <t xml:space="preserve"> stage III-IV</t>
    </r>
    <r>
      <rPr>
        <sz val="10"/>
        <rFont val="Calibri"/>
        <family val="2"/>
        <scheme val="minor"/>
      </rPr>
      <t xml:space="preserve"> (UICC) breast cancers in women</t>
    </r>
    <r>
      <rPr>
        <b/>
        <sz val="10"/>
        <rFont val="Calibri"/>
        <family val="2"/>
        <scheme val="minor"/>
      </rPr>
      <t xml:space="preserve"> aged 50-59 years</t>
    </r>
    <r>
      <rPr>
        <sz val="10"/>
        <rFont val="Calibri"/>
        <family val="2"/>
        <scheme val="minor"/>
      </rPr>
      <t>; diagnosed up to 31/12/1984</t>
    </r>
  </si>
  <si>
    <r>
      <t>Absolute incidence of</t>
    </r>
    <r>
      <rPr>
        <b/>
        <sz val="10"/>
        <rFont val="Calibri"/>
        <family val="2"/>
        <scheme val="minor"/>
      </rPr>
      <t xml:space="preserve"> stage II-IV</t>
    </r>
    <r>
      <rPr>
        <sz val="10"/>
        <rFont val="Calibri"/>
        <family val="2"/>
        <scheme val="minor"/>
      </rPr>
      <t xml:space="preserve"> breast cancers (per 1,000 women</t>
    </r>
    <r>
      <rPr>
        <b/>
        <sz val="10"/>
        <rFont val="Calibri"/>
        <family val="2"/>
        <scheme val="minor"/>
      </rPr>
      <t xml:space="preserve"> aged 50-59 years</t>
    </r>
    <r>
      <rPr>
        <sz val="10"/>
        <rFont val="Calibri"/>
        <family val="2"/>
        <scheme val="minor"/>
      </rPr>
      <t>); diagnosed up to 31/12/1984;
study vs control arms</t>
    </r>
  </si>
  <si>
    <r>
      <t>Number of</t>
    </r>
    <r>
      <rPr>
        <b/>
        <sz val="10"/>
        <rFont val="Calibri"/>
        <family val="2"/>
        <scheme val="minor"/>
      </rPr>
      <t xml:space="preserve"> stage II-IV</t>
    </r>
    <r>
      <rPr>
        <sz val="10"/>
        <rFont val="Calibri"/>
        <family val="2"/>
        <scheme val="minor"/>
      </rPr>
      <t xml:space="preserve"> (UICC) breast cancers in women</t>
    </r>
    <r>
      <rPr>
        <b/>
        <sz val="10"/>
        <rFont val="Calibri"/>
        <family val="2"/>
        <scheme val="minor"/>
      </rPr>
      <t xml:space="preserve"> aged 50-59 years</t>
    </r>
    <r>
      <rPr>
        <sz val="10"/>
        <rFont val="Calibri"/>
        <family val="2"/>
        <scheme val="minor"/>
      </rPr>
      <t>; diagnosed up to 31/12/1984</t>
    </r>
  </si>
  <si>
    <r>
      <t>% of invasive breast cancers diagnosed at late stage in</t>
    </r>
    <r>
      <rPr>
        <b/>
        <sz val="10"/>
        <rFont val="Calibri"/>
        <family val="2"/>
        <scheme val="minor"/>
      </rPr>
      <t xml:space="preserve"> women aged 50-59 years</t>
    </r>
    <r>
      <rPr>
        <sz val="10"/>
        <rFont val="Calibri"/>
        <family val="2"/>
        <scheme val="minor"/>
      </rPr>
      <t xml:space="preserve"> (</t>
    </r>
    <r>
      <rPr>
        <b/>
        <sz val="10"/>
        <rFont val="Calibri"/>
        <family val="2"/>
        <scheme val="minor"/>
      </rPr>
      <t>stage II-IV</t>
    </r>
    <r>
      <rPr>
        <sz val="10"/>
        <rFont val="Calibri"/>
        <family val="2"/>
        <scheme val="minor"/>
      </rPr>
      <t>); diagnosed up to 31/12/1984;
study vs control arms</t>
    </r>
  </si>
  <si>
    <r>
      <t>Number of</t>
    </r>
    <r>
      <rPr>
        <b/>
        <sz val="10"/>
        <rFont val="Calibri"/>
        <family val="2"/>
        <scheme val="minor"/>
      </rPr>
      <t xml:space="preserve"> stage II-IV</t>
    </r>
    <r>
      <rPr>
        <sz val="10"/>
        <rFont val="Calibri"/>
        <family val="2"/>
        <scheme val="minor"/>
      </rPr>
      <t xml:space="preserve"> (UICC) breast cancers in women </t>
    </r>
    <r>
      <rPr>
        <b/>
        <sz val="10"/>
        <rFont val="Calibri"/>
        <family val="2"/>
        <scheme val="minor"/>
      </rPr>
      <t>aged 50-59 years</t>
    </r>
    <r>
      <rPr>
        <sz val="10"/>
        <rFont val="Calibri"/>
        <family val="2"/>
        <scheme val="minor"/>
      </rPr>
      <t>; diagnosed up to 31/12/1984</t>
    </r>
  </si>
  <si>
    <r>
      <t xml:space="preserve">Total number of invasive breast cancers in women </t>
    </r>
    <r>
      <rPr>
        <b/>
        <sz val="10"/>
        <rFont val="Calibri"/>
        <family val="2"/>
        <scheme val="minor"/>
      </rPr>
      <t>aged 50-59 years</t>
    </r>
    <r>
      <rPr>
        <sz val="10"/>
        <rFont val="Calibri"/>
        <family val="2"/>
        <scheme val="minor"/>
      </rPr>
      <t>; diagnosed up to 31/12/1984 (including cancers with unknown stage)</t>
    </r>
  </si>
  <si>
    <r>
      <t>Absolute incidence of</t>
    </r>
    <r>
      <rPr>
        <b/>
        <sz val="10"/>
        <rFont val="Calibri"/>
        <family val="2"/>
        <scheme val="minor"/>
      </rPr>
      <t xml:space="preserve"> stage I</t>
    </r>
    <r>
      <rPr>
        <sz val="10"/>
        <rFont val="Calibri"/>
        <family val="2"/>
        <scheme val="minor"/>
      </rPr>
      <t xml:space="preserve"> breast cancers (per 1,000 women</t>
    </r>
    <r>
      <rPr>
        <b/>
        <sz val="10"/>
        <rFont val="Calibri"/>
        <family val="2"/>
        <scheme val="minor"/>
      </rPr>
      <t xml:space="preserve"> aged 60-69 years</t>
    </r>
    <r>
      <rPr>
        <sz val="10"/>
        <rFont val="Calibri"/>
        <family val="2"/>
        <scheme val="minor"/>
      </rPr>
      <t>); diagnosed up to 31/12/1984;
study vs control arms</t>
    </r>
  </si>
  <si>
    <r>
      <t xml:space="preserve">Number of </t>
    </r>
    <r>
      <rPr>
        <b/>
        <sz val="10"/>
        <rFont val="Calibri"/>
        <family val="2"/>
        <scheme val="minor"/>
      </rPr>
      <t xml:space="preserve">stage I </t>
    </r>
    <r>
      <rPr>
        <sz val="10"/>
        <rFont val="Calibri"/>
        <family val="2"/>
        <scheme val="minor"/>
      </rPr>
      <t xml:space="preserve">(UICC) breast cancers in women </t>
    </r>
    <r>
      <rPr>
        <b/>
        <sz val="10"/>
        <rFont val="Calibri"/>
        <family val="2"/>
        <scheme val="minor"/>
      </rPr>
      <t>aged 60-69 years</t>
    </r>
    <r>
      <rPr>
        <sz val="10"/>
        <rFont val="Calibri"/>
        <family val="2"/>
        <scheme val="minor"/>
      </rPr>
      <t>; diagnosed up to 31/12/1984</t>
    </r>
  </si>
  <si>
    <r>
      <t xml:space="preserve">Number of women </t>
    </r>
    <r>
      <rPr>
        <b/>
        <sz val="10"/>
        <rFont val="Calibri"/>
        <family val="2"/>
        <scheme val="minor"/>
      </rPr>
      <t>aged 60-69 years</t>
    </r>
    <r>
      <rPr>
        <sz val="10"/>
        <rFont val="Calibri"/>
        <family val="2"/>
        <scheme val="minor"/>
      </rPr>
      <t xml:space="preserve"> analysed, by arm</t>
    </r>
  </si>
  <si>
    <r>
      <t>Absolute incidence of</t>
    </r>
    <r>
      <rPr>
        <b/>
        <sz val="10"/>
        <rFont val="Calibri"/>
        <family val="2"/>
        <scheme val="minor"/>
      </rPr>
      <t xml:space="preserve"> stage II</t>
    </r>
    <r>
      <rPr>
        <sz val="10"/>
        <rFont val="Calibri"/>
        <family val="2"/>
        <scheme val="minor"/>
      </rPr>
      <t xml:space="preserve"> breast cancers (per 1,000 women  </t>
    </r>
    <r>
      <rPr>
        <b/>
        <sz val="10"/>
        <rFont val="Calibri"/>
        <family val="2"/>
        <scheme val="minor"/>
      </rPr>
      <t>aged 60-69 years</t>
    </r>
    <r>
      <rPr>
        <sz val="10"/>
        <rFont val="Calibri"/>
        <family val="2"/>
        <scheme val="minor"/>
      </rPr>
      <t>); diagnosed up to 31/12/1984;
study vs control arms</t>
    </r>
  </si>
  <si>
    <r>
      <t xml:space="preserve">Number of </t>
    </r>
    <r>
      <rPr>
        <b/>
        <sz val="10"/>
        <rFont val="Calibri"/>
        <family val="2"/>
        <scheme val="minor"/>
      </rPr>
      <t xml:space="preserve">stage II </t>
    </r>
    <r>
      <rPr>
        <sz val="10"/>
        <rFont val="Calibri"/>
        <family val="2"/>
        <scheme val="minor"/>
      </rPr>
      <t xml:space="preserve">(UICC) breast cancers in women </t>
    </r>
    <r>
      <rPr>
        <b/>
        <sz val="10"/>
        <rFont val="Calibri"/>
        <family val="2"/>
        <scheme val="minor"/>
      </rPr>
      <t>aged 60-69 years</t>
    </r>
    <r>
      <rPr>
        <sz val="10"/>
        <rFont val="Calibri"/>
        <family val="2"/>
        <scheme val="minor"/>
      </rPr>
      <t>; diagnosed up to 31/12/1984</t>
    </r>
  </si>
  <si>
    <r>
      <t xml:space="preserve">Absolute incidence of </t>
    </r>
    <r>
      <rPr>
        <b/>
        <sz val="10"/>
        <rFont val="Calibri"/>
        <family val="2"/>
        <scheme val="minor"/>
      </rPr>
      <t>stage III-IV</t>
    </r>
    <r>
      <rPr>
        <sz val="10"/>
        <rFont val="Calibri"/>
        <family val="2"/>
        <scheme val="minor"/>
      </rPr>
      <t xml:space="preserve"> breast cancers (per 1,000 women aged</t>
    </r>
    <r>
      <rPr>
        <b/>
        <sz val="10"/>
        <rFont val="Calibri"/>
        <family val="2"/>
        <scheme val="minor"/>
      </rPr>
      <t xml:space="preserve"> 60-69 years</t>
    </r>
    <r>
      <rPr>
        <sz val="10"/>
        <rFont val="Calibri"/>
        <family val="2"/>
        <scheme val="minor"/>
      </rPr>
      <t>); diagnosed up to 31/12/1984;
study vs control arms</t>
    </r>
  </si>
  <si>
    <r>
      <t xml:space="preserve">Number of </t>
    </r>
    <r>
      <rPr>
        <b/>
        <sz val="10"/>
        <rFont val="Calibri"/>
        <family val="2"/>
        <scheme val="minor"/>
      </rPr>
      <t xml:space="preserve">stage III-IV </t>
    </r>
    <r>
      <rPr>
        <sz val="10"/>
        <rFont val="Calibri"/>
        <family val="2"/>
        <scheme val="minor"/>
      </rPr>
      <t xml:space="preserve">(UICC) breast cancers in women </t>
    </r>
    <r>
      <rPr>
        <b/>
        <sz val="10"/>
        <rFont val="Calibri"/>
        <family val="2"/>
        <scheme val="minor"/>
      </rPr>
      <t>aged 60-69 years</t>
    </r>
    <r>
      <rPr>
        <sz val="10"/>
        <rFont val="Calibri"/>
        <family val="2"/>
        <scheme val="minor"/>
      </rPr>
      <t>; diagnosed up to 31/12/1984</t>
    </r>
  </si>
  <si>
    <r>
      <t>Absolute incidence of</t>
    </r>
    <r>
      <rPr>
        <b/>
        <sz val="10"/>
        <rFont val="Calibri"/>
        <family val="2"/>
        <scheme val="minor"/>
      </rPr>
      <t xml:space="preserve"> stage II-IV</t>
    </r>
    <r>
      <rPr>
        <sz val="10"/>
        <rFont val="Calibri"/>
        <family val="2"/>
        <scheme val="minor"/>
      </rPr>
      <t xml:space="preserve"> breast cancers (per 1,000 women</t>
    </r>
    <r>
      <rPr>
        <b/>
        <sz val="10"/>
        <rFont val="Calibri"/>
        <family val="2"/>
        <scheme val="minor"/>
      </rPr>
      <t xml:space="preserve"> aged 60-69 years</t>
    </r>
    <r>
      <rPr>
        <sz val="10"/>
        <rFont val="Calibri"/>
        <family val="2"/>
        <scheme val="minor"/>
      </rPr>
      <t>); diagnosed up to 31/12/1984;
study vs control arms</t>
    </r>
  </si>
  <si>
    <r>
      <t>Number of</t>
    </r>
    <r>
      <rPr>
        <b/>
        <sz val="10"/>
        <rFont val="Calibri"/>
        <family val="2"/>
        <scheme val="minor"/>
      </rPr>
      <t xml:space="preserve"> stage II-IV</t>
    </r>
    <r>
      <rPr>
        <sz val="10"/>
        <rFont val="Calibri"/>
        <family val="2"/>
        <scheme val="minor"/>
      </rPr>
      <t xml:space="preserve"> (UICC) breast cancers in women </t>
    </r>
    <r>
      <rPr>
        <b/>
        <sz val="10"/>
        <rFont val="Calibri"/>
        <family val="2"/>
        <scheme val="minor"/>
      </rPr>
      <t>aged 60-69 years</t>
    </r>
    <r>
      <rPr>
        <sz val="10"/>
        <rFont val="Calibri"/>
        <family val="2"/>
        <scheme val="minor"/>
      </rPr>
      <t>; diagnosed up to 31/12/1984</t>
    </r>
  </si>
  <si>
    <r>
      <t>% of invasive breast cancers diagnosed at late stage in</t>
    </r>
    <r>
      <rPr>
        <b/>
        <sz val="10"/>
        <rFont val="Calibri"/>
        <family val="2"/>
        <scheme val="minor"/>
      </rPr>
      <t xml:space="preserve"> women aged 60-69 years</t>
    </r>
    <r>
      <rPr>
        <sz val="10"/>
        <rFont val="Calibri"/>
        <family val="2"/>
        <scheme val="minor"/>
      </rPr>
      <t xml:space="preserve"> (</t>
    </r>
    <r>
      <rPr>
        <b/>
        <sz val="10"/>
        <rFont val="Calibri"/>
        <family val="2"/>
        <scheme val="minor"/>
      </rPr>
      <t>stage II-IV</t>
    </r>
    <r>
      <rPr>
        <sz val="10"/>
        <rFont val="Calibri"/>
        <family val="2"/>
        <scheme val="minor"/>
      </rPr>
      <t>); diagnosed up to 31/12/1984;
study vs control arms</t>
    </r>
  </si>
  <si>
    <r>
      <t xml:space="preserve">Total number of invasive breast cancers in women </t>
    </r>
    <r>
      <rPr>
        <b/>
        <sz val="10"/>
        <rFont val="Calibri"/>
        <family val="2"/>
        <scheme val="minor"/>
      </rPr>
      <t>aged 60-69 years</t>
    </r>
    <r>
      <rPr>
        <sz val="10"/>
        <rFont val="Calibri"/>
        <family val="2"/>
        <scheme val="minor"/>
      </rPr>
      <t>; diagnosed up to 31/12/1984 (including cancers with unknown stage)</t>
    </r>
  </si>
  <si>
    <r>
      <t>Absolute incidence of</t>
    </r>
    <r>
      <rPr>
        <b/>
        <sz val="10"/>
        <rFont val="Calibri"/>
        <family val="2"/>
        <scheme val="minor"/>
      </rPr>
      <t xml:space="preserve"> stage I</t>
    </r>
    <r>
      <rPr>
        <sz val="10"/>
        <rFont val="Calibri"/>
        <family val="2"/>
        <scheme val="minor"/>
      </rPr>
      <t xml:space="preserve"> breast cancers (per 1,000 women</t>
    </r>
    <r>
      <rPr>
        <b/>
        <sz val="10"/>
        <rFont val="Calibri"/>
        <family val="2"/>
        <scheme val="minor"/>
      </rPr>
      <t xml:space="preserve"> aged 70-74 years</t>
    </r>
    <r>
      <rPr>
        <sz val="10"/>
        <rFont val="Calibri"/>
        <family val="2"/>
        <scheme val="minor"/>
      </rPr>
      <t>); diagnosed up to 31/12/1984;
study vs control arms</t>
    </r>
  </si>
  <si>
    <r>
      <t xml:space="preserve">Number of </t>
    </r>
    <r>
      <rPr>
        <b/>
        <sz val="10"/>
        <rFont val="Calibri"/>
        <family val="2"/>
        <scheme val="minor"/>
      </rPr>
      <t xml:space="preserve">stage I </t>
    </r>
    <r>
      <rPr>
        <sz val="10"/>
        <rFont val="Calibri"/>
        <family val="2"/>
        <scheme val="minor"/>
      </rPr>
      <t xml:space="preserve">(UICC) breast cancers in women </t>
    </r>
    <r>
      <rPr>
        <b/>
        <sz val="10"/>
        <rFont val="Calibri"/>
        <family val="2"/>
        <scheme val="minor"/>
      </rPr>
      <t>aged 70-74 years</t>
    </r>
    <r>
      <rPr>
        <sz val="10"/>
        <rFont val="Calibri"/>
        <family val="2"/>
        <scheme val="minor"/>
      </rPr>
      <t>; diagnosed up to 31/12/1984</t>
    </r>
  </si>
  <si>
    <r>
      <t xml:space="preserve">Number of women </t>
    </r>
    <r>
      <rPr>
        <b/>
        <sz val="10"/>
        <rFont val="Calibri"/>
        <family val="2"/>
        <scheme val="minor"/>
      </rPr>
      <t>aged 70-74 years</t>
    </r>
    <r>
      <rPr>
        <sz val="10"/>
        <rFont val="Calibri"/>
        <family val="2"/>
        <scheme val="minor"/>
      </rPr>
      <t xml:space="preserve"> analysed, by arm</t>
    </r>
  </si>
  <si>
    <r>
      <t>Absolute incidence of</t>
    </r>
    <r>
      <rPr>
        <b/>
        <sz val="10"/>
        <rFont val="Calibri"/>
        <family val="2"/>
        <scheme val="minor"/>
      </rPr>
      <t xml:space="preserve"> stage II</t>
    </r>
    <r>
      <rPr>
        <sz val="10"/>
        <rFont val="Calibri"/>
        <family val="2"/>
        <scheme val="minor"/>
      </rPr>
      <t xml:space="preserve"> breast cancers (per 1,000 women  </t>
    </r>
    <r>
      <rPr>
        <b/>
        <sz val="10"/>
        <rFont val="Calibri"/>
        <family val="2"/>
        <scheme val="minor"/>
      </rPr>
      <t>aged 70-74 years</t>
    </r>
    <r>
      <rPr>
        <sz val="10"/>
        <rFont val="Calibri"/>
        <family val="2"/>
        <scheme val="minor"/>
      </rPr>
      <t>); diagnosed up to 31/12/1984;
study vs control arms</t>
    </r>
  </si>
  <si>
    <r>
      <t xml:space="preserve">Number of </t>
    </r>
    <r>
      <rPr>
        <b/>
        <sz val="10"/>
        <rFont val="Calibri"/>
        <family val="2"/>
        <scheme val="minor"/>
      </rPr>
      <t xml:space="preserve">stage II </t>
    </r>
    <r>
      <rPr>
        <sz val="10"/>
        <rFont val="Calibri"/>
        <family val="2"/>
        <scheme val="minor"/>
      </rPr>
      <t xml:space="preserve">(UICC) breast cancers in women </t>
    </r>
    <r>
      <rPr>
        <b/>
        <sz val="10"/>
        <rFont val="Calibri"/>
        <family val="2"/>
        <scheme val="minor"/>
      </rPr>
      <t>aged 70-74 years</t>
    </r>
    <r>
      <rPr>
        <sz val="10"/>
        <rFont val="Calibri"/>
        <family val="2"/>
        <scheme val="minor"/>
      </rPr>
      <t>; diagnosed up to 31/12/1984</t>
    </r>
  </si>
  <si>
    <r>
      <t xml:space="preserve">Absolute incidence of </t>
    </r>
    <r>
      <rPr>
        <b/>
        <sz val="10"/>
        <rFont val="Calibri"/>
        <family val="2"/>
        <scheme val="minor"/>
      </rPr>
      <t>stage III-IV</t>
    </r>
    <r>
      <rPr>
        <sz val="10"/>
        <rFont val="Calibri"/>
        <family val="2"/>
        <scheme val="minor"/>
      </rPr>
      <t xml:space="preserve"> breast cancers (per 1,000 women aged</t>
    </r>
    <r>
      <rPr>
        <b/>
        <sz val="10"/>
        <rFont val="Calibri"/>
        <family val="2"/>
        <scheme val="minor"/>
      </rPr>
      <t xml:space="preserve"> 70-74 years</t>
    </r>
    <r>
      <rPr>
        <sz val="10"/>
        <rFont val="Calibri"/>
        <family val="2"/>
        <scheme val="minor"/>
      </rPr>
      <t>); diagnosed up to 31/12/1984;
study vs control arms</t>
    </r>
  </si>
  <si>
    <r>
      <t xml:space="preserve">Number of </t>
    </r>
    <r>
      <rPr>
        <b/>
        <sz val="10"/>
        <rFont val="Calibri"/>
        <family val="2"/>
        <scheme val="minor"/>
      </rPr>
      <t xml:space="preserve">stage III-IV </t>
    </r>
    <r>
      <rPr>
        <sz val="10"/>
        <rFont val="Calibri"/>
        <family val="2"/>
        <scheme val="minor"/>
      </rPr>
      <t xml:space="preserve">(UICC) breast cancers in women </t>
    </r>
    <r>
      <rPr>
        <b/>
        <sz val="10"/>
        <rFont val="Calibri"/>
        <family val="2"/>
        <scheme val="minor"/>
      </rPr>
      <t>aged 70-74 years</t>
    </r>
    <r>
      <rPr>
        <sz val="10"/>
        <rFont val="Calibri"/>
        <family val="2"/>
        <scheme val="minor"/>
      </rPr>
      <t>; diagnosed up to 31/12/1984</t>
    </r>
  </si>
  <si>
    <r>
      <t>Absolute incidence of</t>
    </r>
    <r>
      <rPr>
        <b/>
        <sz val="10"/>
        <rFont val="Calibri"/>
        <family val="2"/>
        <scheme val="minor"/>
      </rPr>
      <t xml:space="preserve"> stage II-IV</t>
    </r>
    <r>
      <rPr>
        <sz val="10"/>
        <rFont val="Calibri"/>
        <family val="2"/>
        <scheme val="minor"/>
      </rPr>
      <t xml:space="preserve"> breast cancers (per 1,000 women</t>
    </r>
    <r>
      <rPr>
        <b/>
        <sz val="10"/>
        <rFont val="Calibri"/>
        <family val="2"/>
        <scheme val="minor"/>
      </rPr>
      <t xml:space="preserve"> aged 70-74 years</t>
    </r>
    <r>
      <rPr>
        <sz val="10"/>
        <rFont val="Calibri"/>
        <family val="2"/>
        <scheme val="minor"/>
      </rPr>
      <t>); diagnosed up to 31/12/1984;
study vs control arms</t>
    </r>
  </si>
  <si>
    <r>
      <t>Number of</t>
    </r>
    <r>
      <rPr>
        <b/>
        <sz val="10"/>
        <rFont val="Calibri"/>
        <family val="2"/>
        <scheme val="minor"/>
      </rPr>
      <t xml:space="preserve"> stage II-IV</t>
    </r>
    <r>
      <rPr>
        <sz val="10"/>
        <rFont val="Calibri"/>
        <family val="2"/>
        <scheme val="minor"/>
      </rPr>
      <t xml:space="preserve"> (UICC) breast cancers in women </t>
    </r>
    <r>
      <rPr>
        <b/>
        <sz val="10"/>
        <rFont val="Calibri"/>
        <family val="2"/>
        <scheme val="minor"/>
      </rPr>
      <t>aged 70-74 years</t>
    </r>
    <r>
      <rPr>
        <sz val="10"/>
        <rFont val="Calibri"/>
        <family val="2"/>
        <scheme val="minor"/>
      </rPr>
      <t>; diagnosed up to 31/12/1984</t>
    </r>
  </si>
  <si>
    <r>
      <t>% of invasive breast cancers diagnosed at late stage in</t>
    </r>
    <r>
      <rPr>
        <b/>
        <sz val="10"/>
        <rFont val="Calibri"/>
        <family val="2"/>
        <scheme val="minor"/>
      </rPr>
      <t xml:space="preserve"> women aged 70-74 years</t>
    </r>
    <r>
      <rPr>
        <sz val="10"/>
        <rFont val="Calibri"/>
        <family val="2"/>
        <scheme val="minor"/>
      </rPr>
      <t xml:space="preserve"> (</t>
    </r>
    <r>
      <rPr>
        <b/>
        <sz val="10"/>
        <rFont val="Calibri"/>
        <family val="2"/>
        <scheme val="minor"/>
      </rPr>
      <t>stage II-IV</t>
    </r>
    <r>
      <rPr>
        <sz val="10"/>
        <rFont val="Calibri"/>
        <family val="2"/>
        <scheme val="minor"/>
      </rPr>
      <t>); diagnosed up to 31/12/1984;
study vs control arms</t>
    </r>
  </si>
  <si>
    <r>
      <t xml:space="preserve">Total number of invasive breast cancers in women </t>
    </r>
    <r>
      <rPr>
        <b/>
        <sz val="10"/>
        <rFont val="Calibri"/>
        <family val="2"/>
        <scheme val="minor"/>
      </rPr>
      <t>aged 70-74 years</t>
    </r>
    <r>
      <rPr>
        <sz val="10"/>
        <rFont val="Calibri"/>
        <family val="2"/>
        <scheme val="minor"/>
      </rPr>
      <t>; diagnosed up to 31/12/1984 (including cancers with unknown stage)</t>
    </r>
  </si>
  <si>
    <t>Nationwide cancer registration</t>
  </si>
  <si>
    <t>Size ≤20 mm and axillary nodes not examined histologically</t>
  </si>
  <si>
    <r>
      <t xml:space="preserve">Number of </t>
    </r>
    <r>
      <rPr>
        <b/>
        <sz val="10"/>
        <rFont val="Calibri"/>
        <family val="2"/>
        <scheme val="minor"/>
      </rPr>
      <t xml:space="preserve">stage I (UICC) </t>
    </r>
    <r>
      <rPr>
        <sz val="10"/>
        <rFont val="Calibri"/>
        <family val="2"/>
        <scheme val="minor"/>
      </rPr>
      <t xml:space="preserve">breast cancers </t>
    </r>
    <r>
      <rPr>
        <b/>
        <sz val="10"/>
        <rFont val="Calibri"/>
        <family val="2"/>
        <scheme val="minor"/>
      </rPr>
      <t>in women aged 40-74 years at entry</t>
    </r>
    <r>
      <rPr>
        <sz val="10"/>
        <rFont val="Calibri"/>
        <family val="2"/>
        <scheme val="minor"/>
      </rPr>
      <t>; diagnosed up to 31/12/1984</t>
    </r>
  </si>
  <si>
    <r>
      <t xml:space="preserve">Absolute incidence of </t>
    </r>
    <r>
      <rPr>
        <b/>
        <sz val="10"/>
        <rFont val="Calibri"/>
        <family val="2"/>
        <scheme val="minor"/>
      </rPr>
      <t>stage II+</t>
    </r>
    <r>
      <rPr>
        <sz val="10"/>
        <rFont val="Calibri"/>
        <family val="2"/>
        <scheme val="minor"/>
      </rPr>
      <t xml:space="preserve"> breast cancers</t>
    </r>
    <r>
      <rPr>
        <b/>
        <sz val="10"/>
        <rFont val="Calibri"/>
        <family val="2"/>
      </rPr>
      <t xml:space="preserve"> </t>
    </r>
    <r>
      <rPr>
        <sz val="10"/>
        <rFont val="Calibri"/>
        <family val="2"/>
      </rPr>
      <t xml:space="preserve">(per 1,000 women </t>
    </r>
    <r>
      <rPr>
        <b/>
        <sz val="10"/>
        <rFont val="Calibri"/>
        <family val="2"/>
      </rPr>
      <t>aged 40-74 years</t>
    </r>
    <r>
      <rPr>
        <sz val="10"/>
        <rFont val="Calibri"/>
        <family val="2"/>
      </rPr>
      <t>); diagnosed up to</t>
    </r>
    <r>
      <rPr>
        <sz val="10"/>
        <rFont val="Calibri"/>
        <family val="2"/>
        <scheme val="minor"/>
      </rPr>
      <t xml:space="preserve"> 31/12/1984;
study vs control arms</t>
    </r>
  </si>
  <si>
    <r>
      <t xml:space="preserve">Number of </t>
    </r>
    <r>
      <rPr>
        <b/>
        <sz val="10"/>
        <rFont val="Calibri"/>
        <family val="2"/>
        <scheme val="minor"/>
      </rPr>
      <t xml:space="preserve">stage II-IV (UICC) </t>
    </r>
    <r>
      <rPr>
        <sz val="10"/>
        <rFont val="Calibri"/>
        <family val="2"/>
        <scheme val="minor"/>
      </rPr>
      <t xml:space="preserve">breast cancers </t>
    </r>
    <r>
      <rPr>
        <b/>
        <sz val="10"/>
        <rFont val="Calibri"/>
        <family val="2"/>
        <scheme val="minor"/>
      </rPr>
      <t>in women aged 40-74 years at entry</t>
    </r>
    <r>
      <rPr>
        <sz val="10"/>
        <rFont val="Calibri"/>
        <family val="2"/>
        <scheme val="minor"/>
      </rPr>
      <t>; diagnosed up to 31/12/1984</t>
    </r>
  </si>
  <si>
    <t>Table IV, Table V and text: In the study group there is a highly significant reduction (25%) in the absolute rate of stage II or more advanced cancers (p&lt;0.001, table v).</t>
  </si>
  <si>
    <r>
      <t>Absolute incidence of breast cancers</t>
    </r>
    <r>
      <rPr>
        <b/>
        <sz val="10"/>
        <rFont val="Calibri"/>
        <family val="2"/>
      </rPr>
      <t xml:space="preserve"> </t>
    </r>
    <r>
      <rPr>
        <sz val="10"/>
        <rFont val="Calibri"/>
        <family val="2"/>
      </rPr>
      <t xml:space="preserve">with </t>
    </r>
    <r>
      <rPr>
        <b/>
        <sz val="10"/>
        <rFont val="Calibri"/>
        <family val="2"/>
      </rPr>
      <t>axillary lymph nodes positive and/or disseminated disease</t>
    </r>
    <r>
      <rPr>
        <sz val="10"/>
        <rFont val="Calibri"/>
        <family val="2"/>
      </rPr>
      <t xml:space="preserve"> (per 1,000 women </t>
    </r>
    <r>
      <rPr>
        <b/>
        <sz val="10"/>
        <rFont val="Calibri"/>
        <family val="2"/>
      </rPr>
      <t>aged 40-74 years</t>
    </r>
    <r>
      <rPr>
        <sz val="10"/>
        <rFont val="Calibri"/>
        <family val="2"/>
      </rPr>
      <t>); diagnosed up to</t>
    </r>
    <r>
      <rPr>
        <sz val="10"/>
        <rFont val="Calibri"/>
        <family val="2"/>
        <scheme val="minor"/>
      </rPr>
      <t xml:space="preserve"> 31/12/1984;
study vs control arms</t>
    </r>
  </si>
  <si>
    <t>Node positive and/or disseminated disease</t>
  </si>
  <si>
    <r>
      <t xml:space="preserve">Number of breast cancers with </t>
    </r>
    <r>
      <rPr>
        <b/>
        <sz val="10"/>
        <rFont val="Calibri"/>
        <family val="2"/>
        <scheme val="minor"/>
      </rPr>
      <t>axillary lymph nodes positive and/or disseminated disease in women aged 40-74 years at entry</t>
    </r>
    <r>
      <rPr>
        <sz val="10"/>
        <rFont val="Calibri"/>
        <family val="2"/>
        <scheme val="minor"/>
      </rPr>
      <t>; diagnosed up to 31/12/1984</t>
    </r>
  </si>
  <si>
    <r>
      <t xml:space="preserve">Absolute incidence of </t>
    </r>
    <r>
      <rPr>
        <b/>
        <sz val="10"/>
        <rFont val="Calibri"/>
        <family val="2"/>
        <scheme val="minor"/>
      </rPr>
      <t>ductal in situ</t>
    </r>
    <r>
      <rPr>
        <sz val="10"/>
        <rFont val="Calibri"/>
        <family val="2"/>
        <scheme val="minor"/>
      </rPr>
      <t xml:space="preserve"> breast cancers</t>
    </r>
    <r>
      <rPr>
        <b/>
        <sz val="10"/>
        <rFont val="Calibri"/>
        <family val="2"/>
      </rPr>
      <t xml:space="preserve"> </t>
    </r>
    <r>
      <rPr>
        <sz val="10"/>
        <rFont val="Calibri"/>
        <family val="2"/>
      </rPr>
      <t xml:space="preserve">(per 1,000 women </t>
    </r>
    <r>
      <rPr>
        <b/>
        <sz val="10"/>
        <rFont val="Calibri"/>
        <family val="2"/>
      </rPr>
      <t>aged 40-74 years</t>
    </r>
    <r>
      <rPr>
        <sz val="10"/>
        <rFont val="Calibri"/>
        <family val="2"/>
      </rPr>
      <t>); diagnosed up to</t>
    </r>
    <r>
      <rPr>
        <sz val="10"/>
        <rFont val="Calibri"/>
        <family val="2"/>
        <scheme val="minor"/>
      </rPr>
      <t xml:space="preserve"> 31/12/1984;
study vs control arms</t>
    </r>
  </si>
  <si>
    <r>
      <t xml:space="preserve">Number of </t>
    </r>
    <r>
      <rPr>
        <b/>
        <sz val="10"/>
        <rFont val="Calibri"/>
        <family val="2"/>
        <scheme val="minor"/>
      </rPr>
      <t xml:space="preserve">ductal in situ </t>
    </r>
    <r>
      <rPr>
        <sz val="10"/>
        <rFont val="Calibri"/>
        <family val="2"/>
        <scheme val="minor"/>
      </rPr>
      <t xml:space="preserve">breast cancers </t>
    </r>
    <r>
      <rPr>
        <b/>
        <sz val="10"/>
        <rFont val="Calibri"/>
        <family val="2"/>
        <scheme val="minor"/>
      </rPr>
      <t>in women aged 40-74 years at entry</t>
    </r>
    <r>
      <rPr>
        <sz val="10"/>
        <rFont val="Calibri"/>
        <family val="2"/>
        <scheme val="minor"/>
      </rPr>
      <t>; diagnosed up to 31/12/1984</t>
    </r>
  </si>
  <si>
    <r>
      <t>% of invasive breast cancers diagnosed at late stage (</t>
    </r>
    <r>
      <rPr>
        <b/>
        <sz val="10"/>
        <rFont val="Calibri"/>
        <family val="2"/>
        <scheme val="minor"/>
      </rPr>
      <t>stage II+) in women aged 40-74 years</t>
    </r>
    <r>
      <rPr>
        <sz val="10"/>
        <rFont val="Calibri"/>
        <family val="2"/>
      </rPr>
      <t>; diagnosed up to</t>
    </r>
    <r>
      <rPr>
        <sz val="10"/>
        <rFont val="Calibri"/>
        <family val="2"/>
        <scheme val="minor"/>
      </rPr>
      <t xml:space="preserve"> 31/12/1984;
study vs control arms</t>
    </r>
  </si>
  <si>
    <r>
      <t xml:space="preserve">Total number of invasive breast cancers </t>
    </r>
    <r>
      <rPr>
        <b/>
        <sz val="10"/>
        <rFont val="Calibri"/>
        <family val="2"/>
        <scheme val="minor"/>
      </rPr>
      <t>in women aged 40-74 years at entry</t>
    </r>
    <r>
      <rPr>
        <sz val="10"/>
        <rFont val="Calibri"/>
        <family val="2"/>
        <scheme val="minor"/>
      </rPr>
      <t>; diagnosed up to 31/12/1984</t>
    </r>
  </si>
  <si>
    <t>Table V and Table IV for denominator</t>
  </si>
  <si>
    <r>
      <t xml:space="preserve">Absolute incidence of </t>
    </r>
    <r>
      <rPr>
        <b/>
        <sz val="10"/>
        <rFont val="Calibri"/>
        <family val="2"/>
        <scheme val="minor"/>
      </rPr>
      <t>stage II+</t>
    </r>
    <r>
      <rPr>
        <sz val="10"/>
        <rFont val="Calibri"/>
        <family val="2"/>
        <scheme val="minor"/>
      </rPr>
      <t xml:space="preserve"> breast cancers</t>
    </r>
    <r>
      <rPr>
        <b/>
        <sz val="10"/>
        <rFont val="Calibri"/>
        <family val="2"/>
      </rPr>
      <t xml:space="preserve"> </t>
    </r>
    <r>
      <rPr>
        <sz val="10"/>
        <rFont val="Calibri"/>
        <family val="2"/>
      </rPr>
      <t xml:space="preserve">(per 1,000 women </t>
    </r>
    <r>
      <rPr>
        <b/>
        <sz val="10"/>
        <rFont val="Calibri"/>
        <family val="2"/>
      </rPr>
      <t>aged 40-74 years</t>
    </r>
    <r>
      <rPr>
        <sz val="10"/>
        <rFont val="Calibri"/>
        <family val="2"/>
      </rPr>
      <t>); 1 year since randomisation</t>
    </r>
    <r>
      <rPr>
        <sz val="10"/>
        <rFont val="Calibri"/>
        <family val="2"/>
        <scheme val="minor"/>
      </rPr>
      <t>;
study vs control arms</t>
    </r>
  </si>
  <si>
    <r>
      <t xml:space="preserve">Number of </t>
    </r>
    <r>
      <rPr>
        <b/>
        <sz val="10"/>
        <rFont val="Calibri"/>
        <family val="2"/>
        <scheme val="minor"/>
      </rPr>
      <t xml:space="preserve">stage II-IV (UICC) </t>
    </r>
    <r>
      <rPr>
        <sz val="10"/>
        <rFont val="Calibri"/>
        <family val="2"/>
        <scheme val="minor"/>
      </rPr>
      <t xml:space="preserve">breast cancers </t>
    </r>
    <r>
      <rPr>
        <b/>
        <sz val="10"/>
        <rFont val="Calibri"/>
        <family val="2"/>
        <scheme val="minor"/>
      </rPr>
      <t>in women aged 40-74 years at entry</t>
    </r>
    <r>
      <rPr>
        <sz val="10"/>
        <rFont val="Calibri"/>
        <family val="2"/>
        <scheme val="minor"/>
      </rPr>
      <t>; diagnosed in first year after randomisation; figures for the control group are adjusted for the different size of the control group in Kopparberg county</t>
    </r>
  </si>
  <si>
    <r>
      <t>Number of women</t>
    </r>
    <r>
      <rPr>
        <b/>
        <sz val="10"/>
        <rFont val="Calibri"/>
        <family val="2"/>
        <scheme val="minor"/>
      </rPr>
      <t xml:space="preserve"> </t>
    </r>
    <r>
      <rPr>
        <sz val="10"/>
        <rFont val="Calibri"/>
        <family val="2"/>
        <scheme val="minor"/>
      </rPr>
      <t xml:space="preserve">analysed </t>
    </r>
    <r>
      <rPr>
        <b/>
        <sz val="10"/>
        <rFont val="Calibri"/>
        <family val="2"/>
        <scheme val="minor"/>
      </rPr>
      <t>aged 40-74 years at entry</t>
    </r>
    <r>
      <rPr>
        <sz val="10"/>
        <rFont val="Calibri"/>
        <family val="2"/>
        <scheme val="minor"/>
      </rPr>
      <t>, by arm (figures for the control group are adjusted for the different size of the control group in Kopparberg county)</t>
    </r>
  </si>
  <si>
    <t>The number of cases in the Kopparberg control group has been
doubled to allow for the control-group size.</t>
  </si>
  <si>
    <r>
      <t xml:space="preserve">Absolute incidence of </t>
    </r>
    <r>
      <rPr>
        <b/>
        <sz val="10"/>
        <rFont val="Calibri"/>
        <family val="2"/>
        <scheme val="minor"/>
      </rPr>
      <t>stage II+</t>
    </r>
    <r>
      <rPr>
        <sz val="10"/>
        <rFont val="Calibri"/>
        <family val="2"/>
        <scheme val="minor"/>
      </rPr>
      <t xml:space="preserve"> breast cancers</t>
    </r>
    <r>
      <rPr>
        <b/>
        <sz val="10"/>
        <rFont val="Calibri"/>
        <family val="2"/>
      </rPr>
      <t xml:space="preserve"> </t>
    </r>
    <r>
      <rPr>
        <sz val="10"/>
        <rFont val="Calibri"/>
        <family val="2"/>
      </rPr>
      <t xml:space="preserve">(per 1,000 women </t>
    </r>
    <r>
      <rPr>
        <b/>
        <sz val="10"/>
        <rFont val="Calibri"/>
        <family val="2"/>
      </rPr>
      <t>aged 40-74 years</t>
    </r>
    <r>
      <rPr>
        <sz val="10"/>
        <rFont val="Calibri"/>
        <family val="2"/>
      </rPr>
      <t>); 2 years since randomisation</t>
    </r>
    <r>
      <rPr>
        <sz val="10"/>
        <rFont val="Calibri"/>
        <family val="2"/>
        <scheme val="minor"/>
      </rPr>
      <t>;
study vs control arms</t>
    </r>
  </si>
  <si>
    <r>
      <t xml:space="preserve">Number of </t>
    </r>
    <r>
      <rPr>
        <b/>
        <sz val="10"/>
        <rFont val="Calibri"/>
        <family val="2"/>
        <scheme val="minor"/>
      </rPr>
      <t xml:space="preserve">stage II-IV (UICC) </t>
    </r>
    <r>
      <rPr>
        <sz val="10"/>
        <rFont val="Calibri"/>
        <family val="2"/>
        <scheme val="minor"/>
      </rPr>
      <t xml:space="preserve">breast cancers </t>
    </r>
    <r>
      <rPr>
        <b/>
        <sz val="10"/>
        <rFont val="Calibri"/>
        <family val="2"/>
        <scheme val="minor"/>
      </rPr>
      <t>in women aged 40-74 years at entry</t>
    </r>
    <r>
      <rPr>
        <sz val="10"/>
        <rFont val="Calibri"/>
        <family val="2"/>
        <scheme val="minor"/>
      </rPr>
      <t>; diagnosed in first 2 years after randomisation; figures for the control group are adjusted for the different size of the control group in Kopparberg county</t>
    </r>
  </si>
  <si>
    <r>
      <t xml:space="preserve">Absolute incidence of </t>
    </r>
    <r>
      <rPr>
        <b/>
        <sz val="10"/>
        <rFont val="Calibri"/>
        <family val="2"/>
        <scheme val="minor"/>
      </rPr>
      <t>stage II+</t>
    </r>
    <r>
      <rPr>
        <sz val="10"/>
        <rFont val="Calibri"/>
        <family val="2"/>
        <scheme val="minor"/>
      </rPr>
      <t xml:space="preserve"> breast cancers</t>
    </r>
    <r>
      <rPr>
        <b/>
        <sz val="10"/>
        <rFont val="Calibri"/>
        <family val="2"/>
      </rPr>
      <t xml:space="preserve"> </t>
    </r>
    <r>
      <rPr>
        <sz val="10"/>
        <rFont val="Calibri"/>
        <family val="2"/>
      </rPr>
      <t xml:space="preserve">(per 1,000 women </t>
    </r>
    <r>
      <rPr>
        <b/>
        <sz val="10"/>
        <rFont val="Calibri"/>
        <family val="2"/>
      </rPr>
      <t>aged 40-74 years</t>
    </r>
    <r>
      <rPr>
        <sz val="10"/>
        <rFont val="Calibri"/>
        <family val="2"/>
      </rPr>
      <t>); 3 years since randomisation</t>
    </r>
    <r>
      <rPr>
        <sz val="10"/>
        <rFont val="Calibri"/>
        <family val="2"/>
        <scheme val="minor"/>
      </rPr>
      <t>;
study vs control arms</t>
    </r>
  </si>
  <si>
    <r>
      <t xml:space="preserve">Number of </t>
    </r>
    <r>
      <rPr>
        <b/>
        <sz val="10"/>
        <rFont val="Calibri"/>
        <family val="2"/>
        <scheme val="minor"/>
      </rPr>
      <t xml:space="preserve">stage II-IV (UICC) </t>
    </r>
    <r>
      <rPr>
        <sz val="10"/>
        <rFont val="Calibri"/>
        <family val="2"/>
        <scheme val="minor"/>
      </rPr>
      <t xml:space="preserve">breast cancers </t>
    </r>
    <r>
      <rPr>
        <b/>
        <sz val="10"/>
        <rFont val="Calibri"/>
        <family val="2"/>
        <scheme val="minor"/>
      </rPr>
      <t>in women aged 40-74 years at entry</t>
    </r>
    <r>
      <rPr>
        <sz val="10"/>
        <rFont val="Calibri"/>
        <family val="2"/>
        <scheme val="minor"/>
      </rPr>
      <t>; diagnosed in first 3 years after randomisation; figures for the control group are adjusted for the different size of the control group in Kopparberg county</t>
    </r>
  </si>
  <si>
    <r>
      <t xml:space="preserve">Absolute incidence of </t>
    </r>
    <r>
      <rPr>
        <b/>
        <sz val="10"/>
        <rFont val="Calibri"/>
        <family val="2"/>
        <scheme val="minor"/>
      </rPr>
      <t>stage II+</t>
    </r>
    <r>
      <rPr>
        <sz val="10"/>
        <rFont val="Calibri"/>
        <family val="2"/>
        <scheme val="minor"/>
      </rPr>
      <t xml:space="preserve"> breast cancers</t>
    </r>
    <r>
      <rPr>
        <b/>
        <sz val="10"/>
        <rFont val="Calibri"/>
        <family val="2"/>
      </rPr>
      <t xml:space="preserve"> </t>
    </r>
    <r>
      <rPr>
        <sz val="10"/>
        <rFont val="Calibri"/>
        <family val="2"/>
      </rPr>
      <t xml:space="preserve">(per 1,000 women </t>
    </r>
    <r>
      <rPr>
        <b/>
        <sz val="10"/>
        <rFont val="Calibri"/>
        <family val="2"/>
      </rPr>
      <t>aged 40-74 years</t>
    </r>
    <r>
      <rPr>
        <sz val="10"/>
        <rFont val="Calibri"/>
        <family val="2"/>
      </rPr>
      <t>); 4 years since randomisation</t>
    </r>
    <r>
      <rPr>
        <sz val="10"/>
        <rFont val="Calibri"/>
        <family val="2"/>
        <scheme val="minor"/>
      </rPr>
      <t>;
study vs control arms</t>
    </r>
  </si>
  <si>
    <r>
      <t xml:space="preserve">Number of </t>
    </r>
    <r>
      <rPr>
        <b/>
        <sz val="10"/>
        <rFont val="Calibri"/>
        <family val="2"/>
        <scheme val="minor"/>
      </rPr>
      <t xml:space="preserve">stage II-IV (UICC) </t>
    </r>
    <r>
      <rPr>
        <sz val="10"/>
        <rFont val="Calibri"/>
        <family val="2"/>
        <scheme val="minor"/>
      </rPr>
      <t xml:space="preserve">breast cancers </t>
    </r>
    <r>
      <rPr>
        <b/>
        <sz val="10"/>
        <rFont val="Calibri"/>
        <family val="2"/>
        <scheme val="minor"/>
      </rPr>
      <t>in women aged 40-74 years at entry</t>
    </r>
    <r>
      <rPr>
        <sz val="10"/>
        <rFont val="Calibri"/>
        <family val="2"/>
        <scheme val="minor"/>
      </rPr>
      <t>; diagnosed in first 4 years after randomisation; figures for the control group are adjusted for the different size of the control group in Kopparberg county</t>
    </r>
  </si>
  <si>
    <r>
      <t xml:space="preserve">Absolute incidence of </t>
    </r>
    <r>
      <rPr>
        <b/>
        <sz val="10"/>
        <rFont val="Calibri"/>
        <family val="2"/>
        <scheme val="minor"/>
      </rPr>
      <t>stage II+</t>
    </r>
    <r>
      <rPr>
        <sz val="10"/>
        <rFont val="Calibri"/>
        <family val="2"/>
        <scheme val="minor"/>
      </rPr>
      <t xml:space="preserve"> breast cancers</t>
    </r>
    <r>
      <rPr>
        <b/>
        <sz val="10"/>
        <rFont val="Calibri"/>
        <family val="2"/>
      </rPr>
      <t xml:space="preserve"> </t>
    </r>
    <r>
      <rPr>
        <sz val="10"/>
        <rFont val="Calibri"/>
        <family val="2"/>
      </rPr>
      <t xml:space="preserve">(per 1,000 women </t>
    </r>
    <r>
      <rPr>
        <b/>
        <sz val="10"/>
        <rFont val="Calibri"/>
        <family val="2"/>
      </rPr>
      <t>aged 40-74 years</t>
    </r>
    <r>
      <rPr>
        <sz val="10"/>
        <rFont val="Calibri"/>
        <family val="2"/>
      </rPr>
      <t>); 5 years since randomisation</t>
    </r>
    <r>
      <rPr>
        <sz val="10"/>
        <rFont val="Calibri"/>
        <family val="2"/>
        <scheme val="minor"/>
      </rPr>
      <t>;
study vs control arms</t>
    </r>
  </si>
  <si>
    <r>
      <t xml:space="preserve">Number of </t>
    </r>
    <r>
      <rPr>
        <b/>
        <sz val="10"/>
        <rFont val="Calibri"/>
        <family val="2"/>
        <scheme val="minor"/>
      </rPr>
      <t xml:space="preserve">stage II-IV (UICC) </t>
    </r>
    <r>
      <rPr>
        <sz val="10"/>
        <rFont val="Calibri"/>
        <family val="2"/>
        <scheme val="minor"/>
      </rPr>
      <t xml:space="preserve">breast cancer </t>
    </r>
    <r>
      <rPr>
        <b/>
        <sz val="10"/>
        <rFont val="Calibri"/>
        <family val="2"/>
        <scheme val="minor"/>
      </rPr>
      <t>in women aged 40-74 years at entry</t>
    </r>
    <r>
      <rPr>
        <sz val="10"/>
        <rFont val="Calibri"/>
        <family val="2"/>
        <scheme val="minor"/>
      </rPr>
      <t>s; diagnosed in first 5 years after randomisation; figures for the control group are adjusted for the different size of the control group in Kopparberg county</t>
    </r>
  </si>
  <si>
    <r>
      <t xml:space="preserve">Absolute incidence of </t>
    </r>
    <r>
      <rPr>
        <b/>
        <sz val="10"/>
        <rFont val="Calibri"/>
        <family val="2"/>
        <scheme val="minor"/>
      </rPr>
      <t>stage II+</t>
    </r>
    <r>
      <rPr>
        <sz val="10"/>
        <rFont val="Calibri"/>
        <family val="2"/>
        <scheme val="minor"/>
      </rPr>
      <t xml:space="preserve"> breast cancers</t>
    </r>
    <r>
      <rPr>
        <b/>
        <sz val="10"/>
        <rFont val="Calibri"/>
        <family val="2"/>
      </rPr>
      <t xml:space="preserve"> </t>
    </r>
    <r>
      <rPr>
        <sz val="10"/>
        <rFont val="Calibri"/>
        <family val="2"/>
      </rPr>
      <t xml:space="preserve">(per 1,000 women </t>
    </r>
    <r>
      <rPr>
        <b/>
        <sz val="10"/>
        <rFont val="Calibri"/>
        <family val="2"/>
      </rPr>
      <t>aged 40-74 years</t>
    </r>
    <r>
      <rPr>
        <sz val="10"/>
        <rFont val="Calibri"/>
        <family val="2"/>
      </rPr>
      <t>); 6 years since randomisation</t>
    </r>
    <r>
      <rPr>
        <sz val="10"/>
        <rFont val="Calibri"/>
        <family val="2"/>
        <scheme val="minor"/>
      </rPr>
      <t>;
study vs control arms</t>
    </r>
  </si>
  <si>
    <r>
      <t xml:space="preserve">Number of </t>
    </r>
    <r>
      <rPr>
        <b/>
        <sz val="10"/>
        <rFont val="Calibri"/>
        <family val="2"/>
        <scheme val="minor"/>
      </rPr>
      <t xml:space="preserve">stage II-IV (UICC) </t>
    </r>
    <r>
      <rPr>
        <sz val="10"/>
        <rFont val="Calibri"/>
        <family val="2"/>
        <scheme val="minor"/>
      </rPr>
      <t xml:space="preserve">breast cancers </t>
    </r>
    <r>
      <rPr>
        <b/>
        <sz val="10"/>
        <rFont val="Calibri"/>
        <family val="2"/>
        <scheme val="minor"/>
      </rPr>
      <t>in women aged 40-74 years at entry</t>
    </r>
    <r>
      <rPr>
        <sz val="10"/>
        <rFont val="Calibri"/>
        <family val="2"/>
        <scheme val="minor"/>
      </rPr>
      <t>; diagnosed in first 6 years after randomisation; figures for the control group are adjusted for the different size of the control group in Kopparberg county</t>
    </r>
  </si>
  <si>
    <r>
      <t xml:space="preserve">Absolute incidence of </t>
    </r>
    <r>
      <rPr>
        <b/>
        <sz val="10"/>
        <rFont val="Calibri"/>
        <family val="2"/>
        <scheme val="minor"/>
      </rPr>
      <t>stage II+</t>
    </r>
    <r>
      <rPr>
        <sz val="10"/>
        <rFont val="Calibri"/>
        <family val="2"/>
        <scheme val="minor"/>
      </rPr>
      <t xml:space="preserve"> breast cancers</t>
    </r>
    <r>
      <rPr>
        <b/>
        <sz val="10"/>
        <rFont val="Calibri"/>
        <family val="2"/>
      </rPr>
      <t xml:space="preserve"> </t>
    </r>
    <r>
      <rPr>
        <sz val="10"/>
        <rFont val="Calibri"/>
        <family val="2"/>
      </rPr>
      <t xml:space="preserve">(per 1,000 women </t>
    </r>
    <r>
      <rPr>
        <b/>
        <sz val="10"/>
        <rFont val="Calibri"/>
        <family val="2"/>
      </rPr>
      <t>aged 40-74 years</t>
    </r>
    <r>
      <rPr>
        <sz val="10"/>
        <rFont val="Calibri"/>
        <family val="2"/>
      </rPr>
      <t>); 7 years since randomisation</t>
    </r>
    <r>
      <rPr>
        <sz val="10"/>
        <rFont val="Calibri"/>
        <family val="2"/>
        <scheme val="minor"/>
      </rPr>
      <t>;
study vs control arms</t>
    </r>
  </si>
  <si>
    <r>
      <t xml:space="preserve">Number of </t>
    </r>
    <r>
      <rPr>
        <b/>
        <sz val="10"/>
        <rFont val="Calibri"/>
        <family val="2"/>
        <scheme val="minor"/>
      </rPr>
      <t xml:space="preserve">stage II-IV (UICC) </t>
    </r>
    <r>
      <rPr>
        <sz val="10"/>
        <rFont val="Calibri"/>
        <family val="2"/>
        <scheme val="minor"/>
      </rPr>
      <t xml:space="preserve">breast cancers </t>
    </r>
    <r>
      <rPr>
        <b/>
        <sz val="10"/>
        <rFont val="Calibri"/>
        <family val="2"/>
        <scheme val="minor"/>
      </rPr>
      <t>in women aged 40-74 years at entry</t>
    </r>
    <r>
      <rPr>
        <sz val="10"/>
        <rFont val="Calibri"/>
        <family val="2"/>
        <scheme val="minor"/>
      </rPr>
      <t>; diagnosed in first 7 years after randomisation; figures for the control group are adjusted for the different size of the control group in Kopparberg county</t>
    </r>
  </si>
  <si>
    <r>
      <t xml:space="preserve">Absolute incidence of </t>
    </r>
    <r>
      <rPr>
        <b/>
        <sz val="10"/>
        <rFont val="Calibri"/>
        <family val="2"/>
        <scheme val="minor"/>
      </rPr>
      <t>stage II+</t>
    </r>
    <r>
      <rPr>
        <sz val="10"/>
        <rFont val="Calibri"/>
        <family val="2"/>
        <scheme val="minor"/>
      </rPr>
      <t xml:space="preserve"> breast cancers</t>
    </r>
    <r>
      <rPr>
        <b/>
        <sz val="10"/>
        <rFont val="Calibri"/>
        <family val="2"/>
      </rPr>
      <t xml:space="preserve"> </t>
    </r>
    <r>
      <rPr>
        <sz val="10"/>
        <rFont val="Calibri"/>
        <family val="2"/>
      </rPr>
      <t xml:space="preserve">(per 1,000 women </t>
    </r>
    <r>
      <rPr>
        <b/>
        <sz val="10"/>
        <rFont val="Calibri"/>
        <family val="2"/>
      </rPr>
      <t>aged 40-74 years</t>
    </r>
    <r>
      <rPr>
        <sz val="10"/>
        <rFont val="Calibri"/>
        <family val="2"/>
      </rPr>
      <t>); 8 years since randomisation</t>
    </r>
    <r>
      <rPr>
        <sz val="10"/>
        <rFont val="Calibri"/>
        <family val="2"/>
        <scheme val="minor"/>
      </rPr>
      <t>;
study vs control arms</t>
    </r>
  </si>
  <si>
    <t>466,272 PY;
mean 5.97 years</t>
  </si>
  <si>
    <t>334,016 PY;
mean 5.88 years</t>
  </si>
  <si>
    <r>
      <t xml:space="preserve">Number of </t>
    </r>
    <r>
      <rPr>
        <b/>
        <sz val="10"/>
        <rFont val="Calibri"/>
        <family val="2"/>
        <scheme val="minor"/>
      </rPr>
      <t xml:space="preserve">stage II-IV (UICC) </t>
    </r>
    <r>
      <rPr>
        <sz val="10"/>
        <rFont val="Calibri"/>
        <family val="2"/>
        <scheme val="minor"/>
      </rPr>
      <t xml:space="preserve">breast cancers </t>
    </r>
    <r>
      <rPr>
        <b/>
        <sz val="10"/>
        <rFont val="Calibri"/>
        <family val="2"/>
        <scheme val="minor"/>
      </rPr>
      <t>in women aged 40-74 years at entry</t>
    </r>
    <r>
      <rPr>
        <sz val="10"/>
        <rFont val="Calibri"/>
        <family val="2"/>
        <scheme val="minor"/>
      </rPr>
      <t>; diagnosed in first 8 years after randomisation; figures for the control group are adjusted for the different size of the control group in Kopparberg county</t>
    </r>
  </si>
  <si>
    <r>
      <t xml:space="preserve">Diagnostic yield at screening (per 1,000 women </t>
    </r>
    <r>
      <rPr>
        <b/>
        <sz val="10"/>
        <rFont val="Calibri"/>
        <family val="2"/>
        <scheme val="minor"/>
      </rPr>
      <t>aged 40-69 years at entry</t>
    </r>
    <r>
      <rPr>
        <sz val="10"/>
        <rFont val="Calibri"/>
        <family val="2"/>
        <scheme val="minor"/>
      </rPr>
      <t>); 2 screening rounds completed;
Screening arm only</t>
    </r>
  </si>
  <si>
    <t>2-3 years</t>
  </si>
  <si>
    <r>
      <t xml:space="preserve">Number of screen-detected breast cancers </t>
    </r>
    <r>
      <rPr>
        <b/>
        <sz val="10"/>
        <rFont val="Calibri"/>
        <family val="2"/>
        <scheme val="minor"/>
      </rPr>
      <t>in women aged 40-69 years at entry</t>
    </r>
    <r>
      <rPr>
        <sz val="10"/>
        <rFont val="Calibri"/>
        <family val="2"/>
        <scheme val="minor"/>
      </rPr>
      <t>, 2 screening rounds</t>
    </r>
  </si>
  <si>
    <r>
      <t xml:space="preserve">Number of women randomised to screening arm </t>
    </r>
    <r>
      <rPr>
        <b/>
        <sz val="10"/>
        <rFont val="Calibri"/>
        <family val="2"/>
        <scheme val="minor"/>
      </rPr>
      <t>aged 40-69 years at entry</t>
    </r>
  </si>
  <si>
    <t>Table III, Table IV and text: 1 of 2 biopsied patients aged 40-69 years (156/289) proved histologically to have carcinoma in the first screening, and 2 of 3 (101/151) in the 2nd round.</t>
  </si>
  <si>
    <r>
      <t xml:space="preserve">Diagnostic yield at screening (per 1,000 women </t>
    </r>
    <r>
      <rPr>
        <b/>
        <sz val="10"/>
        <rFont val="Calibri"/>
        <family val="2"/>
        <scheme val="minor"/>
      </rPr>
      <t>aged 40-69 years at entry</t>
    </r>
    <r>
      <rPr>
        <sz val="10"/>
        <rFont val="Calibri"/>
        <family val="2"/>
        <scheme val="minor"/>
      </rPr>
      <t>); 2-3 screening rounds completed (October 1984);
Screening arm only</t>
    </r>
  </si>
  <si>
    <t>4-7 years</t>
  </si>
  <si>
    <r>
      <t xml:space="preserve">Number of screen-detected breast cancers </t>
    </r>
    <r>
      <rPr>
        <b/>
        <sz val="10"/>
        <rFont val="Calibri"/>
        <family val="2"/>
        <scheme val="minor"/>
      </rPr>
      <t>in women aged 40-69 years at entry</t>
    </r>
    <r>
      <rPr>
        <sz val="10"/>
        <rFont val="Calibri"/>
        <family val="2"/>
        <scheme val="minor"/>
      </rPr>
      <t>, 2-3 screening rounds, up to October 1984</t>
    </r>
  </si>
  <si>
    <t>Table III, Table IV and text: Among the diagnosed cancers in the ASP, 321 were detected by screening…</t>
  </si>
  <si>
    <r>
      <t xml:space="preserve">% of breast cancers that are screen-detected in women </t>
    </r>
    <r>
      <rPr>
        <b/>
        <sz val="10"/>
        <rFont val="Calibri"/>
        <family val="2"/>
        <scheme val="minor"/>
      </rPr>
      <t>aged 40-69 years at entry</t>
    </r>
    <r>
      <rPr>
        <sz val="10"/>
        <rFont val="Calibri"/>
        <family val="2"/>
        <scheme val="minor"/>
      </rPr>
      <t>); 2-3 screening rounds completed (October 1984);
Screening arm only</t>
    </r>
  </si>
  <si>
    <r>
      <t xml:space="preserve">Total number of breast cancers detected in women </t>
    </r>
    <r>
      <rPr>
        <b/>
        <sz val="10"/>
        <rFont val="Calibri"/>
        <family val="2"/>
        <scheme val="minor"/>
      </rPr>
      <t>aged 40-69 years at entry</t>
    </r>
    <r>
      <rPr>
        <sz val="10"/>
        <rFont val="Calibri"/>
        <family val="2"/>
        <scheme val="minor"/>
      </rPr>
      <t>; follow-up until October 1984</t>
    </r>
  </si>
  <si>
    <t>Table IV and text: Of these,… 182 were in the PSP and 465 in the ASP. Among the diagnosed cancers in the ASP, 321 were detected by screening, ...</t>
  </si>
  <si>
    <r>
      <t xml:space="preserve">Absolute incidence of </t>
    </r>
    <r>
      <rPr>
        <b/>
        <sz val="10"/>
        <rFont val="Calibri"/>
        <family val="2"/>
        <scheme val="minor"/>
      </rPr>
      <t>TIS + stage I</t>
    </r>
    <r>
      <rPr>
        <sz val="10"/>
        <rFont val="Calibri"/>
        <family val="2"/>
        <scheme val="minor"/>
      </rPr>
      <t xml:space="preserve"> breast cancers</t>
    </r>
    <r>
      <rPr>
        <b/>
        <sz val="10"/>
        <rFont val="Calibri"/>
        <family val="2"/>
      </rPr>
      <t xml:space="preserve"> </t>
    </r>
    <r>
      <rPr>
        <sz val="10"/>
        <rFont val="Calibri"/>
        <family val="2"/>
      </rPr>
      <t xml:space="preserve">(per 1,000 women </t>
    </r>
    <r>
      <rPr>
        <b/>
        <sz val="10"/>
        <rFont val="Calibri"/>
        <family val="2"/>
      </rPr>
      <t>aged 40-69 years</t>
    </r>
    <r>
      <rPr>
        <sz val="10"/>
        <rFont val="Calibri"/>
        <family val="2"/>
      </rPr>
      <t>); diagnosed up to</t>
    </r>
    <r>
      <rPr>
        <sz val="10"/>
        <rFont val="Calibri"/>
        <family val="2"/>
        <scheme val="minor"/>
      </rPr>
      <t xml:space="preserve"> October 1984;
study vs control arms</t>
    </r>
  </si>
  <si>
    <r>
      <t xml:space="preserve">Number of </t>
    </r>
    <r>
      <rPr>
        <b/>
        <sz val="10"/>
        <rFont val="Calibri"/>
        <family val="2"/>
        <scheme val="minor"/>
      </rPr>
      <t xml:space="preserve">stage I or TIS (UICC) </t>
    </r>
    <r>
      <rPr>
        <sz val="10"/>
        <rFont val="Calibri"/>
        <family val="2"/>
        <scheme val="minor"/>
      </rPr>
      <t xml:space="preserve">breast cancers </t>
    </r>
    <r>
      <rPr>
        <b/>
        <sz val="10"/>
        <rFont val="Calibri"/>
        <family val="2"/>
        <scheme val="minor"/>
      </rPr>
      <t>in women aged 40-69 years at entry</t>
    </r>
    <r>
      <rPr>
        <sz val="10"/>
        <rFont val="Calibri"/>
        <family val="2"/>
        <scheme val="minor"/>
      </rPr>
      <t>; diagnosed up to 31/10/1984</t>
    </r>
  </si>
  <si>
    <r>
      <t xml:space="preserve">Number of women analysed </t>
    </r>
    <r>
      <rPr>
        <b/>
        <sz val="10"/>
        <rFont val="Calibri"/>
        <family val="2"/>
        <scheme val="minor"/>
      </rPr>
      <t>aged 40-69 years at entry</t>
    </r>
    <r>
      <rPr>
        <sz val="10"/>
        <rFont val="Calibri"/>
        <family val="2"/>
        <scheme val="minor"/>
      </rPr>
      <t>, by arm</t>
    </r>
  </si>
  <si>
    <r>
      <t xml:space="preserve">Absolute incidence of </t>
    </r>
    <r>
      <rPr>
        <b/>
        <sz val="10"/>
        <rFont val="Calibri"/>
        <family val="2"/>
        <scheme val="minor"/>
      </rPr>
      <t>stage II+</t>
    </r>
    <r>
      <rPr>
        <sz val="10"/>
        <rFont val="Calibri"/>
        <family val="2"/>
        <scheme val="minor"/>
      </rPr>
      <t xml:space="preserve"> breast cancers</t>
    </r>
    <r>
      <rPr>
        <b/>
        <sz val="10"/>
        <rFont val="Calibri"/>
        <family val="2"/>
      </rPr>
      <t xml:space="preserve"> </t>
    </r>
    <r>
      <rPr>
        <sz val="10"/>
        <rFont val="Calibri"/>
        <family val="2"/>
      </rPr>
      <t xml:space="preserve">(per 1,000 women </t>
    </r>
    <r>
      <rPr>
        <b/>
        <sz val="10"/>
        <rFont val="Calibri"/>
        <family val="2"/>
      </rPr>
      <t>aged 40-69 years</t>
    </r>
    <r>
      <rPr>
        <sz val="10"/>
        <rFont val="Calibri"/>
        <family val="2"/>
      </rPr>
      <t>); diagnosed up to</t>
    </r>
    <r>
      <rPr>
        <sz val="10"/>
        <rFont val="Calibri"/>
        <family val="2"/>
        <scheme val="minor"/>
      </rPr>
      <t xml:space="preserve"> October 1984;
study vs control arms</t>
    </r>
  </si>
  <si>
    <r>
      <t xml:space="preserve">Number of </t>
    </r>
    <r>
      <rPr>
        <b/>
        <sz val="10"/>
        <rFont val="Calibri"/>
        <family val="2"/>
        <scheme val="minor"/>
      </rPr>
      <t xml:space="preserve">stage II-IV (UICC) </t>
    </r>
    <r>
      <rPr>
        <sz val="10"/>
        <rFont val="Calibri"/>
        <family val="2"/>
        <scheme val="minor"/>
      </rPr>
      <t xml:space="preserve">breast cancers </t>
    </r>
    <r>
      <rPr>
        <b/>
        <sz val="10"/>
        <rFont val="Calibri"/>
        <family val="2"/>
        <scheme val="minor"/>
      </rPr>
      <t>in women aged 40-69 years at entry</t>
    </r>
    <r>
      <rPr>
        <sz val="10"/>
        <rFont val="Calibri"/>
        <family val="2"/>
        <scheme val="minor"/>
      </rPr>
      <t>; diagnosed up to 31/10/1984</t>
    </r>
  </si>
  <si>
    <r>
      <t>% of breast cancers diagnosed at late stage(</t>
    </r>
    <r>
      <rPr>
        <b/>
        <sz val="10"/>
        <rFont val="Calibri"/>
        <family val="2"/>
        <scheme val="minor"/>
      </rPr>
      <t>stage II+) in w</t>
    </r>
    <r>
      <rPr>
        <b/>
        <sz val="10"/>
        <rFont val="Calibri"/>
        <family val="2"/>
      </rPr>
      <t>omen</t>
    </r>
    <r>
      <rPr>
        <sz val="10"/>
        <rFont val="Calibri"/>
        <family val="2"/>
      </rPr>
      <t xml:space="preserve"> </t>
    </r>
    <r>
      <rPr>
        <b/>
        <sz val="10"/>
        <rFont val="Calibri"/>
        <family val="2"/>
      </rPr>
      <t>aged 40-69 years</t>
    </r>
    <r>
      <rPr>
        <sz val="10"/>
        <rFont val="Calibri"/>
        <family val="2"/>
      </rPr>
      <t>; diagnosed up to</t>
    </r>
    <r>
      <rPr>
        <sz val="10"/>
        <rFont val="Calibri"/>
        <family val="2"/>
        <scheme val="minor"/>
      </rPr>
      <t xml:space="preserve"> October 1984;
study vs control arms</t>
    </r>
  </si>
  <si>
    <r>
      <t xml:space="preserve">Total number of breast cancers diagnosed up to October 1984 in </t>
    </r>
    <r>
      <rPr>
        <b/>
        <sz val="10"/>
        <rFont val="Calibri"/>
        <family val="2"/>
        <scheme val="minor"/>
      </rPr>
      <t>women aged 40-69 years at entry</t>
    </r>
  </si>
  <si>
    <t>~1/3</t>
  </si>
  <si>
    <t>~2/3</t>
  </si>
  <si>
    <t>Table IV and text: An important difference between ASP and PSP cancers is the significant reduction in the % of advanced cancers (stage II and more advanced) detected in the ASP (X2 = 43.8; p&lt;0.001); whilst 2/3s (116/182) of PSP neoplasms were stage II or higher, only about 1/3 (163/465) of ASP cancers were so advanced in stage.</t>
  </si>
  <si>
    <r>
      <t xml:space="preserve">Absolute incidence of </t>
    </r>
    <r>
      <rPr>
        <b/>
        <sz val="10"/>
        <rFont val="Calibri"/>
        <family val="2"/>
        <scheme val="minor"/>
      </rPr>
      <t>stage II+</t>
    </r>
    <r>
      <rPr>
        <sz val="10"/>
        <rFont val="Calibri"/>
        <family val="2"/>
        <scheme val="minor"/>
      </rPr>
      <t xml:space="preserve"> breast cancers</t>
    </r>
    <r>
      <rPr>
        <b/>
        <sz val="10"/>
        <rFont val="Calibri"/>
        <family val="2"/>
      </rPr>
      <t xml:space="preserve"> </t>
    </r>
    <r>
      <rPr>
        <sz val="10"/>
        <rFont val="Calibri"/>
        <family val="2"/>
      </rPr>
      <t xml:space="preserve">(per 1,000 women </t>
    </r>
    <r>
      <rPr>
        <b/>
        <sz val="10"/>
        <rFont val="Calibri"/>
        <family val="2"/>
      </rPr>
      <t>aged 40-69 years</t>
    </r>
    <r>
      <rPr>
        <sz val="10"/>
        <rFont val="Calibri"/>
        <family val="2"/>
      </rPr>
      <t>); 1 year after randomisation</t>
    </r>
    <r>
      <rPr>
        <sz val="10"/>
        <rFont val="Calibri"/>
        <family val="2"/>
        <scheme val="minor"/>
      </rPr>
      <t>;
study vs control arms</t>
    </r>
  </si>
  <si>
    <r>
      <t xml:space="preserve">Number of </t>
    </r>
    <r>
      <rPr>
        <b/>
        <sz val="10"/>
        <rFont val="Calibri"/>
        <family val="2"/>
        <scheme val="minor"/>
      </rPr>
      <t xml:space="preserve">stage II-IV (UICC) </t>
    </r>
    <r>
      <rPr>
        <sz val="10"/>
        <rFont val="Calibri"/>
        <family val="2"/>
        <scheme val="minor"/>
      </rPr>
      <t xml:space="preserve">breast cancers </t>
    </r>
    <r>
      <rPr>
        <b/>
        <sz val="10"/>
        <rFont val="Calibri"/>
        <family val="2"/>
        <scheme val="minor"/>
      </rPr>
      <t>in women aged 40-69 years at entry</t>
    </r>
    <r>
      <rPr>
        <sz val="10"/>
        <rFont val="Calibri"/>
        <family val="2"/>
        <scheme val="minor"/>
      </rPr>
      <t>; diagnosed within 1 year after randomisation (figures for the control group are doubled)</t>
    </r>
  </si>
  <si>
    <r>
      <t xml:space="preserve">Number of women analysed </t>
    </r>
    <r>
      <rPr>
        <b/>
        <sz val="10"/>
        <rFont val="Calibri"/>
        <family val="2"/>
        <scheme val="minor"/>
      </rPr>
      <t>aged 40-69 years at entry</t>
    </r>
    <r>
      <rPr>
        <sz val="10"/>
        <rFont val="Calibri"/>
        <family val="2"/>
        <scheme val="minor"/>
      </rPr>
      <t>, by arm (figures for the control group are doubled)</t>
    </r>
  </si>
  <si>
    <t>Absolute numbers for the PSP have been doubled to fascilitate comparison with the ASP, since the PSP is only half as large as the ASP.
Because minimum 4 years have passed since the last patient has been randomised into the study, the curves in figures 1.-4. can be considered stable up to year 4.</t>
  </si>
  <si>
    <r>
      <t xml:space="preserve">Absolute incidence of </t>
    </r>
    <r>
      <rPr>
        <b/>
        <sz val="10"/>
        <rFont val="Calibri"/>
        <family val="2"/>
        <scheme val="minor"/>
      </rPr>
      <t>stage II+</t>
    </r>
    <r>
      <rPr>
        <sz val="10"/>
        <rFont val="Calibri"/>
        <family val="2"/>
        <scheme val="minor"/>
      </rPr>
      <t xml:space="preserve"> breast cancers</t>
    </r>
    <r>
      <rPr>
        <b/>
        <sz val="10"/>
        <rFont val="Calibri"/>
        <family val="2"/>
      </rPr>
      <t xml:space="preserve"> </t>
    </r>
    <r>
      <rPr>
        <sz val="10"/>
        <rFont val="Calibri"/>
        <family val="2"/>
      </rPr>
      <t xml:space="preserve">(per 1,000 women </t>
    </r>
    <r>
      <rPr>
        <b/>
        <sz val="10"/>
        <rFont val="Calibri"/>
        <family val="2"/>
      </rPr>
      <t>aged 40-69 years</t>
    </r>
    <r>
      <rPr>
        <sz val="10"/>
        <rFont val="Calibri"/>
        <family val="2"/>
      </rPr>
      <t>); 2 years after randomisation</t>
    </r>
    <r>
      <rPr>
        <sz val="10"/>
        <rFont val="Calibri"/>
        <family val="2"/>
        <scheme val="minor"/>
      </rPr>
      <t>;
study vs control arms</t>
    </r>
  </si>
  <si>
    <r>
      <t xml:space="preserve">Number of </t>
    </r>
    <r>
      <rPr>
        <b/>
        <sz val="10"/>
        <rFont val="Calibri"/>
        <family val="2"/>
        <scheme val="minor"/>
      </rPr>
      <t xml:space="preserve">stage II-IV (UICC) </t>
    </r>
    <r>
      <rPr>
        <sz val="10"/>
        <rFont val="Calibri"/>
        <family val="2"/>
        <scheme val="minor"/>
      </rPr>
      <t xml:space="preserve">breast cancers </t>
    </r>
    <r>
      <rPr>
        <b/>
        <sz val="10"/>
        <rFont val="Calibri"/>
        <family val="2"/>
        <scheme val="minor"/>
      </rPr>
      <t>in women aged 40-69 years at entry</t>
    </r>
    <r>
      <rPr>
        <sz val="10"/>
        <rFont val="Calibri"/>
        <family val="2"/>
        <scheme val="minor"/>
      </rPr>
      <t>; diagnosed within 2 years after randomisation (figures for the control group are doubled)</t>
    </r>
  </si>
  <si>
    <r>
      <t xml:space="preserve">Absolute incidence of </t>
    </r>
    <r>
      <rPr>
        <b/>
        <sz val="10"/>
        <rFont val="Calibri"/>
        <family val="2"/>
        <scheme val="minor"/>
      </rPr>
      <t>stage II+</t>
    </r>
    <r>
      <rPr>
        <sz val="10"/>
        <rFont val="Calibri"/>
        <family val="2"/>
        <scheme val="minor"/>
      </rPr>
      <t xml:space="preserve"> breast cancers</t>
    </r>
    <r>
      <rPr>
        <b/>
        <sz val="10"/>
        <rFont val="Calibri"/>
        <family val="2"/>
      </rPr>
      <t xml:space="preserve"> </t>
    </r>
    <r>
      <rPr>
        <sz val="10"/>
        <rFont val="Calibri"/>
        <family val="2"/>
      </rPr>
      <t xml:space="preserve">(per 1,000 women </t>
    </r>
    <r>
      <rPr>
        <b/>
        <sz val="10"/>
        <rFont val="Calibri"/>
        <family val="2"/>
      </rPr>
      <t>aged 40-69 years</t>
    </r>
    <r>
      <rPr>
        <sz val="10"/>
        <rFont val="Calibri"/>
        <family val="2"/>
      </rPr>
      <t>); 3 years after randomisation</t>
    </r>
    <r>
      <rPr>
        <sz val="10"/>
        <rFont val="Calibri"/>
        <family val="2"/>
        <scheme val="minor"/>
      </rPr>
      <t>;
study vs control arms</t>
    </r>
  </si>
  <si>
    <r>
      <t xml:space="preserve">Number of </t>
    </r>
    <r>
      <rPr>
        <b/>
        <sz val="10"/>
        <rFont val="Calibri"/>
        <family val="2"/>
        <scheme val="minor"/>
      </rPr>
      <t xml:space="preserve">stage II-IV (UICC) </t>
    </r>
    <r>
      <rPr>
        <sz val="10"/>
        <rFont val="Calibri"/>
        <family val="2"/>
        <scheme val="minor"/>
      </rPr>
      <t xml:space="preserve">breast cancers </t>
    </r>
    <r>
      <rPr>
        <b/>
        <sz val="10"/>
        <rFont val="Calibri"/>
        <family val="2"/>
        <scheme val="minor"/>
      </rPr>
      <t>in women aged 40-69 years at entry</t>
    </r>
    <r>
      <rPr>
        <sz val="10"/>
        <rFont val="Calibri"/>
        <family val="2"/>
        <scheme val="minor"/>
      </rPr>
      <t>; diagnosed within 3 years after randomisation (figures for the control group are doubled)</t>
    </r>
  </si>
  <si>
    <r>
      <t xml:space="preserve">Absolute incidence of </t>
    </r>
    <r>
      <rPr>
        <b/>
        <sz val="10"/>
        <rFont val="Calibri"/>
        <family val="2"/>
        <scheme val="minor"/>
      </rPr>
      <t>stage II+</t>
    </r>
    <r>
      <rPr>
        <sz val="10"/>
        <rFont val="Calibri"/>
        <family val="2"/>
        <scheme val="minor"/>
      </rPr>
      <t xml:space="preserve"> breast cancers</t>
    </r>
    <r>
      <rPr>
        <b/>
        <sz val="10"/>
        <rFont val="Calibri"/>
        <family val="2"/>
      </rPr>
      <t xml:space="preserve"> </t>
    </r>
    <r>
      <rPr>
        <sz val="10"/>
        <rFont val="Calibri"/>
        <family val="2"/>
      </rPr>
      <t xml:space="preserve">(per 1,000 women </t>
    </r>
    <r>
      <rPr>
        <b/>
        <sz val="10"/>
        <rFont val="Calibri"/>
        <family val="2"/>
      </rPr>
      <t>aged 40-69 years</t>
    </r>
    <r>
      <rPr>
        <sz val="10"/>
        <rFont val="Calibri"/>
        <family val="2"/>
      </rPr>
      <t>); 4 years after randomisation</t>
    </r>
    <r>
      <rPr>
        <sz val="10"/>
        <rFont val="Calibri"/>
        <family val="2"/>
        <scheme val="minor"/>
      </rPr>
      <t>;
study vs control arms</t>
    </r>
  </si>
  <si>
    <r>
      <t xml:space="preserve">Number of </t>
    </r>
    <r>
      <rPr>
        <b/>
        <sz val="10"/>
        <rFont val="Calibri"/>
        <family val="2"/>
        <scheme val="minor"/>
      </rPr>
      <t xml:space="preserve">stage II-IV (UICC) </t>
    </r>
    <r>
      <rPr>
        <sz val="10"/>
        <rFont val="Calibri"/>
        <family val="2"/>
        <scheme val="minor"/>
      </rPr>
      <t xml:space="preserve">breast cancers </t>
    </r>
    <r>
      <rPr>
        <b/>
        <sz val="10"/>
        <rFont val="Calibri"/>
        <family val="2"/>
        <scheme val="minor"/>
      </rPr>
      <t>in women aged 40-69 years at entry</t>
    </r>
    <r>
      <rPr>
        <sz val="10"/>
        <rFont val="Calibri"/>
        <family val="2"/>
        <scheme val="minor"/>
      </rPr>
      <t>; diagnosed within 4 years after randomisation (figures for the control group are doubled)</t>
    </r>
  </si>
  <si>
    <r>
      <t xml:space="preserve">Absolute incidence of </t>
    </r>
    <r>
      <rPr>
        <b/>
        <sz val="10"/>
        <rFont val="Calibri"/>
        <family val="2"/>
        <scheme val="minor"/>
      </rPr>
      <t>stage II+</t>
    </r>
    <r>
      <rPr>
        <sz val="10"/>
        <rFont val="Calibri"/>
        <family val="2"/>
        <scheme val="minor"/>
      </rPr>
      <t xml:space="preserve"> breast cancers</t>
    </r>
    <r>
      <rPr>
        <b/>
        <sz val="10"/>
        <rFont val="Calibri"/>
        <family val="2"/>
      </rPr>
      <t xml:space="preserve"> </t>
    </r>
    <r>
      <rPr>
        <sz val="10"/>
        <rFont val="Calibri"/>
        <family val="2"/>
      </rPr>
      <t xml:space="preserve">(per 1,000 women </t>
    </r>
    <r>
      <rPr>
        <b/>
        <sz val="10"/>
        <rFont val="Calibri"/>
        <family val="2"/>
      </rPr>
      <t>aged 40-69 years</t>
    </r>
    <r>
      <rPr>
        <sz val="10"/>
        <rFont val="Calibri"/>
        <family val="2"/>
      </rPr>
      <t>); 5 years after randomisation</t>
    </r>
    <r>
      <rPr>
        <sz val="10"/>
        <rFont val="Calibri"/>
        <family val="2"/>
        <scheme val="minor"/>
      </rPr>
      <t>;
study vs control arms</t>
    </r>
  </si>
  <si>
    <r>
      <t xml:space="preserve">Number of </t>
    </r>
    <r>
      <rPr>
        <b/>
        <sz val="10"/>
        <rFont val="Calibri"/>
        <family val="2"/>
        <scheme val="minor"/>
      </rPr>
      <t xml:space="preserve">stage II-IV (UICC) </t>
    </r>
    <r>
      <rPr>
        <sz val="10"/>
        <rFont val="Calibri"/>
        <family val="2"/>
        <scheme val="minor"/>
      </rPr>
      <t xml:space="preserve">breast cancers </t>
    </r>
    <r>
      <rPr>
        <b/>
        <sz val="10"/>
        <rFont val="Calibri"/>
        <family val="2"/>
        <scheme val="minor"/>
      </rPr>
      <t>in women aged 40-69 years at entry</t>
    </r>
    <r>
      <rPr>
        <sz val="10"/>
        <rFont val="Calibri"/>
        <family val="2"/>
        <scheme val="minor"/>
      </rPr>
      <t>; diagnosed within 5 years after randomisation (figures for the control group are doubled)</t>
    </r>
  </si>
  <si>
    <r>
      <t xml:space="preserve">Absolute incidence of </t>
    </r>
    <r>
      <rPr>
        <b/>
        <sz val="10"/>
        <rFont val="Calibri"/>
        <family val="2"/>
        <scheme val="minor"/>
      </rPr>
      <t>stage II+</t>
    </r>
    <r>
      <rPr>
        <sz val="10"/>
        <rFont val="Calibri"/>
        <family val="2"/>
        <scheme val="minor"/>
      </rPr>
      <t xml:space="preserve"> breast cancers</t>
    </r>
    <r>
      <rPr>
        <b/>
        <sz val="10"/>
        <rFont val="Calibri"/>
        <family val="2"/>
      </rPr>
      <t xml:space="preserve"> </t>
    </r>
    <r>
      <rPr>
        <sz val="10"/>
        <rFont val="Calibri"/>
        <family val="2"/>
      </rPr>
      <t xml:space="preserve">(per 1,000 women </t>
    </r>
    <r>
      <rPr>
        <b/>
        <sz val="10"/>
        <rFont val="Calibri"/>
        <family val="2"/>
      </rPr>
      <t>aged 40-69 years</t>
    </r>
    <r>
      <rPr>
        <sz val="10"/>
        <rFont val="Calibri"/>
        <family val="2"/>
      </rPr>
      <t>); 6 years after randomisation</t>
    </r>
    <r>
      <rPr>
        <sz val="10"/>
        <rFont val="Calibri"/>
        <family val="2"/>
        <scheme val="minor"/>
      </rPr>
      <t>;
study vs control arms</t>
    </r>
  </si>
  <si>
    <r>
      <t xml:space="preserve">Number of </t>
    </r>
    <r>
      <rPr>
        <b/>
        <sz val="10"/>
        <rFont val="Calibri"/>
        <family val="2"/>
        <scheme val="minor"/>
      </rPr>
      <t xml:space="preserve">stage II-IV (UICC) </t>
    </r>
    <r>
      <rPr>
        <sz val="10"/>
        <rFont val="Calibri"/>
        <family val="2"/>
        <scheme val="minor"/>
      </rPr>
      <t xml:space="preserve">breast cancers </t>
    </r>
    <r>
      <rPr>
        <b/>
        <sz val="10"/>
        <rFont val="Calibri"/>
        <family val="2"/>
        <scheme val="minor"/>
      </rPr>
      <t>in women aged 40-69 years at entry</t>
    </r>
    <r>
      <rPr>
        <sz val="10"/>
        <rFont val="Calibri"/>
        <family val="2"/>
        <scheme val="minor"/>
      </rPr>
      <t>; diagnosed within 6 years after randomisation (figures for the control group are doubled)</t>
    </r>
  </si>
  <si>
    <r>
      <t xml:space="preserve">Absolute incidence of </t>
    </r>
    <r>
      <rPr>
        <b/>
        <sz val="10"/>
        <rFont val="Calibri"/>
        <family val="2"/>
        <scheme val="minor"/>
      </rPr>
      <t>stage II+</t>
    </r>
    <r>
      <rPr>
        <sz val="10"/>
        <rFont val="Calibri"/>
        <family val="2"/>
        <scheme val="minor"/>
      </rPr>
      <t xml:space="preserve"> breast cancers</t>
    </r>
    <r>
      <rPr>
        <b/>
        <sz val="10"/>
        <rFont val="Calibri"/>
        <family val="2"/>
      </rPr>
      <t xml:space="preserve"> </t>
    </r>
    <r>
      <rPr>
        <sz val="10"/>
        <rFont val="Calibri"/>
        <family val="2"/>
      </rPr>
      <t xml:space="preserve">(per 1,000 women </t>
    </r>
    <r>
      <rPr>
        <b/>
        <sz val="10"/>
        <rFont val="Calibri"/>
        <family val="2"/>
      </rPr>
      <t>aged 40-69 years</t>
    </r>
    <r>
      <rPr>
        <sz val="10"/>
        <rFont val="Calibri"/>
        <family val="2"/>
      </rPr>
      <t>); 7 years after randomisation</t>
    </r>
    <r>
      <rPr>
        <sz val="10"/>
        <rFont val="Calibri"/>
        <family val="2"/>
        <scheme val="minor"/>
      </rPr>
      <t>;
study vs control arms</t>
    </r>
  </si>
  <si>
    <r>
      <t xml:space="preserve">Number of </t>
    </r>
    <r>
      <rPr>
        <b/>
        <sz val="10"/>
        <rFont val="Calibri"/>
        <family val="2"/>
        <scheme val="minor"/>
      </rPr>
      <t xml:space="preserve">stage II-IV (UICC) </t>
    </r>
    <r>
      <rPr>
        <sz val="10"/>
        <rFont val="Calibri"/>
        <family val="2"/>
        <scheme val="minor"/>
      </rPr>
      <t xml:space="preserve">breast cancers </t>
    </r>
    <r>
      <rPr>
        <b/>
        <sz val="10"/>
        <rFont val="Calibri"/>
        <family val="2"/>
        <scheme val="minor"/>
      </rPr>
      <t>in women aged 40-69 years at entry</t>
    </r>
    <r>
      <rPr>
        <sz val="10"/>
        <rFont val="Calibri"/>
        <family val="2"/>
        <scheme val="minor"/>
      </rPr>
      <t>; diagnosed within 7 years after randomisation (figures for the control group are doubled)</t>
    </r>
  </si>
  <si>
    <r>
      <t xml:space="preserve">Absolute incidence of </t>
    </r>
    <r>
      <rPr>
        <b/>
        <sz val="10"/>
        <rFont val="Calibri"/>
        <family val="2"/>
        <scheme val="minor"/>
      </rPr>
      <t>stage II+</t>
    </r>
    <r>
      <rPr>
        <sz val="10"/>
        <rFont val="Calibri"/>
        <family val="2"/>
        <scheme val="minor"/>
      </rPr>
      <t xml:space="preserve"> breast cancers</t>
    </r>
    <r>
      <rPr>
        <b/>
        <sz val="10"/>
        <rFont val="Calibri"/>
        <family val="2"/>
      </rPr>
      <t xml:space="preserve"> </t>
    </r>
    <r>
      <rPr>
        <sz val="10"/>
        <rFont val="Calibri"/>
        <family val="2"/>
      </rPr>
      <t xml:space="preserve">(per 1,000 women </t>
    </r>
    <r>
      <rPr>
        <b/>
        <sz val="10"/>
        <rFont val="Calibri"/>
        <family val="2"/>
      </rPr>
      <t>aged 40-49 years</t>
    </r>
    <r>
      <rPr>
        <sz val="10"/>
        <rFont val="Calibri"/>
        <family val="2"/>
      </rPr>
      <t>); 1 year after randomisation</t>
    </r>
    <r>
      <rPr>
        <sz val="10"/>
        <rFont val="Calibri"/>
        <family val="2"/>
        <scheme val="minor"/>
      </rPr>
      <t>;
study vs control arms</t>
    </r>
  </si>
  <si>
    <r>
      <t xml:space="preserve">Number of </t>
    </r>
    <r>
      <rPr>
        <b/>
        <sz val="10"/>
        <rFont val="Calibri"/>
        <family val="2"/>
        <scheme val="minor"/>
      </rPr>
      <t xml:space="preserve">stage II-IV (UICC) </t>
    </r>
    <r>
      <rPr>
        <sz val="10"/>
        <rFont val="Calibri"/>
        <family val="2"/>
        <scheme val="minor"/>
      </rPr>
      <t xml:space="preserve">breast cancers </t>
    </r>
    <r>
      <rPr>
        <b/>
        <sz val="10"/>
        <rFont val="Calibri"/>
        <family val="2"/>
        <scheme val="minor"/>
      </rPr>
      <t>in women aged 40-49 years at entry</t>
    </r>
    <r>
      <rPr>
        <sz val="10"/>
        <rFont val="Calibri"/>
        <family val="2"/>
        <scheme val="minor"/>
      </rPr>
      <t>; diagnosed within 1 year after randomisation (figures for the control group are doubled)</t>
    </r>
  </si>
  <si>
    <r>
      <t xml:space="preserve">Number of women analysed </t>
    </r>
    <r>
      <rPr>
        <b/>
        <sz val="10"/>
        <rFont val="Calibri"/>
        <family val="2"/>
        <scheme val="minor"/>
      </rPr>
      <t>aged 40-49 years at entry</t>
    </r>
    <r>
      <rPr>
        <sz val="10"/>
        <rFont val="Calibri"/>
        <family val="2"/>
        <scheme val="minor"/>
      </rPr>
      <t>, by arm (figures for the control group are doubled)</t>
    </r>
  </si>
  <si>
    <r>
      <t xml:space="preserve">Absolute incidence of </t>
    </r>
    <r>
      <rPr>
        <b/>
        <sz val="10"/>
        <rFont val="Calibri"/>
        <family val="2"/>
        <scheme val="minor"/>
      </rPr>
      <t>stage II+</t>
    </r>
    <r>
      <rPr>
        <sz val="10"/>
        <rFont val="Calibri"/>
        <family val="2"/>
        <scheme val="minor"/>
      </rPr>
      <t xml:space="preserve"> breast cancers</t>
    </r>
    <r>
      <rPr>
        <b/>
        <sz val="10"/>
        <rFont val="Calibri"/>
        <family val="2"/>
      </rPr>
      <t xml:space="preserve"> </t>
    </r>
    <r>
      <rPr>
        <sz val="10"/>
        <rFont val="Calibri"/>
        <family val="2"/>
      </rPr>
      <t xml:space="preserve">(per 1,000 women </t>
    </r>
    <r>
      <rPr>
        <b/>
        <sz val="10"/>
        <rFont val="Calibri"/>
        <family val="2"/>
      </rPr>
      <t>aged 40-49 years</t>
    </r>
    <r>
      <rPr>
        <sz val="10"/>
        <rFont val="Calibri"/>
        <family val="2"/>
      </rPr>
      <t>); 2 years after randomisation</t>
    </r>
    <r>
      <rPr>
        <sz val="10"/>
        <rFont val="Calibri"/>
        <family val="2"/>
        <scheme val="minor"/>
      </rPr>
      <t>;
study vs control arms</t>
    </r>
  </si>
  <si>
    <r>
      <t xml:space="preserve">Number of </t>
    </r>
    <r>
      <rPr>
        <b/>
        <sz val="10"/>
        <rFont val="Calibri"/>
        <family val="2"/>
        <scheme val="minor"/>
      </rPr>
      <t xml:space="preserve">stage II-IV (UICC) </t>
    </r>
    <r>
      <rPr>
        <sz val="10"/>
        <rFont val="Calibri"/>
        <family val="2"/>
        <scheme val="minor"/>
      </rPr>
      <t xml:space="preserve">breast cancers </t>
    </r>
    <r>
      <rPr>
        <b/>
        <sz val="10"/>
        <rFont val="Calibri"/>
        <family val="2"/>
        <scheme val="minor"/>
      </rPr>
      <t>in women aged 40-49 years at entry</t>
    </r>
    <r>
      <rPr>
        <sz val="10"/>
        <rFont val="Calibri"/>
        <family val="2"/>
        <scheme val="minor"/>
      </rPr>
      <t>; diagnosed within 2 years after randomisation (figures for the control group are doubled)</t>
    </r>
  </si>
  <si>
    <r>
      <t xml:space="preserve">Absolute incidence of </t>
    </r>
    <r>
      <rPr>
        <b/>
        <sz val="10"/>
        <rFont val="Calibri"/>
        <family val="2"/>
        <scheme val="minor"/>
      </rPr>
      <t>stage II+</t>
    </r>
    <r>
      <rPr>
        <sz val="10"/>
        <rFont val="Calibri"/>
        <family val="2"/>
        <scheme val="minor"/>
      </rPr>
      <t xml:space="preserve"> breast cancers</t>
    </r>
    <r>
      <rPr>
        <b/>
        <sz val="10"/>
        <rFont val="Calibri"/>
        <family val="2"/>
      </rPr>
      <t xml:space="preserve"> </t>
    </r>
    <r>
      <rPr>
        <sz val="10"/>
        <rFont val="Calibri"/>
        <family val="2"/>
      </rPr>
      <t xml:space="preserve">(per 1,000 women </t>
    </r>
    <r>
      <rPr>
        <b/>
        <sz val="10"/>
        <rFont val="Calibri"/>
        <family val="2"/>
      </rPr>
      <t>aged 40-49 years</t>
    </r>
    <r>
      <rPr>
        <sz val="10"/>
        <rFont val="Calibri"/>
        <family val="2"/>
      </rPr>
      <t>); 3 years after randomisation</t>
    </r>
    <r>
      <rPr>
        <sz val="10"/>
        <rFont val="Calibri"/>
        <family val="2"/>
        <scheme val="minor"/>
      </rPr>
      <t>;
study vs control arms</t>
    </r>
  </si>
  <si>
    <r>
      <t xml:space="preserve">Absolute incidence of </t>
    </r>
    <r>
      <rPr>
        <b/>
        <sz val="10"/>
        <rFont val="Calibri"/>
        <family val="2"/>
        <scheme val="minor"/>
      </rPr>
      <t>stage II+</t>
    </r>
    <r>
      <rPr>
        <sz val="10"/>
        <rFont val="Calibri"/>
        <family val="2"/>
        <scheme val="minor"/>
      </rPr>
      <t xml:space="preserve"> breast cancers</t>
    </r>
    <r>
      <rPr>
        <b/>
        <sz val="10"/>
        <rFont val="Calibri"/>
        <family val="2"/>
      </rPr>
      <t xml:space="preserve"> </t>
    </r>
    <r>
      <rPr>
        <sz val="10"/>
        <rFont val="Calibri"/>
        <family val="2"/>
      </rPr>
      <t xml:space="preserve">(per 1,000 women </t>
    </r>
    <r>
      <rPr>
        <b/>
        <sz val="10"/>
        <rFont val="Calibri"/>
        <family val="2"/>
      </rPr>
      <t>aged 40-49 years</t>
    </r>
    <r>
      <rPr>
        <sz val="10"/>
        <rFont val="Calibri"/>
        <family val="2"/>
      </rPr>
      <t>); 4 years after randomisation</t>
    </r>
    <r>
      <rPr>
        <sz val="10"/>
        <rFont val="Calibri"/>
        <family val="2"/>
        <scheme val="minor"/>
      </rPr>
      <t>;
study vs control arms</t>
    </r>
  </si>
  <si>
    <r>
      <t xml:space="preserve">Number of </t>
    </r>
    <r>
      <rPr>
        <b/>
        <sz val="10"/>
        <rFont val="Calibri"/>
        <family val="2"/>
        <scheme val="minor"/>
      </rPr>
      <t xml:space="preserve">stage II-IV (UICC) </t>
    </r>
    <r>
      <rPr>
        <sz val="10"/>
        <rFont val="Calibri"/>
        <family val="2"/>
        <scheme val="minor"/>
      </rPr>
      <t xml:space="preserve">breast cancers </t>
    </r>
    <r>
      <rPr>
        <b/>
        <sz val="10"/>
        <rFont val="Calibri"/>
        <family val="2"/>
        <scheme val="minor"/>
      </rPr>
      <t>in women aged 40-49 years at entry</t>
    </r>
    <r>
      <rPr>
        <sz val="10"/>
        <rFont val="Calibri"/>
        <family val="2"/>
        <scheme val="minor"/>
      </rPr>
      <t>; diagnosed within 4 years after randomisation (figures for the control group are doubled)</t>
    </r>
  </si>
  <si>
    <r>
      <t xml:space="preserve">Absolute incidence of </t>
    </r>
    <r>
      <rPr>
        <b/>
        <sz val="10"/>
        <rFont val="Calibri"/>
        <family val="2"/>
        <scheme val="minor"/>
      </rPr>
      <t>stage II+</t>
    </r>
    <r>
      <rPr>
        <sz val="10"/>
        <rFont val="Calibri"/>
        <family val="2"/>
        <scheme val="minor"/>
      </rPr>
      <t xml:space="preserve"> breast cancers</t>
    </r>
    <r>
      <rPr>
        <b/>
        <sz val="10"/>
        <rFont val="Calibri"/>
        <family val="2"/>
      </rPr>
      <t xml:space="preserve"> </t>
    </r>
    <r>
      <rPr>
        <sz val="10"/>
        <rFont val="Calibri"/>
        <family val="2"/>
      </rPr>
      <t xml:space="preserve">(per 1,000 women </t>
    </r>
    <r>
      <rPr>
        <b/>
        <sz val="10"/>
        <rFont val="Calibri"/>
        <family val="2"/>
      </rPr>
      <t>aged 40-49 years</t>
    </r>
    <r>
      <rPr>
        <sz val="10"/>
        <rFont val="Calibri"/>
        <family val="2"/>
      </rPr>
      <t>); 5 years after randomisation</t>
    </r>
    <r>
      <rPr>
        <sz val="10"/>
        <rFont val="Calibri"/>
        <family val="2"/>
        <scheme val="minor"/>
      </rPr>
      <t>;
study vs control arms</t>
    </r>
  </si>
  <si>
    <r>
      <t xml:space="preserve">Number of </t>
    </r>
    <r>
      <rPr>
        <b/>
        <sz val="10"/>
        <rFont val="Calibri"/>
        <family val="2"/>
        <scheme val="minor"/>
      </rPr>
      <t xml:space="preserve">stage II-IV (UICC) </t>
    </r>
    <r>
      <rPr>
        <sz val="10"/>
        <rFont val="Calibri"/>
        <family val="2"/>
        <scheme val="minor"/>
      </rPr>
      <t xml:space="preserve">breast cancers </t>
    </r>
    <r>
      <rPr>
        <b/>
        <sz val="10"/>
        <rFont val="Calibri"/>
        <family val="2"/>
        <scheme val="minor"/>
      </rPr>
      <t>in women aged 40-49 years at entry</t>
    </r>
    <r>
      <rPr>
        <sz val="10"/>
        <rFont val="Calibri"/>
        <family val="2"/>
        <scheme val="minor"/>
      </rPr>
      <t>; diagnosed within 5 years after randomisation (figures for the control group are doubled)</t>
    </r>
  </si>
  <si>
    <r>
      <t xml:space="preserve">Absolute incidence of </t>
    </r>
    <r>
      <rPr>
        <b/>
        <sz val="10"/>
        <rFont val="Calibri"/>
        <family val="2"/>
        <scheme val="minor"/>
      </rPr>
      <t>stage II+</t>
    </r>
    <r>
      <rPr>
        <sz val="10"/>
        <rFont val="Calibri"/>
        <family val="2"/>
        <scheme val="minor"/>
      </rPr>
      <t xml:space="preserve"> breast cancers</t>
    </r>
    <r>
      <rPr>
        <b/>
        <sz val="10"/>
        <rFont val="Calibri"/>
        <family val="2"/>
      </rPr>
      <t xml:space="preserve"> </t>
    </r>
    <r>
      <rPr>
        <sz val="10"/>
        <rFont val="Calibri"/>
        <family val="2"/>
      </rPr>
      <t xml:space="preserve">(per 1,000 women </t>
    </r>
    <r>
      <rPr>
        <b/>
        <sz val="10"/>
        <rFont val="Calibri"/>
        <family val="2"/>
      </rPr>
      <t>aged 40-49 years</t>
    </r>
    <r>
      <rPr>
        <sz val="10"/>
        <rFont val="Calibri"/>
        <family val="2"/>
      </rPr>
      <t>); 6 years after randomisation</t>
    </r>
    <r>
      <rPr>
        <sz val="10"/>
        <rFont val="Calibri"/>
        <family val="2"/>
        <scheme val="minor"/>
      </rPr>
      <t>;
study vs control arms</t>
    </r>
  </si>
  <si>
    <r>
      <t xml:space="preserve">Number of </t>
    </r>
    <r>
      <rPr>
        <b/>
        <sz val="10"/>
        <rFont val="Calibri"/>
        <family val="2"/>
        <scheme val="minor"/>
      </rPr>
      <t xml:space="preserve">stage II-IV (UICC) </t>
    </r>
    <r>
      <rPr>
        <sz val="10"/>
        <rFont val="Calibri"/>
        <family val="2"/>
        <scheme val="minor"/>
      </rPr>
      <t xml:space="preserve">breast cancers </t>
    </r>
    <r>
      <rPr>
        <b/>
        <sz val="10"/>
        <rFont val="Calibri"/>
        <family val="2"/>
        <scheme val="minor"/>
      </rPr>
      <t>in women aged 40-49 years at entry</t>
    </r>
    <r>
      <rPr>
        <sz val="10"/>
        <rFont val="Calibri"/>
        <family val="2"/>
        <scheme val="minor"/>
      </rPr>
      <t>; diagnosed within 6 years after randomisation (figures for the control group are doubled)</t>
    </r>
  </si>
  <si>
    <r>
      <t xml:space="preserve">Absolute incidence of </t>
    </r>
    <r>
      <rPr>
        <b/>
        <sz val="10"/>
        <rFont val="Calibri"/>
        <family val="2"/>
        <scheme val="minor"/>
      </rPr>
      <t>stage II+</t>
    </r>
    <r>
      <rPr>
        <sz val="10"/>
        <rFont val="Calibri"/>
        <family val="2"/>
        <scheme val="minor"/>
      </rPr>
      <t xml:space="preserve"> breast cancers</t>
    </r>
    <r>
      <rPr>
        <b/>
        <sz val="10"/>
        <rFont val="Calibri"/>
        <family val="2"/>
      </rPr>
      <t xml:space="preserve"> </t>
    </r>
    <r>
      <rPr>
        <sz val="10"/>
        <rFont val="Calibri"/>
        <family val="2"/>
      </rPr>
      <t xml:space="preserve">(per 1,000 women </t>
    </r>
    <r>
      <rPr>
        <b/>
        <sz val="10"/>
        <rFont val="Calibri"/>
        <family val="2"/>
      </rPr>
      <t>aged 40-49 years</t>
    </r>
    <r>
      <rPr>
        <sz val="10"/>
        <rFont val="Calibri"/>
        <family val="2"/>
      </rPr>
      <t>); 7 years after randomisation</t>
    </r>
    <r>
      <rPr>
        <sz val="10"/>
        <rFont val="Calibri"/>
        <family val="2"/>
        <scheme val="minor"/>
      </rPr>
      <t>;
study vs control arms</t>
    </r>
  </si>
  <si>
    <r>
      <t xml:space="preserve">Number of </t>
    </r>
    <r>
      <rPr>
        <b/>
        <sz val="10"/>
        <rFont val="Calibri"/>
        <family val="2"/>
        <scheme val="minor"/>
      </rPr>
      <t xml:space="preserve">stage II-IV (UICC) </t>
    </r>
    <r>
      <rPr>
        <sz val="10"/>
        <rFont val="Calibri"/>
        <family val="2"/>
        <scheme val="minor"/>
      </rPr>
      <t xml:space="preserve">breast cancers </t>
    </r>
    <r>
      <rPr>
        <b/>
        <sz val="10"/>
        <rFont val="Calibri"/>
        <family val="2"/>
        <scheme val="minor"/>
      </rPr>
      <t>in women aged 40-49 years at entry</t>
    </r>
    <r>
      <rPr>
        <sz val="10"/>
        <rFont val="Calibri"/>
        <family val="2"/>
        <scheme val="minor"/>
      </rPr>
      <t>; diagnosed within 7 years after randomisation (figures for the control group are doubled)</t>
    </r>
  </si>
  <si>
    <r>
      <t xml:space="preserve">Absolute incidence of </t>
    </r>
    <r>
      <rPr>
        <b/>
        <sz val="10"/>
        <rFont val="Calibri"/>
        <family val="2"/>
        <scheme val="minor"/>
      </rPr>
      <t>stage II+</t>
    </r>
    <r>
      <rPr>
        <sz val="10"/>
        <rFont val="Calibri"/>
        <family val="2"/>
        <scheme val="minor"/>
      </rPr>
      <t xml:space="preserve"> breast cancers</t>
    </r>
    <r>
      <rPr>
        <b/>
        <sz val="10"/>
        <rFont val="Calibri"/>
        <family val="2"/>
      </rPr>
      <t xml:space="preserve"> </t>
    </r>
    <r>
      <rPr>
        <sz val="10"/>
        <rFont val="Calibri"/>
        <family val="2"/>
      </rPr>
      <t xml:space="preserve">(per 1,000 women </t>
    </r>
    <r>
      <rPr>
        <b/>
        <sz val="10"/>
        <rFont val="Calibri"/>
        <family val="2"/>
      </rPr>
      <t>aged 50-59 years</t>
    </r>
    <r>
      <rPr>
        <sz val="10"/>
        <rFont val="Calibri"/>
        <family val="2"/>
      </rPr>
      <t>); 1 year after randomisation</t>
    </r>
    <r>
      <rPr>
        <sz val="10"/>
        <rFont val="Calibri"/>
        <family val="2"/>
        <scheme val="minor"/>
      </rPr>
      <t>;
study vs control arms</t>
    </r>
  </si>
  <si>
    <r>
      <t xml:space="preserve">Number of </t>
    </r>
    <r>
      <rPr>
        <b/>
        <sz val="10"/>
        <rFont val="Calibri"/>
        <family val="2"/>
        <scheme val="minor"/>
      </rPr>
      <t xml:space="preserve">stage II-IV (UICC) </t>
    </r>
    <r>
      <rPr>
        <sz val="10"/>
        <rFont val="Calibri"/>
        <family val="2"/>
        <scheme val="minor"/>
      </rPr>
      <t xml:space="preserve">breast cancers </t>
    </r>
    <r>
      <rPr>
        <b/>
        <sz val="10"/>
        <rFont val="Calibri"/>
        <family val="2"/>
        <scheme val="minor"/>
      </rPr>
      <t>in women aged 50-59 years at entry</t>
    </r>
    <r>
      <rPr>
        <sz val="10"/>
        <rFont val="Calibri"/>
        <family val="2"/>
        <scheme val="minor"/>
      </rPr>
      <t>; diagnosed within 1 year after randomisation (figures for the control group are doubled)</t>
    </r>
  </si>
  <si>
    <r>
      <t xml:space="preserve">Number of women analysed </t>
    </r>
    <r>
      <rPr>
        <b/>
        <sz val="10"/>
        <rFont val="Calibri"/>
        <family val="2"/>
        <scheme val="minor"/>
      </rPr>
      <t>aged 50-59 years at entry</t>
    </r>
    <r>
      <rPr>
        <sz val="10"/>
        <rFont val="Calibri"/>
        <family val="2"/>
        <scheme val="minor"/>
      </rPr>
      <t>, by arm (figures for the control group are doubled)</t>
    </r>
  </si>
  <si>
    <r>
      <t xml:space="preserve">Absolute incidence of </t>
    </r>
    <r>
      <rPr>
        <b/>
        <sz val="10"/>
        <rFont val="Calibri"/>
        <family val="2"/>
        <scheme val="minor"/>
      </rPr>
      <t>stage II+</t>
    </r>
    <r>
      <rPr>
        <sz val="10"/>
        <rFont val="Calibri"/>
        <family val="2"/>
        <scheme val="minor"/>
      </rPr>
      <t xml:space="preserve"> breast cancers</t>
    </r>
    <r>
      <rPr>
        <b/>
        <sz val="10"/>
        <rFont val="Calibri"/>
        <family val="2"/>
      </rPr>
      <t xml:space="preserve"> </t>
    </r>
    <r>
      <rPr>
        <sz val="10"/>
        <rFont val="Calibri"/>
        <family val="2"/>
      </rPr>
      <t xml:space="preserve">(per 1,000 women </t>
    </r>
    <r>
      <rPr>
        <b/>
        <sz val="10"/>
        <rFont val="Calibri"/>
        <family val="2"/>
      </rPr>
      <t>aged 50-59 years</t>
    </r>
    <r>
      <rPr>
        <sz val="10"/>
        <rFont val="Calibri"/>
        <family val="2"/>
      </rPr>
      <t>); 2 years after randomisation</t>
    </r>
    <r>
      <rPr>
        <sz val="10"/>
        <rFont val="Calibri"/>
        <family val="2"/>
        <scheme val="minor"/>
      </rPr>
      <t>;
study vs control arms</t>
    </r>
  </si>
  <si>
    <r>
      <t xml:space="preserve">Number of </t>
    </r>
    <r>
      <rPr>
        <b/>
        <sz val="10"/>
        <rFont val="Calibri"/>
        <family val="2"/>
        <scheme val="minor"/>
      </rPr>
      <t xml:space="preserve">stage II-IV (UICC) </t>
    </r>
    <r>
      <rPr>
        <sz val="10"/>
        <rFont val="Calibri"/>
        <family val="2"/>
        <scheme val="minor"/>
      </rPr>
      <t xml:space="preserve">breast cancers </t>
    </r>
    <r>
      <rPr>
        <b/>
        <sz val="10"/>
        <rFont val="Calibri"/>
        <family val="2"/>
        <scheme val="minor"/>
      </rPr>
      <t>in women aged 50-59 years at entry</t>
    </r>
    <r>
      <rPr>
        <sz val="10"/>
        <rFont val="Calibri"/>
        <family val="2"/>
        <scheme val="minor"/>
      </rPr>
      <t>; diagnosed within 2 years after randomisation (figures for the control group are doubled)</t>
    </r>
  </si>
  <si>
    <r>
      <t xml:space="preserve">Absolute incidence of </t>
    </r>
    <r>
      <rPr>
        <b/>
        <sz val="10"/>
        <rFont val="Calibri"/>
        <family val="2"/>
        <scheme val="minor"/>
      </rPr>
      <t>stage II+</t>
    </r>
    <r>
      <rPr>
        <sz val="10"/>
        <rFont val="Calibri"/>
        <family val="2"/>
        <scheme val="minor"/>
      </rPr>
      <t xml:space="preserve"> breast cancers</t>
    </r>
    <r>
      <rPr>
        <b/>
        <sz val="10"/>
        <rFont val="Calibri"/>
        <family val="2"/>
      </rPr>
      <t xml:space="preserve"> </t>
    </r>
    <r>
      <rPr>
        <sz val="10"/>
        <rFont val="Calibri"/>
        <family val="2"/>
      </rPr>
      <t xml:space="preserve">(per 1,000 women </t>
    </r>
    <r>
      <rPr>
        <b/>
        <sz val="10"/>
        <rFont val="Calibri"/>
        <family val="2"/>
      </rPr>
      <t>aged 50-59 years</t>
    </r>
    <r>
      <rPr>
        <sz val="10"/>
        <rFont val="Calibri"/>
        <family val="2"/>
      </rPr>
      <t>); 3 years after randomisation</t>
    </r>
    <r>
      <rPr>
        <sz val="10"/>
        <rFont val="Calibri"/>
        <family val="2"/>
        <scheme val="minor"/>
      </rPr>
      <t>;
study vs control arms</t>
    </r>
  </si>
  <si>
    <r>
      <t xml:space="preserve">Number of </t>
    </r>
    <r>
      <rPr>
        <b/>
        <sz val="10"/>
        <rFont val="Calibri"/>
        <family val="2"/>
        <scheme val="minor"/>
      </rPr>
      <t xml:space="preserve">stage II-IV (UICC) </t>
    </r>
    <r>
      <rPr>
        <sz val="10"/>
        <rFont val="Calibri"/>
        <family val="2"/>
        <scheme val="minor"/>
      </rPr>
      <t xml:space="preserve">breast cancers </t>
    </r>
    <r>
      <rPr>
        <b/>
        <sz val="10"/>
        <rFont val="Calibri"/>
        <family val="2"/>
        <scheme val="minor"/>
      </rPr>
      <t>in women aged 50-59 years at entry</t>
    </r>
    <r>
      <rPr>
        <sz val="10"/>
        <rFont val="Calibri"/>
        <family val="2"/>
        <scheme val="minor"/>
      </rPr>
      <t>; diagnosed within 3 years after randomisation (figures for the control group are doubled)</t>
    </r>
  </si>
  <si>
    <r>
      <t xml:space="preserve">Absolute incidence of </t>
    </r>
    <r>
      <rPr>
        <b/>
        <sz val="10"/>
        <rFont val="Calibri"/>
        <family val="2"/>
        <scheme val="minor"/>
      </rPr>
      <t>stage II+</t>
    </r>
    <r>
      <rPr>
        <sz val="10"/>
        <rFont val="Calibri"/>
        <family val="2"/>
        <scheme val="minor"/>
      </rPr>
      <t xml:space="preserve"> breast cancers</t>
    </r>
    <r>
      <rPr>
        <b/>
        <sz val="10"/>
        <rFont val="Calibri"/>
        <family val="2"/>
      </rPr>
      <t xml:space="preserve"> </t>
    </r>
    <r>
      <rPr>
        <sz val="10"/>
        <rFont val="Calibri"/>
        <family val="2"/>
      </rPr>
      <t xml:space="preserve">(per 1,000 women </t>
    </r>
    <r>
      <rPr>
        <b/>
        <sz val="10"/>
        <rFont val="Calibri"/>
        <family val="2"/>
      </rPr>
      <t>aged 50-59 years</t>
    </r>
    <r>
      <rPr>
        <sz val="10"/>
        <rFont val="Calibri"/>
        <family val="2"/>
      </rPr>
      <t>); 4 years after randomisation</t>
    </r>
    <r>
      <rPr>
        <sz val="10"/>
        <rFont val="Calibri"/>
        <family val="2"/>
        <scheme val="minor"/>
      </rPr>
      <t>;
study vs control arms</t>
    </r>
  </si>
  <si>
    <r>
      <t xml:space="preserve">Number of </t>
    </r>
    <r>
      <rPr>
        <b/>
        <sz val="10"/>
        <rFont val="Calibri"/>
        <family val="2"/>
        <scheme val="minor"/>
      </rPr>
      <t xml:space="preserve">stage II-IV (UICC) </t>
    </r>
    <r>
      <rPr>
        <sz val="10"/>
        <rFont val="Calibri"/>
        <family val="2"/>
        <scheme val="minor"/>
      </rPr>
      <t xml:space="preserve">breast cancers </t>
    </r>
    <r>
      <rPr>
        <b/>
        <sz val="10"/>
        <rFont val="Calibri"/>
        <family val="2"/>
        <scheme val="minor"/>
      </rPr>
      <t>in women aged 50-59 years at entry</t>
    </r>
    <r>
      <rPr>
        <sz val="10"/>
        <rFont val="Calibri"/>
        <family val="2"/>
        <scheme val="minor"/>
      </rPr>
      <t>; diagnosed within 4 years after randomisation (figures for the control group are doubled)</t>
    </r>
  </si>
  <si>
    <r>
      <t xml:space="preserve">Absolute incidence of </t>
    </r>
    <r>
      <rPr>
        <b/>
        <sz val="10"/>
        <rFont val="Calibri"/>
        <family val="2"/>
        <scheme val="minor"/>
      </rPr>
      <t>stage II+</t>
    </r>
    <r>
      <rPr>
        <sz val="10"/>
        <rFont val="Calibri"/>
        <family val="2"/>
        <scheme val="minor"/>
      </rPr>
      <t xml:space="preserve"> breast cancers</t>
    </r>
    <r>
      <rPr>
        <b/>
        <sz val="10"/>
        <rFont val="Calibri"/>
        <family val="2"/>
      </rPr>
      <t xml:space="preserve"> </t>
    </r>
    <r>
      <rPr>
        <sz val="10"/>
        <rFont val="Calibri"/>
        <family val="2"/>
      </rPr>
      <t xml:space="preserve">(per 1,000 women </t>
    </r>
    <r>
      <rPr>
        <b/>
        <sz val="10"/>
        <rFont val="Calibri"/>
        <family val="2"/>
      </rPr>
      <t>aged 50-59 years</t>
    </r>
    <r>
      <rPr>
        <sz val="10"/>
        <rFont val="Calibri"/>
        <family val="2"/>
      </rPr>
      <t>); 5 years after randomisation</t>
    </r>
    <r>
      <rPr>
        <sz val="10"/>
        <rFont val="Calibri"/>
        <family val="2"/>
        <scheme val="minor"/>
      </rPr>
      <t>;
study vs control arms</t>
    </r>
  </si>
  <si>
    <r>
      <t xml:space="preserve">Number of </t>
    </r>
    <r>
      <rPr>
        <b/>
        <sz val="10"/>
        <rFont val="Calibri"/>
        <family val="2"/>
        <scheme val="minor"/>
      </rPr>
      <t xml:space="preserve">stage II-IV (UICC) </t>
    </r>
    <r>
      <rPr>
        <sz val="10"/>
        <rFont val="Calibri"/>
        <family val="2"/>
        <scheme val="minor"/>
      </rPr>
      <t xml:space="preserve">breast cancers </t>
    </r>
    <r>
      <rPr>
        <b/>
        <sz val="10"/>
        <rFont val="Calibri"/>
        <family val="2"/>
        <scheme val="minor"/>
      </rPr>
      <t>in women aged 50-59 years at entry</t>
    </r>
    <r>
      <rPr>
        <sz val="10"/>
        <rFont val="Calibri"/>
        <family val="2"/>
        <scheme val="minor"/>
      </rPr>
      <t>; diagnosed within 5 years after randomisation (figures for the control group are doubled)</t>
    </r>
  </si>
  <si>
    <r>
      <t xml:space="preserve">Absolute incidence of </t>
    </r>
    <r>
      <rPr>
        <b/>
        <sz val="10"/>
        <rFont val="Calibri"/>
        <family val="2"/>
        <scheme val="minor"/>
      </rPr>
      <t>stage II+</t>
    </r>
    <r>
      <rPr>
        <sz val="10"/>
        <rFont val="Calibri"/>
        <family val="2"/>
        <scheme val="minor"/>
      </rPr>
      <t xml:space="preserve"> breast cancers</t>
    </r>
    <r>
      <rPr>
        <b/>
        <sz val="10"/>
        <rFont val="Calibri"/>
        <family val="2"/>
      </rPr>
      <t xml:space="preserve"> </t>
    </r>
    <r>
      <rPr>
        <sz val="10"/>
        <rFont val="Calibri"/>
        <family val="2"/>
      </rPr>
      <t xml:space="preserve">(per 1,000 women </t>
    </r>
    <r>
      <rPr>
        <b/>
        <sz val="10"/>
        <rFont val="Calibri"/>
        <family val="2"/>
      </rPr>
      <t>aged 50-59 years</t>
    </r>
    <r>
      <rPr>
        <sz val="10"/>
        <rFont val="Calibri"/>
        <family val="2"/>
      </rPr>
      <t>); 6 years after randomisation</t>
    </r>
    <r>
      <rPr>
        <sz val="10"/>
        <rFont val="Calibri"/>
        <family val="2"/>
        <scheme val="minor"/>
      </rPr>
      <t>;
study vs control arms</t>
    </r>
  </si>
  <si>
    <r>
      <t xml:space="preserve">Number of </t>
    </r>
    <r>
      <rPr>
        <b/>
        <sz val="10"/>
        <rFont val="Calibri"/>
        <family val="2"/>
        <scheme val="minor"/>
      </rPr>
      <t xml:space="preserve">stage II-IV (UICC) </t>
    </r>
    <r>
      <rPr>
        <sz val="10"/>
        <rFont val="Calibri"/>
        <family val="2"/>
        <scheme val="minor"/>
      </rPr>
      <t xml:space="preserve">breast cancers </t>
    </r>
    <r>
      <rPr>
        <b/>
        <sz val="10"/>
        <rFont val="Calibri"/>
        <family val="2"/>
        <scheme val="minor"/>
      </rPr>
      <t>in women aged 50-59 years at entry</t>
    </r>
    <r>
      <rPr>
        <sz val="10"/>
        <rFont val="Calibri"/>
        <family val="2"/>
        <scheme val="minor"/>
      </rPr>
      <t>; diagnosed within 6 years after randomisation (figures for the control group are doubled)</t>
    </r>
  </si>
  <si>
    <r>
      <t xml:space="preserve">Absolute incidence of </t>
    </r>
    <r>
      <rPr>
        <b/>
        <sz val="10"/>
        <rFont val="Calibri"/>
        <family val="2"/>
        <scheme val="minor"/>
      </rPr>
      <t>stage II+</t>
    </r>
    <r>
      <rPr>
        <sz val="10"/>
        <rFont val="Calibri"/>
        <family val="2"/>
        <scheme val="minor"/>
      </rPr>
      <t xml:space="preserve"> breast cancers</t>
    </r>
    <r>
      <rPr>
        <b/>
        <sz val="10"/>
        <rFont val="Calibri"/>
        <family val="2"/>
      </rPr>
      <t xml:space="preserve"> </t>
    </r>
    <r>
      <rPr>
        <sz val="10"/>
        <rFont val="Calibri"/>
        <family val="2"/>
      </rPr>
      <t xml:space="preserve">(per 1,000 women </t>
    </r>
    <r>
      <rPr>
        <b/>
        <sz val="10"/>
        <rFont val="Calibri"/>
        <family val="2"/>
      </rPr>
      <t>aged 50-59 years</t>
    </r>
    <r>
      <rPr>
        <sz val="10"/>
        <rFont val="Calibri"/>
        <family val="2"/>
      </rPr>
      <t>); 7 years after randomisation</t>
    </r>
    <r>
      <rPr>
        <sz val="10"/>
        <rFont val="Calibri"/>
        <family val="2"/>
        <scheme val="minor"/>
      </rPr>
      <t>;
study vs control arms</t>
    </r>
  </si>
  <si>
    <r>
      <t xml:space="preserve">Number of </t>
    </r>
    <r>
      <rPr>
        <b/>
        <sz val="10"/>
        <rFont val="Calibri"/>
        <family val="2"/>
        <scheme val="minor"/>
      </rPr>
      <t xml:space="preserve">stage II-IV (UICC) </t>
    </r>
    <r>
      <rPr>
        <sz val="10"/>
        <rFont val="Calibri"/>
        <family val="2"/>
        <scheme val="minor"/>
      </rPr>
      <t xml:space="preserve">breast cancers </t>
    </r>
    <r>
      <rPr>
        <b/>
        <sz val="10"/>
        <rFont val="Calibri"/>
        <family val="2"/>
        <scheme val="minor"/>
      </rPr>
      <t>in women aged 50-59 years at entry</t>
    </r>
    <r>
      <rPr>
        <sz val="10"/>
        <rFont val="Calibri"/>
        <family val="2"/>
        <scheme val="minor"/>
      </rPr>
      <t>; diagnosed within 7 years after randomisation (figures for the control group are doubled)</t>
    </r>
  </si>
  <si>
    <r>
      <t xml:space="preserve">Absolute incidence of </t>
    </r>
    <r>
      <rPr>
        <b/>
        <sz val="10"/>
        <rFont val="Calibri"/>
        <family val="2"/>
        <scheme val="minor"/>
      </rPr>
      <t>stage II+</t>
    </r>
    <r>
      <rPr>
        <sz val="10"/>
        <rFont val="Calibri"/>
        <family val="2"/>
        <scheme val="minor"/>
      </rPr>
      <t xml:space="preserve"> breast cancers</t>
    </r>
    <r>
      <rPr>
        <b/>
        <sz val="10"/>
        <rFont val="Calibri"/>
        <family val="2"/>
      </rPr>
      <t xml:space="preserve"> </t>
    </r>
    <r>
      <rPr>
        <sz val="10"/>
        <rFont val="Calibri"/>
        <family val="2"/>
      </rPr>
      <t xml:space="preserve">(per 1,000 women </t>
    </r>
    <r>
      <rPr>
        <b/>
        <sz val="10"/>
        <rFont val="Calibri"/>
        <family val="2"/>
      </rPr>
      <t>aged 60-69 years</t>
    </r>
    <r>
      <rPr>
        <sz val="10"/>
        <rFont val="Calibri"/>
        <family val="2"/>
      </rPr>
      <t>); 1 year after randomisation</t>
    </r>
    <r>
      <rPr>
        <sz val="10"/>
        <rFont val="Calibri"/>
        <family val="2"/>
        <scheme val="minor"/>
      </rPr>
      <t>;
study vs control arms</t>
    </r>
  </si>
  <si>
    <r>
      <t xml:space="preserve">Number of </t>
    </r>
    <r>
      <rPr>
        <b/>
        <sz val="10"/>
        <rFont val="Calibri"/>
        <family val="2"/>
        <scheme val="minor"/>
      </rPr>
      <t xml:space="preserve">stage II-IV (UICC) </t>
    </r>
    <r>
      <rPr>
        <sz val="10"/>
        <rFont val="Calibri"/>
        <family val="2"/>
        <scheme val="minor"/>
      </rPr>
      <t xml:space="preserve">breast cancers </t>
    </r>
    <r>
      <rPr>
        <b/>
        <sz val="10"/>
        <rFont val="Calibri"/>
        <family val="2"/>
        <scheme val="minor"/>
      </rPr>
      <t>in women aged 60-69 years at entry</t>
    </r>
    <r>
      <rPr>
        <sz val="10"/>
        <rFont val="Calibri"/>
        <family val="2"/>
        <scheme val="minor"/>
      </rPr>
      <t>; diagnosed within 1 year after randomisation (figures for the control group are doubled)</t>
    </r>
  </si>
  <si>
    <r>
      <t xml:space="preserve">Number of women analysed </t>
    </r>
    <r>
      <rPr>
        <b/>
        <sz val="10"/>
        <rFont val="Calibri"/>
        <family val="2"/>
        <scheme val="minor"/>
      </rPr>
      <t>aged 60-69 years at entry</t>
    </r>
    <r>
      <rPr>
        <sz val="10"/>
        <rFont val="Calibri"/>
        <family val="2"/>
        <scheme val="minor"/>
      </rPr>
      <t>, by arm (figures for the control group are doubled)</t>
    </r>
  </si>
  <si>
    <r>
      <t xml:space="preserve">Absolute incidence of </t>
    </r>
    <r>
      <rPr>
        <b/>
        <sz val="10"/>
        <rFont val="Calibri"/>
        <family val="2"/>
        <scheme val="minor"/>
      </rPr>
      <t>stage II+</t>
    </r>
    <r>
      <rPr>
        <sz val="10"/>
        <rFont val="Calibri"/>
        <family val="2"/>
        <scheme val="minor"/>
      </rPr>
      <t xml:space="preserve"> breast cancers</t>
    </r>
    <r>
      <rPr>
        <b/>
        <sz val="10"/>
        <rFont val="Calibri"/>
        <family val="2"/>
      </rPr>
      <t xml:space="preserve"> </t>
    </r>
    <r>
      <rPr>
        <sz val="10"/>
        <rFont val="Calibri"/>
        <family val="2"/>
      </rPr>
      <t xml:space="preserve">(per 1,000 women </t>
    </r>
    <r>
      <rPr>
        <b/>
        <sz val="10"/>
        <rFont val="Calibri"/>
        <family val="2"/>
      </rPr>
      <t>aged 60-69 years</t>
    </r>
    <r>
      <rPr>
        <sz val="10"/>
        <rFont val="Calibri"/>
        <family val="2"/>
      </rPr>
      <t>); 2 years after randomisation</t>
    </r>
    <r>
      <rPr>
        <sz val="10"/>
        <rFont val="Calibri"/>
        <family val="2"/>
        <scheme val="minor"/>
      </rPr>
      <t>;
study vs control arms</t>
    </r>
  </si>
  <si>
    <r>
      <t xml:space="preserve">Number of </t>
    </r>
    <r>
      <rPr>
        <b/>
        <sz val="10"/>
        <rFont val="Calibri"/>
        <family val="2"/>
        <scheme val="minor"/>
      </rPr>
      <t xml:space="preserve">stage II-IV (UICC) </t>
    </r>
    <r>
      <rPr>
        <sz val="10"/>
        <rFont val="Calibri"/>
        <family val="2"/>
        <scheme val="minor"/>
      </rPr>
      <t xml:space="preserve">breast cancers </t>
    </r>
    <r>
      <rPr>
        <b/>
        <sz val="10"/>
        <rFont val="Calibri"/>
        <family val="2"/>
        <scheme val="minor"/>
      </rPr>
      <t>in women aged 60-69 years at entry</t>
    </r>
    <r>
      <rPr>
        <sz val="10"/>
        <rFont val="Calibri"/>
        <family val="2"/>
        <scheme val="minor"/>
      </rPr>
      <t>; diagnosed within 2 years after randomisation (figures for the control group are doubled)</t>
    </r>
  </si>
  <si>
    <r>
      <t xml:space="preserve">Absolute incidence of </t>
    </r>
    <r>
      <rPr>
        <b/>
        <sz val="10"/>
        <rFont val="Calibri"/>
        <family val="2"/>
        <scheme val="minor"/>
      </rPr>
      <t>stage II+</t>
    </r>
    <r>
      <rPr>
        <sz val="10"/>
        <rFont val="Calibri"/>
        <family val="2"/>
        <scheme val="minor"/>
      </rPr>
      <t xml:space="preserve"> breast cancers</t>
    </r>
    <r>
      <rPr>
        <b/>
        <sz val="10"/>
        <rFont val="Calibri"/>
        <family val="2"/>
      </rPr>
      <t xml:space="preserve"> </t>
    </r>
    <r>
      <rPr>
        <sz val="10"/>
        <rFont val="Calibri"/>
        <family val="2"/>
      </rPr>
      <t xml:space="preserve">(per 1,000 women </t>
    </r>
    <r>
      <rPr>
        <b/>
        <sz val="10"/>
        <rFont val="Calibri"/>
        <family val="2"/>
      </rPr>
      <t>aged 60-69 years</t>
    </r>
    <r>
      <rPr>
        <sz val="10"/>
        <rFont val="Calibri"/>
        <family val="2"/>
      </rPr>
      <t>); 3 years after randomisation</t>
    </r>
    <r>
      <rPr>
        <sz val="10"/>
        <rFont val="Calibri"/>
        <family val="2"/>
        <scheme val="minor"/>
      </rPr>
      <t>;
study vs control arms</t>
    </r>
  </si>
  <si>
    <r>
      <t xml:space="preserve">Number of </t>
    </r>
    <r>
      <rPr>
        <b/>
        <sz val="10"/>
        <rFont val="Calibri"/>
        <family val="2"/>
        <scheme val="minor"/>
      </rPr>
      <t xml:space="preserve">stage II-IV (UICC) </t>
    </r>
    <r>
      <rPr>
        <sz val="10"/>
        <rFont val="Calibri"/>
        <family val="2"/>
        <scheme val="minor"/>
      </rPr>
      <t xml:space="preserve">breast cancers </t>
    </r>
    <r>
      <rPr>
        <b/>
        <sz val="10"/>
        <rFont val="Calibri"/>
        <family val="2"/>
        <scheme val="minor"/>
      </rPr>
      <t>in women aged 60-69 years at entry</t>
    </r>
    <r>
      <rPr>
        <sz val="10"/>
        <rFont val="Calibri"/>
        <family val="2"/>
        <scheme val="minor"/>
      </rPr>
      <t>; diagnosed within 3 years after randomisation (figures for the control group are doubled)</t>
    </r>
  </si>
  <si>
    <r>
      <t xml:space="preserve">Absolute incidence of </t>
    </r>
    <r>
      <rPr>
        <b/>
        <sz val="10"/>
        <rFont val="Calibri"/>
        <family val="2"/>
        <scheme val="minor"/>
      </rPr>
      <t>stage II+</t>
    </r>
    <r>
      <rPr>
        <sz val="10"/>
        <rFont val="Calibri"/>
        <family val="2"/>
        <scheme val="minor"/>
      </rPr>
      <t xml:space="preserve"> breast cancers</t>
    </r>
    <r>
      <rPr>
        <b/>
        <sz val="10"/>
        <rFont val="Calibri"/>
        <family val="2"/>
      </rPr>
      <t xml:space="preserve"> </t>
    </r>
    <r>
      <rPr>
        <sz val="10"/>
        <rFont val="Calibri"/>
        <family val="2"/>
      </rPr>
      <t xml:space="preserve">(per 1,000 women </t>
    </r>
    <r>
      <rPr>
        <b/>
        <sz val="10"/>
        <rFont val="Calibri"/>
        <family val="2"/>
      </rPr>
      <t>aged 60-69 years</t>
    </r>
    <r>
      <rPr>
        <sz val="10"/>
        <rFont val="Calibri"/>
        <family val="2"/>
      </rPr>
      <t>); 4 years after randomisation</t>
    </r>
    <r>
      <rPr>
        <sz val="10"/>
        <rFont val="Calibri"/>
        <family val="2"/>
        <scheme val="minor"/>
      </rPr>
      <t>;
study vs control arms</t>
    </r>
  </si>
  <si>
    <r>
      <t xml:space="preserve">Number of </t>
    </r>
    <r>
      <rPr>
        <b/>
        <sz val="10"/>
        <rFont val="Calibri"/>
        <family val="2"/>
        <scheme val="minor"/>
      </rPr>
      <t xml:space="preserve">stage II-IV (UICC) </t>
    </r>
    <r>
      <rPr>
        <sz val="10"/>
        <rFont val="Calibri"/>
        <family val="2"/>
        <scheme val="minor"/>
      </rPr>
      <t xml:space="preserve">breast cancers </t>
    </r>
    <r>
      <rPr>
        <b/>
        <sz val="10"/>
        <rFont val="Calibri"/>
        <family val="2"/>
        <scheme val="minor"/>
      </rPr>
      <t>in women aged 60-69 years at entry</t>
    </r>
    <r>
      <rPr>
        <sz val="10"/>
        <rFont val="Calibri"/>
        <family val="2"/>
        <scheme val="minor"/>
      </rPr>
      <t>; diagnosed within 4 years after randomisation (figures for the control group are doubled)</t>
    </r>
  </si>
  <si>
    <r>
      <t xml:space="preserve">Absolute incidence of </t>
    </r>
    <r>
      <rPr>
        <b/>
        <sz val="10"/>
        <rFont val="Calibri"/>
        <family val="2"/>
        <scheme val="minor"/>
      </rPr>
      <t>stage II+</t>
    </r>
    <r>
      <rPr>
        <sz val="10"/>
        <rFont val="Calibri"/>
        <family val="2"/>
        <scheme val="minor"/>
      </rPr>
      <t xml:space="preserve"> breast cancers</t>
    </r>
    <r>
      <rPr>
        <b/>
        <sz val="10"/>
        <rFont val="Calibri"/>
        <family val="2"/>
      </rPr>
      <t xml:space="preserve"> </t>
    </r>
    <r>
      <rPr>
        <sz val="10"/>
        <rFont val="Calibri"/>
        <family val="2"/>
      </rPr>
      <t xml:space="preserve">(per 1,000 women </t>
    </r>
    <r>
      <rPr>
        <b/>
        <sz val="10"/>
        <rFont val="Calibri"/>
        <family val="2"/>
      </rPr>
      <t>aged 60-69 years</t>
    </r>
    <r>
      <rPr>
        <sz val="10"/>
        <rFont val="Calibri"/>
        <family val="2"/>
      </rPr>
      <t>); 5 years after randomisation</t>
    </r>
    <r>
      <rPr>
        <sz val="10"/>
        <rFont val="Calibri"/>
        <family val="2"/>
        <scheme val="minor"/>
      </rPr>
      <t>;
study vs control arms</t>
    </r>
  </si>
  <si>
    <r>
      <t xml:space="preserve">Number of </t>
    </r>
    <r>
      <rPr>
        <b/>
        <sz val="10"/>
        <rFont val="Calibri"/>
        <family val="2"/>
        <scheme val="minor"/>
      </rPr>
      <t xml:space="preserve">stage II-IV (UICC) </t>
    </r>
    <r>
      <rPr>
        <sz val="10"/>
        <rFont val="Calibri"/>
        <family val="2"/>
        <scheme val="minor"/>
      </rPr>
      <t xml:space="preserve">breast cancers </t>
    </r>
    <r>
      <rPr>
        <b/>
        <sz val="10"/>
        <rFont val="Calibri"/>
        <family val="2"/>
        <scheme val="minor"/>
      </rPr>
      <t>in women aged 60-69 years at entry</t>
    </r>
    <r>
      <rPr>
        <sz val="10"/>
        <rFont val="Calibri"/>
        <family val="2"/>
        <scheme val="minor"/>
      </rPr>
      <t>; diagnosed within 5 years after randomisation (figures for the control group are doubled)</t>
    </r>
  </si>
  <si>
    <r>
      <t xml:space="preserve">Absolute incidence of </t>
    </r>
    <r>
      <rPr>
        <b/>
        <sz val="10"/>
        <rFont val="Calibri"/>
        <family val="2"/>
        <scheme val="minor"/>
      </rPr>
      <t>stage II+</t>
    </r>
    <r>
      <rPr>
        <sz val="10"/>
        <rFont val="Calibri"/>
        <family val="2"/>
        <scheme val="minor"/>
      </rPr>
      <t xml:space="preserve"> breast cancers</t>
    </r>
    <r>
      <rPr>
        <b/>
        <sz val="10"/>
        <rFont val="Calibri"/>
        <family val="2"/>
      </rPr>
      <t xml:space="preserve"> </t>
    </r>
    <r>
      <rPr>
        <sz val="10"/>
        <rFont val="Calibri"/>
        <family val="2"/>
      </rPr>
      <t xml:space="preserve">(per 1,000 women </t>
    </r>
    <r>
      <rPr>
        <b/>
        <sz val="10"/>
        <rFont val="Calibri"/>
        <family val="2"/>
      </rPr>
      <t>aged 60-69 years</t>
    </r>
    <r>
      <rPr>
        <sz val="10"/>
        <rFont val="Calibri"/>
        <family val="2"/>
      </rPr>
      <t>); 6 years after randomisation</t>
    </r>
    <r>
      <rPr>
        <sz val="10"/>
        <rFont val="Calibri"/>
        <family val="2"/>
        <scheme val="minor"/>
      </rPr>
      <t>;
study vs control arms</t>
    </r>
  </si>
  <si>
    <r>
      <t xml:space="preserve">Number of </t>
    </r>
    <r>
      <rPr>
        <b/>
        <sz val="10"/>
        <rFont val="Calibri"/>
        <family val="2"/>
        <scheme val="minor"/>
      </rPr>
      <t xml:space="preserve">stage II-IV (UICC) </t>
    </r>
    <r>
      <rPr>
        <sz val="10"/>
        <rFont val="Calibri"/>
        <family val="2"/>
        <scheme val="minor"/>
      </rPr>
      <t xml:space="preserve">breast cancers </t>
    </r>
    <r>
      <rPr>
        <b/>
        <sz val="10"/>
        <rFont val="Calibri"/>
        <family val="2"/>
        <scheme val="minor"/>
      </rPr>
      <t>in women aged 60-69 years at entry</t>
    </r>
    <r>
      <rPr>
        <sz val="10"/>
        <rFont val="Calibri"/>
        <family val="2"/>
        <scheme val="minor"/>
      </rPr>
      <t>; diagnosed within 6 years after randomisation (figures for the control group are doubled)</t>
    </r>
  </si>
  <si>
    <r>
      <t xml:space="preserve">Absolute incidence of </t>
    </r>
    <r>
      <rPr>
        <b/>
        <sz val="10"/>
        <rFont val="Calibri"/>
        <family val="2"/>
        <scheme val="minor"/>
      </rPr>
      <t>stage II+</t>
    </r>
    <r>
      <rPr>
        <sz val="10"/>
        <rFont val="Calibri"/>
        <family val="2"/>
        <scheme val="minor"/>
      </rPr>
      <t xml:space="preserve"> breast cancers</t>
    </r>
    <r>
      <rPr>
        <b/>
        <sz val="10"/>
        <rFont val="Calibri"/>
        <family val="2"/>
      </rPr>
      <t xml:space="preserve"> </t>
    </r>
    <r>
      <rPr>
        <sz val="10"/>
        <rFont val="Calibri"/>
        <family val="2"/>
      </rPr>
      <t xml:space="preserve">(per 1,000 women </t>
    </r>
    <r>
      <rPr>
        <b/>
        <sz val="10"/>
        <rFont val="Calibri"/>
        <family val="2"/>
      </rPr>
      <t>aged 60-69 years</t>
    </r>
    <r>
      <rPr>
        <sz val="10"/>
        <rFont val="Calibri"/>
        <family val="2"/>
      </rPr>
      <t>); 7 years after randomisation</t>
    </r>
    <r>
      <rPr>
        <sz val="10"/>
        <rFont val="Calibri"/>
        <family val="2"/>
        <scheme val="minor"/>
      </rPr>
      <t>;
study vs control arms</t>
    </r>
  </si>
  <si>
    <r>
      <t xml:space="preserve">Number of </t>
    </r>
    <r>
      <rPr>
        <b/>
        <sz val="10"/>
        <rFont val="Calibri"/>
        <family val="2"/>
        <scheme val="minor"/>
      </rPr>
      <t xml:space="preserve">stage II-IV (UICC) </t>
    </r>
    <r>
      <rPr>
        <sz val="10"/>
        <rFont val="Calibri"/>
        <family val="2"/>
        <scheme val="minor"/>
      </rPr>
      <t xml:space="preserve">breast cancers </t>
    </r>
    <r>
      <rPr>
        <b/>
        <sz val="10"/>
        <rFont val="Calibri"/>
        <family val="2"/>
        <scheme val="minor"/>
      </rPr>
      <t>in women aged 60-69 years at entry</t>
    </r>
    <r>
      <rPr>
        <sz val="10"/>
        <rFont val="Calibri"/>
        <family val="2"/>
        <scheme val="minor"/>
      </rPr>
      <t>; diagnosed within 7 years after randomisation (figures for the control group are doubled)</t>
    </r>
  </si>
  <si>
    <r>
      <t>Absolute incidence of breast cancers</t>
    </r>
    <r>
      <rPr>
        <b/>
        <sz val="10"/>
        <rFont val="Calibri"/>
        <family val="2"/>
      </rPr>
      <t xml:space="preserve"> </t>
    </r>
    <r>
      <rPr>
        <sz val="10"/>
        <rFont val="Calibri"/>
        <family val="2"/>
      </rPr>
      <t xml:space="preserve">with </t>
    </r>
    <r>
      <rPr>
        <b/>
        <sz val="10"/>
        <rFont val="Calibri"/>
        <family val="2"/>
      </rPr>
      <t>axillary lymph nodes positive and/or disseminated disease</t>
    </r>
    <r>
      <rPr>
        <sz val="10"/>
        <rFont val="Calibri"/>
        <family val="2"/>
      </rPr>
      <t xml:space="preserve"> (per 1,000 women </t>
    </r>
    <r>
      <rPr>
        <b/>
        <sz val="10"/>
        <rFont val="Calibri"/>
        <family val="2"/>
      </rPr>
      <t>aged 40-69 years</t>
    </r>
    <r>
      <rPr>
        <sz val="10"/>
        <rFont val="Calibri"/>
        <family val="2"/>
      </rPr>
      <t>); diagnosed up to</t>
    </r>
    <r>
      <rPr>
        <sz val="10"/>
        <rFont val="Calibri"/>
        <family val="2"/>
        <scheme val="minor"/>
      </rPr>
      <t xml:space="preserve"> 31/10/1984;
study vs control arms</t>
    </r>
  </si>
  <si>
    <r>
      <t xml:space="preserve">Number of breast cancers with </t>
    </r>
    <r>
      <rPr>
        <b/>
        <sz val="10"/>
        <rFont val="Calibri"/>
        <family val="2"/>
        <scheme val="minor"/>
      </rPr>
      <t>axillary lymph nodes positive and/or disseminated disease in women aged 40-69 years at entry</t>
    </r>
    <r>
      <rPr>
        <sz val="10"/>
        <rFont val="Calibri"/>
        <family val="2"/>
        <scheme val="minor"/>
      </rPr>
      <t>; diagnosed up to 31/10/1984</t>
    </r>
  </si>
  <si>
    <t>Text: Of 465 women with breast cancer in the ASP group, 117 had histologically proven metastases at the time of operation, while the corresponding figure was 68 of the total 182 in the PSP (X2=9.5; p&lt;0.001).</t>
  </si>
  <si>
    <r>
      <t>% of breast cancers diagnosed at late stage (</t>
    </r>
    <r>
      <rPr>
        <b/>
        <sz val="10"/>
        <rFont val="Calibri"/>
        <family val="2"/>
      </rPr>
      <t xml:space="preserve">axillary lymph nodes positive and/or disseminated disease) </t>
    </r>
    <r>
      <rPr>
        <sz val="10"/>
        <rFont val="Calibri"/>
        <family val="2"/>
      </rPr>
      <t xml:space="preserve">in women </t>
    </r>
    <r>
      <rPr>
        <b/>
        <sz val="10"/>
        <rFont val="Calibri"/>
        <family val="2"/>
      </rPr>
      <t>aged 40-69 years</t>
    </r>
    <r>
      <rPr>
        <sz val="10"/>
        <rFont val="Calibri"/>
        <family val="2"/>
      </rPr>
      <t>); diagnosed up to</t>
    </r>
    <r>
      <rPr>
        <sz val="10"/>
        <rFont val="Calibri"/>
        <family val="2"/>
        <scheme val="minor"/>
      </rPr>
      <t xml:space="preserve"> 31/10/1984;
study vs control arms</t>
    </r>
  </si>
  <si>
    <r>
      <t xml:space="preserve">Total number of breast cancers in women </t>
    </r>
    <r>
      <rPr>
        <b/>
        <sz val="10"/>
        <rFont val="Calibri"/>
        <family val="2"/>
        <scheme val="minor"/>
      </rPr>
      <t xml:space="preserve">aged 40-69 years at entry; </t>
    </r>
    <r>
      <rPr>
        <sz val="10"/>
        <rFont val="Calibri"/>
        <family val="2"/>
        <scheme val="minor"/>
      </rPr>
      <t>diagnosed up to 31/10/1984</t>
    </r>
  </si>
  <si>
    <r>
      <t xml:space="preserve">% of </t>
    </r>
    <r>
      <rPr>
        <b/>
        <sz val="10"/>
        <rFont val="Calibri"/>
        <family val="2"/>
        <scheme val="minor"/>
      </rPr>
      <t xml:space="preserve">invasive </t>
    </r>
    <r>
      <rPr>
        <sz val="10"/>
        <rFont val="Calibri"/>
        <family val="2"/>
        <scheme val="minor"/>
      </rPr>
      <t>breast cancers diagnosed at late stage (</t>
    </r>
    <r>
      <rPr>
        <b/>
        <sz val="10"/>
        <rFont val="Calibri"/>
        <family val="2"/>
      </rPr>
      <t xml:space="preserve">axillary lymph nodes positive and/or disseminated disease) </t>
    </r>
    <r>
      <rPr>
        <sz val="10"/>
        <rFont val="Calibri"/>
        <family val="2"/>
      </rPr>
      <t xml:space="preserve">in women </t>
    </r>
    <r>
      <rPr>
        <b/>
        <sz val="10"/>
        <rFont val="Calibri"/>
        <family val="2"/>
      </rPr>
      <t>aged 40-69 years</t>
    </r>
    <r>
      <rPr>
        <sz val="10"/>
        <rFont val="Calibri"/>
        <family val="2"/>
      </rPr>
      <t>); diagnosed up to</t>
    </r>
    <r>
      <rPr>
        <sz val="10"/>
        <rFont val="Calibri"/>
        <family val="2"/>
        <scheme val="minor"/>
      </rPr>
      <t xml:space="preserve"> 31/10/1984;
study vs control arms</t>
    </r>
  </si>
  <si>
    <r>
      <t xml:space="preserve">Total number of </t>
    </r>
    <r>
      <rPr>
        <b/>
        <sz val="10"/>
        <rFont val="Calibri"/>
        <family val="2"/>
        <scheme val="minor"/>
      </rPr>
      <t xml:space="preserve">invasive </t>
    </r>
    <r>
      <rPr>
        <sz val="10"/>
        <rFont val="Calibri"/>
        <family val="2"/>
        <scheme val="minor"/>
      </rPr>
      <t xml:space="preserve">breast cancers in women </t>
    </r>
    <r>
      <rPr>
        <b/>
        <sz val="10"/>
        <rFont val="Calibri"/>
        <family val="2"/>
        <scheme val="minor"/>
      </rPr>
      <t xml:space="preserve">aged 40-69 years at entry; </t>
    </r>
    <r>
      <rPr>
        <sz val="10"/>
        <rFont val="Calibri"/>
        <family val="2"/>
        <scheme val="minor"/>
      </rPr>
      <t>diagnosed up to 31/10/1984</t>
    </r>
  </si>
  <si>
    <t>Text: Taking only invasive breast cancers into consideration, the proportions are 117/419 in the ASP and 68/179 in the PSP (X2=5.9; p&lt;0.05).</t>
  </si>
  <si>
    <t>Duffy 1991</t>
  </si>
  <si>
    <r>
      <t xml:space="preserve">Diagnostic yield at screening (invasive breast cancers) (per 1,000 women </t>
    </r>
    <r>
      <rPr>
        <b/>
        <sz val="10"/>
        <rFont val="Calibri"/>
        <family val="2"/>
        <scheme val="minor"/>
      </rPr>
      <t>aged 40-69 years at entry</t>
    </r>
    <r>
      <rPr>
        <sz val="10"/>
        <rFont val="Calibri"/>
        <family val="2"/>
        <scheme val="minor"/>
      </rPr>
      <t>); until date at which the control group was invited to screening (1985?);
Screening arm only</t>
    </r>
  </si>
  <si>
    <r>
      <t xml:space="preserve">Number of screen-detected invasive breast cancers </t>
    </r>
    <r>
      <rPr>
        <b/>
        <sz val="10"/>
        <rFont val="Calibri"/>
        <family val="2"/>
        <scheme val="minor"/>
      </rPr>
      <t>in women aged 40-69 years at entry</t>
    </r>
    <r>
      <rPr>
        <sz val="10"/>
        <rFont val="Calibri"/>
        <family val="2"/>
        <scheme val="minor"/>
      </rPr>
      <t>, until date at which the control group was invited to screening (1985?)</t>
    </r>
  </si>
  <si>
    <r>
      <t xml:space="preserve">% of invasive breast cancers that are screen-detected in women </t>
    </r>
    <r>
      <rPr>
        <b/>
        <sz val="10"/>
        <rFont val="Calibri"/>
        <family val="2"/>
        <scheme val="minor"/>
      </rPr>
      <t>aged 40-69 years at entry</t>
    </r>
    <r>
      <rPr>
        <sz val="10"/>
        <rFont val="Calibri"/>
        <family val="2"/>
        <scheme val="minor"/>
      </rPr>
      <t>); until date at which the control group was invited to screening (1985?);
Screening arm only</t>
    </r>
  </si>
  <si>
    <t>Total number of invasive breast cancers detected in women aged 40-69 years until date at which the control group was invited to screening (1985?)</t>
  </si>
  <si>
    <r>
      <t xml:space="preserve">% of invasive, </t>
    </r>
    <r>
      <rPr>
        <b/>
        <sz val="10"/>
        <rFont val="Calibri"/>
        <family val="2"/>
        <scheme val="minor"/>
      </rPr>
      <t>grade 3</t>
    </r>
    <r>
      <rPr>
        <sz val="10"/>
        <rFont val="Calibri"/>
        <family val="2"/>
        <scheme val="minor"/>
      </rPr>
      <t xml:space="preserve"> breast cancers that are screen-detected in women </t>
    </r>
    <r>
      <rPr>
        <b/>
        <sz val="10"/>
        <rFont val="Calibri"/>
        <family val="2"/>
        <scheme val="minor"/>
      </rPr>
      <t>aged 40-69 years at entry</t>
    </r>
    <r>
      <rPr>
        <sz val="10"/>
        <rFont val="Calibri"/>
        <family val="2"/>
        <scheme val="minor"/>
      </rPr>
      <t>); until date at which the control group was invited to screening (1985?);
Screening arm only</t>
    </r>
  </si>
  <si>
    <t>Malignancy grade was determined by one pathologist in each county.</t>
  </si>
  <si>
    <r>
      <t xml:space="preserve">Number of screen-detected invasive, </t>
    </r>
    <r>
      <rPr>
        <b/>
        <sz val="10"/>
        <rFont val="Calibri"/>
        <family val="2"/>
        <scheme val="minor"/>
      </rPr>
      <t xml:space="preserve">grade 3 </t>
    </r>
    <r>
      <rPr>
        <sz val="10"/>
        <rFont val="Calibri"/>
        <family val="2"/>
        <scheme val="minor"/>
      </rPr>
      <t xml:space="preserve">breast cancers </t>
    </r>
    <r>
      <rPr>
        <b/>
        <sz val="10"/>
        <rFont val="Calibri"/>
        <family val="2"/>
        <scheme val="minor"/>
      </rPr>
      <t>in women aged 40-69 years at entry</t>
    </r>
    <r>
      <rPr>
        <sz val="10"/>
        <rFont val="Calibri"/>
        <family val="2"/>
        <scheme val="minor"/>
      </rPr>
      <t>, until date at which the control group was invited to screening (1985?)</t>
    </r>
  </si>
  <si>
    <r>
      <t xml:space="preserve">Total number of invasive </t>
    </r>
    <r>
      <rPr>
        <b/>
        <sz val="10"/>
        <rFont val="Calibri"/>
        <family val="2"/>
        <scheme val="minor"/>
      </rPr>
      <t xml:space="preserve">grade 3 </t>
    </r>
    <r>
      <rPr>
        <sz val="10"/>
        <rFont val="Calibri"/>
        <family val="2"/>
        <scheme val="minor"/>
      </rPr>
      <t xml:space="preserve">breast cancers detected in women aged 40-69 years until date at which the control group was invited to screening (1985?) </t>
    </r>
  </si>
  <si>
    <r>
      <t>Absolute incidence of invasive breast cancers with</t>
    </r>
    <r>
      <rPr>
        <b/>
        <sz val="10"/>
        <rFont val="Calibri"/>
        <family val="2"/>
        <scheme val="minor"/>
      </rPr>
      <t xml:space="preserve"> size 1-9</t>
    </r>
    <r>
      <rPr>
        <b/>
        <sz val="10"/>
        <rFont val="Calibri"/>
        <family val="2"/>
      </rPr>
      <t xml:space="preserve"> mm</t>
    </r>
    <r>
      <rPr>
        <sz val="10"/>
        <rFont val="Calibri"/>
        <family val="2"/>
      </rPr>
      <t xml:space="preserve"> (per 1,000</t>
    </r>
    <r>
      <rPr>
        <b/>
        <sz val="10"/>
        <rFont val="Calibri"/>
        <family val="2"/>
      </rPr>
      <t xml:space="preserve"> women aged 40-69 years</t>
    </r>
    <r>
      <rPr>
        <sz val="10"/>
        <rFont val="Calibri"/>
        <family val="2"/>
      </rPr>
      <t>); until date at which the control group was invited to screening (1985?);</t>
    </r>
    <r>
      <rPr>
        <sz val="10"/>
        <rFont val="Calibri"/>
        <family val="2"/>
        <scheme val="minor"/>
      </rPr>
      <t xml:space="preserve">
study vs control arms</t>
    </r>
  </si>
  <si>
    <t>Tumour size was determined histologically, and was available for all but four cases.</t>
  </si>
  <si>
    <t>1985?</t>
  </si>
  <si>
    <r>
      <t xml:space="preserve">Number of invasive breast cancers with diameter </t>
    </r>
    <r>
      <rPr>
        <b/>
        <sz val="10"/>
        <rFont val="Calibri"/>
        <family val="2"/>
        <scheme val="minor"/>
      </rPr>
      <t>1-9 mm in women aged 40-69 years</t>
    </r>
    <r>
      <rPr>
        <sz val="10"/>
        <rFont val="Calibri"/>
        <family val="2"/>
        <scheme val="minor"/>
      </rPr>
      <t>; until date at which the control group was invited to screening (1985?)</t>
    </r>
  </si>
  <si>
    <r>
      <t>Absolute incidence of invasive breast cancers with</t>
    </r>
    <r>
      <rPr>
        <b/>
        <sz val="10"/>
        <rFont val="Calibri"/>
        <family val="2"/>
        <scheme val="minor"/>
      </rPr>
      <t xml:space="preserve"> size 10-14</t>
    </r>
    <r>
      <rPr>
        <b/>
        <sz val="10"/>
        <rFont val="Calibri"/>
        <family val="2"/>
      </rPr>
      <t xml:space="preserve"> mm</t>
    </r>
    <r>
      <rPr>
        <sz val="10"/>
        <rFont val="Calibri"/>
        <family val="2"/>
      </rPr>
      <t xml:space="preserve"> (per 1,000</t>
    </r>
    <r>
      <rPr>
        <b/>
        <sz val="10"/>
        <rFont val="Calibri"/>
        <family val="2"/>
      </rPr>
      <t xml:space="preserve"> women aged 40-69 years</t>
    </r>
    <r>
      <rPr>
        <sz val="10"/>
        <rFont val="Calibri"/>
        <family val="2"/>
      </rPr>
      <t>); until date at which the control group was invited to screening (1985?);</t>
    </r>
    <r>
      <rPr>
        <sz val="10"/>
        <rFont val="Calibri"/>
        <family val="2"/>
        <scheme val="minor"/>
      </rPr>
      <t xml:space="preserve">
study vs control arms</t>
    </r>
  </si>
  <si>
    <r>
      <t xml:space="preserve">Number of invasive breast cancers with diameter </t>
    </r>
    <r>
      <rPr>
        <b/>
        <sz val="10"/>
        <rFont val="Calibri"/>
        <family val="2"/>
        <scheme val="minor"/>
      </rPr>
      <t>10-14 mm in women aged 40-69 years</t>
    </r>
    <r>
      <rPr>
        <sz val="10"/>
        <rFont val="Calibri"/>
        <family val="2"/>
        <scheme val="minor"/>
      </rPr>
      <t>; until date at which the control group was invited to screening (1985?)</t>
    </r>
  </si>
  <si>
    <r>
      <t>Absolute incidence of invasive breast cancers with</t>
    </r>
    <r>
      <rPr>
        <b/>
        <sz val="10"/>
        <rFont val="Calibri"/>
        <family val="2"/>
        <scheme val="minor"/>
      </rPr>
      <t xml:space="preserve"> size 15-19</t>
    </r>
    <r>
      <rPr>
        <b/>
        <sz val="10"/>
        <rFont val="Calibri"/>
        <family val="2"/>
      </rPr>
      <t xml:space="preserve"> mm</t>
    </r>
    <r>
      <rPr>
        <sz val="10"/>
        <rFont val="Calibri"/>
        <family val="2"/>
      </rPr>
      <t xml:space="preserve"> (per 1,000</t>
    </r>
    <r>
      <rPr>
        <b/>
        <sz val="10"/>
        <rFont val="Calibri"/>
        <family val="2"/>
      </rPr>
      <t xml:space="preserve"> women aged 40-69 years</t>
    </r>
    <r>
      <rPr>
        <sz val="10"/>
        <rFont val="Calibri"/>
        <family val="2"/>
      </rPr>
      <t>); until date at which the control group was invited to screening (1985?);</t>
    </r>
    <r>
      <rPr>
        <sz val="10"/>
        <rFont val="Calibri"/>
        <family val="2"/>
        <scheme val="minor"/>
      </rPr>
      <t xml:space="preserve">
study vs control arms</t>
    </r>
  </si>
  <si>
    <r>
      <t xml:space="preserve">Number of invasive breast cancers with diameter </t>
    </r>
    <r>
      <rPr>
        <b/>
        <sz val="10"/>
        <rFont val="Calibri"/>
        <family val="2"/>
        <scheme val="minor"/>
      </rPr>
      <t>15-19 mm in women aged 40-69 years</t>
    </r>
    <r>
      <rPr>
        <sz val="10"/>
        <rFont val="Calibri"/>
        <family val="2"/>
        <scheme val="minor"/>
      </rPr>
      <t>; until date at which the control group was invited to screening (1985?)</t>
    </r>
  </si>
  <si>
    <r>
      <t>Absolute incidence of invasive breast cancers with</t>
    </r>
    <r>
      <rPr>
        <b/>
        <sz val="10"/>
        <rFont val="Calibri"/>
        <family val="2"/>
        <scheme val="minor"/>
      </rPr>
      <t xml:space="preserve"> size 20-29</t>
    </r>
    <r>
      <rPr>
        <b/>
        <sz val="10"/>
        <rFont val="Calibri"/>
        <family val="2"/>
      </rPr>
      <t xml:space="preserve"> mm</t>
    </r>
    <r>
      <rPr>
        <sz val="10"/>
        <rFont val="Calibri"/>
        <family val="2"/>
      </rPr>
      <t xml:space="preserve"> (per 1,000</t>
    </r>
    <r>
      <rPr>
        <b/>
        <sz val="10"/>
        <rFont val="Calibri"/>
        <family val="2"/>
      </rPr>
      <t xml:space="preserve"> women aged 40-69 years</t>
    </r>
    <r>
      <rPr>
        <sz val="10"/>
        <rFont val="Calibri"/>
        <family val="2"/>
      </rPr>
      <t>); until date at which the control group was invited to screening (1985?);</t>
    </r>
    <r>
      <rPr>
        <sz val="10"/>
        <rFont val="Calibri"/>
        <family val="2"/>
        <scheme val="minor"/>
      </rPr>
      <t xml:space="preserve">
study vs control arms</t>
    </r>
  </si>
  <si>
    <r>
      <t>Number of invasive breast cancers with diameter</t>
    </r>
    <r>
      <rPr>
        <b/>
        <sz val="10"/>
        <rFont val="Calibri"/>
        <family val="2"/>
        <scheme val="minor"/>
      </rPr>
      <t xml:space="preserve"> 20-29 mm in women aged 40-69 years</t>
    </r>
    <r>
      <rPr>
        <sz val="10"/>
        <rFont val="Calibri"/>
        <family val="2"/>
        <scheme val="minor"/>
      </rPr>
      <t>; until date at which the control group was invited to screening (1985?)</t>
    </r>
  </si>
  <si>
    <r>
      <t>Absolute incidence of invasive breast cancers with</t>
    </r>
    <r>
      <rPr>
        <b/>
        <sz val="10"/>
        <rFont val="Calibri"/>
        <family val="2"/>
        <scheme val="minor"/>
      </rPr>
      <t xml:space="preserve"> size 30-49</t>
    </r>
    <r>
      <rPr>
        <b/>
        <sz val="10"/>
        <rFont val="Calibri"/>
        <family val="2"/>
      </rPr>
      <t xml:space="preserve"> mm</t>
    </r>
    <r>
      <rPr>
        <sz val="10"/>
        <rFont val="Calibri"/>
        <family val="2"/>
      </rPr>
      <t xml:space="preserve"> (per 1,000</t>
    </r>
    <r>
      <rPr>
        <b/>
        <sz val="10"/>
        <rFont val="Calibri"/>
        <family val="2"/>
      </rPr>
      <t xml:space="preserve"> women aged 40-69 years</t>
    </r>
    <r>
      <rPr>
        <sz val="10"/>
        <rFont val="Calibri"/>
        <family val="2"/>
      </rPr>
      <t>); until date at which the control group was invited to screening (1985?);</t>
    </r>
    <r>
      <rPr>
        <sz val="10"/>
        <rFont val="Calibri"/>
        <family val="2"/>
        <scheme val="minor"/>
      </rPr>
      <t xml:space="preserve">
study vs control arms</t>
    </r>
  </si>
  <si>
    <r>
      <t>Number of invasive breast cancers with diameter</t>
    </r>
    <r>
      <rPr>
        <b/>
        <sz val="10"/>
        <rFont val="Calibri"/>
        <family val="2"/>
        <scheme val="minor"/>
      </rPr>
      <t xml:space="preserve"> 30-49 mm in women aged 40-69 years</t>
    </r>
    <r>
      <rPr>
        <sz val="10"/>
        <rFont val="Calibri"/>
        <family val="2"/>
        <scheme val="minor"/>
      </rPr>
      <t>; until date at which the control group was invited to screening (1985?)</t>
    </r>
  </si>
  <si>
    <r>
      <t>Absolute incidence of invasive breast cancers with</t>
    </r>
    <r>
      <rPr>
        <b/>
        <sz val="10"/>
        <rFont val="Calibri"/>
        <family val="2"/>
        <scheme val="minor"/>
      </rPr>
      <t xml:space="preserve"> size 50+</t>
    </r>
    <r>
      <rPr>
        <b/>
        <sz val="10"/>
        <rFont val="Calibri"/>
        <family val="2"/>
      </rPr>
      <t xml:space="preserve"> mm</t>
    </r>
    <r>
      <rPr>
        <sz val="10"/>
        <rFont val="Calibri"/>
        <family val="2"/>
      </rPr>
      <t xml:space="preserve"> (per 1,000</t>
    </r>
    <r>
      <rPr>
        <b/>
        <sz val="10"/>
        <rFont val="Calibri"/>
        <family val="2"/>
      </rPr>
      <t xml:space="preserve"> women aged 40-69 years</t>
    </r>
    <r>
      <rPr>
        <sz val="10"/>
        <rFont val="Calibri"/>
        <family val="2"/>
      </rPr>
      <t>); until date at which the control group was invited to screening (1985?);</t>
    </r>
    <r>
      <rPr>
        <sz val="10"/>
        <rFont val="Calibri"/>
        <family val="2"/>
        <scheme val="minor"/>
      </rPr>
      <t xml:space="preserve">
study vs control arms</t>
    </r>
  </si>
  <si>
    <t>50+ mm</t>
  </si>
  <si>
    <r>
      <t>Number of invasive breast cancers with diameter</t>
    </r>
    <r>
      <rPr>
        <b/>
        <sz val="10"/>
        <rFont val="Calibri"/>
        <family val="2"/>
        <scheme val="minor"/>
      </rPr>
      <t xml:space="preserve"> 50+ mm in women aged 40-69 years</t>
    </r>
    <r>
      <rPr>
        <sz val="10"/>
        <rFont val="Calibri"/>
        <family val="2"/>
        <scheme val="minor"/>
      </rPr>
      <t>; until date at which the control group was invited to screening (1985?)</t>
    </r>
  </si>
  <si>
    <r>
      <t>Absolute incidence of invasive breast cancers with</t>
    </r>
    <r>
      <rPr>
        <b/>
        <sz val="10"/>
        <rFont val="Calibri"/>
        <family val="2"/>
        <scheme val="minor"/>
      </rPr>
      <t xml:space="preserve"> size &lt;20</t>
    </r>
    <r>
      <rPr>
        <b/>
        <sz val="10"/>
        <rFont val="Calibri"/>
        <family val="2"/>
      </rPr>
      <t xml:space="preserve"> mm</t>
    </r>
    <r>
      <rPr>
        <sz val="10"/>
        <rFont val="Calibri"/>
        <family val="2"/>
      </rPr>
      <t xml:space="preserve"> (per 1,000</t>
    </r>
    <r>
      <rPr>
        <b/>
        <sz val="10"/>
        <rFont val="Calibri"/>
        <family val="2"/>
      </rPr>
      <t xml:space="preserve"> women aged 40-69 years</t>
    </r>
    <r>
      <rPr>
        <sz val="10"/>
        <rFont val="Calibri"/>
        <family val="2"/>
      </rPr>
      <t>); until date at which the control group was invited to screening (1985?);</t>
    </r>
    <r>
      <rPr>
        <sz val="10"/>
        <rFont val="Calibri"/>
        <family val="2"/>
        <scheme val="minor"/>
      </rPr>
      <t xml:space="preserve">
study vs control arms</t>
    </r>
  </si>
  <si>
    <r>
      <t>Number of invasive breast cancers with diameter</t>
    </r>
    <r>
      <rPr>
        <b/>
        <sz val="10"/>
        <rFont val="Calibri"/>
        <family val="2"/>
        <scheme val="minor"/>
      </rPr>
      <t xml:space="preserve"> &lt;20 mm in women aged 40-69 years</t>
    </r>
    <r>
      <rPr>
        <sz val="10"/>
        <rFont val="Calibri"/>
        <family val="2"/>
        <scheme val="minor"/>
      </rPr>
      <t>; until date at which the control group was invited to screening (1985?)</t>
    </r>
  </si>
  <si>
    <r>
      <t>Absolute incidence of invasive breast cancers with</t>
    </r>
    <r>
      <rPr>
        <b/>
        <sz val="10"/>
        <rFont val="Calibri"/>
        <family val="2"/>
        <scheme val="minor"/>
      </rPr>
      <t xml:space="preserve"> size </t>
    </r>
    <r>
      <rPr>
        <b/>
        <sz val="10"/>
        <rFont val="Calibri"/>
        <family val="2"/>
      </rPr>
      <t>≥</t>
    </r>
    <r>
      <rPr>
        <b/>
        <sz val="10"/>
        <rFont val="Calibri"/>
        <family val="2"/>
        <scheme val="minor"/>
      </rPr>
      <t>20</t>
    </r>
    <r>
      <rPr>
        <b/>
        <sz val="10"/>
        <rFont val="Calibri"/>
        <family val="2"/>
      </rPr>
      <t xml:space="preserve"> mm</t>
    </r>
    <r>
      <rPr>
        <sz val="10"/>
        <rFont val="Calibri"/>
        <family val="2"/>
      </rPr>
      <t xml:space="preserve"> (per 1,000</t>
    </r>
    <r>
      <rPr>
        <b/>
        <sz val="10"/>
        <rFont val="Calibri"/>
        <family val="2"/>
      </rPr>
      <t xml:space="preserve"> women aged 40-69 years</t>
    </r>
    <r>
      <rPr>
        <sz val="10"/>
        <rFont val="Calibri"/>
        <family val="2"/>
      </rPr>
      <t>); until date at which the control group was invited to screening (1985?);</t>
    </r>
    <r>
      <rPr>
        <sz val="10"/>
        <rFont val="Calibri"/>
        <family val="2"/>
        <scheme val="minor"/>
      </rPr>
      <t xml:space="preserve">
study vs control arms</t>
    </r>
  </si>
  <si>
    <r>
      <rPr>
        <sz val="10"/>
        <rFont val="Calibri"/>
        <family val="2"/>
      </rPr>
      <t>≥</t>
    </r>
    <r>
      <rPr>
        <sz val="10"/>
        <rFont val="Calibri"/>
        <family val="2"/>
        <scheme val="minor"/>
      </rPr>
      <t>20 mm</t>
    </r>
  </si>
  <si>
    <r>
      <t>Number of invasive breast cancers with diameter</t>
    </r>
    <r>
      <rPr>
        <b/>
        <sz val="10"/>
        <rFont val="Calibri"/>
        <family val="2"/>
        <scheme val="minor"/>
      </rPr>
      <t xml:space="preserve"> </t>
    </r>
    <r>
      <rPr>
        <b/>
        <sz val="10"/>
        <rFont val="Calibri"/>
        <family val="2"/>
      </rPr>
      <t>≥</t>
    </r>
    <r>
      <rPr>
        <b/>
        <sz val="10"/>
        <rFont val="Calibri"/>
        <family val="2"/>
        <scheme val="minor"/>
      </rPr>
      <t>20 mm in women aged 40-69 years</t>
    </r>
    <r>
      <rPr>
        <sz val="10"/>
        <rFont val="Calibri"/>
        <family val="2"/>
        <scheme val="minor"/>
      </rPr>
      <t>; until date at which the control group was invited to screening (1985?)</t>
    </r>
  </si>
  <si>
    <r>
      <t>Absolute incidence of invasive breast cancers with</t>
    </r>
    <r>
      <rPr>
        <b/>
        <sz val="10"/>
        <rFont val="Calibri"/>
        <family val="2"/>
        <scheme val="minor"/>
      </rPr>
      <t xml:space="preserve"> node status negative</t>
    </r>
    <r>
      <rPr>
        <sz val="10"/>
        <rFont val="Calibri"/>
        <family val="2"/>
      </rPr>
      <t xml:space="preserve"> (per 1,000</t>
    </r>
    <r>
      <rPr>
        <b/>
        <sz val="10"/>
        <rFont val="Calibri"/>
        <family val="2"/>
      </rPr>
      <t xml:space="preserve"> women aged 40-69 years</t>
    </r>
    <r>
      <rPr>
        <sz val="10"/>
        <rFont val="Calibri"/>
        <family val="2"/>
      </rPr>
      <t>); until date at which the control group was invited to screening (1985?);</t>
    </r>
    <r>
      <rPr>
        <sz val="10"/>
        <rFont val="Calibri"/>
        <family val="2"/>
        <scheme val="minor"/>
      </rPr>
      <t xml:space="preserve">
study vs control arms</t>
    </r>
  </si>
  <si>
    <t>Axillary lymph nodes were histologically examined in 1499 cases (95%).</t>
  </si>
  <si>
    <r>
      <t xml:space="preserve">Number of invasive breast cancers with </t>
    </r>
    <r>
      <rPr>
        <b/>
        <sz val="10"/>
        <rFont val="Calibri"/>
        <family val="2"/>
        <scheme val="minor"/>
      </rPr>
      <t>node status negative in women aged 40-69 years</t>
    </r>
    <r>
      <rPr>
        <sz val="10"/>
        <rFont val="Calibri"/>
        <family val="2"/>
        <scheme val="minor"/>
      </rPr>
      <t>; until date at which the control group was invited to screening (1985?)</t>
    </r>
  </si>
  <si>
    <r>
      <t>Absolute incidence of invasive breast cancers with</t>
    </r>
    <r>
      <rPr>
        <b/>
        <sz val="10"/>
        <rFont val="Calibri"/>
        <family val="2"/>
        <scheme val="minor"/>
      </rPr>
      <t xml:space="preserve"> node status positive without distant metastases</t>
    </r>
    <r>
      <rPr>
        <sz val="10"/>
        <rFont val="Calibri"/>
        <family val="2"/>
      </rPr>
      <t xml:space="preserve"> (per 1,000</t>
    </r>
    <r>
      <rPr>
        <b/>
        <sz val="10"/>
        <rFont val="Calibri"/>
        <family val="2"/>
      </rPr>
      <t xml:space="preserve"> women aged 40-69 years</t>
    </r>
    <r>
      <rPr>
        <sz val="10"/>
        <rFont val="Calibri"/>
        <family val="2"/>
      </rPr>
      <t>); until date at which the control group was invited to screening (1985?);</t>
    </r>
    <r>
      <rPr>
        <sz val="10"/>
        <rFont val="Calibri"/>
        <family val="2"/>
        <scheme val="minor"/>
      </rPr>
      <t xml:space="preserve">
study vs control arms</t>
    </r>
  </si>
  <si>
    <r>
      <t xml:space="preserve">Number of invasive breast cancers with </t>
    </r>
    <r>
      <rPr>
        <b/>
        <sz val="10"/>
        <rFont val="Calibri"/>
        <family val="2"/>
        <scheme val="minor"/>
      </rPr>
      <t>node status positive without distant metastases in women aged 40-69 years</t>
    </r>
    <r>
      <rPr>
        <sz val="10"/>
        <rFont val="Calibri"/>
        <family val="2"/>
        <scheme val="minor"/>
      </rPr>
      <t>; until date at which the control group was invited to screening (1985?)</t>
    </r>
  </si>
  <si>
    <r>
      <t>Absolute incidence of invasive breast cancers with</t>
    </r>
    <r>
      <rPr>
        <b/>
        <sz val="10"/>
        <rFont val="Calibri"/>
        <family val="2"/>
        <scheme val="minor"/>
      </rPr>
      <t xml:space="preserve"> distant metastases</t>
    </r>
    <r>
      <rPr>
        <sz val="10"/>
        <rFont val="Calibri"/>
        <family val="2"/>
      </rPr>
      <t xml:space="preserve"> (per 1,000</t>
    </r>
    <r>
      <rPr>
        <b/>
        <sz val="10"/>
        <rFont val="Calibri"/>
        <family val="2"/>
      </rPr>
      <t xml:space="preserve"> women aged 40-69 years</t>
    </r>
    <r>
      <rPr>
        <sz val="10"/>
        <rFont val="Calibri"/>
        <family val="2"/>
      </rPr>
      <t>); until date at which the control group was invited to screening (1985?);</t>
    </r>
    <r>
      <rPr>
        <sz val="10"/>
        <rFont val="Calibri"/>
        <family val="2"/>
        <scheme val="minor"/>
      </rPr>
      <t xml:space="preserve">
study vs control arms</t>
    </r>
  </si>
  <si>
    <t>Distant metastases</t>
  </si>
  <si>
    <r>
      <t xml:space="preserve">Number of invasive breast cancers with </t>
    </r>
    <r>
      <rPr>
        <b/>
        <sz val="10"/>
        <rFont val="Calibri"/>
        <family val="2"/>
        <scheme val="minor"/>
      </rPr>
      <t>distant metastases in women aged 40-69 years</t>
    </r>
    <r>
      <rPr>
        <sz val="10"/>
        <rFont val="Calibri"/>
        <family val="2"/>
        <scheme val="minor"/>
      </rPr>
      <t>; until date at which the control group was invited to screening (1985?)</t>
    </r>
  </si>
  <si>
    <r>
      <t xml:space="preserve">Diagnostic yield at screening (per 1,000 women </t>
    </r>
    <r>
      <rPr>
        <b/>
        <sz val="10"/>
        <rFont val="Calibri"/>
        <family val="2"/>
        <scheme val="minor"/>
      </rPr>
      <t>aged 40-74 years at entry</t>
    </r>
    <r>
      <rPr>
        <sz val="10"/>
        <rFont val="Calibri"/>
        <family val="2"/>
        <scheme val="minor"/>
      </rPr>
      <t>); until controls have been screened;
Screening arm only</t>
    </r>
  </si>
  <si>
    <t xml:space="preserve">Nationwide cancer registration; tumours were staged according to UICC </t>
  </si>
  <si>
    <t>After control exit screen</t>
  </si>
  <si>
    <r>
      <t xml:space="preserve">Number of screen-detected breast cancers </t>
    </r>
    <r>
      <rPr>
        <b/>
        <sz val="10"/>
        <rFont val="Calibri"/>
        <family val="2"/>
        <scheme val="minor"/>
      </rPr>
      <t>in women aged 40-74 years at entry</t>
    </r>
    <r>
      <rPr>
        <sz val="10"/>
        <rFont val="Calibri"/>
        <family val="2"/>
        <scheme val="minor"/>
      </rPr>
      <t>, until controls have been screened</t>
    </r>
  </si>
  <si>
    <r>
      <t xml:space="preserve">Number of women randomised to screening arm </t>
    </r>
    <r>
      <rPr>
        <b/>
        <sz val="10"/>
        <rFont val="Calibri"/>
        <family val="2"/>
        <scheme val="minor"/>
      </rPr>
      <t>aged 40-74 years at entry</t>
    </r>
  </si>
  <si>
    <r>
      <t xml:space="preserve">% of breast cancers that are screen-detected in women </t>
    </r>
    <r>
      <rPr>
        <b/>
        <sz val="10"/>
        <rFont val="Calibri"/>
        <family val="2"/>
        <scheme val="minor"/>
      </rPr>
      <t>aged 40-74 years at entry</t>
    </r>
    <r>
      <rPr>
        <sz val="10"/>
        <rFont val="Calibri"/>
        <family val="2"/>
        <scheme val="minor"/>
      </rPr>
      <t>); until controls have been screened;
Screening arm only</t>
    </r>
  </si>
  <si>
    <r>
      <t xml:space="preserve">Number of screen-detected breast cancers </t>
    </r>
    <r>
      <rPr>
        <b/>
        <sz val="10"/>
        <rFont val="Calibri"/>
        <family val="2"/>
        <scheme val="minor"/>
      </rPr>
      <t>in women aged 40-74 years at entry</t>
    </r>
    <r>
      <rPr>
        <sz val="10"/>
        <rFont val="Calibri"/>
        <family val="2"/>
        <scheme val="minor"/>
      </rPr>
      <t xml:space="preserve">,until controls have been screened </t>
    </r>
  </si>
  <si>
    <r>
      <t xml:space="preserve">Total number of breast cancers detected in women </t>
    </r>
    <r>
      <rPr>
        <b/>
        <sz val="10"/>
        <rFont val="Calibri"/>
        <family val="2"/>
        <scheme val="minor"/>
      </rPr>
      <t>aged 40-74 years</t>
    </r>
    <r>
      <rPr>
        <sz val="10"/>
        <rFont val="Calibri"/>
        <family val="2"/>
        <scheme val="minor"/>
      </rPr>
      <t xml:space="preserve"> including first screen of controls</t>
    </r>
  </si>
  <si>
    <r>
      <t xml:space="preserve">% of </t>
    </r>
    <r>
      <rPr>
        <b/>
        <sz val="10"/>
        <rFont val="Calibri"/>
        <family val="2"/>
        <scheme val="minor"/>
      </rPr>
      <t>grade 3</t>
    </r>
    <r>
      <rPr>
        <sz val="10"/>
        <rFont val="Calibri"/>
        <family val="2"/>
        <scheme val="minor"/>
      </rPr>
      <t xml:space="preserve"> breast cancers that are screen-detected in women </t>
    </r>
    <r>
      <rPr>
        <b/>
        <sz val="10"/>
        <rFont val="Calibri"/>
        <family val="2"/>
        <scheme val="minor"/>
      </rPr>
      <t>aged 40-74 years at entry</t>
    </r>
    <r>
      <rPr>
        <sz val="10"/>
        <rFont val="Calibri"/>
        <family val="2"/>
        <scheme val="minor"/>
      </rPr>
      <t>); until control group invited for screening;
Screening arm only</t>
    </r>
  </si>
  <si>
    <t>Before first screen of controls</t>
  </si>
  <si>
    <t>276 for both counties and arms</t>
  </si>
  <si>
    <t>Grade not recorded</t>
  </si>
  <si>
    <r>
      <t xml:space="preserve">Number of </t>
    </r>
    <r>
      <rPr>
        <b/>
        <sz val="10"/>
        <rFont val="Calibri"/>
        <family val="2"/>
        <scheme val="minor"/>
      </rPr>
      <t xml:space="preserve">grade 3 </t>
    </r>
    <r>
      <rPr>
        <sz val="10"/>
        <rFont val="Calibri"/>
        <family val="2"/>
        <scheme val="minor"/>
      </rPr>
      <t xml:space="preserve">screen-detected breast cancers </t>
    </r>
    <r>
      <rPr>
        <b/>
        <sz val="10"/>
        <rFont val="Calibri"/>
        <family val="2"/>
        <scheme val="minor"/>
      </rPr>
      <t>in women aged 40-74 years at entry</t>
    </r>
    <r>
      <rPr>
        <sz val="10"/>
        <rFont val="Calibri"/>
        <family val="2"/>
        <scheme val="minor"/>
      </rPr>
      <t>, before invitation of controls for screening</t>
    </r>
  </si>
  <si>
    <r>
      <t xml:space="preserve">Total number of </t>
    </r>
    <r>
      <rPr>
        <b/>
        <sz val="10"/>
        <rFont val="Calibri"/>
        <family val="2"/>
        <scheme val="minor"/>
      </rPr>
      <t xml:space="preserve">grade 3 </t>
    </r>
    <r>
      <rPr>
        <sz val="10"/>
        <rFont val="Calibri"/>
        <family val="2"/>
        <scheme val="minor"/>
      </rPr>
      <t xml:space="preserve">breast cancers detected in women </t>
    </r>
    <r>
      <rPr>
        <b/>
        <sz val="10"/>
        <rFont val="Calibri"/>
        <family val="2"/>
        <scheme val="minor"/>
      </rPr>
      <t>aged 40-74 years</t>
    </r>
    <r>
      <rPr>
        <sz val="10"/>
        <rFont val="Calibri"/>
        <family val="2"/>
        <scheme val="minor"/>
      </rPr>
      <t xml:space="preserve"> until date at which the control group was invited to screening (1985?)</t>
    </r>
  </si>
  <si>
    <t>147 tumors in situ or with invasive component too small to measure excluded across both arms and counties.
Grade is reported seaprately for each county as its distribution differs between the counties, probably because of the subjective nature of histological grading.</t>
  </si>
  <si>
    <r>
      <t xml:space="preserve">Diagnostic yield at screening (per 1,000 women </t>
    </r>
    <r>
      <rPr>
        <b/>
        <sz val="10"/>
        <rFont val="Calibri"/>
        <family val="2"/>
        <scheme val="minor"/>
      </rPr>
      <t>aged 40-49 years at entry</t>
    </r>
    <r>
      <rPr>
        <sz val="10"/>
        <rFont val="Calibri"/>
        <family val="2"/>
        <scheme val="minor"/>
      </rPr>
      <t>); until controls have been screened;
Screening arm only</t>
    </r>
  </si>
  <si>
    <r>
      <t xml:space="preserve">Number of screen-detected breast cancers </t>
    </r>
    <r>
      <rPr>
        <b/>
        <sz val="10"/>
        <rFont val="Calibri"/>
        <family val="2"/>
        <scheme val="minor"/>
      </rPr>
      <t>in women aged 40-49 years at entry</t>
    </r>
    <r>
      <rPr>
        <sz val="10"/>
        <rFont val="Calibri"/>
        <family val="2"/>
        <scheme val="minor"/>
      </rPr>
      <t>, until controls have been screened</t>
    </r>
  </si>
  <si>
    <r>
      <t xml:space="preserve">Number of women randomised to screening arm </t>
    </r>
    <r>
      <rPr>
        <b/>
        <sz val="10"/>
        <rFont val="Calibri"/>
        <family val="2"/>
        <scheme val="minor"/>
      </rPr>
      <t>aged 40-49 years at entry</t>
    </r>
  </si>
  <si>
    <r>
      <t xml:space="preserve">% of breast cancers that are screen-detected in women </t>
    </r>
    <r>
      <rPr>
        <b/>
        <sz val="10"/>
        <rFont val="Calibri"/>
        <family val="2"/>
        <scheme val="minor"/>
      </rPr>
      <t>aged 40-49 years at entry</t>
    </r>
    <r>
      <rPr>
        <sz val="10"/>
        <rFont val="Calibri"/>
        <family val="2"/>
        <scheme val="minor"/>
      </rPr>
      <t>); until controls have been screened;
Screening arm only</t>
    </r>
  </si>
  <si>
    <r>
      <t xml:space="preserve">Total number of breast cancers detected in women </t>
    </r>
    <r>
      <rPr>
        <b/>
        <sz val="10"/>
        <rFont val="Calibri"/>
        <family val="2"/>
        <scheme val="minor"/>
      </rPr>
      <t>aged 40-49 years</t>
    </r>
    <r>
      <rPr>
        <sz val="10"/>
        <rFont val="Calibri"/>
        <family val="2"/>
        <scheme val="minor"/>
      </rPr>
      <t xml:space="preserve"> until controls have been screened</t>
    </r>
  </si>
  <si>
    <r>
      <t xml:space="preserve">Diagnostic yield at screening (per 1,000 women </t>
    </r>
    <r>
      <rPr>
        <b/>
        <sz val="10"/>
        <rFont val="Calibri"/>
        <family val="2"/>
        <scheme val="minor"/>
      </rPr>
      <t>aged 50-59 years at entry</t>
    </r>
    <r>
      <rPr>
        <sz val="10"/>
        <rFont val="Calibri"/>
        <family val="2"/>
        <scheme val="minor"/>
      </rPr>
      <t>); until controls have been screened;
Screening arm only</t>
    </r>
  </si>
  <si>
    <r>
      <t xml:space="preserve">Number of screen-detected breast cancers </t>
    </r>
    <r>
      <rPr>
        <b/>
        <sz val="10"/>
        <rFont val="Calibri"/>
        <family val="2"/>
        <scheme val="minor"/>
      </rPr>
      <t>in women aged 50-59 years at entry</t>
    </r>
    <r>
      <rPr>
        <sz val="10"/>
        <rFont val="Calibri"/>
        <family val="2"/>
        <scheme val="minor"/>
      </rPr>
      <t>, until controls have been screened</t>
    </r>
  </si>
  <si>
    <r>
      <t xml:space="preserve">Number of women randomised to screening arm </t>
    </r>
    <r>
      <rPr>
        <b/>
        <sz val="10"/>
        <rFont val="Calibri"/>
        <family val="2"/>
        <scheme val="minor"/>
      </rPr>
      <t>aged 50-59 years at entry</t>
    </r>
  </si>
  <si>
    <r>
      <t xml:space="preserve">% of breast cancers that are screen-detected in women </t>
    </r>
    <r>
      <rPr>
        <b/>
        <sz val="10"/>
        <rFont val="Calibri"/>
        <family val="2"/>
        <scheme val="minor"/>
      </rPr>
      <t>aged 50-59 years at entry</t>
    </r>
    <r>
      <rPr>
        <sz val="10"/>
        <rFont val="Calibri"/>
        <family val="2"/>
        <scheme val="minor"/>
      </rPr>
      <t>); until controls have been screened;
Screening arm only</t>
    </r>
  </si>
  <si>
    <r>
      <t xml:space="preserve">Number of screen-detected breast cancers </t>
    </r>
    <r>
      <rPr>
        <b/>
        <sz val="10"/>
        <rFont val="Calibri"/>
        <family val="2"/>
        <scheme val="minor"/>
      </rPr>
      <t>in women aged 50-59 years at entry</t>
    </r>
    <r>
      <rPr>
        <sz val="10"/>
        <rFont val="Calibri"/>
        <family val="2"/>
        <scheme val="minor"/>
      </rPr>
      <t>,until controls have been screened</t>
    </r>
  </si>
  <si>
    <r>
      <t xml:space="preserve">Total number of breast cancers detected in women </t>
    </r>
    <r>
      <rPr>
        <b/>
        <sz val="10"/>
        <rFont val="Calibri"/>
        <family val="2"/>
        <scheme val="minor"/>
      </rPr>
      <t>aged 50-59 years</t>
    </r>
    <r>
      <rPr>
        <sz val="10"/>
        <rFont val="Calibri"/>
        <family val="2"/>
        <scheme val="minor"/>
      </rPr>
      <t xml:space="preserve"> until controls have been screened</t>
    </r>
  </si>
  <si>
    <r>
      <t xml:space="preserve">Diagnostic yield at screening (per 1,000 women </t>
    </r>
    <r>
      <rPr>
        <b/>
        <sz val="10"/>
        <rFont val="Calibri"/>
        <family val="2"/>
        <scheme val="minor"/>
      </rPr>
      <t>aged 60-69 years at entry</t>
    </r>
    <r>
      <rPr>
        <sz val="10"/>
        <rFont val="Calibri"/>
        <family val="2"/>
        <scheme val="minor"/>
      </rPr>
      <t>); until controls have been screened;
Screening arm only</t>
    </r>
  </si>
  <si>
    <r>
      <t xml:space="preserve">Number of screen-detected breast cancers </t>
    </r>
    <r>
      <rPr>
        <b/>
        <sz val="10"/>
        <rFont val="Calibri"/>
        <family val="2"/>
        <scheme val="minor"/>
      </rPr>
      <t>in women aged 60-69 years at entry</t>
    </r>
    <r>
      <rPr>
        <sz val="10"/>
        <rFont val="Calibri"/>
        <family val="2"/>
        <scheme val="minor"/>
      </rPr>
      <t>, including first screen of controls</t>
    </r>
  </si>
  <si>
    <r>
      <t xml:space="preserve">Number of women randomised to screening arm </t>
    </r>
    <r>
      <rPr>
        <b/>
        <sz val="10"/>
        <rFont val="Calibri"/>
        <family val="2"/>
        <scheme val="minor"/>
      </rPr>
      <t>aged 60-69 years at entry</t>
    </r>
  </si>
  <si>
    <r>
      <t xml:space="preserve">% of breast cancers that are screen-detected in women </t>
    </r>
    <r>
      <rPr>
        <b/>
        <sz val="10"/>
        <rFont val="Calibri"/>
        <family val="2"/>
        <scheme val="minor"/>
      </rPr>
      <t>aged 60-69 years at entry</t>
    </r>
    <r>
      <rPr>
        <sz val="10"/>
        <rFont val="Calibri"/>
        <family val="2"/>
        <scheme val="minor"/>
      </rPr>
      <t>); until controls have been screened;
Screening arm only</t>
    </r>
  </si>
  <si>
    <r>
      <t xml:space="preserve">Number of screen-detected breast cancers </t>
    </r>
    <r>
      <rPr>
        <b/>
        <sz val="10"/>
        <rFont val="Calibri"/>
        <family val="2"/>
        <scheme val="minor"/>
      </rPr>
      <t>in women aged 60-69 years at entry</t>
    </r>
    <r>
      <rPr>
        <sz val="10"/>
        <rFont val="Calibri"/>
        <family val="2"/>
        <scheme val="minor"/>
      </rPr>
      <t>, until controls have been screened</t>
    </r>
  </si>
  <si>
    <r>
      <t xml:space="preserve">Total number of breast cancers detected in women </t>
    </r>
    <r>
      <rPr>
        <b/>
        <sz val="10"/>
        <rFont val="Calibri"/>
        <family val="2"/>
        <scheme val="minor"/>
      </rPr>
      <t>aged 60-69 years</t>
    </r>
    <r>
      <rPr>
        <sz val="10"/>
        <rFont val="Calibri"/>
        <family val="2"/>
        <scheme val="minor"/>
      </rPr>
      <t xml:space="preserve"> until controls have been screened</t>
    </r>
  </si>
  <si>
    <r>
      <t xml:space="preserve">Diagnostic yield at screening (per 1,000 women </t>
    </r>
    <r>
      <rPr>
        <b/>
        <sz val="10"/>
        <rFont val="Calibri"/>
        <family val="2"/>
        <scheme val="minor"/>
      </rPr>
      <t>aged 70-74 years at entry</t>
    </r>
    <r>
      <rPr>
        <sz val="10"/>
        <rFont val="Calibri"/>
        <family val="2"/>
        <scheme val="minor"/>
      </rPr>
      <t>); until controls have been screened;
Screening arm only</t>
    </r>
  </si>
  <si>
    <r>
      <t xml:space="preserve">Number of screen-detected breast cancers </t>
    </r>
    <r>
      <rPr>
        <b/>
        <sz val="10"/>
        <rFont val="Calibri"/>
        <family val="2"/>
        <scheme val="minor"/>
      </rPr>
      <t>in women aged 70-74 years at entry</t>
    </r>
    <r>
      <rPr>
        <sz val="10"/>
        <rFont val="Calibri"/>
        <family val="2"/>
        <scheme val="minor"/>
      </rPr>
      <t>, until controls have been screened</t>
    </r>
  </si>
  <si>
    <r>
      <t xml:space="preserve">Number of women randomised to screening arm </t>
    </r>
    <r>
      <rPr>
        <b/>
        <sz val="10"/>
        <rFont val="Calibri"/>
        <family val="2"/>
        <scheme val="minor"/>
      </rPr>
      <t>aged 70-74 years at entry</t>
    </r>
  </si>
  <si>
    <r>
      <t xml:space="preserve">% of breast cancers that are screen-detected in women </t>
    </r>
    <r>
      <rPr>
        <b/>
        <sz val="10"/>
        <rFont val="Calibri"/>
        <family val="2"/>
        <scheme val="minor"/>
      </rPr>
      <t>aged 70-74 years at entry</t>
    </r>
    <r>
      <rPr>
        <sz val="10"/>
        <rFont val="Calibri"/>
        <family val="2"/>
        <scheme val="minor"/>
      </rPr>
      <t>); until controls have been screened;
Screening arm only</t>
    </r>
  </si>
  <si>
    <r>
      <t xml:space="preserve">Total number of breast cancers detected in women </t>
    </r>
    <r>
      <rPr>
        <b/>
        <sz val="10"/>
        <rFont val="Calibri"/>
        <family val="2"/>
        <scheme val="minor"/>
      </rPr>
      <t>aged 70-74 years</t>
    </r>
    <r>
      <rPr>
        <sz val="10"/>
        <rFont val="Calibri"/>
        <family val="2"/>
        <scheme val="minor"/>
      </rPr>
      <t xml:space="preserve"> until controls have been screened</t>
    </r>
  </si>
  <si>
    <r>
      <t>Absolute incidence of</t>
    </r>
    <r>
      <rPr>
        <b/>
        <sz val="10"/>
        <rFont val="Calibri"/>
        <family val="2"/>
        <scheme val="minor"/>
      </rPr>
      <t xml:space="preserve"> node negative</t>
    </r>
    <r>
      <rPr>
        <sz val="10"/>
        <rFont val="Calibri"/>
        <family val="2"/>
        <scheme val="minor"/>
      </rPr>
      <t xml:space="preserve"> breast cancer (per 1,000 women </t>
    </r>
    <r>
      <rPr>
        <b/>
        <sz val="10"/>
        <rFont val="Calibri"/>
        <family val="2"/>
        <scheme val="minor"/>
      </rPr>
      <t>aged 40-74 years at entry</t>
    </r>
    <r>
      <rPr>
        <sz val="10"/>
        <rFont val="Calibri"/>
        <family val="2"/>
        <scheme val="minor"/>
      </rPr>
      <t>); until date at which the control group was invited to screening (1985?);
Screening vs control</t>
    </r>
  </si>
  <si>
    <t>Before control exit screen</t>
  </si>
  <si>
    <t>Total both arms: 130</t>
  </si>
  <si>
    <t>Node status not recorded.</t>
  </si>
  <si>
    <r>
      <t xml:space="preserve">Number of </t>
    </r>
    <r>
      <rPr>
        <b/>
        <sz val="10"/>
        <rFont val="Calibri"/>
        <family val="2"/>
        <scheme val="minor"/>
      </rPr>
      <t xml:space="preserve">node negative </t>
    </r>
    <r>
      <rPr>
        <sz val="10"/>
        <rFont val="Calibri"/>
        <family val="2"/>
        <scheme val="minor"/>
      </rPr>
      <t xml:space="preserve">breast cancers </t>
    </r>
    <r>
      <rPr>
        <b/>
        <sz val="10"/>
        <rFont val="Calibri"/>
        <family val="2"/>
        <scheme val="minor"/>
      </rPr>
      <t>in women aged 40-74 years at entry</t>
    </r>
    <r>
      <rPr>
        <sz val="10"/>
        <rFont val="Calibri"/>
        <family val="2"/>
        <scheme val="minor"/>
      </rPr>
      <t>, until date at which the control group was invited to screening (1985?)</t>
    </r>
  </si>
  <si>
    <t>Table 10 (and Table 2 for denominator)</t>
  </si>
  <si>
    <t>Tumors detected after screening began in the control group not considered.
147 tumors in situ or with an invasive component too small to measure are excluded.</t>
  </si>
  <si>
    <r>
      <t>Absolute incidence of</t>
    </r>
    <r>
      <rPr>
        <b/>
        <sz val="10"/>
        <rFont val="Calibri"/>
        <family val="2"/>
        <scheme val="minor"/>
      </rPr>
      <t xml:space="preserve"> node positive</t>
    </r>
    <r>
      <rPr>
        <sz val="10"/>
        <rFont val="Calibri"/>
        <family val="2"/>
        <scheme val="minor"/>
      </rPr>
      <t xml:space="preserve"> breast cancer (per 1,000 women </t>
    </r>
    <r>
      <rPr>
        <b/>
        <sz val="10"/>
        <rFont val="Calibri"/>
        <family val="2"/>
        <scheme val="minor"/>
      </rPr>
      <t>aged 40-74 years at entry</t>
    </r>
    <r>
      <rPr>
        <sz val="10"/>
        <rFont val="Calibri"/>
        <family val="2"/>
        <scheme val="minor"/>
      </rPr>
      <t>); until date at which the control group was invited to screening (1985?);
Screening vs control</t>
    </r>
  </si>
  <si>
    <r>
      <t xml:space="preserve">Number of </t>
    </r>
    <r>
      <rPr>
        <b/>
        <sz val="10"/>
        <rFont val="Calibri"/>
        <family val="2"/>
        <scheme val="minor"/>
      </rPr>
      <t xml:space="preserve">node positive (but no distant metastases) </t>
    </r>
    <r>
      <rPr>
        <sz val="10"/>
        <rFont val="Calibri"/>
        <family val="2"/>
        <scheme val="minor"/>
      </rPr>
      <t xml:space="preserve">breast cancers </t>
    </r>
    <r>
      <rPr>
        <b/>
        <sz val="10"/>
        <rFont val="Calibri"/>
        <family val="2"/>
        <scheme val="minor"/>
      </rPr>
      <t>in women aged 40-74 years at entry</t>
    </r>
    <r>
      <rPr>
        <sz val="10"/>
        <rFont val="Calibri"/>
        <family val="2"/>
        <scheme val="minor"/>
      </rPr>
      <t>, until date at which the control group was invited to screening (1985?)</t>
    </r>
  </si>
  <si>
    <r>
      <t>Absolute incidence of</t>
    </r>
    <r>
      <rPr>
        <b/>
        <sz val="10"/>
        <rFont val="Calibri"/>
        <family val="2"/>
        <scheme val="minor"/>
      </rPr>
      <t xml:space="preserve"> </t>
    </r>
    <r>
      <rPr>
        <sz val="10"/>
        <rFont val="Calibri"/>
        <family val="2"/>
        <scheme val="minor"/>
      </rPr>
      <t xml:space="preserve">breast cancer </t>
    </r>
    <r>
      <rPr>
        <b/>
        <sz val="10"/>
        <rFont val="Calibri"/>
        <family val="2"/>
        <scheme val="minor"/>
      </rPr>
      <t>with distant metastases</t>
    </r>
    <r>
      <rPr>
        <sz val="10"/>
        <rFont val="Calibri"/>
        <family val="2"/>
        <scheme val="minor"/>
      </rPr>
      <t xml:space="preserve"> (per 1,000 women </t>
    </r>
    <r>
      <rPr>
        <b/>
        <sz val="10"/>
        <rFont val="Calibri"/>
        <family val="2"/>
        <scheme val="minor"/>
      </rPr>
      <t>aged 40-74 years at entry</t>
    </r>
    <r>
      <rPr>
        <sz val="10"/>
        <rFont val="Calibri"/>
        <family val="2"/>
        <scheme val="minor"/>
      </rPr>
      <t>); until date at which the control group was invited to screening (1985?);
Screening vs control</t>
    </r>
  </si>
  <si>
    <r>
      <t>Number of</t>
    </r>
    <r>
      <rPr>
        <b/>
        <sz val="10"/>
        <rFont val="Calibri"/>
        <family val="2"/>
        <scheme val="minor"/>
      </rPr>
      <t xml:space="preserve"> </t>
    </r>
    <r>
      <rPr>
        <sz val="10"/>
        <rFont val="Calibri"/>
        <family val="2"/>
        <scheme val="minor"/>
      </rPr>
      <t xml:space="preserve">breast cancers </t>
    </r>
    <r>
      <rPr>
        <b/>
        <sz val="10"/>
        <rFont val="Calibri"/>
        <family val="2"/>
        <scheme val="minor"/>
      </rPr>
      <t>with distant metastases</t>
    </r>
    <r>
      <rPr>
        <sz val="10"/>
        <rFont val="Calibri"/>
        <family val="2"/>
        <scheme val="minor"/>
      </rPr>
      <t xml:space="preserve"> </t>
    </r>
    <r>
      <rPr>
        <b/>
        <sz val="10"/>
        <rFont val="Calibri"/>
        <family val="2"/>
        <scheme val="minor"/>
      </rPr>
      <t>in women aged 40-74 years at entry</t>
    </r>
    <r>
      <rPr>
        <sz val="10"/>
        <rFont val="Calibri"/>
        <family val="2"/>
        <scheme val="minor"/>
      </rPr>
      <t>, until date at which the control group was invited to screening (1985?)</t>
    </r>
  </si>
  <si>
    <r>
      <t>Absolute incidence of</t>
    </r>
    <r>
      <rPr>
        <b/>
        <sz val="10"/>
        <rFont val="Calibri"/>
        <family val="2"/>
        <scheme val="minor"/>
      </rPr>
      <t xml:space="preserve"> </t>
    </r>
    <r>
      <rPr>
        <sz val="10"/>
        <rFont val="Calibri"/>
        <family val="2"/>
        <scheme val="minor"/>
      </rPr>
      <t xml:space="preserve">breast cancer </t>
    </r>
    <r>
      <rPr>
        <b/>
        <sz val="10"/>
        <rFont val="Calibri"/>
        <family val="2"/>
        <scheme val="minor"/>
      </rPr>
      <t xml:space="preserve">with size 1-9 mm </t>
    </r>
    <r>
      <rPr>
        <sz val="10"/>
        <rFont val="Calibri"/>
        <family val="2"/>
        <scheme val="minor"/>
      </rPr>
      <t xml:space="preserve">(per 1,000 women </t>
    </r>
    <r>
      <rPr>
        <b/>
        <sz val="10"/>
        <rFont val="Calibri"/>
        <family val="2"/>
        <scheme val="minor"/>
      </rPr>
      <t>aged 40-74 years at entry</t>
    </r>
    <r>
      <rPr>
        <sz val="10"/>
        <rFont val="Calibri"/>
        <family val="2"/>
        <scheme val="minor"/>
      </rPr>
      <t>); until date at which the control group was invited to screening (1985?);
Screening vs control</t>
    </r>
  </si>
  <si>
    <t>Total both arms: 6</t>
  </si>
  <si>
    <t>Size unrecorded</t>
  </si>
  <si>
    <r>
      <t xml:space="preserve">Number of breast cancers </t>
    </r>
    <r>
      <rPr>
        <b/>
        <sz val="10"/>
        <rFont val="Calibri"/>
        <family val="2"/>
        <scheme val="minor"/>
      </rPr>
      <t>with size 1-9 mm</t>
    </r>
    <r>
      <rPr>
        <sz val="10"/>
        <rFont val="Calibri"/>
        <family val="2"/>
        <scheme val="minor"/>
      </rPr>
      <t xml:space="preserve"> </t>
    </r>
    <r>
      <rPr>
        <b/>
        <sz val="10"/>
        <rFont val="Calibri"/>
        <family val="2"/>
        <scheme val="minor"/>
      </rPr>
      <t>in women aged 40-74 years at entry</t>
    </r>
    <r>
      <rPr>
        <sz val="10"/>
        <rFont val="Calibri"/>
        <family val="2"/>
        <scheme val="minor"/>
      </rPr>
      <t>, until date at which the control group was invited to screening (1985?)</t>
    </r>
  </si>
  <si>
    <r>
      <t>Absolute incidence of</t>
    </r>
    <r>
      <rPr>
        <b/>
        <sz val="10"/>
        <rFont val="Calibri"/>
        <family val="2"/>
        <scheme val="minor"/>
      </rPr>
      <t xml:space="preserve"> </t>
    </r>
    <r>
      <rPr>
        <sz val="10"/>
        <rFont val="Calibri"/>
        <family val="2"/>
        <scheme val="minor"/>
      </rPr>
      <t xml:space="preserve">breast cancer </t>
    </r>
    <r>
      <rPr>
        <b/>
        <sz val="10"/>
        <rFont val="Calibri"/>
        <family val="2"/>
        <scheme val="minor"/>
      </rPr>
      <t xml:space="preserve">with size 10-14 mm </t>
    </r>
    <r>
      <rPr>
        <sz val="10"/>
        <rFont val="Calibri"/>
        <family val="2"/>
        <scheme val="minor"/>
      </rPr>
      <t xml:space="preserve">(per 1,000 women </t>
    </r>
    <r>
      <rPr>
        <b/>
        <sz val="10"/>
        <rFont val="Calibri"/>
        <family val="2"/>
        <scheme val="minor"/>
      </rPr>
      <t>aged 40-74 years at entry</t>
    </r>
    <r>
      <rPr>
        <sz val="10"/>
        <rFont val="Calibri"/>
        <family val="2"/>
        <scheme val="minor"/>
      </rPr>
      <t>); until date at which the control group was invited to screening (1985?);
Screening vs control</t>
    </r>
  </si>
  <si>
    <r>
      <t xml:space="preserve">Number of breast cancers </t>
    </r>
    <r>
      <rPr>
        <b/>
        <sz val="10"/>
        <rFont val="Calibri"/>
        <family val="2"/>
        <scheme val="minor"/>
      </rPr>
      <t>with size 10-14 mm</t>
    </r>
    <r>
      <rPr>
        <sz val="10"/>
        <rFont val="Calibri"/>
        <family val="2"/>
        <scheme val="minor"/>
      </rPr>
      <t xml:space="preserve"> </t>
    </r>
    <r>
      <rPr>
        <b/>
        <sz val="10"/>
        <rFont val="Calibri"/>
        <family val="2"/>
        <scheme val="minor"/>
      </rPr>
      <t>in women aged 40-74 years at entry</t>
    </r>
    <r>
      <rPr>
        <sz val="10"/>
        <rFont val="Calibri"/>
        <family val="2"/>
        <scheme val="minor"/>
      </rPr>
      <t>, until date at which the control group was invited to screening (1985?)</t>
    </r>
  </si>
  <si>
    <r>
      <t>Absolute incidence of</t>
    </r>
    <r>
      <rPr>
        <b/>
        <sz val="10"/>
        <rFont val="Calibri"/>
        <family val="2"/>
        <scheme val="minor"/>
      </rPr>
      <t xml:space="preserve"> </t>
    </r>
    <r>
      <rPr>
        <sz val="10"/>
        <rFont val="Calibri"/>
        <family val="2"/>
        <scheme val="minor"/>
      </rPr>
      <t xml:space="preserve">breast cancer </t>
    </r>
    <r>
      <rPr>
        <b/>
        <sz val="10"/>
        <rFont val="Calibri"/>
        <family val="2"/>
        <scheme val="minor"/>
      </rPr>
      <t xml:space="preserve">with size 15-19 mm </t>
    </r>
    <r>
      <rPr>
        <sz val="10"/>
        <rFont val="Calibri"/>
        <family val="2"/>
        <scheme val="minor"/>
      </rPr>
      <t xml:space="preserve">(per 1,000 women </t>
    </r>
    <r>
      <rPr>
        <b/>
        <sz val="10"/>
        <rFont val="Calibri"/>
        <family val="2"/>
        <scheme val="minor"/>
      </rPr>
      <t>aged 40-74 years at entry</t>
    </r>
    <r>
      <rPr>
        <sz val="10"/>
        <rFont val="Calibri"/>
        <family val="2"/>
        <scheme val="minor"/>
      </rPr>
      <t>); until date at which the control group was invited to screening (1985?);
Screening vs control</t>
    </r>
  </si>
  <si>
    <r>
      <t xml:space="preserve">Number of breast cancers </t>
    </r>
    <r>
      <rPr>
        <b/>
        <sz val="10"/>
        <rFont val="Calibri"/>
        <family val="2"/>
        <scheme val="minor"/>
      </rPr>
      <t>with size 15-19 mm</t>
    </r>
    <r>
      <rPr>
        <sz val="10"/>
        <rFont val="Calibri"/>
        <family val="2"/>
        <scheme val="minor"/>
      </rPr>
      <t xml:space="preserve"> </t>
    </r>
    <r>
      <rPr>
        <b/>
        <sz val="10"/>
        <rFont val="Calibri"/>
        <family val="2"/>
        <scheme val="minor"/>
      </rPr>
      <t>in women aged 40-74 years at entry</t>
    </r>
    <r>
      <rPr>
        <sz val="10"/>
        <rFont val="Calibri"/>
        <family val="2"/>
        <scheme val="minor"/>
      </rPr>
      <t>, until date at which the control group was invited to screening (1985?)</t>
    </r>
  </si>
  <si>
    <r>
      <t>Absolute incidence of</t>
    </r>
    <r>
      <rPr>
        <b/>
        <sz val="10"/>
        <rFont val="Calibri"/>
        <family val="2"/>
        <scheme val="minor"/>
      </rPr>
      <t xml:space="preserve"> </t>
    </r>
    <r>
      <rPr>
        <sz val="10"/>
        <rFont val="Calibri"/>
        <family val="2"/>
        <scheme val="minor"/>
      </rPr>
      <t xml:space="preserve">breast cancer </t>
    </r>
    <r>
      <rPr>
        <b/>
        <sz val="10"/>
        <rFont val="Calibri"/>
        <family val="2"/>
        <scheme val="minor"/>
      </rPr>
      <t xml:space="preserve">with size &lt;20 mm </t>
    </r>
    <r>
      <rPr>
        <sz val="10"/>
        <rFont val="Calibri"/>
        <family val="2"/>
        <scheme val="minor"/>
      </rPr>
      <t xml:space="preserve">(per 1,000 women </t>
    </r>
    <r>
      <rPr>
        <b/>
        <sz val="10"/>
        <rFont val="Calibri"/>
        <family val="2"/>
        <scheme val="minor"/>
      </rPr>
      <t>aged 40-74 years at entry</t>
    </r>
    <r>
      <rPr>
        <sz val="10"/>
        <rFont val="Calibri"/>
        <family val="2"/>
        <scheme val="minor"/>
      </rPr>
      <t>); until date at which the control group was invited to screening (1985?);
Screening vs control</t>
    </r>
  </si>
  <si>
    <r>
      <t xml:space="preserve">Number of breast cancers </t>
    </r>
    <r>
      <rPr>
        <b/>
        <sz val="10"/>
        <rFont val="Calibri"/>
        <family val="2"/>
        <scheme val="minor"/>
      </rPr>
      <t>with size &lt;20 mm</t>
    </r>
    <r>
      <rPr>
        <sz val="10"/>
        <rFont val="Calibri"/>
        <family val="2"/>
        <scheme val="minor"/>
      </rPr>
      <t xml:space="preserve"> </t>
    </r>
    <r>
      <rPr>
        <b/>
        <sz val="10"/>
        <rFont val="Calibri"/>
        <family val="2"/>
        <scheme val="minor"/>
      </rPr>
      <t>in women aged 40-74 years at entry</t>
    </r>
    <r>
      <rPr>
        <sz val="10"/>
        <rFont val="Calibri"/>
        <family val="2"/>
        <scheme val="minor"/>
      </rPr>
      <t>, until date at which the control group was invited to screening (1985?)</t>
    </r>
  </si>
  <si>
    <r>
      <t>Absolute incidence of</t>
    </r>
    <r>
      <rPr>
        <b/>
        <sz val="10"/>
        <rFont val="Calibri"/>
        <family val="2"/>
        <scheme val="minor"/>
      </rPr>
      <t xml:space="preserve"> </t>
    </r>
    <r>
      <rPr>
        <sz val="10"/>
        <rFont val="Calibri"/>
        <family val="2"/>
        <scheme val="minor"/>
      </rPr>
      <t xml:space="preserve">breast cancer </t>
    </r>
    <r>
      <rPr>
        <b/>
        <sz val="10"/>
        <rFont val="Calibri"/>
        <family val="2"/>
        <scheme val="minor"/>
      </rPr>
      <t xml:space="preserve">with size 20-29 mm </t>
    </r>
    <r>
      <rPr>
        <sz val="10"/>
        <rFont val="Calibri"/>
        <family val="2"/>
        <scheme val="minor"/>
      </rPr>
      <t xml:space="preserve">(per 1,000 women </t>
    </r>
    <r>
      <rPr>
        <b/>
        <sz val="10"/>
        <rFont val="Calibri"/>
        <family val="2"/>
        <scheme val="minor"/>
      </rPr>
      <t>aged 40-74 years at entry</t>
    </r>
    <r>
      <rPr>
        <sz val="10"/>
        <rFont val="Calibri"/>
        <family val="2"/>
        <scheme val="minor"/>
      </rPr>
      <t>); until date at which the control group was invited to screening (1985?);
Screening vs control</t>
    </r>
  </si>
  <si>
    <r>
      <t xml:space="preserve">Number of breast cancers </t>
    </r>
    <r>
      <rPr>
        <b/>
        <sz val="10"/>
        <rFont val="Calibri"/>
        <family val="2"/>
        <scheme val="minor"/>
      </rPr>
      <t>with size 20-29 mm</t>
    </r>
    <r>
      <rPr>
        <sz val="10"/>
        <rFont val="Calibri"/>
        <family val="2"/>
        <scheme val="minor"/>
      </rPr>
      <t xml:space="preserve"> </t>
    </r>
    <r>
      <rPr>
        <b/>
        <sz val="10"/>
        <rFont val="Calibri"/>
        <family val="2"/>
        <scheme val="minor"/>
      </rPr>
      <t>in women aged 40-74 years at entry</t>
    </r>
    <r>
      <rPr>
        <sz val="10"/>
        <rFont val="Calibri"/>
        <family val="2"/>
        <scheme val="minor"/>
      </rPr>
      <t>, until date at which the control group was invited to screening (1985?)</t>
    </r>
  </si>
  <si>
    <r>
      <t>Absolute incidence of</t>
    </r>
    <r>
      <rPr>
        <b/>
        <sz val="10"/>
        <rFont val="Calibri"/>
        <family val="2"/>
        <scheme val="minor"/>
      </rPr>
      <t xml:space="preserve"> </t>
    </r>
    <r>
      <rPr>
        <sz val="10"/>
        <rFont val="Calibri"/>
        <family val="2"/>
        <scheme val="minor"/>
      </rPr>
      <t xml:space="preserve">breast cancer </t>
    </r>
    <r>
      <rPr>
        <b/>
        <sz val="10"/>
        <rFont val="Calibri"/>
        <family val="2"/>
        <scheme val="minor"/>
      </rPr>
      <t xml:space="preserve">with size 30-49 mm </t>
    </r>
    <r>
      <rPr>
        <sz val="10"/>
        <rFont val="Calibri"/>
        <family val="2"/>
        <scheme val="minor"/>
      </rPr>
      <t xml:space="preserve">(per 1,000 women </t>
    </r>
    <r>
      <rPr>
        <b/>
        <sz val="10"/>
        <rFont val="Calibri"/>
        <family val="2"/>
        <scheme val="minor"/>
      </rPr>
      <t>aged 40-74 years at entry</t>
    </r>
    <r>
      <rPr>
        <sz val="10"/>
        <rFont val="Calibri"/>
        <family val="2"/>
        <scheme val="minor"/>
      </rPr>
      <t>); until date at which the control group was invited to screening (1985?);
Screeningvs control</t>
    </r>
  </si>
  <si>
    <r>
      <t xml:space="preserve">Number of breast cancers </t>
    </r>
    <r>
      <rPr>
        <b/>
        <sz val="10"/>
        <rFont val="Calibri"/>
        <family val="2"/>
        <scheme val="minor"/>
      </rPr>
      <t>with size 30-49 mm</t>
    </r>
    <r>
      <rPr>
        <sz val="10"/>
        <rFont val="Calibri"/>
        <family val="2"/>
        <scheme val="minor"/>
      </rPr>
      <t xml:space="preserve"> </t>
    </r>
    <r>
      <rPr>
        <b/>
        <sz val="10"/>
        <rFont val="Calibri"/>
        <family val="2"/>
        <scheme val="minor"/>
      </rPr>
      <t>in women aged 40-74 years at entry</t>
    </r>
    <r>
      <rPr>
        <sz val="10"/>
        <rFont val="Calibri"/>
        <family val="2"/>
        <scheme val="minor"/>
      </rPr>
      <t>, until date at which the control group was invited to screening (1985?)</t>
    </r>
  </si>
  <si>
    <r>
      <t>Absolute incidence of</t>
    </r>
    <r>
      <rPr>
        <b/>
        <sz val="10"/>
        <rFont val="Calibri"/>
        <family val="2"/>
        <scheme val="minor"/>
      </rPr>
      <t xml:space="preserve"> </t>
    </r>
    <r>
      <rPr>
        <sz val="10"/>
        <rFont val="Calibri"/>
        <family val="2"/>
        <scheme val="minor"/>
      </rPr>
      <t xml:space="preserve">breast cancer </t>
    </r>
    <r>
      <rPr>
        <b/>
        <sz val="10"/>
        <rFont val="Calibri"/>
        <family val="2"/>
        <scheme val="minor"/>
      </rPr>
      <t xml:space="preserve">with size 50+ mm </t>
    </r>
    <r>
      <rPr>
        <sz val="10"/>
        <rFont val="Calibri"/>
        <family val="2"/>
        <scheme val="minor"/>
      </rPr>
      <t xml:space="preserve">(per 1,000 women </t>
    </r>
    <r>
      <rPr>
        <b/>
        <sz val="10"/>
        <rFont val="Calibri"/>
        <family val="2"/>
        <scheme val="minor"/>
      </rPr>
      <t>aged 40-74 years at entry</t>
    </r>
    <r>
      <rPr>
        <sz val="10"/>
        <rFont val="Calibri"/>
        <family val="2"/>
        <scheme val="minor"/>
      </rPr>
      <t>); until date at which the control group was invited to screening (1985?);
Screening vs control</t>
    </r>
  </si>
  <si>
    <r>
      <t xml:space="preserve">Number of breast cancers </t>
    </r>
    <r>
      <rPr>
        <b/>
        <sz val="10"/>
        <rFont val="Calibri"/>
        <family val="2"/>
        <scheme val="minor"/>
      </rPr>
      <t>with size 50+ mm</t>
    </r>
    <r>
      <rPr>
        <sz val="10"/>
        <rFont val="Calibri"/>
        <family val="2"/>
        <scheme val="minor"/>
      </rPr>
      <t xml:space="preserve"> </t>
    </r>
    <r>
      <rPr>
        <b/>
        <sz val="10"/>
        <rFont val="Calibri"/>
        <family val="2"/>
        <scheme val="minor"/>
      </rPr>
      <t>in women aged 40-74 years at entry</t>
    </r>
    <r>
      <rPr>
        <sz val="10"/>
        <rFont val="Calibri"/>
        <family val="2"/>
        <scheme val="minor"/>
      </rPr>
      <t>, until date at which the control group was invited to screening (1985?)</t>
    </r>
  </si>
  <si>
    <r>
      <t>Absolute incidence of</t>
    </r>
    <r>
      <rPr>
        <b/>
        <sz val="10"/>
        <rFont val="Calibri"/>
        <family val="2"/>
        <scheme val="minor"/>
      </rPr>
      <t xml:space="preserve"> </t>
    </r>
    <r>
      <rPr>
        <sz val="10"/>
        <rFont val="Calibri"/>
        <family val="2"/>
        <scheme val="minor"/>
      </rPr>
      <t xml:space="preserve">breast cancer </t>
    </r>
    <r>
      <rPr>
        <b/>
        <sz val="10"/>
        <rFont val="Calibri"/>
        <family val="2"/>
        <scheme val="minor"/>
      </rPr>
      <t xml:space="preserve">with size 20+ mm </t>
    </r>
    <r>
      <rPr>
        <sz val="10"/>
        <rFont val="Calibri"/>
        <family val="2"/>
        <scheme val="minor"/>
      </rPr>
      <t xml:space="preserve">(per 1,000 women </t>
    </r>
    <r>
      <rPr>
        <b/>
        <sz val="10"/>
        <rFont val="Calibri"/>
        <family val="2"/>
        <scheme val="minor"/>
      </rPr>
      <t>aged 40-74 years at entry</t>
    </r>
    <r>
      <rPr>
        <sz val="10"/>
        <rFont val="Calibri"/>
        <family val="2"/>
        <scheme val="minor"/>
      </rPr>
      <t>); until date at which the control group was invited to screening (1985?);
Screening vs control</t>
    </r>
  </si>
  <si>
    <r>
      <t xml:space="preserve">Number of breast cancers </t>
    </r>
    <r>
      <rPr>
        <b/>
        <sz val="10"/>
        <rFont val="Calibri"/>
        <family val="2"/>
        <scheme val="minor"/>
      </rPr>
      <t>with size ≥20 mm mm</t>
    </r>
    <r>
      <rPr>
        <sz val="10"/>
        <rFont val="Calibri"/>
        <family val="2"/>
        <scheme val="minor"/>
      </rPr>
      <t xml:space="preserve"> </t>
    </r>
    <r>
      <rPr>
        <b/>
        <sz val="10"/>
        <rFont val="Calibri"/>
        <family val="2"/>
        <scheme val="minor"/>
      </rPr>
      <t>in women aged 40-74 years at entry</t>
    </r>
    <r>
      <rPr>
        <sz val="10"/>
        <rFont val="Calibri"/>
        <family val="2"/>
        <scheme val="minor"/>
      </rPr>
      <t>, until date at which the control group was invited to screening (1985?)</t>
    </r>
  </si>
  <si>
    <r>
      <t>Absolute incidence of</t>
    </r>
    <r>
      <rPr>
        <b/>
        <sz val="10"/>
        <rFont val="Calibri"/>
        <family val="2"/>
        <scheme val="minor"/>
      </rPr>
      <t xml:space="preserve"> node negative </t>
    </r>
    <r>
      <rPr>
        <sz val="10"/>
        <rFont val="Calibri"/>
        <family val="2"/>
        <scheme val="minor"/>
      </rPr>
      <t xml:space="preserve">invasive breast cancer (per 1,000 women </t>
    </r>
    <r>
      <rPr>
        <b/>
        <sz val="10"/>
        <rFont val="Calibri"/>
        <family val="2"/>
        <scheme val="minor"/>
      </rPr>
      <t>aged 40-74 years at entry</t>
    </r>
    <r>
      <rPr>
        <sz val="10"/>
        <rFont val="Calibri"/>
        <family val="2"/>
        <scheme val="minor"/>
      </rPr>
      <t>); including first screen of controls and contemporaneous cancers diagnosed in study group;
Screening vs control</t>
    </r>
  </si>
  <si>
    <r>
      <t xml:space="preserve">Number of </t>
    </r>
    <r>
      <rPr>
        <b/>
        <sz val="10"/>
        <rFont val="Calibri"/>
        <family val="2"/>
        <scheme val="minor"/>
      </rPr>
      <t xml:space="preserve">node negative </t>
    </r>
    <r>
      <rPr>
        <sz val="10"/>
        <rFont val="Calibri"/>
        <family val="2"/>
        <scheme val="minor"/>
      </rPr>
      <t>invasive</t>
    </r>
    <r>
      <rPr>
        <b/>
        <sz val="10"/>
        <rFont val="Calibri"/>
        <family val="2"/>
        <scheme val="minor"/>
      </rPr>
      <t xml:space="preserve"> </t>
    </r>
    <r>
      <rPr>
        <sz val="10"/>
        <rFont val="Calibri"/>
        <family val="2"/>
        <scheme val="minor"/>
      </rPr>
      <t xml:space="preserve">breast cancers </t>
    </r>
    <r>
      <rPr>
        <b/>
        <sz val="10"/>
        <rFont val="Calibri"/>
        <family val="2"/>
        <scheme val="minor"/>
      </rPr>
      <t>in women aged 40-74 years at entry</t>
    </r>
    <r>
      <rPr>
        <sz val="10"/>
        <rFont val="Calibri"/>
        <family val="2"/>
        <scheme val="minor"/>
      </rPr>
      <t>, including first screen of controls and contemporaneous cancers diagnosed in study group</t>
    </r>
  </si>
  <si>
    <t>Table 10 and Table 14 (and Table 2 for denominator)</t>
  </si>
  <si>
    <t>147 tumors in situ or with an invasive component too small to measure are excluded.
6 (ASP) and 48 (PSP) in situ cancers detected at first screen of controls and contemporaneous cancers diagnosed in study group excluded.</t>
  </si>
  <si>
    <r>
      <t>Absolute incidence of</t>
    </r>
    <r>
      <rPr>
        <b/>
        <sz val="10"/>
        <rFont val="Calibri"/>
        <family val="2"/>
        <scheme val="minor"/>
      </rPr>
      <t xml:space="preserve"> node positive</t>
    </r>
    <r>
      <rPr>
        <sz val="10"/>
        <rFont val="Calibri"/>
        <family val="2"/>
        <scheme val="minor"/>
      </rPr>
      <t xml:space="preserve"> invasive breast cancer (per 1,000 women </t>
    </r>
    <r>
      <rPr>
        <b/>
        <sz val="10"/>
        <rFont val="Calibri"/>
        <family val="2"/>
        <scheme val="minor"/>
      </rPr>
      <t>aged 40-74 years at entry</t>
    </r>
    <r>
      <rPr>
        <sz val="10"/>
        <rFont val="Calibri"/>
        <family val="2"/>
        <scheme val="minor"/>
      </rPr>
      <t>); including first screen of controls and contemporaneous cancers diagnosed in study group;
Screening vs control</t>
    </r>
  </si>
  <si>
    <r>
      <t xml:space="preserve">Number of </t>
    </r>
    <r>
      <rPr>
        <b/>
        <sz val="10"/>
        <rFont val="Calibri"/>
        <family val="2"/>
        <scheme val="minor"/>
      </rPr>
      <t xml:space="preserve">node positive (but no distant metastases) </t>
    </r>
    <r>
      <rPr>
        <sz val="10"/>
        <rFont val="Calibri"/>
        <family val="2"/>
        <scheme val="minor"/>
      </rPr>
      <t xml:space="preserve">invasive </t>
    </r>
    <r>
      <rPr>
        <b/>
        <sz val="10"/>
        <rFont val="Calibri"/>
        <family val="2"/>
        <scheme val="minor"/>
      </rPr>
      <t xml:space="preserve"> </t>
    </r>
    <r>
      <rPr>
        <sz val="10"/>
        <rFont val="Calibri"/>
        <family val="2"/>
        <scheme val="minor"/>
      </rPr>
      <t xml:space="preserve">breast cancers </t>
    </r>
    <r>
      <rPr>
        <b/>
        <sz val="10"/>
        <rFont val="Calibri"/>
        <family val="2"/>
        <scheme val="minor"/>
      </rPr>
      <t>in women aged 40-74 years at entry</t>
    </r>
    <r>
      <rPr>
        <sz val="10"/>
        <rFont val="Calibri"/>
        <family val="2"/>
        <scheme val="minor"/>
      </rPr>
      <t>, including first screen of controls and contemporaneous cancers diagnosed in study group</t>
    </r>
  </si>
  <si>
    <r>
      <t xml:space="preserve">Absolute incidence of invasive breast cancer </t>
    </r>
    <r>
      <rPr>
        <b/>
        <sz val="10"/>
        <rFont val="Calibri"/>
        <family val="2"/>
        <scheme val="minor"/>
      </rPr>
      <t>with distant metastases</t>
    </r>
    <r>
      <rPr>
        <sz val="10"/>
        <rFont val="Calibri"/>
        <family val="2"/>
        <scheme val="minor"/>
      </rPr>
      <t xml:space="preserve"> (per 1,000 women </t>
    </r>
    <r>
      <rPr>
        <b/>
        <sz val="10"/>
        <rFont val="Calibri"/>
        <family val="2"/>
        <scheme val="minor"/>
      </rPr>
      <t>aged 40-74 years at entry</t>
    </r>
    <r>
      <rPr>
        <sz val="10"/>
        <rFont val="Calibri"/>
        <family val="2"/>
        <scheme val="minor"/>
      </rPr>
      <t>); including first screen of controls and contemporaneous cancers diagnosed in study group;
Screening vs control</t>
    </r>
  </si>
  <si>
    <r>
      <t xml:space="preserve">Number of invasive breast cancers </t>
    </r>
    <r>
      <rPr>
        <b/>
        <sz val="10"/>
        <rFont val="Calibri"/>
        <family val="2"/>
        <scheme val="minor"/>
      </rPr>
      <t>with distant metastases</t>
    </r>
    <r>
      <rPr>
        <sz val="10"/>
        <rFont val="Calibri"/>
        <family val="2"/>
        <scheme val="minor"/>
      </rPr>
      <t xml:space="preserve"> </t>
    </r>
    <r>
      <rPr>
        <b/>
        <sz val="10"/>
        <rFont val="Calibri"/>
        <family val="2"/>
        <scheme val="minor"/>
      </rPr>
      <t>in women aged 40-74 years at entry</t>
    </r>
    <r>
      <rPr>
        <sz val="10"/>
        <rFont val="Calibri"/>
        <family val="2"/>
        <scheme val="minor"/>
      </rPr>
      <t>, including first screen of controls and contemporaneous cancers diagnosed in study group</t>
    </r>
  </si>
  <si>
    <r>
      <t>Absolute incidence of</t>
    </r>
    <r>
      <rPr>
        <b/>
        <sz val="10"/>
        <rFont val="Calibri"/>
        <family val="2"/>
        <scheme val="minor"/>
      </rPr>
      <t xml:space="preserve"> </t>
    </r>
    <r>
      <rPr>
        <sz val="10"/>
        <rFont val="Calibri"/>
        <family val="2"/>
        <scheme val="minor"/>
      </rPr>
      <t xml:space="preserve">breast cancer </t>
    </r>
    <r>
      <rPr>
        <b/>
        <sz val="10"/>
        <rFont val="Calibri"/>
        <family val="2"/>
        <scheme val="minor"/>
      </rPr>
      <t xml:space="preserve">with size 1-9 mm </t>
    </r>
    <r>
      <rPr>
        <sz val="10"/>
        <rFont val="Calibri"/>
        <family val="2"/>
        <scheme val="minor"/>
      </rPr>
      <t xml:space="preserve">(per 1,000 women </t>
    </r>
    <r>
      <rPr>
        <b/>
        <sz val="10"/>
        <rFont val="Calibri"/>
        <family val="2"/>
        <scheme val="minor"/>
      </rPr>
      <t>aged 40-74 years at entry</t>
    </r>
    <r>
      <rPr>
        <sz val="10"/>
        <rFont val="Calibri"/>
        <family val="2"/>
        <scheme val="minor"/>
      </rPr>
      <t>); including first screen of controls and contemporaneous cancers diagnosed in study group;
Screening vs control</t>
    </r>
  </si>
  <si>
    <t>Total both arms: 6 (+4 in study group)</t>
  </si>
  <si>
    <t>Total both arms: 6
(+8 in control group)</t>
  </si>
  <si>
    <r>
      <t xml:space="preserve">Number of breast cancers </t>
    </r>
    <r>
      <rPr>
        <b/>
        <sz val="10"/>
        <rFont val="Calibri"/>
        <family val="2"/>
        <scheme val="minor"/>
      </rPr>
      <t>with size 1-9 mm</t>
    </r>
    <r>
      <rPr>
        <sz val="10"/>
        <rFont val="Calibri"/>
        <family val="2"/>
        <scheme val="minor"/>
      </rPr>
      <t xml:space="preserve"> </t>
    </r>
    <r>
      <rPr>
        <b/>
        <sz val="10"/>
        <rFont val="Calibri"/>
        <family val="2"/>
        <scheme val="minor"/>
      </rPr>
      <t>in women aged 40-74 years at entry</t>
    </r>
    <r>
      <rPr>
        <sz val="10"/>
        <rFont val="Calibri"/>
        <family val="2"/>
        <scheme val="minor"/>
      </rPr>
      <t>, including first screen of controls and contemporaneous cancers diagnosed in study group</t>
    </r>
  </si>
  <si>
    <t xml:space="preserve">Before screening of control group: 147 tumors in situ or with an invasive component too small to measure are excluded.
Cancers detected at control group screening or contemporanous study group cancers: 1 (ASP) and 26 (PSP) in situ or &lt;1mm excluded. </t>
  </si>
  <si>
    <r>
      <t>Absolute incidence of</t>
    </r>
    <r>
      <rPr>
        <b/>
        <sz val="10"/>
        <rFont val="Calibri"/>
        <family val="2"/>
        <scheme val="minor"/>
      </rPr>
      <t xml:space="preserve"> </t>
    </r>
    <r>
      <rPr>
        <sz val="10"/>
        <rFont val="Calibri"/>
        <family val="2"/>
        <scheme val="minor"/>
      </rPr>
      <t xml:space="preserve">breast cancer </t>
    </r>
    <r>
      <rPr>
        <b/>
        <sz val="10"/>
        <rFont val="Calibri"/>
        <family val="2"/>
        <scheme val="minor"/>
      </rPr>
      <t xml:space="preserve">with size 10-14 mm </t>
    </r>
    <r>
      <rPr>
        <sz val="10"/>
        <rFont val="Calibri"/>
        <family val="2"/>
        <scheme val="minor"/>
      </rPr>
      <t xml:space="preserve">(per 1,000 women </t>
    </r>
    <r>
      <rPr>
        <b/>
        <sz val="10"/>
        <rFont val="Calibri"/>
        <family val="2"/>
        <scheme val="minor"/>
      </rPr>
      <t>aged 40-74 years at entry</t>
    </r>
    <r>
      <rPr>
        <sz val="10"/>
        <rFont val="Calibri"/>
        <family val="2"/>
        <scheme val="minor"/>
      </rPr>
      <t>); including first screen of controls and contemporaneous cancers diagnosed in study group;
Screening vs control</t>
    </r>
  </si>
  <si>
    <r>
      <t xml:space="preserve">Number of breast cancers </t>
    </r>
    <r>
      <rPr>
        <b/>
        <sz val="10"/>
        <rFont val="Calibri"/>
        <family val="2"/>
        <scheme val="minor"/>
      </rPr>
      <t>with size 10-14 mm</t>
    </r>
    <r>
      <rPr>
        <sz val="10"/>
        <rFont val="Calibri"/>
        <family val="2"/>
        <scheme val="minor"/>
      </rPr>
      <t xml:space="preserve"> </t>
    </r>
    <r>
      <rPr>
        <b/>
        <sz val="10"/>
        <rFont val="Calibri"/>
        <family val="2"/>
        <scheme val="minor"/>
      </rPr>
      <t>in women aged 40-74 years at entry</t>
    </r>
    <r>
      <rPr>
        <sz val="10"/>
        <rFont val="Calibri"/>
        <family val="2"/>
        <scheme val="minor"/>
      </rPr>
      <t>, including first screen of controls and contemporaneous cancers diagnosed in study group</t>
    </r>
  </si>
  <si>
    <r>
      <t>Absolute incidence of</t>
    </r>
    <r>
      <rPr>
        <b/>
        <sz val="10"/>
        <rFont val="Calibri"/>
        <family val="2"/>
        <scheme val="minor"/>
      </rPr>
      <t xml:space="preserve"> </t>
    </r>
    <r>
      <rPr>
        <sz val="10"/>
        <rFont val="Calibri"/>
        <family val="2"/>
        <scheme val="minor"/>
      </rPr>
      <t xml:space="preserve">breast cancer </t>
    </r>
    <r>
      <rPr>
        <b/>
        <sz val="10"/>
        <rFont val="Calibri"/>
        <family val="2"/>
        <scheme val="minor"/>
      </rPr>
      <t xml:space="preserve">with size 15-19 mm </t>
    </r>
    <r>
      <rPr>
        <sz val="10"/>
        <rFont val="Calibri"/>
        <family val="2"/>
        <scheme val="minor"/>
      </rPr>
      <t xml:space="preserve">(per 1,000 women </t>
    </r>
    <r>
      <rPr>
        <b/>
        <sz val="10"/>
        <rFont val="Calibri"/>
        <family val="2"/>
        <scheme val="minor"/>
      </rPr>
      <t>aged 40-74 years at entry</t>
    </r>
    <r>
      <rPr>
        <sz val="10"/>
        <rFont val="Calibri"/>
        <family val="2"/>
        <scheme val="minor"/>
      </rPr>
      <t>); including first screen of controls and contemporaneous cancers diagnosed in study group;
Screening vs control</t>
    </r>
  </si>
  <si>
    <r>
      <t xml:space="preserve">Number of breast cancers </t>
    </r>
    <r>
      <rPr>
        <b/>
        <sz val="10"/>
        <rFont val="Calibri"/>
        <family val="2"/>
        <scheme val="minor"/>
      </rPr>
      <t>with size 15-19 mm</t>
    </r>
    <r>
      <rPr>
        <sz val="10"/>
        <rFont val="Calibri"/>
        <family val="2"/>
        <scheme val="minor"/>
      </rPr>
      <t xml:space="preserve"> </t>
    </r>
    <r>
      <rPr>
        <b/>
        <sz val="10"/>
        <rFont val="Calibri"/>
        <family val="2"/>
        <scheme val="minor"/>
      </rPr>
      <t>in women aged 40-74 years at entry</t>
    </r>
    <r>
      <rPr>
        <sz val="10"/>
        <rFont val="Calibri"/>
        <family val="2"/>
        <scheme val="minor"/>
      </rPr>
      <t>, including first screen of controls and contemporaneous cancers diagnosed in study group</t>
    </r>
  </si>
  <si>
    <r>
      <t>Absolute incidence of</t>
    </r>
    <r>
      <rPr>
        <b/>
        <sz val="10"/>
        <rFont val="Calibri"/>
        <family val="2"/>
        <scheme val="minor"/>
      </rPr>
      <t xml:space="preserve"> </t>
    </r>
    <r>
      <rPr>
        <sz val="10"/>
        <rFont val="Calibri"/>
        <family val="2"/>
        <scheme val="minor"/>
      </rPr>
      <t xml:space="preserve">breast cancer </t>
    </r>
    <r>
      <rPr>
        <b/>
        <sz val="10"/>
        <rFont val="Calibri"/>
        <family val="2"/>
        <scheme val="minor"/>
      </rPr>
      <t xml:space="preserve">with size &lt;20 mm </t>
    </r>
    <r>
      <rPr>
        <sz val="10"/>
        <rFont val="Calibri"/>
        <family val="2"/>
        <scheme val="minor"/>
      </rPr>
      <t xml:space="preserve">(per 1,000 women </t>
    </r>
    <r>
      <rPr>
        <b/>
        <sz val="10"/>
        <rFont val="Calibri"/>
        <family val="2"/>
        <scheme val="minor"/>
      </rPr>
      <t>aged 40-74 years at entry</t>
    </r>
    <r>
      <rPr>
        <sz val="10"/>
        <rFont val="Calibri"/>
        <family val="2"/>
        <scheme val="minor"/>
      </rPr>
      <t>); including first screen of controls and contemporaneous cancers diagnosed in study group;
Screening vs control</t>
    </r>
  </si>
  <si>
    <r>
      <t xml:space="preserve">Number of breast cancers </t>
    </r>
    <r>
      <rPr>
        <b/>
        <sz val="10"/>
        <rFont val="Calibri"/>
        <family val="2"/>
        <scheme val="minor"/>
      </rPr>
      <t>with size &lt;20 mm</t>
    </r>
    <r>
      <rPr>
        <sz val="10"/>
        <rFont val="Calibri"/>
        <family val="2"/>
        <scheme val="minor"/>
      </rPr>
      <t xml:space="preserve"> </t>
    </r>
    <r>
      <rPr>
        <b/>
        <sz val="10"/>
        <rFont val="Calibri"/>
        <family val="2"/>
        <scheme val="minor"/>
      </rPr>
      <t>in women aged 40-74 years at entry</t>
    </r>
    <r>
      <rPr>
        <sz val="10"/>
        <rFont val="Calibri"/>
        <family val="2"/>
        <scheme val="minor"/>
      </rPr>
      <t>, including first screen of controls and contemporaneous cancers diagnosed in study group</t>
    </r>
  </si>
  <si>
    <r>
      <t>Absolute incidence of</t>
    </r>
    <r>
      <rPr>
        <b/>
        <sz val="10"/>
        <rFont val="Calibri"/>
        <family val="2"/>
        <scheme val="minor"/>
      </rPr>
      <t xml:space="preserve"> </t>
    </r>
    <r>
      <rPr>
        <sz val="10"/>
        <rFont val="Calibri"/>
        <family val="2"/>
        <scheme val="minor"/>
      </rPr>
      <t xml:space="preserve">breast cancer </t>
    </r>
    <r>
      <rPr>
        <b/>
        <sz val="10"/>
        <rFont val="Calibri"/>
        <family val="2"/>
        <scheme val="minor"/>
      </rPr>
      <t xml:space="preserve">with size 20-29 mm </t>
    </r>
    <r>
      <rPr>
        <sz val="10"/>
        <rFont val="Calibri"/>
        <family val="2"/>
        <scheme val="minor"/>
      </rPr>
      <t xml:space="preserve">(per 1,000 women </t>
    </r>
    <r>
      <rPr>
        <b/>
        <sz val="10"/>
        <rFont val="Calibri"/>
        <family val="2"/>
        <scheme val="minor"/>
      </rPr>
      <t>aged 40-74 years at entry</t>
    </r>
    <r>
      <rPr>
        <sz val="10"/>
        <rFont val="Calibri"/>
        <family val="2"/>
        <scheme val="minor"/>
      </rPr>
      <t>); including first screen of controls and contemporaneous cancers diagnosed in study group;
Screening vs control</t>
    </r>
  </si>
  <si>
    <r>
      <t xml:space="preserve">Number of breast cancers </t>
    </r>
    <r>
      <rPr>
        <b/>
        <sz val="10"/>
        <rFont val="Calibri"/>
        <family val="2"/>
        <scheme val="minor"/>
      </rPr>
      <t>with size 20-29 mm</t>
    </r>
    <r>
      <rPr>
        <sz val="10"/>
        <rFont val="Calibri"/>
        <family val="2"/>
        <scheme val="minor"/>
      </rPr>
      <t xml:space="preserve"> </t>
    </r>
    <r>
      <rPr>
        <b/>
        <sz val="10"/>
        <rFont val="Calibri"/>
        <family val="2"/>
        <scheme val="minor"/>
      </rPr>
      <t>in women aged 40-74 years at entry</t>
    </r>
    <r>
      <rPr>
        <sz val="10"/>
        <rFont val="Calibri"/>
        <family val="2"/>
        <scheme val="minor"/>
      </rPr>
      <t>, including first screen of controls and contemporaneous cancers diagnosed in study group</t>
    </r>
  </si>
  <si>
    <r>
      <t>Absolute incidence of</t>
    </r>
    <r>
      <rPr>
        <b/>
        <sz val="10"/>
        <rFont val="Calibri"/>
        <family val="2"/>
        <scheme val="minor"/>
      </rPr>
      <t xml:space="preserve"> </t>
    </r>
    <r>
      <rPr>
        <sz val="10"/>
        <rFont val="Calibri"/>
        <family val="2"/>
        <scheme val="minor"/>
      </rPr>
      <t xml:space="preserve">breast cancer </t>
    </r>
    <r>
      <rPr>
        <b/>
        <sz val="10"/>
        <rFont val="Calibri"/>
        <family val="2"/>
        <scheme val="minor"/>
      </rPr>
      <t xml:space="preserve">with size 30-49 mm </t>
    </r>
    <r>
      <rPr>
        <sz val="10"/>
        <rFont val="Calibri"/>
        <family val="2"/>
        <scheme val="minor"/>
      </rPr>
      <t xml:space="preserve">(per 1,000 women </t>
    </r>
    <r>
      <rPr>
        <b/>
        <sz val="10"/>
        <rFont val="Calibri"/>
        <family val="2"/>
        <scheme val="minor"/>
      </rPr>
      <t>aged 40-74 years at entry</t>
    </r>
    <r>
      <rPr>
        <sz val="10"/>
        <rFont val="Calibri"/>
        <family val="2"/>
        <scheme val="minor"/>
      </rPr>
      <t>); including first screen of controls and contemporaneous cancers diagnosed in study group;
Screening vs control</t>
    </r>
  </si>
  <si>
    <r>
      <t xml:space="preserve">Number of breast cancers </t>
    </r>
    <r>
      <rPr>
        <b/>
        <sz val="10"/>
        <rFont val="Calibri"/>
        <family val="2"/>
        <scheme val="minor"/>
      </rPr>
      <t>with size 30-49 mm</t>
    </r>
    <r>
      <rPr>
        <sz val="10"/>
        <rFont val="Calibri"/>
        <family val="2"/>
        <scheme val="minor"/>
      </rPr>
      <t xml:space="preserve"> </t>
    </r>
    <r>
      <rPr>
        <b/>
        <sz val="10"/>
        <rFont val="Calibri"/>
        <family val="2"/>
        <scheme val="minor"/>
      </rPr>
      <t>in women aged 40-74 years at entry</t>
    </r>
    <r>
      <rPr>
        <sz val="10"/>
        <rFont val="Calibri"/>
        <family val="2"/>
        <scheme val="minor"/>
      </rPr>
      <t>, including first screen of controls and contemporaneous cancers diagnosed in study group</t>
    </r>
  </si>
  <si>
    <r>
      <t>Absolute incidence of</t>
    </r>
    <r>
      <rPr>
        <b/>
        <sz val="10"/>
        <rFont val="Calibri"/>
        <family val="2"/>
        <scheme val="minor"/>
      </rPr>
      <t xml:space="preserve"> </t>
    </r>
    <r>
      <rPr>
        <sz val="10"/>
        <rFont val="Calibri"/>
        <family val="2"/>
        <scheme val="minor"/>
      </rPr>
      <t xml:space="preserve">breast cancer </t>
    </r>
    <r>
      <rPr>
        <b/>
        <sz val="10"/>
        <rFont val="Calibri"/>
        <family val="2"/>
        <scheme val="minor"/>
      </rPr>
      <t xml:space="preserve">with size 50+ mm </t>
    </r>
    <r>
      <rPr>
        <sz val="10"/>
        <rFont val="Calibri"/>
        <family val="2"/>
        <scheme val="minor"/>
      </rPr>
      <t xml:space="preserve">(per 1,000 women </t>
    </r>
    <r>
      <rPr>
        <b/>
        <sz val="10"/>
        <rFont val="Calibri"/>
        <family val="2"/>
        <scheme val="minor"/>
      </rPr>
      <t>aged 40-74 years at entry</t>
    </r>
    <r>
      <rPr>
        <sz val="10"/>
        <rFont val="Calibri"/>
        <family val="2"/>
        <scheme val="minor"/>
      </rPr>
      <t>); including first screen of controls and contemporaneous cancers diagnosed in study group;
Screening vs control</t>
    </r>
  </si>
  <si>
    <r>
      <t xml:space="preserve">Number of breast cancers </t>
    </r>
    <r>
      <rPr>
        <b/>
        <sz val="10"/>
        <rFont val="Calibri"/>
        <family val="2"/>
        <scheme val="minor"/>
      </rPr>
      <t>with size 50+ mm</t>
    </r>
    <r>
      <rPr>
        <sz val="10"/>
        <rFont val="Calibri"/>
        <family val="2"/>
        <scheme val="minor"/>
      </rPr>
      <t xml:space="preserve"> </t>
    </r>
    <r>
      <rPr>
        <b/>
        <sz val="10"/>
        <rFont val="Calibri"/>
        <family val="2"/>
        <scheme val="minor"/>
      </rPr>
      <t>in women aged 40-74 years at entry</t>
    </r>
    <r>
      <rPr>
        <sz val="10"/>
        <rFont val="Calibri"/>
        <family val="2"/>
        <scheme val="minor"/>
      </rPr>
      <t>, including first screen of controls and contemporaneous cancers diagnosed in study group)</t>
    </r>
  </si>
  <si>
    <r>
      <t>Absolute incidence of</t>
    </r>
    <r>
      <rPr>
        <b/>
        <sz val="10"/>
        <rFont val="Calibri"/>
        <family val="2"/>
        <scheme val="minor"/>
      </rPr>
      <t xml:space="preserve"> </t>
    </r>
    <r>
      <rPr>
        <sz val="10"/>
        <rFont val="Calibri"/>
        <family val="2"/>
        <scheme val="minor"/>
      </rPr>
      <t xml:space="preserve">breast cancer </t>
    </r>
    <r>
      <rPr>
        <b/>
        <sz val="10"/>
        <rFont val="Calibri"/>
        <family val="2"/>
        <scheme val="minor"/>
      </rPr>
      <t xml:space="preserve">with size 20+ mm </t>
    </r>
    <r>
      <rPr>
        <sz val="10"/>
        <rFont val="Calibri"/>
        <family val="2"/>
        <scheme val="minor"/>
      </rPr>
      <t xml:space="preserve">(per 1,000 women </t>
    </r>
    <r>
      <rPr>
        <b/>
        <sz val="10"/>
        <rFont val="Calibri"/>
        <family val="2"/>
        <scheme val="minor"/>
      </rPr>
      <t>aged 40-74 years at entry</t>
    </r>
    <r>
      <rPr>
        <sz val="10"/>
        <rFont val="Calibri"/>
        <family val="2"/>
        <scheme val="minor"/>
      </rPr>
      <t>); including first screen of controls and contemporaneous cancers diagnosed in study group;
Screening vs control</t>
    </r>
  </si>
  <si>
    <r>
      <t xml:space="preserve">Number of breast cancers </t>
    </r>
    <r>
      <rPr>
        <b/>
        <sz val="10"/>
        <rFont val="Calibri"/>
        <family val="2"/>
        <scheme val="minor"/>
      </rPr>
      <t>with size ≥20 mm mm</t>
    </r>
    <r>
      <rPr>
        <sz val="10"/>
        <rFont val="Calibri"/>
        <family val="2"/>
        <scheme val="minor"/>
      </rPr>
      <t xml:space="preserve"> </t>
    </r>
    <r>
      <rPr>
        <b/>
        <sz val="10"/>
        <rFont val="Calibri"/>
        <family val="2"/>
        <scheme val="minor"/>
      </rPr>
      <t>in women aged 40-74 years at entry</t>
    </r>
    <r>
      <rPr>
        <sz val="10"/>
        <rFont val="Calibri"/>
        <family val="2"/>
        <scheme val="minor"/>
      </rPr>
      <t>, including first screen of controls and contemporaneous cancers diagnosed in study group</t>
    </r>
  </si>
  <si>
    <r>
      <t>Absolute incidence of</t>
    </r>
    <r>
      <rPr>
        <b/>
        <sz val="10"/>
        <rFont val="Calibri"/>
        <family val="2"/>
        <scheme val="minor"/>
      </rPr>
      <t xml:space="preserve"> </t>
    </r>
    <r>
      <rPr>
        <sz val="10"/>
        <rFont val="Calibri"/>
        <family val="2"/>
        <scheme val="minor"/>
      </rPr>
      <t xml:space="preserve">breast cancer </t>
    </r>
    <r>
      <rPr>
        <b/>
        <sz val="10"/>
        <rFont val="Calibri"/>
        <family val="2"/>
        <scheme val="minor"/>
      </rPr>
      <t xml:space="preserve">with size 1-9 mm </t>
    </r>
    <r>
      <rPr>
        <sz val="10"/>
        <rFont val="Calibri"/>
        <family val="2"/>
        <scheme val="minor"/>
      </rPr>
      <t xml:space="preserve">(per 1,000 women </t>
    </r>
    <r>
      <rPr>
        <b/>
        <sz val="10"/>
        <rFont val="Calibri"/>
        <family val="2"/>
        <scheme val="minor"/>
      </rPr>
      <t>aged 50-64 years at entry</t>
    </r>
    <r>
      <rPr>
        <sz val="10"/>
        <rFont val="Calibri"/>
        <family val="2"/>
        <scheme val="minor"/>
      </rPr>
      <t>); including first screen of controls and contemporaneous cancers diagnosed in study group;
Screening vs control</t>
    </r>
  </si>
  <si>
    <r>
      <t xml:space="preserve">Number of breast cancers </t>
    </r>
    <r>
      <rPr>
        <b/>
        <sz val="10"/>
        <rFont val="Calibri"/>
        <family val="2"/>
        <scheme val="minor"/>
      </rPr>
      <t>with size 1-9 mm</t>
    </r>
    <r>
      <rPr>
        <sz val="10"/>
        <rFont val="Calibri"/>
        <family val="2"/>
        <scheme val="minor"/>
      </rPr>
      <t xml:space="preserve"> </t>
    </r>
    <r>
      <rPr>
        <b/>
        <sz val="10"/>
        <rFont val="Calibri"/>
        <family val="2"/>
        <scheme val="minor"/>
      </rPr>
      <t>in women aged 50-64 years at entry</t>
    </r>
    <r>
      <rPr>
        <sz val="10"/>
        <rFont val="Calibri"/>
        <family val="2"/>
        <scheme val="minor"/>
      </rPr>
      <t>, including first screen of controls and contemporaneous cancers diagnosed in study group</t>
    </r>
  </si>
  <si>
    <r>
      <t xml:space="preserve">Number of women analysed </t>
    </r>
    <r>
      <rPr>
        <b/>
        <sz val="10"/>
        <rFont val="Calibri"/>
        <family val="2"/>
        <scheme val="minor"/>
      </rPr>
      <t>aged 50-64 years at entry</t>
    </r>
    <r>
      <rPr>
        <sz val="10"/>
        <rFont val="Calibri"/>
        <family val="2"/>
        <scheme val="minor"/>
      </rPr>
      <t>, by arm</t>
    </r>
  </si>
  <si>
    <r>
      <t>Absolute incidence of</t>
    </r>
    <r>
      <rPr>
        <b/>
        <sz val="10"/>
        <rFont val="Calibri"/>
        <family val="2"/>
        <scheme val="minor"/>
      </rPr>
      <t xml:space="preserve"> </t>
    </r>
    <r>
      <rPr>
        <sz val="10"/>
        <rFont val="Calibri"/>
        <family val="2"/>
        <scheme val="minor"/>
      </rPr>
      <t xml:space="preserve">breast cancer </t>
    </r>
    <r>
      <rPr>
        <b/>
        <sz val="10"/>
        <rFont val="Calibri"/>
        <family val="2"/>
        <scheme val="minor"/>
      </rPr>
      <t xml:space="preserve">with size 10-14 mm </t>
    </r>
    <r>
      <rPr>
        <sz val="10"/>
        <rFont val="Calibri"/>
        <family val="2"/>
        <scheme val="minor"/>
      </rPr>
      <t xml:space="preserve">(per 1,000 women </t>
    </r>
    <r>
      <rPr>
        <b/>
        <sz val="10"/>
        <rFont val="Calibri"/>
        <family val="2"/>
        <scheme val="minor"/>
      </rPr>
      <t>aged 50-64 years at entry</t>
    </r>
    <r>
      <rPr>
        <sz val="10"/>
        <rFont val="Calibri"/>
        <family val="2"/>
        <scheme val="minor"/>
      </rPr>
      <t>); including first screen of controls and contemporaneous cancers diagnosed in study group;
Screening vs control</t>
    </r>
  </si>
  <si>
    <r>
      <t xml:space="preserve">Number of breast cancers </t>
    </r>
    <r>
      <rPr>
        <b/>
        <sz val="10"/>
        <rFont val="Calibri"/>
        <family val="2"/>
        <scheme val="minor"/>
      </rPr>
      <t>with size 10-14 mm</t>
    </r>
    <r>
      <rPr>
        <sz val="10"/>
        <rFont val="Calibri"/>
        <family val="2"/>
        <scheme val="minor"/>
      </rPr>
      <t xml:space="preserve"> </t>
    </r>
    <r>
      <rPr>
        <b/>
        <sz val="10"/>
        <rFont val="Calibri"/>
        <family val="2"/>
        <scheme val="minor"/>
      </rPr>
      <t>in women aged 50-64 years at entry</t>
    </r>
    <r>
      <rPr>
        <sz val="10"/>
        <rFont val="Calibri"/>
        <family val="2"/>
        <scheme val="minor"/>
      </rPr>
      <t>, including first screen of controls and contemporaneous cancers diagnosed in study group</t>
    </r>
  </si>
  <si>
    <r>
      <t>Absolute incidence of</t>
    </r>
    <r>
      <rPr>
        <b/>
        <sz val="10"/>
        <rFont val="Calibri"/>
        <family val="2"/>
        <scheme val="minor"/>
      </rPr>
      <t xml:space="preserve"> </t>
    </r>
    <r>
      <rPr>
        <sz val="10"/>
        <rFont val="Calibri"/>
        <family val="2"/>
        <scheme val="minor"/>
      </rPr>
      <t xml:space="preserve">breast cancer </t>
    </r>
    <r>
      <rPr>
        <b/>
        <sz val="10"/>
        <rFont val="Calibri"/>
        <family val="2"/>
        <scheme val="minor"/>
      </rPr>
      <t xml:space="preserve">with size 15-19 mm </t>
    </r>
    <r>
      <rPr>
        <sz val="10"/>
        <rFont val="Calibri"/>
        <family val="2"/>
        <scheme val="minor"/>
      </rPr>
      <t xml:space="preserve">(per 1,000 women </t>
    </r>
    <r>
      <rPr>
        <b/>
        <sz val="10"/>
        <rFont val="Calibri"/>
        <family val="2"/>
        <scheme val="minor"/>
      </rPr>
      <t>aged 50-64 years at entry</t>
    </r>
    <r>
      <rPr>
        <sz val="10"/>
        <rFont val="Calibri"/>
        <family val="2"/>
        <scheme val="minor"/>
      </rPr>
      <t>); including first screen of controls and contemporaneous cancers diagnosed in study group;
Screening vs control</t>
    </r>
  </si>
  <si>
    <r>
      <t xml:space="preserve">Number of breast cancers </t>
    </r>
    <r>
      <rPr>
        <b/>
        <sz val="10"/>
        <rFont val="Calibri"/>
        <family val="2"/>
        <scheme val="minor"/>
      </rPr>
      <t>with size 15-19 mm</t>
    </r>
    <r>
      <rPr>
        <sz val="10"/>
        <rFont val="Calibri"/>
        <family val="2"/>
        <scheme val="minor"/>
      </rPr>
      <t xml:space="preserve"> </t>
    </r>
    <r>
      <rPr>
        <b/>
        <sz val="10"/>
        <rFont val="Calibri"/>
        <family val="2"/>
        <scheme val="minor"/>
      </rPr>
      <t>in women aged50-64 years at entry</t>
    </r>
    <r>
      <rPr>
        <sz val="10"/>
        <rFont val="Calibri"/>
        <family val="2"/>
        <scheme val="minor"/>
      </rPr>
      <t>, including first screen of controls and contemporaneous cancers diagnosed in study group</t>
    </r>
  </si>
  <si>
    <r>
      <t>Absolute incidence of</t>
    </r>
    <r>
      <rPr>
        <b/>
        <sz val="10"/>
        <rFont val="Calibri"/>
        <family val="2"/>
        <scheme val="minor"/>
      </rPr>
      <t xml:space="preserve"> </t>
    </r>
    <r>
      <rPr>
        <sz val="10"/>
        <rFont val="Calibri"/>
        <family val="2"/>
        <scheme val="minor"/>
      </rPr>
      <t xml:space="preserve">breast cancer </t>
    </r>
    <r>
      <rPr>
        <b/>
        <sz val="10"/>
        <rFont val="Calibri"/>
        <family val="2"/>
        <scheme val="minor"/>
      </rPr>
      <t xml:space="preserve">with size &lt;20 mm </t>
    </r>
    <r>
      <rPr>
        <sz val="10"/>
        <rFont val="Calibri"/>
        <family val="2"/>
        <scheme val="minor"/>
      </rPr>
      <t xml:space="preserve">(per 1,000 women </t>
    </r>
    <r>
      <rPr>
        <b/>
        <sz val="10"/>
        <rFont val="Calibri"/>
        <family val="2"/>
        <scheme val="minor"/>
      </rPr>
      <t>aged 50-64 years at entry</t>
    </r>
    <r>
      <rPr>
        <sz val="10"/>
        <rFont val="Calibri"/>
        <family val="2"/>
        <scheme val="minor"/>
      </rPr>
      <t>); including first screen of controls and contemporaneous cancers diagnosed in study group;
Screening vs control</t>
    </r>
  </si>
  <si>
    <r>
      <t xml:space="preserve">Number of breast cancers </t>
    </r>
    <r>
      <rPr>
        <b/>
        <sz val="10"/>
        <rFont val="Calibri"/>
        <family val="2"/>
        <scheme val="minor"/>
      </rPr>
      <t>with size &lt;20 mm</t>
    </r>
    <r>
      <rPr>
        <sz val="10"/>
        <rFont val="Calibri"/>
        <family val="2"/>
        <scheme val="minor"/>
      </rPr>
      <t xml:space="preserve"> </t>
    </r>
    <r>
      <rPr>
        <b/>
        <sz val="10"/>
        <rFont val="Calibri"/>
        <family val="2"/>
        <scheme val="minor"/>
      </rPr>
      <t>in women aged 50-64 years at entry</t>
    </r>
    <r>
      <rPr>
        <sz val="10"/>
        <rFont val="Calibri"/>
        <family val="2"/>
        <scheme val="minor"/>
      </rPr>
      <t>, including first screen of controls and contemporaneous cancers diagnosed in study group</t>
    </r>
  </si>
  <si>
    <r>
      <t>Absolute incidence of</t>
    </r>
    <r>
      <rPr>
        <b/>
        <sz val="10"/>
        <rFont val="Calibri"/>
        <family val="2"/>
        <scheme val="minor"/>
      </rPr>
      <t xml:space="preserve"> </t>
    </r>
    <r>
      <rPr>
        <sz val="10"/>
        <rFont val="Calibri"/>
        <family val="2"/>
        <scheme val="minor"/>
      </rPr>
      <t xml:space="preserve">breast cancer </t>
    </r>
    <r>
      <rPr>
        <b/>
        <sz val="10"/>
        <rFont val="Calibri"/>
        <family val="2"/>
        <scheme val="minor"/>
      </rPr>
      <t xml:space="preserve">with size 20-29 mm </t>
    </r>
    <r>
      <rPr>
        <sz val="10"/>
        <rFont val="Calibri"/>
        <family val="2"/>
        <scheme val="minor"/>
      </rPr>
      <t xml:space="preserve">(per 1,000 women </t>
    </r>
    <r>
      <rPr>
        <b/>
        <sz val="10"/>
        <rFont val="Calibri"/>
        <family val="2"/>
        <scheme val="minor"/>
      </rPr>
      <t>aged 50-64 years at entry</t>
    </r>
    <r>
      <rPr>
        <sz val="10"/>
        <rFont val="Calibri"/>
        <family val="2"/>
        <scheme val="minor"/>
      </rPr>
      <t>); including first screen of controls and contemporaneous cancers diagnosed in study group;
Screening vs control</t>
    </r>
  </si>
  <si>
    <r>
      <t xml:space="preserve">Number of breast cancers </t>
    </r>
    <r>
      <rPr>
        <b/>
        <sz val="10"/>
        <rFont val="Calibri"/>
        <family val="2"/>
        <scheme val="minor"/>
      </rPr>
      <t>with size 20-29 mm</t>
    </r>
    <r>
      <rPr>
        <sz val="10"/>
        <rFont val="Calibri"/>
        <family val="2"/>
        <scheme val="minor"/>
      </rPr>
      <t xml:space="preserve"> </t>
    </r>
    <r>
      <rPr>
        <b/>
        <sz val="10"/>
        <rFont val="Calibri"/>
        <family val="2"/>
        <scheme val="minor"/>
      </rPr>
      <t>in women aged 50-64 years at entry</t>
    </r>
    <r>
      <rPr>
        <sz val="10"/>
        <rFont val="Calibri"/>
        <family val="2"/>
        <scheme val="minor"/>
      </rPr>
      <t>, including first screen of controls and contemporaneous cancers diagnosed in study group</t>
    </r>
  </si>
  <si>
    <r>
      <t>Absolute incidence of</t>
    </r>
    <r>
      <rPr>
        <b/>
        <sz val="10"/>
        <rFont val="Calibri"/>
        <family val="2"/>
        <scheme val="minor"/>
      </rPr>
      <t xml:space="preserve"> </t>
    </r>
    <r>
      <rPr>
        <sz val="10"/>
        <rFont val="Calibri"/>
        <family val="2"/>
        <scheme val="minor"/>
      </rPr>
      <t xml:space="preserve">breast cancer </t>
    </r>
    <r>
      <rPr>
        <b/>
        <sz val="10"/>
        <rFont val="Calibri"/>
        <family val="2"/>
        <scheme val="minor"/>
      </rPr>
      <t xml:space="preserve">with size 30-49 mm </t>
    </r>
    <r>
      <rPr>
        <sz val="10"/>
        <rFont val="Calibri"/>
        <family val="2"/>
        <scheme val="minor"/>
      </rPr>
      <t xml:space="preserve">(per 1,000 women </t>
    </r>
    <r>
      <rPr>
        <b/>
        <sz val="10"/>
        <rFont val="Calibri"/>
        <family val="2"/>
        <scheme val="minor"/>
      </rPr>
      <t>aged 50-64 years at entry</t>
    </r>
    <r>
      <rPr>
        <sz val="10"/>
        <rFont val="Calibri"/>
        <family val="2"/>
        <scheme val="minor"/>
      </rPr>
      <t>); including first screen of controls and contemporaneous cancers diagnosed in study group;
Screening vs control</t>
    </r>
  </si>
  <si>
    <r>
      <t xml:space="preserve">Number of breast cancers </t>
    </r>
    <r>
      <rPr>
        <b/>
        <sz val="10"/>
        <rFont val="Calibri"/>
        <family val="2"/>
        <scheme val="minor"/>
      </rPr>
      <t>with size 30-49 mm</t>
    </r>
    <r>
      <rPr>
        <sz val="10"/>
        <rFont val="Calibri"/>
        <family val="2"/>
        <scheme val="minor"/>
      </rPr>
      <t xml:space="preserve"> </t>
    </r>
    <r>
      <rPr>
        <b/>
        <sz val="10"/>
        <rFont val="Calibri"/>
        <family val="2"/>
        <scheme val="minor"/>
      </rPr>
      <t>in women aged 50-64 years at entry</t>
    </r>
    <r>
      <rPr>
        <sz val="10"/>
        <rFont val="Calibri"/>
        <family val="2"/>
        <scheme val="minor"/>
      </rPr>
      <t>, including first screen of controls and contemporaneous cancers diagnosed in study group</t>
    </r>
  </si>
  <si>
    <r>
      <t>Absolute incidence of</t>
    </r>
    <r>
      <rPr>
        <b/>
        <sz val="10"/>
        <rFont val="Calibri"/>
        <family val="2"/>
        <scheme val="minor"/>
      </rPr>
      <t xml:space="preserve"> </t>
    </r>
    <r>
      <rPr>
        <sz val="10"/>
        <rFont val="Calibri"/>
        <family val="2"/>
        <scheme val="minor"/>
      </rPr>
      <t xml:space="preserve">breast cancer </t>
    </r>
    <r>
      <rPr>
        <b/>
        <sz val="10"/>
        <rFont val="Calibri"/>
        <family val="2"/>
        <scheme val="minor"/>
      </rPr>
      <t xml:space="preserve">with size 50+ mm </t>
    </r>
    <r>
      <rPr>
        <sz val="10"/>
        <rFont val="Calibri"/>
        <family val="2"/>
        <scheme val="minor"/>
      </rPr>
      <t xml:space="preserve">(per 1,000 women </t>
    </r>
    <r>
      <rPr>
        <b/>
        <sz val="10"/>
        <rFont val="Calibri"/>
        <family val="2"/>
        <scheme val="minor"/>
      </rPr>
      <t>aged 50-64 years at entry</t>
    </r>
    <r>
      <rPr>
        <sz val="10"/>
        <rFont val="Calibri"/>
        <family val="2"/>
        <scheme val="minor"/>
      </rPr>
      <t>); including first screen of controls and contemporaneous cancers diagnosed in study group;
Screening vs control</t>
    </r>
  </si>
  <si>
    <r>
      <t xml:space="preserve">Number of breast cancers </t>
    </r>
    <r>
      <rPr>
        <b/>
        <sz val="10"/>
        <rFont val="Calibri"/>
        <family val="2"/>
        <scheme val="minor"/>
      </rPr>
      <t>with size 50+ mm</t>
    </r>
    <r>
      <rPr>
        <sz val="10"/>
        <rFont val="Calibri"/>
        <family val="2"/>
        <scheme val="minor"/>
      </rPr>
      <t xml:space="preserve"> </t>
    </r>
    <r>
      <rPr>
        <b/>
        <sz val="10"/>
        <rFont val="Calibri"/>
        <family val="2"/>
        <scheme val="minor"/>
      </rPr>
      <t>in women aged 50-64 years at entry</t>
    </r>
    <r>
      <rPr>
        <sz val="10"/>
        <rFont val="Calibri"/>
        <family val="2"/>
        <scheme val="minor"/>
      </rPr>
      <t>, including first screen of controls and contemporaneous cancers diagnosed in study group)</t>
    </r>
  </si>
  <si>
    <r>
      <t>Absolute incidence of</t>
    </r>
    <r>
      <rPr>
        <b/>
        <sz val="10"/>
        <rFont val="Calibri"/>
        <family val="2"/>
        <scheme val="minor"/>
      </rPr>
      <t xml:space="preserve"> </t>
    </r>
    <r>
      <rPr>
        <sz val="10"/>
        <rFont val="Calibri"/>
        <family val="2"/>
        <scheme val="minor"/>
      </rPr>
      <t xml:space="preserve">breast cancer </t>
    </r>
    <r>
      <rPr>
        <b/>
        <sz val="10"/>
        <rFont val="Calibri"/>
        <family val="2"/>
        <scheme val="minor"/>
      </rPr>
      <t xml:space="preserve">with size 20+ mm </t>
    </r>
    <r>
      <rPr>
        <sz val="10"/>
        <rFont val="Calibri"/>
        <family val="2"/>
        <scheme val="minor"/>
      </rPr>
      <t xml:space="preserve">(per 1,000 women </t>
    </r>
    <r>
      <rPr>
        <b/>
        <sz val="10"/>
        <rFont val="Calibri"/>
        <family val="2"/>
        <scheme val="minor"/>
      </rPr>
      <t>aged 50-64 years at entry</t>
    </r>
    <r>
      <rPr>
        <sz val="10"/>
        <rFont val="Calibri"/>
        <family val="2"/>
        <scheme val="minor"/>
      </rPr>
      <t>); including first screen of controls and contemporaneous cancers diagnosed in study group;
Screening vs control</t>
    </r>
  </si>
  <si>
    <r>
      <t xml:space="preserve">Number of breast cancers </t>
    </r>
    <r>
      <rPr>
        <b/>
        <sz val="10"/>
        <rFont val="Calibri"/>
        <family val="2"/>
        <scheme val="minor"/>
      </rPr>
      <t>with size ≥20 mm</t>
    </r>
    <r>
      <rPr>
        <sz val="10"/>
        <rFont val="Calibri"/>
        <family val="2"/>
        <scheme val="minor"/>
      </rPr>
      <t xml:space="preserve"> </t>
    </r>
    <r>
      <rPr>
        <b/>
        <sz val="10"/>
        <rFont val="Calibri"/>
        <family val="2"/>
        <scheme val="minor"/>
      </rPr>
      <t>in women aged 50-64 years at entry</t>
    </r>
    <r>
      <rPr>
        <sz val="10"/>
        <rFont val="Calibri"/>
        <family val="2"/>
        <scheme val="minor"/>
      </rPr>
      <t>, including first screen of controls and contemporaneous cancers diagnosed in study group</t>
    </r>
  </si>
  <si>
    <r>
      <t>Absolute incidence of</t>
    </r>
    <r>
      <rPr>
        <b/>
        <sz val="10"/>
        <rFont val="Calibri"/>
        <family val="2"/>
        <scheme val="minor"/>
      </rPr>
      <t xml:space="preserve"> node negative</t>
    </r>
    <r>
      <rPr>
        <sz val="10"/>
        <rFont val="Calibri"/>
        <family val="2"/>
        <scheme val="minor"/>
      </rPr>
      <t xml:space="preserve"> breast cancer</t>
    </r>
    <r>
      <rPr>
        <b/>
        <sz val="10"/>
        <rFont val="Calibri"/>
        <family val="2"/>
        <scheme val="minor"/>
      </rPr>
      <t xml:space="preserve"> </t>
    </r>
    <r>
      <rPr>
        <sz val="10"/>
        <rFont val="Calibri"/>
        <family val="2"/>
        <scheme val="minor"/>
      </rPr>
      <t xml:space="preserve">(per 1,000 women </t>
    </r>
    <r>
      <rPr>
        <b/>
        <sz val="10"/>
        <rFont val="Calibri"/>
        <family val="2"/>
        <scheme val="minor"/>
      </rPr>
      <t>aged 50-64 years at entry</t>
    </r>
    <r>
      <rPr>
        <sz val="10"/>
        <rFont val="Calibri"/>
        <family val="2"/>
        <scheme val="minor"/>
      </rPr>
      <t>); including first screen of controls and contemporaneous cancers diagnosed in study group;
Screening vs control</t>
    </r>
  </si>
  <si>
    <r>
      <t xml:space="preserve">Number of </t>
    </r>
    <r>
      <rPr>
        <b/>
        <sz val="10"/>
        <rFont val="Calibri"/>
        <family val="2"/>
        <scheme val="minor"/>
      </rPr>
      <t xml:space="preserve">node negative </t>
    </r>
    <r>
      <rPr>
        <sz val="10"/>
        <rFont val="Calibri"/>
        <family val="2"/>
        <scheme val="minor"/>
      </rPr>
      <t xml:space="preserve">breast cancers </t>
    </r>
    <r>
      <rPr>
        <b/>
        <sz val="10"/>
        <rFont val="Calibri"/>
        <family val="2"/>
        <scheme val="minor"/>
      </rPr>
      <t>in women aged 50-64 years at entry</t>
    </r>
    <r>
      <rPr>
        <sz val="10"/>
        <rFont val="Calibri"/>
        <family val="2"/>
        <scheme val="minor"/>
      </rPr>
      <t>, including first screen of controls and contemporaneous cancers diagnosed in study group</t>
    </r>
  </si>
  <si>
    <r>
      <t>Absolute incidence of</t>
    </r>
    <r>
      <rPr>
        <b/>
        <sz val="10"/>
        <rFont val="Calibri"/>
        <family val="2"/>
        <scheme val="minor"/>
      </rPr>
      <t xml:space="preserve"> node positive</t>
    </r>
    <r>
      <rPr>
        <sz val="10"/>
        <rFont val="Calibri"/>
        <family val="2"/>
        <scheme val="minor"/>
      </rPr>
      <t xml:space="preserve"> breast cancer</t>
    </r>
    <r>
      <rPr>
        <b/>
        <sz val="10"/>
        <rFont val="Calibri"/>
        <family val="2"/>
        <scheme val="minor"/>
      </rPr>
      <t xml:space="preserve"> </t>
    </r>
    <r>
      <rPr>
        <sz val="10"/>
        <rFont val="Calibri"/>
        <family val="2"/>
        <scheme val="minor"/>
      </rPr>
      <t xml:space="preserve">(per 1,000 women </t>
    </r>
    <r>
      <rPr>
        <b/>
        <sz val="10"/>
        <rFont val="Calibri"/>
        <family val="2"/>
        <scheme val="minor"/>
      </rPr>
      <t>aged 50-64 years at entry</t>
    </r>
    <r>
      <rPr>
        <sz val="10"/>
        <rFont val="Calibri"/>
        <family val="2"/>
        <scheme val="minor"/>
      </rPr>
      <t>); including first screen of controls and contemporaneous cancers diagnosed in study group;
Screening vs control</t>
    </r>
  </si>
  <si>
    <r>
      <t xml:space="preserve">Number of </t>
    </r>
    <r>
      <rPr>
        <b/>
        <sz val="10"/>
        <rFont val="Calibri"/>
        <family val="2"/>
        <scheme val="minor"/>
      </rPr>
      <t xml:space="preserve">node positive </t>
    </r>
    <r>
      <rPr>
        <sz val="10"/>
        <rFont val="Calibri"/>
        <family val="2"/>
        <scheme val="minor"/>
      </rPr>
      <t xml:space="preserve">breast cancers </t>
    </r>
    <r>
      <rPr>
        <b/>
        <sz val="10"/>
        <rFont val="Calibri"/>
        <family val="2"/>
        <scheme val="minor"/>
      </rPr>
      <t>in women aged 50-64 years at entry</t>
    </r>
    <r>
      <rPr>
        <sz val="10"/>
        <rFont val="Calibri"/>
        <family val="2"/>
        <scheme val="minor"/>
      </rPr>
      <t>, including first screen of controls and contemporaneous cancers diagnosed in study group</t>
    </r>
  </si>
  <si>
    <r>
      <t>Absolute incidence of</t>
    </r>
    <r>
      <rPr>
        <b/>
        <sz val="10"/>
        <rFont val="Calibri"/>
        <family val="2"/>
        <scheme val="minor"/>
      </rPr>
      <t xml:space="preserve"> </t>
    </r>
    <r>
      <rPr>
        <sz val="10"/>
        <rFont val="Calibri"/>
        <family val="2"/>
        <scheme val="minor"/>
      </rPr>
      <t xml:space="preserve">breast cancer </t>
    </r>
    <r>
      <rPr>
        <b/>
        <sz val="10"/>
        <rFont val="Calibri"/>
        <family val="2"/>
        <scheme val="minor"/>
      </rPr>
      <t xml:space="preserve">with size 1-9 mm </t>
    </r>
    <r>
      <rPr>
        <sz val="10"/>
        <rFont val="Calibri"/>
        <family val="2"/>
        <scheme val="minor"/>
      </rPr>
      <t xml:space="preserve">(per 1,000 women </t>
    </r>
    <r>
      <rPr>
        <b/>
        <sz val="10"/>
        <rFont val="Calibri"/>
        <family val="2"/>
        <scheme val="minor"/>
      </rPr>
      <t>aged 65-74 years at entry</t>
    </r>
    <r>
      <rPr>
        <sz val="10"/>
        <rFont val="Calibri"/>
        <family val="2"/>
        <scheme val="minor"/>
      </rPr>
      <t>); including first screen of controls and contemporaneous cancers diagnosed in study group;
Screening vs control</t>
    </r>
  </si>
  <si>
    <r>
      <t xml:space="preserve">Number of breast cancers </t>
    </r>
    <r>
      <rPr>
        <b/>
        <sz val="10"/>
        <rFont val="Calibri"/>
        <family val="2"/>
        <scheme val="minor"/>
      </rPr>
      <t>with size 1-9 mm</t>
    </r>
    <r>
      <rPr>
        <sz val="10"/>
        <rFont val="Calibri"/>
        <family val="2"/>
        <scheme val="minor"/>
      </rPr>
      <t xml:space="preserve"> </t>
    </r>
    <r>
      <rPr>
        <b/>
        <sz val="10"/>
        <rFont val="Calibri"/>
        <family val="2"/>
        <scheme val="minor"/>
      </rPr>
      <t>in women aged 65-74 years at entry</t>
    </r>
    <r>
      <rPr>
        <sz val="10"/>
        <rFont val="Calibri"/>
        <family val="2"/>
        <scheme val="minor"/>
      </rPr>
      <t>, including first screen of controls and contemporaneous cancers diagnosed in study group</t>
    </r>
  </si>
  <si>
    <r>
      <t xml:space="preserve">Number of women analysed </t>
    </r>
    <r>
      <rPr>
        <b/>
        <sz val="10"/>
        <rFont val="Calibri"/>
        <family val="2"/>
        <scheme val="minor"/>
      </rPr>
      <t>aged 65-74 years at entry</t>
    </r>
    <r>
      <rPr>
        <sz val="10"/>
        <rFont val="Calibri"/>
        <family val="2"/>
        <scheme val="minor"/>
      </rPr>
      <t>, by arm</t>
    </r>
  </si>
  <si>
    <r>
      <t>Absolute incidence of</t>
    </r>
    <r>
      <rPr>
        <b/>
        <sz val="10"/>
        <rFont val="Calibri"/>
        <family val="2"/>
        <scheme val="minor"/>
      </rPr>
      <t xml:space="preserve"> </t>
    </r>
    <r>
      <rPr>
        <sz val="10"/>
        <rFont val="Calibri"/>
        <family val="2"/>
        <scheme val="minor"/>
      </rPr>
      <t xml:space="preserve">breast cancer </t>
    </r>
    <r>
      <rPr>
        <b/>
        <sz val="10"/>
        <rFont val="Calibri"/>
        <family val="2"/>
        <scheme val="minor"/>
      </rPr>
      <t xml:space="preserve">with size 10-14 mm </t>
    </r>
    <r>
      <rPr>
        <sz val="10"/>
        <rFont val="Calibri"/>
        <family val="2"/>
        <scheme val="minor"/>
      </rPr>
      <t xml:space="preserve">(per 1,000 women </t>
    </r>
    <r>
      <rPr>
        <b/>
        <sz val="10"/>
        <rFont val="Calibri"/>
        <family val="2"/>
        <scheme val="minor"/>
      </rPr>
      <t>aged  65-74 years at entry</t>
    </r>
    <r>
      <rPr>
        <sz val="10"/>
        <rFont val="Calibri"/>
        <family val="2"/>
        <scheme val="minor"/>
      </rPr>
      <t>); including first screen of controls and contemporaneous cancers diagnosed in study group;
Screening vs control</t>
    </r>
  </si>
  <si>
    <r>
      <t xml:space="preserve">Number of breast cancers </t>
    </r>
    <r>
      <rPr>
        <b/>
        <sz val="10"/>
        <rFont val="Calibri"/>
        <family val="2"/>
        <scheme val="minor"/>
      </rPr>
      <t>with size 10-14 mm</t>
    </r>
    <r>
      <rPr>
        <sz val="10"/>
        <rFont val="Calibri"/>
        <family val="2"/>
        <scheme val="minor"/>
      </rPr>
      <t xml:space="preserve"> </t>
    </r>
    <r>
      <rPr>
        <b/>
        <sz val="10"/>
        <rFont val="Calibri"/>
        <family val="2"/>
        <scheme val="minor"/>
      </rPr>
      <t>in women aged  65-74 years at entry</t>
    </r>
    <r>
      <rPr>
        <sz val="10"/>
        <rFont val="Calibri"/>
        <family val="2"/>
        <scheme val="minor"/>
      </rPr>
      <t>, including first screen of controls and contemporaneous cancers diagnosed in study group</t>
    </r>
  </si>
  <si>
    <r>
      <t>Absolute incidence of</t>
    </r>
    <r>
      <rPr>
        <b/>
        <sz val="10"/>
        <rFont val="Calibri"/>
        <family val="2"/>
        <scheme val="minor"/>
      </rPr>
      <t xml:space="preserve"> </t>
    </r>
    <r>
      <rPr>
        <sz val="10"/>
        <rFont val="Calibri"/>
        <family val="2"/>
        <scheme val="minor"/>
      </rPr>
      <t xml:space="preserve">breast cancer </t>
    </r>
    <r>
      <rPr>
        <b/>
        <sz val="10"/>
        <rFont val="Calibri"/>
        <family val="2"/>
        <scheme val="minor"/>
      </rPr>
      <t xml:space="preserve">with size 15-19 mm </t>
    </r>
    <r>
      <rPr>
        <sz val="10"/>
        <rFont val="Calibri"/>
        <family val="2"/>
        <scheme val="minor"/>
      </rPr>
      <t xml:space="preserve">(per 1,000 women </t>
    </r>
    <r>
      <rPr>
        <b/>
        <sz val="10"/>
        <rFont val="Calibri"/>
        <family val="2"/>
        <scheme val="minor"/>
      </rPr>
      <t>aged  65-74 years at entry</t>
    </r>
    <r>
      <rPr>
        <sz val="10"/>
        <rFont val="Calibri"/>
        <family val="2"/>
        <scheme val="minor"/>
      </rPr>
      <t>); including first screen of controls and contemporaneous cancers diagnosed in study group;
Screening vs control</t>
    </r>
  </si>
  <si>
    <r>
      <t xml:space="preserve">Number of breast cancers </t>
    </r>
    <r>
      <rPr>
        <b/>
        <sz val="10"/>
        <rFont val="Calibri"/>
        <family val="2"/>
        <scheme val="minor"/>
      </rPr>
      <t>with size 15-19 mm</t>
    </r>
    <r>
      <rPr>
        <sz val="10"/>
        <rFont val="Calibri"/>
        <family val="2"/>
        <scheme val="minor"/>
      </rPr>
      <t xml:space="preserve"> </t>
    </r>
    <r>
      <rPr>
        <b/>
        <sz val="10"/>
        <rFont val="Calibri"/>
        <family val="2"/>
        <scheme val="minor"/>
      </rPr>
      <t>in women aged 65-74 years at entry</t>
    </r>
    <r>
      <rPr>
        <sz val="10"/>
        <rFont val="Calibri"/>
        <family val="2"/>
        <scheme val="minor"/>
      </rPr>
      <t>, including first screen of controls and contemporaneous cancers diagnosed in study group</t>
    </r>
  </si>
  <si>
    <r>
      <t>Absolute incidence of</t>
    </r>
    <r>
      <rPr>
        <b/>
        <sz val="10"/>
        <rFont val="Calibri"/>
        <family val="2"/>
        <scheme val="minor"/>
      </rPr>
      <t xml:space="preserve"> </t>
    </r>
    <r>
      <rPr>
        <sz val="10"/>
        <rFont val="Calibri"/>
        <family val="2"/>
        <scheme val="minor"/>
      </rPr>
      <t xml:space="preserve">breast cancer </t>
    </r>
    <r>
      <rPr>
        <b/>
        <sz val="10"/>
        <rFont val="Calibri"/>
        <family val="2"/>
        <scheme val="minor"/>
      </rPr>
      <t xml:space="preserve">with size &lt;20 mm </t>
    </r>
    <r>
      <rPr>
        <sz val="10"/>
        <rFont val="Calibri"/>
        <family val="2"/>
        <scheme val="minor"/>
      </rPr>
      <t xml:space="preserve">(per 1,000 women </t>
    </r>
    <r>
      <rPr>
        <b/>
        <sz val="10"/>
        <rFont val="Calibri"/>
        <family val="2"/>
        <scheme val="minor"/>
      </rPr>
      <t>aged 65-74 years at entry</t>
    </r>
    <r>
      <rPr>
        <sz val="10"/>
        <rFont val="Calibri"/>
        <family val="2"/>
        <scheme val="minor"/>
      </rPr>
      <t>); including first screen of controls and contemporaneous cancers diagnosed in study group;
Screening vs control</t>
    </r>
  </si>
  <si>
    <r>
      <t xml:space="preserve">Number of breast cancers </t>
    </r>
    <r>
      <rPr>
        <b/>
        <sz val="10"/>
        <rFont val="Calibri"/>
        <family val="2"/>
        <scheme val="minor"/>
      </rPr>
      <t>with size &lt;20 mm</t>
    </r>
    <r>
      <rPr>
        <sz val="10"/>
        <rFont val="Calibri"/>
        <family val="2"/>
        <scheme val="minor"/>
      </rPr>
      <t xml:space="preserve"> </t>
    </r>
    <r>
      <rPr>
        <b/>
        <sz val="10"/>
        <rFont val="Calibri"/>
        <family val="2"/>
        <scheme val="minor"/>
      </rPr>
      <t>in women aged 65-74 years at entry</t>
    </r>
    <r>
      <rPr>
        <sz val="10"/>
        <rFont val="Calibri"/>
        <family val="2"/>
        <scheme val="minor"/>
      </rPr>
      <t>, including first screen of controls and contemporaneous cancers diagnosed in study group</t>
    </r>
  </si>
  <si>
    <r>
      <t>Absolute incidence of</t>
    </r>
    <r>
      <rPr>
        <b/>
        <sz val="10"/>
        <rFont val="Calibri"/>
        <family val="2"/>
        <scheme val="minor"/>
      </rPr>
      <t xml:space="preserve"> </t>
    </r>
    <r>
      <rPr>
        <sz val="10"/>
        <rFont val="Calibri"/>
        <family val="2"/>
        <scheme val="minor"/>
      </rPr>
      <t xml:space="preserve">breast cancer </t>
    </r>
    <r>
      <rPr>
        <b/>
        <sz val="10"/>
        <rFont val="Calibri"/>
        <family val="2"/>
        <scheme val="minor"/>
      </rPr>
      <t xml:space="preserve">with size 20-29 mm </t>
    </r>
    <r>
      <rPr>
        <sz val="10"/>
        <rFont val="Calibri"/>
        <family val="2"/>
        <scheme val="minor"/>
      </rPr>
      <t xml:space="preserve">(per 1,000 women </t>
    </r>
    <r>
      <rPr>
        <b/>
        <sz val="10"/>
        <rFont val="Calibri"/>
        <family val="2"/>
        <scheme val="minor"/>
      </rPr>
      <t>aged  65-74 years at entry</t>
    </r>
    <r>
      <rPr>
        <sz val="10"/>
        <rFont val="Calibri"/>
        <family val="2"/>
        <scheme val="minor"/>
      </rPr>
      <t>); including first screen of controls and contemporaneous cancers diagnosed in study group;
Screening vs control</t>
    </r>
  </si>
  <si>
    <r>
      <t xml:space="preserve">Number of breast cancers </t>
    </r>
    <r>
      <rPr>
        <b/>
        <sz val="10"/>
        <rFont val="Calibri"/>
        <family val="2"/>
        <scheme val="minor"/>
      </rPr>
      <t>with size 20-29 mm</t>
    </r>
    <r>
      <rPr>
        <sz val="10"/>
        <rFont val="Calibri"/>
        <family val="2"/>
        <scheme val="minor"/>
      </rPr>
      <t xml:space="preserve"> </t>
    </r>
    <r>
      <rPr>
        <b/>
        <sz val="10"/>
        <rFont val="Calibri"/>
        <family val="2"/>
        <scheme val="minor"/>
      </rPr>
      <t>in women aged  65-74 years at entry</t>
    </r>
    <r>
      <rPr>
        <sz val="10"/>
        <rFont val="Calibri"/>
        <family val="2"/>
        <scheme val="minor"/>
      </rPr>
      <t>, including first screen of controls and contemporaneous cancers diagnosed in study group</t>
    </r>
  </si>
  <si>
    <r>
      <t>Absolute incidence of</t>
    </r>
    <r>
      <rPr>
        <b/>
        <sz val="10"/>
        <rFont val="Calibri"/>
        <family val="2"/>
        <scheme val="minor"/>
      </rPr>
      <t xml:space="preserve"> </t>
    </r>
    <r>
      <rPr>
        <sz val="10"/>
        <rFont val="Calibri"/>
        <family val="2"/>
        <scheme val="minor"/>
      </rPr>
      <t xml:space="preserve">breast cancer </t>
    </r>
    <r>
      <rPr>
        <b/>
        <sz val="10"/>
        <rFont val="Calibri"/>
        <family val="2"/>
        <scheme val="minor"/>
      </rPr>
      <t xml:space="preserve">with size 30-49 mm </t>
    </r>
    <r>
      <rPr>
        <sz val="10"/>
        <rFont val="Calibri"/>
        <family val="2"/>
        <scheme val="minor"/>
      </rPr>
      <t xml:space="preserve">(per 1,000 women </t>
    </r>
    <r>
      <rPr>
        <b/>
        <sz val="10"/>
        <rFont val="Calibri"/>
        <family val="2"/>
        <scheme val="minor"/>
      </rPr>
      <t>aged  65-74 years at entry</t>
    </r>
    <r>
      <rPr>
        <sz val="10"/>
        <rFont val="Calibri"/>
        <family val="2"/>
        <scheme val="minor"/>
      </rPr>
      <t>); including first screen of controls and contemporaneous cancers diagnosed in study group;
Screening vs control</t>
    </r>
  </si>
  <si>
    <r>
      <t xml:space="preserve">Number of breast cancers </t>
    </r>
    <r>
      <rPr>
        <b/>
        <sz val="10"/>
        <rFont val="Calibri"/>
        <family val="2"/>
        <scheme val="minor"/>
      </rPr>
      <t>with size 30-49 mm</t>
    </r>
    <r>
      <rPr>
        <sz val="10"/>
        <rFont val="Calibri"/>
        <family val="2"/>
        <scheme val="minor"/>
      </rPr>
      <t xml:space="preserve"> </t>
    </r>
    <r>
      <rPr>
        <b/>
        <sz val="10"/>
        <rFont val="Calibri"/>
        <family val="2"/>
        <scheme val="minor"/>
      </rPr>
      <t>in women aged 65-74 years at entry</t>
    </r>
    <r>
      <rPr>
        <sz val="10"/>
        <rFont val="Calibri"/>
        <family val="2"/>
        <scheme val="minor"/>
      </rPr>
      <t>, including first screen of controls and contemporaneous cancers diagnosed in study group</t>
    </r>
  </si>
  <si>
    <r>
      <t>Absolute incidence of</t>
    </r>
    <r>
      <rPr>
        <b/>
        <sz val="10"/>
        <rFont val="Calibri"/>
        <family val="2"/>
        <scheme val="minor"/>
      </rPr>
      <t xml:space="preserve"> </t>
    </r>
    <r>
      <rPr>
        <sz val="10"/>
        <rFont val="Calibri"/>
        <family val="2"/>
        <scheme val="minor"/>
      </rPr>
      <t xml:space="preserve">breast cancer </t>
    </r>
    <r>
      <rPr>
        <b/>
        <sz val="10"/>
        <rFont val="Calibri"/>
        <family val="2"/>
        <scheme val="minor"/>
      </rPr>
      <t xml:space="preserve">with size 50+ mm </t>
    </r>
    <r>
      <rPr>
        <sz val="10"/>
        <rFont val="Calibri"/>
        <family val="2"/>
        <scheme val="minor"/>
      </rPr>
      <t xml:space="preserve">(per 1,000 women </t>
    </r>
    <r>
      <rPr>
        <b/>
        <sz val="10"/>
        <rFont val="Calibri"/>
        <family val="2"/>
        <scheme val="minor"/>
      </rPr>
      <t>aged  65-74 years at entry</t>
    </r>
    <r>
      <rPr>
        <sz val="10"/>
        <rFont val="Calibri"/>
        <family val="2"/>
        <scheme val="minor"/>
      </rPr>
      <t>); including first screen of controls and contemporaneous cancers diagnosed in study group;
Screening vs control</t>
    </r>
  </si>
  <si>
    <r>
      <t xml:space="preserve">Number of breast cancers </t>
    </r>
    <r>
      <rPr>
        <b/>
        <sz val="10"/>
        <rFont val="Calibri"/>
        <family val="2"/>
        <scheme val="minor"/>
      </rPr>
      <t>with size 50+ mm</t>
    </r>
    <r>
      <rPr>
        <sz val="10"/>
        <rFont val="Calibri"/>
        <family val="2"/>
        <scheme val="minor"/>
      </rPr>
      <t xml:space="preserve"> </t>
    </r>
    <r>
      <rPr>
        <b/>
        <sz val="10"/>
        <rFont val="Calibri"/>
        <family val="2"/>
        <scheme val="minor"/>
      </rPr>
      <t>in women aged 65-74 years at entry</t>
    </r>
    <r>
      <rPr>
        <sz val="10"/>
        <rFont val="Calibri"/>
        <family val="2"/>
        <scheme val="minor"/>
      </rPr>
      <t>, including first screen of controls and contemporaneous cancers diagnosed in study group)</t>
    </r>
  </si>
  <si>
    <r>
      <t>Absolute incidence of</t>
    </r>
    <r>
      <rPr>
        <b/>
        <sz val="10"/>
        <rFont val="Calibri"/>
        <family val="2"/>
        <scheme val="minor"/>
      </rPr>
      <t xml:space="preserve"> </t>
    </r>
    <r>
      <rPr>
        <sz val="10"/>
        <rFont val="Calibri"/>
        <family val="2"/>
        <scheme val="minor"/>
      </rPr>
      <t xml:space="preserve">breast cancer </t>
    </r>
    <r>
      <rPr>
        <b/>
        <sz val="10"/>
        <rFont val="Calibri"/>
        <family val="2"/>
        <scheme val="minor"/>
      </rPr>
      <t xml:space="preserve">with size 20+ mm </t>
    </r>
    <r>
      <rPr>
        <sz val="10"/>
        <rFont val="Calibri"/>
        <family val="2"/>
        <scheme val="minor"/>
      </rPr>
      <t xml:space="preserve">(per 1,000 women </t>
    </r>
    <r>
      <rPr>
        <b/>
        <sz val="10"/>
        <rFont val="Calibri"/>
        <family val="2"/>
        <scheme val="minor"/>
      </rPr>
      <t>aged  65-74 years at entry</t>
    </r>
    <r>
      <rPr>
        <sz val="10"/>
        <rFont val="Calibri"/>
        <family val="2"/>
        <scheme val="minor"/>
      </rPr>
      <t>); including first screen of controls and contemporaneous cancers diagnosed in study group;
Screening vs control</t>
    </r>
  </si>
  <si>
    <r>
      <t xml:space="preserve">Number of breast cancers </t>
    </r>
    <r>
      <rPr>
        <b/>
        <sz val="10"/>
        <rFont val="Calibri"/>
        <family val="2"/>
        <scheme val="minor"/>
      </rPr>
      <t>with size ≥20 mm</t>
    </r>
    <r>
      <rPr>
        <sz val="10"/>
        <rFont val="Calibri"/>
        <family val="2"/>
        <scheme val="minor"/>
      </rPr>
      <t xml:space="preserve"> </t>
    </r>
    <r>
      <rPr>
        <b/>
        <sz val="10"/>
        <rFont val="Calibri"/>
        <family val="2"/>
        <scheme val="minor"/>
      </rPr>
      <t>in women aged 65-74 years at entry</t>
    </r>
    <r>
      <rPr>
        <sz val="10"/>
        <rFont val="Calibri"/>
        <family val="2"/>
        <scheme val="minor"/>
      </rPr>
      <t>, including first screen of controls and contemporaneous cancers diagnosed in study group</t>
    </r>
  </si>
  <si>
    <r>
      <t>Absolute incidence of</t>
    </r>
    <r>
      <rPr>
        <b/>
        <sz val="10"/>
        <rFont val="Calibri"/>
        <family val="2"/>
        <scheme val="minor"/>
      </rPr>
      <t xml:space="preserve"> node negative</t>
    </r>
    <r>
      <rPr>
        <sz val="10"/>
        <rFont val="Calibri"/>
        <family val="2"/>
        <scheme val="minor"/>
      </rPr>
      <t xml:space="preserve"> breast cancer</t>
    </r>
    <r>
      <rPr>
        <b/>
        <sz val="10"/>
        <rFont val="Calibri"/>
        <family val="2"/>
        <scheme val="minor"/>
      </rPr>
      <t xml:space="preserve"> </t>
    </r>
    <r>
      <rPr>
        <sz val="10"/>
        <rFont val="Calibri"/>
        <family val="2"/>
        <scheme val="minor"/>
      </rPr>
      <t xml:space="preserve">(per 1,000 women </t>
    </r>
    <r>
      <rPr>
        <b/>
        <sz val="10"/>
        <rFont val="Calibri"/>
        <family val="2"/>
        <scheme val="minor"/>
      </rPr>
      <t>aged 65-74 years at entry</t>
    </r>
    <r>
      <rPr>
        <sz val="10"/>
        <rFont val="Calibri"/>
        <family val="2"/>
        <scheme val="minor"/>
      </rPr>
      <t>); including first screen of controls and contemporaneous cancers diagnosed in study group;
Screening vs control</t>
    </r>
  </si>
  <si>
    <r>
      <t xml:space="preserve">Number of </t>
    </r>
    <r>
      <rPr>
        <b/>
        <sz val="10"/>
        <rFont val="Calibri"/>
        <family val="2"/>
        <scheme val="minor"/>
      </rPr>
      <t xml:space="preserve">node negative </t>
    </r>
    <r>
      <rPr>
        <sz val="10"/>
        <rFont val="Calibri"/>
        <family val="2"/>
        <scheme val="minor"/>
      </rPr>
      <t xml:space="preserve">breast cancers </t>
    </r>
    <r>
      <rPr>
        <b/>
        <sz val="10"/>
        <rFont val="Calibri"/>
        <family val="2"/>
        <scheme val="minor"/>
      </rPr>
      <t>in women aged 65-74 years at entry</t>
    </r>
    <r>
      <rPr>
        <sz val="10"/>
        <rFont val="Calibri"/>
        <family val="2"/>
        <scheme val="minor"/>
      </rPr>
      <t>, including first screen of controls and contemporaneous cancers diagnosed in study group</t>
    </r>
  </si>
  <si>
    <r>
      <t>Absolute incidence of</t>
    </r>
    <r>
      <rPr>
        <b/>
        <sz val="10"/>
        <rFont val="Calibri"/>
        <family val="2"/>
        <scheme val="minor"/>
      </rPr>
      <t xml:space="preserve"> node positive</t>
    </r>
    <r>
      <rPr>
        <sz val="10"/>
        <rFont val="Calibri"/>
        <family val="2"/>
        <scheme val="minor"/>
      </rPr>
      <t xml:space="preserve"> breast cancer</t>
    </r>
    <r>
      <rPr>
        <b/>
        <sz val="10"/>
        <rFont val="Calibri"/>
        <family val="2"/>
        <scheme val="minor"/>
      </rPr>
      <t xml:space="preserve"> </t>
    </r>
    <r>
      <rPr>
        <sz val="10"/>
        <rFont val="Calibri"/>
        <family val="2"/>
        <scheme val="minor"/>
      </rPr>
      <t xml:space="preserve">(per 1,000 women </t>
    </r>
    <r>
      <rPr>
        <b/>
        <sz val="10"/>
        <rFont val="Calibri"/>
        <family val="2"/>
        <scheme val="minor"/>
      </rPr>
      <t>aged  65-74 years at entry</t>
    </r>
    <r>
      <rPr>
        <sz val="10"/>
        <rFont val="Calibri"/>
        <family val="2"/>
        <scheme val="minor"/>
      </rPr>
      <t>); including first screen of controls and contemporaneous cancers diagnosed in study group;
Screening vs control</t>
    </r>
  </si>
  <si>
    <r>
      <t xml:space="preserve">Number of </t>
    </r>
    <r>
      <rPr>
        <b/>
        <sz val="10"/>
        <rFont val="Calibri"/>
        <family val="2"/>
        <scheme val="minor"/>
      </rPr>
      <t xml:space="preserve">node positive </t>
    </r>
    <r>
      <rPr>
        <sz val="10"/>
        <rFont val="Calibri"/>
        <family val="2"/>
        <scheme val="minor"/>
      </rPr>
      <t xml:space="preserve">breast cancers </t>
    </r>
    <r>
      <rPr>
        <b/>
        <sz val="10"/>
        <rFont val="Calibri"/>
        <family val="2"/>
        <scheme val="minor"/>
      </rPr>
      <t>in women aged 65-74 years at entry</t>
    </r>
    <r>
      <rPr>
        <sz val="10"/>
        <rFont val="Calibri"/>
        <family val="2"/>
        <scheme val="minor"/>
      </rPr>
      <t>, including first screen of controls and contemporaneous cancers diagnosed in study group</t>
    </r>
  </si>
  <si>
    <r>
      <t>Absolute incidence of</t>
    </r>
    <r>
      <rPr>
        <b/>
        <sz val="10"/>
        <rFont val="Calibri"/>
        <family val="2"/>
        <scheme val="minor"/>
      </rPr>
      <t xml:space="preserve"> node negative </t>
    </r>
    <r>
      <rPr>
        <sz val="10"/>
        <rFont val="Calibri"/>
        <family val="2"/>
        <scheme val="minor"/>
      </rPr>
      <t xml:space="preserve">invasive breast cancer (per 1,000 women </t>
    </r>
    <r>
      <rPr>
        <b/>
        <sz val="10"/>
        <rFont val="Calibri"/>
        <family val="2"/>
        <scheme val="minor"/>
      </rPr>
      <t>aged 40-49 years at entry</t>
    </r>
    <r>
      <rPr>
        <sz val="10"/>
        <rFont val="Calibri"/>
        <family val="2"/>
        <scheme val="minor"/>
      </rPr>
      <t>); including first screen of controls and contemporaneous cancers diagnosed in study group;
Screening vs control</t>
    </r>
  </si>
  <si>
    <t>8</t>
  </si>
  <si>
    <t>11</t>
  </si>
  <si>
    <r>
      <t xml:space="preserve">Number of </t>
    </r>
    <r>
      <rPr>
        <b/>
        <sz val="10"/>
        <rFont val="Calibri"/>
        <family val="2"/>
        <scheme val="minor"/>
      </rPr>
      <t xml:space="preserve">node negative </t>
    </r>
    <r>
      <rPr>
        <sz val="10"/>
        <rFont val="Calibri"/>
        <family val="2"/>
        <scheme val="minor"/>
      </rPr>
      <t>invasive</t>
    </r>
    <r>
      <rPr>
        <b/>
        <sz val="10"/>
        <rFont val="Calibri"/>
        <family val="2"/>
        <scheme val="minor"/>
      </rPr>
      <t xml:space="preserve"> </t>
    </r>
    <r>
      <rPr>
        <sz val="10"/>
        <rFont val="Calibri"/>
        <family val="2"/>
        <scheme val="minor"/>
      </rPr>
      <t xml:space="preserve">breast cancers </t>
    </r>
    <r>
      <rPr>
        <b/>
        <sz val="10"/>
        <rFont val="Calibri"/>
        <family val="2"/>
        <scheme val="minor"/>
      </rPr>
      <t>in women aged 40-49 years at entry</t>
    </r>
    <r>
      <rPr>
        <sz val="10"/>
        <rFont val="Calibri"/>
        <family val="2"/>
        <scheme val="minor"/>
      </rPr>
      <t>, including first screen of controls and contemporaneous cancers diagnosed in study group</t>
    </r>
  </si>
  <si>
    <t>28 (ASP) and 10 (PSP) DCIS not included.</t>
  </si>
  <si>
    <r>
      <t>Absolute incidence of invasive breast cancer (</t>
    </r>
    <r>
      <rPr>
        <b/>
        <sz val="10"/>
        <rFont val="Calibri"/>
        <family val="2"/>
        <scheme val="minor"/>
      </rPr>
      <t>node positive and/or distant metastases)</t>
    </r>
    <r>
      <rPr>
        <sz val="10"/>
        <rFont val="Calibri"/>
        <family val="2"/>
        <scheme val="minor"/>
      </rPr>
      <t xml:space="preserve"> (per 1,000 women </t>
    </r>
    <r>
      <rPr>
        <b/>
        <sz val="10"/>
        <rFont val="Calibri"/>
        <family val="2"/>
        <scheme val="minor"/>
      </rPr>
      <t>aged 40-49 years at entry</t>
    </r>
    <r>
      <rPr>
        <sz val="10"/>
        <rFont val="Calibri"/>
        <family val="2"/>
        <scheme val="minor"/>
      </rPr>
      <t>); including first screen of controls and contemporaneous cancers diagnosed in study group;
Screening vs control</t>
    </r>
  </si>
  <si>
    <r>
      <t xml:space="preserve">Number of invasive </t>
    </r>
    <r>
      <rPr>
        <b/>
        <sz val="10"/>
        <rFont val="Calibri"/>
        <family val="2"/>
        <scheme val="minor"/>
      </rPr>
      <t xml:space="preserve"> </t>
    </r>
    <r>
      <rPr>
        <sz val="10"/>
        <rFont val="Calibri"/>
        <family val="2"/>
        <scheme val="minor"/>
      </rPr>
      <t xml:space="preserve">breast cancers </t>
    </r>
    <r>
      <rPr>
        <b/>
        <sz val="10"/>
        <rFont val="Calibri"/>
        <family val="2"/>
        <scheme val="minor"/>
      </rPr>
      <t>(node positive and/or distant metastases ) in women aged 40-49 years at entry</t>
    </r>
    <r>
      <rPr>
        <sz val="10"/>
        <rFont val="Calibri"/>
        <family val="2"/>
        <scheme val="minor"/>
      </rPr>
      <t>, including first screen of controls and contemporaneous cancers diagnosed in study group</t>
    </r>
  </si>
  <si>
    <r>
      <t>Absolute incidence of</t>
    </r>
    <r>
      <rPr>
        <b/>
        <sz val="10"/>
        <rFont val="Calibri"/>
        <family val="2"/>
        <scheme val="minor"/>
      </rPr>
      <t xml:space="preserve"> node negative </t>
    </r>
    <r>
      <rPr>
        <sz val="10"/>
        <rFont val="Calibri"/>
        <family val="2"/>
        <scheme val="minor"/>
      </rPr>
      <t xml:space="preserve">invasive breast cancer (per 10,000 PY in women </t>
    </r>
    <r>
      <rPr>
        <b/>
        <sz val="10"/>
        <rFont val="Calibri"/>
        <family val="2"/>
        <scheme val="minor"/>
      </rPr>
      <t>aged 40-49 years at entry</t>
    </r>
    <r>
      <rPr>
        <sz val="10"/>
        <rFont val="Calibri"/>
        <family val="2"/>
        <scheme val="minor"/>
      </rPr>
      <t>); including first screen of controls and contemporaneous cancers diagnosed in study group;
Screening vs control</t>
    </r>
  </si>
  <si>
    <r>
      <t>Absolute incidence of invasive breast cancer (</t>
    </r>
    <r>
      <rPr>
        <b/>
        <sz val="10"/>
        <rFont val="Calibri"/>
        <family val="2"/>
        <scheme val="minor"/>
      </rPr>
      <t>node positive and/or distant metastases)</t>
    </r>
    <r>
      <rPr>
        <sz val="10"/>
        <rFont val="Calibri"/>
        <family val="2"/>
        <scheme val="minor"/>
      </rPr>
      <t xml:space="preserve"> (per 10,000 PY in women </t>
    </r>
    <r>
      <rPr>
        <b/>
        <sz val="10"/>
        <rFont val="Calibri"/>
        <family val="2"/>
        <scheme val="minor"/>
      </rPr>
      <t>aged 40-49 years at entry</t>
    </r>
    <r>
      <rPr>
        <sz val="10"/>
        <rFont val="Calibri"/>
        <family val="2"/>
        <scheme val="minor"/>
      </rPr>
      <t>); including first screen of controls and contemporaneous cancers diagnosed in study group;
Screening vs control</t>
    </r>
  </si>
  <si>
    <r>
      <t>Absolute incidence of</t>
    </r>
    <r>
      <rPr>
        <b/>
        <sz val="10"/>
        <rFont val="Calibri"/>
        <family val="2"/>
        <scheme val="minor"/>
      </rPr>
      <t xml:space="preserve"> </t>
    </r>
    <r>
      <rPr>
        <sz val="10"/>
        <rFont val="Calibri"/>
        <family val="2"/>
        <scheme val="minor"/>
      </rPr>
      <t xml:space="preserve">invasive breast cancer </t>
    </r>
    <r>
      <rPr>
        <b/>
        <sz val="10"/>
        <rFont val="Calibri"/>
        <family val="2"/>
        <scheme val="minor"/>
      </rPr>
      <t xml:space="preserve">with size 1-9 mm </t>
    </r>
    <r>
      <rPr>
        <sz val="10"/>
        <rFont val="Calibri"/>
        <family val="2"/>
        <scheme val="minor"/>
      </rPr>
      <t xml:space="preserve">(per 1,000 women </t>
    </r>
    <r>
      <rPr>
        <b/>
        <sz val="10"/>
        <rFont val="Calibri"/>
        <family val="2"/>
        <scheme val="minor"/>
      </rPr>
      <t>aged 40-49 years at entry</t>
    </r>
    <r>
      <rPr>
        <sz val="10"/>
        <rFont val="Calibri"/>
        <family val="2"/>
        <scheme val="minor"/>
      </rPr>
      <t>); including first screen of controls and contemporaneous cancers diagnosed in study group;
Screening vs control</t>
    </r>
  </si>
  <si>
    <r>
      <t xml:space="preserve">Number of breast cancers </t>
    </r>
    <r>
      <rPr>
        <b/>
        <sz val="10"/>
        <rFont val="Calibri"/>
        <family val="2"/>
        <scheme val="minor"/>
      </rPr>
      <t>with size 1-9 mm</t>
    </r>
    <r>
      <rPr>
        <sz val="10"/>
        <rFont val="Calibri"/>
        <family val="2"/>
        <scheme val="minor"/>
      </rPr>
      <t xml:space="preserve"> </t>
    </r>
    <r>
      <rPr>
        <b/>
        <sz val="10"/>
        <rFont val="Calibri"/>
        <family val="2"/>
        <scheme val="minor"/>
      </rPr>
      <t>in women aged 40-49 years at entry</t>
    </r>
    <r>
      <rPr>
        <sz val="10"/>
        <rFont val="Calibri"/>
        <family val="2"/>
        <scheme val="minor"/>
      </rPr>
      <t>, including first screen of controls and contemporaneous cancers diagnosed in study group</t>
    </r>
  </si>
  <si>
    <t>28 (ASP) and 10 (PSP) DCIS not measured.</t>
  </si>
  <si>
    <r>
      <t>Absolute incidence of</t>
    </r>
    <r>
      <rPr>
        <b/>
        <sz val="10"/>
        <rFont val="Calibri"/>
        <family val="2"/>
        <scheme val="minor"/>
      </rPr>
      <t xml:space="preserve"> </t>
    </r>
    <r>
      <rPr>
        <sz val="10"/>
        <rFont val="Calibri"/>
        <family val="2"/>
        <scheme val="minor"/>
      </rPr>
      <t>invasive</t>
    </r>
    <r>
      <rPr>
        <b/>
        <sz val="10"/>
        <rFont val="Calibri"/>
        <family val="2"/>
        <scheme val="minor"/>
      </rPr>
      <t xml:space="preserve"> </t>
    </r>
    <r>
      <rPr>
        <sz val="10"/>
        <rFont val="Calibri"/>
        <family val="2"/>
        <scheme val="minor"/>
      </rPr>
      <t xml:space="preserve">breast cancer </t>
    </r>
    <r>
      <rPr>
        <b/>
        <sz val="10"/>
        <rFont val="Calibri"/>
        <family val="2"/>
        <scheme val="minor"/>
      </rPr>
      <t xml:space="preserve">with size 10-14 mm </t>
    </r>
    <r>
      <rPr>
        <sz val="10"/>
        <rFont val="Calibri"/>
        <family val="2"/>
        <scheme val="minor"/>
      </rPr>
      <t xml:space="preserve">(per 1,000 women </t>
    </r>
    <r>
      <rPr>
        <b/>
        <sz val="10"/>
        <rFont val="Calibri"/>
        <family val="2"/>
        <scheme val="minor"/>
      </rPr>
      <t>aged 40-49 years at entry</t>
    </r>
    <r>
      <rPr>
        <sz val="10"/>
        <rFont val="Calibri"/>
        <family val="2"/>
        <scheme val="minor"/>
      </rPr>
      <t>); including first screen of controls and contemporaneous cancers diagnosed in study group;
Screening vs control</t>
    </r>
  </si>
  <si>
    <r>
      <t xml:space="preserve">Number of breast cancers </t>
    </r>
    <r>
      <rPr>
        <b/>
        <sz val="10"/>
        <rFont val="Calibri"/>
        <family val="2"/>
        <scheme val="minor"/>
      </rPr>
      <t>with size 10-14 mm</t>
    </r>
    <r>
      <rPr>
        <sz val="10"/>
        <rFont val="Calibri"/>
        <family val="2"/>
        <scheme val="minor"/>
      </rPr>
      <t xml:space="preserve"> </t>
    </r>
    <r>
      <rPr>
        <b/>
        <sz val="10"/>
        <rFont val="Calibri"/>
        <family val="2"/>
        <scheme val="minor"/>
      </rPr>
      <t>in women aged 40-49 years at entry</t>
    </r>
    <r>
      <rPr>
        <sz val="10"/>
        <rFont val="Calibri"/>
        <family val="2"/>
        <scheme val="minor"/>
      </rPr>
      <t>, including first screen of controls and contemporaneous cancers diagnosed in study group</t>
    </r>
  </si>
  <si>
    <r>
      <t>Absolute incidence of</t>
    </r>
    <r>
      <rPr>
        <b/>
        <sz val="10"/>
        <rFont val="Calibri"/>
        <family val="2"/>
        <scheme val="minor"/>
      </rPr>
      <t xml:space="preserve"> </t>
    </r>
    <r>
      <rPr>
        <sz val="10"/>
        <rFont val="Calibri"/>
        <family val="2"/>
        <scheme val="minor"/>
      </rPr>
      <t>invasive</t>
    </r>
    <r>
      <rPr>
        <b/>
        <sz val="10"/>
        <rFont val="Calibri"/>
        <family val="2"/>
        <scheme val="minor"/>
      </rPr>
      <t xml:space="preserve"> </t>
    </r>
    <r>
      <rPr>
        <sz val="10"/>
        <rFont val="Calibri"/>
        <family val="2"/>
        <scheme val="minor"/>
      </rPr>
      <t xml:space="preserve">breast cancer </t>
    </r>
    <r>
      <rPr>
        <b/>
        <sz val="10"/>
        <rFont val="Calibri"/>
        <family val="2"/>
        <scheme val="minor"/>
      </rPr>
      <t xml:space="preserve">with size 15-19 mm </t>
    </r>
    <r>
      <rPr>
        <sz val="10"/>
        <rFont val="Calibri"/>
        <family val="2"/>
        <scheme val="minor"/>
      </rPr>
      <t xml:space="preserve">(per 1,000 women </t>
    </r>
    <r>
      <rPr>
        <b/>
        <sz val="10"/>
        <rFont val="Calibri"/>
        <family val="2"/>
        <scheme val="minor"/>
      </rPr>
      <t>aged 40-49 years at entry</t>
    </r>
    <r>
      <rPr>
        <sz val="10"/>
        <rFont val="Calibri"/>
        <family val="2"/>
        <scheme val="minor"/>
      </rPr>
      <t>); including first screen of controls and contemporaneous cancers diagnosed in study group;
Screening vs control</t>
    </r>
  </si>
  <si>
    <r>
      <t xml:space="preserve">Number of breast cancers </t>
    </r>
    <r>
      <rPr>
        <b/>
        <sz val="10"/>
        <rFont val="Calibri"/>
        <family val="2"/>
        <scheme val="minor"/>
      </rPr>
      <t>with size 15-19 mm</t>
    </r>
    <r>
      <rPr>
        <sz val="10"/>
        <rFont val="Calibri"/>
        <family val="2"/>
        <scheme val="minor"/>
      </rPr>
      <t xml:space="preserve"> </t>
    </r>
    <r>
      <rPr>
        <b/>
        <sz val="10"/>
        <rFont val="Calibri"/>
        <family val="2"/>
        <scheme val="minor"/>
      </rPr>
      <t>in women aged 40-49 years at entry</t>
    </r>
    <r>
      <rPr>
        <sz val="10"/>
        <rFont val="Calibri"/>
        <family val="2"/>
        <scheme val="minor"/>
      </rPr>
      <t>, including first screen of controls and contemporaneous cancers diagnosed in study group</t>
    </r>
  </si>
  <si>
    <r>
      <t>Absolute incidence of</t>
    </r>
    <r>
      <rPr>
        <b/>
        <sz val="10"/>
        <rFont val="Calibri"/>
        <family val="2"/>
        <scheme val="minor"/>
      </rPr>
      <t xml:space="preserve"> </t>
    </r>
    <r>
      <rPr>
        <sz val="10"/>
        <rFont val="Calibri"/>
        <family val="2"/>
        <scheme val="minor"/>
      </rPr>
      <t xml:space="preserve">invasive breast cancer </t>
    </r>
    <r>
      <rPr>
        <b/>
        <sz val="10"/>
        <rFont val="Calibri"/>
        <family val="2"/>
        <scheme val="minor"/>
      </rPr>
      <t xml:space="preserve">with size &lt;20 mm </t>
    </r>
    <r>
      <rPr>
        <sz val="10"/>
        <rFont val="Calibri"/>
        <family val="2"/>
        <scheme val="minor"/>
      </rPr>
      <t xml:space="preserve">(per 1,000 women </t>
    </r>
    <r>
      <rPr>
        <b/>
        <sz val="10"/>
        <rFont val="Calibri"/>
        <family val="2"/>
        <scheme val="minor"/>
      </rPr>
      <t>aged 40-49 years at entry</t>
    </r>
    <r>
      <rPr>
        <sz val="10"/>
        <rFont val="Calibri"/>
        <family val="2"/>
        <scheme val="minor"/>
      </rPr>
      <t>); including first screen of controls and contemporaneous cancers diagnosed in study group;
Screening vs control</t>
    </r>
  </si>
  <si>
    <r>
      <t xml:space="preserve">Number of breast cancers </t>
    </r>
    <r>
      <rPr>
        <b/>
        <sz val="10"/>
        <rFont val="Calibri"/>
        <family val="2"/>
        <scheme val="minor"/>
      </rPr>
      <t>with size &lt;20 mm</t>
    </r>
    <r>
      <rPr>
        <sz val="10"/>
        <rFont val="Calibri"/>
        <family val="2"/>
        <scheme val="minor"/>
      </rPr>
      <t xml:space="preserve"> </t>
    </r>
    <r>
      <rPr>
        <b/>
        <sz val="10"/>
        <rFont val="Calibri"/>
        <family val="2"/>
        <scheme val="minor"/>
      </rPr>
      <t>in women aged 40-49 years at entry</t>
    </r>
    <r>
      <rPr>
        <sz val="10"/>
        <rFont val="Calibri"/>
        <family val="2"/>
        <scheme val="minor"/>
      </rPr>
      <t>, including first screen of controls and contemporaneous cancers diagnosed in study group</t>
    </r>
  </si>
  <si>
    <r>
      <t>Absolute incidence of</t>
    </r>
    <r>
      <rPr>
        <b/>
        <sz val="10"/>
        <rFont val="Calibri"/>
        <family val="2"/>
        <scheme val="minor"/>
      </rPr>
      <t xml:space="preserve"> </t>
    </r>
    <r>
      <rPr>
        <sz val="10"/>
        <rFont val="Calibri"/>
        <family val="2"/>
        <scheme val="minor"/>
      </rPr>
      <t xml:space="preserve">invasive breast cancer </t>
    </r>
    <r>
      <rPr>
        <b/>
        <sz val="10"/>
        <rFont val="Calibri"/>
        <family val="2"/>
        <scheme val="minor"/>
      </rPr>
      <t xml:space="preserve">with size 20-29 mm </t>
    </r>
    <r>
      <rPr>
        <sz val="10"/>
        <rFont val="Calibri"/>
        <family val="2"/>
        <scheme val="minor"/>
      </rPr>
      <t xml:space="preserve">(per 1,000 women </t>
    </r>
    <r>
      <rPr>
        <b/>
        <sz val="10"/>
        <rFont val="Calibri"/>
        <family val="2"/>
        <scheme val="minor"/>
      </rPr>
      <t>aged 40-49 years at entry</t>
    </r>
    <r>
      <rPr>
        <sz val="10"/>
        <rFont val="Calibri"/>
        <family val="2"/>
        <scheme val="minor"/>
      </rPr>
      <t>); including first screen of controls and contemporaneous cancers diagnosed in study group;
Screening vs control</t>
    </r>
  </si>
  <si>
    <r>
      <t xml:space="preserve">Number of breast cancers </t>
    </r>
    <r>
      <rPr>
        <b/>
        <sz val="10"/>
        <rFont val="Calibri"/>
        <family val="2"/>
        <scheme val="minor"/>
      </rPr>
      <t>with size 20-29 mm</t>
    </r>
    <r>
      <rPr>
        <sz val="10"/>
        <rFont val="Calibri"/>
        <family val="2"/>
        <scheme val="minor"/>
      </rPr>
      <t xml:space="preserve"> </t>
    </r>
    <r>
      <rPr>
        <b/>
        <sz val="10"/>
        <rFont val="Calibri"/>
        <family val="2"/>
        <scheme val="minor"/>
      </rPr>
      <t>in women aged 40-49 years at entry</t>
    </r>
    <r>
      <rPr>
        <sz val="10"/>
        <rFont val="Calibri"/>
        <family val="2"/>
        <scheme val="minor"/>
      </rPr>
      <t>, including first screen of controls and contemporaneous cancers diagnosed in study group</t>
    </r>
  </si>
  <si>
    <r>
      <t>Absolute incidence of</t>
    </r>
    <r>
      <rPr>
        <b/>
        <sz val="10"/>
        <rFont val="Calibri"/>
        <family val="2"/>
        <scheme val="minor"/>
      </rPr>
      <t xml:space="preserve"> </t>
    </r>
    <r>
      <rPr>
        <sz val="10"/>
        <rFont val="Calibri"/>
        <family val="2"/>
        <scheme val="minor"/>
      </rPr>
      <t xml:space="preserve">invasive breast cancer </t>
    </r>
    <r>
      <rPr>
        <b/>
        <sz val="10"/>
        <rFont val="Calibri"/>
        <family val="2"/>
        <scheme val="minor"/>
      </rPr>
      <t xml:space="preserve">with size 30-49 mm </t>
    </r>
    <r>
      <rPr>
        <sz val="10"/>
        <rFont val="Calibri"/>
        <family val="2"/>
        <scheme val="minor"/>
      </rPr>
      <t xml:space="preserve">(per 1,000 women </t>
    </r>
    <r>
      <rPr>
        <b/>
        <sz val="10"/>
        <rFont val="Calibri"/>
        <family val="2"/>
        <scheme val="minor"/>
      </rPr>
      <t>aged 40-49 years at entry</t>
    </r>
    <r>
      <rPr>
        <sz val="10"/>
        <rFont val="Calibri"/>
        <family val="2"/>
        <scheme val="minor"/>
      </rPr>
      <t>); including first screen of controls and contemporaneous cancers diagnosed in study group;
Screening vs control</t>
    </r>
  </si>
  <si>
    <r>
      <t xml:space="preserve">Number of breast cancers </t>
    </r>
    <r>
      <rPr>
        <b/>
        <sz val="10"/>
        <rFont val="Calibri"/>
        <family val="2"/>
        <scheme val="minor"/>
      </rPr>
      <t>with size 30-49 mm</t>
    </r>
    <r>
      <rPr>
        <sz val="10"/>
        <rFont val="Calibri"/>
        <family val="2"/>
        <scheme val="minor"/>
      </rPr>
      <t xml:space="preserve"> </t>
    </r>
    <r>
      <rPr>
        <b/>
        <sz val="10"/>
        <rFont val="Calibri"/>
        <family val="2"/>
        <scheme val="minor"/>
      </rPr>
      <t>in women aged 40-49 years at entry</t>
    </r>
    <r>
      <rPr>
        <sz val="10"/>
        <rFont val="Calibri"/>
        <family val="2"/>
        <scheme val="minor"/>
      </rPr>
      <t>, including first screen of controls and contemporaneous cancers diagnosed in study group</t>
    </r>
  </si>
  <si>
    <r>
      <t>Absolute incidence of</t>
    </r>
    <r>
      <rPr>
        <b/>
        <sz val="10"/>
        <rFont val="Calibri"/>
        <family val="2"/>
        <scheme val="minor"/>
      </rPr>
      <t xml:space="preserve"> </t>
    </r>
    <r>
      <rPr>
        <sz val="10"/>
        <rFont val="Calibri"/>
        <family val="2"/>
        <scheme val="minor"/>
      </rPr>
      <t xml:space="preserve">invasive breast cancer </t>
    </r>
    <r>
      <rPr>
        <b/>
        <sz val="10"/>
        <rFont val="Calibri"/>
        <family val="2"/>
        <scheme val="minor"/>
      </rPr>
      <t xml:space="preserve">with size 50+ mm </t>
    </r>
    <r>
      <rPr>
        <sz val="10"/>
        <rFont val="Calibri"/>
        <family val="2"/>
        <scheme val="minor"/>
      </rPr>
      <t xml:space="preserve">(per 1,000 women </t>
    </r>
    <r>
      <rPr>
        <b/>
        <sz val="10"/>
        <rFont val="Calibri"/>
        <family val="2"/>
        <scheme val="minor"/>
      </rPr>
      <t>aged 40-49 years at entry</t>
    </r>
    <r>
      <rPr>
        <sz val="10"/>
        <rFont val="Calibri"/>
        <family val="2"/>
        <scheme val="minor"/>
      </rPr>
      <t>); including first screen of controls and contemporaneous cancers diagnosed in study group;
Screening vs control</t>
    </r>
  </si>
  <si>
    <r>
      <t xml:space="preserve">Number of breast cancers </t>
    </r>
    <r>
      <rPr>
        <b/>
        <sz val="10"/>
        <rFont val="Calibri"/>
        <family val="2"/>
        <scheme val="minor"/>
      </rPr>
      <t>with size 50+ mm</t>
    </r>
    <r>
      <rPr>
        <sz val="10"/>
        <rFont val="Calibri"/>
        <family val="2"/>
        <scheme val="minor"/>
      </rPr>
      <t xml:space="preserve"> </t>
    </r>
    <r>
      <rPr>
        <b/>
        <sz val="10"/>
        <rFont val="Calibri"/>
        <family val="2"/>
        <scheme val="minor"/>
      </rPr>
      <t>in women aged 40-49 years at entry</t>
    </r>
    <r>
      <rPr>
        <sz val="10"/>
        <rFont val="Calibri"/>
        <family val="2"/>
        <scheme val="minor"/>
      </rPr>
      <t>, including first screen of controls and contemporaneous cancers diagnosed in study group)</t>
    </r>
  </si>
  <si>
    <r>
      <t>Absolute incidence of</t>
    </r>
    <r>
      <rPr>
        <b/>
        <sz val="10"/>
        <rFont val="Calibri"/>
        <family val="2"/>
        <scheme val="minor"/>
      </rPr>
      <t xml:space="preserve"> </t>
    </r>
    <r>
      <rPr>
        <sz val="10"/>
        <rFont val="Calibri"/>
        <family val="2"/>
        <scheme val="minor"/>
      </rPr>
      <t xml:space="preserve">invasive breast cancer </t>
    </r>
    <r>
      <rPr>
        <b/>
        <sz val="10"/>
        <rFont val="Calibri"/>
        <family val="2"/>
        <scheme val="minor"/>
      </rPr>
      <t xml:space="preserve">with size 20+ mm </t>
    </r>
    <r>
      <rPr>
        <sz val="10"/>
        <rFont val="Calibri"/>
        <family val="2"/>
        <scheme val="minor"/>
      </rPr>
      <t xml:space="preserve">(per 1,000 women </t>
    </r>
    <r>
      <rPr>
        <b/>
        <sz val="10"/>
        <rFont val="Calibri"/>
        <family val="2"/>
        <scheme val="minor"/>
      </rPr>
      <t>aged 40-49 years at entry</t>
    </r>
    <r>
      <rPr>
        <sz val="10"/>
        <rFont val="Calibri"/>
        <family val="2"/>
        <scheme val="minor"/>
      </rPr>
      <t>); including first screen of controls and contemporaneous cancers diagnosed in study group;
Screening vs control</t>
    </r>
  </si>
  <si>
    <r>
      <t xml:space="preserve">Number of breast cancers </t>
    </r>
    <r>
      <rPr>
        <b/>
        <sz val="10"/>
        <rFont val="Calibri"/>
        <family val="2"/>
        <scheme val="minor"/>
      </rPr>
      <t>with size ≥20 mm mm</t>
    </r>
    <r>
      <rPr>
        <sz val="10"/>
        <rFont val="Calibri"/>
        <family val="2"/>
        <scheme val="minor"/>
      </rPr>
      <t xml:space="preserve"> </t>
    </r>
    <r>
      <rPr>
        <b/>
        <sz val="10"/>
        <rFont val="Calibri"/>
        <family val="2"/>
        <scheme val="minor"/>
      </rPr>
      <t>in women aged 40-49 years at entry</t>
    </r>
    <r>
      <rPr>
        <sz val="10"/>
        <rFont val="Calibri"/>
        <family val="2"/>
        <scheme val="minor"/>
      </rPr>
      <t>, including first screen of controls and contemporaneous cancers diagnosed in study group</t>
    </r>
  </si>
  <si>
    <r>
      <t>Absolute incidence of</t>
    </r>
    <r>
      <rPr>
        <b/>
        <sz val="10"/>
        <rFont val="Calibri"/>
        <family val="2"/>
        <scheme val="minor"/>
      </rPr>
      <t xml:space="preserve"> node negative </t>
    </r>
    <r>
      <rPr>
        <sz val="10"/>
        <rFont val="Calibri"/>
        <family val="2"/>
        <scheme val="minor"/>
      </rPr>
      <t xml:space="preserve">invasive breast cancer (per 1,000 women </t>
    </r>
    <r>
      <rPr>
        <b/>
        <sz val="10"/>
        <rFont val="Calibri"/>
        <family val="2"/>
        <scheme val="minor"/>
      </rPr>
      <t>aged 50-74 years at entry</t>
    </r>
    <r>
      <rPr>
        <sz val="10"/>
        <rFont val="Calibri"/>
        <family val="2"/>
        <scheme val="minor"/>
      </rPr>
      <t>); including first screen of controls and contemporaneous cancers diagnosed in study group;
Screening vs control</t>
    </r>
  </si>
  <si>
    <r>
      <t xml:space="preserve">Number of </t>
    </r>
    <r>
      <rPr>
        <b/>
        <sz val="10"/>
        <rFont val="Calibri"/>
        <family val="2"/>
        <scheme val="minor"/>
      </rPr>
      <t xml:space="preserve">node negative </t>
    </r>
    <r>
      <rPr>
        <sz val="10"/>
        <rFont val="Calibri"/>
        <family val="2"/>
        <scheme val="minor"/>
      </rPr>
      <t>invasive</t>
    </r>
    <r>
      <rPr>
        <b/>
        <sz val="10"/>
        <rFont val="Calibri"/>
        <family val="2"/>
        <scheme val="minor"/>
      </rPr>
      <t xml:space="preserve"> </t>
    </r>
    <r>
      <rPr>
        <sz val="10"/>
        <rFont val="Calibri"/>
        <family val="2"/>
        <scheme val="minor"/>
      </rPr>
      <t xml:space="preserve">breast cancers </t>
    </r>
    <r>
      <rPr>
        <b/>
        <sz val="10"/>
        <rFont val="Calibri"/>
        <family val="2"/>
        <scheme val="minor"/>
      </rPr>
      <t>in women aged 50-74 years at entry</t>
    </r>
    <r>
      <rPr>
        <sz val="10"/>
        <rFont val="Calibri"/>
        <family val="2"/>
        <scheme val="minor"/>
      </rPr>
      <t>, including first screen of controls and contemporaneous cancers diagnosed in study group</t>
    </r>
  </si>
  <si>
    <t>95 (ASP) and 36 (PSP) DCIS not included.</t>
  </si>
  <si>
    <r>
      <t>Absolute incidence of invasive breast cancer (</t>
    </r>
    <r>
      <rPr>
        <b/>
        <sz val="10"/>
        <rFont val="Calibri"/>
        <family val="2"/>
        <scheme val="minor"/>
      </rPr>
      <t>node positive and/or distant metastases)</t>
    </r>
    <r>
      <rPr>
        <sz val="10"/>
        <rFont val="Calibri"/>
        <family val="2"/>
        <scheme val="minor"/>
      </rPr>
      <t xml:space="preserve"> (per 1,000 women </t>
    </r>
    <r>
      <rPr>
        <b/>
        <sz val="10"/>
        <rFont val="Calibri"/>
        <family val="2"/>
        <scheme val="minor"/>
      </rPr>
      <t>aged 50-74 years at entry</t>
    </r>
    <r>
      <rPr>
        <sz val="10"/>
        <rFont val="Calibri"/>
        <family val="2"/>
        <scheme val="minor"/>
      </rPr>
      <t>); including first screen of controls and contemporaneous cancers diagnosed in study group;
Screening vs control</t>
    </r>
  </si>
  <si>
    <r>
      <t>Absolute incidence of</t>
    </r>
    <r>
      <rPr>
        <b/>
        <sz val="10"/>
        <rFont val="Calibri"/>
        <family val="2"/>
        <scheme val="minor"/>
      </rPr>
      <t xml:space="preserve"> node negative </t>
    </r>
    <r>
      <rPr>
        <sz val="10"/>
        <rFont val="Calibri"/>
        <family val="2"/>
        <scheme val="minor"/>
      </rPr>
      <t xml:space="preserve">invasive breast cancer (per 10,000 PY in women </t>
    </r>
    <r>
      <rPr>
        <b/>
        <sz val="10"/>
        <rFont val="Calibri"/>
        <family val="2"/>
        <scheme val="minor"/>
      </rPr>
      <t>aged 50-74 years at entry</t>
    </r>
    <r>
      <rPr>
        <sz val="10"/>
        <rFont val="Calibri"/>
        <family val="2"/>
        <scheme val="minor"/>
      </rPr>
      <t>); including first screen of controls and contemporaneous cancers diagnosed in study group;
Screening vs control</t>
    </r>
  </si>
  <si>
    <r>
      <t xml:space="preserve">Person years in women </t>
    </r>
    <r>
      <rPr>
        <b/>
        <sz val="10"/>
        <rFont val="Calibri"/>
        <family val="2"/>
        <scheme val="minor"/>
      </rPr>
      <t>aged 50-74 years at entry</t>
    </r>
    <r>
      <rPr>
        <sz val="10"/>
        <rFont val="Calibri"/>
        <family val="2"/>
        <scheme val="minor"/>
      </rPr>
      <t>, by arm</t>
    </r>
  </si>
  <si>
    <r>
      <t>Absolute incidence of invasive breast cancer (</t>
    </r>
    <r>
      <rPr>
        <b/>
        <sz val="10"/>
        <rFont val="Calibri"/>
        <family val="2"/>
        <scheme val="minor"/>
      </rPr>
      <t>node positive and/or distant metastases)</t>
    </r>
    <r>
      <rPr>
        <sz val="10"/>
        <rFont val="Calibri"/>
        <family val="2"/>
        <scheme val="minor"/>
      </rPr>
      <t xml:space="preserve"> (per 10,000 PY in women </t>
    </r>
    <r>
      <rPr>
        <b/>
        <sz val="10"/>
        <rFont val="Calibri"/>
        <family val="2"/>
        <scheme val="minor"/>
      </rPr>
      <t>aged 50-74 years at entry</t>
    </r>
    <r>
      <rPr>
        <sz val="10"/>
        <rFont val="Calibri"/>
        <family val="2"/>
        <scheme val="minor"/>
      </rPr>
      <t>); including first screen of controls and contemporaneous cancers diagnosed in study group;
Screening vs control</t>
    </r>
  </si>
  <si>
    <r>
      <t xml:space="preserve">Number of invasive </t>
    </r>
    <r>
      <rPr>
        <b/>
        <sz val="10"/>
        <rFont val="Calibri"/>
        <family val="2"/>
        <scheme val="minor"/>
      </rPr>
      <t xml:space="preserve"> </t>
    </r>
    <r>
      <rPr>
        <sz val="10"/>
        <rFont val="Calibri"/>
        <family val="2"/>
        <scheme val="minor"/>
      </rPr>
      <t xml:space="preserve">breast cancers </t>
    </r>
    <r>
      <rPr>
        <b/>
        <sz val="10"/>
        <rFont val="Calibri"/>
        <family val="2"/>
        <scheme val="minor"/>
      </rPr>
      <t>(node positive and/or distant metastases ) in women aged 50-74 years at entry</t>
    </r>
    <r>
      <rPr>
        <sz val="10"/>
        <rFont val="Calibri"/>
        <family val="2"/>
        <scheme val="minor"/>
      </rPr>
      <t>, including first screen of controls and contemporaneous cancers diagnosed in study group</t>
    </r>
  </si>
  <si>
    <r>
      <t>Absolute incidence of</t>
    </r>
    <r>
      <rPr>
        <b/>
        <sz val="10"/>
        <rFont val="Calibri"/>
        <family val="2"/>
        <scheme val="minor"/>
      </rPr>
      <t xml:space="preserve"> </t>
    </r>
    <r>
      <rPr>
        <sz val="10"/>
        <rFont val="Calibri"/>
        <family val="2"/>
        <scheme val="minor"/>
      </rPr>
      <t xml:space="preserve">breast cancer </t>
    </r>
    <r>
      <rPr>
        <b/>
        <sz val="10"/>
        <rFont val="Calibri"/>
        <family val="2"/>
        <scheme val="minor"/>
      </rPr>
      <t xml:space="preserve">with size 1-9 mm </t>
    </r>
    <r>
      <rPr>
        <sz val="10"/>
        <rFont val="Calibri"/>
        <family val="2"/>
        <scheme val="minor"/>
      </rPr>
      <t xml:space="preserve">(per 1,000 women </t>
    </r>
    <r>
      <rPr>
        <b/>
        <sz val="10"/>
        <rFont val="Calibri"/>
        <family val="2"/>
        <scheme val="minor"/>
      </rPr>
      <t>aged 50-74 years at entry</t>
    </r>
    <r>
      <rPr>
        <sz val="10"/>
        <rFont val="Calibri"/>
        <family val="2"/>
        <scheme val="minor"/>
      </rPr>
      <t>); including first screen of controls and contemporaneous cancers diagnosed in study group;
Screening vs control</t>
    </r>
  </si>
  <si>
    <r>
      <t xml:space="preserve">Number of breast cancers </t>
    </r>
    <r>
      <rPr>
        <b/>
        <sz val="10"/>
        <rFont val="Calibri"/>
        <family val="2"/>
        <scheme val="minor"/>
      </rPr>
      <t>with size 1-9 mm</t>
    </r>
    <r>
      <rPr>
        <sz val="10"/>
        <rFont val="Calibri"/>
        <family val="2"/>
        <scheme val="minor"/>
      </rPr>
      <t xml:space="preserve"> </t>
    </r>
    <r>
      <rPr>
        <b/>
        <sz val="10"/>
        <rFont val="Calibri"/>
        <family val="2"/>
        <scheme val="minor"/>
      </rPr>
      <t>in women aged 50-74 years at entry</t>
    </r>
    <r>
      <rPr>
        <sz val="10"/>
        <rFont val="Calibri"/>
        <family val="2"/>
        <scheme val="minor"/>
      </rPr>
      <t>, including first screen of controls and contemporaneous cancers diagnosed in study group</t>
    </r>
  </si>
  <si>
    <t>95 (ASP) and 36 (PSP) DCIS not measured.</t>
  </si>
  <si>
    <r>
      <t>Absolute incidence of</t>
    </r>
    <r>
      <rPr>
        <b/>
        <sz val="10"/>
        <rFont val="Calibri"/>
        <family val="2"/>
        <scheme val="minor"/>
      </rPr>
      <t xml:space="preserve"> </t>
    </r>
    <r>
      <rPr>
        <sz val="10"/>
        <rFont val="Calibri"/>
        <family val="2"/>
        <scheme val="minor"/>
      </rPr>
      <t xml:space="preserve">breast cancer </t>
    </r>
    <r>
      <rPr>
        <b/>
        <sz val="10"/>
        <rFont val="Calibri"/>
        <family val="2"/>
        <scheme val="minor"/>
      </rPr>
      <t xml:space="preserve">with size 10-14 mm </t>
    </r>
    <r>
      <rPr>
        <sz val="10"/>
        <rFont val="Calibri"/>
        <family val="2"/>
        <scheme val="minor"/>
      </rPr>
      <t xml:space="preserve">(per 1,000 women </t>
    </r>
    <r>
      <rPr>
        <b/>
        <sz val="10"/>
        <rFont val="Calibri"/>
        <family val="2"/>
        <scheme val="minor"/>
      </rPr>
      <t>aged 50-74 years at entry</t>
    </r>
    <r>
      <rPr>
        <sz val="10"/>
        <rFont val="Calibri"/>
        <family val="2"/>
        <scheme val="minor"/>
      </rPr>
      <t>); including first screen of controls and contemporaneous cancers diagnosed in study group;
Screening vs control</t>
    </r>
  </si>
  <si>
    <r>
      <t xml:space="preserve">Number of breast cancers </t>
    </r>
    <r>
      <rPr>
        <b/>
        <sz val="10"/>
        <rFont val="Calibri"/>
        <family val="2"/>
        <scheme val="minor"/>
      </rPr>
      <t>with size 10-14 mm</t>
    </r>
    <r>
      <rPr>
        <sz val="10"/>
        <rFont val="Calibri"/>
        <family val="2"/>
        <scheme val="minor"/>
      </rPr>
      <t xml:space="preserve"> </t>
    </r>
    <r>
      <rPr>
        <b/>
        <sz val="10"/>
        <rFont val="Calibri"/>
        <family val="2"/>
        <scheme val="minor"/>
      </rPr>
      <t>in women aged 50-74 years at entry</t>
    </r>
    <r>
      <rPr>
        <sz val="10"/>
        <rFont val="Calibri"/>
        <family val="2"/>
        <scheme val="minor"/>
      </rPr>
      <t>, including first screen of controls and contemporaneous cancers diagnosed in study group</t>
    </r>
  </si>
  <si>
    <r>
      <t>Absolute incidence of</t>
    </r>
    <r>
      <rPr>
        <b/>
        <sz val="10"/>
        <rFont val="Calibri"/>
        <family val="2"/>
        <scheme val="minor"/>
      </rPr>
      <t xml:space="preserve"> </t>
    </r>
    <r>
      <rPr>
        <sz val="10"/>
        <rFont val="Calibri"/>
        <family val="2"/>
        <scheme val="minor"/>
      </rPr>
      <t xml:space="preserve">breast cancer </t>
    </r>
    <r>
      <rPr>
        <b/>
        <sz val="10"/>
        <rFont val="Calibri"/>
        <family val="2"/>
        <scheme val="minor"/>
      </rPr>
      <t xml:space="preserve">with size 15-19 mm </t>
    </r>
    <r>
      <rPr>
        <sz val="10"/>
        <rFont val="Calibri"/>
        <family val="2"/>
        <scheme val="minor"/>
      </rPr>
      <t xml:space="preserve">(per 1,000 women </t>
    </r>
    <r>
      <rPr>
        <b/>
        <sz val="10"/>
        <rFont val="Calibri"/>
        <family val="2"/>
        <scheme val="minor"/>
      </rPr>
      <t>aged 50-74 years at entry</t>
    </r>
    <r>
      <rPr>
        <sz val="10"/>
        <rFont val="Calibri"/>
        <family val="2"/>
        <scheme val="minor"/>
      </rPr>
      <t>); including first screen of controls and contemporaneous cancers diagnosed in study group;
Screening vs control</t>
    </r>
  </si>
  <si>
    <r>
      <t xml:space="preserve">Number of breast cancers </t>
    </r>
    <r>
      <rPr>
        <b/>
        <sz val="10"/>
        <rFont val="Calibri"/>
        <family val="2"/>
        <scheme val="minor"/>
      </rPr>
      <t>with size 15-19 mm</t>
    </r>
    <r>
      <rPr>
        <sz val="10"/>
        <rFont val="Calibri"/>
        <family val="2"/>
        <scheme val="minor"/>
      </rPr>
      <t xml:space="preserve"> </t>
    </r>
    <r>
      <rPr>
        <b/>
        <sz val="10"/>
        <rFont val="Calibri"/>
        <family val="2"/>
        <scheme val="minor"/>
      </rPr>
      <t>in women aged 50-74 years at entry</t>
    </r>
    <r>
      <rPr>
        <sz val="10"/>
        <rFont val="Calibri"/>
        <family val="2"/>
        <scheme val="minor"/>
      </rPr>
      <t>, including first screen of controls and contemporaneous cancers diagnosed in study group</t>
    </r>
  </si>
  <si>
    <r>
      <t>Absolute incidence of</t>
    </r>
    <r>
      <rPr>
        <b/>
        <sz val="10"/>
        <rFont val="Calibri"/>
        <family val="2"/>
        <scheme val="minor"/>
      </rPr>
      <t xml:space="preserve"> </t>
    </r>
    <r>
      <rPr>
        <sz val="10"/>
        <rFont val="Calibri"/>
        <family val="2"/>
        <scheme val="minor"/>
      </rPr>
      <t xml:space="preserve">breast cancer </t>
    </r>
    <r>
      <rPr>
        <b/>
        <sz val="10"/>
        <rFont val="Calibri"/>
        <family val="2"/>
        <scheme val="minor"/>
      </rPr>
      <t xml:space="preserve">with size &lt;20 mm </t>
    </r>
    <r>
      <rPr>
        <sz val="10"/>
        <rFont val="Calibri"/>
        <family val="2"/>
        <scheme val="minor"/>
      </rPr>
      <t xml:space="preserve">(per 1,000 women </t>
    </r>
    <r>
      <rPr>
        <b/>
        <sz val="10"/>
        <rFont val="Calibri"/>
        <family val="2"/>
        <scheme val="minor"/>
      </rPr>
      <t>aged 50-74 years at entry</t>
    </r>
    <r>
      <rPr>
        <sz val="10"/>
        <rFont val="Calibri"/>
        <family val="2"/>
        <scheme val="minor"/>
      </rPr>
      <t>); including first screen of controls and contemporaneous cancers diagnosed in study group;
Screening vs control</t>
    </r>
  </si>
  <si>
    <r>
      <t xml:space="preserve">Number of breast cancers </t>
    </r>
    <r>
      <rPr>
        <b/>
        <sz val="10"/>
        <rFont val="Calibri"/>
        <family val="2"/>
        <scheme val="minor"/>
      </rPr>
      <t>with size &lt;20 mm</t>
    </r>
    <r>
      <rPr>
        <sz val="10"/>
        <rFont val="Calibri"/>
        <family val="2"/>
        <scheme val="minor"/>
      </rPr>
      <t xml:space="preserve"> </t>
    </r>
    <r>
      <rPr>
        <b/>
        <sz val="10"/>
        <rFont val="Calibri"/>
        <family val="2"/>
        <scheme val="minor"/>
      </rPr>
      <t>in women aged 50-74 years at entry</t>
    </r>
    <r>
      <rPr>
        <sz val="10"/>
        <rFont val="Calibri"/>
        <family val="2"/>
        <scheme val="minor"/>
      </rPr>
      <t>, including first screen of controls and contemporaneous cancers diagnosed in study group</t>
    </r>
  </si>
  <si>
    <r>
      <t>Absolute incidence of</t>
    </r>
    <r>
      <rPr>
        <b/>
        <sz val="10"/>
        <rFont val="Calibri"/>
        <family val="2"/>
        <scheme val="minor"/>
      </rPr>
      <t xml:space="preserve"> </t>
    </r>
    <r>
      <rPr>
        <sz val="10"/>
        <rFont val="Calibri"/>
        <family val="2"/>
        <scheme val="minor"/>
      </rPr>
      <t xml:space="preserve">breast cancer </t>
    </r>
    <r>
      <rPr>
        <b/>
        <sz val="10"/>
        <rFont val="Calibri"/>
        <family val="2"/>
        <scheme val="minor"/>
      </rPr>
      <t xml:space="preserve">with size 20-29 mm </t>
    </r>
    <r>
      <rPr>
        <sz val="10"/>
        <rFont val="Calibri"/>
        <family val="2"/>
        <scheme val="minor"/>
      </rPr>
      <t xml:space="preserve">(per 1,000 women </t>
    </r>
    <r>
      <rPr>
        <b/>
        <sz val="10"/>
        <rFont val="Calibri"/>
        <family val="2"/>
        <scheme val="minor"/>
      </rPr>
      <t>aged 50-74 years at entry</t>
    </r>
    <r>
      <rPr>
        <sz val="10"/>
        <rFont val="Calibri"/>
        <family val="2"/>
        <scheme val="minor"/>
      </rPr>
      <t>); including first screen of controls and contemporaneous cancers diagnosed in study group;
Screening vs control</t>
    </r>
  </si>
  <si>
    <r>
      <t xml:space="preserve">Number of breast cancers </t>
    </r>
    <r>
      <rPr>
        <b/>
        <sz val="10"/>
        <rFont val="Calibri"/>
        <family val="2"/>
        <scheme val="minor"/>
      </rPr>
      <t>with size 20-29 mm</t>
    </r>
    <r>
      <rPr>
        <sz val="10"/>
        <rFont val="Calibri"/>
        <family val="2"/>
        <scheme val="minor"/>
      </rPr>
      <t xml:space="preserve"> </t>
    </r>
    <r>
      <rPr>
        <b/>
        <sz val="10"/>
        <rFont val="Calibri"/>
        <family val="2"/>
        <scheme val="minor"/>
      </rPr>
      <t>in women aged 50-74 years at entry</t>
    </r>
    <r>
      <rPr>
        <sz val="10"/>
        <rFont val="Calibri"/>
        <family val="2"/>
        <scheme val="minor"/>
      </rPr>
      <t>, including first screen of controls and contemporaneous cancers diagnosed in study group</t>
    </r>
  </si>
  <si>
    <r>
      <t>Absolute incidence of</t>
    </r>
    <r>
      <rPr>
        <b/>
        <sz val="10"/>
        <rFont val="Calibri"/>
        <family val="2"/>
        <scheme val="minor"/>
      </rPr>
      <t xml:space="preserve"> </t>
    </r>
    <r>
      <rPr>
        <sz val="10"/>
        <rFont val="Calibri"/>
        <family val="2"/>
        <scheme val="minor"/>
      </rPr>
      <t xml:space="preserve">breast cancer </t>
    </r>
    <r>
      <rPr>
        <b/>
        <sz val="10"/>
        <rFont val="Calibri"/>
        <family val="2"/>
        <scheme val="minor"/>
      </rPr>
      <t xml:space="preserve">with size 30-49 mm </t>
    </r>
    <r>
      <rPr>
        <sz val="10"/>
        <rFont val="Calibri"/>
        <family val="2"/>
        <scheme val="minor"/>
      </rPr>
      <t xml:space="preserve">(per 1,000 women </t>
    </r>
    <r>
      <rPr>
        <b/>
        <sz val="10"/>
        <rFont val="Calibri"/>
        <family val="2"/>
        <scheme val="minor"/>
      </rPr>
      <t>aged 50-74 years at entry</t>
    </r>
    <r>
      <rPr>
        <sz val="10"/>
        <rFont val="Calibri"/>
        <family val="2"/>
        <scheme val="minor"/>
      </rPr>
      <t>); including first screen of controls and contemporaneous cancers diagnosed in study group;
Screening vs control</t>
    </r>
  </si>
  <si>
    <r>
      <t xml:space="preserve">Number of breast cancers </t>
    </r>
    <r>
      <rPr>
        <b/>
        <sz val="10"/>
        <rFont val="Calibri"/>
        <family val="2"/>
        <scheme val="minor"/>
      </rPr>
      <t>with size 30-49 mm</t>
    </r>
    <r>
      <rPr>
        <sz val="10"/>
        <rFont val="Calibri"/>
        <family val="2"/>
        <scheme val="minor"/>
      </rPr>
      <t xml:space="preserve"> </t>
    </r>
    <r>
      <rPr>
        <b/>
        <sz val="10"/>
        <rFont val="Calibri"/>
        <family val="2"/>
        <scheme val="minor"/>
      </rPr>
      <t>in women aged 50-74 years at entry</t>
    </r>
    <r>
      <rPr>
        <sz val="10"/>
        <rFont val="Calibri"/>
        <family val="2"/>
        <scheme val="minor"/>
      </rPr>
      <t>, including first screen of controls and contemporaneous cancers diagnosed in study group</t>
    </r>
  </si>
  <si>
    <r>
      <t>Absolute incidence of</t>
    </r>
    <r>
      <rPr>
        <b/>
        <sz val="10"/>
        <rFont val="Calibri"/>
        <family val="2"/>
        <scheme val="minor"/>
      </rPr>
      <t xml:space="preserve"> </t>
    </r>
    <r>
      <rPr>
        <sz val="10"/>
        <rFont val="Calibri"/>
        <family val="2"/>
        <scheme val="minor"/>
      </rPr>
      <t xml:space="preserve">breast cancer </t>
    </r>
    <r>
      <rPr>
        <b/>
        <sz val="10"/>
        <rFont val="Calibri"/>
        <family val="2"/>
        <scheme val="minor"/>
      </rPr>
      <t xml:space="preserve">with size 50+ mm </t>
    </r>
    <r>
      <rPr>
        <sz val="10"/>
        <rFont val="Calibri"/>
        <family val="2"/>
        <scheme val="minor"/>
      </rPr>
      <t xml:space="preserve">(per 1,000 women </t>
    </r>
    <r>
      <rPr>
        <b/>
        <sz val="10"/>
        <rFont val="Calibri"/>
        <family val="2"/>
        <scheme val="minor"/>
      </rPr>
      <t>aged 50-74 years at entry</t>
    </r>
    <r>
      <rPr>
        <sz val="10"/>
        <rFont val="Calibri"/>
        <family val="2"/>
        <scheme val="minor"/>
      </rPr>
      <t>); including first screen of controls and contemporaneous cancers diagnosed in study group;
Screening vs control</t>
    </r>
  </si>
  <si>
    <r>
      <t xml:space="preserve">Number of breast cancers </t>
    </r>
    <r>
      <rPr>
        <b/>
        <sz val="10"/>
        <rFont val="Calibri"/>
        <family val="2"/>
        <scheme val="minor"/>
      </rPr>
      <t>with size 50+ mm</t>
    </r>
    <r>
      <rPr>
        <sz val="10"/>
        <rFont val="Calibri"/>
        <family val="2"/>
        <scheme val="minor"/>
      </rPr>
      <t xml:space="preserve"> </t>
    </r>
    <r>
      <rPr>
        <b/>
        <sz val="10"/>
        <rFont val="Calibri"/>
        <family val="2"/>
        <scheme val="minor"/>
      </rPr>
      <t>in women aged 50-74 years at entry</t>
    </r>
    <r>
      <rPr>
        <sz val="10"/>
        <rFont val="Calibri"/>
        <family val="2"/>
        <scheme val="minor"/>
      </rPr>
      <t>, including first screen of controls and contemporaneous cancers diagnosed in study group)</t>
    </r>
  </si>
  <si>
    <r>
      <t>Absolute incidence of</t>
    </r>
    <r>
      <rPr>
        <b/>
        <sz val="10"/>
        <rFont val="Calibri"/>
        <family val="2"/>
        <scheme val="minor"/>
      </rPr>
      <t xml:space="preserve"> </t>
    </r>
    <r>
      <rPr>
        <sz val="10"/>
        <rFont val="Calibri"/>
        <family val="2"/>
        <scheme val="minor"/>
      </rPr>
      <t xml:space="preserve">breast cancer </t>
    </r>
    <r>
      <rPr>
        <b/>
        <sz val="10"/>
        <rFont val="Calibri"/>
        <family val="2"/>
        <scheme val="minor"/>
      </rPr>
      <t xml:space="preserve">with size 20+ mm </t>
    </r>
    <r>
      <rPr>
        <sz val="10"/>
        <rFont val="Calibri"/>
        <family val="2"/>
        <scheme val="minor"/>
      </rPr>
      <t xml:space="preserve">(per 1,000 women </t>
    </r>
    <r>
      <rPr>
        <b/>
        <sz val="10"/>
        <rFont val="Calibri"/>
        <family val="2"/>
        <scheme val="minor"/>
      </rPr>
      <t>aged 50-74 years at entry</t>
    </r>
    <r>
      <rPr>
        <sz val="10"/>
        <rFont val="Calibri"/>
        <family val="2"/>
        <scheme val="minor"/>
      </rPr>
      <t>); including first screen of controls and contemporaneous cancers diagnosed in study group;
Screening vs control</t>
    </r>
  </si>
  <si>
    <r>
      <t xml:space="preserve">Number of breast cancers </t>
    </r>
    <r>
      <rPr>
        <b/>
        <sz val="10"/>
        <rFont val="Calibri"/>
        <family val="2"/>
        <scheme val="minor"/>
      </rPr>
      <t>with size ≥20 mm mm</t>
    </r>
    <r>
      <rPr>
        <sz val="10"/>
        <rFont val="Calibri"/>
        <family val="2"/>
        <scheme val="minor"/>
      </rPr>
      <t xml:space="preserve"> </t>
    </r>
    <r>
      <rPr>
        <b/>
        <sz val="10"/>
        <rFont val="Calibri"/>
        <family val="2"/>
        <scheme val="minor"/>
      </rPr>
      <t>in women aged 50-74 years at entry</t>
    </r>
    <r>
      <rPr>
        <sz val="10"/>
        <rFont val="Calibri"/>
        <family val="2"/>
        <scheme val="minor"/>
      </rPr>
      <t>, including first screen of controls and contemporaneous cancers diagnosed in study group</t>
    </r>
  </si>
  <si>
    <r>
      <t>Predicted mortality</t>
    </r>
    <r>
      <rPr>
        <b/>
        <sz val="10"/>
        <rFont val="Calibri"/>
        <family val="2"/>
        <scheme val="minor"/>
      </rPr>
      <t xml:space="preserve"> </t>
    </r>
    <r>
      <rPr>
        <sz val="10"/>
        <rFont val="Calibri"/>
        <family val="2"/>
        <scheme val="minor"/>
      </rPr>
      <t xml:space="preserve">(per 1,000 women </t>
    </r>
    <r>
      <rPr>
        <b/>
        <sz val="10"/>
        <rFont val="Calibri"/>
        <family val="2"/>
        <scheme val="minor"/>
      </rPr>
      <t>aged 40-49 years at entry</t>
    </r>
    <r>
      <rPr>
        <sz val="10"/>
        <rFont val="Calibri"/>
        <family val="2"/>
        <scheme val="minor"/>
      </rPr>
      <t>); including first screen of controls and contemporaneous cancers diagnosed in study group;
Screening vs control</t>
    </r>
  </si>
  <si>
    <t>Based on Lymph Nodes, Grade, and Tumor size</t>
  </si>
  <si>
    <t>Missing data on lymph node status, size or grade</t>
  </si>
  <si>
    <r>
      <t xml:space="preserve">Predicted mortality based on cancers </t>
    </r>
    <r>
      <rPr>
        <b/>
        <sz val="10"/>
        <rFont val="Calibri"/>
        <family val="2"/>
        <scheme val="minor"/>
      </rPr>
      <t>in women aged 40-49 years,</t>
    </r>
    <r>
      <rPr>
        <sz val="10"/>
        <rFont val="Calibri"/>
        <family val="2"/>
        <scheme val="minor"/>
      </rPr>
      <t xml:space="preserve">  including first screen of controls and contemporaneous cancers diagnosed in study group</t>
    </r>
  </si>
  <si>
    <t>Based on 256 (ASP) and 162 (PSP) breast cancers in women aged 40-49 years.</t>
  </si>
  <si>
    <r>
      <t>Predicted mortality</t>
    </r>
    <r>
      <rPr>
        <b/>
        <sz val="10"/>
        <rFont val="Calibri"/>
        <family val="2"/>
        <scheme val="minor"/>
      </rPr>
      <t xml:space="preserve"> </t>
    </r>
    <r>
      <rPr>
        <sz val="10"/>
        <rFont val="Calibri"/>
        <family val="2"/>
        <scheme val="minor"/>
      </rPr>
      <t xml:space="preserve">(per 1,000 women </t>
    </r>
    <r>
      <rPr>
        <b/>
        <sz val="10"/>
        <rFont val="Calibri"/>
        <family val="2"/>
        <scheme val="minor"/>
      </rPr>
      <t>aged 50-74 years at entry</t>
    </r>
    <r>
      <rPr>
        <sz val="10"/>
        <rFont val="Calibri"/>
        <family val="2"/>
        <scheme val="minor"/>
      </rPr>
      <t>); including first screen of controls and contemporaneous cancers diagnosed in study group;
Screening vs control</t>
    </r>
  </si>
  <si>
    <r>
      <t xml:space="preserve">Predicted mortality based on cancers </t>
    </r>
    <r>
      <rPr>
        <b/>
        <sz val="10"/>
        <rFont val="Calibri"/>
        <family val="2"/>
        <scheme val="minor"/>
      </rPr>
      <t>in women aged 50-74 years,</t>
    </r>
    <r>
      <rPr>
        <sz val="10"/>
        <rFont val="Calibri"/>
        <family val="2"/>
        <scheme val="minor"/>
      </rPr>
      <t xml:space="preserve">  including first screen of controls and contemporaneous cancers diagnosed in study group</t>
    </r>
  </si>
  <si>
    <t>Based on 1,170 (ASP) and 879 (PSP) breast cancers in women aged 50-74 years.</t>
  </si>
  <si>
    <r>
      <t xml:space="preserve">Absolute incidence of breast cancers with </t>
    </r>
    <r>
      <rPr>
        <b/>
        <sz val="10"/>
        <rFont val="Calibri"/>
        <family val="2"/>
        <scheme val="minor"/>
      </rPr>
      <t xml:space="preserve">good prognosis </t>
    </r>
    <r>
      <rPr>
        <sz val="10"/>
        <rFont val="Calibri"/>
        <family val="2"/>
        <scheme val="minor"/>
      </rPr>
      <t xml:space="preserve">(per 1,000 women </t>
    </r>
    <r>
      <rPr>
        <b/>
        <sz val="10"/>
        <rFont val="Calibri"/>
        <family val="2"/>
        <scheme val="minor"/>
      </rPr>
      <t>aged 40-74 years</t>
    </r>
    <r>
      <rPr>
        <sz val="10"/>
        <rFont val="Calibri"/>
        <family val="2"/>
        <scheme val="minor"/>
      </rPr>
      <t>); including first screen of controls and contemporaneous cancers diagnosed in study group;
Screening vs control</t>
    </r>
  </si>
  <si>
    <t>Good prognosis = 
Ductal, grade 1: N-, &lt;20 mm;
Ductal, grade 2: N-, &lt;15 mm;
Ductal, grade 3: N-, &lt;10 mm;
Medullary or tubular: N-, &lt;20 mm;
Lobular or mucinous: N-, &lt;10 mm;
All types, node status unknown: &lt;15 mm</t>
  </si>
  <si>
    <t>Total of 5 in both arms combined</t>
  </si>
  <si>
    <t>Unknown prognostic category</t>
  </si>
  <si>
    <r>
      <t xml:space="preserve">Number of breast cancers with good prognosis in women </t>
    </r>
    <r>
      <rPr>
        <b/>
        <sz val="10"/>
        <rFont val="Calibri"/>
        <family val="2"/>
        <scheme val="minor"/>
      </rPr>
      <t>aged 40-74 years</t>
    </r>
    <r>
      <rPr>
        <sz val="10"/>
        <rFont val="Calibri"/>
        <family val="2"/>
        <scheme val="minor"/>
      </rPr>
      <t>; including first screen of controls and contemporaneous cancers diagnosed in study group</t>
    </r>
  </si>
  <si>
    <t>Figure 12, Figure 13 and Table 4</t>
  </si>
  <si>
    <r>
      <t xml:space="preserve">Absolute incidence of breast cancers with </t>
    </r>
    <r>
      <rPr>
        <b/>
        <sz val="10"/>
        <rFont val="Calibri"/>
        <family val="2"/>
        <scheme val="minor"/>
      </rPr>
      <t>intermediate</t>
    </r>
    <r>
      <rPr>
        <sz val="10"/>
        <rFont val="Calibri"/>
        <family val="2"/>
        <scheme val="minor"/>
      </rPr>
      <t xml:space="preserve"> </t>
    </r>
    <r>
      <rPr>
        <b/>
        <sz val="10"/>
        <rFont val="Calibri"/>
        <family val="2"/>
        <scheme val="minor"/>
      </rPr>
      <t xml:space="preserve">prognosis </t>
    </r>
    <r>
      <rPr>
        <sz val="10"/>
        <rFont val="Calibri"/>
        <family val="2"/>
        <scheme val="minor"/>
      </rPr>
      <t xml:space="preserve">(per 1,000 women </t>
    </r>
    <r>
      <rPr>
        <b/>
        <sz val="10"/>
        <rFont val="Calibri"/>
        <family val="2"/>
        <scheme val="minor"/>
      </rPr>
      <t>aged 40-74 years</t>
    </r>
    <r>
      <rPr>
        <sz val="10"/>
        <rFont val="Calibri"/>
        <family val="2"/>
        <scheme val="minor"/>
      </rPr>
      <t>); including first screen of controls and contemporaneous cancers diagnosed in study group;
Screening vs control</t>
    </r>
  </si>
  <si>
    <t>Intermediate prognosis = 
Ductal, grade 1: N-, 20+ mm; or N+, &lt;15 mm;
Ductal, grade 2: N-, 15-29 mm;
Ductal, grade 3: N-, 10+ mm; or N+, &lt;15 mm; 
Medullary: N-, 20+ mm;
Lobular: N-, 10-29 mm;
Mucinous: N-, 10+ mm; or N+, &lt;20 mm;
Tubular: N-, 20+ mm; or N+
All types, node status unknown: 15-19 mm</t>
  </si>
  <si>
    <r>
      <t xml:space="preserve">Number of breast cancers with intermediate prognosis in women </t>
    </r>
    <r>
      <rPr>
        <b/>
        <sz val="10"/>
        <rFont val="Calibri"/>
        <family val="2"/>
        <scheme val="minor"/>
      </rPr>
      <t>aged 40-74 years</t>
    </r>
    <r>
      <rPr>
        <sz val="10"/>
        <rFont val="Calibri"/>
        <family val="2"/>
        <scheme val="minor"/>
      </rPr>
      <t>; including first screen of controls and contemporaneous cancers diagnosed in study group</t>
    </r>
  </si>
  <si>
    <r>
      <t xml:space="preserve">Absolute incidence of breast cancers with </t>
    </r>
    <r>
      <rPr>
        <b/>
        <sz val="10"/>
        <rFont val="Calibri"/>
        <family val="2"/>
        <scheme val="minor"/>
      </rPr>
      <t xml:space="preserve">poor prognosis </t>
    </r>
    <r>
      <rPr>
        <sz val="10"/>
        <rFont val="Calibri"/>
        <family val="2"/>
        <scheme val="minor"/>
      </rPr>
      <t xml:space="preserve">(per 1,000 women </t>
    </r>
    <r>
      <rPr>
        <b/>
        <sz val="10"/>
        <rFont val="Calibri"/>
        <family val="2"/>
        <scheme val="minor"/>
      </rPr>
      <t>aged 40-74 years</t>
    </r>
    <r>
      <rPr>
        <sz val="10"/>
        <rFont val="Calibri"/>
        <family val="2"/>
        <scheme val="minor"/>
      </rPr>
      <t>); including first screen of controls and contemporaneous cancers diagnosed in study group;
Screening vs control</t>
    </r>
  </si>
  <si>
    <t>Poor prognosis = 
Ductal, grade 1: N+, 15+ mm;
Ductal, grade 2: N-, 30+ mm; or N+, 
Ductal, grade 3: N+, 15+ mm; 
Medullary: N+
Lobular: N-, 30+ mm; or N+
Mucinous: N+, 20+ mm;
All types, node status unknown: 20+ mm</t>
  </si>
  <si>
    <r>
      <t xml:space="preserve">Number of breast cancers with poor prognosis in women </t>
    </r>
    <r>
      <rPr>
        <b/>
        <sz val="10"/>
        <rFont val="Calibri"/>
        <family val="2"/>
        <scheme val="minor"/>
      </rPr>
      <t>aged 40-74 years</t>
    </r>
    <r>
      <rPr>
        <sz val="10"/>
        <rFont val="Calibri"/>
        <family val="2"/>
        <scheme val="minor"/>
      </rPr>
      <t>; including first screen of controls and contemporaneous cancers diagnosed in study group</t>
    </r>
  </si>
  <si>
    <r>
      <t xml:space="preserve">Diagnostic yield at screening (per 1,000 women </t>
    </r>
    <r>
      <rPr>
        <b/>
        <sz val="10"/>
        <rFont val="Calibri"/>
        <family val="2"/>
        <scheme val="minor"/>
      </rPr>
      <t>aged 40-74 years at entry</t>
    </r>
    <r>
      <rPr>
        <sz val="10"/>
        <rFont val="Calibri"/>
        <family val="2"/>
        <scheme val="minor"/>
      </rPr>
      <t xml:space="preserve">); until controls have been screened; </t>
    </r>
    <r>
      <rPr>
        <b/>
        <sz val="10"/>
        <rFont val="Calibri"/>
        <family val="2"/>
        <scheme val="minor"/>
      </rPr>
      <t>local trial endpoint committee data;</t>
    </r>
    <r>
      <rPr>
        <sz val="10"/>
        <rFont val="Calibri"/>
        <family val="2"/>
        <scheme val="minor"/>
      </rPr>
      <t xml:space="preserve">
Screening vs control</t>
    </r>
  </si>
  <si>
    <t>Local trial endpoint committee data</t>
  </si>
  <si>
    <t>1984-1985</t>
  </si>
  <si>
    <t>7-8 years</t>
  </si>
  <si>
    <r>
      <t xml:space="preserve">Number of screen-detected breast cancers </t>
    </r>
    <r>
      <rPr>
        <b/>
        <sz val="10"/>
        <rFont val="Calibri"/>
        <family val="2"/>
        <scheme val="minor"/>
      </rPr>
      <t>in women aged 40-74 years at entry</t>
    </r>
    <r>
      <rPr>
        <sz val="10"/>
        <rFont val="Calibri"/>
        <family val="2"/>
        <scheme val="minor"/>
      </rPr>
      <t>, local trial endpoint committee data; until controls have been screened (1984-1985)</t>
    </r>
  </si>
  <si>
    <r>
      <t xml:space="preserve">Number of women analysed </t>
    </r>
    <r>
      <rPr>
        <b/>
        <sz val="10"/>
        <rFont val="Calibri"/>
        <family val="2"/>
        <scheme val="minor"/>
      </rPr>
      <t xml:space="preserve">aged 40-74 years at entry, </t>
    </r>
    <r>
      <rPr>
        <sz val="10"/>
        <rFont val="Calibri"/>
        <family val="2"/>
        <scheme val="minor"/>
      </rPr>
      <t>by arm</t>
    </r>
  </si>
  <si>
    <r>
      <t xml:space="preserve">% of breast cancers that are screen-detected, in women </t>
    </r>
    <r>
      <rPr>
        <b/>
        <sz val="10"/>
        <rFont val="Calibri"/>
        <family val="2"/>
        <scheme val="minor"/>
      </rPr>
      <t>aged 40-74 years at entry</t>
    </r>
    <r>
      <rPr>
        <sz val="10"/>
        <rFont val="Calibri"/>
        <family val="2"/>
        <scheme val="minor"/>
      </rPr>
      <t xml:space="preserve">); until controls have been screened; </t>
    </r>
    <r>
      <rPr>
        <b/>
        <sz val="10"/>
        <rFont val="Calibri"/>
        <family val="2"/>
        <scheme val="minor"/>
      </rPr>
      <t>local trial endpoint committee data;</t>
    </r>
    <r>
      <rPr>
        <sz val="10"/>
        <rFont val="Calibri"/>
        <family val="2"/>
        <scheme val="minor"/>
      </rPr>
      <t xml:space="preserve">
Screening vs control</t>
    </r>
  </si>
  <si>
    <r>
      <t xml:space="preserve">Total number of breast cancers diagnosed in the screening period in </t>
    </r>
    <r>
      <rPr>
        <b/>
        <sz val="10"/>
        <rFont val="Calibri"/>
        <family val="2"/>
        <scheme val="minor"/>
      </rPr>
      <t xml:space="preserve">women aged 40-74 years </t>
    </r>
    <r>
      <rPr>
        <sz val="10"/>
        <rFont val="Calibri"/>
        <family val="2"/>
        <scheme val="minor"/>
      </rPr>
      <t>(including first screen of controls); local trial endpoint committee data</t>
    </r>
  </si>
  <si>
    <r>
      <t xml:space="preserve">Diagnostic yield at screening (per 1,000 women </t>
    </r>
    <r>
      <rPr>
        <b/>
        <sz val="10"/>
        <rFont val="Calibri"/>
        <family val="2"/>
        <scheme val="minor"/>
      </rPr>
      <t>aged 40-74 years at entry</t>
    </r>
    <r>
      <rPr>
        <sz val="10"/>
        <rFont val="Calibri"/>
        <family val="2"/>
        <scheme val="minor"/>
      </rPr>
      <t xml:space="preserve">); until controls have been screened; </t>
    </r>
    <r>
      <rPr>
        <b/>
        <sz val="10"/>
        <rFont val="Calibri"/>
        <family val="2"/>
        <scheme val="minor"/>
      </rPr>
      <t>Swedish Overview Committee Consensus data;</t>
    </r>
    <r>
      <rPr>
        <sz val="10"/>
        <rFont val="Calibri"/>
        <family val="2"/>
        <scheme val="minor"/>
      </rPr>
      <t xml:space="preserve">
Screening vs control</t>
    </r>
  </si>
  <si>
    <t>Swedish Overview Committee Consensus data</t>
  </si>
  <si>
    <r>
      <t xml:space="preserve">Number of screen-detected breast cancers </t>
    </r>
    <r>
      <rPr>
        <b/>
        <sz val="10"/>
        <rFont val="Calibri"/>
        <family val="2"/>
        <scheme val="minor"/>
      </rPr>
      <t>in women aged 40-74 years at entry</t>
    </r>
    <r>
      <rPr>
        <sz val="10"/>
        <rFont val="Calibri"/>
        <family val="2"/>
        <scheme val="minor"/>
      </rPr>
      <t>, Swedish Overview Committee Consensus data; until controls have been screened (1984-1985)</t>
    </r>
  </si>
  <si>
    <r>
      <t xml:space="preserve">% of breast cancers that are screen-detected, in women </t>
    </r>
    <r>
      <rPr>
        <b/>
        <sz val="10"/>
        <rFont val="Calibri"/>
        <family val="2"/>
        <scheme val="minor"/>
      </rPr>
      <t>aged 40-74 years at entry</t>
    </r>
    <r>
      <rPr>
        <sz val="10"/>
        <rFont val="Calibri"/>
        <family val="2"/>
        <scheme val="minor"/>
      </rPr>
      <t xml:space="preserve">); until controls have been screened; </t>
    </r>
    <r>
      <rPr>
        <b/>
        <sz val="10"/>
        <rFont val="Calibri"/>
        <family val="2"/>
        <scheme val="minor"/>
      </rPr>
      <t>Swedish Overview Committee Consensus data;</t>
    </r>
    <r>
      <rPr>
        <sz val="10"/>
        <rFont val="Calibri"/>
        <family val="2"/>
        <scheme val="minor"/>
      </rPr>
      <t xml:space="preserve">
Screening vs control</t>
    </r>
  </si>
  <si>
    <r>
      <t xml:space="preserve">Total number of breast cancers diagnosed in the screening period in </t>
    </r>
    <r>
      <rPr>
        <b/>
        <sz val="10"/>
        <rFont val="Calibri"/>
        <family val="2"/>
        <scheme val="minor"/>
      </rPr>
      <t xml:space="preserve">women aged 40-74 years </t>
    </r>
    <r>
      <rPr>
        <sz val="10"/>
        <rFont val="Calibri"/>
        <family val="2"/>
        <scheme val="minor"/>
      </rPr>
      <t>(including first screen of controls); Swedish Overview Committee Consensus data</t>
    </r>
  </si>
  <si>
    <t>Yen 2012</t>
  </si>
  <si>
    <t>Absolute incidence of non-advanced breast cancers (node-negative and &lt;20 mm in maximum diameter);
Follow-up until 31/12/2005 (up to 29 years);
Screening vs control</t>
  </si>
  <si>
    <t>Node-negative and &lt;20 mm</t>
  </si>
  <si>
    <r>
      <t xml:space="preserve">Advanced = Node-positive or </t>
    </r>
    <r>
      <rPr>
        <sz val="10"/>
        <rFont val="Calibri"/>
        <family val="2"/>
      </rPr>
      <t>≥20 mm or both</t>
    </r>
  </si>
  <si>
    <t>Non-advanced = Node-negative and &lt;20 mm</t>
  </si>
  <si>
    <t>806,239 PY;
mean 20.9 years</t>
  </si>
  <si>
    <t>392,869 PY;
mean 21.1 years</t>
  </si>
  <si>
    <t>Missing data on lymph node status or size</t>
  </si>
  <si>
    <t>Number of non-advanced breast cancers (node-negative and &lt;20 mm in maximum diameter);
Follow-up until 31/12/2005 (up to 29 years)</t>
  </si>
  <si>
    <t>Person-years; up to 31/12/2005 (up to 29 years)</t>
  </si>
  <si>
    <t>Assuming incidence to be Poisson distributed</t>
  </si>
  <si>
    <t>Figure 4 and text: This excess was slightly attenuated following the invitation of the PSP to screening, but a substantial difference remained up to the end of the 29-year follow-up period (RR, 1.13; 95% CI, 0.98-1.30).</t>
  </si>
  <si>
    <r>
      <t xml:space="preserve">Absolute incidence of advanced breast cancers (node-positive and/or </t>
    </r>
    <r>
      <rPr>
        <sz val="10"/>
        <rFont val="Calibri"/>
        <family val="2"/>
      </rPr>
      <t>≥</t>
    </r>
    <r>
      <rPr>
        <sz val="10"/>
        <rFont val="Calibri"/>
        <family val="2"/>
        <scheme val="minor"/>
      </rPr>
      <t>20 mm in maximum diameter);
Follow-up until 31/12/2005 (up to 29 years);
Screening vs control</t>
    </r>
  </si>
  <si>
    <t>Node-positive and/or ≥20 mm in maximum diameter</t>
  </si>
  <si>
    <t>Number of advanced breast cancers (node-positive and/or ≥20 mm in maximum diameter);
Follow-up until 31/12/2005 (up to 29 years)</t>
  </si>
  <si>
    <t>Figure 5 and text: … thereafter the deficit in the ASP remained to
the end of the 29 years (RR, 0.81; 95% CI, 0.72-0.91).</t>
  </si>
  <si>
    <t>Thomas 1997</t>
  </si>
  <si>
    <t>Breast cancer mortality (per 1,000 women); until end of 1989;
Instruction vs controls</t>
  </si>
  <si>
    <t>Training session on lower back pain prevention</t>
  </si>
  <si>
    <t>Periodic surveys of the entire cohort for vital status; factory visits every 1-2 months to inquire at the factory medical clinic, payroll office, and retirement committee office about death; STIB tumor and death registry; annual home visits of women with breast cancer; all known deaths matched to the pathology data.
Blinded review of deaths in women with breast cancer by a retired physician using clinical and hospital records and interviews family members if necessary. Decision reviewed by a Chinese physician, translated into English, and reviewed again by the principal investigator. If a consensus is not reached, additional information is sought from Shanghai.</t>
  </si>
  <si>
    <t>Number of breast cancer deaths until end of 1989 ("very likely" or "probably" caused by breast cancer)</t>
  </si>
  <si>
    <t>Breast cancer mortality (per 1,000 women); until end of 1990;
Instruction vs controls</t>
  </si>
  <si>
    <t>Number of breast cancer deaths until end of 1990 ("very likely" or "probably" caused by breast cancer)</t>
  </si>
  <si>
    <t>Breast cancer mortality (per 1,000 women); until end of 1991;
Instruction vs controls</t>
  </si>
  <si>
    <t>Number of breast cancer deaths until end of 1991 ("very likely" or "probably" caused by breast cancer)</t>
  </si>
  <si>
    <t>Breast cancer mortality (per 1,000 women); until end of 1992;
Instruction vs controls</t>
  </si>
  <si>
    <t>Number of breast cancer deaths until end of 1992 ("very likely" or "probably" caused by breast cancer)</t>
  </si>
  <si>
    <t>Breast cancer mortality (per 1,000 women); until end of 1993;
Instruction vs controls</t>
  </si>
  <si>
    <t>Number of breast cancer deaths until end of 1993 ("very likely" or "probably" caused by breast cancer)</t>
  </si>
  <si>
    <t>Breast cancer mortality (per 1,000 women); until end of 1994;
Instruction vs controls</t>
  </si>
  <si>
    <t>516,884 PY;
mean 3.88 years</t>
  </si>
  <si>
    <t>527,166 PY;
mean 3.94 years</t>
  </si>
  <si>
    <t>Number of breast cancer deaths until end of 1994 ("very likely" or "probably" caused by breast cancer)</t>
  </si>
  <si>
    <t>Breast cancer mortality (per 100,000 PY);
months 1-12 months from entry;
Instruction vs controls</t>
  </si>
  <si>
    <t>133,181 PY;
mean 0.998 years</t>
  </si>
  <si>
    <t>133,462 PY;
mean 0.998 years</t>
  </si>
  <si>
    <t>Number of breast cancer deaths 1-12 months from entry ("very likely" or "probably" caused by breast cancer)</t>
  </si>
  <si>
    <t>Table 7 and text: There were no significant differences between the two groups in the rates of breast cancer deaths</t>
  </si>
  <si>
    <t>Breast cancer mortality (per 100,000 PY);
months 1-24 months from entry;
Instruction vs controls</t>
  </si>
  <si>
    <t>265,931 PY;
mean 1.99 years</t>
  </si>
  <si>
    <t>266,509 PY;
mean 1.99 years</t>
  </si>
  <si>
    <t>Number of breast cancer deaths 1-24 months from entry ("very likely" or "probably" caused by breast cancer)</t>
  </si>
  <si>
    <t>Breast cancer mortality (per 100,000 PY);
months 1-36 months from entry;
Instruction vs controls</t>
  </si>
  <si>
    <t>398,101 PY;
mean 2.98 years</t>
  </si>
  <si>
    <t>398,993 PY;
mean 2.99 years</t>
  </si>
  <si>
    <t>Number of breast cancer deaths 1-36 months from entry ("very likely" or "probably" caused by breast cancer)</t>
  </si>
  <si>
    <t>Breast cancer mortality (per 100,000 PY);
months 1-48 months from entry;
Instruction vs controls</t>
  </si>
  <si>
    <t>490,302 PY;
mean 3.68 years</t>
  </si>
  <si>
    <t>495,836 PY;
mean 3.71 years</t>
  </si>
  <si>
    <t>Number of breast cancer deaths 1-48 months from entry ("very likely" or "probably" caused by breast cancer)</t>
  </si>
  <si>
    <t>The relatively lower numbers of woman-years in the latest time periods reflect inclusion of data
accrual only through 1994 (right censoring).</t>
  </si>
  <si>
    <t>Breast cancer mortality (per 100,000 PY);
months 1-60 months from entry;
Instruction vs controls</t>
  </si>
  <si>
    <t>Number of breast cancer deaths 1-60 months from entry ("very likely" or "probably" caused by breast cancer)</t>
  </si>
  <si>
    <t>The relatively lower numbers of woman-years in the latest time periods reflect inclusion of data
accrual only through 1994 (right censoring).
Rates for year 5 based on small numbers of breast cancer deaths and represented the experience of only the subset of study participants who had
entered the trial in the 1st year of its implementation.</t>
  </si>
  <si>
    <t>All-cause mortality (per 100 women); until end of 1994;
Instruction vs controls</t>
  </si>
  <si>
    <t>Periodic surveys of the entire cohort for vital status; factory visits every 1-2 months to inquire at the factory medical clinic, payroll office, and retirement committee office about death; STIB tumor and death registry.</t>
  </si>
  <si>
    <t>Number of deaths from all causes until end of 1994</t>
  </si>
  <si>
    <t>Text: A total of 1436 (1.1%) of the 133 375 women in the instruction group and a total of 1648 (1.2%) of the 133 665 women in the control group are currently known to have died by the end of 1994.</t>
  </si>
  <si>
    <t>Thomas 2002</t>
  </si>
  <si>
    <t>Breast cancer mortality (per 100 women);
up to 31/12/2000;
Instruction vs controls</t>
  </si>
  <si>
    <t>Factory visits every 1-2 months to inquire at the factory medical clinic, payroll office, and retirement committee office about deaths; tumor and death registry for the STIB received individual reports of deaths from the medical workers in each factory and annual summaries from each factory of all deaths during the preceding year.
Vital status of all women with a benign or malignant breast lesion ascertained by matching the pathology data to the vital status data. All women with breast cancer or benign breast disease actively followed up, with home visits if necessary, through 2000.
Blinded review of deaths in women with breast cancer by a Chinese physician using clinical and hospital records and interviews family members if necessary. Decision translated by a second Chinese physician in Seattle into English, and jointly reviewed by her and the principal investigator. If consensus could not be reached, additional information was sought from the physician in Shanghai.</t>
  </si>
  <si>
    <t>Censored at the time they left the STIB and were lost to follow-up or at time of death. Otherwise, follow-up was through the year 2000.
Active follow-up was complete for all women with breast cancer through the end of the year 2000, including those who left the STIB, and only women who died of other causes were thus censored in these
analyses.</t>
  </si>
  <si>
    <t>10-11 years</t>
  </si>
  <si>
    <t>1,276,611 PY;
mean 9.9 years</t>
  </si>
  <si>
    <t>1,286,678 PY;
mean 9.7 years</t>
  </si>
  <si>
    <t>Number of breast cancer deaths up to 31/12/2000 ("very likely" or "probably" caused by breast cancer)</t>
  </si>
  <si>
    <t>Text: A total of 135 (0.10%) and 131 (0.10%) in the two groups, respectively, were judged to have either very likely or probably died of their disease, and these are considered the deaths from breast cancer in all subsequent analyses presented.</t>
  </si>
  <si>
    <t>Breast cancer mortality (per 100,000 PY);
up to 31/12/2000;
Instruction vs controls</t>
  </si>
  <si>
    <t>A total of 1 276 611 womanyears were accrued in the instruction group, and 1 286 678 woman-years were accrued in the control group. The cumulative breast cancer mortality rates by year since entry into the trial (Fig. 1) for the women in the two arms of the study are similar: 150.6 versus 120.6 per 100 000 woman-years, respectively (P = .72, log-rank test).
The cumulative risk ratio for women in the instruction group relative to women in the control group is 1.04 (95% CI = 0.82 to 1.33).</t>
  </si>
  <si>
    <t>All-cause mortality (per 100 women); until 31/12/2000;
Instruction vs controls</t>
  </si>
  <si>
    <t>Factory visits every 1-2 months to inquire at the factory medical clinic, payroll office, and retirement committee office about death; STIB tumor and death registry.</t>
  </si>
  <si>
    <t>Number of deaths from all causes until end of 2000</t>
  </si>
  <si>
    <t>Text: During the 10 to 11 years of follow-up, 5349 (4.0%) of
women in the instruction group and 5939 (4.5%) of the women in the control group died, and 9873 (7.4%) and 9997 (7.5%), respectively, left the STIB.</t>
  </si>
  <si>
    <t>The numbers of women who left the STIB were similar between arms each year.</t>
  </si>
  <si>
    <t xml:space="preserve">Absolute incidence of stage 1 (= limited to the breast) breast cancers diagnosed up to 31/12/1994 (per 1000 women);
Instruction vs control
</t>
  </si>
  <si>
    <t>Stage 1 = limited to the breast</t>
  </si>
  <si>
    <t>Factory medical workers recorded information on breast cancer detection which is abstracted by BSE workers during their factory visits on standardized forms; periodic visits to hospitals. Supplemented by STIB tumor and death registry and the Shanghai cancer registry.
Study personnel review the medical records of all women found to have a histologically confirmed benign or malignant breast lesion. Tumor size, its location within the breast, histologic classification and stage of disease are recorded from pathology reports and hospital records from multiple facilities.</t>
  </si>
  <si>
    <t>Number of stage 1 (= limited to the breast) breast cancers diagnosed up to 31/12/1994</t>
  </si>
  <si>
    <t>4 broad categories (in situ [stage 0], limited to the breast [stage 1], regional spread [stage 2], and distant metastasis [stage 3]).</t>
  </si>
  <si>
    <r>
      <t xml:space="preserve">Absolute incidence of breast cancers </t>
    </r>
    <r>
      <rPr>
        <sz val="10"/>
        <rFont val="Calibri"/>
        <family val="2"/>
      </rPr>
      <t>≤2 cm</t>
    </r>
    <r>
      <rPr>
        <sz val="10"/>
        <rFont val="Calibri"/>
        <family val="2"/>
        <scheme val="minor"/>
      </rPr>
      <t xml:space="preserve"> diagnosed up to 31/12/1994 (per 1000 women);
Instruction vs control
</t>
    </r>
  </si>
  <si>
    <t>Number of breast cancers ≤2 cm diagnosed up to 31/12/1994</t>
  </si>
  <si>
    <t xml:space="preserve">Diagnostic yield at screening (per 1,000 women); up to 31/12/1994;
Screening arm only
</t>
  </si>
  <si>
    <t xml:space="preserve">Factory medical workers recorded information on breast cancer detection which is abstracted by BSE workers during their factory visits on standardized forms; periodic visits to hospitals.
Supplemented by STIB tumor and death registry and the Shanghai cancer registry.
Study personnel review the medical records of all women found to have a histologically confirmed benign or malignant breast lesion. </t>
  </si>
  <si>
    <t>Number of breast cancers detected via BSE up to 31/12/1994</t>
  </si>
  <si>
    <t>Text: Information on how a woman first found her lump was available for 311 of the cases in the instruction group 257 (82.6%) women reported having found their lump while practicing BSE, and 53 women found it by other means.</t>
  </si>
  <si>
    <t xml:space="preserve">% of breast cancers that were screen-detected; up to 31/12/1994;
Screening arm only
</t>
  </si>
  <si>
    <t>Total number of breast cancers detected up to 31/12/1994 (including 20 cancers with unknown way of detection)</t>
  </si>
  <si>
    <t>Text: Information on how a woman first found her lump was available for 311 of the cases in the instruction group 257 (82.6%) women reported having found their lump while practicing BSE, and 53 women found it by other means.
Denominator from Table 5.</t>
  </si>
  <si>
    <r>
      <t xml:space="preserve">Absolute incidence of carcinomas diagnosed as </t>
    </r>
    <r>
      <rPr>
        <b/>
        <sz val="10"/>
        <rFont val="Calibri"/>
        <family val="2"/>
        <scheme val="minor"/>
      </rPr>
      <t>T1 tumors (</t>
    </r>
    <r>
      <rPr>
        <b/>
        <sz val="10"/>
        <rFont val="Calibri"/>
        <family val="2"/>
      </rPr>
      <t>≤2 cm)</t>
    </r>
    <r>
      <rPr>
        <sz val="10"/>
        <rFont val="Calibri"/>
        <family val="2"/>
        <scheme val="minor"/>
      </rPr>
      <t xml:space="preserve"> up to 31/12/2000 (per 1,000 women);
Instruction vs control</t>
    </r>
  </si>
  <si>
    <r>
      <t>T1 (</t>
    </r>
    <r>
      <rPr>
        <sz val="10"/>
        <rFont val="Calibri"/>
        <family val="2"/>
      </rPr>
      <t>≤2 cm)</t>
    </r>
  </si>
  <si>
    <t>in situ (Tis) or no more than 2 cm in
diameter (T1)</t>
  </si>
  <si>
    <t xml:space="preserve">Factory medical workers recorded information on breast cancer detection which is abstracted by BSE workers during their factory visits on standardized forms; supplemented by periodic visits by the BSE workers to the 3 STIB hospitals and, less frequently, to other hospitals to which women with suspected breast cancer were referred. 
STIB tumor and death registry received annual summaries from each factory of all deaths and of all cancers during the preceding year. Shanghai Cancer Registry reviewed manually each year plus additional computerised matching to the data from 1989 through 1998.
Blinded study personnel reviewed the medical records of all women found to have a histologically confirmed benign or malignant breast lesion to collect sufficient information on tumor size, spread to regional lymph nodes, and distant metastases for classification according to the tumor–node–metastasis (TNM) scheme. </t>
  </si>
  <si>
    <r>
      <t>Number of breast cancers with T1 (</t>
    </r>
    <r>
      <rPr>
        <sz val="10"/>
        <rFont val="Calibri"/>
        <family val="2"/>
      </rPr>
      <t>≤2 cm) diagnosed up to 31/12/2000</t>
    </r>
  </si>
  <si>
    <t>Table 6 and text: A higher proportion of breast cancers were diagnosed when in situ (Tis, stage 0) and less than or equal to 2 cm in diameter (T1) by women in the instruction group (3.9% and 44.9%, respectively) than by those in the control group (3.2% and 41.6%, respectively) (Table 6).</t>
  </si>
  <si>
    <t>All tumors diagnosed as breast cancer by a pathologist in Shanghai were included in the study analyses.
Excluding seven cancers in the instruction group and six cancers in the control group that were clinically diagnosed only.</t>
  </si>
  <si>
    <r>
      <t xml:space="preserve">Absolute incidence of carcinomas diagnosed as </t>
    </r>
    <r>
      <rPr>
        <b/>
        <sz val="10"/>
        <rFont val="Calibri"/>
        <family val="2"/>
        <scheme val="minor"/>
      </rPr>
      <t>Tis (in situ) and T1 (</t>
    </r>
    <r>
      <rPr>
        <b/>
        <sz val="10"/>
        <rFont val="Calibri"/>
        <family val="2"/>
      </rPr>
      <t xml:space="preserve">≤2 cm) </t>
    </r>
    <r>
      <rPr>
        <b/>
        <sz val="10"/>
        <rFont val="Calibri"/>
        <family val="2"/>
        <scheme val="minor"/>
      </rPr>
      <t>tumors</t>
    </r>
    <r>
      <rPr>
        <sz val="10"/>
        <rFont val="Calibri"/>
        <family val="2"/>
        <scheme val="minor"/>
      </rPr>
      <t xml:space="preserve"> up to 31/12/2000 (per 1,000 women);
Instruction vs control</t>
    </r>
  </si>
  <si>
    <r>
      <t>Tis (in situ, stage 0) or T1 (</t>
    </r>
    <r>
      <rPr>
        <sz val="10"/>
        <rFont val="Calibri"/>
        <family val="2"/>
      </rPr>
      <t>≤2 cm)</t>
    </r>
  </si>
  <si>
    <r>
      <t>Number of in situ breast cancers and breast cancers with T1 (</t>
    </r>
    <r>
      <rPr>
        <sz val="10"/>
        <rFont val="Calibri"/>
        <family val="2"/>
      </rPr>
      <t>≤2 cm) diagnosed up to 31/12/2000</t>
    </r>
  </si>
  <si>
    <r>
      <t xml:space="preserve">Absolute incidence of breast cancers that were </t>
    </r>
    <r>
      <rPr>
        <b/>
        <sz val="10"/>
        <rFont val="Calibri"/>
        <family val="2"/>
        <scheme val="minor"/>
      </rPr>
      <t>node-positive (N1, N2, or N3)</t>
    </r>
    <r>
      <rPr>
        <sz val="10"/>
        <rFont val="Calibri"/>
        <family val="2"/>
        <scheme val="minor"/>
      </rPr>
      <t xml:space="preserve"> at diagnosis up to 31/12/2000 (per 1,000 women);
Instruction vs control</t>
    </r>
  </si>
  <si>
    <t>Node positive (N1, N2 or N3)</t>
  </si>
  <si>
    <r>
      <t>Number of breast cancers with evidence of tumour in regional lymph nodes (N1, N2 or N3);</t>
    </r>
    <r>
      <rPr>
        <sz val="10"/>
        <rFont val="Calibri"/>
        <family val="2"/>
      </rPr>
      <t xml:space="preserve"> diagnosed up to 31/12/2000</t>
    </r>
  </si>
  <si>
    <t>Text: Among the 797 (92.2%) women with breast cancer in the instruction group and 844 (93.8%) women with breast cancer in the control group with histologically ascertained nodal status, evidence of tumor was found in 314 (39.4%) and 342 (40.5%), respectively.</t>
  </si>
  <si>
    <r>
      <t>% of breast cancers that were diagnosed at late stage (</t>
    </r>
    <r>
      <rPr>
        <b/>
        <sz val="10"/>
        <rFont val="Calibri"/>
        <family val="2"/>
        <scheme val="minor"/>
      </rPr>
      <t>node-positive; N1-N3</t>
    </r>
    <r>
      <rPr>
        <sz val="10"/>
        <rFont val="Calibri"/>
        <family val="2"/>
        <scheme val="minor"/>
      </rPr>
      <t>); up to 31/12/2000;
Instruction vs control</t>
    </r>
  </si>
  <si>
    <r>
      <t xml:space="preserve">Absolute incidence of breast cancers with </t>
    </r>
    <r>
      <rPr>
        <b/>
        <sz val="10"/>
        <rFont val="Calibri"/>
        <family val="2"/>
        <scheme val="minor"/>
      </rPr>
      <t>distant metastasis (M1)</t>
    </r>
    <r>
      <rPr>
        <sz val="10"/>
        <rFont val="Calibri"/>
        <family val="2"/>
        <scheme val="minor"/>
      </rPr>
      <t xml:space="preserve"> at diagnosis up to 31/12/2000 (per 1,000 women);
Instruction vs control</t>
    </r>
  </si>
  <si>
    <t>Distant metastasis (M1)</t>
  </si>
  <si>
    <t>Unknown M stage</t>
  </si>
  <si>
    <r>
      <t>Number of breast cancers with distant metastasis (M1) at diagnosis;</t>
    </r>
    <r>
      <rPr>
        <sz val="10"/>
        <rFont val="Calibri"/>
        <family val="2"/>
      </rPr>
      <t xml:space="preserve"> diagnosed up to 31/12/2000</t>
    </r>
  </si>
  <si>
    <t xml:space="preserve">Diagnostic yield at screening (per 1,000 women); up to 31/12/2000;
Screening arm only
</t>
  </si>
  <si>
    <t>Factory medical workers recorded information on breast cancer detection which is abstracted by BSE workers during their factory visits on standardized forms; periodic visits to hospitals.
Supplemented by STIB tumor and death registry and the Shanghai cancer registry.</t>
  </si>
  <si>
    <t>Number of breast cancers detected via clinical breast examination or BSE up to 31/12/2000</t>
  </si>
  <si>
    <t>Text: Information on how the breast cancer was first found was
ascertained from 739 women in the instruction group and 748
women in the control group. Only 20 (2.7%) and 27 (3.6%) of
the tumors in the two groups, respectively, were initially found
by means of a clinical breast examination. In the instruction
group, 605 (81.9%) were reported found when practicing BSE.</t>
  </si>
  <si>
    <t xml:space="preserve">% of breast cancers that were screen-detected (clinical breast examination or BSE practice); up to 31/12/2000;
Screening arm only
</t>
  </si>
  <si>
    <t>Total number of breast cancers diagnosed up to 31/12/2000 (including cancers with unknown way of detection)</t>
  </si>
  <si>
    <t>Semiglazov 1987</t>
  </si>
  <si>
    <t>Russia WHO Breast</t>
  </si>
  <si>
    <t>Breast cancer mortality (per 1,000 women);
first 15 months;
BSE vs control groups</t>
  </si>
  <si>
    <t>St. Petersburg; first 15 months</t>
  </si>
  <si>
    <t>Up to 15 months</t>
  </si>
  <si>
    <t>Mean 5.5 months (range: few days to 14 months)</t>
  </si>
  <si>
    <t>Number of deaths from breast cancer; first 15 months</t>
  </si>
  <si>
    <t>Text: To date, two patients have died from breast cancer: one from the BSE group and one from the control group.</t>
  </si>
  <si>
    <t>Semiglazov 1999</t>
  </si>
  <si>
    <t>Breast cancer mortality of breast cancers diagnosed up to 31/12/1994 (per 1,000 women);
followed up until 31/12/1997;
BSE vs control groups</t>
  </si>
  <si>
    <t>From 12/1996, City of St. Petersburg health records reviewed yearly to follow for mortality.</t>
  </si>
  <si>
    <t>St. Petersburg</t>
  </si>
  <si>
    <t>Number of deaths from breast cancer in cases diagnosed up to 31/12/1994; followed up until 31/12/1997</t>
  </si>
  <si>
    <r>
      <t xml:space="preserve">Absolute incidence of breast cancers with </t>
    </r>
    <r>
      <rPr>
        <b/>
        <sz val="10"/>
        <rFont val="Calibri"/>
        <family val="2"/>
        <scheme val="minor"/>
      </rPr>
      <t>T1 stage (size &lt;2 cm)</t>
    </r>
    <r>
      <rPr>
        <sz val="10"/>
        <rFont val="Calibri"/>
        <family val="2"/>
        <scheme val="minor"/>
      </rPr>
      <t xml:space="preserve"> at diagnosis (per 1,000 women); first 15 months;
BSE vs control groups</t>
    </r>
  </si>
  <si>
    <t>T1 (&lt;2 cm)</t>
  </si>
  <si>
    <t>15 months</t>
  </si>
  <si>
    <t>Number of breast cancers with T1 stage (size &lt;2 cm) at diagnosis (TNM staging system); first 15 months</t>
  </si>
  <si>
    <t>Table 1 (and Figure 1 for total number of cancers to convert % into absolute numbers)</t>
  </si>
  <si>
    <r>
      <t xml:space="preserve">Absolute incidence of breast cancers with </t>
    </r>
    <r>
      <rPr>
        <b/>
        <sz val="10"/>
        <rFont val="Calibri"/>
        <family val="2"/>
        <scheme val="minor"/>
      </rPr>
      <t>T2 stage (size 2-5 cm)</t>
    </r>
    <r>
      <rPr>
        <sz val="10"/>
        <rFont val="Calibri"/>
        <family val="2"/>
        <scheme val="minor"/>
      </rPr>
      <t xml:space="preserve"> at diagnosis (per 1,000 women); first 15 months;
BSE vs control groups</t>
    </r>
  </si>
  <si>
    <t>T2 (2-5 cm)</t>
  </si>
  <si>
    <t>Number of breast cancers with T2 stage (size 2-5 cm) at diagnosis (TNM staging system); first 15 months</t>
  </si>
  <si>
    <r>
      <t xml:space="preserve">Absolute incidence of breast cancers with </t>
    </r>
    <r>
      <rPr>
        <b/>
        <sz val="10"/>
        <rFont val="Calibri"/>
        <family val="2"/>
        <scheme val="minor"/>
      </rPr>
      <t>T3 stage (size &gt;5 cm)</t>
    </r>
    <r>
      <rPr>
        <sz val="10"/>
        <rFont val="Calibri"/>
        <family val="2"/>
        <scheme val="minor"/>
      </rPr>
      <t xml:space="preserve"> at diagnosis (per 1,000 women); first 15 months;
BSE vs control groups</t>
    </r>
  </si>
  <si>
    <t>T3 (&gt;5 cm)</t>
  </si>
  <si>
    <t>St. Petersburg, first 15 months</t>
  </si>
  <si>
    <t>Number of breast cancers with T3 stage (size &gt;5 cm) at diagnosis (TNM staging system); first 15 months</t>
  </si>
  <si>
    <r>
      <t xml:space="preserve">Absolute incidence of breast cancers </t>
    </r>
    <r>
      <rPr>
        <b/>
        <sz val="10"/>
        <rFont val="Calibri"/>
        <family val="2"/>
        <scheme val="minor"/>
      </rPr>
      <t>with</t>
    </r>
    <r>
      <rPr>
        <sz val="10"/>
        <rFont val="Calibri"/>
        <family val="2"/>
        <scheme val="minor"/>
      </rPr>
      <t xml:space="preserve"> </t>
    </r>
    <r>
      <rPr>
        <b/>
        <sz val="10"/>
        <rFont val="Calibri"/>
        <family val="2"/>
        <scheme val="minor"/>
      </rPr>
      <t>lymph-node involvement (N1 or N2)</t>
    </r>
    <r>
      <rPr>
        <sz val="10"/>
        <rFont val="Calibri"/>
        <family val="2"/>
        <scheme val="minor"/>
      </rPr>
      <t xml:space="preserve"> at diagnosis (per 1,000 women); first 15 months;
BSE vs control groups</t>
    </r>
  </si>
  <si>
    <t>N1 or N2</t>
  </si>
  <si>
    <t>Unknown N status</t>
  </si>
  <si>
    <t>Number of breast cancers with lymph-node involvement (N1 or N2) at diagnosis (TNM staging system); first 15 months</t>
  </si>
  <si>
    <r>
      <t xml:space="preserve">Absolute incidence of breast cancers </t>
    </r>
    <r>
      <rPr>
        <b/>
        <sz val="10"/>
        <rFont val="Calibri"/>
        <family val="2"/>
        <scheme val="minor"/>
      </rPr>
      <t>without</t>
    </r>
    <r>
      <rPr>
        <sz val="10"/>
        <rFont val="Calibri"/>
        <family val="2"/>
        <scheme val="minor"/>
      </rPr>
      <t xml:space="preserve"> </t>
    </r>
    <r>
      <rPr>
        <b/>
        <sz val="10"/>
        <rFont val="Calibri"/>
        <family val="2"/>
        <scheme val="minor"/>
      </rPr>
      <t>lymph-node involvement (N0)</t>
    </r>
    <r>
      <rPr>
        <sz val="10"/>
        <rFont val="Calibri"/>
        <family val="2"/>
        <scheme val="minor"/>
      </rPr>
      <t xml:space="preserve"> at diagnosis (per 1,000 women); first 15 months;
BSE vs control groups</t>
    </r>
  </si>
  <si>
    <t>Number of breast cancers without lymph-node involvement (N0) at diagnosis (TNM staging system); first 15 months</t>
  </si>
  <si>
    <t>Diagnostic yield at screening (per 1,000 women); first 15 months;
BSE arm only</t>
  </si>
  <si>
    <t>Number of breast cancers detected during BSE; first 15 months of trial</t>
  </si>
  <si>
    <t>Figure 1 and text: Overall, the number of breast cancer patients
detected within the period of 15 months was 36 cases in the BSE group (1.15 per 1000 BSE-taught women)...</t>
  </si>
  <si>
    <t>Semiglazov 1992</t>
  </si>
  <si>
    <r>
      <t xml:space="preserve">Absolute incidence of breast cancers with </t>
    </r>
    <r>
      <rPr>
        <b/>
        <sz val="10"/>
        <rFont val="Calibri"/>
        <family val="2"/>
        <scheme val="minor"/>
      </rPr>
      <t>T1-2 stage</t>
    </r>
    <r>
      <rPr>
        <sz val="10"/>
        <rFont val="Calibri"/>
        <family val="2"/>
        <scheme val="minor"/>
      </rPr>
      <t xml:space="preserve"> at diagnosis (per 1,000 women); 1985-1990;
BSE vs control groups</t>
    </r>
  </si>
  <si>
    <t>T1-2</t>
  </si>
  <si>
    <t>Primary breast cancer cases registered over the last 5 years at the "BSE" polyclinics collated with the computer lists of women of the BSE and control groups.</t>
  </si>
  <si>
    <t>Number of breast cancers with T1-2 stage (size of primary tumour); 1985-1990</t>
  </si>
  <si>
    <t>Table 2 and text: Comparison of patients in the BSE and control 
groups with regard to the size of the primary (Table 2)  and the incidence of metastatic involvement of the  regional lymph nodes (Table 3) revealed no  statistically significant differences.</t>
  </si>
  <si>
    <r>
      <t xml:space="preserve">Absolute incidence of breast cancers with </t>
    </r>
    <r>
      <rPr>
        <b/>
        <sz val="10"/>
        <rFont val="Calibri"/>
        <family val="2"/>
        <scheme val="minor"/>
      </rPr>
      <t>T3-4 stage</t>
    </r>
    <r>
      <rPr>
        <sz val="10"/>
        <rFont val="Calibri"/>
        <family val="2"/>
        <scheme val="minor"/>
      </rPr>
      <t xml:space="preserve"> at diagnosis (per 1,000 women); 1985-1990;
BSE vs control groups</t>
    </r>
  </si>
  <si>
    <t>T3-4</t>
  </si>
  <si>
    <t>Number of breast cancers with T3-4 stage (size of primary tumour); 1985-1990</t>
  </si>
  <si>
    <r>
      <t xml:space="preserve">Absolute incidence of breast cancers with </t>
    </r>
    <r>
      <rPr>
        <b/>
        <sz val="10"/>
        <rFont val="Calibri"/>
        <family val="2"/>
        <scheme val="minor"/>
      </rPr>
      <t>N0 stage</t>
    </r>
    <r>
      <rPr>
        <sz val="10"/>
        <rFont val="Calibri"/>
        <family val="2"/>
        <scheme val="minor"/>
      </rPr>
      <t xml:space="preserve"> at diagnosis (per 1,000 women); 1985-1990;
BSE vs control groups</t>
    </r>
  </si>
  <si>
    <t xml:space="preserve">Fibrous histiocytoma of the breast. </t>
  </si>
  <si>
    <t>Number of breast cancers with N0 stage (no metastases in regional lymph nodes); 1985-1990</t>
  </si>
  <si>
    <r>
      <t xml:space="preserve">Absolute incidence of breast cancers with </t>
    </r>
    <r>
      <rPr>
        <b/>
        <sz val="10"/>
        <rFont val="Calibri"/>
        <family val="2"/>
        <scheme val="minor"/>
      </rPr>
      <t>N+ stage (N1-N2)</t>
    </r>
    <r>
      <rPr>
        <sz val="10"/>
        <rFont val="Calibri"/>
        <family val="2"/>
        <scheme val="minor"/>
      </rPr>
      <t xml:space="preserve"> at diagnosis (per 1,000 women); 1985-1990;
BSE vs control groups</t>
    </r>
  </si>
  <si>
    <t>Node positive (N1-N2)</t>
  </si>
  <si>
    <t>Number of breast cancers with N+ stage (N1-N2, metastases in regional lymph nodes); 1985-1990</t>
  </si>
  <si>
    <t>Diagnostic yield at screening (per 1,000 women); first 1985-1990;
BSE arm only</t>
  </si>
  <si>
    <t>Number of breast cancers detected during BSE; 1985-1990</t>
  </si>
  <si>
    <r>
      <t xml:space="preserve">Absolute incidence of breast cancers with </t>
    </r>
    <r>
      <rPr>
        <b/>
        <sz val="10"/>
        <rFont val="Calibri"/>
        <family val="2"/>
        <scheme val="minor"/>
      </rPr>
      <t>Tis stage</t>
    </r>
    <r>
      <rPr>
        <sz val="10"/>
        <rFont val="Calibri"/>
        <family val="2"/>
        <scheme val="minor"/>
      </rPr>
      <t xml:space="preserve"> at diagnosis (per 1,000 women); 1985-1994;
BSE vs control groups</t>
    </r>
  </si>
  <si>
    <t>Tis</t>
  </si>
  <si>
    <t>Yearly review of records from noncomputerised tumour registries of the 28 polyclinics. City of St. Petersburg health records reviewed yearly to check for other cases.</t>
  </si>
  <si>
    <t>Number of breast cancers with Tis stage (size of primary tumour); 1985-1994</t>
  </si>
  <si>
    <r>
      <t xml:space="preserve">Absolute incidence of breast cancers with </t>
    </r>
    <r>
      <rPr>
        <b/>
        <sz val="10"/>
        <rFont val="Calibri"/>
        <family val="2"/>
        <scheme val="minor"/>
      </rPr>
      <t>T0 stage</t>
    </r>
    <r>
      <rPr>
        <sz val="10"/>
        <rFont val="Calibri"/>
        <family val="2"/>
        <scheme val="minor"/>
      </rPr>
      <t xml:space="preserve"> at diagnosis (per 1,000 women); 1985-1994;
BSE vs control groups</t>
    </r>
  </si>
  <si>
    <t>T0</t>
  </si>
  <si>
    <t>Number of breast cancers with T0 stage (size of primary tumour); 1985-1994</t>
  </si>
  <si>
    <r>
      <t xml:space="preserve">Absolute incidence of breast cancers with </t>
    </r>
    <r>
      <rPr>
        <b/>
        <sz val="10"/>
        <rFont val="Calibri"/>
        <family val="2"/>
        <scheme val="minor"/>
      </rPr>
      <t>T1 stage</t>
    </r>
    <r>
      <rPr>
        <sz val="10"/>
        <rFont val="Calibri"/>
        <family val="2"/>
        <scheme val="minor"/>
      </rPr>
      <t xml:space="preserve"> at diagnosis (per 1,000 women); 1985-1994;
BSE vs control groups</t>
    </r>
  </si>
  <si>
    <t>Number of breast cancers with T1 stage (size of primary tumour); 1985-1994</t>
  </si>
  <si>
    <r>
      <t xml:space="preserve">Absolute incidence of breast cancers with </t>
    </r>
    <r>
      <rPr>
        <b/>
        <sz val="10"/>
        <rFont val="Calibri"/>
        <family val="2"/>
        <scheme val="minor"/>
      </rPr>
      <t>T2 stage</t>
    </r>
    <r>
      <rPr>
        <sz val="10"/>
        <rFont val="Calibri"/>
        <family val="2"/>
        <scheme val="minor"/>
      </rPr>
      <t xml:space="preserve"> at diagnosis (per 1,000 women); 1985-1994;
BSE vs control groups</t>
    </r>
  </si>
  <si>
    <t>Number of breast cancers with T2 stage (size of primary tumour); 1985-1994</t>
  </si>
  <si>
    <r>
      <t xml:space="preserve">Absolute incidence of breast cancers with </t>
    </r>
    <r>
      <rPr>
        <b/>
        <sz val="10"/>
        <rFont val="Calibri"/>
        <family val="2"/>
        <scheme val="minor"/>
      </rPr>
      <t>T3 stage</t>
    </r>
    <r>
      <rPr>
        <sz val="10"/>
        <rFont val="Calibri"/>
        <family val="2"/>
        <scheme val="minor"/>
      </rPr>
      <t xml:space="preserve"> at diagnosis (per 1,000 women); 1985-1994;
BSE vs control groups</t>
    </r>
  </si>
  <si>
    <t>Number of breast cancers with T3 stage (size of primary tumour); 1985-1994</t>
  </si>
  <si>
    <r>
      <t xml:space="preserve">Absolute incidence of breast cancers with </t>
    </r>
    <r>
      <rPr>
        <b/>
        <sz val="10"/>
        <rFont val="Calibri"/>
        <family val="2"/>
        <scheme val="minor"/>
      </rPr>
      <t>T4 stage</t>
    </r>
    <r>
      <rPr>
        <sz val="10"/>
        <rFont val="Calibri"/>
        <family val="2"/>
        <scheme val="minor"/>
      </rPr>
      <t xml:space="preserve"> at diagnosis (per 1,000 women); 1985-1994;
BSE vs control groups</t>
    </r>
  </si>
  <si>
    <t>Number of breast cancers with T4 stage (size of primary tumour); 1985-1994</t>
  </si>
  <si>
    <r>
      <t xml:space="preserve">Absolute incidence of breast cancers with </t>
    </r>
    <r>
      <rPr>
        <b/>
        <sz val="10"/>
        <rFont val="Calibri"/>
        <family val="2"/>
        <scheme val="minor"/>
      </rPr>
      <t>N0 stage (node negative)</t>
    </r>
    <r>
      <rPr>
        <sz val="10"/>
        <rFont val="Calibri"/>
        <family val="2"/>
        <scheme val="minor"/>
      </rPr>
      <t xml:space="preserve"> at diagnosis (per 1,000 women); 1985-1994;
BSE vs control groups</t>
    </r>
  </si>
  <si>
    <t>Unknown nodal status</t>
  </si>
  <si>
    <t>Number of breast cancers with N0 stage (no metastases in regional lymph nodes); 1985-1994</t>
  </si>
  <si>
    <r>
      <t xml:space="preserve">Absolute incidence of breast cancers with </t>
    </r>
    <r>
      <rPr>
        <b/>
        <sz val="10"/>
        <rFont val="Calibri"/>
        <family val="2"/>
        <scheme val="minor"/>
      </rPr>
      <t>N+ stage</t>
    </r>
    <r>
      <rPr>
        <sz val="10"/>
        <rFont val="Calibri"/>
        <family val="2"/>
        <scheme val="minor"/>
      </rPr>
      <t xml:space="preserve"> </t>
    </r>
    <r>
      <rPr>
        <b/>
        <sz val="10"/>
        <rFont val="Calibri"/>
        <family val="2"/>
        <scheme val="minor"/>
      </rPr>
      <t xml:space="preserve">(N1-N2, node positive) </t>
    </r>
    <r>
      <rPr>
        <sz val="10"/>
        <rFont val="Calibri"/>
        <family val="2"/>
        <scheme val="minor"/>
      </rPr>
      <t>at diagnosis (per 1,000 women); 1985-1994;
BSE vs control groups</t>
    </r>
  </si>
  <si>
    <t>Number of breast cancers with N+ stage (N1-N2, metastases in regional lymph nodes); 1985-1994</t>
  </si>
  <si>
    <r>
      <t>% of breast cancers diagnosed at late stage</t>
    </r>
    <r>
      <rPr>
        <b/>
        <sz val="10"/>
        <rFont val="Calibri"/>
        <family val="2"/>
        <scheme val="minor"/>
      </rPr>
      <t xml:space="preserve"> (node positive, N+</t>
    </r>
    <r>
      <rPr>
        <sz val="10"/>
        <rFont val="Calibri"/>
        <family val="2"/>
        <scheme val="minor"/>
      </rPr>
      <t>); 1985-1994;
BSE vs control groups</t>
    </r>
  </si>
  <si>
    <r>
      <t xml:space="preserve">Absolute incidence of breast cancers with </t>
    </r>
    <r>
      <rPr>
        <b/>
        <sz val="10"/>
        <rFont val="Calibri"/>
        <family val="2"/>
        <scheme val="minor"/>
      </rPr>
      <t>distant metastases (M1)</t>
    </r>
    <r>
      <rPr>
        <sz val="10"/>
        <rFont val="Calibri"/>
        <family val="2"/>
        <scheme val="minor"/>
      </rPr>
      <t xml:space="preserve"> at diagnosis (per 1,000 women); 1985-1994;
BSE vs control groups</t>
    </r>
  </si>
  <si>
    <t>Number of breast cancers with distant metastasis (M1); 1985-1994</t>
  </si>
  <si>
    <t>Text: Distant metastases was found in 3.0% of the BSE group and 3.2% of the control group patients.</t>
  </si>
  <si>
    <t>Schoen 2012</t>
  </si>
  <si>
    <t>Colorectal cancer-specific mortality (per 10,000 PY); 13 years since randomisation or 31 Dec 2009</t>
  </si>
  <si>
    <t>Primarily by means of a mailed Annual Study Update questionnaire. Participants who did not return questionnaires were contacted by repeat mailing or telephone. Periodic linkage to the National Death Index. Deaths that were potentially related to PLCO cancers were reviewed in a blinded fashion, in an end-point adjudication process</t>
  </si>
  <si>
    <t>date of death or the date of last follow-up (censoring date). Data were censored
on December 31, 2009, or at 13 years from
randomization, whichever came first.</t>
  </si>
  <si>
    <t>12.1 years (interquartile range, 10.4 to 13.0)</t>
  </si>
  <si>
    <t>Colorectal cancer deaths (deaths due to CRC or due to CRC treatment, carcinoid tumours included) 13 years since randomisation</t>
  </si>
  <si>
    <t>Figure 1B, Table 2 and text, "Mortality related to colorectal cancer was 2.9 per 10,000 person-years in the intervention group (252 deaths), as compared with 3.9 per 10,000 person-years in the usual-care group (341 deaths), which represents a 26% reduction (relative risk, 0.74; 95% CI, 0.63 to 0.87; P&lt;0.001)."</t>
  </si>
  <si>
    <t>Colorectal cancer-specific mortality (per 10,000 PY); 11 years since randomisation or 31 Dec 2009</t>
  </si>
  <si>
    <t>date of death or the date of last follow-up (censoring date)</t>
  </si>
  <si>
    <t>793,203 PY</t>
  </si>
  <si>
    <t>792,674 PY</t>
  </si>
  <si>
    <t>Colorectal cancer deaths (deaths due to CRC or due to CRC treatment, carcinoid tumours included) 11 years since randomisation</t>
  </si>
  <si>
    <t>Figure 1B</t>
  </si>
  <si>
    <t>Colorectal cancer-specific mortality (per 10,000 PY); 9 years since randomisation or 31 Dec 2009</t>
  </si>
  <si>
    <t>670,832 PY</t>
  </si>
  <si>
    <t>670,526 PY</t>
  </si>
  <si>
    <t>Colorectal cancer deaths (deaths due to CRC or due to CRC treatment, carcinoid tumours included) 9 years since randomisation</t>
  </si>
  <si>
    <t>Colorectal cancer-specific mortality (per 10,000 PY); 7 years since randomisation</t>
  </si>
  <si>
    <t>528,006 PY</t>
  </si>
  <si>
    <t>527,828 PY</t>
  </si>
  <si>
    <t>Colorectal cancer deaths (deaths due to CRC or due to CRC treatment, carcinoid tumours included) 7 years  since randomisation</t>
  </si>
  <si>
    <t xml:space="preserve">Colorectal cancer-specific mortality (per 10,000 PY); 5 years since randomisation </t>
  </si>
  <si>
    <t>380,730 PY</t>
  </si>
  <si>
    <t>380,731 PY</t>
  </si>
  <si>
    <t>Colorectal cancer deaths (deaths due to CRC or due to CRC treatment, carcinoid tumours included) 5 years since randomisation</t>
  </si>
  <si>
    <r>
      <t>Colorectal cancer-specific mortality (per 10,000 PY); 3 years since randomisation</t>
    </r>
    <r>
      <rPr>
        <strike/>
        <sz val="10"/>
        <rFont val="Calibri"/>
        <family val="2"/>
        <scheme val="minor"/>
      </rPr>
      <t xml:space="preserve"> </t>
    </r>
  </si>
  <si>
    <t>230,295 PY</t>
  </si>
  <si>
    <t>230,354 PY</t>
  </si>
  <si>
    <t>Colorectal cancer deaths (deaths due to CRC or due to CRC treatment, carcinoid tumours included) 3 years since randomisation</t>
  </si>
  <si>
    <t xml:space="preserve">Colorectal cancer-specific mortality (per 10,000 PY); 1 year since randomisation </t>
  </si>
  <si>
    <t>77,276 PY</t>
  </si>
  <si>
    <t>77,228 PY</t>
  </si>
  <si>
    <t>Colorectal cancer deaths (deaths due to CRC or due to CRC treatment, carcinoid tumours included) 1 year since randomisation</t>
  </si>
  <si>
    <r>
      <rPr>
        <b/>
        <sz val="10"/>
        <rFont val="Calibri"/>
        <family val="2"/>
        <scheme val="minor"/>
      </rPr>
      <t xml:space="preserve">Distal </t>
    </r>
    <r>
      <rPr>
        <sz val="10"/>
        <rFont val="Calibri"/>
        <family val="2"/>
        <scheme val="minor"/>
      </rPr>
      <t>colorectal cancer-specific mortality (per 10,000 PY); 13 years since randomisation or 31 Dec 2009</t>
    </r>
  </si>
  <si>
    <t>Missing cause of death;
22 tumour location unknown</t>
  </si>
  <si>
    <t>Missing cause of death;
19 missing tumour location</t>
  </si>
  <si>
    <r>
      <rPr>
        <b/>
        <sz val="10"/>
        <rFont val="Calibri"/>
        <family val="2"/>
        <scheme val="minor"/>
      </rPr>
      <t xml:space="preserve">Distal </t>
    </r>
    <r>
      <rPr>
        <sz val="10"/>
        <rFont val="Calibri"/>
        <family val="2"/>
        <scheme val="minor"/>
      </rPr>
      <t>colorectal cancer deaths (deaths due to distal CRC or due to distal CRC treatment, carcinoid tumours included); 13 years since randomisation</t>
    </r>
  </si>
  <si>
    <t>Figure 1D, Table 2 and text, "Mortality related to distal colorectal cancer was reduced by 50% (87 deaths in the intervention group vs. 175 in the usual-care group; relative risk, 0.50; 95% CI, 0.38 to 0.64; P&lt;0.001),…"</t>
  </si>
  <si>
    <t>Distal location was defined as the rectum through the splenic flexure, and proximal as the transverse colon through the cecum.</t>
  </si>
  <si>
    <r>
      <rPr>
        <b/>
        <sz val="10"/>
        <rFont val="Calibri"/>
        <family val="2"/>
        <scheme val="minor"/>
      </rPr>
      <t xml:space="preserve">Distal </t>
    </r>
    <r>
      <rPr>
        <sz val="10"/>
        <rFont val="Calibri"/>
        <family val="2"/>
        <scheme val="minor"/>
      </rPr>
      <t>colorectal cancer-specific mortality (per 10,000 PY); 11 years since randomisation or 31 Dec 2009</t>
    </r>
  </si>
  <si>
    <r>
      <rPr>
        <b/>
        <sz val="10"/>
        <rFont val="Calibri"/>
        <family val="2"/>
        <scheme val="minor"/>
      </rPr>
      <t xml:space="preserve">Distal </t>
    </r>
    <r>
      <rPr>
        <sz val="10"/>
        <rFont val="Calibri"/>
        <family val="2"/>
        <scheme val="minor"/>
      </rPr>
      <t>colorectal cancer deaths (deaths due to distal CRC or due to distal CRC treatment, carcinoid tumours included); 11 years since randomisation</t>
    </r>
  </si>
  <si>
    <t>Figure 1D</t>
  </si>
  <si>
    <r>
      <rPr>
        <b/>
        <sz val="10"/>
        <rFont val="Calibri"/>
        <family val="2"/>
        <scheme val="minor"/>
      </rPr>
      <t xml:space="preserve">Distal </t>
    </r>
    <r>
      <rPr>
        <sz val="10"/>
        <rFont val="Calibri"/>
        <family val="2"/>
        <scheme val="minor"/>
      </rPr>
      <t>colorectal cancer-specific mortality (per 10,000 PY); 9 years since randomisation or 31 Dec 2009</t>
    </r>
  </si>
  <si>
    <r>
      <rPr>
        <b/>
        <sz val="10"/>
        <rFont val="Calibri"/>
        <family val="2"/>
        <scheme val="minor"/>
      </rPr>
      <t xml:space="preserve">Distal </t>
    </r>
    <r>
      <rPr>
        <sz val="10"/>
        <rFont val="Calibri"/>
        <family val="2"/>
        <scheme val="minor"/>
      </rPr>
      <t>colorectal cancer deaths (deaths due to distal CRC or due to distal CRC treatment, carcinoid tumours included); 9 years since randomisation</t>
    </r>
  </si>
  <si>
    <r>
      <rPr>
        <b/>
        <sz val="10"/>
        <rFont val="Calibri"/>
        <family val="2"/>
        <scheme val="minor"/>
      </rPr>
      <t xml:space="preserve">Distal </t>
    </r>
    <r>
      <rPr>
        <sz val="10"/>
        <rFont val="Calibri"/>
        <family val="2"/>
        <scheme val="minor"/>
      </rPr>
      <t>colorectal cancer-specific mortality (per 10,000 PY); 7 years since randomisation</t>
    </r>
  </si>
  <si>
    <r>
      <rPr>
        <b/>
        <sz val="10"/>
        <rFont val="Calibri"/>
        <family val="2"/>
        <scheme val="minor"/>
      </rPr>
      <t xml:space="preserve">Distal </t>
    </r>
    <r>
      <rPr>
        <sz val="10"/>
        <rFont val="Calibri"/>
        <family val="2"/>
        <scheme val="minor"/>
      </rPr>
      <t>colorectal cancer deaths (deaths due to distal CRC or due to distal CRC treatment, carcinoid tumours included); 7 years since randomisation</t>
    </r>
  </si>
  <si>
    <r>
      <rPr>
        <b/>
        <sz val="10"/>
        <rFont val="Calibri"/>
        <family val="2"/>
        <scheme val="minor"/>
      </rPr>
      <t xml:space="preserve">Distal </t>
    </r>
    <r>
      <rPr>
        <sz val="10"/>
        <rFont val="Calibri"/>
        <family val="2"/>
        <scheme val="minor"/>
      </rPr>
      <t>colorectal cancer-specific mortality (per 10,000 PY); 5 years since randomisation</t>
    </r>
  </si>
  <si>
    <r>
      <rPr>
        <b/>
        <sz val="10"/>
        <rFont val="Calibri"/>
        <family val="2"/>
        <scheme val="minor"/>
      </rPr>
      <t xml:space="preserve">Distal </t>
    </r>
    <r>
      <rPr>
        <sz val="10"/>
        <rFont val="Calibri"/>
        <family val="2"/>
        <scheme val="minor"/>
      </rPr>
      <t>colorectal cancer deaths (deaths due to distal CRC or due to distal CRC treatment, carcinoid tumours included); 5 years since randomisation</t>
    </r>
  </si>
  <si>
    <r>
      <rPr>
        <b/>
        <sz val="10"/>
        <rFont val="Calibri"/>
        <family val="2"/>
        <scheme val="minor"/>
      </rPr>
      <t xml:space="preserve">Distal </t>
    </r>
    <r>
      <rPr>
        <sz val="10"/>
        <rFont val="Calibri"/>
        <family val="2"/>
        <scheme val="minor"/>
      </rPr>
      <t>colorectal cancer-specific mortality (per 10,000 PY); 3 years since randomisation</t>
    </r>
  </si>
  <si>
    <r>
      <rPr>
        <b/>
        <sz val="10"/>
        <rFont val="Calibri"/>
        <family val="2"/>
        <scheme val="minor"/>
      </rPr>
      <t xml:space="preserve">Distal </t>
    </r>
    <r>
      <rPr>
        <sz val="10"/>
        <rFont val="Calibri"/>
        <family val="2"/>
        <scheme val="minor"/>
      </rPr>
      <t>colorectal cancer deaths (deaths due to distal CRC or due to distal CRC treatment, carcinoid tumours included); 3 years since randomisation</t>
    </r>
  </si>
  <si>
    <r>
      <rPr>
        <b/>
        <sz val="10"/>
        <rFont val="Calibri"/>
        <family val="2"/>
        <scheme val="minor"/>
      </rPr>
      <t xml:space="preserve">Distal </t>
    </r>
    <r>
      <rPr>
        <sz val="10"/>
        <rFont val="Calibri"/>
        <family val="2"/>
        <scheme val="minor"/>
      </rPr>
      <t>colorectal cancer-specific mortality (per 10,000 PY); 1 year since randomisation</t>
    </r>
  </si>
  <si>
    <r>
      <rPr>
        <b/>
        <sz val="10"/>
        <rFont val="Calibri"/>
        <family val="2"/>
        <scheme val="minor"/>
      </rPr>
      <t xml:space="preserve">Distal </t>
    </r>
    <r>
      <rPr>
        <sz val="10"/>
        <rFont val="Calibri"/>
        <family val="2"/>
        <scheme val="minor"/>
      </rPr>
      <t>colorectal cancer deaths (deaths due to distal CRC or due to distal CRC treatment, carcinoid tumours included); 1 year since randomisation</t>
    </r>
  </si>
  <si>
    <r>
      <rPr>
        <b/>
        <sz val="10"/>
        <rFont val="Calibri"/>
        <family val="2"/>
        <scheme val="minor"/>
      </rPr>
      <t xml:space="preserve">Proximal </t>
    </r>
    <r>
      <rPr>
        <sz val="10"/>
        <rFont val="Calibri"/>
        <family val="2"/>
        <scheme val="minor"/>
      </rPr>
      <t>colorectal cancer-specific mortality (per 10,000 PY); 13 years since randomisation or 31 Dec 2009</t>
    </r>
  </si>
  <si>
    <r>
      <rPr>
        <b/>
        <sz val="10"/>
        <rFont val="Calibri"/>
        <family val="2"/>
        <scheme val="minor"/>
      </rPr>
      <t xml:space="preserve">Proximal </t>
    </r>
    <r>
      <rPr>
        <sz val="10"/>
        <rFont val="Calibri"/>
        <family val="2"/>
        <scheme val="minor"/>
      </rPr>
      <t>colorectal cancer deaths (deaths due to proximal CRC or due to proximal CRC treatment, carcinoid tumours included); 13 years since randomisation</t>
    </r>
  </si>
  <si>
    <t>Figure 1F, Table 2 and text, "...but mortality related
to proximal colorectal cancer (143 vs. 147 deaths,
respectively; relative risk, 0.97; 95% CI, 0.77 to
1.22; P = 0.81) was unaffected."</t>
  </si>
  <si>
    <r>
      <rPr>
        <b/>
        <sz val="10"/>
        <rFont val="Calibri"/>
        <family val="2"/>
        <scheme val="minor"/>
      </rPr>
      <t xml:space="preserve">Proximal </t>
    </r>
    <r>
      <rPr>
        <sz val="10"/>
        <rFont val="Calibri"/>
        <family val="2"/>
        <scheme val="minor"/>
      </rPr>
      <t>colorectal cancer-specific mortality (per 10,000 PY); 11 years since randomisation or 31 Dec 2009</t>
    </r>
  </si>
  <si>
    <r>
      <rPr>
        <b/>
        <sz val="10"/>
        <rFont val="Calibri"/>
        <family val="2"/>
        <scheme val="minor"/>
      </rPr>
      <t xml:space="preserve">Proximal </t>
    </r>
    <r>
      <rPr>
        <sz val="10"/>
        <rFont val="Calibri"/>
        <family val="2"/>
        <scheme val="minor"/>
      </rPr>
      <t>colorectal cancer deaths (deaths due to proximal CRC or due to proximal CRC treatment, carcinoid tumours included); 11 years since randomisation</t>
    </r>
  </si>
  <si>
    <t>Figure 1F</t>
  </si>
  <si>
    <r>
      <rPr>
        <b/>
        <sz val="10"/>
        <rFont val="Calibri"/>
        <family val="2"/>
        <scheme val="minor"/>
      </rPr>
      <t xml:space="preserve">Proximal </t>
    </r>
    <r>
      <rPr>
        <sz val="10"/>
        <rFont val="Calibri"/>
        <family val="2"/>
        <scheme val="minor"/>
      </rPr>
      <t>colorectal cancer-specific mortality (per 10,000 PY); 9 years since randomisation or 31 Dec 2009</t>
    </r>
  </si>
  <si>
    <r>
      <rPr>
        <b/>
        <sz val="10"/>
        <rFont val="Calibri"/>
        <family val="2"/>
        <scheme val="minor"/>
      </rPr>
      <t xml:space="preserve">Proximal </t>
    </r>
    <r>
      <rPr>
        <sz val="10"/>
        <rFont val="Calibri"/>
        <family val="2"/>
        <scheme val="minor"/>
      </rPr>
      <t>colorectal cancer deaths (deaths due to proximal CRC or due to proximal CRC treatment, carcinoid tumours included); 9 years since randomisation</t>
    </r>
  </si>
  <si>
    <r>
      <rPr>
        <b/>
        <sz val="10"/>
        <rFont val="Calibri"/>
        <family val="2"/>
        <scheme val="minor"/>
      </rPr>
      <t xml:space="preserve">Proximal </t>
    </r>
    <r>
      <rPr>
        <sz val="10"/>
        <rFont val="Calibri"/>
        <family val="2"/>
        <scheme val="minor"/>
      </rPr>
      <t>colorectal cancer-specific mortality (per 10,000 PY); 7 years since randomisation</t>
    </r>
  </si>
  <si>
    <r>
      <rPr>
        <b/>
        <sz val="10"/>
        <rFont val="Calibri"/>
        <family val="2"/>
        <scheme val="minor"/>
      </rPr>
      <t xml:space="preserve">Proximal </t>
    </r>
    <r>
      <rPr>
        <sz val="10"/>
        <rFont val="Calibri"/>
        <family val="2"/>
        <scheme val="minor"/>
      </rPr>
      <t>colorectal cancer deaths (deaths due to proximal CRC or due to proximal CRC treatment, carcinoid tumours included); 7 years since randomisation</t>
    </r>
  </si>
  <si>
    <r>
      <rPr>
        <b/>
        <sz val="10"/>
        <rFont val="Calibri"/>
        <family val="2"/>
        <scheme val="minor"/>
      </rPr>
      <t xml:space="preserve">Proximal </t>
    </r>
    <r>
      <rPr>
        <sz val="10"/>
        <rFont val="Calibri"/>
        <family val="2"/>
        <scheme val="minor"/>
      </rPr>
      <t>colorectal cancer-specific mortality (per 10,000 PY); 5 years since randomisation</t>
    </r>
  </si>
  <si>
    <r>
      <rPr>
        <b/>
        <sz val="10"/>
        <rFont val="Calibri"/>
        <family val="2"/>
        <scheme val="minor"/>
      </rPr>
      <t xml:space="preserve">Proximal </t>
    </r>
    <r>
      <rPr>
        <sz val="10"/>
        <rFont val="Calibri"/>
        <family val="2"/>
        <scheme val="minor"/>
      </rPr>
      <t>colorectal cancer deaths (deaths due to proximal CRC or due to proximal CRC treatment, carcinoid tumours included); 5 years since randomisation</t>
    </r>
  </si>
  <si>
    <r>
      <rPr>
        <b/>
        <sz val="10"/>
        <rFont val="Calibri"/>
        <family val="2"/>
        <scheme val="minor"/>
      </rPr>
      <t xml:space="preserve">Proximal </t>
    </r>
    <r>
      <rPr>
        <sz val="10"/>
        <rFont val="Calibri"/>
        <family val="2"/>
        <scheme val="minor"/>
      </rPr>
      <t>colorectal cancer-specific mortality (per 10,000 PY); 3 years since randomisation</t>
    </r>
  </si>
  <si>
    <r>
      <rPr>
        <b/>
        <sz val="10"/>
        <rFont val="Calibri"/>
        <family val="2"/>
        <scheme val="minor"/>
      </rPr>
      <t xml:space="preserve">Proximal </t>
    </r>
    <r>
      <rPr>
        <sz val="10"/>
        <rFont val="Calibri"/>
        <family val="2"/>
        <scheme val="minor"/>
      </rPr>
      <t>colorectal cancer deaths (deaths due to proximal CRC or due to proximal CRC treatment, carcinoid tumours included); 3 years since randomisation</t>
    </r>
  </si>
  <si>
    <r>
      <rPr>
        <b/>
        <sz val="10"/>
        <rFont val="Calibri"/>
        <family val="2"/>
        <scheme val="minor"/>
      </rPr>
      <t xml:space="preserve">Proximal </t>
    </r>
    <r>
      <rPr>
        <sz val="10"/>
        <rFont val="Calibri"/>
        <family val="2"/>
        <scheme val="minor"/>
      </rPr>
      <t>colorectal cancer-specific mortality (per 10,000 PY); 1 year since randomisation</t>
    </r>
  </si>
  <si>
    <r>
      <rPr>
        <b/>
        <sz val="10"/>
        <rFont val="Calibri"/>
        <family val="2"/>
        <scheme val="minor"/>
      </rPr>
      <t xml:space="preserve">Proximal </t>
    </r>
    <r>
      <rPr>
        <sz val="10"/>
        <rFont val="Calibri"/>
        <family val="2"/>
        <scheme val="minor"/>
      </rPr>
      <t>colorectal cancer deaths (deaths due to proximal CRC or due to proximal CRC treatment, carcinoid tumours included); 1 year since randomisation</t>
    </r>
  </si>
  <si>
    <r>
      <t xml:space="preserve">Colorectal cancer-specific mortality </t>
    </r>
    <r>
      <rPr>
        <b/>
        <sz val="10"/>
        <rFont val="Calibri"/>
        <family val="2"/>
        <scheme val="minor"/>
      </rPr>
      <t>in men</t>
    </r>
    <r>
      <rPr>
        <sz val="10"/>
        <rFont val="Calibri"/>
        <family val="2"/>
        <scheme val="minor"/>
      </rPr>
      <t xml:space="preserve"> (per 10,000 PY); 13 years since randomisation or 31 Dec 2009</t>
    </r>
  </si>
  <si>
    <r>
      <t xml:space="preserve">Colorectal cancer deaths (deaths due to CRC or due to CRC treatment, carcinoid tumours included) </t>
    </r>
    <r>
      <rPr>
        <b/>
        <sz val="10"/>
        <rFont val="Calibri"/>
        <family val="2"/>
        <scheme val="minor"/>
      </rPr>
      <t xml:space="preserve">in men; </t>
    </r>
    <r>
      <rPr>
        <sz val="10"/>
        <rFont val="Calibri"/>
        <family val="2"/>
        <scheme val="minor"/>
      </rPr>
      <t>13 years since randomisation</t>
    </r>
  </si>
  <si>
    <t>Table 2 and text: "Men had a 34% reduction in colorectal cancer mortality (139 vs. 211 deaths; relative risk, 0.66; 95% CI, 0.53 to 0.81)…</t>
  </si>
  <si>
    <r>
      <t xml:space="preserve">Colorectal cancer-specific mortality </t>
    </r>
    <r>
      <rPr>
        <b/>
        <sz val="10"/>
        <rFont val="Calibri"/>
        <family val="2"/>
        <scheme val="minor"/>
      </rPr>
      <t>in women</t>
    </r>
    <r>
      <rPr>
        <sz val="10"/>
        <rFont val="Calibri"/>
        <family val="2"/>
        <scheme val="minor"/>
      </rPr>
      <t xml:space="preserve"> (per 10,000 PY); 13 years since randomisation or 31 Dec 2009</t>
    </r>
  </si>
  <si>
    <r>
      <t xml:space="preserve">Colorectal cancer deaths (deaths due to CRC or due to CRC treatment, carcinoid tumours included) </t>
    </r>
    <r>
      <rPr>
        <b/>
        <sz val="10"/>
        <rFont val="Calibri"/>
        <family val="2"/>
        <scheme val="minor"/>
      </rPr>
      <t xml:space="preserve">in women; </t>
    </r>
    <r>
      <rPr>
        <sz val="10"/>
        <rFont val="Calibri"/>
        <family val="2"/>
        <scheme val="minor"/>
      </rPr>
      <t>13 years since randomisation</t>
    </r>
  </si>
  <si>
    <t>Table 2 and text: "...and women a 13% reduction (113 vs. 130
deaths; relative risk, 0.87; 95% CI, 0.68 to 1.12);…"</t>
  </si>
  <si>
    <r>
      <t xml:space="preserve">Colorectal cancer-specific mortality </t>
    </r>
    <r>
      <rPr>
        <b/>
        <sz val="10"/>
        <rFont val="Calibri"/>
        <family val="2"/>
        <scheme val="minor"/>
      </rPr>
      <t>in people aged 55-64 years at randomisation</t>
    </r>
    <r>
      <rPr>
        <sz val="10"/>
        <rFont val="Calibri"/>
        <family val="2"/>
        <scheme val="minor"/>
      </rPr>
      <t xml:space="preserve"> (per 10,000 PY); 13 years since randomisation or 31 Dec 2009</t>
    </r>
  </si>
  <si>
    <t>55-64 years</t>
  </si>
  <si>
    <r>
      <t xml:space="preserve">Colorectal cancer deaths (deaths due to CRC or due to CRC treatment, carcinoid tumours included) </t>
    </r>
    <r>
      <rPr>
        <b/>
        <sz val="10"/>
        <rFont val="Calibri"/>
        <family val="2"/>
        <scheme val="minor"/>
      </rPr>
      <t xml:space="preserve">in people aged 55-64 years at randomisation; </t>
    </r>
    <r>
      <rPr>
        <sz val="10"/>
        <rFont val="Calibri"/>
        <family val="2"/>
        <scheme val="minor"/>
      </rPr>
      <t>13 years since randomisation</t>
    </r>
  </si>
  <si>
    <t>Table 2 and text: "The relative risks for colorectal-cancer mortality among participants 55 to 64 years of age and 65 to 74 years of age were 0.84 (95% CI, 0.67 to 1.06) and 0.65
(95% CI, 0.52 to 0.82), respectively."</t>
  </si>
  <si>
    <r>
      <t xml:space="preserve">Colorectal cancer-specific mortality </t>
    </r>
    <r>
      <rPr>
        <b/>
        <sz val="10"/>
        <rFont val="Calibri"/>
        <family val="2"/>
        <scheme val="minor"/>
      </rPr>
      <t>in people aged 65-74 years at randomisation</t>
    </r>
    <r>
      <rPr>
        <sz val="10"/>
        <rFont val="Calibri"/>
        <family val="2"/>
        <scheme val="minor"/>
      </rPr>
      <t xml:space="preserve"> (per 10,000 PY); 13 years since randomisation or 31 Dec 2009</t>
    </r>
  </si>
  <si>
    <r>
      <t xml:space="preserve">Colorectal cancer deaths (deaths due to CRC or due to CRC treatment, carcinoid tumours included) </t>
    </r>
    <r>
      <rPr>
        <b/>
        <sz val="10"/>
        <rFont val="Calibri"/>
        <family val="2"/>
        <scheme val="minor"/>
      </rPr>
      <t xml:space="preserve">in people aged 65-74 years at randomisation; </t>
    </r>
    <r>
      <rPr>
        <sz val="10"/>
        <rFont val="Calibri"/>
        <family val="2"/>
        <scheme val="minor"/>
      </rPr>
      <t>13 years since randomisation</t>
    </r>
  </si>
  <si>
    <t>3,2</t>
  </si>
  <si>
    <r>
      <t xml:space="preserve">All-cause mortality </t>
    </r>
    <r>
      <rPr>
        <b/>
        <sz val="10"/>
        <rFont val="Calibri"/>
        <family val="2"/>
        <scheme val="minor"/>
      </rPr>
      <t>in men</t>
    </r>
    <r>
      <rPr>
        <sz val="10"/>
        <rFont val="Calibri"/>
        <family val="2"/>
        <scheme val="minor"/>
      </rPr>
      <t xml:space="preserve"> (per 10,000 PY); 13 years after randomisation or 31/12/2009</t>
    </r>
  </si>
  <si>
    <r>
      <t xml:space="preserve">All deaths </t>
    </r>
    <r>
      <rPr>
        <b/>
        <sz val="10"/>
        <rFont val="Calibri"/>
        <family val="2"/>
        <scheme val="minor"/>
      </rPr>
      <t xml:space="preserve">in men; </t>
    </r>
    <r>
      <rPr>
        <sz val="10"/>
        <rFont val="Calibri"/>
        <family val="2"/>
        <scheme val="minor"/>
      </rPr>
      <t>13 years since randomisation</t>
    </r>
  </si>
  <si>
    <r>
      <t xml:space="preserve">All-cause mortality </t>
    </r>
    <r>
      <rPr>
        <b/>
        <sz val="10"/>
        <rFont val="Calibri"/>
        <family val="2"/>
        <scheme val="minor"/>
      </rPr>
      <t>in women</t>
    </r>
    <r>
      <rPr>
        <sz val="10"/>
        <rFont val="Calibri"/>
        <family val="2"/>
        <scheme val="minor"/>
      </rPr>
      <t xml:space="preserve"> (per 10,000 PY); 13 years after randomisation or 31/12/2009</t>
    </r>
  </si>
  <si>
    <r>
      <t xml:space="preserve">All deaths </t>
    </r>
    <r>
      <rPr>
        <b/>
        <sz val="10"/>
        <rFont val="Calibri"/>
        <family val="2"/>
        <scheme val="minor"/>
      </rPr>
      <t xml:space="preserve">in women; </t>
    </r>
    <r>
      <rPr>
        <sz val="10"/>
        <rFont val="Calibri"/>
        <family val="2"/>
        <scheme val="minor"/>
      </rPr>
      <t>13 years since randomisation</t>
    </r>
  </si>
  <si>
    <t>CRC mortality (per 10,000 PY); 13 years after randomisation or 31/12/2009</t>
  </si>
  <si>
    <t>CRC deaths 13 years since randomisation</t>
  </si>
  <si>
    <t>Figure 1 and text: For colorectal cancer, for both genders combined, there were 253 deaths in 870,094 person-years of observation in the
intervention arm (0.29 per 1000 person-years) and 351 deaths in 869,526 person-years in the control arm (0.40 per 1000 person-years). There was thus a 28% relative reduction in mortality (rate ratio = 0.72 with 95% CI 0.61 - 0.85).</t>
  </si>
  <si>
    <r>
      <t xml:space="preserve">CRC mortality </t>
    </r>
    <r>
      <rPr>
        <b/>
        <sz val="10"/>
        <rFont val="Calibri"/>
        <family val="2"/>
        <scheme val="minor"/>
      </rPr>
      <t>in men</t>
    </r>
    <r>
      <rPr>
        <sz val="10"/>
        <rFont val="Calibri"/>
        <family val="2"/>
        <scheme val="minor"/>
      </rPr>
      <t xml:space="preserve"> (per 10,000 PY); 13 years after randomisation or 31/12/2009</t>
    </r>
  </si>
  <si>
    <r>
      <t xml:space="preserve">CRC deaths </t>
    </r>
    <r>
      <rPr>
        <b/>
        <sz val="10"/>
        <rFont val="Calibri"/>
        <family val="2"/>
        <scheme val="minor"/>
      </rPr>
      <t xml:space="preserve">in men; </t>
    </r>
    <r>
      <rPr>
        <sz val="10"/>
        <rFont val="Calibri"/>
        <family val="2"/>
        <scheme val="minor"/>
      </rPr>
      <t>13 years since randomisation</t>
    </r>
  </si>
  <si>
    <r>
      <t xml:space="preserve">CRC mortality </t>
    </r>
    <r>
      <rPr>
        <b/>
        <sz val="10"/>
        <rFont val="Calibri"/>
        <family val="2"/>
        <scheme val="minor"/>
      </rPr>
      <t>in women</t>
    </r>
    <r>
      <rPr>
        <sz val="10"/>
        <rFont val="Calibri"/>
        <family val="2"/>
        <scheme val="minor"/>
      </rPr>
      <t xml:space="preserve"> (per 10,000 PY); 13 years after randomisation or 31/12/2009</t>
    </r>
  </si>
  <si>
    <r>
      <t xml:space="preserve">CRC deaths </t>
    </r>
    <r>
      <rPr>
        <b/>
        <sz val="10"/>
        <rFont val="Calibri"/>
        <family val="2"/>
        <scheme val="minor"/>
      </rPr>
      <t xml:space="preserve">in women; </t>
    </r>
    <r>
      <rPr>
        <sz val="10"/>
        <rFont val="Calibri"/>
        <family val="2"/>
        <scheme val="minor"/>
      </rPr>
      <t>13 years since randomisation</t>
    </r>
  </si>
  <si>
    <r>
      <rPr>
        <b/>
        <sz val="10"/>
        <rFont val="Calibri"/>
        <family val="2"/>
        <scheme val="minor"/>
      </rPr>
      <t xml:space="preserve">Distal </t>
    </r>
    <r>
      <rPr>
        <sz val="10"/>
        <rFont val="Calibri"/>
        <family val="2"/>
        <scheme val="minor"/>
      </rPr>
      <t>CRC mortality (per 10,000 PY); 13 years after randomisation or 31/12/2009</t>
    </r>
  </si>
  <si>
    <t>≥19</t>
  </si>
  <si>
    <t>≥22</t>
  </si>
  <si>
    <t>Missing cause of death;
22 missing tumour location</t>
  </si>
  <si>
    <r>
      <t xml:space="preserve">Deaths from </t>
    </r>
    <r>
      <rPr>
        <b/>
        <sz val="10"/>
        <rFont val="Calibri"/>
        <family val="2"/>
        <scheme val="minor"/>
      </rPr>
      <t xml:space="preserve">distal </t>
    </r>
    <r>
      <rPr>
        <sz val="10"/>
        <rFont val="Calibri"/>
        <family val="2"/>
        <scheme val="minor"/>
      </rPr>
      <t>CRC, 13 years since randomisation</t>
    </r>
  </si>
  <si>
    <t>Figure 1 and text: For both genders, the 28% reduction in colorectal
cancer mortality resulted from a 54% reduction in distal cancer deaths.</t>
  </si>
  <si>
    <r>
      <rPr>
        <b/>
        <sz val="10"/>
        <rFont val="Calibri"/>
        <family val="2"/>
        <scheme val="minor"/>
      </rPr>
      <t xml:space="preserve">Distal </t>
    </r>
    <r>
      <rPr>
        <sz val="10"/>
        <rFont val="Calibri"/>
        <family val="2"/>
        <scheme val="minor"/>
      </rPr>
      <t xml:space="preserve">CRC mortality </t>
    </r>
    <r>
      <rPr>
        <b/>
        <sz val="10"/>
        <rFont val="Calibri"/>
        <family val="2"/>
        <scheme val="minor"/>
      </rPr>
      <t>in men</t>
    </r>
    <r>
      <rPr>
        <sz val="10"/>
        <rFont val="Calibri"/>
        <family val="2"/>
        <scheme val="minor"/>
      </rPr>
      <t xml:space="preserve"> (per 10,000 PY); 13 years after randomisation or 31/12/2009</t>
    </r>
  </si>
  <si>
    <t>≥6</t>
  </si>
  <si>
    <t>Missing cause of death;
6 missing tumour location</t>
  </si>
  <si>
    <t>≥14</t>
  </si>
  <si>
    <t>Missing cause of death;
14 missing tumour location</t>
  </si>
  <si>
    <r>
      <t xml:space="preserve">Deaths from </t>
    </r>
    <r>
      <rPr>
        <b/>
        <sz val="10"/>
        <rFont val="Calibri"/>
        <family val="2"/>
        <scheme val="minor"/>
      </rPr>
      <t xml:space="preserve">distal </t>
    </r>
    <r>
      <rPr>
        <sz val="10"/>
        <rFont val="Calibri"/>
        <family val="2"/>
        <scheme val="minor"/>
      </rPr>
      <t xml:space="preserve">CRC </t>
    </r>
    <r>
      <rPr>
        <b/>
        <sz val="10"/>
        <rFont val="Calibri"/>
        <family val="2"/>
        <scheme val="minor"/>
      </rPr>
      <t>in men</t>
    </r>
    <r>
      <rPr>
        <sz val="10"/>
        <rFont val="Calibri"/>
        <family val="2"/>
        <scheme val="minor"/>
      </rPr>
      <t>, 13 years since randomisation</t>
    </r>
  </si>
  <si>
    <t>Figure 1 and text: Among males, there was a suggestion of excess deaths from proximal colorectal cancer, but this was offset by a
59% reduction in distal deaths, leading to a total colorectal
cancer mortality reduction of 35%.</t>
  </si>
  <si>
    <r>
      <rPr>
        <b/>
        <sz val="10"/>
        <rFont val="Calibri"/>
        <family val="2"/>
        <scheme val="minor"/>
      </rPr>
      <t xml:space="preserve">Distal </t>
    </r>
    <r>
      <rPr>
        <sz val="10"/>
        <rFont val="Calibri"/>
        <family val="2"/>
        <scheme val="minor"/>
      </rPr>
      <t xml:space="preserve">CRC mortality </t>
    </r>
    <r>
      <rPr>
        <b/>
        <sz val="10"/>
        <rFont val="Calibri"/>
        <family val="2"/>
        <scheme val="minor"/>
      </rPr>
      <t>in women</t>
    </r>
    <r>
      <rPr>
        <sz val="10"/>
        <rFont val="Calibri"/>
        <family val="2"/>
        <scheme val="minor"/>
      </rPr>
      <t xml:space="preserve"> (per 10,000 PY); 13 years after randomisation or 31/12/2009</t>
    </r>
  </si>
  <si>
    <t>≥13</t>
  </si>
  <si>
    <t>Missing cause of death;
13 missing tumour location</t>
  </si>
  <si>
    <t>Missing cause of death;
8 missing tumour location</t>
  </si>
  <si>
    <r>
      <t xml:space="preserve">Deaths from </t>
    </r>
    <r>
      <rPr>
        <b/>
        <sz val="10"/>
        <rFont val="Calibri"/>
        <family val="2"/>
        <scheme val="minor"/>
      </rPr>
      <t xml:space="preserve">distal </t>
    </r>
    <r>
      <rPr>
        <sz val="10"/>
        <rFont val="Calibri"/>
        <family val="2"/>
        <scheme val="minor"/>
      </rPr>
      <t xml:space="preserve">CRC </t>
    </r>
    <r>
      <rPr>
        <b/>
        <sz val="10"/>
        <rFont val="Calibri"/>
        <family val="2"/>
        <scheme val="minor"/>
      </rPr>
      <t>in women</t>
    </r>
    <r>
      <rPr>
        <sz val="10"/>
        <rFont val="Calibri"/>
        <family val="2"/>
        <scheme val="minor"/>
      </rPr>
      <t>, 13 years since randomisation</t>
    </r>
  </si>
  <si>
    <t>Figure 1 and text: Among females, there was a ... nominally significant 41% reduction in distal colorectal cancer deaths.</t>
  </si>
  <si>
    <r>
      <rPr>
        <b/>
        <sz val="10"/>
        <rFont val="Calibri"/>
        <family val="2"/>
        <scheme val="minor"/>
      </rPr>
      <t xml:space="preserve">Proximal </t>
    </r>
    <r>
      <rPr>
        <sz val="10"/>
        <rFont val="Calibri"/>
        <family val="2"/>
        <scheme val="minor"/>
      </rPr>
      <t>CRC mortality (per 10,000 PY); 13 years after randomisation or 31/12/2009</t>
    </r>
  </si>
  <si>
    <r>
      <t xml:space="preserve">Deaths from </t>
    </r>
    <r>
      <rPr>
        <b/>
        <sz val="10"/>
        <rFont val="Calibri"/>
        <family val="2"/>
        <scheme val="minor"/>
      </rPr>
      <t xml:space="preserve">proximal </t>
    </r>
    <r>
      <rPr>
        <sz val="10"/>
        <rFont val="Calibri"/>
        <family val="2"/>
        <scheme val="minor"/>
      </rPr>
      <t>CRC, 13 years since randomisation</t>
    </r>
  </si>
  <si>
    <r>
      <rPr>
        <b/>
        <sz val="10"/>
        <rFont val="Calibri"/>
        <family val="2"/>
        <scheme val="minor"/>
      </rPr>
      <t xml:space="preserve">Proximal </t>
    </r>
    <r>
      <rPr>
        <sz val="10"/>
        <rFont val="Calibri"/>
        <family val="2"/>
        <scheme val="minor"/>
      </rPr>
      <t xml:space="preserve">CRC mortality </t>
    </r>
    <r>
      <rPr>
        <b/>
        <sz val="10"/>
        <rFont val="Calibri"/>
        <family val="2"/>
        <scheme val="minor"/>
      </rPr>
      <t>in men</t>
    </r>
    <r>
      <rPr>
        <sz val="10"/>
        <rFont val="Calibri"/>
        <family val="2"/>
        <scheme val="minor"/>
      </rPr>
      <t xml:space="preserve"> (per 10,000 PY); 13 years after randomisation or 31/12/2009</t>
    </r>
  </si>
  <si>
    <r>
      <t xml:space="preserve">Deaths from </t>
    </r>
    <r>
      <rPr>
        <b/>
        <sz val="10"/>
        <rFont val="Calibri"/>
        <family val="2"/>
        <scheme val="minor"/>
      </rPr>
      <t xml:space="preserve">proximal </t>
    </r>
    <r>
      <rPr>
        <sz val="10"/>
        <rFont val="Calibri"/>
        <family val="2"/>
        <scheme val="minor"/>
      </rPr>
      <t xml:space="preserve">CRC </t>
    </r>
    <r>
      <rPr>
        <b/>
        <sz val="10"/>
        <rFont val="Calibri"/>
        <family val="2"/>
        <scheme val="minor"/>
      </rPr>
      <t>in men</t>
    </r>
    <r>
      <rPr>
        <sz val="10"/>
        <rFont val="Calibri"/>
        <family val="2"/>
        <scheme val="minor"/>
      </rPr>
      <t>, 13 years since randomisation</t>
    </r>
  </si>
  <si>
    <r>
      <rPr>
        <b/>
        <sz val="10"/>
        <rFont val="Calibri"/>
        <family val="2"/>
        <scheme val="minor"/>
      </rPr>
      <t xml:space="preserve">Proximal </t>
    </r>
    <r>
      <rPr>
        <sz val="10"/>
        <rFont val="Calibri"/>
        <family val="2"/>
        <scheme val="minor"/>
      </rPr>
      <t xml:space="preserve">CRC mortality </t>
    </r>
    <r>
      <rPr>
        <b/>
        <sz val="10"/>
        <rFont val="Calibri"/>
        <family val="2"/>
        <scheme val="minor"/>
      </rPr>
      <t>in women</t>
    </r>
    <r>
      <rPr>
        <sz val="10"/>
        <rFont val="Calibri"/>
        <family val="2"/>
        <scheme val="minor"/>
      </rPr>
      <t xml:space="preserve"> (per 10,000 PY); 13 years after randomisation or 31/12/2009</t>
    </r>
  </si>
  <si>
    <r>
      <t xml:space="preserve">Deaths from </t>
    </r>
    <r>
      <rPr>
        <b/>
        <sz val="10"/>
        <rFont val="Calibri"/>
        <family val="2"/>
        <scheme val="minor"/>
      </rPr>
      <t xml:space="preserve">proximal </t>
    </r>
    <r>
      <rPr>
        <sz val="10"/>
        <rFont val="Calibri"/>
        <family val="2"/>
        <scheme val="minor"/>
      </rPr>
      <t xml:space="preserve">CRC </t>
    </r>
    <r>
      <rPr>
        <b/>
        <sz val="10"/>
        <rFont val="Calibri"/>
        <family val="2"/>
        <scheme val="minor"/>
      </rPr>
      <t>in women</t>
    </r>
    <r>
      <rPr>
        <sz val="10"/>
        <rFont val="Calibri"/>
        <family val="2"/>
        <scheme val="minor"/>
      </rPr>
      <t>, 13 years since randomisation</t>
    </r>
  </si>
  <si>
    <t>Miller 2019</t>
  </si>
  <si>
    <t>Colorectal cancer-specific mortality (per 10000 PY); 31/12/2015</t>
  </si>
  <si>
    <t>Primarily ascertained through a mailed annual study-update questionnaire. Next of kin notified the trial of deaths, which were verified with death certificates; National Death Index (NDI) searches were also used. 
Through 2009, deaths confirmed by death certificate and underlying cause of death determined through review of medical records by an independent death review committee blinded to study group. Reconsent to continue follow-up in 2011 through a centralized follow-up process that utilized active follow-up supplemented with linkage to NDI and statewide registries or only passively through these linkages.</t>
  </si>
  <si>
    <t>date of death by other causes, study refusal date, or 31/12/2015</t>
  </si>
  <si>
    <t>16.9 years 
[IQR 14.7–19.0]</t>
  </si>
  <si>
    <t>16.7 years [14.2–18.9]</t>
  </si>
  <si>
    <t>colorectal cancer deaths up to 31/12/2015</t>
  </si>
  <si>
    <t>Table 2 and text: Colorectal cancer mortality was significantly reduced overall in the intervention group compared with usual
care group (RR 0·75, 95% CI 0·66–0·85; table 2),…</t>
  </si>
  <si>
    <t>Colorectal cancer-specific mortality (per 1,000 people); 1 year since randomisation</t>
  </si>
  <si>
    <t>date of death by other causes or 1 year since randomisation</t>
  </si>
  <si>
    <t>colorectal cancer deaths; 1 year since randomisation</t>
  </si>
  <si>
    <t>Colorectal cancer-specific mortality (per 1,000 people); 2 years since randomisation</t>
  </si>
  <si>
    <t>date of death by other causes or 2 years since randomisation</t>
  </si>
  <si>
    <t>colorectal cancer deaths; 2 years since randomisation</t>
  </si>
  <si>
    <t>Colorectal cancer-specific mortality (per 1,000 people); 3 years since randomisation</t>
  </si>
  <si>
    <t>date of death by other causes or 3 years since randomisation</t>
  </si>
  <si>
    <t>colorectal cancer deaths; 3 years since randomisation</t>
  </si>
  <si>
    <t>Colorectal cancer-specific mortality (per 1,000 people); 4 years since randomisation</t>
  </si>
  <si>
    <t>date of death by other causes or 4 years since randomisation</t>
  </si>
  <si>
    <t>colorectal cancer deaths; 4 years since randomisation</t>
  </si>
  <si>
    <t>Colorectal cancer-specific mortality (per 1,000 people); 5 years since randomisation</t>
  </si>
  <si>
    <t>colorectal cancer deaths; 5 years since randomisation</t>
  </si>
  <si>
    <t>Colorectal cancer-specific mortality (per 1,000 people); 6 years since randomisation</t>
  </si>
  <si>
    <t>colorectal cancer deaths; 6 years since randomisation</t>
  </si>
  <si>
    <t>Colorectal cancer-specific mortality (per 1,000 people); 7 years since randomisation</t>
  </si>
  <si>
    <t>colorectal cancer deaths; 7 years since randomisation</t>
  </si>
  <si>
    <t>Colorectal cancer-specific mortality (per 1,000 people); 8 years since randomisation</t>
  </si>
  <si>
    <t>colorectal cancer deaths; 8 years since randomisation</t>
  </si>
  <si>
    <t>Colorectal cancer-specific mortality (per 1,000 people); 9 years since randomisation</t>
  </si>
  <si>
    <t>colorectal cancer deaths; 9 years since randomisation</t>
  </si>
  <si>
    <t>Colorectal cancer-specific mortality (per 1,000 people); 10 years since randomisation</t>
  </si>
  <si>
    <t>colorectal cancer deaths; 10 years since randomisation</t>
  </si>
  <si>
    <t>Colorectal cancer-specific mortality (per 1,000 people); 11 years since randomisation</t>
  </si>
  <si>
    <t>colorectal cancer deaths; 11 years since randomisation</t>
  </si>
  <si>
    <t>Colorectal cancer-specific mortality (per 1,000 people); 12 years since randomisation</t>
  </si>
  <si>
    <t>colorectal cancer deaths; 12 years since randomisation</t>
  </si>
  <si>
    <t>Colorectal cancer-specific mortality (per 1,000 people); 13 years since randomisation</t>
  </si>
  <si>
    <t>colorectal cancer deaths; 13 years since randomisation</t>
  </si>
  <si>
    <t>Colorectal cancer-specific mortality (per 1,000 people); 14 years since randomisation</t>
  </si>
  <si>
    <t>colorectal cancer deaths; 14 years since randomisation</t>
  </si>
  <si>
    <t>Colorectal cancer-specific mortality (per 1,000 people); 15 years since randomisation</t>
  </si>
  <si>
    <t>colorectal cancer deaths; 15 years since randomisation</t>
  </si>
  <si>
    <t>Colorectal cancer-specific mortality (per 1,000 people); 16 years since randomisation</t>
  </si>
  <si>
    <t>colorectal cancer deaths; 16 years since randomisation</t>
  </si>
  <si>
    <t>Colorectal cancer-specific mortality (per 1,000 people); 17 years since randomisation</t>
  </si>
  <si>
    <t>colorectal cancer deaths; 17 years since randomisation</t>
  </si>
  <si>
    <t>Colorectal cancer-specific mortality (per 1,000 people); 18 years since randomisation</t>
  </si>
  <si>
    <t>colorectal cancer deaths; 18 years since randomisation</t>
  </si>
  <si>
    <t>Colorectal cancer-specific mortality (per 1,000 people); 19 years since randomisation</t>
  </si>
  <si>
    <t>colorectal cancer deaths; 19 years since randomisation</t>
  </si>
  <si>
    <t>Colorectal cancer-specific mortality (per 1,000 people); 20 years since randomisation</t>
  </si>
  <si>
    <t>colorectal cancer deaths; 20 years since randomisation</t>
  </si>
  <si>
    <t>Colorectal cancer-specific mortality (per 1,000 people); 21 years since randomisation</t>
  </si>
  <si>
    <t>21 years</t>
  </si>
  <si>
    <t>colorectal cancer deaths; 21 years since randomisation</t>
  </si>
  <si>
    <r>
      <rPr>
        <b/>
        <sz val="10"/>
        <rFont val="Calibri"/>
        <family val="2"/>
        <scheme val="minor"/>
      </rPr>
      <t xml:space="preserve">Distal </t>
    </r>
    <r>
      <rPr>
        <sz val="10"/>
        <rFont val="Calibri"/>
        <family val="2"/>
        <scheme val="minor"/>
      </rPr>
      <t>colorectal cancer-specific mortality (per 10000 PY); 31/12/2015</t>
    </r>
  </si>
  <si>
    <r>
      <t>≥</t>
    </r>
    <r>
      <rPr>
        <sz val="9.9"/>
        <rFont val="Calibri"/>
        <family val="2"/>
      </rPr>
      <t>49</t>
    </r>
  </si>
  <si>
    <t>Unknown cause of death;
49 unknown tumour location</t>
  </si>
  <si>
    <r>
      <t>≥</t>
    </r>
    <r>
      <rPr>
        <sz val="9.9"/>
        <rFont val="Calibri"/>
        <family val="2"/>
      </rPr>
      <t>45</t>
    </r>
  </si>
  <si>
    <t>Unknown cause of death;
45 unknown tumour location</t>
  </si>
  <si>
    <r>
      <rPr>
        <b/>
        <sz val="10"/>
        <rFont val="Calibri"/>
        <family val="2"/>
        <scheme val="minor"/>
      </rPr>
      <t xml:space="preserve">Distal </t>
    </r>
    <r>
      <rPr>
        <sz val="10"/>
        <rFont val="Calibri"/>
        <family val="2"/>
        <scheme val="minor"/>
      </rPr>
      <t>colorectal cancer deaths up to 31/12/2015</t>
    </r>
  </si>
  <si>
    <t>Table 2 and text: Colorectal cancer mortality was significantly reduced overall in the intervention group compared with usual
care group (RR 0·75, 95% CI 0·66–0·85; table 2), due
almost exclusively to distal tumours (0·51, 0·41–0·63),…</t>
  </si>
  <si>
    <r>
      <rPr>
        <b/>
        <sz val="10"/>
        <rFont val="Calibri"/>
        <family val="2"/>
        <scheme val="minor"/>
      </rPr>
      <t xml:space="preserve">Distal </t>
    </r>
    <r>
      <rPr>
        <sz val="10"/>
        <rFont val="Calibri"/>
        <family val="2"/>
        <scheme val="minor"/>
      </rPr>
      <t>colorectal cancer-specific mortality (per 1,000 people); 1 year since randomisation</t>
    </r>
  </si>
  <si>
    <t>Unknown cause of death;
0 unknown tumour location</t>
  </si>
  <si>
    <t>Distal colorectal cancer deaths; 1 year since randomisation</t>
  </si>
  <si>
    <r>
      <rPr>
        <b/>
        <sz val="10"/>
        <rFont val="Calibri"/>
        <family val="2"/>
        <scheme val="minor"/>
      </rPr>
      <t xml:space="preserve">Distal </t>
    </r>
    <r>
      <rPr>
        <sz val="10"/>
        <rFont val="Calibri"/>
        <family val="2"/>
        <scheme val="minor"/>
      </rPr>
      <t>colorectal cancer-specific mortality (per 1,000 people); 2 years since randomisation</t>
    </r>
  </si>
  <si>
    <t>≥2</t>
  </si>
  <si>
    <t>Unknown cause of death;
2 unknown tumour location</t>
  </si>
  <si>
    <t>Distal colorectal cancer deaths; 2 years since randomisation</t>
  </si>
  <si>
    <r>
      <rPr>
        <b/>
        <sz val="10"/>
        <rFont val="Calibri"/>
        <family val="2"/>
        <scheme val="minor"/>
      </rPr>
      <t xml:space="preserve">Distal </t>
    </r>
    <r>
      <rPr>
        <sz val="10"/>
        <rFont val="Calibri"/>
        <family val="2"/>
        <scheme val="minor"/>
      </rPr>
      <t>colorectal cancer-specific mortality (per 1,000 people); 3 years since randomisation</t>
    </r>
  </si>
  <si>
    <t>≥1</t>
  </si>
  <si>
    <t>Unknown cause of death;
1 unknown tumour location</t>
  </si>
  <si>
    <t>Distal colorectal cancer deaths; 3 years since randomisation</t>
  </si>
  <si>
    <r>
      <rPr>
        <b/>
        <sz val="10"/>
        <rFont val="Calibri"/>
        <family val="2"/>
        <scheme val="minor"/>
      </rPr>
      <t xml:space="preserve">Distal </t>
    </r>
    <r>
      <rPr>
        <sz val="10"/>
        <rFont val="Calibri"/>
        <family val="2"/>
        <scheme val="minor"/>
      </rPr>
      <t>colorectal cancer-specific mortality (per 1,000 people); 4 years since randomisation</t>
    </r>
  </si>
  <si>
    <t>≥4</t>
  </si>
  <si>
    <t>Unknown cause of death;
4 unknown tumour location</t>
  </si>
  <si>
    <t>Distal colorectal cancer deaths; 4 years since randomisation</t>
  </si>
  <si>
    <r>
      <rPr>
        <b/>
        <sz val="10"/>
        <rFont val="Calibri"/>
        <family val="2"/>
        <scheme val="minor"/>
      </rPr>
      <t xml:space="preserve">Distal </t>
    </r>
    <r>
      <rPr>
        <sz val="10"/>
        <rFont val="Calibri"/>
        <family val="2"/>
        <scheme val="minor"/>
      </rPr>
      <t>colorectal cancer-specific mortality (per 1,000 people); 5 years since randomisation</t>
    </r>
  </si>
  <si>
    <t>≥5</t>
  </si>
  <si>
    <t>Unknown cause of death;
5 unknown tumour location</t>
  </si>
  <si>
    <t>≥3</t>
  </si>
  <si>
    <t>Unknown cause of death;
3 unknown tumour location</t>
  </si>
  <si>
    <t>Distal colorectal cancer deaths; 5 years since randomisation</t>
  </si>
  <si>
    <r>
      <rPr>
        <b/>
        <sz val="10"/>
        <rFont val="Calibri"/>
        <family val="2"/>
        <scheme val="minor"/>
      </rPr>
      <t xml:space="preserve">Distal </t>
    </r>
    <r>
      <rPr>
        <sz val="10"/>
        <rFont val="Calibri"/>
        <family val="2"/>
        <scheme val="minor"/>
      </rPr>
      <t>colorectal cancer-specific mortality (per 1,000 people); 6 years since randomisation</t>
    </r>
  </si>
  <si>
    <t>≥9</t>
  </si>
  <si>
    <t>Unknown cause of death;
9 unknown tumour location</t>
  </si>
  <si>
    <t>Distal colorectal cancer deaths; 6 years since randomisation</t>
  </si>
  <si>
    <t>Distal colorectal cancer-specific mortality (per 1,000 people); 7 years since randomisation</t>
  </si>
  <si>
    <t>Distal colorectal cancer deaths; 7 years since randomisation</t>
  </si>
  <si>
    <t>Distal colorectal cancer-specific mortality (per 1,000 people); 8 years since randomisation</t>
  </si>
  <si>
    <t>Unknown cause of death;
6 unknown tumour location</t>
  </si>
  <si>
    <t>Distal colorectal cancer deaths; 8 years since randomisation</t>
  </si>
  <si>
    <t>Distal colorectal cancer-specific mortality (per 1,000 people); 9 years since randomisation</t>
  </si>
  <si>
    <t>≥10</t>
  </si>
  <si>
    <t>Unknown cause of death;
10 unknown tumour location</t>
  </si>
  <si>
    <t>Distal colorectal cancer deaths; 9 years since randomisation</t>
  </si>
  <si>
    <t>Distal colorectal cancer-specific mortality (per 1,000 people); 10 years since randomisation</t>
  </si>
  <si>
    <t>≥12</t>
  </si>
  <si>
    <t>Unknown cause of death;
12 unknown tumour location</t>
  </si>
  <si>
    <t>Distal colorectal cancer deaths; 10 years since randomisation</t>
  </si>
  <si>
    <t>Distal colorectal cancer-specific mortality (per 1,000 people); 11 years since randomisation</t>
  </si>
  <si>
    <t>≥7</t>
  </si>
  <si>
    <t>Unknown cause of death;
7 unknown tumour location</t>
  </si>
  <si>
    <t>Distal colorectal cancer deaths; 11 years since randomisation</t>
  </si>
  <si>
    <t>Distal colorectal cancer-specific mortality (per 1,000 people); 12 years since randomisation</t>
  </si>
  <si>
    <t>≥15</t>
  </si>
  <si>
    <t>Unknown cause of death;
15 unknown tumour location</t>
  </si>
  <si>
    <t>Distal colorectal cancer deaths; 12 years since randomisation</t>
  </si>
  <si>
    <t xml:space="preserve"> Distal colorectal cancer-specific mortality (per 1,000 people); 13 years since randomisation</t>
  </si>
  <si>
    <t>Unknown cause of death;
19 unknown tumour location</t>
  </si>
  <si>
    <t>Distal colorectal cancer deaths; 13 years since randomisation</t>
  </si>
  <si>
    <t xml:space="preserve"> Distal colorectal cancer-specific mortality (per 1,000 people); 14 years since randomisation</t>
  </si>
  <si>
    <t>Unknown cause of death;
22 unknown tumour location</t>
  </si>
  <si>
    <t>≥17</t>
  </si>
  <si>
    <t>Unknown cause of death;
17 unknown tumour location</t>
  </si>
  <si>
    <t>Distal colorectal cancer deaths; 14 years since randomisation</t>
  </si>
  <si>
    <t xml:space="preserve"> Distal colorectal cancer-specific mortality (per 1,000 people); 15 years since randomisation</t>
  </si>
  <si>
    <t>≥28</t>
  </si>
  <si>
    <t>Unknown cause of death;
28 unknown tumour location</t>
  </si>
  <si>
    <t>≥18</t>
  </si>
  <si>
    <t>Unknown cause of death;
18 unknown tumour location</t>
  </si>
  <si>
    <t>Distal colorectal cancer deaths; 15 years since randomisation</t>
  </si>
  <si>
    <t>Distal colorectal cancer-specific mortality (per 1,000 people); 16 years since randomisation</t>
  </si>
  <si>
    <t>≥32</t>
  </si>
  <si>
    <t>Unknown cause of death;
32 unknown tumour location</t>
  </si>
  <si>
    <t>Distal colorectal cancer deaths; 16 years since randomisation</t>
  </si>
  <si>
    <t>Distal colorectal cancer-specific mortality (per 1,000 people); 17 years since randomisation</t>
  </si>
  <si>
    <t>≥38</t>
  </si>
  <si>
    <t>Unknown cause of death;
38 unknown tumour location</t>
  </si>
  <si>
    <t>Distal colorectal cancer deaths; 17 years since randomisation</t>
  </si>
  <si>
    <t>Distal colorectal cancer-specific mortality (per 1,000 people); 18 years since randomisation</t>
  </si>
  <si>
    <t>≥44</t>
  </si>
  <si>
    <t>Unknown cause of death;
44 unknown tumour location</t>
  </si>
  <si>
    <t>≥35</t>
  </si>
  <si>
    <t>Unknown cause of death;
35 unknown tumour location</t>
  </si>
  <si>
    <t>Distal colorectal cancer deaths; 18 years since randomisation</t>
  </si>
  <si>
    <t>Distal colorectal cancer-specific mortality (per 1,000 people); 19 years since randomisation</t>
  </si>
  <si>
    <t>≥49</t>
  </si>
  <si>
    <t>≥41</t>
  </si>
  <si>
    <t>Unknown cause of death;
41 unknown tumour location</t>
  </si>
  <si>
    <t>Distal colorectal cancer deaths; 19 years since randomisation</t>
  </si>
  <si>
    <t>Distal colorectal cancer-specific mortality (per 1,000 people); 20 years since randomisation</t>
  </si>
  <si>
    <t>≥56</t>
  </si>
  <si>
    <t>Unknown cause of death;
56 unknown tumour location</t>
  </si>
  <si>
    <t>Distal colorectal cancer deaths; 20 years since randomisation</t>
  </si>
  <si>
    <t>Distal colorectal cancer-specific mortality (per 1,000 people); 21 years since randomisation</t>
  </si>
  <si>
    <t>≥62</t>
  </si>
  <si>
    <t>Unknown cause of death;
62 unknown tumour location</t>
  </si>
  <si>
    <t>Distal colorectal cancer deaths; 21 years since randomisation</t>
  </si>
  <si>
    <r>
      <rPr>
        <b/>
        <sz val="10"/>
        <rFont val="Calibri"/>
        <family val="2"/>
        <scheme val="minor"/>
      </rPr>
      <t xml:space="preserve">Distal </t>
    </r>
    <r>
      <rPr>
        <sz val="10"/>
        <rFont val="Calibri"/>
        <family val="2"/>
        <scheme val="minor"/>
      </rPr>
      <t xml:space="preserve">colorectal cancer-specific mortality </t>
    </r>
    <r>
      <rPr>
        <b/>
        <sz val="10"/>
        <rFont val="Calibri"/>
        <family val="2"/>
        <scheme val="minor"/>
      </rPr>
      <t>in men</t>
    </r>
    <r>
      <rPr>
        <sz val="10"/>
        <rFont val="Calibri"/>
        <family val="2"/>
        <scheme val="minor"/>
      </rPr>
      <t xml:space="preserve"> (per 10000 PY); 31/12/2015</t>
    </r>
  </si>
  <si>
    <t>≥27</t>
  </si>
  <si>
    <t>Unknown cause of death;
27 unknown tumour location</t>
  </si>
  <si>
    <t>≥29</t>
  </si>
  <si>
    <t>Unknown cause of death;
29 unknown tumour location</t>
  </si>
  <si>
    <r>
      <rPr>
        <b/>
        <sz val="10"/>
        <rFont val="Calibri"/>
        <family val="2"/>
        <scheme val="minor"/>
      </rPr>
      <t xml:space="preserve">Distal </t>
    </r>
    <r>
      <rPr>
        <sz val="10"/>
        <rFont val="Calibri"/>
        <family val="2"/>
        <scheme val="minor"/>
      </rPr>
      <t xml:space="preserve">colorectal cancer deaths </t>
    </r>
    <r>
      <rPr>
        <b/>
        <sz val="10"/>
        <rFont val="Calibri"/>
        <family val="2"/>
        <scheme val="minor"/>
      </rPr>
      <t xml:space="preserve">in men </t>
    </r>
    <r>
      <rPr>
        <sz val="10"/>
        <rFont val="Calibri"/>
        <family val="2"/>
        <scheme val="minor"/>
      </rPr>
      <t>up to 31/12/2015</t>
    </r>
  </si>
  <si>
    <t>Table 2 and text: Both men and women had significantly reduced
risks of colorectal cancer mortality from distal tumours in
the intervention group compared with the usual care group.</t>
  </si>
  <si>
    <r>
      <rPr>
        <b/>
        <sz val="10"/>
        <rFont val="Calibri"/>
        <family val="2"/>
        <scheme val="minor"/>
      </rPr>
      <t xml:space="preserve">Distal </t>
    </r>
    <r>
      <rPr>
        <sz val="10"/>
        <rFont val="Calibri"/>
        <family val="2"/>
        <scheme val="minor"/>
      </rPr>
      <t xml:space="preserve">colorectal cancer-specific mortality </t>
    </r>
    <r>
      <rPr>
        <b/>
        <sz val="10"/>
        <rFont val="Calibri"/>
        <family val="2"/>
        <scheme val="minor"/>
      </rPr>
      <t>in women</t>
    </r>
    <r>
      <rPr>
        <sz val="10"/>
        <rFont val="Calibri"/>
        <family val="2"/>
        <scheme val="minor"/>
      </rPr>
      <t xml:space="preserve"> (per 10000 PY); 31/12/2015</t>
    </r>
  </si>
  <si>
    <t>≥16</t>
  </si>
  <si>
    <t>Unknown cause of death;
16 unknown tumour location</t>
  </si>
  <si>
    <r>
      <rPr>
        <b/>
        <sz val="10"/>
        <rFont val="Calibri"/>
        <family val="2"/>
        <scheme val="minor"/>
      </rPr>
      <t xml:space="preserve">Distal </t>
    </r>
    <r>
      <rPr>
        <sz val="10"/>
        <rFont val="Calibri"/>
        <family val="2"/>
        <scheme val="minor"/>
      </rPr>
      <t xml:space="preserve">colorectal cancer deaths </t>
    </r>
    <r>
      <rPr>
        <b/>
        <sz val="10"/>
        <rFont val="Calibri"/>
        <family val="2"/>
        <scheme val="minor"/>
      </rPr>
      <t xml:space="preserve">in women </t>
    </r>
    <r>
      <rPr>
        <sz val="10"/>
        <rFont val="Calibri"/>
        <family val="2"/>
        <scheme val="minor"/>
      </rPr>
      <t>up to 31/12/2015</t>
    </r>
  </si>
  <si>
    <r>
      <rPr>
        <b/>
        <sz val="10"/>
        <rFont val="Calibri"/>
        <family val="2"/>
        <scheme val="minor"/>
      </rPr>
      <t xml:space="preserve">Proximal </t>
    </r>
    <r>
      <rPr>
        <sz val="10"/>
        <rFont val="Calibri"/>
        <family val="2"/>
        <scheme val="minor"/>
      </rPr>
      <t>colorectal cancer-specific mortality (per 10000 PY); 31/12/2015</t>
    </r>
  </si>
  <si>
    <r>
      <rPr>
        <b/>
        <sz val="10"/>
        <rFont val="Calibri"/>
        <family val="2"/>
        <scheme val="minor"/>
      </rPr>
      <t xml:space="preserve">Proximal </t>
    </r>
    <r>
      <rPr>
        <sz val="10"/>
        <rFont val="Calibri"/>
        <family val="2"/>
        <scheme val="minor"/>
      </rPr>
      <t>colorectal cancer deaths up to 31/12/2015</t>
    </r>
  </si>
  <si>
    <t>Table 2 and text: ...with no little to no reduction for proximal tumours (0·95, 0·79–1·14).</t>
  </si>
  <si>
    <t>Proximal colorectal cancer-specific mortality (per 1,000 people); 1 year since randomisation</t>
  </si>
  <si>
    <t>Proximal colorectal cancer deaths; 1 year since randomisation</t>
  </si>
  <si>
    <t>Proximal colorectal cancer-specific mortality (per 1,000 people); 2 years since randomisation</t>
  </si>
  <si>
    <t>Proximal colorectal cancer deaths; 2 years since randomisation</t>
  </si>
  <si>
    <t>Proximal colorectal cancer-specific mortality (per 1,000 people); 3 years since randomisation</t>
  </si>
  <si>
    <t>Proximal colorectal cancer deaths; 3 years since randomisation</t>
  </si>
  <si>
    <t>Proximal colorectal cancer-specific mortality (per 1,000 people); 4 years since randomisation</t>
  </si>
  <si>
    <t>Proximal colorectal cancer deaths; 4 years since randomisation</t>
  </si>
  <si>
    <t>Proximal colorectal cancer-specific mortality (per 1,000 people); 5 years since randomisation</t>
  </si>
  <si>
    <t>Proximal colorectal cancer deaths; 5 years since randomisation</t>
  </si>
  <si>
    <t>Proximal colorectal cancer-specific mortality (per 1,000 people); 6 years since randomisation</t>
  </si>
  <si>
    <t>Proximal colorectal cancer deaths; 6 years since randomisation</t>
  </si>
  <si>
    <t>Proximal colorectal cancer-specific mortality (per 1,000 people); 7 years since randomisation</t>
  </si>
  <si>
    <t>Proximal colorectal cancer deaths; 7 years since randomisation</t>
  </si>
  <si>
    <t>Proximal colorectal cancer-specific mortality (per 1,000 people); 8 years since randomisation</t>
  </si>
  <si>
    <t>Proximal colorectal cancer deaths; 8 years since randomisation</t>
  </si>
  <si>
    <t>Proximal colorectal cancer-specific mortality (per 1,000 people); 9 years since randomisation</t>
  </si>
  <si>
    <t>Proximal colorectal cancer deaths; 9 years since randomisation</t>
  </si>
  <si>
    <t>Proximal colorectal cancer-specific mortality (per 1,000 people); 10 years since randomisation</t>
  </si>
  <si>
    <t>Proximal colorectal cancer deaths; 10 years since randomisation</t>
  </si>
  <si>
    <t>Proximal colorectal cancer-specific mortality (per 1,000 people); 11 years since randomisation</t>
  </si>
  <si>
    <t>Proximal colorectal cancer deaths; 11 years since randomisation</t>
  </si>
  <si>
    <t>Proximal Proximal colorectal cancer-specific mortality (per 1,000 people); 12 years since randomisation</t>
  </si>
  <si>
    <t>Proximal colorectal cancer deaths; 12 years since randomisation</t>
  </si>
  <si>
    <t>Proximal Proximal colorectal cancer-specific mortality (per 1,000 people); 13 years since randomisation</t>
  </si>
  <si>
    <t>Proximal colorectal cancer deaths; 13 years since randomisation</t>
  </si>
  <si>
    <t>Proximal Proximal colorectal cancer-specific mortality (per 1,000 people); 14 years since randomisation</t>
  </si>
  <si>
    <t>Proximal colorectal cancer deaths; 14 years since randomisation</t>
  </si>
  <si>
    <t>Proximal Proximal colorectal cancer-specific mortality (per 1,000 people); 15 years since randomisation</t>
  </si>
  <si>
    <t>Proximal colorectal cancer deaths; 15 years since randomisation</t>
  </si>
  <si>
    <t>Proximal colorectal cancer-specific mortality (per 1,000 people); 16 years since randomisation</t>
  </si>
  <si>
    <t>Proximal colorectal cancer deaths; 16 years since randomisation</t>
  </si>
  <si>
    <t>Proximal colorectal cancer-specific mortality (per 1,000 people); 17 years since randomisation</t>
  </si>
  <si>
    <t>Proximal colorectal cancer deaths; 17 years since randomisation</t>
  </si>
  <si>
    <t>Proximal colorectal cancer-specific mortality (per 1,000 people); 18 years since randomisation</t>
  </si>
  <si>
    <t>Proximal colorectal cancer deaths; 18 years since randomisation</t>
  </si>
  <si>
    <t>Proximal colorectal cancer-specific mortality (per 1,000 people); 19 years since randomisation</t>
  </si>
  <si>
    <t>Proximal colorectal cancer deaths; 19 years since randomisation</t>
  </si>
  <si>
    <t>Proximal colorectal cancer-specific mortality (per 1,000 people); 20 years since randomisation</t>
  </si>
  <si>
    <t>Proximal colorectal cancer deaths; 20 years since randomisation</t>
  </si>
  <si>
    <t>Proximal colorectal cancer-specific mortality (per 1,000 people); 21 years since randomisation</t>
  </si>
  <si>
    <t>Proximal colorectal cancer deaths; 21 years since randomisation</t>
  </si>
  <si>
    <r>
      <rPr>
        <b/>
        <sz val="10"/>
        <rFont val="Calibri"/>
        <family val="2"/>
        <scheme val="minor"/>
      </rPr>
      <t xml:space="preserve">Proximal </t>
    </r>
    <r>
      <rPr>
        <sz val="10"/>
        <rFont val="Calibri"/>
        <family val="2"/>
        <scheme val="minor"/>
      </rPr>
      <t xml:space="preserve">colorectal cancer-specific mortality </t>
    </r>
    <r>
      <rPr>
        <b/>
        <sz val="10"/>
        <rFont val="Calibri"/>
        <family val="2"/>
        <scheme val="minor"/>
      </rPr>
      <t>in men</t>
    </r>
    <r>
      <rPr>
        <sz val="10"/>
        <rFont val="Calibri"/>
        <family val="2"/>
        <scheme val="minor"/>
      </rPr>
      <t xml:space="preserve"> (per 10000 PY); 31/12/2015</t>
    </r>
  </si>
  <si>
    <r>
      <rPr>
        <b/>
        <sz val="10"/>
        <rFont val="Calibri"/>
        <family val="2"/>
        <scheme val="minor"/>
      </rPr>
      <t xml:space="preserve">Proximal </t>
    </r>
    <r>
      <rPr>
        <sz val="10"/>
        <rFont val="Calibri"/>
        <family val="2"/>
        <scheme val="minor"/>
      </rPr>
      <t xml:space="preserve">colorectal cancer deaths </t>
    </r>
    <r>
      <rPr>
        <b/>
        <sz val="10"/>
        <rFont val="Calibri"/>
        <family val="2"/>
        <scheme val="minor"/>
      </rPr>
      <t xml:space="preserve">in men </t>
    </r>
    <r>
      <rPr>
        <sz val="10"/>
        <rFont val="Calibri"/>
        <family val="2"/>
        <scheme val="minor"/>
      </rPr>
      <t>up to 31/12/2015</t>
    </r>
  </si>
  <si>
    <t>Table 2 and text; Neither sex had a reduced risk of colorectal cancer mortality for proximal tumours.</t>
  </si>
  <si>
    <r>
      <rPr>
        <b/>
        <sz val="10"/>
        <rFont val="Calibri"/>
        <family val="2"/>
        <scheme val="minor"/>
      </rPr>
      <t xml:space="preserve">Proximal </t>
    </r>
    <r>
      <rPr>
        <sz val="10"/>
        <rFont val="Calibri"/>
        <family val="2"/>
        <scheme val="minor"/>
      </rPr>
      <t xml:space="preserve">colorectal cancer-specific mortality </t>
    </r>
    <r>
      <rPr>
        <b/>
        <sz val="10"/>
        <rFont val="Calibri"/>
        <family val="2"/>
        <scheme val="minor"/>
      </rPr>
      <t>in women</t>
    </r>
    <r>
      <rPr>
        <sz val="10"/>
        <rFont val="Calibri"/>
        <family val="2"/>
        <scheme val="minor"/>
      </rPr>
      <t xml:space="preserve"> (per 10000 PY); 31/12/2015</t>
    </r>
  </si>
  <si>
    <r>
      <rPr>
        <b/>
        <sz val="10"/>
        <rFont val="Calibri"/>
        <family val="2"/>
        <scheme val="minor"/>
      </rPr>
      <t xml:space="preserve">Proximal </t>
    </r>
    <r>
      <rPr>
        <sz val="10"/>
        <rFont val="Calibri"/>
        <family val="2"/>
        <scheme val="minor"/>
      </rPr>
      <t xml:space="preserve">colorectal cancer deaths </t>
    </r>
    <r>
      <rPr>
        <b/>
        <sz val="10"/>
        <rFont val="Calibri"/>
        <family val="2"/>
        <scheme val="minor"/>
      </rPr>
      <t xml:space="preserve">in women </t>
    </r>
    <r>
      <rPr>
        <sz val="10"/>
        <rFont val="Calibri"/>
        <family val="2"/>
        <scheme val="minor"/>
      </rPr>
      <t>up to 31/12/2015</t>
    </r>
  </si>
  <si>
    <r>
      <t xml:space="preserve">Colorectal cancer-specific mortality </t>
    </r>
    <r>
      <rPr>
        <b/>
        <sz val="10"/>
        <rFont val="Calibri"/>
        <family val="2"/>
        <scheme val="minor"/>
      </rPr>
      <t>in men</t>
    </r>
    <r>
      <rPr>
        <sz val="10"/>
        <rFont val="Calibri"/>
        <family val="2"/>
        <scheme val="minor"/>
      </rPr>
      <t xml:space="preserve"> (per 10000 PY); 31/12/2015</t>
    </r>
  </si>
  <si>
    <r>
      <t xml:space="preserve">Colorectal cancer deaths </t>
    </r>
    <r>
      <rPr>
        <b/>
        <sz val="10"/>
        <rFont val="Calibri"/>
        <family val="2"/>
        <scheme val="minor"/>
      </rPr>
      <t xml:space="preserve">in men </t>
    </r>
    <r>
      <rPr>
        <sz val="10"/>
        <rFont val="Calibri"/>
        <family val="2"/>
        <scheme val="minor"/>
      </rPr>
      <t>up to 31/12/2015</t>
    </r>
  </si>
  <si>
    <t>Table 2 and text: Mortality reductions were larger in men (RR 0·68, 95% CI 0·57–0·80) than in women (0·87, 0·71–1·06) and only significant in men.</t>
  </si>
  <si>
    <r>
      <t xml:space="preserve">Colorectal cancer-specific mortality </t>
    </r>
    <r>
      <rPr>
        <b/>
        <sz val="10"/>
        <rFont val="Calibri"/>
        <family val="2"/>
        <scheme val="minor"/>
      </rPr>
      <t>in women</t>
    </r>
    <r>
      <rPr>
        <sz val="10"/>
        <rFont val="Calibri"/>
        <family val="2"/>
        <scheme val="minor"/>
      </rPr>
      <t xml:space="preserve"> (per 10000 PY); 31/12/2015</t>
    </r>
  </si>
  <si>
    <r>
      <t xml:space="preserve">Colorectal cancer deaths </t>
    </r>
    <r>
      <rPr>
        <b/>
        <sz val="10"/>
        <rFont val="Calibri"/>
        <family val="2"/>
        <scheme val="minor"/>
      </rPr>
      <t xml:space="preserve">in women </t>
    </r>
    <r>
      <rPr>
        <sz val="10"/>
        <rFont val="Calibri"/>
        <family val="2"/>
        <scheme val="minor"/>
      </rPr>
      <t>up to 31/12/2015</t>
    </r>
  </si>
  <si>
    <r>
      <t xml:space="preserve">Colorectal cancer-specific mortality </t>
    </r>
    <r>
      <rPr>
        <b/>
        <sz val="10"/>
        <rFont val="Calibri"/>
        <family val="2"/>
        <scheme val="minor"/>
      </rPr>
      <t>in subjects aged 55-64 years</t>
    </r>
    <r>
      <rPr>
        <sz val="10"/>
        <rFont val="Calibri"/>
        <family val="2"/>
        <scheme val="minor"/>
      </rPr>
      <t xml:space="preserve"> (per 10000 PY); 31/12/2015</t>
    </r>
  </si>
  <si>
    <r>
      <t xml:space="preserve">Colorectal cancer deaths </t>
    </r>
    <r>
      <rPr>
        <b/>
        <sz val="10"/>
        <rFont val="Calibri"/>
        <family val="2"/>
        <scheme val="minor"/>
      </rPr>
      <t xml:space="preserve">in subjects aged 55-64 years </t>
    </r>
    <r>
      <rPr>
        <sz val="10"/>
        <rFont val="Calibri"/>
        <family val="2"/>
        <scheme val="minor"/>
      </rPr>
      <t>up to 31/12/2015</t>
    </r>
  </si>
  <si>
    <t>Table 2 and text: Reductions in mortality were significant for those aged 65–74 years at baseline (RR 0·64, 95% CI 0·53–0·77) and larger compared with those aged 55–64 years at baseline (0·88, 0·73–1·05;
pinteraction=0·01; table 2).</t>
  </si>
  <si>
    <r>
      <t xml:space="preserve">Colorectal cancer-specific mortality </t>
    </r>
    <r>
      <rPr>
        <b/>
        <sz val="10"/>
        <rFont val="Calibri"/>
        <family val="2"/>
        <scheme val="minor"/>
      </rPr>
      <t>in subjects aged 65-74 years</t>
    </r>
    <r>
      <rPr>
        <sz val="10"/>
        <rFont val="Calibri"/>
        <family val="2"/>
        <scheme val="minor"/>
      </rPr>
      <t xml:space="preserve"> (per 10000 PY); 31/12/2015</t>
    </r>
  </si>
  <si>
    <r>
      <t xml:space="preserve">Colorectal cancer deaths </t>
    </r>
    <r>
      <rPr>
        <b/>
        <sz val="10"/>
        <rFont val="Calibri"/>
        <family val="2"/>
        <scheme val="minor"/>
      </rPr>
      <t xml:space="preserve">in subjects aged 65-74 years </t>
    </r>
    <r>
      <rPr>
        <sz val="10"/>
        <rFont val="Calibri"/>
        <family val="2"/>
        <scheme val="minor"/>
      </rPr>
      <t>up to 31/12/2015</t>
    </r>
  </si>
  <si>
    <t>Colorectal cancer-specific mortality (per 10,000 PY) and age-adjusted rate ratio; 31/12/2015</t>
  </si>
  <si>
    <t>Primarily ascertained through a mailed annual study-update questionnaire. Next of kin notified the trial of deaths, which were verified with death certificates; National Death Index (NDI) searches were also used.  Since 2011, centralized follow-up process that utilized linkages to the NDI. Deaths through 2009 that were potentially related to a PLCO cancer underwent death review in a blinded fashion. For non-reviewed deaths in that period and subsequent deaths, underlying cause of death from death certificate or NDI.</t>
  </si>
  <si>
    <t>&gt;0.001</t>
  </si>
  <si>
    <t>Age (Poisson)</t>
  </si>
  <si>
    <r>
      <t xml:space="preserve">Colorectal cancer-specific mortality </t>
    </r>
    <r>
      <rPr>
        <b/>
        <sz val="10"/>
        <rFont val="Calibri"/>
        <family val="2"/>
        <scheme val="minor"/>
      </rPr>
      <t>in men</t>
    </r>
    <r>
      <rPr>
        <sz val="10"/>
        <rFont val="Calibri"/>
        <family val="2"/>
        <scheme val="minor"/>
      </rPr>
      <t xml:space="preserve"> (per 10,000 PY) and age-adjusted rate ratio; 31/12/2015</t>
    </r>
  </si>
  <si>
    <r>
      <t xml:space="preserve">colorectal cancer deaths </t>
    </r>
    <r>
      <rPr>
        <b/>
        <sz val="10"/>
        <rFont val="Calibri"/>
        <family val="2"/>
        <scheme val="minor"/>
      </rPr>
      <t xml:space="preserve">in men, </t>
    </r>
    <r>
      <rPr>
        <sz val="10"/>
        <rFont val="Calibri"/>
        <family val="2"/>
        <scheme val="minor"/>
      </rPr>
      <t>up to 31/12/2015</t>
    </r>
  </si>
  <si>
    <r>
      <t xml:space="preserve">Colorectal cancer-specific mortality </t>
    </r>
    <r>
      <rPr>
        <b/>
        <sz val="10"/>
        <rFont val="Calibri"/>
        <family val="2"/>
        <scheme val="minor"/>
      </rPr>
      <t>in women</t>
    </r>
    <r>
      <rPr>
        <sz val="10"/>
        <rFont val="Calibri"/>
        <family val="2"/>
        <scheme val="minor"/>
      </rPr>
      <t xml:space="preserve"> (per 10,000 PY) and age-adjusted rate ratio; 31/12/2015</t>
    </r>
  </si>
  <si>
    <t>All-cause mortality (per 10,000 PY) and age-adjusted rate ratio; 31/12/2015</t>
  </si>
  <si>
    <r>
      <t xml:space="preserve">All-cause mortality </t>
    </r>
    <r>
      <rPr>
        <b/>
        <sz val="10"/>
        <rFont val="Calibri"/>
        <family val="2"/>
        <scheme val="minor"/>
      </rPr>
      <t xml:space="preserve">in men </t>
    </r>
    <r>
      <rPr>
        <sz val="10"/>
        <rFont val="Calibri"/>
        <family val="2"/>
        <scheme val="minor"/>
      </rPr>
      <t>(per 10,000 PY) and age-adjusted rate ratio; 31/12/2015</t>
    </r>
  </si>
  <si>
    <r>
      <t xml:space="preserve">All deaths </t>
    </r>
    <r>
      <rPr>
        <b/>
        <sz val="10"/>
        <rFont val="Calibri"/>
        <family val="2"/>
        <scheme val="minor"/>
      </rPr>
      <t>in men,</t>
    </r>
    <r>
      <rPr>
        <sz val="10"/>
        <rFont val="Calibri"/>
        <family val="2"/>
        <scheme val="minor"/>
      </rPr>
      <t xml:space="preserve"> up to 31/12/2015</t>
    </r>
  </si>
  <si>
    <t>Table 2 and appendix table for unadjusted rate ratio.</t>
  </si>
  <si>
    <r>
      <t xml:space="preserve">All-cause mortality </t>
    </r>
    <r>
      <rPr>
        <b/>
        <sz val="10"/>
        <rFont val="Calibri"/>
        <family val="2"/>
        <scheme val="minor"/>
      </rPr>
      <t xml:space="preserve">in women </t>
    </r>
    <r>
      <rPr>
        <sz val="10"/>
        <rFont val="Calibri"/>
        <family val="2"/>
        <scheme val="minor"/>
      </rPr>
      <t>(per 10,000 PY) and age-adjusted rate ratio; 31/12/2015</t>
    </r>
  </si>
  <si>
    <r>
      <t xml:space="preserve">All deaths </t>
    </r>
    <r>
      <rPr>
        <b/>
        <sz val="10"/>
        <rFont val="Calibri"/>
        <family val="2"/>
        <scheme val="minor"/>
      </rPr>
      <t>in women,</t>
    </r>
    <r>
      <rPr>
        <sz val="10"/>
        <rFont val="Calibri"/>
        <family val="2"/>
        <scheme val="minor"/>
      </rPr>
      <t xml:space="preserve"> up to 31/12/2015</t>
    </r>
  </si>
  <si>
    <t>Colorectal cancer incidence by stage (stage I); per 10,000 PY; 13 years since randomisation or 31 Dec 2009</t>
  </si>
  <si>
    <t>Stage I/II</t>
  </si>
  <si>
    <t>Primarily by means of a mailed Annual Study Update questionnaire. Participants who did not return questionnaires were contacted by repeat mailing or telephone. Cancer incidence, stage, and location were verified from medical records</t>
  </si>
  <si>
    <t>date of diagnosis, death, or censoring, whichever came first</t>
  </si>
  <si>
    <t xml:space="preserve">11.9 years (interquartile range, 10.2 to 13.0) </t>
  </si>
  <si>
    <t>missing stage information</t>
  </si>
  <si>
    <t>Stage I colorectal cancers diagnosed up to 13 years since randomisation</t>
  </si>
  <si>
    <t>Table 3 (nominator), Figure 1A (denominator)</t>
  </si>
  <si>
    <t>Colorectal cancer incidence by stage (stage II); per 10,000 PY; 13 years since randomisation or 31 Dec 2009</t>
  </si>
  <si>
    <t>Stage II colorectal cancers diagnosed up to 13 years since randomisation</t>
  </si>
  <si>
    <t>Colorectal cancer incidence by stage (stage III); per 10,000 PY; 13 years since randomisation or 31 Dec 2009</t>
  </si>
  <si>
    <t>Stage III colorectal cancers diagnosed up to 13 years since randomisation</t>
  </si>
  <si>
    <t>Colorectal cancer incidence by stage (stage IV); per 10,000 PY; 13 years since randomisation or 31 Dec 2009</t>
  </si>
  <si>
    <t>Stage IV colorectal cancers diagnosed up to 13 years since randomisation</t>
  </si>
  <si>
    <t>% colorectal cancers diagnosed at stage III; 13 years since randomisation or 31 Dec 2009</t>
  </si>
  <si>
    <t>total colorectal cancers diagnosed (including cancers with unknown stage)</t>
  </si>
  <si>
    <t>% colorectal cancers diagnosed at stage IV; 13 years since randomisation or 31 Dec 2009</t>
  </si>
  <si>
    <t>% colorectal cancers that are screen detected at baseline in the intervention arm; follow-up to 31 Dec 2009</t>
  </si>
  <si>
    <t>number of colorectal cancers in intervention arm screen detected at baseline (within 1 year after a positive FS)</t>
  </si>
  <si>
    <t>total number of colorectal cancers detected in intervention arm</t>
  </si>
  <si>
    <t>% colorectal cancers that are screen detected at year 3 or 5 in the intervention arm; follow-up to 31 Dec 2009</t>
  </si>
  <si>
    <t>number of colorectal cancers in intervention arm screen detected at yr 3 or 5 screen (within 1 year after a positive FS)</t>
  </si>
  <si>
    <t>% colorectal cancers that are screen detected (total) in the intervention arm;  follow-up to 31 Dec 2009</t>
  </si>
  <si>
    <t>total number of screen detected colorectal cancers in intervention arm (within 1 year after a positive FS)</t>
  </si>
  <si>
    <t>Table 3 and text: Screeningdetected cancers accounted for 24.1% of colorectal cancers (244 of 1012) in the intervention group.</t>
  </si>
  <si>
    <t>number of screen detected colorectal cancers in intervention arm at baseline (within 1 year after a positive FS)</t>
  </si>
  <si>
    <t>number of individuals randomised to screening arm</t>
  </si>
  <si>
    <t>number of screen detected colorectal cancers in intervention arm at year 3 or 5 (within 1 year after a positive FS)</t>
  </si>
  <si>
    <t>number of screen detected colorectal cancers in intervention arm at baseline or subsequent screen (within 1 year after a positive FS)</t>
  </si>
  <si>
    <r>
      <rPr>
        <b/>
        <sz val="10"/>
        <rFont val="Calibri"/>
        <family val="2"/>
        <scheme val="minor"/>
      </rPr>
      <t xml:space="preserve">Distal </t>
    </r>
    <r>
      <rPr>
        <sz val="10"/>
        <rFont val="Calibri"/>
        <family val="2"/>
        <scheme val="minor"/>
      </rPr>
      <t>colorectal cancer incidence by stage (</t>
    </r>
    <r>
      <rPr>
        <b/>
        <sz val="10"/>
        <rFont val="Calibri"/>
        <family val="2"/>
        <scheme val="minor"/>
      </rPr>
      <t>stage I</t>
    </r>
    <r>
      <rPr>
        <sz val="10"/>
        <rFont val="Calibri"/>
        <family val="2"/>
        <scheme val="minor"/>
      </rPr>
      <t>); per 10,000 PY; 13 years since randomisation or 31 Dec 2009</t>
    </r>
  </si>
  <si>
    <t xml:space="preserve">6 missing stage information;
21 missing tumour location
</t>
  </si>
  <si>
    <t xml:space="preserve">6 missing stage information;
23 missing tumour location
</t>
  </si>
  <si>
    <r>
      <rPr>
        <b/>
        <sz val="10"/>
        <rFont val="Calibri"/>
        <family val="2"/>
        <scheme val="minor"/>
      </rPr>
      <t xml:space="preserve">Stage I distal </t>
    </r>
    <r>
      <rPr>
        <sz val="10"/>
        <rFont val="Calibri"/>
        <family val="2"/>
        <scheme val="minor"/>
      </rPr>
      <t>colorectal cancers diagnosed up to 13 years since randomisation</t>
    </r>
  </si>
  <si>
    <t>Table 4 (nominator), Figure 1A (denominator) and text: There was a reduction in the incidence of distal colorectal cancer in the intervention group for each cancer stage, ranging from 19.8% for stage I cancers (50 fewer cases)…</t>
  </si>
  <si>
    <r>
      <rPr>
        <b/>
        <sz val="10"/>
        <rFont val="Calibri"/>
        <family val="2"/>
        <scheme val="minor"/>
      </rPr>
      <t xml:space="preserve">Distal </t>
    </r>
    <r>
      <rPr>
        <sz val="10"/>
        <rFont val="Calibri"/>
        <family val="2"/>
        <scheme val="minor"/>
      </rPr>
      <t>colorectal cancer incidence by stage (</t>
    </r>
    <r>
      <rPr>
        <b/>
        <sz val="10"/>
        <rFont val="Calibri"/>
        <family val="2"/>
        <scheme val="minor"/>
      </rPr>
      <t>stage II</t>
    </r>
    <r>
      <rPr>
        <sz val="10"/>
        <rFont val="Calibri"/>
        <family val="2"/>
        <scheme val="minor"/>
      </rPr>
      <t>); per 10,000 PY; 13 years since randomisation or 31 Dec 2009</t>
    </r>
  </si>
  <si>
    <r>
      <rPr>
        <b/>
        <sz val="10"/>
        <rFont val="Calibri"/>
        <family val="2"/>
        <scheme val="minor"/>
      </rPr>
      <t xml:space="preserve">Stage II distal </t>
    </r>
    <r>
      <rPr>
        <sz val="10"/>
        <rFont val="Calibri"/>
        <family val="2"/>
        <scheme val="minor"/>
      </rPr>
      <t>colorectal cancers diagnosed up to 13 years since randomisation</t>
    </r>
  </si>
  <si>
    <t>Table 4 (nominator), Figure 1A (denominator)</t>
  </si>
  <si>
    <r>
      <rPr>
        <b/>
        <sz val="10"/>
        <rFont val="Calibri"/>
        <family val="2"/>
        <scheme val="minor"/>
      </rPr>
      <t xml:space="preserve">Distal </t>
    </r>
    <r>
      <rPr>
        <sz val="10"/>
        <rFont val="Calibri"/>
        <family val="2"/>
        <scheme val="minor"/>
      </rPr>
      <t>colorectal cancer incidence by stage (</t>
    </r>
    <r>
      <rPr>
        <b/>
        <sz val="10"/>
        <rFont val="Calibri"/>
        <family val="2"/>
        <scheme val="minor"/>
      </rPr>
      <t>stage III</t>
    </r>
    <r>
      <rPr>
        <sz val="10"/>
        <rFont val="Calibri"/>
        <family val="2"/>
        <scheme val="minor"/>
      </rPr>
      <t>); per 10,000 PY; 13 years since randomisation or 31 Dec 2009</t>
    </r>
  </si>
  <si>
    <r>
      <rPr>
        <b/>
        <sz val="10"/>
        <rFont val="Calibri"/>
        <family val="2"/>
        <scheme val="minor"/>
      </rPr>
      <t xml:space="preserve">Stage III distal </t>
    </r>
    <r>
      <rPr>
        <sz val="10"/>
        <rFont val="Calibri"/>
        <family val="2"/>
        <scheme val="minor"/>
      </rPr>
      <t>colorectal cancers diagnosed up to 13 years since randomisation</t>
    </r>
  </si>
  <si>
    <r>
      <rPr>
        <b/>
        <sz val="10"/>
        <rFont val="Calibri"/>
        <family val="2"/>
        <scheme val="minor"/>
      </rPr>
      <t xml:space="preserve">Distal </t>
    </r>
    <r>
      <rPr>
        <sz val="10"/>
        <rFont val="Calibri"/>
        <family val="2"/>
        <scheme val="minor"/>
      </rPr>
      <t>colorectal cancer incidence by stage (</t>
    </r>
    <r>
      <rPr>
        <b/>
        <sz val="10"/>
        <rFont val="Calibri"/>
        <family val="2"/>
        <scheme val="minor"/>
      </rPr>
      <t>stage IV</t>
    </r>
    <r>
      <rPr>
        <sz val="10"/>
        <rFont val="Calibri"/>
        <family val="2"/>
        <scheme val="minor"/>
      </rPr>
      <t>); per 10,000 PY; 13 years since randomisation or 31 Dec 2009</t>
    </r>
  </si>
  <si>
    <r>
      <rPr>
        <b/>
        <sz val="10"/>
        <rFont val="Calibri"/>
        <family val="2"/>
        <scheme val="minor"/>
      </rPr>
      <t xml:space="preserve">Stage IV distal </t>
    </r>
    <r>
      <rPr>
        <sz val="10"/>
        <rFont val="Calibri"/>
        <family val="2"/>
        <scheme val="minor"/>
      </rPr>
      <t>colorectal cancers diagnosed up to 13 years since randomisation</t>
    </r>
  </si>
  <si>
    <t>Table 4 (nominator), Figure 1A (denominator) and text: ... to 61.7% for stage IV cancers (66 fewer cases)… For cancers in the distal colon, reductions of more than 60% in the incidence of stage IV disease and related mortality were observed.</t>
  </si>
  <si>
    <r>
      <rPr>
        <b/>
        <sz val="10"/>
        <rFont val="Calibri"/>
        <family val="2"/>
        <scheme val="minor"/>
      </rPr>
      <t xml:space="preserve">Proximal </t>
    </r>
    <r>
      <rPr>
        <sz val="10"/>
        <rFont val="Calibri"/>
        <family val="2"/>
        <scheme val="minor"/>
      </rPr>
      <t>colorectal cancer incidence by stage (</t>
    </r>
    <r>
      <rPr>
        <b/>
        <sz val="10"/>
        <rFont val="Calibri"/>
        <family val="2"/>
        <scheme val="minor"/>
      </rPr>
      <t>stage I</t>
    </r>
    <r>
      <rPr>
        <sz val="10"/>
        <rFont val="Calibri"/>
        <family val="2"/>
        <scheme val="minor"/>
      </rPr>
      <t>); per 10,000 PY; 13 years since randomisation or 31 Dec 2009</t>
    </r>
  </si>
  <si>
    <t xml:space="preserve">2 missing stage information;
21 missing stage and/or missing tumour location
</t>
  </si>
  <si>
    <t xml:space="preserve">4 missing stage information;
23 missing stage and/or missing tumour location
</t>
  </si>
  <si>
    <r>
      <rPr>
        <b/>
        <sz val="10"/>
        <rFont val="Calibri"/>
        <family val="2"/>
        <scheme val="minor"/>
      </rPr>
      <t xml:space="preserve">Stage I proximal </t>
    </r>
    <r>
      <rPr>
        <sz val="10"/>
        <rFont val="Calibri"/>
        <family val="2"/>
        <scheme val="minor"/>
      </rPr>
      <t>colorectal cancers diagnosed up to 13 years since randomisation</t>
    </r>
  </si>
  <si>
    <t>Table 4 (nominator), Figure 1A (denominator) and text: The incidence of cancer in the proximal colon was reduced by 14.4 to 20.7%
in the intervention group for stage I, II, and III cancers (22, 34, and 25 fewer cases, respectively) but by only 2.0% (2 fewer cases) for stage IV disease.</t>
  </si>
  <si>
    <r>
      <rPr>
        <b/>
        <sz val="10"/>
        <rFont val="Calibri"/>
        <family val="2"/>
        <scheme val="minor"/>
      </rPr>
      <t xml:space="preserve">Proximal </t>
    </r>
    <r>
      <rPr>
        <sz val="10"/>
        <rFont val="Calibri"/>
        <family val="2"/>
        <scheme val="minor"/>
      </rPr>
      <t>colorectal cancer incidence by stage (</t>
    </r>
    <r>
      <rPr>
        <b/>
        <sz val="10"/>
        <rFont val="Calibri"/>
        <family val="2"/>
        <scheme val="minor"/>
      </rPr>
      <t>stage II</t>
    </r>
    <r>
      <rPr>
        <sz val="10"/>
        <rFont val="Calibri"/>
        <family val="2"/>
        <scheme val="minor"/>
      </rPr>
      <t>); per 10,000 PY; 13 years since randomisation or 31 Dec 2009</t>
    </r>
  </si>
  <si>
    <r>
      <rPr>
        <b/>
        <sz val="10"/>
        <rFont val="Calibri"/>
        <family val="2"/>
        <scheme val="minor"/>
      </rPr>
      <t xml:space="preserve">Stage II proximal </t>
    </r>
    <r>
      <rPr>
        <sz val="10"/>
        <rFont val="Calibri"/>
        <family val="2"/>
        <scheme val="minor"/>
      </rPr>
      <t>colorectal cancers diagnosed up to 13 years since randomisation</t>
    </r>
  </si>
  <si>
    <r>
      <rPr>
        <b/>
        <sz val="10"/>
        <rFont val="Calibri"/>
        <family val="2"/>
        <scheme val="minor"/>
      </rPr>
      <t xml:space="preserve">Proximal </t>
    </r>
    <r>
      <rPr>
        <sz val="10"/>
        <rFont val="Calibri"/>
        <family val="2"/>
        <scheme val="minor"/>
      </rPr>
      <t>colorectal cancer incidence by stage (</t>
    </r>
    <r>
      <rPr>
        <b/>
        <sz val="10"/>
        <rFont val="Calibri"/>
        <family val="2"/>
        <scheme val="minor"/>
      </rPr>
      <t>stage III</t>
    </r>
    <r>
      <rPr>
        <sz val="10"/>
        <rFont val="Calibri"/>
        <family val="2"/>
        <scheme val="minor"/>
      </rPr>
      <t>); per 10,000 PY; 13 years since randomisation or 31 Dec 2009</t>
    </r>
  </si>
  <si>
    <r>
      <rPr>
        <b/>
        <sz val="10"/>
        <rFont val="Calibri"/>
        <family val="2"/>
        <scheme val="minor"/>
      </rPr>
      <t xml:space="preserve">Stage III proximal </t>
    </r>
    <r>
      <rPr>
        <sz val="10"/>
        <rFont val="Calibri"/>
        <family val="2"/>
        <scheme val="minor"/>
      </rPr>
      <t>colorectal cancers diagnosed up to 13 years since randomisation</t>
    </r>
  </si>
  <si>
    <r>
      <rPr>
        <b/>
        <sz val="10"/>
        <rFont val="Calibri"/>
        <family val="2"/>
        <scheme val="minor"/>
      </rPr>
      <t xml:space="preserve">Proximal </t>
    </r>
    <r>
      <rPr>
        <sz val="10"/>
        <rFont val="Calibri"/>
        <family val="2"/>
        <scheme val="minor"/>
      </rPr>
      <t>colorectal cancer incidence by stage (</t>
    </r>
    <r>
      <rPr>
        <b/>
        <sz val="10"/>
        <rFont val="Calibri"/>
        <family val="2"/>
        <scheme val="minor"/>
      </rPr>
      <t>stage IV</t>
    </r>
    <r>
      <rPr>
        <sz val="10"/>
        <rFont val="Calibri"/>
        <family val="2"/>
        <scheme val="minor"/>
      </rPr>
      <t>); per 10,000 PY; 13 years since randomisation or 31 Dec 2009</t>
    </r>
  </si>
  <si>
    <r>
      <rPr>
        <b/>
        <sz val="10"/>
        <rFont val="Calibri"/>
        <family val="2"/>
        <scheme val="minor"/>
      </rPr>
      <t xml:space="preserve">Stage IV proximal </t>
    </r>
    <r>
      <rPr>
        <sz val="10"/>
        <rFont val="Calibri"/>
        <family val="2"/>
        <scheme val="minor"/>
      </rPr>
      <t>colorectal cancers diagnosed up to 13 years since randomisation</t>
    </r>
  </si>
  <si>
    <t>Table 4 (nominator), Figure 1A (denominator) and text: The incidence of cancer in the proximal colon was reduced by 14.4 to 20.7%
in the intervention group for stage I, II, and III cancers (22, 34, and 25 fewer cases, respectively) but by only 2.0% (2 fewer cases) for stage IV disease... In contrast, for cancers in the proximal colon, no significant reductions in the incidence of stage IV disease or related mortality were identified.</t>
  </si>
  <si>
    <t>Colorectal cancer incidence by stage (stage I); per 10,000 PY; 31/12/2014</t>
  </si>
  <si>
    <t>During that study period, incident cancers were identified primarily through annual study update questionnaires to participants. Cancer diagnoses and tumour characteristics were confirmed through medical record review by certified tumour registrars. Staging using TNM system.</t>
  </si>
  <si>
    <t>date of death, end-of-file date (Dec 31, 2014) or Dec 31, 2009, for those who refused participation after the initial follow-up period.</t>
  </si>
  <si>
    <t>Up to 21 years</t>
  </si>
  <si>
    <t>15.9 years
(IQR 13.5 to 18.1)</t>
  </si>
  <si>
    <t>15.7 years
(IQR 12.9 to 17.9)</t>
  </si>
  <si>
    <t>Stage I colorectal cancers diagnosed up to 31/12/2014</t>
  </si>
  <si>
    <t>Colorectal cancer incidence by stage (stage II); per 10,000 PY; 31/12/2014</t>
  </si>
  <si>
    <t>Stage II colorectal cancers diagnosed up to 31/12/2014</t>
  </si>
  <si>
    <t>Colorectal cancer incidence by stage (stage III); per 10,000 PY; 31/12/2014</t>
  </si>
  <si>
    <t>Stage III colorectal cancers diagnosed up to 31/12/2014</t>
  </si>
  <si>
    <t>Colorectal cancer incidence by stage (stage IV); per 10,000 PY; 31/12/2014</t>
  </si>
  <si>
    <t>Stage IV colorectal cancers diagnosed up to 31/12/2014</t>
  </si>
  <si>
    <t>% colorectal cancers diagnosed at stage I; 31/12/2014</t>
  </si>
  <si>
    <t>During that study period, incident cancers were identified primarily through annual study update question naires to participants. Cancer diagnoses and tumour characteristics were confirmed through medical record review by certified tumour registrars.</t>
  </si>
  <si>
    <t>total number of colorectal cancers diagnosed up to 31/12/2014 (including CRC with missing stage)</t>
  </si>
  <si>
    <t>Table 3 (nominator), Table 2 (denominator)</t>
  </si>
  <si>
    <t>% colorectal cancers diagnosed at stage II; 31/12/2014</t>
  </si>
  <si>
    <t>% colorectal cancers diagnosed at stage III; 31/12/2014</t>
  </si>
  <si>
    <t>% colorectal cancers diagnosed at stage IV; 31/12/2014</t>
  </si>
  <si>
    <t>Distal colorectal cancer incidence by stage (stage I); per 10,000 PY; 31/12/2014</t>
  </si>
  <si>
    <t>83 missing stage information;
24 unknown tumour location</t>
  </si>
  <si>
    <t>75 missing stage information;
18 unknown tumour location</t>
  </si>
  <si>
    <t>Stage I distal colorectal cancers diagnosed up to 31/12/2014</t>
  </si>
  <si>
    <t>Distal colorectal cancer incidence by stage (stage II); per 10,000 PY; 31/12/2014</t>
  </si>
  <si>
    <t>Stage II distal colorectal cancers diagnosed up to 31/12/2014</t>
  </si>
  <si>
    <t>Distal colorectal cancer incidence by stage (stage III); per 10,000 PY; 31/12/2014</t>
  </si>
  <si>
    <t>Stage III distal colorectal cancers diagnosed up to 31/12/2014</t>
  </si>
  <si>
    <t>Distal colorectal cancer incidence by stage (stage IV); per 10,000 PY; 31/12/2014</t>
  </si>
  <si>
    <t>Stage IV distal colorectal cancers diagnosed up to 31/12/2014</t>
  </si>
  <si>
    <t>Proximal colorectal cancer incidence by stage (stage I); per 10,000 PY; 31/12/2014</t>
  </si>
  <si>
    <t>58 missing stage information;
24 unknown tumour location</t>
  </si>
  <si>
    <t>49 missing stage information;
18 unknown tumour location</t>
  </si>
  <si>
    <t>Stage I proximal colorectal cancers diagnosed up to 31/12/2014</t>
  </si>
  <si>
    <t>Proximal colorectal cancer incidence by stage (stage II); per 10,000 PY; 31/12/2014</t>
  </si>
  <si>
    <t>Stage II proximal colorectal cancers diagnosed up to 31/12/2014</t>
  </si>
  <si>
    <t>Proximal colorectal cancer incidence by stage (stage III); per 10,000 PY; 31/12/2014</t>
  </si>
  <si>
    <t>Stage III proximal colorectal cancers diagnosed up to 31/12/2014</t>
  </si>
  <si>
    <t>Proximal colorectal cancer incidence by stage (stage IV); per 10,000 PY; 31/12/2014</t>
  </si>
  <si>
    <t>Stage IV proximal colorectal cancers diagnosed up to 31/12/2014</t>
  </si>
  <si>
    <t>% distal colorectal cancers diagnosed at stage I; 31/12/2014</t>
  </si>
  <si>
    <t>total number of distal colorectal cancers diagnosed up to 31/12/2014 (including distal CRC with missing stage)</t>
  </si>
  <si>
    <t>% distal colorectal cancers diagnosed at stage II; 31/12/2014</t>
  </si>
  <si>
    <t>% distal colorectal cancers diagnosed at stage III; 31/12/2014</t>
  </si>
  <si>
    <t>% distal colorectal cancers diagnosed at stage IV; 31/12/2014</t>
  </si>
  <si>
    <t>% proximal colorectal cancers diagnosed at stage I; 31/12/2014</t>
  </si>
  <si>
    <t>total number of proximal colorectal cancers diagnosed up to 31/12/2014 (including proximal CRC with missing stage)</t>
  </si>
  <si>
    <t>% proximal colorectal cancers diagnosed at stage II; 31/12/2014</t>
  </si>
  <si>
    <t>% proximal colorectal cancers diagnosed at stage III; 31/12/2014</t>
  </si>
  <si>
    <t>% proximal colorectal cancers diagnosed at stage IV; 31/12/2014</t>
  </si>
  <si>
    <t>PLCO (CRC)</t>
  </si>
  <si>
    <t>25 missing stage information;
32 carcinoids without stage info</t>
  </si>
  <si>
    <t>25 missing stage information;
9 carcinoids without stage info</t>
  </si>
  <si>
    <t xml:space="preserve">6 missing stage information;
21 missing tumour location;
24 carcinoids without stage info
</t>
  </si>
  <si>
    <t xml:space="preserve">6 missing stage information;
23 missing tumour location;
3 carcinoids without stage info
</t>
  </si>
  <si>
    <t xml:space="preserve">2 missing stage information;
21 missing stage and/or missing tumour location;
8 carcinoids without stage info
</t>
  </si>
  <si>
    <t xml:space="preserve">4 missing stage information;
23 missing stage and/or missing tumour location;
6 carcinoids without stage info
</t>
  </si>
  <si>
    <t>PLCO (Bowel)</t>
  </si>
  <si>
    <t>Timepoint "main" mortality is measured in relation to "best" surrogate outcome</t>
  </si>
  <si>
    <t>Mean 9.71 years</t>
  </si>
  <si>
    <t>Lung cancer mortality (per 100,000 PY) with hazard ratio;
follow-up until June 2018;
LDCT (annual) vs LDCT (biennial)</t>
  </si>
  <si>
    <t>56 and 38 deaths from other causes in annual and biennial LDCT arms, respectively.
Calculated reciprocal of reported hazard ratio and its 95% CI.</t>
  </si>
  <si>
    <t>Lung cancer mortality (per 100,000 PY) with rate ratio;
follow-up until June 2018;
LDCT (annual) vs LDCT (biennial)</t>
  </si>
  <si>
    <t>Lung cancer mortality (per 100 people randomised) with risk ratio;
follow-up until June 2018;
LDCT (annual) vs LDCT (biennial)</t>
  </si>
  <si>
    <t>All-cause mortality (per 100,000 PY) with hazard ratio;
follow-up until June 2018;
LDCT (annual) vs LDCT (biennial)</t>
  </si>
  <si>
    <t>Calculated reciprocal of reported hazard ratio and its 95% CI.</t>
  </si>
  <si>
    <t>All-cause mortality (per 100,000 PY) with rate ratio;
follow-up until June 2018;
LDCT (annual) vs LDCT (biennial)</t>
  </si>
  <si>
    <t>All-cause mortality (per 100 people randomised) with risk ratio;
follow-up until June 2018;
LDCT (annual) vs LDCT (biennial)</t>
  </si>
  <si>
    <r>
      <t xml:space="preserve">% of lung cancers that are screen-detected </t>
    </r>
    <r>
      <rPr>
        <b/>
        <sz val="10"/>
        <rFont val="Calibri"/>
        <family val="2"/>
        <scheme val="minor"/>
      </rPr>
      <t>in people who attended baseline screening</t>
    </r>
    <r>
      <rPr>
        <sz val="10"/>
        <rFont val="Calibri"/>
        <family val="2"/>
        <scheme val="minor"/>
      </rPr>
      <t xml:space="preserve"> (7 rounds for LDCT1 and 4 rounds for LDCT2); follow-up until 31 December 2013;
Annual vs biennial LDCT</t>
    </r>
  </si>
  <si>
    <r>
      <t xml:space="preserve">Number of screen-detected lung cancers </t>
    </r>
    <r>
      <rPr>
        <b/>
        <sz val="10"/>
        <rFont val="Calibri"/>
        <family val="2"/>
        <scheme val="minor"/>
      </rPr>
      <t>in people who attended baseline screening</t>
    </r>
    <r>
      <rPr>
        <sz val="10"/>
        <rFont val="Calibri"/>
        <family val="2"/>
        <scheme val="minor"/>
      </rPr>
      <t>; follow-up until 31 December 2013</t>
    </r>
  </si>
  <si>
    <r>
      <t xml:space="preserve">Total number of lung cancers detected </t>
    </r>
    <r>
      <rPr>
        <b/>
        <sz val="10"/>
        <rFont val="Calibri"/>
        <family val="2"/>
        <scheme val="minor"/>
      </rPr>
      <t>in people who attended baseline screening</t>
    </r>
    <r>
      <rPr>
        <sz val="10"/>
        <rFont val="Calibri"/>
        <family val="2"/>
        <scheme val="minor"/>
      </rPr>
      <t>; follow-up until 31 December 2013</t>
    </r>
  </si>
  <si>
    <r>
      <t xml:space="preserve">% of lung cancers that are screen-detected </t>
    </r>
    <r>
      <rPr>
        <b/>
        <sz val="10"/>
        <rFont val="Calibri"/>
        <family val="2"/>
        <scheme val="minor"/>
      </rPr>
      <t>in people who attended baseline screening</t>
    </r>
    <r>
      <rPr>
        <sz val="10"/>
        <rFont val="Calibri"/>
        <family val="2"/>
        <scheme val="minor"/>
      </rPr>
      <t xml:space="preserve"> (7 rounds for LDCT1 and 4 rounds for LDCT2); follow-up until 31 December 2013;
LDCT (annual and biennial combined)</t>
    </r>
  </si>
  <si>
    <r>
      <t xml:space="preserve">Number of screen-detected lung cancers </t>
    </r>
    <r>
      <rPr>
        <b/>
        <sz val="10"/>
        <rFont val="Calibri"/>
        <family val="2"/>
        <scheme val="minor"/>
      </rPr>
      <t>in people who attended baseline screening</t>
    </r>
    <r>
      <rPr>
        <sz val="10"/>
        <rFont val="Calibri"/>
        <family val="2"/>
        <scheme val="minor"/>
      </rPr>
      <t xml:space="preserve"> (LDCT1 + LDCT2); follow-up until 31 December 2013</t>
    </r>
  </si>
  <si>
    <r>
      <t xml:space="preserve">Absolute incidence of early-stage lung cancers (stage I) (per 100 people </t>
    </r>
    <r>
      <rPr>
        <b/>
        <sz val="10"/>
        <rFont val="Calibri"/>
        <family val="2"/>
        <scheme val="minor"/>
      </rPr>
      <t>who attended baseline screening</t>
    </r>
    <r>
      <rPr>
        <sz val="10"/>
        <rFont val="Calibri"/>
        <family val="2"/>
        <scheme val="minor"/>
      </rPr>
      <t>);
follow-up until 31 December 2013;
Annual vs biennial LDCT</t>
    </r>
  </si>
  <si>
    <r>
      <t xml:space="preserve">Number of lung cancers diagnosed at stage I (IASLC) </t>
    </r>
    <r>
      <rPr>
        <b/>
        <sz val="10"/>
        <rFont val="Calibri"/>
        <family val="2"/>
        <scheme val="minor"/>
      </rPr>
      <t>in people who attended baseline screening</t>
    </r>
    <r>
      <rPr>
        <sz val="10"/>
        <rFont val="Calibri"/>
        <family val="2"/>
        <scheme val="minor"/>
      </rPr>
      <t>; follow-up until 31 December 2013</t>
    </r>
  </si>
  <si>
    <r>
      <t xml:space="preserve">Number of people </t>
    </r>
    <r>
      <rPr>
        <b/>
        <sz val="10"/>
        <rFont val="Calibri"/>
        <family val="2"/>
        <scheme val="minor"/>
      </rPr>
      <t>who attended baseline screening</t>
    </r>
  </si>
  <si>
    <r>
      <t xml:space="preserve">Absolute incidence of early-stage lung cancers </t>
    </r>
    <r>
      <rPr>
        <b/>
        <sz val="10"/>
        <rFont val="Calibri"/>
        <family val="2"/>
        <scheme val="minor"/>
      </rPr>
      <t>in people who attended baseline screening</t>
    </r>
    <r>
      <rPr>
        <sz val="10"/>
        <rFont val="Calibri"/>
        <family val="2"/>
        <scheme val="minor"/>
      </rPr>
      <t xml:space="preserve"> (stage I) (per 100,000 PY);
follow-up until 31 December 2013;
Annual vs biennial LDCT</t>
    </r>
  </si>
  <si>
    <r>
      <t xml:space="preserve">Person-years </t>
    </r>
    <r>
      <rPr>
        <b/>
        <sz val="10"/>
        <rFont val="Calibri"/>
        <family val="2"/>
        <scheme val="minor"/>
      </rPr>
      <t>in people who attended baseline screening</t>
    </r>
    <r>
      <rPr>
        <sz val="10"/>
        <rFont val="Calibri"/>
        <family val="2"/>
        <scheme val="minor"/>
      </rPr>
      <t>; follow-up until 31 December 2013</t>
    </r>
  </si>
  <si>
    <r>
      <t xml:space="preserve">Absolute incidence of late-stage lung cancers (stage II-IV) (per 100 people </t>
    </r>
    <r>
      <rPr>
        <b/>
        <sz val="10"/>
        <rFont val="Calibri"/>
        <family val="2"/>
        <scheme val="minor"/>
      </rPr>
      <t>who attended baseline screening</t>
    </r>
    <r>
      <rPr>
        <sz val="10"/>
        <rFont val="Calibri"/>
        <family val="2"/>
        <scheme val="minor"/>
      </rPr>
      <t>);
follow-up until 31 December 2013;
Annual vs biennial LDCT</t>
    </r>
  </si>
  <si>
    <r>
      <t xml:space="preserve">Number of lung cancers diagnosed at stage II-IV (IASLC) </t>
    </r>
    <r>
      <rPr>
        <b/>
        <sz val="10"/>
        <rFont val="Calibri"/>
        <family val="2"/>
        <scheme val="minor"/>
      </rPr>
      <t>in people who attended baseline screening</t>
    </r>
    <r>
      <rPr>
        <sz val="10"/>
        <rFont val="Calibri"/>
        <family val="2"/>
        <scheme val="minor"/>
      </rPr>
      <t>; follow-up until 31 December 2013</t>
    </r>
  </si>
  <si>
    <r>
      <t xml:space="preserve">% of lung cancers diagnosed at late-stage lung cancers (stage II-IV) </t>
    </r>
    <r>
      <rPr>
        <b/>
        <sz val="10"/>
        <rFont val="Calibri"/>
        <family val="2"/>
        <scheme val="minor"/>
      </rPr>
      <t>in people who attended baseline screening</t>
    </r>
    <r>
      <rPr>
        <sz val="10"/>
        <rFont val="Calibri"/>
        <family val="2"/>
        <scheme val="minor"/>
      </rPr>
      <t>;
follow-up until 31 December 2013;
Annual vs biennial LDCT</t>
    </r>
  </si>
  <si>
    <r>
      <t xml:space="preserve">Absolute incidence of early-stage lung cancers (stage IIa) (per 100 people </t>
    </r>
    <r>
      <rPr>
        <b/>
        <sz val="10"/>
        <rFont val="Calibri"/>
        <family val="2"/>
        <scheme val="minor"/>
      </rPr>
      <t>who attended baseline screening</t>
    </r>
    <r>
      <rPr>
        <sz val="10"/>
        <rFont val="Calibri"/>
        <family val="2"/>
        <scheme val="minor"/>
      </rPr>
      <t>);
follow-up until 31 December 2013;
Annual vs biennial LDCT</t>
    </r>
  </si>
  <si>
    <r>
      <t xml:space="preserve">Number of lung cancers diagnosed at stage IIa (IASLC) </t>
    </r>
    <r>
      <rPr>
        <b/>
        <sz val="10"/>
        <rFont val="Calibri"/>
        <family val="2"/>
        <scheme val="minor"/>
      </rPr>
      <t>in people who attended baseline screening</t>
    </r>
    <r>
      <rPr>
        <sz val="10"/>
        <rFont val="Calibri"/>
        <family val="2"/>
        <scheme val="minor"/>
      </rPr>
      <t>; follow-up until 31 December 2013</t>
    </r>
  </si>
  <si>
    <r>
      <t xml:space="preserve">Absolute incidence of early-stage lung cancers (stage IIb) (per 100 people </t>
    </r>
    <r>
      <rPr>
        <b/>
        <sz val="10"/>
        <rFont val="Calibri"/>
        <family val="2"/>
        <scheme val="minor"/>
      </rPr>
      <t>who attended baseline screening</t>
    </r>
    <r>
      <rPr>
        <sz val="10"/>
        <rFont val="Calibri"/>
        <family val="2"/>
        <scheme val="minor"/>
      </rPr>
      <t>);
follow-up until 31 December 2013;
Annual vs biennial LDCT</t>
    </r>
  </si>
  <si>
    <r>
      <t xml:space="preserve">Number of lung cancers diagnosed at stage IIb (IASLC) </t>
    </r>
    <r>
      <rPr>
        <b/>
        <sz val="10"/>
        <rFont val="Calibri"/>
        <family val="2"/>
        <scheme val="minor"/>
      </rPr>
      <t>in people who attended baseline screening</t>
    </r>
    <r>
      <rPr>
        <sz val="10"/>
        <rFont val="Calibri"/>
        <family val="2"/>
        <scheme val="minor"/>
      </rPr>
      <t>; follow-up until 31 December 2013</t>
    </r>
  </si>
  <si>
    <r>
      <t xml:space="preserve">Absolute incidence of early-stage lung cancers (stage II) (per 100 people </t>
    </r>
    <r>
      <rPr>
        <b/>
        <sz val="10"/>
        <rFont val="Calibri"/>
        <family val="2"/>
        <scheme val="minor"/>
      </rPr>
      <t>who attended baseline screening</t>
    </r>
    <r>
      <rPr>
        <sz val="10"/>
        <rFont val="Calibri"/>
        <family val="2"/>
        <scheme val="minor"/>
      </rPr>
      <t>);
follow-up until 31 December 2013;
Annual vs biennial LDCT</t>
    </r>
  </si>
  <si>
    <r>
      <t xml:space="preserve">Number of lung cancers diagnosed at stage II (IIa + IIb) (IASLC) </t>
    </r>
    <r>
      <rPr>
        <b/>
        <sz val="10"/>
        <rFont val="Calibri"/>
        <family val="2"/>
        <scheme val="minor"/>
      </rPr>
      <t>in people who attended baseline screening</t>
    </r>
    <r>
      <rPr>
        <sz val="10"/>
        <rFont val="Calibri"/>
        <family val="2"/>
        <scheme val="minor"/>
      </rPr>
      <t>; follow-up until 31 December 2013</t>
    </r>
  </si>
  <si>
    <r>
      <t xml:space="preserve">Absolute incidence of early-stage lung cancers (stage IIIa) (per 100 people </t>
    </r>
    <r>
      <rPr>
        <b/>
        <sz val="10"/>
        <rFont val="Calibri"/>
        <family val="2"/>
        <scheme val="minor"/>
      </rPr>
      <t>who attended baseline screening</t>
    </r>
    <r>
      <rPr>
        <sz val="10"/>
        <rFont val="Calibri"/>
        <family val="2"/>
        <scheme val="minor"/>
      </rPr>
      <t>);
follow-up until 31 December 2013;
Annual vs biennial LDCT</t>
    </r>
  </si>
  <si>
    <r>
      <t xml:space="preserve">Number of lung cancers diagnosed at stage IIIa (IASLC) </t>
    </r>
    <r>
      <rPr>
        <b/>
        <sz val="10"/>
        <rFont val="Calibri"/>
        <family val="2"/>
        <scheme val="minor"/>
      </rPr>
      <t>in people who attended baseline screening</t>
    </r>
    <r>
      <rPr>
        <sz val="10"/>
        <rFont val="Calibri"/>
        <family val="2"/>
        <scheme val="minor"/>
      </rPr>
      <t>; follow-up until 31 December 2013</t>
    </r>
  </si>
  <si>
    <r>
      <t xml:space="preserve">Absolute incidence of early-stage lung cancers (stage IIIb) (per 100 people </t>
    </r>
    <r>
      <rPr>
        <b/>
        <sz val="10"/>
        <rFont val="Calibri"/>
        <family val="2"/>
        <scheme val="minor"/>
      </rPr>
      <t>who attended baseline screening</t>
    </r>
    <r>
      <rPr>
        <sz val="10"/>
        <rFont val="Calibri"/>
        <family val="2"/>
        <scheme val="minor"/>
      </rPr>
      <t>);
follow-up until 31 December 2013;
Annual vs biennial LDCT</t>
    </r>
  </si>
  <si>
    <r>
      <t xml:space="preserve">Number of lung cancers diagnosed at stage IIIb (IASLC) </t>
    </r>
    <r>
      <rPr>
        <b/>
        <sz val="10"/>
        <rFont val="Calibri"/>
        <family val="2"/>
        <scheme val="minor"/>
      </rPr>
      <t>in people who attended baseline screening</t>
    </r>
    <r>
      <rPr>
        <sz val="10"/>
        <rFont val="Calibri"/>
        <family val="2"/>
        <scheme val="minor"/>
      </rPr>
      <t>; follow-up until 31 December 2013</t>
    </r>
  </si>
  <si>
    <r>
      <t xml:space="preserve">Number of lung cancers diagnosed at stage III (IIIa + IIIb) (IASLC) </t>
    </r>
    <r>
      <rPr>
        <b/>
        <sz val="10"/>
        <rFont val="Calibri"/>
        <family val="2"/>
        <scheme val="minor"/>
      </rPr>
      <t>in people who attended baseline screening</t>
    </r>
    <r>
      <rPr>
        <sz val="10"/>
        <rFont val="Calibri"/>
        <family val="2"/>
        <scheme val="minor"/>
      </rPr>
      <t>; follow-up until 31 December 2013</t>
    </r>
  </si>
  <si>
    <r>
      <t xml:space="preserve">Number of lung cancers diagnosed at stage IV (IASLC) </t>
    </r>
    <r>
      <rPr>
        <b/>
        <sz val="10"/>
        <rFont val="Calibri"/>
        <family val="2"/>
        <scheme val="minor"/>
      </rPr>
      <t>in people who attended baseline screening</t>
    </r>
    <r>
      <rPr>
        <sz val="10"/>
        <rFont val="Calibri"/>
        <family val="2"/>
        <scheme val="minor"/>
      </rPr>
      <t>; follow-up until 31 December 2013</t>
    </r>
  </si>
  <si>
    <t xml:space="preserve">Mean 9.56 years;
</t>
  </si>
  <si>
    <t>Mean 9.56 years</t>
  </si>
  <si>
    <t>Absolute incidence of stage I lung cancers (per 100 people); follow-up until June 2018;
LDCT (annual) vs LDCT (biennial)</t>
  </si>
  <si>
    <t>Absolute incidence of late stage (stage II-IV) lung cancers (per 100 people); follow-up until June 2018;
LDCT (annual) vs LDCT (biennial)</t>
  </si>
  <si>
    <t>% of lung cancers diagnosed at late stage (stage II-IV); follow-up until June 2018;
LDCT (annual) vs LDCT (biennial)</t>
  </si>
  <si>
    <t>Diagnostic yield at screening; follow-up until June 2018;
LDCT (annual) vs LDCT (biennial)</t>
  </si>
  <si>
    <t>% of lung cancers that are screen-detected; follow-up until June 2018;
LDCT (annual) vs LDCT (biennial)</t>
  </si>
  <si>
    <t>Censoring of data (15/01/2009)</t>
  </si>
  <si>
    <r>
      <t>% of invasive breast cancers diagnosed at late stage (</t>
    </r>
    <r>
      <rPr>
        <b/>
        <sz val="10"/>
        <rFont val="Calibri"/>
        <family val="2"/>
        <scheme val="minor"/>
      </rPr>
      <t>lymph node-positive</t>
    </r>
    <r>
      <rPr>
        <sz val="10"/>
        <rFont val="Calibri"/>
        <family val="2"/>
        <scheme val="minor"/>
      </rPr>
      <t xml:space="preserve"> tumours) </t>
    </r>
    <r>
      <rPr>
        <b/>
        <sz val="10"/>
        <rFont val="Calibri"/>
        <family val="2"/>
        <scheme val="minor"/>
      </rPr>
      <t xml:space="preserve">in women aged 39-44 years </t>
    </r>
    <r>
      <rPr>
        <sz val="10"/>
        <rFont val="Calibri"/>
        <family val="2"/>
        <scheme val="minor"/>
      </rPr>
      <t>during the screening phase;
study vs control group</t>
    </r>
  </si>
  <si>
    <r>
      <t>% of invasive breast cancers diagnosed at late stage (</t>
    </r>
    <r>
      <rPr>
        <b/>
        <sz val="10"/>
        <rFont val="Calibri"/>
        <family val="2"/>
        <scheme val="minor"/>
      </rPr>
      <t>lymph node-positive</t>
    </r>
    <r>
      <rPr>
        <sz val="10"/>
        <rFont val="Calibri"/>
        <family val="2"/>
        <scheme val="minor"/>
      </rPr>
      <t xml:space="preserve"> tumours) </t>
    </r>
    <r>
      <rPr>
        <b/>
        <sz val="10"/>
        <rFont val="Calibri"/>
        <family val="2"/>
        <scheme val="minor"/>
      </rPr>
      <t xml:space="preserve">in women aged 45-49 years </t>
    </r>
    <r>
      <rPr>
        <sz val="10"/>
        <rFont val="Calibri"/>
        <family val="2"/>
        <scheme val="minor"/>
      </rPr>
      <t>during the screening phase;
study vs control group</t>
    </r>
  </si>
  <si>
    <r>
      <t>% of invasive breast cancers diagnosed at late stage (</t>
    </r>
    <r>
      <rPr>
        <b/>
        <sz val="10"/>
        <rFont val="Calibri"/>
        <family val="2"/>
        <scheme val="minor"/>
      </rPr>
      <t>lymph node-positive</t>
    </r>
    <r>
      <rPr>
        <sz val="10"/>
        <rFont val="Calibri"/>
        <family val="2"/>
        <scheme val="minor"/>
      </rPr>
      <t xml:space="preserve"> tumours) </t>
    </r>
    <r>
      <rPr>
        <b/>
        <sz val="10"/>
        <rFont val="Calibri"/>
        <family val="2"/>
        <scheme val="minor"/>
      </rPr>
      <t xml:space="preserve">in women aged 50-54 years </t>
    </r>
    <r>
      <rPr>
        <sz val="10"/>
        <rFont val="Calibri"/>
        <family val="2"/>
        <scheme val="minor"/>
      </rPr>
      <t>during the screening phase;
study vs control group</t>
    </r>
  </si>
  <si>
    <r>
      <t>% of invasive breast cancers diagnosed at late stage (</t>
    </r>
    <r>
      <rPr>
        <b/>
        <sz val="10"/>
        <rFont val="Calibri"/>
        <family val="2"/>
        <scheme val="minor"/>
      </rPr>
      <t>lymph node-positive</t>
    </r>
    <r>
      <rPr>
        <sz val="10"/>
        <rFont val="Calibri"/>
        <family val="2"/>
        <scheme val="minor"/>
      </rPr>
      <t xml:space="preserve"> tumours) </t>
    </r>
    <r>
      <rPr>
        <b/>
        <sz val="10"/>
        <rFont val="Calibri"/>
        <family val="2"/>
        <scheme val="minor"/>
      </rPr>
      <t xml:space="preserve">in women aged 55-59 years </t>
    </r>
    <r>
      <rPr>
        <sz val="10"/>
        <rFont val="Calibri"/>
        <family val="2"/>
        <scheme val="minor"/>
      </rPr>
      <t>during the screening phase;
study vs control group</t>
    </r>
  </si>
  <si>
    <r>
      <t xml:space="preserve">% of </t>
    </r>
    <r>
      <rPr>
        <b/>
        <sz val="10"/>
        <rFont val="Calibri"/>
        <family val="2"/>
        <scheme val="minor"/>
      </rPr>
      <t>DCIS +</t>
    </r>
    <r>
      <rPr>
        <sz val="10"/>
        <rFont val="Calibri"/>
        <family val="2"/>
        <scheme val="minor"/>
      </rPr>
      <t xml:space="preserve"> </t>
    </r>
    <r>
      <rPr>
        <b/>
        <sz val="10"/>
        <rFont val="Calibri"/>
        <family val="2"/>
        <scheme val="minor"/>
      </rPr>
      <t>invasive carcinoma</t>
    </r>
    <r>
      <rPr>
        <sz val="10"/>
        <rFont val="Calibri"/>
        <family val="2"/>
        <scheme val="minor"/>
      </rPr>
      <t xml:space="preserve"> that are screen-detected  between randomisation and  the completion of the control group screen; 5 screening rounds (study) or screen 1 (controls);
study group vs control group</t>
    </r>
  </si>
  <si>
    <t>Number of DCIS + invasive carcinoma detected between randomisation and  the completion of the control group screen (including those screen-detected during this
period but histologically confirmed within 30 days thereafter) (screen-detected, interval cancer, nonattenders, symptomatic before exit screen)</t>
  </si>
  <si>
    <t>~21,000</t>
  </si>
  <si>
    <t>Autier 2009</t>
  </si>
  <si>
    <t>Absolute incidence of stage II-IV (UICC) breast cancer diagnosed during intervention period (=mammographic screening was offered to women in the intervention group but not to those in the control group); median 14 years</t>
  </si>
  <si>
    <t>As in Andersson 1988 (#3852)</t>
  </si>
  <si>
    <t>6-8</t>
  </si>
  <si>
    <t>Number of breast cancer with UICC stage II-IV detected in intervention period (=mammographic screening was offered to women in the intervention group but not to those in the control group); median 14 years</t>
  </si>
  <si>
    <t>Uses data from Andersson 1988 (#3952) but includes cancers diagnosed in the screening period only and reports number of events.</t>
  </si>
  <si>
    <t>Median 15.5 years
(Lower limit 15.3; upper limit 16.8)</t>
  </si>
  <si>
    <t>Median 19.2 years (Range 18.3-20.2)</t>
  </si>
  <si>
    <r>
      <t>Breast cancer mortality (per 1,000 PY); cancers diagnosed &gt;1 month after the last invited women in the birth cohort excluded (</t>
    </r>
    <r>
      <rPr>
        <b/>
        <sz val="10"/>
        <rFont val="Calibri"/>
        <family val="2"/>
        <scheme val="minor"/>
      </rPr>
      <t>including breast cancer deaths not reported to the cancer registry)</t>
    </r>
    <r>
      <rPr>
        <sz val="10"/>
        <rFont val="Calibri"/>
        <family val="2"/>
        <scheme val="minor"/>
      </rPr>
      <t>; follow-up until 31/12/2007;
study vs control group</t>
    </r>
  </si>
  <si>
    <r>
      <t xml:space="preserve">Number of deaths with breast cancer as underlying cause of death; cancers diagnosed &gt;1 month after the last invited women in the birth cohort excluded </t>
    </r>
    <r>
      <rPr>
        <b/>
        <sz val="10"/>
        <rFont val="Calibri"/>
        <family val="2"/>
        <scheme val="minor"/>
      </rPr>
      <t>(including breast cancer deaths not reported to the cancer registry)</t>
    </r>
    <r>
      <rPr>
        <sz val="10"/>
        <rFont val="Calibri"/>
        <family val="2"/>
        <scheme val="minor"/>
      </rPr>
      <t>; follow-up until 31/12/2007</t>
    </r>
  </si>
  <si>
    <t>Breast cancer mortality (per 1,000 women) in cases diagnosed in the intervention period (=mammographic screening was offered to women in the intervention group but not to those in the control group); FU time unclear (13-18 years for all trials)</t>
  </si>
  <si>
    <t>Number of breast cancer deaths in cases diagnosed in the intervention period (=mammographic screening was offered to women in the intervention group but not to those in the control group); FU time unclear (13-18 years for all trials)</t>
  </si>
  <si>
    <t>Can't find underlying paper by Andersson I, Nystrom L: Mammography screening. J Natl Cancer Inst 87:1263-1264, 1995. Might be a conference abstract?
The RRs of breast cancer death are the most recent published, with follow-up periods being longer than the intervention period.</t>
  </si>
  <si>
    <r>
      <t>% of breast cancers (invasive + DCIS) diagnosed at late stage (</t>
    </r>
    <r>
      <rPr>
        <b/>
        <sz val="10"/>
        <rFont val="Calibri"/>
        <family val="2"/>
        <scheme val="minor"/>
      </rPr>
      <t>lymph node-positive</t>
    </r>
    <r>
      <rPr>
        <sz val="10"/>
        <rFont val="Calibri"/>
        <family val="2"/>
        <scheme val="minor"/>
      </rPr>
      <t xml:space="preserve"> tumours) during the screening phase </t>
    </r>
    <r>
      <rPr>
        <b/>
        <sz val="10"/>
        <rFont val="Calibri"/>
        <family val="2"/>
        <scheme val="minor"/>
      </rPr>
      <t>in women aged 39-49 years</t>
    </r>
    <r>
      <rPr>
        <sz val="10"/>
        <rFont val="Calibri"/>
        <family val="2"/>
        <scheme val="minor"/>
      </rPr>
      <t>;
study vs control group</t>
    </r>
  </si>
  <si>
    <r>
      <t>% of breast cancers (invasive + DCIS) diagnosed at late stage (</t>
    </r>
    <r>
      <rPr>
        <b/>
        <sz val="10"/>
        <rFont val="Calibri"/>
        <family val="2"/>
        <scheme val="minor"/>
      </rPr>
      <t>lymph node-positive</t>
    </r>
    <r>
      <rPr>
        <sz val="10"/>
        <rFont val="Calibri"/>
        <family val="2"/>
        <scheme val="minor"/>
      </rPr>
      <t xml:space="preserve"> tumours) during the screening phase;
study vs control group</t>
    </r>
  </si>
  <si>
    <r>
      <t>% of breast cancers (invasive + DCIS) diagnosed at late stage (</t>
    </r>
    <r>
      <rPr>
        <b/>
        <sz val="10"/>
        <rFont val="Calibri"/>
        <family val="2"/>
        <scheme val="minor"/>
      </rPr>
      <t>lymph node-positive</t>
    </r>
    <r>
      <rPr>
        <sz val="10"/>
        <rFont val="Calibri"/>
        <family val="2"/>
        <scheme val="minor"/>
      </rPr>
      <t xml:space="preserve"> tumours) </t>
    </r>
    <r>
      <rPr>
        <b/>
        <sz val="10"/>
        <rFont val="Calibri"/>
        <family val="2"/>
        <scheme val="minor"/>
      </rPr>
      <t xml:space="preserve">in women aged 39-44 years </t>
    </r>
    <r>
      <rPr>
        <sz val="10"/>
        <rFont val="Calibri"/>
        <family val="2"/>
        <scheme val="minor"/>
      </rPr>
      <t>during the screening phase;
study vs control group</t>
    </r>
  </si>
  <si>
    <r>
      <t>% of breast cancers (invasive + DCIS) diagnosed at late stage (</t>
    </r>
    <r>
      <rPr>
        <b/>
        <sz val="10"/>
        <rFont val="Calibri"/>
        <family val="2"/>
        <scheme val="minor"/>
      </rPr>
      <t>lymph node-positive</t>
    </r>
    <r>
      <rPr>
        <sz val="10"/>
        <rFont val="Calibri"/>
        <family val="2"/>
        <scheme val="minor"/>
      </rPr>
      <t xml:space="preserve"> tumours) </t>
    </r>
    <r>
      <rPr>
        <b/>
        <sz val="10"/>
        <rFont val="Calibri"/>
        <family val="2"/>
        <scheme val="minor"/>
      </rPr>
      <t xml:space="preserve">in women aged 45-49 years </t>
    </r>
    <r>
      <rPr>
        <sz val="10"/>
        <rFont val="Calibri"/>
        <family val="2"/>
        <scheme val="minor"/>
      </rPr>
      <t>during the screening phase;
study vs control group</t>
    </r>
  </si>
  <si>
    <r>
      <t>% of breast cancers (invasive + DCIS) diagnosed at late stage (</t>
    </r>
    <r>
      <rPr>
        <b/>
        <sz val="10"/>
        <rFont val="Calibri"/>
        <family val="2"/>
        <scheme val="minor"/>
      </rPr>
      <t>lymph node-positive</t>
    </r>
    <r>
      <rPr>
        <sz val="10"/>
        <rFont val="Calibri"/>
        <family val="2"/>
        <scheme val="minor"/>
      </rPr>
      <t xml:space="preserve"> tumours) </t>
    </r>
    <r>
      <rPr>
        <b/>
        <sz val="10"/>
        <rFont val="Calibri"/>
        <family val="2"/>
        <scheme val="minor"/>
      </rPr>
      <t xml:space="preserve">in women aged 50-54 years </t>
    </r>
    <r>
      <rPr>
        <sz val="10"/>
        <rFont val="Calibri"/>
        <family val="2"/>
        <scheme val="minor"/>
      </rPr>
      <t>during the screening phase;
study vs control group</t>
    </r>
  </si>
  <si>
    <r>
      <t>% of breast cancers (invasive + DCIS) diagnosed at late stage (</t>
    </r>
    <r>
      <rPr>
        <b/>
        <sz val="10"/>
        <rFont val="Calibri"/>
        <family val="2"/>
        <scheme val="minor"/>
      </rPr>
      <t>lymph node-positive</t>
    </r>
    <r>
      <rPr>
        <sz val="10"/>
        <rFont val="Calibri"/>
        <family val="2"/>
        <scheme val="minor"/>
      </rPr>
      <t xml:space="preserve"> tumours) </t>
    </r>
    <r>
      <rPr>
        <b/>
        <sz val="10"/>
        <rFont val="Calibri"/>
        <family val="2"/>
        <scheme val="minor"/>
      </rPr>
      <t xml:space="preserve">in women aged 55-59 years </t>
    </r>
    <r>
      <rPr>
        <sz val="10"/>
        <rFont val="Calibri"/>
        <family val="2"/>
        <scheme val="minor"/>
      </rPr>
      <t>during the screening phase;
study vs control group</t>
    </r>
  </si>
  <si>
    <r>
      <t xml:space="preserve">Total number of breast cancers (invasive + DCIS) diagnosed </t>
    </r>
    <r>
      <rPr>
        <b/>
        <sz val="10"/>
        <rFont val="Calibri"/>
        <family val="2"/>
        <scheme val="minor"/>
      </rPr>
      <t xml:space="preserve">in women aged 55-59 years </t>
    </r>
    <r>
      <rPr>
        <sz val="10"/>
        <rFont val="Calibri"/>
        <family val="2"/>
        <scheme val="minor"/>
      </rPr>
      <t>during the screening phase (including cases with unknown node status)</t>
    </r>
  </si>
  <si>
    <r>
      <t>% of invasive breast cancers diagnosed at late stage (</t>
    </r>
    <r>
      <rPr>
        <b/>
        <sz val="10"/>
        <rFont val="Calibri"/>
        <family val="2"/>
        <scheme val="minor"/>
      </rPr>
      <t>lymph node-positive</t>
    </r>
    <r>
      <rPr>
        <sz val="10"/>
        <rFont val="Calibri"/>
        <family val="2"/>
        <scheme val="minor"/>
      </rPr>
      <t xml:space="preserve"> tumours) </t>
    </r>
    <r>
      <rPr>
        <b/>
        <sz val="10"/>
        <rFont val="Calibri"/>
        <family val="2"/>
        <scheme val="minor"/>
      </rPr>
      <t xml:space="preserve">in women aged 39-49 years </t>
    </r>
    <r>
      <rPr>
        <sz val="10"/>
        <rFont val="Calibri"/>
        <family val="2"/>
        <scheme val="minor"/>
      </rPr>
      <t>during the screening phase;
study vs control group</t>
    </r>
  </si>
  <si>
    <r>
      <t>% of breast cancers (invasive + DCIS) diagnosed at late stage (</t>
    </r>
    <r>
      <rPr>
        <b/>
        <sz val="10"/>
        <rFont val="Calibri"/>
        <family val="2"/>
        <scheme val="minor"/>
      </rPr>
      <t>lymph node-positive</t>
    </r>
    <r>
      <rPr>
        <sz val="10"/>
        <rFont val="Calibri"/>
        <family val="2"/>
        <scheme val="minor"/>
      </rPr>
      <t xml:space="preserve"> tumours) </t>
    </r>
    <r>
      <rPr>
        <b/>
        <sz val="10"/>
        <rFont val="Calibri"/>
        <family val="2"/>
        <scheme val="minor"/>
      </rPr>
      <t xml:space="preserve">in women aged 39-49 years </t>
    </r>
    <r>
      <rPr>
        <sz val="10"/>
        <rFont val="Calibri"/>
        <family val="2"/>
        <scheme val="minor"/>
      </rPr>
      <t>during the screening phase;
study vs control group</t>
    </r>
  </si>
  <si>
    <r>
      <t xml:space="preserve">Total number of breast cancers (invasive + DCIS) diagnosed </t>
    </r>
    <r>
      <rPr>
        <b/>
        <sz val="10"/>
        <rFont val="Calibri"/>
        <family val="2"/>
        <scheme val="minor"/>
      </rPr>
      <t xml:space="preserve">in women aged 39-49 years </t>
    </r>
    <r>
      <rPr>
        <sz val="10"/>
        <rFont val="Calibri"/>
        <family val="2"/>
        <scheme val="minor"/>
      </rPr>
      <t>during the screening phase (including cases with unknown node status)</t>
    </r>
  </si>
  <si>
    <t>Women born between 1908 and 1922 not invited to exit screen in 1992/1993.
Weighted RRs and CIs were calculated by
Mantel-Haenszel procedures.</t>
  </si>
  <si>
    <t>Women born between 1908 and 1922 not invited to exit screen in 1992/1993.
Even if these women were diagnosed with breast cancer and died with breast cancer as the underlying cause of death during the period between the last screening and the time for follow-up, Dec 31, 1996, they were included in the analysis.
Weighted RRs and CIs were calculated by
Mantel-Haenszel procedures.</t>
  </si>
  <si>
    <t>Same</t>
  </si>
  <si>
    <t>Later</t>
  </si>
  <si>
    <t>HCC mortality (per 100,000 PY);
follow-up until 31 December 1997</t>
  </si>
  <si>
    <t>HCC mortality (per 1,000 people);
follow-up until 31 December 1997</t>
  </si>
  <si>
    <t>Invasiveness &amp; size</t>
  </si>
  <si>
    <t>Table 1 (numerator), #246 for denominator</t>
  </si>
  <si>
    <t>Table 1 (numerator), #246 for denominator and text: However, so far there has been no difference in the cumulative incidence of
advanced cases (Dukes D) between the test group as a whole and the control group,…</t>
  </si>
  <si>
    <t>Table 4 (numerator), #246 for denominator</t>
  </si>
  <si>
    <r>
      <t xml:space="preserve">Adenoma </t>
    </r>
    <r>
      <rPr>
        <sz val="10"/>
        <rFont val="Calibri"/>
        <family val="2"/>
      </rPr>
      <t>≥</t>
    </r>
    <r>
      <rPr>
        <sz val="9.6"/>
        <rFont val="Calibri"/>
        <family val="2"/>
      </rPr>
      <t>1 cm</t>
    </r>
  </si>
  <si>
    <t>&lt;0.03</t>
  </si>
  <si>
    <t>Table VI and text: Thus. significantly (p &lt; 0.03) more stage-A carcinomas were diagnosed in the test group than
in the control group during the screening period,..</t>
  </si>
  <si>
    <r>
      <t xml:space="preserve">Absolute incidence of adenoma </t>
    </r>
    <r>
      <rPr>
        <sz val="10"/>
        <rFont val="Calibri"/>
        <family val="2"/>
      </rPr>
      <t>≥1 to &lt;2 cm</t>
    </r>
    <r>
      <rPr>
        <sz val="10"/>
        <rFont val="Calibri"/>
        <family val="2"/>
        <scheme val="minor"/>
      </rPr>
      <t>; per 1,000 people randomised; all cohorts (DOB 1918-1931); up to 31/12/2001;
Screening vs control</t>
    </r>
  </si>
  <si>
    <t>Adenoma ≥1 to &lt;2 cm</t>
  </si>
  <si>
    <t>Number of people with adenomas ≥1 to &lt;2 cm; all cohorts (DOB 1918-1931); up to 31/12/2001</t>
  </si>
  <si>
    <r>
      <t xml:space="preserve">Absolute incidence of adenoma </t>
    </r>
    <r>
      <rPr>
        <sz val="10"/>
        <rFont val="Calibri"/>
        <family val="2"/>
      </rPr>
      <t>≥1 to &lt;2 cm</t>
    </r>
    <r>
      <rPr>
        <sz val="10"/>
        <rFont val="Calibri"/>
        <family val="2"/>
        <scheme val="minor"/>
      </rPr>
      <t>; per 1,000 PY; all cohorts (DOB 1918-1931); up to 31/12/2001;
Screening vs control</t>
    </r>
  </si>
  <si>
    <t xml:space="preserve">Absolute incidence of advanced (stage II-IV) invasive breast cancers (per 10,000 women, including women born on the 31st in the SP group); up to January 1986;
screening vs control arm
</t>
  </si>
  <si>
    <t>Number of advanced (stage II-IV), invasive breast cancers up to January 1986 (including cases in women born on the 31st)</t>
  </si>
  <si>
    <t xml:space="preserve">Absolute incidence of advanced (stage II-IV) invasive breast cancers (per 10,000 women); up to January 1986; 
CP corrected for size; SP excluding women born on 31st;
screening vs control arm
</t>
  </si>
  <si>
    <t>Number of advanced (stage II-IV), invasive breast cancers up to January 1986;
study group excludes cancers in women born on 31st; control group corrected for size (see "Notes")</t>
  </si>
  <si>
    <t>Number of women randomised to screening arm born 1-10 and 21-30; numbers in control group corrected for size (see "Notes")</t>
  </si>
  <si>
    <t>Excluded 1,154 women born on 31st from SP to simplify the numerical comparisons. 
CP women born on the 11th being matched with SP women born on the 1st and the 21st, and so on, leading to
19,813 SP women born 1-10 matched with 19,943 CP women born 11-20 AND
19,351 SP women birn 21-30 matched with 19,859 CP women born 11-20.</t>
  </si>
  <si>
    <t xml:space="preserve">Absolute incidence of CIS and stage I invasive breast cancers (per 10,000 women); up to January 1986; 
CP corrected for size; SP excluding women born on 31st;
screening vs control arm
</t>
  </si>
  <si>
    <t>Number of CIS and stage I invasive breast cancers up to January 1986;
study group excludes cancers in women born on 31st; control group corrected for size (see "Notes")</t>
  </si>
  <si>
    <r>
      <t xml:space="preserve">Absolute incidence of advanced (stage II-IV) invasive breast cancers (per 10,000 women); </t>
    </r>
    <r>
      <rPr>
        <b/>
        <sz val="10"/>
        <rFont val="Calibri"/>
        <family val="2"/>
        <scheme val="minor"/>
      </rPr>
      <t>1 year after randomisation</t>
    </r>
    <r>
      <rPr>
        <sz val="10"/>
        <rFont val="Calibri"/>
        <family val="2"/>
        <scheme val="minor"/>
      </rPr>
      <t xml:space="preserve">; 
CP corrected for size; SP excluding women born on 31st;
screening vs control arm
</t>
    </r>
  </si>
  <si>
    <r>
      <t xml:space="preserve">Number of advanced (stage II-IV), invasive breast cancers; </t>
    </r>
    <r>
      <rPr>
        <b/>
        <sz val="10"/>
        <rFont val="Calibri"/>
        <family val="2"/>
        <scheme val="minor"/>
      </rPr>
      <t xml:space="preserve">1 year after randomisation; 
</t>
    </r>
    <r>
      <rPr>
        <sz val="10"/>
        <rFont val="Calibri"/>
        <family val="2"/>
        <scheme val="minor"/>
      </rPr>
      <t>study group excludes cancers in women born on 31st; control group corrected for size (see "Notes")</t>
    </r>
  </si>
  <si>
    <t xml:space="preserve">Excluded 1,154 women born on 31st from SP to simplify the numerical comparisons. 
CP women born on the 11th being matched with SP women born on the 1st and the 21st, and so on, leading to
19,813 SP women born 1-10 matched with 19,943 CP women born 11-20 AND
19,351 SP women birn 21-30 matched with 19,859 CP women born 11-20.
Number of new stage II+ cancer cases per year after randomisation reported in Table 6 adds up to the total number reported in Table 5 (143 for SP and 150 for CP). </t>
  </si>
  <si>
    <r>
      <t xml:space="preserve">Absolute incidence of CIS and stage I invasive breast cancers (per 10,000 women); </t>
    </r>
    <r>
      <rPr>
        <b/>
        <sz val="10"/>
        <rFont val="Calibri"/>
        <family val="2"/>
        <scheme val="minor"/>
      </rPr>
      <t>1 year after randomisation</t>
    </r>
    <r>
      <rPr>
        <sz val="10"/>
        <rFont val="Calibri"/>
        <family val="2"/>
        <scheme val="minor"/>
      </rPr>
      <t xml:space="preserve">; 
CP corrected for size; SP excluding women born on 31st;
screening vs control arm
</t>
    </r>
  </si>
  <si>
    <r>
      <t xml:space="preserve">Number of CIS + stage I invasive breast cancers; </t>
    </r>
    <r>
      <rPr>
        <b/>
        <sz val="10"/>
        <rFont val="Calibri"/>
        <family val="2"/>
        <scheme val="minor"/>
      </rPr>
      <t>1 year after randomisation</t>
    </r>
    <r>
      <rPr>
        <sz val="10"/>
        <rFont val="Calibri"/>
        <family val="2"/>
        <scheme val="minor"/>
      </rPr>
      <t>; study group excludes cancers in women born on 31st; control group corrected for size (see "Notes")</t>
    </r>
  </si>
  <si>
    <t>Excluded 1,154 women born on 31st from SP to simplify the numerical comparisons. 
CP women born on the 11th being matched with SP women born on the 1st and the 21st, and so on, leading to
19,813 SP women born 1-10 matched with 19,943 CP women born 11-20 AND
19,351 SP women birn 21-30 matched with 19,859 CP women born 11-20.
Number of new cancer cases (CIS and stage I-IV) per year after randomisation reported in Table 6 adds up to the total number reported in Table 5 for CP (257) and differs by 1 cancer case for SP (372 instead of 371).</t>
  </si>
  <si>
    <r>
      <t>Absolute incidence of advanced (stage II-IV) invasive breast cancers (per 10,000 women);</t>
    </r>
    <r>
      <rPr>
        <b/>
        <sz val="10"/>
        <rFont val="Calibri"/>
        <family val="2"/>
        <scheme val="minor"/>
      </rPr>
      <t xml:space="preserve"> 2 years after randomisation</t>
    </r>
    <r>
      <rPr>
        <sz val="10"/>
        <rFont val="Calibri"/>
        <family val="2"/>
        <scheme val="minor"/>
      </rPr>
      <t xml:space="preserve">; 
CP corrected for size; SP excluding women born on 31st;
screening vs control arm
</t>
    </r>
  </si>
  <si>
    <r>
      <t xml:space="preserve">Number of advanced (stage II-IV), invasive breast cancers; </t>
    </r>
    <r>
      <rPr>
        <b/>
        <sz val="10"/>
        <rFont val="Calibri"/>
        <family val="2"/>
        <scheme val="minor"/>
      </rPr>
      <t xml:space="preserve">2 years after randomisation; 
</t>
    </r>
    <r>
      <rPr>
        <sz val="10"/>
        <rFont val="Calibri"/>
        <family val="2"/>
        <scheme val="minor"/>
      </rPr>
      <t>study group excludes cancers in women born on 31st; control group corrected for size (see "Notes")</t>
    </r>
  </si>
  <si>
    <r>
      <t>Absolute incidence of CIS and stage I invasive breast cancers (per 10,000 women);  2</t>
    </r>
    <r>
      <rPr>
        <b/>
        <sz val="10"/>
        <rFont val="Calibri"/>
        <family val="2"/>
        <scheme val="minor"/>
      </rPr>
      <t xml:space="preserve"> years after randomisation</t>
    </r>
    <r>
      <rPr>
        <sz val="10"/>
        <rFont val="Calibri"/>
        <family val="2"/>
        <scheme val="minor"/>
      </rPr>
      <t xml:space="preserve">; 
CP corrected for size; SP excluding women born on 31st;
screening vs control arm
</t>
    </r>
  </si>
  <si>
    <r>
      <t xml:space="preserve">Number of CIS + stage I invasive breast cancers; </t>
    </r>
    <r>
      <rPr>
        <b/>
        <sz val="10"/>
        <rFont val="Calibri"/>
        <family val="2"/>
        <scheme val="minor"/>
      </rPr>
      <t>2 years after randomisation</t>
    </r>
    <r>
      <rPr>
        <sz val="10"/>
        <rFont val="Calibri"/>
        <family val="2"/>
        <scheme val="minor"/>
      </rPr>
      <t>; study group excludes cancers in women born on 31st; control group corrected for size (see "Notes")</t>
    </r>
  </si>
  <si>
    <r>
      <t>Absolute incidence of advanced (stage II-IV) invasive breast cancers (per 10,000 women);</t>
    </r>
    <r>
      <rPr>
        <b/>
        <sz val="10"/>
        <rFont val="Calibri"/>
        <family val="2"/>
        <scheme val="minor"/>
      </rPr>
      <t xml:space="preserve"> 3 years after randomisation</t>
    </r>
    <r>
      <rPr>
        <sz val="10"/>
        <rFont val="Calibri"/>
        <family val="2"/>
        <scheme val="minor"/>
      </rPr>
      <t xml:space="preserve">; 
CP corrected for size; SP excluding women born on 31st;
screening vs control arm
</t>
    </r>
  </si>
  <si>
    <r>
      <t xml:space="preserve">Number of advanced (stage II-IV), invasive breast cancers; </t>
    </r>
    <r>
      <rPr>
        <b/>
        <sz val="10"/>
        <rFont val="Calibri"/>
        <family val="2"/>
        <scheme val="minor"/>
      </rPr>
      <t xml:space="preserve">3 years after randomisation; 
</t>
    </r>
    <r>
      <rPr>
        <sz val="10"/>
        <rFont val="Calibri"/>
        <family val="2"/>
        <scheme val="minor"/>
      </rPr>
      <t>study group excludes cancers in women born on 31st; control group corrected for size (see "Notes")</t>
    </r>
  </si>
  <si>
    <r>
      <t xml:space="preserve">Absolute incidence of CIS and stage I invasive breast cancers (per 10,000 women);  </t>
    </r>
    <r>
      <rPr>
        <b/>
        <sz val="10"/>
        <rFont val="Calibri"/>
        <family val="2"/>
        <scheme val="minor"/>
      </rPr>
      <t>3 years after randomisation</t>
    </r>
    <r>
      <rPr>
        <sz val="10"/>
        <rFont val="Calibri"/>
        <family val="2"/>
        <scheme val="minor"/>
      </rPr>
      <t xml:space="preserve">; 
CP corrected for size; SP excluding women born on 31st;
screening vs control arm
</t>
    </r>
  </si>
  <si>
    <r>
      <t xml:space="preserve">Number of CIS + stage I invasive breast cancers; </t>
    </r>
    <r>
      <rPr>
        <b/>
        <sz val="10"/>
        <rFont val="Calibri"/>
        <family val="2"/>
        <scheme val="minor"/>
      </rPr>
      <t>3 years after randomisation</t>
    </r>
    <r>
      <rPr>
        <sz val="10"/>
        <rFont val="Calibri"/>
        <family val="2"/>
        <scheme val="minor"/>
      </rPr>
      <t>; study group excludes cancers in women born on 31st; control group corrected for size (see "Notes")</t>
    </r>
  </si>
  <si>
    <r>
      <t>Absolute incidence of advanced (stage II-IV) invasive breast cancers (per 10,000 women);</t>
    </r>
    <r>
      <rPr>
        <b/>
        <sz val="10"/>
        <rFont val="Calibri"/>
        <family val="2"/>
        <scheme val="minor"/>
      </rPr>
      <t xml:space="preserve"> 4 years after randomisation</t>
    </r>
    <r>
      <rPr>
        <sz val="10"/>
        <rFont val="Calibri"/>
        <family val="2"/>
        <scheme val="minor"/>
      </rPr>
      <t xml:space="preserve">; 
CP corrected for size; SP excluding women born on 31st;
screening vs control arm
</t>
    </r>
  </si>
  <si>
    <r>
      <t xml:space="preserve">Number of advanced (stage II-IV), invasive breast cancers; </t>
    </r>
    <r>
      <rPr>
        <b/>
        <sz val="10"/>
        <rFont val="Calibri"/>
        <family val="2"/>
        <scheme val="minor"/>
      </rPr>
      <t xml:space="preserve">4 years after randomisation; 
</t>
    </r>
    <r>
      <rPr>
        <sz val="10"/>
        <rFont val="Calibri"/>
        <family val="2"/>
        <scheme val="minor"/>
      </rPr>
      <t>study group excludes cancers in women born on 31st; control group corrected for size (see "Notes")</t>
    </r>
  </si>
  <si>
    <r>
      <t xml:space="preserve">Absolute incidence of CIS and stage I invasive breast cancers (per 10,000 women);  </t>
    </r>
    <r>
      <rPr>
        <b/>
        <sz val="10"/>
        <rFont val="Calibri"/>
        <family val="2"/>
        <scheme val="minor"/>
      </rPr>
      <t>4 years after randomisation</t>
    </r>
    <r>
      <rPr>
        <sz val="10"/>
        <rFont val="Calibri"/>
        <family val="2"/>
        <scheme val="minor"/>
      </rPr>
      <t xml:space="preserve">; 
CP corrected for size; SP excluding women born on 31st;
screening vs control arm
</t>
    </r>
  </si>
  <si>
    <r>
      <t xml:space="preserve">Number of CIS + stage I invasive breast cancers; </t>
    </r>
    <r>
      <rPr>
        <b/>
        <sz val="10"/>
        <rFont val="Calibri"/>
        <family val="2"/>
        <scheme val="minor"/>
      </rPr>
      <t>4 years after randomisation</t>
    </r>
    <r>
      <rPr>
        <sz val="10"/>
        <rFont val="Calibri"/>
        <family val="2"/>
        <scheme val="minor"/>
      </rPr>
      <t>; study group excludes cancers in women born on 31st; control group corrected for size (see "Notes")</t>
    </r>
  </si>
  <si>
    <t>Absolute incidence of stage I, invasive breast cancers (1981-1986); 
CP corrected for size; SP excluding women born on 31st;
screening vs control group</t>
  </si>
  <si>
    <t>Number of stage I, invasive breast cancers; diagnosed up to 31/12/1986;
tudy group excludes cancers in women born on 31st; control group corrected for size (see "Notes")</t>
  </si>
  <si>
    <t>Absolute incidence of stage II, invasive breast cancers (1981-1986); 
CP corrected for size; SP excluding women born on 31st;
screening vs control group</t>
  </si>
  <si>
    <t>Number of stage II, invasive breast cancers; diagnosed up to 31/12/1986;
tudy group excludes cancers in women born on 31st; control group corrected for size (see "Notes")</t>
  </si>
  <si>
    <t>Absolute incidence of stage III-IV, invasive breast cancers (1981-1986); 
CP corrected for size; SP excluding women born on 31st;
screening vs control group</t>
  </si>
  <si>
    <t>Number of stage III-IV, invasive breast cancers; diagnosed up to 31/12/1986;
tudy group excludes cancers in women born on 31st; control group corrected for size (see "Notes")</t>
  </si>
  <si>
    <t>Absolute incidence of stage II-IV, invasive breast cancers (1981-1986); 
CP corrected for size; SP excluding women born on 31st;
screening vs control group</t>
  </si>
  <si>
    <t>Number of stage II-IV, invasive breast cancers; diagnosed up to 31/12/1986;
tudy group excludes cancers in women born on 31st; control group corrected for size (see "Notes")</t>
  </si>
  <si>
    <t>% of invasive breast cancers diagnosed at late stage (stage II-IV) (1981-1986);
CP corrected for size; SP excluding women born on 31st;
screening vs control group</t>
  </si>
  <si>
    <t>Total number of invasive breast cancers diagnosed 1981-1986 in women randomised to screening arm born 1-10 and 21-30; numbers in control group corrected for size (see "Notes")</t>
  </si>
  <si>
    <t>Absolute incidence of stage I, invasive breast cancers (1981); 
CP corrected for size; SP excluding women born on 31st;
screening vs control group</t>
  </si>
  <si>
    <t>Number of stage I, invasive breast cancers; diagnosed up to 31/12/1981;
tudy group excludes cancers in women born on 31st; control group corrected for size (see "Notes")</t>
  </si>
  <si>
    <t>Absolute incidence of stage II, invasive breast cancers (1981); 
CP corrected for size; SP excluding women born on 31st;
screening vs control group</t>
  </si>
  <si>
    <t>Number of stage II, invasive breast cancers; diagnosed up to 31/12/1981;
tudy group excludes cancers in women born on 31st; control group corrected for size (see "Notes")</t>
  </si>
  <si>
    <t>Absolute incidence of stage III-IV, invasive breast cancers (1981); 
CP corrected for size; SP excluding women born on 31st;
screening vs control group</t>
  </si>
  <si>
    <t>Number of stage III-IV, invasive breast cancers; diagnosed up to 31/12/1981;
tudy group excludes cancers in women born on 31st; control group corrected for size (see "Notes")</t>
  </si>
  <si>
    <t>Absolute incidence of stage II-IV, invasive breast cancers (1981); 
CP corrected for size; SP excluding women born on 31st;
screening vs control group</t>
  </si>
  <si>
    <t>Number of stage II-IV, invasive breast cancers; diagnosed up to 31/12/1981;
tudy group excludes cancers in women born on 31st; control group corrected for size (see "Notes")</t>
  </si>
  <si>
    <t>Absolute incidence of stage I, invasive breast cancers (1981-1982); 
CP corrected for size; SP excluding women born on 31st;
screening vs control group</t>
  </si>
  <si>
    <t>Number of stage I, invasive breast cancers; diagnosed up to 31/12/1982;
tudy group excludes cancers in women born on 31st; control group corrected for size (see "Notes")</t>
  </si>
  <si>
    <t>Absolute incidence of stage II, invasive breast cancers (1981-1982); 
CP corrected for size; SP excluding women born on 31st;
screening vs control group</t>
  </si>
  <si>
    <t>Number of stage II, invasive breast cancers; diagnosed up to 31/12/1982;
tudy group excludes cancers in women born on 31st; control group corrected for size (see "Notes")</t>
  </si>
  <si>
    <t>Absolute incidence of stage III-IV, invasive breast cancers (1981-1982); 
CP corrected for size; SP excluding women born on 31st;
screening vs control group</t>
  </si>
  <si>
    <t>Number of stage III-IV, invasive breast cancers; diagnosed up to 31/12/1982;
tudy group excludes cancers in women born on 31st; control group corrected for size (see "Notes")</t>
  </si>
  <si>
    <t>Absolute incidence of stage II-IV, invasive breast cancers (1981-1982); 
CP corrected for size; SP excluding women born on 31st;
screening vs control group</t>
  </si>
  <si>
    <t>Number of stage II-IV, invasive breast cancers; diagnosed up to 31/12/1982;
tudy group excludes cancers in women born on 31st; control group corrected for size (see "Notes")</t>
  </si>
  <si>
    <t>Absolute incidence of stage I, invasive breast cancers (1981-1983); 
CP corrected for size; SP excluding women born on 31st;
screening vs control group</t>
  </si>
  <si>
    <t>Number of stage I, invasive breast cancers; diagnosed up to 31/12/1983;
tudy group excludes cancers in women born on 31st; control group corrected for size (see "Notes")</t>
  </si>
  <si>
    <t>Absolute incidence of stage II, invasive breast cancers (1981-1983); 
CP corrected for size; SP excluding women born on 31st;
screening vs control group</t>
  </si>
  <si>
    <t>Number of stage II, invasive breast cancers; diagnosed up to 31/12/1983;
tudy group excludes cancers in women born on 31st; control group corrected for size (see "Notes")</t>
  </si>
  <si>
    <t>Absolute incidence of stage III-IV, invasive breast cancers (1981-1983); 
CP corrected for size; SP excluding women born on 31st;
screening vs control group</t>
  </si>
  <si>
    <t>Number of stage III-IV, invasive breast cancers; diagnosed up to 31/12/1983;
tudy group excludes cancers in women born on 31st; control group corrected for size (see "Notes")</t>
  </si>
  <si>
    <t>Absolute incidence of stage II-IV, invasive breast cancers (1981-1983); 
CP corrected for size; SP excluding women born on 31st;
screening vs control group</t>
  </si>
  <si>
    <t>Number of stage II-IV, invasive breast cancers; diagnosed up to 31/12/1983;
tudy group excludes cancers in women born on 31st; control group corrected for size (see "Notes")</t>
  </si>
  <si>
    <t>Absolute incidence of stage I, invasive breast cancers (1981-1984); 
CP corrected for size; SP excluding women born on 31st;
screening vs control group</t>
  </si>
  <si>
    <t>Number of stage I, invasive breast cancers; diagnosed up to 31/12/1984;
tudy group excludes cancers in women born on 31st; control group corrected for size (see "Notes")</t>
  </si>
  <si>
    <t>Absolute incidence of stage II, invasive breast cancers (1981-1984); 
CP corrected for size; SP excluding women born on 31st;
screening vs control group</t>
  </si>
  <si>
    <t>Number of stage II, invasive breast cancers; diagnosed up to 31/12/1984;
tudy group excludes cancers in women born on 31st; control group corrected for size (see "Notes")</t>
  </si>
  <si>
    <t>Absolute incidence of stage III-IV, invasive breast cancers (1981-1984); 
CP corrected for size; SP excluding women born on 31st;
screening vs control group</t>
  </si>
  <si>
    <t>Number of stage III-IV, invasive breast cancers; diagnosed up to 31/12/1984;
tudy group excludes cancers in women born on 31st; control group corrected for size (see "Notes")</t>
  </si>
  <si>
    <t>Absolute incidence of stage II-IV, invasive breast cancers (1981-1984); 
CP corrected for size; SP excluding women born on 31st;
screening vs control group</t>
  </si>
  <si>
    <t>Number of stage II-IV, invasive breast cancers; diagnosed up to 31/12/1984;
tudy group excludes cancers in women born on 31st; control group corrected for size (see "Notes")</t>
  </si>
  <si>
    <t>Absolute incidence of stage I, invasive breast cancers (1981-1985); 
CP corrected for size; SP excluding women born on 31st;
screening vs control group</t>
  </si>
  <si>
    <t>Number of stage I, invasive breast cancers; diagnosed up to 31/12/1985;
tudy group excludes cancers in women born on 31st; control group corrected for size (see "Notes")</t>
  </si>
  <si>
    <t>Absolute incidence of stage II, invasive breast cancers (1981-1985); 
CP corrected for size; SP excluding women born on 31st;
screening vs control group</t>
  </si>
  <si>
    <t>Number of stage II, invasive breast cancers; diagnosed up to 31/12/1985;
tudy group excludes cancers in women born on 31st; control group corrected for size (see "Notes")</t>
  </si>
  <si>
    <t>Absolute incidence of stage III-IV, invasive breast cancers (1981-1985); 
CP corrected for size; SP excluding women born on 31st;
screening vs control group</t>
  </si>
  <si>
    <t>Number of stage III-IV, invasive breast cancers; diagnosed up to 31/12/1985;
tudy group excludes cancers in women born on 31st; control group corrected for size (see "Notes")</t>
  </si>
  <si>
    <t>Absolute incidence of stage II-IV, invasive breast cancers (1981-1985); 
CP corrected for size; SP excluding women born on 31st;
screening vs control group</t>
  </si>
  <si>
    <t>Number of stage II-IV, invasive breast cancers; diagnosed up to 31/12/1985;
tudy group excludes cancers in women born on 31st; control group corrected for size (see "Notes")</t>
  </si>
  <si>
    <t>Number of screen-detected CIS + invasive breast cancers; rounds 1 and 2; in women aged 40-49 years</t>
  </si>
  <si>
    <t>Number of women aged 40-49 years randomised to screening arm</t>
  </si>
  <si>
    <r>
      <t xml:space="preserve">Number of breast cancers </t>
    </r>
    <r>
      <rPr>
        <b/>
        <sz val="10"/>
        <rFont val="Calibri"/>
        <family val="2"/>
        <scheme val="minor"/>
      </rPr>
      <t>(invasive + CIS)</t>
    </r>
    <r>
      <rPr>
        <sz val="10"/>
        <rFont val="Calibri"/>
        <family val="2"/>
        <scheme val="minor"/>
      </rPr>
      <t xml:space="preserve"> detected at screening rounds 1 and 2 in study arm (women aged 40-49 years)</t>
    </r>
  </si>
  <si>
    <r>
      <t>Total number of breast cancers (</t>
    </r>
    <r>
      <rPr>
        <b/>
        <sz val="10"/>
        <rFont val="Calibri"/>
        <family val="2"/>
        <scheme val="minor"/>
      </rPr>
      <t>CIS + invasive</t>
    </r>
    <r>
      <rPr>
        <sz val="10"/>
        <rFont val="Calibri"/>
        <family val="2"/>
        <scheme val="minor"/>
      </rPr>
      <t>) detected during up to 12 years of follow-up (women aged 40-49 years)</t>
    </r>
  </si>
  <si>
    <t>Absolute incidence of CIS breast cancers (1981-1986); per 10,000 women;
screening vs control group</t>
  </si>
  <si>
    <t xml:space="preserve">Number of in-situ breast cancers (CIS); diagnosed up to 31/12/1986 </t>
  </si>
  <si>
    <r>
      <t>% of breast cancers (</t>
    </r>
    <r>
      <rPr>
        <b/>
        <sz val="10"/>
        <rFont val="Calibri"/>
        <family val="2"/>
        <scheme val="minor"/>
      </rPr>
      <t>invasive + CIS</t>
    </r>
    <r>
      <rPr>
        <sz val="10"/>
        <rFont val="Calibri"/>
        <family val="2"/>
        <scheme val="minor"/>
      </rPr>
      <t>) diagnosed at late stage (stage II-IV) (1981-1986); 
screening vs control group</t>
    </r>
  </si>
  <si>
    <r>
      <t xml:space="preserve">% of </t>
    </r>
    <r>
      <rPr>
        <b/>
        <sz val="10"/>
        <rFont val="Calibri"/>
        <family val="2"/>
        <scheme val="minor"/>
      </rPr>
      <t xml:space="preserve">invasive </t>
    </r>
    <r>
      <rPr>
        <sz val="10"/>
        <rFont val="Calibri"/>
        <family val="2"/>
        <scheme val="minor"/>
      </rPr>
      <t>breast cancers diagnosed at late stage (stage II-IV) (1981-1986); 
screening vs control group</t>
    </r>
  </si>
  <si>
    <t>Follow-up model; RRs were calculated
by the density method, with total person-time experience of the cohort by time interval of follow-up as a basis for estimating the mortality rates. Weighted RRs and CIs were calculated by Mantel-Haenszel procedures.</t>
  </si>
  <si>
    <t>Evaluation model; RRs were calculated
by the density method, with total person-time experience of the cohort by time interval of follow-up as a basis for estimating the mortality rates. Weighted RRs and CIs were calculated by Mantel-Haenszel procedures.</t>
  </si>
  <si>
    <t>Age adjusted</t>
  </si>
  <si>
    <t>Weighted RRs and CIs were calculated by Mantel-Haenszel procedures.</t>
  </si>
  <si>
    <t>Breast cancer cases diagnosed before the randomisation date have also
been excluded.
The significance analysis and the confidence intervals are based on the reasonable assumption that the observed numbers of deaths are Poisson-distributed and that uncertainty in the number of person-years can be neglected.</t>
  </si>
  <si>
    <t>Absolute incidence of Dukes' A CRC (per 1,000 people analyse; excluding CRC cases diagnosed prior randomisation); 13 years of follow-up;
Annual FOBT vs control</t>
  </si>
  <si>
    <r>
      <rPr>
        <sz val="10"/>
        <color rgb="FF000000"/>
        <rFont val="Calibri"/>
        <family val="2"/>
      </rPr>
      <t>≤</t>
    </r>
    <r>
      <rPr>
        <sz val="10"/>
        <color rgb="FF000000"/>
        <rFont val="Calibri"/>
        <family val="2"/>
        <scheme val="minor"/>
      </rPr>
      <t>33 (2.1/1,000)</t>
    </r>
  </si>
  <si>
    <r>
      <rPr>
        <sz val="10"/>
        <color rgb="FF000000"/>
        <rFont val="Calibri"/>
        <family val="2"/>
      </rPr>
      <t>≤</t>
    </r>
    <r>
      <rPr>
        <sz val="10"/>
        <color rgb="FF000000"/>
        <rFont val="Calibri"/>
        <family val="2"/>
        <scheme val="minor"/>
      </rPr>
      <t>39 (2.6/1,000)</t>
    </r>
  </si>
  <si>
    <t>Number of people analysed (excluding participants in whom CRC was diagnosed before randomisation), by arm</t>
  </si>
  <si>
    <t>Figure 5 (and Figure 2 for denominator)</t>
  </si>
  <si>
    <t xml:space="preserve">Figure 5 excludes participants that have been diagnosed with CRC before randomisation. </t>
  </si>
  <si>
    <t>Absolute incidence of Dukes' B CRC (per 1,000 people analysed; excluding CRC cases diagnosed prior randomisation); 13 years of follow-up;
Annual FOBT vs control</t>
  </si>
  <si>
    <t>Figure 5  (and Figure 2 for denominator)</t>
  </si>
  <si>
    <t>Absolute incidence of Dukes' C CRC (per 1,000 people analysed; excluding CRC cases diagnosed prior randomisation); 13 years of follow-up;
Annual FOBT vs control</t>
  </si>
  <si>
    <t>Absolute incidence of Dukes' D CRC (per 1,000 people analysed; excluding CRC cases diagnosed prior randomisation); 13 years of follow-up;
Annual FOBT vs control</t>
  </si>
  <si>
    <t>Figure 5, Figure 2 and text: There were significantly higher 13-year incidence of Dukes' stage D cancers in the control group than in the screened groups... The reduction in these cancers in the annually screened group as compared to the control group was larger in the current study (48%)...</t>
  </si>
  <si>
    <t>Absolute incidence of Dukes' A CRC (per 1,000 people analysed; excluding CRC cases diagnosed prior randomisation); 13 years of follow-up;
Biennial FOBT vs control</t>
  </si>
  <si>
    <r>
      <rPr>
        <sz val="10"/>
        <color rgb="FF000000"/>
        <rFont val="Calibri"/>
        <family val="2"/>
      </rPr>
      <t>≤</t>
    </r>
    <r>
      <rPr>
        <sz val="10"/>
        <color rgb="FF000000"/>
        <rFont val="Calibri"/>
        <family val="2"/>
        <scheme val="minor"/>
      </rPr>
      <t>34 (2.1/1,000)</t>
    </r>
  </si>
  <si>
    <t>Figure 5 excludes participants that have been diagnosed with CRC before randomisation.</t>
  </si>
  <si>
    <t>Absolute incidence of Dukes' B CRC (per 1,000 people analysed; excluding CRC cases diagnosed prior randomisation); 13 years of follow-up;
Biennial FOBT vs control</t>
  </si>
  <si>
    <t>Absolute incidence of Dukes' C CRC (per 1,000 people analysed; excluding CRC cases diagnosed prior randomisation); 13 years of follow-up;
Biennial FOBT vs control</t>
  </si>
  <si>
    <t>Table 5 and text: The 37% reduction in the incidence of Dukes' stage D cancers in the biennially screened group, as compared to the control group, …</t>
  </si>
  <si>
    <t>Absolute incidence of Dukes' D CRC (per 1,000 people analysed; excluding CRC cases diagnosed prior randomisation); 13 years of follow-up;
Biennial FOBT vs control</t>
  </si>
  <si>
    <t xml:space="preserve">Figure 5 and text: There were significantly higher 13-year incidence of Dukes' stage D cancers in the control group than in the screened groups… </t>
  </si>
  <si>
    <t>% of CRC that are screen-detected (all rounds); 13 years of follow-up (including CRC diagnosed before randomisation);
Annual FOBT vs biennial FOBT</t>
  </si>
  <si>
    <t>Diagnostic yield at screening - Colorectal adenoma alone (per 1,000 people randomised); not including adenoma + carcinoma; first screening round (1985-1986)</t>
  </si>
  <si>
    <t>Number of colorectal adenomas detected in FOBT-positive persons (adenoma alone, not adenoma + CRC); first screening round</t>
  </si>
  <si>
    <r>
      <t xml:space="preserve">% of CRC that are screen-detected </t>
    </r>
    <r>
      <rPr>
        <b/>
        <sz val="10"/>
        <color rgb="FF000000"/>
        <rFont val="Calibri"/>
        <family val="2"/>
        <scheme val="minor"/>
      </rPr>
      <t>in men</t>
    </r>
    <r>
      <rPr>
        <sz val="10"/>
        <color rgb="FF000000"/>
        <rFont val="Calibri"/>
        <family val="2"/>
        <scheme val="minor"/>
      </rPr>
      <t>; up to September 1986 (first year)</t>
    </r>
  </si>
  <si>
    <r>
      <t xml:space="preserve">Number of CRC detected in FOBT-positive </t>
    </r>
    <r>
      <rPr>
        <b/>
        <sz val="10"/>
        <color rgb="FF000000"/>
        <rFont val="Calibri"/>
        <family val="2"/>
        <scheme val="minor"/>
      </rPr>
      <t>men</t>
    </r>
    <r>
      <rPr>
        <sz val="10"/>
        <color rgb="FF000000"/>
        <rFont val="Calibri"/>
        <family val="2"/>
        <scheme val="minor"/>
      </rPr>
      <t>; first screening round</t>
    </r>
  </si>
  <si>
    <r>
      <t xml:space="preserve">Total number of CRC detected </t>
    </r>
    <r>
      <rPr>
        <b/>
        <sz val="10"/>
        <color rgb="FF000000"/>
        <rFont val="Calibri"/>
        <family val="2"/>
        <scheme val="minor"/>
      </rPr>
      <t>in men</t>
    </r>
    <r>
      <rPr>
        <sz val="10"/>
        <color rgb="FF000000"/>
        <rFont val="Calibri"/>
        <family val="2"/>
        <scheme val="minor"/>
      </rPr>
      <t xml:space="preserve"> (screen-detected; interval; refusers; diagnosed before screening)</t>
    </r>
  </si>
  <si>
    <r>
      <t xml:space="preserve">% of CRC that are screen-detected </t>
    </r>
    <r>
      <rPr>
        <b/>
        <sz val="10"/>
        <color rgb="FF000000"/>
        <rFont val="Calibri"/>
        <family val="2"/>
        <scheme val="minor"/>
      </rPr>
      <t>in women</t>
    </r>
    <r>
      <rPr>
        <sz val="10"/>
        <color rgb="FF000000"/>
        <rFont val="Calibri"/>
        <family val="2"/>
        <scheme val="minor"/>
      </rPr>
      <t>; up to September 1986 (first year)</t>
    </r>
  </si>
  <si>
    <r>
      <t xml:space="preserve">Number of CRC detected in FOBT-positive </t>
    </r>
    <r>
      <rPr>
        <b/>
        <sz val="10"/>
        <color rgb="FF000000"/>
        <rFont val="Calibri"/>
        <family val="2"/>
        <scheme val="minor"/>
      </rPr>
      <t>women</t>
    </r>
    <r>
      <rPr>
        <sz val="10"/>
        <color rgb="FF000000"/>
        <rFont val="Calibri"/>
        <family val="2"/>
        <scheme val="minor"/>
      </rPr>
      <t>; first screening round</t>
    </r>
  </si>
  <si>
    <r>
      <t xml:space="preserve">Total number of CRC detected </t>
    </r>
    <r>
      <rPr>
        <b/>
        <sz val="10"/>
        <color rgb="FF000000"/>
        <rFont val="Calibri"/>
        <family val="2"/>
        <scheme val="minor"/>
      </rPr>
      <t>in women</t>
    </r>
    <r>
      <rPr>
        <sz val="10"/>
        <color rgb="FF000000"/>
        <rFont val="Calibri"/>
        <family val="2"/>
        <scheme val="minor"/>
      </rPr>
      <t xml:space="preserve"> (screen-detected; interval; refusers; diagnosed before screening)</t>
    </r>
  </si>
  <si>
    <r>
      <t xml:space="preserve">Absolute incidence of CRC with </t>
    </r>
    <r>
      <rPr>
        <sz val="10"/>
        <color rgb="FF000000"/>
        <rFont val="Calibri"/>
        <family val="2"/>
      </rPr>
      <t>≤2 cm diameter (per 1,000 people randomised); follow-up until September 1986</t>
    </r>
    <r>
      <rPr>
        <sz val="10"/>
        <color rgb="FF000000"/>
        <rFont val="Calibri"/>
        <family val="2"/>
        <scheme val="minor"/>
      </rPr>
      <t xml:space="preserve"> (first year)</t>
    </r>
  </si>
  <si>
    <r>
      <t>Absolute incidence of CRC with 3</t>
    </r>
    <r>
      <rPr>
        <sz val="10"/>
        <color rgb="FF000000"/>
        <rFont val="Calibri"/>
        <family val="2"/>
      </rPr>
      <t xml:space="preserve"> cm diameter (per 1,000 people randomised); follow-up until September 1986</t>
    </r>
    <r>
      <rPr>
        <sz val="10"/>
        <color rgb="FF000000"/>
        <rFont val="Calibri"/>
        <family val="2"/>
        <scheme val="minor"/>
      </rPr>
      <t xml:space="preserve"> (first year)</t>
    </r>
  </si>
  <si>
    <r>
      <t xml:space="preserve">Absolute incidence of CRC with </t>
    </r>
    <r>
      <rPr>
        <sz val="10"/>
        <color rgb="FF000000"/>
        <rFont val="Calibri"/>
        <family val="2"/>
      </rPr>
      <t>≥4 cm diameter (per 1,000 people randomised); follow-up until September 1986</t>
    </r>
    <r>
      <rPr>
        <sz val="10"/>
        <color rgb="FF000000"/>
        <rFont val="Calibri"/>
        <family val="2"/>
        <scheme val="minor"/>
      </rPr>
      <t xml:space="preserve"> (first year)</t>
    </r>
  </si>
  <si>
    <r>
      <t>Absolute incidence of CRC with Dukes' A stage</t>
    </r>
    <r>
      <rPr>
        <sz val="10"/>
        <color rgb="FF000000"/>
        <rFont val="Calibri"/>
        <family val="2"/>
      </rPr>
      <t xml:space="preserve"> (per 1,000 people randomised); follow-up until September 1986 (first year)</t>
    </r>
  </si>
  <si>
    <r>
      <t>Absolute incidence of CRC with Dukes' B stage</t>
    </r>
    <r>
      <rPr>
        <sz val="10"/>
        <color rgb="FF000000"/>
        <rFont val="Calibri"/>
        <family val="2"/>
      </rPr>
      <t xml:space="preserve"> (per 1,000 people randomised); follow-up until September 1986</t>
    </r>
    <r>
      <rPr>
        <sz val="10"/>
        <color rgb="FF000000"/>
        <rFont val="Calibri"/>
        <family val="2"/>
        <scheme val="minor"/>
      </rPr>
      <t xml:space="preserve"> (first year)</t>
    </r>
  </si>
  <si>
    <r>
      <t>Absolute incidence of CRC with Dukes' C stage</t>
    </r>
    <r>
      <rPr>
        <sz val="10"/>
        <color rgb="FF000000"/>
        <rFont val="Calibri"/>
        <family val="2"/>
      </rPr>
      <t xml:space="preserve"> (per 1,000 people randomised); follow-up until September 1986</t>
    </r>
    <r>
      <rPr>
        <sz val="10"/>
        <color rgb="FF000000"/>
        <rFont val="Calibri"/>
        <family val="2"/>
        <scheme val="minor"/>
      </rPr>
      <t xml:space="preserve"> (first year)</t>
    </r>
  </si>
  <si>
    <r>
      <t>Absolute incidence of CRC with distant spread</t>
    </r>
    <r>
      <rPr>
        <sz val="10"/>
        <color rgb="FF000000"/>
        <rFont val="Calibri"/>
        <family val="2"/>
      </rPr>
      <t xml:space="preserve"> (per 1,000 people randomised); follow-up until September 1986</t>
    </r>
    <r>
      <rPr>
        <sz val="10"/>
        <color rgb="FF000000"/>
        <rFont val="Calibri"/>
        <family val="2"/>
        <scheme val="minor"/>
      </rPr>
      <t xml:space="preserve"> (first year)</t>
    </r>
  </si>
  <si>
    <r>
      <t>Absolute incidence of largest adenoma &lt;10 mm</t>
    </r>
    <r>
      <rPr>
        <sz val="10"/>
        <color rgb="FF000000"/>
        <rFont val="Calibri"/>
        <family val="2"/>
      </rPr>
      <t xml:space="preserve"> diameter (per 1,000 people randomised); follow-up until September 1986 (first year)</t>
    </r>
  </si>
  <si>
    <r>
      <t>Absolute incidence of largest adenoma 10-19 mm</t>
    </r>
    <r>
      <rPr>
        <sz val="10"/>
        <color rgb="FF000000"/>
        <rFont val="Calibri"/>
        <family val="2"/>
      </rPr>
      <t xml:space="preserve"> diameter (per 1,000 people randomised); follow-up until September 1986</t>
    </r>
    <r>
      <rPr>
        <sz val="10"/>
        <color rgb="FF000000"/>
        <rFont val="Calibri"/>
        <family val="2"/>
        <scheme val="minor"/>
      </rPr>
      <t xml:space="preserve"> (first year)</t>
    </r>
  </si>
  <si>
    <r>
      <t xml:space="preserve">Absolute incidence of largest adenoma </t>
    </r>
    <r>
      <rPr>
        <sz val="10"/>
        <color rgb="FF000000"/>
        <rFont val="Calibri"/>
        <family val="2"/>
      </rPr>
      <t>≥20</t>
    </r>
    <r>
      <rPr>
        <sz val="10"/>
        <color rgb="FF000000"/>
        <rFont val="Calibri"/>
        <family val="2"/>
        <scheme val="minor"/>
      </rPr>
      <t xml:space="preserve"> mm</t>
    </r>
    <r>
      <rPr>
        <sz val="10"/>
        <color rgb="FF000000"/>
        <rFont val="Calibri"/>
        <family val="2"/>
      </rPr>
      <t xml:space="preserve"> diameter (per 1,000 people randomised); follow-up until September 1986</t>
    </r>
    <r>
      <rPr>
        <sz val="10"/>
        <color rgb="FF000000"/>
        <rFont val="Calibri"/>
        <family val="2"/>
        <scheme val="minor"/>
      </rPr>
      <t xml:space="preserve"> (first year)</t>
    </r>
  </si>
  <si>
    <r>
      <t xml:space="preserve">Number with largest adenoma </t>
    </r>
    <r>
      <rPr>
        <sz val="10"/>
        <color rgb="FF000000"/>
        <rFont val="Calibri"/>
        <family val="2"/>
      </rPr>
      <t>≥20</t>
    </r>
    <r>
      <rPr>
        <sz val="10"/>
        <color rgb="FF000000"/>
        <rFont val="Calibri"/>
        <family val="2"/>
        <scheme val="minor"/>
      </rPr>
      <t xml:space="preserve"> mm; follow-up until September 1986</t>
    </r>
  </si>
  <si>
    <r>
      <t>Absolute incidence of people with at least 1 adenoma</t>
    </r>
    <r>
      <rPr>
        <sz val="10"/>
        <color rgb="FF000000"/>
        <rFont val="Calibri"/>
        <family val="2"/>
      </rPr>
      <t xml:space="preserve"> (per 1,000 people randomised); follow-up until September 1986 (first year)</t>
    </r>
  </si>
  <si>
    <r>
      <t>Absolute incidence of people with 1 adenoma detected</t>
    </r>
    <r>
      <rPr>
        <sz val="10"/>
        <rFont val="Calibri"/>
        <family val="2"/>
      </rPr>
      <t xml:space="preserve"> (per 1,000 people randomised); follow-up until September 1986 (first year)</t>
    </r>
  </si>
  <si>
    <t>Number with 1 adenoma detected; follow-up until September 1986</t>
  </si>
  <si>
    <r>
      <t xml:space="preserve">Absolute incidence of people with </t>
    </r>
    <r>
      <rPr>
        <sz val="10"/>
        <rFont val="Calibri"/>
        <family val="2"/>
      </rPr>
      <t>≥</t>
    </r>
    <r>
      <rPr>
        <sz val="9.1999999999999993"/>
        <rFont val="Calibri"/>
        <family val="2"/>
      </rPr>
      <t>2</t>
    </r>
    <r>
      <rPr>
        <sz val="10"/>
        <rFont val="Calibri"/>
        <family val="2"/>
        <scheme val="minor"/>
      </rPr>
      <t xml:space="preserve"> adenomas detected</t>
    </r>
    <r>
      <rPr>
        <sz val="10"/>
        <rFont val="Calibri"/>
        <family val="2"/>
      </rPr>
      <t xml:space="preserve"> (per 1,000 people randomised); follow-up until September 1986 (first year)</t>
    </r>
  </si>
  <si>
    <t>Number with  ≥2 adenomas detected; follow-up until September 1986</t>
  </si>
  <si>
    <r>
      <t xml:space="preserve">% of CRC that are screen-detected </t>
    </r>
    <r>
      <rPr>
        <b/>
        <sz val="10"/>
        <color rgb="FF000000"/>
        <rFont val="Calibri"/>
        <family val="2"/>
        <scheme val="minor"/>
      </rPr>
      <t>in men</t>
    </r>
    <r>
      <rPr>
        <sz val="10"/>
        <color rgb="FF000000"/>
        <rFont val="Calibri"/>
        <family val="2"/>
        <scheme val="minor"/>
      </rPr>
      <t>; August 1985 - October 1988</t>
    </r>
  </si>
  <si>
    <r>
      <t xml:space="preserve">Number of CRC detected in FOBT-positive </t>
    </r>
    <r>
      <rPr>
        <b/>
        <sz val="10"/>
        <color rgb="FF000000"/>
        <rFont val="Calibri"/>
        <family val="2"/>
        <scheme val="minor"/>
      </rPr>
      <t>men</t>
    </r>
    <r>
      <rPr>
        <sz val="10"/>
        <color rgb="FF000000"/>
        <rFont val="Calibri"/>
        <family val="2"/>
        <scheme val="minor"/>
      </rPr>
      <t>; 2 screening rounds</t>
    </r>
  </si>
  <si>
    <r>
      <t xml:space="preserve">% of CRC that are screen-detected </t>
    </r>
    <r>
      <rPr>
        <b/>
        <sz val="10"/>
        <color rgb="FF000000"/>
        <rFont val="Calibri"/>
        <family val="2"/>
        <scheme val="minor"/>
      </rPr>
      <t>in women</t>
    </r>
    <r>
      <rPr>
        <sz val="10"/>
        <color rgb="FF000000"/>
        <rFont val="Calibri"/>
        <family val="2"/>
        <scheme val="minor"/>
      </rPr>
      <t>; August 1985 - October 1988</t>
    </r>
  </si>
  <si>
    <r>
      <t>Number of CRC detected in FOBT-positive</t>
    </r>
    <r>
      <rPr>
        <b/>
        <sz val="10"/>
        <color rgb="FF000000"/>
        <rFont val="Calibri"/>
        <family val="2"/>
        <scheme val="minor"/>
      </rPr>
      <t xml:space="preserve"> women</t>
    </r>
    <r>
      <rPr>
        <sz val="10"/>
        <color rgb="FF000000"/>
        <rFont val="Calibri"/>
        <family val="2"/>
        <scheme val="minor"/>
      </rPr>
      <t>; 2 screening rounds</t>
    </r>
  </si>
  <si>
    <r>
      <t xml:space="preserve">Absolute incidence of CRC with </t>
    </r>
    <r>
      <rPr>
        <sz val="10"/>
        <color rgb="FF000000"/>
        <rFont val="Calibri"/>
        <family val="2"/>
      </rPr>
      <t>≤2 cm diameter (per 1,000 people randomised); August 1985 - October 1988</t>
    </r>
  </si>
  <si>
    <r>
      <t>Absolute incidence of CRC with 3</t>
    </r>
    <r>
      <rPr>
        <sz val="10"/>
        <color rgb="FF000000"/>
        <rFont val="Calibri"/>
        <family val="2"/>
      </rPr>
      <t xml:space="preserve"> cm diameter (per 1,000 people randomised); August 1985 - October 1988</t>
    </r>
  </si>
  <si>
    <r>
      <t>Absolute incidence of CRC with &lt;4</t>
    </r>
    <r>
      <rPr>
        <sz val="10"/>
        <color rgb="FF000000"/>
        <rFont val="Calibri"/>
        <family val="2"/>
      </rPr>
      <t xml:space="preserve"> cm diameter (per 1,000 people randomised); August 1985 - October 1988</t>
    </r>
  </si>
  <si>
    <r>
      <t xml:space="preserve">Absolute incidence of CRC with </t>
    </r>
    <r>
      <rPr>
        <sz val="10"/>
        <color rgb="FF000000"/>
        <rFont val="Calibri"/>
        <family val="2"/>
      </rPr>
      <t>4 cm diameter (per 1,000 people randomised); August 1985 - October 1988</t>
    </r>
  </si>
  <si>
    <r>
      <t xml:space="preserve">Absolute incidence of CRC with </t>
    </r>
    <r>
      <rPr>
        <sz val="10"/>
        <color rgb="FF000000"/>
        <rFont val="Calibri"/>
        <family val="2"/>
      </rPr>
      <t>≥5 cm diameter (per 1,000 people randomised); August 1985 - October 1988</t>
    </r>
  </si>
  <si>
    <r>
      <t>Absolute incidence of CRC with Dukes' A stage</t>
    </r>
    <r>
      <rPr>
        <sz val="10"/>
        <color rgb="FF000000"/>
        <rFont val="Calibri"/>
        <family val="2"/>
      </rPr>
      <t xml:space="preserve"> (per 1,000 people randomised); August 1985 - October 1988</t>
    </r>
  </si>
  <si>
    <r>
      <t>Absolute incidence of CRC with Dukes' B stage</t>
    </r>
    <r>
      <rPr>
        <sz val="10"/>
        <color rgb="FF000000"/>
        <rFont val="Calibri"/>
        <family val="2"/>
      </rPr>
      <t xml:space="preserve"> (per 1,000 people randomised); August 1985 - October 1988</t>
    </r>
  </si>
  <si>
    <r>
      <t>Absolute incidence of CRC with Dukes' C stage</t>
    </r>
    <r>
      <rPr>
        <sz val="10"/>
        <color rgb="FF000000"/>
        <rFont val="Calibri"/>
        <family val="2"/>
      </rPr>
      <t xml:space="preserve"> (per 1,000 people randomised); August 1985 - October 1988</t>
    </r>
  </si>
  <si>
    <r>
      <t>Absolute incidence of CRC with distant spread</t>
    </r>
    <r>
      <rPr>
        <sz val="10"/>
        <color rgb="FF000000"/>
        <rFont val="Calibri"/>
        <family val="2"/>
      </rPr>
      <t xml:space="preserve"> (per 1,000 people randomised); August 1985 - October 1988</t>
    </r>
  </si>
  <si>
    <r>
      <t>Absolute incidence of people with adenomas</t>
    </r>
    <r>
      <rPr>
        <sz val="10"/>
        <color rgb="FF000000"/>
        <rFont val="Calibri"/>
        <family val="2"/>
      </rPr>
      <t xml:space="preserve"> (per 1,000 people randomised); August 1985 - October 1988</t>
    </r>
  </si>
  <si>
    <t>Number of people with adenomas; August 1985 - October 1988</t>
  </si>
  <si>
    <r>
      <t>Absolute incidence of largest adenoma &lt;10 mm</t>
    </r>
    <r>
      <rPr>
        <sz val="10"/>
        <color rgb="FF000000"/>
        <rFont val="Calibri"/>
        <family val="2"/>
      </rPr>
      <t xml:space="preserve"> diameter (per 1,000 people randomised); follow-up until 31 August 1989</t>
    </r>
  </si>
  <si>
    <r>
      <t>Absolute incidence of largest adenoma 10-19 mm</t>
    </r>
    <r>
      <rPr>
        <sz val="10"/>
        <color rgb="FF000000"/>
        <rFont val="Calibri"/>
        <family val="2"/>
      </rPr>
      <t xml:space="preserve"> diameter (per 1,000 people randomised); follow-up until 31 August 1989</t>
    </r>
  </si>
  <si>
    <r>
      <t xml:space="preserve">Absolute incidence of largest adenoma </t>
    </r>
    <r>
      <rPr>
        <sz val="10"/>
        <color rgb="FF000000"/>
        <rFont val="Calibri"/>
        <family val="2"/>
      </rPr>
      <t>≥20</t>
    </r>
    <r>
      <rPr>
        <sz val="10"/>
        <color rgb="FF000000"/>
        <rFont val="Calibri"/>
        <family val="2"/>
        <scheme val="minor"/>
      </rPr>
      <t xml:space="preserve"> mm</t>
    </r>
    <r>
      <rPr>
        <sz val="10"/>
        <color rgb="FF000000"/>
        <rFont val="Calibri"/>
        <family val="2"/>
      </rPr>
      <t xml:space="preserve"> diameter (per 1,000 people randomised); follow-up until 31 August 1989</t>
    </r>
  </si>
  <si>
    <r>
      <t xml:space="preserve">Number with largest adenoma </t>
    </r>
    <r>
      <rPr>
        <sz val="10"/>
        <color rgb="FF000000"/>
        <rFont val="Calibri"/>
        <family val="2"/>
      </rPr>
      <t>≥20</t>
    </r>
    <r>
      <rPr>
        <sz val="10"/>
        <color rgb="FF000000"/>
        <rFont val="Calibri"/>
        <family val="2"/>
        <scheme val="minor"/>
      </rPr>
      <t xml:space="preserve"> mm; follow-up until August 1989</t>
    </r>
  </si>
  <si>
    <r>
      <t>Absolute incidence of people with at least 1 adenoma</t>
    </r>
    <r>
      <rPr>
        <sz val="10"/>
        <color rgb="FF000000"/>
        <rFont val="Calibri"/>
        <family val="2"/>
      </rPr>
      <t xml:space="preserve"> (per 1,000 people randomised); follow-up until 31 August 1989</t>
    </r>
  </si>
  <si>
    <r>
      <t xml:space="preserve">Diagnostic yield at screening - Adenoma </t>
    </r>
    <r>
      <rPr>
        <sz val="10"/>
        <color rgb="FF000000"/>
        <rFont val="Calibri"/>
        <family val="2"/>
      </rPr>
      <t>≥10 mm</t>
    </r>
    <r>
      <rPr>
        <sz val="10"/>
        <color rgb="FF000000"/>
        <rFont val="Calibri"/>
        <family val="2"/>
        <scheme val="minor"/>
      </rPr>
      <t xml:space="preserve"> (per 1,000 people randomised);  5 screening rounds (August 1985 - August 1995)</t>
    </r>
  </si>
  <si>
    <r>
      <t xml:space="preserve">Number of FOBT-positive persons with adenoma </t>
    </r>
    <r>
      <rPr>
        <sz val="10"/>
        <color rgb="FF000000"/>
        <rFont val="Calibri"/>
        <family val="2"/>
      </rPr>
      <t>≥10 mm</t>
    </r>
    <r>
      <rPr>
        <sz val="10"/>
        <color rgb="FF000000"/>
        <rFont val="Calibri"/>
        <family val="2"/>
        <scheme val="minor"/>
      </rPr>
      <t>; 5 screening rounds</t>
    </r>
  </si>
  <si>
    <r>
      <t xml:space="preserve">Diagnostic yield at screening - Adenoma </t>
    </r>
    <r>
      <rPr>
        <sz val="10"/>
        <color rgb="FF000000"/>
        <rFont val="Calibri"/>
        <family val="2"/>
      </rPr>
      <t>≥10 mm</t>
    </r>
    <r>
      <rPr>
        <sz val="10"/>
        <color rgb="FF000000"/>
        <rFont val="Calibri"/>
        <family val="2"/>
        <scheme val="minor"/>
      </rPr>
      <t xml:space="preserve"> (per 1,000 people randomised);  9 screening rounds (August 1985 - August 2002)</t>
    </r>
  </si>
  <si>
    <r>
      <t xml:space="preserve">Number of FOBT-positive persons with adenoma </t>
    </r>
    <r>
      <rPr>
        <sz val="10"/>
        <color rgb="FF000000"/>
        <rFont val="Calibri"/>
        <family val="2"/>
      </rPr>
      <t>≥10 mm</t>
    </r>
    <r>
      <rPr>
        <sz val="10"/>
        <color rgb="FF000000"/>
        <rFont val="Calibri"/>
        <family val="2"/>
        <scheme val="minor"/>
      </rPr>
      <t>; 9 screening rounds</t>
    </r>
  </si>
  <si>
    <t>Missing cause of death in patients with CRC</t>
  </si>
  <si>
    <r>
      <t>Diagnostic yield at screening (</t>
    </r>
    <r>
      <rPr>
        <b/>
        <sz val="10"/>
        <color rgb="FF000000"/>
        <rFont val="Calibri"/>
        <family val="2"/>
        <scheme val="minor"/>
      </rPr>
      <t>CRC</t>
    </r>
    <r>
      <rPr>
        <sz val="10"/>
        <color rgb="FF000000"/>
        <rFont val="Calibri"/>
        <family val="2"/>
        <scheme val="minor"/>
      </rPr>
      <t>); per 100 people randomised; 1-2 rounds of flexible sigmoidoscopy (1983 and 1985);
Screening arm only</t>
    </r>
  </si>
  <si>
    <r>
      <t>Number of individuals with screen-detected</t>
    </r>
    <r>
      <rPr>
        <b/>
        <sz val="10"/>
        <color rgb="FF000000"/>
        <rFont val="Calibri"/>
        <family val="2"/>
        <scheme val="minor"/>
      </rPr>
      <t xml:space="preserve"> CRC</t>
    </r>
    <r>
      <rPr>
        <sz val="10"/>
        <color rgb="FF000000"/>
        <rFont val="Calibri"/>
        <family val="2"/>
        <scheme val="minor"/>
      </rPr>
      <t>; 1-2 screening rounds in 1983 an 1985</t>
    </r>
  </si>
  <si>
    <r>
      <t>Diagnostic yield at screening (</t>
    </r>
    <r>
      <rPr>
        <b/>
        <sz val="10"/>
        <color rgb="FF000000"/>
        <rFont val="Calibri"/>
        <family val="2"/>
        <scheme val="minor"/>
      </rPr>
      <t>severe dysplasia</t>
    </r>
    <r>
      <rPr>
        <sz val="10"/>
        <color rgb="FF000000"/>
        <rFont val="Calibri"/>
        <family val="2"/>
        <scheme val="minor"/>
      </rPr>
      <t>); per 100 people randomised; 1-2 rounds of flexible sigmoidoscopy (1983 and 1985);
Screening arm only</t>
    </r>
  </si>
  <si>
    <r>
      <t xml:space="preserve">Number of individuals with screen-detected </t>
    </r>
    <r>
      <rPr>
        <b/>
        <sz val="10"/>
        <color rgb="FF000000"/>
        <rFont val="Calibri"/>
        <family val="2"/>
        <scheme val="minor"/>
      </rPr>
      <t>severe dysplasias</t>
    </r>
    <r>
      <rPr>
        <sz val="10"/>
        <color rgb="FF000000"/>
        <rFont val="Calibri"/>
        <family val="2"/>
        <scheme val="minor"/>
      </rPr>
      <t>; 1-2 screening rounds in 1983 an 1985</t>
    </r>
  </si>
  <si>
    <r>
      <t xml:space="preserve">Diagnostic yield at screening </t>
    </r>
    <r>
      <rPr>
        <b/>
        <sz val="10"/>
        <color rgb="FF000000"/>
        <rFont val="Calibri"/>
        <family val="2"/>
        <scheme val="minor"/>
      </rPr>
      <t xml:space="preserve">(adenomas </t>
    </r>
    <r>
      <rPr>
        <b/>
        <sz val="10"/>
        <color rgb="FF000000"/>
        <rFont val="Calibri"/>
        <family val="2"/>
      </rPr>
      <t>≥5 mm</t>
    </r>
    <r>
      <rPr>
        <sz val="10"/>
        <color rgb="FF000000"/>
        <rFont val="Calibri"/>
        <family val="2"/>
        <scheme val="minor"/>
      </rPr>
      <t>); per 100 people randomised; 1-2 rounds of flexible sigmoidoscopy (1983 and 1985);
Screening arm only</t>
    </r>
  </si>
  <si>
    <r>
      <t xml:space="preserve">Number of individuals with screen-detected </t>
    </r>
    <r>
      <rPr>
        <b/>
        <sz val="10"/>
        <color rgb="FF000000"/>
        <rFont val="Calibri"/>
        <family val="2"/>
        <scheme val="minor"/>
      </rPr>
      <t>adenomas ≥5 mm</t>
    </r>
    <r>
      <rPr>
        <sz val="10"/>
        <color rgb="FF000000"/>
        <rFont val="Calibri"/>
        <family val="2"/>
        <scheme val="minor"/>
      </rPr>
      <t>; 1-2 screening rounds in 1983 an 1985</t>
    </r>
  </si>
  <si>
    <r>
      <t>Diagnostic yield at screening (</t>
    </r>
    <r>
      <rPr>
        <b/>
        <sz val="10"/>
        <color rgb="FF000000"/>
        <rFont val="Calibri"/>
        <family val="2"/>
        <scheme val="minor"/>
      </rPr>
      <t>adenomas &lt;</t>
    </r>
    <r>
      <rPr>
        <b/>
        <sz val="10"/>
        <color rgb="FF000000"/>
        <rFont val="Calibri"/>
        <family val="2"/>
      </rPr>
      <t>5 mm</t>
    </r>
    <r>
      <rPr>
        <sz val="10"/>
        <color rgb="FF000000"/>
        <rFont val="Calibri"/>
        <family val="2"/>
        <scheme val="minor"/>
      </rPr>
      <t>); per 100 people randomised; 1-2 rounds of flexible sigmoidoscopy (1983 and 1985);
Screening arm only</t>
    </r>
  </si>
  <si>
    <r>
      <t xml:space="preserve">Number of individuals with screen-detected </t>
    </r>
    <r>
      <rPr>
        <b/>
        <sz val="10"/>
        <color rgb="FF000000"/>
        <rFont val="Calibri"/>
        <family val="2"/>
        <scheme val="minor"/>
      </rPr>
      <t>adenomas &lt;5 mm</t>
    </r>
    <r>
      <rPr>
        <sz val="10"/>
        <color rgb="FF000000"/>
        <rFont val="Calibri"/>
        <family val="2"/>
        <scheme val="minor"/>
      </rPr>
      <t>; 1-2 screening rounds in 1983 an 1985</t>
    </r>
  </si>
  <si>
    <r>
      <t>Diagnostic yield at screening (</t>
    </r>
    <r>
      <rPr>
        <b/>
        <sz val="10"/>
        <color rgb="FF000000"/>
        <rFont val="Calibri"/>
        <family val="2"/>
        <scheme val="minor"/>
      </rPr>
      <t>total neoplasias</t>
    </r>
    <r>
      <rPr>
        <sz val="10"/>
        <color rgb="FF000000"/>
        <rFont val="Calibri"/>
        <family val="2"/>
        <scheme val="minor"/>
      </rPr>
      <t>); per 100 people randomised; 1-2 rounds of flexible sigmoidoscopy (1983 and 1985);
Screening arm only</t>
    </r>
  </si>
  <si>
    <r>
      <t>Number of individuals with screen-detected</t>
    </r>
    <r>
      <rPr>
        <b/>
        <sz val="10"/>
        <color rgb="FF000000"/>
        <rFont val="Calibri"/>
        <family val="2"/>
        <scheme val="minor"/>
      </rPr>
      <t xml:space="preserve"> total neoplasia</t>
    </r>
    <r>
      <rPr>
        <sz val="10"/>
        <color rgb="FF000000"/>
        <rFont val="Calibri"/>
        <family val="2"/>
        <scheme val="minor"/>
      </rPr>
      <t>s; 1-2 screening rounds in 1983 an 1985</t>
    </r>
  </si>
  <si>
    <r>
      <t>Diagnostic yield at screening or during endoscopic follow-up (</t>
    </r>
    <r>
      <rPr>
        <b/>
        <sz val="10"/>
        <color rgb="FF000000"/>
        <rFont val="Calibri"/>
        <family val="2"/>
        <scheme val="minor"/>
      </rPr>
      <t>CRC</t>
    </r>
    <r>
      <rPr>
        <sz val="10"/>
        <color rgb="FF000000"/>
        <rFont val="Calibri"/>
        <family val="2"/>
        <scheme val="minor"/>
      </rPr>
      <t>); per 100 people randomised; 1983-1989;
Screening arm only</t>
    </r>
  </si>
  <si>
    <r>
      <t>Number of individuals with</t>
    </r>
    <r>
      <rPr>
        <b/>
        <sz val="10"/>
        <color rgb="FF000000"/>
        <rFont val="Calibri"/>
        <family val="2"/>
        <scheme val="minor"/>
      </rPr>
      <t xml:space="preserve"> CRC</t>
    </r>
    <r>
      <rPr>
        <sz val="10"/>
        <color rgb="FF000000"/>
        <rFont val="Calibri"/>
        <family val="2"/>
        <scheme val="minor"/>
      </rPr>
      <t xml:space="preserve"> detected at screening or endoscopic follow-up; 1983-1989</t>
    </r>
  </si>
  <si>
    <r>
      <t>Diagnostic yield at screening or during endoscopic follow-up (</t>
    </r>
    <r>
      <rPr>
        <b/>
        <sz val="10"/>
        <color rgb="FF000000"/>
        <rFont val="Calibri"/>
        <family val="2"/>
        <scheme val="minor"/>
      </rPr>
      <t>severe dysplasia</t>
    </r>
    <r>
      <rPr>
        <sz val="10"/>
        <color rgb="FF000000"/>
        <rFont val="Calibri"/>
        <family val="2"/>
        <scheme val="minor"/>
      </rPr>
      <t>); per 100 people randomised; 1983-1989;
Screening arm only</t>
    </r>
  </si>
  <si>
    <r>
      <t>Number of individuals with</t>
    </r>
    <r>
      <rPr>
        <b/>
        <sz val="10"/>
        <color rgb="FF000000"/>
        <rFont val="Calibri"/>
        <family val="2"/>
        <scheme val="minor"/>
      </rPr>
      <t xml:space="preserve"> severe dysplasia</t>
    </r>
    <r>
      <rPr>
        <sz val="10"/>
        <color rgb="FF000000"/>
        <rFont val="Calibri"/>
        <family val="2"/>
        <scheme val="minor"/>
      </rPr>
      <t xml:space="preserve"> detected at screening or endoscopic follow-up; 1983-1989</t>
    </r>
  </si>
  <si>
    <r>
      <t>Diagnostic yield at screening or during endoscopic follow-up (</t>
    </r>
    <r>
      <rPr>
        <b/>
        <sz val="10"/>
        <color rgb="FF000000"/>
        <rFont val="Calibri"/>
        <family val="2"/>
        <scheme val="minor"/>
      </rPr>
      <t xml:space="preserve">adenomas </t>
    </r>
    <r>
      <rPr>
        <b/>
        <sz val="10"/>
        <color rgb="FF000000"/>
        <rFont val="Calibri"/>
        <family val="2"/>
      </rPr>
      <t>≥5 mm</t>
    </r>
    <r>
      <rPr>
        <sz val="10"/>
        <color rgb="FF000000"/>
        <rFont val="Calibri"/>
        <family val="2"/>
        <scheme val="minor"/>
      </rPr>
      <t>); per 100 people randomised; 1983-1989;
Screening arm only</t>
    </r>
  </si>
  <si>
    <r>
      <t xml:space="preserve">Number of individuals with </t>
    </r>
    <r>
      <rPr>
        <b/>
        <sz val="10"/>
        <color rgb="FF000000"/>
        <rFont val="Calibri"/>
        <family val="2"/>
        <scheme val="minor"/>
      </rPr>
      <t>adenomas ≥5 mm</t>
    </r>
    <r>
      <rPr>
        <sz val="10"/>
        <color rgb="FF000000"/>
        <rFont val="Calibri"/>
        <family val="2"/>
        <scheme val="minor"/>
      </rPr>
      <t xml:space="preserve"> detected at screening or endoscopic follow-up; 1983-1989</t>
    </r>
  </si>
  <si>
    <r>
      <t>Diagnostic yield at screening or during endoscopic follow-up (</t>
    </r>
    <r>
      <rPr>
        <b/>
        <sz val="10"/>
        <color rgb="FF000000"/>
        <rFont val="Calibri"/>
        <family val="2"/>
        <scheme val="minor"/>
      </rPr>
      <t>adenomas &lt;</t>
    </r>
    <r>
      <rPr>
        <b/>
        <sz val="10"/>
        <color rgb="FF000000"/>
        <rFont val="Calibri"/>
        <family val="2"/>
      </rPr>
      <t>5 mm</t>
    </r>
    <r>
      <rPr>
        <sz val="10"/>
        <color rgb="FF000000"/>
        <rFont val="Calibri"/>
        <family val="2"/>
        <scheme val="minor"/>
      </rPr>
      <t>); per 100 people randomised; 1983-1989;
Screening arm only</t>
    </r>
  </si>
  <si>
    <r>
      <t>Number of individuals with</t>
    </r>
    <r>
      <rPr>
        <b/>
        <sz val="10"/>
        <color rgb="FF000000"/>
        <rFont val="Calibri"/>
        <family val="2"/>
        <scheme val="minor"/>
      </rPr>
      <t xml:space="preserve"> adenomas &lt;5 mm</t>
    </r>
    <r>
      <rPr>
        <sz val="10"/>
        <color rgb="FF000000"/>
        <rFont val="Calibri"/>
        <family val="2"/>
        <scheme val="minor"/>
      </rPr>
      <t xml:space="preserve"> detected at screening or endoscopic follow-up; 1983-1989</t>
    </r>
  </si>
  <si>
    <r>
      <t>Diagnostic yield at screening  or during endoscopic follow-up (</t>
    </r>
    <r>
      <rPr>
        <b/>
        <sz val="10"/>
        <color rgb="FF000000"/>
        <rFont val="Calibri"/>
        <family val="2"/>
        <scheme val="minor"/>
      </rPr>
      <t>total neoplasias</t>
    </r>
    <r>
      <rPr>
        <sz val="10"/>
        <color rgb="FF000000"/>
        <rFont val="Calibri"/>
        <family val="2"/>
        <scheme val="minor"/>
      </rPr>
      <t>); per 100 people randomised;1983-1989;
Screening arm only</t>
    </r>
  </si>
  <si>
    <r>
      <t xml:space="preserve">Number of individuals with total </t>
    </r>
    <r>
      <rPr>
        <b/>
        <sz val="10"/>
        <color rgb="FF000000"/>
        <rFont val="Calibri"/>
        <family val="2"/>
        <scheme val="minor"/>
      </rPr>
      <t>neoplasias</t>
    </r>
    <r>
      <rPr>
        <sz val="10"/>
        <color rgb="FF000000"/>
        <rFont val="Calibri"/>
        <family val="2"/>
        <scheme val="minor"/>
      </rPr>
      <t xml:space="preserve"> detected at screening or endoscopic follow-up; 1983-1989</t>
    </r>
  </si>
  <si>
    <r>
      <t>Diagnostic yield at screening (</t>
    </r>
    <r>
      <rPr>
        <b/>
        <sz val="10"/>
        <color rgb="FF000000"/>
        <rFont val="Calibri"/>
        <family val="2"/>
        <scheme val="minor"/>
      </rPr>
      <t>polyps</t>
    </r>
    <r>
      <rPr>
        <sz val="10"/>
        <color rgb="FF000000"/>
        <rFont val="Calibri"/>
        <family val="2"/>
        <scheme val="minor"/>
      </rPr>
      <t>); per 100 people randomised; 1-2 rounds of flexible sigmoidoscopy (1983 and 1985);
Screening arm only</t>
    </r>
  </si>
  <si>
    <r>
      <t>Diagnostic yield at screening (</t>
    </r>
    <r>
      <rPr>
        <b/>
        <sz val="10"/>
        <color rgb="FF000000"/>
        <rFont val="Calibri"/>
        <family val="2"/>
        <scheme val="minor"/>
      </rPr>
      <t>any adenomas</t>
    </r>
    <r>
      <rPr>
        <sz val="10"/>
        <color rgb="FF000000"/>
        <rFont val="Calibri"/>
        <family val="2"/>
        <scheme val="minor"/>
      </rPr>
      <t>); per 100 people randomised; 1 round of flexible sigmoidoscopy (1983);
Screening arm only</t>
    </r>
  </si>
  <si>
    <r>
      <t>Diagnostic yield at screening (</t>
    </r>
    <r>
      <rPr>
        <b/>
        <sz val="10"/>
        <color rgb="FF000000"/>
        <rFont val="Calibri"/>
        <family val="2"/>
        <scheme val="minor"/>
      </rPr>
      <t>high-risk adenomas</t>
    </r>
    <r>
      <rPr>
        <sz val="10"/>
        <color rgb="FF000000"/>
        <rFont val="Calibri"/>
        <family val="2"/>
        <scheme val="minor"/>
      </rPr>
      <t>); per 100 people randomised; 1 round of flexible sigmoidoscopy (1983);
Screening arm only</t>
    </r>
  </si>
  <si>
    <r>
      <t>Diagnostic yield at screening (</t>
    </r>
    <r>
      <rPr>
        <b/>
        <sz val="10"/>
        <color rgb="FF000000"/>
        <rFont val="Calibri"/>
        <family val="2"/>
        <scheme val="minor"/>
      </rPr>
      <t>CRC</t>
    </r>
    <r>
      <rPr>
        <sz val="10"/>
        <color rgb="FF000000"/>
        <rFont val="Calibri"/>
        <family val="2"/>
        <scheme val="minor"/>
      </rPr>
      <t>); per 100 people randomised; 1 round of flexible sigmoidoscopy (1983);
Screening arm only</t>
    </r>
  </si>
  <si>
    <r>
      <t>Diagnostic yield at screening (</t>
    </r>
    <r>
      <rPr>
        <b/>
        <sz val="10"/>
        <color rgb="FF000000"/>
        <rFont val="Calibri"/>
        <family val="2"/>
        <scheme val="minor"/>
      </rPr>
      <t>any adenomas</t>
    </r>
    <r>
      <rPr>
        <sz val="10"/>
        <color rgb="FF000000"/>
        <rFont val="Calibri"/>
        <family val="2"/>
        <scheme val="minor"/>
      </rPr>
      <t>); per 100 people randomised; 1 round of colonoscopy (1996);
Screening vs control</t>
    </r>
  </si>
  <si>
    <r>
      <t>Diagnostic yield at screening (</t>
    </r>
    <r>
      <rPr>
        <b/>
        <sz val="10"/>
        <color rgb="FF000000"/>
        <rFont val="Calibri"/>
        <family val="2"/>
        <scheme val="minor"/>
      </rPr>
      <t>high-risk adenomas</t>
    </r>
    <r>
      <rPr>
        <sz val="10"/>
        <color rgb="FF000000"/>
        <rFont val="Calibri"/>
        <family val="2"/>
        <scheme val="minor"/>
      </rPr>
      <t>); per 100 people randomised; 1 round of colonoscopy (1996);
Screening vs control</t>
    </r>
  </si>
  <si>
    <r>
      <t>Diagnostic yield at screening (</t>
    </r>
    <r>
      <rPr>
        <b/>
        <sz val="10"/>
        <color rgb="FF000000"/>
        <rFont val="Calibri"/>
        <family val="2"/>
        <scheme val="minor"/>
      </rPr>
      <t>CRC</t>
    </r>
    <r>
      <rPr>
        <sz val="10"/>
        <color rgb="FF000000"/>
        <rFont val="Calibri"/>
        <family val="2"/>
        <scheme val="minor"/>
      </rPr>
      <t>); per 100 people randomised; 1 round of colonoscopy (1996);
Screening vs control</t>
    </r>
  </si>
  <si>
    <t>Number of deaths from CRC; CRC diagnosed after randomisation; 10 years of follow-up (1983-1993)</t>
  </si>
  <si>
    <t>Number of deaths from CRC; CRC diagnosed before or after randomisation; 10 years of follow-up (1983-1993)</t>
  </si>
  <si>
    <r>
      <rPr>
        <b/>
        <sz val="10"/>
        <color rgb="FF000000"/>
        <rFont val="Calibri"/>
        <family val="2"/>
        <scheme val="minor"/>
      </rPr>
      <t>CRC</t>
    </r>
    <r>
      <rPr>
        <sz val="10"/>
        <color rgb="FF000000"/>
        <rFont val="Calibri"/>
        <family val="2"/>
        <scheme val="minor"/>
      </rPr>
      <t xml:space="preserve"> mortality (per 1,000 people analysed); and relative risk; follow-up until 31/12/2005;
FS +/- FOBT vs no screening</t>
    </r>
  </si>
  <si>
    <r>
      <rPr>
        <b/>
        <sz val="10"/>
        <color rgb="FF000000"/>
        <rFont val="Calibri"/>
        <family val="2"/>
        <scheme val="minor"/>
      </rPr>
      <t xml:space="preserve">CRC </t>
    </r>
    <r>
      <rPr>
        <sz val="10"/>
        <color rgb="FF000000"/>
        <rFont val="Calibri"/>
        <family val="2"/>
        <scheme val="minor"/>
      </rPr>
      <t>mortality - hazard ratio; follow-up until 31/12/2005;
FS +/- FOBT vs no screening</t>
    </r>
  </si>
  <si>
    <r>
      <t>Mortality from</t>
    </r>
    <r>
      <rPr>
        <b/>
        <sz val="10"/>
        <color rgb="FF000000"/>
        <rFont val="Calibri"/>
        <family val="2"/>
        <scheme val="minor"/>
      </rPr>
      <t xml:space="preserve"> rectosigmoidal
cancer</t>
    </r>
    <r>
      <rPr>
        <sz val="10"/>
        <color rgb="FF000000"/>
        <rFont val="Calibri"/>
        <family val="2"/>
        <scheme val="minor"/>
      </rPr>
      <t xml:space="preserve"> - hazard ratio; follow-up until 31/12/2005;
FS +/- FOBT vs no screening</t>
    </r>
  </si>
  <si>
    <r>
      <t xml:space="preserve">CRC mortality (per 100,000 PY), age-standardised rates; with age-adjusted hazard ratio; follow-up until 31/12/2011;
</t>
    </r>
    <r>
      <rPr>
        <b/>
        <sz val="10"/>
        <color rgb="FF000000"/>
        <rFont val="Calibri"/>
        <family val="2"/>
        <scheme val="minor"/>
      </rPr>
      <t xml:space="preserve">FS +/- FOBT </t>
    </r>
    <r>
      <rPr>
        <sz val="10"/>
        <color rgb="FF000000"/>
        <rFont val="Calibri"/>
        <family val="2"/>
        <scheme val="minor"/>
      </rPr>
      <t>vs no screening</t>
    </r>
  </si>
  <si>
    <r>
      <t xml:space="preserve">CRC mortality (per 100,000 PY) and rate ratio; follow-up until 31/12/2011;
</t>
    </r>
    <r>
      <rPr>
        <b/>
        <sz val="10"/>
        <color rgb="FF000000"/>
        <rFont val="Calibri"/>
        <family val="2"/>
        <scheme val="minor"/>
      </rPr>
      <t>FS +/- FOBT</t>
    </r>
    <r>
      <rPr>
        <sz val="10"/>
        <color rgb="FF000000"/>
        <rFont val="Calibri"/>
        <family val="2"/>
        <scheme val="minor"/>
      </rPr>
      <t xml:space="preserve"> vs no screening</t>
    </r>
  </si>
  <si>
    <r>
      <t xml:space="preserve">CRC mortality </t>
    </r>
    <r>
      <rPr>
        <b/>
        <sz val="10"/>
        <rFont val="Calibri"/>
        <family val="2"/>
        <scheme val="minor"/>
      </rPr>
      <t xml:space="preserve">in people aged 55-64 years </t>
    </r>
    <r>
      <rPr>
        <sz val="10"/>
        <rFont val="Calibri"/>
        <family val="2"/>
        <scheme val="minor"/>
      </rPr>
      <t xml:space="preserve">(per 100,000 PY), with hazard ratio; follow-up until 31/12/2011;
</t>
    </r>
    <r>
      <rPr>
        <b/>
        <sz val="10"/>
        <rFont val="Calibri"/>
        <family val="2"/>
        <scheme val="minor"/>
      </rPr>
      <t xml:space="preserve">FS +/- FOBT </t>
    </r>
    <r>
      <rPr>
        <sz val="10"/>
        <rFont val="Calibri"/>
        <family val="2"/>
        <scheme val="minor"/>
      </rPr>
      <t>vs no screening</t>
    </r>
  </si>
  <si>
    <r>
      <t xml:space="preserve">Number of CRC deaths </t>
    </r>
    <r>
      <rPr>
        <b/>
        <sz val="10"/>
        <rFont val="Calibri"/>
        <family val="2"/>
        <scheme val="minor"/>
      </rPr>
      <t>in people aged 55-64 years</t>
    </r>
    <r>
      <rPr>
        <sz val="10"/>
        <rFont val="Calibri"/>
        <family val="2"/>
        <scheme val="minor"/>
      </rPr>
      <t>; follow-up until 31/12/2011</t>
    </r>
  </si>
  <si>
    <r>
      <t xml:space="preserve">Person-years </t>
    </r>
    <r>
      <rPr>
        <b/>
        <sz val="10"/>
        <rFont val="Calibri"/>
        <family val="2"/>
        <scheme val="minor"/>
      </rPr>
      <t>in people aged 55-64 years</t>
    </r>
    <r>
      <rPr>
        <sz val="10"/>
        <rFont val="Calibri"/>
        <family val="2"/>
        <scheme val="minor"/>
      </rPr>
      <t>; up to 31/12/2011</t>
    </r>
  </si>
  <si>
    <t>Table 3 and text: In the 50- to 54-year age group,
the HR was 0.74 (95% CI, 0.40-1.35) and in the 55- to 64-year
age group, the HR was 0.73 (95% CI, 0.55-0.97).</t>
  </si>
  <si>
    <r>
      <t xml:space="preserve">CRC mortality </t>
    </r>
    <r>
      <rPr>
        <b/>
        <sz val="10"/>
        <rFont val="Calibri"/>
        <family val="2"/>
        <scheme val="minor"/>
      </rPr>
      <t xml:space="preserve">in people aged 55-64 years </t>
    </r>
    <r>
      <rPr>
        <sz val="10"/>
        <rFont val="Calibri"/>
        <family val="2"/>
        <scheme val="minor"/>
      </rPr>
      <t xml:space="preserve">(per 100,000 PY), with rate ratio; follow-up until 31/12/2011;
</t>
    </r>
    <r>
      <rPr>
        <b/>
        <sz val="10"/>
        <rFont val="Calibri"/>
        <family val="2"/>
        <scheme val="minor"/>
      </rPr>
      <t xml:space="preserve">FS +/- FOBT </t>
    </r>
    <r>
      <rPr>
        <sz val="10"/>
        <rFont val="Calibri"/>
        <family val="2"/>
        <scheme val="minor"/>
      </rPr>
      <t>vs no screening</t>
    </r>
  </si>
  <si>
    <r>
      <t xml:space="preserve">CRC mortality </t>
    </r>
    <r>
      <rPr>
        <b/>
        <sz val="10"/>
        <rFont val="Calibri"/>
        <family val="2"/>
        <scheme val="minor"/>
      </rPr>
      <t xml:space="preserve">in people aged 55-64 years </t>
    </r>
    <r>
      <rPr>
        <sz val="10"/>
        <rFont val="Calibri"/>
        <family val="2"/>
        <scheme val="minor"/>
      </rPr>
      <t xml:space="preserve">(per 1,000 people analysed) and relative risk; follow-up until 31/12/2011;
</t>
    </r>
    <r>
      <rPr>
        <b/>
        <sz val="10"/>
        <rFont val="Calibri"/>
        <family val="2"/>
        <scheme val="minor"/>
      </rPr>
      <t>FS +/- FOBT</t>
    </r>
    <r>
      <rPr>
        <sz val="10"/>
        <rFont val="Calibri"/>
        <family val="2"/>
        <scheme val="minor"/>
      </rPr>
      <t xml:space="preserve"> vs no screening</t>
    </r>
  </si>
  <si>
    <r>
      <t>Number of people analysed</t>
    </r>
    <r>
      <rPr>
        <b/>
        <sz val="10"/>
        <rFont val="Calibri"/>
        <family val="2"/>
        <scheme val="minor"/>
      </rPr>
      <t xml:space="preserve"> aged 55-64 years,</t>
    </r>
    <r>
      <rPr>
        <sz val="10"/>
        <rFont val="Calibri"/>
        <family val="2"/>
        <scheme val="minor"/>
      </rPr>
      <t xml:space="preserve"> by arm</t>
    </r>
  </si>
  <si>
    <r>
      <t xml:space="preserve">All-cause mortality (per 100,000 PY), age-standardised rates; with hazard ratio; follow-up until 31/12/2011;
</t>
    </r>
    <r>
      <rPr>
        <b/>
        <sz val="10"/>
        <color rgb="FF000000"/>
        <rFont val="Calibri"/>
        <family val="2"/>
        <scheme val="minor"/>
      </rPr>
      <t xml:space="preserve">FS +/- FOBT </t>
    </r>
    <r>
      <rPr>
        <sz val="10"/>
        <color rgb="FF000000"/>
        <rFont val="Calibri"/>
        <family val="2"/>
        <scheme val="minor"/>
      </rPr>
      <t>vs no screening</t>
    </r>
  </si>
  <si>
    <r>
      <t xml:space="preserve">All-cause mortality (per 100,000 PY) and rate ratio; follow-up until 31/12/2011;
</t>
    </r>
    <r>
      <rPr>
        <b/>
        <sz val="10"/>
        <color rgb="FF000000"/>
        <rFont val="Calibri"/>
        <family val="2"/>
        <scheme val="minor"/>
      </rPr>
      <t>FS +/- FOBT</t>
    </r>
    <r>
      <rPr>
        <sz val="10"/>
        <color rgb="FF000000"/>
        <rFont val="Calibri"/>
        <family val="2"/>
        <scheme val="minor"/>
      </rPr>
      <t xml:space="preserve"> vs no screening</t>
    </r>
  </si>
  <si>
    <r>
      <t xml:space="preserve">All-cause mortality (per 1,000 people analysed) and relative risk; follow-up until 31/12/2011;
</t>
    </r>
    <r>
      <rPr>
        <b/>
        <sz val="10"/>
        <color rgb="FF000000"/>
        <rFont val="Calibri"/>
        <family val="2"/>
        <scheme val="minor"/>
      </rPr>
      <t>FS +/- FOBT</t>
    </r>
    <r>
      <rPr>
        <sz val="10"/>
        <color rgb="FF000000"/>
        <rFont val="Calibri"/>
        <family val="2"/>
        <scheme val="minor"/>
      </rPr>
      <t xml:space="preserve"> vs no screening</t>
    </r>
  </si>
  <si>
    <r>
      <t xml:space="preserve">CRC mortality (per 1,000 people analysed); 10-year risk (follow-up for at least 10 years);
</t>
    </r>
    <r>
      <rPr>
        <b/>
        <sz val="10"/>
        <color rgb="FF000000"/>
        <rFont val="Calibri"/>
        <family val="2"/>
        <scheme val="minor"/>
      </rPr>
      <t>FS +/- FOBT</t>
    </r>
    <r>
      <rPr>
        <sz val="10"/>
        <color rgb="FF000000"/>
        <rFont val="Calibri"/>
        <family val="2"/>
        <scheme val="minor"/>
      </rPr>
      <t xml:space="preserve"> vs no screening</t>
    </r>
  </si>
  <si>
    <r>
      <t xml:space="preserve">All-cause mortality (per 1,000 people analysed); 10-year risk (follow-up for at least 10 years);
</t>
    </r>
    <r>
      <rPr>
        <b/>
        <sz val="10"/>
        <color rgb="FF000000"/>
        <rFont val="Calibri"/>
        <family val="2"/>
        <scheme val="minor"/>
      </rPr>
      <t>FS +/- FOBT</t>
    </r>
    <r>
      <rPr>
        <sz val="10"/>
        <color rgb="FF000000"/>
        <rFont val="Calibri"/>
        <family val="2"/>
        <scheme val="minor"/>
      </rPr>
      <t xml:space="preserve"> vs no screening</t>
    </r>
  </si>
  <si>
    <r>
      <t xml:space="preserve">CRC mortality (per 100,000 PY), age-standardised rates; with hazard ratio; follow-up until 31/12/2015;
</t>
    </r>
    <r>
      <rPr>
        <b/>
        <sz val="10"/>
        <color rgb="FF000000"/>
        <rFont val="Calibri"/>
        <family val="2"/>
        <scheme val="minor"/>
      </rPr>
      <t xml:space="preserve">FS +/- FOBT </t>
    </r>
    <r>
      <rPr>
        <sz val="10"/>
        <color rgb="FF000000"/>
        <rFont val="Calibri"/>
        <family val="2"/>
        <scheme val="minor"/>
      </rPr>
      <t>vs no screening</t>
    </r>
  </si>
  <si>
    <r>
      <t xml:space="preserve">CRC mortality (per 100,000 PY) and rate ratio; follow-up until 31/12/2015;
</t>
    </r>
    <r>
      <rPr>
        <b/>
        <sz val="10"/>
        <color rgb="FF000000"/>
        <rFont val="Calibri"/>
        <family val="2"/>
        <scheme val="minor"/>
      </rPr>
      <t>FS +/- FOBT</t>
    </r>
    <r>
      <rPr>
        <sz val="10"/>
        <color rgb="FF000000"/>
        <rFont val="Calibri"/>
        <family val="2"/>
        <scheme val="minor"/>
      </rPr>
      <t xml:space="preserve"> vs no screening</t>
    </r>
  </si>
  <si>
    <r>
      <t xml:space="preserve">CRC mortality (per 100,000 PY) </t>
    </r>
    <r>
      <rPr>
        <b/>
        <sz val="10"/>
        <rFont val="Calibri"/>
        <family val="2"/>
        <scheme val="minor"/>
      </rPr>
      <t>in people aged 55-64 years</t>
    </r>
    <r>
      <rPr>
        <sz val="10"/>
        <rFont val="Calibri"/>
        <family val="2"/>
        <scheme val="minor"/>
      </rPr>
      <t xml:space="preserve">; with hazard ratio; follow-up until 31/12/2015;
</t>
    </r>
    <r>
      <rPr>
        <b/>
        <sz val="10"/>
        <rFont val="Calibri"/>
        <family val="2"/>
        <scheme val="minor"/>
      </rPr>
      <t xml:space="preserve">FS +/- FOBT </t>
    </r>
    <r>
      <rPr>
        <sz val="10"/>
        <rFont val="Calibri"/>
        <family val="2"/>
        <scheme val="minor"/>
      </rPr>
      <t>vs no screening</t>
    </r>
  </si>
  <si>
    <r>
      <t xml:space="preserve">Number of CRC deaths </t>
    </r>
    <r>
      <rPr>
        <b/>
        <sz val="10"/>
        <rFont val="Calibri"/>
        <family val="2"/>
        <scheme val="minor"/>
      </rPr>
      <t>in people aged 55-64 years</t>
    </r>
    <r>
      <rPr>
        <sz val="10"/>
        <rFont val="Calibri"/>
        <family val="2"/>
        <scheme val="minor"/>
      </rPr>
      <t>; follow-up until 31/12/2015</t>
    </r>
  </si>
  <si>
    <r>
      <t xml:space="preserve">Person-years </t>
    </r>
    <r>
      <rPr>
        <b/>
        <sz val="10"/>
        <rFont val="Calibri"/>
        <family val="2"/>
        <scheme val="minor"/>
      </rPr>
      <t>in people aged 55-64 years</t>
    </r>
    <r>
      <rPr>
        <sz val="10"/>
        <rFont val="Calibri"/>
        <family val="2"/>
        <scheme val="minor"/>
      </rPr>
      <t>; up to 31/12/2015</t>
    </r>
  </si>
  <si>
    <r>
      <t xml:space="preserve">CRC mortality (per 100,000 PY) </t>
    </r>
    <r>
      <rPr>
        <b/>
        <sz val="10"/>
        <rFont val="Calibri"/>
        <family val="2"/>
        <scheme val="minor"/>
      </rPr>
      <t>in people aged 55-64 years</t>
    </r>
    <r>
      <rPr>
        <sz val="10"/>
        <rFont val="Calibri"/>
        <family val="2"/>
        <scheme val="minor"/>
      </rPr>
      <t xml:space="preserve">, with rate ratio; follow-up until 31/12/2015;
</t>
    </r>
    <r>
      <rPr>
        <b/>
        <sz val="10"/>
        <rFont val="Calibri"/>
        <family val="2"/>
        <scheme val="minor"/>
      </rPr>
      <t>FS +/- FOBT</t>
    </r>
    <r>
      <rPr>
        <sz val="10"/>
        <rFont val="Calibri"/>
        <family val="2"/>
        <scheme val="minor"/>
      </rPr>
      <t xml:space="preserve"> vs no screening</t>
    </r>
  </si>
  <si>
    <r>
      <t xml:space="preserve">All-cause mortality (per 100,000 PY), age-standardised rates; with hazard ratio; follow-up until 31/12/2015;
</t>
    </r>
    <r>
      <rPr>
        <b/>
        <sz val="10"/>
        <color rgb="FF000000"/>
        <rFont val="Calibri"/>
        <family val="2"/>
        <scheme val="minor"/>
      </rPr>
      <t xml:space="preserve">FS +/- FOBT </t>
    </r>
    <r>
      <rPr>
        <sz val="10"/>
        <color rgb="FF000000"/>
        <rFont val="Calibri"/>
        <family val="2"/>
        <scheme val="minor"/>
      </rPr>
      <t>vs no screening</t>
    </r>
  </si>
  <si>
    <r>
      <t xml:space="preserve">All-causemortality (per 100,000 PY) and rate ratio; follow-up until 31/12/2015;
</t>
    </r>
    <r>
      <rPr>
        <b/>
        <sz val="10"/>
        <color rgb="FF000000"/>
        <rFont val="Calibri"/>
        <family val="2"/>
        <scheme val="minor"/>
      </rPr>
      <t>FS +/- FOBT</t>
    </r>
    <r>
      <rPr>
        <sz val="10"/>
        <color rgb="FF000000"/>
        <rFont val="Calibri"/>
        <family val="2"/>
        <scheme val="minor"/>
      </rPr>
      <t xml:space="preserve"> vs no screening</t>
    </r>
  </si>
  <si>
    <r>
      <t xml:space="preserve">All-cause mortality (per 1,000 people analysed) and relative risk; follow-up until 31/12/2015;
</t>
    </r>
    <r>
      <rPr>
        <b/>
        <sz val="10"/>
        <color rgb="FF000000"/>
        <rFont val="Calibri"/>
        <family val="2"/>
        <scheme val="minor"/>
      </rPr>
      <t>FS +/- FOBT</t>
    </r>
    <r>
      <rPr>
        <sz val="10"/>
        <color rgb="FF000000"/>
        <rFont val="Calibri"/>
        <family val="2"/>
        <scheme val="minor"/>
      </rPr>
      <t xml:space="preserve"> vs no screening</t>
    </r>
  </si>
  <si>
    <r>
      <t xml:space="preserve">Diagnostic yield at screening; </t>
    </r>
    <r>
      <rPr>
        <b/>
        <sz val="10"/>
        <color rgb="FF000000"/>
        <rFont val="Calibri"/>
        <family val="2"/>
        <scheme val="minor"/>
      </rPr>
      <t>CRC</t>
    </r>
    <r>
      <rPr>
        <sz val="10"/>
        <color rgb="FF000000"/>
        <rFont val="Calibri"/>
        <family val="2"/>
        <scheme val="minor"/>
      </rPr>
      <t xml:space="preserve"> (per 1,000 people analysed); one screening round (1999-2000);
FS +/- FOBT</t>
    </r>
  </si>
  <si>
    <r>
      <t xml:space="preserve">Diagnostic yield at screening; </t>
    </r>
    <r>
      <rPr>
        <b/>
        <sz val="10"/>
        <color rgb="FF000000"/>
        <rFont val="Calibri"/>
        <family val="2"/>
        <scheme val="minor"/>
      </rPr>
      <t>CRC</t>
    </r>
    <r>
      <rPr>
        <sz val="10"/>
        <color rgb="FF000000"/>
        <rFont val="Calibri"/>
        <family val="2"/>
        <scheme val="minor"/>
      </rPr>
      <t xml:space="preserve"> (per 1,000 people analysed); one screening round (1999-2000);
FS only vs FS + FOBT</t>
    </r>
  </si>
  <si>
    <r>
      <t xml:space="preserve">Diagnostic yield at screening; </t>
    </r>
    <r>
      <rPr>
        <b/>
        <sz val="10"/>
        <color rgb="FF000000"/>
        <rFont val="Calibri"/>
        <family val="2"/>
        <scheme val="minor"/>
      </rPr>
      <t>neoplastic lesion</t>
    </r>
    <r>
      <rPr>
        <sz val="10"/>
        <color rgb="FF000000"/>
        <rFont val="Calibri"/>
        <family val="2"/>
        <scheme val="minor"/>
      </rPr>
      <t xml:space="preserve"> (per 1,000 people analysed); one screening round (1999-2000);
FS +/- FOBT</t>
    </r>
  </si>
  <si>
    <r>
      <t>Diagnostic yield at screening;</t>
    </r>
    <r>
      <rPr>
        <b/>
        <sz val="10"/>
        <color rgb="FF000000"/>
        <rFont val="Calibri"/>
        <family val="2"/>
        <scheme val="minor"/>
      </rPr>
      <t xml:space="preserve"> high-risk adenoma or CRC </t>
    </r>
    <r>
      <rPr>
        <sz val="10"/>
        <color rgb="FF000000"/>
        <rFont val="Calibri"/>
        <family val="2"/>
        <scheme val="minor"/>
      </rPr>
      <t>(per 1,000 people analysed); one screening round (1999-2000);
FS +/- FOBT</t>
    </r>
  </si>
  <si>
    <r>
      <t>Diagnostic yield at screening;</t>
    </r>
    <r>
      <rPr>
        <b/>
        <sz val="10"/>
        <color rgb="FF000000"/>
        <rFont val="Calibri"/>
        <family val="2"/>
        <scheme val="minor"/>
      </rPr>
      <t xml:space="preserve"> high-risk adenoma </t>
    </r>
    <r>
      <rPr>
        <sz val="10"/>
        <color rgb="FF000000"/>
        <rFont val="Calibri"/>
        <family val="2"/>
        <scheme val="minor"/>
      </rPr>
      <t>(per 1,000 people analysed); one screening round (1999-2000);
FS +/- FOBT</t>
    </r>
  </si>
  <si>
    <r>
      <t xml:space="preserve">% of </t>
    </r>
    <r>
      <rPr>
        <b/>
        <sz val="10"/>
        <color rgb="FF000000"/>
        <rFont val="Calibri"/>
        <family val="2"/>
        <scheme val="minor"/>
      </rPr>
      <t xml:space="preserve">CRC </t>
    </r>
    <r>
      <rPr>
        <sz val="10"/>
        <color rgb="FF000000"/>
        <rFont val="Calibri"/>
        <family val="2"/>
        <scheme val="minor"/>
      </rPr>
      <t>that are screen-detected; one screening round (1999-2000); follow-up until 31/12/2006;
FS +/- FOBT</t>
    </r>
  </si>
  <si>
    <r>
      <t xml:space="preserve">% of </t>
    </r>
    <r>
      <rPr>
        <b/>
        <sz val="10"/>
        <color rgb="FF000000"/>
        <rFont val="Calibri"/>
        <family val="2"/>
        <scheme val="minor"/>
      </rPr>
      <t xml:space="preserve">CRC </t>
    </r>
    <r>
      <rPr>
        <sz val="10"/>
        <color rgb="FF000000"/>
        <rFont val="Calibri"/>
        <family val="2"/>
        <scheme val="minor"/>
      </rPr>
      <t>that are screen-detected; one screening round (1999-2000); follow-up until 31/12/2006;
FS only vs FS + FOBT</t>
    </r>
  </si>
  <si>
    <r>
      <t>Diagnostic yield at screening (</t>
    </r>
    <r>
      <rPr>
        <b/>
        <sz val="10"/>
        <color rgb="FF000000"/>
        <rFont val="Calibri"/>
        <family val="2"/>
        <scheme val="minor"/>
      </rPr>
      <t>any adenoma</t>
    </r>
    <r>
      <rPr>
        <sz val="10"/>
        <color rgb="FF000000"/>
        <rFont val="Calibri"/>
        <family val="2"/>
        <scheme val="minor"/>
      </rPr>
      <t>); per 1,000 people analysed; 1 screening round;
FS only vs FS + FOBT</t>
    </r>
  </si>
  <si>
    <r>
      <t>Diagnostic yield at screening (</t>
    </r>
    <r>
      <rPr>
        <b/>
        <sz val="10"/>
        <color rgb="FF000000"/>
        <rFont val="Calibri"/>
        <family val="2"/>
        <scheme val="minor"/>
      </rPr>
      <t>advanced adenoma</t>
    </r>
    <r>
      <rPr>
        <sz val="10"/>
        <color rgb="FF000000"/>
        <rFont val="Calibri"/>
        <family val="2"/>
        <scheme val="minor"/>
      </rPr>
      <t>); per 1,000 people analysed; 1 screening round;
FS only vs FS + FOBT</t>
    </r>
  </si>
  <si>
    <r>
      <t>Number of screen-detected advanced adenomas (</t>
    </r>
    <r>
      <rPr>
        <sz val="10"/>
        <color rgb="FF000000"/>
        <rFont val="Calibri"/>
        <family val="2"/>
      </rPr>
      <t>≥</t>
    </r>
    <r>
      <rPr>
        <sz val="10"/>
        <color rgb="FF000000"/>
        <rFont val="Calibri"/>
        <family val="2"/>
        <scheme val="minor"/>
      </rPr>
      <t>10mm,
with villous histology or with
high-grade dysplasia); 1 screening round (1999-2001)</t>
    </r>
  </si>
  <si>
    <r>
      <t>Diagnostic yield at screening (</t>
    </r>
    <r>
      <rPr>
        <b/>
        <sz val="10"/>
        <color rgb="FF000000"/>
        <rFont val="Calibri"/>
        <family val="2"/>
        <scheme val="minor"/>
      </rPr>
      <t>CRC</t>
    </r>
    <r>
      <rPr>
        <sz val="10"/>
        <color rgb="FF000000"/>
        <rFont val="Calibri"/>
        <family val="2"/>
        <scheme val="minor"/>
      </rPr>
      <t>); per 1,000 people analysed; 1 screening round;
FS only vs FS + FOBT</t>
    </r>
  </si>
  <si>
    <r>
      <t>Diagnostic yield at screening (</t>
    </r>
    <r>
      <rPr>
        <b/>
        <sz val="10"/>
        <color rgb="FF000000"/>
        <rFont val="Calibri"/>
        <family val="2"/>
        <scheme val="minor"/>
      </rPr>
      <t>any adenoma</t>
    </r>
    <r>
      <rPr>
        <sz val="10"/>
        <color rgb="FF000000"/>
        <rFont val="Calibri"/>
        <family val="2"/>
        <scheme val="minor"/>
      </rPr>
      <t>); per 1,000 people analysed; 1 screening round;
FS +/- FOBT</t>
    </r>
  </si>
  <si>
    <r>
      <t>Diagnostic yield at screening (</t>
    </r>
    <r>
      <rPr>
        <b/>
        <sz val="10"/>
        <color rgb="FF000000"/>
        <rFont val="Calibri"/>
        <family val="2"/>
        <scheme val="minor"/>
      </rPr>
      <t>advanced adenoma</t>
    </r>
    <r>
      <rPr>
        <sz val="10"/>
        <color rgb="FF000000"/>
        <rFont val="Calibri"/>
        <family val="2"/>
        <scheme val="minor"/>
      </rPr>
      <t>); per 1,000 people analysed; 1 screening round;
FS +/- FOBT</t>
    </r>
  </si>
  <si>
    <r>
      <t>Diagnostic yield at screening (</t>
    </r>
    <r>
      <rPr>
        <b/>
        <sz val="10"/>
        <color rgb="FF000000"/>
        <rFont val="Calibri"/>
        <family val="2"/>
        <scheme val="minor"/>
      </rPr>
      <t>CRC</t>
    </r>
    <r>
      <rPr>
        <sz val="10"/>
        <color rgb="FF000000"/>
        <rFont val="Calibri"/>
        <family val="2"/>
        <scheme val="minor"/>
      </rPr>
      <t>); per 1,000 people analysed; 1 screening round;
FS +/- FOBT</t>
    </r>
  </si>
  <si>
    <r>
      <t xml:space="preserve">% of </t>
    </r>
    <r>
      <rPr>
        <b/>
        <sz val="10"/>
        <color rgb="FF000000"/>
        <rFont val="Calibri"/>
        <family val="2"/>
        <scheme val="minor"/>
      </rPr>
      <t xml:space="preserve">CRC </t>
    </r>
    <r>
      <rPr>
        <sz val="10"/>
        <color rgb="FF000000"/>
        <rFont val="Calibri"/>
        <family val="2"/>
        <scheme val="minor"/>
      </rPr>
      <t>that has been screen-detected; 1 screening round; follow-up until 31/12/2011;
FS +/- FOBT</t>
    </r>
  </si>
  <si>
    <t>Table 1 and text: Over the period, 78 708 deaths were recorded, 50.3% from subjects in the intervention group. On the basis of the sample sizes at recruitment,(#165) the recorded deaths constituted 52.2% of the control group and 52.6% of the intervention group (Z test for difference in proportions, Z=1.60, p=0.09). 
Some numbers from #165.</t>
  </si>
  <si>
    <t>Table 1 and text: There was, however, a significant
difference in the proportion of deaths ascribed to verified
CRC between the intervention and the control group (2.9 vs
3.2%, respectively, c2=7.46, p&lt;0.01).
Some numbers from #165.</t>
  </si>
  <si>
    <r>
      <rPr>
        <sz val="10"/>
        <color rgb="FF000000"/>
        <rFont val="Calibri"/>
        <family val="2"/>
        <scheme val="minor"/>
      </rPr>
      <t>Diagnostic yield at screening, adenomas 1-1.9</t>
    </r>
    <r>
      <rPr>
        <sz val="10"/>
        <color rgb="FF000000"/>
        <rFont val="Calibri"/>
        <family val="2"/>
      </rPr>
      <t xml:space="preserve"> cm</t>
    </r>
    <r>
      <rPr>
        <sz val="10"/>
        <color rgb="FF000000"/>
        <rFont val="Calibri"/>
        <family val="2"/>
        <scheme val="minor"/>
      </rPr>
      <t xml:space="preserve"> (per 1,000 people randomised; from first 107,349 subjects); baseline screening;
FOBT only</t>
    </r>
  </si>
  <si>
    <t>Number of screen-detected adenomas 1-1.9 cm cm; 1 screening round; 53,464 in screening arm</t>
  </si>
  <si>
    <r>
      <t xml:space="preserve">Diagnostic yield at screening, adenomas </t>
    </r>
    <r>
      <rPr>
        <sz val="10"/>
        <color rgb="FF000000"/>
        <rFont val="Calibri"/>
        <family val="2"/>
      </rPr>
      <t>≥1 cm</t>
    </r>
    <r>
      <rPr>
        <sz val="10"/>
        <color rgb="FF000000"/>
        <rFont val="Calibri"/>
        <family val="2"/>
        <scheme val="minor"/>
      </rPr>
      <t xml:space="preserve"> (per 1,000 people randomised; from first 107,349 subjects); baseline screening;
FOBT only</t>
    </r>
  </si>
  <si>
    <r>
      <rPr>
        <sz val="10"/>
        <rFont val="Calibri"/>
        <family val="2"/>
        <scheme val="minor"/>
      </rPr>
      <t xml:space="preserve">Diagnostic yield at screening, adenomas &lt;1 </t>
    </r>
    <r>
      <rPr>
        <sz val="10"/>
        <rFont val="Calibri"/>
        <family val="2"/>
      </rPr>
      <t>cm</t>
    </r>
    <r>
      <rPr>
        <sz val="10"/>
        <rFont val="Calibri"/>
        <family val="2"/>
        <scheme val="minor"/>
      </rPr>
      <t xml:space="preserve"> (per 1,000 people randomised; from first 107,349 subjects); baseline screening;
FOBT only</t>
    </r>
  </si>
  <si>
    <t>Number of screen-detected adenomas &lt;1 cm; 1 screening round; 53,464 in screening arm</t>
  </si>
  <si>
    <r>
      <rPr>
        <sz val="10"/>
        <color rgb="FF000000"/>
        <rFont val="Calibri"/>
        <family val="2"/>
        <scheme val="minor"/>
      </rPr>
      <t xml:space="preserve">Diagnostic yield at screening, adenomas </t>
    </r>
    <r>
      <rPr>
        <sz val="10"/>
        <color rgb="FF000000"/>
        <rFont val="Calibri"/>
        <family val="2"/>
      </rPr>
      <t>1-1.9 cm</t>
    </r>
    <r>
      <rPr>
        <sz val="10"/>
        <color rgb="FF000000"/>
        <rFont val="Calibri"/>
        <family val="2"/>
        <scheme val="minor"/>
      </rPr>
      <t xml:space="preserve"> (per 1,000 people randomised; from first 107,349 subjects); 1-3 screening rounds;
FOBT only</t>
    </r>
  </si>
  <si>
    <t>Number of screen-detected adenomas 1-1.9 cm; 1-3 screening rounds; 53,464 in screening arm</t>
  </si>
  <si>
    <r>
      <t xml:space="preserve">Diagnostic yield at screening, adenomas </t>
    </r>
    <r>
      <rPr>
        <sz val="10"/>
        <color rgb="FF000000"/>
        <rFont val="Calibri"/>
        <family val="2"/>
      </rPr>
      <t>≥1 cm</t>
    </r>
    <r>
      <rPr>
        <sz val="10"/>
        <color rgb="FF000000"/>
        <rFont val="Calibri"/>
        <family val="2"/>
        <scheme val="minor"/>
      </rPr>
      <t xml:space="preserve"> (per 1,000 people randomised; from first 107,349 subjects); 1-3 screening rounds;
FOBT only</t>
    </r>
  </si>
  <si>
    <r>
      <t>Diagnostic yield at screening, adenomas &lt;</t>
    </r>
    <r>
      <rPr>
        <sz val="10"/>
        <rFont val="Calibri"/>
        <family val="2"/>
      </rPr>
      <t>1 cm</t>
    </r>
    <r>
      <rPr>
        <sz val="10"/>
        <rFont val="Calibri"/>
        <family val="2"/>
        <scheme val="minor"/>
      </rPr>
      <t xml:space="preserve"> (per 1,000 people randomised; from first 107,349 subjects); 1-3 screening rounds;
FOBT only</t>
    </r>
  </si>
  <si>
    <t>Number of screen-detected adenomas &lt;1 cm; 1-3 screening rounds; 53,464 in screening arm</t>
  </si>
  <si>
    <r>
      <t xml:space="preserve">Diagnostic yield at screening, Adenomas </t>
    </r>
    <r>
      <rPr>
        <sz val="10"/>
        <color rgb="FF000000"/>
        <rFont val="Calibri"/>
        <family val="2"/>
      </rPr>
      <t>≥1 cm</t>
    </r>
    <r>
      <rPr>
        <sz val="10"/>
        <color rgb="FF000000"/>
        <rFont val="Calibri"/>
        <family val="2"/>
        <scheme val="minor"/>
      </rPr>
      <t xml:space="preserve"> (per 1,000 people analysed; 3-6 screening rounds offered; up to 30/06/1995
FOBT only</t>
    </r>
  </si>
  <si>
    <r>
      <rPr>
        <sz val="10"/>
        <color rgb="FF000000"/>
        <rFont val="Calibri"/>
        <family val="2"/>
        <scheme val="minor"/>
      </rPr>
      <t>Diagnostic yield at screening, Adenomas 1-2</t>
    </r>
    <r>
      <rPr>
        <sz val="10"/>
        <color rgb="FF000000"/>
        <rFont val="Calibri"/>
        <family val="2"/>
      </rPr>
      <t xml:space="preserve"> cm</t>
    </r>
    <r>
      <rPr>
        <sz val="10"/>
        <color rgb="FF000000"/>
        <rFont val="Calibri"/>
        <family val="2"/>
        <scheme val="minor"/>
      </rPr>
      <t xml:space="preserve"> (per 1,000 people  analysed; 3-6 screening rounds offered; up to 30/06/1995
FOBT only</t>
    </r>
  </si>
  <si>
    <t>Number of screen-detected adenomas 1-2 cm; 3-6 screening rounds; follow-up until 30/06/1995</t>
  </si>
  <si>
    <r>
      <t xml:space="preserve">Diagnostic yield at screening, Adenomas </t>
    </r>
    <r>
      <rPr>
        <sz val="10"/>
        <color rgb="FF000000"/>
        <rFont val="Calibri"/>
        <family val="2"/>
      </rPr>
      <t>≥2 cm</t>
    </r>
    <r>
      <rPr>
        <sz val="10"/>
        <color rgb="FF000000"/>
        <rFont val="Calibri"/>
        <family val="2"/>
        <scheme val="minor"/>
      </rPr>
      <t xml:space="preserve"> (per 1,000 people  analysed; 3-6 screening rounds offered; up to 30/06/1995
FOBT only</t>
    </r>
  </si>
  <si>
    <r>
      <rPr>
        <sz val="10"/>
        <rFont val="Calibri"/>
        <family val="2"/>
        <scheme val="minor"/>
      </rPr>
      <t xml:space="preserve">Diagnostic yield at screening, Adenomas &lt;1 </t>
    </r>
    <r>
      <rPr>
        <sz val="10"/>
        <rFont val="Calibri"/>
        <family val="2"/>
      </rPr>
      <t>cm</t>
    </r>
    <r>
      <rPr>
        <sz val="10"/>
        <rFont val="Calibri"/>
        <family val="2"/>
        <scheme val="minor"/>
      </rPr>
      <t xml:space="preserve"> (per 1,000 people  analysed; 3-6 screening rounds offered; up to 30/06/1995
FOBT only</t>
    </r>
  </si>
  <si>
    <t>Number of screen-detected adenomas &lt;1 cm; 3-6 screening rounds; follow-up until 30/06/1995</t>
  </si>
  <si>
    <r>
      <t xml:space="preserve">Diagnostic yield at screening, patients with largest adenoma </t>
    </r>
    <r>
      <rPr>
        <sz val="10"/>
        <color rgb="FF000000"/>
        <rFont val="Calibri"/>
        <family val="2"/>
      </rPr>
      <t>≥1 cm</t>
    </r>
    <r>
      <rPr>
        <sz val="10"/>
        <color rgb="FF000000"/>
        <rFont val="Calibri"/>
        <family val="2"/>
        <scheme val="minor"/>
      </rPr>
      <t xml:space="preserve"> (per 1,000 people analysed; 3-5 screening rounds offered up to February 1995;
FOBT only</t>
    </r>
  </si>
  <si>
    <r>
      <t xml:space="preserve">Number of screen-detected adenomas </t>
    </r>
    <r>
      <rPr>
        <sz val="10"/>
        <color rgb="FF000000"/>
        <rFont val="Calibri"/>
        <family val="2"/>
      </rPr>
      <t>≥1 cm</t>
    </r>
    <r>
      <rPr>
        <sz val="10"/>
        <color rgb="FF000000"/>
        <rFont val="Calibri"/>
        <family val="2"/>
        <scheme val="minor"/>
      </rPr>
      <t>; 3-5 screening rounds up to February 1995</t>
    </r>
  </si>
  <si>
    <r>
      <t>Table 4 and text: Only 615 large adenomas (</t>
    </r>
    <r>
      <rPr>
        <sz val="10"/>
        <color rgb="FF000000"/>
        <rFont val="Calibri"/>
        <family val="2"/>
      </rPr>
      <t>≥</t>
    </r>
    <r>
      <rPr>
        <sz val="10"/>
        <color rgb="FF000000"/>
        <rFont val="Calibri"/>
        <family val="2"/>
        <scheme val="minor"/>
      </rPr>
      <t>10 mm) were detected by screening and removed from the intervention arm of over 76 000 people.</t>
    </r>
  </si>
  <si>
    <r>
      <rPr>
        <sz val="10"/>
        <color rgb="FF000000"/>
        <rFont val="Calibri"/>
        <family val="2"/>
        <scheme val="minor"/>
      </rPr>
      <t>Diagnostic yield at screening, patients with largest adenomas 1-1.9</t>
    </r>
    <r>
      <rPr>
        <sz val="10"/>
        <color rgb="FF000000"/>
        <rFont val="Calibri"/>
        <family val="2"/>
      </rPr>
      <t xml:space="preserve"> cm</t>
    </r>
    <r>
      <rPr>
        <sz val="10"/>
        <color rgb="FF000000"/>
        <rFont val="Calibri"/>
        <family val="2"/>
        <scheme val="minor"/>
      </rPr>
      <t xml:space="preserve"> (per 1,000 people analysed; 3-5 screening rounds offered up to February 1995;
FOBT only</t>
    </r>
  </si>
  <si>
    <t>Number of screen-detected adenomas 1-1.9 cm; 3-5 screening rounds up to February 1995</t>
  </si>
  <si>
    <r>
      <t xml:space="preserve">Diagnostic yield at screening, patients with largest adenomas </t>
    </r>
    <r>
      <rPr>
        <sz val="10"/>
        <color rgb="FF000000"/>
        <rFont val="Calibri"/>
        <family val="2"/>
      </rPr>
      <t>≥2 cm</t>
    </r>
    <r>
      <rPr>
        <sz val="10"/>
        <color rgb="FF000000"/>
        <rFont val="Calibri"/>
        <family val="2"/>
        <scheme val="minor"/>
      </rPr>
      <t xml:space="preserve"> (per 1,000 people analysed; 3-5 screening rounds offered up to February 1995;
FOBT only</t>
    </r>
  </si>
  <si>
    <r>
      <t xml:space="preserve">Number of screen-detected adenomas </t>
    </r>
    <r>
      <rPr>
        <sz val="10"/>
        <color rgb="FF000000"/>
        <rFont val="Calibri"/>
        <family val="2"/>
      </rPr>
      <t>≥2 cm</t>
    </r>
    <r>
      <rPr>
        <sz val="10"/>
        <color rgb="FF000000"/>
        <rFont val="Calibri"/>
        <family val="2"/>
        <scheme val="minor"/>
      </rPr>
      <t>; 3-5 screening rounds up to February 1995</t>
    </r>
  </si>
  <si>
    <r>
      <t>Diagnostic yield at screening, patients with largest adenomas &lt;1</t>
    </r>
    <r>
      <rPr>
        <sz val="10"/>
        <rFont val="Calibri"/>
        <family val="2"/>
      </rPr>
      <t xml:space="preserve"> cm</t>
    </r>
    <r>
      <rPr>
        <sz val="10"/>
        <rFont val="Calibri"/>
        <family val="2"/>
        <scheme val="minor"/>
      </rPr>
      <t xml:space="preserve"> (per 1,000 people analysed; 3-5 screening rounds offered up to February 1995;
FOBT only</t>
    </r>
  </si>
  <si>
    <r>
      <t>Number of screen-detected adenomas &lt;1</t>
    </r>
    <r>
      <rPr>
        <sz val="10"/>
        <rFont val="Calibri"/>
        <family val="2"/>
      </rPr>
      <t xml:space="preserve"> cm</t>
    </r>
    <r>
      <rPr>
        <sz val="10"/>
        <rFont val="Calibri"/>
        <family val="2"/>
        <scheme val="minor"/>
      </rPr>
      <t>; 3-5 screening rounds up to February 1995</t>
    </r>
  </si>
  <si>
    <t>13,466 PY</t>
  </si>
  <si>
    <t>12,418 PY</t>
  </si>
  <si>
    <t>Numbers in columns R and S calculated by reviewers: Postscreening observation in both groups ranged from 1 to 5.5 years (average, 3 years)." plus 6 year screening period.</t>
  </si>
  <si>
    <t>Number in analysis from Fontana 1991. Baker 2008 only report 9,211 men in study,  no numbers by arm.</t>
  </si>
  <si>
    <t>Breast self-examination</t>
  </si>
  <si>
    <t>Mortality rates were estimated using standard life table methods, with time measured from date of entry into the study.
Reports breast cancer mortality for women  &lt;50 years and 50+ years at baseline but we don't have surrogate data for these subgroups; therefore, I have not extracted these data.</t>
  </si>
  <si>
    <t>19 Unknown T-classification;
7 with clinical diagnosis only</t>
  </si>
  <si>
    <t>19 Unknown T-classification;
6 with clinical diagnosis only</t>
  </si>
  <si>
    <r>
      <t xml:space="preserve">Absolute incidence of carcinomas diagnosed as </t>
    </r>
    <r>
      <rPr>
        <b/>
        <sz val="10"/>
        <rFont val="Calibri"/>
        <family val="2"/>
        <scheme val="minor"/>
      </rPr>
      <t>&gt;T1 tumors (&gt;</t>
    </r>
    <r>
      <rPr>
        <b/>
        <sz val="10"/>
        <rFont val="Calibri"/>
        <family val="2"/>
      </rPr>
      <t>2 cm)</t>
    </r>
    <r>
      <rPr>
        <sz val="10"/>
        <rFont val="Calibri"/>
        <family val="2"/>
        <scheme val="minor"/>
      </rPr>
      <t xml:space="preserve"> up to 31/12/2000 (per 1,000 women);
Instruction vs control</t>
    </r>
  </si>
  <si>
    <r>
      <t>&gt;T1 (&gt;</t>
    </r>
    <r>
      <rPr>
        <sz val="10"/>
        <rFont val="Calibri"/>
        <family val="2"/>
      </rPr>
      <t>2 cm)</t>
    </r>
  </si>
  <si>
    <r>
      <t>Number of breast cancers &gt;T1 (&gt;</t>
    </r>
    <r>
      <rPr>
        <sz val="10"/>
        <rFont val="Calibri"/>
        <family val="2"/>
      </rPr>
      <t>2 cm) diagnosed up to 31/12/2000</t>
    </r>
  </si>
  <si>
    <r>
      <t>% of breast cancers diagnosed at late stage (</t>
    </r>
    <r>
      <rPr>
        <b/>
        <sz val="10"/>
        <rFont val="Calibri"/>
        <family val="2"/>
        <scheme val="minor"/>
      </rPr>
      <t>&gt;T1 tumors; &gt;</t>
    </r>
    <r>
      <rPr>
        <b/>
        <sz val="10"/>
        <rFont val="Calibri"/>
        <family val="2"/>
      </rPr>
      <t>2 cm)</t>
    </r>
    <r>
      <rPr>
        <sz val="10"/>
        <rFont val="Calibri"/>
        <family val="2"/>
        <scheme val="minor"/>
      </rPr>
      <t xml:space="preserve"> up to 31/12/2000;
Instruction vs control</t>
    </r>
  </si>
  <si>
    <t>Total number of breast cancers detected up to 31/12/1994 (including cancers with unknown node status; excluding cancers with clinical diagnosis only)</t>
  </si>
  <si>
    <t>60 No histologically ascertained nodal status;
7 with clinical diagnosis only</t>
  </si>
  <si>
    <t>46 Unknown T-classification;
6 with clinical diagnosis only</t>
  </si>
  <si>
    <t>Total number of breast cancers detected up to 31/12/1994 (including cancers with unknown node status; excluding cases with clinical diagnosis only)</t>
  </si>
  <si>
    <t>Total number of breast cancers diagnosed up to 31/05/2009 in screening arm</t>
  </si>
  <si>
    <t>Table 2 (Table 3 for denominator)</t>
  </si>
  <si>
    <t>Figure 1 reports 72 and 71 breast cancer death and crude mortality rates of 9.8 per 100,000 PY and 10.3 per 100,000 PY for intervention and control groups, respectively.</t>
  </si>
  <si>
    <r>
      <t>Total number of</t>
    </r>
    <r>
      <rPr>
        <b/>
        <sz val="10"/>
        <rFont val="Calibri"/>
        <family val="2"/>
        <scheme val="minor"/>
      </rPr>
      <t xml:space="preserve"> invasive</t>
    </r>
    <r>
      <rPr>
        <sz val="10"/>
        <rFont val="Calibri"/>
        <family val="2"/>
        <scheme val="minor"/>
      </rPr>
      <t xml:space="preserve"> breast carcinomas diagnosed up to the time immediately after the first screen of the control group (excluding 4 cases of lobular carcinoma in situ in the study group)</t>
    </r>
  </si>
  <si>
    <r>
      <t xml:space="preserve">Total number of breast carcinomas </t>
    </r>
    <r>
      <rPr>
        <b/>
        <sz val="10"/>
        <rFont val="Calibri"/>
        <family val="2"/>
        <scheme val="minor"/>
      </rPr>
      <t xml:space="preserve">(invasive + DCIS) </t>
    </r>
    <r>
      <rPr>
        <sz val="10"/>
        <rFont val="Calibri"/>
        <family val="2"/>
        <scheme val="minor"/>
      </rPr>
      <t>diagnosed up to the time immediately after the first screen of the control group (excluding 4 cases of lobular carcinoma in situ in the study group)</t>
    </r>
  </si>
  <si>
    <r>
      <t>Total number of</t>
    </r>
    <r>
      <rPr>
        <b/>
        <sz val="10"/>
        <rFont val="Calibri"/>
        <family val="2"/>
        <scheme val="minor"/>
      </rPr>
      <t xml:space="preserve"> invasive</t>
    </r>
    <r>
      <rPr>
        <sz val="10"/>
        <rFont val="Calibri"/>
        <family val="2"/>
        <scheme val="minor"/>
      </rPr>
      <t xml:space="preserve"> breast cancers diagnosed during the screening phase (including cases with unknown node status)</t>
    </r>
  </si>
  <si>
    <r>
      <t xml:space="preserve">Total number of breast cancers </t>
    </r>
    <r>
      <rPr>
        <b/>
        <sz val="10"/>
        <rFont val="Calibri"/>
        <family val="2"/>
        <scheme val="minor"/>
      </rPr>
      <t>(DCIS + invasive)</t>
    </r>
    <r>
      <rPr>
        <sz val="10"/>
        <rFont val="Calibri"/>
        <family val="2"/>
        <scheme val="minor"/>
      </rPr>
      <t xml:space="preserve"> diagnosed during the screening phase (including cases with unknown node status)</t>
    </r>
  </si>
  <si>
    <r>
      <t>Total number of</t>
    </r>
    <r>
      <rPr>
        <b/>
        <sz val="10"/>
        <rFont val="Calibri"/>
        <family val="2"/>
        <scheme val="minor"/>
      </rPr>
      <t xml:space="preserve"> invasive</t>
    </r>
    <r>
      <rPr>
        <sz val="10"/>
        <rFont val="Calibri"/>
        <family val="2"/>
        <scheme val="minor"/>
      </rPr>
      <t xml:space="preserve"> breast cancers diagnosed </t>
    </r>
    <r>
      <rPr>
        <b/>
        <sz val="10"/>
        <rFont val="Calibri"/>
        <family val="2"/>
        <scheme val="minor"/>
      </rPr>
      <t xml:space="preserve">in women aged 39-44 years </t>
    </r>
    <r>
      <rPr>
        <sz val="10"/>
        <rFont val="Calibri"/>
        <family val="2"/>
        <scheme val="minor"/>
      </rPr>
      <t>during the screening phase (including cases with unknown node status)</t>
    </r>
  </si>
  <si>
    <r>
      <t xml:space="preserve">Total number of breast cancers </t>
    </r>
    <r>
      <rPr>
        <b/>
        <sz val="10"/>
        <rFont val="Calibri"/>
        <family val="2"/>
        <scheme val="minor"/>
      </rPr>
      <t>(invasive + DCIS)</t>
    </r>
    <r>
      <rPr>
        <sz val="10"/>
        <rFont val="Calibri"/>
        <family val="2"/>
        <scheme val="minor"/>
      </rPr>
      <t xml:space="preserve"> diagnosed </t>
    </r>
    <r>
      <rPr>
        <b/>
        <sz val="10"/>
        <rFont val="Calibri"/>
        <family val="2"/>
        <scheme val="minor"/>
      </rPr>
      <t xml:space="preserve">in women aged 39-44 years </t>
    </r>
    <r>
      <rPr>
        <sz val="10"/>
        <rFont val="Calibri"/>
        <family val="2"/>
        <scheme val="minor"/>
      </rPr>
      <t>during the screening phase (including cases with unknown node status)</t>
    </r>
  </si>
  <si>
    <r>
      <t xml:space="preserve">Total number of </t>
    </r>
    <r>
      <rPr>
        <b/>
        <sz val="10"/>
        <rFont val="Calibri"/>
        <family val="2"/>
        <scheme val="minor"/>
      </rPr>
      <t>invasive</t>
    </r>
    <r>
      <rPr>
        <sz val="10"/>
        <rFont val="Calibri"/>
        <family val="2"/>
        <scheme val="minor"/>
      </rPr>
      <t xml:space="preserve"> breast cancers diagnosed </t>
    </r>
    <r>
      <rPr>
        <b/>
        <sz val="10"/>
        <rFont val="Calibri"/>
        <family val="2"/>
        <scheme val="minor"/>
      </rPr>
      <t xml:space="preserve">in women aged 45-59 years </t>
    </r>
    <r>
      <rPr>
        <sz val="10"/>
        <rFont val="Calibri"/>
        <family val="2"/>
        <scheme val="minor"/>
      </rPr>
      <t>during the screening phase (including cases with unknown node status)</t>
    </r>
  </si>
  <si>
    <r>
      <t xml:space="preserve">Total number of breast cancers </t>
    </r>
    <r>
      <rPr>
        <b/>
        <sz val="10"/>
        <rFont val="Calibri"/>
        <family val="2"/>
        <scheme val="minor"/>
      </rPr>
      <t>(invasive + DCIS)</t>
    </r>
    <r>
      <rPr>
        <sz val="10"/>
        <rFont val="Calibri"/>
        <family val="2"/>
        <scheme val="minor"/>
      </rPr>
      <t xml:space="preserve"> diagnosed </t>
    </r>
    <r>
      <rPr>
        <b/>
        <sz val="10"/>
        <rFont val="Calibri"/>
        <family val="2"/>
        <scheme val="minor"/>
      </rPr>
      <t xml:space="preserve">in women aged 45-59 years </t>
    </r>
    <r>
      <rPr>
        <sz val="10"/>
        <rFont val="Calibri"/>
        <family val="2"/>
        <scheme val="minor"/>
      </rPr>
      <t>during the screening phase (including cases with unknown node status)</t>
    </r>
  </si>
  <si>
    <r>
      <t>Total number of</t>
    </r>
    <r>
      <rPr>
        <b/>
        <sz val="10"/>
        <rFont val="Calibri"/>
        <family val="2"/>
        <scheme val="minor"/>
      </rPr>
      <t xml:space="preserve"> invasive</t>
    </r>
    <r>
      <rPr>
        <sz val="10"/>
        <rFont val="Calibri"/>
        <family val="2"/>
        <scheme val="minor"/>
      </rPr>
      <t xml:space="preserve"> breast cancers diagnosed </t>
    </r>
    <r>
      <rPr>
        <b/>
        <sz val="10"/>
        <rFont val="Calibri"/>
        <family val="2"/>
        <scheme val="minor"/>
      </rPr>
      <t xml:space="preserve">in women aged 50-54 years </t>
    </r>
    <r>
      <rPr>
        <sz val="10"/>
        <rFont val="Calibri"/>
        <family val="2"/>
        <scheme val="minor"/>
      </rPr>
      <t>during the screening phase (including cases with unknown node status)</t>
    </r>
  </si>
  <si>
    <r>
      <t xml:space="preserve">Total number of breast cancers </t>
    </r>
    <r>
      <rPr>
        <b/>
        <sz val="10"/>
        <rFont val="Calibri"/>
        <family val="2"/>
        <scheme val="minor"/>
      </rPr>
      <t>(invasive + DCIS)</t>
    </r>
    <r>
      <rPr>
        <sz val="10"/>
        <rFont val="Calibri"/>
        <family val="2"/>
        <scheme val="minor"/>
      </rPr>
      <t xml:space="preserve"> diagnosed </t>
    </r>
    <r>
      <rPr>
        <b/>
        <sz val="10"/>
        <rFont val="Calibri"/>
        <family val="2"/>
        <scheme val="minor"/>
      </rPr>
      <t xml:space="preserve">in women aged 50-54 years </t>
    </r>
    <r>
      <rPr>
        <sz val="10"/>
        <rFont val="Calibri"/>
        <family val="2"/>
        <scheme val="minor"/>
      </rPr>
      <t>during the screening phase (including cases with unknown node status)</t>
    </r>
  </si>
  <si>
    <r>
      <t xml:space="preserve">Total number of </t>
    </r>
    <r>
      <rPr>
        <b/>
        <sz val="10"/>
        <rFont val="Calibri"/>
        <family val="2"/>
        <scheme val="minor"/>
      </rPr>
      <t>invasive</t>
    </r>
    <r>
      <rPr>
        <sz val="10"/>
        <rFont val="Calibri"/>
        <family val="2"/>
        <scheme val="minor"/>
      </rPr>
      <t xml:space="preserve"> breast cancers diagnosed </t>
    </r>
    <r>
      <rPr>
        <b/>
        <sz val="10"/>
        <rFont val="Calibri"/>
        <family val="2"/>
        <scheme val="minor"/>
      </rPr>
      <t xml:space="preserve">in women aged 55-59 years </t>
    </r>
    <r>
      <rPr>
        <sz val="10"/>
        <rFont val="Calibri"/>
        <family val="2"/>
        <scheme val="minor"/>
      </rPr>
      <t>during the screening phase (including cases with unknown node status)</t>
    </r>
  </si>
  <si>
    <r>
      <t xml:space="preserve">Total number of </t>
    </r>
    <r>
      <rPr>
        <b/>
        <sz val="10"/>
        <rFont val="Calibri"/>
        <family val="2"/>
        <scheme val="minor"/>
      </rPr>
      <t>invasive</t>
    </r>
    <r>
      <rPr>
        <sz val="10"/>
        <rFont val="Calibri"/>
        <family val="2"/>
        <scheme val="minor"/>
      </rPr>
      <t xml:space="preserve"> breast cancers diagnosed </t>
    </r>
    <r>
      <rPr>
        <b/>
        <sz val="10"/>
        <rFont val="Calibri"/>
        <family val="2"/>
        <scheme val="minor"/>
      </rPr>
      <t xml:space="preserve">in women aged 39-49 years </t>
    </r>
    <r>
      <rPr>
        <sz val="10"/>
        <rFont val="Calibri"/>
        <family val="2"/>
        <scheme val="minor"/>
      </rPr>
      <t>during the screening phase (including cases with unknown node status)</t>
    </r>
  </si>
  <si>
    <t>Abstract reports other numbers than Table 1 though: "From the screened group, 98 new cases of lung cancer have been detected, 67 by study screening and 31 by spontaneous reporting of symptoms (15) or by x-ray examinations (16) done in other than study circumstances."</t>
  </si>
  <si>
    <t>FU time not reported but calculated by reviewers: "Postscreening observation in both groups ranged from 1 to 5.5 years (average, 3 years)." plus 6 year screening period."</t>
  </si>
  <si>
    <t>Table 1 and text: ...200 deaths from colorectal cancer out of 11,072 total deaths (1.8%) in the annual-screening group, ...and 295 of 10,944 (2.7%) in the control group. Annual and biennial screening with fecal occult-blood testing reduced colorectal-cancer mortality; the relative risk of death from colorectal cancer was 0.68 (95% confidence interval [CI], 0.56 to 0.82) with annual screening ... Compliance-adjusted relative-risk estimates for death from colorectal cancer for the annual-screening and biennial-screening groups were 0.65 (95% CI, 0.52 to 0.80) and 0.76 (95% CI, 0.61 to 0.95) respectively.
Table S1 in supplementary material for the % of unknown cause of death.</t>
  </si>
  <si>
    <t>Table 1 and text: ...200 deaths from colorectal cancer out of 11,072 total deaths (1.8%) in the annual-screening group, ...and 295 of 10,944 (2.7%) in the control group. 
Table S1 in supplementary material for the % of unknown cause of death.</t>
  </si>
  <si>
    <r>
      <t>% of breast cancers diagnosed at late stage (</t>
    </r>
    <r>
      <rPr>
        <b/>
        <sz val="10"/>
        <rFont val="Calibri"/>
        <family val="2"/>
        <scheme val="minor"/>
      </rPr>
      <t>with</t>
    </r>
    <r>
      <rPr>
        <sz val="10"/>
        <rFont val="Calibri"/>
        <family val="2"/>
        <scheme val="minor"/>
      </rPr>
      <t xml:space="preserve"> </t>
    </r>
    <r>
      <rPr>
        <b/>
        <sz val="10"/>
        <rFont val="Calibri"/>
        <family val="2"/>
        <scheme val="minor"/>
      </rPr>
      <t>lymph-node involvement; N1 or N2)</t>
    </r>
    <r>
      <rPr>
        <sz val="10"/>
        <rFont val="Calibri"/>
        <family val="2"/>
        <scheme val="minor"/>
      </rPr>
      <t>; first 15 months;
BSE vs control groups</t>
    </r>
  </si>
  <si>
    <t>Total number of breast cancers diagnosed in first 15 months, by arm</t>
  </si>
  <si>
    <t>Table 1 and Figure 1 for total number of cancers to convert % into absolute numbers</t>
  </si>
  <si>
    <t>Table 3 and text: Comparison of patients in the BSE and control 
groups with regard to the size of the primary (Table 2)  and the incidence of metastatic involvement of the  regional lymph nodes (Table 3) revealed no  statistically significant differences.</t>
  </si>
  <si>
    <r>
      <t>% of breast cancers diagnosed at late stage (</t>
    </r>
    <r>
      <rPr>
        <b/>
        <sz val="10"/>
        <rFont val="Calibri"/>
        <family val="2"/>
        <scheme val="minor"/>
      </rPr>
      <t>N+ stage; N1-N2)</t>
    </r>
    <r>
      <rPr>
        <sz val="10"/>
        <rFont val="Calibri"/>
        <family val="2"/>
        <scheme val="minor"/>
      </rPr>
      <t>; 1985-1990;
BSE vs control groups</t>
    </r>
  </si>
  <si>
    <t>Total number of breast cancers diagnosed from 1985-1990 (excluding 1 case of fibrous histiocystoma in the control group), by arm</t>
  </si>
  <si>
    <t>Table 3 and text: Comparison of patients in the BSE and control groups with regard to the size of the primary (Table 2)  and the incidence of metastatic involvement of the  regional lymph nodes (Table 3) revealed no  statistically significant differences.</t>
  </si>
  <si>
    <t>Total number of breast cancers diagnosed from 1985-1994, by arm</t>
  </si>
  <si>
    <t>Figure 1 and text: At the end of the 10th year of the study, the total number of deaths has been similar in the BSE and control groups: 272/100,000 and 253/100,000 respectively. Population-specific death from breast cancer was the same for the two groups over the 10 years (Figure 1).</t>
  </si>
  <si>
    <t>Timepoint unclear from the paper.
Might be FU for 10 years (1995) according to the text, or until 1997 according to Figure 1.</t>
  </si>
  <si>
    <r>
      <t>1./4. Absolute incidence of prostate cancers with Gleason score &lt;7 at diagnosis</t>
    </r>
    <r>
      <rPr>
        <b/>
        <sz val="10"/>
        <color rgb="FF00B050"/>
        <rFont val="Calibri"/>
        <family val="2"/>
        <scheme val="minor"/>
      </rPr>
      <t xml:space="preserve"> </t>
    </r>
    <r>
      <rPr>
        <sz val="10"/>
        <color rgb="FF00B050"/>
        <rFont val="Calibri"/>
        <family val="2"/>
        <scheme val="minor"/>
      </rPr>
      <t>(per 100 men);</t>
    </r>
    <r>
      <rPr>
        <b/>
        <sz val="10"/>
        <color rgb="FF00B050"/>
        <rFont val="Calibri"/>
        <family val="2"/>
        <scheme val="minor"/>
      </rPr>
      <t xml:space="preserve">
Netherlands; all ages;</t>
    </r>
    <r>
      <rPr>
        <sz val="10"/>
        <color rgb="FF00B050"/>
        <rFont val="Calibri"/>
        <family val="2"/>
        <scheme val="minor"/>
      </rPr>
      <t xml:space="preserve">
up to 01/07/2003 or age 75</t>
    </r>
  </si>
  <si>
    <t>No of prostate cancers with Gleason score &lt;7; up to 01/07/2003 or age 75</t>
  </si>
  <si>
    <r>
      <t>1./4. Absolute incidence of prostate cancers with Gleason score 7 at diagnosis</t>
    </r>
    <r>
      <rPr>
        <b/>
        <sz val="10"/>
        <color rgb="FF00B050"/>
        <rFont val="Calibri"/>
        <family val="2"/>
        <scheme val="minor"/>
      </rPr>
      <t xml:space="preserve"> </t>
    </r>
    <r>
      <rPr>
        <sz val="10"/>
        <color rgb="FF00B050"/>
        <rFont val="Calibri"/>
        <family val="2"/>
        <scheme val="minor"/>
      </rPr>
      <t>(per 100 men);</t>
    </r>
    <r>
      <rPr>
        <b/>
        <sz val="10"/>
        <color rgb="FF00B050"/>
        <rFont val="Calibri"/>
        <family val="2"/>
        <scheme val="minor"/>
      </rPr>
      <t xml:space="preserve">
Netherlands; all ages;</t>
    </r>
    <r>
      <rPr>
        <sz val="10"/>
        <color rgb="FF00B050"/>
        <rFont val="Calibri"/>
        <family val="2"/>
        <scheme val="minor"/>
      </rPr>
      <t xml:space="preserve">
up to 01/07/2003 or age 75</t>
    </r>
  </si>
  <si>
    <t>No of prostate cancers with Gleason score 7; up to 01/07/2003 or age 75</t>
  </si>
  <si>
    <r>
      <t>1./4. Absolute incidence of prostate cancers with Gleason score 8-10 at diagnosis</t>
    </r>
    <r>
      <rPr>
        <b/>
        <sz val="10"/>
        <color rgb="FF00B050"/>
        <rFont val="Calibri"/>
        <family val="2"/>
        <scheme val="minor"/>
      </rPr>
      <t xml:space="preserve"> </t>
    </r>
    <r>
      <rPr>
        <sz val="10"/>
        <color rgb="FF00B050"/>
        <rFont val="Calibri"/>
        <family val="2"/>
        <scheme val="minor"/>
      </rPr>
      <t>(per 100 men);</t>
    </r>
    <r>
      <rPr>
        <b/>
        <sz val="10"/>
        <color rgb="FF00B050"/>
        <rFont val="Calibri"/>
        <family val="2"/>
        <scheme val="minor"/>
      </rPr>
      <t xml:space="preserve">
Netherlands; all ages;</t>
    </r>
    <r>
      <rPr>
        <sz val="10"/>
        <color rgb="FF00B050"/>
        <rFont val="Calibri"/>
        <family val="2"/>
        <scheme val="minor"/>
      </rPr>
      <t xml:space="preserve">
up to 01/07/2003 or age 75</t>
    </r>
  </si>
  <si>
    <t>No of prostate cancers with Gleason score 8-10; up to 01/07/2003 or age 75</t>
  </si>
  <si>
    <r>
      <t>3. % of prostate cancers diagnosed at late stage (Gleason score 7-10);</t>
    </r>
    <r>
      <rPr>
        <b/>
        <sz val="10"/>
        <color rgb="FF00B050"/>
        <rFont val="Calibri"/>
        <family val="2"/>
        <scheme val="minor"/>
      </rPr>
      <t xml:space="preserve">
Netherlands; all ages;</t>
    </r>
    <r>
      <rPr>
        <sz val="10"/>
        <color rgb="FF00B050"/>
        <rFont val="Calibri"/>
        <family val="2"/>
        <scheme val="minor"/>
      </rPr>
      <t xml:space="preserve">
up to 01/07/2003 or age 75</t>
    </r>
  </si>
  <si>
    <r>
      <t xml:space="preserve">1./4. Absolute incidence of prostate cancers with Gleason score &lt;=6 at diagnosis in </t>
    </r>
    <r>
      <rPr>
        <b/>
        <sz val="10"/>
        <color rgb="FF00B050"/>
        <rFont val="Calibri"/>
        <family val="2"/>
        <scheme val="minor"/>
      </rPr>
      <t>men aged 55-74 years (per 1,000 men);
Netherlands;</t>
    </r>
    <r>
      <rPr>
        <sz val="10"/>
        <color rgb="FF00B050"/>
        <rFont val="Calibri"/>
        <family val="2"/>
        <scheme val="minor"/>
      </rPr>
      <t xml:space="preserve">
up to 31/12/2010</t>
    </r>
  </si>
  <si>
    <t>No of prostate cancers with Gleason score &lt;=6 at diagnosis</t>
  </si>
  <si>
    <r>
      <t xml:space="preserve">1./4. Absolute incidence of prostate cancers with Gleason score 7 (3+4) at diagnosis in </t>
    </r>
    <r>
      <rPr>
        <b/>
        <sz val="10"/>
        <color rgb="FF00B050"/>
        <rFont val="Calibri"/>
        <family val="2"/>
        <scheme val="minor"/>
      </rPr>
      <t>men aged 55-74 years (per 1,000 men);
Netherlands;</t>
    </r>
    <r>
      <rPr>
        <sz val="10"/>
        <color rgb="FF00B050"/>
        <rFont val="Calibri"/>
        <family val="2"/>
        <scheme val="minor"/>
      </rPr>
      <t xml:space="preserve">
up to 31/12/2010</t>
    </r>
  </si>
  <si>
    <t>No of prostate cancers with Gleason score 7 (3+4) at diagnosis</t>
  </si>
  <si>
    <r>
      <t xml:space="preserve">1./4. Absolute incidence of prostate cancers with Gleason score 7 (4+3) at diagnosis in </t>
    </r>
    <r>
      <rPr>
        <b/>
        <sz val="10"/>
        <color rgb="FF00B050"/>
        <rFont val="Calibri"/>
        <family val="2"/>
        <scheme val="minor"/>
      </rPr>
      <t>men aged 55-74 years (per 1,000 men);
Netherlands;</t>
    </r>
    <r>
      <rPr>
        <sz val="10"/>
        <color rgb="FF00B050"/>
        <rFont val="Calibri"/>
        <family val="2"/>
        <scheme val="minor"/>
      </rPr>
      <t xml:space="preserve">
up to 31/12/2010</t>
    </r>
  </si>
  <si>
    <t>No of prostate cancers with Gleason score 7 (4+3) at diagnosis</t>
  </si>
  <si>
    <r>
      <t xml:space="preserve">1./4. Absolute incidence of prostate cancers with Gleason score 8-10 at diagnosis in </t>
    </r>
    <r>
      <rPr>
        <b/>
        <sz val="10"/>
        <color rgb="FF00B050"/>
        <rFont val="Calibri"/>
        <family val="2"/>
        <scheme val="minor"/>
      </rPr>
      <t>men aged 55-74 years (per 1,000 men);
Netherlands;</t>
    </r>
    <r>
      <rPr>
        <sz val="10"/>
        <color rgb="FF00B050"/>
        <rFont val="Calibri"/>
        <family val="2"/>
        <scheme val="minor"/>
      </rPr>
      <t xml:space="preserve">
up to 31/12/2010</t>
    </r>
  </si>
  <si>
    <t>No of prostate cancers with Gleason score 8-10 at diagnosis</t>
  </si>
  <si>
    <r>
      <t>1./4. Absolute incidence of prostate cancers with Gleason score 2-4 at diagnosis</t>
    </r>
    <r>
      <rPr>
        <b/>
        <sz val="10"/>
        <color rgb="FF00B050"/>
        <rFont val="Calibri"/>
        <family val="2"/>
        <scheme val="minor"/>
      </rPr>
      <t xml:space="preserve"> </t>
    </r>
    <r>
      <rPr>
        <sz val="10"/>
        <color rgb="FF00B050"/>
        <rFont val="Calibri"/>
        <family val="2"/>
        <scheme val="minor"/>
      </rPr>
      <t>(per 100 men);</t>
    </r>
    <r>
      <rPr>
        <b/>
        <sz val="10"/>
        <color rgb="FF00B050"/>
        <rFont val="Calibri"/>
        <family val="2"/>
        <scheme val="minor"/>
      </rPr>
      <t xml:space="preserve">
Netherlands (randomised October 1993 to December 31, 1998); all ages;</t>
    </r>
    <r>
      <rPr>
        <sz val="10"/>
        <color rgb="FF00B050"/>
        <rFont val="Calibri"/>
        <family val="2"/>
        <scheme val="minor"/>
      </rPr>
      <t xml:space="preserve">
up to 01/01/2003</t>
    </r>
  </si>
  <si>
    <t>No of prostate cancers with Gleason score 2-4; up to 01/01/2003</t>
  </si>
  <si>
    <r>
      <t>1./4. Absolute incidence of prostate cancers with Gleason score 5-6 at diagnosis</t>
    </r>
    <r>
      <rPr>
        <b/>
        <sz val="10"/>
        <color rgb="FF00B050"/>
        <rFont val="Calibri"/>
        <family val="2"/>
        <scheme val="minor"/>
      </rPr>
      <t xml:space="preserve"> </t>
    </r>
    <r>
      <rPr>
        <sz val="10"/>
        <color rgb="FF00B050"/>
        <rFont val="Calibri"/>
        <family val="2"/>
        <scheme val="minor"/>
      </rPr>
      <t>(per 100 men);</t>
    </r>
    <r>
      <rPr>
        <b/>
        <sz val="10"/>
        <color rgb="FF00B050"/>
        <rFont val="Calibri"/>
        <family val="2"/>
        <scheme val="minor"/>
      </rPr>
      <t xml:space="preserve">
Netherlands (randomised October 1993 to December 31, 1998); all ages;</t>
    </r>
    <r>
      <rPr>
        <sz val="10"/>
        <color rgb="FF00B050"/>
        <rFont val="Calibri"/>
        <family val="2"/>
        <scheme val="minor"/>
      </rPr>
      <t xml:space="preserve">
up to 01/01/2003</t>
    </r>
  </si>
  <si>
    <t>No of prostate cancers with Gleason score 5-6; up to 01/01/2003</t>
  </si>
  <si>
    <r>
      <t>1./4. Absolute incidence of prostate cancers with Gleason score 7 at diagnosis</t>
    </r>
    <r>
      <rPr>
        <b/>
        <sz val="10"/>
        <color rgb="FF00B050"/>
        <rFont val="Calibri"/>
        <family val="2"/>
        <scheme val="minor"/>
      </rPr>
      <t xml:space="preserve"> </t>
    </r>
    <r>
      <rPr>
        <sz val="10"/>
        <color rgb="FF00B050"/>
        <rFont val="Calibri"/>
        <family val="2"/>
        <scheme val="minor"/>
      </rPr>
      <t>(per 100 men);</t>
    </r>
    <r>
      <rPr>
        <b/>
        <sz val="10"/>
        <color rgb="FF00B050"/>
        <rFont val="Calibri"/>
        <family val="2"/>
        <scheme val="minor"/>
      </rPr>
      <t xml:space="preserve">
Netherlands (randomised October 1993 to December 31, 1998); all ages;</t>
    </r>
    <r>
      <rPr>
        <sz val="10"/>
        <color rgb="FF00B050"/>
        <rFont val="Calibri"/>
        <family val="2"/>
        <scheme val="minor"/>
      </rPr>
      <t xml:space="preserve">
up to 01/01/2003</t>
    </r>
  </si>
  <si>
    <t>No of prostate cancers with Gleason score 7; up to 01/01/2003</t>
  </si>
  <si>
    <r>
      <t>1./4. Absolute incidence of prostate cancers with Gleason score 8-10 at diagnosis</t>
    </r>
    <r>
      <rPr>
        <b/>
        <sz val="10"/>
        <color rgb="FF00B050"/>
        <rFont val="Calibri"/>
        <family val="2"/>
        <scheme val="minor"/>
      </rPr>
      <t xml:space="preserve"> </t>
    </r>
    <r>
      <rPr>
        <sz val="10"/>
        <color rgb="FF00B050"/>
        <rFont val="Calibri"/>
        <family val="2"/>
        <scheme val="minor"/>
      </rPr>
      <t>(per 100 men);</t>
    </r>
    <r>
      <rPr>
        <b/>
        <sz val="10"/>
        <color rgb="FF00B050"/>
        <rFont val="Calibri"/>
        <family val="2"/>
        <scheme val="minor"/>
      </rPr>
      <t xml:space="preserve">
Netherlands (randomised October 1993 to December 31, 1998); all ages;</t>
    </r>
    <r>
      <rPr>
        <sz val="10"/>
        <color rgb="FF00B050"/>
        <rFont val="Calibri"/>
        <family val="2"/>
        <scheme val="minor"/>
      </rPr>
      <t xml:space="preserve">
up to 01/01/2003</t>
    </r>
  </si>
  <si>
    <t>No of prostate cancers with Gleason score 8-10; up to 01/01/2003</t>
  </si>
  <si>
    <r>
      <t>3. % of cancers diagnosed at late stage (Gleason score 7-10);</t>
    </r>
    <r>
      <rPr>
        <b/>
        <sz val="10"/>
        <color rgb="FF00B050"/>
        <rFont val="Calibri"/>
        <family val="2"/>
        <scheme val="minor"/>
      </rPr>
      <t xml:space="preserve">
Netherlands (randomised October 1993 to December 31, 1998); all ages;</t>
    </r>
    <r>
      <rPr>
        <sz val="10"/>
        <color rgb="FF00B050"/>
        <rFont val="Calibri"/>
        <family val="2"/>
        <scheme val="minor"/>
      </rPr>
      <t xml:space="preserve">
up to 01/01/2003</t>
    </r>
  </si>
  <si>
    <r>
      <t>1./4. Absolute incidence of prostate cancers with Gleason score 2-6 at diagnosis (per 1,000 PY);</t>
    </r>
    <r>
      <rPr>
        <b/>
        <sz val="10"/>
        <color rgb="FF00B050"/>
        <rFont val="Calibri"/>
        <family val="2"/>
        <scheme val="minor"/>
      </rPr>
      <t xml:space="preserve">
Finland;</t>
    </r>
    <r>
      <rPr>
        <sz val="10"/>
        <color rgb="FF00B050"/>
        <rFont val="Calibri"/>
        <family val="2"/>
        <scheme val="minor"/>
      </rPr>
      <t xml:space="preserve">
up to 31/12/2007</t>
    </r>
  </si>
  <si>
    <t>No of prostate cancers with Gleason score 2-6 at diagnosis; up to 31/07/2007</t>
  </si>
  <si>
    <t>p1701: The incidence of low-grade PC (Gleason score 2–6) was
5.8 in the SA and 3.2/1,000 pyrs in the CA (IRR 1.82, 95%
CI 1.7–1.9, p = &lt; 0.001; cumulative incidence 5.3% vs. 3.0%,
p &lt; 0.001).</t>
  </si>
  <si>
    <r>
      <t>1./4. Absolute incidence of prostate cancers with Gleason score 7 at diagnosis (per 1,000 PY);</t>
    </r>
    <r>
      <rPr>
        <b/>
        <sz val="10"/>
        <color rgb="FF00B050"/>
        <rFont val="Calibri"/>
        <family val="2"/>
        <scheme val="minor"/>
      </rPr>
      <t xml:space="preserve">
Finland;</t>
    </r>
    <r>
      <rPr>
        <sz val="10"/>
        <color rgb="FF00B050"/>
        <rFont val="Calibri"/>
        <family val="2"/>
        <scheme val="minor"/>
      </rPr>
      <t xml:space="preserve">
up to 31/12/2007</t>
    </r>
  </si>
  <si>
    <t>No of prostate cancers with Gleason score 7at diagnosis; up to 31/07/2007</t>
  </si>
  <si>
    <t>p1701: For Gleason score 7 cancers, the corresponding
figures were 1.9 vs. 1.8/1,000 pyrs (IRR 1.02, 95% CI 0.9–1.1,
p = 0.72; cumulative incidence in both groups 1.7%, p =
0.72)...</t>
  </si>
  <si>
    <r>
      <t>1./4. Absolute incidence of prostate cancers with Gleason score 8-10 at diagnosis (per 1,000 PY);</t>
    </r>
    <r>
      <rPr>
        <b/>
        <sz val="10"/>
        <color rgb="FF00B050"/>
        <rFont val="Calibri"/>
        <family val="2"/>
        <scheme val="minor"/>
      </rPr>
      <t xml:space="preserve">
Finland;</t>
    </r>
    <r>
      <rPr>
        <sz val="10"/>
        <color rgb="FF00B050"/>
        <rFont val="Calibri"/>
        <family val="2"/>
        <scheme val="minor"/>
      </rPr>
      <t xml:space="preserve">
up to 31/12/2007</t>
    </r>
  </si>
  <si>
    <t>No of prostate cancers with Gleason score 8-10 at diagnosis; up to 31/07/2007</t>
  </si>
  <si>
    <t>p1701: ... and for Gleason score 8–10 the incidence was 0.8/1,000
pyrs in the SA and 0.9 in the CA (IRR 0.89, 95% CI 0.8–1.0,
p = 0.16; cumulative incidence 0.8% vs. 0.7%, p = 0.15).</t>
  </si>
  <si>
    <r>
      <t>1./4. Absolute incidence of prostate cancers with Gleason score 2-4 at diagnosis (%);</t>
    </r>
    <r>
      <rPr>
        <b/>
        <sz val="10"/>
        <color rgb="FF00B050"/>
        <rFont val="Calibri"/>
        <family val="2"/>
        <scheme val="minor"/>
      </rPr>
      <t xml:space="preserve">
Sweden;</t>
    </r>
    <r>
      <rPr>
        <sz val="10"/>
        <color rgb="FF00B050"/>
        <rFont val="Calibri"/>
        <family val="2"/>
        <scheme val="minor"/>
      </rPr>
      <t xml:space="preserve">
up to 31/12/2002</t>
    </r>
  </si>
  <si>
    <t>No of prostate cancers with Gleason score 2-4 at diagnosis; up to 31/12/2002</t>
  </si>
  <si>
    <r>
      <t xml:space="preserve">1./4. Absolute incidence of prostate cancers with Gleason score 5-6 at diagnosis (%);
</t>
    </r>
    <r>
      <rPr>
        <b/>
        <sz val="10"/>
        <color rgb="FF00B050"/>
        <rFont val="Calibri"/>
        <family val="2"/>
        <scheme val="minor"/>
      </rPr>
      <t>Sweden;</t>
    </r>
    <r>
      <rPr>
        <sz val="10"/>
        <color rgb="FF00B050"/>
        <rFont val="Calibri"/>
        <family val="2"/>
        <scheme val="minor"/>
      </rPr>
      <t xml:space="preserve">
up to 31/12/2002</t>
    </r>
  </si>
  <si>
    <t>No of prostate cancers with Gleason score 5-6 at diagnosis; up to 31/12/2002</t>
  </si>
  <si>
    <r>
      <t xml:space="preserve">1./4. Absolute incidence of prostate cancers with Gleason score 7 at diagnosis (%);
</t>
    </r>
    <r>
      <rPr>
        <b/>
        <sz val="10"/>
        <color rgb="FF00B050"/>
        <rFont val="Calibri"/>
        <family val="2"/>
        <scheme val="minor"/>
      </rPr>
      <t>Sweden;</t>
    </r>
    <r>
      <rPr>
        <sz val="10"/>
        <color rgb="FF00B050"/>
        <rFont val="Calibri"/>
        <family val="2"/>
        <scheme val="minor"/>
      </rPr>
      <t xml:space="preserve">
up to 31/12/2002</t>
    </r>
  </si>
  <si>
    <t>No of prostate cancers with Gleason score 7 at diagnosis; up to 31/12/2002</t>
  </si>
  <si>
    <r>
      <t xml:space="preserve">1./4. Absolute incidence of prostate cancers with Gleason score 8-10 at diagnosis (%);
</t>
    </r>
    <r>
      <rPr>
        <b/>
        <sz val="10"/>
        <color rgb="FF00B050"/>
        <rFont val="Calibri"/>
        <family val="2"/>
        <scheme val="minor"/>
      </rPr>
      <t>Sweden;</t>
    </r>
    <r>
      <rPr>
        <sz val="10"/>
        <color rgb="FF00B050"/>
        <rFont val="Calibri"/>
        <family val="2"/>
        <scheme val="minor"/>
      </rPr>
      <t xml:space="preserve">
up to 31/12/2002</t>
    </r>
  </si>
  <si>
    <t>No of prostate cancers with Gleason score 8-10 at diagnosis; up to 31/12/2002</t>
  </si>
  <si>
    <r>
      <t>1./4. Absolute incidence of prostate cancers with Gleason score 3-4 at diagnosis (%);</t>
    </r>
    <r>
      <rPr>
        <b/>
        <sz val="10"/>
        <color rgb="FF00B050"/>
        <rFont val="Calibri"/>
        <family val="2"/>
        <scheme val="minor"/>
      </rPr>
      <t xml:space="preserve">
Sweden;</t>
    </r>
    <r>
      <rPr>
        <sz val="10"/>
        <color rgb="FF00B050"/>
        <rFont val="Calibri"/>
        <family val="2"/>
        <scheme val="minor"/>
      </rPr>
      <t xml:space="preserve">
up to 31/12/2004</t>
    </r>
  </si>
  <si>
    <t>No of prostate cancers with Gleason score 3-4 at diagnosis; up to 31/12/2004</t>
  </si>
  <si>
    <r>
      <t xml:space="preserve">1./4. Absolute incidence of prostate cancers with Gleason score 5-6 at diagnosis (%);
</t>
    </r>
    <r>
      <rPr>
        <b/>
        <sz val="10"/>
        <color rgb="FF00B050"/>
        <rFont val="Calibri"/>
        <family val="2"/>
        <scheme val="minor"/>
      </rPr>
      <t>Sweden;</t>
    </r>
    <r>
      <rPr>
        <sz val="10"/>
        <color rgb="FF00B050"/>
        <rFont val="Calibri"/>
        <family val="2"/>
        <scheme val="minor"/>
      </rPr>
      <t xml:space="preserve">
up to 31/12/2004</t>
    </r>
  </si>
  <si>
    <t>No of prostate cancers with Gleason score 5-6 at diagnosis; up to 31/12/2004</t>
  </si>
  <si>
    <r>
      <t xml:space="preserve">1./4. Absolute incidence of prostate cancers with Gleason score 7 at diagnosis (%);
</t>
    </r>
    <r>
      <rPr>
        <b/>
        <sz val="10"/>
        <color rgb="FF00B050"/>
        <rFont val="Calibri"/>
        <family val="2"/>
        <scheme val="minor"/>
      </rPr>
      <t>Sweden;</t>
    </r>
    <r>
      <rPr>
        <sz val="10"/>
        <color rgb="FF00B050"/>
        <rFont val="Calibri"/>
        <family val="2"/>
        <scheme val="minor"/>
      </rPr>
      <t xml:space="preserve">
up to 31/12/2004</t>
    </r>
  </si>
  <si>
    <t>No of prostate cancers with Gleason score 7 at diagnosis; up to 31/12/2004</t>
  </si>
  <si>
    <r>
      <t xml:space="preserve">1./4. Absolute incidence of prostate cancers with Gleason score 8-10 at diagnosis (%);
</t>
    </r>
    <r>
      <rPr>
        <b/>
        <sz val="10"/>
        <color rgb="FF00B050"/>
        <rFont val="Calibri"/>
        <family val="2"/>
        <scheme val="minor"/>
      </rPr>
      <t>Sweden;</t>
    </r>
    <r>
      <rPr>
        <sz val="10"/>
        <color rgb="FF00B050"/>
        <rFont val="Calibri"/>
        <family val="2"/>
        <scheme val="minor"/>
      </rPr>
      <t xml:space="preserve">
up to 31/12/2004</t>
    </r>
  </si>
  <si>
    <t>No of prostate cancers with Gleason score 8-10 at diagnosis; up to 31/12/2004</t>
  </si>
  <si>
    <r>
      <t xml:space="preserve">1./4. Absolute incidence of prostate cancers with Gleason score 2-6 at diagnosis (per 10,000 men);
</t>
    </r>
    <r>
      <rPr>
        <b/>
        <sz val="10"/>
        <color rgb="FF00B050"/>
        <rFont val="Calibri"/>
        <family val="2"/>
        <scheme val="minor"/>
      </rPr>
      <t>Whole trial (excluding France);</t>
    </r>
    <r>
      <rPr>
        <sz val="10"/>
        <color rgb="FF00B050"/>
        <rFont val="Calibri"/>
        <family val="2"/>
        <scheme val="minor"/>
      </rPr>
      <t xml:space="preserve">
up to 31/12/2006 (or 3rd screening round, 6th in Sweden)</t>
    </r>
  </si>
  <si>
    <t>No of prostate cancers with Gleason score 2-6 at diagnosis; up to 31/12/2006</t>
  </si>
  <si>
    <r>
      <t xml:space="preserve">1./4. Absolute incidence of prostate cancers with Gleason score 7 at diagnosis (per 10,000 men);
</t>
    </r>
    <r>
      <rPr>
        <b/>
        <sz val="10"/>
        <color rgb="FF00B050"/>
        <rFont val="Calibri"/>
        <family val="2"/>
        <scheme val="minor"/>
      </rPr>
      <t>Whole trial (excluding France);</t>
    </r>
    <r>
      <rPr>
        <sz val="10"/>
        <color rgb="FF00B050"/>
        <rFont val="Calibri"/>
        <family val="2"/>
        <scheme val="minor"/>
      </rPr>
      <t xml:space="preserve">
up to 31/12/2006</t>
    </r>
  </si>
  <si>
    <t>No of prostate cancers with Gleason score 7 at diagnosis; up to 31/12/2006</t>
  </si>
  <si>
    <r>
      <t xml:space="preserve">1./4. Absolute incidence of prostate cancers with Gleason score 8-10 at diagnosis (per 10,000 men);
</t>
    </r>
    <r>
      <rPr>
        <b/>
        <sz val="10"/>
        <color rgb="FF00B050"/>
        <rFont val="Calibri"/>
        <family val="2"/>
        <scheme val="minor"/>
      </rPr>
      <t>Whole trial (excluding France);</t>
    </r>
    <r>
      <rPr>
        <sz val="10"/>
        <color rgb="FF00B050"/>
        <rFont val="Calibri"/>
        <family val="2"/>
        <scheme val="minor"/>
      </rPr>
      <t xml:space="preserve">
up to 31/12/2006</t>
    </r>
  </si>
  <si>
    <t>No of prostate cancers with Gleason score 8-10 at diagnosis; up to 31/12/2006</t>
  </si>
  <si>
    <t>Diagnostic yield at screening (initial screening round); per 1,000 women randomised;
Screening arm only</t>
  </si>
  <si>
    <t>30657.8 PY</t>
  </si>
  <si>
    <r>
      <t xml:space="preserve">Absolute incidence of </t>
    </r>
    <r>
      <rPr>
        <b/>
        <sz val="10"/>
        <rFont val="Calibri"/>
        <family val="2"/>
        <scheme val="minor"/>
      </rPr>
      <t xml:space="preserve">node-negative </t>
    </r>
    <r>
      <rPr>
        <sz val="10"/>
        <rFont val="Calibri"/>
        <family val="2"/>
        <scheme val="minor"/>
      </rPr>
      <t>breast cancers diagnosed in the first year after entry (per 1,000 women);
Screening vs control</t>
    </r>
  </si>
  <si>
    <t>Number of node-negative breast cancers diagnosed in the first year after entry</t>
  </si>
  <si>
    <r>
      <t xml:space="preserve">Absolute incidence of </t>
    </r>
    <r>
      <rPr>
        <b/>
        <sz val="10"/>
        <rFont val="Calibri"/>
        <family val="2"/>
        <scheme val="minor"/>
      </rPr>
      <t xml:space="preserve">node-positive </t>
    </r>
    <r>
      <rPr>
        <sz val="10"/>
        <rFont val="Calibri"/>
        <family val="2"/>
        <scheme val="minor"/>
      </rPr>
      <t>breast cancers diagnosed in the first year after entry (per 1,000 women);
Screening vs control</t>
    </r>
  </si>
  <si>
    <t>Table 12</t>
  </si>
  <si>
    <t>Diagnostic yield at screening (TIS and invasive cancer) (per 1,000 women); up to 2 screening rounds (31/07/1982);
Screening arm only</t>
  </si>
  <si>
    <t>Number of screen-detected breast cancers (TIS and invasive cancer), up tp 31/07/1982 (1-2 screening rounds)</t>
  </si>
  <si>
    <t>% of breast cancers (TIS and invasive cancer) that are screen-detected; up to 2 screening rounds (31/07/1982);
Screening arm only</t>
  </si>
  <si>
    <t>Total number of breast cancers detected (TIS and invasive cancer) up to 31/07/1982 (first screening, interval I-II, second screening, interval II-III, refusers, before screening after registration)</t>
  </si>
  <si>
    <t>Table 2, table 5 and text: The study group included 413 cases, of which 332 (80%) were detected by screening.</t>
  </si>
  <si>
    <r>
      <t>Absolute incidence of invasive breast cancers</t>
    </r>
    <r>
      <rPr>
        <b/>
        <sz val="10"/>
        <rFont val="Calibri"/>
        <family val="2"/>
        <scheme val="minor"/>
      </rPr>
      <t xml:space="preserve"> &gt;</t>
    </r>
    <r>
      <rPr>
        <b/>
        <sz val="10"/>
        <rFont val="Calibri"/>
        <family val="2"/>
      </rPr>
      <t>20 mm</t>
    </r>
    <r>
      <rPr>
        <sz val="10"/>
        <rFont val="Calibri"/>
        <family val="2"/>
      </rPr>
      <t xml:space="preserve"> (per 1,000 PY </t>
    </r>
    <r>
      <rPr>
        <b/>
        <sz val="10"/>
        <rFont val="Calibri"/>
        <family val="2"/>
      </rPr>
      <t>in women aged 40-74 years</t>
    </r>
    <r>
      <rPr>
        <sz val="10"/>
        <rFont val="Calibri"/>
        <family val="2"/>
      </rPr>
      <t>); diagnosed up to</t>
    </r>
    <r>
      <rPr>
        <sz val="10"/>
        <rFont val="Calibri"/>
        <family val="2"/>
        <scheme val="minor"/>
      </rPr>
      <t xml:space="preserve"> 31/08/1983;
study vs control arms</t>
    </r>
  </si>
  <si>
    <r>
      <t>Number of invasive breast cancers with diameter &gt;</t>
    </r>
    <r>
      <rPr>
        <b/>
        <sz val="10"/>
        <rFont val="Calibri"/>
        <family val="2"/>
      </rPr>
      <t>20</t>
    </r>
    <r>
      <rPr>
        <b/>
        <sz val="10"/>
        <rFont val="Calibri"/>
        <family val="2"/>
        <scheme val="minor"/>
      </rPr>
      <t xml:space="preserve"> mm in women aged 40-74 years</t>
    </r>
    <r>
      <rPr>
        <sz val="10"/>
        <rFont val="Calibri"/>
        <family val="2"/>
        <scheme val="minor"/>
      </rPr>
      <t>; up to end of 2nd screening round  (31/08/1983)</t>
    </r>
  </si>
  <si>
    <r>
      <t>% of invasive breast cancers diagnosed at late stage (diameter</t>
    </r>
    <r>
      <rPr>
        <b/>
        <sz val="10"/>
        <rFont val="Calibri"/>
        <family val="2"/>
        <scheme val="minor"/>
      </rPr>
      <t xml:space="preserve"> &gt;</t>
    </r>
    <r>
      <rPr>
        <b/>
        <sz val="10"/>
        <rFont val="Calibri"/>
        <family val="2"/>
      </rPr>
      <t>20 mm) in women aged 40-74 years</t>
    </r>
    <r>
      <rPr>
        <sz val="10"/>
        <rFont val="Calibri"/>
        <family val="2"/>
      </rPr>
      <t>; diagnosed up to</t>
    </r>
    <r>
      <rPr>
        <sz val="10"/>
        <rFont val="Calibri"/>
        <family val="2"/>
        <scheme val="minor"/>
      </rPr>
      <t xml:space="preserve"> 31/08/1983;
study vs control arms</t>
    </r>
  </si>
  <si>
    <r>
      <t>Number of invasive breast cancers with diameter</t>
    </r>
    <r>
      <rPr>
        <b/>
        <sz val="10"/>
        <rFont val="Calibri"/>
        <family val="2"/>
        <scheme val="minor"/>
      </rPr>
      <t xml:space="preserve"> &gt;</t>
    </r>
    <r>
      <rPr>
        <b/>
        <sz val="10"/>
        <rFont val="Calibri"/>
        <family val="2"/>
      </rPr>
      <t>20</t>
    </r>
    <r>
      <rPr>
        <b/>
        <sz val="10"/>
        <rFont val="Calibri"/>
        <family val="2"/>
        <scheme val="minor"/>
      </rPr>
      <t xml:space="preserve"> mm in women aged 40-74 years</t>
    </r>
    <r>
      <rPr>
        <sz val="10"/>
        <rFont val="Calibri"/>
        <family val="2"/>
        <scheme val="minor"/>
      </rPr>
      <t>; up to end of 2nd screening round  (31/08/1983)</t>
    </r>
  </si>
  <si>
    <t>Statistical analysis of mortality was based on Poisson log-linear modelling, using person-years at risk as an offset.</t>
  </si>
  <si>
    <t>see Table 4</t>
  </si>
  <si>
    <t>% of lung cancers diagnosed at late-stage (stage III-IV) lung cancers; 4 years since study entry;
Screening vs control</t>
  </si>
  <si>
    <t>Figure 5 (numerator) and Figure 3 (denominator)</t>
  </si>
  <si>
    <t>% of lung cancers diagnosed at late stage (stage II-IV); 
7 years after randomisation;
Screening vs controls</t>
  </si>
  <si>
    <t>Figure 1a (numerator), Figure 1a plus Figure 1b for denominator.
If using Supplemetary Figure Iia and Iib for the denominator though, the total number of lung cancers differs for the control group (55 vs 53 cases), changing the RR from 0.39 to 0.41.</t>
  </si>
  <si>
    <t xml:space="preserve">Total number of lung cancers within 7 years after randomisation (including cases with unknown stage), by arm </t>
  </si>
  <si>
    <t>Total number of lung cancers diagnosed in 4 years since entry (including cases with unknown stage), by arm</t>
  </si>
  <si>
    <r>
      <t>Absolute incidence of CRC with Dukes' C or distant spread</t>
    </r>
    <r>
      <rPr>
        <sz val="10"/>
        <color rgb="FF000000"/>
        <rFont val="Calibri"/>
        <family val="2"/>
      </rPr>
      <t xml:space="preserve"> (per 1,000 people randomised); August 1985 - October 1988</t>
    </r>
  </si>
  <si>
    <t>C or distant spread (now D)</t>
  </si>
  <si>
    <t>Number of CRC with Dukes' C or distant spread; follow-up until October 1988</t>
  </si>
  <si>
    <t>same</t>
  </si>
  <si>
    <r>
      <t>Absolute incidence of CRC with Dukes' C or distant spread</t>
    </r>
    <r>
      <rPr>
        <sz val="10"/>
        <color rgb="FF000000"/>
        <rFont val="Calibri"/>
        <family val="2"/>
      </rPr>
      <t xml:space="preserve"> (per 1,000 people randomised); follow-up until September 1986</t>
    </r>
    <r>
      <rPr>
        <sz val="10"/>
        <color rgb="FF000000"/>
        <rFont val="Calibri"/>
        <family val="2"/>
        <scheme val="minor"/>
      </rPr>
      <t xml:space="preserve"> (first year)</t>
    </r>
  </si>
  <si>
    <t>Number of CRC with Dukes' C or distant spread; follow-up until September 1986</t>
  </si>
  <si>
    <t>Absolute incidence of Dukes' C or D CRC; per 1,000 people randomised; all cohorts (DOB 1918-1931); up to the end of 1st rescreening;
Screening vs control</t>
  </si>
  <si>
    <t>Number of people with Dukes' C or D CRC; all cohorts (DOB 1918-1931); start of first screening to end of rescreening</t>
  </si>
  <si>
    <t>Absolute incidence of Dukes' C or D CRC; per 1,000 people randomised; all cohorts (DOB 1918-1931); up to October 1992;
Screening vs control</t>
  </si>
  <si>
    <t>Number of people with Dukes' C or D CRC; all cohorts (DOB 1918-1931); up to October 1992</t>
  </si>
  <si>
    <t>Absolute incidence of Dukes' C or D CRC; per 1,000 PY; all cohorts (DOB 1918-1931); up to 31/12/2001;
Screening vs control</t>
  </si>
  <si>
    <t>Number of people with Dukes' C or D CRC; all cohorts (DOB 1918-1931); up to 31/12/2001</t>
  </si>
  <si>
    <t>Absolute incidence of Dukes' C or D CRC (per 1,000 PY); 13 years of follow-up;
Annual FOBT vs control</t>
  </si>
  <si>
    <t>Number of Dukes' C or D CRC; up to 13 years of follow-up</t>
  </si>
  <si>
    <t>Absolute incidence of Dukes' C or D CRC (per 1,000 PY); 13 years of follow-up;
Biennial FOBT vs control</t>
  </si>
  <si>
    <t>Colorectal cancer incidence by stage (stage III-IV); per 10,000 PY; 13 years since randomisation or 31 Dec 2009</t>
  </si>
  <si>
    <t>Stage III-IV colorectal cancers diagnosed up to 13 years since randomisation</t>
  </si>
  <si>
    <t>Absolute incidence of stage III-IV (UICC) breast cancer; per 100,000 PY; follow-up to 31/12/1986;
Screening vs control</t>
  </si>
  <si>
    <t>Number of breast cancer with UICC stage III-IV detected up to 31/12/1986</t>
  </si>
  <si>
    <r>
      <t xml:space="preserve">Absolute incidence of </t>
    </r>
    <r>
      <rPr>
        <b/>
        <sz val="10"/>
        <rFont val="Calibri"/>
        <family val="2"/>
        <scheme val="minor"/>
      </rPr>
      <t>stage III-IV</t>
    </r>
    <r>
      <rPr>
        <sz val="10"/>
        <rFont val="Calibri"/>
        <family val="2"/>
        <scheme val="minor"/>
      </rPr>
      <t xml:space="preserve"> invasive cervical cancer (per 100,000 PY) and rate ratio;
Follow-up until 30/04/2003;
VIA vs control</t>
    </r>
  </si>
  <si>
    <t>Number of stage III-IV invasive cervical cancer; follow-up until 30/04/2003</t>
  </si>
  <si>
    <t>Absolute incidence of prevalent stage III-IV cancers at baseline screen (per 1,000 men);
screening vs another type of screening</t>
  </si>
  <si>
    <t>Number of stage III-IV lung cancers detected at baseline screen</t>
  </si>
  <si>
    <t>Absolute incidence of stage III-IV lung cancers diagnosed up to 25 January 2008 (per 100 men);
screening vs another type of screening</t>
  </si>
  <si>
    <t>Number of stage III-IV lung cancers diagnosed up to 25 January 2008</t>
  </si>
  <si>
    <t>Absolute incidence of stage III-IV lung cancers diagnosed up to 15 May 2013 (per 100 men); 
screening vs another type of screening</t>
  </si>
  <si>
    <t>Number of stage III-IV lung cancers diagnosed up to 15 May 2013</t>
  </si>
  <si>
    <t>Absolute incidence of stage III-IV NSCLC (per 100 people); follow-up until 31 March 2010;
Screening vs control</t>
  </si>
  <si>
    <t>Number of stage III-IV NSCLC (7th
edition of TNM classification in lung cancer); diagnosed until 31 March 2010</t>
  </si>
  <si>
    <t>Absolute incidence of stage III-IV lung cancers (per 1,000 men); 
9 years of follow-up after study entry; 
Screening vs another type of screening</t>
  </si>
  <si>
    <t>Number of stage III-IV lung cancers; 9 years after study entry</t>
  </si>
  <si>
    <t>Absolute incidence of late stage (stage 3-4) lung cancers (per 100 men randomised); follow-up until 9 years since study entry;
Dual screen vs X-ray only</t>
  </si>
  <si>
    <t>Stage 3-4</t>
  </si>
  <si>
    <t>Number of all stage 3-4 lung cancers (AJCC 6th edition); follow-up until 9 years since study entry</t>
  </si>
  <si>
    <r>
      <t xml:space="preserve">Absolute incidence of stage III lung cancers (per 100 people </t>
    </r>
    <r>
      <rPr>
        <b/>
        <sz val="10"/>
        <rFont val="Calibri"/>
        <family val="2"/>
        <scheme val="minor"/>
      </rPr>
      <t>who attended baseline screening</t>
    </r>
    <r>
      <rPr>
        <sz val="10"/>
        <rFont val="Calibri"/>
        <family val="2"/>
        <scheme val="minor"/>
      </rPr>
      <t>);
follow-up until 31 December 2013;
Annual vs biennial LDCT</t>
    </r>
  </si>
  <si>
    <r>
      <t xml:space="preserve">Absolute incidence of stage IV lung cancers (per 100 people </t>
    </r>
    <r>
      <rPr>
        <b/>
        <sz val="10"/>
        <rFont val="Calibri"/>
        <family val="2"/>
        <scheme val="minor"/>
      </rPr>
      <t>who attended baseline screening</t>
    </r>
    <r>
      <rPr>
        <sz val="10"/>
        <rFont val="Calibri"/>
        <family val="2"/>
        <scheme val="minor"/>
      </rPr>
      <t>);
follow-up until 31 December 2013;
Annual vs biennial LDCT</t>
    </r>
  </si>
  <si>
    <t>Absolute incidence of stage III-IV lung cancers (per 100,000 PY); follow-up until June 2018;
LDCT (annual and biennial combined) vs control</t>
  </si>
  <si>
    <t>Number of stage III-IV lung cancers; diagnosed up to June 2018</t>
  </si>
  <si>
    <t>Absolute incidence of stage III-IV lung cancers (per 100 people randomised); follow-up until 31/12/2009;
LDCT vs CXR</t>
  </si>
  <si>
    <t>Number of stage III-IV lung cancers; follow-up until 31/12/2009</t>
  </si>
  <si>
    <t>Absolute incidence of stage III-IV lung cancers (per 100 people randomised); before T2;
LDCT vs CXR</t>
  </si>
  <si>
    <t>Number of stage III-IV lung cancers; detected at T0, T1 screening round (screen+, screen-, unscreened) up to 1 year after T1 (before T2)</t>
  </si>
  <si>
    <t>Absolute incidence of stage III-IV lung cancers (per 100 people randomised); at T2 screening round;
LDCT vs CXR</t>
  </si>
  <si>
    <t>Number of stage III-IV lung cancers; detected up to 1 year after T2 screening round (screen+, screen-, unscreened)</t>
  </si>
  <si>
    <t>Non-small cell lung cancer incidence by stage (stage III-IV); per 10,000 PY; 13 years of follow-up or December 31st, 2009</t>
  </si>
  <si>
    <t>stage III-IV non-small cell lung cancers; 13 years since randomisation or 31/12/2009</t>
  </si>
  <si>
    <t xml:space="preserve">Ovarian cancer (including primary peritoneal and fallopian tube cancer) incidence by stage (stage III-IV); per 10,000 PY, study year 0-5 (screening period) </t>
  </si>
  <si>
    <t>number of stage III-IV ovarian cancers (including primary peritoneal and fallopian tube cancer) in study year 0-5 (since randomisation)</t>
  </si>
  <si>
    <t>Ovarian cancer (including primary peritoneal and fallopian tube cancer) incidence by stage (stage III-IV); per 10,000 PY, follow-up for 13 years or until 28 February 2010</t>
  </si>
  <si>
    <t>number of stage III-IV ovarian cancers (including primary peritoneal and fallopian tube cancer) in total study period (0-13 years since randomisation)</t>
  </si>
  <si>
    <t>Absolute incidence of stage III-IV cancers (per 100 people randomised); follow-up for 24 months;
Torso CT + FOBT vs usual care (involving non-standardised screening)</t>
  </si>
  <si>
    <t>Absolute incidence of CRC with Dukes' stage A-B (per 1,000 people randomised); August 1985 - August 1995</t>
  </si>
  <si>
    <t>A-B</t>
  </si>
  <si>
    <t>Absolute incidence of Dukes' A or B CRC; per 1,000 PY; all cohorts (DOB 1918-1931); up to 31/12/2001;
Screening vs control</t>
  </si>
  <si>
    <t>Number of people with Dukes' A or B CRC; all cohorts (DOB 1918-1931); up to 31/12/2001</t>
  </si>
  <si>
    <t>Absolute incidence of Dukes' stage A or B CRC (per 1,000 PY); follow-up until 30/06/1995;
FOBT vs no screening</t>
  </si>
  <si>
    <t>Number of Dukes' stage A or B CRC; follow-up until 30/06/1995</t>
  </si>
  <si>
    <t>Colorectal cancer incidence by stage (stage I-II); per 10,000 PY; 13 years since randomisation or 31 Dec 2009</t>
  </si>
  <si>
    <t>I-II</t>
  </si>
  <si>
    <t>Stage I-II colorectal cancers diagnosed up to 13 years since randomisation</t>
  </si>
  <si>
    <t>Absolute incidence of Dukes' A or B CRC (per 100 people); follow-up for 10 years (1983-1993);
Screening vs control</t>
  </si>
  <si>
    <t>Number of individuals with Dukes' A or B CRC; 10 years of follow-up (1983-1993)</t>
  </si>
  <si>
    <t>Number of stage 0-II breast cancer by IUCC (TNM) clinical staging per women-years, 7 years of follow-up; screening vs no screening</t>
  </si>
  <si>
    <t>0-II</t>
  </si>
  <si>
    <t>number of breast cancers for TNM stage 0-II</t>
  </si>
  <si>
    <t>Absolute incidence of stage 0 or I (UICC) breast cancer; per 100,000 PY; follow-up to 31/12/1986;
Screening vs control</t>
  </si>
  <si>
    <t>0-I</t>
  </si>
  <si>
    <t>Number of breast cancer with UICC stage 0-I detected up to 31/12/1986</t>
  </si>
  <si>
    <t>Absolute incidence of CIS or stage I, invasive breast cancers (1981-1986); per 10,000 women;
screening vs control group</t>
  </si>
  <si>
    <t>CIS or stage I</t>
  </si>
  <si>
    <t xml:space="preserve">Number of CIS or stage I, invasive breast cancers; diagnosed up to 31/12/1986 </t>
  </si>
  <si>
    <r>
      <t xml:space="preserve">Absolute incidence of </t>
    </r>
    <r>
      <rPr>
        <b/>
        <sz val="10"/>
        <rFont val="Calibri"/>
        <family val="2"/>
        <scheme val="minor"/>
      </rPr>
      <t>ductal in situ or stage I</t>
    </r>
    <r>
      <rPr>
        <sz val="10"/>
        <rFont val="Calibri"/>
        <family val="2"/>
        <scheme val="minor"/>
      </rPr>
      <t xml:space="preserve"> breast cancers</t>
    </r>
    <r>
      <rPr>
        <b/>
        <sz val="10"/>
        <rFont val="Calibri"/>
        <family val="2"/>
      </rPr>
      <t xml:space="preserve"> </t>
    </r>
    <r>
      <rPr>
        <sz val="10"/>
        <rFont val="Calibri"/>
        <family val="2"/>
      </rPr>
      <t xml:space="preserve">(per 1,000 women </t>
    </r>
    <r>
      <rPr>
        <b/>
        <sz val="10"/>
        <rFont val="Calibri"/>
        <family val="2"/>
      </rPr>
      <t>aged 40-74 years</t>
    </r>
    <r>
      <rPr>
        <sz val="10"/>
        <rFont val="Calibri"/>
        <family val="2"/>
      </rPr>
      <t>); diagnosed up to</t>
    </r>
    <r>
      <rPr>
        <sz val="10"/>
        <rFont val="Calibri"/>
        <family val="2"/>
        <scheme val="minor"/>
      </rPr>
      <t xml:space="preserve"> 31/12/1984;
study vs control arms</t>
    </r>
  </si>
  <si>
    <t>DCIS or stage I</t>
  </si>
  <si>
    <r>
      <t xml:space="preserve">Number of </t>
    </r>
    <r>
      <rPr>
        <b/>
        <sz val="10"/>
        <rFont val="Calibri"/>
        <family val="2"/>
        <scheme val="minor"/>
      </rPr>
      <t xml:space="preserve">DCIS or stage I </t>
    </r>
    <r>
      <rPr>
        <sz val="10"/>
        <rFont val="Calibri"/>
        <family val="2"/>
        <scheme val="minor"/>
      </rPr>
      <t xml:space="preserve">breast cancers </t>
    </r>
    <r>
      <rPr>
        <b/>
        <sz val="10"/>
        <rFont val="Calibri"/>
        <family val="2"/>
        <scheme val="minor"/>
      </rPr>
      <t>in women aged 40-74 years at entry</t>
    </r>
    <r>
      <rPr>
        <sz val="10"/>
        <rFont val="Calibri"/>
        <family val="2"/>
        <scheme val="minor"/>
      </rPr>
      <t>; diagnosed up to 31/12/1984</t>
    </r>
  </si>
  <si>
    <t>Absolute incidence of stage I-II lung cancers; diagnosed up to 31 December 2013 (per 100 people);
Screening vs control</t>
  </si>
  <si>
    <t>Number of stage I-II lung cancers diagnosed up to 31 December 2013</t>
  </si>
  <si>
    <t>Absolute incidence of stage I lung cancers (per 1,000 men); 
9 years of follow-up after study entry; 
Screening vs another type of screening</t>
  </si>
  <si>
    <t>Absolute incidence of stage II lung cancers (per 1,000 men); 
9 years of follow-up after study entry; 
Screening vs another type of screening</t>
  </si>
  <si>
    <t>Absolute incidence of stage 0-I lung cancers (per 1,000 men); 
9 years of follow-up after study entry; 
Screening vs another type of screening</t>
  </si>
  <si>
    <t>Number of stage 0-I lung cancers; 9 years after study entry</t>
  </si>
  <si>
    <t>Number of stage I lung cancers; 9 years after study entry</t>
  </si>
  <si>
    <t>Number of stage II lung cancers; 9 years after study entry</t>
  </si>
  <si>
    <t>Absolute incidence of stage I-II lung cancer, baseline screen, year 1 screen and interval cancers (per 1000 people);
LDCT vs chest X-ray</t>
  </si>
  <si>
    <t>Number of stage I-II lung cancers detected at baseline screen, year 1 screen or interval cancers</t>
  </si>
  <si>
    <t>Absolute incidence of stage 0-I lung cancers (per 100 men randomised); follow-up until 9 years since study entry;
Dual screen vs X-ray only</t>
  </si>
  <si>
    <t>Number of all stage 0-I lung cancers (AJCC 6th edition); follow-up until 9 years since study entry</t>
  </si>
  <si>
    <r>
      <t xml:space="preserve">Absolute incidence of stage I-II lung cancers (per 1,000 </t>
    </r>
    <r>
      <rPr>
        <b/>
        <sz val="10"/>
        <rFont val="Calibri"/>
        <family val="2"/>
        <scheme val="minor"/>
      </rPr>
      <t>men</t>
    </r>
    <r>
      <rPr>
        <sz val="10"/>
        <rFont val="Calibri"/>
        <family val="2"/>
        <scheme val="minor"/>
      </rPr>
      <t>); at 10-years' follow-up or 31/12/2015;
Screening vs no screening</t>
    </r>
  </si>
  <si>
    <t>Number of stage I-II lung cancers; at 10-years' follow-up or 31/12/2015</t>
  </si>
  <si>
    <t>Absolute incidence of stage I-II lung cancers (per 100 people randomised); follow-up until 31/12/2009;
LDCT vs CXR</t>
  </si>
  <si>
    <t>Number of stage I-II lung cancers; follow-up until 31/12/2009</t>
  </si>
  <si>
    <t>Non-small cell lung cancer incidence by stage (stage I-II); per 10,000 PY; 13 years of follow-up or December 31st, 2009</t>
  </si>
  <si>
    <t>stage I-II non-small cell lung cancers; 13 years since randomisation or 31/12/2009</t>
  </si>
  <si>
    <t>Non-small cell lung cancer incidence by stage (stage I-II) or small cell cancer (limited); per 10,000 PY; 13 years of follow-up or December 31st, 2009</t>
  </si>
  <si>
    <t>I-II or limited</t>
  </si>
  <si>
    <t>stage I-II non-small cell lung cancers or limited small cell cancer; 13 years since randomisation or 31/12/2009</t>
  </si>
  <si>
    <t>Ovarian cancer (including primary peritoneal and fallopian tube cancer) incidence by stage (stage I-II); per 10,000 PY, follow-up for 13 years or until 28 February 2010</t>
  </si>
  <si>
    <t>number of stage I-II ovarian cancers (including primary peritoneal and fallopian tube cancer) in total study period (0-13 years since randomisation)</t>
  </si>
  <si>
    <t>Number of prostate cancers with Gleason score 6 (3+3) at diagnosis, up to 19 years of follow-up</t>
  </si>
  <si>
    <r>
      <t xml:space="preserve">Absolute incidence of prostate cancers with </t>
    </r>
    <r>
      <rPr>
        <b/>
        <sz val="10"/>
        <rFont val="Calibri"/>
        <family val="2"/>
        <scheme val="minor"/>
      </rPr>
      <t>Gleason score 6 (3+3)</t>
    </r>
    <r>
      <rPr>
        <sz val="10"/>
        <rFont val="Calibri"/>
        <family val="2"/>
        <scheme val="minor"/>
      </rPr>
      <t xml:space="preserve"> at diagnosis (per 1,000 men);
follow-up for median 19 years (IQR 12-24)</t>
    </r>
  </si>
  <si>
    <r>
      <t>Prostate cancer incidence by gleason score (</t>
    </r>
    <r>
      <rPr>
        <sz val="10"/>
        <rFont val="Aptos Narrow"/>
        <family val="2"/>
      </rPr>
      <t>≤</t>
    </r>
    <r>
      <rPr>
        <sz val="7.4"/>
        <rFont val="Calibri"/>
        <family val="2"/>
      </rPr>
      <t>6</t>
    </r>
    <r>
      <rPr>
        <sz val="10"/>
        <rFont val="Calibri"/>
        <family val="2"/>
        <scheme val="minor"/>
      </rPr>
      <t>); through 10 years of follow-up</t>
    </r>
  </si>
  <si>
    <t>number of gleason 2-6 prostate cancers up to 10 years since randomisation</t>
  </si>
  <si>
    <r>
      <t>Prostate cancer incidence by gleason score (</t>
    </r>
    <r>
      <rPr>
        <sz val="10"/>
        <rFont val="Aptos Narrow"/>
        <family val="2"/>
      </rPr>
      <t>≤7</t>
    </r>
    <r>
      <rPr>
        <sz val="10"/>
        <rFont val="Calibri"/>
        <family val="2"/>
        <scheme val="minor"/>
      </rPr>
      <t>); through 10 years of follow-up</t>
    </r>
  </si>
  <si>
    <r>
      <rPr>
        <sz val="10"/>
        <rFont val="Aptos Narrow"/>
        <family val="2"/>
      </rPr>
      <t>≤</t>
    </r>
    <r>
      <rPr>
        <sz val="7.4"/>
        <rFont val="Calibri"/>
        <family val="2"/>
      </rPr>
      <t>7</t>
    </r>
  </si>
  <si>
    <r>
      <t xml:space="preserve">number of gleason </t>
    </r>
    <r>
      <rPr>
        <sz val="10"/>
        <rFont val="Aptos Narrow"/>
        <family val="2"/>
      </rPr>
      <t>≤</t>
    </r>
    <r>
      <rPr>
        <sz val="7.4"/>
        <rFont val="Calibri"/>
        <family val="2"/>
      </rPr>
      <t xml:space="preserve">7 </t>
    </r>
    <r>
      <rPr>
        <sz val="10"/>
        <rFont val="Calibri"/>
        <family val="2"/>
        <scheme val="minor"/>
      </rPr>
      <t>prostate cancers up to 10 years since randomisation</t>
    </r>
  </si>
  <si>
    <t>Absolute incidence of stage I-II cancers (per 100 people randomised); follow-up for 24 months;
Torso CT + FOBT vs usual care (involving non-standardised screening)</t>
  </si>
  <si>
    <t>Per 1,000</t>
  </si>
  <si>
    <r>
      <t>% of</t>
    </r>
    <r>
      <rPr>
        <b/>
        <sz val="10"/>
        <rFont val="Calibri"/>
        <family val="2"/>
        <scheme val="minor"/>
      </rPr>
      <t xml:space="preserve"> invasive cancer </t>
    </r>
    <r>
      <rPr>
        <sz val="10"/>
        <rFont val="Calibri"/>
        <family val="2"/>
        <scheme val="minor"/>
      </rPr>
      <t xml:space="preserve">that have been screen-detected; 1 screening round (2000-2003); FU until 31/12/2007
Cytology
</t>
    </r>
  </si>
  <si>
    <r>
      <t>% of</t>
    </r>
    <r>
      <rPr>
        <b/>
        <sz val="10"/>
        <rFont val="Calibri"/>
        <family val="2"/>
        <scheme val="minor"/>
      </rPr>
      <t xml:space="preserve"> invasive cancer </t>
    </r>
    <r>
      <rPr>
        <sz val="10"/>
        <rFont val="Calibri"/>
        <family val="2"/>
        <scheme val="minor"/>
      </rPr>
      <t xml:space="preserve">that have been screen-detected; 1 screening round (2000-2003); FU until 31/12/2007;
VIA
</t>
    </r>
  </si>
  <si>
    <r>
      <t>% of</t>
    </r>
    <r>
      <rPr>
        <b/>
        <sz val="10"/>
        <rFont val="Calibri"/>
        <family val="2"/>
        <scheme val="minor"/>
      </rPr>
      <t xml:space="preserve"> invasive cancer </t>
    </r>
    <r>
      <rPr>
        <sz val="10"/>
        <rFont val="Calibri"/>
        <family val="2"/>
        <scheme val="minor"/>
      </rPr>
      <t>that have been screen-detected; 1 screening round (2000-2003); FU until 31/12/2007;
HPV</t>
    </r>
  </si>
  <si>
    <t>Diagnostic yield at screening (5 screening rounds); 
Screening vs another type of screening</t>
  </si>
  <si>
    <t>Total number of lung cancers (screen-detected plus interval cancers) diagnosed up to 31 March 2010</t>
  </si>
  <si>
    <t>% of lung cancers that are screen-detected, baseline screen and 4 incidence rounds; FU until 7 April 2015
Screening arm only</t>
  </si>
  <si>
    <t>% of lung cancers that are screen-detected (Rounds 1-5); follow-up for 7 years;
Screening arm only</t>
  </si>
  <si>
    <t>Total number of lung cancers detected in 7 years since entry</t>
  </si>
  <si>
    <r>
      <t xml:space="preserve">% of lung cancers that are screen-detected (rounds 1-4); per 100 </t>
    </r>
    <r>
      <rPr>
        <b/>
        <sz val="10"/>
        <rFont val="Calibri"/>
        <family val="2"/>
        <scheme val="minor"/>
      </rPr>
      <t>men</t>
    </r>
    <r>
      <rPr>
        <sz val="10"/>
        <rFont val="Calibri"/>
        <family val="2"/>
        <scheme val="minor"/>
      </rPr>
      <t>; at 10-years' follow-up or 31/12/2015;
Screening arm only</t>
    </r>
  </si>
  <si>
    <r>
      <t xml:space="preserve">Absolute incidence of early-stage (stage I-II) </t>
    </r>
    <r>
      <rPr>
        <b/>
        <sz val="10"/>
        <rFont val="Calibri"/>
        <family val="2"/>
        <scheme val="minor"/>
      </rPr>
      <t>ovarian and tubal cancers (WHO 2014 classification)</t>
    </r>
    <r>
      <rPr>
        <sz val="10"/>
        <rFont val="Calibri"/>
        <family val="2"/>
        <scheme val="minor"/>
      </rPr>
      <t xml:space="preserve"> (per 1,000 women); follow-up until 30/06/2020;
MMS vs no screening</t>
    </r>
  </si>
  <si>
    <r>
      <t>Absolute incidence of stage I-II</t>
    </r>
    <r>
      <rPr>
        <b/>
        <sz val="10"/>
        <rFont val="Calibri"/>
        <family val="2"/>
        <scheme val="minor"/>
      </rPr>
      <t xml:space="preserve"> primary ovarian cancers</t>
    </r>
    <r>
      <rPr>
        <sz val="10"/>
        <rFont val="Calibri"/>
        <family val="2"/>
        <scheme val="minor"/>
      </rPr>
      <t xml:space="preserve"> (per 1,000 PY); follow-up until 31/12/2014;
MMS vs no screening</t>
    </r>
  </si>
  <si>
    <r>
      <t>Number of stage I-II</t>
    </r>
    <r>
      <rPr>
        <b/>
        <sz val="10"/>
        <rFont val="Calibri"/>
        <family val="2"/>
        <scheme val="minor"/>
      </rPr>
      <t xml:space="preserve"> primary ovarian cancers</t>
    </r>
    <r>
      <rPr>
        <sz val="10"/>
        <rFont val="Calibri"/>
        <family val="2"/>
        <scheme val="minor"/>
      </rPr>
      <t xml:space="preserve"> (ovary = ICD C56; fallopian tube = ICD C57.0 and undesignated primary site); 
follow-up until 31/12/2014</t>
    </r>
  </si>
  <si>
    <r>
      <t xml:space="preserve">Absolute incidence of stage I-II </t>
    </r>
    <r>
      <rPr>
        <b/>
        <sz val="10"/>
        <rFont val="Calibri"/>
        <family val="2"/>
        <scheme val="minor"/>
      </rPr>
      <t>primary ovarian cancers</t>
    </r>
    <r>
      <rPr>
        <sz val="10"/>
        <rFont val="Calibri"/>
        <family val="2"/>
        <scheme val="minor"/>
      </rPr>
      <t xml:space="preserve"> (per 1,000 PY); follow-up until 31/12/2014;
USS vs no screening</t>
    </r>
  </si>
  <si>
    <r>
      <t xml:space="preserve">Number of FOBT-positive persons with adenoma </t>
    </r>
    <r>
      <rPr>
        <sz val="10"/>
        <color rgb="FF000000"/>
        <rFont val="Calibri"/>
        <family val="2"/>
      </rPr>
      <t>≥10 mm or CRC</t>
    </r>
    <r>
      <rPr>
        <sz val="10"/>
        <color rgb="FF000000"/>
        <rFont val="Calibri"/>
        <family val="2"/>
        <scheme val="minor"/>
      </rPr>
      <t>; 5 screening rounds</t>
    </r>
  </si>
  <si>
    <r>
      <t xml:space="preserve">Diagnostic yield at screening - CRC or adenoma </t>
    </r>
    <r>
      <rPr>
        <sz val="10"/>
        <color rgb="FF000000"/>
        <rFont val="Calibri"/>
        <family val="2"/>
      </rPr>
      <t>≥10 mm</t>
    </r>
    <r>
      <rPr>
        <sz val="10"/>
        <color rgb="FF000000"/>
        <rFont val="Calibri"/>
        <family val="2"/>
        <scheme val="minor"/>
      </rPr>
      <t xml:space="preserve"> (per 1,000 people randomised);  5 screening rounds (August 1985 - August 1995)</t>
    </r>
  </si>
  <si>
    <t>Diagnostic yield at screening, people with adenomas or CRC (2-3 rounds); per 1,000 people randomised; all cohorts (DOB 1918-1931); up to the end of 2nd rescreening</t>
  </si>
  <si>
    <r>
      <t>Diagnostic yield at screening (</t>
    </r>
    <r>
      <rPr>
        <b/>
        <sz val="10"/>
        <color rgb="FF000000"/>
        <rFont val="Calibri"/>
        <family val="2"/>
        <scheme val="minor"/>
      </rPr>
      <t>CRC or any adenoma</t>
    </r>
    <r>
      <rPr>
        <sz val="10"/>
        <color rgb="FF000000"/>
        <rFont val="Calibri"/>
        <family val="2"/>
        <scheme val="minor"/>
      </rPr>
      <t>); per 1,000 people analysed; 1 screening round;
FS +/- FOBT</t>
    </r>
  </si>
  <si>
    <t>Number of screen-detected CRC or adenoma; 1 screening round (1999-2001)</t>
  </si>
  <si>
    <t>Diagnostic yield at screening - CRC or adenomas (per 100 analysed); once-only colonoscopy;
Screening arm only</t>
  </si>
  <si>
    <t>Number of screen-detected CRC or adenomas (once-only colonoscopy)</t>
  </si>
  <si>
    <t>Diagnostic yield at screening, Adenomas or CRC (per 1,000 people analysed; 3-6 screening rounds offered; up to 30/06/1995
FOBT only</t>
  </si>
  <si>
    <t>Number of screen-detected adenomas or CRC; 3-6 screening rounds; follow-up until 30/06/1995</t>
  </si>
  <si>
    <t>Diagnostic yield at screening (CRC) per 1,000 people randomised; total (2 screening rounds)</t>
  </si>
  <si>
    <t>Diagnostic yield at screening (CRC) per 1000 people randomised; year 3 or 5 (1 screening round)</t>
  </si>
  <si>
    <t>Diagnostic yield at screening (CRC) per 1,000 people randomised (baseline)</t>
  </si>
  <si>
    <r>
      <t>Number of individuals with</t>
    </r>
    <r>
      <rPr>
        <b/>
        <sz val="10"/>
        <color rgb="FF000000"/>
        <rFont val="Calibri"/>
        <family val="2"/>
        <scheme val="minor"/>
      </rPr>
      <t xml:space="preserve"> CRC or adenoma</t>
    </r>
    <r>
      <rPr>
        <sz val="10"/>
        <color rgb="FF000000"/>
        <rFont val="Calibri"/>
        <family val="2"/>
        <scheme val="minor"/>
      </rPr>
      <t xml:space="preserve"> detected at screening or endoscopic follow-up; 1983-1989</t>
    </r>
  </si>
  <si>
    <r>
      <t>Diagnostic yield at screening or during endoscopic follow-up (</t>
    </r>
    <r>
      <rPr>
        <b/>
        <sz val="10"/>
        <color rgb="FF000000"/>
        <rFont val="Calibri"/>
        <family val="2"/>
        <scheme val="minor"/>
      </rPr>
      <t>CRC or adenoma</t>
    </r>
    <r>
      <rPr>
        <sz val="10"/>
        <color rgb="FF000000"/>
        <rFont val="Calibri"/>
        <family val="2"/>
        <scheme val="minor"/>
      </rPr>
      <t>); per 100 people randomised; 1983-1989;
Screening arm only</t>
    </r>
  </si>
  <si>
    <t>Diagnostic yield at screening (CRC or high-risk polyps); per 100 people analysed; one round of flexible sigmoidoscopy</t>
  </si>
  <si>
    <t>Number of people with screen-detected CRC or high-risk polyps; 1 screening round</t>
  </si>
  <si>
    <t>Number of screen-detected carcinomas (stage 0 - stage IV) (5-6 screening rounds)</t>
  </si>
  <si>
    <r>
      <t xml:space="preserve">Diagnostic yield at screening, </t>
    </r>
    <r>
      <rPr>
        <b/>
        <sz val="10"/>
        <rFont val="Calibri"/>
        <family val="2"/>
        <scheme val="minor"/>
      </rPr>
      <t xml:space="preserve">oral precancers or cancers </t>
    </r>
    <r>
      <rPr>
        <sz val="10"/>
        <rFont val="Calibri"/>
        <family val="2"/>
        <scheme val="minor"/>
      </rPr>
      <t>(per 1,000 people randomised);
Up to 4 screening rounds; 31/12/2010;
Screening arm only</t>
    </r>
  </si>
  <si>
    <t>Number of screen-detected oral precancers or cancers; up to 4 screening rounds; follow-up until 31/12/2010</t>
  </si>
  <si>
    <r>
      <t xml:space="preserve">Diagnostic yield at screening, </t>
    </r>
    <r>
      <rPr>
        <b/>
        <sz val="10"/>
        <rFont val="Calibri"/>
        <family val="2"/>
        <scheme val="minor"/>
      </rPr>
      <t xml:space="preserve">oral precancers or cancers </t>
    </r>
    <r>
      <rPr>
        <sz val="10"/>
        <rFont val="Calibri"/>
        <family val="2"/>
        <scheme val="minor"/>
      </rPr>
      <t>(per 1,000 people randomised);
1-3 screening rounds; 31/12/2004;
Screening arm only</t>
    </r>
  </si>
  <si>
    <t>Number of screen-detected oral precancers or cancers; 1-3 screening rounds; 31/12/2004;</t>
  </si>
  <si>
    <t>Text: … 2336 (70.8%) were diagnosed with oral precancerous lesions… Of oral cancer cases, 279 (188 screen-detected, 72 interval cancers and 19 in those who did not respond to any screening round)…</t>
  </si>
  <si>
    <t>Table II, Table III and text: A total of 1035 women developed breast cancer, 588 in the study group and 447 controls</t>
  </si>
  <si>
    <r>
      <t>Absolute incidence of prostate cancer with Gleason score &lt;=7</t>
    </r>
    <r>
      <rPr>
        <sz val="10"/>
        <rFont val="Calibri"/>
        <family val="2"/>
      </rPr>
      <t xml:space="preserve"> at diagnosis (per 100 men); 
&lt;6 years of follow-up;
Intervention vs control</t>
    </r>
  </si>
  <si>
    <r>
      <rPr>
        <sz val="10"/>
        <color theme="1"/>
        <rFont val="Aptos Narrow"/>
        <family val="2"/>
      </rPr>
      <t>≤</t>
    </r>
    <r>
      <rPr>
        <sz val="7.4"/>
        <color theme="1"/>
        <rFont val="Calibri"/>
        <family val="2"/>
      </rPr>
      <t>7</t>
    </r>
  </si>
  <si>
    <r>
      <t>Number of prostate cancers with Gleason grade at diagnosis recorded as ≤7</t>
    </r>
    <r>
      <rPr>
        <sz val="10"/>
        <rFont val="Calibri"/>
        <family val="2"/>
      </rPr>
      <t>, &lt;6 years of follow-up.</t>
    </r>
    <r>
      <rPr>
        <sz val="10"/>
        <rFont val="Calibri"/>
        <family val="2"/>
        <scheme val="minor"/>
      </rPr>
      <t xml:space="preserve">
Gleason score was calculated as the summation of the primary and secondary Gleason grades.</t>
    </r>
  </si>
  <si>
    <r>
      <t xml:space="preserve">1./4. Absolute incidence of prostate cancers with Gleason score </t>
    </r>
    <r>
      <rPr>
        <sz val="10"/>
        <color rgb="FF00B050"/>
        <rFont val="Aptos Narrow"/>
        <family val="2"/>
      </rPr>
      <t>≤</t>
    </r>
    <r>
      <rPr>
        <sz val="10"/>
        <color rgb="FF00B050"/>
        <rFont val="Calibri"/>
        <family val="2"/>
        <scheme val="minor"/>
      </rPr>
      <t>7 at diagnosis</t>
    </r>
    <r>
      <rPr>
        <b/>
        <sz val="10"/>
        <color rgb="FF00B050"/>
        <rFont val="Calibri"/>
        <family val="2"/>
        <scheme val="minor"/>
      </rPr>
      <t xml:space="preserve"> in men aged 55-69 years </t>
    </r>
    <r>
      <rPr>
        <sz val="10"/>
        <color rgb="FF00B050"/>
        <rFont val="Calibri"/>
        <family val="2"/>
        <scheme val="minor"/>
      </rPr>
      <t xml:space="preserve">(per 1,000 men);
</t>
    </r>
    <r>
      <rPr>
        <b/>
        <sz val="10"/>
        <color rgb="FF00B050"/>
        <rFont val="Calibri"/>
        <family val="2"/>
        <scheme val="minor"/>
      </rPr>
      <t>whole trial (excluding France);</t>
    </r>
    <r>
      <rPr>
        <sz val="10"/>
        <color rgb="FF00B050"/>
        <rFont val="Calibri"/>
        <family val="2"/>
        <scheme val="minor"/>
      </rPr>
      <t xml:space="preserve">
up to 31/12/2008</t>
    </r>
  </si>
  <si>
    <t>≤7</t>
  </si>
  <si>
    <t>No of prostate cancers with Gleason score ≤7; diagnosed up to 31/12/2008</t>
  </si>
  <si>
    <t>Number of breast cancer deaths during 1 completed year from entry</t>
  </si>
  <si>
    <t>Use for primary analysis</t>
  </si>
  <si>
    <t>Use for subgroup analysis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</si>
</sst>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00"/>
    <numFmt numFmtId="165" formatCode="0.0"/>
    <numFmt numFmtId="166" formatCode="0.0000"/>
    <numFmt numFmtId="167" formatCode="#,##0.0"/>
    <numFmt numFmtId="168" formatCode="0.0%"/>
    <numFmt numFmtId="169" formatCode="#,##0.000"/>
  </numFmts>
  <fonts count="47" x14ac:knownFonts="1">
    <font>
      <sz val="11"/>
      <color theme="1"/>
      <name val="Calibri"/>
      <family val="2"/>
      <scheme val="minor"/>
    </font>
    <font>
      <b/>
      <sz val="10"/>
      <color theme="1"/>
      <name val="Calibri"/>
      <family val="2"/>
      <scheme val="minor"/>
    </font>
    <font>
      <sz val="10"/>
      <color theme="1"/>
      <name val="Calibri"/>
      <family val="2"/>
      <scheme val="minor"/>
    </font>
    <font>
      <i/>
      <sz val="10"/>
      <color theme="1"/>
      <name val="Calibri"/>
      <family val="2"/>
      <scheme val="minor"/>
    </font>
    <font>
      <b/>
      <sz val="10"/>
      <name val="Calibri"/>
      <family val="2"/>
      <scheme val="minor"/>
    </font>
    <font>
      <sz val="10"/>
      <name val="Calibri"/>
      <family val="2"/>
      <scheme val="minor"/>
    </font>
    <font>
      <i/>
      <sz val="10"/>
      <name val="Calibri"/>
      <family val="2"/>
      <scheme val="minor"/>
    </font>
    <font>
      <sz val="10"/>
      <color rgb="FFFF0000"/>
      <name val="Calibri"/>
      <family val="2"/>
      <scheme val="minor"/>
    </font>
    <font>
      <sz val="11"/>
      <name val="Calibri"/>
      <family val="2"/>
      <scheme val="minor"/>
    </font>
    <font>
      <sz val="10"/>
      <name val="Calibri"/>
      <family val="2"/>
    </font>
    <font>
      <sz val="10"/>
      <color theme="1"/>
      <name val="Calibri"/>
      <family val="2"/>
    </font>
    <font>
      <sz val="9"/>
      <name val="Calibri"/>
      <family val="2"/>
    </font>
    <font>
      <sz val="9"/>
      <name val="Segoe UI"/>
      <family val="2"/>
    </font>
    <font>
      <strike/>
      <sz val="10"/>
      <name val="Calibri"/>
      <family val="2"/>
      <scheme val="minor"/>
    </font>
    <font>
      <b/>
      <sz val="10"/>
      <name val="Calibri"/>
      <family val="2"/>
    </font>
    <font>
      <sz val="11"/>
      <color theme="1"/>
      <name val="Calibri"/>
      <family val="2"/>
      <scheme val="minor"/>
    </font>
    <font>
      <sz val="11"/>
      <color rgb="FFFF0000"/>
      <name val="Calibri"/>
      <family val="2"/>
      <scheme val="minor"/>
    </font>
    <font>
      <sz val="10"/>
      <color rgb="FF228E2C"/>
      <name val="Calibri"/>
      <family val="2"/>
      <scheme val="minor"/>
    </font>
    <font>
      <b/>
      <sz val="10"/>
      <color rgb="FF228E2C"/>
      <name val="Calibri"/>
      <family val="2"/>
      <scheme val="minor"/>
    </font>
    <font>
      <sz val="10"/>
      <color rgb="FF00B050"/>
      <name val="Calibri"/>
      <family val="2"/>
      <scheme val="minor"/>
    </font>
    <font>
      <sz val="10"/>
      <color theme="9" tint="-0.499984740745262"/>
      <name val="Calibri"/>
      <family val="2"/>
      <scheme val="minor"/>
    </font>
    <font>
      <b/>
      <sz val="10"/>
      <color rgb="FF00B050"/>
      <name val="Calibri"/>
      <family val="2"/>
      <scheme val="minor"/>
    </font>
    <font>
      <b/>
      <sz val="10"/>
      <color rgb="FF00B050"/>
      <name val="Calibri"/>
      <family val="2"/>
    </font>
    <font>
      <b/>
      <sz val="9.4"/>
      <color rgb="FF00B050"/>
      <name val="Calibri"/>
      <family val="2"/>
    </font>
    <font>
      <sz val="10"/>
      <color rgb="FF00B050"/>
      <name val="Calibri"/>
      <family val="2"/>
    </font>
    <font>
      <b/>
      <sz val="9.8000000000000007"/>
      <color rgb="FF00B050"/>
      <name val="Calibri"/>
      <family val="2"/>
    </font>
    <font>
      <b/>
      <sz val="9.3000000000000007"/>
      <color rgb="FF00B050"/>
      <name val="Calibri"/>
      <family val="2"/>
    </font>
    <font>
      <strike/>
      <sz val="10"/>
      <color rgb="FF00B050"/>
      <name val="Calibri"/>
      <family val="2"/>
      <scheme val="minor"/>
    </font>
    <font>
      <sz val="11"/>
      <color rgb="FF00B050"/>
      <name val="Calibri"/>
      <family val="2"/>
      <scheme val="minor"/>
    </font>
    <font>
      <sz val="9.1999999999999993"/>
      <color rgb="FF00B050"/>
      <name val="Calibri"/>
      <family val="2"/>
    </font>
    <font>
      <i/>
      <sz val="10"/>
      <color rgb="FFFF0000"/>
      <name val="Calibri"/>
      <family val="2"/>
      <scheme val="minor"/>
    </font>
    <font>
      <sz val="9.1"/>
      <name val="Calibri"/>
      <family val="2"/>
    </font>
    <font>
      <sz val="9.9"/>
      <name val="Calibri"/>
      <family val="2"/>
    </font>
    <font>
      <b/>
      <sz val="9"/>
      <color indexed="81"/>
      <name val="Tahoma"/>
      <family val="2"/>
    </font>
    <font>
      <sz val="9"/>
      <color indexed="81"/>
      <name val="Tahoma"/>
      <family val="2"/>
    </font>
    <font>
      <sz val="10"/>
      <color rgb="FF0070C0"/>
      <name val="Calibri"/>
      <family val="2"/>
      <scheme val="minor"/>
    </font>
    <font>
      <sz val="9.6"/>
      <name val="Calibri"/>
      <family val="2"/>
    </font>
    <font>
      <sz val="10"/>
      <color rgb="FF000000"/>
      <name val="Calibri"/>
      <family val="2"/>
      <scheme val="minor"/>
    </font>
    <font>
      <sz val="10"/>
      <color rgb="FF000000"/>
      <name val="Calibri"/>
      <family val="2"/>
    </font>
    <font>
      <b/>
      <sz val="10"/>
      <color rgb="FF000000"/>
      <name val="Calibri"/>
      <family val="2"/>
      <scheme val="minor"/>
    </font>
    <font>
      <sz val="9.1999999999999993"/>
      <name val="Calibri"/>
      <family val="2"/>
    </font>
    <font>
      <b/>
      <sz val="10"/>
      <color rgb="FF000000"/>
      <name val="Calibri"/>
      <family val="2"/>
    </font>
    <font>
      <sz val="10"/>
      <name val="Aptos Narrow"/>
      <family val="2"/>
    </font>
    <font>
      <sz val="7.4"/>
      <name val="Calibri"/>
      <family val="2"/>
    </font>
    <font>
      <sz val="10"/>
      <color theme="1"/>
      <name val="Aptos Narrow"/>
      <family val="2"/>
    </font>
    <font>
      <sz val="7.4"/>
      <color theme="1"/>
      <name val="Calibri"/>
      <family val="2"/>
    </font>
    <font>
      <sz val="10"/>
      <color rgb="FF00B050"/>
      <name val="Aptos Narrow"/>
      <family val="2"/>
    </font>
  </fonts>
  <fills count="22">
    <fill>
      <patternFill patternType="none"/>
    </fill>
    <fill>
      <patternFill patternType="gray125"/>
    </fill>
    <fill>
      <patternFill patternType="solid">
        <fgColor theme="4" tint="0.79998168889431442"/>
        <bgColor indexed="64"/>
      </patternFill>
    </fill>
    <fill>
      <patternFill patternType="solid">
        <fgColor theme="0" tint="-4.9989318521683403E-2"/>
        <bgColor indexed="64"/>
      </patternFill>
    </fill>
    <fill>
      <patternFill patternType="solid">
        <fgColor theme="0"/>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8" tint="0.79998168889431442"/>
        <bgColor indexed="64"/>
      </patternFill>
    </fill>
    <fill>
      <patternFill patternType="solid">
        <fgColor theme="8" tint="0.59999389629810485"/>
        <bgColor indexed="64"/>
      </patternFill>
    </fill>
    <fill>
      <patternFill patternType="solid">
        <fgColor theme="7" tint="0.79998168889431442"/>
        <bgColor indexed="64"/>
      </patternFill>
    </fill>
    <fill>
      <patternFill patternType="solid">
        <fgColor theme="7" tint="0.59999389629810485"/>
        <bgColor indexed="64"/>
      </patternFill>
    </fill>
    <fill>
      <patternFill patternType="solid">
        <fgColor theme="4" tint="0.59999389629810485"/>
        <bgColor indexed="64"/>
      </patternFill>
    </fill>
    <fill>
      <patternFill patternType="solid">
        <fgColor theme="5" tint="0.79998168889431442"/>
        <bgColor indexed="64"/>
      </patternFill>
    </fill>
    <fill>
      <patternFill patternType="solid">
        <fgColor theme="5" tint="0.59999389629810485"/>
        <bgColor indexed="64"/>
      </patternFill>
    </fill>
    <fill>
      <patternFill patternType="solid">
        <fgColor theme="0" tint="-0.14999847407452621"/>
        <bgColor indexed="64"/>
      </patternFill>
    </fill>
    <fill>
      <patternFill patternType="solid">
        <fgColor rgb="FFFFFF00"/>
        <bgColor indexed="64"/>
      </patternFill>
    </fill>
    <fill>
      <patternFill patternType="solid">
        <fgColor theme="6" tint="0.79998168889431442"/>
        <bgColor indexed="64"/>
      </patternFill>
    </fill>
    <fill>
      <patternFill patternType="solid">
        <fgColor rgb="FFCCCCFF"/>
        <bgColor indexed="64"/>
      </patternFill>
    </fill>
    <fill>
      <patternFill patternType="solid">
        <fgColor rgb="FFFFCCFF"/>
        <bgColor indexed="64"/>
      </patternFill>
    </fill>
    <fill>
      <patternFill patternType="solid">
        <fgColor theme="7" tint="0.39997558519241921"/>
        <bgColor indexed="64"/>
      </patternFill>
    </fill>
    <fill>
      <patternFill patternType="solid">
        <fgColor theme="2"/>
        <bgColor indexed="64"/>
      </patternFill>
    </fill>
    <fill>
      <patternFill patternType="solid">
        <fgColor theme="6" tint="0.59999389629810485"/>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medium">
        <color indexed="64"/>
      </bottom>
      <diagonal/>
    </border>
  </borders>
  <cellStyleXfs count="2">
    <xf numFmtId="0" fontId="0" fillId="0" borderId="0"/>
    <xf numFmtId="9" fontId="15" fillId="0" borderId="0" applyFont="0" applyFill="0" applyBorder="0" applyAlignment="0" applyProtection="0"/>
  </cellStyleXfs>
  <cellXfs count="809">
    <xf numFmtId="0" fontId="0" fillId="0" borderId="0" xfId="0"/>
    <xf numFmtId="0" fontId="2" fillId="0" borderId="0" xfId="0" applyFont="1"/>
    <xf numFmtId="0" fontId="2" fillId="0" borderId="0" xfId="0" applyFont="1" applyAlignment="1">
      <alignment horizontal="left" vertical="top"/>
    </xf>
    <xf numFmtId="0" fontId="1" fillId="0" borderId="0" xfId="0" applyFont="1" applyAlignment="1">
      <alignment vertical="top" wrapText="1"/>
    </xf>
    <xf numFmtId="0" fontId="2" fillId="0" borderId="0" xfId="0" applyFont="1" applyAlignment="1">
      <alignment horizontal="left"/>
    </xf>
    <xf numFmtId="0" fontId="0" fillId="0" borderId="0" xfId="0" applyAlignment="1">
      <alignment horizontal="left"/>
    </xf>
    <xf numFmtId="0" fontId="2" fillId="0" borderId="0" xfId="0" applyFont="1" applyAlignment="1">
      <alignment vertical="top"/>
    </xf>
    <xf numFmtId="0" fontId="5" fillId="0" borderId="0" xfId="0" applyFont="1"/>
    <xf numFmtId="0" fontId="5" fillId="0" borderId="0" xfId="0" applyFont="1" applyAlignment="1">
      <alignment horizontal="left" vertical="top"/>
    </xf>
    <xf numFmtId="0" fontId="5" fillId="0" borderId="0" xfId="0" applyFont="1" applyAlignment="1">
      <alignment horizontal="left" vertical="top" wrapText="1"/>
    </xf>
    <xf numFmtId="0" fontId="2" fillId="0" borderId="0" xfId="0" applyFont="1" applyAlignment="1">
      <alignment horizontal="left" vertical="top" wrapText="1"/>
    </xf>
    <xf numFmtId="15" fontId="5" fillId="0" borderId="0" xfId="0" applyNumberFormat="1" applyFont="1" applyAlignment="1">
      <alignment horizontal="left" vertical="top"/>
    </xf>
    <xf numFmtId="15" fontId="5" fillId="0" borderId="0" xfId="0" applyNumberFormat="1" applyFont="1" applyAlignment="1">
      <alignment horizontal="left" vertical="top" wrapText="1"/>
    </xf>
    <xf numFmtId="3" fontId="5" fillId="0" borderId="0" xfId="0" applyNumberFormat="1" applyFont="1" applyAlignment="1">
      <alignment horizontal="left" vertical="top"/>
    </xf>
    <xf numFmtId="2" fontId="5" fillId="0" borderId="0" xfId="0" applyNumberFormat="1" applyFont="1" applyAlignment="1">
      <alignment horizontal="left" vertical="top"/>
    </xf>
    <xf numFmtId="0" fontId="1" fillId="0" borderId="0" xfId="0" applyFont="1" applyAlignment="1">
      <alignment vertical="top"/>
    </xf>
    <xf numFmtId="0" fontId="1" fillId="0" borderId="0" xfId="0" quotePrefix="1" applyFont="1" applyAlignment="1">
      <alignment horizontal="left" vertical="top" wrapText="1"/>
    </xf>
    <xf numFmtId="0" fontId="0" fillId="0" borderId="0" xfId="0" applyAlignment="1">
      <alignment horizontal="left" wrapText="1"/>
    </xf>
    <xf numFmtId="0" fontId="1" fillId="2" borderId="1" xfId="0" applyFont="1" applyFill="1" applyBorder="1" applyAlignment="1">
      <alignment horizontal="left" vertical="top"/>
    </xf>
    <xf numFmtId="0" fontId="1" fillId="2" borderId="1" xfId="0" applyFont="1" applyFill="1" applyBorder="1" applyAlignment="1">
      <alignment horizontal="left" vertical="top" wrapText="1"/>
    </xf>
    <xf numFmtId="0" fontId="4" fillId="2" borderId="1" xfId="0" applyFont="1" applyFill="1" applyBorder="1" applyAlignment="1">
      <alignment horizontal="left" vertical="top" wrapText="1"/>
    </xf>
    <xf numFmtId="0" fontId="4" fillId="2" borderId="0" xfId="0" applyFont="1" applyFill="1" applyAlignment="1">
      <alignment vertical="top" wrapText="1"/>
    </xf>
    <xf numFmtId="0" fontId="4" fillId="2" borderId="0" xfId="0" applyFont="1" applyFill="1" applyAlignment="1">
      <alignment vertical="top"/>
    </xf>
    <xf numFmtId="0" fontId="1" fillId="2" borderId="0" xfId="0" applyFont="1" applyFill="1" applyAlignment="1">
      <alignment vertical="top"/>
    </xf>
    <xf numFmtId="0" fontId="3" fillId="2" borderId="3" xfId="0" applyFont="1" applyFill="1" applyBorder="1" applyAlignment="1">
      <alignment horizontal="left" vertical="top"/>
    </xf>
    <xf numFmtId="0" fontId="3" fillId="2" borderId="3" xfId="0" applyFont="1" applyFill="1" applyBorder="1" applyAlignment="1">
      <alignment horizontal="left" vertical="top" wrapText="1"/>
    </xf>
    <xf numFmtId="0" fontId="6" fillId="2" borderId="3" xfId="0" applyFont="1" applyFill="1" applyBorder="1" applyAlignment="1">
      <alignment horizontal="left" vertical="top" wrapText="1"/>
    </xf>
    <xf numFmtId="0" fontId="6" fillId="2" borderId="2" xfId="0" applyFont="1" applyFill="1" applyBorder="1" applyAlignment="1">
      <alignment vertical="top" wrapText="1"/>
    </xf>
    <xf numFmtId="0" fontId="6" fillId="2" borderId="2" xfId="0" applyFont="1" applyFill="1" applyBorder="1" applyAlignment="1">
      <alignment vertical="top"/>
    </xf>
    <xf numFmtId="0" fontId="3" fillId="2" borderId="2" xfId="0" applyFont="1" applyFill="1" applyBorder="1" applyAlignment="1">
      <alignment vertical="top"/>
    </xf>
    <xf numFmtId="0" fontId="3" fillId="2" borderId="1" xfId="0" applyFont="1" applyFill="1" applyBorder="1" applyAlignment="1">
      <alignment horizontal="left" vertical="top"/>
    </xf>
    <xf numFmtId="164" fontId="5" fillId="0" borderId="0" xfId="0" applyNumberFormat="1" applyFont="1" applyAlignment="1">
      <alignment horizontal="left" vertical="top"/>
    </xf>
    <xf numFmtId="0" fontId="5" fillId="0" borderId="0" xfId="0" applyFont="1" applyAlignment="1">
      <alignment vertical="top" wrapText="1"/>
    </xf>
    <xf numFmtId="0" fontId="5" fillId="0" borderId="0" xfId="0" applyFont="1" applyAlignment="1">
      <alignment vertical="top"/>
    </xf>
    <xf numFmtId="3" fontId="2" fillId="0" borderId="0" xfId="0" applyNumberFormat="1" applyFont="1" applyAlignment="1">
      <alignment horizontal="left" vertical="top" wrapText="1"/>
    </xf>
    <xf numFmtId="2" fontId="2" fillId="0" borderId="0" xfId="0" applyNumberFormat="1" applyFont="1" applyAlignment="1">
      <alignment horizontal="left" vertical="top" wrapText="1"/>
    </xf>
    <xf numFmtId="14" fontId="2" fillId="0" borderId="0" xfId="0" applyNumberFormat="1" applyFont="1" applyAlignment="1">
      <alignment horizontal="left" vertical="top" wrapText="1"/>
    </xf>
    <xf numFmtId="0" fontId="1" fillId="2" borderId="1" xfId="0" quotePrefix="1" applyFont="1" applyFill="1" applyBorder="1" applyAlignment="1">
      <alignment horizontal="left" vertical="top" wrapText="1"/>
    </xf>
    <xf numFmtId="3" fontId="5" fillId="0" borderId="0" xfId="0" applyNumberFormat="1" applyFont="1" applyAlignment="1">
      <alignment horizontal="left" vertical="top" wrapText="1"/>
    </xf>
    <xf numFmtId="0" fontId="8" fillId="0" borderId="0" xfId="0" applyFont="1" applyAlignment="1">
      <alignment horizontal="left"/>
    </xf>
    <xf numFmtId="2" fontId="5" fillId="0" borderId="0" xfId="0" applyNumberFormat="1" applyFont="1" applyAlignment="1">
      <alignment horizontal="left" vertical="top" wrapText="1"/>
    </xf>
    <xf numFmtId="14" fontId="5" fillId="0" borderId="0" xfId="0" applyNumberFormat="1" applyFont="1" applyAlignment="1">
      <alignment horizontal="left" vertical="top"/>
    </xf>
    <xf numFmtId="49" fontId="5" fillId="0" borderId="0" xfId="0" applyNumberFormat="1" applyFont="1" applyAlignment="1">
      <alignment horizontal="left" vertical="top"/>
    </xf>
    <xf numFmtId="165" fontId="5" fillId="0" borderId="0" xfId="0" applyNumberFormat="1" applyFont="1" applyAlignment="1">
      <alignment horizontal="left" vertical="top"/>
    </xf>
    <xf numFmtId="0" fontId="10" fillId="0" borderId="0" xfId="0" applyFont="1" applyAlignment="1">
      <alignment horizontal="left" vertical="top"/>
    </xf>
    <xf numFmtId="0" fontId="10" fillId="0" borderId="0" xfId="0" applyFont="1" applyAlignment="1">
      <alignment horizontal="left" vertical="top" wrapText="1"/>
    </xf>
    <xf numFmtId="0" fontId="9" fillId="0" borderId="0" xfId="0" applyFont="1" applyAlignment="1">
      <alignment horizontal="left" vertical="top" wrapText="1"/>
    </xf>
    <xf numFmtId="0" fontId="4" fillId="0" borderId="0" xfId="0" applyFont="1" applyAlignment="1">
      <alignment horizontal="left" vertical="top" wrapText="1"/>
    </xf>
    <xf numFmtId="1" fontId="5" fillId="0" borderId="0" xfId="0" applyNumberFormat="1" applyFont="1" applyAlignment="1">
      <alignment horizontal="left" vertical="top" wrapText="1"/>
    </xf>
    <xf numFmtId="1" fontId="5" fillId="0" borderId="0" xfId="0" applyNumberFormat="1" applyFont="1" applyAlignment="1">
      <alignment horizontal="left" vertical="top"/>
    </xf>
    <xf numFmtId="2" fontId="4" fillId="0" borderId="0" xfId="0" applyNumberFormat="1" applyFont="1" applyAlignment="1">
      <alignment horizontal="left" vertical="top"/>
    </xf>
    <xf numFmtId="49" fontId="5" fillId="0" borderId="0" xfId="0" applyNumberFormat="1" applyFont="1" applyAlignment="1">
      <alignment horizontal="left" vertical="top" wrapText="1"/>
    </xf>
    <xf numFmtId="14" fontId="5" fillId="0" borderId="0" xfId="0" applyNumberFormat="1" applyFont="1" applyAlignment="1">
      <alignment horizontal="left" vertical="top" wrapText="1"/>
    </xf>
    <xf numFmtId="164" fontId="5" fillId="0" borderId="0" xfId="0" applyNumberFormat="1" applyFont="1" applyAlignment="1">
      <alignment horizontal="left" vertical="top" wrapText="1"/>
    </xf>
    <xf numFmtId="0" fontId="4" fillId="0" borderId="0" xfId="0" applyFont="1" applyAlignment="1">
      <alignment vertical="top" wrapText="1"/>
    </xf>
    <xf numFmtId="0" fontId="12" fillId="0" borderId="0" xfId="0" applyFont="1" applyAlignment="1">
      <alignment vertical="top" wrapText="1"/>
    </xf>
    <xf numFmtId="0" fontId="5" fillId="0" borderId="0" xfId="0" quotePrefix="1" applyFont="1" applyAlignment="1">
      <alignment horizontal="left" vertical="top" wrapText="1"/>
    </xf>
    <xf numFmtId="15" fontId="2" fillId="0" borderId="0" xfId="0" applyNumberFormat="1" applyFont="1" applyAlignment="1">
      <alignment horizontal="left" vertical="top"/>
    </xf>
    <xf numFmtId="15" fontId="2" fillId="0" borderId="0" xfId="0" applyNumberFormat="1" applyFont="1" applyAlignment="1">
      <alignment horizontal="left" vertical="top" wrapText="1"/>
    </xf>
    <xf numFmtId="3" fontId="2" fillId="0" borderId="0" xfId="0" applyNumberFormat="1" applyFont="1" applyAlignment="1">
      <alignment horizontal="left" vertical="top"/>
    </xf>
    <xf numFmtId="165" fontId="2" fillId="0" borderId="0" xfId="0" applyNumberFormat="1" applyFont="1" applyAlignment="1">
      <alignment horizontal="left" vertical="top"/>
    </xf>
    <xf numFmtId="9" fontId="5" fillId="0" borderId="0" xfId="0" applyNumberFormat="1" applyFont="1" applyAlignment="1">
      <alignment horizontal="left" vertical="top"/>
    </xf>
    <xf numFmtId="9" fontId="5" fillId="0" borderId="0" xfId="0" applyNumberFormat="1" applyFont="1" applyAlignment="1">
      <alignment horizontal="left" vertical="top" wrapText="1"/>
    </xf>
    <xf numFmtId="14" fontId="2" fillId="0" borderId="0" xfId="0" applyNumberFormat="1" applyFont="1" applyAlignment="1">
      <alignment horizontal="left" vertical="top"/>
    </xf>
    <xf numFmtId="164" fontId="2" fillId="0" borderId="0" xfId="0" applyNumberFormat="1" applyFont="1" applyAlignment="1">
      <alignment horizontal="left" vertical="top"/>
    </xf>
    <xf numFmtId="2" fontId="2" fillId="0" borderId="0" xfId="0" applyNumberFormat="1" applyFont="1" applyAlignment="1">
      <alignment horizontal="left" vertical="top"/>
    </xf>
    <xf numFmtId="166" fontId="5" fillId="0" borderId="0" xfId="0" applyNumberFormat="1" applyFont="1" applyAlignment="1">
      <alignment horizontal="left" vertical="top"/>
    </xf>
    <xf numFmtId="49" fontId="2" fillId="0" borderId="0" xfId="0" applyNumberFormat="1" applyFont="1" applyAlignment="1">
      <alignment horizontal="left" vertical="top"/>
    </xf>
    <xf numFmtId="16" fontId="2" fillId="0" borderId="0" xfId="0" applyNumberFormat="1" applyFont="1" applyAlignment="1">
      <alignment horizontal="left" vertical="top" wrapText="1"/>
    </xf>
    <xf numFmtId="16" fontId="5" fillId="0" borderId="0" xfId="0" applyNumberFormat="1" applyFont="1" applyAlignment="1">
      <alignment horizontal="left" vertical="top" wrapText="1"/>
    </xf>
    <xf numFmtId="16" fontId="5" fillId="0" borderId="0" xfId="0" applyNumberFormat="1" applyFont="1" applyAlignment="1">
      <alignment horizontal="left" vertical="top"/>
    </xf>
    <xf numFmtId="167" fontId="5" fillId="0" borderId="0" xfId="0" applyNumberFormat="1" applyFont="1" applyAlignment="1">
      <alignment horizontal="left" vertical="top"/>
    </xf>
    <xf numFmtId="0" fontId="5" fillId="3" borderId="0" xfId="0" applyFont="1" applyFill="1" applyAlignment="1">
      <alignment horizontal="left" vertical="top"/>
    </xf>
    <xf numFmtId="0" fontId="5" fillId="3" borderId="0" xfId="0" applyFont="1" applyFill="1" applyAlignment="1">
      <alignment horizontal="left" vertical="top" wrapText="1"/>
    </xf>
    <xf numFmtId="3" fontId="5" fillId="3" borderId="0" xfId="0" applyNumberFormat="1" applyFont="1" applyFill="1" applyAlignment="1">
      <alignment horizontal="left" vertical="top"/>
    </xf>
    <xf numFmtId="3" fontId="5" fillId="3" borderId="0" xfId="0" applyNumberFormat="1" applyFont="1" applyFill="1" applyAlignment="1">
      <alignment horizontal="left" vertical="top" wrapText="1"/>
    </xf>
    <xf numFmtId="2" fontId="5" fillId="3" borderId="0" xfId="0" applyNumberFormat="1" applyFont="1" applyFill="1" applyAlignment="1">
      <alignment horizontal="left" vertical="top"/>
    </xf>
    <xf numFmtId="14" fontId="5" fillId="3" borderId="0" xfId="0" applyNumberFormat="1" applyFont="1" applyFill="1" applyAlignment="1">
      <alignment horizontal="left" vertical="top" wrapText="1"/>
    </xf>
    <xf numFmtId="0" fontId="5" fillId="3" borderId="0" xfId="0" applyFont="1" applyFill="1" applyAlignment="1">
      <alignment vertical="top" wrapText="1"/>
    </xf>
    <xf numFmtId="0" fontId="5" fillId="3" borderId="0" xfId="0" applyFont="1" applyFill="1" applyAlignment="1">
      <alignment vertical="top"/>
    </xf>
    <xf numFmtId="3" fontId="5" fillId="4" borderId="0" xfId="0" applyNumberFormat="1" applyFont="1" applyFill="1" applyAlignment="1">
      <alignment horizontal="left" vertical="top"/>
    </xf>
    <xf numFmtId="167" fontId="5" fillId="0" borderId="0" xfId="0" applyNumberFormat="1" applyFont="1" applyAlignment="1">
      <alignment horizontal="left" vertical="top" wrapText="1"/>
    </xf>
    <xf numFmtId="167" fontId="5" fillId="3" borderId="0" xfId="0" applyNumberFormat="1" applyFont="1" applyFill="1" applyAlignment="1">
      <alignment horizontal="left" vertical="top" wrapText="1"/>
    </xf>
    <xf numFmtId="2" fontId="5" fillId="3" borderId="0" xfId="0" applyNumberFormat="1" applyFont="1" applyFill="1" applyAlignment="1">
      <alignment horizontal="left" vertical="top" wrapText="1"/>
    </xf>
    <xf numFmtId="15" fontId="5" fillId="3" borderId="0" xfId="0" applyNumberFormat="1" applyFont="1" applyFill="1" applyAlignment="1">
      <alignment horizontal="left" vertical="top"/>
    </xf>
    <xf numFmtId="15" fontId="5" fillId="3" borderId="0" xfId="0" applyNumberFormat="1" applyFont="1" applyFill="1" applyAlignment="1">
      <alignment horizontal="left" vertical="top" wrapText="1"/>
    </xf>
    <xf numFmtId="164" fontId="5" fillId="3" borderId="0" xfId="0" applyNumberFormat="1" applyFont="1" applyFill="1" applyAlignment="1">
      <alignment horizontal="left" vertical="top"/>
    </xf>
    <xf numFmtId="0" fontId="5" fillId="3" borderId="0" xfId="0" applyFont="1" applyFill="1"/>
    <xf numFmtId="14" fontId="5" fillId="3" borderId="0" xfId="0" applyNumberFormat="1" applyFont="1" applyFill="1" applyAlignment="1">
      <alignment horizontal="left" vertical="top"/>
    </xf>
    <xf numFmtId="49" fontId="5" fillId="3" borderId="0" xfId="0" applyNumberFormat="1" applyFont="1" applyFill="1" applyAlignment="1">
      <alignment horizontal="left" vertical="top" wrapText="1"/>
    </xf>
    <xf numFmtId="0" fontId="9" fillId="0" borderId="0" xfId="0" applyFont="1" applyAlignment="1">
      <alignment horizontal="left" vertical="top"/>
    </xf>
    <xf numFmtId="4" fontId="5" fillId="0" borderId="0" xfId="0" applyNumberFormat="1" applyFont="1" applyAlignment="1">
      <alignment horizontal="left" vertical="top" wrapText="1"/>
    </xf>
    <xf numFmtId="0" fontId="5" fillId="4" borderId="0" xfId="0" applyFont="1" applyFill="1" applyAlignment="1">
      <alignment horizontal="left" vertical="top" wrapText="1"/>
    </xf>
    <xf numFmtId="165" fontId="5" fillId="3" borderId="0" xfId="0" applyNumberFormat="1" applyFont="1" applyFill="1" applyAlignment="1">
      <alignment horizontal="left" vertical="top"/>
    </xf>
    <xf numFmtId="0" fontId="5" fillId="5" borderId="0" xfId="0" applyFont="1" applyFill="1" applyAlignment="1">
      <alignment horizontal="left" vertical="top"/>
    </xf>
    <xf numFmtId="0" fontId="5" fillId="5" borderId="0" xfId="0" applyFont="1" applyFill="1" applyAlignment="1">
      <alignment horizontal="left" vertical="top" wrapText="1"/>
    </xf>
    <xf numFmtId="15" fontId="5" fillId="5" borderId="0" xfId="0" applyNumberFormat="1" applyFont="1" applyFill="1" applyAlignment="1">
      <alignment horizontal="left" vertical="top" wrapText="1"/>
    </xf>
    <xf numFmtId="14" fontId="5" fillId="5" borderId="0" xfId="0" applyNumberFormat="1" applyFont="1" applyFill="1" applyAlignment="1">
      <alignment horizontal="left" vertical="top"/>
    </xf>
    <xf numFmtId="3" fontId="5" fillId="5" borderId="0" xfId="0" applyNumberFormat="1" applyFont="1" applyFill="1" applyAlignment="1">
      <alignment horizontal="left" vertical="top"/>
    </xf>
    <xf numFmtId="3" fontId="5" fillId="5" borderId="0" xfId="0" applyNumberFormat="1" applyFont="1" applyFill="1" applyAlignment="1">
      <alignment horizontal="left" vertical="top" wrapText="1"/>
    </xf>
    <xf numFmtId="165" fontId="5" fillId="5" borderId="0" xfId="0" applyNumberFormat="1" applyFont="1" applyFill="1" applyAlignment="1">
      <alignment horizontal="left" vertical="top"/>
    </xf>
    <xf numFmtId="164" fontId="5" fillId="5" borderId="0" xfId="0" applyNumberFormat="1" applyFont="1" applyFill="1" applyAlignment="1">
      <alignment horizontal="left" vertical="top"/>
    </xf>
    <xf numFmtId="2" fontId="5" fillId="5" borderId="0" xfId="0" applyNumberFormat="1" applyFont="1" applyFill="1" applyAlignment="1">
      <alignment horizontal="left" vertical="top"/>
    </xf>
    <xf numFmtId="0" fontId="5" fillId="5" borderId="0" xfId="0" applyFont="1" applyFill="1"/>
    <xf numFmtId="0" fontId="2" fillId="5" borderId="0" xfId="0" applyFont="1" applyFill="1" applyAlignment="1">
      <alignment horizontal="left" vertical="top"/>
    </xf>
    <xf numFmtId="0" fontId="2" fillId="5" borderId="0" xfId="0" applyFont="1" applyFill="1" applyAlignment="1">
      <alignment horizontal="left" vertical="top" wrapText="1"/>
    </xf>
    <xf numFmtId="14" fontId="2" fillId="5" borderId="0" xfId="0" applyNumberFormat="1" applyFont="1" applyFill="1" applyAlignment="1">
      <alignment horizontal="left" vertical="top" wrapText="1"/>
    </xf>
    <xf numFmtId="3" fontId="2" fillId="5" borderId="0" xfId="0" applyNumberFormat="1" applyFont="1" applyFill="1" applyAlignment="1">
      <alignment horizontal="left" vertical="top" wrapText="1"/>
    </xf>
    <xf numFmtId="2" fontId="2" fillId="5" borderId="0" xfId="0" applyNumberFormat="1" applyFont="1" applyFill="1" applyAlignment="1">
      <alignment horizontal="left" vertical="top" wrapText="1"/>
    </xf>
    <xf numFmtId="0" fontId="5" fillId="5" borderId="0" xfId="0" applyFont="1" applyFill="1" applyAlignment="1">
      <alignment vertical="top" wrapText="1"/>
    </xf>
    <xf numFmtId="0" fontId="5" fillId="5" borderId="0" xfId="0" applyFont="1" applyFill="1" applyAlignment="1">
      <alignment vertical="top"/>
    </xf>
    <xf numFmtId="0" fontId="2" fillId="5" borderId="0" xfId="0" applyFont="1" applyFill="1" applyAlignment="1">
      <alignment vertical="top"/>
    </xf>
    <xf numFmtId="0" fontId="5" fillId="6" borderId="0" xfId="0" applyFont="1" applyFill="1" applyAlignment="1">
      <alignment horizontal="left" vertical="top"/>
    </xf>
    <xf numFmtId="0" fontId="5" fillId="6" borderId="0" xfId="0" applyFont="1" applyFill="1" applyAlignment="1">
      <alignment horizontal="left" vertical="top" wrapText="1"/>
    </xf>
    <xf numFmtId="0" fontId="2" fillId="6" borderId="0" xfId="0" applyFont="1" applyFill="1" applyAlignment="1">
      <alignment horizontal="left" vertical="top"/>
    </xf>
    <xf numFmtId="0" fontId="2" fillId="6" borderId="0" xfId="0" applyFont="1" applyFill="1" applyAlignment="1">
      <alignment horizontal="left" vertical="top" wrapText="1"/>
    </xf>
    <xf numFmtId="14" fontId="2" fillId="6" borderId="0" xfId="0" applyNumberFormat="1" applyFont="1" applyFill="1" applyAlignment="1">
      <alignment horizontal="left" vertical="top" wrapText="1"/>
    </xf>
    <xf numFmtId="15" fontId="5" fillId="6" borderId="0" xfId="0" applyNumberFormat="1" applyFont="1" applyFill="1" applyAlignment="1">
      <alignment horizontal="left" vertical="top" wrapText="1"/>
    </xf>
    <xf numFmtId="3" fontId="5" fillId="6" borderId="0" xfId="0" applyNumberFormat="1" applyFont="1" applyFill="1" applyAlignment="1">
      <alignment horizontal="left" vertical="top"/>
    </xf>
    <xf numFmtId="3" fontId="5" fillId="6" borderId="0" xfId="0" applyNumberFormat="1" applyFont="1" applyFill="1" applyAlignment="1">
      <alignment horizontal="left" vertical="top" wrapText="1"/>
    </xf>
    <xf numFmtId="3" fontId="2" fillId="6" borderId="0" xfId="0" applyNumberFormat="1" applyFont="1" applyFill="1" applyAlignment="1">
      <alignment horizontal="left" vertical="top" wrapText="1"/>
    </xf>
    <xf numFmtId="2" fontId="5" fillId="6" borderId="0" xfId="0" applyNumberFormat="1" applyFont="1" applyFill="1" applyAlignment="1">
      <alignment horizontal="left" vertical="top"/>
    </xf>
    <xf numFmtId="2" fontId="2" fillId="6" borderId="0" xfId="0" applyNumberFormat="1" applyFont="1" applyFill="1" applyAlignment="1">
      <alignment horizontal="left" vertical="top" wrapText="1"/>
    </xf>
    <xf numFmtId="0" fontId="5" fillId="6" borderId="0" xfId="0" applyFont="1" applyFill="1" applyAlignment="1">
      <alignment vertical="top" wrapText="1"/>
    </xf>
    <xf numFmtId="0" fontId="5" fillId="6" borderId="0" xfId="0" applyFont="1" applyFill="1" applyAlignment="1">
      <alignment vertical="top"/>
    </xf>
    <xf numFmtId="0" fontId="2" fillId="6" borderId="0" xfId="0" applyFont="1" applyFill="1" applyAlignment="1">
      <alignment vertical="top"/>
    </xf>
    <xf numFmtId="0" fontId="5" fillId="7" borderId="0" xfId="0" applyFont="1" applyFill="1" applyAlignment="1">
      <alignment horizontal="left" vertical="top"/>
    </xf>
    <xf numFmtId="0" fontId="5" fillId="7" borderId="0" xfId="0" applyFont="1" applyFill="1" applyAlignment="1">
      <alignment horizontal="left" vertical="top" wrapText="1"/>
    </xf>
    <xf numFmtId="0" fontId="2" fillId="7" borderId="0" xfId="0" applyFont="1" applyFill="1" applyAlignment="1">
      <alignment horizontal="left" vertical="top"/>
    </xf>
    <xf numFmtId="0" fontId="2" fillId="7" borderId="0" xfId="0" applyFont="1" applyFill="1" applyAlignment="1">
      <alignment horizontal="left" vertical="top" wrapText="1"/>
    </xf>
    <xf numFmtId="14" fontId="2" fillId="7" borderId="0" xfId="0" applyNumberFormat="1" applyFont="1" applyFill="1" applyAlignment="1">
      <alignment horizontal="left" vertical="top" wrapText="1"/>
    </xf>
    <xf numFmtId="15" fontId="5" fillId="7" borderId="0" xfId="0" applyNumberFormat="1" applyFont="1" applyFill="1" applyAlignment="1">
      <alignment horizontal="left" vertical="top" wrapText="1"/>
    </xf>
    <xf numFmtId="3" fontId="5" fillId="7" borderId="0" xfId="0" applyNumberFormat="1" applyFont="1" applyFill="1" applyAlignment="1">
      <alignment horizontal="left" vertical="top"/>
    </xf>
    <xf numFmtId="3" fontId="2" fillId="7" borderId="0" xfId="0" applyNumberFormat="1" applyFont="1" applyFill="1" applyAlignment="1">
      <alignment horizontal="left" vertical="top" wrapText="1"/>
    </xf>
    <xf numFmtId="3" fontId="5" fillId="7" borderId="0" xfId="0" applyNumberFormat="1" applyFont="1" applyFill="1" applyAlignment="1">
      <alignment horizontal="left" vertical="top" wrapText="1"/>
    </xf>
    <xf numFmtId="2" fontId="5" fillId="7" borderId="0" xfId="0" applyNumberFormat="1" applyFont="1" applyFill="1" applyAlignment="1">
      <alignment horizontal="left" vertical="top"/>
    </xf>
    <xf numFmtId="0" fontId="5" fillId="7" borderId="0" xfId="0" applyFont="1" applyFill="1" applyAlignment="1">
      <alignment vertical="top" wrapText="1"/>
    </xf>
    <xf numFmtId="0" fontId="5" fillId="7" borderId="0" xfId="0" applyFont="1" applyFill="1" applyAlignment="1">
      <alignment vertical="top"/>
    </xf>
    <xf numFmtId="0" fontId="2" fillId="7" borderId="0" xfId="0" applyFont="1" applyFill="1" applyAlignment="1">
      <alignment vertical="top"/>
    </xf>
    <xf numFmtId="49" fontId="5" fillId="3" borderId="0" xfId="0" applyNumberFormat="1" applyFont="1" applyFill="1" applyAlignment="1">
      <alignment horizontal="left" vertical="top"/>
    </xf>
    <xf numFmtId="14" fontId="5" fillId="5" borderId="0" xfId="0" applyNumberFormat="1" applyFont="1" applyFill="1" applyAlignment="1">
      <alignment horizontal="left" vertical="top" wrapText="1"/>
    </xf>
    <xf numFmtId="2" fontId="5" fillId="5" borderId="0" xfId="0" applyNumberFormat="1" applyFont="1" applyFill="1" applyAlignment="1">
      <alignment horizontal="left" vertical="top" wrapText="1"/>
    </xf>
    <xf numFmtId="14" fontId="5" fillId="6" borderId="0" xfId="0" applyNumberFormat="1" applyFont="1" applyFill="1" applyAlignment="1">
      <alignment horizontal="left" vertical="top" wrapText="1"/>
    </xf>
    <xf numFmtId="2" fontId="5" fillId="6" borderId="0" xfId="0" applyNumberFormat="1" applyFont="1" applyFill="1" applyAlignment="1">
      <alignment horizontal="left" vertical="top" wrapText="1"/>
    </xf>
    <xf numFmtId="15" fontId="5" fillId="5" borderId="0" xfId="0" applyNumberFormat="1" applyFont="1" applyFill="1" applyAlignment="1">
      <alignment horizontal="left" vertical="top"/>
    </xf>
    <xf numFmtId="15" fontId="5" fillId="7" borderId="0" xfId="0" applyNumberFormat="1" applyFont="1" applyFill="1" applyAlignment="1">
      <alignment horizontal="left" vertical="top"/>
    </xf>
    <xf numFmtId="14" fontId="5" fillId="7" borderId="0" xfId="0" applyNumberFormat="1" applyFont="1" applyFill="1" applyAlignment="1">
      <alignment horizontal="left" vertical="top" wrapText="1"/>
    </xf>
    <xf numFmtId="165" fontId="5" fillId="7" borderId="0" xfId="0" applyNumberFormat="1" applyFont="1" applyFill="1" applyAlignment="1">
      <alignment horizontal="left" vertical="top"/>
    </xf>
    <xf numFmtId="164" fontId="5" fillId="7" borderId="0" xfId="0" applyNumberFormat="1" applyFont="1" applyFill="1" applyAlignment="1">
      <alignment horizontal="left" vertical="top"/>
    </xf>
    <xf numFmtId="0" fontId="5" fillId="7" borderId="0" xfId="0" applyFont="1" applyFill="1"/>
    <xf numFmtId="0" fontId="5" fillId="8" borderId="0" xfId="0" applyFont="1" applyFill="1" applyAlignment="1">
      <alignment horizontal="left" vertical="top"/>
    </xf>
    <xf numFmtId="0" fontId="5" fillId="8" borderId="0" xfId="0" applyFont="1" applyFill="1" applyAlignment="1">
      <alignment horizontal="left" vertical="top" wrapText="1"/>
    </xf>
    <xf numFmtId="15" fontId="5" fillId="8" borderId="0" xfId="0" applyNumberFormat="1" applyFont="1" applyFill="1" applyAlignment="1">
      <alignment horizontal="left" vertical="top"/>
    </xf>
    <xf numFmtId="15" fontId="5" fillId="8" borderId="0" xfId="0" applyNumberFormat="1" applyFont="1" applyFill="1" applyAlignment="1">
      <alignment horizontal="left" vertical="top" wrapText="1"/>
    </xf>
    <xf numFmtId="14" fontId="5" fillId="8" borderId="0" xfId="0" applyNumberFormat="1" applyFont="1" applyFill="1" applyAlignment="1">
      <alignment horizontal="left" vertical="top" wrapText="1"/>
    </xf>
    <xf numFmtId="3" fontId="5" fillId="8" borderId="0" xfId="0" applyNumberFormat="1" applyFont="1" applyFill="1" applyAlignment="1">
      <alignment horizontal="left" vertical="top"/>
    </xf>
    <xf numFmtId="3" fontId="5" fillId="8" borderId="0" xfId="0" applyNumberFormat="1" applyFont="1" applyFill="1" applyAlignment="1">
      <alignment horizontal="left" vertical="top" wrapText="1"/>
    </xf>
    <xf numFmtId="165" fontId="5" fillId="8" borderId="0" xfId="0" applyNumberFormat="1" applyFont="1" applyFill="1" applyAlignment="1">
      <alignment horizontal="left" vertical="top"/>
    </xf>
    <xf numFmtId="164" fontId="5" fillId="8" borderId="0" xfId="0" applyNumberFormat="1" applyFont="1" applyFill="1" applyAlignment="1">
      <alignment horizontal="left" vertical="top"/>
    </xf>
    <xf numFmtId="2" fontId="5" fillId="8" borderId="0" xfId="0" applyNumberFormat="1" applyFont="1" applyFill="1" applyAlignment="1">
      <alignment horizontal="left" vertical="top"/>
    </xf>
    <xf numFmtId="0" fontId="5" fillId="8" borderId="0" xfId="0" applyFont="1" applyFill="1"/>
    <xf numFmtId="0" fontId="0" fillId="0" borderId="0" xfId="0" applyAlignment="1">
      <alignment horizontal="left" vertical="top"/>
    </xf>
    <xf numFmtId="49" fontId="5" fillId="6" borderId="0" xfId="0" applyNumberFormat="1" applyFont="1" applyFill="1" applyAlignment="1">
      <alignment horizontal="left" vertical="top" wrapText="1"/>
    </xf>
    <xf numFmtId="49" fontId="5" fillId="5" borderId="0" xfId="0" applyNumberFormat="1" applyFont="1" applyFill="1" applyAlignment="1">
      <alignment horizontal="left" vertical="top" wrapText="1"/>
    </xf>
    <xf numFmtId="165" fontId="5" fillId="6" borderId="0" xfId="0" applyNumberFormat="1" applyFont="1" applyFill="1" applyAlignment="1">
      <alignment horizontal="left" vertical="top"/>
    </xf>
    <xf numFmtId="4" fontId="5" fillId="6" borderId="0" xfId="0" applyNumberFormat="1" applyFont="1" applyFill="1" applyAlignment="1">
      <alignment horizontal="left" vertical="top" wrapText="1"/>
    </xf>
    <xf numFmtId="4" fontId="5" fillId="5" borderId="0" xfId="0" applyNumberFormat="1" applyFont="1" applyFill="1" applyAlignment="1">
      <alignment horizontal="left" vertical="top" wrapText="1"/>
    </xf>
    <xf numFmtId="49" fontId="5" fillId="7" borderId="0" xfId="0" applyNumberFormat="1" applyFont="1" applyFill="1" applyAlignment="1">
      <alignment horizontal="left" vertical="top" wrapText="1"/>
    </xf>
    <xf numFmtId="49" fontId="5" fillId="8" borderId="0" xfId="0" applyNumberFormat="1" applyFont="1" applyFill="1" applyAlignment="1">
      <alignment horizontal="left" vertical="top" wrapText="1"/>
    </xf>
    <xf numFmtId="16" fontId="5" fillId="8" borderId="0" xfId="0" applyNumberFormat="1" applyFont="1" applyFill="1" applyAlignment="1">
      <alignment horizontal="left" vertical="top" wrapText="1"/>
    </xf>
    <xf numFmtId="4" fontId="5" fillId="8" borderId="0" xfId="0" applyNumberFormat="1" applyFont="1" applyFill="1" applyAlignment="1">
      <alignment horizontal="left" vertical="top" wrapText="1"/>
    </xf>
    <xf numFmtId="0" fontId="5" fillId="8" borderId="0" xfId="0" applyFont="1" applyFill="1" applyAlignment="1">
      <alignment vertical="top" wrapText="1"/>
    </xf>
    <xf numFmtId="0" fontId="5" fillId="8" borderId="0" xfId="0" applyFont="1" applyFill="1" applyAlignment="1">
      <alignment vertical="top"/>
    </xf>
    <xf numFmtId="16" fontId="5" fillId="7" borderId="0" xfId="0" applyNumberFormat="1" applyFont="1" applyFill="1" applyAlignment="1">
      <alignment horizontal="left" vertical="top" wrapText="1"/>
    </xf>
    <xf numFmtId="4" fontId="5" fillId="7" borderId="0" xfId="0" applyNumberFormat="1" applyFont="1" applyFill="1" applyAlignment="1">
      <alignment horizontal="left" vertical="top" wrapText="1"/>
    </xf>
    <xf numFmtId="0" fontId="5" fillId="9" borderId="0" xfId="0" applyFont="1" applyFill="1" applyAlignment="1">
      <alignment horizontal="left" vertical="top"/>
    </xf>
    <xf numFmtId="0" fontId="5" fillId="9" borderId="0" xfId="0" applyFont="1" applyFill="1" applyAlignment="1">
      <alignment horizontal="left" vertical="top" wrapText="1"/>
    </xf>
    <xf numFmtId="0" fontId="2" fillId="9" borderId="0" xfId="0" applyFont="1" applyFill="1" applyAlignment="1">
      <alignment horizontal="left" vertical="top" wrapText="1"/>
    </xf>
    <xf numFmtId="49" fontId="5" fillId="9" borderId="0" xfId="0" applyNumberFormat="1" applyFont="1" applyFill="1" applyAlignment="1">
      <alignment horizontal="left" vertical="top" wrapText="1"/>
    </xf>
    <xf numFmtId="3" fontId="5" fillId="9" borderId="0" xfId="0" applyNumberFormat="1" applyFont="1" applyFill="1" applyAlignment="1">
      <alignment horizontal="left" vertical="top" wrapText="1"/>
    </xf>
    <xf numFmtId="3" fontId="5" fillId="9" borderId="0" xfId="0" applyNumberFormat="1" applyFont="1" applyFill="1" applyAlignment="1">
      <alignment horizontal="left" vertical="top"/>
    </xf>
    <xf numFmtId="2" fontId="5" fillId="9" borderId="0" xfId="0" applyNumberFormat="1" applyFont="1" applyFill="1" applyAlignment="1">
      <alignment horizontal="left" vertical="top"/>
    </xf>
    <xf numFmtId="0" fontId="5" fillId="9" borderId="0" xfId="0" applyFont="1" applyFill="1" applyAlignment="1">
      <alignment vertical="top" wrapText="1"/>
    </xf>
    <xf numFmtId="0" fontId="5" fillId="9" borderId="0" xfId="0" applyFont="1" applyFill="1" applyAlignment="1">
      <alignment vertical="top"/>
    </xf>
    <xf numFmtId="0" fontId="5" fillId="10" borderId="0" xfId="0" applyFont="1" applyFill="1" applyAlignment="1">
      <alignment horizontal="left" vertical="top"/>
    </xf>
    <xf numFmtId="0" fontId="5" fillId="10" borderId="0" xfId="0" applyFont="1" applyFill="1" applyAlignment="1">
      <alignment horizontal="left" vertical="top" wrapText="1"/>
    </xf>
    <xf numFmtId="0" fontId="2" fillId="10" borderId="0" xfId="0" applyFont="1" applyFill="1" applyAlignment="1">
      <alignment horizontal="left" vertical="top" wrapText="1"/>
    </xf>
    <xf numFmtId="49" fontId="5" fillId="10" borderId="0" xfId="0" applyNumberFormat="1" applyFont="1" applyFill="1" applyAlignment="1">
      <alignment horizontal="left" vertical="top" wrapText="1"/>
    </xf>
    <xf numFmtId="3" fontId="5" fillId="10" borderId="0" xfId="0" applyNumberFormat="1" applyFont="1" applyFill="1" applyAlignment="1">
      <alignment horizontal="left" vertical="top" wrapText="1"/>
    </xf>
    <xf numFmtId="3" fontId="5" fillId="10" borderId="0" xfId="0" applyNumberFormat="1" applyFont="1" applyFill="1" applyAlignment="1">
      <alignment horizontal="left" vertical="top"/>
    </xf>
    <xf numFmtId="165" fontId="5" fillId="10" borderId="0" xfId="0" applyNumberFormat="1" applyFont="1" applyFill="1" applyAlignment="1">
      <alignment horizontal="left" vertical="top"/>
    </xf>
    <xf numFmtId="4" fontId="5" fillId="10" borderId="0" xfId="0" applyNumberFormat="1" applyFont="1" applyFill="1" applyAlignment="1">
      <alignment horizontal="left" vertical="top" wrapText="1"/>
    </xf>
    <xf numFmtId="2" fontId="5" fillId="10" borderId="0" xfId="0" applyNumberFormat="1" applyFont="1" applyFill="1" applyAlignment="1">
      <alignment horizontal="left" vertical="top"/>
    </xf>
    <xf numFmtId="0" fontId="5" fillId="10" borderId="0" xfId="0" applyFont="1" applyFill="1" applyAlignment="1">
      <alignment vertical="top" wrapText="1"/>
    </xf>
    <xf numFmtId="0" fontId="5" fillId="10" borderId="0" xfId="0" applyFont="1" applyFill="1" applyAlignment="1">
      <alignment vertical="top"/>
    </xf>
    <xf numFmtId="165" fontId="5" fillId="9" borderId="0" xfId="0" applyNumberFormat="1" applyFont="1" applyFill="1" applyAlignment="1">
      <alignment horizontal="left" vertical="top"/>
    </xf>
    <xf numFmtId="4" fontId="5" fillId="9" borderId="0" xfId="0" applyNumberFormat="1" applyFont="1" applyFill="1" applyAlignment="1">
      <alignment horizontal="left" vertical="top" wrapText="1"/>
    </xf>
    <xf numFmtId="14" fontId="5" fillId="7" borderId="0" xfId="0" applyNumberFormat="1" applyFont="1" applyFill="1" applyAlignment="1">
      <alignment horizontal="left" vertical="top"/>
    </xf>
    <xf numFmtId="15" fontId="5" fillId="9" borderId="0" xfId="0" applyNumberFormat="1" applyFont="1" applyFill="1" applyAlignment="1">
      <alignment horizontal="left" vertical="top"/>
    </xf>
    <xf numFmtId="15" fontId="5" fillId="9" borderId="0" xfId="0" applyNumberFormat="1" applyFont="1" applyFill="1" applyAlignment="1">
      <alignment horizontal="left" vertical="top" wrapText="1"/>
    </xf>
    <xf numFmtId="14" fontId="5" fillId="9" borderId="0" xfId="0" applyNumberFormat="1" applyFont="1" applyFill="1" applyAlignment="1">
      <alignment horizontal="left" vertical="top"/>
    </xf>
    <xf numFmtId="164" fontId="5" fillId="9" borderId="0" xfId="0" applyNumberFormat="1" applyFont="1" applyFill="1" applyAlignment="1">
      <alignment horizontal="left" vertical="top"/>
    </xf>
    <xf numFmtId="0" fontId="5" fillId="9" borderId="0" xfId="0" applyFont="1" applyFill="1"/>
    <xf numFmtId="1" fontId="5" fillId="5" borderId="0" xfId="0" applyNumberFormat="1" applyFont="1" applyFill="1" applyAlignment="1">
      <alignment horizontal="left" vertical="top"/>
    </xf>
    <xf numFmtId="15" fontId="5" fillId="6" borderId="0" xfId="0" applyNumberFormat="1" applyFont="1" applyFill="1" applyAlignment="1">
      <alignment horizontal="left" vertical="top"/>
    </xf>
    <xf numFmtId="14" fontId="5" fillId="6" borderId="0" xfId="0" applyNumberFormat="1" applyFont="1" applyFill="1" applyAlignment="1">
      <alignment horizontal="left" vertical="top"/>
    </xf>
    <xf numFmtId="1" fontId="5" fillId="6" borderId="0" xfId="0" applyNumberFormat="1" applyFont="1" applyFill="1" applyAlignment="1">
      <alignment horizontal="left" vertical="top"/>
    </xf>
    <xf numFmtId="164" fontId="5" fillId="6" borderId="0" xfId="0" applyNumberFormat="1" applyFont="1" applyFill="1" applyAlignment="1">
      <alignment horizontal="left" vertical="top"/>
    </xf>
    <xf numFmtId="0" fontId="5" fillId="6" borderId="0" xfId="0" applyFont="1" applyFill="1"/>
    <xf numFmtId="0" fontId="5" fillId="2" borderId="0" xfId="0" applyFont="1" applyFill="1" applyAlignment="1">
      <alignment horizontal="left" vertical="top"/>
    </xf>
    <xf numFmtId="0" fontId="5" fillId="2" borderId="0" xfId="0" applyFont="1" applyFill="1" applyAlignment="1">
      <alignment horizontal="left" vertical="top" wrapText="1"/>
    </xf>
    <xf numFmtId="15" fontId="5" fillId="2" borderId="0" xfId="0" applyNumberFormat="1" applyFont="1" applyFill="1" applyAlignment="1">
      <alignment horizontal="left" vertical="top"/>
    </xf>
    <xf numFmtId="15" fontId="5" fillId="2" borderId="0" xfId="0" applyNumberFormat="1" applyFont="1" applyFill="1" applyAlignment="1">
      <alignment horizontal="left" vertical="top" wrapText="1"/>
    </xf>
    <xf numFmtId="14" fontId="5" fillId="2" borderId="0" xfId="0" applyNumberFormat="1" applyFont="1" applyFill="1" applyAlignment="1">
      <alignment horizontal="left" vertical="top"/>
    </xf>
    <xf numFmtId="3" fontId="5" fillId="2" borderId="0" xfId="0" applyNumberFormat="1" applyFont="1" applyFill="1" applyAlignment="1">
      <alignment horizontal="left" vertical="top"/>
    </xf>
    <xf numFmtId="3" fontId="5" fillId="2" borderId="0" xfId="0" applyNumberFormat="1" applyFont="1" applyFill="1" applyAlignment="1">
      <alignment horizontal="left" vertical="top" wrapText="1"/>
    </xf>
    <xf numFmtId="1" fontId="5" fillId="2" borderId="0" xfId="0" applyNumberFormat="1" applyFont="1" applyFill="1" applyAlignment="1">
      <alignment horizontal="left" vertical="top"/>
    </xf>
    <xf numFmtId="164" fontId="5" fillId="2" borderId="0" xfId="0" applyNumberFormat="1" applyFont="1" applyFill="1" applyAlignment="1">
      <alignment horizontal="left" vertical="top"/>
    </xf>
    <xf numFmtId="2" fontId="5" fillId="2" borderId="0" xfId="0" applyNumberFormat="1" applyFont="1" applyFill="1" applyAlignment="1">
      <alignment horizontal="left" vertical="top"/>
    </xf>
    <xf numFmtId="0" fontId="5" fillId="2" borderId="0" xfId="0" applyFont="1" applyFill="1"/>
    <xf numFmtId="0" fontId="5" fillId="11" borderId="0" xfId="0" applyFont="1" applyFill="1" applyAlignment="1">
      <alignment horizontal="left" vertical="top"/>
    </xf>
    <xf numFmtId="0" fontId="5" fillId="11" borderId="0" xfId="0" applyFont="1" applyFill="1" applyAlignment="1">
      <alignment horizontal="left" vertical="top" wrapText="1"/>
    </xf>
    <xf numFmtId="15" fontId="5" fillId="11" borderId="0" xfId="0" applyNumberFormat="1" applyFont="1" applyFill="1" applyAlignment="1">
      <alignment horizontal="left" vertical="top"/>
    </xf>
    <xf numFmtId="15" fontId="5" fillId="11" borderId="0" xfId="0" applyNumberFormat="1" applyFont="1" applyFill="1" applyAlignment="1">
      <alignment horizontal="left" vertical="top" wrapText="1"/>
    </xf>
    <xf numFmtId="14" fontId="5" fillId="11" borderId="0" xfId="0" applyNumberFormat="1" applyFont="1" applyFill="1" applyAlignment="1">
      <alignment horizontal="left" vertical="top"/>
    </xf>
    <xf numFmtId="3" fontId="5" fillId="11" borderId="0" xfId="0" applyNumberFormat="1" applyFont="1" applyFill="1" applyAlignment="1">
      <alignment horizontal="left" vertical="top"/>
    </xf>
    <xf numFmtId="3" fontId="5" fillId="11" borderId="0" xfId="0" applyNumberFormat="1" applyFont="1" applyFill="1" applyAlignment="1">
      <alignment horizontal="left" vertical="top" wrapText="1"/>
    </xf>
    <xf numFmtId="1" fontId="5" fillId="11" borderId="0" xfId="0" applyNumberFormat="1" applyFont="1" applyFill="1" applyAlignment="1">
      <alignment horizontal="left" vertical="top"/>
    </xf>
    <xf numFmtId="164" fontId="5" fillId="11" borderId="0" xfId="0" applyNumberFormat="1" applyFont="1" applyFill="1" applyAlignment="1">
      <alignment horizontal="left" vertical="top"/>
    </xf>
    <xf numFmtId="2" fontId="5" fillId="11" borderId="0" xfId="0" applyNumberFormat="1" applyFont="1" applyFill="1" applyAlignment="1">
      <alignment horizontal="left" vertical="top"/>
    </xf>
    <xf numFmtId="0" fontId="5" fillId="11" borderId="0" xfId="0" applyFont="1" applyFill="1"/>
    <xf numFmtId="164" fontId="5" fillId="3" borderId="0" xfId="0" applyNumberFormat="1" applyFont="1" applyFill="1" applyAlignment="1">
      <alignment horizontal="left" vertical="top" wrapText="1"/>
    </xf>
    <xf numFmtId="164" fontId="5" fillId="6" borderId="0" xfId="0" applyNumberFormat="1" applyFont="1" applyFill="1" applyAlignment="1">
      <alignment horizontal="left" vertical="top" wrapText="1"/>
    </xf>
    <xf numFmtId="164" fontId="5" fillId="5" borderId="0" xfId="0" applyNumberFormat="1" applyFont="1" applyFill="1" applyAlignment="1">
      <alignment horizontal="left" vertical="top" wrapText="1"/>
    </xf>
    <xf numFmtId="2" fontId="5" fillId="7" borderId="0" xfId="0" applyNumberFormat="1" applyFont="1" applyFill="1" applyAlignment="1">
      <alignment horizontal="left" vertical="top" wrapText="1"/>
    </xf>
    <xf numFmtId="2" fontId="5" fillId="8" borderId="0" xfId="0" applyNumberFormat="1" applyFont="1" applyFill="1" applyAlignment="1">
      <alignment horizontal="left" vertical="top" wrapText="1"/>
    </xf>
    <xf numFmtId="14" fontId="5" fillId="2" borderId="0" xfId="0" applyNumberFormat="1" applyFont="1" applyFill="1" applyAlignment="1">
      <alignment horizontal="left" vertical="top" wrapText="1"/>
    </xf>
    <xf numFmtId="2" fontId="5" fillId="2" borderId="0" xfId="0" applyNumberFormat="1" applyFont="1" applyFill="1" applyAlignment="1">
      <alignment horizontal="left" vertical="top" wrapText="1"/>
    </xf>
    <xf numFmtId="0" fontId="5" fillId="2" borderId="0" xfId="0" applyFont="1" applyFill="1" applyAlignment="1">
      <alignment vertical="top" wrapText="1"/>
    </xf>
    <xf numFmtId="0" fontId="5" fillId="2" borderId="0" xfId="0" applyFont="1" applyFill="1" applyAlignment="1">
      <alignment vertical="top"/>
    </xf>
    <xf numFmtId="14" fontId="5" fillId="11" borderId="0" xfId="0" applyNumberFormat="1" applyFont="1" applyFill="1" applyAlignment="1">
      <alignment horizontal="left" vertical="top" wrapText="1"/>
    </xf>
    <xf numFmtId="2" fontId="5" fillId="11" borderId="0" xfId="0" applyNumberFormat="1" applyFont="1" applyFill="1" applyAlignment="1">
      <alignment horizontal="left" vertical="top" wrapText="1"/>
    </xf>
    <xf numFmtId="0" fontId="5" fillId="11" borderId="0" xfId="0" applyFont="1" applyFill="1" applyAlignment="1">
      <alignment vertical="top" wrapText="1"/>
    </xf>
    <xf numFmtId="0" fontId="5" fillId="11" borderId="0" xfId="0" applyFont="1" applyFill="1" applyAlignment="1">
      <alignment vertical="top"/>
    </xf>
    <xf numFmtId="0" fontId="5" fillId="12" borderId="0" xfId="0" applyFont="1" applyFill="1" applyAlignment="1">
      <alignment horizontal="left" vertical="top"/>
    </xf>
    <xf numFmtId="0" fontId="5" fillId="12" borderId="0" xfId="0" applyFont="1" applyFill="1" applyAlignment="1">
      <alignment horizontal="left" vertical="top" wrapText="1"/>
    </xf>
    <xf numFmtId="15" fontId="5" fillId="12" borderId="0" xfId="0" applyNumberFormat="1" applyFont="1" applyFill="1" applyAlignment="1">
      <alignment horizontal="left" vertical="top"/>
    </xf>
    <xf numFmtId="15" fontId="5" fillId="12" borderId="0" xfId="0" applyNumberFormat="1" applyFont="1" applyFill="1" applyAlignment="1">
      <alignment horizontal="left" vertical="top" wrapText="1"/>
    </xf>
    <xf numFmtId="14" fontId="5" fillId="12" borderId="0" xfId="0" applyNumberFormat="1" applyFont="1" applyFill="1" applyAlignment="1">
      <alignment horizontal="left" vertical="top"/>
    </xf>
    <xf numFmtId="3" fontId="5" fillId="12" borderId="0" xfId="0" applyNumberFormat="1" applyFont="1" applyFill="1" applyAlignment="1">
      <alignment horizontal="left" vertical="top"/>
    </xf>
    <xf numFmtId="3" fontId="5" fillId="12" borderId="0" xfId="0" applyNumberFormat="1" applyFont="1" applyFill="1" applyAlignment="1">
      <alignment horizontal="left" vertical="top" wrapText="1"/>
    </xf>
    <xf numFmtId="2" fontId="5" fillId="12" borderId="0" xfId="0" applyNumberFormat="1" applyFont="1" applyFill="1" applyAlignment="1">
      <alignment horizontal="left" vertical="top"/>
    </xf>
    <xf numFmtId="164" fontId="5" fillId="12" borderId="0" xfId="0" applyNumberFormat="1" applyFont="1" applyFill="1" applyAlignment="1">
      <alignment horizontal="left" vertical="top"/>
    </xf>
    <xf numFmtId="0" fontId="5" fillId="12" borderId="0" xfId="0" applyFont="1" applyFill="1"/>
    <xf numFmtId="0" fontId="5" fillId="13" borderId="0" xfId="0" applyFont="1" applyFill="1" applyAlignment="1">
      <alignment horizontal="left" vertical="top"/>
    </xf>
    <xf numFmtId="0" fontId="5" fillId="13" borderId="0" xfId="0" applyFont="1" applyFill="1" applyAlignment="1">
      <alignment horizontal="left" vertical="top" wrapText="1"/>
    </xf>
    <xf numFmtId="15" fontId="5" fillId="13" borderId="0" xfId="0" applyNumberFormat="1" applyFont="1" applyFill="1" applyAlignment="1">
      <alignment horizontal="left" vertical="top"/>
    </xf>
    <xf numFmtId="15" fontId="5" fillId="13" borderId="0" xfId="0" applyNumberFormat="1" applyFont="1" applyFill="1" applyAlignment="1">
      <alignment horizontal="left" vertical="top" wrapText="1"/>
    </xf>
    <xf numFmtId="14" fontId="5" fillId="13" borderId="0" xfId="0" applyNumberFormat="1" applyFont="1" applyFill="1" applyAlignment="1">
      <alignment horizontal="left" vertical="top"/>
    </xf>
    <xf numFmtId="3" fontId="5" fillId="13" borderId="0" xfId="0" applyNumberFormat="1" applyFont="1" applyFill="1" applyAlignment="1">
      <alignment horizontal="left" vertical="top"/>
    </xf>
    <xf numFmtId="3" fontId="5" fillId="13" borderId="0" xfId="0" applyNumberFormat="1" applyFont="1" applyFill="1" applyAlignment="1">
      <alignment horizontal="left" vertical="top" wrapText="1"/>
    </xf>
    <xf numFmtId="2" fontId="5" fillId="13" borderId="0" xfId="0" applyNumberFormat="1" applyFont="1" applyFill="1" applyAlignment="1">
      <alignment horizontal="left" vertical="top"/>
    </xf>
    <xf numFmtId="164" fontId="5" fillId="13" borderId="0" xfId="0" applyNumberFormat="1" applyFont="1" applyFill="1" applyAlignment="1">
      <alignment horizontal="left" vertical="top"/>
    </xf>
    <xf numFmtId="0" fontId="5" fillId="13" borderId="0" xfId="0" applyFont="1" applyFill="1"/>
    <xf numFmtId="0" fontId="2" fillId="3" borderId="0" xfId="0" applyFont="1" applyFill="1" applyAlignment="1">
      <alignment horizontal="left" vertical="top"/>
    </xf>
    <xf numFmtId="0" fontId="2" fillId="3" borderId="0" xfId="0" applyFont="1" applyFill="1" applyAlignment="1">
      <alignment horizontal="left" vertical="top" wrapText="1"/>
    </xf>
    <xf numFmtId="14" fontId="2" fillId="3" borderId="0" xfId="0" applyNumberFormat="1" applyFont="1" applyFill="1" applyAlignment="1">
      <alignment horizontal="left" vertical="top" wrapText="1"/>
    </xf>
    <xf numFmtId="3" fontId="2" fillId="3" borderId="0" xfId="0" applyNumberFormat="1" applyFont="1" applyFill="1" applyAlignment="1">
      <alignment horizontal="left" vertical="top" wrapText="1"/>
    </xf>
    <xf numFmtId="2" fontId="2" fillId="3" borderId="0" xfId="0" applyNumberFormat="1" applyFont="1" applyFill="1" applyAlignment="1">
      <alignment horizontal="left" vertical="top" wrapText="1"/>
    </xf>
    <xf numFmtId="0" fontId="2" fillId="3" borderId="0" xfId="0" applyFont="1" applyFill="1" applyAlignment="1">
      <alignment vertical="top"/>
    </xf>
    <xf numFmtId="167" fontId="2" fillId="5" borderId="0" xfId="0" applyNumberFormat="1" applyFont="1" applyFill="1" applyAlignment="1">
      <alignment horizontal="left" vertical="top" wrapText="1"/>
    </xf>
    <xf numFmtId="0" fontId="2" fillId="12" borderId="0" xfId="0" applyFont="1" applyFill="1" applyAlignment="1">
      <alignment horizontal="left" vertical="top" wrapText="1"/>
    </xf>
    <xf numFmtId="0" fontId="2" fillId="12" borderId="0" xfId="0" applyFont="1" applyFill="1" applyAlignment="1">
      <alignment horizontal="left" vertical="top"/>
    </xf>
    <xf numFmtId="1" fontId="2" fillId="12" borderId="0" xfId="0" applyNumberFormat="1" applyFont="1" applyFill="1" applyAlignment="1">
      <alignment horizontal="left" vertical="top" wrapText="1"/>
    </xf>
    <xf numFmtId="3" fontId="2" fillId="12" borderId="0" xfId="0" applyNumberFormat="1" applyFont="1" applyFill="1" applyAlignment="1">
      <alignment horizontal="left" vertical="top" wrapText="1"/>
    </xf>
    <xf numFmtId="2" fontId="2" fillId="12" borderId="0" xfId="0" applyNumberFormat="1" applyFont="1" applyFill="1" applyAlignment="1">
      <alignment horizontal="left" vertical="top" wrapText="1"/>
    </xf>
    <xf numFmtId="0" fontId="5" fillId="12" borderId="0" xfId="0" applyFont="1" applyFill="1" applyAlignment="1">
      <alignment vertical="top" wrapText="1"/>
    </xf>
    <xf numFmtId="0" fontId="5" fillId="12" borderId="0" xfId="0" applyFont="1" applyFill="1" applyAlignment="1">
      <alignment vertical="top"/>
    </xf>
    <xf numFmtId="0" fontId="2" fillId="12" borderId="0" xfId="0" applyFont="1" applyFill="1" applyAlignment="1">
      <alignment vertical="top"/>
    </xf>
    <xf numFmtId="0" fontId="2" fillId="13" borderId="0" xfId="0" applyFont="1" applyFill="1" applyAlignment="1">
      <alignment horizontal="left" vertical="top" wrapText="1"/>
    </xf>
    <xf numFmtId="0" fontId="2" fillId="13" borderId="0" xfId="0" applyFont="1" applyFill="1" applyAlignment="1">
      <alignment horizontal="left" vertical="top"/>
    </xf>
    <xf numFmtId="1" fontId="2" fillId="13" borderId="0" xfId="0" applyNumberFormat="1" applyFont="1" applyFill="1" applyAlignment="1">
      <alignment horizontal="left" vertical="top" wrapText="1"/>
    </xf>
    <xf numFmtId="3" fontId="2" fillId="13" borderId="0" xfId="0" applyNumberFormat="1" applyFont="1" applyFill="1" applyAlignment="1">
      <alignment horizontal="left" vertical="top" wrapText="1"/>
    </xf>
    <xf numFmtId="2" fontId="2" fillId="13" borderId="0" xfId="0" applyNumberFormat="1" applyFont="1" applyFill="1" applyAlignment="1">
      <alignment horizontal="left" vertical="top" wrapText="1"/>
    </xf>
    <xf numFmtId="0" fontId="5" fillId="13" borderId="0" xfId="0" applyFont="1" applyFill="1" applyAlignment="1">
      <alignment vertical="top" wrapText="1"/>
    </xf>
    <xf numFmtId="0" fontId="5" fillId="13" borderId="0" xfId="0" applyFont="1" applyFill="1" applyAlignment="1">
      <alignment vertical="top"/>
    </xf>
    <xf numFmtId="0" fontId="2" fillId="13" borderId="0" xfId="0" applyFont="1" applyFill="1" applyAlignment="1">
      <alignment vertical="top"/>
    </xf>
    <xf numFmtId="49" fontId="5" fillId="5" borderId="0" xfId="0" applyNumberFormat="1" applyFont="1" applyFill="1" applyAlignment="1">
      <alignment horizontal="left" vertical="top"/>
    </xf>
    <xf numFmtId="49" fontId="5" fillId="7" borderId="0" xfId="0" applyNumberFormat="1" applyFont="1" applyFill="1" applyAlignment="1">
      <alignment horizontal="left" vertical="top"/>
    </xf>
    <xf numFmtId="49" fontId="5" fillId="9" borderId="0" xfId="0" applyNumberFormat="1" applyFont="1" applyFill="1" applyAlignment="1">
      <alignment horizontal="left" vertical="top"/>
    </xf>
    <xf numFmtId="1" fontId="5" fillId="9" borderId="0" xfId="0" applyNumberFormat="1" applyFont="1" applyFill="1" applyAlignment="1">
      <alignment horizontal="left" vertical="top"/>
    </xf>
    <xf numFmtId="0" fontId="5" fillId="14" borderId="0" xfId="0" applyFont="1" applyFill="1" applyAlignment="1">
      <alignment horizontal="left" vertical="top"/>
    </xf>
    <xf numFmtId="0" fontId="5" fillId="14" borderId="0" xfId="0" applyFont="1" applyFill="1" applyAlignment="1">
      <alignment horizontal="left" vertical="top" wrapText="1"/>
    </xf>
    <xf numFmtId="14" fontId="5" fillId="14" borderId="0" xfId="0" applyNumberFormat="1" applyFont="1" applyFill="1" applyAlignment="1">
      <alignment horizontal="left" vertical="top" wrapText="1"/>
    </xf>
    <xf numFmtId="3" fontId="5" fillId="14" borderId="0" xfId="0" applyNumberFormat="1" applyFont="1" applyFill="1" applyAlignment="1">
      <alignment horizontal="left" vertical="top"/>
    </xf>
    <xf numFmtId="3" fontId="5" fillId="14" borderId="0" xfId="0" applyNumberFormat="1" applyFont="1" applyFill="1" applyAlignment="1">
      <alignment horizontal="left" vertical="top" wrapText="1"/>
    </xf>
    <xf numFmtId="2" fontId="5" fillId="14" borderId="0" xfId="0" applyNumberFormat="1" applyFont="1" applyFill="1" applyAlignment="1">
      <alignment horizontal="left" vertical="top"/>
    </xf>
    <xf numFmtId="2" fontId="5" fillId="14" borderId="0" xfId="0" applyNumberFormat="1" applyFont="1" applyFill="1" applyAlignment="1">
      <alignment horizontal="left" vertical="top" wrapText="1"/>
    </xf>
    <xf numFmtId="0" fontId="5" fillId="14" borderId="0" xfId="0" applyFont="1" applyFill="1" applyAlignment="1">
      <alignment vertical="top" wrapText="1"/>
    </xf>
    <xf numFmtId="0" fontId="5" fillId="14" borderId="0" xfId="0" applyFont="1" applyFill="1" applyAlignment="1">
      <alignment vertical="top"/>
    </xf>
    <xf numFmtId="0" fontId="4" fillId="5" borderId="0" xfId="0" applyFont="1" applyFill="1" applyAlignment="1">
      <alignment horizontal="left" vertical="top" wrapText="1"/>
    </xf>
    <xf numFmtId="49" fontId="5" fillId="6" borderId="0" xfId="0" applyNumberFormat="1" applyFont="1" applyFill="1" applyAlignment="1">
      <alignment horizontal="left" vertical="top"/>
    </xf>
    <xf numFmtId="14" fontId="5" fillId="10" borderId="0" xfId="0" applyNumberFormat="1" applyFont="1" applyFill="1" applyAlignment="1">
      <alignment horizontal="left" vertical="top" wrapText="1"/>
    </xf>
    <xf numFmtId="2" fontId="5" fillId="10" borderId="0" xfId="0" applyNumberFormat="1" applyFont="1" applyFill="1" applyAlignment="1">
      <alignment horizontal="left" vertical="top" wrapText="1"/>
    </xf>
    <xf numFmtId="14" fontId="5" fillId="9" borderId="0" xfId="0" applyNumberFormat="1" applyFont="1" applyFill="1" applyAlignment="1">
      <alignment horizontal="left" vertical="top" wrapText="1"/>
    </xf>
    <xf numFmtId="2" fontId="5" fillId="9" borderId="0" xfId="0" applyNumberFormat="1" applyFont="1" applyFill="1" applyAlignment="1">
      <alignment horizontal="left" vertical="top" wrapText="1"/>
    </xf>
    <xf numFmtId="168" fontId="5" fillId="0" borderId="0" xfId="0" applyNumberFormat="1" applyFont="1" applyAlignment="1">
      <alignment horizontal="left" vertical="top"/>
    </xf>
    <xf numFmtId="168" fontId="5" fillId="3" borderId="0" xfId="0" applyNumberFormat="1" applyFont="1" applyFill="1" applyAlignment="1">
      <alignment horizontal="left" vertical="top"/>
    </xf>
    <xf numFmtId="0" fontId="9" fillId="3" borderId="0" xfId="0" applyFont="1" applyFill="1" applyAlignment="1">
      <alignment horizontal="left" vertical="top" wrapText="1"/>
    </xf>
    <xf numFmtId="1" fontId="5" fillId="3" borderId="0" xfId="0" applyNumberFormat="1" applyFont="1" applyFill="1" applyAlignment="1">
      <alignment horizontal="left" vertical="top"/>
    </xf>
    <xf numFmtId="4" fontId="5" fillId="3" borderId="0" xfId="0" applyNumberFormat="1" applyFont="1" applyFill="1" applyAlignment="1">
      <alignment horizontal="left" vertical="top"/>
    </xf>
    <xf numFmtId="168" fontId="5" fillId="5" borderId="0" xfId="0" applyNumberFormat="1" applyFont="1" applyFill="1" applyAlignment="1">
      <alignment horizontal="left" vertical="top"/>
    </xf>
    <xf numFmtId="167" fontId="5" fillId="5" borderId="0" xfId="0" applyNumberFormat="1" applyFont="1" applyFill="1" applyAlignment="1">
      <alignment horizontal="left" vertical="top"/>
    </xf>
    <xf numFmtId="168" fontId="5" fillId="6" borderId="0" xfId="0" applyNumberFormat="1" applyFont="1" applyFill="1" applyAlignment="1">
      <alignment horizontal="left" vertical="top"/>
    </xf>
    <xf numFmtId="167" fontId="5" fillId="6" borderId="0" xfId="0" applyNumberFormat="1" applyFont="1" applyFill="1" applyAlignment="1">
      <alignment horizontal="left" vertical="top"/>
    </xf>
    <xf numFmtId="0" fontId="2" fillId="9" borderId="0" xfId="0" applyFont="1" applyFill="1" applyAlignment="1">
      <alignment horizontal="left" vertical="top"/>
    </xf>
    <xf numFmtId="0" fontId="9" fillId="9" borderId="0" xfId="0" applyFont="1" applyFill="1" applyAlignment="1">
      <alignment horizontal="left" vertical="top" wrapText="1"/>
    </xf>
    <xf numFmtId="3" fontId="2" fillId="9" borderId="0" xfId="0" applyNumberFormat="1" applyFont="1" applyFill="1" applyAlignment="1">
      <alignment horizontal="left" vertical="top" wrapText="1"/>
    </xf>
    <xf numFmtId="4" fontId="5" fillId="9" borderId="0" xfId="0" applyNumberFormat="1" applyFont="1" applyFill="1" applyAlignment="1">
      <alignment horizontal="left" vertical="top"/>
    </xf>
    <xf numFmtId="2" fontId="2" fillId="9" borderId="0" xfId="0" applyNumberFormat="1" applyFont="1" applyFill="1" applyAlignment="1">
      <alignment horizontal="left" vertical="top" wrapText="1"/>
    </xf>
    <xf numFmtId="0" fontId="2" fillId="9" borderId="0" xfId="0" applyFont="1" applyFill="1" applyAlignment="1">
      <alignment vertical="top"/>
    </xf>
    <xf numFmtId="0" fontId="2" fillId="10" borderId="0" xfId="0" applyFont="1" applyFill="1" applyAlignment="1">
      <alignment horizontal="left" vertical="top"/>
    </xf>
    <xf numFmtId="14" fontId="5" fillId="10" borderId="0" xfId="0" applyNumberFormat="1" applyFont="1" applyFill="1" applyAlignment="1">
      <alignment horizontal="left" vertical="top"/>
    </xf>
    <xf numFmtId="0" fontId="9" fillId="10" borderId="0" xfId="0" applyFont="1" applyFill="1" applyAlignment="1">
      <alignment horizontal="left" vertical="top" wrapText="1"/>
    </xf>
    <xf numFmtId="3" fontId="2" fillId="10" borderId="0" xfId="0" applyNumberFormat="1" applyFont="1" applyFill="1" applyAlignment="1">
      <alignment horizontal="left" vertical="top" wrapText="1"/>
    </xf>
    <xf numFmtId="4" fontId="5" fillId="10" borderId="0" xfId="0" applyNumberFormat="1" applyFont="1" applyFill="1" applyAlignment="1">
      <alignment horizontal="left" vertical="top"/>
    </xf>
    <xf numFmtId="2" fontId="2" fillId="10" borderId="0" xfId="0" applyNumberFormat="1" applyFont="1" applyFill="1" applyAlignment="1">
      <alignment horizontal="left" vertical="top" wrapText="1"/>
    </xf>
    <xf numFmtId="0" fontId="2" fillId="10" borderId="0" xfId="0" applyFont="1" applyFill="1" applyAlignment="1">
      <alignment vertical="top"/>
    </xf>
    <xf numFmtId="0" fontId="9" fillId="6" borderId="0" xfId="0" applyFont="1" applyFill="1" applyAlignment="1">
      <alignment horizontal="left" vertical="top" wrapText="1"/>
    </xf>
    <xf numFmtId="0" fontId="9" fillId="5" borderId="0" xfId="0" applyFont="1" applyFill="1" applyAlignment="1">
      <alignment horizontal="left" vertical="top" wrapText="1"/>
    </xf>
    <xf numFmtId="165" fontId="5" fillId="12" borderId="0" xfId="0" applyNumberFormat="1" applyFont="1" applyFill="1" applyAlignment="1">
      <alignment horizontal="left" vertical="top"/>
    </xf>
    <xf numFmtId="165" fontId="5" fillId="13" borderId="0" xfId="0" applyNumberFormat="1" applyFont="1" applyFill="1" applyAlignment="1">
      <alignment horizontal="left" vertical="top"/>
    </xf>
    <xf numFmtId="0" fontId="9" fillId="14" borderId="0" xfId="0" applyFont="1" applyFill="1" applyAlignment="1">
      <alignment horizontal="left" vertical="top" wrapText="1"/>
    </xf>
    <xf numFmtId="49" fontId="5" fillId="14" borderId="0" xfId="0" applyNumberFormat="1" applyFont="1" applyFill="1" applyAlignment="1">
      <alignment horizontal="left" vertical="top" wrapText="1"/>
    </xf>
    <xf numFmtId="165" fontId="5" fillId="6" borderId="0" xfId="0" applyNumberFormat="1" applyFont="1" applyFill="1" applyAlignment="1">
      <alignment horizontal="left" vertical="top" wrapText="1"/>
    </xf>
    <xf numFmtId="14" fontId="5" fillId="12" borderId="0" xfId="0" applyNumberFormat="1" applyFont="1" applyFill="1" applyAlignment="1">
      <alignment horizontal="left" vertical="top" wrapText="1"/>
    </xf>
    <xf numFmtId="15" fontId="5" fillId="10" borderId="0" xfId="0" applyNumberFormat="1" applyFont="1" applyFill="1" applyAlignment="1">
      <alignment horizontal="left" vertical="top"/>
    </xf>
    <xf numFmtId="15" fontId="5" fillId="10" borderId="0" xfId="0" applyNumberFormat="1" applyFont="1" applyFill="1" applyAlignment="1">
      <alignment horizontal="left" vertical="top" wrapText="1"/>
    </xf>
    <xf numFmtId="164" fontId="5" fillId="10" borderId="0" xfId="0" applyNumberFormat="1" applyFont="1" applyFill="1" applyAlignment="1">
      <alignment horizontal="left" vertical="top"/>
    </xf>
    <xf numFmtId="0" fontId="5" fillId="10" borderId="0" xfId="0" applyFont="1" applyFill="1"/>
    <xf numFmtId="49" fontId="5" fillId="12" borderId="0" xfId="0" applyNumberFormat="1" applyFont="1" applyFill="1" applyAlignment="1">
      <alignment horizontal="left" vertical="top" wrapText="1"/>
    </xf>
    <xf numFmtId="49" fontId="5" fillId="13" borderId="0" xfId="0" applyNumberFormat="1" applyFont="1" applyFill="1" applyAlignment="1">
      <alignment horizontal="left" vertical="top" wrapText="1"/>
    </xf>
    <xf numFmtId="14" fontId="5" fillId="8" borderId="0" xfId="0" applyNumberFormat="1" applyFont="1" applyFill="1" applyAlignment="1">
      <alignment horizontal="left" vertical="top"/>
    </xf>
    <xf numFmtId="14" fontId="5" fillId="13" borderId="0" xfId="0" applyNumberFormat="1" applyFont="1" applyFill="1" applyAlignment="1">
      <alignment horizontal="left" vertical="top" wrapText="1"/>
    </xf>
    <xf numFmtId="2" fontId="5" fillId="13" borderId="0" xfId="0" applyNumberFormat="1" applyFont="1" applyFill="1" applyAlignment="1">
      <alignment horizontal="left" vertical="top" wrapText="1"/>
    </xf>
    <xf numFmtId="2" fontId="5" fillId="12" borderId="0" xfId="0" applyNumberFormat="1" applyFont="1" applyFill="1" applyAlignment="1">
      <alignment horizontal="left" vertical="top" wrapText="1"/>
    </xf>
    <xf numFmtId="0" fontId="5" fillId="15" borderId="0" xfId="0" applyFont="1" applyFill="1" applyAlignment="1">
      <alignment horizontal="left" vertical="top" wrapText="1"/>
    </xf>
    <xf numFmtId="0" fontId="17" fillId="0" borderId="0" xfId="0" applyFont="1" applyAlignment="1">
      <alignment horizontal="left" vertical="top"/>
    </xf>
    <xf numFmtId="0" fontId="17" fillId="0" borderId="0" xfId="0" applyFont="1" applyAlignment="1">
      <alignment horizontal="left" vertical="top" wrapText="1"/>
    </xf>
    <xf numFmtId="15" fontId="17" fillId="0" borderId="0" xfId="0" applyNumberFormat="1" applyFont="1" applyAlignment="1">
      <alignment horizontal="left" vertical="top" wrapText="1"/>
    </xf>
    <xf numFmtId="14" fontId="17" fillId="0" borderId="0" xfId="0" applyNumberFormat="1" applyFont="1" applyAlignment="1">
      <alignment horizontal="left" vertical="top"/>
    </xf>
    <xf numFmtId="0" fontId="19" fillId="0" borderId="0" xfId="0" applyFont="1" applyAlignment="1">
      <alignment horizontal="left" vertical="top" wrapText="1"/>
    </xf>
    <xf numFmtId="3" fontId="17" fillId="0" borderId="0" xfId="0" applyNumberFormat="1" applyFont="1" applyAlignment="1">
      <alignment horizontal="left" vertical="top"/>
    </xf>
    <xf numFmtId="3" fontId="17" fillId="0" borderId="0" xfId="0" applyNumberFormat="1" applyFont="1" applyAlignment="1">
      <alignment horizontal="left" vertical="top" wrapText="1"/>
    </xf>
    <xf numFmtId="3" fontId="19" fillId="0" borderId="0" xfId="0" applyNumberFormat="1" applyFont="1" applyAlignment="1">
      <alignment horizontal="left" vertical="top"/>
    </xf>
    <xf numFmtId="3" fontId="19" fillId="0" borderId="0" xfId="0" applyNumberFormat="1" applyFont="1" applyAlignment="1">
      <alignment horizontal="left" vertical="top" wrapText="1"/>
    </xf>
    <xf numFmtId="2" fontId="19" fillId="0" borderId="0" xfId="0" applyNumberFormat="1" applyFont="1" applyAlignment="1">
      <alignment horizontal="left" vertical="top"/>
    </xf>
    <xf numFmtId="0" fontId="19" fillId="0" borderId="0" xfId="0" applyFont="1" applyAlignment="1">
      <alignment horizontal="left" vertical="top"/>
    </xf>
    <xf numFmtId="0" fontId="17" fillId="0" borderId="0" xfId="0" applyFont="1"/>
    <xf numFmtId="2" fontId="17" fillId="0" borderId="0" xfId="0" applyNumberFormat="1" applyFont="1" applyAlignment="1">
      <alignment horizontal="left" vertical="top"/>
    </xf>
    <xf numFmtId="15" fontId="19" fillId="0" borderId="0" xfId="0" applyNumberFormat="1" applyFont="1" applyAlignment="1">
      <alignment horizontal="left" vertical="top" wrapText="1"/>
    </xf>
    <xf numFmtId="0" fontId="20" fillId="0" borderId="0" xfId="0" applyFont="1" applyAlignment="1">
      <alignment horizontal="left" vertical="top" wrapText="1"/>
    </xf>
    <xf numFmtId="3" fontId="7" fillId="0" borderId="0" xfId="0" applyNumberFormat="1" applyFont="1" applyAlignment="1">
      <alignment horizontal="left" vertical="top"/>
    </xf>
    <xf numFmtId="14" fontId="19" fillId="0" borderId="0" xfId="0" applyNumberFormat="1" applyFont="1" applyAlignment="1">
      <alignment horizontal="left" vertical="top"/>
    </xf>
    <xf numFmtId="0" fontId="7" fillId="0" borderId="0" xfId="0" applyFont="1" applyAlignment="1">
      <alignment horizontal="left" vertical="top" wrapText="1"/>
    </xf>
    <xf numFmtId="0" fontId="7" fillId="0" borderId="0" xfId="0" applyFont="1"/>
    <xf numFmtId="0" fontId="7" fillId="15" borderId="0" xfId="0" applyFont="1" applyFill="1"/>
    <xf numFmtId="165" fontId="17" fillId="0" borderId="0" xfId="0" applyNumberFormat="1" applyFont="1" applyAlignment="1">
      <alignment horizontal="left" vertical="top"/>
    </xf>
    <xf numFmtId="165" fontId="19" fillId="0" borderId="0" xfId="0" applyNumberFormat="1" applyFont="1" applyAlignment="1">
      <alignment horizontal="left" vertical="top"/>
    </xf>
    <xf numFmtId="164" fontId="19" fillId="0" borderId="0" xfId="0" applyNumberFormat="1" applyFont="1" applyAlignment="1">
      <alignment horizontal="left" vertical="top"/>
    </xf>
    <xf numFmtId="15" fontId="17" fillId="0" borderId="0" xfId="0" applyNumberFormat="1" applyFont="1" applyAlignment="1">
      <alignment horizontal="left" vertical="top"/>
    </xf>
    <xf numFmtId="164" fontId="17" fillId="0" borderId="0" xfId="0" applyNumberFormat="1" applyFont="1" applyAlignment="1">
      <alignment horizontal="left" vertical="top"/>
    </xf>
    <xf numFmtId="15" fontId="19" fillId="0" borderId="0" xfId="0" applyNumberFormat="1" applyFont="1" applyAlignment="1">
      <alignment horizontal="left" vertical="top"/>
    </xf>
    <xf numFmtId="0" fontId="19" fillId="0" borderId="0" xfId="0" applyFont="1" applyAlignment="1">
      <alignment vertical="top" wrapText="1"/>
    </xf>
    <xf numFmtId="0" fontId="19" fillId="0" borderId="0" xfId="0" applyFont="1" applyAlignment="1">
      <alignment vertical="top"/>
    </xf>
    <xf numFmtId="49" fontId="19" fillId="0" borderId="0" xfId="0" applyNumberFormat="1" applyFont="1" applyAlignment="1">
      <alignment horizontal="left" vertical="top" wrapText="1"/>
    </xf>
    <xf numFmtId="169" fontId="7" fillId="0" borderId="0" xfId="0" applyNumberFormat="1" applyFont="1" applyAlignment="1">
      <alignment horizontal="left" vertical="top"/>
    </xf>
    <xf numFmtId="169" fontId="19" fillId="0" borderId="0" xfId="0" applyNumberFormat="1" applyFont="1" applyAlignment="1">
      <alignment horizontal="left" vertical="top"/>
    </xf>
    <xf numFmtId="164" fontId="17" fillId="0" borderId="0" xfId="1" applyNumberFormat="1" applyFont="1" applyAlignment="1">
      <alignment horizontal="left" vertical="top"/>
    </xf>
    <xf numFmtId="166" fontId="19" fillId="0" borderId="0" xfId="1" applyNumberFormat="1" applyFont="1" applyFill="1" applyAlignment="1">
      <alignment horizontal="left" vertical="top"/>
    </xf>
    <xf numFmtId="0" fontId="19" fillId="0" borderId="0" xfId="0" applyFont="1" applyAlignment="1">
      <alignment horizontal="center" vertical="top" wrapText="1"/>
    </xf>
    <xf numFmtId="1" fontId="19" fillId="0" borderId="0" xfId="0" applyNumberFormat="1" applyFont="1" applyAlignment="1">
      <alignment horizontal="left" vertical="top"/>
    </xf>
    <xf numFmtId="164" fontId="19" fillId="0" borderId="0" xfId="1" applyNumberFormat="1" applyFont="1" applyFill="1" applyAlignment="1">
      <alignment horizontal="left" vertical="top"/>
    </xf>
    <xf numFmtId="14" fontId="19" fillId="0" borderId="0" xfId="0" applyNumberFormat="1" applyFont="1" applyAlignment="1">
      <alignment horizontal="left" vertical="top" wrapText="1"/>
    </xf>
    <xf numFmtId="0" fontId="7" fillId="0" borderId="0" xfId="0" applyFont="1" applyAlignment="1">
      <alignment horizontal="left" vertical="top"/>
    </xf>
    <xf numFmtId="2" fontId="19" fillId="0" borderId="0" xfId="1" applyNumberFormat="1" applyFont="1" applyAlignment="1">
      <alignment horizontal="left" vertical="top"/>
    </xf>
    <xf numFmtId="2" fontId="19" fillId="0" borderId="0" xfId="1" applyNumberFormat="1" applyFont="1" applyFill="1" applyAlignment="1">
      <alignment horizontal="left" vertical="top"/>
    </xf>
    <xf numFmtId="0" fontId="7" fillId="0" borderId="0" xfId="0" applyFont="1" applyAlignment="1">
      <alignment vertical="top" wrapText="1"/>
    </xf>
    <xf numFmtId="0" fontId="7" fillId="0" borderId="0" xfId="0" applyFont="1" applyAlignment="1">
      <alignment vertical="top"/>
    </xf>
    <xf numFmtId="0" fontId="19" fillId="0" borderId="0" xfId="0" applyFont="1" applyAlignment="1">
      <alignment horizontal="center" vertical="top"/>
    </xf>
    <xf numFmtId="0" fontId="16" fillId="0" borderId="0" xfId="0" applyFont="1" applyAlignment="1">
      <alignment horizontal="left"/>
    </xf>
    <xf numFmtId="0" fontId="16" fillId="0" borderId="0" xfId="0" applyFont="1"/>
    <xf numFmtId="0" fontId="28" fillId="0" borderId="0" xfId="0" applyFont="1" applyAlignment="1">
      <alignment horizontal="left" vertical="top"/>
    </xf>
    <xf numFmtId="0" fontId="28" fillId="0" borderId="0" xfId="0" applyFont="1" applyAlignment="1">
      <alignment horizontal="left"/>
    </xf>
    <xf numFmtId="0" fontId="28" fillId="0" borderId="0" xfId="0" applyFont="1"/>
    <xf numFmtId="49" fontId="19" fillId="0" borderId="0" xfId="0" applyNumberFormat="1" applyFont="1" applyAlignment="1">
      <alignment horizontal="left" vertical="top"/>
    </xf>
    <xf numFmtId="0" fontId="28" fillId="0" borderId="0" xfId="0" applyFont="1" applyAlignment="1">
      <alignment horizontal="left" vertical="top" wrapText="1"/>
    </xf>
    <xf numFmtId="1" fontId="19" fillId="0" borderId="0" xfId="0" applyNumberFormat="1" applyFont="1" applyAlignment="1">
      <alignment horizontal="left" vertical="top" wrapText="1"/>
    </xf>
    <xf numFmtId="0" fontId="17" fillId="0" borderId="0" xfId="0" applyFont="1" applyAlignment="1">
      <alignment vertical="top" wrapText="1"/>
    </xf>
    <xf numFmtId="0" fontId="17" fillId="0" borderId="0" xfId="0" applyFont="1" applyAlignment="1">
      <alignment vertical="top"/>
    </xf>
    <xf numFmtId="164" fontId="28" fillId="0" borderId="0" xfId="0" applyNumberFormat="1" applyFont="1" applyAlignment="1">
      <alignment horizontal="left" vertical="top"/>
    </xf>
    <xf numFmtId="4" fontId="19" fillId="0" borderId="0" xfId="0" applyNumberFormat="1" applyFont="1" applyAlignment="1">
      <alignment horizontal="left" vertical="top" wrapText="1"/>
    </xf>
    <xf numFmtId="169" fontId="19" fillId="0" borderId="0" xfId="0" applyNumberFormat="1" applyFont="1" applyAlignment="1">
      <alignment horizontal="left" vertical="top" wrapText="1"/>
    </xf>
    <xf numFmtId="2" fontId="19" fillId="0" borderId="0" xfId="0" applyNumberFormat="1" applyFont="1" applyAlignment="1">
      <alignment horizontal="left" vertical="top" wrapText="1"/>
    </xf>
    <xf numFmtId="0" fontId="0" fillId="0" borderId="0" xfId="0" applyAlignment="1">
      <alignment vertical="top"/>
    </xf>
    <xf numFmtId="17" fontId="28" fillId="0" borderId="0" xfId="0" applyNumberFormat="1" applyFont="1" applyAlignment="1">
      <alignment horizontal="left" vertical="top" wrapText="1"/>
    </xf>
    <xf numFmtId="17" fontId="19" fillId="0" borderId="0" xfId="0" applyNumberFormat="1" applyFont="1" applyAlignment="1">
      <alignment horizontal="left" vertical="top" wrapText="1"/>
    </xf>
    <xf numFmtId="0" fontId="6" fillId="0" borderId="0" xfId="0" applyFont="1" applyAlignment="1">
      <alignment horizontal="left" vertical="top" wrapText="1"/>
    </xf>
    <xf numFmtId="0" fontId="6" fillId="0" borderId="0" xfId="0" applyFont="1" applyAlignment="1">
      <alignment vertical="top" wrapText="1"/>
    </xf>
    <xf numFmtId="0" fontId="6" fillId="0" borderId="0" xfId="0" applyFont="1" applyAlignment="1">
      <alignment vertical="top"/>
    </xf>
    <xf numFmtId="0" fontId="3" fillId="0" borderId="0" xfId="0" applyFont="1" applyAlignment="1">
      <alignment vertical="top"/>
    </xf>
    <xf numFmtId="0" fontId="3" fillId="2" borderId="0" xfId="0" applyFont="1" applyFill="1" applyAlignment="1">
      <alignment vertical="top"/>
    </xf>
    <xf numFmtId="0" fontId="30" fillId="0" borderId="0" xfId="0" applyFont="1" applyAlignment="1">
      <alignment vertical="top" wrapText="1"/>
    </xf>
    <xf numFmtId="0" fontId="30" fillId="0" borderId="0" xfId="0" applyFont="1" applyAlignment="1">
      <alignment vertical="top"/>
    </xf>
    <xf numFmtId="1" fontId="5" fillId="13" borderId="0" xfId="0" applyNumberFormat="1" applyFont="1" applyFill="1" applyAlignment="1">
      <alignment horizontal="left" vertical="top"/>
    </xf>
    <xf numFmtId="0" fontId="5" fillId="15" borderId="0" xfId="0" applyFont="1" applyFill="1" applyAlignment="1">
      <alignment horizontal="left" vertical="top"/>
    </xf>
    <xf numFmtId="0" fontId="5" fillId="16" borderId="0" xfId="0" applyFont="1" applyFill="1" applyAlignment="1">
      <alignment horizontal="left" vertical="top"/>
    </xf>
    <xf numFmtId="0" fontId="5" fillId="16" borderId="0" xfId="0" applyFont="1" applyFill="1" applyAlignment="1">
      <alignment horizontal="left" vertical="top" wrapText="1"/>
    </xf>
    <xf numFmtId="0" fontId="5" fillId="16" borderId="0" xfId="0" applyFont="1" applyFill="1"/>
    <xf numFmtId="15" fontId="5" fillId="14" borderId="0" xfId="0" applyNumberFormat="1" applyFont="1" applyFill="1" applyAlignment="1">
      <alignment horizontal="left" vertical="top"/>
    </xf>
    <xf numFmtId="15" fontId="5" fillId="14" borderId="0" xfId="0" applyNumberFormat="1" applyFont="1" applyFill="1" applyAlignment="1">
      <alignment horizontal="left" vertical="top" wrapText="1"/>
    </xf>
    <xf numFmtId="165" fontId="5" fillId="14" borderId="0" xfId="0" applyNumberFormat="1" applyFont="1" applyFill="1" applyAlignment="1">
      <alignment horizontal="left" vertical="top"/>
    </xf>
    <xf numFmtId="164" fontId="5" fillId="14" borderId="0" xfId="0" applyNumberFormat="1" applyFont="1" applyFill="1" applyAlignment="1">
      <alignment horizontal="left" vertical="top"/>
    </xf>
    <xf numFmtId="0" fontId="5" fillId="14" borderId="0" xfId="0" applyFont="1" applyFill="1"/>
    <xf numFmtId="0" fontId="9" fillId="3" borderId="0" xfId="0" applyFont="1" applyFill="1" applyAlignment="1">
      <alignment horizontal="left" vertical="top"/>
    </xf>
    <xf numFmtId="165" fontId="5" fillId="3" borderId="0" xfId="0" applyNumberFormat="1" applyFont="1" applyFill="1" applyAlignment="1">
      <alignment horizontal="left" vertical="top" wrapText="1"/>
    </xf>
    <xf numFmtId="165" fontId="5" fillId="0" borderId="0" xfId="0" applyNumberFormat="1" applyFont="1" applyAlignment="1">
      <alignment horizontal="left" vertical="top" wrapText="1"/>
    </xf>
    <xf numFmtId="0" fontId="5" fillId="4" borderId="0" xfId="0" applyFont="1" applyFill="1" applyAlignment="1">
      <alignment horizontal="left" vertical="top"/>
    </xf>
    <xf numFmtId="14" fontId="5" fillId="4" borderId="0" xfId="0" applyNumberFormat="1" applyFont="1" applyFill="1" applyAlignment="1">
      <alignment horizontal="left" vertical="top" wrapText="1"/>
    </xf>
    <xf numFmtId="49" fontId="5" fillId="4" borderId="0" xfId="0" applyNumberFormat="1" applyFont="1" applyFill="1" applyAlignment="1">
      <alignment horizontal="left" vertical="top" wrapText="1"/>
    </xf>
    <xf numFmtId="3" fontId="5" fillId="4" borderId="0" xfId="0" applyNumberFormat="1" applyFont="1" applyFill="1" applyAlignment="1">
      <alignment horizontal="left" vertical="top" wrapText="1"/>
    </xf>
    <xf numFmtId="164" fontId="5" fillId="4" borderId="0" xfId="0" applyNumberFormat="1" applyFont="1" applyFill="1" applyAlignment="1">
      <alignment horizontal="left" vertical="top"/>
    </xf>
    <xf numFmtId="2" fontId="5" fillId="4" borderId="0" xfId="0" applyNumberFormat="1" applyFont="1" applyFill="1" applyAlignment="1">
      <alignment horizontal="left" vertical="top" wrapText="1"/>
    </xf>
    <xf numFmtId="0" fontId="5" fillId="4" borderId="0" xfId="0" applyFont="1" applyFill="1" applyAlignment="1">
      <alignment vertical="top" wrapText="1"/>
    </xf>
    <xf numFmtId="0" fontId="5" fillId="4" borderId="0" xfId="0" applyFont="1" applyFill="1" applyAlignment="1">
      <alignment vertical="top"/>
    </xf>
    <xf numFmtId="164" fontId="5" fillId="14" borderId="0" xfId="0" applyNumberFormat="1" applyFont="1" applyFill="1" applyAlignment="1">
      <alignment horizontal="left" vertical="top" wrapText="1"/>
    </xf>
    <xf numFmtId="164" fontId="5" fillId="9" borderId="0" xfId="0" applyNumberFormat="1" applyFont="1" applyFill="1" applyAlignment="1">
      <alignment horizontal="left" vertical="top" wrapText="1"/>
    </xf>
    <xf numFmtId="164" fontId="5" fillId="10" borderId="0" xfId="0" applyNumberFormat="1" applyFont="1" applyFill="1" applyAlignment="1">
      <alignment horizontal="left" vertical="top" wrapText="1"/>
    </xf>
    <xf numFmtId="3" fontId="5" fillId="15" borderId="0" xfId="0" applyNumberFormat="1" applyFont="1" applyFill="1" applyAlignment="1">
      <alignment horizontal="left" vertical="top"/>
    </xf>
    <xf numFmtId="4" fontId="5" fillId="3" borderId="0" xfId="0" applyNumberFormat="1" applyFont="1" applyFill="1" applyAlignment="1">
      <alignment horizontal="left" vertical="top" wrapText="1"/>
    </xf>
    <xf numFmtId="167" fontId="5" fillId="5" borderId="0" xfId="0" applyNumberFormat="1" applyFont="1" applyFill="1" applyAlignment="1">
      <alignment horizontal="left" vertical="top" wrapText="1"/>
    </xf>
    <xf numFmtId="167" fontId="5" fillId="6" borderId="0" xfId="0" applyNumberFormat="1" applyFont="1" applyFill="1" applyAlignment="1">
      <alignment horizontal="left" vertical="top" wrapText="1"/>
    </xf>
    <xf numFmtId="4" fontId="5" fillId="6" borderId="0" xfId="0" applyNumberFormat="1" applyFont="1" applyFill="1" applyAlignment="1">
      <alignment horizontal="left" vertical="top"/>
    </xf>
    <xf numFmtId="1" fontId="5" fillId="3" borderId="0" xfId="0" applyNumberFormat="1" applyFont="1" applyFill="1" applyAlignment="1">
      <alignment horizontal="left" vertical="top" wrapText="1"/>
    </xf>
    <xf numFmtId="1" fontId="5" fillId="5" borderId="0" xfId="0" applyNumberFormat="1" applyFont="1" applyFill="1" applyAlignment="1">
      <alignment horizontal="left" vertical="top" wrapText="1"/>
    </xf>
    <xf numFmtId="1" fontId="5" fillId="6" borderId="0" xfId="0" applyNumberFormat="1" applyFont="1" applyFill="1" applyAlignment="1">
      <alignment horizontal="left" vertical="top" wrapText="1"/>
    </xf>
    <xf numFmtId="1" fontId="5" fillId="7" borderId="0" xfId="0" applyNumberFormat="1" applyFont="1" applyFill="1" applyAlignment="1">
      <alignment horizontal="left" vertical="top" wrapText="1"/>
    </xf>
    <xf numFmtId="1" fontId="5" fillId="8" borderId="0" xfId="0" applyNumberFormat="1" applyFont="1" applyFill="1" applyAlignment="1">
      <alignment horizontal="left" vertical="top" wrapText="1"/>
    </xf>
    <xf numFmtId="9" fontId="5" fillId="8" borderId="0" xfId="0" applyNumberFormat="1" applyFont="1" applyFill="1" applyAlignment="1">
      <alignment horizontal="left" vertical="top"/>
    </xf>
    <xf numFmtId="0" fontId="9" fillId="8" borderId="0" xfId="0" applyFont="1" applyFill="1" applyAlignment="1">
      <alignment horizontal="left" vertical="top" wrapText="1"/>
    </xf>
    <xf numFmtId="0" fontId="9" fillId="7" borderId="0" xfId="0" applyFont="1" applyFill="1" applyAlignment="1">
      <alignment horizontal="left" vertical="top" wrapText="1"/>
    </xf>
    <xf numFmtId="167" fontId="5" fillId="3" borderId="0" xfId="0" applyNumberFormat="1" applyFont="1" applyFill="1" applyAlignment="1">
      <alignment horizontal="left" vertical="top"/>
    </xf>
    <xf numFmtId="14" fontId="5" fillId="14" borderId="0" xfId="0" applyNumberFormat="1" applyFont="1" applyFill="1" applyAlignment="1">
      <alignment horizontal="left" vertical="top"/>
    </xf>
    <xf numFmtId="167" fontId="5" fillId="14" borderId="0" xfId="0" applyNumberFormat="1" applyFont="1" applyFill="1" applyAlignment="1">
      <alignment horizontal="left" vertical="top"/>
    </xf>
    <xf numFmtId="1" fontId="5" fillId="14" borderId="0" xfId="0" applyNumberFormat="1" applyFont="1" applyFill="1" applyAlignment="1">
      <alignment horizontal="left" vertical="top"/>
    </xf>
    <xf numFmtId="1" fontId="5" fillId="12" borderId="0" xfId="0" applyNumberFormat="1" applyFont="1" applyFill="1" applyAlignment="1">
      <alignment horizontal="left" vertical="top"/>
    </xf>
    <xf numFmtId="0" fontId="5" fillId="17" borderId="0" xfId="0" applyFont="1" applyFill="1" applyAlignment="1">
      <alignment horizontal="left" vertical="top"/>
    </xf>
    <xf numFmtId="0" fontId="5" fillId="17" borderId="0" xfId="0" applyFont="1" applyFill="1" applyAlignment="1">
      <alignment horizontal="left" vertical="top" wrapText="1"/>
    </xf>
    <xf numFmtId="15" fontId="5" fillId="17" borderId="0" xfId="0" applyNumberFormat="1" applyFont="1" applyFill="1" applyAlignment="1">
      <alignment horizontal="left" vertical="top"/>
    </xf>
    <xf numFmtId="15" fontId="5" fillId="17" borderId="0" xfId="0" applyNumberFormat="1" applyFont="1" applyFill="1" applyAlignment="1">
      <alignment horizontal="left" vertical="top" wrapText="1"/>
    </xf>
    <xf numFmtId="14" fontId="5" fillId="17" borderId="0" xfId="0" applyNumberFormat="1" applyFont="1" applyFill="1" applyAlignment="1">
      <alignment horizontal="left" vertical="top"/>
    </xf>
    <xf numFmtId="3" fontId="5" fillId="17" borderId="0" xfId="0" applyNumberFormat="1" applyFont="1" applyFill="1" applyAlignment="1">
      <alignment horizontal="left" vertical="top"/>
    </xf>
    <xf numFmtId="3" fontId="5" fillId="17" borderId="0" xfId="0" applyNumberFormat="1" applyFont="1" applyFill="1" applyAlignment="1">
      <alignment horizontal="left" vertical="top" wrapText="1"/>
    </xf>
    <xf numFmtId="2" fontId="5" fillId="17" borderId="0" xfId="0" applyNumberFormat="1" applyFont="1" applyFill="1" applyAlignment="1">
      <alignment horizontal="left" vertical="top"/>
    </xf>
    <xf numFmtId="164" fontId="5" fillId="17" borderId="0" xfId="0" applyNumberFormat="1" applyFont="1" applyFill="1" applyAlignment="1">
      <alignment horizontal="left" vertical="top"/>
    </xf>
    <xf numFmtId="0" fontId="5" fillId="17" borderId="0" xfId="0" applyFont="1" applyFill="1"/>
    <xf numFmtId="165" fontId="5" fillId="17" borderId="0" xfId="0" applyNumberFormat="1" applyFont="1" applyFill="1" applyAlignment="1">
      <alignment horizontal="left" vertical="top"/>
    </xf>
    <xf numFmtId="0" fontId="5" fillId="18" borderId="0" xfId="0" applyFont="1" applyFill="1" applyAlignment="1">
      <alignment horizontal="left" vertical="top"/>
    </xf>
    <xf numFmtId="0" fontId="5" fillId="18" borderId="0" xfId="0" applyFont="1" applyFill="1" applyAlignment="1">
      <alignment horizontal="left" vertical="top" wrapText="1"/>
    </xf>
    <xf numFmtId="15" fontId="5" fillId="18" borderId="0" xfId="0" applyNumberFormat="1" applyFont="1" applyFill="1" applyAlignment="1">
      <alignment horizontal="left" vertical="top"/>
    </xf>
    <xf numFmtId="15" fontId="5" fillId="18" borderId="0" xfId="0" applyNumberFormat="1" applyFont="1" applyFill="1" applyAlignment="1">
      <alignment horizontal="left" vertical="top" wrapText="1"/>
    </xf>
    <xf numFmtId="14" fontId="5" fillId="18" borderId="0" xfId="0" applyNumberFormat="1" applyFont="1" applyFill="1" applyAlignment="1">
      <alignment horizontal="left" vertical="top"/>
    </xf>
    <xf numFmtId="3" fontId="5" fillId="18" borderId="0" xfId="0" applyNumberFormat="1" applyFont="1" applyFill="1" applyAlignment="1">
      <alignment horizontal="left" vertical="top"/>
    </xf>
    <xf numFmtId="3" fontId="5" fillId="18" borderId="0" xfId="0" applyNumberFormat="1" applyFont="1" applyFill="1" applyAlignment="1">
      <alignment horizontal="left" vertical="top" wrapText="1"/>
    </xf>
    <xf numFmtId="2" fontId="5" fillId="18" borderId="0" xfId="0" applyNumberFormat="1" applyFont="1" applyFill="1" applyAlignment="1">
      <alignment horizontal="left" vertical="top"/>
    </xf>
    <xf numFmtId="164" fontId="5" fillId="18" borderId="0" xfId="0" applyNumberFormat="1" applyFont="1" applyFill="1" applyAlignment="1">
      <alignment horizontal="left" vertical="top"/>
    </xf>
    <xf numFmtId="0" fontId="5" fillId="18" borderId="0" xfId="0" applyFont="1" applyFill="1"/>
    <xf numFmtId="1" fontId="5" fillId="7" borderId="0" xfId="0" applyNumberFormat="1" applyFont="1" applyFill="1" applyAlignment="1">
      <alignment horizontal="left" vertical="top"/>
    </xf>
    <xf numFmtId="1" fontId="5" fillId="8" borderId="0" xfId="0" applyNumberFormat="1" applyFont="1" applyFill="1" applyAlignment="1">
      <alignment horizontal="left" vertical="top"/>
    </xf>
    <xf numFmtId="49" fontId="5" fillId="8" borderId="0" xfId="0" applyNumberFormat="1" applyFont="1" applyFill="1" applyAlignment="1">
      <alignment horizontal="left" vertical="top"/>
    </xf>
    <xf numFmtId="3" fontId="2" fillId="14" borderId="0" xfId="0" applyNumberFormat="1" applyFont="1" applyFill="1" applyAlignment="1">
      <alignment horizontal="left" vertical="top" wrapText="1"/>
    </xf>
    <xf numFmtId="9" fontId="5" fillId="14" borderId="0" xfId="0" applyNumberFormat="1" applyFont="1" applyFill="1" applyAlignment="1">
      <alignment horizontal="left" vertical="top"/>
    </xf>
    <xf numFmtId="1" fontId="5" fillId="10" borderId="0" xfId="0" applyNumberFormat="1" applyFont="1" applyFill="1" applyAlignment="1">
      <alignment horizontal="left" vertical="top"/>
    </xf>
    <xf numFmtId="49" fontId="5" fillId="2" borderId="0" xfId="0" applyNumberFormat="1" applyFont="1" applyFill="1" applyAlignment="1">
      <alignment horizontal="left" vertical="top" wrapText="1"/>
    </xf>
    <xf numFmtId="3" fontId="2" fillId="3" borderId="0" xfId="0" applyNumberFormat="1" applyFont="1" applyFill="1" applyAlignment="1">
      <alignment horizontal="left" vertical="top"/>
    </xf>
    <xf numFmtId="0" fontId="5" fillId="19" borderId="0" xfId="0" applyFont="1" applyFill="1" applyAlignment="1">
      <alignment horizontal="left" vertical="top"/>
    </xf>
    <xf numFmtId="0" fontId="5" fillId="19" borderId="0" xfId="0" applyFont="1" applyFill="1" applyAlignment="1">
      <alignment horizontal="left" vertical="top" wrapText="1"/>
    </xf>
    <xf numFmtId="49" fontId="5" fillId="19" borderId="0" xfId="0" applyNumberFormat="1" applyFont="1" applyFill="1" applyAlignment="1">
      <alignment horizontal="left" vertical="top" wrapText="1"/>
    </xf>
    <xf numFmtId="3" fontId="5" fillId="19" borderId="0" xfId="0" applyNumberFormat="1" applyFont="1" applyFill="1" applyAlignment="1">
      <alignment horizontal="left" vertical="top"/>
    </xf>
    <xf numFmtId="3" fontId="2" fillId="19" borderId="0" xfId="0" applyNumberFormat="1" applyFont="1" applyFill="1" applyAlignment="1">
      <alignment horizontal="left" vertical="top" wrapText="1"/>
    </xf>
    <xf numFmtId="3" fontId="5" fillId="19" borderId="0" xfId="0" applyNumberFormat="1" applyFont="1" applyFill="1" applyAlignment="1">
      <alignment horizontal="left" vertical="top" wrapText="1"/>
    </xf>
    <xf numFmtId="2" fontId="5" fillId="19" borderId="0" xfId="0" applyNumberFormat="1" applyFont="1" applyFill="1" applyAlignment="1">
      <alignment horizontal="left" vertical="top"/>
    </xf>
    <xf numFmtId="2" fontId="5" fillId="19" borderId="0" xfId="0" applyNumberFormat="1" applyFont="1" applyFill="1" applyAlignment="1">
      <alignment horizontal="left" vertical="top" wrapText="1"/>
    </xf>
    <xf numFmtId="0" fontId="5" fillId="19" borderId="0" xfId="0" applyFont="1" applyFill="1" applyAlignment="1">
      <alignment vertical="top" wrapText="1"/>
    </xf>
    <xf numFmtId="0" fontId="5" fillId="19" borderId="0" xfId="0" applyFont="1" applyFill="1" applyAlignment="1">
      <alignment vertical="top"/>
    </xf>
    <xf numFmtId="165" fontId="5" fillId="14" borderId="0" xfId="0" applyNumberFormat="1" applyFont="1" applyFill="1" applyAlignment="1">
      <alignment horizontal="left" vertical="top" wrapText="1"/>
    </xf>
    <xf numFmtId="0" fontId="2" fillId="8" borderId="0" xfId="0" applyFont="1" applyFill="1" applyAlignment="1">
      <alignment horizontal="left" vertical="top" wrapText="1"/>
    </xf>
    <xf numFmtId="3" fontId="2" fillId="8" borderId="0" xfId="0" applyNumberFormat="1" applyFont="1" applyFill="1" applyAlignment="1">
      <alignment horizontal="left" vertical="top" wrapText="1"/>
    </xf>
    <xf numFmtId="0" fontId="9" fillId="7" borderId="0" xfId="0" applyFont="1" applyFill="1" applyAlignment="1">
      <alignment horizontal="left" vertical="top"/>
    </xf>
    <xf numFmtId="0" fontId="9" fillId="8" borderId="0" xfId="0" applyFont="1" applyFill="1" applyAlignment="1">
      <alignment horizontal="left" vertical="top"/>
    </xf>
    <xf numFmtId="0" fontId="9" fillId="9" borderId="0" xfId="0" applyFont="1" applyFill="1" applyAlignment="1">
      <alignment horizontal="left" vertical="top"/>
    </xf>
    <xf numFmtId="0" fontId="9" fillId="10" borderId="0" xfId="0" applyFont="1" applyFill="1" applyAlignment="1">
      <alignment horizontal="left" vertical="top"/>
    </xf>
    <xf numFmtId="49" fontId="9" fillId="5" borderId="0" xfId="0" applyNumberFormat="1" applyFont="1" applyFill="1" applyAlignment="1">
      <alignment horizontal="left" vertical="top" wrapText="1"/>
    </xf>
    <xf numFmtId="0" fontId="9" fillId="5" borderId="0" xfId="0" applyFont="1" applyFill="1" applyAlignment="1">
      <alignment horizontal="left" vertical="top"/>
    </xf>
    <xf numFmtId="16" fontId="5" fillId="9" borderId="0" xfId="0" applyNumberFormat="1" applyFont="1" applyFill="1" applyAlignment="1">
      <alignment horizontal="left" vertical="top" wrapText="1"/>
    </xf>
    <xf numFmtId="16" fontId="5" fillId="10" borderId="0" xfId="0" applyNumberFormat="1" applyFont="1" applyFill="1" applyAlignment="1">
      <alignment horizontal="left" vertical="top" wrapText="1"/>
    </xf>
    <xf numFmtId="15" fontId="5" fillId="4" borderId="0" xfId="0" applyNumberFormat="1" applyFont="1" applyFill="1" applyAlignment="1">
      <alignment horizontal="left" vertical="top"/>
    </xf>
    <xf numFmtId="15" fontId="5" fillId="4" borderId="0" xfId="0" applyNumberFormat="1" applyFont="1" applyFill="1" applyAlignment="1">
      <alignment horizontal="left" vertical="top" wrapText="1"/>
    </xf>
    <xf numFmtId="14" fontId="5" fillId="4" borderId="0" xfId="0" applyNumberFormat="1" applyFont="1" applyFill="1" applyAlignment="1">
      <alignment horizontal="left" vertical="top"/>
    </xf>
    <xf numFmtId="3" fontId="2" fillId="4" borderId="0" xfId="0" applyNumberFormat="1" applyFont="1" applyFill="1" applyAlignment="1">
      <alignment horizontal="left" vertical="top" wrapText="1"/>
    </xf>
    <xf numFmtId="165" fontId="5" fillId="4" borderId="0" xfId="0" applyNumberFormat="1" applyFont="1" applyFill="1" applyAlignment="1">
      <alignment horizontal="left" vertical="top"/>
    </xf>
    <xf numFmtId="2" fontId="5" fillId="4" borderId="0" xfId="0" applyNumberFormat="1" applyFont="1" applyFill="1" applyAlignment="1">
      <alignment horizontal="left" vertical="top"/>
    </xf>
    <xf numFmtId="0" fontId="5" fillId="4" borderId="0" xfId="0" applyFont="1" applyFill="1"/>
    <xf numFmtId="0" fontId="5" fillId="20" borderId="0" xfId="0" applyFont="1" applyFill="1" applyAlignment="1">
      <alignment horizontal="left" vertical="top"/>
    </xf>
    <xf numFmtId="0" fontId="5" fillId="20" borderId="0" xfId="0" applyFont="1" applyFill="1" applyAlignment="1">
      <alignment horizontal="left" vertical="top" wrapText="1"/>
    </xf>
    <xf numFmtId="15" fontId="5" fillId="20" borderId="0" xfId="0" applyNumberFormat="1" applyFont="1" applyFill="1" applyAlignment="1">
      <alignment horizontal="left" vertical="top"/>
    </xf>
    <xf numFmtId="15" fontId="5" fillId="20" borderId="0" xfId="0" applyNumberFormat="1" applyFont="1" applyFill="1" applyAlignment="1">
      <alignment horizontal="left" vertical="top" wrapText="1"/>
    </xf>
    <xf numFmtId="14" fontId="5" fillId="20" borderId="0" xfId="0" applyNumberFormat="1" applyFont="1" applyFill="1" applyAlignment="1">
      <alignment horizontal="left" vertical="top"/>
    </xf>
    <xf numFmtId="3" fontId="5" fillId="20" borderId="0" xfId="0" applyNumberFormat="1" applyFont="1" applyFill="1" applyAlignment="1">
      <alignment horizontal="left" vertical="top"/>
    </xf>
    <xf numFmtId="3" fontId="5" fillId="20" borderId="0" xfId="0" applyNumberFormat="1" applyFont="1" applyFill="1" applyAlignment="1">
      <alignment horizontal="left" vertical="top" wrapText="1"/>
    </xf>
    <xf numFmtId="2" fontId="5" fillId="20" borderId="0" xfId="0" applyNumberFormat="1" applyFont="1" applyFill="1" applyAlignment="1">
      <alignment horizontal="left" vertical="top"/>
    </xf>
    <xf numFmtId="164" fontId="5" fillId="20" borderId="0" xfId="0" applyNumberFormat="1" applyFont="1" applyFill="1" applyAlignment="1">
      <alignment horizontal="left" vertical="top"/>
    </xf>
    <xf numFmtId="0" fontId="5" fillId="20" borderId="0" xfId="0" applyFont="1" applyFill="1"/>
    <xf numFmtId="165" fontId="5" fillId="20" borderId="0" xfId="0" applyNumberFormat="1" applyFont="1" applyFill="1" applyAlignment="1">
      <alignment horizontal="left" vertical="top"/>
    </xf>
    <xf numFmtId="0" fontId="2" fillId="0" borderId="0" xfId="0" applyFont="1" applyAlignment="1">
      <alignment vertical="top" wrapText="1"/>
    </xf>
    <xf numFmtId="3" fontId="5" fillId="21" borderId="0" xfId="0" applyNumberFormat="1" applyFont="1" applyFill="1" applyAlignment="1">
      <alignment horizontal="left" vertical="top" wrapText="1"/>
    </xf>
    <xf numFmtId="0" fontId="6" fillId="2" borderId="1" xfId="0" applyFont="1" applyFill="1" applyBorder="1" applyAlignment="1">
      <alignment vertical="top" wrapText="1"/>
    </xf>
    <xf numFmtId="0" fontId="35" fillId="0" borderId="0" xfId="0" applyFont="1" applyAlignment="1">
      <alignment vertical="top" wrapText="1"/>
    </xf>
    <xf numFmtId="0" fontId="35" fillId="0" borderId="0" xfId="0" applyFont="1" applyAlignment="1">
      <alignment vertical="top"/>
    </xf>
    <xf numFmtId="0" fontId="35" fillId="3" borderId="0" xfId="0" applyFont="1" applyFill="1" applyAlignment="1">
      <alignment vertical="top" wrapText="1"/>
    </xf>
    <xf numFmtId="0" fontId="35" fillId="3" borderId="0" xfId="0" applyFont="1" applyFill="1" applyAlignment="1">
      <alignment vertical="top"/>
    </xf>
    <xf numFmtId="0" fontId="35" fillId="5" borderId="0" xfId="0" applyFont="1" applyFill="1" applyAlignment="1">
      <alignment vertical="top" wrapText="1"/>
    </xf>
    <xf numFmtId="0" fontId="35" fillId="5" borderId="0" xfId="0" applyFont="1" applyFill="1" applyAlignment="1">
      <alignment vertical="top"/>
    </xf>
    <xf numFmtId="0" fontId="35" fillId="6" borderId="0" xfId="0" applyFont="1" applyFill="1" applyAlignment="1">
      <alignment vertical="top" wrapText="1"/>
    </xf>
    <xf numFmtId="0" fontId="35" fillId="6" borderId="0" xfId="0" applyFont="1" applyFill="1" applyAlignment="1">
      <alignment vertical="top"/>
    </xf>
    <xf numFmtId="0" fontId="35" fillId="7" borderId="0" xfId="0" applyFont="1" applyFill="1" applyAlignment="1">
      <alignment vertical="top" wrapText="1"/>
    </xf>
    <xf numFmtId="0" fontId="35" fillId="7" borderId="0" xfId="0" applyFont="1" applyFill="1" applyAlignment="1">
      <alignment vertical="top"/>
    </xf>
    <xf numFmtId="0" fontId="35" fillId="11" borderId="0" xfId="0" applyFont="1" applyFill="1" applyAlignment="1">
      <alignment vertical="top" wrapText="1"/>
    </xf>
    <xf numFmtId="0" fontId="35" fillId="11" borderId="0" xfId="0" applyFont="1" applyFill="1" applyAlignment="1">
      <alignment vertical="top"/>
    </xf>
    <xf numFmtId="0" fontId="35" fillId="2" borderId="0" xfId="0" applyFont="1" applyFill="1" applyAlignment="1">
      <alignment vertical="top" wrapText="1"/>
    </xf>
    <xf numFmtId="0" fontId="35" fillId="2" borderId="0" xfId="0" applyFont="1" applyFill="1" applyAlignment="1">
      <alignment vertical="top"/>
    </xf>
    <xf numFmtId="0" fontId="35" fillId="9" borderId="0" xfId="0" applyFont="1" applyFill="1" applyAlignment="1">
      <alignment vertical="top" wrapText="1"/>
    </xf>
    <xf numFmtId="0" fontId="35" fillId="9" borderId="0" xfId="0" applyFont="1" applyFill="1" applyAlignment="1">
      <alignment vertical="top"/>
    </xf>
    <xf numFmtId="0" fontId="35" fillId="10" borderId="0" xfId="0" applyFont="1" applyFill="1" applyAlignment="1">
      <alignment vertical="top" wrapText="1"/>
    </xf>
    <xf numFmtId="0" fontId="35" fillId="10" borderId="0" xfId="0" applyFont="1" applyFill="1" applyAlignment="1">
      <alignment vertical="top"/>
    </xf>
    <xf numFmtId="0" fontId="37" fillId="0" borderId="0" xfId="0" applyFont="1" applyAlignment="1">
      <alignment horizontal="left" vertical="top"/>
    </xf>
    <xf numFmtId="0" fontId="37" fillId="0" borderId="0" xfId="0" applyFont="1" applyAlignment="1">
      <alignment horizontal="left" vertical="top" wrapText="1"/>
    </xf>
    <xf numFmtId="15" fontId="37" fillId="0" borderId="0" xfId="0" applyNumberFormat="1" applyFont="1" applyAlignment="1">
      <alignment horizontal="left" vertical="top"/>
    </xf>
    <xf numFmtId="15" fontId="37" fillId="0" borderId="0" xfId="0" applyNumberFormat="1" applyFont="1" applyAlignment="1">
      <alignment horizontal="left" vertical="top" wrapText="1"/>
    </xf>
    <xf numFmtId="14" fontId="37" fillId="0" borderId="0" xfId="0" applyNumberFormat="1" applyFont="1" applyAlignment="1">
      <alignment horizontal="left" vertical="top"/>
    </xf>
    <xf numFmtId="3" fontId="37" fillId="0" borderId="0" xfId="0" applyNumberFormat="1" applyFont="1" applyAlignment="1">
      <alignment horizontal="left" vertical="top"/>
    </xf>
    <xf numFmtId="3" fontId="37" fillId="0" borderId="0" xfId="0" applyNumberFormat="1" applyFont="1" applyAlignment="1">
      <alignment horizontal="left" vertical="top" wrapText="1"/>
    </xf>
    <xf numFmtId="168" fontId="37" fillId="0" borderId="0" xfId="0" applyNumberFormat="1" applyFont="1" applyAlignment="1">
      <alignment horizontal="left" vertical="top" wrapText="1"/>
    </xf>
    <xf numFmtId="2" fontId="37" fillId="0" borderId="0" xfId="0" applyNumberFormat="1" applyFont="1" applyAlignment="1">
      <alignment horizontal="left" vertical="top"/>
    </xf>
    <xf numFmtId="164" fontId="37" fillId="0" borderId="0" xfId="0" applyNumberFormat="1" applyFont="1" applyAlignment="1">
      <alignment horizontal="left" vertical="top"/>
    </xf>
    <xf numFmtId="0" fontId="37" fillId="3" borderId="0" xfId="0" applyFont="1" applyFill="1" applyAlignment="1">
      <alignment horizontal="left" vertical="top"/>
    </xf>
    <xf numFmtId="0" fontId="37" fillId="3" borderId="0" xfId="0" applyFont="1" applyFill="1" applyAlignment="1">
      <alignment horizontal="left" vertical="top" wrapText="1"/>
    </xf>
    <xf numFmtId="15" fontId="37" fillId="3" borderId="0" xfId="0" applyNumberFormat="1" applyFont="1" applyFill="1" applyAlignment="1">
      <alignment horizontal="left" vertical="top"/>
    </xf>
    <xf numFmtId="15" fontId="37" fillId="3" borderId="0" xfId="0" applyNumberFormat="1" applyFont="1" applyFill="1" applyAlignment="1">
      <alignment horizontal="left" vertical="top" wrapText="1"/>
    </xf>
    <xf numFmtId="14" fontId="37" fillId="3" borderId="0" xfId="0" applyNumberFormat="1" applyFont="1" applyFill="1" applyAlignment="1">
      <alignment horizontal="left" vertical="top"/>
    </xf>
    <xf numFmtId="3" fontId="37" fillId="3" borderId="0" xfId="0" applyNumberFormat="1" applyFont="1" applyFill="1" applyAlignment="1">
      <alignment horizontal="left" vertical="top"/>
    </xf>
    <xf numFmtId="3" fontId="37" fillId="3" borderId="0" xfId="0" applyNumberFormat="1" applyFont="1" applyFill="1" applyAlignment="1">
      <alignment horizontal="left" vertical="top" wrapText="1"/>
    </xf>
    <xf numFmtId="168" fontId="37" fillId="3" borderId="0" xfId="0" applyNumberFormat="1" applyFont="1" applyFill="1" applyAlignment="1">
      <alignment horizontal="left" vertical="top" wrapText="1"/>
    </xf>
    <xf numFmtId="164" fontId="37" fillId="3" borderId="0" xfId="0" applyNumberFormat="1" applyFont="1" applyFill="1" applyAlignment="1">
      <alignment horizontal="left" vertical="top"/>
    </xf>
    <xf numFmtId="2" fontId="37" fillId="3" borderId="0" xfId="0" applyNumberFormat="1" applyFont="1" applyFill="1" applyAlignment="1">
      <alignment horizontal="left" vertical="top"/>
    </xf>
    <xf numFmtId="1" fontId="37" fillId="0" borderId="0" xfId="0" applyNumberFormat="1" applyFont="1" applyAlignment="1">
      <alignment horizontal="left" vertical="top"/>
    </xf>
    <xf numFmtId="1" fontId="37" fillId="3" borderId="0" xfId="0" applyNumberFormat="1" applyFont="1" applyFill="1" applyAlignment="1">
      <alignment horizontal="left" vertical="top"/>
    </xf>
    <xf numFmtId="0" fontId="37" fillId="6" borderId="0" xfId="0" applyFont="1" applyFill="1" applyAlignment="1">
      <alignment horizontal="left" vertical="top"/>
    </xf>
    <xf numFmtId="0" fontId="37" fillId="6" borderId="0" xfId="0" applyFont="1" applyFill="1" applyAlignment="1">
      <alignment horizontal="left" vertical="top" wrapText="1"/>
    </xf>
    <xf numFmtId="15" fontId="37" fillId="6" borderId="0" xfId="0" applyNumberFormat="1" applyFont="1" applyFill="1" applyAlignment="1">
      <alignment horizontal="left" vertical="top"/>
    </xf>
    <xf numFmtId="15" fontId="37" fillId="6" borderId="0" xfId="0" applyNumberFormat="1" applyFont="1" applyFill="1" applyAlignment="1">
      <alignment horizontal="left" vertical="top" wrapText="1"/>
    </xf>
    <xf numFmtId="14" fontId="37" fillId="6" borderId="0" xfId="0" applyNumberFormat="1" applyFont="1" applyFill="1" applyAlignment="1">
      <alignment horizontal="left" vertical="top"/>
    </xf>
    <xf numFmtId="3" fontId="37" fillId="6" borderId="0" xfId="0" applyNumberFormat="1" applyFont="1" applyFill="1" applyAlignment="1">
      <alignment horizontal="left" vertical="top"/>
    </xf>
    <xf numFmtId="3" fontId="37" fillId="6" borderId="0" xfId="0" applyNumberFormat="1" applyFont="1" applyFill="1" applyAlignment="1">
      <alignment horizontal="left" vertical="top" wrapText="1"/>
    </xf>
    <xf numFmtId="168" fontId="37" fillId="6" borderId="0" xfId="0" applyNumberFormat="1" applyFont="1" applyFill="1" applyAlignment="1">
      <alignment horizontal="left" vertical="top"/>
    </xf>
    <xf numFmtId="2" fontId="37" fillId="6" borderId="0" xfId="0" applyNumberFormat="1" applyFont="1" applyFill="1" applyAlignment="1">
      <alignment horizontal="left" vertical="top"/>
    </xf>
    <xf numFmtId="164" fontId="37" fillId="6" borderId="0" xfId="0" applyNumberFormat="1" applyFont="1" applyFill="1" applyAlignment="1">
      <alignment horizontal="left" vertical="top"/>
    </xf>
    <xf numFmtId="0" fontId="37" fillId="5" borderId="0" xfId="0" applyFont="1" applyFill="1" applyAlignment="1">
      <alignment horizontal="left" vertical="top"/>
    </xf>
    <xf numFmtId="0" fontId="37" fillId="5" borderId="0" xfId="0" applyFont="1" applyFill="1" applyAlignment="1">
      <alignment horizontal="left" vertical="top" wrapText="1"/>
    </xf>
    <xf numFmtId="15" fontId="37" fillId="5" borderId="0" xfId="0" applyNumberFormat="1" applyFont="1" applyFill="1" applyAlignment="1">
      <alignment horizontal="left" vertical="top"/>
    </xf>
    <xf numFmtId="15" fontId="37" fillId="5" borderId="0" xfId="0" applyNumberFormat="1" applyFont="1" applyFill="1" applyAlignment="1">
      <alignment horizontal="left" vertical="top" wrapText="1"/>
    </xf>
    <xf numFmtId="14" fontId="37" fillId="5" borderId="0" xfId="0" applyNumberFormat="1" applyFont="1" applyFill="1" applyAlignment="1">
      <alignment horizontal="left" vertical="top"/>
    </xf>
    <xf numFmtId="3" fontId="37" fillId="5" borderId="0" xfId="0" applyNumberFormat="1" applyFont="1" applyFill="1" applyAlignment="1">
      <alignment horizontal="left" vertical="top"/>
    </xf>
    <xf numFmtId="3" fontId="37" fillId="5" borderId="0" xfId="0" applyNumberFormat="1" applyFont="1" applyFill="1" applyAlignment="1">
      <alignment horizontal="left" vertical="top" wrapText="1"/>
    </xf>
    <xf numFmtId="168" fontId="37" fillId="5" borderId="0" xfId="0" applyNumberFormat="1" applyFont="1" applyFill="1" applyAlignment="1">
      <alignment horizontal="left" vertical="top"/>
    </xf>
    <xf numFmtId="2" fontId="37" fillId="5" borderId="0" xfId="0" applyNumberFormat="1" applyFont="1" applyFill="1" applyAlignment="1">
      <alignment horizontal="left" vertical="top"/>
    </xf>
    <xf numFmtId="164" fontId="37" fillId="5" borderId="0" xfId="0" applyNumberFormat="1" applyFont="1" applyFill="1" applyAlignment="1">
      <alignment horizontal="left" vertical="top"/>
    </xf>
    <xf numFmtId="1" fontId="37" fillId="6" borderId="0" xfId="0" applyNumberFormat="1" applyFont="1" applyFill="1" applyAlignment="1">
      <alignment horizontal="left" vertical="top"/>
    </xf>
    <xf numFmtId="1" fontId="37" fillId="5" borderId="0" xfId="0" applyNumberFormat="1" applyFont="1" applyFill="1" applyAlignment="1">
      <alignment horizontal="left" vertical="top"/>
    </xf>
    <xf numFmtId="0" fontId="37" fillId="9" borderId="0" xfId="0" applyFont="1" applyFill="1" applyAlignment="1">
      <alignment horizontal="left" vertical="top"/>
    </xf>
    <xf numFmtId="0" fontId="37" fillId="9" borderId="0" xfId="0" applyFont="1" applyFill="1" applyAlignment="1">
      <alignment horizontal="left" vertical="top" wrapText="1"/>
    </xf>
    <xf numFmtId="15" fontId="37" fillId="9" borderId="0" xfId="0" applyNumberFormat="1" applyFont="1" applyFill="1" applyAlignment="1">
      <alignment horizontal="left" vertical="top"/>
    </xf>
    <xf numFmtId="15" fontId="37" fillId="9" borderId="0" xfId="0" applyNumberFormat="1" applyFont="1" applyFill="1" applyAlignment="1">
      <alignment horizontal="left" vertical="top" wrapText="1"/>
    </xf>
    <xf numFmtId="14" fontId="37" fillId="9" borderId="0" xfId="0" applyNumberFormat="1" applyFont="1" applyFill="1" applyAlignment="1">
      <alignment horizontal="left" vertical="top"/>
    </xf>
    <xf numFmtId="3" fontId="37" fillId="9" borderId="0" xfId="0" applyNumberFormat="1" applyFont="1" applyFill="1" applyAlignment="1">
      <alignment horizontal="left" vertical="top"/>
    </xf>
    <xf numFmtId="3" fontId="37" fillId="9" borderId="0" xfId="0" applyNumberFormat="1" applyFont="1" applyFill="1" applyAlignment="1">
      <alignment horizontal="left" vertical="top" wrapText="1"/>
    </xf>
    <xf numFmtId="168" fontId="37" fillId="9" borderId="0" xfId="0" applyNumberFormat="1" applyFont="1" applyFill="1" applyAlignment="1">
      <alignment horizontal="left" vertical="top"/>
    </xf>
    <xf numFmtId="168" fontId="37" fillId="9" borderId="0" xfId="0" applyNumberFormat="1" applyFont="1" applyFill="1" applyAlignment="1">
      <alignment horizontal="left" vertical="top" wrapText="1"/>
    </xf>
    <xf numFmtId="2" fontId="37" fillId="9" borderId="0" xfId="0" applyNumberFormat="1" applyFont="1" applyFill="1" applyAlignment="1">
      <alignment horizontal="left" vertical="top"/>
    </xf>
    <xf numFmtId="164" fontId="37" fillId="9" borderId="0" xfId="0" applyNumberFormat="1" applyFont="1" applyFill="1" applyAlignment="1">
      <alignment horizontal="left" vertical="top"/>
    </xf>
    <xf numFmtId="165" fontId="37" fillId="9" borderId="0" xfId="0" applyNumberFormat="1" applyFont="1" applyFill="1" applyAlignment="1">
      <alignment horizontal="left" vertical="top"/>
    </xf>
    <xf numFmtId="0" fontId="37" fillId="10" borderId="0" xfId="0" applyFont="1" applyFill="1" applyAlignment="1">
      <alignment horizontal="left" vertical="top"/>
    </xf>
    <xf numFmtId="0" fontId="37" fillId="10" borderId="0" xfId="0" applyFont="1" applyFill="1" applyAlignment="1">
      <alignment horizontal="left" vertical="top" wrapText="1"/>
    </xf>
    <xf numFmtId="15" fontId="37" fillId="10" borderId="0" xfId="0" applyNumberFormat="1" applyFont="1" applyFill="1" applyAlignment="1">
      <alignment horizontal="left" vertical="top"/>
    </xf>
    <xf numFmtId="15" fontId="37" fillId="10" borderId="0" xfId="0" applyNumberFormat="1" applyFont="1" applyFill="1" applyAlignment="1">
      <alignment horizontal="left" vertical="top" wrapText="1"/>
    </xf>
    <xf numFmtId="14" fontId="37" fillId="10" borderId="0" xfId="0" applyNumberFormat="1" applyFont="1" applyFill="1" applyAlignment="1">
      <alignment horizontal="left" vertical="top"/>
    </xf>
    <xf numFmtId="3" fontId="37" fillId="10" borderId="0" xfId="0" applyNumberFormat="1" applyFont="1" applyFill="1" applyAlignment="1">
      <alignment horizontal="left" vertical="top"/>
    </xf>
    <xf numFmtId="3" fontId="37" fillId="10" borderId="0" xfId="0" applyNumberFormat="1" applyFont="1" applyFill="1" applyAlignment="1">
      <alignment horizontal="left" vertical="top" wrapText="1"/>
    </xf>
    <xf numFmtId="168" fontId="37" fillId="10" borderId="0" xfId="0" applyNumberFormat="1" applyFont="1" applyFill="1" applyAlignment="1">
      <alignment horizontal="left" vertical="top"/>
    </xf>
    <xf numFmtId="168" fontId="37" fillId="10" borderId="0" xfId="0" applyNumberFormat="1" applyFont="1" applyFill="1" applyAlignment="1">
      <alignment horizontal="left" vertical="top" wrapText="1"/>
    </xf>
    <xf numFmtId="2" fontId="37" fillId="10" borderId="0" xfId="0" applyNumberFormat="1" applyFont="1" applyFill="1" applyAlignment="1">
      <alignment horizontal="left" vertical="top"/>
    </xf>
    <xf numFmtId="164" fontId="37" fillId="10" borderId="0" xfId="0" applyNumberFormat="1" applyFont="1" applyFill="1" applyAlignment="1">
      <alignment horizontal="left" vertical="top"/>
    </xf>
    <xf numFmtId="165" fontId="37" fillId="10" borderId="0" xfId="0" applyNumberFormat="1" applyFont="1" applyFill="1" applyAlignment="1">
      <alignment horizontal="left" vertical="top"/>
    </xf>
    <xf numFmtId="14" fontId="37" fillId="0" borderId="0" xfId="0" applyNumberFormat="1" applyFont="1" applyAlignment="1">
      <alignment horizontal="left" vertical="top" wrapText="1"/>
    </xf>
    <xf numFmtId="3" fontId="37" fillId="4" borderId="0" xfId="0" applyNumberFormat="1" applyFont="1" applyFill="1" applyAlignment="1">
      <alignment horizontal="left" vertical="top"/>
    </xf>
    <xf numFmtId="3" fontId="37" fillId="4" borderId="0" xfId="0" applyNumberFormat="1" applyFont="1" applyFill="1" applyAlignment="1">
      <alignment horizontal="left" vertical="top" wrapText="1"/>
    </xf>
    <xf numFmtId="49" fontId="37" fillId="0" borderId="0" xfId="0" applyNumberFormat="1" applyFont="1" applyAlignment="1">
      <alignment horizontal="left" vertical="top"/>
    </xf>
    <xf numFmtId="2" fontId="37" fillId="0" borderId="0" xfId="0" applyNumberFormat="1" applyFont="1" applyAlignment="1">
      <alignment horizontal="left" vertical="top" wrapText="1"/>
    </xf>
    <xf numFmtId="164" fontId="37" fillId="0" borderId="0" xfId="0" applyNumberFormat="1" applyFont="1" applyAlignment="1">
      <alignment horizontal="left" vertical="top" wrapText="1"/>
    </xf>
    <xf numFmtId="14" fontId="37" fillId="3" borderId="0" xfId="0" applyNumberFormat="1" applyFont="1" applyFill="1" applyAlignment="1">
      <alignment horizontal="left" vertical="top" wrapText="1"/>
    </xf>
    <xf numFmtId="49" fontId="37" fillId="3" borderId="0" xfId="0" applyNumberFormat="1" applyFont="1" applyFill="1" applyAlignment="1">
      <alignment horizontal="left" vertical="top"/>
    </xf>
    <xf numFmtId="2" fontId="37" fillId="3" borderId="0" xfId="0" applyNumberFormat="1" applyFont="1" applyFill="1" applyAlignment="1">
      <alignment horizontal="left" vertical="top" wrapText="1"/>
    </xf>
    <xf numFmtId="164" fontId="37" fillId="3" borderId="0" xfId="0" applyNumberFormat="1" applyFont="1" applyFill="1" applyAlignment="1">
      <alignment horizontal="left" vertical="top" wrapText="1"/>
    </xf>
    <xf numFmtId="3" fontId="37" fillId="16" borderId="0" xfId="0" applyNumberFormat="1" applyFont="1" applyFill="1" applyAlignment="1">
      <alignment horizontal="left" vertical="top"/>
    </xf>
    <xf numFmtId="3" fontId="37" fillId="16" borderId="0" xfId="0" applyNumberFormat="1" applyFont="1" applyFill="1" applyAlignment="1">
      <alignment horizontal="left" vertical="top" wrapText="1"/>
    </xf>
    <xf numFmtId="0" fontId="37" fillId="16" borderId="0" xfId="0" applyFont="1" applyFill="1" applyAlignment="1">
      <alignment horizontal="left" vertical="top" wrapText="1"/>
    </xf>
    <xf numFmtId="49" fontId="37" fillId="16" borderId="0" xfId="0" applyNumberFormat="1" applyFont="1" applyFill="1" applyAlignment="1">
      <alignment horizontal="left" vertical="top"/>
    </xf>
    <xf numFmtId="0" fontId="37" fillId="16" borderId="0" xfId="0" applyFont="1" applyFill="1" applyAlignment="1">
      <alignment horizontal="left" vertical="top"/>
    </xf>
    <xf numFmtId="165" fontId="37" fillId="3" borderId="0" xfId="0" applyNumberFormat="1" applyFont="1" applyFill="1" applyAlignment="1">
      <alignment horizontal="left" vertical="top"/>
    </xf>
    <xf numFmtId="14" fontId="37" fillId="5" borderId="0" xfId="0" applyNumberFormat="1" applyFont="1" applyFill="1" applyAlignment="1">
      <alignment horizontal="left" vertical="top" wrapText="1"/>
    </xf>
    <xf numFmtId="49" fontId="37" fillId="5" borderId="0" xfId="0" applyNumberFormat="1" applyFont="1" applyFill="1" applyAlignment="1">
      <alignment horizontal="left" vertical="top"/>
    </xf>
    <xf numFmtId="2" fontId="37" fillId="5" borderId="0" xfId="0" applyNumberFormat="1" applyFont="1" applyFill="1" applyAlignment="1">
      <alignment horizontal="left" vertical="top" wrapText="1"/>
    </xf>
    <xf numFmtId="164" fontId="37" fillId="5" borderId="0" xfId="0" applyNumberFormat="1" applyFont="1" applyFill="1" applyAlignment="1">
      <alignment horizontal="left" vertical="top" wrapText="1"/>
    </xf>
    <xf numFmtId="14" fontId="37" fillId="6" borderId="0" xfId="0" applyNumberFormat="1" applyFont="1" applyFill="1" applyAlignment="1">
      <alignment horizontal="left" vertical="top" wrapText="1"/>
    </xf>
    <xf numFmtId="49" fontId="37" fillId="6" borderId="0" xfId="0" applyNumberFormat="1" applyFont="1" applyFill="1" applyAlignment="1">
      <alignment horizontal="left" vertical="top"/>
    </xf>
    <xf numFmtId="2" fontId="37" fillId="6" borderId="0" xfId="0" applyNumberFormat="1" applyFont="1" applyFill="1" applyAlignment="1">
      <alignment horizontal="left" vertical="top" wrapText="1"/>
    </xf>
    <xf numFmtId="164" fontId="37" fillId="6" borderId="0" xfId="0" applyNumberFormat="1" applyFont="1" applyFill="1" applyAlignment="1">
      <alignment horizontal="left" vertical="top" wrapText="1"/>
    </xf>
    <xf numFmtId="0" fontId="37" fillId="0" borderId="0" xfId="0" applyFont="1" applyAlignment="1">
      <alignment vertical="top" wrapText="1"/>
    </xf>
    <xf numFmtId="0" fontId="37" fillId="0" borderId="0" xfId="0" applyFont="1" applyAlignment="1">
      <alignment vertical="top"/>
    </xf>
    <xf numFmtId="0" fontId="37" fillId="3" borderId="0" xfId="0" applyFont="1" applyFill="1" applyAlignment="1">
      <alignment vertical="top" wrapText="1"/>
    </xf>
    <xf numFmtId="0" fontId="37" fillId="3" borderId="0" xfId="0" applyFont="1" applyFill="1" applyAlignment="1">
      <alignment vertical="top"/>
    </xf>
    <xf numFmtId="0" fontId="38" fillId="3" borderId="0" xfId="0" applyFont="1" applyFill="1" applyAlignment="1">
      <alignment horizontal="left" vertical="top"/>
    </xf>
    <xf numFmtId="0" fontId="37" fillId="5" borderId="0" xfId="0" applyFont="1" applyFill="1" applyAlignment="1">
      <alignment vertical="top" wrapText="1"/>
    </xf>
    <xf numFmtId="0" fontId="37" fillId="5" borderId="0" xfId="0" applyFont="1" applyFill="1" applyAlignment="1">
      <alignment vertical="top"/>
    </xf>
    <xf numFmtId="0" fontId="37" fillId="6" borderId="0" xfId="0" applyFont="1" applyFill="1" applyAlignment="1">
      <alignment vertical="top" wrapText="1"/>
    </xf>
    <xf numFmtId="0" fontId="37" fillId="6" borderId="0" xfId="0" applyFont="1" applyFill="1" applyAlignment="1">
      <alignment vertical="top"/>
    </xf>
    <xf numFmtId="0" fontId="37" fillId="2" borderId="0" xfId="0" applyFont="1" applyFill="1" applyAlignment="1">
      <alignment horizontal="left" vertical="top"/>
    </xf>
    <xf numFmtId="0" fontId="37" fillId="2" borderId="0" xfId="0" applyFont="1" applyFill="1" applyAlignment="1">
      <alignment horizontal="left" vertical="top" wrapText="1"/>
    </xf>
    <xf numFmtId="14" fontId="37" fillId="2" borderId="0" xfId="0" applyNumberFormat="1" applyFont="1" applyFill="1" applyAlignment="1">
      <alignment horizontal="left" vertical="top" wrapText="1"/>
    </xf>
    <xf numFmtId="3" fontId="37" fillId="2" borderId="0" xfId="0" applyNumberFormat="1" applyFont="1" applyFill="1" applyAlignment="1">
      <alignment horizontal="left" vertical="top"/>
    </xf>
    <xf numFmtId="3" fontId="37" fillId="2" borderId="0" xfId="0" applyNumberFormat="1" applyFont="1" applyFill="1" applyAlignment="1">
      <alignment horizontal="left" vertical="top" wrapText="1"/>
    </xf>
    <xf numFmtId="164" fontId="37" fillId="2" borderId="0" xfId="0" applyNumberFormat="1" applyFont="1" applyFill="1" applyAlignment="1">
      <alignment horizontal="left" vertical="top"/>
    </xf>
    <xf numFmtId="0" fontId="37" fillId="2" borderId="0" xfId="0" applyFont="1" applyFill="1" applyAlignment="1">
      <alignment vertical="top" wrapText="1"/>
    </xf>
    <xf numFmtId="0" fontId="37" fillId="2" borderId="0" xfId="0" applyFont="1" applyFill="1" applyAlignment="1">
      <alignment vertical="top"/>
    </xf>
    <xf numFmtId="0" fontId="38" fillId="2" borderId="0" xfId="0" applyFont="1" applyFill="1" applyAlignment="1">
      <alignment horizontal="left" vertical="top"/>
    </xf>
    <xf numFmtId="0" fontId="37" fillId="12" borderId="0" xfId="0" applyFont="1" applyFill="1" applyAlignment="1">
      <alignment horizontal="left" vertical="top"/>
    </xf>
    <xf numFmtId="0" fontId="37" fillId="12" borderId="0" xfId="0" applyFont="1" applyFill="1" applyAlignment="1">
      <alignment horizontal="left" vertical="top" wrapText="1"/>
    </xf>
    <xf numFmtId="14" fontId="37" fillId="12" borderId="0" xfId="0" applyNumberFormat="1" applyFont="1" applyFill="1" applyAlignment="1">
      <alignment horizontal="left" vertical="top" wrapText="1"/>
    </xf>
    <xf numFmtId="3" fontId="37" fillId="12" borderId="0" xfId="0" applyNumberFormat="1" applyFont="1" applyFill="1" applyAlignment="1">
      <alignment horizontal="left" vertical="top"/>
    </xf>
    <xf numFmtId="3" fontId="37" fillId="12" borderId="0" xfId="0" applyNumberFormat="1" applyFont="1" applyFill="1" applyAlignment="1">
      <alignment horizontal="left" vertical="top" wrapText="1"/>
    </xf>
    <xf numFmtId="2" fontId="37" fillId="12" borderId="0" xfId="0" applyNumberFormat="1" applyFont="1" applyFill="1" applyAlignment="1">
      <alignment horizontal="left" vertical="top"/>
    </xf>
    <xf numFmtId="0" fontId="37" fillId="12" borderId="0" xfId="0" applyFont="1" applyFill="1" applyAlignment="1">
      <alignment vertical="top" wrapText="1"/>
    </xf>
    <xf numFmtId="0" fontId="37" fillId="12" borderId="0" xfId="0" applyFont="1" applyFill="1" applyAlignment="1">
      <alignment vertical="top"/>
    </xf>
    <xf numFmtId="0" fontId="37" fillId="13" borderId="0" xfId="0" applyFont="1" applyFill="1" applyAlignment="1">
      <alignment horizontal="left" vertical="top"/>
    </xf>
    <xf numFmtId="0" fontId="37" fillId="13" borderId="0" xfId="0" applyFont="1" applyFill="1" applyAlignment="1">
      <alignment horizontal="left" vertical="top" wrapText="1"/>
    </xf>
    <xf numFmtId="14" fontId="37" fillId="13" borderId="0" xfId="0" applyNumberFormat="1" applyFont="1" applyFill="1" applyAlignment="1">
      <alignment horizontal="left" vertical="top" wrapText="1"/>
    </xf>
    <xf numFmtId="3" fontId="37" fillId="13" borderId="0" xfId="0" applyNumberFormat="1" applyFont="1" applyFill="1" applyAlignment="1">
      <alignment horizontal="left" vertical="top"/>
    </xf>
    <xf numFmtId="3" fontId="37" fillId="13" borderId="0" xfId="0" applyNumberFormat="1" applyFont="1" applyFill="1" applyAlignment="1">
      <alignment horizontal="left" vertical="top" wrapText="1"/>
    </xf>
    <xf numFmtId="2" fontId="37" fillId="13" borderId="0" xfId="0" applyNumberFormat="1" applyFont="1" applyFill="1" applyAlignment="1">
      <alignment horizontal="left" vertical="top"/>
    </xf>
    <xf numFmtId="0" fontId="37" fillId="13" borderId="0" xfId="0" applyFont="1" applyFill="1" applyAlignment="1">
      <alignment vertical="top" wrapText="1"/>
    </xf>
    <xf numFmtId="0" fontId="37" fillId="13" borderId="0" xfId="0" applyFont="1" applyFill="1" applyAlignment="1">
      <alignment vertical="top"/>
    </xf>
    <xf numFmtId="14" fontId="37" fillId="9" borderId="0" xfId="0" applyNumberFormat="1" applyFont="1" applyFill="1" applyAlignment="1">
      <alignment horizontal="left" vertical="top" wrapText="1"/>
    </xf>
    <xf numFmtId="0" fontId="37" fillId="9" borderId="0" xfId="0" applyFont="1" applyFill="1" applyAlignment="1">
      <alignment vertical="top" wrapText="1"/>
    </xf>
    <xf numFmtId="0" fontId="37" fillId="9" borderId="0" xfId="0" applyFont="1" applyFill="1" applyAlignment="1">
      <alignment vertical="top"/>
    </xf>
    <xf numFmtId="14" fontId="37" fillId="10" borderId="0" xfId="0" applyNumberFormat="1" applyFont="1" applyFill="1" applyAlignment="1">
      <alignment horizontal="left" vertical="top" wrapText="1"/>
    </xf>
    <xf numFmtId="0" fontId="37" fillId="10" borderId="0" xfId="0" applyFont="1" applyFill="1" applyAlignment="1">
      <alignment vertical="top" wrapText="1"/>
    </xf>
    <xf numFmtId="0" fontId="37" fillId="10" borderId="0" xfId="0" applyFont="1" applyFill="1" applyAlignment="1">
      <alignment vertical="top"/>
    </xf>
    <xf numFmtId="0" fontId="35" fillId="0" borderId="0" xfId="0" applyFont="1"/>
    <xf numFmtId="165" fontId="37" fillId="5" borderId="0" xfId="0" applyNumberFormat="1" applyFont="1" applyFill="1" applyAlignment="1">
      <alignment horizontal="left" vertical="top"/>
    </xf>
    <xf numFmtId="0" fontId="35" fillId="5" borderId="0" xfId="0" applyFont="1" applyFill="1"/>
    <xf numFmtId="0" fontId="37" fillId="7" borderId="0" xfId="0" applyFont="1" applyFill="1" applyAlignment="1">
      <alignment horizontal="left" vertical="top"/>
    </xf>
    <xf numFmtId="0" fontId="37" fillId="7" borderId="0" xfId="0" applyFont="1" applyFill="1" applyAlignment="1">
      <alignment horizontal="left" vertical="top" wrapText="1"/>
    </xf>
    <xf numFmtId="15" fontId="37" fillId="7" borderId="0" xfId="0" applyNumberFormat="1" applyFont="1" applyFill="1" applyAlignment="1">
      <alignment horizontal="left" vertical="top"/>
    </xf>
    <xf numFmtId="15" fontId="37" fillId="7" borderId="0" xfId="0" applyNumberFormat="1" applyFont="1" applyFill="1" applyAlignment="1">
      <alignment horizontal="left" vertical="top" wrapText="1"/>
    </xf>
    <xf numFmtId="49" fontId="37" fillId="7" borderId="0" xfId="0" applyNumberFormat="1" applyFont="1" applyFill="1" applyAlignment="1">
      <alignment horizontal="left" vertical="top"/>
    </xf>
    <xf numFmtId="3" fontId="37" fillId="7" borderId="0" xfId="0" applyNumberFormat="1" applyFont="1" applyFill="1" applyAlignment="1">
      <alignment horizontal="left" vertical="top"/>
    </xf>
    <xf numFmtId="3" fontId="37" fillId="7" borderId="0" xfId="0" applyNumberFormat="1" applyFont="1" applyFill="1" applyAlignment="1">
      <alignment horizontal="left" vertical="top" wrapText="1"/>
    </xf>
    <xf numFmtId="2" fontId="37" fillId="7" borderId="0" xfId="0" applyNumberFormat="1" applyFont="1" applyFill="1" applyAlignment="1">
      <alignment horizontal="left" vertical="top"/>
    </xf>
    <xf numFmtId="164" fontId="37" fillId="7" borderId="0" xfId="0" applyNumberFormat="1" applyFont="1" applyFill="1" applyAlignment="1">
      <alignment horizontal="left" vertical="top"/>
    </xf>
    <xf numFmtId="0" fontId="35" fillId="7" borderId="0" xfId="0" applyFont="1" applyFill="1"/>
    <xf numFmtId="15" fontId="37" fillId="12" borderId="0" xfId="0" applyNumberFormat="1" applyFont="1" applyFill="1" applyAlignment="1">
      <alignment horizontal="left" vertical="top"/>
    </xf>
    <xf numFmtId="15" fontId="37" fillId="12" borderId="0" xfId="0" applyNumberFormat="1" applyFont="1" applyFill="1" applyAlignment="1">
      <alignment horizontal="left" vertical="top" wrapText="1"/>
    </xf>
    <xf numFmtId="49" fontId="37" fillId="12" borderId="0" xfId="0" applyNumberFormat="1" applyFont="1" applyFill="1" applyAlignment="1">
      <alignment horizontal="left" vertical="top"/>
    </xf>
    <xf numFmtId="164" fontId="37" fillId="12" borderId="0" xfId="0" applyNumberFormat="1" applyFont="1" applyFill="1" applyAlignment="1">
      <alignment horizontal="left" vertical="top"/>
    </xf>
    <xf numFmtId="0" fontId="35" fillId="12" borderId="0" xfId="0" applyFont="1" applyFill="1"/>
    <xf numFmtId="49" fontId="37" fillId="9" borderId="0" xfId="0" applyNumberFormat="1" applyFont="1" applyFill="1" applyAlignment="1">
      <alignment horizontal="left" vertical="top"/>
    </xf>
    <xf numFmtId="0" fontId="35" fillId="9" borderId="0" xfId="0" applyFont="1" applyFill="1"/>
    <xf numFmtId="15" fontId="37" fillId="16" borderId="0" xfId="0" applyNumberFormat="1" applyFont="1" applyFill="1" applyAlignment="1">
      <alignment horizontal="left" vertical="top"/>
    </xf>
    <xf numFmtId="15" fontId="37" fillId="16" borderId="0" xfId="0" applyNumberFormat="1" applyFont="1" applyFill="1" applyAlignment="1">
      <alignment horizontal="left" vertical="top" wrapText="1"/>
    </xf>
    <xf numFmtId="2" fontId="37" fillId="16" borderId="0" xfId="0" applyNumberFormat="1" applyFont="1" applyFill="1" applyAlignment="1">
      <alignment horizontal="left" vertical="top"/>
    </xf>
    <xf numFmtId="164" fontId="37" fillId="16" borderId="0" xfId="0" applyNumberFormat="1" applyFont="1" applyFill="1" applyAlignment="1">
      <alignment horizontal="left" vertical="top"/>
    </xf>
    <xf numFmtId="0" fontId="37" fillId="14" borderId="0" xfId="0" applyFont="1" applyFill="1" applyAlignment="1">
      <alignment horizontal="left" vertical="top"/>
    </xf>
    <xf numFmtId="0" fontId="37" fillId="14" borderId="0" xfId="0" applyFont="1" applyFill="1" applyAlignment="1">
      <alignment horizontal="left" vertical="top" wrapText="1"/>
    </xf>
    <xf numFmtId="15" fontId="37" fillId="14" borderId="0" xfId="0" applyNumberFormat="1" applyFont="1" applyFill="1" applyAlignment="1">
      <alignment horizontal="left" vertical="top"/>
    </xf>
    <xf numFmtId="15" fontId="37" fillId="14" borderId="0" xfId="0" applyNumberFormat="1" applyFont="1" applyFill="1" applyAlignment="1">
      <alignment horizontal="left" vertical="top" wrapText="1"/>
    </xf>
    <xf numFmtId="49" fontId="37" fillId="14" borderId="0" xfId="0" applyNumberFormat="1" applyFont="1" applyFill="1" applyAlignment="1">
      <alignment horizontal="left" vertical="top"/>
    </xf>
    <xf numFmtId="3" fontId="37" fillId="14" borderId="0" xfId="0" applyNumberFormat="1" applyFont="1" applyFill="1" applyAlignment="1">
      <alignment horizontal="left" vertical="top" wrapText="1"/>
    </xf>
    <xf numFmtId="3" fontId="37" fillId="14" borderId="0" xfId="0" applyNumberFormat="1" applyFont="1" applyFill="1" applyAlignment="1">
      <alignment horizontal="left" vertical="top"/>
    </xf>
    <xf numFmtId="165" fontId="37" fillId="14" borderId="0" xfId="0" applyNumberFormat="1" applyFont="1" applyFill="1" applyAlignment="1">
      <alignment horizontal="left" vertical="top"/>
    </xf>
    <xf numFmtId="164" fontId="37" fillId="14" borderId="0" xfId="0" applyNumberFormat="1" applyFont="1" applyFill="1" applyAlignment="1">
      <alignment horizontal="left" vertical="top"/>
    </xf>
    <xf numFmtId="2" fontId="37" fillId="14" borderId="0" xfId="0" applyNumberFormat="1" applyFont="1" applyFill="1" applyAlignment="1">
      <alignment horizontal="left" vertical="top"/>
    </xf>
    <xf numFmtId="49" fontId="37" fillId="0" borderId="0" xfId="0" applyNumberFormat="1" applyFont="1" applyAlignment="1">
      <alignment horizontal="left" vertical="top" wrapText="1"/>
    </xf>
    <xf numFmtId="49" fontId="37" fillId="14" borderId="0" xfId="0" applyNumberFormat="1" applyFont="1" applyFill="1" applyAlignment="1">
      <alignment horizontal="left" vertical="top" wrapText="1"/>
    </xf>
    <xf numFmtId="2" fontId="37" fillId="14" borderId="0" xfId="0" applyNumberFormat="1" applyFont="1" applyFill="1" applyAlignment="1">
      <alignment horizontal="left" vertical="top" wrapText="1"/>
    </xf>
    <xf numFmtId="0" fontId="35" fillId="14" borderId="0" xfId="0" applyFont="1" applyFill="1" applyAlignment="1">
      <alignment vertical="top" wrapText="1"/>
    </xf>
    <xf numFmtId="0" fontId="35" fillId="14" borderId="0" xfId="0" applyFont="1" applyFill="1" applyAlignment="1">
      <alignment vertical="top"/>
    </xf>
    <xf numFmtId="164" fontId="37" fillId="14" borderId="0" xfId="0" applyNumberFormat="1" applyFont="1" applyFill="1" applyAlignment="1">
      <alignment horizontal="left" vertical="top" wrapText="1"/>
    </xf>
    <xf numFmtId="49" fontId="37" fillId="5" borderId="0" xfId="0" applyNumberFormat="1" applyFont="1" applyFill="1" applyAlignment="1">
      <alignment horizontal="left" vertical="top" wrapText="1"/>
    </xf>
    <xf numFmtId="165" fontId="37" fillId="5" borderId="0" xfId="0" applyNumberFormat="1" applyFont="1" applyFill="1" applyAlignment="1">
      <alignment horizontal="left" vertical="top" wrapText="1"/>
    </xf>
    <xf numFmtId="49" fontId="37" fillId="6" borderId="0" xfId="0" applyNumberFormat="1" applyFont="1" applyFill="1" applyAlignment="1">
      <alignment horizontal="left" vertical="top" wrapText="1"/>
    </xf>
    <xf numFmtId="165" fontId="37" fillId="6" borderId="0" xfId="0" applyNumberFormat="1" applyFont="1" applyFill="1" applyAlignment="1">
      <alignment horizontal="left" vertical="top" wrapText="1"/>
    </xf>
    <xf numFmtId="0" fontId="37" fillId="11" borderId="0" xfId="0" applyFont="1" applyFill="1" applyAlignment="1">
      <alignment horizontal="left" vertical="top"/>
    </xf>
    <xf numFmtId="0" fontId="37" fillId="11" borderId="0" xfId="0" applyFont="1" applyFill="1" applyAlignment="1">
      <alignment horizontal="left" vertical="top" wrapText="1"/>
    </xf>
    <xf numFmtId="49" fontId="37" fillId="11" borderId="0" xfId="0" applyNumberFormat="1" applyFont="1" applyFill="1" applyAlignment="1">
      <alignment horizontal="left" vertical="top" wrapText="1"/>
    </xf>
    <xf numFmtId="3" fontId="37" fillId="11" borderId="0" xfId="0" applyNumberFormat="1" applyFont="1" applyFill="1" applyAlignment="1">
      <alignment horizontal="left" vertical="top"/>
    </xf>
    <xf numFmtId="3" fontId="37" fillId="11" borderId="0" xfId="0" applyNumberFormat="1" applyFont="1" applyFill="1" applyAlignment="1">
      <alignment horizontal="left" vertical="top" wrapText="1"/>
    </xf>
    <xf numFmtId="164" fontId="37" fillId="11" borderId="0" xfId="0" applyNumberFormat="1" applyFont="1" applyFill="1" applyAlignment="1">
      <alignment horizontal="left" vertical="top"/>
    </xf>
    <xf numFmtId="2" fontId="37" fillId="11" borderId="0" xfId="0" applyNumberFormat="1" applyFont="1" applyFill="1" applyAlignment="1">
      <alignment horizontal="left" vertical="top"/>
    </xf>
    <xf numFmtId="2" fontId="37" fillId="11" borderId="0" xfId="0" applyNumberFormat="1" applyFont="1" applyFill="1" applyAlignment="1">
      <alignment horizontal="left" vertical="top" wrapText="1"/>
    </xf>
    <xf numFmtId="49" fontId="37" fillId="10" borderId="0" xfId="0" applyNumberFormat="1" applyFont="1" applyFill="1" applyAlignment="1">
      <alignment horizontal="left" vertical="top" wrapText="1"/>
    </xf>
    <xf numFmtId="2" fontId="37" fillId="10" borderId="0" xfId="0" applyNumberFormat="1" applyFont="1" applyFill="1" applyAlignment="1">
      <alignment horizontal="left" vertical="top" wrapText="1"/>
    </xf>
    <xf numFmtId="49" fontId="37" fillId="9" borderId="0" xfId="0" applyNumberFormat="1" applyFont="1" applyFill="1" applyAlignment="1">
      <alignment horizontal="left" vertical="top" wrapText="1"/>
    </xf>
    <xf numFmtId="2" fontId="37" fillId="9" borderId="0" xfId="0" applyNumberFormat="1" applyFont="1" applyFill="1" applyAlignment="1">
      <alignment horizontal="left" vertical="top" wrapText="1"/>
    </xf>
    <xf numFmtId="164" fontId="37" fillId="9" borderId="0" xfId="0" applyNumberFormat="1" applyFont="1" applyFill="1" applyAlignment="1">
      <alignment horizontal="left" vertical="top" wrapText="1"/>
    </xf>
    <xf numFmtId="167" fontId="37" fillId="10" borderId="0" xfId="0" applyNumberFormat="1" applyFont="1" applyFill="1" applyAlignment="1">
      <alignment horizontal="left" vertical="top" wrapText="1"/>
    </xf>
    <xf numFmtId="164" fontId="37" fillId="10" borderId="0" xfId="0" applyNumberFormat="1" applyFont="1" applyFill="1" applyAlignment="1">
      <alignment horizontal="left" vertical="top" wrapText="1"/>
    </xf>
    <xf numFmtId="1" fontId="37" fillId="14" borderId="0" xfId="0" applyNumberFormat="1" applyFont="1" applyFill="1" applyAlignment="1">
      <alignment horizontal="left" vertical="top"/>
    </xf>
    <xf numFmtId="0" fontId="35" fillId="14" borderId="0" xfId="0" applyFont="1" applyFill="1"/>
    <xf numFmtId="0" fontId="35" fillId="6" borderId="0" xfId="0" applyFont="1" applyFill="1"/>
    <xf numFmtId="15" fontId="37" fillId="11" borderId="0" xfId="0" applyNumberFormat="1" applyFont="1" applyFill="1" applyAlignment="1">
      <alignment horizontal="left" vertical="top"/>
    </xf>
    <xf numFmtId="15" fontId="37" fillId="11" borderId="0" xfId="0" applyNumberFormat="1" applyFont="1" applyFill="1" applyAlignment="1">
      <alignment horizontal="left" vertical="top" wrapText="1"/>
    </xf>
    <xf numFmtId="1" fontId="37" fillId="11" borderId="0" xfId="0" applyNumberFormat="1" applyFont="1" applyFill="1" applyAlignment="1">
      <alignment horizontal="left" vertical="top"/>
    </xf>
    <xf numFmtId="0" fontId="35" fillId="11" borderId="0" xfId="0" applyFont="1" applyFill="1"/>
    <xf numFmtId="167" fontId="37" fillId="9" borderId="0" xfId="0" applyNumberFormat="1" applyFont="1" applyFill="1" applyAlignment="1">
      <alignment horizontal="left" vertical="top" wrapText="1"/>
    </xf>
    <xf numFmtId="167" fontId="37" fillId="9" borderId="0" xfId="0" applyNumberFormat="1" applyFont="1" applyFill="1" applyAlignment="1">
      <alignment horizontal="left" vertical="top"/>
    </xf>
    <xf numFmtId="1" fontId="37" fillId="10" borderId="0" xfId="0" applyNumberFormat="1" applyFont="1" applyFill="1" applyAlignment="1">
      <alignment horizontal="left" vertical="top"/>
    </xf>
    <xf numFmtId="167" fontId="37" fillId="10" borderId="0" xfId="0" applyNumberFormat="1" applyFont="1" applyFill="1" applyAlignment="1">
      <alignment horizontal="left" vertical="top"/>
    </xf>
    <xf numFmtId="14" fontId="37" fillId="14" borderId="0" xfId="0" applyNumberFormat="1" applyFont="1" applyFill="1" applyAlignment="1">
      <alignment horizontal="left" vertical="top"/>
    </xf>
    <xf numFmtId="0" fontId="37" fillId="21" borderId="0" xfId="0" applyFont="1" applyFill="1" applyAlignment="1">
      <alignment horizontal="left" vertical="top" wrapText="1"/>
    </xf>
    <xf numFmtId="165" fontId="37" fillId="6" borderId="0" xfId="0" applyNumberFormat="1" applyFont="1" applyFill="1" applyAlignment="1">
      <alignment horizontal="left" vertical="top"/>
    </xf>
    <xf numFmtId="14" fontId="37" fillId="7" borderId="0" xfId="0" applyNumberFormat="1" applyFont="1" applyFill="1" applyAlignment="1">
      <alignment horizontal="left" vertical="top"/>
    </xf>
    <xf numFmtId="165" fontId="37" fillId="7" borderId="0" xfId="0" applyNumberFormat="1" applyFont="1" applyFill="1" applyAlignment="1">
      <alignment horizontal="left" vertical="top"/>
    </xf>
    <xf numFmtId="0" fontId="37" fillId="8" borderId="0" xfId="0" applyFont="1" applyFill="1" applyAlignment="1">
      <alignment horizontal="left" vertical="top"/>
    </xf>
    <xf numFmtId="0" fontId="37" fillId="8" borderId="0" xfId="0" applyFont="1" applyFill="1" applyAlignment="1">
      <alignment horizontal="left" vertical="top" wrapText="1"/>
    </xf>
    <xf numFmtId="15" fontId="37" fillId="8" borderId="0" xfId="0" applyNumberFormat="1" applyFont="1" applyFill="1" applyAlignment="1">
      <alignment horizontal="left" vertical="top"/>
    </xf>
    <xf numFmtId="15" fontId="37" fillId="8" borderId="0" xfId="0" applyNumberFormat="1" applyFont="1" applyFill="1" applyAlignment="1">
      <alignment horizontal="left" vertical="top" wrapText="1"/>
    </xf>
    <xf numFmtId="14" fontId="37" fillId="8" borderId="0" xfId="0" applyNumberFormat="1" applyFont="1" applyFill="1" applyAlignment="1">
      <alignment horizontal="left" vertical="top"/>
    </xf>
    <xf numFmtId="3" fontId="37" fillId="8" borderId="0" xfId="0" applyNumberFormat="1" applyFont="1" applyFill="1" applyAlignment="1">
      <alignment horizontal="left" vertical="top"/>
    </xf>
    <xf numFmtId="3" fontId="37" fillId="8" borderId="0" xfId="0" applyNumberFormat="1" applyFont="1" applyFill="1" applyAlignment="1">
      <alignment horizontal="left" vertical="top" wrapText="1"/>
    </xf>
    <xf numFmtId="165" fontId="37" fillId="8" borderId="0" xfId="0" applyNumberFormat="1" applyFont="1" applyFill="1" applyAlignment="1">
      <alignment horizontal="left" vertical="top"/>
    </xf>
    <xf numFmtId="2" fontId="37" fillId="8" borderId="0" xfId="0" applyNumberFormat="1" applyFont="1" applyFill="1" applyAlignment="1">
      <alignment horizontal="left" vertical="top"/>
    </xf>
    <xf numFmtId="164" fontId="37" fillId="8" borderId="0" xfId="0" applyNumberFormat="1" applyFont="1" applyFill="1" applyAlignment="1">
      <alignment horizontal="left" vertical="top"/>
    </xf>
    <xf numFmtId="49" fontId="37" fillId="7" borderId="0" xfId="0" applyNumberFormat="1" applyFont="1" applyFill="1" applyAlignment="1">
      <alignment horizontal="left" vertical="top" wrapText="1"/>
    </xf>
    <xf numFmtId="14" fontId="37" fillId="12" borderId="0" xfId="0" applyNumberFormat="1" applyFont="1" applyFill="1" applyAlignment="1">
      <alignment horizontal="left" vertical="top"/>
    </xf>
    <xf numFmtId="49" fontId="37" fillId="12" borderId="0" xfId="0" applyNumberFormat="1" applyFont="1" applyFill="1" applyAlignment="1">
      <alignment horizontal="left" vertical="top" wrapText="1"/>
    </xf>
    <xf numFmtId="165" fontId="37" fillId="12" borderId="0" xfId="0" applyNumberFormat="1" applyFont="1" applyFill="1" applyAlignment="1">
      <alignment horizontal="left" vertical="top"/>
    </xf>
    <xf numFmtId="15" fontId="37" fillId="2" borderId="0" xfId="0" applyNumberFormat="1" applyFont="1" applyFill="1" applyAlignment="1">
      <alignment horizontal="left" vertical="top"/>
    </xf>
    <xf numFmtId="15" fontId="37" fillId="2" borderId="0" xfId="0" applyNumberFormat="1" applyFont="1" applyFill="1" applyAlignment="1">
      <alignment horizontal="left" vertical="top" wrapText="1"/>
    </xf>
    <xf numFmtId="49" fontId="37" fillId="2" borderId="0" xfId="0" applyNumberFormat="1" applyFont="1" applyFill="1" applyAlignment="1">
      <alignment horizontal="left" vertical="top" wrapText="1"/>
    </xf>
    <xf numFmtId="165" fontId="37" fillId="2" borderId="0" xfId="0" applyNumberFormat="1" applyFont="1" applyFill="1" applyAlignment="1">
      <alignment horizontal="left" vertical="top"/>
    </xf>
    <xf numFmtId="2" fontId="37" fillId="2" borderId="0" xfId="0" applyNumberFormat="1" applyFont="1" applyFill="1" applyAlignment="1">
      <alignment horizontal="left" vertical="top"/>
    </xf>
    <xf numFmtId="14" fontId="37" fillId="11" borderId="0" xfId="0" applyNumberFormat="1" applyFont="1" applyFill="1" applyAlignment="1">
      <alignment horizontal="left" vertical="top" wrapText="1"/>
    </xf>
    <xf numFmtId="0" fontId="38" fillId="0" borderId="0" xfId="0" applyFont="1" applyAlignment="1">
      <alignment horizontal="left" vertical="top" wrapText="1"/>
    </xf>
    <xf numFmtId="49" fontId="37" fillId="3" borderId="0" xfId="0" applyNumberFormat="1" applyFont="1" applyFill="1" applyAlignment="1">
      <alignment horizontal="left" vertical="top" wrapText="1"/>
    </xf>
    <xf numFmtId="0" fontId="38" fillId="3" borderId="0" xfId="0" applyFont="1" applyFill="1" applyAlignment="1">
      <alignment horizontal="left" vertical="top" wrapText="1"/>
    </xf>
    <xf numFmtId="0" fontId="38" fillId="5" borderId="0" xfId="0" applyFont="1" applyFill="1" applyAlignment="1">
      <alignment horizontal="left" vertical="top" wrapText="1"/>
    </xf>
    <xf numFmtId="2" fontId="37" fillId="2" borderId="0" xfId="0" applyNumberFormat="1" applyFont="1" applyFill="1" applyAlignment="1">
      <alignment horizontal="left" vertical="top" wrapText="1"/>
    </xf>
    <xf numFmtId="164" fontId="37" fillId="2" borderId="0" xfId="0" applyNumberFormat="1" applyFont="1" applyFill="1" applyAlignment="1">
      <alignment horizontal="left" vertical="top" wrapText="1"/>
    </xf>
    <xf numFmtId="164" fontId="37" fillId="11" borderId="0" xfId="0" applyNumberFormat="1" applyFont="1" applyFill="1" applyAlignment="1">
      <alignment horizontal="left" vertical="top" wrapText="1"/>
    </xf>
    <xf numFmtId="0" fontId="38" fillId="2" borderId="0" xfId="0" applyFont="1" applyFill="1" applyAlignment="1">
      <alignment horizontal="left" vertical="top" wrapText="1"/>
    </xf>
    <xf numFmtId="0" fontId="37" fillId="15" borderId="0" xfId="0" applyFont="1" applyFill="1" applyAlignment="1">
      <alignment horizontal="left" vertical="top" wrapText="1"/>
    </xf>
    <xf numFmtId="0" fontId="37" fillId="15" borderId="0" xfId="0" applyFont="1" applyFill="1" applyAlignment="1">
      <alignment horizontal="left" vertical="top"/>
    </xf>
    <xf numFmtId="4" fontId="5" fillId="12" borderId="0" xfId="0" applyNumberFormat="1" applyFont="1" applyFill="1" applyAlignment="1">
      <alignment horizontal="left" vertical="top" wrapText="1"/>
    </xf>
    <xf numFmtId="4" fontId="5" fillId="5" borderId="0" xfId="0" applyNumberFormat="1" applyFont="1" applyFill="1" applyAlignment="1">
      <alignment horizontal="left" vertical="top"/>
    </xf>
    <xf numFmtId="0" fontId="2" fillId="6" borderId="0" xfId="0" applyFont="1" applyFill="1" applyAlignment="1">
      <alignment vertical="top" wrapText="1"/>
    </xf>
    <xf numFmtId="0" fontId="2" fillId="5" borderId="0" xfId="0" applyFont="1" applyFill="1" applyAlignment="1">
      <alignment vertical="top" wrapText="1"/>
    </xf>
    <xf numFmtId="3" fontId="5" fillId="15" borderId="0" xfId="0" applyNumberFormat="1" applyFont="1" applyFill="1" applyAlignment="1">
      <alignment horizontal="left" vertical="top" wrapText="1"/>
    </xf>
    <xf numFmtId="2" fontId="5" fillId="15" borderId="0" xfId="0" applyNumberFormat="1" applyFont="1" applyFill="1" applyAlignment="1">
      <alignment horizontal="left" vertical="top"/>
    </xf>
    <xf numFmtId="164" fontId="5" fillId="15" borderId="0" xfId="0" applyNumberFormat="1" applyFont="1" applyFill="1" applyAlignment="1">
      <alignment horizontal="left" vertical="top"/>
    </xf>
    <xf numFmtId="0" fontId="7" fillId="15" borderId="0" xfId="0" applyFont="1" applyFill="1" applyAlignment="1">
      <alignment horizontal="left" vertical="top"/>
    </xf>
    <xf numFmtId="0" fontId="7" fillId="15" borderId="0" xfId="0" applyFont="1" applyFill="1" applyAlignment="1">
      <alignment horizontal="left" vertical="top" wrapText="1"/>
    </xf>
    <xf numFmtId="14" fontId="7" fillId="15" borderId="0" xfId="0" applyNumberFormat="1" applyFont="1" applyFill="1" applyAlignment="1">
      <alignment horizontal="left" vertical="top" wrapText="1"/>
    </xf>
    <xf numFmtId="3" fontId="7" fillId="15" borderId="0" xfId="0" applyNumberFormat="1" applyFont="1" applyFill="1" applyAlignment="1">
      <alignment horizontal="left" vertical="top"/>
    </xf>
    <xf numFmtId="3" fontId="7" fillId="15" borderId="0" xfId="0" applyNumberFormat="1" applyFont="1" applyFill="1" applyAlignment="1">
      <alignment horizontal="left" vertical="top" wrapText="1"/>
    </xf>
    <xf numFmtId="2" fontId="7" fillId="15" borderId="0" xfId="0" applyNumberFormat="1" applyFont="1" applyFill="1" applyAlignment="1">
      <alignment horizontal="left" vertical="top"/>
    </xf>
    <xf numFmtId="2" fontId="7" fillId="15" borderId="0" xfId="0" applyNumberFormat="1" applyFont="1" applyFill="1" applyAlignment="1">
      <alignment horizontal="left" vertical="top" wrapText="1"/>
    </xf>
    <xf numFmtId="0" fontId="7" fillId="15" borderId="0" xfId="0" applyFont="1" applyFill="1" applyAlignment="1">
      <alignment vertical="top" wrapText="1"/>
    </xf>
    <xf numFmtId="0" fontId="7" fillId="15" borderId="0" xfId="0" applyFont="1" applyFill="1" applyAlignment="1">
      <alignment vertical="top"/>
    </xf>
    <xf numFmtId="166" fontId="5" fillId="0" borderId="0" xfId="0" applyNumberFormat="1" applyFont="1" applyAlignment="1">
      <alignment horizontal="left" vertical="top" wrapText="1"/>
    </xf>
    <xf numFmtId="166" fontId="19" fillId="0" borderId="0" xfId="0" applyNumberFormat="1" applyFont="1" applyAlignment="1">
      <alignment horizontal="left" vertical="top"/>
    </xf>
    <xf numFmtId="49" fontId="9" fillId="0" borderId="0" xfId="0" applyNumberFormat="1" applyFont="1" applyAlignment="1">
      <alignment horizontal="left" vertical="top"/>
    </xf>
    <xf numFmtId="166" fontId="5" fillId="3" borderId="0" xfId="0" applyNumberFormat="1" applyFont="1" applyFill="1" applyAlignment="1">
      <alignment horizontal="left" vertical="top"/>
    </xf>
    <xf numFmtId="166" fontId="5" fillId="5" borderId="0" xfId="0" applyNumberFormat="1" applyFont="1" applyFill="1" applyAlignment="1">
      <alignment horizontal="left" vertical="top"/>
    </xf>
    <xf numFmtId="166" fontId="37" fillId="12" borderId="0" xfId="0" applyNumberFormat="1" applyFont="1" applyFill="1" applyAlignment="1">
      <alignment horizontal="left" vertical="top"/>
    </xf>
    <xf numFmtId="166" fontId="5" fillId="9" borderId="0" xfId="0" applyNumberFormat="1" applyFont="1" applyFill="1" applyAlignment="1">
      <alignment horizontal="left" vertical="top"/>
    </xf>
    <xf numFmtId="166" fontId="5" fillId="14" borderId="0" xfId="0" applyNumberFormat="1" applyFont="1" applyFill="1" applyAlignment="1">
      <alignment horizontal="left" vertical="top"/>
    </xf>
    <xf numFmtId="0" fontId="19" fillId="0" borderId="0" xfId="0" applyFont="1" applyAlignment="1">
      <alignment horizontal="center" vertical="top" wrapText="1"/>
    </xf>
    <xf numFmtId="0" fontId="19" fillId="0" borderId="0" xfId="0" applyFont="1" applyAlignment="1">
      <alignment horizontal="center" vertical="top"/>
    </xf>
    <xf numFmtId="15" fontId="19" fillId="0" borderId="0" xfId="0" applyNumberFormat="1" applyFont="1" applyAlignment="1">
      <alignment horizontal="center" vertical="top" wrapText="1"/>
    </xf>
  </cellXfs>
  <cellStyles count="2">
    <cellStyle name="Normal" xfId="0" builtinId="0"/>
    <cellStyle name="Percent" xfId="1" builtinId="5"/>
  </cellStyles>
  <dxfs count="0"/>
  <tableStyles count="0" defaultTableStyle="TableStyleMedium2" defaultPivotStyle="PivotStyleLight16"/>
  <colors>
    <mruColors>
      <color rgb="FF7ED9E8"/>
      <color rgb="FFCCFFFF"/>
      <color rgb="FFA8EBF0"/>
      <color rgb="FFCCECFF"/>
      <color rgb="FFCCCCFF"/>
      <color rgb="FF99CCFF"/>
      <color rgb="FF66CCFF"/>
      <color rgb="FF33CCFF"/>
      <color rgb="FF228E2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openxmlformats.org/officeDocument/2006/relationships/customXml" Target="../customXml/item3.xml"/><Relationship Id="rId5" Type="http://schemas.openxmlformats.org/officeDocument/2006/relationships/styles" Target="styles.xml"/><Relationship Id="rId10" Type="http://schemas.openxmlformats.org/officeDocument/2006/relationships/customXml" Target="../customXml/item2.xml"/><Relationship Id="rId4" Type="http://schemas.openxmlformats.org/officeDocument/2006/relationships/theme" Target="theme/theme1.xml"/><Relationship Id="rId9" Type="http://schemas.openxmlformats.org/officeDocument/2006/relationships/customXml" Target="../customXml/item1.xml"/></Relationships>
</file>

<file path=xl/persons/person.xml><?xml version="1.0" encoding="utf-8"?>
<personList xmlns="http://schemas.microsoft.com/office/spreadsheetml/2018/threadedcomments" xmlns:x="http://schemas.openxmlformats.org/spreadsheetml/2006/main">
  <person displayName="Matejka Rebolj" id="{883E32C5-8AB4-4AEE-9ADC-CF370F4EA9A2}" userId="S::k1773203@kcl.ac.uk::5d1b439c-ed51-4151-835d-22ddc3958d8d" providerId="AD"/>
  <person displayName="Nefeli Kouppa" id="{EB3A3BE2-592C-4348-A404-E1318D49EF19}" userId="S::k2256741@kcl.ac.uk::d26ffe9d-e378-4f85-8e27-f7909a222c99" providerId="AD"/>
  <person displayName="Freeman, Karoline" id="{C2B41D37-E765-46A9-9A6C-43C631A30BF3}" userId="S::mlsead@live.warwick.ac.uk::7fdd3528-5a4f-472b-a540-6a88caadfe0f" providerId="AD"/>
  <person displayName="Geppert, Julia" id="{3DE5673D-4837-4FC9-B8B9-34243175713A}" userId="S::u1374802@live.warwick.ac.uk::c5cfb17b-bde1-4e63-8b78-5a5da16592e2" providerId="AD"/>
  <person displayName="Stinton, Chris" id="{E08A2389-F34B-466D-8AA1-6ADBBDF0F7BF}" userId="S::u1472711@live.warwick.ac.uk::46d6c022-e8de-413c-ba06-c2c87e70388f" providerId="AD"/>
  <person displayName="Shinkins, Bethany" id="{CE811150-85E8-49D4-9C90-18806B514541}" userId="S::u2271457@live.warwick.ac.uk::e6273a26-b17f-4ba1-a049-8bcc0ead6a03" providerId="AD"/>
  <person displayName="Randell, Matthew" id="{E331BB74-BBA0-4486-A922-69CA2C388022}" userId="S::u4118627@live.warwick.ac.uk::1a0dea2c-bf04-4ca4-b669-5207c3f1cfce" providerId="AD"/>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D1" dT="2023-04-24T10:23:03.34" personId="{3DE5673D-4837-4FC9-B8B9-34243175713A}" id="{7B8221EC-B87A-44F2-9BF0-EC94526641F2}">
    <text>Short summary of the indicator, not the results, e.g. 'Mortality from breast cancer diagnosed in the intervention period; follow-up until 31/12/2000; per 1,000 PY, screening vs. control'</text>
  </threadedComment>
  <threadedComment ref="G1" dT="2023-04-24T10:24:01.37" personId="{3DE5673D-4837-4FC9-B8B9-34243175713A}" id="{48714943-A07C-488D-AE57-1A53612A0A3E}">
    <text>Rate 'Not applicable' if the comparator was 'No screening' or 'Usual care'.</text>
  </threadedComment>
  <threadedComment ref="H1" dT="2023-04-24T10:24:50.01" personId="{3DE5673D-4837-4FC9-B8B9-34243175713A}" id="{EEFAA51A-D515-4A99-8436-3BC2593ECE32}">
    <text>Rate as 'Not applicable' of the comparator was another screening test and/or interval.</text>
  </threadedComment>
  <threadedComment ref="I1" dT="2023-04-24T10:25:39.44" personId="{3DE5673D-4837-4FC9-B8B9-34243175713A}" id="{3CFFE7C5-5F41-49DE-8495-6FBB4794465A}">
    <text>Answer for the timepoint that you are extracting in that row.</text>
  </threadedComment>
  <threadedComment ref="K1" dT="2023-04-24T11:29:48.65" personId="{3DE5673D-4837-4FC9-B8B9-34243175713A}" id="{036F5518-5E9F-4F68-898F-F9F47B701044}">
    <text>Stage category (or its approximation) for the surrogate in question (relating to the extracted results in this row).</text>
  </threadedComment>
  <threadedComment ref="Q1" dT="2023-04-24T10:40:00.45" personId="{3DE5673D-4837-4FC9-B8B9-34243175713A}" id="{E05B91A1-CDD3-4C23-8495-1BA56D5F3DC3}">
    <text>Date or 'NR'.</text>
  </threadedComment>
  <threadedComment ref="S1" dT="2023-04-24T10:41:29.29" personId="{3DE5673D-4837-4FC9-B8B9-34243175713A}" id="{472E3F06-273F-4321-AA99-C34299C76952}">
    <text>E.g. reported mean (SD) or median (IQR, range).</text>
  </threadedComment>
  <threadedComment ref="T1" dT="2023-04-24T10:41:42.16" personId="{3DE5673D-4837-4FC9-B8B9-34243175713A}" id="{6E41814A-8981-41AD-8CCC-1B341F5B7F6C}">
    <text>E.g. reported mean (SD) or median (IQR, range).</text>
  </threadedComment>
  <threadedComment ref="U1" dT="2023-04-24T11:20:59.66" personId="{3DE5673D-4837-4FC9-B8B9-34243175713A}" id="{B54D4CBC-7C2B-49F7-92C6-B7711442F0FA}">
    <text>Number of rounds within the trial after which the analysis was done.</text>
  </threadedComment>
  <threadedComment ref="W1" dT="2023-04-24T10:26:54.55" personId="{3DE5673D-4837-4FC9-B8B9-34243175713A}" id="{B8DE8598-FC3A-47A3-9D0F-CA22B448F2C7}">
    <text>Free text field to give more details for column V.</text>
  </threadedComment>
  <threadedComment ref="Y1" dT="2023-05-24T13:07:16.03" personId="{3DE5673D-4837-4FC9-B8B9-34243175713A}" id="{43AEC330-DBF2-4997-9DC7-6B667DB3D98D}">
    <text>Put 'NA' for surrogates 3, 5 and 6 as they only include people with target cancer.</text>
  </threadedComment>
  <threadedComment ref="Z1" dT="2023-05-24T13:07:28.68" personId="{3DE5673D-4837-4FC9-B8B9-34243175713A}" id="{4D5535AD-4E1E-4E3E-9D34-FDFC89614BED}">
    <text xml:space="preserve">Put 'NA' for surrogates 3, 5 and 6 as they only include people with target cancer.
</text>
  </threadedComment>
  <threadedComment ref="AK1" dT="2023-04-24T11:06:21.84" personId="{3DE5673D-4837-4FC9-B8B9-34243175713A}" id="{5405CC65-B00C-4555-BCEF-10D979738C28}">
    <text>If person years, n randomised, and n target cancers are reported, please extract all using separate rows.</text>
  </threadedComment>
  <threadedComment ref="AL1" dT="2023-04-24T11:06:21.84" personId="{3DE5673D-4837-4FC9-B8B9-34243175713A}" id="{D1CD88C0-D713-4A20-8A3B-6CABD7AD25FF}">
    <text>If person years, n randomised, and n target cancers are reported, please extract all using separate rows.</text>
  </threadedComment>
  <threadedComment ref="AM1" dT="2023-04-24T10:44:06.05" personId="{3DE5673D-4837-4FC9-B8B9-34243175713A}" id="{100B679F-38DB-4D85-9740-D1EFBE333F9D}">
    <text>Unit for rate reported in column AN and AR and/or calculated in columns AO and AS.</text>
  </threadedComment>
  <threadedComment ref="AN1" dT="2023-04-24T10:45:57.15" personId="{3DE5673D-4837-4FC9-B8B9-34243175713A}" id="{32EDC187-F63D-4390-8824-8224AD88B0D9}">
    <text>Extract rate as reported in paper or fill as 'NR'.</text>
  </threadedComment>
  <threadedComment ref="AO1" dT="2023-04-24T10:46:48.60" personId="{3DE5673D-4837-4FC9-B8B9-34243175713A}" id="{87945A82-6962-4D95-950E-76B160C05CAE}">
    <text>Calculate rate yourself in Excel (e.g. =AI*1000/AK) to check reported rate or to obtain rate if not reported in paper.</text>
  </threadedComment>
  <threadedComment ref="AP1" dT="2023-04-24T10:47:32.80" personId="{3DE5673D-4837-4FC9-B8B9-34243175713A}" id="{46168B82-419B-4FA4-A8DB-19AFF4108FCC}">
    <text>Extract the reported lower 95% confidence interval for the rate.</text>
  </threadedComment>
  <threadedComment ref="AQ1" dT="2023-04-24T10:48:49.67" personId="{3DE5673D-4837-4FC9-B8B9-34243175713A}" id="{CC30A732-6B2C-4B47-81CB-248D2C8B3D16}">
    <text>Extract the reported upper 95% confidence interval for the rate.</text>
  </threadedComment>
  <threadedComment ref="AR1" dT="2023-04-24T10:49:18.01" personId="{3DE5673D-4837-4FC9-B8B9-34243175713A}" id="{C6080588-17B7-40F8-B689-302617CF4CB8}">
    <text>Extracted rate as reported in paper, or fill as 'NR'.</text>
  </threadedComment>
  <threadedComment ref="AS1" dT="2023-04-24T10:49:54.49" personId="{3DE5673D-4837-4FC9-B8B9-34243175713A}" id="{4F7A13A5-83E4-4BF3-A6BA-CAF5D96E3084}">
    <text>Calculate rate yourself in Excel (e.g. =AJ*1000/AL) to check reported rate or to obtain rate if not reported in paper.</text>
  </threadedComment>
  <threadedComment ref="AT1" dT="2023-04-24T10:50:15.23" personId="{3DE5673D-4837-4FC9-B8B9-34243175713A}" id="{D48CD06E-F4AF-43B0-8277-9A98D6D66389}">
    <text>Extract the reported lower 95% confidence interval for the rate.</text>
  </threadedComment>
  <threadedComment ref="AU1" dT="2023-04-24T10:50:39.63" personId="{3DE5673D-4837-4FC9-B8B9-34243175713A}" id="{13FDF980-5B3C-4D47-8274-520B39421F8A}">
    <text>Extract the reported upper 95% confidence interval for the rate.</text>
  </threadedComment>
  <threadedComment ref="AV1" dT="2023-04-24T10:52:18.33" personId="{3DE5673D-4837-4FC9-B8B9-34243175713A}" id="{28ECA70C-3483-49CF-A23E-528FE571BCCA}">
    <text>RR = Risk ratio. OR = Odds ratio. HR = Hazard ratio.</text>
  </threadedComment>
  <threadedComment ref="AW1" dT="2023-04-24T10:53:18.57" personId="{3DE5673D-4837-4FC9-B8B9-34243175713A}" id="{EA5101F5-EBD0-4B8C-929C-18E1100F37E9}">
    <text>For the chosen indicator in column AV (e.g. RR), extract the reported, unadjusted value from the paper.</text>
  </threadedComment>
  <threadedComment ref="AX1" dT="2023-04-24T10:54:32.45" personId="{3DE5673D-4837-4FC9-B8B9-34243175713A}" id="{13B43232-E9C7-4A34-B19A-5B8EFE8649E2}">
    <text>Calculate RR or OR yourself in Excel, e.g. =AO/AS. No need to calculate HR.</text>
  </threadedComment>
  <threadedComment ref="AY1" dT="2023-04-24T10:55:10.26" personId="{3DE5673D-4837-4FC9-B8B9-34243175713A}" id="{79B62C9E-5240-4785-8EB7-43148A4153B2}">
    <text>Extract the lower 95% confidence interval for AW from the paper.</text>
  </threadedComment>
  <threadedComment ref="AZ1" dT="2023-04-24T10:55:21.22" personId="{3DE5673D-4837-4FC9-B8B9-34243175713A}" id="{A0DB645C-64B5-4454-9C5C-4F2B448E7911}">
    <text>Extract the upper 95% confidence interval for AW from the paper.</text>
  </threadedComment>
  <threadedComment ref="BA1" dT="2023-04-24T10:56:12.76" personId="{3DE5673D-4837-4FC9-B8B9-34243175713A}" id="{6D136F05-1183-4313-A49C-713C452A5E53}">
    <text>Extract the reported p value for the comparison in this row, or use 'NR'.</text>
  </threadedComment>
  <threadedComment ref="BB1" dT="2023-04-24T11:25:52.24" personId="{3DE5673D-4837-4FC9-B8B9-34243175713A}" id="{54AC7729-B3C8-4306-AC54-1477EA6440BE}">
    <text>Which variable(s) have been adjusted for? Methods?</text>
  </threadedComment>
  <threadedComment ref="AX135" dT="2023-06-16T13:36:28.96" personId="{E08A2389-F34B-466D-8AA1-6ADBBDF0F7BF}" id="{6F894D8D-F66F-4E62-955E-B98E176999B5}">
    <text>1.92/1.20 = 1.60</text>
  </threadedComment>
  <threadedComment ref="AX149" dT="2023-07-12T14:01:32.11" personId="{E08A2389-F34B-466D-8AA1-6ADBBDF0F7BF}" id="{8D7B5500-89C9-4540-AC80-14240FE945B5}">
    <text>Need to check with Adam if this is appropriate given one arm has zero events so the estimate would be zero no matter how many events there were in the other arm.</text>
  </threadedComment>
  <threadedComment ref="AX150" dT="2023-07-12T14:02:47.61" personId="{E08A2389-F34B-466D-8AA1-6ADBBDF0F7BF}" id="{969FEA8C-1CC4-47B1-A220-5A19CCEC541B}">
    <text>Need to check with Adam if this is appropriate given one arm has zero events so the estimate would be zero no matter how many events there were in the other arm.</text>
  </threadedComment>
  <threadedComment ref="AI219" dT="2023-08-27T18:50:47.00" personId="{883E32C5-8AB4-4AEE-9ADC-CF370F4EA9A2}" id="{937DE4AF-B871-444C-9A15-0E21B56DB49E}" done="1">
    <text>Same comment as above: report these together with ovarian+tubal? I agree with the numbers otherwise</text>
  </threadedComment>
  <threadedComment ref="AI219" dT="2023-08-29T08:16:59.08" personId="{3DE5673D-4837-4FC9-B8B9-34243175713A}" id="{4E5E3C6B-4872-492D-968B-6239B3F627A5}" parentId="{937DE4AF-B871-444C-9A15-0E21B56DB49E}">
    <text>Agree, I will add them together.</text>
  </threadedComment>
  <threadedComment ref="AI236" dT="2023-08-27T18:52:46.47" personId="{883E32C5-8AB4-4AEE-9ADC-CF370F4EA9A2}" id="{7C70D405-83C5-451A-8D60-3CAF72375892}" done="1">
    <text>Same as above, but I agree with the numbers</text>
  </threadedComment>
  <threadedComment ref="AI236" dT="2023-08-29T08:34:35.69" personId="{3DE5673D-4837-4FC9-B8B9-34243175713A}" id="{88ADD48E-8A2E-4911-98AE-2E4C021FADA8}" parentId="{7C70D405-83C5-451A-8D60-3CAF72375892}">
    <text>I have added numbers for primary ovarian and peritoneal cancer together as suggested.</text>
  </threadedComment>
  <threadedComment ref="A246" dT="2023-06-21T09:30:45.48" personId="{3DE5673D-4837-4FC9-B8B9-34243175713A}" id="{B281471D-9EB7-4FF0-8A93-CE1523EE0AA9}" done="1">
    <text>Table 2 also reports the stage for the subgroup of  invasive epithelial ovarian or tubal cancers. Not extracted yet. Web Table 3 also reports substages (a, b, c) for invasive epithelial ovarian and tubal cancers. Not extracted yet.</text>
  </threadedComment>
  <threadedComment ref="A246" dT="2023-08-27T18:55:02.54" personId="{883E32C5-8AB4-4AEE-9ADC-CF370F4EA9A2}" id="{F26A84E9-94CD-4936-8CBF-8E5D03FA4665}" parentId="{B281471D-9EB7-4FF0-8A93-CE1523EE0AA9}">
    <text>I wouldn't worry about those for now, as they are just subgroups of the overall ovarian cancer group</text>
  </threadedComment>
  <threadedComment ref="AX246" dT="2023-06-21T12:27:11.10" personId="{3DE5673D-4837-4FC9-B8B9-34243175713A}" id="{C1CDEC60-00A6-4C0D-9282-487C39C8DA4D}">
    <text>Slightly different to reported rate. Think they have used 50,618 (MMS), 50,614 (USS) and 101,297 (no screening) as denominators (see Figure 2A)?</text>
  </threadedComment>
  <threadedComment ref="AX250" dT="2023-06-21T12:18:40.58" personId="{3DE5673D-4837-4FC9-B8B9-34243175713A}" id="{424B5220-BCA2-4110-AEE2-BF5480CBE87E}" done="1">
    <text>Slightly different to reported value.</text>
  </threadedComment>
  <threadedComment ref="AX254" dT="2023-06-21T12:23:35.99" personId="{3DE5673D-4837-4FC9-B8B9-34243175713A}" id="{E9C2E08E-8965-4D94-824C-EEEDB69F53DD}" done="1">
    <text>Slightly different to reported rate.</text>
  </threadedComment>
  <threadedComment ref="AX256" dT="2023-08-29T09:01:09.23" personId="{3DE5673D-4837-4FC9-B8B9-34243175713A}" id="{F5BBB22B-6C97-45AC-81BF-57043C831F9C}" done="1">
    <text>Slightly different to reported rate.</text>
  </threadedComment>
  <threadedComment ref="A259" dT="2023-06-21T09:30:45.48" personId="{3DE5673D-4837-4FC9-B8B9-34243175713A}" id="{651EA90A-7F46-430A-A5A6-DBF2C112A8EB}" done="1">
    <text>Table 2 also reports the stage for the subgroup of  invasive epithelial ovarian or tubal cancers. Not extracted yet. Web Table 3 also reports substages (a, b, c) for invasive epithelial ovarian and tubal cancers. Not extracted yet.</text>
  </threadedComment>
  <threadedComment ref="D283" dT="2023-07-07T15:42:22.75" personId="{3DE5673D-4837-4FC9-B8B9-34243175713A}" id="{7CCD0D21-9C0D-46B1-AD2C-F261D008238E}" done="1">
    <text>Not sure about the denominator. Maybe we can check with Matejka, if it should be just total number of NSCLC or the total number of lung cancers (so NSCLC + SCLC).</text>
  </threadedComment>
  <threadedComment ref="D283" dT="2023-08-21T12:59:29.89" personId="{3DE5673D-4837-4FC9-B8B9-34243175713A}" id="{712EDA9D-5476-4C96-8B2A-76302E759438}" parentId="{7CCD0D21-9C0D-46B1-AD2C-F261D008238E}">
    <text>Maybe it does not really matter as long as we are stating in the denominator column what we have used? Let's split it up in NSCLC and SCLC, then you have the individual numbers and can add them together later if you want to create a late stage that is defined as stage III-IV or extensive lung cancer.</text>
  </threadedComment>
  <threadedComment ref="AI311" dT="2023-07-05T13:27:34.18" personId="{3DE5673D-4837-4FC9-B8B9-34243175713A}" id="{E3B60DD4-4FA9-48E8-A127-914E6A136A38}">
    <text>Andriole 2012 reports 401 prostate cancers with Gleason score 8-10.</text>
  </threadedComment>
  <threadedComment ref="AJ311" dT="2023-07-05T13:27:55.64" personId="{3DE5673D-4837-4FC9-B8B9-34243175713A}" id="{C4484879-B420-4291-89EF-0FC2946F4EB2}">
    <text>Andriole 2012 reports 454 prostate cancers with Gleason score 8-10.</text>
  </threadedComment>
  <threadedComment ref="AI314" dT="2023-07-05T13:27:34.18" personId="{3DE5673D-4837-4FC9-B8B9-34243175713A}" id="{C8158865-9DEC-4664-84E4-A15E9178BB43}">
    <text>Andriole 2012 reports 401 prostate cancers with Gleason score 8-10.</text>
  </threadedComment>
  <threadedComment ref="AJ314" dT="2023-07-05T13:27:55.64" personId="{3DE5673D-4837-4FC9-B8B9-34243175713A}" id="{4B730A50-3E37-4229-8A64-3FFE1C1566ED}">
    <text>Andriole 2012 reports 454 prostate cancers with Gleason score 8-10.</text>
  </threadedComment>
  <threadedComment ref="D322" dT="2023-07-05T08:39:41.40" personId="{3DE5673D-4837-4FC9-B8B9-34243175713A}" id="{D46BA75D-5E69-4D89-9BEB-189442D5CB37}" done="1">
    <text>I don't think we are interested in subgroups other than 'centre', 'sex' or 'age group'. I have therefore added people with and without comorbidities together. Still not sure this paper should be included at all.</text>
  </threadedComment>
  <threadedComment ref="D322" dT="2023-08-21T12:07:54.76" personId="{3DE5673D-4837-4FC9-B8B9-34243175713A}" id="{A2FC4FDE-974C-415D-9535-CF6A37A8C0C0}" parentId="{D46BA75D-5E69-4D89-9BEB-189442D5CB37}">
    <text>Matejka's reply was: "We agreed at one of the group meetings that we will not extract data for groups other than sex, age, and centre. But I’m not sure whether this means that the Crawford paper could not be used, if this is the only paper providing data at 10 years post-randomisation. If you sum up those with no or minimal comorbidities and those with comorbidities by arm, could you get useful data? These data seem to be available in Table 3. BUT if you have another publication that is directly looking at mortality at 10 years, then I’d exclude Crawford for duplication."</text>
  </threadedComment>
  <threadedComment ref="D322" dT="2023-08-21T12:08:30.47" personId="{3DE5673D-4837-4FC9-B8B9-34243175713A}" id="{C08B4C85-7CE3-4A26-9E4E-3DF6587BF1B7}" parentId="{D46BA75D-5E69-4D89-9BEB-189442D5CB37}">
    <text>We have data for 10-year mortality reported by Andriole 2012 and Pinsky 2017. But that paper also reports surrogate data up to 31/08/2009, an analysis date that is not covered by other publications. So we might want to leave it in...</text>
  </threadedComment>
  <threadedComment ref="D323" dT="2023-07-05T08:39:52.40" personId="{3DE5673D-4837-4FC9-B8B9-34243175713A}" id="{0013FC85-F741-4E87-9590-6D9B503DEFA5}" done="1">
    <text>I don't think we are interested in subgroups other than 'centre', 'sex' or 'age group'. I have therefore added people with and without comorbidities together. Still not sure this paper should be included at all.</text>
  </threadedComment>
  <threadedComment ref="D324" dT="2023-07-05T08:39:52.40" personId="{3DE5673D-4837-4FC9-B8B9-34243175713A}" id="{DF59F7EA-BFAD-4EAF-B485-46A55712F67D}" done="1">
    <text>I don't think we are interested in subgroups other than 'centre', 'sex' or 'age group'. I have therefore added people with and without comorbidities together. Still not sure this paper should be included at all.</text>
  </threadedComment>
  <threadedComment ref="A331" dT="2023-08-21T12:27:38.01" personId="{3DE5673D-4837-4FC9-B8B9-34243175713A}" id="{0B5C8B7E-591E-444A-973F-1AEE6AA34180}" done="1">
    <text>I have added another row for Gleason score 8-10 based on biopsy only!</text>
  </threadedComment>
  <threadedComment ref="AN333" dT="2023-05-31T15:59:34.36" personId="{EB3A3BE2-592C-4348-A404-E1318D49EF19}" id="{948D8CB9-0EAE-4B06-A285-7BA9177D1116}" done="1">
    <text>Assuming screen detected = total- symptomatic</text>
  </threadedComment>
  <threadedComment ref="AN333" dT="2023-07-06T09:25:34.35" personId="{3DE5673D-4837-4FC9-B8B9-34243175713A}" id="{F89A6369-C921-4C02-BC9D-E671C2EFD7C5}" parentId="{948D8CB9-0EAE-4B06-A285-7BA9177D1116}">
    <text>I don't think we can do this as the PCLO abstractors categorised mode of detection into screen-detected, symptomatically detected, other-detected and not ascertained. I suggest to use the number from Figure 3 instead.</text>
  </threadedComment>
  <threadedComment ref="AH356" dT="2023-07-07T08:22:13.00" personId="{3DE5673D-4837-4FC9-B8B9-34243175713A}" id="{ECF0FED7-6772-431F-8466-6D7C4ACB49B7}" done="1">
    <text>We agreed to change the denominator to "N randomised" in one of our meetings.</text>
  </threadedComment>
  <threadedComment ref="D358" dT="2023-08-29T10:38:02.94" personId="{3DE5673D-4837-4FC9-B8B9-34243175713A}" id="{F7B19FB4-3CDA-483B-A333-F3E58B9BC9F1}">
    <text>The protocol states for surrogate 4: "If data permit also evaluate absolute incidence of early-stage high grade cancer detection defined as: 
Grade 3 and stage I or II; 
Grade 2+ and stage I or II; 
Or cancer-specific, e.g. prostate cancer Gleason 7+ or Gleason 8+ and stage I or II." So, was wondering if we could use these data as cancer-specific alternative???</text>
  </threadedComment>
  <threadedComment ref="AC359" dT="2023-08-28T16:54:45.08" personId="{883E32C5-8AB4-4AEE-9ADC-CF370F4EA9A2}" id="{5255164B-7788-4870-B27B-88ECAFE39DA4}" done="1">
    <text>Are these individuals those that were excluded from the ITT analysis because of consent and censoring events before consent (=not eligible for the trial according to this design)? If so, I'd not report it here as the ITT analysis excludes them</text>
  </threadedComment>
  <threadedComment ref="AC359" dT="2023-08-29T13:37:03.87" personId="{3DE5673D-4837-4FC9-B8B9-34243175713A}" id="{6302A6D2-ED7E-4AF7-841F-2575ACD12EC8}" parentId="{5255164B-7788-4870-B27B-88ECAFE39DA4}">
    <text>Agree. Mentioned them in Notes field.</text>
  </threadedComment>
  <threadedComment ref="AH359" dT="2023-06-13T09:57:45.19" personId="{3DE5673D-4837-4FC9-B8B9-34243175713A}" id="{145B2340-65AB-41F0-86BA-75ACEFCCD927}" done="1">
    <text>Should it be number of people randomised (2028) or analysed (1987)?</text>
  </threadedComment>
  <threadedComment ref="AH359" dT="2023-08-28T16:56:17.02" personId="{883E32C5-8AB4-4AEE-9ADC-CF370F4EA9A2}" id="{D5446164-BA3F-4029-8FDB-A4F0D4A31F20}" parentId="{145B2340-65AB-41F0-86BA-75ACEFCCD927}">
    <text>Analysed</text>
  </threadedComment>
  <threadedComment ref="AH359" dT="2023-08-29T13:38:15.96" personId="{3DE5673D-4837-4FC9-B8B9-34243175713A}" id="{4144DFBC-A4C5-4630-88CE-8D4995E417FC}" parentId="{145B2340-65AB-41F0-86BA-75ACEFCCD927}">
    <text>Corrected.</text>
  </threadedComment>
  <threadedComment ref="AK359" dT="2023-08-28T16:57:21.39" personId="{883E32C5-8AB4-4AEE-9ADC-CF370F4EA9A2}" id="{5D287253-2252-482D-A120-FCD780626BAF}" done="1">
    <text>1987</text>
  </threadedComment>
  <threadedComment ref="AK359" dT="2023-08-29T13:38:43.33" personId="{3DE5673D-4837-4FC9-B8B9-34243175713A}" id="{962E19DA-E850-4D8F-8D5E-6A66B74D42BE}" parentId="{5D287253-2252-482D-A120-FCD780626BAF}">
    <text>Corrected.</text>
  </threadedComment>
  <threadedComment ref="AC360" dT="2023-08-28T16:54:45.08" personId="{883E32C5-8AB4-4AEE-9ADC-CF370F4EA9A2}" id="{BB3EB2E1-C540-4DCB-8733-9A629B7DD4FF}" done="1">
    <text>Are these individuals those that were excluded from the ITT analysis because of consent and censoring events before consent (=not eligible for the trial according to this design)? If so, I'd not report it here as the ITT analysis excludes them</text>
  </threadedComment>
  <threadedComment ref="AC360" dT="2023-08-29T13:37:03.87" personId="{3DE5673D-4837-4FC9-B8B9-34243175713A}" id="{B87C0793-8D56-41D3-BBE9-32F2FBDDD197}" parentId="{BB3EB2E1-C540-4DCB-8733-9A629B7DD4FF}">
    <text>Agree. Mentioned them in Notes field.</text>
  </threadedComment>
  <threadedComment ref="AA361" dT="2023-06-13T13:53:33.57" personId="{3DE5673D-4837-4FC9-B8B9-34243175713A}" id="{E25830FB-5CE8-49CD-80B5-B588850C21E0}">
    <text>Can we get number censored from Figure 3 as it gives number at risk and number diagnosed with lung cancer?</text>
  </threadedComment>
  <threadedComment ref="AA361" dT="2023-08-28T17:01:32.63" personId="{883E32C5-8AB4-4AEE-9ADC-CF370F4EA9A2}" id="{DCC3BC69-BCFC-4493-9AD0-78F4D87E0F00}" parentId="{E25830FB-5CE8-49CD-80B5-B588850C21E0}">
    <text>I'm not sure it is completely correct. Fig 3 only reports up until 7 years of FU, whereas incidence was established in a median of just over 7 years</text>
  </threadedComment>
  <threadedComment ref="AA361" dT="2023-08-29T13:45:38.46" personId="{3DE5673D-4837-4FC9-B8B9-34243175713A}" id="{17C1F5DA-AFE4-4587-BD4C-75496A22FA9D}" parentId="{E25830FB-5CE8-49CD-80B5-B588850C21E0}">
    <text>Think I made this comment before Adam suggested only to put a number here, if we don't have person-year or median (IQR, range) follow-up time. So, think we can leave as NR.</text>
  </threadedComment>
  <threadedComment ref="AH361" dT="2023-06-13T10:16:29.50" personId="{3DE5673D-4837-4FC9-B8B9-34243175713A}" id="{DCA1A185-7259-4196-BBB6-BF21741A03A0}" done="1">
    <text>Or should it be number of people randomised?</text>
  </threadedComment>
  <threadedComment ref="AH361" dT="2023-08-28T16:56:27.87" personId="{883E32C5-8AB4-4AEE-9ADC-CF370F4EA9A2}" id="{A4CB43C1-C87A-4907-BF03-D1157AE519A1}" parentId="{DCA1A185-7259-4196-BBB6-BF21741A03A0}">
    <text>Analysed</text>
  </threadedComment>
  <threadedComment ref="AA362" dT="2023-06-13T13:53:33.57" personId="{3DE5673D-4837-4FC9-B8B9-34243175713A}" id="{68BD1DAD-2E15-4536-9E3D-8F5B8FE7FA14}">
    <text>Can we get number censored from Figure 3 as it gives number at risk and number diagnosed with lung cancer?</text>
  </threadedComment>
  <threadedComment ref="AA362" dT="2023-08-28T17:01:32.63" personId="{883E32C5-8AB4-4AEE-9ADC-CF370F4EA9A2}" id="{F6BEEF5D-B0B1-451F-B147-2B07DC44A36D}" parentId="{68BD1DAD-2E15-4536-9E3D-8F5B8FE7FA14}">
    <text>I'm not sure it is completely correct. Fig 3 only reports up until 7 years of FU, whereas incidence was established in a median of just over 7 years</text>
  </threadedComment>
  <threadedComment ref="AA362" dT="2023-08-29T13:45:38.46" personId="{3DE5673D-4837-4FC9-B8B9-34243175713A}" id="{5BA0E50C-C50A-44EB-8563-6DAEA2815548}" parentId="{68BD1DAD-2E15-4536-9E3D-8F5B8FE7FA14}">
    <text>Think I made this comment before Adam suggested only to put a number here, if we don't have person-year or median (IQR, range) follow-up time. So, think we can leave as NR.</text>
  </threadedComment>
  <threadedComment ref="AH362" dT="2023-06-13T10:16:29.50" personId="{3DE5673D-4837-4FC9-B8B9-34243175713A}" id="{527FCAF7-DCA8-4285-A2A4-0316CC7ECB11}" done="1">
    <text>Or should it be number of people randomised?</text>
  </threadedComment>
  <threadedComment ref="AH362" dT="2023-08-28T16:56:27.87" personId="{883E32C5-8AB4-4AEE-9ADC-CF370F4EA9A2}" id="{79C69B64-C206-437B-93D1-B3EE0D912354}" parentId="{527FCAF7-DCA8-4285-A2A4-0316CC7ECB11}">
    <text>Analysed</text>
  </threadedComment>
  <threadedComment ref="AA363" dT="2023-06-13T13:53:33.57" personId="{3DE5673D-4837-4FC9-B8B9-34243175713A}" id="{CA7F954C-22ED-417E-9F85-B1AB93A12690}">
    <text>Can we get number censored from Figure 3 as it gives number at risk and number diagnosed with lung cancer?</text>
  </threadedComment>
  <threadedComment ref="AA363" dT="2023-08-28T17:01:32.63" personId="{883E32C5-8AB4-4AEE-9ADC-CF370F4EA9A2}" id="{CAF2DF9B-9B1D-40BE-9BCB-8533ACD2728F}" parentId="{CA7F954C-22ED-417E-9F85-B1AB93A12690}">
    <text>I'm not sure it is completely correct. Fig 3 only reports up until 7 years of FU, whereas incidence was established in a median of just over 7 years</text>
  </threadedComment>
  <threadedComment ref="AA363" dT="2023-08-29T13:45:38.46" personId="{3DE5673D-4837-4FC9-B8B9-34243175713A}" id="{4F8BCEF1-09FE-4B4F-82C0-2ED9063DF392}" parentId="{CA7F954C-22ED-417E-9F85-B1AB93A12690}">
    <text>Think I made this comment before Adam suggested only to put a number here, if we don't have person-year or median (IQR, range) follow-up time. So, think we can leave as NR.</text>
  </threadedComment>
  <threadedComment ref="AH363" dT="2023-06-13T10:16:29.50" personId="{3DE5673D-4837-4FC9-B8B9-34243175713A}" id="{EB249CF9-DF2F-4454-A762-39C118D16F7C}" done="1">
    <text>Or should it be number of people randomised?</text>
  </threadedComment>
  <threadedComment ref="AH363" dT="2023-08-28T16:56:27.87" personId="{883E32C5-8AB4-4AEE-9ADC-CF370F4EA9A2}" id="{686C5C03-F0C5-489C-A433-36CCA78810E9}" parentId="{EB249CF9-DF2F-4454-A762-39C118D16F7C}">
    <text>Analysed</text>
  </threadedComment>
  <threadedComment ref="AA364" dT="2023-06-13T13:53:33.57" personId="{3DE5673D-4837-4FC9-B8B9-34243175713A}" id="{E5564EAC-DFDC-4757-8520-41E17D35CB02}">
    <text>Can we get number censored from Figure 3 as it gives number at risk and number diagnosed with lung cancer?</text>
  </threadedComment>
  <threadedComment ref="AA364" dT="2023-08-28T17:01:32.63" personId="{883E32C5-8AB4-4AEE-9ADC-CF370F4EA9A2}" id="{1AF7A479-8F24-4B81-9F0E-4B024FCE3E11}" parentId="{E5564EAC-DFDC-4757-8520-41E17D35CB02}">
    <text>I'm not sure it is completely correct. Fig 3 only reports up until 7 years of FU, whereas incidence was established in a median of just over 7 years</text>
  </threadedComment>
  <threadedComment ref="AA364" dT="2023-08-29T13:45:38.46" personId="{3DE5673D-4837-4FC9-B8B9-34243175713A}" id="{F53F7F28-AC66-4C6C-8BDD-1F555E9E7881}" parentId="{E5564EAC-DFDC-4757-8520-41E17D35CB02}">
    <text>Think I made this comment before Adam suggested only to put a number here, if we don't have person-year or median (IQR, range) follow-up time. So, think we can leave as NR.</text>
  </threadedComment>
  <threadedComment ref="AA365" dT="2023-06-13T13:53:33.57" personId="{3DE5673D-4837-4FC9-B8B9-34243175713A}" id="{E21F2C39-81EC-4F55-A33F-8B59BF374FB9}">
    <text>Can we get number censored from Figure 3 as it gives number at risk and number diagnosed with lung cancer?</text>
  </threadedComment>
  <threadedComment ref="AA365" dT="2023-08-28T17:01:32.63" personId="{883E32C5-8AB4-4AEE-9ADC-CF370F4EA9A2}" id="{0CBD53E0-FE9D-40A9-BCB8-117370CBDA3D}" parentId="{E21F2C39-81EC-4F55-A33F-8B59BF374FB9}">
    <text>I'm not sure it is completely correct. Fig 3 only reports up until 7 years of FU, whereas incidence was established in a median of just over 7 years</text>
  </threadedComment>
  <threadedComment ref="AA365" dT="2023-08-29T13:45:38.46" personId="{3DE5673D-4837-4FC9-B8B9-34243175713A}" id="{8F352D0E-F6D5-4891-812A-3E2ECB292305}" parentId="{E21F2C39-81EC-4F55-A33F-8B59BF374FB9}">
    <text>Think I made this comment before Adam suggested only to put a number here, if we don't have person-year or median (IQR, range) follow-up time. So, think we can leave as NR.</text>
  </threadedComment>
  <threadedComment ref="AA366" dT="2023-06-13T13:53:33.57" personId="{3DE5673D-4837-4FC9-B8B9-34243175713A}" id="{57D619CC-AEC3-478B-98C8-4E500E1C39CA}">
    <text>Can we get number censored from Figure 3 as it gives number at risk and number diagnosed with lung cancer?</text>
  </threadedComment>
  <threadedComment ref="AA366" dT="2023-08-28T17:01:32.63" personId="{883E32C5-8AB4-4AEE-9ADC-CF370F4EA9A2}" id="{143110BE-DF0C-4283-A04F-BF4D64967EBA}" parentId="{57D619CC-AEC3-478B-98C8-4E500E1C39CA}">
    <text>I'm not sure it is completely correct. Fig 3 only reports up until 7 years of FU, whereas incidence was established in a median of just over 7 years</text>
  </threadedComment>
  <threadedComment ref="AA366" dT="2023-08-29T13:45:38.46" personId="{3DE5673D-4837-4FC9-B8B9-34243175713A}" id="{64C86CF7-09CB-41CA-8C96-F01C8A87C8E8}" parentId="{57D619CC-AEC3-478B-98C8-4E500E1C39CA}">
    <text>Think I made this comment before Adam suggested only to put a number here, if we don't have person-year or median (IQR, range) follow-up time. So, think we can leave as NR.</text>
  </threadedComment>
  <threadedComment ref="AA367" dT="2023-06-13T13:53:33.57" personId="{3DE5673D-4837-4FC9-B8B9-34243175713A}" id="{89E1EDE1-D1AB-4373-A9A4-E1ADF6328934}">
    <text>Can we get number censored from Figure 3 as it gives number at risk and number diagnosed with lung cancer?</text>
  </threadedComment>
  <threadedComment ref="AA367" dT="2023-08-28T17:01:32.63" personId="{883E32C5-8AB4-4AEE-9ADC-CF370F4EA9A2}" id="{4717635D-9EB5-4925-AF7F-CF3AD68FC75B}" parentId="{89E1EDE1-D1AB-4373-A9A4-E1ADF6328934}">
    <text>I'm not sure it is completely correct. Fig 3 only reports up until 7 years of FU, whereas incidence was established in a median of just over 7 years</text>
  </threadedComment>
  <threadedComment ref="AA367" dT="2023-08-29T13:45:38.46" personId="{3DE5673D-4837-4FC9-B8B9-34243175713A}" id="{0D9D9453-FB1C-4808-B6A4-3A0057A46200}" parentId="{89E1EDE1-D1AB-4373-A9A4-E1ADF6328934}">
    <text>Think I made this comment before Adam suggested only to put a number here, if we don't have person-year or median (IQR, range) follow-up time. So, think we can leave as NR.</text>
  </threadedComment>
  <threadedComment ref="AH367" dT="2023-06-13T10:16:29.50" personId="{3DE5673D-4837-4FC9-B8B9-34243175713A}" id="{5D8F5EE9-20DD-44FF-B134-D466FE384409}" done="1">
    <text>Or should it be number of people randomised?</text>
  </threadedComment>
  <threadedComment ref="AH367" dT="2023-08-28T17:03:01.80" personId="{883E32C5-8AB4-4AEE-9ADC-CF370F4EA9A2}" id="{B013F011-A68F-4707-897F-C4714CC19398}" parentId="{5D8F5EE9-20DD-44FF-B134-D466FE384409}">
    <text>As above (everywhere below in this column)</text>
  </threadedComment>
  <threadedComment ref="AA368" dT="2023-06-13T13:53:33.57" personId="{3DE5673D-4837-4FC9-B8B9-34243175713A}" id="{48B80CF3-1EC3-4ED0-BF84-A319EFCCD67A}">
    <text>Can we get number censored from Figure 3 as it gives number at risk and number diagnosed with lung cancer?</text>
  </threadedComment>
  <threadedComment ref="AA368" dT="2023-08-28T17:01:32.63" personId="{883E32C5-8AB4-4AEE-9ADC-CF370F4EA9A2}" id="{AF4484CE-DD42-472E-9886-077AE174EC01}" parentId="{48B80CF3-1EC3-4ED0-BF84-A319EFCCD67A}">
    <text>I'm not sure it is completely correct. Fig 3 only reports up until 7 years of FU, whereas incidence was established in a median of just over 7 years</text>
  </threadedComment>
  <threadedComment ref="AA368" dT="2023-08-29T13:45:38.46" personId="{3DE5673D-4837-4FC9-B8B9-34243175713A}" id="{32B76EE8-A855-4B9C-8B60-AFDB18675E8D}" parentId="{48B80CF3-1EC3-4ED0-BF84-A319EFCCD67A}">
    <text>Think I made this comment before Adam suggested only to put a number here, if we don't have person-year or median (IQR, range) follow-up time. So, think we can leave as NR.</text>
  </threadedComment>
  <threadedComment ref="AH368" dT="2023-06-13T10:16:29.50" personId="{3DE5673D-4837-4FC9-B8B9-34243175713A}" id="{F514A00D-2FB9-4F67-BAB6-F1A718879DC3}" done="1">
    <text>Or should it be number of people randomised?</text>
  </threadedComment>
  <threadedComment ref="AH368" dT="2023-08-28T17:03:01.80" personId="{883E32C5-8AB4-4AEE-9ADC-CF370F4EA9A2}" id="{215431BE-28B1-4956-B988-B7C3482F2BCA}" parentId="{F514A00D-2FB9-4F67-BAB6-F1A718879DC3}">
    <text>As above (everywhere below in this column)</text>
  </threadedComment>
  <threadedComment ref="AA369" dT="2023-06-13T13:53:33.57" personId="{3DE5673D-4837-4FC9-B8B9-34243175713A}" id="{A54B7282-92AB-4061-84CC-8E2D25935DAD}">
    <text>Can we get number censored from Figure 3 as it gives number at risk and number diagnosed with lung cancer?</text>
  </threadedComment>
  <threadedComment ref="AA369" dT="2023-08-28T17:01:32.63" personId="{883E32C5-8AB4-4AEE-9ADC-CF370F4EA9A2}" id="{8CA38151-6A3D-4379-8B4B-1CB090DF47E7}" parentId="{A54B7282-92AB-4061-84CC-8E2D25935DAD}">
    <text>I'm not sure it is completely correct. Fig 3 only reports up until 7 years of FU, whereas incidence was established in a median of just over 7 years</text>
  </threadedComment>
  <threadedComment ref="AA369" dT="2023-08-29T13:45:38.46" personId="{3DE5673D-4837-4FC9-B8B9-34243175713A}" id="{1454535C-FF26-4FA3-993C-518DB0FA4A7D}" parentId="{A54B7282-92AB-4061-84CC-8E2D25935DAD}">
    <text>Think I made this comment before Adam suggested only to put a number here, if we don't have person-year or median (IQR, range) follow-up time. So, think we can leave as NR.</text>
  </threadedComment>
  <threadedComment ref="AH369" dT="2023-06-13T10:16:29.50" personId="{3DE5673D-4837-4FC9-B8B9-34243175713A}" id="{EB99752F-DB3F-4DA5-9C2B-986F479C6652}" done="1">
    <text>Or should it be number of people randomised?</text>
  </threadedComment>
  <threadedComment ref="AH369" dT="2023-08-28T17:03:01.80" personId="{883E32C5-8AB4-4AEE-9ADC-CF370F4EA9A2}" id="{6D1A7C58-7ABA-4812-8593-FC6AC308786E}" parentId="{EB99752F-DB3F-4DA5-9C2B-986F479C6652}">
    <text>As above (everywhere below in this column)</text>
  </threadedComment>
  <threadedComment ref="AA370" dT="2023-06-13T13:53:33.57" personId="{3DE5673D-4837-4FC9-B8B9-34243175713A}" id="{F4C2E280-D363-4DBF-A77F-3B452F3780E0}">
    <text>Can we get number censored from Figure 3 as it gives number at risk and number diagnosed with lung cancer?</text>
  </threadedComment>
  <threadedComment ref="AA370" dT="2023-08-28T17:01:32.63" personId="{883E32C5-8AB4-4AEE-9ADC-CF370F4EA9A2}" id="{6FB4A026-1785-4FC7-AD5C-5065828E4A92}" parentId="{F4C2E280-D363-4DBF-A77F-3B452F3780E0}">
    <text>I'm not sure it is completely correct. Fig 3 only reports up until 7 years of FU, whereas incidence was established in a median of just over 7 years</text>
  </threadedComment>
  <threadedComment ref="AA370" dT="2023-08-29T13:45:38.46" personId="{3DE5673D-4837-4FC9-B8B9-34243175713A}" id="{45825172-9611-4B5F-8EEE-D3E512A2118C}" parentId="{F4C2E280-D363-4DBF-A77F-3B452F3780E0}">
    <text>Think I made this comment before Adam suggested only to put a number here, if we don't have person-year or median (IQR, range) follow-up time. So, think we can leave as NR.</text>
  </threadedComment>
  <threadedComment ref="AA371" dT="2023-06-13T13:53:33.57" personId="{3DE5673D-4837-4FC9-B8B9-34243175713A}" id="{F0D7AAA9-67F6-4B39-93D9-C2F45FDBA00C}">
    <text>Can we get number censored from Figure 3 as it gives number at risk and number diagnosed with lung cancer?</text>
  </threadedComment>
  <threadedComment ref="AA371" dT="2023-08-28T17:01:32.63" personId="{883E32C5-8AB4-4AEE-9ADC-CF370F4EA9A2}" id="{B94FA7A2-F48D-43EE-B25E-9C82AFE455FB}" parentId="{F0D7AAA9-67F6-4B39-93D9-C2F45FDBA00C}">
    <text>I'm not sure it is completely correct. Fig 3 only reports up until 7 years of FU, whereas incidence was established in a median of just over 7 years</text>
  </threadedComment>
  <threadedComment ref="AA371" dT="2023-08-29T13:45:38.46" personId="{3DE5673D-4837-4FC9-B8B9-34243175713A}" id="{37B2ADAF-C86D-4102-B8DB-FC2BE4BC26E0}" parentId="{F0D7AAA9-67F6-4B39-93D9-C2F45FDBA00C}">
    <text>Think I made this comment before Adam suggested only to put a number here, if we don't have person-year or median (IQR, range) follow-up time. So, think we can leave as NR.</text>
  </threadedComment>
  <threadedComment ref="AA372" dT="2023-06-13T13:53:33.57" personId="{3DE5673D-4837-4FC9-B8B9-34243175713A}" id="{E5471728-2B87-45FE-913F-DA882A79E93C}">
    <text>Can we get number censored from Figure 3 as it gives number at risk and number diagnosed with lung cancer?</text>
  </threadedComment>
  <threadedComment ref="AA372" dT="2023-08-28T17:01:32.63" personId="{883E32C5-8AB4-4AEE-9ADC-CF370F4EA9A2}" id="{57E0B328-882D-4FC1-B257-37AF5AD9C4EE}" parentId="{E5471728-2B87-45FE-913F-DA882A79E93C}">
    <text>I'm not sure it is completely correct. Fig 3 only reports up until 7 years of FU, whereas incidence was established in a median of just over 7 years</text>
  </threadedComment>
  <threadedComment ref="AA372" dT="2023-08-29T13:45:38.46" personId="{3DE5673D-4837-4FC9-B8B9-34243175713A}" id="{C6FD7010-1F38-41B3-A394-9C921BB957FB}" parentId="{E5471728-2B87-45FE-913F-DA882A79E93C}">
    <text>Think I made this comment before Adam suggested only to put a number here, if we don't have person-year or median (IQR, range) follow-up time. So, think we can leave as NR.</text>
  </threadedComment>
  <threadedComment ref="AA373" dT="2023-06-13T13:53:33.57" personId="{3DE5673D-4837-4FC9-B8B9-34243175713A}" id="{9B87B891-A4F6-4429-88D2-4CD0A4003DB9}">
    <text>Can we get number censored from Figure 3 as it gives number at risk and number diagnosed with lung cancer?</text>
  </threadedComment>
  <threadedComment ref="AA373" dT="2023-08-28T17:01:32.63" personId="{883E32C5-8AB4-4AEE-9ADC-CF370F4EA9A2}" id="{900979FD-8422-462E-A0F2-8E6003FB6DB7}" parentId="{9B87B891-A4F6-4429-88D2-4CD0A4003DB9}">
    <text>I'm not sure it is completely correct. Fig 3 only reports up until 7 years of FU, whereas incidence was established in a median of just over 7 years</text>
  </threadedComment>
  <threadedComment ref="AA373" dT="2023-08-29T13:45:38.46" personId="{3DE5673D-4837-4FC9-B8B9-34243175713A}" id="{0E2A9C68-6722-4290-9F8B-DB073FE50D8F}" parentId="{9B87B891-A4F6-4429-88D2-4CD0A4003DB9}">
    <text>Think I made this comment before Adam suggested only to put a number here, if we don't have person-year or median (IQR, range) follow-up time. So, think we can leave as NR.</text>
  </threadedComment>
  <threadedComment ref="AH373" dT="2023-06-13T10:16:29.50" personId="{3DE5673D-4837-4FC9-B8B9-34243175713A}" id="{66DBECA4-FAEC-4915-8336-B1A345E9C9F0}" done="1">
    <text>Or should it be number of people randomised?</text>
  </threadedComment>
  <threadedComment ref="AH373" dT="2023-08-28T17:03:01.80" personId="{883E32C5-8AB4-4AEE-9ADC-CF370F4EA9A2}" id="{A12A4A01-1728-4EF2-99AA-A2B68A1B0C9C}" parentId="{66DBECA4-FAEC-4915-8336-B1A345E9C9F0}">
    <text>As above (everywhere below in this column)</text>
  </threadedComment>
  <threadedComment ref="AA374" dT="2023-06-13T13:53:33.57" personId="{3DE5673D-4837-4FC9-B8B9-34243175713A}" id="{FA493FDB-B08A-41C2-AACD-C89016380C72}">
    <text>Can we get number censored from Figure 3 as it gives number at risk and number diagnosed with lung cancer?</text>
  </threadedComment>
  <threadedComment ref="AA374" dT="2023-08-28T17:01:32.63" personId="{883E32C5-8AB4-4AEE-9ADC-CF370F4EA9A2}" id="{3B98B819-991E-4E2A-B06E-8E51B3C416DC}" parentId="{FA493FDB-B08A-41C2-AACD-C89016380C72}">
    <text>I'm not sure it is completely correct. Fig 3 only reports up until 7 years of FU, whereas incidence was established in a median of just over 7 years</text>
  </threadedComment>
  <threadedComment ref="AA374" dT="2023-08-29T13:45:38.46" personId="{3DE5673D-4837-4FC9-B8B9-34243175713A}" id="{4C742493-D446-472A-9C1C-7E7604923A4C}" parentId="{FA493FDB-B08A-41C2-AACD-C89016380C72}">
    <text>Think I made this comment before Adam suggested only to put a number here, if we don't have person-year or median (IQR, range) follow-up time. So, think we can leave as NR.</text>
  </threadedComment>
  <threadedComment ref="AH374" dT="2023-06-13T10:16:29.50" personId="{3DE5673D-4837-4FC9-B8B9-34243175713A}" id="{D05F520D-EA4C-455B-A0BF-E8EAAB61FD32}" done="1">
    <text>Or should it be number of people randomised?</text>
  </threadedComment>
  <threadedComment ref="AH374" dT="2023-08-28T17:03:01.80" personId="{883E32C5-8AB4-4AEE-9ADC-CF370F4EA9A2}" id="{5EB1EE54-71A4-49BA-BB05-77EAD51317E1}" parentId="{D05F520D-EA4C-455B-A0BF-E8EAAB61FD32}">
    <text>As above (everywhere below in this column)</text>
  </threadedComment>
  <threadedComment ref="AA375" dT="2023-06-13T13:53:33.57" personId="{3DE5673D-4837-4FC9-B8B9-34243175713A}" id="{3D81D527-C1B5-447F-B053-3EC3902227C8}">
    <text>Can we get number censored from Figure 3 as it gives number at risk and number diagnosed with lung cancer?</text>
  </threadedComment>
  <threadedComment ref="AA375" dT="2023-08-28T17:01:32.63" personId="{883E32C5-8AB4-4AEE-9ADC-CF370F4EA9A2}" id="{4BE8F032-A398-49FE-87A6-E722FC14166F}" parentId="{3D81D527-C1B5-447F-B053-3EC3902227C8}">
    <text>I'm not sure it is completely correct. Fig 3 only reports up until 7 years of FU, whereas incidence was established in a median of just over 7 years</text>
  </threadedComment>
  <threadedComment ref="AA375" dT="2023-08-29T13:45:38.46" personId="{3DE5673D-4837-4FC9-B8B9-34243175713A}" id="{59F1D7DB-29C0-4541-867F-44A51A8CCEF0}" parentId="{3D81D527-C1B5-447F-B053-3EC3902227C8}">
    <text>Think I made this comment before Adam suggested only to put a number here, if we don't have person-year or median (IQR, range) follow-up time. So, think we can leave as NR.</text>
  </threadedComment>
  <threadedComment ref="AH375" dT="2023-06-13T10:16:29.50" personId="{3DE5673D-4837-4FC9-B8B9-34243175713A}" id="{8033EB26-81A0-44EE-ABFD-7C44E197AC36}" done="1">
    <text>Or should it be number of people randomised?</text>
  </threadedComment>
  <threadedComment ref="AH375" dT="2023-08-28T17:03:01.80" personId="{883E32C5-8AB4-4AEE-9ADC-CF370F4EA9A2}" id="{C5C0CAE2-DB23-4504-A5F4-5D5F608A0990}" parentId="{8033EB26-81A0-44EE-ABFD-7C44E197AC36}">
    <text>As above (everywhere below in this column)</text>
  </threadedComment>
  <threadedComment ref="AA376" dT="2023-06-13T13:53:33.57" personId="{3DE5673D-4837-4FC9-B8B9-34243175713A}" id="{762EB3F8-9660-48FC-9B56-529711CF4A6D}">
    <text>Can we get number censored from Figure 3 as it gives number at risk and number diagnosed with lung cancer?</text>
  </threadedComment>
  <threadedComment ref="AA376" dT="2023-08-28T17:01:32.63" personId="{883E32C5-8AB4-4AEE-9ADC-CF370F4EA9A2}" id="{6B1AD406-5AAA-47DC-A6B0-AC634607C546}" parentId="{762EB3F8-9660-48FC-9B56-529711CF4A6D}">
    <text>I'm not sure it is completely correct. Fig 3 only reports up until 7 years of FU, whereas incidence was established in a median of just over 7 years</text>
  </threadedComment>
  <threadedComment ref="AA376" dT="2023-08-29T13:45:38.46" personId="{3DE5673D-4837-4FC9-B8B9-34243175713A}" id="{C929E46E-6022-40FC-A005-832CB113D944}" parentId="{762EB3F8-9660-48FC-9B56-529711CF4A6D}">
    <text>Think I made this comment before Adam suggested only to put a number here, if we don't have person-year or median (IQR, range) follow-up time. So, think we can leave as NR.</text>
  </threadedComment>
  <threadedComment ref="AA377" dT="2023-06-13T13:53:33.57" personId="{3DE5673D-4837-4FC9-B8B9-34243175713A}" id="{78BE6850-C2F7-43CB-B0DF-4B2463CB4E09}">
    <text>Can we get number censored from Figure 3 as it gives number at risk and number diagnosed with lung cancer?</text>
  </threadedComment>
  <threadedComment ref="AA377" dT="2023-08-28T17:01:32.63" personId="{883E32C5-8AB4-4AEE-9ADC-CF370F4EA9A2}" id="{C9FC05AE-87A7-4690-8C1F-6BB425D034D5}" parentId="{78BE6850-C2F7-43CB-B0DF-4B2463CB4E09}">
    <text>I'm not sure it is completely correct. Fig 3 only reports up until 7 years of FU, whereas incidence was established in a median of just over 7 years</text>
  </threadedComment>
  <threadedComment ref="AA377" dT="2023-08-29T13:45:38.46" personId="{3DE5673D-4837-4FC9-B8B9-34243175713A}" id="{F966BC99-E90F-491C-BB07-F818753F4550}" parentId="{78BE6850-C2F7-43CB-B0DF-4B2463CB4E09}">
    <text>Think I made this comment before Adam suggested only to put a number here, if we don't have person-year or median (IQR, range) follow-up time. So, think we can leave as NR.</text>
  </threadedComment>
  <threadedComment ref="AA378" dT="2023-06-13T13:53:33.57" personId="{3DE5673D-4837-4FC9-B8B9-34243175713A}" id="{777CD94B-D251-4A86-89C2-7F061C85E8CF}">
    <text>Can we get number censored from Figure 3 as it gives number at risk and number diagnosed with lung cancer?</text>
  </threadedComment>
  <threadedComment ref="AA378" dT="2023-08-28T17:01:32.63" personId="{883E32C5-8AB4-4AEE-9ADC-CF370F4EA9A2}" id="{3D450E3E-1EFD-420E-B152-97BB4111BB28}" parentId="{777CD94B-D251-4A86-89C2-7F061C85E8CF}">
    <text>I'm not sure it is completely correct. Fig 3 only reports up until 7 years of FU, whereas incidence was established in a median of just over 7 years</text>
  </threadedComment>
  <threadedComment ref="AA378" dT="2023-08-29T13:45:38.46" personId="{3DE5673D-4837-4FC9-B8B9-34243175713A}" id="{4DB3087A-5245-4E14-865A-C19B8D47E6EF}" parentId="{777CD94B-D251-4A86-89C2-7F061C85E8CF}">
    <text>Think I made this comment before Adam suggested only to put a number here, if we don't have person-year or median (IQR, range) follow-up time. So, think we can leave as NR.</text>
  </threadedComment>
  <threadedComment ref="AA379" dT="2023-06-13T13:53:33.57" personId="{3DE5673D-4837-4FC9-B8B9-34243175713A}" id="{CBC82188-86E1-4318-BF79-B29C1536D73E}">
    <text>Can we get number censored from Figure 3 as it gives number at risk and number diagnosed with lung cancer?</text>
  </threadedComment>
  <threadedComment ref="AA379" dT="2023-08-28T17:01:32.63" personId="{883E32C5-8AB4-4AEE-9ADC-CF370F4EA9A2}" id="{BC527DBF-4296-4CA9-B71D-169EE9FA6C26}" parentId="{CBC82188-86E1-4318-BF79-B29C1536D73E}">
    <text>I'm not sure it is completely correct. Fig 3 only reports up until 7 years of FU, whereas incidence was established in a median of just over 7 years</text>
  </threadedComment>
  <threadedComment ref="AA379" dT="2023-08-29T13:45:38.46" personId="{3DE5673D-4837-4FC9-B8B9-34243175713A}" id="{9DDDFBA4-D40F-4088-824E-A289AFB0B42A}" parentId="{CBC82188-86E1-4318-BF79-B29C1536D73E}">
    <text>Think I made this comment before Adam suggested only to put a number here, if we don't have person-year or median (IQR, range) follow-up time. So, think we can leave as NR.</text>
  </threadedComment>
  <threadedComment ref="AH379" dT="2023-06-13T10:16:29.50" personId="{3DE5673D-4837-4FC9-B8B9-34243175713A}" id="{9850C949-8035-4478-9E53-2269CD983BC4}" done="1">
    <text>Or should it be number of people randomised?</text>
  </threadedComment>
  <threadedComment ref="AH379" dT="2023-08-28T17:03:01.80" personId="{883E32C5-8AB4-4AEE-9ADC-CF370F4EA9A2}" id="{5AB0009F-B65B-4CB1-81C5-F9A0BB2E53E7}" parentId="{9850C949-8035-4478-9E53-2269CD983BC4}">
    <text>As above (everywhere below in this column)</text>
  </threadedComment>
  <threadedComment ref="AA380" dT="2023-06-13T13:53:33.57" personId="{3DE5673D-4837-4FC9-B8B9-34243175713A}" id="{85CCB87F-66E3-4292-8AF6-D79CC8E05E10}">
    <text>Can we get number censored from Figure 3 as it gives number at risk and number diagnosed with lung cancer?</text>
  </threadedComment>
  <threadedComment ref="AA380" dT="2023-08-28T17:01:32.63" personId="{883E32C5-8AB4-4AEE-9ADC-CF370F4EA9A2}" id="{7357E572-AAE7-4819-931A-F1E17E5DDA42}" parentId="{85CCB87F-66E3-4292-8AF6-D79CC8E05E10}">
    <text>I'm not sure it is completely correct. Fig 3 only reports up until 7 years of FU, whereas incidence was established in a median of just over 7 years</text>
  </threadedComment>
  <threadedComment ref="AA380" dT="2023-08-29T13:45:38.46" personId="{3DE5673D-4837-4FC9-B8B9-34243175713A}" id="{1322E9B2-8E5C-431B-956D-EB9207FF77D4}" parentId="{85CCB87F-66E3-4292-8AF6-D79CC8E05E10}">
    <text>Think I made this comment before Adam suggested only to put a number here, if we don't have person-year or median (IQR, range) follow-up time. So, think we can leave as NR.</text>
  </threadedComment>
  <threadedComment ref="AH381" dT="2023-06-13T10:16:29.50" personId="{3DE5673D-4837-4FC9-B8B9-34243175713A}" id="{E48C0DEC-23BF-4E01-9B23-906F5DA7F023}" done="1">
    <text>Or should it be number of people randomised?</text>
  </threadedComment>
  <threadedComment ref="AH381" dT="2023-08-28T17:03:01.80" personId="{883E32C5-8AB4-4AEE-9ADC-CF370F4EA9A2}" id="{0DC3438B-76EE-4F39-A106-660A0E4ADBA7}" parentId="{E48C0DEC-23BF-4E01-9B23-906F5DA7F023}">
    <text>As above (everywhere below in this column)</text>
  </threadedComment>
  <threadedComment ref="BA382" dT="2023-08-28T17:04:47.77" personId="{883E32C5-8AB4-4AEE-9ADC-CF370F4EA9A2}" id="{3DC1E510-6A6A-4722-A1E9-F5B86DE00326}" done="1">
    <text>0.005</text>
  </threadedComment>
  <threadedComment ref="BA382" dT="2023-08-29T13:49:36.27" personId="{3DE5673D-4837-4FC9-B8B9-34243175713A}" id="{032CA4C9-0E7E-4B8E-89F8-2DBBAFE04D7D}" parentId="{3DC1E510-6A6A-4722-A1E9-F5B86DE00326}">
    <text>Corrected.</text>
  </threadedComment>
  <threadedComment ref="AH383" dT="2023-06-13T10:16:29.50" personId="{3DE5673D-4837-4FC9-B8B9-34243175713A}" id="{D19843F2-FD2A-4C51-8806-3A28BEAA9730}" done="1">
    <text>Or should it be number of people randomised?</text>
  </threadedComment>
  <threadedComment ref="AH383" dT="2023-08-28T17:03:01.80" personId="{883E32C5-8AB4-4AEE-9ADC-CF370F4EA9A2}" id="{B6E28D3A-CF64-49D6-9C23-CA05CE4DBFD6}" parentId="{D19843F2-FD2A-4C51-8806-3A28BEAA9730}">
    <text>As above (everywhere below in this column)</text>
  </threadedComment>
  <threadedComment ref="AH384" dT="2023-06-13T10:16:29.50" personId="{3DE5673D-4837-4FC9-B8B9-34243175713A}" id="{1BC03B13-D509-4CB7-AC0A-5C7036E29513}" done="1">
    <text>Or should it be number of people randomised?</text>
  </threadedComment>
  <threadedComment ref="AH384" dT="2023-08-28T17:03:01.80" personId="{883E32C5-8AB4-4AEE-9ADC-CF370F4EA9A2}" id="{670C46E8-37D1-4803-AD7A-B96FDEB9516E}" parentId="{1BC03B13-D509-4CB7-AC0A-5C7036E29513}">
    <text>As above (everywhere below in this column)</text>
  </threadedComment>
  <threadedComment ref="AH385" dT="2023-06-13T10:16:29.50" personId="{3DE5673D-4837-4FC9-B8B9-34243175713A}" id="{541D72F6-78CD-400B-B7B0-BD4FB03E3203}" done="1">
    <text>Or should it be number of people randomised?</text>
  </threadedComment>
  <threadedComment ref="AH385" dT="2023-08-28T17:03:01.80" personId="{883E32C5-8AB4-4AEE-9ADC-CF370F4EA9A2}" id="{1AAF15B0-EE41-4936-88D8-99382A3244BB}" parentId="{541D72F6-78CD-400B-B7B0-BD4FB03E3203}">
    <text>As above (everywhere below in this column)</text>
  </threadedComment>
  <threadedComment ref="AH386" dT="2023-06-13T10:16:29.50" personId="{3DE5673D-4837-4FC9-B8B9-34243175713A}" id="{A07C12FD-1FA5-490A-B382-8D49D9858B4F}" done="1">
    <text>Or should it be number of people randomised?</text>
  </threadedComment>
  <threadedComment ref="AH386" dT="2023-08-28T17:03:01.80" personId="{883E32C5-8AB4-4AEE-9ADC-CF370F4EA9A2}" id="{BFAA0547-C2C6-47DB-9260-F651E773779B}" parentId="{A07C12FD-1FA5-490A-B382-8D49D9858B4F}">
    <text>As above (everywhere below in this column)</text>
  </threadedComment>
  <threadedComment ref="AH388" dT="2023-06-13T10:16:29.50" personId="{3DE5673D-4837-4FC9-B8B9-34243175713A}" id="{E39B7618-2AD1-4349-A0A8-0D80D747F9BD}" done="1">
    <text>Or should it be number of people randomised?</text>
  </threadedComment>
  <threadedComment ref="AH388" dT="2023-08-28T17:03:01.80" personId="{883E32C5-8AB4-4AEE-9ADC-CF370F4EA9A2}" id="{FEED58F7-3ED6-436C-A7C8-58BDDC65A7C1}" parentId="{E39B7618-2AD1-4349-A0A8-0D80D747F9BD}">
    <text>As above (everywhere below in this column)</text>
  </threadedComment>
  <threadedComment ref="AH389" dT="2023-06-13T10:16:29.50" personId="{3DE5673D-4837-4FC9-B8B9-34243175713A}" id="{58474EC7-C4DC-4350-A3CE-E1A548A5F685}" done="1">
    <text>Or should it be number of people randomised?</text>
  </threadedComment>
  <threadedComment ref="AH389" dT="2023-08-28T17:03:01.80" personId="{883E32C5-8AB4-4AEE-9ADC-CF370F4EA9A2}" id="{E30FC5A4-1AC5-4048-AA1F-CCCB2B172BD5}" parentId="{58474EC7-C4DC-4350-A3CE-E1A548A5F685}">
    <text>As above (everywhere below in this column)</text>
  </threadedComment>
  <threadedComment ref="AH391" dT="2023-06-13T10:16:29.50" personId="{3DE5673D-4837-4FC9-B8B9-34243175713A}" id="{B0DDF14D-FF08-4A92-B1B3-0E221E40A6D6}" done="1">
    <text>Or should it be number of people randomised?</text>
  </threadedComment>
  <threadedComment ref="AH391" dT="2023-08-28T17:03:01.80" personId="{883E32C5-8AB4-4AEE-9ADC-CF370F4EA9A2}" id="{29FD95DD-487F-4D1D-9A84-E9CAB13EF15B}" parentId="{B0DDF14D-FF08-4A92-B1B3-0E221E40A6D6}">
    <text>As above (everywhere below in this column)</text>
  </threadedComment>
  <threadedComment ref="AK393" dT="2023-08-28T20:26:21.32" personId="{883E32C5-8AB4-4AEE-9ADC-CF370F4EA9A2}" id="{476937D8-FAEE-4FB4-BF27-F00376834D66}" done="1">
    <text>2554+1158?</text>
  </threadedComment>
  <threadedComment ref="AK393" dT="2023-08-29T15:41:58.96" personId="{3DE5673D-4837-4FC9-B8B9-34243175713A}" id="{1344B9C6-99CA-490D-B4BD-1B3C2AAB1090}" parentId="{476937D8-FAEE-4FB4-BF27-F00376834D66}">
    <text>Corrected.</text>
  </threadedComment>
  <threadedComment ref="Y394" dT="2023-08-28T20:26:02.80" personId="{883E32C5-8AB4-4AEE-9ADC-CF370F4EA9A2}" id="{29664A04-B2DC-4EA6-AA5F-A54645D6D96D}" done="1">
    <text>2554+1158?</text>
  </threadedComment>
  <threadedComment ref="Y394" dT="2023-08-29T15:43:50.56" personId="{3DE5673D-4837-4FC9-B8B9-34243175713A}" id="{9E946F5B-D987-48CD-8098-6675DF7774D6}" parentId="{29664A04-B2DC-4EA6-AA5F-A54645D6D96D}">
    <text>Corrected.</text>
  </threadedComment>
  <threadedComment ref="Y395" dT="2023-08-28T20:27:59.01" personId="{883E32C5-8AB4-4AEE-9ADC-CF370F4EA9A2}" id="{815A5B0E-AA5D-45FC-9231-7C4574927639}" done="1">
    <text>As above</text>
  </threadedComment>
  <threadedComment ref="AK395" dT="2023-08-28T20:28:33.93" personId="{883E32C5-8AB4-4AEE-9ADC-CF370F4EA9A2}" id="{3D6D8014-4521-4888-9A26-E556680C3408}" done="1">
    <text>2554+1158?</text>
  </threadedComment>
  <threadedComment ref="AK395" dT="2023-08-29T15:57:19.12" personId="{3DE5673D-4837-4FC9-B8B9-34243175713A}" id="{CEDF3708-4151-4FD4-BF39-0417C7E6C4C3}" parentId="{3D6D8014-4521-4888-9A26-E556680C3408}">
    <text>Agree.</text>
  </threadedComment>
  <threadedComment ref="Y396" dT="2023-08-28T20:27:59.01" personId="{883E32C5-8AB4-4AEE-9ADC-CF370F4EA9A2}" id="{D766E4E3-1BE9-4A49-B1FA-578AD5308D40}" done="1">
    <text>As above</text>
  </threadedComment>
  <threadedComment ref="AL396" dT="2023-06-12T16:53:17.95" personId="{3DE5673D-4837-4FC9-B8B9-34243175713A}" id="{E9EE6C47-2272-49B5-85A7-A7B0A5F7B245}" done="1">
    <text>In Table 1, the same number of person-years is used as denominator for cancer incidence as well as for mortality.</text>
  </threadedComment>
  <threadedComment ref="AL396" dT="2023-08-28T20:28:42.92" personId="{883E32C5-8AB4-4AEE-9ADC-CF370F4EA9A2}" id="{3DF2B99B-D1B6-45B7-88A4-B8365DEFDF9D}" parentId="{E9EE6C47-2272-49B5-85A7-A7B0A5F7B245}">
    <text>OK</text>
  </threadedComment>
  <threadedComment ref="AK397" dT="2023-08-28T20:29:57.97" personId="{883E32C5-8AB4-4AEE-9ADC-CF370F4EA9A2}" id="{BD74DA12-8CA1-4EF1-B301-01669299525D}" done="1">
    <text>As above</text>
  </threadedComment>
  <threadedComment ref="AL398" dT="2023-06-12T16:53:17.95" personId="{3DE5673D-4837-4FC9-B8B9-34243175713A}" id="{00A6E773-4552-4417-9594-305A984E8726}" done="1">
    <text>In Table 1, the same number of person-years is used as denominator for cancer incidence as well as for mortality.</text>
  </threadedComment>
  <threadedComment ref="AK399" dT="2023-08-28T20:29:38.69" personId="{883E32C5-8AB4-4AEE-9ADC-CF370F4EA9A2}" id="{DC1C629D-1C14-4AE4-9483-B33AED2609A7}" done="1">
    <text>As above</text>
  </threadedComment>
  <threadedComment ref="AL400" dT="2023-06-12T16:53:17.95" personId="{3DE5673D-4837-4FC9-B8B9-34243175713A}" id="{F798A48A-F2B5-4BEA-AFDD-0CC797238ACA}" done="1">
    <text>In Table 1, the same number of person-years is used as denominator for cancer incidence as well as for mortality.</text>
  </threadedComment>
  <threadedComment ref="P401" dT="2023-08-28T20:31:11.68" personId="{883E32C5-8AB4-4AEE-9ADC-CF370F4EA9A2}" id="{91EEFF15-84BA-4220-A264-155AEB4FF5F5}" done="1">
    <text>#3?</text>
  </threadedComment>
  <threadedComment ref="P401" dT="2023-08-29T16:01:29.48" personId="{3DE5673D-4837-4FC9-B8B9-34243175713A}" id="{71C7DFCA-FFA8-4EDC-8692-DAC2768DAD23}" parentId="{91EEFF15-84BA-4220-A264-155AEB4FF5F5}">
    <text>Corrected.</text>
  </threadedComment>
  <threadedComment ref="P405" dT="2023-08-28T13:23:28.13" personId="{883E32C5-8AB4-4AEE-9ADC-CF370F4EA9A2}" id="{B7E7D48B-E9A9-4531-9367-15087F2C3013}" done="1">
    <text>#5?</text>
  </threadedComment>
  <threadedComment ref="P405" dT="2023-08-29T17:43:13.67" personId="{3DE5673D-4837-4FC9-B8B9-34243175713A}" id="{1BFE6689-D12B-44C9-A7F8-58289987334D}" parentId="{B7E7D48B-E9A9-4531-9367-15087F2C3013}">
    <text>Corrected.</text>
  </threadedComment>
  <threadedComment ref="P412" dT="2023-08-28T13:28:24.84" personId="{883E32C5-8AB4-4AEE-9ADC-CF370F4EA9A2}" id="{621C8942-B48B-4BBB-8118-0E4DA9E39683}" done="1">
    <text>#3?</text>
  </threadedComment>
  <threadedComment ref="P412" dT="2023-08-29T17:44:27.89" personId="{3DE5673D-4837-4FC9-B8B9-34243175713A}" id="{B46E974B-9F85-44E8-93EB-A40C47D2EE02}" parentId="{621C8942-B48B-4BBB-8118-0E4DA9E39683}">
    <text>Yeah… sorry. Forgot to change it after copying.</text>
  </threadedComment>
  <threadedComment ref="BF413" dT="2023-08-18T19:01:30.62" personId="{883E32C5-8AB4-4AEE-9ADC-CF370F4EA9A2}" id="{A83725AA-EC6D-4982-81EC-2EB52C1EE685}" done="1">
    <text>Table 2 rather than Table 1 ☺️</text>
  </threadedComment>
  <threadedComment ref="BF413" dT="2023-08-30T13:41:50.02" personId="{3DE5673D-4837-4FC9-B8B9-34243175713A}" id="{AAB0BCAC-BC6D-4FD5-A1BC-B249CB22F326}" parentId="{A83725AA-EC6D-4982-81EC-2EB52C1EE685}">
    <text>Corrected.</text>
  </threadedComment>
  <threadedComment ref="Z415" dT="2023-06-14T11:19:39.44" personId="{3DE5673D-4837-4FC9-B8B9-34243175713A}" id="{55840A2B-5079-4AF9-BBBD-B4BAD610FD6C}" done="1">
    <text>13 could not be linked to national registries.</text>
  </threadedComment>
  <threadedComment ref="AL415" dT="2023-06-14T11:19:39.44" personId="{3DE5673D-4837-4FC9-B8B9-34243175713A}" id="{15252509-128D-4F88-8857-4DB32E7635D4}" done="1">
    <text>13 could not be linked to national registries.</text>
  </threadedComment>
  <threadedComment ref="Z416" dT="2023-06-14T11:19:39.44" personId="{3DE5673D-4837-4FC9-B8B9-34243175713A}" id="{9785B0D5-652B-4322-AEF0-379FB6423CCC}" done="1">
    <text>13 could not be linked to national registries.</text>
  </threadedComment>
  <threadedComment ref="AL416" dT="2023-06-14T11:19:39.44" personId="{3DE5673D-4837-4FC9-B8B9-34243175713A}" id="{737A82D3-EFAA-4D3E-927C-3B7FA5954B52}" done="1">
    <text>13 could not be linked to national registries.</text>
  </threadedComment>
  <threadedComment ref="Z417" dT="2023-06-14T11:19:39.44" personId="{3DE5673D-4837-4FC9-B8B9-34243175713A}" id="{C1EB108B-8CAD-4D0E-8585-8C35E71A9942}" done="1">
    <text>13 could not be linked to national registries.</text>
  </threadedComment>
  <threadedComment ref="AL417" dT="2023-06-14T11:19:39.44" personId="{3DE5673D-4837-4FC9-B8B9-34243175713A}" id="{DD210AAD-DA4D-420B-A4DB-E48A21592728}" done="1">
    <text>13 could not be linked to national registries.</text>
  </threadedComment>
  <threadedComment ref="Z418" dT="2023-06-14T11:19:39.44" personId="{3DE5673D-4837-4FC9-B8B9-34243175713A}" id="{8C96CE27-C67B-4E79-97F2-83C3C850838B}" done="1">
    <text>13 could not be linked to national registries.</text>
  </threadedComment>
  <threadedComment ref="AL418" dT="2023-06-14T11:19:39.44" personId="{3DE5673D-4837-4FC9-B8B9-34243175713A}" id="{10D3DDA0-11AD-4CE0-87C5-0A05EA16EA5A}" done="1">
    <text>13 could not be linked to national registries.</text>
  </threadedComment>
  <threadedComment ref="Z419" dT="2023-06-14T11:19:39.44" personId="{3DE5673D-4837-4FC9-B8B9-34243175713A}" id="{8E1A7234-0CC4-420C-A343-49EC3E7B19D6}" done="1">
    <text>13 could not be linked to national registries.</text>
  </threadedComment>
  <threadedComment ref="AL419" dT="2023-06-14T11:19:39.44" personId="{3DE5673D-4837-4FC9-B8B9-34243175713A}" id="{00A12A8C-FF93-45BA-9F8A-C45291E5E794}" done="1">
    <text>13 could not be linked to national registries.</text>
  </threadedComment>
  <threadedComment ref="Z420" dT="2023-06-14T11:19:39.44" personId="{3DE5673D-4837-4FC9-B8B9-34243175713A}" id="{B4EFA908-EA8B-4E3A-B6A3-7DF0C02719FD}" done="1">
    <text>13 could not be linked to national registries.</text>
  </threadedComment>
  <threadedComment ref="AL420" dT="2023-06-14T11:19:39.44" personId="{3DE5673D-4837-4FC9-B8B9-34243175713A}" id="{13323DE9-AD7A-4647-9469-523555943155}" done="1">
    <text>13 could not be linked to national registries.</text>
  </threadedComment>
  <threadedComment ref="Z421" dT="2023-06-14T11:19:39.44" personId="{3DE5673D-4837-4FC9-B8B9-34243175713A}" id="{C31CE5F0-3DE3-4F7B-99C6-48A55A70BB76}" done="1">
    <text>13 could not be linked to national registries.</text>
  </threadedComment>
  <threadedComment ref="AL421" dT="2023-06-14T11:19:39.44" personId="{3DE5673D-4837-4FC9-B8B9-34243175713A}" id="{5ABDA025-9DE9-4739-AA52-92AF57570959}" done="1">
    <text>13 could not be linked to national registries.</text>
  </threadedComment>
  <threadedComment ref="Z422" dT="2023-06-14T11:19:39.44" personId="{3DE5673D-4837-4FC9-B8B9-34243175713A}" id="{53FFA43F-F427-4571-A2ED-563415D28A3D}" done="1">
    <text>13 could not be linked to national registries.</text>
  </threadedComment>
  <threadedComment ref="AL422" dT="2023-06-14T11:19:39.44" personId="{3DE5673D-4837-4FC9-B8B9-34243175713A}" id="{9110CE2D-5731-4D85-94F4-6EE73521BC93}" done="1">
    <text>13 could not be linked to national registries.</text>
  </threadedComment>
  <threadedComment ref="Z423" dT="2023-06-14T11:19:39.44" personId="{3DE5673D-4837-4FC9-B8B9-34243175713A}" id="{12B59497-9DF3-476C-9C25-4673B192741F}" done="1">
    <text>13 could not be linked to national registries.</text>
  </threadedComment>
  <threadedComment ref="AL423" dT="2023-06-14T11:19:39.44" personId="{3DE5673D-4837-4FC9-B8B9-34243175713A}" id="{FAAEF872-ED06-4EFF-AE6E-327F08A57639}" done="1">
    <text>13 could not be linked to national registries.</text>
  </threadedComment>
  <threadedComment ref="Z424" dT="2023-06-14T11:19:39.44" personId="{3DE5673D-4837-4FC9-B8B9-34243175713A}" id="{224B6811-966A-458F-87FA-323A2E1DFF57}" done="1">
    <text>13 could not be linked to national registries.</text>
  </threadedComment>
  <threadedComment ref="AL424" dT="2023-06-14T11:19:39.44" personId="{3DE5673D-4837-4FC9-B8B9-34243175713A}" id="{008D131D-A449-45DB-AD49-2B2B7FE9989C}" done="1">
    <text>13 could not be linked to national registries.</text>
  </threadedComment>
  <threadedComment ref="Z425" dT="2023-06-14T11:19:39.44" personId="{3DE5673D-4837-4FC9-B8B9-34243175713A}" id="{5A182455-3A52-437E-AA8E-AF721C3F191F}" done="1">
    <text>13 could not be linked to national registries.</text>
  </threadedComment>
  <threadedComment ref="AL425" dT="2023-06-14T11:19:39.44" personId="{3DE5673D-4837-4FC9-B8B9-34243175713A}" id="{D2B5AC06-26D0-4864-AA6F-29FD9DE0BCE9}" done="1">
    <text>13 could not be linked to national registries.</text>
  </threadedComment>
  <threadedComment ref="Z426" dT="2023-06-14T11:19:39.44" personId="{3DE5673D-4837-4FC9-B8B9-34243175713A}" id="{205A53F2-B423-4763-8C90-0CEB8DFB02DA}" done="1">
    <text>13 could not be linked to national registries.</text>
  </threadedComment>
  <threadedComment ref="AL426" dT="2023-06-14T11:19:39.44" personId="{3DE5673D-4837-4FC9-B8B9-34243175713A}" id="{5E3EDD4B-4299-4FBE-B6CC-03E4E9648B03}" done="1">
    <text>13 could not be linked to national registries.</text>
  </threadedComment>
  <threadedComment ref="D430" dT="2023-06-22T11:03:40.70" personId="{3DE5673D-4837-4FC9-B8B9-34243175713A}" id="{49527B3F-4E12-4398-913E-A40DCA437C0E}" done="1">
    <text>Incidence of invasive cervical cancers used as surrogate 1 and incidence of CIN3/AIS as surrogate 4.</text>
  </threadedComment>
  <threadedComment ref="D430" dT="2023-08-29T12:01:44.90" personId="{883E32C5-8AB4-4AEE-9ADC-CF370F4EA9A2}" id="{18205531-BE6F-41E7-A15A-676C61AE65F0}" parentId="{49527B3F-4E12-4398-913E-A40DCA437C0E}">
    <text>I agree</text>
  </threadedComment>
  <threadedComment ref="S433" dT="2023-06-09T16:02:09.79" personId="{3DE5673D-4837-4FC9-B8B9-34243175713A}" id="{320D8E6A-68B9-4079-A7F7-9AC0346B1C7E}" done="1">
    <text>602,152.3 PY / 75,360???</text>
  </threadedComment>
  <threadedComment ref="T433" dT="2023-06-09T16:03:10.12" personId="{3DE5673D-4837-4FC9-B8B9-34243175713A}" id="{7B24BF47-141C-4DAA-8380-5C5F30FD5796}" done="1">
    <text>603,811.8 PY / 76,178???</text>
  </threadedComment>
  <threadedComment ref="S434" dT="2023-06-09T16:02:09.79" personId="{3DE5673D-4837-4FC9-B8B9-34243175713A}" id="{70DA3394-0AC0-4E7D-B4F7-78090ACB334D}" done="1">
    <text>602,152.3 PY / 75,360???</text>
  </threadedComment>
  <threadedComment ref="T434" dT="2023-06-09T16:03:10.12" personId="{3DE5673D-4837-4FC9-B8B9-34243175713A}" id="{4538BE05-4736-4797-A828-697347F355F9}" done="1">
    <text>603,811.8 PY / 76,178???</text>
  </threadedComment>
  <threadedComment ref="S435" dT="2023-06-09T16:02:09.79" personId="{3DE5673D-4837-4FC9-B8B9-34243175713A}" id="{41C9D011-4CFC-4FDE-850F-2D707226F8D3}" done="1">
    <text>602,152.3 PY / 75,360???</text>
  </threadedComment>
  <threadedComment ref="T435" dT="2023-06-09T16:03:10.12" personId="{3DE5673D-4837-4FC9-B8B9-34243175713A}" id="{F61E5A55-6542-42A1-9117-251C4468AB3B}" done="1">
    <text>603,811.8 PY / 76,178???</text>
  </threadedComment>
  <threadedComment ref="S436" dT="2023-06-09T16:02:09.79" personId="{3DE5673D-4837-4FC9-B8B9-34243175713A}" id="{435DD480-5335-4F58-B036-1755BAC84A23}" done="1">
    <text>602,152.3 PY / 75,360???</text>
  </threadedComment>
  <threadedComment ref="T436" dT="2023-06-09T16:03:10.12" personId="{3DE5673D-4837-4FC9-B8B9-34243175713A}" id="{5A511083-A86A-40A6-8DBF-16DE35824D74}" done="1">
    <text>603,811.8 PY / 76,178???</text>
  </threadedComment>
  <threadedComment ref="S437" dT="2023-06-09T16:02:09.79" personId="{3DE5673D-4837-4FC9-B8B9-34243175713A}" id="{4E9B6294-3FB9-4B6A-A940-532C9600A41F}" done="1">
    <text>602,152.3 PY / 75,360???</text>
  </threadedComment>
  <threadedComment ref="T437" dT="2023-06-09T16:03:10.12" personId="{3DE5673D-4837-4FC9-B8B9-34243175713A}" id="{CE53C639-1E95-45D3-BD1D-668AE8EFC5A3}" done="1">
    <text>603,811.8 PY / 76,178???</text>
  </threadedComment>
  <threadedComment ref="AK439" dT="2023-06-12T10:23:33.59" personId="{3DE5673D-4837-4FC9-B8B9-34243175713A}" id="{C43658C3-2CE2-47D8-AA6D-860B01617AE4}">
    <text>Or 198 women: 1 women with bilateral breast cancer.</text>
  </threadedComment>
  <threadedComment ref="AK439" dT="2023-08-29T18:23:53.43" personId="{883E32C5-8AB4-4AEE-9ADC-CF370F4EA9A2}" id="{9A454B51-968F-4EEF-902E-580401F4F968}" parentId="{C43658C3-2CE2-47D8-AA6D-860B01617AE4}">
    <text>It's annoying how they report it. I'd say 198 but it could be either</text>
  </threadedComment>
  <threadedComment ref="AK439" dT="2023-08-30T16:25:45.62" personId="{3DE5673D-4837-4FC9-B8B9-34243175713A}" id="{E6C5C28B-D12A-4FFD-B7A3-F0CA888275E7}" parentId="{C43658C3-2CE2-47D8-AA6D-860B01617AE4}">
    <text>Changed denominator to 198 and numerator to 113.</text>
  </threadedComment>
  <threadedComment ref="AK442" dT="2023-06-12T10:12:03.11" personId="{3DE5673D-4837-4FC9-B8B9-34243175713A}" id="{C2A1EBE5-E5B8-44D1-BB18-B6DF25621C3D}" done="1">
    <text>Of the 641 women with breast cancer in the screening arm, one had bilateral breast cancer, who was considered only once.</text>
  </threadedComment>
  <threadedComment ref="AK442" dT="2023-08-29T18:25:30.19" personId="{883E32C5-8AB4-4AEE-9ADC-CF370F4EA9A2}" id="{87AB8705-64C1-4BC5-984A-8E7859996C59}" parentId="{C2A1EBE5-E5B8-44D1-BB18-B6DF25621C3D}">
    <text>As above - as long as we use a consistent definition throughout the trial</text>
  </threadedComment>
  <threadedComment ref="AN442" dT="2023-06-12T09:53:16.25" personId="{3DE5673D-4837-4FC9-B8B9-34243175713A}" id="{094FA329-8FA5-4BF0-9566-3F32AA006897}" done="1">
    <text>Excluding 41 cancers with missing stage data.</text>
  </threadedComment>
  <threadedComment ref="AN442" dT="2023-08-29T18:26:14.18" personId="{883E32C5-8AB4-4AEE-9ADC-CF370F4EA9A2}" id="{A704ECBC-506D-40C6-9017-3C262A36AD59}" parentId="{094FA329-8FA5-4BF0-9566-3F32AA006897}">
    <text>OK</text>
  </threadedComment>
  <threadedComment ref="AR442" dT="2023-06-12T09:54:06.53" personId="{3DE5673D-4837-4FC9-B8B9-34243175713A}" id="{343C28EC-2D58-453C-8388-4ABB664BA2A3}" done="1">
    <text>Excluding 73 cancers with missing stage data.</text>
  </threadedComment>
  <threadedComment ref="AR442" dT="2023-08-29T18:26:23.38" personId="{883E32C5-8AB4-4AEE-9ADC-CF370F4EA9A2}" id="{46C1CECF-1C25-4E46-90CF-9F233B7D57F7}" parentId="{343C28EC-2D58-453C-8388-4ABB664BA2A3}">
    <text>OK</text>
  </threadedComment>
  <threadedComment ref="AN447" dT="2023-06-12T09:53:16.25" personId="{3DE5673D-4837-4FC9-B8B9-34243175713A}" id="{EE8BD21B-F9A6-44CB-AE12-5A6442FAE976}" done="1">
    <text>Excluding 6 cancers with missing stage data.</text>
  </threadedComment>
  <threadedComment ref="AN447" dT="2023-08-29T18:29:21.89" personId="{883E32C5-8AB4-4AEE-9ADC-CF370F4EA9A2}" id="{768C1F93-5C24-4016-ADC7-9B25EEB1A144}" parentId="{EE8BD21B-F9A6-44CB-AE12-5A6442FAE976}">
    <text>OK</text>
  </threadedComment>
  <threadedComment ref="AR447" dT="2023-06-12T09:54:06.53" personId="{3DE5673D-4837-4FC9-B8B9-34243175713A}" id="{8A0214CD-6365-4A87-A1C3-5E694001E5D1}" done="1">
    <text>Excluding 12 cancers with missing stage data.</text>
  </threadedComment>
  <threadedComment ref="AR447" dT="2023-08-29T18:29:29.26" personId="{883E32C5-8AB4-4AEE-9ADC-CF370F4EA9A2}" id="{A2A80870-196C-4748-AE77-FABFA000FF61}" parentId="{8A0214CD-6365-4A87-A1C3-5E694001E5D1}">
    <text>OK</text>
  </threadedComment>
  <threadedComment ref="AN450" dT="2023-06-12T09:53:16.25" personId="{3DE5673D-4837-4FC9-B8B9-34243175713A}" id="{D7F4C40F-0810-4CAE-91D9-82E706B26DC7}" done="1">
    <text>Excluding 35 cancers with missing stage data.</text>
  </threadedComment>
  <threadedComment ref="AN450" dT="2023-08-29T18:31:05.60" personId="{883E32C5-8AB4-4AEE-9ADC-CF370F4EA9A2}" id="{2F859BFF-CCFD-4669-8108-9ACB07E545C0}" parentId="{D7F4C40F-0810-4CAE-91D9-82E706B26DC7}">
    <text>OK</text>
  </threadedComment>
  <threadedComment ref="AR450" dT="2023-06-12T09:54:06.53" personId="{3DE5673D-4837-4FC9-B8B9-34243175713A}" id="{909985ED-AEE8-4DA1-87EF-0AE669F818D3}" done="1">
    <text>Excluding 61 cancers with missing stage data.</text>
  </threadedComment>
  <threadedComment ref="AR450" dT="2023-08-29T18:31:12.54" personId="{883E32C5-8AB4-4AEE-9ADC-CF370F4EA9A2}" id="{54380DE4-F367-4259-AFE8-2DC1B3A474AC}" parentId="{909985ED-AEE8-4DA1-87EF-0AE669F818D3}">
    <text>OK</text>
  </threadedComment>
  <threadedComment ref="D454" dT="2023-08-31T18:19:08.39" personId="{883E32C5-8AB4-4AEE-9ADC-CF370F4EA9A2}" id="{75C66235-3489-4348-BB86-8826698B6261}" done="1">
    <text>Technically, the extracted numbers are correct, but I'm not sure this indicator makes sense. When you add CIN2/3 and cancers, with CIN2/3 almost always being screen-detected (not symptomatic) and their number is (in a normal screening population) much larger than that of cancers, this proportion will not tell you much. It will be very high just because of the nature of CIN rather than tell you whether screening worked or not</text>
  </threadedComment>
  <threadedComment ref="D456" dT="2023-08-31T18:21:46.67" personId="{883E32C5-8AB4-4AEE-9ADC-CF370F4EA9A2}" id="{7474069B-DFA5-4856-84DB-D0C7FB56A982}" done="1">
    <text>Same as above, this indicator is not really informative though the numbers you extracted are correct</text>
  </threadedComment>
  <threadedComment ref="D460" dT="2023-08-31T18:23:01.82" personId="{883E32C5-8AB4-4AEE-9ADC-CF370F4EA9A2}" id="{58B042CB-CC07-4D8A-872A-DE49E6021CC9}" done="1">
    <text>Same as above</text>
  </threadedComment>
  <threadedComment ref="D462" dT="2023-08-31T18:23:29.46" personId="{883E32C5-8AB4-4AEE-9ADC-CF370F4EA9A2}" id="{968439E6-4C41-4FDB-A73C-C3E8A69C0488}" done="1">
    <text>Same as above</text>
  </threadedComment>
  <threadedComment ref="D466" dT="2023-08-31T18:24:17.25" personId="{883E32C5-8AB4-4AEE-9ADC-CF370F4EA9A2}" id="{E0A204F1-C621-4265-AD0D-E7F9A2E993B3}" done="1">
    <text>Same as above</text>
  </threadedComment>
  <threadedComment ref="D468" dT="2023-08-31T18:24:51.47" personId="{883E32C5-8AB4-4AEE-9ADC-CF370F4EA9A2}" id="{AF696B0A-72DF-4D1E-AB45-0361CD3FAE6A}" done="1">
    <text>Same as above</text>
  </threadedComment>
  <threadedComment ref="AN471" dT="2023-06-23T08:16:43.76" personId="{3DE5673D-4837-4FC9-B8B9-34243175713A}" id="{E3AD68FF-E90E-40CE-8419-817FC5EF7CCC}">
    <text>Think the reported rates are the average of the cluster %.</text>
  </threadedComment>
  <threadedComment ref="AN471" dT="2023-08-31T18:29:23.80" personId="{883E32C5-8AB4-4AEE-9ADC-CF370F4EA9A2}" id="{2B4C29E0-E90A-4AB3-92C7-402C9FF239A0}" parentId="{E3AD68FF-E90E-40CE-8419-817FC5EF7CCC}">
    <text>OK, so perhaps slightly different weighting? We probably won't be able to reconstruct it ourselves as we don't have the necessary data</text>
  </threadedComment>
  <threadedComment ref="AN472" dT="2023-06-23T08:16:27.90" personId="{3DE5673D-4837-4FC9-B8B9-34243175713A}" id="{7C8237A1-0C9C-4645-9A66-B473A7C779CB}">
    <text>Think the reported rates are the average of the cluster %.</text>
  </threadedComment>
  <threadedComment ref="AR472" dT="2023-06-23T08:16:59.74" personId="{3DE5673D-4837-4FC9-B8B9-34243175713A}" id="{F858FEF4-CDC6-4FF9-8061-C353CA694EDA}" done="1">
    <text>Think the reported rates are the average of the cluster %.</text>
  </threadedComment>
  <threadedComment ref="AN477" dT="2023-06-23T08:16:43.76" personId="{3DE5673D-4837-4FC9-B8B9-34243175713A}" id="{A7FB0BAA-589E-4454-8F97-EF5FCB8004E6}" done="1">
    <text>Think the reported rates are the average of the cluster %.</text>
  </threadedComment>
  <threadedComment ref="AN478" dT="2023-06-23T08:15:54.82" personId="{3DE5673D-4837-4FC9-B8B9-34243175713A}" id="{F78EC3AA-463E-4E2A-ABE4-D2E98527926B}">
    <text>Think the reported rates are the average from the 13 clusters (so analysed by cluster, not by women)? Not sure though...</text>
  </threadedComment>
  <threadedComment ref="AR478" dT="2023-06-23T08:16:12.94" personId="{3DE5673D-4837-4FC9-B8B9-34243175713A}" id="{0EEB17F5-EFA1-4EFC-B269-852F20143D11}">
    <text>Think the reported rates are the average from the 13 clusters (so analysed by cluster, not by women)? Not sure though...</text>
  </threadedComment>
  <threadedComment ref="A481" dT="2023-06-23T10:30:06.00" personId="{3DE5673D-4837-4FC9-B8B9-34243175713A}" id="{B9A134D6-65C8-4B7C-B1B1-EE52AB1742E8}" done="1">
    <text>Numbers of screen-detected cancers and precancers different to numbers reported in #5969.</text>
  </threadedComment>
  <threadedComment ref="A482" dT="2023-06-23T10:30:06.00" personId="{3DE5673D-4837-4FC9-B8B9-34243175713A}" id="{3CB47D2D-2FDC-4410-AF5A-0D4839D691F4}" done="1">
    <text>Numbers of screen-detected cancers and precancers different to numbers reported in #5969.</text>
  </threadedComment>
  <threadedComment ref="A483" dT="2023-06-23T10:30:06.00" personId="{3DE5673D-4837-4FC9-B8B9-34243175713A}" id="{78E1F881-C87F-4574-9EF6-F9F6778F6524}" done="1">
    <text>Numbers of screen-detected cancers and precancers different to numbers reported in #5969.</text>
  </threadedComment>
  <threadedComment ref="A484" dT="2023-06-23T10:30:06.00" personId="{3DE5673D-4837-4FC9-B8B9-34243175713A}" id="{17781DA2-2026-4D19-AE86-A3F83825EFA3}" done="1">
    <text>Numbers of screen-detected cancers and precancers different to numbers reported in #5969.</text>
  </threadedComment>
  <threadedComment ref="A485" dT="2023-06-23T10:30:06.00" personId="{3DE5673D-4837-4FC9-B8B9-34243175713A}" id="{30A29B29-58A4-427C-8E65-7C8CE86C141B}" done="1">
    <text>Numbers of screen-detected cancers and precancers different to numbers reported in #5969.</text>
  </threadedComment>
  <threadedComment ref="A486" dT="2023-06-23T10:30:06.00" personId="{3DE5673D-4837-4FC9-B8B9-34243175713A}" id="{AD68612C-AD2F-448C-8D14-604523166C61}" done="1">
    <text>Numbers of screen-detected cancers and precancers different to numbers reported in #5969.</text>
  </threadedComment>
  <threadedComment ref="A519" dT="2023-06-23T12:53:53.17" personId="{3DE5673D-4837-4FC9-B8B9-34243175713A}" id="{FA822E19-5501-4407-B638-84A824BD8449}" done="1">
    <text>Figure 2 reports the cumulative incidence of stage II+ cancers as well as cumulative cervical cancer mortality per year after randomisation (1-8 years). No numbers reported though, just a graph.</text>
  </threadedComment>
  <threadedComment ref="P525" dT="2023-07-28T19:55:41.12" personId="{883E32C5-8AB4-4AEE-9ADC-CF370F4EA9A2}" id="{DF0CFB80-8DF4-4A8A-AFB6-366D634738F4}" done="1">
    <text>Should be #7?</text>
  </threadedComment>
  <threadedComment ref="P525" dT="2023-08-30T09:30:42.27" personId="{3DE5673D-4837-4FC9-B8B9-34243175713A}" id="{75A2DFEA-9C99-4D57-8B1F-94E7CBD223D6}" parentId="{DF0CFB80-8DF4-4A8A-AFB6-366D634738F4}">
    <text>Yes, corrected.</text>
  </threadedComment>
  <threadedComment ref="AJ525" dT="2023-07-28T19:54:03.82" personId="{883E32C5-8AB4-4AEE-9ADC-CF370F4EA9A2}" id="{DE21F9B3-1A1C-45DE-8494-77BD844EFF43}" done="1">
    <text>Is this relevant if this is the control group. Note: this is surrogate #7, not #1 or#4, as stated in column D. Same comment for the green cells on the right</text>
  </threadedComment>
  <threadedComment ref="AJ525" dT="2023-08-30T09:29:38.71" personId="{3DE5673D-4837-4FC9-B8B9-34243175713A}" id="{1B041CA0-F09F-47C1-8F44-99D7C3D32E57}" parentId="{DE21F9B3-1A1C-45DE-8494-77BD844EFF43}">
    <text>Only if we class the comparator group as "Another type of screening".</text>
  </threadedComment>
  <threadedComment ref="P526" dT="2023-07-28T19:57:21.85" personId="{883E32C5-8AB4-4AEE-9ADC-CF370F4EA9A2}" id="{8C64B96B-9AB5-4EC2-8F0F-889E0F2BF391}" done="1">
    <text>Given outcome description, should be surrogate #5? (and so no relevant data needed from the control group)?</text>
  </threadedComment>
  <threadedComment ref="P526" dT="2023-08-30T09:32:56.24" personId="{3DE5673D-4837-4FC9-B8B9-34243175713A}" id="{0B208766-A72F-41EB-8A3A-68396FCEC860}" parentId="{8C64B96B-9AB5-4EC2-8F0F-889E0F2BF391}">
    <text>Yes, should be surrogate 5. But the comparator group for me is "limited screening", not usual care.</text>
  </threadedComment>
  <threadedComment ref="AA526" dT="2023-07-28T19:58:28.10" personId="{883E32C5-8AB4-4AEE-9ADC-CF370F4EA9A2}" id="{F8A35F82-7E73-4116-85D7-37BC17D694BE}" done="1">
    <text>Same comment as for mortality: could you please help me locate these numbers?</text>
  </threadedComment>
  <threadedComment ref="AA526" dT="2023-08-30T09:33:31.48" personId="{3DE5673D-4837-4FC9-B8B9-34243175713A}" id="{585E2669-1B19-439A-A0D1-A58BFB6F09B4}" parentId="{F8A35F82-7E73-4116-85D7-37BC17D694BE}">
    <text>I think they are the people who died of other causes then cancer: 7-2=5 got the extensive screening group? For the comparator, should it be 11-4=7 non-cancer death plus 1 LTFU? But maybe, for this outcome, should it be 7 deaths for the extensive screening group and 11 deaths in the limited screening group plus 1 LTFU in the limited screening group, so 12?</text>
  </threadedComment>
  <threadedComment ref="AJ526" dT="2023-07-28T19:59:19.90" personId="{883E32C5-8AB4-4AEE-9ADC-CF370F4EA9A2}" id="{2BE0948C-C4D0-4DF1-BB05-CABE293E16F1}" done="1">
    <text>Control arm data not relevant here? Also relates to cells on the right</text>
  </threadedComment>
  <threadedComment ref="AJ526" dT="2023-08-30T09:29:57.51" personId="{3DE5673D-4837-4FC9-B8B9-34243175713A}" id="{B584BCCE-6D1D-4A56-87BA-F7555893D7F0}" parentId="{2BE0948C-C4D0-4DF1-BB05-CABE293E16F1}">
    <text>Comparator = limited screening?</text>
  </threadedComment>
  <threadedComment ref="D542" dT="2023-09-01T17:02:25.74" personId="{883E32C5-8AB4-4AEE-9ADC-CF370F4EA9A2}" id="{627074C8-9671-44B7-8B21-E45B49F62D88}" done="1">
    <text>I wonder if we need these? They were not crosstabbed by T, N, M category - I don't think each category on its own tells us much?</text>
  </threadedComment>
  <threadedComment ref="D542" dT="2023-09-04T15:19:07.61" personId="{3DE5673D-4837-4FC9-B8B9-34243175713A}" id="{2A0FD96F-FD49-41F9-8354-B98391F2137B}" parentId="{627074C8-9671-44B7-8B21-E45B49F62D88}">
    <text>We are using a size cut-off or node status as stage approximation for breast cancer. 
Do you think we should say that we only extract other stage approximations if the numerical stage is not reported?</text>
  </threadedComment>
  <threadedComment ref="D542" dT="2023-09-09T22:38:47.04" personId="{883E32C5-8AB4-4AEE-9ADC-CF370F4EA9A2}" id="{484DE226-BE66-411C-BA26-B3906485F38C}" parentId="{627074C8-9671-44B7-8B21-E45B49F62D88}">
    <text>I think that you do this as size and node status have been described as of prognostic value in breast cancer. I wonder if we have that certainty for the NPC cancer as well? 
In any case - you have them in now, I wouldn't delete it. Let Adam and Nefeli decide what they want to do with it at a later point?</text>
  </threadedComment>
  <threadedComment ref="D542" dT="2023-09-11T09:54:51.33" personId="{3DE5673D-4837-4FC9-B8B9-34243175713A}" id="{331F4736-21E4-4981-AADE-7C1AF2E3BF94}" parentId="{627074C8-9671-44B7-8B21-E45B49F62D88}">
    <text>Agree. ☺️</text>
  </threadedComment>
  <threadedComment ref="A554" dT="2023-05-09T13:02:30.29" personId="{3DE5673D-4837-4FC9-B8B9-34243175713A}" id="{30CCCC49-8AFC-4B1F-9857-2E1EAC3644E9}" done="1">
    <text>Table S2 also reports 'Histology type'. Relevant for stage???</text>
  </threadedComment>
  <threadedComment ref="A554" dT="2023-09-01T16:53:32.62" personId="{883E32C5-8AB4-4AEE-9ADC-CF370F4EA9A2}" id="{2521554F-DC52-4412-9EE0-865E2CB10F9B}" parentId="{30CCCC49-8AFC-4B1F-9857-2E1EAC3644E9}">
    <text>No</text>
  </threadedComment>
  <threadedComment ref="D555" dT="2023-09-01T17:10:09.70" personId="{883E32C5-8AB4-4AEE-9ADC-CF370F4EA9A2}" id="{518A9B3E-B3E6-4C59-9B3E-D1E0ED9E7D63}" done="1">
    <text>This is a single round, the rest are rescreens as part of the diagnostic process</text>
  </threadedComment>
  <threadedComment ref="D555" dT="2023-09-04T14:09:40.17" personId="{3DE5673D-4837-4FC9-B8B9-34243175713A}" id="{DD4FE92F-5D69-4440-B8D1-9ED6180FED2F}" parentId="{518A9B3E-B3E6-4C59-9B3E-D1E0ED9E7D63}">
    <text>Reworded.</text>
  </threadedComment>
  <threadedComment ref="D556" dT="2023-09-01T17:10:16.47" personId="{883E32C5-8AB4-4AEE-9ADC-CF370F4EA9A2}" id="{8C029691-4730-44AE-A8E3-ACDC8EEDB03F}" done="1">
    <text>Idem</text>
  </threadedComment>
  <threadedComment ref="D556" dT="2023-09-04T15:16:03.63" personId="{3DE5673D-4837-4FC9-B8B9-34243175713A}" id="{A3E3034B-132F-4C71-98F5-4A4931CF54C6}" parentId="{8C029691-4730-44AE-A8E3-ACDC8EEDB03F}">
    <text>Reworded.</text>
  </threadedComment>
  <threadedComment ref="B558" dT="2023-08-16T08:23:13.29" personId="{E08A2389-F34B-466D-8AA1-6ADBBDF0F7BF}" id="{538999A3-ADAA-49ED-BC45-1FD966C62280}" done="1">
    <text>For this paper, should we not also report by categories of early/late stage, i.e. stage 2+, stage 3+ etc. That's what is says in the protocol.</text>
  </threadedComment>
  <threadedComment ref="B558" dT="2023-08-22T12:26:13.97" personId="{3DE5673D-4837-4FC9-B8B9-34243175713A}" id="{36386469-5514-492B-9E7E-CACD6CAA1999}" parentId="{538999A3-ADAA-49ED-BC45-1FD966C62280}">
    <text>I have discussed that with Matejka and Nefeli, and Adam/Nefeli can do this playing around with stage cut-offs at the analysis stage.</text>
  </threadedComment>
  <threadedComment ref="B558" dT="2023-09-14T12:40:38.27" personId="{E08A2389-F34B-466D-8AA1-6ADBBDF0F7BF}" id="{0496CF3F-15AB-40E9-86DA-77BEC161AE1B}" parentId="{538999A3-ADAA-49ED-BC45-1FD966C62280}">
    <text>Yay!</text>
  </threadedComment>
  <threadedComment ref="AX561" dT="2023-08-16T08:25:30.24" personId="{E08A2389-F34B-466D-8AA1-6ADBBDF0F7BF}" id="{8CB5F5BC-5898-42D2-84D7-E1E6C17ED5F2}" done="1">
    <text>Should this be NA or have a zero cell correction?</text>
  </threadedComment>
  <threadedComment ref="AX562" dT="2023-08-16T08:25:30.24" personId="{E08A2389-F34B-466D-8AA1-6ADBBDF0F7BF}" id="{3F804E06-386A-4511-9AB8-BA0F3D20A320}" done="1">
    <text>Should this be NA or have a zero cell correction?</text>
  </threadedComment>
  <threadedComment ref="AX563" dT="2023-08-16T08:25:30.24" personId="{E08A2389-F34B-466D-8AA1-6ADBBDF0F7BF}" id="{C8429341-E1A9-4AF9-9A4A-8A2D06BF39D3}" done="1">
    <text>Should this be NA or have a zero cell correction?</text>
  </threadedComment>
  <threadedComment ref="L564" dT="2023-08-16T08:28:30.03" personId="{E08A2389-F34B-466D-8AA1-6ADBBDF0F7BF}" id="{A542FBF6-1F3B-435C-8025-77FA4B275583}">
    <text>It suggests 3/4 is late stage on page 13 &amp; in the abstract:
"all were late stage (one was stage III and three were stage IV)."</text>
  </threadedComment>
  <threadedComment ref="L564" dT="2023-08-22T12:28:35.50" personId="{3DE5673D-4837-4FC9-B8B9-34243175713A}" id="{EE3CF043-8C02-4790-B864-C5FEB4967EB2}" parentId="{A542FBF6-1F3B-435C-8025-77FA4B275583}">
    <text>That's right, and I have used that cut-off for surrogates 1 and 4 below (cell colour is darker green for these outcomes). But in the rows here, I have extracted surrogates 5 and 7 which are not on late or early stage. This is why I then have put 'NA'.</text>
  </threadedComment>
  <threadedComment ref="L564" dT="2023-09-14T12:42:28.73" personId="{E08A2389-F34B-466D-8AA1-6ADBBDF0F7BF}" id="{DD06F406-AD85-4602-8C26-C6756FD9633F}" parentId="{A542FBF6-1F3B-435C-8025-77FA4B275583}">
    <text>Shouldn't we report that here?</text>
  </threadedComment>
  <threadedComment ref="L565" dT="2023-08-16T08:28:40.98" personId="{E08A2389-F34B-466D-8AA1-6ADBBDF0F7BF}" id="{9568C6A7-A8BB-4772-ADF3-4CB13E0DAE61}" done="1">
    <text>As above</text>
  </threadedComment>
  <threadedComment ref="L565" dT="2023-09-14T12:42:33.73" personId="{E08A2389-F34B-466D-8AA1-6ADBBDF0F7BF}" id="{9DC7F00C-22FB-4D10-BDEB-E2AC1BA74FBE}" parentId="{9568C6A7-A8BB-4772-ADF3-4CB13E0DAE61}">
    <text xml:space="preserve">Shouldn't we report that here?
</text>
  </threadedComment>
  <threadedComment ref="L566" dT="2023-08-16T08:28:45.81" personId="{E08A2389-F34B-466D-8AA1-6ADBBDF0F7BF}" id="{4891D9BF-154B-4168-AC35-CD52E642A340}">
    <text xml:space="preserve">As above
</text>
  </threadedComment>
  <threadedComment ref="L566" dT="2023-09-14T12:42:36.84" personId="{E08A2389-F34B-466D-8AA1-6ADBBDF0F7BF}" id="{7F49C6B4-6DB4-42CB-8E06-3CDBA82AA316}" parentId="{4891D9BF-154B-4168-AC35-CD52E642A340}">
    <text xml:space="preserve">Shouldn't we report that here?
</text>
  </threadedComment>
  <threadedComment ref="AK566" dT="2023-08-16T08:34:24.65" personId="{E08A2389-F34B-466D-8AA1-6ADBBDF0F7BF}" id="{AA62CA00-F6B0-4755-B585-DA1F7CF72DF5}" done="1">
    <text>I don't think this is right. 
First, can you have an interval cancer if looking at baseline cancers?
Second, neither of the interval cancer in the LDCT are actually interval cancers. One was in a person who didn't have a baseline screen so there was no 'interval'. The other was in a person who had a positive screen result, it just took a year to receive the diagnosis.</text>
  </threadedComment>
  <threadedComment ref="AK566" dT="2023-08-22T12:30:41.61" personId="{3DE5673D-4837-4FC9-B8B9-34243175713A}" id="{7284F905-4D22-4F0E-A7FA-24DEDAA1C32F}" parentId="{AA62CA00-F6B0-4755-B585-DA1F7CF72DF5}">
    <text>For surrogate 5, the denominator is defined in the protocol as "Total number of target cancers detected (screen-detected and symptomatically detected) in intervention arm." I understood that surrogate 5 is NOT sensitivity but the proportion of all target cancers (screen-detected or other way of detection) detected in a certain time period (here 1 year after baseline screen, but before year 1 screen) that are screen-detected. Screen-detected in this paper is defined as diagnosis within 1 year of a positive test. All others are called in this paper "interval cancers"...</text>
  </threadedComment>
  <threadedComment ref="AK566" dT="2023-09-14T13:13:27.89" personId="{E08A2389-F34B-466D-8AA1-6ADBBDF0F7BF}" id="{FCFA577E-F4B9-4FA6-935E-F9803BE8DC06}" parentId="{AA62CA00-F6B0-4755-B585-DA1F7CF72DF5}">
    <text>I agree with you on the basis that we're accepting the paper's definition of interval cancers. But I don't think their definition is correct!</text>
  </threadedComment>
  <threadedComment ref="AL566" dT="2023-08-16T08:34:47.29" personId="{E08A2389-F34B-466D-8AA1-6ADBBDF0F7BF}" id="{80BFA3A3-32E7-44BA-BBE0-EA2B9ABF1959}" done="1">
    <text>Can you have an interval cancer if looking at baseline cancers?</text>
  </threadedComment>
  <threadedComment ref="AL566" dT="2023-08-22T12:37:29.59" personId="{3DE5673D-4837-4FC9-B8B9-34243175713A}" id="{996D70FB-1AEC-4F8D-8D2B-53BCEA82DD45}" parentId="{80BFA3A3-32E7-44BA-BBE0-EA2B9ABF1959}">
    <text>This is the total number of cancers detected within 1 year of follow-up (but before the year 1 screen). Maybe the term "interval cases" is not correct but used throughout this paper.</text>
  </threadedComment>
  <threadedComment ref="AL566" dT="2023-09-14T13:13:39.92" personId="{E08A2389-F34B-466D-8AA1-6ADBBDF0F7BF}" id="{5597D5BA-8F49-41C3-8DBB-94C107702152}" parentId="{80BFA3A3-32E7-44BA-BBE0-EA2B9ABF1959}">
    <text>I agree with you on the basis that we're accepting the paper's definition of interval cancers. But I don't think their definition is correct!</text>
  </threadedComment>
  <threadedComment ref="AO566" dT="2023-08-16T08:41:29.54" personId="{E08A2389-F34B-466D-8AA1-6ADBBDF0F7BF}" id="{70ED2984-7FDA-4F06-89E5-E9A6825CDABB}" done="1">
    <text>Depend on denominator discussion</text>
  </threadedComment>
  <threadedComment ref="AO566" dT="2023-09-14T13:14:21.99" personId="{E08A2389-F34B-466D-8AA1-6ADBBDF0F7BF}" id="{73B38DDA-D7D5-462A-8D1F-A3F041A3A6EC}" parentId="{70ED2984-7FDA-4F06-89E5-E9A6825CDABB}">
    <text>Agree with you based on interval cancer definition convo.</text>
  </threadedComment>
  <threadedComment ref="AS566" dT="2023-08-16T08:41:34.93" personId="{E08A2389-F34B-466D-8AA1-6ADBBDF0F7BF}" id="{A3C146AF-5638-4BFB-9071-8056EF524AA9}" done="1">
    <text xml:space="preserve">Depend on denominator discussion
</text>
  </threadedComment>
  <threadedComment ref="AS566" dT="2023-09-14T13:14:53.49" personId="{E08A2389-F34B-466D-8AA1-6ADBBDF0F7BF}" id="{F80F1DF6-C166-4BFF-8496-40F04F0F49A1}" parentId="{A3C146AF-5638-4BFB-9071-8056EF524AA9}">
    <text>Agree with you based on interval cancer definition convo.</text>
  </threadedComment>
  <threadedComment ref="AX566" dT="2023-08-16T08:41:48.33" personId="{E08A2389-F34B-466D-8AA1-6ADBBDF0F7BF}" id="{93FDC0F8-C3DF-41F5-B863-F4C63BF4ADD1}" done="1">
    <text xml:space="preserve">Depend on denominator discussion
</text>
  </threadedComment>
  <threadedComment ref="AX566" dT="2023-09-14T13:15:03.77" personId="{E08A2389-F34B-466D-8AA1-6ADBBDF0F7BF}" id="{CC5EA6C0-435C-41B6-AE2D-E5E12968D4F2}" parentId="{93FDC0F8-C3DF-41F5-B863-F4C63BF4ADD1}">
    <text>Agree with you based on interval cancer definition convo.</text>
  </threadedComment>
  <threadedComment ref="L567" dT="2023-08-16T08:28:50.43" personId="{E08A2389-F34B-466D-8AA1-6ADBBDF0F7BF}" id="{52925797-5540-4AE1-BFD9-7A53FB924114}">
    <text xml:space="preserve">As above
</text>
  </threadedComment>
  <threadedComment ref="L567" dT="2023-09-14T12:42:39.69" personId="{E08A2389-F34B-466D-8AA1-6ADBBDF0F7BF}" id="{778FBD2C-9FA8-4189-A88A-155811BB597C}" parentId="{52925797-5540-4AE1-BFD9-7A53FB924114}">
    <text xml:space="preserve">Shouldn't we report that here?
</text>
  </threadedComment>
  <threadedComment ref="AI567" dT="2023-08-16T08:43:50.56" personId="{E08A2389-F34B-466D-8AA1-6ADBBDF0F7BF}" id="{A7B38F11-2590-45D6-A5E8-C455B73B2669}">
    <text>I think there are 39 screen detected cancer, because the stage IV 'interval' cancer was detected by screening.</text>
  </threadedComment>
  <threadedComment ref="AI567" dT="2023-08-22T12:40:54.39" personId="{3DE5673D-4837-4FC9-B8B9-34243175713A}" id="{D0EA6951-06C4-4DD8-B563-5D07FA274C7B}" parentId="{A7B38F11-2590-45D6-A5E8-C455B73B2669}">
    <text>The definition of "screen-detected" in this papers was "... being diagnosed within one year of a positive screen." Possibly because there was already the next screening round after 1 year? According to this definition, this 1 case counts not as screen-detected.</text>
  </threadedComment>
  <threadedComment ref="AI567" dT="2023-09-14T12:46:24.83" personId="{E08A2389-F34B-466D-8AA1-6ADBBDF0F7BF}" id="{C36FB701-BC19-4DC3-BCFC-562EEDA3AFFB}" parentId="{A7B38F11-2590-45D6-A5E8-C455B73B2669}">
    <text>I see. Happy to go with that. But I don't agree with how they've defined it!</text>
  </threadedComment>
  <threadedComment ref="AI567" dT="2023-09-15T07:22:22.85" personId="{3DE5673D-4837-4FC9-B8B9-34243175713A}" id="{B4F45C5C-F9D4-41D4-A7E2-25EF584D82E9}" parentId="{A7B38F11-2590-45D6-A5E8-C455B73B2669}">
    <text>I have put some information on that case in the "Notes" so Adam and Nefeli can add it in if they want to.</text>
  </threadedComment>
  <threadedComment ref="AO567" dT="2023-08-16T08:45:02.87" personId="{E08A2389-F34B-466D-8AA1-6ADBBDF0F7BF}" id="{573B3726-82E5-42F3-8A8B-3C122D0B36A8}" done="1">
    <text>97.5% if one of the interval cancers is really screen detected.</text>
  </threadedComment>
  <threadedComment ref="AO567" dT="2023-09-14T13:14:26.01" personId="{E08A2389-F34B-466D-8AA1-6ADBBDF0F7BF}" id="{1D6CCA12-7A7B-44BB-89C6-1D6C14D97D1B}" parentId="{573B3726-82E5-42F3-8A8B-3C122D0B36A8}">
    <text xml:space="preserve">Agree with you based on interval cancer definition convo.
</text>
  </threadedComment>
  <threadedComment ref="AX567" dT="2023-08-16T08:46:03.80" personId="{E08A2389-F34B-466D-8AA1-6ADBBDF0F7BF}" id="{DC2F1868-2282-4529-8866-39C328969169}">
    <text>1.22 if one of the LDCT interval cancers is really screen detected.</text>
  </threadedComment>
  <threadedComment ref="AX567" dT="2023-09-14T13:15:08.98" personId="{E08A2389-F34B-466D-8AA1-6ADBBDF0F7BF}" id="{29AD3E7D-E153-4BA1-B2B9-7ACC11A2D392}" parentId="{DC2F1868-2282-4529-8866-39C328969169}">
    <text>Agree with you based on interval cancer definition convo.</text>
  </threadedComment>
  <threadedComment ref="AC576" dT="2023-06-30T15:38:06.95" personId="{3DE5673D-4837-4FC9-B8B9-34243175713A}" id="{EEF24BA9-6EEA-49B8-A8B1-63AF925B9257}" done="1">
    <text>Reported in Senore 2022 (#283)</text>
  </threadedComment>
  <threadedComment ref="AC576" dT="2023-09-28T17:37:23.44" personId="{883E32C5-8AB4-4AEE-9ADC-CF370F4EA9A2}" id="{EEC92824-3A10-4BFF-9ED1-C5A29E060ADC}" parentId="{EEF24BA9-6EEA-49B8-A8B1-63AF925B9257}">
    <text>OK</text>
  </threadedComment>
  <threadedComment ref="AI576" dT="2023-06-30T15:36:39.90" personId="{3DE5673D-4837-4FC9-B8B9-34243175713A}" id="{F2CBD169-68F8-4797-9CFA-A4FC5E0210AD}" done="1">
    <text>Senore 2022 (#283) reports 47 screen-detected cases with distal CRC.</text>
  </threadedComment>
  <threadedComment ref="AI576" dT="2023-09-28T17:38:10.74" personId="{883E32C5-8AB4-4AEE-9ADC-CF370F4EA9A2}" id="{3AA3E43B-4331-4776-8D29-3D5BBAECF2D8}" parentId="{F2CBD169-68F8-4797-9CFA-A4FC5E0210AD}">
    <text>OK. Let's stick to the Segnan 2011 report - might have been an earlier version of the data</text>
  </threadedComment>
  <threadedComment ref="AI578" dT="2023-06-30T15:36:39.90" personId="{3DE5673D-4837-4FC9-B8B9-34243175713A}" id="{1380CE61-B263-4B58-A64F-BB2ADAAFE95A}" done="1">
    <text>Senore 2022 (#283) reports 47 screen-detected cases with distal CRC.</text>
  </threadedComment>
  <threadedComment ref="AI578" dT="2023-09-28T17:40:52.05" personId="{883E32C5-8AB4-4AEE-9ADC-CF370F4EA9A2}" id="{45DDB709-3A52-4583-972D-FE9774EAD06A}" parentId="{1380CE61-B263-4B58-A64F-BB2ADAAFE95A}">
    <text>OK, see above</text>
  </threadedComment>
  <threadedComment ref="AY579" dT="2023-06-30T11:52:29.80" personId="{3DE5673D-4837-4FC9-B8B9-34243175713A}" id="{3DFDF7E7-B7E8-4097-80E6-B53C8563270F}" done="1">
    <text>Text says 0.58</text>
  </threadedComment>
  <threadedComment ref="AY579" dT="2023-09-28T17:44:22.84" personId="{883E32C5-8AB4-4AEE-9ADC-CF370F4EA9A2}" id="{4D252921-77D9-4F47-8DC1-86E1817B5E0E}" parentId="{3DFDF7E7-B7E8-4097-80E6-B53C8563270F}">
    <text>Let's stick to the one from the table</text>
  </threadedComment>
  <threadedComment ref="D595" dT="2023-09-27T10:26:54.07" personId="{883E32C5-8AB4-4AEE-9ADC-CF370F4EA9A2}" id="{5AED5EF4-9BDF-496B-BD1F-98A401F3FA97}" done="1">
    <text>Just to say it's unclear (?) whether the data were until end of 1997 or end of 1998</text>
  </threadedComment>
  <threadedComment ref="D595" dT="2023-09-27T14:39:19.14" personId="{3DE5673D-4837-4FC9-B8B9-34243175713A}" id="{669BA73F-E721-4771-B483-9ED33E8A4139}" parentId="{5AED5EF4-9BDF-496B-BD1F-98A401F3FA97}">
    <text>Possibly more likely to be end of 1997.</text>
  </threadedComment>
  <threadedComment ref="O595" dT="2023-09-27T10:27:33.18" personId="{883E32C5-8AB4-4AEE-9ADC-CF370F4EA9A2}" id="{BE37F8CC-701A-431A-87B4-CF05A8E3BA8E}" done="1">
    <text>Same again: 1997 or 1998?</text>
  </threadedComment>
  <threadedComment ref="O595" dT="2023-09-27T15:46:11.31" personId="{3DE5673D-4837-4FC9-B8B9-34243175713A}" id="{E793F720-F8D7-4144-A19B-C2131A19DE1C}" parentId="{BE37F8CC-701A-431A-87B4-CF05A8E3BA8E}">
    <text>Agree, think it's more likely to be 1997.</text>
  </threadedComment>
  <threadedComment ref="Q595" dT="2023-09-27T10:28:05.01" personId="{883E32C5-8AB4-4AEE-9ADC-CF370F4EA9A2}" id="{5E111D87-579F-47C4-82A2-5C05711A0A1F}" done="1">
    <text>Same again, 1997 or 1998?</text>
  </threadedComment>
  <threadedComment ref="R595" dT="2023-09-27T10:28:35.31" personId="{883E32C5-8AB4-4AEE-9ADC-CF370F4EA9A2}" id="{C4B4F54D-3CED-4648-9C78-D7A817246A52}" done="1">
    <text>Up to 5 years? (If FU until end of 1997)</text>
  </threadedComment>
  <threadedComment ref="S595" dT="2023-09-27T15:58:21.96" personId="{3DE5673D-4837-4FC9-B8B9-34243175713A}" id="{AEC73804-55A8-4153-B404-13E8B8016573}" done="1">
    <text>I have added these. Please check!</text>
  </threadedComment>
  <threadedComment ref="Y595" dT="2023-09-27T10:29:38.76" personId="{883E32C5-8AB4-4AEE-9ADC-CF370F4EA9A2}" id="{B9130CE9-03C7-4A77-9BBD-6E9BC7F4744C}" done="1">
    <text>I guess we accept throughout that they didn't report data for the entire randomised group, but only for compliers with the first screening round?</text>
  </threadedComment>
  <threadedComment ref="Y595" dT="2023-09-27T15:47:32.12" personId="{3DE5673D-4837-4FC9-B8B9-34243175713A}" id="{9E281CE1-C3CF-4763-92AA-126317C21871}" parentId="{B9130CE9-03C7-4A77-9BBD-6E9BC7F4744C}">
    <text>Agree.</text>
  </threadedComment>
  <threadedComment ref="AG595" dT="2023-09-27T10:30:05.41" personId="{883E32C5-8AB4-4AEE-9ADC-CF370F4EA9A2}" id="{F12E0AF5-C39A-4771-840B-27B08D6AE2C1}" done="1">
    <text>Same again, 1997 or 1998?</text>
  </threadedComment>
  <threadedComment ref="AG595" dT="2023-09-27T15:47:57.14" personId="{3DE5673D-4837-4FC9-B8B9-34243175713A}" id="{5C2F3A41-194B-4A4F-8D07-BDF743F00E5E}" parentId="{F12E0AF5-C39A-4771-840B-27B08D6AE2C1}">
    <text>I think it should be 1997.</text>
  </threadedComment>
  <threadedComment ref="S596" dT="2023-09-27T15:58:21.96" personId="{3DE5673D-4837-4FC9-B8B9-34243175713A}" id="{DD80BA95-8CE8-4699-BF36-0552BB9B44CF}" done="1">
    <text>I have added these. Please check!</text>
  </threadedComment>
  <threadedComment ref="AH596" dT="2023-09-27T10:30:18.00" personId="{883E32C5-8AB4-4AEE-9ADC-CF370F4EA9A2}" id="{DDFC0713-E9EE-4D1A-B00C-817FF1935A01}" done="1">
    <text>1997 or 1998?</text>
  </threadedComment>
  <threadedComment ref="J597" dT="2023-09-27T10:33:07.52" personId="{883E32C5-8AB4-4AEE-9ADC-CF370F4EA9A2}" id="{37705B64-E782-4D08-9E6A-F904B33AC0EC}" done="1">
    <text>Using the Chinese staging categorisation?</text>
  </threadedComment>
  <threadedComment ref="J597" dT="2023-09-27T14:37:41.55" personId="{3DE5673D-4837-4FC9-B8B9-34243175713A}" id="{E0348528-923B-4D55-AEA8-D470B351B4E3}" parentId="{37705B64-E782-4D08-9E6A-F904B33AC0EC}">
    <text>Added.</text>
  </threadedComment>
  <threadedComment ref="S597" dT="2023-09-27T15:58:21.96" personId="{3DE5673D-4837-4FC9-B8B9-34243175713A}" id="{D605F85D-7F42-40D5-8858-FC1C9A2B430C}" done="1">
    <text>I have added these. Please check!</text>
  </threadedComment>
  <threadedComment ref="S598" dT="2023-09-27T15:58:21.96" personId="{3DE5673D-4837-4FC9-B8B9-34243175713A}" id="{D41784FC-58B4-45C7-B039-F95045139E79}" done="1">
    <text>I have added these. Please check!</text>
  </threadedComment>
  <threadedComment ref="S599" dT="2023-09-27T15:58:21.96" personId="{3DE5673D-4837-4FC9-B8B9-34243175713A}" id="{B603C68D-0223-4DBE-ACC0-BF62BFA73672}" done="1">
    <text>I have added these. Please check!</text>
  </threadedComment>
  <threadedComment ref="S600" dT="2023-09-27T15:58:21.96" personId="{3DE5673D-4837-4FC9-B8B9-34243175713A}" id="{CEA16E7F-B3E5-48E4-8765-DCA373690DF0}" done="1">
    <text>I have added these. Please check!</text>
  </threadedComment>
  <threadedComment ref="AH600" dT="2023-09-27T10:30:29.50" personId="{883E32C5-8AB4-4AEE-9ADC-CF370F4EA9A2}" id="{6DF19B00-7759-43A2-91C7-86509CB3949B}" done="1">
    <text>Same, 1997 or 1998?</text>
  </threadedComment>
  <threadedComment ref="S601" dT="2023-09-27T15:58:21.96" personId="{3DE5673D-4837-4FC9-B8B9-34243175713A}" id="{DA1C0BB6-C304-42B1-A4C1-5E9BFECA6910}" done="1">
    <text>I have added these. Please check!</text>
  </threadedComment>
  <threadedComment ref="A618" dT="2023-06-26T08:24:20.95" personId="{3DE5673D-4837-4FC9-B8B9-34243175713A}" id="{F093D181-D3CB-48C1-BA1D-567E563B40C7}" done="1">
    <text>Also reported in Sankar 2004 (#2596) above but numbers differ slightly. #2594 only reports results for screen-positive women whereas #2596 also included biopsies and CIN cases detected in screen-negative women. Better to use data reported in #2594.</text>
  </threadedComment>
  <threadedComment ref="A618" dT="2023-08-31T21:52:24.63" personId="{883E32C5-8AB4-4AEE-9ADC-CF370F4EA9A2}" id="{62204C68-8989-4388-8712-49D6764B38AA}" parentId="{F093D181-D3CB-48C1-BA1D-567E563B40C7}">
    <text>Maybe we should just accept that cleaning of data happens all the time while publishing in a typical trial</text>
  </threadedComment>
  <threadedComment ref="A618" dT="2023-09-01T09:49:24.67" personId="{3DE5673D-4837-4FC9-B8B9-34243175713A}" id="{3705F470-62D4-4B05-9C7D-04E7571D6240}" parentId="{F093D181-D3CB-48C1-BA1D-567E563B40C7}">
    <text>Should we delete one set of data? If yes, which ones to keep?</text>
  </threadedComment>
  <threadedComment ref="A618" dT="2023-09-04T09:51:19.52" personId="{3DE5673D-4837-4FC9-B8B9-34243175713A}" id="{812D0A2A-CAF0-474F-BA21-46FFA5CEF5BE}" parentId="{F093D181-D3CB-48C1-BA1D-567E563B40C7}">
    <text>Agreed to keep both.</text>
  </threadedComment>
  <threadedComment ref="A619" dT="2023-06-26T08:24:20.95" personId="{3DE5673D-4837-4FC9-B8B9-34243175713A}" id="{34746BA6-B173-43D2-AA1A-3CD5662B5D73}" done="1">
    <text>Also reported in Sankar 2004 (#2596) above but numbers differ slightly. #2594 only reports results for screen-positive women whereas #2596 also included biopsies and CIN cases detected in screen-negative women. Better to use data reported in #2594.</text>
  </threadedComment>
  <threadedComment ref="A619" dT="2023-08-31T21:52:24.63" personId="{883E32C5-8AB4-4AEE-9ADC-CF370F4EA9A2}" id="{103E6079-B987-4226-9319-B760E0946572}" parentId="{34746BA6-B173-43D2-AA1A-3CD5662B5D73}">
    <text>Maybe we should just accept that cleaning of data happens all the time while publishing in a typical trial</text>
  </threadedComment>
  <threadedComment ref="A619" dT="2023-09-01T09:49:24.67" personId="{3DE5673D-4837-4FC9-B8B9-34243175713A}" id="{65A4BD0D-899C-4A06-B0F8-B511DFE18053}" parentId="{34746BA6-B173-43D2-AA1A-3CD5662B5D73}">
    <text>Should we delete one set of data? If yes, which ones to keep?</text>
  </threadedComment>
  <threadedComment ref="A619" dT="2023-09-04T09:51:19.52" personId="{3DE5673D-4837-4FC9-B8B9-34243175713A}" id="{24B1CD89-B66B-479D-A425-ED5759B801FC}" parentId="{34746BA6-B173-43D2-AA1A-3CD5662B5D73}">
    <text>Agreed to keep both.</text>
  </threadedComment>
  <threadedComment ref="A620" dT="2023-06-26T08:24:20.95" personId="{3DE5673D-4837-4FC9-B8B9-34243175713A}" id="{420F3BB4-B6E8-4A56-87C8-0E18C518D1FB}" done="1">
    <text>Also reported in Sankar 2004 (#2596) above but numbers differ slightly. #2594 only reports results for screen-positive women whereas #2596 also included biopsies and CIN cases detected in screen-negative women. Better to use data reported in #2594.</text>
  </threadedComment>
  <threadedComment ref="A620" dT="2023-08-31T21:52:24.63" personId="{883E32C5-8AB4-4AEE-9ADC-CF370F4EA9A2}" id="{2D2FF322-9AE1-40C7-A43E-7C35C9499F02}" parentId="{420F3BB4-B6E8-4A56-87C8-0E18C518D1FB}">
    <text>Maybe we should just accept that cleaning of data happens all the time while publishing in a typical trial</text>
  </threadedComment>
  <threadedComment ref="A620" dT="2023-09-01T09:49:24.67" personId="{3DE5673D-4837-4FC9-B8B9-34243175713A}" id="{17443463-A602-4C4B-84F9-D8FB573AB340}" parentId="{420F3BB4-B6E8-4A56-87C8-0E18C518D1FB}">
    <text>Should we delete one set of data? If yes, which ones to keep?</text>
  </threadedComment>
  <threadedComment ref="A620" dT="2023-09-04T09:51:19.52" personId="{3DE5673D-4837-4FC9-B8B9-34243175713A}" id="{1D2D3A89-847F-49E4-BAD0-D00ED2A307CF}" parentId="{420F3BB4-B6E8-4A56-87C8-0E18C518D1FB}">
    <text>Agreed to keep both.</text>
  </threadedComment>
  <threadedComment ref="A638" dT="2023-06-26T11:27:20.55" personId="{3DE5673D-4837-4FC9-B8B9-34243175713A}" id="{A0F73D6E-C13B-41AF-A121-4AACCC6D9A95}" done="1">
    <text>The discussion reports additional data for the subgroup of 34 803 eligible women in the intervention and 30 770 eligible women in the control group identified by the initial single enumeration in the year 2000, before screening was initiated.</text>
  </threadedComment>
  <threadedComment ref="A638" dT="2023-08-31T21:53:05.76" personId="{883E32C5-8AB4-4AEE-9ADC-CF370F4EA9A2}" id="{FEBE3424-5EC9-4330-8D41-19C8ACADE2A0}" parentId="{A0F73D6E-C13B-41AF-A121-4AACCC6D9A95}">
    <text>I wouldn't prioritise extracting these data</text>
  </threadedComment>
  <threadedComment ref="AI641" dT="2023-08-31T22:01:10.94" personId="{883E32C5-8AB4-4AEE-9ADC-CF370F4EA9A2}" id="{7C00F1C1-E546-4470-A308-9E8B4867F2BA}" done="1">
    <text>Should be 172+21?</text>
  </threadedComment>
  <threadedComment ref="AI641" dT="2023-09-01T09:51:19.82" personId="{3DE5673D-4837-4FC9-B8B9-34243175713A}" id="{E2216C5B-9DD7-4E99-BD1B-F2BC6CA18155}" parentId="{7C00F1C1-E546-4470-A308-9E8B4867F2BA}">
    <text>Corrected.</text>
  </threadedComment>
  <threadedComment ref="AI644" dT="2023-08-31T22:01:55.94" personId="{883E32C5-8AB4-4AEE-9ADC-CF370F4EA9A2}" id="{9505D83E-7105-440D-BD18-F26432AC7833}" done="1">
    <text>Should be 34+22?</text>
  </threadedComment>
  <threadedComment ref="AI644" dT="2023-09-01T09:52:03.84" personId="{3DE5673D-4837-4FC9-B8B9-34243175713A}" id="{6CC80ADB-A30E-4C3C-A298-64E26F34C5DB}" parentId="{9505D83E-7105-440D-BD18-F26432AC7833}">
    <text>Corrected.</text>
  </threadedComment>
  <threadedComment ref="AI647" dT="2023-08-31T22:02:31.62" personId="{883E32C5-8AB4-4AEE-9ADC-CF370F4EA9A2}" id="{49E23937-87FA-4E0D-AA7B-FCEDEA327555}" done="1">
    <text>Should be 12+24?</text>
  </threadedComment>
  <threadedComment ref="AI647" dT="2023-09-01T09:52:57.66" personId="{3DE5673D-4837-4FC9-B8B9-34243175713A}" id="{16848AF1-34A5-4016-BFF7-E0BBA74315EE}" parentId="{49E23937-87FA-4E0D-AA7B-FCEDEA327555}">
    <text>Corrected.</text>
  </threadedComment>
  <threadedComment ref="S648" dT="2023-06-14T15:55:08.99" personId="{3DE5673D-4837-4FC9-B8B9-34243175713A}" id="{8FD0B4C5-9DC6-43D6-BE96-57D56B0ADA1A}" done="1">
    <text>83,764 PY / 59,894???</text>
  </threadedComment>
  <threadedComment ref="S648" dT="2023-09-27T12:47:03.52" personId="{883E32C5-8AB4-4AEE-9ADC-CF370F4EA9A2}" id="{F8C02D52-546F-4213-86C1-8B6020CE2ECC}" parentId="{8FD0B4C5-9DC6-43D6-BE96-57D56B0ADA1A}">
    <text>I agree</text>
  </threadedComment>
  <threadedComment ref="S649" dT="2023-06-14T15:55:08.99" personId="{3DE5673D-4837-4FC9-B8B9-34243175713A}" id="{D5F82F4E-1805-4C0F-A941-5A09D67D6C70}" done="1">
    <text>83,764 PY / 59,894???</text>
  </threadedComment>
  <threadedComment ref="S649" dT="2023-09-27T12:47:03.52" personId="{883E32C5-8AB4-4AEE-9ADC-CF370F4EA9A2}" id="{ACB32ABC-7541-4BC4-8FA6-F14EE2061951}" parentId="{D5F82F4E-1805-4C0F-A941-5A09D67D6C70}">
    <text>I agree</text>
  </threadedComment>
  <threadedComment ref="S650" dT="2023-06-14T15:55:08.99" personId="{3DE5673D-4837-4FC9-B8B9-34243175713A}" id="{B0879226-BFC6-4382-9444-8F6F19B735A3}" done="1">
    <text>83,764 PY / 59,894???</text>
  </threadedComment>
  <threadedComment ref="S650" dT="2023-09-27T12:47:03.52" personId="{883E32C5-8AB4-4AEE-9ADC-CF370F4EA9A2}" id="{E8205AC0-F7A0-48CC-83DB-3954991C93C6}" parentId="{B0879226-BFC6-4382-9444-8F6F19B735A3}">
    <text>I agree</text>
  </threadedComment>
  <threadedComment ref="S651" dT="2023-06-14T15:55:08.99" personId="{3DE5673D-4837-4FC9-B8B9-34243175713A}" id="{3E723484-5C75-4F2D-89DE-081680F7B951}" done="1">
    <text>83,764 PY / 59,894???</text>
  </threadedComment>
  <threadedComment ref="S651" dT="2023-09-27T12:47:03.52" personId="{883E32C5-8AB4-4AEE-9ADC-CF370F4EA9A2}" id="{E09D1F59-41E0-42FB-BCEA-8A3B35AA05EF}" parentId="{3E723484-5C75-4F2D-89DE-081680F7B951}">
    <text>I agree</text>
  </threadedComment>
  <threadedComment ref="T651" dT="2023-06-14T16:56:08.92" personId="{3DE5673D-4837-4FC9-B8B9-34243175713A}" id="{126640BA-2327-4B52-B614-FC685D4CD505}" done="1">
    <text>78,754 PY / 54,707???</text>
  </threadedComment>
  <threadedComment ref="T651" dT="2023-09-27T12:47:09.36" personId="{883E32C5-8AB4-4AEE-9ADC-CF370F4EA9A2}" id="{A5DD1E6D-096B-493F-BCFF-2B46C13BA92C}" parentId="{126640BA-2327-4B52-B614-FC685D4CD505}">
    <text>I agree</text>
  </threadedComment>
  <threadedComment ref="S652" dT="2023-06-14T15:55:08.99" personId="{3DE5673D-4837-4FC9-B8B9-34243175713A}" id="{75C11044-7C3B-44E2-A39F-CB540F907410}" done="1">
    <text>83,764 PY / 59,894???</text>
  </threadedComment>
  <threadedComment ref="S652" dT="2023-09-27T12:47:03.52" personId="{883E32C5-8AB4-4AEE-9ADC-CF370F4EA9A2}" id="{A83D343C-6A84-4228-BC48-28F6138D4739}" parentId="{75C11044-7C3B-44E2-A39F-CB540F907410}">
    <text>I agree</text>
  </threadedComment>
  <threadedComment ref="T652" dT="2023-06-14T16:56:08.92" personId="{3DE5673D-4837-4FC9-B8B9-34243175713A}" id="{EDF088C0-AF16-4A19-9A31-06F5D7923D3D}" done="1">
    <text>78,754 PY / 54,707???</text>
  </threadedComment>
  <threadedComment ref="T652" dT="2023-09-27T12:47:09.36" personId="{883E32C5-8AB4-4AEE-9ADC-CF370F4EA9A2}" id="{2EC72114-8215-4B4D-BBB9-D394F7FB9A49}" parentId="{EDF088C0-AF16-4A19-9A31-06F5D7923D3D}">
    <text>I agree</text>
  </threadedComment>
  <threadedComment ref="S653" dT="2023-06-14T15:55:08.99" personId="{3DE5673D-4837-4FC9-B8B9-34243175713A}" id="{B612521D-17AD-4C54-BF41-251C96A1E56E}" done="1">
    <text>83,764 PY / 59,894???</text>
  </threadedComment>
  <threadedComment ref="S653" dT="2023-09-27T12:47:03.52" personId="{883E32C5-8AB4-4AEE-9ADC-CF370F4EA9A2}" id="{D6DD34C5-BC68-4A10-83C8-11AD70BD1A53}" parentId="{B612521D-17AD-4C54-BF41-251C96A1E56E}">
    <text>I agree</text>
  </threadedComment>
  <threadedComment ref="T653" dT="2023-06-14T16:56:08.92" personId="{3DE5673D-4837-4FC9-B8B9-34243175713A}" id="{91B42703-5193-4A55-AF6E-84AAF7CC4606}" done="1">
    <text>78,754 PY / 54,707???</text>
  </threadedComment>
  <threadedComment ref="T653" dT="2023-09-27T12:47:09.36" personId="{883E32C5-8AB4-4AEE-9ADC-CF370F4EA9A2}" id="{0D237D3F-BE08-47AA-BF3B-C6BB0AE2EFE8}" parentId="{91B42703-5193-4A55-AF6E-84AAF7CC4606}">
    <text>I agree</text>
  </threadedComment>
  <threadedComment ref="S654" dT="2023-06-14T15:55:08.99" personId="{3DE5673D-4837-4FC9-B8B9-34243175713A}" id="{BDB09AD9-7BB3-4B0D-926C-D32DB3723747}" done="1">
    <text>83,764 PY / 59,894???</text>
  </threadedComment>
  <threadedComment ref="S654" dT="2023-09-27T12:47:03.52" personId="{883E32C5-8AB4-4AEE-9ADC-CF370F4EA9A2}" id="{5520983F-106E-400D-98EA-D2ACB3577F16}" parentId="{BDB09AD9-7BB3-4B0D-926C-D32DB3723747}">
    <text>I agree</text>
  </threadedComment>
  <threadedComment ref="T654" dT="2023-06-14T16:56:08.92" personId="{3DE5673D-4837-4FC9-B8B9-34243175713A}" id="{1359DF3B-E4D1-48AF-B177-111A83035E22}" done="1">
    <text>78,754 PY / 54,707???</text>
  </threadedComment>
  <threadedComment ref="T654" dT="2023-09-27T12:47:09.36" personId="{883E32C5-8AB4-4AEE-9ADC-CF370F4EA9A2}" id="{E9AAF0C8-1B6C-4F08-B1D9-904B12847498}" parentId="{1359DF3B-E4D1-48AF-B177-111A83035E22}">
    <text>I agree</text>
  </threadedComment>
  <threadedComment ref="S655" dT="2023-06-14T15:55:08.99" personId="{3DE5673D-4837-4FC9-B8B9-34243175713A}" id="{96B05759-4E8A-4658-86B8-0ECFBECB2F81}" done="1">
    <text>83,764 PY / 59,894???</text>
  </threadedComment>
  <threadedComment ref="S655" dT="2023-09-27T12:47:03.52" personId="{883E32C5-8AB4-4AEE-9ADC-CF370F4EA9A2}" id="{661F47CA-EF61-4559-89CA-1E70217E6883}" parentId="{96B05759-4E8A-4658-86B8-0ECFBECB2F81}">
    <text>I agree</text>
  </threadedComment>
  <threadedComment ref="T655" dT="2023-06-14T16:56:08.92" personId="{3DE5673D-4837-4FC9-B8B9-34243175713A}" id="{0C75B949-A0A0-4386-8B82-F63FE39DC829}" done="1">
    <text>78,754 PY / 54,707???</text>
  </threadedComment>
  <threadedComment ref="T655" dT="2023-09-27T12:47:09.36" personId="{883E32C5-8AB4-4AEE-9ADC-CF370F4EA9A2}" id="{C0334B50-F0D6-4580-B3F3-D77A6AFF34AC}" parentId="{0C75B949-A0A0-4386-8B82-F63FE39DC829}">
    <text>I agree</text>
  </threadedComment>
  <threadedComment ref="S656" dT="2023-06-14T15:55:08.99" personId="{3DE5673D-4837-4FC9-B8B9-34243175713A}" id="{65BB3154-18EB-44A8-8540-883AFFE89A53}" done="1">
    <text>83,764 PY / 59,894???</text>
  </threadedComment>
  <threadedComment ref="S656" dT="2023-09-27T12:47:03.52" personId="{883E32C5-8AB4-4AEE-9ADC-CF370F4EA9A2}" id="{32B175A2-A4A8-49F3-BD35-45D3B6B66C6B}" parentId="{65BB3154-18EB-44A8-8540-883AFFE89A53}">
    <text>I agree</text>
  </threadedComment>
  <threadedComment ref="T656" dT="2023-06-14T16:56:08.92" personId="{3DE5673D-4837-4FC9-B8B9-34243175713A}" id="{6D6E2A0C-13E1-42AE-A98D-DC7016A63068}" done="1">
    <text>78,754 PY / 54,707???</text>
  </threadedComment>
  <threadedComment ref="T656" dT="2023-09-27T12:47:09.36" personId="{883E32C5-8AB4-4AEE-9ADC-CF370F4EA9A2}" id="{218A175C-385C-4F0E-A53D-2E437B610D24}" parentId="{6D6E2A0C-13E1-42AE-A98D-DC7016A63068}">
    <text>I agree</text>
  </threadedComment>
  <threadedComment ref="S657" dT="2023-06-14T15:55:08.99" personId="{3DE5673D-4837-4FC9-B8B9-34243175713A}" id="{706F426E-3B8C-4A2B-B0E5-1F22C1546E80}" done="1">
    <text>83,764 PY / 59,894???</text>
  </threadedComment>
  <threadedComment ref="S657" dT="2023-09-27T12:47:03.52" personId="{883E32C5-8AB4-4AEE-9ADC-CF370F4EA9A2}" id="{2EE171BE-A76E-4C93-8478-BE02351E396B}" parentId="{706F426E-3B8C-4A2B-B0E5-1F22C1546E80}">
    <text>I agree</text>
  </threadedComment>
  <threadedComment ref="T657" dT="2023-06-14T16:56:08.92" personId="{3DE5673D-4837-4FC9-B8B9-34243175713A}" id="{CE56DBB4-05F6-45F4-8073-84E0AD376273}" done="1">
    <text>78,754 PY / 54,707???</text>
  </threadedComment>
  <threadedComment ref="T657" dT="2023-09-27T12:47:09.36" personId="{883E32C5-8AB4-4AEE-9ADC-CF370F4EA9A2}" id="{A22DCB58-167F-4556-98E7-37C152AC444C}" parentId="{CE56DBB4-05F6-45F4-8073-84E0AD376273}">
    <text>I agree</text>
  </threadedComment>
  <threadedComment ref="S658" dT="2023-06-14T15:55:08.99" personId="{3DE5673D-4837-4FC9-B8B9-34243175713A}" id="{DD16ADB5-AE46-4F45-B3B6-0DCD482BB77E}" done="1">
    <text>83,764 PY / 59,894???</text>
  </threadedComment>
  <threadedComment ref="S658" dT="2023-09-27T12:47:03.52" personId="{883E32C5-8AB4-4AEE-9ADC-CF370F4EA9A2}" id="{3A8597FE-4715-4E40-BBA6-9A463D6E0887}" parentId="{DD16ADB5-AE46-4F45-B3B6-0DCD482BB77E}">
    <text>I agree</text>
  </threadedComment>
  <threadedComment ref="T658" dT="2023-06-14T16:56:08.92" personId="{3DE5673D-4837-4FC9-B8B9-34243175713A}" id="{1AF8AEE0-FB8A-4421-988E-3EF8892585DA}" done="1">
    <text>78,754 PY / 54,707???</text>
  </threadedComment>
  <threadedComment ref="T658" dT="2023-09-27T12:47:09.36" personId="{883E32C5-8AB4-4AEE-9ADC-CF370F4EA9A2}" id="{7937A508-7DCC-4D40-B4CF-26277077A081}" parentId="{1AF8AEE0-FB8A-4421-988E-3EF8892585DA}">
    <text>I agree</text>
  </threadedComment>
  <threadedComment ref="S659" dT="2023-06-14T15:55:08.99" personId="{3DE5673D-4837-4FC9-B8B9-34243175713A}" id="{BD0E18A7-6377-4CBD-917D-D41DE172F3BC}" done="1">
    <text>83,764 PY / 59,894???</text>
  </threadedComment>
  <threadedComment ref="S659" dT="2023-09-27T12:47:03.52" personId="{883E32C5-8AB4-4AEE-9ADC-CF370F4EA9A2}" id="{89AE98C8-3F56-4FE7-BA38-16CC63F22F9B}" parentId="{BD0E18A7-6377-4CBD-917D-D41DE172F3BC}">
    <text>I agree</text>
  </threadedComment>
  <threadedComment ref="T659" dT="2023-06-14T16:56:08.92" personId="{3DE5673D-4837-4FC9-B8B9-34243175713A}" id="{FB1DF4E6-0021-4897-B8D7-2966AEF68499}" done="1">
    <text>78,754 PY / 54,707???</text>
  </threadedComment>
  <threadedComment ref="T659" dT="2023-09-27T12:47:09.36" personId="{883E32C5-8AB4-4AEE-9ADC-CF370F4EA9A2}" id="{69DB4DA7-E3C6-4C36-B4FF-70B10EC20AF8}" parentId="{FB1DF4E6-0021-4897-B8D7-2966AEF68499}">
    <text>I agree</text>
  </threadedComment>
  <threadedComment ref="A660" dT="2023-06-15T08:12:54.01" personId="{3DE5673D-4837-4FC9-B8B9-34243175713A}" id="{214F68C6-9BE5-4887-9492-292E6FA8AFDF}" done="1">
    <text>Paper also reports number of oral cancer cases with palpable lymph nodes. Is this a surrogate we are interested in?</text>
  </threadedComment>
  <threadedComment ref="A660" dT="2023-09-27T12:50:42.08" personId="{883E32C5-8AB4-4AEE-9ADC-CF370F4EA9A2}" id="{68001781-C64D-43D4-A458-0858B856BB07}" parentId="{214F68C6-9BE5-4887-9492-292E6FA8AFDF}">
    <text>Might be worth the while of extracting it (as we likely will with breast cancer), and then we see whether it will be used in the analysis</text>
  </threadedComment>
  <threadedComment ref="A660" dT="2023-09-29T12:33:07.35" personId="{3DE5673D-4837-4FC9-B8B9-34243175713A}" id="{AB7EE4E6-FF73-4503-80CF-9BDC30B85F70}" parentId="{214F68C6-9BE5-4887-9492-292E6FA8AFDF}">
    <text>Done.</text>
  </threadedComment>
  <threadedComment ref="S660" dT="2023-06-14T15:55:08.99" personId="{3DE5673D-4837-4FC9-B8B9-34243175713A}" id="{6FFC1D55-6973-4789-80E9-F4D80F82F1B1}" done="1">
    <text>83,764 PY / 59,894???</text>
  </threadedComment>
  <threadedComment ref="S660" dT="2023-09-27T12:47:03.52" personId="{883E32C5-8AB4-4AEE-9ADC-CF370F4EA9A2}" id="{05876F5A-3FF1-4A96-B609-5FEFDA5D5128}" parentId="{6FFC1D55-6973-4789-80E9-F4D80F82F1B1}">
    <text>I agree</text>
  </threadedComment>
  <threadedComment ref="T660" dT="2023-06-14T16:56:08.92" personId="{3DE5673D-4837-4FC9-B8B9-34243175713A}" id="{3B638B6C-3A62-4F4B-B2A3-F15F11B41301}" done="1">
    <text>78,754 PY / 54,707???</text>
  </threadedComment>
  <threadedComment ref="T660" dT="2023-09-27T12:47:09.36" personId="{883E32C5-8AB4-4AEE-9ADC-CF370F4EA9A2}" id="{86CEFBE3-3614-4B74-A906-A2A5E33A194B}" parentId="{3B638B6C-3A62-4F4B-B2A3-F15F11B41301}">
    <text>I agree</text>
  </threadedComment>
  <threadedComment ref="S661" dT="2023-06-14T15:55:08.99" personId="{3DE5673D-4837-4FC9-B8B9-34243175713A}" id="{C2729D61-87BD-4C51-BD58-22A2B1CEA465}" done="1">
    <text>83,764 PY / 59,894???</text>
  </threadedComment>
  <threadedComment ref="S661" dT="2023-09-27T12:47:03.52" personId="{883E32C5-8AB4-4AEE-9ADC-CF370F4EA9A2}" id="{8CFE6591-339F-4134-B40B-E8DCC6288DA4}" parentId="{C2729D61-87BD-4C51-BD58-22A2B1CEA465}">
    <text>I agree</text>
  </threadedComment>
  <threadedComment ref="T661" dT="2023-06-14T16:56:08.92" personId="{3DE5673D-4837-4FC9-B8B9-34243175713A}" id="{0F5C9268-9485-4C4C-9B82-08AF5C433D54}" done="1">
    <text>78,754 PY / 54,707???</text>
  </threadedComment>
  <threadedComment ref="T661" dT="2023-09-27T12:47:09.36" personId="{883E32C5-8AB4-4AEE-9ADC-CF370F4EA9A2}" id="{A06DF56D-E576-4ED9-88C0-351F6CA813B2}" parentId="{0F5C9268-9485-4C4C-9B82-08AF5C433D54}">
    <text>I agree</text>
  </threadedComment>
  <threadedComment ref="S662" dT="2023-06-14T15:55:08.99" personId="{3DE5673D-4837-4FC9-B8B9-34243175713A}" id="{FE6E3A3E-97E5-4C52-8B94-AFD4CD7D178A}" done="1">
    <text>83,764 PY / 59,894???</text>
  </threadedComment>
  <threadedComment ref="S662" dT="2023-09-27T12:47:03.52" personId="{883E32C5-8AB4-4AEE-9ADC-CF370F4EA9A2}" id="{3193B549-C106-4D12-A598-66075ADFA34F}" parentId="{FE6E3A3E-97E5-4C52-8B94-AFD4CD7D178A}">
    <text>I agree</text>
  </threadedComment>
  <threadedComment ref="T662" dT="2023-06-14T16:56:08.92" personId="{3DE5673D-4837-4FC9-B8B9-34243175713A}" id="{3C5C9EAF-1F12-4395-BBAF-7E45973B8EAA}" done="1">
    <text>78,754 PY / 54,707???</text>
  </threadedComment>
  <threadedComment ref="T662" dT="2023-09-27T12:47:09.36" personId="{883E32C5-8AB4-4AEE-9ADC-CF370F4EA9A2}" id="{2959C5A5-EE93-4E0F-9045-C8A9E1D648AD}" parentId="{3C5C9EAF-1F12-4395-BBAF-7E45973B8EAA}">
    <text>I agree</text>
  </threadedComment>
  <threadedComment ref="S663" dT="2023-06-14T15:55:08.99" personId="{3DE5673D-4837-4FC9-B8B9-34243175713A}" id="{6D018346-6D81-49E0-AD4F-D009C559847E}" done="1">
    <text>83,764 PY / 59,894???</text>
  </threadedComment>
  <threadedComment ref="S663" dT="2023-09-27T12:47:03.52" personId="{883E32C5-8AB4-4AEE-9ADC-CF370F4EA9A2}" id="{8496C1D7-E52A-4350-B3F3-901E039B319F}" parentId="{6D018346-6D81-49E0-AD4F-D009C559847E}">
    <text>I agree</text>
  </threadedComment>
  <threadedComment ref="T663" dT="2023-06-14T16:56:08.92" personId="{3DE5673D-4837-4FC9-B8B9-34243175713A}" id="{05731A4A-4262-46A0-B701-CCCEAE57E3BB}" done="1">
    <text>78,754 PY / 54,707???</text>
  </threadedComment>
  <threadedComment ref="T663" dT="2023-09-27T12:47:09.36" personId="{883E32C5-8AB4-4AEE-9ADC-CF370F4EA9A2}" id="{63BB706E-AFF6-42B1-9B41-E4CAC7B4C9B6}" parentId="{05731A4A-4262-46A0-B701-CCCEAE57E3BB}">
    <text>I agree</text>
  </threadedComment>
  <threadedComment ref="S664" dT="2023-06-14T15:55:08.99" personId="{3DE5673D-4837-4FC9-B8B9-34243175713A}" id="{05BEA970-1111-49E3-B255-310D02606848}" done="1">
    <text>83,764 PY / 59,894???</text>
  </threadedComment>
  <threadedComment ref="S664" dT="2023-09-27T12:47:03.52" personId="{883E32C5-8AB4-4AEE-9ADC-CF370F4EA9A2}" id="{D8DF8860-B5C7-4F0C-9435-5E553BD91A71}" parentId="{05BEA970-1111-49E3-B255-310D02606848}">
    <text>I agree</text>
  </threadedComment>
  <threadedComment ref="T664" dT="2023-06-14T16:56:08.92" personId="{3DE5673D-4837-4FC9-B8B9-34243175713A}" id="{DD70BE15-741C-4410-860A-C5895EECAD8A}" done="1">
    <text>78,754 PY / 54,707???</text>
  </threadedComment>
  <threadedComment ref="T664" dT="2023-09-27T12:47:09.36" personId="{883E32C5-8AB4-4AEE-9ADC-CF370F4EA9A2}" id="{5E79933F-3E95-41EB-AC4C-01FFD8286C7E}" parentId="{DD70BE15-741C-4410-860A-C5895EECAD8A}">
    <text>I agree</text>
  </threadedComment>
  <threadedComment ref="S665" dT="2023-06-14T15:55:08.99" personId="{3DE5673D-4837-4FC9-B8B9-34243175713A}" id="{6E5DC5ED-3050-44E4-9F7B-C5C0C84FE822}" done="1">
    <text>83,764 PY / 59,894???</text>
  </threadedComment>
  <threadedComment ref="S665" dT="2023-09-27T12:47:03.52" personId="{883E32C5-8AB4-4AEE-9ADC-CF370F4EA9A2}" id="{79F20446-4464-4521-AAAD-9C795FEC4F84}" parentId="{6E5DC5ED-3050-44E4-9F7B-C5C0C84FE822}">
    <text>I agree</text>
  </threadedComment>
  <threadedComment ref="T665" dT="2023-06-14T16:56:08.92" personId="{3DE5673D-4837-4FC9-B8B9-34243175713A}" id="{365EC673-9D98-4B29-9448-D90673131AD9}" done="1">
    <text>78,754 PY / 54,707???</text>
  </threadedComment>
  <threadedComment ref="T665" dT="2023-09-27T12:47:09.36" personId="{883E32C5-8AB4-4AEE-9ADC-CF370F4EA9A2}" id="{A6194109-1F61-492E-9319-346CC07F127C}" parentId="{365EC673-9D98-4B29-9448-D90673131AD9}">
    <text>I agree</text>
  </threadedComment>
  <threadedComment ref="S666" dT="2023-06-14T15:55:08.99" personId="{3DE5673D-4837-4FC9-B8B9-34243175713A}" id="{AC5B7A17-8B45-4177-82CF-0E119D957404}" done="1">
    <text>83,764 PY / 59,894???</text>
  </threadedComment>
  <threadedComment ref="S666" dT="2023-09-27T12:47:03.52" personId="{883E32C5-8AB4-4AEE-9ADC-CF370F4EA9A2}" id="{CE921471-6DC3-4FC1-A5F1-C62741FACAD2}" parentId="{AC5B7A17-8B45-4177-82CF-0E119D957404}">
    <text>I agree</text>
  </threadedComment>
  <threadedComment ref="T666" dT="2023-06-14T16:56:08.92" personId="{3DE5673D-4837-4FC9-B8B9-34243175713A}" id="{8C9D05FE-92F0-4544-8DE7-927977AC812A}" done="1">
    <text>78,754 PY / 54,707???</text>
  </threadedComment>
  <threadedComment ref="T666" dT="2023-09-27T12:47:09.36" personId="{883E32C5-8AB4-4AEE-9ADC-CF370F4EA9A2}" id="{DC3BA73B-AC4B-49E7-B8EE-D7F3F66BAC4E}" parentId="{8C9D05FE-92F0-4544-8DE7-927977AC812A}">
    <text>I agree</text>
  </threadedComment>
  <threadedComment ref="S667" dT="2023-06-14T15:55:08.99" personId="{3DE5673D-4837-4FC9-B8B9-34243175713A}" id="{7EC70263-28AB-4819-B8B1-41231CB5B192}" done="1">
    <text>83,764 PY / 59,894???</text>
  </threadedComment>
  <threadedComment ref="S667" dT="2023-09-27T12:47:03.52" personId="{883E32C5-8AB4-4AEE-9ADC-CF370F4EA9A2}" id="{20A58E0A-B4B3-4417-94DD-7B9D20ECD67D}" parentId="{7EC70263-28AB-4819-B8B1-41231CB5B192}">
    <text>I agree</text>
  </threadedComment>
  <threadedComment ref="T667" dT="2023-06-14T16:56:08.92" personId="{3DE5673D-4837-4FC9-B8B9-34243175713A}" id="{0C8FEF1E-2FBF-4F62-9CD6-ADB20A2B64B1}" done="1">
    <text>78,754 PY / 54,707???</text>
  </threadedComment>
  <threadedComment ref="T667" dT="2023-09-27T12:47:09.36" personId="{883E32C5-8AB4-4AEE-9ADC-CF370F4EA9A2}" id="{D36612AA-6ADF-4180-8735-2AB32BC35B9D}" parentId="{0C8FEF1E-2FBF-4F62-9CD6-ADB20A2B64B1}">
    <text>I agree</text>
  </threadedComment>
  <threadedComment ref="S668" dT="2023-06-14T15:55:08.99" personId="{3DE5673D-4837-4FC9-B8B9-34243175713A}" id="{52E29E4A-1036-40D4-8F46-666B3820CEE5}" done="1">
    <text>83,764 PY / 59,894???</text>
  </threadedComment>
  <threadedComment ref="S668" dT="2023-09-27T12:47:03.52" personId="{883E32C5-8AB4-4AEE-9ADC-CF370F4EA9A2}" id="{372F6063-2AB7-4563-B953-5CB8C6F4F803}" parentId="{52E29E4A-1036-40D4-8F46-666B3820CEE5}">
    <text>I agree</text>
  </threadedComment>
  <threadedComment ref="T668" dT="2023-06-14T16:56:08.92" personId="{3DE5673D-4837-4FC9-B8B9-34243175713A}" id="{6FFF4350-C3DA-4B8D-8EAE-E6EB2C0D289B}" done="1">
    <text>78,754 PY / 54,707???</text>
  </threadedComment>
  <threadedComment ref="T668" dT="2023-09-27T12:47:09.36" personId="{883E32C5-8AB4-4AEE-9ADC-CF370F4EA9A2}" id="{66E3F7D2-333E-4B80-B1CD-65C76E81B8BE}" parentId="{6FFF4350-C3DA-4B8D-8EAE-E6EB2C0D289B}">
    <text>I agree</text>
  </threadedComment>
  <threadedComment ref="S669" dT="2023-06-14T15:55:08.99" personId="{3DE5673D-4837-4FC9-B8B9-34243175713A}" id="{D0444CD2-53F8-4D70-8BF8-9F723A828F08}" done="1">
    <text>83,764 PY / 59,894???</text>
  </threadedComment>
  <threadedComment ref="S669" dT="2023-09-27T12:47:03.52" personId="{883E32C5-8AB4-4AEE-9ADC-CF370F4EA9A2}" id="{8DB473BB-959B-4C0A-AF34-6D9FA517FCAF}" parentId="{D0444CD2-53F8-4D70-8BF8-9F723A828F08}">
    <text>I agree</text>
  </threadedComment>
  <threadedComment ref="T669" dT="2023-06-14T16:56:08.92" personId="{3DE5673D-4837-4FC9-B8B9-34243175713A}" id="{A3E3EA83-CEEA-4F86-B0D2-A36222D05AE6}" done="1">
    <text>78,754 PY / 54,707???</text>
  </threadedComment>
  <threadedComment ref="T669" dT="2023-09-27T12:47:09.36" personId="{883E32C5-8AB4-4AEE-9ADC-CF370F4EA9A2}" id="{C3EF8BDF-C488-4DD9-9FC9-DD94D649BF6B}" parentId="{A3E3EA83-CEEA-4F86-B0D2-A36222D05AE6}">
    <text>I agree</text>
  </threadedComment>
  <threadedComment ref="S670" dT="2023-06-14T15:55:08.99" personId="{3DE5673D-4837-4FC9-B8B9-34243175713A}" id="{A1682FD6-192A-481F-8A04-719BC697A7C4}" done="1">
    <text>83,764 PY / 59,894???</text>
  </threadedComment>
  <threadedComment ref="S670" dT="2023-09-27T12:47:03.52" personId="{883E32C5-8AB4-4AEE-9ADC-CF370F4EA9A2}" id="{2B5C9348-0BDE-4152-8168-6585C413F5B1}" parentId="{A1682FD6-192A-481F-8A04-719BC697A7C4}">
    <text>I agree</text>
  </threadedComment>
  <threadedComment ref="T670" dT="2023-06-14T16:56:08.92" personId="{3DE5673D-4837-4FC9-B8B9-34243175713A}" id="{90C4FABA-3010-493F-AF0B-5523AAA7F616}" done="1">
    <text>78,754 PY / 54,707???</text>
  </threadedComment>
  <threadedComment ref="T670" dT="2023-09-27T12:47:09.36" personId="{883E32C5-8AB4-4AEE-9ADC-CF370F4EA9A2}" id="{979889E6-558D-4DB4-AE27-F39D3284A713}" parentId="{90C4FABA-3010-493F-AF0B-5523AAA7F616}">
    <text>I agree</text>
  </threadedComment>
  <threadedComment ref="S671" dT="2023-06-14T15:55:08.99" personId="{3DE5673D-4837-4FC9-B8B9-34243175713A}" id="{7D4892FC-60EB-4E2B-9DD2-C6735FC7465F}" done="1">
    <text>83,764 PY / 59,894???</text>
  </threadedComment>
  <threadedComment ref="S671" dT="2023-09-27T12:47:03.52" personId="{883E32C5-8AB4-4AEE-9ADC-CF370F4EA9A2}" id="{3351F109-278D-4298-A149-56CDA24DAC2C}" parentId="{7D4892FC-60EB-4E2B-9DD2-C6735FC7465F}">
    <text>I agree</text>
  </threadedComment>
  <threadedComment ref="T671" dT="2023-06-14T16:56:08.92" personId="{3DE5673D-4837-4FC9-B8B9-34243175713A}" id="{52F5AE70-4736-43A6-B748-1E073871C54F}" done="1">
    <text>78,754 PY / 54,707???</text>
  </threadedComment>
  <threadedComment ref="T671" dT="2023-09-27T12:47:09.36" personId="{883E32C5-8AB4-4AEE-9ADC-CF370F4EA9A2}" id="{CB0511AC-7809-4C22-B061-0AD0B4A4C9F8}" parentId="{52F5AE70-4736-43A6-B748-1E073871C54F}">
    <text>I agree</text>
  </threadedComment>
  <threadedComment ref="S672" dT="2023-06-14T15:55:08.99" personId="{3DE5673D-4837-4FC9-B8B9-34243175713A}" id="{F830CD25-B57C-4513-B5ED-1BAF9C01DFBB}" done="1">
    <text>83,764 PY / 59,894???</text>
  </threadedComment>
  <threadedComment ref="S672" dT="2023-09-27T12:47:03.52" personId="{883E32C5-8AB4-4AEE-9ADC-CF370F4EA9A2}" id="{AFC9203A-0CA7-4136-B6A3-AE809A1E7FEC}" parentId="{F830CD25-B57C-4513-B5ED-1BAF9C01DFBB}">
    <text>I agree</text>
  </threadedComment>
  <threadedComment ref="T672" dT="2023-06-14T16:56:08.92" personId="{3DE5673D-4837-4FC9-B8B9-34243175713A}" id="{D48AFA19-8C3F-42A1-88D7-75D177619210}" done="1">
    <text>78,754 PY / 54,707???</text>
  </threadedComment>
  <threadedComment ref="T672" dT="2023-09-27T12:47:09.36" personId="{883E32C5-8AB4-4AEE-9ADC-CF370F4EA9A2}" id="{D75542E6-FADE-4438-BA09-74656EA3EF88}" parentId="{D48AFA19-8C3F-42A1-88D7-75D177619210}">
    <text>I agree</text>
  </threadedComment>
  <threadedComment ref="A673" dT="2023-09-29T15:27:06.62" personId="{883E32C5-8AB4-4AEE-9ADC-CF370F4EA9A2}" id="{B1340D6E-3222-4D25-BACA-3F899061195C}" done="1">
    <text>I agree</text>
  </threadedComment>
  <threadedComment ref="S673" dT="2023-06-14T15:55:08.99" personId="{3DE5673D-4837-4FC9-B8B9-34243175713A}" id="{A95DD118-5B90-48E2-B2D7-39070AC3BACE}" done="1">
    <text>83,764 PY / 59,894???</text>
  </threadedComment>
  <threadedComment ref="S673" dT="2023-09-27T12:47:03.52" personId="{883E32C5-8AB4-4AEE-9ADC-CF370F4EA9A2}" id="{B95FC114-EBDD-45F4-B3C2-C0CE044653F8}" parentId="{A95DD118-5B90-48E2-B2D7-39070AC3BACE}">
    <text>I agree</text>
  </threadedComment>
  <threadedComment ref="T673" dT="2023-06-14T16:56:08.92" personId="{3DE5673D-4837-4FC9-B8B9-34243175713A}" id="{E8E85180-18A6-4E75-9D34-300FCE7C9307}" done="1">
    <text>78,754 PY / 54,707???</text>
  </threadedComment>
  <threadedComment ref="T673" dT="2023-09-27T12:47:09.36" personId="{883E32C5-8AB4-4AEE-9ADC-CF370F4EA9A2}" id="{97CE9660-9792-47A9-917F-8280C1170696}" parentId="{E8E85180-18A6-4E75-9D34-300FCE7C9307}">
    <text>I agree</text>
  </threadedComment>
  <threadedComment ref="S674" dT="2023-06-14T15:55:08.99" personId="{3DE5673D-4837-4FC9-B8B9-34243175713A}" id="{5A2A307A-D4F2-4500-8747-A009B1FA59DC}" done="1">
    <text>83,764 PY / 59,894???</text>
  </threadedComment>
  <threadedComment ref="S674" dT="2023-09-27T12:47:03.52" personId="{883E32C5-8AB4-4AEE-9ADC-CF370F4EA9A2}" id="{24CAF906-C9F3-4172-AA52-C3F7BFA2E404}" parentId="{5A2A307A-D4F2-4500-8747-A009B1FA59DC}">
    <text>I agree</text>
  </threadedComment>
  <threadedComment ref="T674" dT="2023-06-14T16:56:08.92" personId="{3DE5673D-4837-4FC9-B8B9-34243175713A}" id="{39636723-477E-4FC2-8431-645D177CA177}" done="1">
    <text>78,754 PY / 54,707???</text>
  </threadedComment>
  <threadedComment ref="T674" dT="2023-09-27T12:47:09.36" personId="{883E32C5-8AB4-4AEE-9ADC-CF370F4EA9A2}" id="{E9BA910C-271C-46D2-BD3D-13D23EC0985D}" parentId="{39636723-477E-4FC2-8431-645D177CA177}">
    <text>I agree</text>
  </threadedComment>
  <threadedComment ref="S675" dT="2023-06-15T09:19:33.92" personId="{3DE5673D-4837-4FC9-B8B9-34243175713A}" id="{E2E9BCCE-B1BB-4362-B009-B6EAC3C29B0B}" done="1">
    <text>344,404 PY / 78,969???</text>
  </threadedComment>
  <threadedComment ref="S675" dT="2023-09-27T16:50:29.01" personId="{883E32C5-8AB4-4AEE-9ADC-CF370F4EA9A2}" id="{2C88A8DB-7248-4D6F-8E1A-0960775C1778}" parentId="{E2E9BCCE-B1BB-4362-B009-B6EAC3C29B0B}">
    <text>I agree</text>
  </threadedComment>
  <threadedComment ref="S676" dT="2023-06-15T09:19:33.92" personId="{3DE5673D-4837-4FC9-B8B9-34243175713A}" id="{52BEE41E-177E-4D6D-9DFD-DFF567B24CE3}" done="1">
    <text>344,404 PY / 78,969???</text>
  </threadedComment>
  <threadedComment ref="S676" dT="2023-09-27T16:50:29.01" personId="{883E32C5-8AB4-4AEE-9ADC-CF370F4EA9A2}" id="{DD088A3B-82E6-402F-A470-C2B3E38192EC}" parentId="{52BEE41E-177E-4D6D-9DFD-DFF567B24CE3}">
    <text>I agree</text>
  </threadedComment>
  <threadedComment ref="S677" dT="2023-06-15T09:19:33.92" personId="{3DE5673D-4837-4FC9-B8B9-34243175713A}" id="{91A457FF-3A1A-4B52-9032-A8B1EE455C1D}" done="1">
    <text>344,404 PY / 78,969???</text>
  </threadedComment>
  <threadedComment ref="S677" dT="2023-09-27T16:50:29.01" personId="{883E32C5-8AB4-4AEE-9ADC-CF370F4EA9A2}" id="{C2FC4952-9F3C-4984-9626-6C9CEE05DF11}" parentId="{91A457FF-3A1A-4B52-9032-A8B1EE455C1D}">
    <text>I agree</text>
  </threadedComment>
  <threadedComment ref="S678" dT="2023-06-15T09:19:33.92" personId="{3DE5673D-4837-4FC9-B8B9-34243175713A}" id="{906D063E-9956-4964-A388-C13C6AB0581B}" done="1">
    <text>344,404 PY / 78,969???</text>
  </threadedComment>
  <threadedComment ref="S678" dT="2023-09-27T16:50:29.01" personId="{883E32C5-8AB4-4AEE-9ADC-CF370F4EA9A2}" id="{9E246916-210C-4848-A9CF-BCF1D19BA8CA}" parentId="{906D063E-9956-4964-A388-C13C6AB0581B}">
    <text>I agree</text>
  </threadedComment>
  <threadedComment ref="T678" dT="2023-06-15T09:20:41.08" personId="{3DE5673D-4837-4FC9-B8B9-34243175713A}" id="{E34AF1EF-6838-4025-A78D-DFEC311E37B6}" done="1">
    <text>329,326 PY / 74,739???</text>
  </threadedComment>
  <threadedComment ref="T678" dT="2023-09-27T16:52:17.17" personId="{883E32C5-8AB4-4AEE-9ADC-CF370F4EA9A2}" id="{9C4B73BA-BCC6-41D2-B55D-4B5577A9542D}" parentId="{E34AF1EF-6838-4025-A78D-DFEC311E37B6}">
    <text>OK</text>
  </threadedComment>
  <threadedComment ref="S679" dT="2023-06-15T09:19:33.92" personId="{3DE5673D-4837-4FC9-B8B9-34243175713A}" id="{498FB116-28BC-4F4A-AAA9-8011F7437A8A}" done="1">
    <text>344,404 PY / 78,969???</text>
  </threadedComment>
  <threadedComment ref="S679" dT="2023-09-27T16:50:29.01" personId="{883E32C5-8AB4-4AEE-9ADC-CF370F4EA9A2}" id="{83F1B206-EEF5-4807-ACE4-6DE733C36DBE}" parentId="{498FB116-28BC-4F4A-AAA9-8011F7437A8A}">
    <text>I agree</text>
  </threadedComment>
  <threadedComment ref="T679" dT="2023-06-15T09:20:41.08" personId="{3DE5673D-4837-4FC9-B8B9-34243175713A}" id="{519B1BD6-D9EF-4F2E-B0E6-3657FA8DABA2}" done="1">
    <text>329,326 PY / 74,739???</text>
  </threadedComment>
  <threadedComment ref="T679" dT="2023-09-27T16:52:17.17" personId="{883E32C5-8AB4-4AEE-9ADC-CF370F4EA9A2}" id="{9BB8B3AE-7034-4A42-BB51-0236F64A6BB3}" parentId="{519B1BD6-D9EF-4F2E-B0E6-3657FA8DABA2}">
    <text>OK</text>
  </threadedComment>
  <threadedComment ref="S680" dT="2023-06-15T09:19:33.92" personId="{3DE5673D-4837-4FC9-B8B9-34243175713A}" id="{EE24F39D-0E1A-4C80-8D7C-1BCB92C64EAD}" done="1">
    <text>344,404 PY / 78,969???</text>
  </threadedComment>
  <threadedComment ref="S680" dT="2023-09-27T16:50:29.01" personId="{883E32C5-8AB4-4AEE-9ADC-CF370F4EA9A2}" id="{0B3B0BEC-AC9B-44BF-AA97-0D1544B1D9E1}" parentId="{EE24F39D-0E1A-4C80-8D7C-1BCB92C64EAD}">
    <text>I agree</text>
  </threadedComment>
  <threadedComment ref="T680" dT="2023-06-15T09:20:41.08" personId="{3DE5673D-4837-4FC9-B8B9-34243175713A}" id="{61C41B91-B192-4900-B49B-5419DE616018}" done="1">
    <text>329,326 PY / 74,739???</text>
  </threadedComment>
  <threadedComment ref="T680" dT="2023-09-27T16:52:17.17" personId="{883E32C5-8AB4-4AEE-9ADC-CF370F4EA9A2}" id="{869034E0-F6F1-4FCB-A6D1-3E0B5235C996}" parentId="{61C41B91-B192-4900-B49B-5419DE616018}">
    <text>OK</text>
  </threadedComment>
  <threadedComment ref="S681" dT="2023-06-15T09:19:33.92" personId="{3DE5673D-4837-4FC9-B8B9-34243175713A}" id="{816A059B-5C4C-499B-8A97-016A007CE627}" done="1">
    <text>344,404 PY / 78,969???</text>
  </threadedComment>
  <threadedComment ref="S681" dT="2023-09-27T16:50:29.01" personId="{883E32C5-8AB4-4AEE-9ADC-CF370F4EA9A2}" id="{734C834A-4B32-4A8C-BA29-B3135EAFB065}" parentId="{816A059B-5C4C-499B-8A97-016A007CE627}">
    <text>I agree</text>
  </threadedComment>
  <threadedComment ref="T681" dT="2023-06-15T09:20:41.08" personId="{3DE5673D-4837-4FC9-B8B9-34243175713A}" id="{DEEC9393-6B80-4A89-A907-0C28D5D938AA}" done="1">
    <text>329,326 PY / 74,739???</text>
  </threadedComment>
  <threadedComment ref="T681" dT="2023-09-27T16:52:17.17" personId="{883E32C5-8AB4-4AEE-9ADC-CF370F4EA9A2}" id="{EBB228B3-58F7-4C76-B367-D9B354CA2ADE}" parentId="{DEEC9393-6B80-4A89-A907-0C28D5D938AA}">
    <text>OK</text>
  </threadedComment>
  <threadedComment ref="S682" dT="2023-06-15T09:19:33.92" personId="{3DE5673D-4837-4FC9-B8B9-34243175713A}" id="{0289F287-BD2C-4AA4-BD69-2DF7F409BEEC}" done="1">
    <text>344,404 PY / 78,969???</text>
  </threadedComment>
  <threadedComment ref="S682" dT="2023-09-27T16:50:29.01" personId="{883E32C5-8AB4-4AEE-9ADC-CF370F4EA9A2}" id="{C8C30110-44FB-4772-B5D6-1E509EB92B78}" parentId="{0289F287-BD2C-4AA4-BD69-2DF7F409BEEC}">
    <text>I agree</text>
  </threadedComment>
  <threadedComment ref="T682" dT="2023-06-15T09:20:41.08" personId="{3DE5673D-4837-4FC9-B8B9-34243175713A}" id="{B835EBBE-F666-4D80-B2BD-B7DFF93E5DB1}" done="1">
    <text>329,326 PY / 74,739???</text>
  </threadedComment>
  <threadedComment ref="T682" dT="2023-09-27T16:52:17.17" personId="{883E32C5-8AB4-4AEE-9ADC-CF370F4EA9A2}" id="{120A724C-A918-4A4F-9C55-61EF69C6C05E}" parentId="{B835EBBE-F666-4D80-B2BD-B7DFF93E5DB1}">
    <text>OK</text>
  </threadedComment>
  <threadedComment ref="S683" dT="2023-06-15T09:19:33.92" personId="{3DE5673D-4837-4FC9-B8B9-34243175713A}" id="{8AD723F6-A595-4337-BE31-77F56E1E32F9}" done="1">
    <text>344,404 PY / 78,969???</text>
  </threadedComment>
  <threadedComment ref="S683" dT="2023-09-27T16:50:29.01" personId="{883E32C5-8AB4-4AEE-9ADC-CF370F4EA9A2}" id="{EE1EFC97-49C6-417B-A72C-C040CF23684E}" parentId="{8AD723F6-A595-4337-BE31-77F56E1E32F9}">
    <text>I agree</text>
  </threadedComment>
  <threadedComment ref="T683" dT="2023-06-15T09:20:41.08" personId="{3DE5673D-4837-4FC9-B8B9-34243175713A}" id="{808FB1B1-B503-49FB-A87B-60ABED3C9E3A}" done="1">
    <text>329,326 PY / 74,739???</text>
  </threadedComment>
  <threadedComment ref="T683" dT="2023-09-27T16:52:17.17" personId="{883E32C5-8AB4-4AEE-9ADC-CF370F4EA9A2}" id="{55FB093A-56D3-4071-869D-8CBEDE7BE435}" parentId="{808FB1B1-B503-49FB-A87B-60ABED3C9E3A}">
    <text>OK</text>
  </threadedComment>
  <threadedComment ref="S684" dT="2023-06-15T09:19:33.92" personId="{3DE5673D-4837-4FC9-B8B9-34243175713A}" id="{F58D399C-FD26-4DE5-ACAD-99885D01E1A1}" done="1">
    <text>344,404 PY / 78,969???</text>
  </threadedComment>
  <threadedComment ref="S684" dT="2023-09-27T16:50:29.01" personId="{883E32C5-8AB4-4AEE-9ADC-CF370F4EA9A2}" id="{8E7DBF75-1FD6-48FE-9658-50E79B4C554A}" parentId="{F58D399C-FD26-4DE5-ACAD-99885D01E1A1}">
    <text>I agree</text>
  </threadedComment>
  <threadedComment ref="T684" dT="2023-06-15T09:20:41.08" personId="{3DE5673D-4837-4FC9-B8B9-34243175713A}" id="{41961928-9844-4DDA-A2D3-1ACEA060E035}" done="1">
    <text>329,326 PY / 74,739???</text>
  </threadedComment>
  <threadedComment ref="T684" dT="2023-09-27T16:52:17.17" personId="{883E32C5-8AB4-4AEE-9ADC-CF370F4EA9A2}" id="{93DE1F4D-24F1-4661-B820-56E32D795689}" parentId="{41961928-9844-4DDA-A2D3-1ACEA060E035}">
    <text>OK</text>
  </threadedComment>
  <threadedComment ref="S685" dT="2023-06-15T09:19:33.92" personId="{3DE5673D-4837-4FC9-B8B9-34243175713A}" id="{7432C16B-DD08-4FB5-9010-41CF57E8A634}" done="1">
    <text>344,404 PY / 78,969???</text>
  </threadedComment>
  <threadedComment ref="S685" dT="2023-09-27T16:50:29.01" personId="{883E32C5-8AB4-4AEE-9ADC-CF370F4EA9A2}" id="{9FCBB73C-C293-4DBB-8CE2-758048920A13}" parentId="{7432C16B-DD08-4FB5-9010-41CF57E8A634}">
    <text>I agree</text>
  </threadedComment>
  <threadedComment ref="T685" dT="2023-06-15T09:20:41.08" personId="{3DE5673D-4837-4FC9-B8B9-34243175713A}" id="{DAA7A13B-89E7-4C85-9185-84E9EFB278DB}" done="1">
    <text>329,326 PY / 74,739???</text>
  </threadedComment>
  <threadedComment ref="T685" dT="2023-09-27T16:52:17.17" personId="{883E32C5-8AB4-4AEE-9ADC-CF370F4EA9A2}" id="{EDC82EC5-908F-4BF6-8C21-F6BD7AD870F7}" parentId="{DAA7A13B-89E7-4C85-9185-84E9EFB278DB}">
    <text>OK</text>
  </threadedComment>
  <threadedComment ref="S686" dT="2023-06-15T09:19:33.92" personId="{3DE5673D-4837-4FC9-B8B9-34243175713A}" id="{454A401D-D9C3-49E5-A912-39CC05722D7B}" done="1">
    <text>344,404 PY / 78,969???</text>
  </threadedComment>
  <threadedComment ref="S686" dT="2023-09-27T16:50:29.01" personId="{883E32C5-8AB4-4AEE-9ADC-CF370F4EA9A2}" id="{1A60156A-AEC5-43F9-B52D-5CD13FC2A89B}" parentId="{454A401D-D9C3-49E5-A912-39CC05722D7B}">
    <text>I agree</text>
  </threadedComment>
  <threadedComment ref="T686" dT="2023-06-15T09:20:41.08" personId="{3DE5673D-4837-4FC9-B8B9-34243175713A}" id="{7D842230-2534-438F-9DB6-2A9F757066EF}" done="1">
    <text>329,326 PY / 74,739???</text>
  </threadedComment>
  <threadedComment ref="T686" dT="2023-09-27T16:52:17.17" personId="{883E32C5-8AB4-4AEE-9ADC-CF370F4EA9A2}" id="{9C8D777A-2007-4591-8FEF-31F28293D3EE}" parentId="{7D842230-2534-438F-9DB6-2A9F757066EF}">
    <text>OK</text>
  </threadedComment>
  <threadedComment ref="S687" dT="2023-06-15T09:19:33.92" personId="{3DE5673D-4837-4FC9-B8B9-34243175713A}" id="{92F34C4D-983F-4F1E-A32A-6B9E6E6018C4}" done="1">
    <text>344,404 PY / 78,969???</text>
  </threadedComment>
  <threadedComment ref="S687" dT="2023-09-27T16:50:29.01" personId="{883E32C5-8AB4-4AEE-9ADC-CF370F4EA9A2}" id="{5FCD2FCD-64B9-4683-B787-426A0D4999E0}" parentId="{92F34C4D-983F-4F1E-A32A-6B9E6E6018C4}">
    <text>I agree</text>
  </threadedComment>
  <threadedComment ref="T687" dT="2023-06-15T09:20:41.08" personId="{3DE5673D-4837-4FC9-B8B9-34243175713A}" id="{3C2BBEC1-ACFB-48DC-8C0C-2DD3CFA98513}" done="1">
    <text>329,326 PY / 74,739???</text>
  </threadedComment>
  <threadedComment ref="T687" dT="2023-09-27T16:52:17.17" personId="{883E32C5-8AB4-4AEE-9ADC-CF370F4EA9A2}" id="{CD5E4A89-080B-4BCB-AABC-2B14DD299523}" parentId="{3C2BBEC1-ACFB-48DC-8C0C-2DD3CFA98513}">
    <text>OK</text>
  </threadedComment>
  <threadedComment ref="S688" dT="2023-06-15T09:19:33.92" personId="{3DE5673D-4837-4FC9-B8B9-34243175713A}" id="{850F9951-62C1-47F5-82B4-D443E57D0689}" done="1">
    <text>344,404 PY / 78,969???</text>
  </threadedComment>
  <threadedComment ref="S688" dT="2023-09-27T16:50:29.01" personId="{883E32C5-8AB4-4AEE-9ADC-CF370F4EA9A2}" id="{77FA52CE-926D-4A42-B9CA-A6379E9CE2BC}" parentId="{850F9951-62C1-47F5-82B4-D443E57D0689}">
    <text>I agree</text>
  </threadedComment>
  <threadedComment ref="T688" dT="2023-06-15T09:20:41.08" personId="{3DE5673D-4837-4FC9-B8B9-34243175713A}" id="{AE4800A4-83E2-47F8-BC83-52AF67AB5993}" done="1">
    <text>329,326 PY / 74,739???</text>
  </threadedComment>
  <threadedComment ref="T688" dT="2023-09-27T16:52:17.17" personId="{883E32C5-8AB4-4AEE-9ADC-CF370F4EA9A2}" id="{6DA8312B-3D5F-4AEF-A8DC-34130F3BE2E5}" parentId="{AE4800A4-83E2-47F8-BC83-52AF67AB5993}">
    <text>OK</text>
  </threadedComment>
  <threadedComment ref="S689" dT="2023-06-15T09:19:33.92" personId="{3DE5673D-4837-4FC9-B8B9-34243175713A}" id="{FF014E72-A48B-468C-B044-42E420A640D1}" done="1">
    <text>344,404 PY / 78,969???</text>
  </threadedComment>
  <threadedComment ref="S689" dT="2023-09-27T16:50:29.01" personId="{883E32C5-8AB4-4AEE-9ADC-CF370F4EA9A2}" id="{A5925F54-BE9C-4770-9A68-C83F4EFF6794}" parentId="{FF014E72-A48B-468C-B044-42E420A640D1}">
    <text>I agree</text>
  </threadedComment>
  <threadedComment ref="T689" dT="2023-06-15T09:20:41.08" personId="{3DE5673D-4837-4FC9-B8B9-34243175713A}" id="{6850A21C-941F-4727-A4F0-3DB14ADDDE94}" done="1">
    <text>329,326 PY / 74,739???</text>
  </threadedComment>
  <threadedComment ref="T689" dT="2023-09-27T16:52:17.17" personId="{883E32C5-8AB4-4AEE-9ADC-CF370F4EA9A2}" id="{1E68792F-0086-4020-A47B-4468FB894BD3}" parentId="{6850A21C-941F-4727-A4F0-3DB14ADDDE94}">
    <text>OK</text>
  </threadedComment>
  <threadedComment ref="S690" dT="2023-06-15T09:19:33.92" personId="{3DE5673D-4837-4FC9-B8B9-34243175713A}" id="{EC6083EE-8CFB-47EA-94F5-25D94EACA03A}" done="1">
    <text>344,404 PY / 78,969???</text>
  </threadedComment>
  <threadedComment ref="S690" dT="2023-09-27T16:50:29.01" personId="{883E32C5-8AB4-4AEE-9ADC-CF370F4EA9A2}" id="{F10B680F-BCA9-401F-90C8-94C97DD02053}" parentId="{EC6083EE-8CFB-47EA-94F5-25D94EACA03A}">
    <text>I agree</text>
  </threadedComment>
  <threadedComment ref="T690" dT="2023-06-15T09:20:41.08" personId="{3DE5673D-4837-4FC9-B8B9-34243175713A}" id="{123834BF-01D2-4CB6-B915-F78E87CB8ECF}" done="1">
    <text>329,326 PY / 74,739???</text>
  </threadedComment>
  <threadedComment ref="T690" dT="2023-09-27T16:52:17.17" personId="{883E32C5-8AB4-4AEE-9ADC-CF370F4EA9A2}" id="{BA8643A3-BEC7-4484-B0FA-6CA6A7015687}" parentId="{123834BF-01D2-4CB6-B915-F78E87CB8ECF}">
    <text>OK</text>
  </threadedComment>
  <threadedComment ref="S691" dT="2023-06-15T11:18:50.90" personId="{3DE5673D-4837-4FC9-B8B9-34243175713A}" id="{CCE132F6-1E40-4B32-9362-55E923FB7933}" done="1">
    <text>469,089 PY / 96,517???</text>
  </threadedComment>
  <threadedComment ref="S691" dT="2023-09-27T17:39:37.59" personId="{883E32C5-8AB4-4AEE-9ADC-CF370F4EA9A2}" id="{3189C0E7-00D8-41BC-B870-5A13636604B2}" parentId="{CCE132F6-1E40-4B32-9362-55E923FB7933}">
    <text>I agree</text>
  </threadedComment>
  <threadedComment ref="AN691" dT="2023-06-14T16:47:49.20" personId="{3DE5673D-4837-4FC9-B8B9-34243175713A}" id="{24252402-8782-4C8A-8079-1D864AE57B37}">
    <text>Per 1,000 SCREENED subjects.</text>
  </threadedComment>
  <threadedComment ref="S692" dT="2023-06-15T11:18:50.90" personId="{3DE5673D-4837-4FC9-B8B9-34243175713A}" id="{2A658B87-C91A-4802-9FCB-AE947373F5E1}" done="1">
    <text>469,089 PY / 96,517???</text>
  </threadedComment>
  <threadedComment ref="S692" dT="2023-09-27T17:39:37.59" personId="{883E32C5-8AB4-4AEE-9ADC-CF370F4EA9A2}" id="{FD31EE66-64EB-4F83-9885-35D1248ABE61}" parentId="{2A658B87-C91A-4802-9FCB-AE947373F5E1}">
    <text>I agree</text>
  </threadedComment>
  <threadedComment ref="S693" dT="2023-06-15T11:18:50.90" personId="{3DE5673D-4837-4FC9-B8B9-34243175713A}" id="{B3A40D44-F2E8-43BF-93E2-731CCCC8D350}" done="1">
    <text>469,089 PY / 96,517???</text>
  </threadedComment>
  <threadedComment ref="S693" dT="2023-09-27T17:39:37.59" personId="{883E32C5-8AB4-4AEE-9ADC-CF370F4EA9A2}" id="{19BE8290-391E-433D-A2BE-09D538688709}" parentId="{B3A40D44-F2E8-43BF-93E2-731CCCC8D350}">
    <text>I agree</text>
  </threadedComment>
  <threadedComment ref="S694" dT="2023-06-15T11:18:50.90" personId="{3DE5673D-4837-4FC9-B8B9-34243175713A}" id="{C3CC597D-D57D-48FA-B746-DF2832F8D687}" done="1">
    <text>469,089 PY / 96,517???</text>
  </threadedComment>
  <threadedComment ref="S694" dT="2023-09-27T17:39:37.59" personId="{883E32C5-8AB4-4AEE-9ADC-CF370F4EA9A2}" id="{266124CE-A014-4930-8CA6-96C159C5D793}" parentId="{C3CC597D-D57D-48FA-B746-DF2832F8D687}">
    <text>I agree</text>
  </threadedComment>
  <threadedComment ref="S695" dT="2023-06-15T11:18:50.90" personId="{3DE5673D-4837-4FC9-B8B9-34243175713A}" id="{FAFBDD8C-CDAD-46CA-B0FE-1681F67B18DC}" done="1">
    <text>469,089 PY / 96,517???</text>
  </threadedComment>
  <threadedComment ref="S695" dT="2023-09-27T17:39:37.59" personId="{883E32C5-8AB4-4AEE-9ADC-CF370F4EA9A2}" id="{F9798EFF-DB6B-4C4B-898D-D3F87786091C}" parentId="{FAFBDD8C-CDAD-46CA-B0FE-1681F67B18DC}">
    <text>I agree</text>
  </threadedComment>
  <threadedComment ref="T695" dT="2023-06-15T11:22:33.94" personId="{3DE5673D-4837-4FC9-B8B9-34243175713A}" id="{F1F451F7-DD83-4988-A4BD-53F43B1A087A}" done="1">
    <text>419,748 PY / 95,356???</text>
  </threadedComment>
  <threadedComment ref="T695" dT="2023-09-27T17:41:32.55" personId="{883E32C5-8AB4-4AEE-9ADC-CF370F4EA9A2}" id="{2A6FFEC7-E044-4598-BDD4-013BB6BEF60E}" parentId="{F1F451F7-DD83-4988-A4BD-53F43B1A087A}">
    <text>I agree</text>
  </threadedComment>
  <threadedComment ref="S696" dT="2023-06-15T11:18:50.90" personId="{3DE5673D-4837-4FC9-B8B9-34243175713A}" id="{38847C0C-3E95-4B71-9078-3ED5A956289E}" done="1">
    <text>469,089 PY / 96,517???</text>
  </threadedComment>
  <threadedComment ref="S696" dT="2023-09-27T17:39:37.59" personId="{883E32C5-8AB4-4AEE-9ADC-CF370F4EA9A2}" id="{11C2DC64-9B58-49CB-9E8C-D825AC758025}" parentId="{38847C0C-3E95-4B71-9078-3ED5A956289E}">
    <text>I agree</text>
  </threadedComment>
  <threadedComment ref="T696" dT="2023-06-15T11:22:33.94" personId="{3DE5673D-4837-4FC9-B8B9-34243175713A}" id="{1D9E82EE-DEFD-4FC6-98E6-E20CF27C3D57}" done="1">
    <text>419,748 PY / 95,356???</text>
  </threadedComment>
  <threadedComment ref="T696" dT="2023-09-27T17:41:32.55" personId="{883E32C5-8AB4-4AEE-9ADC-CF370F4EA9A2}" id="{B73B749D-0F64-4FD5-AA4A-833A4B4B8414}" parentId="{1D9E82EE-DEFD-4FC6-98E6-E20CF27C3D57}">
    <text>I agree</text>
  </threadedComment>
  <threadedComment ref="S697" dT="2023-06-15T11:18:50.90" personId="{3DE5673D-4837-4FC9-B8B9-34243175713A}" id="{B48BD62B-9774-40AA-B94D-01F1DA94FF03}" done="1">
    <text>469,089 PY / 96,517???</text>
  </threadedComment>
  <threadedComment ref="S697" dT="2023-09-27T17:39:37.59" personId="{883E32C5-8AB4-4AEE-9ADC-CF370F4EA9A2}" id="{412A49BA-8331-4625-94FF-C5AC9F412531}" parentId="{B48BD62B-9774-40AA-B94D-01F1DA94FF03}">
    <text>I agree</text>
  </threadedComment>
  <threadedComment ref="T697" dT="2023-06-15T11:22:33.94" personId="{3DE5673D-4837-4FC9-B8B9-34243175713A}" id="{9550FEE2-05CC-4F3B-9BA6-C1F234AC945B}" done="1">
    <text>419,748 PY / 95,356???</text>
  </threadedComment>
  <threadedComment ref="T697" dT="2023-09-27T17:41:32.55" personId="{883E32C5-8AB4-4AEE-9ADC-CF370F4EA9A2}" id="{B4F5FE2A-CDF5-41A1-9BBE-209B776360DF}" parentId="{9550FEE2-05CC-4F3B-9BA6-C1F234AC945B}">
    <text>I agree</text>
  </threadedComment>
  <threadedComment ref="S698" dT="2023-06-15T11:18:50.90" personId="{3DE5673D-4837-4FC9-B8B9-34243175713A}" id="{E0ED2DC4-B0DF-48BC-92C9-26211CC0451D}" done="1">
    <text>469,089 PY / 96,517???</text>
  </threadedComment>
  <threadedComment ref="S698" dT="2023-09-27T17:39:37.59" personId="{883E32C5-8AB4-4AEE-9ADC-CF370F4EA9A2}" id="{A1FD012A-0754-4113-8590-17CD5E0F560E}" parentId="{E0ED2DC4-B0DF-48BC-92C9-26211CC0451D}">
    <text>I agree</text>
  </threadedComment>
  <threadedComment ref="T698" dT="2023-06-15T11:22:33.94" personId="{3DE5673D-4837-4FC9-B8B9-34243175713A}" id="{FC7D101B-A04C-446F-AFCC-B063EC4180B2}" done="1">
    <text>419,748 PY / 95,356???</text>
  </threadedComment>
  <threadedComment ref="T698" dT="2023-09-27T17:41:32.55" personId="{883E32C5-8AB4-4AEE-9ADC-CF370F4EA9A2}" id="{06FBAF11-B606-47B4-A7B8-A424267B74C5}" parentId="{FC7D101B-A04C-446F-AFCC-B063EC4180B2}">
    <text>I agree</text>
  </threadedComment>
  <threadedComment ref="S699" dT="2023-06-15T11:18:50.90" personId="{3DE5673D-4837-4FC9-B8B9-34243175713A}" id="{46F02858-1265-469A-99F4-71D46F83D60B}" done="1">
    <text>469,089 PY / 96,517???</text>
  </threadedComment>
  <threadedComment ref="S699" dT="2023-09-27T17:39:37.59" personId="{883E32C5-8AB4-4AEE-9ADC-CF370F4EA9A2}" id="{7B951FF4-B414-4307-A8F4-26B2C5AABAA7}" parentId="{46F02858-1265-469A-99F4-71D46F83D60B}">
    <text>I agree</text>
  </threadedComment>
  <threadedComment ref="T699" dT="2023-06-15T11:22:33.94" personId="{3DE5673D-4837-4FC9-B8B9-34243175713A}" id="{A606527B-0B72-48C9-A4AF-46F899263DE8}" done="1">
    <text>419,748 PY / 95,356???</text>
  </threadedComment>
  <threadedComment ref="T699" dT="2023-09-27T17:41:32.55" personId="{883E32C5-8AB4-4AEE-9ADC-CF370F4EA9A2}" id="{300BFC65-DDFE-4450-BCCA-1F62A42D81AF}" parentId="{A606527B-0B72-48C9-A4AF-46F899263DE8}">
    <text>I agree</text>
  </threadedComment>
  <threadedComment ref="S700" dT="2023-06-15T11:18:50.90" personId="{3DE5673D-4837-4FC9-B8B9-34243175713A}" id="{5EFEDACB-8386-4537-AB2C-6F44362F4F04}" done="1">
    <text>469,089 PY / 96,517???</text>
  </threadedComment>
  <threadedComment ref="S700" dT="2023-09-27T17:39:37.59" personId="{883E32C5-8AB4-4AEE-9ADC-CF370F4EA9A2}" id="{C0B36310-4FEE-439C-A988-082AF9608565}" parentId="{5EFEDACB-8386-4537-AB2C-6F44362F4F04}">
    <text>I agree</text>
  </threadedComment>
  <threadedComment ref="T700" dT="2023-06-15T11:22:33.94" personId="{3DE5673D-4837-4FC9-B8B9-34243175713A}" id="{3F5E903D-0BC3-4BF6-896F-4CF55C0B63E9}" done="1">
    <text>419,748 PY / 95,356???</text>
  </threadedComment>
  <threadedComment ref="T700" dT="2023-09-27T17:41:32.55" personId="{883E32C5-8AB4-4AEE-9ADC-CF370F4EA9A2}" id="{FAA709B3-0F07-4E4F-9EA0-CF36E36E2E8E}" parentId="{3F5E903D-0BC3-4BF6-896F-4CF55C0B63E9}">
    <text>I agree</text>
  </threadedComment>
  <threadedComment ref="S701" dT="2023-06-15T11:18:50.90" personId="{3DE5673D-4837-4FC9-B8B9-34243175713A}" id="{A2FC1DE9-18BB-4009-BB27-FD26377B6BAB}" done="1">
    <text>469,089 PY / 96,517???</text>
  </threadedComment>
  <threadedComment ref="S701" dT="2023-09-27T17:39:37.59" personId="{883E32C5-8AB4-4AEE-9ADC-CF370F4EA9A2}" id="{B7141BEB-0541-4AFE-B5A3-CD69628A0A62}" parentId="{A2FC1DE9-18BB-4009-BB27-FD26377B6BAB}">
    <text>I agree</text>
  </threadedComment>
  <threadedComment ref="T701" dT="2023-06-15T11:22:33.94" personId="{3DE5673D-4837-4FC9-B8B9-34243175713A}" id="{5FF5AFBE-70FF-4C80-80F5-1A0CD25EB7B3}" done="1">
    <text>419,748 PY / 95,356???</text>
  </threadedComment>
  <threadedComment ref="T701" dT="2023-09-27T17:41:32.55" personId="{883E32C5-8AB4-4AEE-9ADC-CF370F4EA9A2}" id="{58E8C82D-4D69-4A18-8056-396A4500200C}" parentId="{5FF5AFBE-70FF-4C80-80F5-1A0CD25EB7B3}">
    <text>I agree</text>
  </threadedComment>
  <threadedComment ref="S702" dT="2023-06-15T11:18:50.90" personId="{3DE5673D-4837-4FC9-B8B9-34243175713A}" id="{EE71A0F3-9F12-4DF6-B605-F60225A0A33B}" done="1">
    <text>469,089 PY / 96,517???</text>
  </threadedComment>
  <threadedComment ref="S702" dT="2023-09-27T17:39:37.59" personId="{883E32C5-8AB4-4AEE-9ADC-CF370F4EA9A2}" id="{D63C860A-F7C4-42F3-9EB6-965366EBCDD6}" parentId="{EE71A0F3-9F12-4DF6-B605-F60225A0A33B}">
    <text>I agree</text>
  </threadedComment>
  <threadedComment ref="T702" dT="2023-06-15T11:22:33.94" personId="{3DE5673D-4837-4FC9-B8B9-34243175713A}" id="{37C12E6B-80AC-44BB-BBAE-3B384FFA41C6}" done="1">
    <text>419,748 PY / 95,356???</text>
  </threadedComment>
  <threadedComment ref="T702" dT="2023-09-27T17:41:32.55" personId="{883E32C5-8AB4-4AEE-9ADC-CF370F4EA9A2}" id="{90A52D3B-7F38-4915-9840-A700B5F06B31}" parentId="{37C12E6B-80AC-44BB-BBAE-3B384FFA41C6}">
    <text>I agree</text>
  </threadedComment>
  <threadedComment ref="S703" dT="2023-06-15T11:18:50.90" personId="{3DE5673D-4837-4FC9-B8B9-34243175713A}" id="{D5C11FF8-F3F9-4614-8465-831845A09F61}" done="1">
    <text>469,089 PY / 96,517???</text>
  </threadedComment>
  <threadedComment ref="S703" dT="2023-09-27T17:39:37.59" personId="{883E32C5-8AB4-4AEE-9ADC-CF370F4EA9A2}" id="{598B3B59-2D5E-460C-888A-E9BCC7E92F49}" parentId="{D5C11FF8-F3F9-4614-8465-831845A09F61}">
    <text>I agree</text>
  </threadedComment>
  <threadedComment ref="T703" dT="2023-06-15T11:22:33.94" personId="{3DE5673D-4837-4FC9-B8B9-34243175713A}" id="{99E73646-7087-400B-94ED-BC1630592409}" done="1">
    <text>419,748 PY / 95,356???</text>
  </threadedComment>
  <threadedComment ref="T703" dT="2023-09-27T17:41:32.55" personId="{883E32C5-8AB4-4AEE-9ADC-CF370F4EA9A2}" id="{D1BC01D6-0F50-4FB9-BC33-3064336FC929}" parentId="{99E73646-7087-400B-94ED-BC1630592409}">
    <text>I agree</text>
  </threadedComment>
  <threadedComment ref="S704" dT="2023-06-15T11:18:50.90" personId="{3DE5673D-4837-4FC9-B8B9-34243175713A}" id="{99F972BB-9DCB-4BED-A0AA-5774253BC788}" done="1">
    <text>469,089 PY / 96,517???</text>
  </threadedComment>
  <threadedComment ref="S704" dT="2023-09-27T17:39:37.59" personId="{883E32C5-8AB4-4AEE-9ADC-CF370F4EA9A2}" id="{B97B7398-E85D-48C1-9A4A-6F06F5EC097E}" parentId="{99F972BB-9DCB-4BED-A0AA-5774253BC788}">
    <text>I agree</text>
  </threadedComment>
  <threadedComment ref="T704" dT="2023-06-15T11:22:33.94" personId="{3DE5673D-4837-4FC9-B8B9-34243175713A}" id="{FBFF409E-9923-4DC1-A990-9666CE4CE923}" done="1">
    <text>419,748 PY / 95,356???</text>
  </threadedComment>
  <threadedComment ref="T704" dT="2023-09-27T17:41:32.55" personId="{883E32C5-8AB4-4AEE-9ADC-CF370F4EA9A2}" id="{E34DBBE3-AB9F-42BF-8145-00AFC596A26A}" parentId="{FBFF409E-9923-4DC1-A990-9666CE4CE923}">
    <text>I agree</text>
  </threadedComment>
  <threadedComment ref="S705" dT="2023-06-15T11:18:50.90" personId="{3DE5673D-4837-4FC9-B8B9-34243175713A}" id="{7929FF13-1185-4E21-AACC-42F4E6656F64}" done="1">
    <text>469,089 PY / 96,517???</text>
  </threadedComment>
  <threadedComment ref="S705" dT="2023-09-27T17:39:37.59" personId="{883E32C5-8AB4-4AEE-9ADC-CF370F4EA9A2}" id="{91495BE5-BEE7-4101-81F4-F73D53F43DD2}" parentId="{7929FF13-1185-4E21-AACC-42F4E6656F64}">
    <text>I agree</text>
  </threadedComment>
  <threadedComment ref="T705" dT="2023-06-15T11:22:33.94" personId="{3DE5673D-4837-4FC9-B8B9-34243175713A}" id="{6F5BA50D-3579-4D93-AA33-AB479EA4B5E2}" done="1">
    <text>419,748 PY / 95,356???</text>
  </threadedComment>
  <threadedComment ref="T705" dT="2023-09-27T17:41:32.55" personId="{883E32C5-8AB4-4AEE-9ADC-CF370F4EA9A2}" id="{62D6BAA6-9D26-446B-986D-B2CFEE6CFA22}" parentId="{6F5BA50D-3579-4D93-AA33-AB479EA4B5E2}">
    <text>I agree</text>
  </threadedComment>
  <threadedComment ref="S706" dT="2023-06-15T11:18:50.90" personId="{3DE5673D-4837-4FC9-B8B9-34243175713A}" id="{B8A56A64-8675-4CFC-931B-40D352F37063}" done="1">
    <text>469,089 PY / 96,517???</text>
  </threadedComment>
  <threadedComment ref="S706" dT="2023-09-27T17:39:37.59" personId="{883E32C5-8AB4-4AEE-9ADC-CF370F4EA9A2}" id="{FDDE917C-B42E-4285-ACC7-2BD05B546EB7}" parentId="{B8A56A64-8675-4CFC-931B-40D352F37063}">
    <text>I agree</text>
  </threadedComment>
  <threadedComment ref="T706" dT="2023-06-15T11:22:33.94" personId="{3DE5673D-4837-4FC9-B8B9-34243175713A}" id="{ACC30742-936D-4885-A112-14C386291D69}" done="1">
    <text>419,748 PY / 95,356???</text>
  </threadedComment>
  <threadedComment ref="T706" dT="2023-09-27T17:41:32.55" personId="{883E32C5-8AB4-4AEE-9ADC-CF370F4EA9A2}" id="{4380C8DB-3935-4C65-8FC5-044F19561FA0}" parentId="{ACC30742-936D-4885-A112-14C386291D69}">
    <text>I agree</text>
  </threadedComment>
  <threadedComment ref="S707" dT="2023-06-15T11:18:50.90" personId="{3DE5673D-4837-4FC9-B8B9-34243175713A}" id="{84CB4FB9-B241-4299-BB3F-9D598ED16A85}" done="1">
    <text>469,089 PY / 96,517???</text>
  </threadedComment>
  <threadedComment ref="S707" dT="2023-09-27T17:39:37.59" personId="{883E32C5-8AB4-4AEE-9ADC-CF370F4EA9A2}" id="{D004694D-5CD5-46F1-9AE0-0A6C2B7E80ED}" parentId="{84CB4FB9-B241-4299-BB3F-9D598ED16A85}">
    <text>I agree</text>
  </threadedComment>
  <threadedComment ref="T707" dT="2023-06-15T11:22:33.94" personId="{3DE5673D-4837-4FC9-B8B9-34243175713A}" id="{22EC8268-E97B-4F65-BA4C-0E89A0A91E71}" done="1">
    <text>419,748 PY / 95,356???</text>
  </threadedComment>
  <threadedComment ref="T707" dT="2023-09-27T17:41:32.55" personId="{883E32C5-8AB4-4AEE-9ADC-CF370F4EA9A2}" id="{4FC07866-20B7-4FB6-9AE7-08EF457AE8D5}" parentId="{22EC8268-E97B-4F65-BA4C-0E89A0A91E71}">
    <text>I agree</text>
  </threadedComment>
  <threadedComment ref="S708" dT="2023-06-15T13:34:12.92" personId="{3DE5673D-4837-4FC9-B8B9-34243175713A}" id="{F9EE7E48-2CF3-4D61-9053-DD7D35CF9122}" done="1">
    <text>895,310 PY / 96,517 ???</text>
  </threadedComment>
  <threadedComment ref="S708" dT="2023-09-27T18:33:23.84" personId="{883E32C5-8AB4-4AEE-9ADC-CF370F4EA9A2}" id="{87D21D23-8A72-4CD5-ADB3-937DED020AB7}" parentId="{F9EE7E48-2CF3-4D61-9053-DD7D35CF9122}">
    <text>I agree, but I'm unsure why PY are reported differently in Fig1</text>
  </threadedComment>
  <threadedComment ref="S709" dT="2023-06-15T13:34:12.92" personId="{3DE5673D-4837-4FC9-B8B9-34243175713A}" id="{B1954CB1-B32D-4DE0-93DC-0130CE75DF5C}" done="1">
    <text>895,310 PY / 96,517 ???</text>
  </threadedComment>
  <threadedComment ref="S709" dT="2023-09-27T18:33:23.84" personId="{883E32C5-8AB4-4AEE-9ADC-CF370F4EA9A2}" id="{80AA2709-3DD8-49D2-9944-F2470DE15B1F}" parentId="{B1954CB1-B32D-4DE0-93DC-0130CE75DF5C}">
    <text>I agree, but I'm unsure why PY are reported differently in Fig1</text>
  </threadedComment>
  <threadedComment ref="S710" dT="2023-06-15T13:34:12.92" personId="{3DE5673D-4837-4FC9-B8B9-34243175713A}" id="{E7B99A1C-3F46-43AE-B994-E1DE50E34BBF}" done="1">
    <text>895,310 PY / 96,517 ???</text>
  </threadedComment>
  <threadedComment ref="S710" dT="2023-09-27T18:33:23.84" personId="{883E32C5-8AB4-4AEE-9ADC-CF370F4EA9A2}" id="{BC00244A-2F09-4801-80FC-C0D497FE2A1B}" parentId="{E7B99A1C-3F46-43AE-B994-E1DE50E34BBF}">
    <text>I agree, but I'm unsure why PY are reported differently in Fig1</text>
  </threadedComment>
  <threadedComment ref="S711" dT="2023-06-15T13:34:12.92" personId="{3DE5673D-4837-4FC9-B8B9-34243175713A}" id="{F0938279-5F8B-4AAC-A1F7-41F47CC8F3A5}" done="1">
    <text>895,310 PY / 96,517 ???</text>
  </threadedComment>
  <threadedComment ref="S711" dT="2023-09-27T18:33:23.84" personId="{883E32C5-8AB4-4AEE-9ADC-CF370F4EA9A2}" id="{80AEC362-CA39-4D01-9345-DC28B39B0318}" parentId="{F0938279-5F8B-4AAC-A1F7-41F47CC8F3A5}">
    <text>I agree, but I'm unsure why PY are reported differently in Fig1</text>
  </threadedComment>
  <threadedComment ref="S712" dT="2023-06-15T13:34:12.92" personId="{3DE5673D-4837-4FC9-B8B9-34243175713A}" id="{112BF5A8-9D2C-421D-9C76-2CF00F719103}" done="1">
    <text>895,310 PY / 96,517 ???</text>
  </threadedComment>
  <threadedComment ref="S712" dT="2023-09-27T18:33:23.84" personId="{883E32C5-8AB4-4AEE-9ADC-CF370F4EA9A2}" id="{738C773A-17A5-4035-B671-92E524C5451D}" parentId="{112BF5A8-9D2C-421D-9C76-2CF00F719103}">
    <text>I agree, but I'm unsure why PY are reported differently in Fig1</text>
  </threadedComment>
  <threadedComment ref="T712" dT="2023-06-15T11:22:33.94" personId="{3DE5673D-4837-4FC9-B8B9-34243175713A}" id="{208FE9F3-91A1-4FC3-8DD9-26D6D0B82DD7}" done="1">
    <text>897,610 PY / 95,356???</text>
  </threadedComment>
  <threadedComment ref="T712" dT="2023-09-27T18:38:38.50" personId="{883E32C5-8AB4-4AEE-9ADC-CF370F4EA9A2}" id="{A5711C3D-AC08-44C7-9E6B-EBEF0B2D49E6}" parentId="{208FE9F3-91A1-4FC3-8DD9-26D6D0B82DD7}">
    <text>I agree, but I am confused why the number of PY is reported differently in Fig1</text>
  </threadedComment>
  <threadedComment ref="S713" dT="2023-06-15T13:34:12.92" personId="{3DE5673D-4837-4FC9-B8B9-34243175713A}" id="{87663D76-33D7-40D3-8947-7E1FBF6CD547}" done="1">
    <text>895,310 PY / 96,517 ???</text>
  </threadedComment>
  <threadedComment ref="S713" dT="2023-09-27T18:33:23.84" personId="{883E32C5-8AB4-4AEE-9ADC-CF370F4EA9A2}" id="{25EB989E-F1E8-413B-9285-FE1ADD583F34}" parentId="{87663D76-33D7-40D3-8947-7E1FBF6CD547}">
    <text>I agree, but I'm unsure why PY are reported differently in Fig1</text>
  </threadedComment>
  <threadedComment ref="T713" dT="2023-06-15T11:22:33.94" personId="{3DE5673D-4837-4FC9-B8B9-34243175713A}" id="{BB7E2C45-5FE3-4853-8454-646529A3C821}" done="1">
    <text>897,610 PY / 95,356???</text>
  </threadedComment>
  <threadedComment ref="T713" dT="2023-09-27T18:38:38.50" personId="{883E32C5-8AB4-4AEE-9ADC-CF370F4EA9A2}" id="{7CED1D32-AC23-478C-A9EE-8CCBD43D78FC}" parentId="{BB7E2C45-5FE3-4853-8454-646529A3C821}">
    <text>I agree, but I am confused why the number of PY is reported differently in Fig1</text>
  </threadedComment>
  <threadedComment ref="S714" dT="2023-06-15T13:34:12.92" personId="{3DE5673D-4837-4FC9-B8B9-34243175713A}" id="{CAC4C67C-A3E5-4D31-B7F3-FF788DBB565A}" done="1">
    <text>895,310 PY / 96,517 ???</text>
  </threadedComment>
  <threadedComment ref="S714" dT="2023-09-27T18:33:23.84" personId="{883E32C5-8AB4-4AEE-9ADC-CF370F4EA9A2}" id="{988D641B-AF8F-47ED-BA08-C3E6BE4C56EE}" parentId="{CAC4C67C-A3E5-4D31-B7F3-FF788DBB565A}">
    <text>I agree, but I'm unsure why PY are reported differently in Fig1</text>
  </threadedComment>
  <threadedComment ref="T714" dT="2023-06-15T11:22:33.94" personId="{3DE5673D-4837-4FC9-B8B9-34243175713A}" id="{E8834D76-531F-4491-966A-051CCCDB4D67}" done="1">
    <text>897,610 PY / 95,356???</text>
  </threadedComment>
  <threadedComment ref="T714" dT="2023-09-27T18:38:38.50" personId="{883E32C5-8AB4-4AEE-9ADC-CF370F4EA9A2}" id="{8C2A4A34-13F7-450A-A359-B24C26D3B156}" parentId="{E8834D76-531F-4491-966A-051CCCDB4D67}">
    <text>I agree, but I am confused why the number of PY is reported differently in Fig1</text>
  </threadedComment>
  <threadedComment ref="S715" dT="2023-06-15T13:34:12.92" personId="{3DE5673D-4837-4FC9-B8B9-34243175713A}" id="{76AA5DC9-7F56-4F8C-824E-DC5187455E9D}" done="1">
    <text>895,310 PY / 96,517 ???</text>
  </threadedComment>
  <threadedComment ref="S715" dT="2023-09-27T18:33:23.84" personId="{883E32C5-8AB4-4AEE-9ADC-CF370F4EA9A2}" id="{4F5E0662-B7A1-45F6-9087-8524DC80392B}" parentId="{76AA5DC9-7F56-4F8C-824E-DC5187455E9D}">
    <text>I agree, but I'm unsure why PY are reported differently in Fig1</text>
  </threadedComment>
  <threadedComment ref="T715" dT="2023-06-15T11:22:33.94" personId="{3DE5673D-4837-4FC9-B8B9-34243175713A}" id="{17E1B4F4-9711-4895-9292-EA8A552CCCA7}" done="1">
    <text>897,610 PY / 95,356???</text>
  </threadedComment>
  <threadedComment ref="T715" dT="2023-09-27T18:38:38.50" personId="{883E32C5-8AB4-4AEE-9ADC-CF370F4EA9A2}" id="{3A6A67F2-5134-4BA2-9AE9-9EF900325EBB}" parentId="{17E1B4F4-9711-4895-9292-EA8A552CCCA7}">
    <text>I agree, but I am confused why the number of PY is reported differently in Fig1</text>
  </threadedComment>
  <threadedComment ref="S716" dT="2023-06-15T13:34:12.92" personId="{3DE5673D-4837-4FC9-B8B9-34243175713A}" id="{855DCE24-82BD-4949-B461-CAAD314351A7}" done="1">
    <text>895,310 PY / 96,517 ???</text>
  </threadedComment>
  <threadedComment ref="S716" dT="2023-09-27T18:33:23.84" personId="{883E32C5-8AB4-4AEE-9ADC-CF370F4EA9A2}" id="{A2B0B1C4-CF48-484D-8FF8-BBE853B813D5}" parentId="{855DCE24-82BD-4949-B461-CAAD314351A7}">
    <text>I agree, but I'm unsure why PY are reported differently in Fig1</text>
  </threadedComment>
  <threadedComment ref="T716" dT="2023-06-15T11:22:33.94" personId="{3DE5673D-4837-4FC9-B8B9-34243175713A}" id="{A74FCB00-00A6-4D52-8393-F2DA1F213A8D}" done="1">
    <text>897,610 PY / 95,356???</text>
  </threadedComment>
  <threadedComment ref="T716" dT="2023-09-27T18:38:38.50" personId="{883E32C5-8AB4-4AEE-9ADC-CF370F4EA9A2}" id="{ACF50589-F797-45EB-B382-6A0A29A28CFD}" parentId="{A74FCB00-00A6-4D52-8393-F2DA1F213A8D}">
    <text>I agree, but I am confused why the number of PY is reported differently in Fig1</text>
  </threadedComment>
  <threadedComment ref="S717" dT="2023-06-15T13:34:12.92" personId="{3DE5673D-4837-4FC9-B8B9-34243175713A}" id="{134561AA-C58B-4809-96D3-EABC5A28B203}" done="1">
    <text>895,310 PY / 96,517 ???</text>
  </threadedComment>
  <threadedComment ref="S717" dT="2023-09-27T18:33:23.84" personId="{883E32C5-8AB4-4AEE-9ADC-CF370F4EA9A2}" id="{E08EEB53-E304-4FAC-801A-FC7F4A0781FD}" parentId="{134561AA-C58B-4809-96D3-EABC5A28B203}">
    <text>I agree, but I'm unsure why PY are reported differently in Fig1</text>
  </threadedComment>
  <threadedComment ref="T717" dT="2023-06-15T11:22:33.94" personId="{3DE5673D-4837-4FC9-B8B9-34243175713A}" id="{A123D8D9-7707-449B-B241-C1A54ED42001}" done="1">
    <text>897,610 PY / 95,356???</text>
  </threadedComment>
  <threadedComment ref="T717" dT="2023-09-27T18:38:38.50" personId="{883E32C5-8AB4-4AEE-9ADC-CF370F4EA9A2}" id="{75A2A26C-95B9-408D-A5A9-838BE266BB3D}" parentId="{A123D8D9-7707-449B-B241-C1A54ED42001}">
    <text>I agree, but I am confused why the number of PY is reported differently in Fig1</text>
  </threadedComment>
  <threadedComment ref="S718" dT="2023-06-15T13:34:12.92" personId="{3DE5673D-4837-4FC9-B8B9-34243175713A}" id="{F7A20BC0-AEBC-47F5-AF6F-04B7CFB4E34E}" done="1">
    <text>895,310 PY / 96,517 ???</text>
  </threadedComment>
  <threadedComment ref="S718" dT="2023-09-27T18:33:23.84" personId="{883E32C5-8AB4-4AEE-9ADC-CF370F4EA9A2}" id="{547C42F6-B614-465B-BE0D-19302F7BAC7B}" parentId="{F7A20BC0-AEBC-47F5-AF6F-04B7CFB4E34E}">
    <text>I agree, but I'm unsure why PY are reported differently in Fig1</text>
  </threadedComment>
  <threadedComment ref="T718" dT="2023-06-15T11:22:33.94" personId="{3DE5673D-4837-4FC9-B8B9-34243175713A}" id="{3B697868-C2AE-4A7B-9927-4F7D27F292B2}" done="1">
    <text>897,610 PY / 95,356???</text>
  </threadedComment>
  <threadedComment ref="T718" dT="2023-09-27T18:38:38.50" personId="{883E32C5-8AB4-4AEE-9ADC-CF370F4EA9A2}" id="{ADC1EFE7-EA93-4690-9A96-9D9BDD8CB2DD}" parentId="{3B697868-C2AE-4A7B-9927-4F7D27F292B2}">
    <text>I agree, but I am confused why the number of PY is reported differently in Fig1</text>
  </threadedComment>
  <threadedComment ref="S719" dT="2023-06-15T13:34:12.92" personId="{3DE5673D-4837-4FC9-B8B9-34243175713A}" id="{A51FF084-4562-46CD-ABD4-C55872235FE7}" done="1">
    <text>895,310 PY / 96,517 ???</text>
  </threadedComment>
  <threadedComment ref="S719" dT="2023-09-27T18:33:23.84" personId="{883E32C5-8AB4-4AEE-9ADC-CF370F4EA9A2}" id="{2F0DE04D-A395-4017-92F2-827504B174A8}" parentId="{A51FF084-4562-46CD-ABD4-C55872235FE7}">
    <text>I agree, but I'm unsure why PY are reported differently in Fig1</text>
  </threadedComment>
  <threadedComment ref="T719" dT="2023-06-15T11:22:33.94" personId="{3DE5673D-4837-4FC9-B8B9-34243175713A}" id="{262354FC-155E-4D61-82D3-2C2D71B75891}" done="1">
    <text>897,610 PY / 95,356???</text>
  </threadedComment>
  <threadedComment ref="T719" dT="2023-09-27T18:38:38.50" personId="{883E32C5-8AB4-4AEE-9ADC-CF370F4EA9A2}" id="{A5E6FC38-49DA-4C50-9282-D0D4E69B4472}" parentId="{262354FC-155E-4D61-82D3-2C2D71B75891}">
    <text>I agree, but I am confused why the number of PY is reported differently in Fig1</text>
  </threadedComment>
  <threadedComment ref="S720" dT="2023-06-15T13:34:12.92" personId="{3DE5673D-4837-4FC9-B8B9-34243175713A}" id="{FAA521B8-224E-4C3B-9FB9-7C16AF928D53}" done="1">
    <text>895,310 PY / 96,517 ???</text>
  </threadedComment>
  <threadedComment ref="S720" dT="2023-09-27T18:33:23.84" personId="{883E32C5-8AB4-4AEE-9ADC-CF370F4EA9A2}" id="{656941F5-3239-465B-B8CE-E9AC284EC7E1}" parentId="{FAA521B8-224E-4C3B-9FB9-7C16AF928D53}">
    <text>I agree, but I'm unsure why PY are reported differently in Fig1</text>
  </threadedComment>
  <threadedComment ref="T720" dT="2023-06-15T11:22:33.94" personId="{3DE5673D-4837-4FC9-B8B9-34243175713A}" id="{AF8A97D7-F2CA-44E1-A9F2-1E2287437762}" done="1">
    <text>897,610 PY / 95,356???</text>
  </threadedComment>
  <threadedComment ref="T720" dT="2023-09-27T18:38:38.50" personId="{883E32C5-8AB4-4AEE-9ADC-CF370F4EA9A2}" id="{0937381E-3B07-4021-8694-5F1D7E7FB901}" parentId="{AF8A97D7-F2CA-44E1-A9F2-1E2287437762}">
    <text>I agree, but I am confused why the number of PY is reported differently in Fig1</text>
  </threadedComment>
  <threadedComment ref="S721" dT="2023-06-15T13:34:12.92" personId="{3DE5673D-4837-4FC9-B8B9-34243175713A}" id="{C16B1899-200F-4527-BF99-E4BB4E6AB15C}" done="1">
    <text>895,310 PY / 96,517 ???</text>
  </threadedComment>
  <threadedComment ref="S721" dT="2023-09-27T18:33:23.84" personId="{883E32C5-8AB4-4AEE-9ADC-CF370F4EA9A2}" id="{B0AC5C78-D5BB-46E9-A369-EAFD4BB0159F}" parentId="{C16B1899-200F-4527-BF99-E4BB4E6AB15C}">
    <text>I agree, but I'm unsure why PY are reported differently in Fig1</text>
  </threadedComment>
  <threadedComment ref="T721" dT="2023-06-15T11:22:33.94" personId="{3DE5673D-4837-4FC9-B8B9-34243175713A}" id="{95DE774A-CCC9-46B9-BC3E-6074463EFDD1}" done="1">
    <text>897,610 PY / 95,356???</text>
  </threadedComment>
  <threadedComment ref="T721" dT="2023-09-27T18:38:38.50" personId="{883E32C5-8AB4-4AEE-9ADC-CF370F4EA9A2}" id="{58011A5A-3FCB-4159-9909-705B3DD7986A}" parentId="{95DE774A-CCC9-46B9-BC3E-6074463EFDD1}">
    <text>I agree, but I am confused why the number of PY is reported differently in Fig1</text>
  </threadedComment>
  <threadedComment ref="S722" dT="2023-06-15T13:34:12.92" personId="{3DE5673D-4837-4FC9-B8B9-34243175713A}" id="{90B07C64-2C63-44DE-9977-4F26541CB712}" done="1">
    <text>895,310 PY / 96,517 ???</text>
  </threadedComment>
  <threadedComment ref="S722" dT="2023-09-27T18:33:23.84" personId="{883E32C5-8AB4-4AEE-9ADC-CF370F4EA9A2}" id="{21A9E44E-8ACB-48E7-8220-B3D7BAC49B1E}" parentId="{90B07C64-2C63-44DE-9977-4F26541CB712}">
    <text>I agree, but I'm unsure why PY are reported differently in Fig1</text>
  </threadedComment>
  <threadedComment ref="T722" dT="2023-06-15T11:22:33.94" personId="{3DE5673D-4837-4FC9-B8B9-34243175713A}" id="{44D1CD20-9AA1-4CAF-A9D5-43F4932381B8}" done="1">
    <text>897,610 PY / 95,356???</text>
  </threadedComment>
  <threadedComment ref="T722" dT="2023-09-27T18:38:38.50" personId="{883E32C5-8AB4-4AEE-9ADC-CF370F4EA9A2}" id="{30D9DAAC-0920-4960-9F7F-0590076EEA0E}" parentId="{44D1CD20-9AA1-4CAF-A9D5-43F4932381B8}">
    <text>I agree, but I am confused why the number of PY is reported differently in Fig1</text>
  </threadedComment>
  <threadedComment ref="S723" dT="2023-06-15T13:34:12.92" personId="{3DE5673D-4837-4FC9-B8B9-34243175713A}" id="{DEDA54AC-7EF7-4EA8-A6A5-9866FAC2A04E}" done="1">
    <text>895,310 PY / 96,517 ???</text>
  </threadedComment>
  <threadedComment ref="S723" dT="2023-09-27T18:33:23.84" personId="{883E32C5-8AB4-4AEE-9ADC-CF370F4EA9A2}" id="{C2B16DE8-F8F0-4CF3-9D15-C08A5E4AAFA9}" parentId="{DEDA54AC-7EF7-4EA8-A6A5-9866FAC2A04E}">
    <text>I agree, but I'm unsure why PY are reported differently in Fig1</text>
  </threadedComment>
  <threadedComment ref="T723" dT="2023-06-15T11:22:33.94" personId="{3DE5673D-4837-4FC9-B8B9-34243175713A}" id="{C2513B9D-306B-48C1-B0D5-9239FC9AB5B3}" done="1">
    <text>897,610 PY / 95,356???</text>
  </threadedComment>
  <threadedComment ref="T723" dT="2023-09-27T18:38:38.50" personId="{883E32C5-8AB4-4AEE-9ADC-CF370F4EA9A2}" id="{902E50DE-2323-449F-96CB-C36617B1C5B9}" parentId="{C2513B9D-306B-48C1-B0D5-9239FC9AB5B3}">
    <text>I agree, but I am confused why the number of PY is reported differently in Fig1</text>
  </threadedComment>
  <threadedComment ref="AW723" dT="2023-06-15T13:54:04.20" personId="{3DE5673D-4837-4FC9-B8B9-34243175713A}" id="{54D14E6B-5C95-4366-A927-2E725AF81875}" done="1">
    <text>Slightly different to calculated RR.</text>
  </threadedComment>
  <threadedComment ref="AW723" dT="2023-09-27T18:41:17.47" personId="{883E32C5-8AB4-4AEE-9ADC-CF370F4EA9A2}" id="{6AA4E4BC-8979-401B-B3AF-FD320ED77A7F}" parentId="{54D14E6B-5C95-4366-A927-2E725AF81875}">
    <text>Same as for mortality - I'm not sure why. Maybe the different reported PY at risk give ever so slightly different RRs?</text>
  </threadedComment>
  <threadedComment ref="A724" dT="2023-06-15T16:09:17.54" personId="{3DE5673D-4837-4FC9-B8B9-34243175713A}" id="{9B7E023F-C66C-44CA-9B6C-E0326E8BBEE9}" done="1">
    <text>I have not extracted data for the subgroups "Tobacco or alcohol users or both" and "People with no habits".</text>
  </threadedComment>
  <threadedComment ref="A724" dT="2023-09-27T18:40:07.39" personId="{883E32C5-8AB4-4AEE-9ADC-CF370F4EA9A2}" id="{7F435378-5ECE-4EA3-B3FC-B0C7F64C26E3}" parentId="{9B7E023F-C66C-44CA-9B6C-E0326E8BBEE9}">
    <text xml:space="preserve">Perhaps we should? </text>
  </threadedComment>
  <threadedComment ref="A724" dT="2023-09-29T15:23:52.40" personId="{883E32C5-8AB4-4AEE-9ADC-CF370F4EA9A2}" id="{A1B9FC42-CB4C-4652-944C-B31B20439358}" parentId="{9B7E023F-C66C-44CA-9B6C-E0326E8BBEE9}">
    <text>We've now agreed we won't</text>
  </threadedComment>
  <threadedComment ref="S724" dT="2023-06-15T13:34:12.92" personId="{3DE5673D-4837-4FC9-B8B9-34243175713A}" id="{1750BD34-1404-4B17-BBB6-228D19E9082E}" done="1">
    <text>895,310 PY / 96,517 ???</text>
  </threadedComment>
  <threadedComment ref="S724" dT="2023-09-27T18:33:23.84" personId="{883E32C5-8AB4-4AEE-9ADC-CF370F4EA9A2}" id="{AF2A1485-E36F-4758-909E-543DFAD526C7}" parentId="{1750BD34-1404-4B17-BBB6-228D19E9082E}">
    <text>I agree, but I'm unsure why PY are reported differently in Fig1</text>
  </threadedComment>
  <threadedComment ref="T724" dT="2023-06-15T11:22:33.94" personId="{3DE5673D-4837-4FC9-B8B9-34243175713A}" id="{8C85FF79-D292-4528-90DF-86353789976F}" done="1">
    <text>897,610 PY / 95,356???</text>
  </threadedComment>
  <threadedComment ref="T724" dT="2023-09-27T18:38:38.50" personId="{883E32C5-8AB4-4AEE-9ADC-CF370F4EA9A2}" id="{0246938A-E074-44F3-897D-CD609C907FBC}" parentId="{8C85FF79-D292-4528-90DF-86353789976F}">
    <text>I agree, but I am confused why the number of PY is reported differently in Fig1</text>
  </threadedComment>
  <threadedComment ref="S735" dT="2023-07-24T11:24:33.26" personId="{3DE5673D-4837-4FC9-B8B9-34243175713A}" id="{AE1A4965-F64D-4966-B970-14ECFD9679F5}" done="1">
    <text>Follow-up until death, emigration or 31/12/2014; follow-up time until CRC diagnosis should be a bit shorter.</text>
  </threadedComment>
  <threadedComment ref="S735" dT="2023-09-28T22:07:34.15" personId="{883E32C5-8AB4-4AEE-9ADC-CF370F4EA9A2}" id="{F59E8BBE-3AED-43B5-95F3-8F23026FDB0C}" parentId="{AE1A4965-F64D-4966-B970-14ECFD9679F5}">
    <text>I agree</text>
  </threadedComment>
  <threadedComment ref="S738" dT="2023-07-24T11:24:33.26" personId="{3DE5673D-4837-4FC9-B8B9-34243175713A}" id="{5152DE24-F85B-4A9D-956A-E61D180CCCAB}" done="1">
    <text>Follow-up until death, emigration or 31/12/2014; follow-up time until CRC diagnosis should be a bit shorter.</text>
  </threadedComment>
  <threadedComment ref="A754" dT="2023-07-24T15:48:48.97" personId="{3DE5673D-4837-4FC9-B8B9-34243175713A}" id="{FC4CE69A-F955-4244-B043-75E7D25D955A}" done="1">
    <text>Supplementary Table 1 also reports cancer incidence and mortality by "Sex and age group" which I have not extracted.</text>
  </threadedComment>
  <threadedComment ref="A754" dT="2023-09-28T21:18:15.22" personId="{883E32C5-8AB4-4AEE-9ADC-CF370F4EA9A2}" id="{DADADCF2-DD64-486D-8668-3353BFB123EE}" parentId="{FC4CE69A-F955-4244-B043-75E7D25D955A}">
    <text>OK</text>
  </threadedComment>
  <threadedComment ref="Z758" dT="2023-09-29T07:13:29.07" personId="{883E32C5-8AB4-4AEE-9ADC-CF370F4EA9A2}" id="{20C8A46D-4217-41E5-A7E1-C8B89671CB07}" done="1">
    <text>Where does this N come from? Should it not be 111,503?</text>
  </threadedComment>
  <threadedComment ref="Z758" dT="2023-09-29T14:01:40.67" personId="{3DE5673D-4837-4FC9-B8B9-34243175713A}" id="{48A83786-ADDF-4781-B134-0CA6B34FB6A9}" parentId="{20C8A46D-4217-41E5-A7E1-C8B89671CB07}">
    <text>Yes, sorry, it's the total number.</text>
  </threadedComment>
  <threadedComment ref="AI780" dT="2023-06-28T13:24:03.98" personId="{3DE5673D-4837-4FC9-B8B9-34243175713A}" id="{4DC3FDBB-6B2D-418F-B33A-6DAE34939946}" done="1">
    <text>0.71% of 423</text>
  </threadedComment>
  <threadedComment ref="AI780" dT="2023-09-01T13:47:16.53" personId="{883E32C5-8AB4-4AEE-9ADC-CF370F4EA9A2}" id="{164AD476-4A5C-4DB5-B2A6-B85ABE750CAE}" parentId="{4DC3FDBB-6B2D-418F-B33A-6DAE34939946}">
    <text>I agree</text>
  </threadedComment>
  <threadedComment ref="AJ780" dT="2023-06-28T13:24:35.39" personId="{3DE5673D-4837-4FC9-B8B9-34243175713A}" id="{DF11D242-5AE1-4F44-8742-DCF7431FDCA5}" done="1">
    <text>0.23% of 431</text>
  </threadedComment>
  <threadedComment ref="AJ780" dT="2023-09-01T13:47:23.40" personId="{883E32C5-8AB4-4AEE-9ADC-CF370F4EA9A2}" id="{6498C8DD-DAE9-41D8-9665-2B40F43A42A6}" parentId="{DF11D242-5AE1-4F44-8742-DCF7431FDCA5}">
    <text>I agree</text>
  </threadedComment>
  <threadedComment ref="A781" dT="2023-10-17T10:18:39.26" personId="{883E32C5-8AB4-4AEE-9ADC-CF370F4EA9A2}" id="{4735BBA0-5BEE-46BD-98B4-70434A37CB87}" done="1">
    <text>Looks good</text>
  </threadedComment>
  <threadedComment ref="A782" dT="2023-10-10T07:50:25.87" personId="{883E32C5-8AB4-4AEE-9ADC-CF370F4EA9A2}" id="{3A4614DD-54C7-4E9D-BB5C-6428EAD4D7F6}" done="1">
    <text>Perhaps we should also include CIS cases separately? 69 in the int arm, 54 in the control arm</text>
  </threadedComment>
  <threadedComment ref="A782" dT="2023-10-13T13:38:56.95" personId="{3DE5673D-4837-4FC9-B8B9-34243175713A}" id="{BE797754-D3C6-4EE8-A873-98AD638343BE}" parentId="{3A4614DD-54C7-4E9D-BB5C-6428EAD4D7F6}">
    <text>Added above.</text>
  </threadedComment>
  <threadedComment ref="A799" dT="2023-10-17T11:01:52.83" personId="{883E32C5-8AB4-4AEE-9ADC-CF370F4EA9A2}" id="{6214FB69-1B8F-42A4-9887-748F09F8A220}" done="1">
    <text>Looks good</text>
  </threadedComment>
  <threadedComment ref="A800" dT="2023-10-10T07:49:27.36" personId="{883E32C5-8AB4-4AEE-9ADC-CF370F4EA9A2}" id="{1143C040-0DB0-42A3-83C1-C937371ED7A9}" done="1">
    <text>Perhaps we should also include DCIS cases? 69 in the int arm, 54 in the control arm</text>
  </threadedComment>
  <threadedComment ref="A800" dT="2023-10-13T13:52:13.78" personId="{3DE5673D-4837-4FC9-B8B9-34243175713A}" id="{5682EF42-4CB9-4636-9C16-61751EAEC586}" parentId="{1143C040-0DB0-42A3-83C1-C937371ED7A9}">
    <text>Added above.</text>
  </threadedComment>
  <threadedComment ref="A806" dT="2023-10-17T11:01:43.68" personId="{883E32C5-8AB4-4AEE-9ADC-CF370F4EA9A2}" id="{A3CE872E-7759-415D-93F5-B423A4B6E3CE}" done="1">
    <text>Looks good</text>
  </threadedComment>
  <threadedComment ref="A810" dT="2023-10-10T07:46:19.45" personId="{883E32C5-8AB4-4AEE-9ADC-CF370F4EA9A2}" id="{190BF987-C1BA-44E0-9C4D-A690A6C51CF3}" done="1">
    <text>Perhaps we could also include "advanced" cases from this excerpt:
"A total of 68 cases (50 in the control arm and 18 in the intervention arm) have been classified as ‘advanced’ by one of the review panels on the basis of information from the pathology report on clinical details (e.g. treatment by chemotherapy of large tumour, cytology/core biopsy only)."</text>
  </threadedComment>
  <threadedComment ref="A810" dT="2023-10-13T13:53:37.69" personId="{3DE5673D-4837-4FC9-B8B9-34243175713A}" id="{FC526455-408C-4105-B4A3-9E2508B26903}" parentId="{190BF987-C1BA-44E0-9C4D-A690A6C51CF3}">
    <text>Added above.</text>
  </threadedComment>
  <threadedComment ref="D811" dT="2023-09-14T15:44:40.37" personId="{3DE5673D-4837-4FC9-B8B9-34243175713A}" id="{73A7BA8C-4742-49F4-8AFE-0FFE91A5251E}" done="1">
    <text>Unsure how to extract "Predicted mortality"!</text>
  </threadedComment>
  <threadedComment ref="D811" dT="2023-10-10T09:56:01.80" personId="{883E32C5-8AB4-4AEE-9ADC-CF370F4EA9A2}" id="{772B67E8-7CEA-42F2-A649-7FDDAE7E9922}" parentId="{73A7BA8C-4742-49F4-8AFE-0FFE91A5251E}">
    <text>It looks good to me the way you did it. But this is the calculation that is adjusted for excess diagnosis in the intervention arm; in the Discussion they say that unadjusted estimates were similar but were not reported. You explain this in column BB, but maybe we could also emphasise it here, in column D?</text>
  </threadedComment>
  <threadedComment ref="D811" dT="2023-10-13T14:02:52.92" personId="{3DE5673D-4837-4FC9-B8B9-34243175713A}" id="{AA05E878-142D-42BD-B0F2-70506F6D6A63}" parentId="{73A7BA8C-4742-49F4-8AFE-0FFE91A5251E}">
    <text>Added.</text>
  </threadedComment>
  <threadedComment ref="D812" dT="2023-09-14T15:44:45.84" personId="{3DE5673D-4837-4FC9-B8B9-34243175713A}" id="{B981DCC8-89FD-4B42-85F8-AF4B91C58873}" done="1">
    <text>Unsure how to extract "Predicted mortality"!</text>
  </threadedComment>
  <threadedComment ref="D813" dT="2023-09-14T15:44:56.77" personId="{3DE5673D-4837-4FC9-B8B9-34243175713A}" id="{5066CCD3-F533-4A41-A27B-563739BE7353}" done="1">
    <text>Unsure how to extract "Predicted mortality"!</text>
  </threadedComment>
  <threadedComment ref="K830" dT="2023-09-27T07:35:14.68" personId="{E08A2389-F34B-466D-8AA1-6ADBBDF0F7BF}" id="{75CF190B-0B52-4545-9661-A8C05978E8DF}" done="1">
    <text xml:space="preserve">Stage 2 or 3
</text>
  </threadedComment>
  <threadedComment ref="K830" dT="2023-09-29T15:03:52.47" personId="{3DE5673D-4837-4FC9-B8B9-34243175713A}" id="{66270A56-5614-4F7F-BFD6-C4B5295282B5}" parentId="{75CF190B-0B52-4545-9661-A8C05978E8DF}">
    <text>Corrected.</text>
  </threadedComment>
  <threadedComment ref="K831" dT="2023-09-27T07:35:04.01" personId="{E08A2389-F34B-466D-8AA1-6ADBBDF0F7BF}" id="{612E5500-587B-4302-BF8D-D21A9CE6D6AA}" done="1">
    <text>Stage 2 or 3</text>
  </threadedComment>
  <threadedComment ref="K831" dT="2023-09-29T15:04:32.75" personId="{3DE5673D-4837-4FC9-B8B9-34243175713A}" id="{D955B71E-0A2C-4A92-AFF1-7DFA29120A56}" parentId="{612E5500-587B-4302-BF8D-D21A9CE6D6AA}">
    <text>Corrected.</text>
  </threadedComment>
  <threadedComment ref="A832" dT="2023-06-01T09:55:06.20" personId="{3DE5673D-4837-4FC9-B8B9-34243175713A}" id="{AB6D51DB-4931-4EB2-9519-AEE91A84FBC6}" done="1">
    <text>Same data reported in Melamed 1987 (#10871), Table 5.</text>
  </threadedComment>
  <threadedComment ref="A832" dT="2023-09-27T07:54:42.42" personId="{E08A2389-F34B-466D-8AA1-6ADBBDF0F7BF}" id="{92106111-FB0C-4B60-84F0-CED098DA8F2E}" parentId="{AB6D51DB-4931-4EB2-9519-AEE91A84FBC6}">
    <text>But with occasional differences in numbers of cancers detected.</text>
  </threadedComment>
  <threadedComment ref="A833" dT="2023-06-01T09:55:06.20" personId="{3DE5673D-4837-4FC9-B8B9-34243175713A}" id="{AD68C7EC-98D5-4251-B5DF-FE6F1AA9C3F3}" done="1">
    <text>Same data reported in Melamed 1987 (#10871), Table 5.</text>
  </threadedComment>
  <threadedComment ref="A833" dT="2023-09-27T07:54:42.42" personId="{E08A2389-F34B-466D-8AA1-6ADBBDF0F7BF}" id="{D9F5F4DC-8A8B-4382-BC27-707FBE09F9BD}" parentId="{AD68C7EC-98D5-4251-B5DF-FE6F1AA9C3F3}">
    <text>But with occasional differences in numbers of cancers detected.</text>
  </threadedComment>
  <threadedComment ref="AI833" dT="2023-06-01T10:01:36.87" personId="{3DE5673D-4837-4FC9-B8B9-34243175713A}" id="{FFEF26A1-0605-4AC4-93DD-2337C705D5DF}" done="1">
    <text>100+88=188;
Melamed 1987 (#10871 and #10870) reports a total of 190 screen-detected lung cancers though.</text>
  </threadedComment>
  <threadedComment ref="AI833" dT="2023-09-27T07:52:47.38" personId="{E08A2389-F34B-466D-8AA1-6ADBBDF0F7BF}" id="{BF3D17C0-D212-40D8-AF9F-322EB69CFF8F}" parentId="{FFEF26A1-0605-4AC4-93DD-2337C705D5DF}">
    <text>Agreed. 
The numbers are the same in tables 3 (M 84) and 5 (M 87). But in table 4 of M 87,  there are an additional 2 stage 1 cancers and they refer to 190 screen detected cancers in the text (M 84 gives 198).
It might be that Melamed 1987 had followed up more of the participants ("more than 99.5%") compared to 94.45% in the earlier paper.
Do we need to report these data from Melamed 1987 too?</text>
  </threadedComment>
  <threadedComment ref="AI833" dT="2023-09-29T15:26:15.86" personId="{3DE5673D-4837-4FC9-B8B9-34243175713A}" id="{B572FD60-698B-4542-9BF0-1C08146C2E64}" parentId="{FFEF26A1-0605-4AC4-93DD-2337C705D5DF}">
    <text>Table 4 in M87 reports overall an additional 3 stage I cancers and 2 stage 3 cancers. But we don't know in which of the 2 intervention groups they occurred, so can't really extract the data by group...</text>
  </threadedComment>
  <threadedComment ref="A834" dT="2023-06-01T09:55:06.20" personId="{3DE5673D-4837-4FC9-B8B9-34243175713A}" id="{981A7ED4-DC95-4FE7-8CC8-26A36BA12350}" done="1">
    <text>Same data reported in Melamed 1987 (#10871), Table 5.</text>
  </threadedComment>
  <threadedComment ref="A834" dT="2023-09-27T07:54:42.42" personId="{E08A2389-F34B-466D-8AA1-6ADBBDF0F7BF}" id="{E602F386-FDAB-4DFA-B40F-20B0F07A0219}" parentId="{981A7ED4-DC95-4FE7-8CC8-26A36BA12350}">
    <text>But with occasional differences in numbers of cancers detected.</text>
  </threadedComment>
  <threadedComment ref="AI834" dT="2023-09-27T07:55:08.44" personId="{E08A2389-F34B-466D-8AA1-6ADBBDF0F7BF}" id="{F8431FFF-FC25-4A72-8D89-1C3D3E9D3974}" done="1">
    <text>As above cell</text>
  </threadedComment>
  <threadedComment ref="AL834" dT="2023-06-01T10:19:07.62" personId="{3DE5673D-4837-4FC9-B8B9-34243175713A}" id="{FAB298D7-788A-4879-A777-C497E1C03B40}" done="1">
    <text>Melamed 1987 (#10870) reports 293 lung cancers detected during the screening period though.</text>
  </threadedComment>
  <threadedComment ref="AL834" dT="2023-09-27T10:02:29.87" personId="{E08A2389-F34B-466D-8AA1-6ADBBDF0F7BF}" id="{40AEDD06-3E08-409F-99E4-72D93A60CE14}" parentId="{FAB298D7-788A-4879-A777-C497E1C03B40}">
    <text>Agreed. As previous comment. 
I think table 5 in Melamed 1987 is incorrectly copied and pasted from table  2 in Melamed 1984. The reason I think this is because the text in Melamed 1987 consistently refers to the large number of cancers. 
Do we need to report these data from Melamed 1987 too?</text>
  </threadedComment>
  <threadedComment ref="AL834" dT="2023-09-29T15:29:01.78" personId="{3DE5673D-4837-4FC9-B8B9-34243175713A}" id="{4BAD3877-DFC6-48C9-BBAB-9EC7758680D4}" parentId="{FAB298D7-788A-4879-A777-C497E1C03B40}">
    <text>Agreed.</text>
  </threadedComment>
  <threadedComment ref="A835" dT="2023-06-01T09:55:06.20" personId="{3DE5673D-4837-4FC9-B8B9-34243175713A}" id="{C0DB40A1-8C36-4F3E-B6B7-EC08F9CD976B}" done="1">
    <text>Same data reported in Melamed 1987 (#10871), Table 5.</text>
  </threadedComment>
  <threadedComment ref="A836" dT="2023-06-01T09:55:06.20" personId="{3DE5673D-4837-4FC9-B8B9-34243175713A}" id="{25BB7B44-6323-437A-9031-30A6B2E43CDC}" done="1">
    <text>Same data reported in Melamed 1987 (#10871), Table 5.</text>
  </threadedComment>
  <threadedComment ref="A837" dT="2023-06-01T09:55:06.20" personId="{3DE5673D-4837-4FC9-B8B9-34243175713A}" id="{7D509D88-6EF1-475D-9C09-493B730113E9}" done="1">
    <text>Same data reported in Melamed 1987 (#10871), Table 5.</text>
  </threadedComment>
  <threadedComment ref="A838" dT="2023-06-01T09:55:06.20" personId="{3DE5673D-4837-4FC9-B8B9-34243175713A}" id="{3EA1819E-DA7C-45D5-B2CE-1CEA253642EE}" done="1">
    <text>Same data reported in Melamed 1987 (#10871), Table 5.</text>
  </threadedComment>
  <threadedComment ref="A839" dT="2023-06-01T09:55:06.20" personId="{3DE5673D-4837-4FC9-B8B9-34243175713A}" id="{288B0FF6-48DE-4342-A83C-B5FEDEEFD8FC}" done="1">
    <text>Same data reported in Melamed 1987 (#10871), Table 5.</text>
  </threadedComment>
  <threadedComment ref="K839" dT="2023-09-27T07:34:47.86" personId="{E08A2389-F34B-466D-8AA1-6ADBBDF0F7BF}" id="{2BD72DD2-193A-4872-A44A-4869A3A29235}" done="1">
    <text>Stage 2 or 3</text>
  </threadedComment>
  <threadedComment ref="AH839" dT="2023-09-27T14:31:01.57" personId="{E08A2389-F34B-466D-8AA1-6ADBBDF0F7BF}" id="{BBB9C6BB-876F-4807-8656-431FEA315427}" done="1">
    <text>Isn't baseline the prevalent round?</text>
  </threadedComment>
  <threadedComment ref="AH839" dT="2023-10-02T08:25:57.31" personId="{3DE5673D-4837-4FC9-B8B9-34243175713A}" id="{771C120D-E630-42FF-A9DB-C1F82E5603D5}" parentId="{BBB9C6BB-876F-4807-8656-431FEA315427}">
    <text>Corrected.</text>
  </threadedComment>
  <threadedComment ref="A840" dT="2023-06-01T09:55:06.20" personId="{3DE5673D-4837-4FC9-B8B9-34243175713A}" id="{8132BB1C-A3B3-40C2-B7B3-DA33FF99A2A6}" done="1">
    <text>Same data reported in Melamed 1987 (#10871), Table 5.</text>
  </threadedComment>
  <threadedComment ref="A841" dT="2023-06-01T09:55:06.20" personId="{3DE5673D-4837-4FC9-B8B9-34243175713A}" id="{FA452095-BF75-4FAA-92A8-2E0CF0D109A1}" done="1">
    <text>Same data reported in Melamed 1987 (#10871), Table 5.</text>
  </threadedComment>
  <threadedComment ref="A842" dT="2023-06-01T09:55:06.20" personId="{3DE5673D-4837-4FC9-B8B9-34243175713A}" id="{BEAA0623-0E07-4ED2-BDF5-6A7370A73DB5}" done="1">
    <text>Same data reported in Melamed 1987 (#10871), Table 5.</text>
  </threadedComment>
  <threadedComment ref="A843" dT="2023-06-01T09:55:06.20" personId="{3DE5673D-4837-4FC9-B8B9-34243175713A}" id="{3F3B9DA9-99D1-4E22-8ED3-3AD24710EB84}" done="1">
    <text>Same data reported in Melamed 1987 (#10871), Table 5.</text>
  </threadedComment>
  <threadedComment ref="A844" dT="2023-06-01T09:55:06.20" personId="{3DE5673D-4837-4FC9-B8B9-34243175713A}" id="{64DF6622-CCFC-433F-AE77-483C71B80607}" done="1">
    <text>Same data reported in Melamed 1987 (#10871), Table 5.</text>
  </threadedComment>
  <threadedComment ref="A845" dT="2023-06-01T09:55:06.20" personId="{3DE5673D-4837-4FC9-B8B9-34243175713A}" id="{5D825355-2D0D-407C-97A6-24A16A6D0002}" done="1">
    <text>Same data reported in Melamed 1987 (#10871), Table 5.</text>
  </threadedComment>
  <threadedComment ref="AX846" dT="2023-09-27T14:39:09.94" personId="{E08A2389-F34B-466D-8AA1-6ADBBDF0F7BF}" id="{6E0E0460-C334-43B2-B375-389189761FE5}" done="1">
    <text>Do we have a rule for what to do with the ones with 0 events in one of the arms?</text>
  </threadedComment>
  <threadedComment ref="AX846" dT="2023-10-02T08:48:59.57" personId="{3DE5673D-4837-4FC9-B8B9-34243175713A}" id="{2FF07F4C-2B02-4699-A01E-71C475FADD01}" parentId="{6E0E0460-C334-43B2-B375-389189761FE5}">
    <text>That's for Adam and Nefeli to decide.</text>
  </threadedComment>
  <threadedComment ref="AI855" dT="2023-09-27T14:45:24.26" personId="{E08A2389-F34B-466D-8AA1-6ADBBDF0F7BF}" id="{B62EBB9A-0C89-4DC5-9C85-B3756676A875}" done="1">
    <text>Yep, 100. 59+27+14 (from table 4)</text>
  </threadedComment>
  <threadedComment ref="AJ855" dT="2023-06-01T12:45:44.71" personId="{3DE5673D-4837-4FC9-B8B9-34243175713A}" id="{3D63BB3D-198A-4EF7-A7B0-6542E972550D}" done="1">
    <text>Melamed 1987 (#10871 and #10870) reports 190 screen-detected lung cancers though. Melamed 1984 (#10872) reports 188 screen-detected cancers.</text>
  </threadedComment>
  <threadedComment ref="AJ855" dT="2023-09-27T14:47:37.03" personId="{E08A2389-F34B-466D-8AA1-6ADBBDF0F7BF}" id="{DF57FA20-9187-4695-872A-DAC5C4271879}" parentId="{3D63BB3D-198A-4EF7-A7B0-6542E972550D}">
    <text>Different % of people followed up at each time point?</text>
  </threadedComment>
  <threadedComment ref="AJ865" dT="2023-05-17T14:06:58.61" personId="{3DE5673D-4837-4FC9-B8B9-34243175713A}" id="{076FB76F-A7C2-4F0F-8A83-6748E1CD2A4C}" done="1">
    <text>Different to numbers reported in #643, Table 3 (see row 33 below) - 30 and 10.</text>
  </threadedComment>
  <threadedComment ref="AJ865" dT="2023-10-10T11:43:03.04" personId="{E08A2389-F34B-466D-8AA1-6ADBBDF0F7BF}" id="{331E5754-BD0A-4B68-B7D8-AD71E683AC48}" parentId="{076FB76F-A7C2-4F0F-8A83-6748E1CD2A4C}">
    <text>Agreed. I can't see the difference explained anywhere. Perhaps not everyone had had their baseline assessment in Infante 2008?</text>
  </threadedComment>
  <threadedComment ref="AC866" dT="2023-05-18T14:28:07.04" personId="{3DE5673D-4837-4FC9-B8B9-34243175713A}" id="{848A2E56-1C09-4FD8-8B1E-6FD5B6406183}" done="1">
    <text>"… updated information regarding their vital status, causes of death and occurrence of any newly diagnosed malignancy was available for 96.6% of LDCT patients and 94.7% of controls."</text>
  </threadedComment>
  <threadedComment ref="AC866" dT="2023-10-17T07:52:46.32" personId="{E08A2389-F34B-466D-8AA1-6ADBBDF0F7BF}" id="{7B03A1FA-F4C4-4DF0-B94D-5E121A8754C9}" parentId="{848A2E56-1C09-4FD8-8B1E-6FD5B6406183}">
    <text>Looks correct to me.</text>
  </threadedComment>
  <threadedComment ref="AE866" dT="2023-05-18T14:28:33.97" personId="{3DE5673D-4837-4FC9-B8B9-34243175713A}" id="{643D8D2F-0163-4AFF-A2F9-ADE68A86B71E}" done="1">
    <text>"… updated information regarding their vital status, causes of death and occurrence of any newly diagnosed malignancy was available for 96.6% of LDCT patients and 94.7% of controls."</text>
  </threadedComment>
  <threadedComment ref="AE866" dT="2023-10-17T07:52:53.59" personId="{E08A2389-F34B-466D-8AA1-6ADBBDF0F7BF}" id="{56197815-C958-4B97-9472-9ADC00369F2C}" parentId="{643D8D2F-0163-4AFF-A2F9-ADE68A86B71E}">
    <text>Looks correct to me.</text>
  </threadedComment>
  <threadedComment ref="AC867" dT="2023-05-18T14:28:07.04" personId="{3DE5673D-4837-4FC9-B8B9-34243175713A}" id="{9A2FCC68-DC49-4F82-B80F-F0E984F9D82A}" done="1">
    <text>"… updated information regarding their vital status, causes of death and occurrence of any newly diagnosed malignancy was available for 96.6% of LDCT patients and 94.7% of controls."</text>
  </threadedComment>
  <threadedComment ref="AC867" dT="2023-10-17T07:52:46.32" personId="{E08A2389-F34B-466D-8AA1-6ADBBDF0F7BF}" id="{426F9F5C-1F43-4E94-B45A-20D340C45639}" parentId="{9A2FCC68-DC49-4F82-B80F-F0E984F9D82A}">
    <text>Looks correct to me.</text>
  </threadedComment>
  <threadedComment ref="AE867" dT="2023-05-18T14:28:33.97" personId="{3DE5673D-4837-4FC9-B8B9-34243175713A}" id="{C07B158C-F36A-444C-B80B-D1ACFBA249A0}" done="1">
    <text>"… updated information regarding their vital status, causes of death and occurrence of any newly diagnosed malignancy was available for 96.6% of LDCT patients and 94.7% of controls."</text>
  </threadedComment>
  <threadedComment ref="AE867" dT="2023-10-17T07:52:53.59" personId="{E08A2389-F34B-466D-8AA1-6ADBBDF0F7BF}" id="{ACFA2BC3-260A-43A1-A1E3-401A066E24C6}" parentId="{C07B158C-F36A-444C-B80B-D1ACFBA249A0}">
    <text>Looks correct to me.</text>
  </threadedComment>
  <threadedComment ref="AC868" dT="2023-05-18T14:28:07.04" personId="{3DE5673D-4837-4FC9-B8B9-34243175713A}" id="{5DA31884-B7F9-47AC-8709-BFF2DB4505C0}" done="1">
    <text>"… updated information regarding their vital status, causes of death and occurrence of any newly diagnosed malignancy was available for 96.6% of LDCT patients and 94.7% of controls."</text>
  </threadedComment>
  <threadedComment ref="AC868" dT="2023-10-17T07:52:46.32" personId="{E08A2389-F34B-466D-8AA1-6ADBBDF0F7BF}" id="{948867F9-DC6D-4928-A15B-770BEB6FF0C1}" parentId="{5DA31884-B7F9-47AC-8709-BFF2DB4505C0}">
    <text>Looks correct to me.</text>
  </threadedComment>
  <threadedComment ref="AE868" dT="2023-05-18T14:28:33.97" personId="{3DE5673D-4837-4FC9-B8B9-34243175713A}" id="{992E100E-D09F-4341-A4BB-A964F2FCC034}" done="1">
    <text>"… updated information regarding their vital status, causes of death and occurrence of any newly diagnosed malignancy was available for 96.6% of LDCT patients and 94.7% of controls."</text>
  </threadedComment>
  <threadedComment ref="AE868" dT="2023-10-17T07:52:53.59" personId="{E08A2389-F34B-466D-8AA1-6ADBBDF0F7BF}" id="{84629C24-FCA3-4CED-A443-F1B06EC170DD}" parentId="{992E100E-D09F-4341-A4BB-A964F2FCC034}">
    <text>Looks correct to me.</text>
  </threadedComment>
  <threadedComment ref="AC869" dT="2023-05-18T14:28:07.04" personId="{3DE5673D-4837-4FC9-B8B9-34243175713A}" id="{E9B20D7B-1F6B-45E3-A152-2D09AF842FE3}" done="1">
    <text>"… updated information regarding their vital status, causes of death and occurrence of any newly diagnosed malignancy was available for 96.6% of LDCT patients and 94.7% of controls."</text>
  </threadedComment>
  <threadedComment ref="AC869" dT="2023-10-17T07:52:46.32" personId="{E08A2389-F34B-466D-8AA1-6ADBBDF0F7BF}" id="{3B2C6BB3-B10B-4D05-960B-4CC7FB989F71}" parentId="{E9B20D7B-1F6B-45E3-A152-2D09AF842FE3}">
    <text>Looks correct to me.</text>
  </threadedComment>
  <threadedComment ref="AE869" dT="2023-05-18T14:28:33.97" personId="{3DE5673D-4837-4FC9-B8B9-34243175713A}" id="{505A711E-C83E-4F38-8DCA-1B23CAB423C1}" done="1">
    <text>"… updated information regarding their vital status, causes of death and occurrence of any newly diagnosed malignancy was available for 96.6% of LDCT patients and 94.7% of controls."</text>
  </threadedComment>
  <threadedComment ref="AE869" dT="2023-10-17T07:52:53.59" personId="{E08A2389-F34B-466D-8AA1-6ADBBDF0F7BF}" id="{765E7431-090C-4D3B-B287-BFAC0C591517}" parentId="{505A711E-C83E-4F38-8DCA-1B23CAB423C1}">
    <text>Looks correct to me.</text>
  </threadedComment>
  <threadedComment ref="BA869" dT="2023-10-10T11:48:10.55" personId="{E08A2389-F34B-466D-8AA1-6ADBBDF0F7BF}" id="{6900E025-1983-4196-BC13-EFC1BBB63D9C}" done="1">
    <text>I can't see this for stage 2 in the paper. Only stage 1.</text>
  </threadedComment>
  <threadedComment ref="AC870" dT="2023-05-18T14:28:07.04" personId="{3DE5673D-4837-4FC9-B8B9-34243175713A}" id="{74658A97-BC98-4A36-AA63-E961FE4084DC}" done="1">
    <text>"… updated information regarding their vital status, causes of death and occurrence of any newly diagnosed malignancy was available for 96.6% of LDCT patients and 94.7% of controls."</text>
  </threadedComment>
  <threadedComment ref="AC870" dT="2023-10-17T07:52:46.32" personId="{E08A2389-F34B-466D-8AA1-6ADBBDF0F7BF}" id="{393541DC-F0B4-4308-BE1C-D23EFE177BAA}" parentId="{74658A97-BC98-4A36-AA63-E961FE4084DC}">
    <text>Looks correct to me.</text>
  </threadedComment>
  <threadedComment ref="AE870" dT="2023-05-18T14:28:33.97" personId="{3DE5673D-4837-4FC9-B8B9-34243175713A}" id="{11DD7D3C-4E75-498E-AD75-BD54895B74BA}" done="1">
    <text>"… updated information regarding their vital status, causes of death and occurrence of any newly diagnosed malignancy was available for 96.6% of LDCT patients and 94.7% of controls."</text>
  </threadedComment>
  <threadedComment ref="AE870" dT="2023-10-17T07:52:53.59" personId="{E08A2389-F34B-466D-8AA1-6ADBBDF0F7BF}" id="{F75C551F-3B32-4A4E-9E2A-47FC14083493}" parentId="{11DD7D3C-4E75-498E-AD75-BD54895B74BA}">
    <text>Looks correct to me.</text>
  </threadedComment>
  <threadedComment ref="AC871" dT="2023-05-18T14:28:07.04" personId="{3DE5673D-4837-4FC9-B8B9-34243175713A}" id="{6698D995-4956-447D-8EE6-C72769DB67B2}" done="1">
    <text>"… updated information regarding their vital status, causes of death and occurrence of any newly diagnosed malignancy was available for 96.6% of LDCT patients and 94.7% of controls."</text>
  </threadedComment>
  <threadedComment ref="AC871" dT="2023-10-17T07:52:46.32" personId="{E08A2389-F34B-466D-8AA1-6ADBBDF0F7BF}" id="{E9F22661-3EE6-4F4C-A3D9-612FC7003DDC}" parentId="{6698D995-4956-447D-8EE6-C72769DB67B2}">
    <text>Looks correct to me.</text>
  </threadedComment>
  <threadedComment ref="AE871" dT="2023-05-18T14:28:33.97" personId="{3DE5673D-4837-4FC9-B8B9-34243175713A}" id="{4DB2C723-C48F-41F8-986F-B97FFF2AAD19}" done="1">
    <text>"… updated information regarding their vital status, causes of death and occurrence of any newly diagnosed malignancy was available for 96.6% of LDCT patients and 94.7% of controls."</text>
  </threadedComment>
  <threadedComment ref="AE871" dT="2023-10-17T07:52:53.59" personId="{E08A2389-F34B-466D-8AA1-6ADBBDF0F7BF}" id="{7E68E2A2-5BEA-4888-A383-3065B380E9E1}" parentId="{4DB2C723-C48F-41F8-986F-B97FFF2AAD19}">
    <text>Looks correct to me.</text>
  </threadedComment>
  <threadedComment ref="AC872" dT="2023-05-18T14:28:07.04" personId="{3DE5673D-4837-4FC9-B8B9-34243175713A}" id="{B3317525-2952-464E-BA29-5857A4BD42D7}" done="1">
    <text>"… updated information regarding their vital status, causes of death and occurrence of any newly diagnosed malignancy was available for 96.6% of LDCT patients and 94.7% of controls."</text>
  </threadedComment>
  <threadedComment ref="AC872" dT="2023-10-17T07:52:46.32" personId="{E08A2389-F34B-466D-8AA1-6ADBBDF0F7BF}" id="{F79FE7CF-17DF-478D-BD0A-0BC849AF2CB6}" parentId="{B3317525-2952-464E-BA29-5857A4BD42D7}">
    <text>Looks correct to me.</text>
  </threadedComment>
  <threadedComment ref="AE872" dT="2023-05-18T14:28:33.97" personId="{3DE5673D-4837-4FC9-B8B9-34243175713A}" id="{94D0C7E8-7D6B-4CC2-8DB1-E293BA15536D}" done="1">
    <text>"… updated information regarding their vital status, causes of death and occurrence of any newly diagnosed malignancy was available for 96.6% of LDCT patients and 94.7% of controls."</text>
  </threadedComment>
  <threadedComment ref="AE872" dT="2023-10-17T07:52:53.59" personId="{E08A2389-F34B-466D-8AA1-6ADBBDF0F7BF}" id="{0B509F71-9BBD-4017-A3B7-3BFFD885190B}" parentId="{94D0C7E8-7D6B-4CC2-8DB1-E293BA15536D}">
    <text>Looks correct to me.</text>
  </threadedComment>
  <threadedComment ref="AC873" dT="2023-05-18T14:28:07.04" personId="{3DE5673D-4837-4FC9-B8B9-34243175713A}" id="{6018966F-087A-4AC4-BE5C-981D39909D2D}" done="1">
    <text>"… updated information regarding their vital status, causes of death and occurrence of any newly diagnosed malignancy was available for 96.6% of LDCT patients and 94.7% of controls."</text>
  </threadedComment>
  <threadedComment ref="AC873" dT="2023-10-17T07:52:46.32" personId="{E08A2389-F34B-466D-8AA1-6ADBBDF0F7BF}" id="{7D90A38B-B771-4E6F-B541-462F441D1802}" parentId="{6018966F-087A-4AC4-BE5C-981D39909D2D}">
    <text>Looks correct to me.</text>
  </threadedComment>
  <threadedComment ref="AE873" dT="2023-05-18T14:28:33.97" personId="{3DE5673D-4837-4FC9-B8B9-34243175713A}" id="{B5CCC41F-65D7-43F4-A733-42C671EB576E}" done="1">
    <text>"… updated information regarding their vital status, causes of death and occurrence of any newly diagnosed malignancy was available for 96.6% of LDCT patients and 94.7% of controls."</text>
  </threadedComment>
  <threadedComment ref="AE873" dT="2023-10-17T07:52:53.59" personId="{E08A2389-F34B-466D-8AA1-6ADBBDF0F7BF}" id="{B93EFB77-DECB-4E38-B24E-54AEB600CBD2}" parentId="{B5CCC41F-65D7-43F4-A733-42C671EB576E}">
    <text>Looks correct to me.</text>
  </threadedComment>
  <threadedComment ref="AC874" dT="2023-05-18T14:28:07.04" personId="{3DE5673D-4837-4FC9-B8B9-34243175713A}" id="{2D0B25E5-E4D2-412A-9E12-B93D549E5192}" done="1">
    <text>"… updated information regarding their vital status, causes of death and occurrence of any newly diagnosed malignancy was available for 96.6% of LDCT patients and 94.7% of controls."</text>
  </threadedComment>
  <threadedComment ref="AC874" dT="2023-10-17T07:52:46.32" personId="{E08A2389-F34B-466D-8AA1-6ADBBDF0F7BF}" id="{1687AA66-BCBD-4E97-951D-B9B9125079DD}" parentId="{2D0B25E5-E4D2-412A-9E12-B93D549E5192}">
    <text>Looks correct to me.</text>
  </threadedComment>
  <threadedComment ref="AE874" dT="2023-05-18T14:28:33.97" personId="{3DE5673D-4837-4FC9-B8B9-34243175713A}" id="{156BA573-06C1-421A-AE64-C8DCCABDF44A}" done="1">
    <text>"… updated information regarding their vital status, causes of death and occurrence of any newly diagnosed malignancy was available for 96.6% of LDCT patients and 94.7% of controls."</text>
  </threadedComment>
  <threadedComment ref="AE874" dT="2023-10-17T07:52:53.59" personId="{E08A2389-F34B-466D-8AA1-6ADBBDF0F7BF}" id="{568F434F-8FB2-4780-AD98-76D77364F022}" parentId="{156BA573-06C1-421A-AE64-C8DCCABDF44A}">
    <text>Looks correct to me.</text>
  </threadedComment>
  <threadedComment ref="AC875" dT="2023-05-18T14:28:07.04" personId="{3DE5673D-4837-4FC9-B8B9-34243175713A}" id="{7D1DED95-FE0D-48FD-B3A1-D2F62F4B58E4}" done="1">
    <text>"… updated information regarding their vital status, causes of death and occurrence of any newly diagnosed malignancy was available for 96.6% of LDCT patients and 94.7% of controls."</text>
  </threadedComment>
  <threadedComment ref="AC875" dT="2023-10-17T07:52:46.32" personId="{E08A2389-F34B-466D-8AA1-6ADBBDF0F7BF}" id="{9996A58C-6119-46CA-A796-3D248190A6F6}" parentId="{7D1DED95-FE0D-48FD-B3A1-D2F62F4B58E4}">
    <text>Looks correct to me.</text>
  </threadedComment>
  <threadedComment ref="AE875" dT="2023-05-18T14:28:33.97" personId="{3DE5673D-4837-4FC9-B8B9-34243175713A}" id="{7850F5E8-DE72-4CA4-BDE9-3486DF77AFAD}" done="1">
    <text>"… updated information regarding their vital status, causes of death and occurrence of any newly diagnosed malignancy was available for 96.6% of LDCT patients and 94.7% of controls."</text>
  </threadedComment>
  <threadedComment ref="AE875" dT="2023-10-17T07:52:53.59" personId="{E08A2389-F34B-466D-8AA1-6ADBBDF0F7BF}" id="{7CDE5A08-624D-4EF7-861A-23F666C943B9}" parentId="{7850F5E8-DE72-4CA4-BDE9-3486DF77AFAD}">
    <text>Looks correct to me.</text>
  </threadedComment>
  <threadedComment ref="AJ888" dT="2023-05-17T14:01:07.88" personId="{3DE5673D-4837-4FC9-B8B9-34243175713A}" id="{46299E89-8E84-4E8E-B33D-0BF420898CEC}" done="1">
    <text>Or 10 if only including the cancers detected at the baseline screen. 3 additional cancers have been detected after annual clinical review.</text>
  </threadedComment>
  <threadedComment ref="AJ888" dT="2023-10-17T08:17:47.06" personId="{E08A2389-F34B-466D-8AA1-6ADBBDF0F7BF}" id="{7CF40E04-9F39-4CCA-9153-7EAFF7F86C9A}" parentId="{46299E89-8E84-4E8E-B33D-0BF420898CEC}">
    <text xml:space="preserve">I think 10. It does specifically separate those 3 from the number with CSR/sputum detected cancer in the text. </text>
  </threadedComment>
  <threadedComment ref="AS888" dT="2023-10-17T08:19:15.89" personId="{E08A2389-F34B-466D-8AA1-6ADBBDF0F7BF}" id="{625B1530-7D9A-45D0-93E3-147098BE515E}" done="1">
    <text>13.89 with 10 as the numerator</text>
  </threadedComment>
  <threadedComment ref="AX888" dT="2023-10-17T08:20:12.44" personId="{E08A2389-F34B-466D-8AA1-6ADBBDF0F7BF}" id="{4B45D59F-5333-40F3-AEE1-14F260D38B64}" done="1">
    <text>4.64, if we're using 10 as the numerator in the control group.</text>
  </threadedComment>
  <threadedComment ref="AJ889" dT="2023-05-17T14:01:07.88" personId="{3DE5673D-4837-4FC9-B8B9-34243175713A}" id="{C541CB6B-2F2D-4B44-B1FA-3F11BEAA8E8B}" done="1">
    <text>Or 10 if only including the cancers detected at the baseline screen. 3 additional cancers have been detected after annual clinical review.</text>
  </threadedComment>
  <threadedComment ref="AJ889" dT="2023-10-17T08:17:47.06" personId="{E08A2389-F34B-466D-8AA1-6ADBBDF0F7BF}" id="{88E3225B-8910-44E1-B45D-830EA5BFCEF3}" parentId="{C541CB6B-2F2D-4B44-B1FA-3F11BEAA8E8B}">
    <text xml:space="preserve">I think 10. It does specifically separate those 3 from the number with CSR/sputum detected cancer in the text. </text>
  </threadedComment>
  <threadedComment ref="AJ890" dT="2023-05-17T14:09:32.68" personId="{3DE5673D-4837-4FC9-B8B9-34243175713A}" id="{1CA032FD-BAB0-47A4-80FD-8A63E78C4989}" done="1">
    <text>Number reported in #646 different (see row 11 above) - 28 and 8.</text>
  </threadedComment>
  <threadedComment ref="AJ890" dT="2023-10-17T08:22:54.69" personId="{E08A2389-F34B-466D-8AA1-6ADBBDF0F7BF}" id="{C1D23221-0482-4047-AAD8-5F93A0D8E74A}" parentId="{1CA032FD-BAB0-47A4-80FD-8A63E78C4989}">
    <text>Agreed. I can't see the difference explained anywhere. Perhaps not everyone had had their baseline assessment in Infante 2008?</text>
  </threadedComment>
  <threadedComment ref="A891" dT="2023-08-11T10:02:10.66" personId="{E08A2389-F34B-466D-8AA1-6ADBBDF0F7BF}" id="{7FAA60A4-AE62-44F9-9407-3EEA63AF63FA}" done="1">
    <text>Hi Julia. The numbers of advanced cancers in the text and table of this paper are not consistent. In the text, it's as you've reported, but using the data from Table 3 we would get as shown in tab I created called "Becker 2015 inconsistencies". Further, as you mention, the data in Becker 2015 are not consistent with those in Becker 2020. Should we disregard Becker 2015 and only use Becker 2020?
Note. I haven't looked any further at Becker 2015. I'll need to come back to this if we're using these data.</text>
  </threadedComment>
  <threadedComment ref="A891" dT="2023-08-21T16:25:16.51" personId="{3DE5673D-4837-4FC9-B8B9-34243175713A}" id="{E7DAFDE3-7953-41F2-91CF-2DB7586B9EE1}" parentId="{7FAA60A4-AE62-44F9-9407-3EEA63AF63FA}">
    <text>Fine with me to use data from Becker 2020 for 1-5 years after randomisation. I have deleted the data that have been extracted from Becker 2015.</text>
  </threadedComment>
  <threadedComment ref="A891" dT="2023-10-18T11:58:59.45" personId="{E08A2389-F34B-466D-8AA1-6ADBBDF0F7BF}" id="{3264C2B8-5507-4D40-A03A-065DC8D52670}" parentId="{7FAA60A4-AE62-44F9-9407-3EEA63AF63FA}">
    <text>Perfect</text>
  </threadedComment>
  <threadedComment ref="A900" dT="2023-05-26T10:55:46.89" personId="{3DE5673D-4837-4FC9-B8B9-34243175713A}" id="{413B6135-D46E-42CA-BA13-5C7788CB3D5B}" done="1">
    <text>1-3 years after randomisation already extracted from #434 above.</text>
  </threadedComment>
  <threadedComment ref="A900" dT="2023-08-11T10:23:29.87" personId="{E08A2389-F34B-466D-8AA1-6ADBBDF0F7BF}" id="{2F0D7BF3-126E-4895-B18E-13581614BC6F}" parentId="{413B6135-D46E-42CA-BA13-5C7788CB3D5B}">
    <text>But see my comment above about inconsistent reporting in Becker 2015. I think we should extract these data from Becker 2020 and delete data from Becker 2015.</text>
  </threadedComment>
  <threadedComment ref="A900" dT="2023-08-21T16:41:36.92" personId="{3DE5673D-4837-4FC9-B8B9-34243175713A}" id="{C6B2D97D-B3E6-4AF1-AAC9-370C7DA45DBD}" parentId="{413B6135-D46E-42CA-BA13-5C7788CB3D5B}">
    <text>Agree. I have added data for 1-3 years after randomisation from Becker 2020. Please check!</text>
  </threadedComment>
  <threadedComment ref="A900" dT="2023-10-18T12:02:24.84" personId="{E08A2389-F34B-466D-8AA1-6ADBBDF0F7BF}" id="{69FB7009-55AF-4982-A942-A0C9D98BE1F3}" parentId="{413B6135-D46E-42CA-BA13-5C7788CB3D5B}">
    <text>Checked. I agree with your extract for rows 12, 13, &amp; 14</text>
  </threadedComment>
  <threadedComment ref="AC900" dT="2023-10-18T12:04:23.48" personId="{E08A2389-F34B-466D-8AA1-6ADBBDF0F7BF}" id="{C2F7A67F-69E8-4391-84FF-140C6FF0BD01}" done="1">
    <text>The text under figure 1 says "For one incident lung cancer case, in the
LDCT arm, stage information was missing"</text>
  </threadedComment>
  <threadedComment ref="AC900" dT="2023-10-19T07:37:27.79" personId="{3DE5673D-4837-4FC9-B8B9-34243175713A}" id="{96B9D39E-197E-4871-B04D-A0F3A4DC2F97}" parentId="{C2F7A67F-69E8-4391-84FF-140C6FF0BD01}">
    <text>Yes, but we don't know at which time point that cancer was diagnosed…
Supplementary Table 3 reports 1 with missing stage data in the LDCT group 0-5 years after randomisation, and 1 with missing stage data in the control group &gt;5 years since randomisation.</text>
  </threadedComment>
  <threadedComment ref="AC901" dT="2023-10-18T12:04:23.48" personId="{E08A2389-F34B-466D-8AA1-6ADBBDF0F7BF}" id="{E907244B-148E-41E1-9E01-BD11DB75E09C}" done="1">
    <text>The text under figure 1 says "For one incident lung cancer case, in the
LDCT arm, stage information was missing"</text>
  </threadedComment>
  <threadedComment ref="AC901" dT="2023-10-19T07:37:27.79" personId="{3DE5673D-4837-4FC9-B8B9-34243175713A}" id="{7CC33FB6-8A1F-4D1A-8F22-C0554159970E}" parentId="{E907244B-148E-41E1-9E01-BD11DB75E09C}">
    <text>Yes, but we don't know at which time point that cancer was diagnosed…
Supplementary Table 3 reports 1 with missing stage data in the LDCT group 0-5 years after randomisation, and 1 with missing stage data in the control group &gt;5 years since randomisation.</text>
  </threadedComment>
  <threadedComment ref="AC902" dT="2023-10-18T12:04:23.48" personId="{E08A2389-F34B-466D-8AA1-6ADBBDF0F7BF}" id="{B2E104B0-D2B9-46B3-BAA9-08497300D028}" done="1">
    <text>The text under figure 1 says "For one incident lung cancer case, in the
LDCT arm, stage information was missing"</text>
  </threadedComment>
  <threadedComment ref="AC902" dT="2023-10-19T07:37:27.79" personId="{3DE5673D-4837-4FC9-B8B9-34243175713A}" id="{15A23671-3BAC-495C-B27E-3ABE9CA068DF}" parentId="{B2E104B0-D2B9-46B3-BAA9-08497300D028}">
    <text>Yes, but we don't know at which time point that cancer was diagnosed…
Supplementary Table 3 reports 1 with missing stage data in the LDCT group 0-5 years after randomisation, and 1 with missing stage data in the control group &gt;5 years since randomisation.</text>
  </threadedComment>
  <threadedComment ref="AC903" dT="2023-10-18T12:04:23.48" personId="{E08A2389-F34B-466D-8AA1-6ADBBDF0F7BF}" id="{EB3AB83C-3123-4A22-A650-A17356A86C1B}" done="1">
    <text>The text under figure 1 says "For one incident lung cancer case, in the
LDCT arm, stage information was missing"</text>
  </threadedComment>
  <threadedComment ref="AC903" dT="2023-10-19T07:37:27.79" personId="{3DE5673D-4837-4FC9-B8B9-34243175713A}" id="{2338E08D-01F9-4349-B553-306C62CCCAD6}" parentId="{EB3AB83C-3123-4A22-A650-A17356A86C1B}">
    <text>Yes, but we don't know at which time point that cancer was diagnosed…
Supplementary Table 3 reports 1 with missing stage data in the LDCT group 0-5 years after randomisation, and 1 with missing stage data in the control group &gt;5 years since randomisation.</text>
  </threadedComment>
  <threadedComment ref="AE903" dT="2023-10-18T12:04:36.78" personId="{E08A2389-F34B-466D-8AA1-6ADBBDF0F7BF}" id="{A2E2A985-8911-4B29-AA47-FBF2DF57716F}" done="1">
    <text>agreeed</text>
  </threadedComment>
  <threadedComment ref="AC904" dT="2023-10-18T12:04:23.48" personId="{E08A2389-F34B-466D-8AA1-6ADBBDF0F7BF}" id="{C6869071-7E98-4B39-9CDE-A1E86D969917}" done="1">
    <text>The text under figure 1 says "For one incident lung cancer case, in the
LDCT arm, stage information was missing"</text>
  </threadedComment>
  <threadedComment ref="AC904" dT="2023-10-19T07:37:27.79" personId="{3DE5673D-4837-4FC9-B8B9-34243175713A}" id="{DA4AECBF-2A15-4C14-AAFD-26E60732CB96}" parentId="{C6869071-7E98-4B39-9CDE-A1E86D969917}">
    <text>Yes, but we don't know at which time point that cancer was diagnosed…
Supplementary Table 3 reports 1 with missing stage data in the LDCT group 0-5 years after randomisation, and 1 with missing stage data in the control group &gt;5 years since randomisation.</text>
  </threadedComment>
  <threadedComment ref="AL913" dT="2024-02-01T12:11:20.34" personId="{3DE5673D-4837-4FC9-B8B9-34243175713A}" id="{1E16586D-6E10-49ED-9319-1B2DD490C63E}">
    <text>Or 55 from Supplementary Figures IIa and IIB?</text>
  </threadedComment>
  <threadedComment ref="AC916" dT="2023-08-11T10:59:08.15" personId="{E08A2389-F34B-466D-8AA1-6ADBBDF0F7BF}" id="{5DAA2BF1-EEC5-4DD2-B667-0DE77221495E}" done="1">
    <text xml:space="preserve">We know there 1 cancer with missing stage data from supplemental table 3
</text>
  </threadedComment>
  <threadedComment ref="AC916" dT="2023-08-21T17:26:45.96" personId="{3DE5673D-4837-4FC9-B8B9-34243175713A}" id="{3E8E9EA6-6176-4236-8820-42618222D866}" parentId="{5DAA2BF1-EEC5-4DD2-B667-0DE77221495E}">
    <text>Yes, but we don't know which year that cancer was detected; it only says 0-5 years since randomisation.</text>
  </threadedComment>
  <threadedComment ref="AC916" dT="2023-10-18T12:09:41.88" personId="{E08A2389-F34B-466D-8AA1-6ADBBDF0F7BF}" id="{4225BB4A-D824-4049-98C9-D8ED3A84276A}" parentId="{5DAA2BF1-EEC5-4DD2-B667-0DE77221495E}">
    <text>agreed</text>
  </threadedComment>
  <threadedComment ref="AE916" dT="2023-10-18T12:10:18.42" personId="{E08A2389-F34B-466D-8AA1-6ADBBDF0F7BF}" id="{57772B9D-2E0E-4D4D-B99F-D3DCEF0C11EA}" done="1">
    <text xml:space="preserve">agreed
</text>
  </threadedComment>
  <threadedComment ref="AF916" dT="2023-10-18T12:10:39.37" personId="{E08A2389-F34B-466D-8AA1-6ADBBDF0F7BF}" id="{D6C9D1E1-04D2-4465-B740-AA25E7FBCBB3}" done="1">
    <text xml:space="preserve">agreed
</text>
  </threadedComment>
  <threadedComment ref="AC917" dT="2023-08-11T10:59:08.15" personId="{E08A2389-F34B-466D-8AA1-6ADBBDF0F7BF}" id="{C6F5B990-8AEF-4721-85CA-BCC692DF28E5}" done="1">
    <text xml:space="preserve">We know there 1 cancer with missing stage data from supplemental table 3
</text>
  </threadedComment>
  <threadedComment ref="AC917" dT="2023-08-21T17:26:45.96" personId="{3DE5673D-4837-4FC9-B8B9-34243175713A}" id="{ECCC5E9B-629B-441E-88D7-F20038E9EF32}" parentId="{C6F5B990-8AEF-4721-85CA-BCC692DF28E5}">
    <text>Yes, but we don't know which year that cancer was detected; it only says 0-5 years since randomisation.</text>
  </threadedComment>
  <threadedComment ref="AC917" dT="2023-10-18T12:09:41.88" personId="{E08A2389-F34B-466D-8AA1-6ADBBDF0F7BF}" id="{8C03F6CA-EDCA-426C-9CD2-5398E7E9C566}" parentId="{C6F5B990-8AEF-4721-85CA-BCC692DF28E5}">
    <text>agreed</text>
  </threadedComment>
  <threadedComment ref="AE917" dT="2023-10-18T12:10:18.42" personId="{E08A2389-F34B-466D-8AA1-6ADBBDF0F7BF}" id="{3BF42740-8A84-461A-ADE5-8B347539BA74}" done="1">
    <text xml:space="preserve">agreed
</text>
  </threadedComment>
  <threadedComment ref="AF917" dT="2023-10-18T12:10:39.37" personId="{E08A2389-F34B-466D-8AA1-6ADBBDF0F7BF}" id="{D40F084A-0F0D-4503-8620-BA3503A81AF6}" done="1">
    <text xml:space="preserve">agreed
</text>
  </threadedComment>
  <threadedComment ref="AC918" dT="2023-08-11T10:59:08.15" personId="{E08A2389-F34B-466D-8AA1-6ADBBDF0F7BF}" id="{C5EDED71-5D2A-40FF-82CF-00F17780F937}" done="1">
    <text xml:space="preserve">We know there 1 cancer with missing stage data from supplemental table 3
</text>
  </threadedComment>
  <threadedComment ref="AC918" dT="2023-08-21T17:26:45.96" personId="{3DE5673D-4837-4FC9-B8B9-34243175713A}" id="{A2856286-2A77-4B8E-B8BA-EA2F3D8AA15E}" parentId="{C5EDED71-5D2A-40FF-82CF-00F17780F937}">
    <text>Yes, but we don't know which year that cancer was detected; it only says 0-5 years since randomisation.</text>
  </threadedComment>
  <threadedComment ref="AC918" dT="2023-10-18T12:09:41.88" personId="{E08A2389-F34B-466D-8AA1-6ADBBDF0F7BF}" id="{96A091E5-0014-44D9-B7EE-1A0139242FB0}" parentId="{C5EDED71-5D2A-40FF-82CF-00F17780F937}">
    <text>agreed</text>
  </threadedComment>
  <threadedComment ref="AE918" dT="2023-10-18T12:10:18.42" personId="{E08A2389-F34B-466D-8AA1-6ADBBDF0F7BF}" id="{77EB3523-32E0-471E-B412-F3864885BFFF}" done="1">
    <text xml:space="preserve">agreed
</text>
  </threadedComment>
  <threadedComment ref="AF918" dT="2023-10-18T12:10:39.37" personId="{E08A2389-F34B-466D-8AA1-6ADBBDF0F7BF}" id="{50911EAA-072D-4242-AAA8-1490759D4A18}" done="1">
    <text xml:space="preserve">agreed
</text>
  </threadedComment>
  <threadedComment ref="AC919" dT="2023-08-11T10:59:08.15" personId="{E08A2389-F34B-466D-8AA1-6ADBBDF0F7BF}" id="{0B3DD8AD-1409-4F44-BB6F-A33C394B9F76}" done="1">
    <text xml:space="preserve">We know there 1 cancer with missing stage data from supplemental table 3
</text>
  </threadedComment>
  <threadedComment ref="AC919" dT="2023-08-21T17:26:45.96" personId="{3DE5673D-4837-4FC9-B8B9-34243175713A}" id="{CE36E3B1-6E17-410F-87D5-F781BDBC5358}" parentId="{0B3DD8AD-1409-4F44-BB6F-A33C394B9F76}">
    <text>Yes, but we don't know which year that cancer was detected; it only says 0-5 years since randomisation.</text>
  </threadedComment>
  <threadedComment ref="AC919" dT="2023-10-18T12:09:41.88" personId="{E08A2389-F34B-466D-8AA1-6ADBBDF0F7BF}" id="{43E71938-39E1-42AE-A10D-1813A158FE81}" parentId="{0B3DD8AD-1409-4F44-BB6F-A33C394B9F76}">
    <text>agreed</text>
  </threadedComment>
  <threadedComment ref="AE919" dT="2023-10-18T12:10:18.42" personId="{E08A2389-F34B-466D-8AA1-6ADBBDF0F7BF}" id="{C56690D0-2E6E-4E0D-970C-5C1DD60CB411}" done="1">
    <text xml:space="preserve">agreed
</text>
  </threadedComment>
  <threadedComment ref="AF919" dT="2023-10-18T12:10:39.37" personId="{E08A2389-F34B-466D-8AA1-6ADBBDF0F7BF}" id="{ABD19D12-A65B-40CC-A53D-E8ADD584F471}" done="1">
    <text xml:space="preserve">agreed
</text>
  </threadedComment>
  <threadedComment ref="AC924" dT="2023-10-18T12:11:20.13" personId="{E08A2389-F34B-466D-8AA1-6ADBBDF0F7BF}" id="{FAF470C7-0F41-4C1E-8D98-B19281749E0A}" done="1">
    <text xml:space="preserve">agreed
</text>
  </threadedComment>
  <threadedComment ref="AD924" dT="2023-10-18T12:11:38.30" personId="{E08A2389-F34B-466D-8AA1-6ADBBDF0F7BF}" id="{227B5DF7-6B79-4594-A211-F11078B6E6F0}" done="1">
    <text xml:space="preserve">agreed
</text>
  </threadedComment>
  <threadedComment ref="AC925" dT="2023-10-18T12:11:20.13" personId="{E08A2389-F34B-466D-8AA1-6ADBBDF0F7BF}" id="{7DD60C1F-B65E-4D20-B12F-449076EEBD05}" done="1">
    <text xml:space="preserve">agreed
</text>
  </threadedComment>
  <threadedComment ref="AD925" dT="2023-10-18T12:11:38.30" personId="{E08A2389-F34B-466D-8AA1-6ADBBDF0F7BF}" id="{DCA4BE96-E3AF-4886-AFF4-84DF26CEDA2B}" done="1">
    <text xml:space="preserve">agreed
</text>
  </threadedComment>
  <threadedComment ref="AC926" dT="2023-10-18T12:11:20.13" personId="{E08A2389-F34B-466D-8AA1-6ADBBDF0F7BF}" id="{D17A45B8-28DF-48E4-8B09-132BE5B21268}" done="1">
    <text xml:space="preserve">agreed
</text>
  </threadedComment>
  <threadedComment ref="AD926" dT="2023-10-18T12:11:38.30" personId="{E08A2389-F34B-466D-8AA1-6ADBBDF0F7BF}" id="{890D4309-86D7-4E6C-851D-B6070E71E404}" done="1">
    <text xml:space="preserve">agreed
</text>
  </threadedComment>
  <threadedComment ref="AC927" dT="2023-10-18T12:11:20.13" personId="{E08A2389-F34B-466D-8AA1-6ADBBDF0F7BF}" id="{6BFA41F2-4555-4AEC-AACE-C8587229BAAA}" done="1">
    <text xml:space="preserve">agreed
</text>
  </threadedComment>
  <threadedComment ref="AD927" dT="2023-10-18T12:11:38.30" personId="{E08A2389-F34B-466D-8AA1-6ADBBDF0F7BF}" id="{490461A8-C40D-4E2B-BD9B-454FA7497DF9}" done="1">
    <text xml:space="preserve">agreed
</text>
  </threadedComment>
  <threadedComment ref="AE931" dT="2023-10-18T12:12:07.18" personId="{E08A2389-F34B-466D-8AA1-6ADBBDF0F7BF}" id="{B2CA36C8-8C6A-4452-94C4-D90FB1700474}" done="1">
    <text xml:space="preserve">agreed
</text>
  </threadedComment>
  <threadedComment ref="AF931" dT="2023-10-18T12:12:34.15" personId="{E08A2389-F34B-466D-8AA1-6ADBBDF0F7BF}" id="{073BA49F-DDA4-4D87-996A-28037A8631D4}" done="1">
    <text xml:space="preserve">agreed
</text>
  </threadedComment>
  <threadedComment ref="AE932" dT="2023-10-18T12:12:07.18" personId="{E08A2389-F34B-466D-8AA1-6ADBBDF0F7BF}" id="{B73AD746-B246-42B9-9162-B2D732E6922E}" done="1">
    <text xml:space="preserve">agreed
</text>
  </threadedComment>
  <threadedComment ref="AF932" dT="2023-10-18T12:12:34.15" personId="{E08A2389-F34B-466D-8AA1-6ADBBDF0F7BF}" id="{113382C9-189F-4A8C-811B-FB0AD4D69CFC}" done="1">
    <text xml:space="preserve">agreed
</text>
  </threadedComment>
  <threadedComment ref="AE933" dT="2023-10-18T12:12:07.18" personId="{E08A2389-F34B-466D-8AA1-6ADBBDF0F7BF}" id="{2347DD01-B2EC-428B-93FC-959341DFC387}" done="1">
    <text xml:space="preserve">agreed
</text>
  </threadedComment>
  <threadedComment ref="AF933" dT="2023-10-18T12:12:34.15" personId="{E08A2389-F34B-466D-8AA1-6ADBBDF0F7BF}" id="{89F0ADBC-A930-46AF-AC43-60AC31F7D80D}" done="1">
    <text xml:space="preserve">agreed
</text>
  </threadedComment>
  <threadedComment ref="AE934" dT="2023-10-18T12:12:07.18" personId="{E08A2389-F34B-466D-8AA1-6ADBBDF0F7BF}" id="{B7F44FD5-1F34-4EAF-952D-5DA4E5050F03}" done="1">
    <text xml:space="preserve">agreed
</text>
  </threadedComment>
  <threadedComment ref="AF934" dT="2023-10-18T12:12:34.15" personId="{E08A2389-F34B-466D-8AA1-6ADBBDF0F7BF}" id="{3A550D62-C22E-4733-9D0D-2C8DD4C396BA}" done="1">
    <text xml:space="preserve">agreed
</text>
  </threadedComment>
  <threadedComment ref="AC939" dT="2023-10-18T12:13:21.31" personId="{E08A2389-F34B-466D-8AA1-6ADBBDF0F7BF}" id="{5818C147-6FCE-4E52-A7F0-23B5C882E15C}" done="1">
    <text xml:space="preserve">agreed
</text>
  </threadedComment>
  <threadedComment ref="AD939" dT="2023-10-18T12:13:37.23" personId="{E08A2389-F34B-466D-8AA1-6ADBBDF0F7BF}" id="{8AAD8448-417F-4FCE-AE8E-1B97B3EE8047}" done="1">
    <text xml:space="preserve">agreed
</text>
  </threadedComment>
  <threadedComment ref="AC940" dT="2023-10-18T12:13:21.31" personId="{E08A2389-F34B-466D-8AA1-6ADBBDF0F7BF}" id="{1A4CE527-353E-4066-8451-7200842F708D}" done="1">
    <text xml:space="preserve">agreed
</text>
  </threadedComment>
  <threadedComment ref="AD940" dT="2023-10-18T12:13:37.23" personId="{E08A2389-F34B-466D-8AA1-6ADBBDF0F7BF}" id="{378BBC96-F2CE-4FDA-B67F-F1565423FBE0}" done="1">
    <text xml:space="preserve">agreed
</text>
  </threadedComment>
  <threadedComment ref="AC941" dT="2023-10-18T12:13:21.31" personId="{E08A2389-F34B-466D-8AA1-6ADBBDF0F7BF}" id="{DBC7D95F-0B63-4A51-A124-967276068C5F}" done="1">
    <text xml:space="preserve">agreed
</text>
  </threadedComment>
  <threadedComment ref="AD941" dT="2023-10-18T12:13:37.23" personId="{E08A2389-F34B-466D-8AA1-6ADBBDF0F7BF}" id="{0A1B86BA-D002-4E5D-98E5-BD9E0A9A4AF1}" done="1">
    <text xml:space="preserve">agreed
</text>
  </threadedComment>
  <threadedComment ref="AC942" dT="2023-10-18T12:13:21.31" personId="{E08A2389-F34B-466D-8AA1-6ADBBDF0F7BF}" id="{7E7A34F6-D218-4AB8-9C56-73421F74BEF2}" done="1">
    <text xml:space="preserve">agreed
</text>
  </threadedComment>
  <threadedComment ref="AD942" dT="2023-10-18T12:13:37.23" personId="{E08A2389-F34B-466D-8AA1-6ADBBDF0F7BF}" id="{961C46AB-9ABE-43B5-B123-1A3BA4CBCA0E}" done="1">
    <text xml:space="preserve">agreed
</text>
  </threadedComment>
  <threadedComment ref="AE946" dT="2023-10-18T12:14:03.99" personId="{E08A2389-F34B-466D-8AA1-6ADBBDF0F7BF}" id="{581CD356-522E-4D4B-A438-AF77EE64AE01}" done="1">
    <text xml:space="preserve">agreed
</text>
  </threadedComment>
  <threadedComment ref="AF946" dT="2023-10-18T12:14:10.26" personId="{E08A2389-F34B-466D-8AA1-6ADBBDF0F7BF}" id="{D0D71FC7-5D9E-4231-AFD0-8751C1D16F35}" done="1">
    <text xml:space="preserve">agreed
</text>
  </threadedComment>
  <threadedComment ref="AE947" dT="2023-10-18T12:14:03.99" personId="{E08A2389-F34B-466D-8AA1-6ADBBDF0F7BF}" id="{18B37DC3-8421-407D-9C55-F3056EE7C4BA}" done="1">
    <text xml:space="preserve">agreed
</text>
  </threadedComment>
  <threadedComment ref="AF947" dT="2023-10-18T12:14:10.26" personId="{E08A2389-F34B-466D-8AA1-6ADBBDF0F7BF}" id="{4B4A6244-9D4E-411E-BE5A-51F2391CA8EC}" done="1">
    <text xml:space="preserve">agreed
</text>
  </threadedComment>
  <threadedComment ref="AE948" dT="2023-10-18T12:14:03.99" personId="{E08A2389-F34B-466D-8AA1-6ADBBDF0F7BF}" id="{85F0629C-E4FC-4AD1-8B74-72208E07956D}" done="1">
    <text xml:space="preserve">agreed
</text>
  </threadedComment>
  <threadedComment ref="AF948" dT="2023-10-18T12:14:10.26" personId="{E08A2389-F34B-466D-8AA1-6ADBBDF0F7BF}" id="{A76073BB-1C39-4BDF-956B-A7A4C4FEC9F7}" done="1">
    <text xml:space="preserve">agreed
</text>
  </threadedComment>
  <threadedComment ref="AE949" dT="2023-10-18T12:14:03.99" personId="{E08A2389-F34B-466D-8AA1-6ADBBDF0F7BF}" id="{98374CAF-F936-4C60-A3AC-31DC1BBA4A14}" done="1">
    <text xml:space="preserve">agreed
</text>
  </threadedComment>
  <threadedComment ref="AF949" dT="2023-10-18T12:14:10.26" personId="{E08A2389-F34B-466D-8AA1-6ADBBDF0F7BF}" id="{E8870312-44D0-4E7F-95C1-3DD39BC93ED0}" done="1">
    <text xml:space="preserve">agreed
</text>
  </threadedComment>
  <threadedComment ref="AC957" dT="2023-10-18T12:14:55.23" personId="{E08A2389-F34B-466D-8AA1-6ADBBDF0F7BF}" id="{057724EB-A84C-4BE1-ACE7-BF0DB83F12FD}" done="1">
    <text xml:space="preserve">agreed
</text>
  </threadedComment>
  <threadedComment ref="AD957" dT="2023-10-18T12:15:14.23" personId="{E08A2389-F34B-466D-8AA1-6ADBBDF0F7BF}" id="{65FB387C-DEC1-4670-AEE9-EFB579AF284E}" done="1">
    <text xml:space="preserve">agreed
</text>
  </threadedComment>
  <threadedComment ref="AC958" dT="2023-10-18T12:14:55.23" personId="{E08A2389-F34B-466D-8AA1-6ADBBDF0F7BF}" id="{B2D24FDB-261E-4A10-9422-D7DCD646A2BE}" done="1">
    <text xml:space="preserve">agreed
</text>
  </threadedComment>
  <threadedComment ref="AD958" dT="2023-10-18T12:15:14.23" personId="{E08A2389-F34B-466D-8AA1-6ADBBDF0F7BF}" id="{B53596D1-E106-4466-BB2B-56166C7C5681}" done="1">
    <text xml:space="preserve">agreed
</text>
  </threadedComment>
  <threadedComment ref="AC959" dT="2023-10-18T12:14:55.23" personId="{E08A2389-F34B-466D-8AA1-6ADBBDF0F7BF}" id="{020822D6-11CF-4A5A-B363-C5904A24C925}" done="1">
    <text xml:space="preserve">agreed
</text>
  </threadedComment>
  <threadedComment ref="AD959" dT="2023-10-18T12:15:14.23" personId="{E08A2389-F34B-466D-8AA1-6ADBBDF0F7BF}" id="{3812FE5C-66D9-4D1E-ADCD-330C9092D798}" done="1">
    <text xml:space="preserve">agreed
</text>
  </threadedComment>
  <threadedComment ref="AC960" dT="2023-10-18T12:14:55.23" personId="{E08A2389-F34B-466D-8AA1-6ADBBDF0F7BF}" id="{7B32D2D1-4E89-4281-83DF-099D4FC8FF28}" done="1">
    <text xml:space="preserve">agreed
</text>
  </threadedComment>
  <threadedComment ref="AD960" dT="2023-10-18T12:15:14.23" personId="{E08A2389-F34B-466D-8AA1-6ADBBDF0F7BF}" id="{EB7BF91B-891F-4F51-96F0-8332B687A071}" done="1">
    <text xml:space="preserve">agreed
</text>
  </threadedComment>
  <threadedComment ref="AI968" dT="2023-08-12T06:50:39.43" personId="{E08A2389-F34B-466D-8AA1-6ADBBDF0F7BF}" id="{C980462C-DA5D-4A4D-B1AF-F6EDF9E7D135}" done="1">
    <text xml:space="preserve">Is 63 from supplemental table 2?
Using the data from Table 2 of the main papers, I make this 69.
T1 = 25
T2 = 11
T3 = 12
T4 = 10
T5 = 11
</text>
  </threadedComment>
  <threadedComment ref="AI968" dT="2023-08-21T18:50:42.24" personId="{3DE5673D-4837-4FC9-B8B9-34243175713A}" id="{1005F0A0-8878-48C6-828A-564177F2A379}" parentId="{C980462C-DA5D-4A4D-B1AF-F6EDF9E7D135}">
    <text>Not sure now. Think I might have calculated it from Table 2 subtracting the 6 interval cancers from the reported 69 cancers. That would also fit with the reported sensitivity of 91.3%. I am confused now as Supplemental Table III only reports 63 lung cancers 0-5 years after randomisation. If we use the number of malignant biopsies from Table 2, I am getting 67 screen-detected cancers… Which number to use??? Or leave out as we don't know the number???</text>
  </threadedComment>
  <threadedComment ref="AI968" dT="2023-10-18T12:25:54.88" personId="{E08A2389-F34B-466D-8AA1-6ADBBDF0F7BF}" id="{154D8EA9-32B4-41D0-B82B-326172C937B2}" parentId="{C980462C-DA5D-4A4D-B1AF-F6EDF9E7D135}">
    <text>I understand. The interval cancers are not in addition to the confirmed cancers, they are part of that number. Ie
At T1, there were 25 confirmed lung cancers, of which 1 was an interval cancer.
At T2, there were 11 confirmed cancers, of which 0 were intervals.
I agree with your numbers here.</text>
  </threadedComment>
  <threadedComment ref="AO968" dT="2023-08-12T06:52:04.62" personId="{E08A2389-F34B-466D-8AA1-6ADBBDF0F7BF}" id="{D43A3462-CB07-4B83-A756-BD478FAC7AC5}" done="1">
    <text>3.4 (if the numerator is 69)</text>
  </threadedComment>
  <threadedComment ref="AO968" dT="2023-10-18T12:26:48.59" personId="{E08A2389-F34B-466D-8AA1-6ADBBDF0F7BF}" id="{65F57338-44E1-4080-BA27-96E9890DC353}" parentId="{D43A3462-CB07-4B83-A756-BD478FAC7AC5}">
    <text>I agree with you</text>
  </threadedComment>
  <threadedComment ref="AI969" dT="2023-08-12T06:50:39.43" personId="{E08A2389-F34B-466D-8AA1-6ADBBDF0F7BF}" id="{222AB6F5-63AF-4F07-A988-29212393C64A}" done="1">
    <text xml:space="preserve">Is 63 from supplemental table 2?
Using the data from Table 2 of the main papers, I make this 69.
T1 = 25
T2 = 11
T3 = 12
T4 = 10
T5 = 11
</text>
  </threadedComment>
  <threadedComment ref="AI969" dT="2023-08-21T18:50:42.24" personId="{3DE5673D-4837-4FC9-B8B9-34243175713A}" id="{B0186333-69F3-4F47-834B-9AADA0D26D80}" parentId="{222AB6F5-63AF-4F07-A988-29212393C64A}">
    <text>Not sure now. Think I might have calculated it from Table 2 subtracting the 6 interval cancers from the reported 69 cancers. That would also fit with the reported sensitivity of 91.3%. I am confused now as Supplemental Table III only reports 63 lung cancers 0-5 years after randomisation. If we use the number of malignant biopsies from Table 2, I am getting 67 screen-detected cancers… Which number to use??? Or leave out as we don't know the number???</text>
  </threadedComment>
  <threadedComment ref="AI969" dT="2023-10-18T12:25:54.88" personId="{E08A2389-F34B-466D-8AA1-6ADBBDF0F7BF}" id="{24240387-1548-46F5-AA0F-D17EF649C9E8}" parentId="{222AB6F5-63AF-4F07-A988-29212393C64A}">
    <text>I understand. The interval cancers are not in addition to the confirmed cancers, they are part of that number. Ie
At T1, there were 25 confirmed lung cancers, of which 1 was an interval cancer.
At T2, there were 11 confirmed cancers, of which 0 were intervals.
I agree with your numbers here.</text>
  </threadedComment>
  <threadedComment ref="AO969" dT="2023-08-12T07:03:00.68" personId="{E08A2389-F34B-466D-8AA1-6ADBBDF0F7BF}" id="{455A667A-AA68-4777-A770-03CE411F2CA9}" done="1">
    <text>Or 81, if the numerator is 69.</text>
  </threadedComment>
  <threadedComment ref="AO969" dT="2023-10-18T12:26:55.48" personId="{E08A2389-F34B-466D-8AA1-6ADBBDF0F7BF}" id="{FBEE6407-58BB-4B8C-A008-008AF29781F1}" parentId="{455A667A-AA68-4777-A770-03CE411F2CA9}">
    <text xml:space="preserve">I agree with you
</text>
  </threadedComment>
  <threadedComment ref="AI970" dT="2023-08-12T06:50:39.43" personId="{E08A2389-F34B-466D-8AA1-6ADBBDF0F7BF}" id="{58DB2777-FB81-4682-ABAC-4EDBA1966F01}" done="1">
    <text xml:space="preserve">Is 63 from supplemental table 2?
Using the data from Table 2 of the main papers, I make this 69.
T1 = 25
T2 = 11
T3 = 12
T4 = 10
T5 = 11
</text>
  </threadedComment>
  <threadedComment ref="AI970" dT="2023-08-21T18:50:42.24" personId="{3DE5673D-4837-4FC9-B8B9-34243175713A}" id="{BC65DA75-C374-4C6A-B32C-0CCEEF43357D}" parentId="{58DB2777-FB81-4682-ABAC-4EDBA1966F01}">
    <text>Not sure now. Think I might have calculated it from Table 2 subtracting the 6 interval cancers from the reported 69 cancers. That would also fit with the reported sensitivity of 91.3%. I am confused now as Supplemental Table III only reports 63 lung cancers 0-5 years after randomisation. If we use the number of malignant biopsies from Table 2, I am getting 67 screen-detected cancers… Which number to use??? Or leave out as we don't know the number???</text>
  </threadedComment>
  <threadedComment ref="AI970" dT="2023-10-18T12:25:54.88" personId="{E08A2389-F34B-466D-8AA1-6ADBBDF0F7BF}" id="{F6F9E032-4E7B-4F3A-84BE-A8A15A781A00}" parentId="{58DB2777-FB81-4682-ABAC-4EDBA1966F01}">
    <text>I understand. The interval cancers are not in addition to the confirmed cancers, they are part of that number. Ie
At T1, there were 25 confirmed lung cancers, of which 1 was an interval cancer.
At T2, there were 11 confirmed cancers, of which 0 were intervals.
I agree with your numbers here.</text>
  </threadedComment>
  <threadedComment ref="AI971" dT="2023-08-12T06:50:39.43" personId="{E08A2389-F34B-466D-8AA1-6ADBBDF0F7BF}" id="{8571122E-4D2A-4DF5-BF27-C7725BFD79FF}" done="1">
    <text xml:space="preserve">Is 63 from supplemental table 2?
Using the data from Table 2 of the main papers, I make this 69.
T1 = 25
T2 = 11
T3 = 12
T4 = 10
T5 = 11
</text>
  </threadedComment>
  <threadedComment ref="AI971" dT="2023-08-21T18:50:42.24" personId="{3DE5673D-4837-4FC9-B8B9-34243175713A}" id="{BD85B8A7-CBC5-4E49-8446-38BA907E3165}" parentId="{8571122E-4D2A-4DF5-BF27-C7725BFD79FF}">
    <text>Not sure now. Think I might have calculated it from Table 2 subtracting the 6 interval cancers from the reported 69 cancers. That would also fit with the reported sensitivity of 91.3%. I am confused now as Supplemental Table III only reports 63 lung cancers 0-5 years after randomisation. If we use the number of malignant biopsies from Table 2, I am getting 67 screen-detected cancers… Which number to use??? Or leave out as we don't know the number???</text>
  </threadedComment>
  <threadedComment ref="AI971" dT="2023-10-18T12:25:54.88" personId="{E08A2389-F34B-466D-8AA1-6ADBBDF0F7BF}" id="{8898B334-851C-4C5D-8F40-F7FB95E409A2}" parentId="{8571122E-4D2A-4DF5-BF27-C7725BFD79FF}">
    <text>I understand. The interval cancers are not in addition to the confirmed cancers, they are part of that number. Ie
At T1, there were 25 confirmed lung cancers, of which 1 was an interval cancer.
At T2, there were 11 confirmed cancers, of which 0 were intervals.
I agree with your numbers here.</text>
  </threadedComment>
  <threadedComment ref="J973" dT="2023-08-24T10:57:23.25" personId="{3DE5673D-4837-4FC9-B8B9-34243175713A}" id="{56F7E570-6E19-45FD-9FAF-25ABD7C21D06}" done="1">
    <text>TNM stage for me would be if they report stage as T1N0M0 for example. You can then convert this TNM stage into a numerical stage; this is what we have here.</text>
  </threadedComment>
  <threadedComment ref="J973" dT="2023-09-25T17:04:54.25" personId="{C2B41D37-E765-46A9-9A6C-43C631A30BF3}" id="{A8F69F7A-C84E-4A7B-A19A-365E7C81C70A}" parentId="{56F7E570-6E19-45FD-9FAF-25ABD7C21D06}">
    <text>Ok, I looked up IUCC clinical staging and it referred me to TNM staging.</text>
  </threadedComment>
  <threadedComment ref="U973" dT="2023-05-16T14:05:59.74" personId="{C2B41D37-E765-46A9-9A6C-43C631A30BF3}" id="{F09D7E8E-54D3-4422-B7FC-7CF0BFE6E69E}" done="1">
    <text>Alternating mammography+clinical assessment and clinical assessment only</text>
  </threadedComment>
  <threadedComment ref="Y973" dT="2023-05-16T14:06:52.43" personId="{C2B41D37-E765-46A9-9A6C-43C631A30BF3}" id="{CFB2AE14-9383-4351-B741-A5BE4F01D375}" done="1">
    <text>With caveat that there is uncertainty what this includes see paper level info</text>
  </threadedComment>
  <threadedComment ref="Z973" dT="2023-05-16T14:06:59.56" personId="{C2B41D37-E765-46A9-9A6C-43C631A30BF3}" id="{2D086F86-AA6E-44BD-9D0D-44D652ED2569}" done="1">
    <text>With caveat that there is uncertainty what this includes see paper level info</text>
  </threadedComment>
  <threadedComment ref="AK974" dT="2023-05-16T14:14:05.16" personId="{C2B41D37-E765-46A9-9A6C-43C631A30BF3}" id="{22146453-7845-48E4-8D90-F6BA2691DFB1}" done="1">
    <text>Requires assumption that person years and cancers after 7 years, not clearly reported</text>
  </threadedComment>
  <threadedComment ref="AK974" dT="2023-08-22T16:01:22.22" personId="{3DE5673D-4837-4FC9-B8B9-34243175713A}" id="{394DBB6F-D1FC-41BA-84AC-058A9A84AF6F}" parentId="{22146453-7845-48E4-8D90-F6BA2691DFB1}">
    <text>That's okay. I had this in other trials as well.</text>
  </threadedComment>
  <threadedComment ref="AL974" dT="2023-05-16T14:14:05.16" personId="{C2B41D37-E765-46A9-9A6C-43C631A30BF3}" id="{0A69B9B8-040B-4BC0-98EA-4CB55B518ADB}" done="1">
    <text>Requires assumption that person years and cancers after 7 years, not clearly reported</text>
  </threadedComment>
  <threadedComment ref="AL974" dT="2023-08-22T16:01:22.22" personId="{3DE5673D-4837-4FC9-B8B9-34243175713A}" id="{E8CFA6E2-969C-47E5-AD0F-D4F774A81DCD}" parentId="{0A69B9B8-040B-4BC0-98EA-4CB55B518ADB}">
    <text>That's okay. I had this in other trials as well.</text>
  </threadedComment>
  <threadedComment ref="A985" dT="2023-08-22T16:24:43.04" personId="{3DE5673D-4837-4FC9-B8B9-34243175713A}" id="{DB05A715-72EC-4B5E-96DB-784A7FF6724B}" done="1">
    <text>I added this row. Please check!</text>
  </threadedComment>
  <threadedComment ref="A986" dT="2023-08-22T16:24:43.04" personId="{3DE5673D-4837-4FC9-B8B9-34243175713A}" id="{DBAF9B37-BF72-41F4-AFD6-AE35BFCA12E3}" done="1">
    <text>I added this row. Please check!</text>
  </threadedComment>
  <threadedComment ref="A987" dT="2023-08-22T16:24:43.04" personId="{3DE5673D-4837-4FC9-B8B9-34243175713A}" id="{25F249AD-9310-4AE7-803D-1B265F8401F7}" done="1">
    <text>I added this row. Please check!</text>
  </threadedComment>
  <threadedComment ref="AI988" dT="2023-08-22T15:52:14.89" personId="{3DE5673D-4837-4FC9-B8B9-34243175713A}" id="{83F49335-98DA-4737-8693-3319E8B1D0DF}">
    <text>2 phyllodes tumours of the breast omitted.</text>
  </threadedComment>
  <threadedComment ref="AI989" dT="2023-08-22T15:52:14.89" personId="{3DE5673D-4837-4FC9-B8B9-34243175713A}" id="{A43A66A6-CBE9-42F8-B167-4EDEE4E92B1E}">
    <text>2 phyllodes tumours of the breast omitted.</text>
  </threadedComment>
  <threadedComment ref="AR1005" dT="2023-08-23T14:06:14.14" personId="{3DE5673D-4837-4FC9-B8B9-34243175713A}" id="{218418FC-06BB-4CB2-8571-F30EA39B1D73}">
    <text>Please check numbers. Not the same % as reported in text.</text>
  </threadedComment>
  <threadedComment ref="AN1006" dT="2023-09-28T10:59:10.04" personId="{3DE5673D-4837-4FC9-B8B9-34243175713A}" id="{5732FD27-4A22-4962-9CC7-E6A617C8BC29}">
    <text>Think it's a type in the paper and should say 18.7 as % don't add up to 100% in table 1.</text>
  </threadedComment>
  <threadedComment ref="AC1010" dT="2023-10-25T16:39:52.56" personId="{C2B41D37-E765-46A9-9A6C-43C631A30BF3}" id="{51E06113-8555-45E6-AA43-CE2F7A30848D}" done="1">
    <text>+1, so 100?? One more unknown occult cancer in non-attenders pT1 table 1. However, row totals for unknowns only add up for screen detected - an issue???</text>
  </threadedComment>
  <threadedComment ref="AC1010" dT="2023-10-27T13:08:40.01" personId="{3DE5673D-4837-4FC9-B8B9-34243175713A}" id="{D20829E6-F695-4DF1-9094-0256EC58BEF7}" parentId="{51E06113-8555-45E6-AA43-CE2F7A30848D}">
    <text>You are right. Think the numbers don't add up to the totals as there were an additional 9 cases in each group with clinical diagnosis only and another 7 cases in the control group where stage was unknown.</text>
  </threadedComment>
  <threadedComment ref="AJ1020" dT="2023-08-31T16:25:41.62" personId="{3DE5673D-4837-4FC9-B8B9-34243175713A}" id="{581B4420-DB51-44DD-985F-F0B6C6122C0D}" done="1">
    <text>Miller 2000 reports 267 and 148 screen-detected cancers, respectively.</text>
  </threadedComment>
  <threadedComment ref="AJ1020" dT="2023-12-20T08:34:20.40" personId="{E08A2389-F34B-466D-8AA1-6ADBBDF0F7BF}" id="{8637B4D5-83B4-46CB-90C9-A0F4CB93E4A0}" parentId="{581B4420-DB51-44DD-985F-F0B6C6122C0D}">
    <text>Table 7 of #4473 states one additional screen detected cancer (through physical exam) in year one.</text>
  </threadedComment>
  <threadedComment ref="AJ1020" dT="2023-12-20T08:34:51.40" personId="{E08A2389-F34B-466D-8AA1-6ADBBDF0F7BF}" id="{5FDD79CF-1EB4-4941-8B81-37B84FFFFABF}" parentId="{581B4420-DB51-44DD-985F-F0B6C6122C0D}">
    <text>I can't see anything that explains the discrepancy.</text>
  </threadedComment>
  <threadedComment ref="AC1034" dT="2023-12-20T09:00:46.55" personId="{E08A2389-F34B-466D-8AA1-6ADBBDF0F7BF}" id="{200308D4-B3E8-49DB-A61D-4C7A109EB132}" done="1">
    <text>I couldn't find this info</text>
  </threadedComment>
  <threadedComment ref="AC1034" dT="2024-01-17T10:27:02.09" personId="{3DE5673D-4837-4FC9-B8B9-34243175713A}" id="{EC824363-A83B-4822-8C88-6845551CCE7D}" parentId="{200308D4-B3E8-49DB-A61D-4C7A109EB132}">
    <text>Sorry, I have clarified it using a formular in Excel.
There are 156 cancers &lt;20mm plus 119 cancers &gt;=20 mm, equalling 275 with nodule size.
In total, there have been 331 cancers detected (Table 7).
331-275=56</text>
  </threadedComment>
  <threadedComment ref="AC1034" dT="2024-01-19T11:05:26.06" personId="{E08A2389-F34B-466D-8AA1-6ADBBDF0F7BF}" id="{1993986A-5CA4-438A-B6E6-9918E7D14307}" parentId="{200308D4-B3E8-49DB-A61D-4C7A109EB132}">
    <text>Got it. Agreed.</text>
  </threadedComment>
  <threadedComment ref="AE1034" dT="2023-12-20T09:00:46.55" personId="{E08A2389-F34B-466D-8AA1-6ADBBDF0F7BF}" id="{6810B681-96A7-4A9C-847C-BD32289B04AA}" done="1">
    <text>I couldn't find this info</text>
  </threadedComment>
  <threadedComment ref="AE1034" dT="2024-01-17T10:27:02.09" personId="{3DE5673D-4837-4FC9-B8B9-34243175713A}" id="{53ECBFAE-EA07-432D-B5D9-A14CE0AB89EA}" parentId="{6810B681-96A7-4A9C-847C-BD32289B04AA}">
    <text>Sorry, I have clarified it using a formular in Excel.
There are 116 cancers &lt;20mm plus 101 cancers &gt;=20 mm, equalling 217with nodule size.
In total, there have been 272 cancers detected (from Table 7).
272-217=55</text>
  </threadedComment>
  <threadedComment ref="AE1034" dT="2024-01-19T11:06:08.92" personId="{E08A2389-F34B-466D-8AA1-6ADBBDF0F7BF}" id="{0C318146-B509-4B6E-901C-477CEFBC2CB9}" parentId="{6810B681-96A7-4A9C-847C-BD32289B04AA}">
    <text xml:space="preserve">Got it. Agreed.
</text>
  </threadedComment>
  <threadedComment ref="AC1035" dT="2023-12-20T09:00:46.55" personId="{E08A2389-F34B-466D-8AA1-6ADBBDF0F7BF}" id="{023EFEC6-686B-485A-AADA-41DF01ECD12E}" done="1">
    <text>I couldn't find this info</text>
  </threadedComment>
  <threadedComment ref="AC1035" dT="2024-01-17T10:27:02.09" personId="{3DE5673D-4837-4FC9-B8B9-34243175713A}" id="{49EBDB08-3F13-4C78-9453-2DE85D6BA916}" parentId="{023EFEC6-686B-485A-AADA-41DF01ECD12E}">
    <text>Sorry, I have clarified it using a formular in Excel.
It's 156 cancers &lt;20mm plus 119 cancers &gt;=20 mm, equals 275 with nodule size.
In total, there have been 331 cancers detected.
331-275=56</text>
  </threadedComment>
  <threadedComment ref="AC1035" dT="2024-01-19T11:05:30.07" personId="{E08A2389-F34B-466D-8AA1-6ADBBDF0F7BF}" id="{F24C36E9-7D77-4F80-940A-268EDE7712D8}" parentId="{023EFEC6-686B-485A-AADA-41DF01ECD12E}">
    <text xml:space="preserve">Got it. Agreed.
</text>
  </threadedComment>
  <threadedComment ref="AE1035" dT="2023-12-20T09:00:46.55" personId="{E08A2389-F34B-466D-8AA1-6ADBBDF0F7BF}" id="{26E9844C-4305-4816-AE85-25ADC97C2230}" done="1">
    <text>I couldn't find this info</text>
  </threadedComment>
  <threadedComment ref="AE1035" dT="2024-01-17T10:27:02.09" personId="{3DE5673D-4837-4FC9-B8B9-34243175713A}" id="{AEC693F1-C050-458E-B3CE-FB7487FA8405}" parentId="{26E9844C-4305-4816-AE85-25ADC97C2230}">
    <text>Sorry, I have clarified it using a formular in Excel.
There are 116 cancers &lt;20mm plus 101 cancers &gt;=20 mm, equalling 217with nodule size.
In total, there have been 272 cancers detected (from Table 7).
272-217=55</text>
  </threadedComment>
  <threadedComment ref="AE1035" dT="2024-01-19T11:06:12.79" personId="{E08A2389-F34B-466D-8AA1-6ADBBDF0F7BF}" id="{5848F1A3-4ADF-463F-A327-F43AE1BB7F47}" parentId="{26E9844C-4305-4816-AE85-25ADC97C2230}">
    <text xml:space="preserve">Got it. Agreed.
</text>
  </threadedComment>
  <threadedComment ref="D1059" dT="2023-09-02T14:53:29.28" personId="{3DE5673D-4837-4FC9-B8B9-34243175713A}" id="{051F601C-4F2C-4B2F-9426-A227D50E8701}" done="1">
    <text>Numbers slightly different to Miller 1992; therefore extracted again.</text>
  </threadedComment>
  <threadedComment ref="D1059" dT="2023-12-20T11:50:29.09" personId="{E08A2389-F34B-466D-8AA1-6ADBBDF0F7BF}" id="{6E2D2CAB-B125-4709-80E2-3E88CDEEF976}" parentId="{051F601C-4F2C-4B2F-9426-A227D50E8701}">
    <text>okay</text>
  </threadedComment>
  <threadedComment ref="AL1082" dT="2023-09-05T08:07:22.72" personId="{3DE5673D-4837-4FC9-B8B9-34243175713A}" id="{19602A59-340F-40B7-AD17-84462C720C39}" done="1">
    <text>This is the number randomised by arm. Number analysed is not reported, but we could use the numbers from one of the other papers?</text>
  </threadedComment>
  <threadedComment ref="AL1082" dT="2023-12-20T12:23:48.51" personId="{E08A2389-F34B-466D-8AA1-6ADBBDF0F7BF}" id="{623B9C76-D0E4-4941-B66C-49447ABAEB5B}" parentId="{19602A59-340F-40B7-AD17-84462C720C39}">
    <text>But isn't it number randomised that we want? 'cos ITT is less biased.</text>
  </threadedComment>
  <threadedComment ref="AL1083" dT="2023-09-05T08:07:22.72" personId="{3DE5673D-4837-4FC9-B8B9-34243175713A}" id="{B806D2A7-A9E8-41A1-AFCD-95E2C4607A59}" done="1">
    <text>This is the number randomised by arm. Number analysed is not reported, but we could use the numbers from one of the other papers?</text>
  </threadedComment>
  <threadedComment ref="AL1083" dT="2023-12-20T12:23:48.51" personId="{E08A2389-F34B-466D-8AA1-6ADBBDF0F7BF}" id="{3F144AB1-90BB-49F6-B5D2-AA2447FA5A64}" parentId="{B806D2A7-A9E8-41A1-AFCD-95E2C4607A59}">
    <text>But isn't it number randomised that we want? 'cos ITT is less biased.</text>
  </threadedComment>
  <threadedComment ref="AL1084" dT="2023-09-05T08:07:22.72" personId="{3DE5673D-4837-4FC9-B8B9-34243175713A}" id="{E18ECFAD-A92A-4BC0-A045-92F795E00DA9}" done="1">
    <text>This is the number randomised by arm. Number analysed is not reported, but we could use the numbers from one of the other papers?</text>
  </threadedComment>
  <threadedComment ref="AL1084" dT="2023-12-20T12:23:48.51" personId="{E08A2389-F34B-466D-8AA1-6ADBBDF0F7BF}" id="{ED021268-301C-4BC7-817F-1DD59B00C088}" parentId="{E18ECFAD-A92A-4BC0-A045-92F795E00DA9}">
    <text>But isn't it number randomised that we want? 'cos ITT is less biased.</text>
  </threadedComment>
  <threadedComment ref="AL1086" dT="2023-09-05T08:07:22.72" personId="{3DE5673D-4837-4FC9-B8B9-34243175713A}" id="{B9372440-7432-4C95-8639-C9CFC2053034}" done="1">
    <text>This is the number randomised by arm. Number analysed is not reported, but we could use the numbers from one of the other papers?</text>
  </threadedComment>
  <threadedComment ref="AL1086" dT="2023-12-20T12:31:56.11" personId="{E08A2389-F34B-466D-8AA1-6ADBBDF0F7BF}" id="{2D370307-0E9B-4083-9F35-9899A594F0CA}" parentId="{B9372440-7432-4C95-8639-C9CFC2053034}">
    <text xml:space="preserve">But isn't it number randomised that we want? 'cos ITT is less biased.
</text>
  </threadedComment>
  <threadedComment ref="AL1087" dT="2023-09-05T08:07:22.72" personId="{3DE5673D-4837-4FC9-B8B9-34243175713A}" id="{868ABF76-8D07-4934-BD73-56A267D24C02}" done="1">
    <text>This is the number randomised by arm. Number analysed is not reported, but we could use the numbers from one of the other papers?</text>
  </threadedComment>
  <threadedComment ref="AL1087" dT="2023-12-20T12:31:56.11" personId="{E08A2389-F34B-466D-8AA1-6ADBBDF0F7BF}" id="{81E7BBB6-0E9B-416C-95B7-75FD33D821CD}" parentId="{868ABF76-8D07-4934-BD73-56A267D24C02}">
    <text xml:space="preserve">But isn't it number randomised that we want? 'cos ITT is less biased.
</text>
  </threadedComment>
  <threadedComment ref="AL1088" dT="2023-09-05T08:07:22.72" personId="{3DE5673D-4837-4FC9-B8B9-34243175713A}" id="{42F4234E-C31E-46E9-8BC7-D33A44043252}" done="1">
    <text>This is the number randomised by arm. Number analysed is not reported, but we could use the numbers from one of the other papers?</text>
  </threadedComment>
  <threadedComment ref="AL1088" dT="2023-12-20T12:31:56.11" personId="{E08A2389-F34B-466D-8AA1-6ADBBDF0F7BF}" id="{4D19F847-EE0A-4A5E-9CC6-5C3182793B19}" parentId="{42F4234E-C31E-46E9-8BC7-D33A44043252}">
    <text xml:space="preserve">But isn't it number randomised that we want? 'cos ITT is less biased.
</text>
  </threadedComment>
  <threadedComment ref="AL1090" dT="2023-09-05T08:07:22.72" personId="{3DE5673D-4837-4FC9-B8B9-34243175713A}" id="{921F3917-BF09-4CB0-9AE6-C08B95ED1A8E}" done="1">
    <text>This is the number randomised by arm. Number analysed is not reported, but we could use the numbers from one of the other papers?</text>
  </threadedComment>
  <threadedComment ref="AL1090" dT="2023-12-20T12:33:08.90" personId="{E08A2389-F34B-466D-8AA1-6ADBBDF0F7BF}" id="{141D753F-4CEA-4557-B4B0-6F3A5BE4D37B}" parentId="{921F3917-BF09-4CB0-9AE6-C08B95ED1A8E}">
    <text xml:space="preserve">But isn't it number randomised that we want? 'cos ITT is less biased.
</text>
  </threadedComment>
  <threadedComment ref="AL1091" dT="2023-09-05T08:07:22.72" personId="{3DE5673D-4837-4FC9-B8B9-34243175713A}" id="{0C87CE83-FBE6-4FCD-82BD-B3E41E8589EC}" done="1">
    <text>This is the number randomised by arm. Number analysed is not reported, but we could use the numbers from one of the other papers?</text>
  </threadedComment>
  <threadedComment ref="AL1091" dT="2023-12-20T12:33:08.90" personId="{E08A2389-F34B-466D-8AA1-6ADBBDF0F7BF}" id="{7BC97118-3C40-4166-B11A-5A006924A4F0}" parentId="{0C87CE83-FBE6-4FCD-82BD-B3E41E8589EC}">
    <text xml:space="preserve">But isn't it number randomised that we want? 'cos ITT is less biased.
</text>
  </threadedComment>
  <threadedComment ref="AL1092" dT="2023-09-05T08:07:22.72" personId="{3DE5673D-4837-4FC9-B8B9-34243175713A}" id="{94985D09-8ECC-40C0-BF32-E5DC97722374}" done="1">
    <text>This is the number randomised by arm. Number analysed is not reported, but we could use the numbers from one of the other papers?</text>
  </threadedComment>
  <threadedComment ref="AL1092" dT="2023-12-20T12:33:08.90" personId="{E08A2389-F34B-466D-8AA1-6ADBBDF0F7BF}" id="{5EABE008-AF60-4168-A33E-918946A7E199}" parentId="{94985D09-8ECC-40C0-BF32-E5DC97722374}">
    <text xml:space="preserve">But isn't it number randomised that we want? 'cos ITT is less biased.
</text>
  </threadedComment>
  <threadedComment ref="AL1093" dT="2023-09-05T08:07:22.72" personId="{3DE5673D-4837-4FC9-B8B9-34243175713A}" id="{C3B1ABAD-B5EF-4EF2-9E16-97BC8A1A24A7}" done="1">
    <text>This is the number randomised by arm. Number analysed is not reported, but we could use the numbers from one of the other papers?</text>
  </threadedComment>
  <threadedComment ref="AL1093" dT="2023-12-20T12:33:08.90" personId="{E08A2389-F34B-466D-8AA1-6ADBBDF0F7BF}" id="{76E73B72-E60E-4389-B5A4-E3E7607C0F57}" parentId="{C3B1ABAD-B5EF-4EF2-9E16-97BC8A1A24A7}">
    <text xml:space="preserve">But isn't it number randomised that we want? 'cos ITT is less biased.
</text>
  </threadedComment>
  <threadedComment ref="AJ1094" dT="2023-09-05T08:56:39.91" personId="{3DE5673D-4837-4FC9-B8B9-34243175713A}" id="{0BACEF75-0DA0-47D3-94BE-D6DC5797BB9A}" done="1">
    <text>Same numbers reported for size and node status???</text>
  </threadedComment>
  <threadedComment ref="AJ1094" dT="2023-12-20T12:36:17.01" personId="{E08A2389-F34B-466D-8AA1-6ADBBDF0F7BF}" id="{171E0449-3913-4131-98A6-832896DE189C}" parentId="{0BACEF75-0DA0-47D3-94BE-D6DC5797BB9A}">
    <text>Coincidence?</text>
  </threadedComment>
  <threadedComment ref="AL1094" dT="2023-09-05T08:07:22.72" personId="{3DE5673D-4837-4FC9-B8B9-34243175713A}" id="{F0F856F9-4142-451D-A639-7C193DD68A09}" done="1">
    <text>This is the number randomised by arm. Number analysed is not reported, but we could use the numbers from one of the other papers?</text>
  </threadedComment>
  <threadedComment ref="AL1094" dT="2023-12-20T12:35:54.34" personId="{E08A2389-F34B-466D-8AA1-6ADBBDF0F7BF}" id="{6E0BAF07-50C4-4195-9317-029C8E1DC3B7}" parentId="{F0F856F9-4142-451D-A639-7C193DD68A09}">
    <text xml:space="preserve">But isn't it number randomised that we want? 'cos ITT is less biased.
</text>
  </threadedComment>
  <threadedComment ref="AL1095" dT="2023-09-05T08:07:22.72" personId="{3DE5673D-4837-4FC9-B8B9-34243175713A}" id="{CB8D6911-A1F2-453F-ABB0-5F86049E496A}" done="1">
    <text>This is the number randomised by arm. Number analysed is not reported, but we could use the numbers from one of the other papers?</text>
  </threadedComment>
  <threadedComment ref="AL1095" dT="2023-12-20T12:35:54.34" personId="{E08A2389-F34B-466D-8AA1-6ADBBDF0F7BF}" id="{C7AAA685-A141-4B9D-87E9-E0C939F6F899}" parentId="{CB8D6911-A1F2-453F-ABB0-5F86049E496A}">
    <text xml:space="preserve">But isn't it number randomised that we want? 'cos ITT is less biased.
</text>
  </threadedComment>
  <threadedComment ref="AL1096" dT="2023-09-05T08:07:22.72" personId="{3DE5673D-4837-4FC9-B8B9-34243175713A}" id="{74768960-ABC2-4A4E-AE2D-AC04DAE93998}" done="1">
    <text>This is the number randomised by arm. Number analysed is not reported, but we could use the numbers from one of the other papers?</text>
  </threadedComment>
  <threadedComment ref="AL1096" dT="2023-12-20T12:35:54.34" personId="{E08A2389-F34B-466D-8AA1-6ADBBDF0F7BF}" id="{B3A223AE-6117-4C8A-9AE6-B73887758899}" parentId="{74768960-ABC2-4A4E-AE2D-AC04DAE93998}">
    <text xml:space="preserve">But isn't it number randomised that we want? 'cos ITT is less biased.
</text>
  </threadedComment>
  <threadedComment ref="AL1097" dT="2023-09-05T08:07:22.72" personId="{3DE5673D-4837-4FC9-B8B9-34243175713A}" id="{E02EA4F3-CA1F-4241-930C-279CCD9DEB76}" done="1">
    <text>This is the number randomised by arm. Number analysed is not reported, but we could use the numbers from one of the other papers?</text>
  </threadedComment>
  <threadedComment ref="AL1097" dT="2023-12-20T12:35:54.34" personId="{E08A2389-F34B-466D-8AA1-6ADBBDF0F7BF}" id="{DD5EDF5C-EA7C-44CF-ABC3-4D5F5667020E}" parentId="{E02EA4F3-CA1F-4241-930C-279CCD9DEB76}">
    <text xml:space="preserve">But isn't it number randomised that we want? 'cos ITT is less biased.
</text>
  </threadedComment>
  <threadedComment ref="AN1145" dT="2023-07-10T16:20:50.88" personId="{3DE5673D-4837-4FC9-B8B9-34243175713A}" id="{9FAD29CC-54D0-4D37-8A7A-2F47A2EA428C}" done="1">
    <text>Slightly different to calculated %.</text>
  </threadedComment>
  <threadedComment ref="D1148" dT="2024-01-21T15:03:44.30" personId="{E331BB74-BBA0-4486-A922-69CA2C388022}" id="{150F0DB8-6868-4EC1-A26E-A8905A9E531F}" done="1">
    <text>Adenoma alone, not including CRC+adenoma</text>
  </threadedComment>
  <threadedComment ref="D1148" dT="2024-01-23T09:39:50.04" personId="{3DE5673D-4837-4FC9-B8B9-34243175713A}" id="{EAC3286C-1C7E-4F73-8695-922394653A32}" parentId="{150F0DB8-6868-4EC1-A26E-A8905A9E531F}">
    <text>Added.</text>
  </threadedComment>
  <threadedComment ref="D1151" dT="2024-01-21T14:58:36.51" personId="{E331BB74-BBA0-4486-A922-69CA2C388022}" id="{421FE37F-4C57-41DD-B2FF-2CDFCF67A7F7}" done="1">
    <text>Just for my knowledge, why are we extracting this? I didn't think we had paid much attention to subgroup analyses previously, especially when they report the combined outcome</text>
  </threadedComment>
  <threadedComment ref="D1151" dT="2024-01-23T09:43:54.85" personId="{3DE5673D-4837-4FC9-B8B9-34243175713A}" id="{E7E4B485-6A66-46E6-B91B-EC6E16F11F3F}" parentId="{421FE37F-4C57-41DD-B2FF-2CDFCF67A7F7}">
    <text>Think as Kronborg 1987 was the first paper for that trial that I had extracted, I wasn't sure what other surrogate and mortality outcomes will be reported by gender in the papers to come.
In general, we can only use subgroups (on centre, gender, age, or combined) if we have surrogate and mortality data for the same subgroup.</text>
  </threadedComment>
  <threadedComment ref="AR1153" dT="2024-01-21T18:08:36.04" personId="{E331BB74-BBA0-4486-A922-69CA2C388022}" id="{E3C0A576-5F4C-4A55-8020-2D0F60A2231D}" done="1">
    <text>These are calculated rates?</text>
  </threadedComment>
  <threadedComment ref="AI1157" dT="2024-01-21T17:57:02.95" personId="{E331BB74-BBA0-4486-A922-69CA2C388022}" id="{8BBFA1C2-B70C-4B62-B267-D753C31EA369}" done="1">
    <text>23</text>
  </threadedComment>
  <threadedComment ref="AI1157" dT="2024-01-21T17:57:21.31" personId="{E331BB74-BBA0-4486-A922-69CA2C388022}" id="{6E7A9B7A-CCCC-4082-BA97-816886E9AD5D}" parentId="{8BBFA1C2-B70C-4B62-B267-D753C31EA369}">
    <text>11+12</text>
  </threadedComment>
  <threadedComment ref="AI1157" dT="2024-01-23T10:05:06.99" personId="{3DE5673D-4837-4FC9-B8B9-34243175713A}" id="{3F7E3B04-0476-4205-A0E8-7A7D3675E5FD}" parentId="{8BBFA1C2-B70C-4B62-B267-D753C31EA369}">
    <text>Corrected.</text>
  </threadedComment>
  <threadedComment ref="D1164" dT="2024-01-21T18:00:40.84" personId="{E331BB74-BBA0-4486-A922-69CA2C388022}" id="{D25BB964-CA07-4C45-98BC-37380FA5836D}">
    <text>Why do we not separately extract 1 adenoma and 2 or more adenomas?</text>
  </threadedComment>
  <threadedComment ref="D1164" dT="2024-01-23T09:56:49.25" personId="{3DE5673D-4837-4FC9-B8B9-34243175713A}" id="{24048449-8F94-4A6B-8794-5A01855ADED4}" parentId="{D25BB964-CA07-4C45-98BC-37380FA5836D}">
    <text>We have added the 2 rows as I am not sure if useful or not. Please check them!</text>
  </threadedComment>
  <threadedComment ref="D1164" dT="2024-01-23T16:26:17.97" personId="{E331BB74-BBA0-4486-A922-69CA2C388022}" id="{85DD939F-32FA-4037-A121-31FF51CEB7E7}" parentId="{D25BB964-CA07-4C45-98BC-37380FA5836D}">
    <text>Done</text>
  </threadedComment>
  <threadedComment ref="AI1171" dT="2024-01-21T18:37:08.95" personId="{E331BB74-BBA0-4486-A922-69CA2C388022}" id="{C5AF2636-453D-4684-9A59-8DB225CBBAD2}" done="1">
    <text>20</text>
  </threadedComment>
  <threadedComment ref="AI1171" dT="2024-01-23T10:07:10.98" personId="{3DE5673D-4837-4FC9-B8B9-34243175713A}" id="{81E2BDC9-7FB6-4D86-82C0-7F89A9FEE6B0}" parentId="{C5AF2636-453D-4684-9A59-8DB225CBBAD2}">
    <text>Corrected.</text>
  </threadedComment>
  <threadedComment ref="AR1172" dT="2024-01-21T18:55:02.70" personId="{E331BB74-BBA0-4486-A922-69CA2C388022}" id="{D4DEBE4D-E672-41BC-B4FB-232ABF65AD35}" done="1">
    <text>as above, should this be swapped with column AS?</text>
  </threadedComment>
  <threadedComment ref="AR1172" dT="2024-01-23T10:08:57.60" personId="{3DE5673D-4837-4FC9-B8B9-34243175713A}" id="{66F12F4A-FD35-4FFF-829C-EA8A4E7F62CB}" parentId="{D4DEBE4D-E672-41BC-B4FB-232ABF65AD35}">
    <text>Corrected.</text>
  </threadedComment>
  <threadedComment ref="AG1182" dT="2024-01-21T18:25:11.08" personId="{E331BB74-BBA0-4486-A922-69CA2C388022}" id="{11B43C57-9149-4609-A7A6-9CE1BFE33663}" done="1">
    <text>Number of people with adenomas? As some people had multiple</text>
  </threadedComment>
  <threadedComment ref="AG1182" dT="2024-01-23T10:22:42.85" personId="{3DE5673D-4837-4FC9-B8B9-34243175713A}" id="{09B66BEA-5EC8-4447-AEC9-D0363FC3425E}" parentId="{11B43C57-9149-4609-A7A6-9CE1BFE33663}">
    <text>Agree.</text>
  </threadedComment>
  <threadedComment ref="Q1186" dT="2024-01-21T18:59:38.65" personId="{E331BB74-BBA0-4486-A922-69CA2C388022}" id="{5D498998-6D46-45C5-9F28-048264422C11}" done="1">
    <text>I think they should all be through August 1989?</text>
  </threadedComment>
  <threadedComment ref="Q1186" dT="2024-01-23T10:16:18.86" personId="{3DE5673D-4837-4FC9-B8B9-34243175713A}" id="{B9CCCC3A-1701-4928-9811-9E761E39E47F}" parentId="{5D498998-6D46-45C5-9F28-048264422C11}">
    <text>Corrected.</text>
  </threadedComment>
  <threadedComment ref="S1187" dT="2024-01-21T21:38:24.32" personId="{E331BB74-BBA0-4486-A922-69CA2C388022}" id="{E5E2EBBB-703C-43C0-B10F-C888F83A1EF2}" done="1">
    <text>Again I must be missing something with these mean times, sorry</text>
  </threadedComment>
  <threadedComment ref="S1187" dT="2024-01-23T10:17:31.24" personId="{3DE5673D-4837-4FC9-B8B9-34243175713A}" id="{8B3C9779-24A1-47A4-90B3-E969A4453BE6}" parentId="{E5E2EBBB-703C-43C0-B10F-C888F83A1EF2}">
    <text>No worries. I have calculated it. 😊</text>
  </threadedComment>
  <threadedComment ref="M1191" dT="2024-01-21T21:36:13.10" personId="{E331BB74-BBA0-4486-A922-69CA2C388022}" id="{5372CB6C-007E-4792-9041-B48341AD30CF}" done="1">
    <text>This is late stage not early</text>
  </threadedComment>
  <threadedComment ref="M1191" dT="2024-01-23T10:17:53.53" personId="{3DE5673D-4837-4FC9-B8B9-34243175713A}" id="{4390CBD4-5951-4F52-8C5E-F7AD5F0AA504}" parentId="{5372CB6C-007E-4792-9041-B48341AD30CF}">
    <text>Corrected.</text>
  </threadedComment>
  <threadedComment ref="S1211" dT="2023-09-22T07:38:10.06" personId="{3DE5673D-4837-4FC9-B8B9-34243175713A}" id="{D587AB16-50DD-46AB-A960-FE25FC87FA70}" done="1">
    <text>From Aron 1986 (#11132).</text>
  </threadedComment>
  <threadedComment ref="S1211" dT="2024-01-19T09:25:45.54" personId="{3DE5673D-4837-4FC9-B8B9-34243175713A}" id="{98A5F3A4-83C6-4682-940F-227D10D0D40A}" parentId="{D587AB16-50DD-46AB-A960-FE25FC87FA70}">
    <text>I think it was wrong to use the FU from Aron 1986 for the screening population here as this paper only reports on the subgroup recruited until 31/03/1965 not on the whole screening group. Think I copied it in this row by mistake.
Changed to "NR".</text>
  </threadedComment>
  <threadedComment ref="T1211" dT="2023-12-22T11:50:49.90" personId="{E08A2389-F34B-466D-8AA1-6ADBBDF0F7BF}" id="{D8B710EF-34D4-4770-AE27-6AF3CD1EF5A4}" done="1">
    <text>If we're using the screening FU time from Aron, why don't we do the same for the comparator arm?</text>
  </threadedComment>
  <threadedComment ref="T1211" dT="2024-01-19T09:24:24.92" personId="{3DE5673D-4837-4FC9-B8B9-34243175713A}" id="{4BB02AF3-7425-4F95-92A1-D1547AC9D26E}" parentId="{D8B710EF-34D4-4770-AE27-6AF3CD1EF5A4}">
    <text>I think it was wrong to use the FU time from Aron 1986 for the screening group.</text>
  </threadedComment>
  <threadedComment ref="S1212" dT="2023-09-22T07:38:10.06" personId="{3DE5673D-4837-4FC9-B8B9-34243175713A}" id="{0E132BCB-CDF6-4B4D-ACCB-C86312E25594}" done="1">
    <text>From Aron 1986 (#11132).</text>
  </threadedComment>
  <threadedComment ref="S1212" dT="2023-12-22T11:52:49.14" personId="{E08A2389-F34B-466D-8AA1-6ADBBDF0F7BF}" id="{00294471-A181-4A70-98C9-A0A690631705}" parentId="{0E132BCB-CDF6-4B4D-ACCB-C86312E25594}">
    <text>agreed</text>
  </threadedComment>
  <threadedComment ref="T1212" dT="2023-12-22T11:50:55.15" personId="{E08A2389-F34B-466D-8AA1-6ADBBDF0F7BF}" id="{C3460769-71C0-48E0-B037-81743518B40E}" done="1">
    <text xml:space="preserve">If we're using the screening FU time from Aron, why don't we do the same for the comparator arm?
</text>
  </threadedComment>
  <threadedComment ref="T1212" dT="2024-01-19T09:30:54.03" personId="{3DE5673D-4837-4FC9-B8B9-34243175713A}" id="{96041797-2D57-482D-9DBF-B4B69EB9431B}" parentId="{C3460769-71C0-48E0-B037-81743518B40E}">
    <text>"NA" for the comparator for surrogate 5.</text>
  </threadedComment>
  <threadedComment ref="A1213" dT="2024-01-26T12:20:30.93" personId="{E08A2389-F34B-466D-8AA1-6ADBBDF0F7BF}" id="{AE9E6E3F-868A-4FDA-98FC-DB6C4CBA69C6}" done="1">
    <text>I agree with this row</text>
  </threadedComment>
  <threadedComment ref="S1213" dT="2023-09-22T07:38:10.06" personId="{3DE5673D-4837-4FC9-B8B9-34243175713A}" id="{539DB8AC-75BD-4C9F-95AE-61FB788EF452}" done="1">
    <text>From Aron 1986 (#11132).</text>
  </threadedComment>
  <threadedComment ref="S1213" dT="2023-12-22T11:52:49.14" personId="{E08A2389-F34B-466D-8AA1-6ADBBDF0F7BF}" id="{F75E9D11-6EB2-486D-9C02-92E6FD7F2738}" parentId="{539DB8AC-75BD-4C9F-95AE-61FB788EF452}">
    <text>agreed</text>
  </threadedComment>
  <threadedComment ref="T1213" dT="2023-12-22T11:50:55.15" personId="{E08A2389-F34B-466D-8AA1-6ADBBDF0F7BF}" id="{DE2EBFB1-7244-4DE9-A3AD-732D5C40585F}">
    <text xml:space="preserve">If we're using the screening FU time from Aron, why don't we do the same for the comparator arm?
</text>
  </threadedComment>
  <threadedComment ref="T1213" dT="2024-01-19T09:30:54.03" personId="{3DE5673D-4837-4FC9-B8B9-34243175713A}" id="{9E48DAB6-00AB-451F-980A-0ED1B831EE20}" parentId="{DE2EBFB1-7244-4DE9-A3AD-732D5C40585F}">
    <text>"NA" for the comparator for surrogate 5.</text>
  </threadedComment>
  <threadedComment ref="A1214" dT="2023-09-20T12:02:13.30" personId="{3DE5673D-4837-4FC9-B8B9-34243175713A}" id="{A9DAF7E2-8EE4-4226-938C-F237C6AC3785}" done="1">
    <text>Can't calculate the absolute incidence of node-positive breast cancers as we don't have exact numbers for the denominator (number of women randomised, by arm, or person years).</text>
  </threadedComment>
  <threadedComment ref="A1214" dT="2023-12-22T11:59:41.65" personId="{E08A2389-F34B-466D-8AA1-6ADBBDF0F7BF}" id="{8329D8B2-DD81-494A-8E30-AC0FB0D2F2ED}" parentId="{A9DAF7E2-8EE4-4226-938C-F237C6AC3785}">
    <text>In other cases, we've taking this info from other papers, or estimated it. Could do that?</text>
  </threadedComment>
  <threadedComment ref="A1214" dT="2024-01-19T09:27:27.39" personId="{3DE5673D-4837-4FC9-B8B9-34243175713A}" id="{BC990238-78DF-462D-BB68-0DC70DB81177}" parentId="{A9DAF7E2-8EE4-4226-938C-F237C6AC3785}">
    <text>Think you have found the numbers and added them to the "Mapping" sheet. 
I have used these numbers for surrogate 1 and 4 below and surrogate 7 above. Please check the added rows (yellow highlighted).</text>
  </threadedComment>
  <threadedComment ref="S1214" dT="2023-09-22T07:38:10.06" personId="{3DE5673D-4837-4FC9-B8B9-34243175713A}" id="{14BF210F-325C-45BC-8611-C0CF53970359}" done="1">
    <text>From Aron 1986 (#11132).</text>
  </threadedComment>
  <threadedComment ref="T1214" dT="2023-12-22T11:50:59.32" personId="{E08A2389-F34B-466D-8AA1-6ADBBDF0F7BF}" id="{3BCD0824-3E69-4FB6-99AF-6A278E9FC2BB}" done="1">
    <text xml:space="preserve">If we're using the screening FU time from Aron, why don't we do the same for the comparator arm?
</text>
  </threadedComment>
  <threadedComment ref="T1214" dT="2024-01-19T09:35:15.42" personId="{3DE5673D-4837-4FC9-B8B9-34243175713A}" id="{08EA80D6-B0B7-40FF-9992-DFFC2A614DF1}" parentId="{3BCD0824-3E69-4FB6-99AF-6A278E9FC2BB}">
    <text>Added.</text>
  </threadedComment>
  <threadedComment ref="AI1214" dT="2023-12-22T12:06:51.43" personId="{E08A2389-F34B-466D-8AA1-6ADBBDF0F7BF}" id="{F08D6164-F93B-42AE-9B03-2A74E365FF93}" done="1">
    <text>I made this 49
55 * 0.81 = 36
11 * 0.45 = 5
12 * 0.67 = 8
Could be rounding, cos I used whole numbers.</text>
  </threadedComment>
  <threadedComment ref="AI1214" dT="2024-01-19T09:38:58.35" personId="{3DE5673D-4837-4FC9-B8B9-34243175713A}" id="{EDBAFD1E-8925-4568-BC51-36CE984B1908}" parentId="{F08D6164-F93B-42AE-9B03-2A74E365FF93}">
    <text>Agree with your calculation. It's 49 with "no nodule involvement". But I think we forgot to subtract that number from the total number of cancers (78) to get the number of node-positive cancers? 
Should it be 78-49=29?</text>
  </threadedComment>
  <threadedComment ref="AI1214" dT="2024-01-26T12:30:44.41" personId="{E08A2389-F34B-466D-8AA1-6ADBBDF0F7BF}" id="{7AC1DCCB-E0B0-4844-82E3-502E4B10F1CD}" parentId="{F08D6164-F93B-42AE-9B03-2A74E365FF93}">
    <text>agreed</text>
  </threadedComment>
  <threadedComment ref="AJ1214" dT="2024-01-19T09:49:18.28" personId="{3DE5673D-4837-4FC9-B8B9-34243175713A}" id="{9A7145D6-4B9E-4A94-96D8-053B54FD56F2}" done="1">
    <text>Think I did a mistake here and reported the number of cancers with "no node involvement". 
Should be 46-19=27 with node involvement?</text>
  </threadedComment>
  <threadedComment ref="AJ1214" dT="2024-01-26T12:36:00.77" personId="{E08A2389-F34B-466D-8AA1-6ADBBDF0F7BF}" id="{6D7D9581-633B-4357-A99B-2E8015743670}" parentId="{9A7145D6-4B9E-4A94-96D8-053B54FD56F2}">
    <text xml:space="preserve">Agreed. </text>
  </threadedComment>
  <threadedComment ref="AO1214" dT="2023-12-22T12:07:52.95" personId="{E08A2389-F34B-466D-8AA1-6ADBBDF0F7BF}" id="{78056FC8-4ED0-4772-A7B2-855EAB768704}" done="1">
    <text>62.82, if the 49 events is correct</text>
  </threadedComment>
  <threadedComment ref="AO1214" dT="2024-01-19T09:50:28.75" personId="{3DE5673D-4837-4FC9-B8B9-34243175713A}" id="{C7F05A55-62BF-4532-B57D-070A3F0C3CEE}" parentId="{78056FC8-4ED0-4772-A7B2-855EAB768704}">
    <text>Please recheck new value.</text>
  </threadedComment>
  <threadedComment ref="AO1214" dT="2024-01-26T12:38:12.53" personId="{E08A2389-F34B-466D-8AA1-6ADBBDF0F7BF}" id="{4CE7349C-0C61-4992-954D-4DB8C0F2FBC5}" parentId="{78056FC8-4ED0-4772-A7B2-855EAB768704}">
    <text>agreed</text>
  </threadedComment>
  <threadedComment ref="AS1214" dT="2024-01-19T09:50:58.18" personId="{3DE5673D-4837-4FC9-B8B9-34243175713A}" id="{7BCC1E98-3660-43DF-8EB2-882F53651650}" done="1">
    <text>Please recheck new value.</text>
  </threadedComment>
  <threadedComment ref="AS1214" dT="2024-01-26T12:39:07.71" personId="{E08A2389-F34B-466D-8AA1-6ADBBDF0F7BF}" id="{73D56F37-1BB3-4EF9-B10D-3212BF5D504E}" parentId="{7BCC1E98-3660-43DF-8EB2-882F53651650}">
    <text>agreed</text>
  </threadedComment>
  <threadedComment ref="AX1214" dT="2023-12-22T12:08:42.57" personId="{E08A2389-F34B-466D-8AA1-6ADBBDF0F7BF}" id="{6642C15A-7622-429B-AD32-27DD5E2BC352}" done="1">
    <text xml:space="preserve">1.52, if the 49 events is correct
</text>
  </threadedComment>
  <threadedComment ref="AX1214" dT="2024-01-19T09:51:08.82" personId="{3DE5673D-4837-4FC9-B8B9-34243175713A}" id="{F5CED084-7D2C-45DB-8EDA-390F1F3B9AA1}" parentId="{6642C15A-7622-429B-AD32-27DD5E2BC352}">
    <text>Please recheck new value.</text>
  </threadedComment>
  <threadedComment ref="AX1214" dT="2024-01-26T12:39:53.53" personId="{E08A2389-F34B-466D-8AA1-6ADBBDF0F7BF}" id="{73824D96-3DE5-47B3-A90A-C598820E68E9}" parentId="{6642C15A-7622-429B-AD32-27DD5E2BC352}">
    <text>agreed</text>
  </threadedComment>
  <threadedComment ref="A1215" dT="2024-01-26T13:23:12.80" personId="{E08A2389-F34B-466D-8AA1-6ADBBDF0F7BF}" id="{1ACBEACD-53DA-4FF1-BA54-204C4C61AA4B}" done="1">
    <text>I agree with this row</text>
  </threadedComment>
  <threadedComment ref="S1215" dT="2023-09-22T07:38:10.06" personId="{3DE5673D-4837-4FC9-B8B9-34243175713A}" id="{9E72FF8B-91E9-450D-B565-2E57CB8BCEB8}" done="1">
    <text>From Aron 1986 (#11132).</text>
  </threadedComment>
  <threadedComment ref="T1215" dT="2023-12-22T11:50:59.32" personId="{E08A2389-F34B-466D-8AA1-6ADBBDF0F7BF}" id="{91FB79BD-32C4-4522-8ED0-9BAB5B528DFC}" done="1">
    <text xml:space="preserve">If we're using the screening FU time from Aron, why don't we do the same for the comparator arm?
</text>
  </threadedComment>
  <threadedComment ref="T1215" dT="2024-01-19T09:35:15.42" personId="{3DE5673D-4837-4FC9-B8B9-34243175713A}" id="{BA436B65-D627-4A4F-AA81-7B35F37398F3}" parentId="{91FB79BD-32C4-4522-8ED0-9BAB5B528DFC}">
    <text>Added.</text>
  </threadedComment>
  <threadedComment ref="A1216" dT="2024-01-26T13:23:17.27" personId="{E08A2389-F34B-466D-8AA1-6ADBBDF0F7BF}" id="{2D357727-49C7-4E1F-B66A-D405461CDBCB}" done="1">
    <text xml:space="preserve">I agree with this row
</text>
  </threadedComment>
  <threadedComment ref="S1216" dT="2023-09-22T07:38:10.06" personId="{3DE5673D-4837-4FC9-B8B9-34243175713A}" id="{2AA9D88A-6D26-4A07-9743-2A1D142700D2}" done="1">
    <text>From Aron 1986 (#11132).</text>
  </threadedComment>
  <threadedComment ref="T1216" dT="2023-12-22T11:50:59.32" personId="{E08A2389-F34B-466D-8AA1-6ADBBDF0F7BF}" id="{E76DC8EE-4823-443A-9A6C-BD360B4D2F51}" done="1">
    <text xml:space="preserve">If we're using the screening FU time from Aron, why don't we do the same for the comparator arm?
</text>
  </threadedComment>
  <threadedComment ref="T1216" dT="2024-01-19T09:35:15.42" personId="{3DE5673D-4837-4FC9-B8B9-34243175713A}" id="{B603783C-4D90-43EB-930B-47CC06C03C1B}" parentId="{E76DC8EE-4823-443A-9A6C-BD360B4D2F51}">
    <text>Added.</text>
  </threadedComment>
  <threadedComment ref="S1217" dT="2023-09-22T07:38:10.06" personId="{3DE5673D-4837-4FC9-B8B9-34243175713A}" id="{EB21E027-21A9-4FF4-900E-D3CB464E4651}" done="1">
    <text>From Aron 1986 (#11132).</text>
  </threadedComment>
  <threadedComment ref="S1217" dT="2023-12-22T12:09:32.45" personId="{E08A2389-F34B-466D-8AA1-6ADBBDF0F7BF}" id="{76E801CA-2ABE-4899-8D61-607AC44D8FF2}" parentId="{EB21E027-21A9-4FF4-900E-D3CB464E4651}">
    <text>agreed</text>
  </threadedComment>
  <threadedComment ref="S1218" dT="2023-09-22T07:38:10.06" personId="{3DE5673D-4837-4FC9-B8B9-34243175713A}" id="{F855BF2C-5DF8-4A7F-A6D1-9DB480A79CB9}" done="1">
    <text>From Aron 1986 (#11132).</text>
  </threadedComment>
  <threadedComment ref="S1218" dT="2023-12-22T12:11:13.96" personId="{E08A2389-F34B-466D-8AA1-6ADBBDF0F7BF}" id="{55485AC4-25D1-447F-8B56-4485D4D30E07}" parentId="{F855BF2C-5DF8-4A7F-A6D1-9DB480A79CB9}">
    <text>agreed</text>
  </threadedComment>
  <threadedComment ref="S1219" dT="2023-09-22T07:38:10.06" personId="{3DE5673D-4837-4FC9-B8B9-34243175713A}" id="{C1AA68ED-676B-416E-8C2F-61007AFB0B4F}" done="1">
    <text>From Aron 1986 (#11132).</text>
  </threadedComment>
  <threadedComment ref="S1219" dT="2023-12-22T12:11:36.45" personId="{E08A2389-F34B-466D-8AA1-6ADBBDF0F7BF}" id="{16D38BFE-8104-468C-8403-8DC2E0FC535F}" parentId="{C1AA68ED-676B-416E-8C2F-61007AFB0B4F}">
    <text>agreed</text>
  </threadedComment>
  <threadedComment ref="T1219" dT="2023-09-22T07:38:10.06" personId="{3DE5673D-4837-4FC9-B8B9-34243175713A}" id="{0EF0A45E-C07C-41D2-96AC-3BB627403E6F}" done="1">
    <text>From Aron 1986 (#11132).</text>
  </threadedComment>
  <threadedComment ref="T1219" dT="2023-12-22T12:11:39.33" personId="{E08A2389-F34B-466D-8AA1-6ADBBDF0F7BF}" id="{50FD74C6-4C0A-4936-AECD-F7CF3934CBB4}" parentId="{0EF0A45E-C07C-41D2-96AC-3BB627403E6F}">
    <text>agreed</text>
  </threadedComment>
  <threadedComment ref="AE1219" dT="2023-09-21T11:08:58.76" personId="{3DE5673D-4837-4FC9-B8B9-34243175713A}" id="{1FAF746E-7FE7-41F2-8C58-F1995DA15936}" done="1">
    <text>Shapiro 1982 (#3896) reports 35 cancers with unknown nodal involvement.</text>
  </threadedComment>
  <threadedComment ref="AE1219" dT="2023-12-22T12:20:27.83" personId="{E08A2389-F34B-466D-8AA1-6ADBBDF0F7BF}" id="{FA9284DD-4A4E-49CE-B13A-2C5641F078E5}" parentId="{1FAF746E-7FE7-41F2-8C58-F1995DA15936}">
    <text xml:space="preserve">Agreed. Can't see anything to explain this
</text>
  </threadedComment>
  <threadedComment ref="AJ1219" dT="2023-09-21T11:07:59.30" personId="{3DE5673D-4837-4FC9-B8B9-34243175713A}" id="{FBBB29E0-9C65-419D-A001-0E8B0E9D2BAB}" done="1">
    <text>Shapiro 1982 (#3896) reports 136 cancers with negative nodes.</text>
  </threadedComment>
  <threadedComment ref="AJ1219" dT="2023-12-22T12:20:42.20" personId="{E08A2389-F34B-466D-8AA1-6ADBBDF0F7BF}" id="{1F59AC8A-1945-4F43-AEAE-FED3E73678D3}" parentId="{FBBB29E0-9C65-419D-A001-0E8B0E9D2BAB}">
    <text xml:space="preserve">Agreed. Can't see anything to explain this
</text>
  </threadedComment>
  <threadedComment ref="BF1219" dT="2023-12-22T12:22:40.77" personId="{E08A2389-F34B-466D-8AA1-6ADBBDF0F7BF}" id="{979F70A9-96B3-4784-8691-30FB9E67D133}" done="1">
    <text>Table 12</text>
  </threadedComment>
  <threadedComment ref="BF1219" dT="2024-01-19T10:01:08.37" personId="{3DE5673D-4837-4FC9-B8B9-34243175713A}" id="{5E074C2B-37B6-4237-A8FE-675522E2E925}" parentId="{979F70A9-96B3-4784-8691-30FB9E67D133}">
    <text>Corrected.</text>
  </threadedComment>
  <threadedComment ref="S1220" dT="2023-09-22T07:38:10.06" personId="{3DE5673D-4837-4FC9-B8B9-34243175713A}" id="{553DE8EF-48D4-42D2-AA61-87CCB17D2835}" done="1">
    <text>From Aron 1986 (#11132).</text>
  </threadedComment>
  <threadedComment ref="S1220" dT="2023-12-22T12:11:36.45" personId="{E08A2389-F34B-466D-8AA1-6ADBBDF0F7BF}" id="{3346E506-7CDF-4A32-B277-9F252E8D4480}" parentId="{553DE8EF-48D4-42D2-AA61-87CCB17D2835}">
    <text>agreed</text>
  </threadedComment>
  <threadedComment ref="T1220" dT="2023-09-22T07:38:10.06" personId="{3DE5673D-4837-4FC9-B8B9-34243175713A}" id="{4139298F-93A7-4B1C-BB6A-3E0F4FC4882F}" done="1">
    <text>From Aron 1986 (#11132).</text>
  </threadedComment>
  <threadedComment ref="T1220" dT="2023-12-22T12:11:39.33" personId="{E08A2389-F34B-466D-8AA1-6ADBBDF0F7BF}" id="{8B136747-B6D3-42D7-AF8D-75F6F812730B}" parentId="{4139298F-93A7-4B1C-BB6A-3E0F4FC4882F}">
    <text>agreed</text>
  </threadedComment>
  <threadedComment ref="AE1220" dT="2023-09-21T11:08:58.76" personId="{3DE5673D-4837-4FC9-B8B9-34243175713A}" id="{ABDA7E56-18B8-443F-B09F-4D6EDA6A7297}" done="1">
    <text>Shapiro 1982 (#3896) reports 35 cancers with unknown nodal involvement.</text>
  </threadedComment>
  <threadedComment ref="AE1220" dT="2023-12-22T12:20:25.46" personId="{E08A2389-F34B-466D-8AA1-6ADBBDF0F7BF}" id="{4F383973-49B4-4F5F-8E37-CDE82D02044E}" parentId="{ABDA7E56-18B8-443F-B09F-4D6EDA6A7297}">
    <text>Agreed. Can't see anything to explain this</text>
  </threadedComment>
  <threadedComment ref="AJ1220" dT="2023-09-21T11:08:24.28" personId="{3DE5673D-4837-4FC9-B8B9-34243175713A}" id="{AD1DC1F5-BE1A-4D6B-89A9-0C0FE20A1675}" done="1">
    <text>Shapiro 1982 (#3896) reports 123 cancers with positive nodes.</text>
  </threadedComment>
  <threadedComment ref="AJ1220" dT="2023-12-22T12:20:44.87" personId="{E08A2389-F34B-466D-8AA1-6ADBBDF0F7BF}" id="{7C233407-3660-4AE0-9A9D-5BE8A70FEC9A}" parentId="{AD1DC1F5-BE1A-4D6B-89A9-0C0FE20A1675}">
    <text xml:space="preserve">Agreed. Can't see anything to explain this
</text>
  </threadedComment>
  <threadedComment ref="BF1220" dT="2023-12-22T12:22:40.77" personId="{E08A2389-F34B-466D-8AA1-6ADBBDF0F7BF}" id="{49D227F1-A9E1-4D16-808F-4FAABBF12DC9}" done="1">
    <text>Table 12</text>
  </threadedComment>
  <threadedComment ref="BF1220" dT="2024-01-19T10:01:08.37" personId="{3DE5673D-4837-4FC9-B8B9-34243175713A}" id="{A60CDCAA-B092-4026-8A1D-753704A3E1D8}" parentId="{49D227F1-A9E1-4D16-808F-4FAABBF12DC9}">
    <text>Corrected.</text>
  </threadedComment>
  <threadedComment ref="S1221" dT="2023-09-22T07:38:10.06" personId="{3DE5673D-4837-4FC9-B8B9-34243175713A}" id="{3DB27FE4-C30F-4E27-9717-6CE567244A28}" done="1">
    <text>From Aron 1986 (#11132).</text>
  </threadedComment>
  <threadedComment ref="S1221" dT="2023-12-22T12:11:36.45" personId="{E08A2389-F34B-466D-8AA1-6ADBBDF0F7BF}" id="{C551FE09-1F33-4029-B642-6D2B731BF948}" parentId="{3DB27FE4-C30F-4E27-9717-6CE567244A28}">
    <text>agreed</text>
  </threadedComment>
  <threadedComment ref="T1221" dT="2023-09-22T07:38:10.06" personId="{3DE5673D-4837-4FC9-B8B9-34243175713A}" id="{5BF824BD-D6D5-4BB3-86F8-76C42D18CCEA}" done="1">
    <text>From Aron 1986 (#11132).</text>
  </threadedComment>
  <threadedComment ref="T1221" dT="2023-12-22T12:11:39.33" personId="{E08A2389-F34B-466D-8AA1-6ADBBDF0F7BF}" id="{D9E7278C-9711-4937-A81F-297B88A5A128}" parentId="{5BF824BD-D6D5-4BB3-86F8-76C42D18CCEA}">
    <text>agreed</text>
  </threadedComment>
  <threadedComment ref="S1222" dT="2023-09-22T07:38:10.06" personId="{3DE5673D-4837-4FC9-B8B9-34243175713A}" id="{AF6F6889-587A-47A3-9DD0-644B983E06B9}" done="1">
    <text>From Aron 1986 (#11132).</text>
  </threadedComment>
  <threadedComment ref="T1222" dT="2023-09-22T07:38:10.06" personId="{3DE5673D-4837-4FC9-B8B9-34243175713A}" id="{C80A1083-5BA3-4FC4-BF40-8268D4F68A7F}" done="1">
    <text>From Aron 1986 (#11132).</text>
  </threadedComment>
  <threadedComment ref="S1223" dT="2023-09-22T07:38:10.06" personId="{3DE5673D-4837-4FC9-B8B9-34243175713A}" id="{0BF120C1-510F-4825-82FB-70AA613C3DED}" done="1">
    <text>From Aron 1986 (#11132).</text>
  </threadedComment>
  <threadedComment ref="T1223" dT="2023-09-22T07:38:10.06" personId="{3DE5673D-4837-4FC9-B8B9-34243175713A}" id="{33D31DA1-E381-4B80-8D6E-C8CB253F7B51}" done="1">
    <text>From Aron 1986 (#11132).</text>
  </threadedComment>
  <threadedComment ref="A1224" dT="2023-09-21T13:33:36.16" personId="{3DE5673D-4837-4FC9-B8B9-34243175713A}" id="{AFAFC505-9151-43E0-BA3B-13EE6945674C}" done="1">
    <text>Extracted again as this paper reports the exact number of women analysed in the screening arm.</text>
  </threadedComment>
  <threadedComment ref="A1224" dT="2023-12-22T12:26:05.99" personId="{E08A2389-F34B-466D-8AA1-6ADBBDF0F7BF}" id="{7B185020-1B90-4415-B0FC-A72DB7E4E225}" parentId="{AFAFC505-9151-43E0-BA3B-13EE6945674C}">
    <text>agreed</text>
  </threadedComment>
  <threadedComment ref="S1224" dT="2023-09-22T07:38:10.06" personId="{3DE5673D-4837-4FC9-B8B9-34243175713A}" id="{A800CC8B-1100-4CCF-A944-C151DE1CCC97}" done="1">
    <text>From Aron 1986 (#11132).</text>
  </threadedComment>
  <threadedComment ref="S1224" dT="2023-12-22T12:26:19.41" personId="{E08A2389-F34B-466D-8AA1-6ADBBDF0F7BF}" id="{1AF4DEDD-DCD2-4FCE-A14D-8DA35F682093}" parentId="{A800CC8B-1100-4CCF-A944-C151DE1CCC97}">
    <text xml:space="preserve">Table 12
</text>
  </threadedComment>
  <threadedComment ref="T1224" dT="2023-09-22T07:38:10.06" personId="{3DE5673D-4837-4FC9-B8B9-34243175713A}" id="{46297D80-8D54-4C36-B29B-4F062BA91FBB}" done="1">
    <text>From Aron 1986 (#11132).</text>
  </threadedComment>
  <threadedComment ref="T1224" dT="2023-12-22T12:26:22.14" personId="{E08A2389-F34B-466D-8AA1-6ADBBDF0F7BF}" id="{E5E81AA0-A42A-405C-9D0D-3B6A32C232AA}" parentId="{46297D80-8D54-4C36-B29B-4F062BA91FBB}">
    <text xml:space="preserve">Table 12
</text>
  </threadedComment>
  <threadedComment ref="A1225" dT="2023-09-21T13:33:36.16" personId="{3DE5673D-4837-4FC9-B8B9-34243175713A}" id="{0CD191B9-A7A3-4A9B-9874-C2975B80B791}" done="1">
    <text>Extracted again as earlier publications reported a total number of 299 cancers in the study arm. Here, they now report 303 cancers in total.</text>
  </threadedComment>
  <threadedComment ref="A1225" dT="2023-12-22T12:26:10.88" personId="{E08A2389-F34B-466D-8AA1-6ADBBDF0F7BF}" id="{C0AD107F-8A32-48BA-BC17-BB8D16E05478}" parentId="{0CD191B9-A7A3-4A9B-9874-C2975B80B791}">
    <text>agreed</text>
  </threadedComment>
  <threadedComment ref="S1225" dT="2023-09-22T07:38:10.06" personId="{3DE5673D-4837-4FC9-B8B9-34243175713A}" id="{75FF6EDD-2E55-451F-B0FF-95486F5C06D8}" done="1">
    <text>From Aron 1986 (#11132).</text>
  </threadedComment>
  <threadedComment ref="S1225" dT="2023-12-22T12:26:19.41" personId="{E08A2389-F34B-466D-8AA1-6ADBBDF0F7BF}" id="{44A59E29-85EE-4E19-AB7C-7CA5836590C6}" parentId="{75FF6EDD-2E55-451F-B0FF-95486F5C06D8}">
    <text xml:space="preserve">Table 12
</text>
  </threadedComment>
  <threadedComment ref="T1225" dT="2023-09-22T07:38:10.06" personId="{3DE5673D-4837-4FC9-B8B9-34243175713A}" id="{46BF1E9B-89A0-45A0-9A33-74D783EB4115}" done="1">
    <text>From Aron 1986 (#11132).</text>
  </threadedComment>
  <threadedComment ref="T1225" dT="2023-12-22T12:26:22.14" personId="{E08A2389-F34B-466D-8AA1-6ADBBDF0F7BF}" id="{449BD04C-AB99-49F5-A2D9-86F002F40512}" parentId="{46BF1E9B-89A0-45A0-9A33-74D783EB4115}">
    <text xml:space="preserve">Table 12
</text>
  </threadedComment>
  <threadedComment ref="M1227" dT="2023-05-22T09:21:07.08" personId="{3DE5673D-4837-4FC9-B8B9-34243175713A}" id="{C7D94AD1-4EB4-445C-BB5A-95DB293AC270}" done="1">
    <text xml:space="preserve"> "... with 36% and 11% of LC cases diagnosed at an early stage in the active and control groups, respectively." 8/71 (11%) and 24/67 (36%) reported in Table 2 as stage I.</text>
  </threadedComment>
  <threadedComment ref="M1227" dT="2023-11-30T14:04:45.10" personId="{E08A2389-F34B-466D-8AA1-6ADBBDF0F7BF}" id="{B525168B-F753-4B31-ABD5-467A7A81B1EF}" parentId="{C7D94AD1-4EB4-445C-BB5A-95DB293AC270}">
    <text>agreed</text>
  </threadedComment>
  <threadedComment ref="T1227" dT="2023-05-19T13:51:47.60" personId="{3DE5673D-4837-4FC9-B8B9-34243175713A}" id="{F9ED25EA-5050-4ADD-BC11-A232F9A796E0}" done="1">
    <text>This is for both groups together. NR by arm.</text>
  </threadedComment>
  <threadedComment ref="T1227" dT="2023-11-30T14:05:34.93" personId="{E08A2389-F34B-466D-8AA1-6ADBBDF0F7BF}" id="{B0931454-E1A4-4597-99CA-198C6E370E7B}" parentId="{F9ED25EA-5050-4ADD-BC11-A232F9A796E0}">
    <text>agreed</text>
  </threadedComment>
  <threadedComment ref="M1228" dT="2023-05-22T09:21:07.08" personId="{3DE5673D-4837-4FC9-B8B9-34243175713A}" id="{E08E3642-CD55-4C86-A3DF-CFD027B5C5C3}" done="1">
    <text xml:space="preserve"> "... with 36% and 11% of LC cases diagnosed at an early stage in the active and control groups, respectively." 8/71 (11%) and 24/67 (36%) reported in Table 2 as stage I.</text>
  </threadedComment>
  <threadedComment ref="M1228" dT="2023-11-30T14:04:45.10" personId="{E08A2389-F34B-466D-8AA1-6ADBBDF0F7BF}" id="{BE92C344-D753-4497-AE88-4D78A7F89752}" parentId="{E08E3642-CD55-4C86-A3DF-CFD027B5C5C3}">
    <text>agreed</text>
  </threadedComment>
  <threadedComment ref="T1228" dT="2023-05-19T13:51:47.60" personId="{3DE5673D-4837-4FC9-B8B9-34243175713A}" id="{C983CE8D-0711-46D9-8DCB-A314F874B9A7}" done="1">
    <text>This is for both groups together. NR by arm.</text>
  </threadedComment>
  <threadedComment ref="T1228" dT="2023-11-30T14:05:34.93" personId="{E08A2389-F34B-466D-8AA1-6ADBBDF0F7BF}" id="{2BE08D08-5B86-4DE5-9038-30D4AF5F6B7F}" parentId="{C983CE8D-0711-46D9-8DCB-A314F874B9A7}">
    <text>agreed</text>
  </threadedComment>
  <threadedComment ref="M1229" dT="2023-05-22T09:21:07.08" personId="{3DE5673D-4837-4FC9-B8B9-34243175713A}" id="{6F2A0EC6-C42D-4D86-99B0-5849F83B2693}" done="1">
    <text xml:space="preserve"> "... with 36% and 11% of LC cases diagnosed at an early stage in the active and control groups, respectively." 8/71 (11%) and 24/67 (36%) reported in Table 2 as stage I.</text>
  </threadedComment>
  <threadedComment ref="M1229" dT="2023-11-30T14:04:45.10" personId="{E08A2389-F34B-466D-8AA1-6ADBBDF0F7BF}" id="{9F07700F-502F-466C-B725-EF0B17854BEC}" parentId="{6F2A0EC6-C42D-4D86-99B0-5849F83B2693}">
    <text>agreed</text>
  </threadedComment>
  <threadedComment ref="T1229" dT="2023-05-19T13:51:47.60" personId="{3DE5673D-4837-4FC9-B8B9-34243175713A}" id="{8AD0A4A6-F3F6-47EC-BD41-89C4A4AFB2F1}" done="1">
    <text>This is for both groups together. NR by arm.</text>
  </threadedComment>
  <threadedComment ref="T1229" dT="2023-11-30T14:05:34.93" personId="{E08A2389-F34B-466D-8AA1-6ADBBDF0F7BF}" id="{C879F06A-E282-4F21-85B0-6BE894202962}" parentId="{8AD0A4A6-F3F6-47EC-BD41-89C4A4AFB2F1}">
    <text>agreed</text>
  </threadedComment>
  <threadedComment ref="M1230" dT="2023-05-22T09:21:07.08" personId="{3DE5673D-4837-4FC9-B8B9-34243175713A}" id="{21F5ADE5-93CA-42C8-9C47-466FDA9C8F13}" done="1">
    <text xml:space="preserve"> "... with 36% and 11% of LC cases diagnosed at an early stage in the active and control groups, respectively." 8/71 (11%) and 24/67 (36%) reported in Table 2 as stage I.</text>
  </threadedComment>
  <threadedComment ref="M1230" dT="2023-11-30T14:04:45.10" personId="{E08A2389-F34B-466D-8AA1-6ADBBDF0F7BF}" id="{61298D1A-0ABC-4D92-A3CF-00A8D69B6E2B}" parentId="{21F5ADE5-93CA-42C8-9C47-466FDA9C8F13}">
    <text>agreed</text>
  </threadedComment>
  <threadedComment ref="T1230" dT="2023-05-19T13:51:47.60" personId="{3DE5673D-4837-4FC9-B8B9-34243175713A}" id="{8DD4EA8C-E749-40CA-926A-19F26771CF72}" done="1">
    <text>This is for both groups together. NR by arm.</text>
  </threadedComment>
  <threadedComment ref="T1230" dT="2023-11-30T14:05:34.93" personId="{E08A2389-F34B-466D-8AA1-6ADBBDF0F7BF}" id="{D2A9A29E-72A9-41AB-8BF1-6A51A110BBFF}" parentId="{8DD4EA8C-E749-40CA-926A-19F26771CF72}">
    <text>agreed</text>
  </threadedComment>
  <threadedComment ref="M1231" dT="2023-05-22T09:21:07.08" personId="{3DE5673D-4837-4FC9-B8B9-34243175713A}" id="{450C0E99-8A10-459F-8B0A-E2DC03F85472}" done="1">
    <text xml:space="preserve"> "... with 36% and 11% of LC cases diagnosed at an early stage in the active and control groups, respectively." 8/71 (11%) and 24/67 (36%) reported in Table 2 as stage I.</text>
  </threadedComment>
  <threadedComment ref="M1231" dT="2023-11-30T14:04:45.10" personId="{E08A2389-F34B-466D-8AA1-6ADBBDF0F7BF}" id="{BACE931C-3BAC-4359-B3A0-2D699F01B896}" parentId="{450C0E99-8A10-459F-8B0A-E2DC03F85472}">
    <text>agreed</text>
  </threadedComment>
  <threadedComment ref="T1231" dT="2023-05-19T13:51:47.60" personId="{3DE5673D-4837-4FC9-B8B9-34243175713A}" id="{C13DB517-043C-4444-A887-905C07A3F308}" done="1">
    <text>This is for both groups together. NR by arm.</text>
  </threadedComment>
  <threadedComment ref="T1231" dT="2023-11-30T14:05:34.93" personId="{E08A2389-F34B-466D-8AA1-6ADBBDF0F7BF}" id="{DDE278B7-B03D-4C26-ACE0-05340474B8C4}" parentId="{C13DB517-043C-4444-A887-905C07A3F308}">
    <text>agreed</text>
  </threadedComment>
  <threadedComment ref="M1232" dT="2023-05-22T09:21:07.08" personId="{3DE5673D-4837-4FC9-B8B9-34243175713A}" id="{4FF9406C-B4DF-4F69-B7CA-3117B26E87ED}" done="1">
    <text xml:space="preserve"> "... with 36% and 11% of LC cases diagnosed at an early stage in the active and control groups, respectively." 8/71 (11%) and 24/67 (36%) reported in Table 2 as stage I.</text>
  </threadedComment>
  <threadedComment ref="M1232" dT="2023-11-30T14:04:45.10" personId="{E08A2389-F34B-466D-8AA1-6ADBBDF0F7BF}" id="{01B452B9-AB9C-404C-AA81-F7A9501703E0}" parentId="{4FF9406C-B4DF-4F69-B7CA-3117B26E87ED}">
    <text>agreed</text>
  </threadedComment>
  <threadedComment ref="T1232" dT="2023-05-19T13:51:47.60" personId="{3DE5673D-4837-4FC9-B8B9-34243175713A}" id="{938AB33D-18A1-4737-9E53-0A9A121D2735}" done="1">
    <text>This is for both groups together. NR by arm.</text>
  </threadedComment>
  <threadedComment ref="T1232" dT="2023-11-30T14:05:34.93" personId="{E08A2389-F34B-466D-8AA1-6ADBBDF0F7BF}" id="{7BB0BF65-AD33-4A85-A0FD-7AE2A825BCD6}" parentId="{938AB33D-18A1-4737-9E53-0A9A121D2735}">
    <text>agreed</text>
  </threadedComment>
  <threadedComment ref="M1233" dT="2023-05-22T09:21:07.08" personId="{3DE5673D-4837-4FC9-B8B9-34243175713A}" id="{F8E3BEF5-D036-4252-A3E8-28FB41098B70}" done="1">
    <text xml:space="preserve"> "... with 36% and 11% of LC cases diagnosed at an early stage in the active and control groups, respectively." 8/71 (11%) and 24/67 (36%) reported in Table 2 as stage I.</text>
  </threadedComment>
  <threadedComment ref="M1233" dT="2023-11-30T14:04:45.10" personId="{E08A2389-F34B-466D-8AA1-6ADBBDF0F7BF}" id="{8BA12813-6014-4779-BACD-6A9F199D14F0}" parentId="{F8E3BEF5-D036-4252-A3E8-28FB41098B70}">
    <text>agreed</text>
  </threadedComment>
  <threadedComment ref="T1233" dT="2023-05-19T13:51:47.60" personId="{3DE5673D-4837-4FC9-B8B9-34243175713A}" id="{CBEC69AA-6CDB-4885-8FC4-DA625873BF17}" done="1">
    <text>This is for both groups together. NR by arm.</text>
  </threadedComment>
  <threadedComment ref="T1233" dT="2023-11-30T14:05:34.93" personId="{E08A2389-F34B-466D-8AA1-6ADBBDF0F7BF}" id="{5CDFBCC6-0007-49EE-A407-569B69CDB77C}" parentId="{CBEC69AA-6CDB-4885-8FC4-DA625873BF17}">
    <text>agreed</text>
  </threadedComment>
  <threadedComment ref="R1234" dT="2023-05-22T08:38:04.52" personId="{3DE5673D-4837-4FC9-B8B9-34243175713A}" id="{A936A244-8E53-46E3-80E6-EE18A1A723D7}" done="1">
    <text>Screening period defined as 4 years after randomisation. Or should it be 3 years? 1 baseline screening and 3 annual repeat screens?</text>
  </threadedComment>
  <threadedComment ref="R1234" dT="2023-11-30T14:46:05.72" personId="{E08A2389-F34B-466D-8AA1-6ADBBDF0F7BF}" id="{CB5B2949-ACB7-486E-9F64-6156EFE9398F}" parentId="{A936A244-8E53-46E3-80E6-EE18A1A723D7}">
    <text>Looks like 4 years: baseline CT then 4 years of annual screening.</text>
  </threadedComment>
  <threadedComment ref="AH1235" dT="2023-05-22T10:44:23.64" personId="{3DE5673D-4837-4FC9-B8B9-34243175713A}" id="{ACC5356D-166E-4DC7-A643-AE7BD94B42B1}" done="1">
    <text>Should the denominator also include cancers identified in the post-screening period or should it be only screen-detected plus interval cancers?</text>
  </threadedComment>
  <threadedComment ref="AH1235" dT="2023-11-30T14:50:39.25" personId="{E08A2389-F34B-466D-8AA1-6ADBBDF0F7BF}" id="{CE8695F9-B9CC-49C8-9F48-6B4B2FD0636B}" parentId="{ACC5356D-166E-4DC7-A643-AE7BD94B42B1}">
    <text>Logically it should be during the screening period, or you couldn't accurately determine the number of screen-detected cancers.</text>
  </threadedComment>
  <threadedComment ref="AN1235" dT="2023-11-30T14:53:45.08" personId="{E08A2389-F34B-466D-8AA1-6ADBBDF0F7BF}" id="{620DCB9F-F561-4A29-A705-70ED6111CB3D}">
    <text>We haven't previously used % symbol. Might cause problems with analysis. Suggest we remove it.</text>
  </threadedComment>
  <threadedComment ref="S1236" dT="2023-05-22T10:42:48.09" personId="{3DE5673D-4837-4FC9-B8B9-34243175713A}" id="{8B44EE34-491C-4539-ABB2-DDE3B4E0E900}" done="1">
    <text>Median follow-up for the whole study, not by arm.</text>
  </threadedComment>
  <threadedComment ref="T1236" dT="2023-05-22T10:42:48.09" personId="{3DE5673D-4837-4FC9-B8B9-34243175713A}" id="{E4AB87A1-66D4-439B-98FF-11CD07DEA6EF}" done="1">
    <text>Median follow-up for the whole study, not by arm.</text>
  </threadedComment>
  <threadedComment ref="AN1236" dT="2023-11-30T14:53:45.08" personId="{E08A2389-F34B-466D-8AA1-6ADBBDF0F7BF}" id="{D4D3F777-0A3B-406D-BCF5-27EBE238737B}">
    <text>We haven't previously used % symbol. Might cause problems with analysis. Suggest we remove it.</text>
  </threadedComment>
  <threadedComment ref="S1237" dT="2023-05-22T10:42:48.09" personId="{3DE5673D-4837-4FC9-B8B9-34243175713A}" id="{83DE71E0-3BE1-41F0-839F-8ED7DD3F2319}" done="1">
    <text>Median follow-up for the whole study, not by arm.</text>
  </threadedComment>
  <threadedComment ref="T1237" dT="2023-05-22T10:42:48.09" personId="{3DE5673D-4837-4FC9-B8B9-34243175713A}" id="{74D1F1FC-8B7C-4940-905E-B39772DA6661}" done="1">
    <text>Median follow-up for the whole study, not by arm.</text>
  </threadedComment>
  <threadedComment ref="S1238" dT="2023-05-22T10:42:48.09" personId="{3DE5673D-4837-4FC9-B8B9-34243175713A}" id="{322C41B8-77CE-4EAB-8548-DF7C1B61742B}" done="1">
    <text>Median follow-up for the whole study, not by arm.</text>
  </threadedComment>
  <threadedComment ref="T1238" dT="2023-05-22T10:42:48.09" personId="{3DE5673D-4837-4FC9-B8B9-34243175713A}" id="{70E01A17-798F-4661-B782-439BE0A07BA4}" done="1">
    <text>Median follow-up for the whole study, not by arm.</text>
  </threadedComment>
  <threadedComment ref="S1239" dT="2023-05-22T10:42:48.09" personId="{3DE5673D-4837-4FC9-B8B9-34243175713A}" id="{E0064818-4304-4C1A-A20D-69D53E516198}" done="1">
    <text>Median follow-up for the whole study, not by arm.</text>
  </threadedComment>
  <threadedComment ref="T1239" dT="2023-05-22T10:42:48.09" personId="{3DE5673D-4837-4FC9-B8B9-34243175713A}" id="{C7FD9D40-D21A-48D0-9BB5-22F185AF0919}" done="1">
    <text>Median follow-up for the whole study, not by arm.</text>
  </threadedComment>
  <threadedComment ref="S1240" dT="2023-05-22T10:42:48.09" personId="{3DE5673D-4837-4FC9-B8B9-34243175713A}" id="{BAA45C69-A1EF-4621-B85B-8392ABCD4E80}" done="1">
    <text>Median follow-up for the whole study, not by arm.</text>
  </threadedComment>
  <threadedComment ref="T1240" dT="2023-05-22T10:42:48.09" personId="{3DE5673D-4837-4FC9-B8B9-34243175713A}" id="{C8E1BA61-DD85-4266-844B-FBE12126C7A7}" done="1">
    <text>Median follow-up for the whole study, not by arm.</text>
  </threadedComment>
  <threadedComment ref="S1241" dT="2023-05-22T10:42:48.09" personId="{3DE5673D-4837-4FC9-B8B9-34243175713A}" id="{B1628DBC-1E2B-4F53-B729-DAC619769AFB}" done="1">
    <text>Median follow-up for the whole study, not by arm.</text>
  </threadedComment>
  <threadedComment ref="T1241" dT="2023-05-22T10:42:48.09" personId="{3DE5673D-4837-4FC9-B8B9-34243175713A}" id="{CE6BB9AD-6C03-4B7E-99E9-818DDBAADFDE}" done="1">
    <text>Median follow-up for the whole study, not by arm.</text>
  </threadedComment>
  <threadedComment ref="S1242" dT="2023-05-22T10:42:48.09" personId="{3DE5673D-4837-4FC9-B8B9-34243175713A}" id="{C25794B7-52C5-4DD8-B508-4F8842957083}" done="1">
    <text>Median follow-up for the whole study, not by arm.</text>
  </threadedComment>
  <threadedComment ref="T1242" dT="2023-05-22T10:42:48.09" personId="{3DE5673D-4837-4FC9-B8B9-34243175713A}" id="{B4A0107B-4045-4BDF-9485-0AF1B480140A}" done="1">
    <text>Median follow-up for the whole study, not by arm.</text>
  </threadedComment>
  <threadedComment ref="S1243" dT="2023-05-22T10:42:48.09" personId="{3DE5673D-4837-4FC9-B8B9-34243175713A}" id="{81B980AF-C9F7-4EDA-85DA-89E95AD3500C}" done="1">
    <text>Median follow-up for the whole study, not by arm.</text>
  </threadedComment>
  <threadedComment ref="T1243" dT="2023-05-22T10:42:48.09" personId="{3DE5673D-4837-4FC9-B8B9-34243175713A}" id="{0A7FA8B7-85FE-41BB-B88D-E5310CEF5A18}" done="1">
    <text>Median follow-up for the whole study, not by arm.</text>
  </threadedComment>
  <threadedComment ref="S1244" dT="2023-05-22T10:42:48.09" personId="{3DE5673D-4837-4FC9-B8B9-34243175713A}" id="{C93E6A4A-67F2-4A2F-AE5B-97B6B4D9FB6E}" done="1">
    <text>Median follow-up for the whole study, not by arm.</text>
  </threadedComment>
  <threadedComment ref="T1244" dT="2023-05-22T10:42:48.09" personId="{3DE5673D-4837-4FC9-B8B9-34243175713A}" id="{1BD76A18-3933-4C03-A800-5DD63894FA0A}" done="1">
    <text>Median follow-up for the whole study, not by arm.</text>
  </threadedComment>
  <threadedComment ref="S1245" dT="2023-05-22T10:42:48.09" personId="{3DE5673D-4837-4FC9-B8B9-34243175713A}" id="{920DAD73-1AB1-40FB-A475-CB22DD8B4238}" done="1">
    <text>Median follow-up for the whole study, not by arm.</text>
  </threadedComment>
  <threadedComment ref="T1245" dT="2023-05-22T10:42:48.09" personId="{3DE5673D-4837-4FC9-B8B9-34243175713A}" id="{AE02681D-A933-48F9-A820-62A3A1DDE5AB}" done="1">
    <text>Median follow-up for the whole study, not by arm.</text>
  </threadedComment>
  <threadedComment ref="S1246" dT="2023-05-22T10:42:48.09" personId="{3DE5673D-4837-4FC9-B8B9-34243175713A}" id="{59F734DB-4559-4E35-9E42-0FC675D1AB0A}" done="1">
    <text>Median follow-up for the whole study, not by arm.</text>
  </threadedComment>
  <threadedComment ref="T1246" dT="2023-05-22T10:42:48.09" personId="{3DE5673D-4837-4FC9-B8B9-34243175713A}" id="{751ECB6A-2900-4F2E-9AFF-904E5367E510}" done="1">
    <text>Median follow-up for the whole study, not by arm.</text>
  </threadedComment>
  <threadedComment ref="S1247" dT="2023-05-22T10:42:48.09" personId="{3DE5673D-4837-4FC9-B8B9-34243175713A}" id="{F6F838F2-54C3-414B-A09D-0917F66D0B65}" done="1">
    <text>Median follow-up for the whole study, not by arm.</text>
  </threadedComment>
  <threadedComment ref="T1247" dT="2023-05-22T10:42:48.09" personId="{3DE5673D-4837-4FC9-B8B9-34243175713A}" id="{97E8E0C5-FAF6-493A-AA80-0A826A7A1380}" done="1">
    <text>Median follow-up for the whole study, not by arm.</text>
  </threadedComment>
  <threadedComment ref="Y1248" dT="2023-12-15T16:26:01.78" personId="{E08A2389-F34B-466D-8AA1-6ADBBDF0F7BF}" id="{082994A7-4C84-45AE-A7C5-C1F9DC89C5F7}" done="1">
    <text>"approximately" 21,000!</text>
  </threadedComment>
  <threadedComment ref="Y1248" dT="2023-12-15T16:26:46.39" personId="{E08A2389-F34B-466D-8AA1-6ADBBDF0F7BF}" id="{83D37B65-C43F-4EC1-8113-516CA2468B02}" parentId="{082994A7-4C84-45AE-A7C5-C1F9DC89C5F7}">
    <text>Nothing we can do about that though.</text>
  </threadedComment>
  <threadedComment ref="AI1250" dT="2023-09-13T07:53:25.88" personId="{3DE5673D-4837-4FC9-B8B9-34243175713A}" id="{22C1774D-27B9-487E-BD3A-E9937FF34112}" done="1">
    <text>Estimated from % reported in Table III.</text>
  </threadedComment>
  <threadedComment ref="AI1250" dT="2023-12-15T16:37:33.16" personId="{E08A2389-F34B-466D-8AA1-6ADBBDF0F7BF}" id="{FB62D423-3747-46DD-B3C6-C42CC88FA510}" parentId="{22C1774D-27B9-487E-BD3A-E9937FF34112}">
    <text xml:space="preserve">I make it 111.
	N	n	%
s1	118	51	0.43
s2	58	28	0.48
s3	46	21	0.46
interval	50	7	0.14
non-part	46	4	0.09
all	318	111	
</text>
  </threadedComment>
  <threadedComment ref="AI1250" dT="2023-12-18T14:30:05.80" personId="{3DE5673D-4837-4FC9-B8B9-34243175713A}" id="{1D4FA760-4EDA-474D-8600-9E18E4535424}" parentId="{22C1774D-27B9-487E-BD3A-E9937FF34112}">
    <text>Agree.</text>
  </threadedComment>
  <threadedComment ref="AJ1250" dT="2023-09-13T07:53:55.33" personId="{3DE5673D-4837-4FC9-B8B9-34243175713A}" id="{703B6560-3AA8-405B-B22A-2A716AA5BB00}" done="1">
    <text>Estimated from % reported in Table III.</text>
  </threadedComment>
  <threadedComment ref="AJ1250" dT="2023-12-15T16:44:09.47" personId="{E08A2389-F34B-466D-8AA1-6ADBBDF0F7BF}" id="{60698D7E-39FF-4336-8202-26486B863865}" parentId="{703B6560-3AA8-405B-B22A-2A716AA5BB00}">
    <text>agree</text>
  </threadedComment>
  <threadedComment ref="AO1250" dT="2023-12-15T16:45:06.19" personId="{E08A2389-F34B-466D-8AA1-6ADBBDF0F7BF}" id="{6CF53FA7-A5C2-4AA1-94FC-AA69C8505288}" done="1">
    <text>5.29 if it's 211/21000</text>
  </threadedComment>
  <threadedComment ref="AI1251" dT="2023-09-13T07:53:25.88" personId="{3DE5673D-4837-4FC9-B8B9-34243175713A}" id="{1B07CCC8-5368-4F21-9514-912AD22B60B5}" done="1">
    <text>Estimated from % reported in Table III.</text>
  </threadedComment>
  <threadedComment ref="AI1251" dT="2023-12-15T16:39:41.07" personId="{E08A2389-F34B-466D-8AA1-6ADBBDF0F7BF}" id="{B0306FC4-0BD6-4586-BA9E-7A61CCFB6D53}" parentId="{1B07CCC8-5368-4F21-9514-912AD22B60B5}">
    <text>agree</text>
  </threadedComment>
  <threadedComment ref="AJ1251" dT="2023-09-13T07:53:55.33" personId="{3DE5673D-4837-4FC9-B8B9-34243175713A}" id="{48EDB60E-FEAB-4CC3-9D98-97564FA1CCCE}" done="1">
    <text>Estimated from % reported in Table III.</text>
  </threadedComment>
  <threadedComment ref="AJ1251" dT="2023-12-15T16:44:06.17" personId="{E08A2389-F34B-466D-8AA1-6ADBBDF0F7BF}" id="{6010672D-A55D-41BB-A429-DDDB6D022195}" parentId="{48EDB60E-FEAB-4CC3-9D98-97564FA1CCCE}">
    <text>agree</text>
  </threadedComment>
  <threadedComment ref="AI1252" dT="2023-09-13T07:53:25.88" personId="{3DE5673D-4837-4FC9-B8B9-34243175713A}" id="{689CF49B-16FE-4910-8331-FFA56C98BC19}" done="1">
    <text>Estimated from % reported in Table IV.</text>
  </threadedComment>
  <threadedComment ref="AI1252" dT="2023-12-15T16:54:11.17" personId="{E08A2389-F34B-466D-8AA1-6ADBBDF0F7BF}" id="{2D62AD82-E817-46EB-892C-B69040D33F24}" parentId="{689CF49B-16FE-4910-8331-FFA56C98BC19}">
    <text>agree</text>
  </threadedComment>
  <threadedComment ref="AJ1252" dT="2023-09-13T07:53:55.33" personId="{3DE5673D-4837-4FC9-B8B9-34243175713A}" id="{1E04E098-E836-4D1B-85C0-ECDBA9C5A901}" done="1">
    <text>Estimated from % reported in Table IV.</text>
  </threadedComment>
  <threadedComment ref="AJ1252" dT="2023-12-15T16:58:15.57" personId="{E08A2389-F34B-466D-8AA1-6ADBBDF0F7BF}" id="{090ED15F-8D98-4907-A19E-DB7DCB0FD313}" parentId="{1E04E098-E836-4D1B-85C0-ECDBA9C5A901}">
    <text>agree</text>
  </threadedComment>
  <threadedComment ref="AI1253" dT="2023-09-13T07:53:25.88" personId="{3DE5673D-4837-4FC9-B8B9-34243175713A}" id="{3530B067-9144-49CC-9B9A-F2A1D1CA58D3}" done="1">
    <text>Estimated from % reported in Table IV.</text>
  </threadedComment>
  <threadedComment ref="AI1253" dT="2023-12-15T16:55:49.99" personId="{E08A2389-F34B-466D-8AA1-6ADBBDF0F7BF}" id="{63E4AF5F-76CC-44A0-836C-83C286EFC892}" parentId="{3530B067-9144-49CC-9B9A-F2A1D1CA58D3}">
    <text xml:space="preserve">I made it 97.
	%	N	n
s1	0.2	118	24
s2	0.26	58	15
s3	0.17	46	8
interval	0.42	50	21
non-part	0.65	46	30
cont	0.52	204	106
s1-3 + int + non			97
</text>
  </threadedComment>
  <threadedComment ref="AI1253" dT="2023-12-18T14:35:03.84" personId="{3DE5673D-4837-4FC9-B8B9-34243175713A}" id="{08D508BA-0065-4703-A02B-FDC2F11771DC}" parentId="{3530B067-9144-49CC-9B9A-F2A1D1CA58D3}">
    <text>Agree with your numbers, but they add up to 98?</text>
  </threadedComment>
  <threadedComment ref="AI1253" dT="2023-12-18T16:00:16.76" personId="{E08A2389-F34B-466D-8AA1-6ADBBDF0F7BF}" id="{C13B2F32-44B5-4D42-B2B0-CB0603211D89}" parentId="{3530B067-9144-49CC-9B9A-F2A1D1CA58D3}">
    <text xml:space="preserve">You're right. Oh dear. My poor brain!
</text>
  </threadedComment>
  <threadedComment ref="AJ1253" dT="2023-09-13T07:53:55.33" personId="{3DE5673D-4837-4FC9-B8B9-34243175713A}" id="{4A2FD4DD-FE52-419B-8514-DB8A850ABF7A}" done="1">
    <text>Estimated from % reported in Table IV.</text>
  </threadedComment>
  <threadedComment ref="AJ1253" dT="2023-12-15T16:58:11.04" personId="{E08A2389-F34B-466D-8AA1-6ADBBDF0F7BF}" id="{87FF1737-0FF2-4E06-8C44-674837607E79}" parentId="{4A2FD4DD-FE52-419B-8514-DB8A850ABF7A}">
    <text>agree</text>
  </threadedComment>
  <threadedComment ref="AI1254" dT="2023-09-13T07:53:25.88" personId="{3DE5673D-4837-4FC9-B8B9-34243175713A}" id="{28B07B20-6AC6-48A6-A484-51624F448C28}" done="1">
    <text>Estimated from % reported in Table IV.</text>
  </threadedComment>
  <threadedComment ref="AI1254" dT="2023-12-15T16:58:02.78" personId="{E08A2389-F34B-466D-8AA1-6ADBBDF0F7BF}" id="{A9559D67-F3A4-41EA-88EE-80E9458308AF}" parentId="{28B07B20-6AC6-48A6-A484-51624F448C28}">
    <text xml:space="preserve">I made it 97.
	%	N	n
s1	0.2	118	24
s2	0.26	58	15
s3	0.17	46	8
interval	0.42	50	21
non-part	0.65	46	30
cont	0.52	204	106
s1-3 + int + non			97
</text>
  </threadedComment>
  <threadedComment ref="AI1254" dT="2023-12-18T14:35:36.60" personId="{3DE5673D-4837-4FC9-B8B9-34243175713A}" id="{8CDA678B-0CC7-43A9-9F21-CAD709AF1A6A}" parentId="{28B07B20-6AC6-48A6-A484-51624F448C28}">
    <text>Agree with your numbers, but they add up to 98?</text>
  </threadedComment>
  <threadedComment ref="AI1254" dT="2023-12-18T15:58:27.52" personId="{E08A2389-F34B-466D-8AA1-6ADBBDF0F7BF}" id="{CF988742-B53A-47B4-BAB6-371C031EC5EE}" parentId="{28B07B20-6AC6-48A6-A484-51624F448C28}">
    <text>You're right. Oh dear. My poor brain!</text>
  </threadedComment>
  <threadedComment ref="AJ1254" dT="2023-09-13T07:53:55.33" personId="{3DE5673D-4837-4FC9-B8B9-34243175713A}" id="{C83CEC03-8AA6-4C39-AF1B-E49EA7376B7C}" done="1">
    <text>Estimated from % reported in Table IV.</text>
  </threadedComment>
  <threadedComment ref="AJ1254" dT="2023-12-15T16:58:20.30" personId="{E08A2389-F34B-466D-8AA1-6ADBBDF0F7BF}" id="{987F4131-1D74-4B11-99FA-50468A6DCA35}" parentId="{C83CEC03-8AA6-4C39-AF1B-E49EA7376B7C}">
    <text>agree</text>
  </threadedComment>
  <threadedComment ref="AI1256" dT="2023-12-15T17:05:18.16" personId="{E08A2389-F34B-466D-8AA1-6ADBBDF0F7BF}" id="{A6292F0E-B9F8-4AC7-A44B-095A6A6BC285}" done="1">
    <text>222?
From Table 2
Screening 1 n = 118
Screening 2 n = 58
Screening 3 n = 46
118+58+46 = 222</text>
  </threadedComment>
  <threadedComment ref="AI1256" dT="2023-12-18T14:42:52.22" personId="{3DE5673D-4837-4FC9-B8B9-34243175713A}" id="{96D0BE0F-79BE-44C0-9EFA-D666B0F4B570}" parentId="{A6292F0E-B9F8-4AC7-A44B-095A6A6BC285}">
    <text>Sorry, data in columns A and B are wrong. Should be Andersson 1987 (#3853).
The 222 from Andersson 1985 has been extracted above.</text>
  </threadedComment>
  <threadedComment ref="AI1256" dT="2023-12-18T16:02:24.08" personId="{E08A2389-F34B-466D-8AA1-6ADBBDF0F7BF}" id="{DE123405-C607-49DE-9B6A-6BD37ADEF7B9}" parentId="{A6292F0E-B9F8-4AC7-A44B-095A6A6BC285}">
    <text>Whoops! Agree with you</text>
  </threadedComment>
  <threadedComment ref="BF1256" dT="2023-12-15T17:10:15.28" personId="{E08A2389-F34B-466D-8AA1-6ADBBDF0F7BF}" id="{E2AD283F-01D0-460A-A320-A6A86FC9D669}" done="1">
    <text>I can't see this line in the paper</text>
  </threadedComment>
  <threadedComment ref="BF1256" dT="2023-12-18T14:49:24.34" personId="{3DE5673D-4837-4FC9-B8B9-34243175713A}" id="{8E341AA8-E286-4101-B541-354F521205BB}" parentId="{E2AD283F-01D0-460A-A320-A6A86FC9D669}">
    <text>Corrected paper and Endnote ID in columns A and B.</text>
  </threadedComment>
  <threadedComment ref="BF1256" dT="2023-12-18T16:02:43.32" personId="{E08A2389-F34B-466D-8AA1-6ADBBDF0F7BF}" id="{85680622-04D6-4FAE-9084-05C7FD0A4774}" parentId="{E2AD283F-01D0-460A-A320-A6A86FC9D669}">
    <text>Got it</text>
  </threadedComment>
  <threadedComment ref="AI1257" dT="2023-12-15T17:05:31.95" personId="{E08A2389-F34B-466D-8AA1-6ADBBDF0F7BF}" id="{2224DAA0-9C30-4326-9EF5-85F4FF97B036}" done="1">
    <text>222?
From Table 2
Screening 1 n = 118
Screening 2 n = 58
Screening 3 n = 46
118+58+46 = 222</text>
  </threadedComment>
  <threadedComment ref="AI1257" dT="2023-12-18T14:44:21.51" personId="{3DE5673D-4837-4FC9-B8B9-34243175713A}" id="{8A2E5BCA-CDFE-486F-91F2-2BD9859AA16C}" parentId="{2224DAA0-9C30-4326-9EF5-85F4FF97B036}">
    <text>Sorry, data in columns A and B are wrong. Should be Andersson 1987 (#3853).
The 222 from Andersson 1985 has been extracted above.</text>
  </threadedComment>
  <threadedComment ref="AI1257" dT="2023-12-18T16:02:29.60" personId="{E08A2389-F34B-466D-8AA1-6ADBBDF0F7BF}" id="{5703573C-95D8-41AF-AFAE-4B05B334D9EB}" parentId="{2224DAA0-9C30-4326-9EF5-85F4FF97B036}">
    <text xml:space="preserve">Whoops! Agree with you
</text>
  </threadedComment>
  <threadedComment ref="AK1257" dT="2023-12-15T17:08:47.66" personId="{E08A2389-F34B-466D-8AA1-6ADBBDF0F7BF}" id="{ED5849A2-DA3A-4FE5-A487-FDF659E8DE9E}" done="1">
    <text xml:space="preserve">318?
From table 2
Total invited group n = 318
</text>
  </threadedComment>
  <threadedComment ref="AK1257" dT="2023-12-18T14:46:57.04" personId="{3DE5673D-4837-4FC9-B8B9-34243175713A}" id="{1127D20B-8398-4B7A-9524-F3906BBB86BF}" parentId="{ED5849A2-DA3A-4FE5-A487-FDF659E8DE9E}">
    <text>That was already extracted above.
From the colouring of the lines (green), this row reports data from Andersson 1987 (#3853). I corrected columns A and B.</text>
  </threadedComment>
  <threadedComment ref="AK1257" dT="2023-12-18T16:03:22.58" personId="{E08A2389-F34B-466D-8AA1-6ADBBDF0F7BF}" id="{DC7D5DCD-9465-4C6B-A492-3954ED31FF0E}" parentId="{ED5849A2-DA3A-4FE5-A487-FDF659E8DE9E}">
    <text>Got it. Agree with you.</text>
  </threadedComment>
  <threadedComment ref="AO1257" dT="2023-12-15T17:09:33.65" personId="{E08A2389-F34B-466D-8AA1-6ADBBDF0F7BF}" id="{DE49D973-80C2-4039-A8E8-660736CC7469}" done="1">
    <text>69.8%
222*100/318 = 69.8%</text>
  </threadedComment>
  <threadedComment ref="AO1257" dT="2023-12-18T14:48:57.20" personId="{3DE5673D-4837-4FC9-B8B9-34243175713A}" id="{1DEDB711-CB3B-4BE7-9E33-6B35D948DBD0}" parentId="{DE49D973-80C2-4039-A8E8-660736CC7469}">
    <text>That has been extracted above. Please check paper Andersson 1987 (#2853).
Should be 332/509=65.2%.</text>
  </threadedComment>
  <threadedComment ref="AO1257" dT="2023-12-18T16:03:37.31" personId="{E08A2389-F34B-466D-8AA1-6ADBBDF0F7BF}" id="{5A4BA1B0-3EB6-454D-9258-295BC8F9712A}" parentId="{DE49D973-80C2-4039-A8E8-660736CC7469}">
    <text>My mistake. Agree with you.</text>
  </threadedComment>
  <threadedComment ref="BF1257" dT="2023-12-15T17:10:22.41" personId="{E08A2389-F34B-466D-8AA1-6ADBBDF0F7BF}" id="{AA092186-5ED9-4984-AE42-305AE37A416E}" done="1">
    <text>I can't see this line in the paper</text>
  </threadedComment>
  <threadedComment ref="BF1257" dT="2023-12-18T14:49:28.42" personId="{3DE5673D-4837-4FC9-B8B9-34243175713A}" id="{36C6DAA9-70AC-41C8-9512-5EAB8849A522}" parentId="{AA092186-5ED9-4984-AE42-305AE37A416E}">
    <text>Corrected paper and Endnote ID in columns A and B.</text>
  </threadedComment>
  <threadedComment ref="BF1257" dT="2023-12-18T16:02:53.29" personId="{E08A2389-F34B-466D-8AA1-6ADBBDF0F7BF}" id="{F9C70398-2F0A-4FB5-986A-43B4A5AFED54}" parentId="{AA092186-5ED9-4984-AE42-305AE37A416E}">
    <text>Got it</text>
  </threadedComment>
  <threadedComment ref="A1259" dT="2023-09-13T08:58:34.48" personId="{3DE5673D-4837-4FC9-B8B9-34243175713A}" id="{7D526899-1B34-4337-A7E3-59A9C6C9E815}" done="1">
    <text>Also reports numbers with stage II-IV cancers by age group, but we don't have a denominator.
I haven't extracted data where cancers detected in the first screening round have been excluded.</text>
  </threadedComment>
  <threadedComment ref="A1259" dT="2023-12-18T16:04:15.63" personId="{E08A2389-F34B-466D-8AA1-6ADBBDF0F7BF}" id="{CB7CB300-2FBA-42BA-BFC0-1ED24B372F44}" parentId="{7D526899-1B34-4337-A7E3-59A9C6C9E815}">
    <text>agreed</text>
  </threadedComment>
  <threadedComment ref="A1282" dT="2023-12-18T16:07:51.29" personId="{E08A2389-F34B-466D-8AA1-6ADBBDF0F7BF}" id="{FA59D4CB-6F1B-4816-AD65-E3DBCFF88DD5}" done="1">
    <text>I agree with this row of info.</text>
  </threadedComment>
  <threadedComment ref="AG1286" dT="2023-12-14T14:53:55.88" personId="{E08A2389-F34B-466D-8AA1-6ADBBDF0F7BF}" id="{6348A245-9D11-4FEC-86D1-8A32B7505C8F}" done="1">
    <text>I can't understand this table! 
There were 59 cancers total in the screening arms: 36 stage 1, 20 stage 3. So I assume 3 stage 2. But what the heck are the "curative" ones?! Any stage?</text>
  </threadedComment>
  <threadedComment ref="AG1286" dT="2023-12-18T09:22:02.21" personId="{3DE5673D-4837-4FC9-B8B9-34243175713A}" id="{39EFE500-7A06-448C-A534-9404E11BC724}" parentId="{6348A245-9D11-4FEC-86D1-8A32B7505C8F}">
    <text>These are cancers that could be resected, I suppose. Possibly the stage I ones and some stage II cancers?</text>
  </threadedComment>
  <threadedComment ref="AG1286" dT="2024-01-25T11:40:11.22" personId="{E08A2389-F34B-466D-8AA1-6ADBBDF0F7BF}" id="{632E20C9-D74B-44CD-9365-DC0B616A89E3}" parentId="{6348A245-9D11-4FEC-86D1-8A32B7505C8F}">
    <text xml:space="preserve">That makes sense. </text>
  </threadedComment>
  <threadedComment ref="BF1291" dT="2023-06-02T14:22:23.81" personId="{3DE5673D-4837-4FC9-B8B9-34243175713A}" id="{72559BB0-2EB2-4C00-B9A4-F54D37DD3640}" done="1">
    <text>Text in abstract and numbers in Table 1 are not consistent???</text>
  </threadedComment>
  <threadedComment ref="BF1291" dT="2023-12-14T15:59:54.61" personId="{E08A2389-F34B-466D-8AA1-6ADBBDF0F7BF}" id="{ED009A39-4AEA-4E07-BFD5-27314177FDE4}" parentId="{72559BB0-2EB2-4C00-B9A4-F54D37DD3640}">
    <text>And they're not even just a little bit different!
The table and text are consistent.</text>
  </threadedComment>
  <threadedComment ref="BF1291" dT="2023-12-18T09:37:59.71" personId="{3DE5673D-4837-4FC9-B8B9-34243175713A}" id="{9D9397F5-75A7-4F86-82F9-4B180E5C5DA9}" parentId="{72559BB0-2EB2-4C00-B9A4-F54D37DD3640}">
    <text>Added the issue to the notes field.</text>
  </threadedComment>
  <threadedComment ref="BF1292" dT="2023-06-02T14:22:23.81" personId="{3DE5673D-4837-4FC9-B8B9-34243175713A}" id="{493B2CDE-3847-407D-B418-41B84EEB6DF3}" done="1">
    <text>Text in abstract and numbers in Table 1 are not consistent???</text>
  </threadedComment>
  <threadedComment ref="BF1292" dT="2023-12-14T15:59:54.61" personId="{E08A2389-F34B-466D-8AA1-6ADBBDF0F7BF}" id="{EE14A412-DA3E-4EEC-97AF-C0DE15047C32}" parentId="{493B2CDE-3847-407D-B418-41B84EEB6DF3}">
    <text>And they're not even just a little bit different!
The table and text are consistent.</text>
  </threadedComment>
  <threadedComment ref="BF1292" dT="2023-12-18T09:37:59.71" personId="{3DE5673D-4837-4FC9-B8B9-34243175713A}" id="{63A65362-28B9-4CB2-B49B-94592AC89B8E}" parentId="{493B2CDE-3847-407D-B418-41B84EEB6DF3}">
    <text>Added the issue to the notes field.</text>
  </threadedComment>
  <threadedComment ref="S1311" dT="2023-06-05T08:53:54.80" personId="{3DE5673D-4837-4FC9-B8B9-34243175713A}" id="{3BA535EE-CFA5-44DB-8FD0-F31BFF8ABB06}" done="1">
    <text>"Postscreening observation in both groups ranged from 1 to 5.5 years (average, 3 years)." plus 6 year screening period?</text>
  </threadedComment>
  <threadedComment ref="S1311" dT="2023-12-14T18:08:14.05" personId="{E08A2389-F34B-466D-8AA1-6ADBBDF0F7BF}" id="{CF4C1EFF-65AB-48A4-8B06-7D8459EB9449}" parentId="{3BA535EE-CFA5-44DB-8FD0-F31BFF8ABB06}">
    <text>Sounds reasonable.</text>
  </threadedComment>
  <threadedComment ref="S1311" dT="2023-12-18T09:40:12.76" personId="{3DE5673D-4837-4FC9-B8B9-34243175713A}" id="{DD0247BC-7ADF-4542-8B3D-9C279C1E9321}" parentId="{3BA535EE-CFA5-44DB-8FD0-F31BFF8ABB06}">
    <text>Added to notes field.</text>
  </threadedComment>
  <threadedComment ref="S1312" dT="2023-06-05T08:53:54.80" personId="{3DE5673D-4837-4FC9-B8B9-34243175713A}" id="{2977C06D-1CD2-4B91-A076-D0969D8F26EE}" done="1">
    <text>"Postscreening observation in both groups ranged from 1 to 5.5 years (average, 3 years)." plus 6 year screening period?</text>
  </threadedComment>
  <threadedComment ref="S1312" dT="2023-12-14T18:08:14.05" personId="{E08A2389-F34B-466D-8AA1-6ADBBDF0F7BF}" id="{FBD733AB-996D-4380-B82B-F5DE864E1A90}" parentId="{2977C06D-1CD2-4B91-A076-D0969D8F26EE}">
    <text>Sounds reasonable.</text>
  </threadedComment>
  <threadedComment ref="S1312" dT="2023-12-18T09:40:12.76" personId="{3DE5673D-4837-4FC9-B8B9-34243175713A}" id="{0E6A1BF4-5279-4F6F-AF20-A85C56CBEB67}" parentId="{2977C06D-1CD2-4B91-A076-D0969D8F26EE}">
    <text>Added to notes field.</text>
  </threadedComment>
  <threadedComment ref="S1314" dT="2023-06-05T08:53:54.80" personId="{3DE5673D-4837-4FC9-B8B9-34243175713A}" id="{16462F47-AF71-4BD8-B632-2A41D96AF906}" done="1">
    <text>"Postscreening observation in both groups ranged from 1 to 5.5 years (average, 3 years)." plus 6 year screening period?</text>
  </threadedComment>
  <threadedComment ref="S1314" dT="2023-12-14T18:08:14.05" personId="{E08A2389-F34B-466D-8AA1-6ADBBDF0F7BF}" id="{A53E5740-2321-4976-A320-09D58DA7D999}" parentId="{16462F47-AF71-4BD8-B632-2A41D96AF906}">
    <text>Sounds reasonable.</text>
  </threadedComment>
  <threadedComment ref="S1314" dT="2023-12-18T09:40:12.76" personId="{3DE5673D-4837-4FC9-B8B9-34243175713A}" id="{51DE62BF-25F7-45FA-8756-16A87593EA47}" parentId="{16462F47-AF71-4BD8-B632-2A41D96AF906}">
    <text>Added to notes field.</text>
  </threadedComment>
  <threadedComment ref="T1314" dT="2023-06-05T08:53:54.80" personId="{3DE5673D-4837-4FC9-B8B9-34243175713A}" id="{C210D252-CAD0-43AC-85C5-1B0C601C376A}" done="1">
    <text>"Postscreening observation in both groups ranged from 1 to 5.5 years (average, 3 years)." plus 6 year screening period?</text>
  </threadedComment>
  <threadedComment ref="T1314" dT="2023-12-14T18:08:14.05" personId="{E08A2389-F34B-466D-8AA1-6ADBBDF0F7BF}" id="{4E987D32-16B9-4AE0-8A48-6EE74DCCDCD4}" parentId="{C210D252-CAD0-43AC-85C5-1B0C601C376A}">
    <text>Sounds reasonable.</text>
  </threadedComment>
  <threadedComment ref="T1314" dT="2023-12-18T09:40:12.76" personId="{3DE5673D-4837-4FC9-B8B9-34243175713A}" id="{C36E312C-80B1-418E-8CBF-70EA2F9EB3D9}" parentId="{C210D252-CAD0-43AC-85C5-1B0C601C376A}">
    <text>Added to notes field.</text>
  </threadedComment>
  <threadedComment ref="S1316" dT="2023-06-05T08:53:54.80" personId="{3DE5673D-4837-4FC9-B8B9-34243175713A}" id="{2A3BB533-3CD9-405F-80D6-7B54264F1D11}" done="1">
    <text>"Postscreening observation in both groups ranged from 1 to 5.5 years (average, 3 years)." plus 6 year screening period?</text>
  </threadedComment>
  <threadedComment ref="S1316" dT="2023-12-14T18:08:14.05" personId="{E08A2389-F34B-466D-8AA1-6ADBBDF0F7BF}" id="{0E648185-42B6-4D47-B93D-5D1AB972A0F9}" parentId="{2A3BB533-3CD9-405F-80D6-7B54264F1D11}">
    <text>Sounds reasonable.</text>
  </threadedComment>
  <threadedComment ref="S1316" dT="2023-12-18T09:40:12.76" personId="{3DE5673D-4837-4FC9-B8B9-34243175713A}" id="{B144CAB4-89D1-4CFC-B349-12538521086F}" parentId="{2A3BB533-3CD9-405F-80D6-7B54264F1D11}">
    <text>Added to notes field.</text>
  </threadedComment>
  <threadedComment ref="T1316" dT="2023-06-05T08:53:54.80" personId="{3DE5673D-4837-4FC9-B8B9-34243175713A}" id="{57D35DD1-00FD-4E98-AA1D-80FFC6C165D7}" done="1">
    <text>"Postscreening observation in both groups ranged from 1 to 5.5 years (average, 3 years)." plus 6 year screening period?</text>
  </threadedComment>
  <threadedComment ref="T1316" dT="2023-12-14T18:08:14.05" personId="{E08A2389-F34B-466D-8AA1-6ADBBDF0F7BF}" id="{2BEDD9CC-B118-44C7-916D-F0DEAA71FEBC}" parentId="{57D35DD1-00FD-4E98-AA1D-80FFC6C165D7}">
    <text>Sounds reasonable.</text>
  </threadedComment>
  <threadedComment ref="T1316" dT="2023-12-18T09:40:12.76" personId="{3DE5673D-4837-4FC9-B8B9-34243175713A}" id="{D8B6736C-3076-415D-B40F-6A7D818771E4}" parentId="{57D35DD1-00FD-4E98-AA1D-80FFC6C165D7}">
    <text>Added to notes field.</text>
  </threadedComment>
  <threadedComment ref="A1317" dT="2023-06-05T12:23:45.67" personId="{3DE5673D-4837-4FC9-B8B9-34243175713A}" id="{3E0E368F-3BE9-474D-AFF9-7D426188CC9B}" done="1">
    <text>Same numbers reported in Marcus 2000 (#524), Table 4.</text>
  </threadedComment>
  <threadedComment ref="A1317" dT="2023-12-14T17:37:06.25" personId="{E08A2389-F34B-466D-8AA1-6ADBBDF0F7BF}" id="{FAF54195-19F4-4DAC-B026-5D9921981BFB}" parentId="{3E0E368F-3BE9-474D-AFF9-7D426188CC9B}">
    <text>agreed</text>
  </threadedComment>
  <threadedComment ref="S1317" dT="2023-06-05T08:53:54.80" personId="{3DE5673D-4837-4FC9-B8B9-34243175713A}" id="{F6497815-EE22-4DAA-A66E-26E650B2ED3F}" done="1">
    <text>"Postscreening observation in both groups ranged from 1 to 5.5 years (average, 3 years)." plus 6 year screening period?</text>
  </threadedComment>
  <threadedComment ref="S1317" dT="2023-12-14T18:08:14.05" personId="{E08A2389-F34B-466D-8AA1-6ADBBDF0F7BF}" id="{440F487E-325C-4420-A48C-251D51507603}" parentId="{F6497815-EE22-4DAA-A66E-26E650B2ED3F}">
    <text>Sounds reasonable.</text>
  </threadedComment>
  <threadedComment ref="S1317" dT="2023-12-18T09:40:12.76" personId="{3DE5673D-4837-4FC9-B8B9-34243175713A}" id="{632B5B6F-48DF-49A9-BEBB-4A1F7EBDCE37}" parentId="{F6497815-EE22-4DAA-A66E-26E650B2ED3F}">
    <text>Added to notes field.</text>
  </threadedComment>
  <threadedComment ref="T1317" dT="2023-06-05T08:53:54.80" personId="{3DE5673D-4837-4FC9-B8B9-34243175713A}" id="{6E5EE9A6-A14B-48F2-A855-D390AC0BC841}" done="1">
    <text>"Postscreening observation in both groups ranged from 1 to 5.5 years (average, 3 years)." plus 6 year screening period?</text>
  </threadedComment>
  <threadedComment ref="T1317" dT="2023-12-14T18:08:14.05" personId="{E08A2389-F34B-466D-8AA1-6ADBBDF0F7BF}" id="{9CCFE122-6718-4A26-809E-D38F9CB5C355}" parentId="{6E5EE9A6-A14B-48F2-A855-D390AC0BC841}">
    <text>Sounds reasonable.</text>
  </threadedComment>
  <threadedComment ref="T1317" dT="2023-12-18T09:40:12.76" personId="{3DE5673D-4837-4FC9-B8B9-34243175713A}" id="{FD2CCF07-65B3-4986-B875-4D126BEDC5B9}" parentId="{6E5EE9A6-A14B-48F2-A855-D390AC0BC841}">
    <text>Added to notes field.</text>
  </threadedComment>
  <threadedComment ref="A1318" dT="2023-12-14T17:39:14.25" personId="{E08A2389-F34B-466D-8AA1-6ADBBDF0F7BF}" id="{670210AF-ED59-40D5-8144-33C5EB066BA7}" done="1">
    <text>As above cell</text>
  </threadedComment>
  <threadedComment ref="S1318" dT="2023-06-05T08:53:54.80" personId="{3DE5673D-4837-4FC9-B8B9-34243175713A}" id="{CF418A5F-6D52-4516-A995-C062A1D52CD0}" done="1">
    <text>"Postscreening observation in both groups ranged from 1 to 5.5 years (average, 3 years)." plus 6 year screening period?</text>
  </threadedComment>
  <threadedComment ref="S1318" dT="2023-12-14T18:08:14.05" personId="{E08A2389-F34B-466D-8AA1-6ADBBDF0F7BF}" id="{DFBB4738-8401-473F-9634-92FB1738D477}" parentId="{CF418A5F-6D52-4516-A995-C062A1D52CD0}">
    <text>Sounds reasonable.</text>
  </threadedComment>
  <threadedComment ref="S1318" dT="2023-12-18T09:40:12.76" personId="{3DE5673D-4837-4FC9-B8B9-34243175713A}" id="{FEEAC895-ABAE-459C-A7A4-3B03927466A6}" parentId="{CF418A5F-6D52-4516-A995-C062A1D52CD0}">
    <text>Added to notes field.</text>
  </threadedComment>
  <threadedComment ref="T1318" dT="2023-06-05T08:53:54.80" personId="{3DE5673D-4837-4FC9-B8B9-34243175713A}" id="{B0349921-F0FB-4C9E-BEA6-BCAF0B1A1708}" done="1">
    <text>"Postscreening observation in both groups ranged from 1 to 5.5 years (average, 3 years)." plus 6 year screening period?</text>
  </threadedComment>
  <threadedComment ref="T1318" dT="2023-12-14T18:08:14.05" personId="{E08A2389-F34B-466D-8AA1-6ADBBDF0F7BF}" id="{7CC85E0A-D3F5-416E-9DDA-A0B84419B94E}" parentId="{B0349921-F0FB-4C9E-BEA6-BCAF0B1A1708}">
    <text>Sounds reasonable.</text>
  </threadedComment>
  <threadedComment ref="T1318" dT="2023-12-18T09:40:12.76" personId="{3DE5673D-4837-4FC9-B8B9-34243175713A}" id="{094A8AC1-641C-4EA8-9087-70CCA94054FC}" parentId="{B0349921-F0FB-4C9E-BEA6-BCAF0B1A1708}">
    <text>Added to notes field.</text>
  </threadedComment>
  <threadedComment ref="S1319" dT="2023-06-05T08:53:54.80" personId="{3DE5673D-4837-4FC9-B8B9-34243175713A}" id="{111143FC-9F26-4DF7-BFDA-E9876C0CC628}" done="1">
    <text>"Postscreening observation in both groups ranged from 1 to 5.5 years (average, 3 years)." plus 6 year screening period?</text>
  </threadedComment>
  <threadedComment ref="S1319" dT="2023-12-14T18:08:14.05" personId="{E08A2389-F34B-466D-8AA1-6ADBBDF0F7BF}" id="{6AEC9159-8560-4D14-A10F-BEAD2CB7CB5F}" parentId="{111143FC-9F26-4DF7-BFDA-E9876C0CC628}">
    <text>Sounds reasonable.</text>
  </threadedComment>
  <threadedComment ref="S1319" dT="2023-12-18T09:40:12.76" personId="{3DE5673D-4837-4FC9-B8B9-34243175713A}" id="{0819DB1F-34F5-46BF-8DA6-9CDF4165AF07}" parentId="{111143FC-9F26-4DF7-BFDA-E9876C0CC628}">
    <text>Added to notes field.</text>
  </threadedComment>
  <threadedComment ref="T1319" dT="2023-06-05T08:53:54.80" personId="{3DE5673D-4837-4FC9-B8B9-34243175713A}" id="{D6C52795-1001-4FD3-9E89-839349DA9BCA}" done="1">
    <text>"Postscreening observation in both groups ranged from 1 to 5.5 years (average, 3 years)." plus 6 year screening period?</text>
  </threadedComment>
  <threadedComment ref="T1319" dT="2023-12-14T18:08:14.05" personId="{E08A2389-F34B-466D-8AA1-6ADBBDF0F7BF}" id="{0F528F1A-609F-4B22-B495-1BEE4B94C343}" parentId="{D6C52795-1001-4FD3-9E89-839349DA9BCA}">
    <text>Sounds reasonable.</text>
  </threadedComment>
  <threadedComment ref="T1319" dT="2023-12-18T09:40:12.76" personId="{3DE5673D-4837-4FC9-B8B9-34243175713A}" id="{66392AA6-830A-4679-9C84-FA8E9BFE1D52}" parentId="{D6C52795-1001-4FD3-9E89-839349DA9BCA}">
    <text>Added to notes field.</text>
  </threadedComment>
  <threadedComment ref="S1320" dT="2023-06-05T08:53:54.80" personId="{3DE5673D-4837-4FC9-B8B9-34243175713A}" id="{59483BE9-8353-4B27-992F-29F1DAC3D0AF}" done="1">
    <text>"Postscreening observation in both groups ranged from 1 to 5.5 years (average, 3 years)." plus 6 year screening period?</text>
  </threadedComment>
  <threadedComment ref="S1320" dT="2023-12-14T18:08:14.05" personId="{E08A2389-F34B-466D-8AA1-6ADBBDF0F7BF}" id="{C6792A9C-738A-45B8-A5BB-ABBA77443D98}" parentId="{59483BE9-8353-4B27-992F-29F1DAC3D0AF}">
    <text>Sounds reasonable.</text>
  </threadedComment>
  <threadedComment ref="S1320" dT="2023-12-18T09:40:12.76" personId="{3DE5673D-4837-4FC9-B8B9-34243175713A}" id="{1E577C41-C371-4C12-93FD-C72C60B08841}" parentId="{59483BE9-8353-4B27-992F-29F1DAC3D0AF}">
    <text>Added to notes field.</text>
  </threadedComment>
  <threadedComment ref="T1320" dT="2023-06-05T08:53:54.80" personId="{3DE5673D-4837-4FC9-B8B9-34243175713A}" id="{A6CBF230-36E4-4CBC-B0E1-8241810E8156}" done="1">
    <text>"Postscreening observation in both groups ranged from 1 to 5.5 years (average, 3 years)." plus 6 year screening period?</text>
  </threadedComment>
  <threadedComment ref="T1320" dT="2023-12-14T18:08:14.05" personId="{E08A2389-F34B-466D-8AA1-6ADBBDF0F7BF}" id="{04821979-ED64-4F8E-A955-96F06A178D0A}" parentId="{A6CBF230-36E4-4CBC-B0E1-8241810E8156}">
    <text>Sounds reasonable.</text>
  </threadedComment>
  <threadedComment ref="T1320" dT="2023-12-18T09:40:12.76" personId="{3DE5673D-4837-4FC9-B8B9-34243175713A}" id="{04DE37D9-3B63-4EA2-A10A-13BEE6C654C7}" parentId="{A6CBF230-36E4-4CBC-B0E1-8241810E8156}">
    <text>Added to notes field.</text>
  </threadedComment>
  <threadedComment ref="S1321" dT="2023-06-05T08:53:54.80" personId="{3DE5673D-4837-4FC9-B8B9-34243175713A}" id="{91FFB783-9EBC-413F-A532-1CDDF171FC02}" done="1">
    <text>"Postscreening observation in both groups ranged from 1 to 5.5 years (average, 3 years)." plus 6 year screening period?</text>
  </threadedComment>
  <threadedComment ref="S1321" dT="2023-12-14T18:08:14.05" personId="{E08A2389-F34B-466D-8AA1-6ADBBDF0F7BF}" id="{7AD35145-379D-4E6D-BB34-B2AD939EA240}" parentId="{91FFB783-9EBC-413F-A532-1CDDF171FC02}">
    <text>Sounds reasonable.</text>
  </threadedComment>
  <threadedComment ref="S1321" dT="2023-12-18T09:40:12.76" personId="{3DE5673D-4837-4FC9-B8B9-34243175713A}" id="{5FD43A4D-9540-49EC-996C-5BEE2A75BD45}" parentId="{91FFB783-9EBC-413F-A532-1CDDF171FC02}">
    <text>Added to notes field.</text>
  </threadedComment>
  <threadedComment ref="T1321" dT="2023-06-05T08:53:54.80" personId="{3DE5673D-4837-4FC9-B8B9-34243175713A}" id="{C21C4C5F-C5DC-412B-8ABC-68D0589102AA}" done="1">
    <text>"Postscreening observation in both groups ranged from 1 to 5.5 years (average, 3 years)." plus 6 year screening period?</text>
  </threadedComment>
  <threadedComment ref="T1321" dT="2023-12-14T18:08:14.05" personId="{E08A2389-F34B-466D-8AA1-6ADBBDF0F7BF}" id="{EC7977B5-7CB7-4B68-B209-DE41927956B4}" parentId="{C21C4C5F-C5DC-412B-8ABC-68D0589102AA}">
    <text>Sounds reasonable.</text>
  </threadedComment>
  <threadedComment ref="T1321" dT="2023-12-18T09:40:12.76" personId="{3DE5673D-4837-4FC9-B8B9-34243175713A}" id="{A7A1EE8F-E68C-40E2-973A-72ADDB6F27E2}" parentId="{C21C4C5F-C5DC-412B-8ABC-68D0589102AA}">
    <text>Added to notes field.</text>
  </threadedComment>
  <threadedComment ref="AK1331" dT="2024-01-13T22:35:36.37" personId="{E331BB74-BBA0-4486-A922-69CA2C388022}" id="{A3D9FA1F-E47C-49BC-B77E-8AE531B8D722}">
    <text>Randell, Matthew:
Are we interested in absolute incidence only, not cumulative incidence? We don't seem to have extracted that data at all and I'm a bit confused. In the surrogates tab I would have expected the numbers from figure 2, e.g. n=15,534 for annual and n=15,364 from control, rather than these which are from figure 1 about mortality? Potentially affects columns Y and Z as well and have highlighted all relevant cells from AK and AL.</text>
  </threadedComment>
  <threadedComment ref="AK1331" dT="2024-01-14T12:44:09.56" personId="{E331BB74-BBA0-4486-A922-69CA2C388022}" id="{7BF97608-843D-4FD5-808F-48C41B241C2F}" parentId="{A3D9FA1F-E47C-49BC-B77E-8AE531B8D722}">
    <text>And the incidence and CIs from table 4?</text>
  </threadedComment>
  <threadedComment ref="AK1331" dT="2024-01-18T11:19:34.64" personId="{3DE5673D-4837-4FC9-B8B9-34243175713A}" id="{7AABD60B-346B-4300-A0C8-7BFC965A96F5}" parentId="{A3D9FA1F-E47C-49BC-B77E-8AE531B8D722}">
    <text>I don't think we need to extract the total cancer incidence from Table 4 if we have incidence data by stage from Table 5 and Fig 5.
I am confused with the reporting of this paper. In Table 5, Fig. 3 and Fig. 4, the number of cancers adds up to 1,116, whereas the text and Table 4 report 1,002 cancers.
I think you are right to use the numbers from Fig. 2 as denominator here. I have changed it throughout, please check yellow highlighted fields.
Regarding "cumulative incidence" vs "absolute incidence" - not sure what the difference is???</text>
  </threadedComment>
  <threadedComment ref="AK1331" dT="2024-01-22T12:35:28.45" personId="{E331BB74-BBA0-4486-A922-69CA2C388022}" id="{F716374C-6625-472C-908C-C889521FD20D}" parentId="{A3D9FA1F-E47C-49BC-B77E-8AE531B8D722}">
    <text>I agree, I don't understand it either</text>
  </threadedComment>
  <threadedComment ref="AS1331" dT="2023-07-17T13:47:10.47" personId="{3DE5673D-4837-4FC9-B8B9-34243175713A}" id="{AB8474D8-8D1E-43D7-A761-694F88F368AE}" done="1">
    <text>Different to reported rate.</text>
  </threadedComment>
  <threadedComment ref="BF1331" dT="2024-01-22T12:28:59.32" personId="{E331BB74-BBA0-4486-A922-69CA2C388022}" id="{0AB6E7FE-BBEF-4D0C-8F24-F4C0AAF67F91}" done="1">
    <text>+figure 2</text>
  </threadedComment>
  <threadedComment ref="BF1331" dT="2024-01-22T13:55:45.94" personId="{3DE5673D-4837-4FC9-B8B9-34243175713A}" id="{EDDDBA25-8305-4EA7-9629-9B80CD92EC7D}" parentId="{0AB6E7FE-BBEF-4D0C-8F24-F4C0AAF67F91}">
    <text>Added.</text>
  </threadedComment>
  <threadedComment ref="AO1333" dT="2023-07-17T13:49:05.95" personId="{3DE5673D-4837-4FC9-B8B9-34243175713A}" id="{94D418F8-4ED6-4C4D-A25C-3A43761A0CD1}" done="1">
    <text>Different to reported rate.</text>
  </threadedComment>
  <threadedComment ref="AS1333" dT="2023-07-17T13:49:01.52" personId="{3DE5673D-4837-4FC9-B8B9-34243175713A}" id="{84A11E9A-2EA4-4184-B565-BFF179321EE3}" done="1">
    <text>Different to reported rate.</text>
  </threadedComment>
  <threadedComment ref="AO1335" dT="2023-07-17T13:49:05.95" personId="{3DE5673D-4837-4FC9-B8B9-34243175713A}" id="{3F41D7D5-6FD2-4AAD-9BEE-BE1926605590}" done="1">
    <text>Different to reported rate.</text>
  </threadedComment>
  <threadedComment ref="AS1335" dT="2023-07-17T13:49:05.95" personId="{3DE5673D-4837-4FC9-B8B9-34243175713A}" id="{9F409E32-B8AB-4404-90A9-8AA3AAB4EBFA}" done="1">
    <text>Different to reported rate.</text>
  </threadedComment>
  <threadedComment ref="AO1338" dT="2023-07-17T13:49:05.95" personId="{3DE5673D-4837-4FC9-B8B9-34243175713A}" id="{32BBA61D-B36C-432B-A0D5-10D376FC7244}" done="1">
    <text>Different to reported rate.</text>
  </threadedComment>
  <threadedComment ref="AS1338" dT="2023-07-17T13:49:05.95" personId="{3DE5673D-4837-4FC9-B8B9-34243175713A}" id="{9095E25D-CF8B-450F-8C27-2A37601A6C3F}" done="1">
    <text>Different to reported rate.</text>
  </threadedComment>
  <threadedComment ref="AO1341" dT="2023-07-17T13:49:05.95" personId="{3DE5673D-4837-4FC9-B8B9-34243175713A}" id="{0BD7DFF8-617D-4569-8D21-32FC7565A660}" done="1">
    <text>Different to reported rate.</text>
  </threadedComment>
  <threadedComment ref="AS1341" dT="2023-07-17T13:49:05.95" personId="{3DE5673D-4837-4FC9-B8B9-34243175713A}" id="{FE19CE16-B2AD-41E4-A57D-C6CA374D3CE9}" done="1">
    <text>Different to reported rate.</text>
  </threadedComment>
  <threadedComment ref="AO1343" dT="2023-07-17T13:49:05.95" personId="{3DE5673D-4837-4FC9-B8B9-34243175713A}" id="{3148F673-70E7-4256-B1D5-E5BBDDDB16D0}" done="1">
    <text>Different to reported rate.</text>
  </threadedComment>
  <threadedComment ref="AS1343" dT="2023-07-17T13:49:05.95" personId="{3DE5673D-4837-4FC9-B8B9-34243175713A}" id="{E3EC9E15-0B2D-4E40-BFFA-7C3EB49D8C03}" done="1">
    <text>Different to reported rate.</text>
  </threadedComment>
  <threadedComment ref="AO1345" dT="2023-07-17T13:49:05.95" personId="{3DE5673D-4837-4FC9-B8B9-34243175713A}" id="{59EC19CC-DA39-4B06-ADF9-4EEB9B2FD250}" done="1">
    <text>Different to reported rate.</text>
  </threadedComment>
  <threadedComment ref="AS1345" dT="2023-07-17T13:49:05.95" personId="{3DE5673D-4837-4FC9-B8B9-34243175713A}" id="{94A91E57-9B24-4256-B429-67D87D0F4D40}" done="1">
    <text>Different to reported rate.</text>
  </threadedComment>
  <threadedComment ref="AO1348" dT="2023-07-17T13:49:05.95" personId="{3DE5673D-4837-4FC9-B8B9-34243175713A}" id="{12587D20-E266-4FE1-8C5C-3C7EC1202C15}" done="1">
    <text>Different to reported rate.</text>
  </threadedComment>
  <threadedComment ref="AS1348" dT="2023-07-17T13:49:05.95" personId="{3DE5673D-4837-4FC9-B8B9-34243175713A}" id="{5FFB73F8-9DC3-48AE-B18D-B858A4572C67}" done="1">
    <text>Different to reported rate.</text>
  </threadedComment>
  <threadedComment ref="BA1348" dT="2024-01-14T12:45:23.52" personId="{E331BB74-BBA0-4486-A922-69CA2C388022}" id="{B0EC9D10-6EBD-4A7B-B783-897341C6116A}">
    <text>Where is this? I can't see it</text>
  </threadedComment>
  <threadedComment ref="BA1348" dT="2024-01-14T12:48:54.68" personId="{E331BB74-BBA0-4486-A922-69CA2C388022}" id="{75C364EE-BFCE-4EDB-9187-C79C54AEA83D}" parentId="{B0EC9D10-6EBD-4A7B-B783-897341C6116A}">
    <text xml:space="preserve">Or is it just assumed because the text says "significantly"? </text>
  </threadedComment>
  <threadedComment ref="BA1348" dT="2024-01-18T12:56:20.71" personId="{3DE5673D-4837-4FC9-B8B9-34243175713A}" id="{ABADDCB5-45D1-4450-95C8-2E39095DFAA4}" parentId="{B0EC9D10-6EBD-4A7B-B783-897341C6116A}">
    <text>Assumed as the text says "significantly".</text>
  </threadedComment>
  <threadedComment ref="AC1352" dT="2023-07-18T15:53:50.07" personId="{3DE5673D-4837-4FC9-B8B9-34243175713A}" id="{C38CB802-7401-45D6-A821-A1F3774BF8BB}" done="1">
    <text>Estimated from Fig. 2.</text>
  </threadedComment>
  <threadedComment ref="AE1352" dT="2023-07-18T15:53:56.89" personId="{3DE5673D-4837-4FC9-B8B9-34243175713A}" id="{2DF43369-5D31-45B5-91B0-DC36EB9DF1AC}" done="1">
    <text>Estimated from Fig. 2.</text>
  </threadedComment>
  <threadedComment ref="AN1352" dT="2024-01-14T21:09:31.62" personId="{E331BB74-BBA0-4486-A922-69CA2C388022}" id="{26F82917-3B91-4038-AF5D-BF627BCF8762}">
    <text>Ah these are the ones where you used a software to get the precise numbers from the bars of figure 2? I have not checked them with any software but have eyeballed the graphs to check that they at least look plausible. Let me know if you need more than that</text>
  </threadedComment>
  <threadedComment ref="AN1352" dT="2024-01-18T13:09:13.85" personId="{3DE5673D-4837-4FC9-B8B9-34243175713A}" id="{396C1699-51D4-4751-8751-CCAA59A70CD6}" parentId="{26F82917-3B91-4038-AF5D-BF627BCF8762}">
    <text>Oh sorry, I forgot about these. Please use the figure and Excel file that I have emailed you to check these data.</text>
  </threadedComment>
  <threadedComment ref="AI1374" dT="2023-06-07T15:58:21.18" personId="{3DE5673D-4837-4FC9-B8B9-34243175713A}" id="{A1A5B275-E8D7-4364-82F2-393E7A66A498}" done="1">
    <text>#397 (Table 4) reports 132 cases.</text>
  </threadedComment>
  <threadedComment ref="AI1374" dT="2023-12-13T07:42:33.70" personId="{E08A2389-F34B-466D-8AA1-6ADBBDF0F7BF}" id="{1ABC8CCD-53E7-4F71-9C4F-ADAF8018BB32}" parentId="{A1A5B275-E8D7-4364-82F2-393E7A66A498}">
    <text>Agreed. I can't see anything in the papers that explains this difference.</text>
  </threadedComment>
  <threadedComment ref="AI1375" dT="2023-06-07T15:58:57.53" personId="{3DE5673D-4837-4FC9-B8B9-34243175713A}" id="{3E9ED415-DEB4-41F7-ABDF-D8465EF371CA}" done="1">
    <text>#397 (Table 4) reports 26 cases.</text>
  </threadedComment>
  <threadedComment ref="AI1375" dT="2023-12-13T07:44:51.24" personId="{E08A2389-F34B-466D-8AA1-6ADBBDF0F7BF}" id="{5620063E-C343-4F1D-A36F-A0B5FB8DCB9E}" parentId="{3E9ED415-DEB4-41F7-ABDF-D8465EF371CA}">
    <text>Agreed. I can't see anything in the papers that explains this difference.</text>
  </threadedComment>
  <threadedComment ref="AJ1380" dT="2023-06-07T16:00:33.16" personId="{3DE5673D-4837-4FC9-B8B9-34243175713A}" id="{587A32BC-3482-4FC2-8C00-667198EA144B}" done="1">
    <text>#397 (Table 4) reports 29 cases.</text>
  </threadedComment>
  <threadedComment ref="AJ1380" dT="2023-12-13T07:48:29.79" personId="{E08A2389-F34B-466D-8AA1-6ADBBDF0F7BF}" id="{9E260FEA-3548-4050-8087-68D0B3E0DAED}" parentId="{587A32BC-3482-4FC2-8C00-667198EA144B}">
    <text xml:space="preserve">Agreed. I can't see anything in the papers that explains this difference.
</text>
  </threadedComment>
  <threadedComment ref="AJ1381" dT="2023-06-07T16:00:55.81" personId="{3DE5673D-4837-4FC9-B8B9-34243175713A}" id="{79239905-F7ED-4B0C-85C3-7FCFC1F43AB1}" done="1">
    <text>#397 (Table 4) reports 27 cases.</text>
  </threadedComment>
  <threadedComment ref="AJ1381" dT="2023-12-13T07:48:33.00" personId="{E08A2389-F34B-466D-8AA1-6ADBBDF0F7BF}" id="{9903213E-271A-4836-9EA7-AE11C5920DF6}" parentId="{79239905-F7ED-4B0C-85C3-7FCFC1F43AB1}">
    <text xml:space="preserve">Agreed. I can't see anything in the papers that explains this difference.
</text>
  </threadedComment>
  <threadedComment ref="AI1383" dT="2023-06-07T16:01:40.49" personId="{3DE5673D-4837-4FC9-B8B9-34243175713A}" id="{BCD22484-A4C5-4CE7-83F5-0EBA94AD5512}" done="1">
    <text>#397 (Table 4) reports 44 and 46 cases, respectively.</text>
  </threadedComment>
  <threadedComment ref="AI1383" dT="2023-12-13T07:51:40.15" personId="{E08A2389-F34B-466D-8AA1-6ADBBDF0F7BF}" id="{A3415D03-BD8E-4C4D-8A80-FBAEA0F1513E}" parentId="{BCD22484-A4C5-4CE7-83F5-0EBA94AD5512}">
    <text>Agreed. I can't see anything in the papers that explains this difference.</text>
  </threadedComment>
  <threadedComment ref="U1384" dT="2023-12-13T07:53:16.98" personId="{E08A2389-F34B-466D-8AA1-6ADBBDF0F7BF}" id="{E0EF6650-E811-4C01-B88E-49DEFACA8240}" done="1">
    <text>2? One at baseline, one at T1.</text>
  </threadedComment>
  <threadedComment ref="U1384" dT="2023-12-14T16:51:20.00" personId="{3DE5673D-4837-4FC9-B8B9-34243175713A}" id="{9741765D-CDB7-411D-B75D-CCDF24982DE5}" parentId="{E0EF6650-E811-4C01-B88E-49DEFACA8240}">
    <text>Are the reported number of events cumulative (T0 and T1)?
I understood that the reported events are only from T1, which would be 1 screening round?</text>
  </threadedComment>
  <threadedComment ref="U1384" dT="2023-12-15T11:15:39.73" personId="{E08A2389-F34B-466D-8AA1-6ADBBDF0F7BF}" id="{9A2C32EC-2DD3-438E-9E47-C4EF32DAF397}" parentId="{E0EF6650-E811-4C01-B88E-49DEFACA8240}">
    <text>I see. Yes, they're reported one round at a time. So although it is the 2nd round overall it is data from a single round.</text>
  </threadedComment>
  <threadedComment ref="U1385" dT="2023-12-13T07:53:16.98" personId="{E08A2389-F34B-466D-8AA1-6ADBBDF0F7BF}" id="{C0C6D921-B2DD-4F60-B26E-428F9BCCF41C}" done="1">
    <text>2? One at baseline, one at T1.</text>
  </threadedComment>
  <threadedComment ref="U1385" dT="2023-12-14T16:51:20.00" personId="{3DE5673D-4837-4FC9-B8B9-34243175713A}" id="{200D4752-25D3-4441-BB87-926152EF68BF}" parentId="{C0C6D921-B2DD-4F60-B26E-428F9BCCF41C}">
    <text>Are the reported number of events cumulative (T0 and T1)?
I understood that the reported events are only from T1, which would be 1 screening round?</text>
  </threadedComment>
  <threadedComment ref="U1385" dT="2023-12-15T11:15:39.73" personId="{E08A2389-F34B-466D-8AA1-6ADBBDF0F7BF}" id="{70818081-B6FA-4985-8FA5-66D592447042}" parentId="{C0C6D921-B2DD-4F60-B26E-428F9BCCF41C}">
    <text>I see. Yes, they're reported one round at a time. So although it is the 2nd round overall it is data from a single round.</text>
  </threadedComment>
  <threadedComment ref="U1386" dT="2023-12-13T07:53:16.98" personId="{E08A2389-F34B-466D-8AA1-6ADBBDF0F7BF}" id="{B45D08BD-745A-4FC6-B00E-E952EFC42C46}" done="1">
    <text>2? One at baseline, one at T1.</text>
  </threadedComment>
  <threadedComment ref="U1386" dT="2023-12-14T16:51:20.00" personId="{3DE5673D-4837-4FC9-B8B9-34243175713A}" id="{9AB9CF13-D1D0-4DBB-BE5C-39E5DBD83D5C}" parentId="{B45D08BD-745A-4FC6-B00E-E952EFC42C46}">
    <text>Are the reported number of events cumulative (T0 and T1)?
I understood that the reported events are only from T1, which would be 1 screening round?</text>
  </threadedComment>
  <threadedComment ref="U1386" dT="2023-12-15T11:15:39.73" personId="{E08A2389-F34B-466D-8AA1-6ADBBDF0F7BF}" id="{893CFBC3-CDB6-4D16-98FC-299881837FBF}" parentId="{B45D08BD-745A-4FC6-B00E-E952EFC42C46}">
    <text>I see. Yes, they're reported one round at a time. So although it is the 2nd round overall it is data from a single round.</text>
  </threadedComment>
  <threadedComment ref="U1387" dT="2023-12-13T07:57:56.24" personId="{E08A2389-F34B-466D-8AA1-6ADBBDF0F7BF}" id="{823595E9-F0DD-4D74-B758-4D7B0B777051}" done="1">
    <text>3? Baseline, T1, and T2.</text>
  </threadedComment>
  <threadedComment ref="U1387" dT="2023-12-14T16:52:51.01" personId="{3DE5673D-4837-4FC9-B8B9-34243175713A}" id="{F4AA6C58-8BB2-4D50-AF9A-7C3019FF4586}" parentId="{823595E9-F0DD-4D74-B758-4D7B0B777051}">
    <text xml:space="preserve">Are the reported number of events cumulative (T0, T1 and T2)?
I understood that the reported events are only from T2, which would be 1 screening round?
</text>
  </threadedComment>
  <threadedComment ref="U1388" dT="2023-12-13T07:57:56.24" personId="{E08A2389-F34B-466D-8AA1-6ADBBDF0F7BF}" id="{C16EB227-DEED-48E3-A06D-DBDE96E7214C}" done="1">
    <text>3? Baseline, T1, and T2.</text>
  </threadedComment>
  <threadedComment ref="U1388" dT="2023-12-14T16:52:51.01" personId="{3DE5673D-4837-4FC9-B8B9-34243175713A}" id="{B7F982C7-C60B-4F05-AD7B-F1DCDD99A254}" parentId="{C16EB227-DEED-48E3-A06D-DBDE96E7214C}">
    <text xml:space="preserve">Are the reported number of events cumulative (T0, T1 and T2)?
I understood that the reported events are only from T2, which would be 1 screening round?
</text>
  </threadedComment>
  <threadedComment ref="U1389" dT="2023-12-13T07:57:56.24" personId="{E08A2389-F34B-466D-8AA1-6ADBBDF0F7BF}" id="{F692F56C-96A1-4E9A-B0C8-F4255F6EF30B}" done="1">
    <text>3? Baseline, T1, and T2.</text>
  </threadedComment>
  <threadedComment ref="U1389" dT="2023-12-14T16:52:51.01" personId="{3DE5673D-4837-4FC9-B8B9-34243175713A}" id="{07827FEB-ECCD-4B70-8149-0B66FBD98681}" parentId="{F692F56C-96A1-4E9A-B0C8-F4255F6EF30B}">
    <text xml:space="preserve">Are the reported number of events cumulative (T0, T1 and T2)?
I understood that the reported events are only from T2, which would be 1 screening round?
</text>
  </threadedComment>
  <threadedComment ref="U1390" dT="2023-12-13T07:53:16.98" personId="{E08A2389-F34B-466D-8AA1-6ADBBDF0F7BF}" id="{2EB7FE9E-A436-4462-8F7F-2CA91AB660CA}" done="1">
    <text>2? One at baseline, one at T1.</text>
  </threadedComment>
  <threadedComment ref="U1390" dT="2023-12-14T16:51:20.00" personId="{3DE5673D-4837-4FC9-B8B9-34243175713A}" id="{02E65059-A67C-4F48-9D59-0D663769A747}" parentId="{2EB7FE9E-A436-4462-8F7F-2CA91AB660CA}">
    <text>Are the reported number of events cumulative (T0 and T1)?
I understood that the reported events are only from T1, which would be 1 screening round?</text>
  </threadedComment>
  <threadedComment ref="U1390" dT="2023-12-15T11:15:39.73" personId="{E08A2389-F34B-466D-8AA1-6ADBBDF0F7BF}" id="{ACE9686B-F192-4F3F-A2E2-FB32540F7666}" parentId="{2EB7FE9E-A436-4462-8F7F-2CA91AB660CA}">
    <text>I see. Yes, they're reported one round at a time. So although it is the 2nd round overall it is data from a single round.</text>
  </threadedComment>
  <threadedComment ref="U1391" dT="2023-12-13T07:53:16.98" personId="{E08A2389-F34B-466D-8AA1-6ADBBDF0F7BF}" id="{B7695B44-7BCA-480A-B647-70EF8BC6EE71}" done="1">
    <text>2? One at baseline, one at T1.</text>
  </threadedComment>
  <threadedComment ref="U1391" dT="2023-12-14T16:51:20.00" personId="{3DE5673D-4837-4FC9-B8B9-34243175713A}" id="{9A1FAEB7-9240-4B54-BD03-D2262A73E3D6}" parentId="{B7695B44-7BCA-480A-B647-70EF8BC6EE71}">
    <text>Are the reported number of events cumulative (T0 and T1)?
I understood that the reported events are only from T1, which would be 1 screening round?</text>
  </threadedComment>
  <threadedComment ref="U1391" dT="2023-12-15T11:15:39.73" personId="{E08A2389-F34B-466D-8AA1-6ADBBDF0F7BF}" id="{E79AECA1-4346-407B-BFC3-B48EE0EB4ABB}" parentId="{B7695B44-7BCA-480A-B647-70EF8BC6EE71}">
    <text>I see. Yes, they're reported one round at a time. So although it is the 2nd round overall it is data from a single round.</text>
  </threadedComment>
  <threadedComment ref="U1392" dT="2023-12-13T07:53:16.98" personId="{E08A2389-F34B-466D-8AA1-6ADBBDF0F7BF}" id="{02E9AAC0-C61D-4FC7-AD42-1D6CB22DD850}" done="1">
    <text>2? One at baseline, one at T1.</text>
  </threadedComment>
  <threadedComment ref="U1392" dT="2023-12-14T16:51:20.00" personId="{3DE5673D-4837-4FC9-B8B9-34243175713A}" id="{52C32C81-166F-4D95-B7FC-90CFA3B4387A}" parentId="{02E9AAC0-C61D-4FC7-AD42-1D6CB22DD850}">
    <text>Are the reported number of events cumulative (T0 and T1)?
I understood that the reported events are only from T1, which would be 1 screening round?</text>
  </threadedComment>
  <threadedComment ref="U1392" dT="2023-12-15T11:15:39.73" personId="{E08A2389-F34B-466D-8AA1-6ADBBDF0F7BF}" id="{5BC5354E-F125-4030-86BF-36B17FABACDB}" parentId="{02E9AAC0-C61D-4FC7-AD42-1D6CB22DD850}">
    <text>I see. Yes, they're reported one round at a time. So although it is the 2nd round overall it is data from a single round.</text>
  </threadedComment>
  <threadedComment ref="U1393" dT="2023-12-13T07:57:56.24" personId="{E08A2389-F34B-466D-8AA1-6ADBBDF0F7BF}" id="{0320DE1A-F6A4-49E9-88F1-02156A8E6E67}" done="1">
    <text>3? Baseline, T1, and T2.</text>
  </threadedComment>
  <threadedComment ref="U1393" dT="2023-12-14T16:52:51.01" personId="{3DE5673D-4837-4FC9-B8B9-34243175713A}" id="{D3F56905-488A-4A88-AEFE-DD9F33EB3BE3}" parentId="{0320DE1A-F6A4-49E9-88F1-02156A8E6E67}">
    <text xml:space="preserve">Are the reported number of events cumulative (T0, T1 and T2)?
I understood that the reported events are only from T2, which would be 1 screening round?
</text>
  </threadedComment>
  <threadedComment ref="U1394" dT="2023-12-13T07:57:56.24" personId="{E08A2389-F34B-466D-8AA1-6ADBBDF0F7BF}" id="{F7952F2F-E397-409B-A2C5-649D04E1662B}" done="1">
    <text>3? Baseline, T1, and T2.</text>
  </threadedComment>
  <threadedComment ref="U1394" dT="2023-12-14T16:52:51.01" personId="{3DE5673D-4837-4FC9-B8B9-34243175713A}" id="{6307FF50-A567-433F-9398-81FB1DAD91F1}" parentId="{F7952F2F-E397-409B-A2C5-649D04E1662B}">
    <text xml:space="preserve">Are the reported number of events cumulative (T0, T1 and T2)?
I understood that the reported events are only from T2, which would be 1 screening round?
</text>
  </threadedComment>
  <threadedComment ref="U1395" dT="2023-12-13T07:53:16.98" personId="{E08A2389-F34B-466D-8AA1-6ADBBDF0F7BF}" id="{F4C892C6-C81D-44B2-8109-8CDC0760FEB3}" done="1">
    <text>2? One at baseline, one at T1.</text>
  </threadedComment>
  <threadedComment ref="U1395" dT="2023-12-14T16:51:20.00" personId="{3DE5673D-4837-4FC9-B8B9-34243175713A}" id="{558FD007-F63E-4141-8AE6-068B7EB26C7B}" parentId="{F4C892C6-C81D-44B2-8109-8CDC0760FEB3}">
    <text>Are the reported number of events cumulative (T0 and T1)?
I understood that the reported events are only from T1, which would be 1 screening round?</text>
  </threadedComment>
  <threadedComment ref="U1395" dT="2023-12-15T11:15:39.73" personId="{E08A2389-F34B-466D-8AA1-6ADBBDF0F7BF}" id="{555FE50C-0AAB-4AC5-81BC-3E28125CA83E}" parentId="{F4C892C6-C81D-44B2-8109-8CDC0760FEB3}">
    <text>I see. Yes, they're reported one round at a time. So although it is the 2nd round overall it is data from a single round.</text>
  </threadedComment>
  <threadedComment ref="U1396" dT="2023-12-13T07:53:16.98" personId="{E08A2389-F34B-466D-8AA1-6ADBBDF0F7BF}" id="{2974D086-2BD9-4058-A860-203C57B16222}" done="1">
    <text>2? One at baseline, one at T1.</text>
  </threadedComment>
  <threadedComment ref="U1396" dT="2023-12-14T16:51:20.00" personId="{3DE5673D-4837-4FC9-B8B9-34243175713A}" id="{189070A3-C531-400D-9E3C-FC3F1319DB7D}" parentId="{2974D086-2BD9-4058-A860-203C57B16222}">
    <text>Are the reported number of events cumulative (T0 and T1)?
I understood that the reported events are only from T1, which would be 1 screening round?</text>
  </threadedComment>
  <threadedComment ref="U1396" dT="2023-12-15T11:15:39.73" personId="{E08A2389-F34B-466D-8AA1-6ADBBDF0F7BF}" id="{E545E6F0-4431-4DD7-92A2-0664CB86A709}" parentId="{2974D086-2BD9-4058-A860-203C57B16222}">
    <text>I see. Yes, they're reported one round at a time. So although it is the 2nd round overall it is data from a single round.</text>
  </threadedComment>
  <threadedComment ref="U1397" dT="2023-12-13T07:53:16.98" personId="{E08A2389-F34B-466D-8AA1-6ADBBDF0F7BF}" id="{18E6BECC-67DB-491F-8682-D6903BDFFC82}" done="1">
    <text>2? One at baseline, one at T1.</text>
  </threadedComment>
  <threadedComment ref="U1397" dT="2023-12-14T16:51:20.00" personId="{3DE5673D-4837-4FC9-B8B9-34243175713A}" id="{D7A10D63-B7D1-40E4-837E-AEFF9EFCD9F6}" parentId="{18E6BECC-67DB-491F-8682-D6903BDFFC82}">
    <text>Are the reported number of events cumulative (T0 and T1)?
I understood that the reported events are only from T1, which would be 1 screening round?</text>
  </threadedComment>
  <threadedComment ref="U1397" dT="2023-12-15T11:15:39.73" personId="{E08A2389-F34B-466D-8AA1-6ADBBDF0F7BF}" id="{D979D36B-F9A8-466C-A9ED-6F2055FB4AB3}" parentId="{18E6BECC-67DB-491F-8682-D6903BDFFC82}">
    <text>I see. Yes, they're reported one round at a time. So although it is the 2nd round overall it is data from a single round.</text>
  </threadedComment>
  <threadedComment ref="U1398" dT="2023-12-13T07:57:56.24" personId="{E08A2389-F34B-466D-8AA1-6ADBBDF0F7BF}" id="{FC380A41-115B-4896-AD78-A40E1493EA03}" done="1">
    <text>3? Baseline, T1, and T2.</text>
  </threadedComment>
  <threadedComment ref="U1398" dT="2023-12-14T16:52:51.01" personId="{3DE5673D-4837-4FC9-B8B9-34243175713A}" id="{C064AE8E-24D2-41FE-9024-D64FD97A6039}" parentId="{FC380A41-115B-4896-AD78-A40E1493EA03}">
    <text xml:space="preserve">Are the reported number of events cumulative (T0, T1 and T2)?
I understood that the reported events are only from T2, which would be 1 screening round?
</text>
  </threadedComment>
  <threadedComment ref="U1399" dT="2023-12-13T07:57:56.24" personId="{E08A2389-F34B-466D-8AA1-6ADBBDF0F7BF}" id="{E976EE52-F535-4781-B5D0-CA358449F725}" done="1">
    <text>3? Baseline, T1, and T2.</text>
  </threadedComment>
  <threadedComment ref="U1399" dT="2023-12-14T16:52:51.01" personId="{3DE5673D-4837-4FC9-B8B9-34243175713A}" id="{0AAA65A0-4EF9-4C5C-A106-553AF993CB12}" parentId="{E976EE52-F535-4781-B5D0-CA358449F725}">
    <text xml:space="preserve">Are the reported number of events cumulative (T0, T1 and T2)?
I understood that the reported events are only from T2, which would be 1 screening round?
</text>
  </threadedComment>
  <threadedComment ref="U1400" dT="2023-12-13T07:57:56.24" personId="{E08A2389-F34B-466D-8AA1-6ADBBDF0F7BF}" id="{EE56A240-DFB1-445D-8D67-874378416079}" done="1">
    <text>3? Baseline, T1, and T2.</text>
  </threadedComment>
  <threadedComment ref="U1400" dT="2023-12-14T16:52:51.01" personId="{3DE5673D-4837-4FC9-B8B9-34243175713A}" id="{0CA9EAC2-3F04-49A4-BAD5-04E9FC27CE1E}" parentId="{EE56A240-DFB1-445D-8D67-874378416079}">
    <text xml:space="preserve">Are the reported number of events cumulative (T0, T1 and T2)?
I understood that the reported events are only from T2, which would be 1 screening round?
</text>
  </threadedComment>
  <threadedComment ref="U1401" dT="2023-12-13T07:53:16.98" personId="{E08A2389-F34B-466D-8AA1-6ADBBDF0F7BF}" id="{8FA26B95-76DE-43F2-9AB8-E67983D6C77B}" done="1">
    <text>2? One at baseline, one at T1.</text>
  </threadedComment>
  <threadedComment ref="U1401" dT="2023-12-14T16:51:20.00" personId="{3DE5673D-4837-4FC9-B8B9-34243175713A}" id="{4986866A-E9D7-4FA8-8E49-2D2443DCF3F4}" parentId="{8FA26B95-76DE-43F2-9AB8-E67983D6C77B}">
    <text>Are the reported number of events cumulative (T0 and T1)?
I understood that the reported events are only from T1, which would be 1 screening round?</text>
  </threadedComment>
  <threadedComment ref="U1401" dT="2023-12-15T11:15:39.73" personId="{E08A2389-F34B-466D-8AA1-6ADBBDF0F7BF}" id="{8A17D2A1-AB28-44D1-8274-E947B23D8F1A}" parentId="{8FA26B95-76DE-43F2-9AB8-E67983D6C77B}">
    <text>I see. Yes, they're reported one round at a time. So although it is the 2nd round overall it is data from a single round.</text>
  </threadedComment>
  <threadedComment ref="U1402" dT="2023-12-13T07:53:16.98" personId="{E08A2389-F34B-466D-8AA1-6ADBBDF0F7BF}" id="{4272AF94-CDDB-4864-A162-7EFAA7D189D4}" done="1">
    <text>2? One at baseline, one at T1.</text>
  </threadedComment>
  <threadedComment ref="U1402" dT="2023-12-14T16:51:20.00" personId="{3DE5673D-4837-4FC9-B8B9-34243175713A}" id="{D12212B4-C3AF-4E9B-A50F-AFC83CB42D7B}" parentId="{4272AF94-CDDB-4864-A162-7EFAA7D189D4}">
    <text>Are the reported number of events cumulative (T0 and T1)?
I understood that the reported events are only from T1, which would be 1 screening round?</text>
  </threadedComment>
  <threadedComment ref="U1402" dT="2023-12-15T11:15:39.73" personId="{E08A2389-F34B-466D-8AA1-6ADBBDF0F7BF}" id="{F90BF951-07D9-405C-88DF-BC72D6C80300}" parentId="{4272AF94-CDDB-4864-A162-7EFAA7D189D4}">
    <text>I see. Yes, they're reported one round at a time. So although it is the 2nd round overall it is data from a single round.</text>
  </threadedComment>
  <threadedComment ref="U1403" dT="2023-12-13T07:53:16.98" personId="{E08A2389-F34B-466D-8AA1-6ADBBDF0F7BF}" id="{D9CB1E26-415A-4DAB-9AD0-BDCBEDAF62CE}" done="1">
    <text>2? One at baseline, one at T1.</text>
  </threadedComment>
  <threadedComment ref="U1403" dT="2023-12-14T16:51:20.00" personId="{3DE5673D-4837-4FC9-B8B9-34243175713A}" id="{85162B47-EB48-4D41-A1AA-CEF58241EA0D}" parentId="{D9CB1E26-415A-4DAB-9AD0-BDCBEDAF62CE}">
    <text>Are the reported number of events cumulative (T0 and T1)?
I understood that the reported events are only from T1, which would be 1 screening round?</text>
  </threadedComment>
  <threadedComment ref="U1403" dT="2023-12-15T11:15:39.73" personId="{E08A2389-F34B-466D-8AA1-6ADBBDF0F7BF}" id="{6D67E856-E392-4D3F-A4CD-A6BC039B427D}" parentId="{D9CB1E26-415A-4DAB-9AD0-BDCBEDAF62CE}">
    <text>I see. Yes, they're reported one round at a time. So although it is the 2nd round overall it is data from a single round.</text>
  </threadedComment>
  <threadedComment ref="U1404" dT="2023-12-13T07:57:56.24" personId="{E08A2389-F34B-466D-8AA1-6ADBBDF0F7BF}" id="{763A797B-B0EC-47B4-8909-C3B174CF2736}" done="1">
    <text>3? Baseline, T1, and T2.</text>
  </threadedComment>
  <threadedComment ref="U1404" dT="2023-12-14T16:52:51.01" personId="{3DE5673D-4837-4FC9-B8B9-34243175713A}" id="{73362476-0E76-4137-9B74-BB8906C26324}" parentId="{763A797B-B0EC-47B4-8909-C3B174CF2736}">
    <text xml:space="preserve">Are the reported number of events cumulative (T0, T1 and T2)?
I understood that the reported events are only from T2, which would be 1 screening round?
</text>
  </threadedComment>
  <threadedComment ref="U1405" dT="2023-12-13T07:57:56.24" personId="{E08A2389-F34B-466D-8AA1-6ADBBDF0F7BF}" id="{1C59A8AC-8BEC-430E-BECF-A31B550CA55D}" done="1">
    <text>3? Baseline, T1, and T2.</text>
  </threadedComment>
  <threadedComment ref="U1405" dT="2023-12-14T16:52:51.01" personId="{3DE5673D-4837-4FC9-B8B9-34243175713A}" id="{B751E553-A4D6-48F6-8A7D-517ADE817264}" parentId="{1C59A8AC-8BEC-430E-BECF-A31B550CA55D}">
    <text xml:space="preserve">Are the reported number of events cumulative (T0, T1 and T2)?
I understood that the reported events are only from T2, which would be 1 screening round?
</text>
  </threadedComment>
  <threadedComment ref="Z1406" dT="2023-12-13T08:06:07.35" personId="{E08A2389-F34B-466D-8AA1-6ADBBDF0F7BF}" id="{FAF18715-B881-4CFC-9E2B-9E24A547FED7}" done="1">
    <text xml:space="preserve">26,730
</text>
  </threadedComment>
  <threadedComment ref="Z1406" dT="2023-12-14T16:54:46.53" personId="{3DE5673D-4837-4FC9-B8B9-34243175713A}" id="{14D734C7-778C-4D0C-9718-48902A5C9B0B}" parentId="{FAF18715-B881-4CFC-9E2B-9E24A547FED7}">
    <text>Corrected.</text>
  </threadedComment>
  <threadedComment ref="AL1406" dT="2023-12-13T08:06:07.35" personId="{E08A2389-F34B-466D-8AA1-6ADBBDF0F7BF}" id="{62B75724-0D78-452F-8213-2EFF0F1BB594}" done="1">
    <text xml:space="preserve">26,730
</text>
  </threadedComment>
  <threadedComment ref="AL1406" dT="2023-12-14T16:54:46.53" personId="{3DE5673D-4837-4FC9-B8B9-34243175713A}" id="{6AE6D49B-1877-45F3-8603-EFE74CE1555E}" parentId="{62B75724-0D78-452F-8213-2EFF0F1BB594}">
    <text>Corrected.</text>
  </threadedComment>
  <threadedComment ref="Z1407" dT="2023-12-13T08:06:07.35" personId="{E08A2389-F34B-466D-8AA1-6ADBBDF0F7BF}" id="{75E89C0C-035E-4CFE-935F-B255A4545056}" done="1">
    <text xml:space="preserve">26,730
</text>
  </threadedComment>
  <threadedComment ref="Z1407" dT="2023-12-14T16:54:46.53" personId="{3DE5673D-4837-4FC9-B8B9-34243175713A}" id="{881AC0A8-265F-4A70-AE75-D3B7B4AFCB61}" parentId="{75E89C0C-035E-4CFE-935F-B255A4545056}">
    <text>Corrected.</text>
  </threadedComment>
  <threadedComment ref="AL1407" dT="2023-12-13T08:06:07.35" personId="{E08A2389-F34B-466D-8AA1-6ADBBDF0F7BF}" id="{324BFF93-2105-4629-8E16-46D52918D76D}" done="1">
    <text xml:space="preserve">26,730
</text>
  </threadedComment>
  <threadedComment ref="AL1407" dT="2023-12-14T16:54:46.53" personId="{3DE5673D-4837-4FC9-B8B9-34243175713A}" id="{28F36277-9774-41E7-911D-0BBDC2F1C50B}" parentId="{324BFF93-2105-4629-8E16-46D52918D76D}">
    <text>Corrected.</text>
  </threadedComment>
  <threadedComment ref="Z1408" dT="2023-12-13T08:06:07.35" personId="{E08A2389-F34B-466D-8AA1-6ADBBDF0F7BF}" id="{36360272-34C6-484C-8567-7CBC29233A95}" done="1">
    <text xml:space="preserve">26,730
</text>
  </threadedComment>
  <threadedComment ref="Z1408" dT="2023-12-14T16:54:46.53" personId="{3DE5673D-4837-4FC9-B8B9-34243175713A}" id="{52D768D6-EE0E-410D-9124-37E5B409530D}" parentId="{36360272-34C6-484C-8567-7CBC29233A95}">
    <text>Corrected.</text>
  </threadedComment>
  <threadedComment ref="AL1408" dT="2023-12-13T08:06:07.35" personId="{E08A2389-F34B-466D-8AA1-6ADBBDF0F7BF}" id="{148AD45D-AD0C-4293-81DA-AD138667AAB9}" done="1">
    <text xml:space="preserve">26,730
</text>
  </threadedComment>
  <threadedComment ref="AL1408" dT="2023-12-14T16:54:46.53" personId="{3DE5673D-4837-4FC9-B8B9-34243175713A}" id="{67E497C1-67CC-444E-9B1E-D9DB3DADC6E3}" parentId="{148AD45D-AD0C-4293-81DA-AD138667AAB9}">
    <text>Corrected.</text>
  </threadedComment>
  <threadedComment ref="Z1409" dT="2023-12-13T08:06:32.88" personId="{E08A2389-F34B-466D-8AA1-6ADBBDF0F7BF}" id="{DA301AC4-F193-448F-A6F9-B80665E266A5}" done="1">
    <text xml:space="preserve">26,730
</text>
  </threadedComment>
  <threadedComment ref="AL1409" dT="2023-12-13T08:06:32.88" personId="{E08A2389-F34B-466D-8AA1-6ADBBDF0F7BF}" id="{FF14DDF3-EAEC-4C7C-B112-829190755CB2}" done="1">
    <text xml:space="preserve">26,730
</text>
  </threadedComment>
  <threadedComment ref="Z1410" dT="2023-12-13T08:06:32.88" personId="{E08A2389-F34B-466D-8AA1-6ADBBDF0F7BF}" id="{A87DD29E-D520-4709-BB68-4CB48282C254}" done="1">
    <text xml:space="preserve">26,730
</text>
  </threadedComment>
  <threadedComment ref="AL1410" dT="2023-12-13T08:06:32.88" personId="{E08A2389-F34B-466D-8AA1-6ADBBDF0F7BF}" id="{68109046-09B7-4111-A915-E11383221880}" done="1">
    <text xml:space="preserve">26,730
</text>
  </threadedComment>
  <threadedComment ref="Z1411" dT="2023-12-13T08:06:32.88" personId="{E08A2389-F34B-466D-8AA1-6ADBBDF0F7BF}" id="{F7217390-9373-4C80-8BC5-613AAE9A8A13}" done="1">
    <text xml:space="preserve">26,730
</text>
  </threadedComment>
  <threadedComment ref="AL1411" dT="2023-12-13T08:06:32.88" personId="{E08A2389-F34B-466D-8AA1-6ADBBDF0F7BF}" id="{6C22B892-3E17-4E3E-9042-88D0D6FB90B9}" done="1">
    <text xml:space="preserve">26,730
</text>
  </threadedComment>
  <threadedComment ref="Z1412" dT="2023-12-13T08:06:32.88" personId="{E08A2389-F34B-466D-8AA1-6ADBBDF0F7BF}" id="{3E9AD39A-3BF5-4F58-8F79-8923877696DA}" done="1">
    <text xml:space="preserve">26,730
</text>
  </threadedComment>
  <threadedComment ref="AL1412" dT="2023-12-13T08:06:32.88" personId="{E08A2389-F34B-466D-8AA1-6ADBBDF0F7BF}" id="{6F8E1671-D3DC-42D3-8A19-13FEC4591C08}" done="1">
    <text xml:space="preserve">26,730
</text>
  </threadedComment>
  <threadedComment ref="Z1413" dT="2023-12-13T08:06:32.88" personId="{E08A2389-F34B-466D-8AA1-6ADBBDF0F7BF}" id="{BD057DC6-530D-4DCC-AAE9-DB5C144E387F}" done="1">
    <text xml:space="preserve">26,730
</text>
  </threadedComment>
  <threadedComment ref="AL1413" dT="2023-12-13T08:06:32.88" personId="{E08A2389-F34B-466D-8AA1-6ADBBDF0F7BF}" id="{9B8A48DF-E222-41C3-B800-600792E07F12}" done="1">
    <text xml:space="preserve">26,730
</text>
  </threadedComment>
  <threadedComment ref="Z1414" dT="2023-12-13T08:06:32.88" personId="{E08A2389-F34B-466D-8AA1-6ADBBDF0F7BF}" id="{233A30EC-7128-4237-81BD-E078562477F5}" done="1">
    <text xml:space="preserve">26,730
</text>
  </threadedComment>
  <threadedComment ref="AL1414" dT="2023-12-13T08:06:32.88" personId="{E08A2389-F34B-466D-8AA1-6ADBBDF0F7BF}" id="{D9A5FDB6-42DD-4899-A8B8-E18C16D8BADE}" done="1">
    <text xml:space="preserve">26,730
</text>
  </threadedComment>
  <threadedComment ref="Z1415" dT="2023-12-13T08:06:32.88" personId="{E08A2389-F34B-466D-8AA1-6ADBBDF0F7BF}" id="{F96E1DF6-E2AA-4BA7-A7CA-E2B8C85EC7DB}" done="1">
    <text xml:space="preserve">26,730
</text>
  </threadedComment>
  <threadedComment ref="AL1415" dT="2023-12-13T08:06:32.88" personId="{E08A2389-F34B-466D-8AA1-6ADBBDF0F7BF}" id="{1826703F-225D-49AD-9E5D-B157B78B066F}" done="1">
    <text xml:space="preserve">26,730
</text>
  </threadedComment>
  <threadedComment ref="AX1415" dT="2023-06-08T11:31:17.85" personId="{3DE5673D-4837-4FC9-B8B9-34243175713A}" id="{45F5FB78-F0A9-4A20-816B-574C2ECE8574}" done="1">
    <text>Slightly different from reported value.</text>
  </threadedComment>
  <threadedComment ref="AX1415" dT="2023-12-13T08:17:38.33" personId="{E08A2389-F34B-466D-8AA1-6ADBBDF0F7BF}" id="{CBA1EEBC-ED01-4175-A346-4940186D958F}" parentId="{45F5FB78-F0A9-4A20-816B-574C2ECE8574}">
    <text>Agreed. Rounding?</text>
  </threadedComment>
  <threadedComment ref="Z1416" dT="2023-12-13T08:06:32.88" personId="{E08A2389-F34B-466D-8AA1-6ADBBDF0F7BF}" id="{7949A562-7122-4F36-862E-E97862DA1CAF}" done="1">
    <text xml:space="preserve">26,730
</text>
  </threadedComment>
  <threadedComment ref="AL1416" dT="2023-12-13T08:06:32.88" personId="{E08A2389-F34B-466D-8AA1-6ADBBDF0F7BF}" id="{BD4099B1-F661-475E-912E-8820895064BD}" done="1">
    <text xml:space="preserve">26,730
</text>
  </threadedComment>
  <threadedComment ref="AX1416" dT="2023-06-08T11:31:22.81" personId="{3DE5673D-4837-4FC9-B8B9-34243175713A}" id="{2F693F20-E5E8-4BE2-BB22-4ECD4D15759F}" done="1">
    <text>Slightly different from reported value.</text>
  </threadedComment>
  <threadedComment ref="AX1416" dT="2023-12-13T10:45:32.27" personId="{E08A2389-F34B-466D-8AA1-6ADBBDF0F7BF}" id="{DB5DFAEE-A590-49FD-85C3-3D02CF0C56AC}" parentId="{2F693F20-E5E8-4BE2-BB22-4ECD4D15759F}">
    <text>Agreed. Weirdly the paper text says 0.72, but the table says 0.71.</text>
  </threadedComment>
  <threadedComment ref="AY1416" dT="2023-12-13T10:50:33.52" personId="{E08A2389-F34B-466D-8AA1-6ADBBDF0F7BF}" id="{9A1993A1-B661-4DEB-A2AC-E3B04635E11F}" done="1">
    <text>Text says 0.61, table says 0.60.</text>
  </threadedComment>
  <threadedComment ref="AN1448" dT="2024-01-23T14:36:09.92" personId="{E331BB74-BBA0-4486-A922-69CA2C388022}" id="{FC0AF47E-9011-4C50-A187-C97CC109285E}" done="1">
    <text>2.3 per 1000 accepting the test? Or is that not helpful because it doesn't include those in the screening arm who didn't get tested?</text>
  </threadedComment>
  <threadedComment ref="AN1448" dT="2024-01-24T09:14:20.68" personId="{3DE5673D-4837-4FC9-B8B9-34243175713A}" id="{CAE01A5C-AB14-4F17-B203-AEBD3BFB2458}" parentId="{FC0AF47E-9011-4C50-A187-C97CC109285E}">
    <text>It's another denominator, so not helpful.</text>
  </threadedComment>
  <threadedComment ref="D1451" dT="2024-01-23T14:45:36.47" personId="{E331BB74-BBA0-4486-A922-69CA2C388022}" id="{4F07FCE1-D0B8-4DC2-B3A4-B4D992714265}">
    <text>Last time I remember we did end up extracting something similar to this, so I went ahead. Please check or remove if you don't feel it's appropriate</text>
  </threadedComment>
  <threadedComment ref="D1451" dT="2024-01-23T14:45:51.09" personId="{E331BB74-BBA0-4486-A922-69CA2C388022}" id="{0C33A9AB-55A4-4AC9-B059-01D6C68261F4}" parentId="{4F07FCE1-D0B8-4DC2-B3A4-B4D992714265}">
    <text>Do we also want to extract adenomas &lt;1cm or is there no point?</text>
  </threadedComment>
  <threadedComment ref="D1451" dT="2024-01-24T09:19:07.69" personId="{3DE5673D-4837-4FC9-B8B9-34243175713A}" id="{73DD88B0-39A8-4A48-AF0A-7B5ED72D39D1}" parentId="{4F07FCE1-D0B8-4DC2-B3A4-B4D992714265}">
    <text xml:space="preserve">Not sure. I have added them as well, just in case. </text>
  </threadedComment>
  <threadedComment ref="D1457" dT="2024-01-23T14:52:12.71" personId="{E331BB74-BBA0-4486-A922-69CA2C388022}" id="{9205E6F0-51A1-4F31-986B-FF40E6069FAF}">
    <text>As row 6 above</text>
  </threadedComment>
  <threadedComment ref="D1457" dT="2024-01-24T09:22:44.79" personId="{3DE5673D-4837-4FC9-B8B9-34243175713A}" id="{E086DFD2-D682-4B4F-AE12-D7F8BA85334C}" parentId="{9205E6F0-51A1-4F31-986B-FF40E6069FAF}">
    <text>Agree with your numbers. Not sure if we need it, but have ow also extracted adenomas &lt;1cm. Please check row below.</text>
  </threadedComment>
  <threadedComment ref="AK1461" dT="2024-01-23T14:49:21.54" personId="{E331BB74-BBA0-4486-A922-69CA2C388022}" id="{12FF9CE3-8116-4AA7-B624-8DFABD0730CE}">
    <text>20 cancers were
negative haemoccult test but should the dominator not be the total number, so 28?</text>
  </threadedComment>
  <threadedComment ref="AK1461" dT="2024-01-24T09:26:47.17" personId="{3DE5673D-4837-4FC9-B8B9-34243175713A}" id="{3CF2D03F-7377-49A1-A59C-7A11659AE1E8}" parentId="{12FF9CE3-8116-4AA7-B624-8DFABD0730CE}">
    <text>The denominator should be the total number of CRC with poor differentiation.
Think Table V reports that there were 20 in total?</text>
  </threadedComment>
  <threadedComment ref="AK1461" dT="2024-01-24T10:49:07.15" personId="{E331BB74-BBA0-4486-A922-69CA2C388022}" id="{3E55674F-CFED-48DB-A889-D20D30ECD382}" parentId="{12FF9CE3-8116-4AA7-B624-8DFABD0730CE}">
    <text>You're right, I was confused by text describing 20 false negatives, but that is the total interval cancers not just high-grade! Agree with 20</text>
  </threadedComment>
  <threadedComment ref="Q1487" dT="2023-07-21T09:48:30.98" personId="{3DE5673D-4837-4FC9-B8B9-34243175713A}" id="{BE60DF43-528F-4972-B0DB-7F664DD5F035}" done="1">
    <text>Is this date only for mortality or also for cancer incidence?</text>
  </threadedComment>
  <threadedComment ref="Q1487" dT="2024-01-23T15:25:44.82" personId="{E331BB74-BBA0-4486-A922-69CA2C388022}" id="{5763FE55-A8B7-4AAB-9E2C-EFAD2F1BA11B}" parentId="{BE60DF43-528F-4972-B0DB-7F664DD5F035}">
    <text>It's a good point, I don't think it says. I hope if it was different they would have made sure to report it, but they haven't. Can we assume? Or should this be NR?</text>
  </threadedComment>
  <threadedComment ref="Y1487" dT="2023-07-21T10:18:59.09" personId="{3DE5673D-4837-4FC9-B8B9-34243175713A}" id="{9B3CE045-F31A-42D0-8765-8966E82A28E6}" done="1">
    <text>Different to number reported by Hardcastle 1996 (#165).</text>
  </threadedComment>
  <threadedComment ref="Z1487" dT="2023-07-21T10:19:21.34" personId="{3DE5673D-4837-4FC9-B8B9-34243175713A}" id="{7F99802A-0266-4AB0-B9E8-A07B0580DAB8}" done="1">
    <text>Different to number reported by Hardcastle 1996 (#165).</text>
  </threadedComment>
  <threadedComment ref="AK1487" dT="2023-07-21T10:18:59.09" personId="{3DE5673D-4837-4FC9-B8B9-34243175713A}" id="{4CDB407E-D479-4F65-BD65-6161EB77FA4B}" done="1">
    <text>Different to number reported by Hardcastle 1996 (#165).</text>
  </threadedComment>
  <threadedComment ref="AL1487" dT="2023-07-21T10:19:21.34" personId="{3DE5673D-4837-4FC9-B8B9-34243175713A}" id="{54481FC1-16B8-445C-9547-4FF87BAEE65B}" done="1">
    <text>Different to number reported by Hardcastle 1996 (#165).</text>
  </threadedComment>
  <threadedComment ref="Q1488" dT="2023-07-21T09:48:30.98" personId="{3DE5673D-4837-4FC9-B8B9-34243175713A}" id="{8C1FCAD9-4B98-4166-9C04-8895B87A8CC7}" done="1">
    <text>Is this date only for mortality or also for cancer incidence?</text>
  </threadedComment>
  <threadedComment ref="Q1488" dT="2024-01-23T15:25:44.82" personId="{E331BB74-BBA0-4486-A922-69CA2C388022}" id="{44D2698C-EE9F-4CC9-B140-A98EE834F2CE}" parentId="{8C1FCAD9-4B98-4166-9C04-8895B87A8CC7}">
    <text>It's a good point, I don't think it says. I hope if it was different they would have made sure to report it, but they haven't. Can we assume? Or should this be NR?</text>
  </threadedComment>
  <threadedComment ref="Y1488" dT="2023-07-21T10:18:59.09" personId="{3DE5673D-4837-4FC9-B8B9-34243175713A}" id="{93D8B623-4CD5-4C9C-ACB3-89C89C60F07E}" done="1">
    <text>Different to number reported by Hardcastle 1996 (#165).</text>
  </threadedComment>
  <threadedComment ref="Z1488" dT="2023-07-21T10:19:21.34" personId="{3DE5673D-4837-4FC9-B8B9-34243175713A}" id="{0E8757CE-257D-4B5F-A5C1-5BCCB18496FD}" done="1">
    <text>Different to number reported by Hardcastle 1996 (#165).</text>
  </threadedComment>
  <threadedComment ref="AK1488" dT="2023-07-21T10:18:59.09" personId="{3DE5673D-4837-4FC9-B8B9-34243175713A}" id="{8128ED83-9E0A-46D9-9D71-6335FE6D206E}" done="1">
    <text>Different to number reported by Hardcastle 1996 (#165).</text>
  </threadedComment>
  <threadedComment ref="AL1488" dT="2023-07-21T10:19:21.34" personId="{3DE5673D-4837-4FC9-B8B9-34243175713A}" id="{1F749A86-707E-4CD9-AEE2-0B0CE8D8AE4D}" done="1">
    <text>Different to number reported by Hardcastle 1996 (#165).</text>
  </threadedComment>
  <threadedComment ref="Q1489" dT="2023-07-21T09:48:30.98" personId="{3DE5673D-4837-4FC9-B8B9-34243175713A}" id="{5FA56660-5255-478A-884E-D915E6F82E2A}" done="1">
    <text>Is this date only for mortality or also for cancer incidence?</text>
  </threadedComment>
  <threadedComment ref="Q1489" dT="2024-01-23T15:25:44.82" personId="{E331BB74-BBA0-4486-A922-69CA2C388022}" id="{34F026FD-2D97-46E6-A70E-5A222AAB5DE5}" parentId="{5FA56660-5255-478A-884E-D915E6F82E2A}">
    <text>It's a good point, I don't think it says. I hope if it was different they would have made sure to report it, but they haven't. Can we assume? Or should this be NR?</text>
  </threadedComment>
  <threadedComment ref="Y1489" dT="2023-07-21T10:18:59.09" personId="{3DE5673D-4837-4FC9-B8B9-34243175713A}" id="{AD667CD8-00D9-4602-B22E-D7ADC97F0078}" done="1">
    <text>Different to number reported by Hardcastle 1996 (#165).</text>
  </threadedComment>
  <threadedComment ref="Z1489" dT="2023-07-21T10:19:21.34" personId="{3DE5673D-4837-4FC9-B8B9-34243175713A}" id="{CB2D3AC6-F57E-40DE-B95A-16BD730FE821}" done="1">
    <text>Different to number reported by Hardcastle 1996 (#165).</text>
  </threadedComment>
  <threadedComment ref="AK1489" dT="2023-07-21T10:18:59.09" personId="{3DE5673D-4837-4FC9-B8B9-34243175713A}" id="{45840A33-6141-438D-861C-57150AEA0FEC}" done="1">
    <text>Different to number reported by Hardcastle 1996 (#165).</text>
  </threadedComment>
  <threadedComment ref="AL1489" dT="2023-07-21T10:19:21.34" personId="{3DE5673D-4837-4FC9-B8B9-34243175713A}" id="{9AF7EFA4-C310-4AE1-A9BC-4A3B558C9429}" done="1">
    <text>Different to number reported by Hardcastle 1996 (#165).</text>
  </threadedComment>
  <threadedComment ref="Q1490" dT="2023-07-21T09:48:30.98" personId="{3DE5673D-4837-4FC9-B8B9-34243175713A}" id="{C625242C-48BF-40B3-A37E-476D41609DE0}" done="1">
    <text>Is this date only for mortality or also for cancer incidence?</text>
  </threadedComment>
  <threadedComment ref="Q1490" dT="2024-01-23T15:25:44.82" personId="{E331BB74-BBA0-4486-A922-69CA2C388022}" id="{F80DFBD9-90D5-4635-9D2C-06090B7C7B08}" parentId="{C625242C-48BF-40B3-A37E-476D41609DE0}">
    <text>It's a good point, I don't think it says. I hope if it was different they would have made sure to report it, but they haven't. Can we assume? Or should this be NR?</text>
  </threadedComment>
  <threadedComment ref="Y1490" dT="2023-07-21T10:18:59.09" personId="{3DE5673D-4837-4FC9-B8B9-34243175713A}" id="{C16E8039-46B1-47F8-92F4-A67259FDD687}" done="1">
    <text>Different to number reported by Hardcastle 1996 (#165).</text>
  </threadedComment>
  <threadedComment ref="Z1490" dT="2023-07-21T10:19:21.34" personId="{3DE5673D-4837-4FC9-B8B9-34243175713A}" id="{1A4AF844-5D7F-4430-AAC8-5E71AE7F3A4D}" done="1">
    <text>Different to number reported by Hardcastle 1996 (#165).</text>
  </threadedComment>
  <threadedComment ref="AK1490" dT="2023-07-21T10:18:59.09" personId="{3DE5673D-4837-4FC9-B8B9-34243175713A}" id="{292AC43F-78D0-4B6B-8659-DD53CE4CA326}" done="1">
    <text>Different to number reported by Hardcastle 1996 (#165).</text>
  </threadedComment>
  <threadedComment ref="AL1490" dT="2023-07-21T10:19:21.34" personId="{3DE5673D-4837-4FC9-B8B9-34243175713A}" id="{6C4E6364-6BDB-4E49-AEC5-130552D59614}" done="1">
    <text>Different to number reported by Hardcastle 1996 (#165).</text>
  </threadedComment>
  <threadedComment ref="Q1491" dT="2023-07-21T09:48:30.98" personId="{3DE5673D-4837-4FC9-B8B9-34243175713A}" id="{667834DC-DE75-4EBE-B217-047B2C8BEFFF}" done="1">
    <text>Is this date only for mortality or also for cancer incidence?</text>
  </threadedComment>
  <threadedComment ref="Q1491" dT="2024-01-23T15:25:44.82" personId="{E331BB74-BBA0-4486-A922-69CA2C388022}" id="{6179769B-89F6-481C-B3C4-FA35C6E743EF}" parentId="{667834DC-DE75-4EBE-B217-047B2C8BEFFF}">
    <text>It's a good point, I don't think it says. I hope if it was different they would have made sure to report it, but they haven't. Can we assume? Or should this be NR?</text>
  </threadedComment>
  <threadedComment ref="Y1491" dT="2023-07-21T10:18:59.09" personId="{3DE5673D-4837-4FC9-B8B9-34243175713A}" id="{468AC98B-79B3-44B0-AFDC-6DC7B372902D}" done="1">
    <text>Different to number reported by Hardcastle 1996 (#165).</text>
  </threadedComment>
  <threadedComment ref="Z1491" dT="2023-07-21T10:19:21.34" personId="{3DE5673D-4837-4FC9-B8B9-34243175713A}" id="{89B3EBC3-3B38-490B-BE58-8B57DC3E5A6F}" done="1">
    <text>Different to number reported by Hardcastle 1996 (#165).</text>
  </threadedComment>
  <threadedComment ref="AK1491" dT="2023-07-21T10:18:59.09" personId="{3DE5673D-4837-4FC9-B8B9-34243175713A}" id="{1A976C04-4F5D-48CC-ACD2-76A8250CCC37}" done="1">
    <text>Different to number reported by Hardcastle 1996 (#165).</text>
  </threadedComment>
  <threadedComment ref="AL1491" dT="2023-07-21T10:19:21.34" personId="{3DE5673D-4837-4FC9-B8B9-34243175713A}" id="{C560263E-8190-46EA-85D4-DC6CAB89646F}" done="1">
    <text>Different to number reported by Hardcastle 1996 (#165).</text>
  </threadedComment>
  <threadedComment ref="Q1492" dT="2023-07-21T09:48:30.98" personId="{3DE5673D-4837-4FC9-B8B9-34243175713A}" id="{A841E4DC-E54A-4985-AE2D-44BD5C806026}" done="1">
    <text>Is this date only for mortality or also for cancer incidence?</text>
  </threadedComment>
  <threadedComment ref="Q1492" dT="2024-01-23T15:25:44.82" personId="{E331BB74-BBA0-4486-A922-69CA2C388022}" id="{03FBAFF7-78C1-4A98-8CF2-5C200EABDFCF}" parentId="{A841E4DC-E54A-4985-AE2D-44BD5C806026}">
    <text>It's a good point, I don't think it says. I hope if it was different they would have made sure to report it, but they haven't. Can we assume? Or should this be NR?</text>
  </threadedComment>
  <threadedComment ref="Y1492" dT="2023-07-21T10:18:59.09" personId="{3DE5673D-4837-4FC9-B8B9-34243175713A}" id="{05B291B8-A3D5-4460-B000-7DBB4DD846B0}" done="1">
    <text>Different to number reported by Hardcastle 1996 (#165).</text>
  </threadedComment>
  <threadedComment ref="Z1492" dT="2023-07-21T10:19:21.34" personId="{3DE5673D-4837-4FC9-B8B9-34243175713A}" id="{9047B32B-3BAD-457D-B497-0D708D7EF9AE}" done="1">
    <text>Different to number reported by Hardcastle 1996 (#165).</text>
  </threadedComment>
  <threadedComment ref="Q1493" dT="2023-07-21T09:48:30.98" personId="{3DE5673D-4837-4FC9-B8B9-34243175713A}" id="{463D3810-6C87-4E88-8197-2301D6D9FF0C}" done="1">
    <text>Is this date only for mortality or also for cancer incidence?</text>
  </threadedComment>
  <threadedComment ref="Q1493" dT="2024-01-23T15:25:44.82" personId="{E331BB74-BBA0-4486-A922-69CA2C388022}" id="{94C56119-7037-4910-9694-321660E5010B}" parentId="{463D3810-6C87-4E88-8197-2301D6D9FF0C}">
    <text>It's a good point, I don't think it says. I hope if it was different they would have made sure to report it, but they haven't. Can we assume? Or should this be NR?</text>
  </threadedComment>
  <threadedComment ref="Q1494" dT="2023-07-21T09:48:30.98" personId="{3DE5673D-4837-4FC9-B8B9-34243175713A}" id="{20D58201-1E60-45E8-B4E7-BE0C2B942C5C}" done="1">
    <text>Is this date only for mortality or also for cancer incidence?</text>
  </threadedComment>
  <threadedComment ref="Q1494" dT="2024-01-23T15:25:44.82" personId="{E331BB74-BBA0-4486-A922-69CA2C388022}" id="{B3B35C8B-F40F-481D-99D4-82D962E0A353}" parentId="{20D58201-1E60-45E8-B4E7-BE0C2B942C5C}">
    <text>It's a good point, I don't think it says. I hope if it was different they would have made sure to report it, but they haven't. Can we assume? Or should this be NR?</text>
  </threadedComment>
  <threadedComment ref="A1502" dT="2023-07-21T13:45:08.45" personId="{3DE5673D-4837-4FC9-B8B9-34243175713A}" id="{A61395F8-E110-4B93-8C46-E55880602818}" done="1">
    <text>Numbers different to Hardcastle 1996 (#165)</text>
  </threadedComment>
  <threadedComment ref="A1503" dT="2023-07-21T13:45:08.45" personId="{3DE5673D-4837-4FC9-B8B9-34243175713A}" id="{D39BE0F9-1C9C-41FF-967C-0484DAC6BB85}" done="1">
    <text>Numbers different to Hardcastle 1996 (#165)</text>
  </threadedComment>
  <threadedComment ref="AG1503" dT="2024-01-23T15:39:10.89" personId="{E331BB74-BBA0-4486-A922-69CA2C388022}" id="{4A62E1F6-217F-4B28-8ACF-491902FBBE1C}" done="1">
    <text>I think we should specify the sizes here</text>
  </threadedComment>
  <threadedComment ref="AG1503" dT="2024-01-24T09:47:01.07" personId="{3DE5673D-4837-4FC9-B8B9-34243175713A}" id="{902C6EE8-E713-4C83-9082-D93A963C315E}" parentId="{4A62E1F6-217F-4B28-8ACF-491902FBBE1C}">
    <text>Agree.</text>
  </threadedComment>
  <threadedComment ref="A1504" dT="2023-07-21T13:45:08.45" personId="{3DE5673D-4837-4FC9-B8B9-34243175713A}" id="{96AFABDC-A67B-4E82-980E-3E419E0DEB1C}" done="1">
    <text>Numbers different to Hardcastle 1996 (#165)</text>
  </threadedComment>
  <threadedComment ref="A1505" dT="2023-07-21T13:45:08.45" personId="{3DE5673D-4837-4FC9-B8B9-34243175713A}" id="{385357C9-95A5-49DB-9575-F2246FA08B54}" done="1">
    <text>Numbers different to Hardcastle 1996 (#165)</text>
  </threadedComment>
  <threadedComment ref="A1506" dT="2023-07-21T13:45:08.45" personId="{3DE5673D-4837-4FC9-B8B9-34243175713A}" id="{856AA934-F5D8-4E1B-B59C-10831FE244FA}" done="1">
    <text>Numbers different to Hardcastle 1996 (#165)</text>
  </threadedComment>
  <threadedComment ref="AI1509" dT="2024-01-23T09:49:23.91" personId="{E331BB74-BBA0-4486-A922-69CA2C388022}" id="{5E2496EF-DE65-4577-BCCF-78200072F02B}" done="1">
    <text>If this is for 1983 AND 1985 it should be 37?</text>
  </threadedComment>
  <threadedComment ref="AI1509" dT="2024-01-23T12:43:57.64" personId="{3DE5673D-4837-4FC9-B8B9-34243175713A}" id="{FEE1A73C-2EFE-4E98-94F9-28A487C32E8F}" parentId="{5E2496EF-DE65-4577-BCCF-78200072F02B}">
    <text>Corrected.</text>
  </threadedComment>
  <threadedComment ref="AI1510" dT="2024-01-23T09:49:51.88" personId="{E331BB74-BBA0-4486-A922-69CA2C388022}" id="{AC92B964-D27C-454A-8EF3-C79163F0121E}" done="1">
    <text>Likewise if we include 1985 this would be 25</text>
  </threadedComment>
  <threadedComment ref="AI1510" dT="2024-01-23T12:44:40.55" personId="{3DE5673D-4837-4FC9-B8B9-34243175713A}" id="{E813AA46-C068-460D-B977-7819B77CB3C0}" parentId="{AC92B964-D27C-454A-8EF3-C79163F0121E}">
    <text>Corrected.</text>
  </threadedComment>
  <threadedComment ref="AI1511" dT="2024-01-23T09:50:20.08" personId="{E331BB74-BBA0-4486-A922-69CA2C388022}" id="{A90C3FD8-7C5D-49D7-8EF1-EA53D7C89533}" done="1">
    <text>63</text>
  </threadedComment>
  <threadedComment ref="AI1511" dT="2024-01-23T12:44:51.80" personId="{3DE5673D-4837-4FC9-B8B9-34243175713A}" id="{CB3DEB33-D7FD-4A8D-9BA5-594791AEE47D}" parentId="{A90C3FD8-7C5D-49D7-8EF1-EA53D7C89533}">
    <text>Corrected.</text>
  </threadedComment>
  <threadedComment ref="AI1521" dT="2024-01-23T10:00:21.45" personId="{E331BB74-BBA0-4486-A922-69CA2C388022}" id="{A21520D1-7033-4CE5-97C5-23580E41E90F}">
    <text>NR? Or can we assume they would have mentioned if they'd found any?</text>
  </threadedComment>
  <threadedComment ref="AI1521" dT="2024-01-23T12:56:53.36" personId="{3DE5673D-4837-4FC9-B8B9-34243175713A}" id="{757B501E-2F8C-40BB-8D83-F5C63C83D332}" parentId="{A21520D1-7033-4CE5-97C5-23580E41E90F}">
    <text>Yes that's what I am thinking. The text tells us what they found: 1 Dukes A CRC and 1 Dukes C CRC. 
Table IV also reports that there were 2 CRC cases in total in the screening group.
So, no Dukes B CRC. 😊</text>
  </threadedComment>
  <threadedComment ref="AI1521" dT="2024-01-23T16:44:09.49" personId="{E331BB74-BBA0-4486-A922-69CA2C388022}" id="{986467DA-5CA2-42A6-875C-E665F8A2FFD5}" parentId="{A21520D1-7033-4CE5-97C5-23580E41E90F}">
    <text>Makes sense</text>
  </threadedComment>
  <threadedComment ref="AI1522" dT="2024-01-23T10:00:21.45" personId="{E331BB74-BBA0-4486-A922-69CA2C388022}" id="{74D51355-D086-406E-99EC-F63FFAC47087}">
    <text>NR? Or can we assume they would have mentioned if they'd found any?</text>
  </threadedComment>
  <threadedComment ref="AI1522" dT="2024-01-23T12:56:53.36" personId="{3DE5673D-4837-4FC9-B8B9-34243175713A}" id="{3E471FFF-0A80-4778-B6F6-B204AFB832A8}" parentId="{74D51355-D086-406E-99EC-F63FFAC47087}">
    <text>Yes that's what I am thinking. The text tells us what they found: 1 Dukes A CRC and 1 Dukes C CRC. 
Table IV also reports that there were 2 CRC cases in total in the screening group.
So, no Dukes B CRC. 😊</text>
  </threadedComment>
  <threadedComment ref="AI1522" dT="2024-01-23T16:44:09.49" personId="{E331BB74-BBA0-4486-A922-69CA2C388022}" id="{ABAEFB37-8321-491D-9251-FC5378FBC52C}" parentId="{74D51355-D086-406E-99EC-F63FFAC47087}">
    <text>Makes sense</text>
  </threadedComment>
  <threadedComment ref="AI1523" dT="2024-01-23T09:58:05.98" personId="{E331BB74-BBA0-4486-A922-69CA2C388022}" id="{62B46CCB-E8E5-4975-A3FF-1CA2A77F590B}">
    <text>In the group of non-attendants 1 case was found but what about those who did attend?</text>
  </threadedComment>
  <threadedComment ref="AI1523" dT="2024-01-23T12:58:56.10" personId="{3DE5673D-4837-4FC9-B8B9-34243175713A}" id="{68C29B1F-831D-4DF8-A567-84F7F7581C92}" parentId="{62B46CCB-E8E5-4975-A3FF-1CA2A77F590B}">
    <text>Table IV and text report consistently that there were 2 CRC cases diagnosed in the screening group: 1 among the attenders (Dukes A) and 1 among the non-attenders (Dukes C).</text>
  </threadedComment>
  <threadedComment ref="AI1523" dT="2024-01-23T16:44:02.29" personId="{E331BB74-BBA0-4486-A922-69CA2C388022}" id="{BFAD9343-D532-43C3-AD51-C4F1E8F40891}" parentId="{62B46CCB-E8E5-4975-A3FF-1CA2A77F590B}">
    <text>Smart!</text>
  </threadedComment>
  <threadedComment ref="A1531" dT="2023-07-28T12:55:49.53" personId="{3DE5673D-4837-4FC9-B8B9-34243175713A}" id="{E84AA140-9C0E-42DD-B718-D4EFA2915514}" done="1">
    <text>From Table III, we could get surrogate 1 and CRC mortality by year. But numbers are so small, I have not extracted it yet. Only extracted data with follow-up until 1995 to exclude the exit screen and until 1994 to match the analysis date for all-cause mortality.</text>
  </threadedComment>
  <threadedComment ref="A1532" dT="2023-07-28T12:55:49.53" personId="{3DE5673D-4837-4FC9-B8B9-34243175713A}" id="{EFFE3A0D-4964-4C89-A874-F289134CFA21}" done="1">
    <text>From Table III, we could get surrogate 1 and CRC mortality by year. But numbers are so small, I have not extracted it yet. Only extracted data with follow-up until 1995 to exclude the exit screen and until 1994 to match the analysis date for all-cause mortality.</text>
  </threadedComment>
  <threadedComment ref="A1533" dT="2023-07-28T12:55:49.53" personId="{3DE5673D-4837-4FC9-B8B9-34243175713A}" id="{FBF46C05-1210-4FFC-BB00-D9AE0F92A983}" done="1">
    <text>From Table III, we could get surrogate 1 and CRC mortality by year. But numbers are so small, I have not extracted it yet. Only extracted data with follow-up until 1995 to exclude the exit screen and until 1994 to match the analysis date for all-cause mortality.</text>
  </threadedComment>
  <threadedComment ref="A1534" dT="2023-07-28T12:55:49.53" personId="{3DE5673D-4837-4FC9-B8B9-34243175713A}" id="{7362A9BF-0527-41E7-B719-FDB3F786284E}" done="1">
    <text>From Table III, we could get surrogate 1 and CRC mortality by year. But numbers are so small, I have not extracted it yet. Only extracted data with follow-up until 1995 to exclude the exit screen and until 1994 to match the analysis date for all-cause mortality.</text>
  </threadedComment>
  <threadedComment ref="AO1543" dT="2023-07-28T16:41:18.55" personId="{3DE5673D-4837-4FC9-B8B9-34243175713A}" id="{3734E5CA-00EE-4326-810F-FF3EED724EE3}" done="1">
    <text>Slightly different to reported rate.</text>
  </threadedComment>
  <threadedComment ref="AS1543" dT="2023-07-28T16:41:24.40" personId="{3DE5673D-4837-4FC9-B8B9-34243175713A}" id="{3475A739-F4A9-476F-B62F-D83FFD71600B}" done="1">
    <text>Slightly different to reported rate.</text>
  </threadedComment>
  <threadedComment ref="D1544" dT="2023-07-29T14:19:53.22" personId="{3DE5673D-4837-4FC9-B8B9-34243175713A}" id="{D5148D90-6192-45D8-8CE4-B5088D250D01}" done="1">
    <text>Number of events could be taken from row 24.</text>
  </threadedComment>
  <threadedComment ref="D1544" dT="2024-01-23T11:01:50.13" personId="{E331BB74-BBA0-4486-A922-69CA2C388022}" id="{B5374B7F-3755-4091-BE4B-F7A20C9E8079}" parentId="{D5148D90-6192-45D8-8CE4-B5088D250D01}">
    <text>I always feel like if we have to take numbers from other papers then this one doesn't really report it</text>
  </threadedComment>
  <threadedComment ref="AH1546" dT="2024-01-17T18:22:12.33" personId="{C2B41D37-E765-46A9-9A6C-43C631A30BF3}" id="{5EC40EAA-7455-40F6-8D3D-FEDC9E3D71CD}" done="1">
    <text>In screening arm</text>
  </threadedComment>
  <threadedComment ref="AH1546" dT="2024-01-19T10:40:47.33" personId="{3DE5673D-4837-4FC9-B8B9-34243175713A}" id="{F9E40A9C-4D4F-405A-858B-DAAAC5AB72E3}" parentId="{5EC40EAA-7455-40F6-8D3D-FEDC9E3D71CD}">
    <text>Added.</text>
  </threadedComment>
  <threadedComment ref="S1561" dT="2023-06-09T08:19:32.39" personId="{3DE5673D-4837-4FC9-B8B9-34243175713A}" id="{B113D9A2-C1F8-42AB-93AE-5092681BE028}" done="1">
    <text>687215 PY / 55,843???</text>
  </threadedComment>
  <threadedComment ref="AK1561" dT="2024-01-18T16:29:18.60" personId="{C2B41D37-E765-46A9-9A6C-43C631A30BF3}" id="{FD0496AC-4651-4538-A096-FA24990FDBCA}" done="1">
    <text>335 as in table 3??</text>
  </threadedComment>
  <threadedComment ref="AK1561" dT="2024-01-19T10:43:55.29" personId="{3DE5673D-4837-4FC9-B8B9-34243175713A}" id="{16F80ACE-8FBD-4BCA-9965-4C180A77B8FF}" parentId="{FD0496AC-4651-4538-A096-FA24990FDBCA}">
    <text>Agree.</text>
  </threadedComment>
  <threadedComment ref="S1562" dT="2023-06-09T08:19:32.39" personId="{3DE5673D-4837-4FC9-B8B9-34243175713A}" id="{AB7C3CD6-7B5E-4E11-A139-05073BC06F35}" done="1">
    <text>687215 PY / 55,843???</text>
  </threadedComment>
  <threadedComment ref="T1562" dT="2023-06-09T08:27:55.35" personId="{3DE5673D-4837-4FC9-B8B9-34243175713A}" id="{CC018C81-B624-4698-914E-9621DE715DAB}" done="1">
    <text>734,925 PY / 59447???</text>
  </threadedComment>
  <threadedComment ref="S1563" dT="2023-06-09T08:19:32.39" personId="{3DE5673D-4837-4FC9-B8B9-34243175713A}" id="{E4CF2748-BED7-466E-933F-72289C67799A}" done="1">
    <text>687215 PY / 55,843???</text>
  </threadedComment>
  <threadedComment ref="T1563" dT="2023-06-09T08:27:55.35" personId="{3DE5673D-4837-4FC9-B8B9-34243175713A}" id="{01EE36F8-A617-4D79-9F3C-69140DCD3423}" done="1">
    <text>734,925 PY / 59447???</text>
  </threadedComment>
  <threadedComment ref="S1564" dT="2023-06-09T08:19:32.39" personId="{3DE5673D-4837-4FC9-B8B9-34243175713A}" id="{586259E2-9D11-47E8-BE1E-E19E5ECBB227}" done="1">
    <text>687215 PY / 55,843???</text>
  </threadedComment>
  <threadedComment ref="T1564" dT="2023-06-09T08:27:55.35" personId="{3DE5673D-4837-4FC9-B8B9-34243175713A}" id="{5E777174-228B-45CC-BB27-9215A752CC13}" done="1">
    <text>734,925 PY / 59447???</text>
  </threadedComment>
  <threadedComment ref="S1565" dT="2023-06-09T08:19:32.39" personId="{3DE5673D-4837-4FC9-B8B9-34243175713A}" id="{4B6BD890-1C51-4754-A224-B449CB2AB644}" done="1">
    <text>687215 PY / 55,843???</text>
  </threadedComment>
  <threadedComment ref="T1565" dT="2023-06-09T08:27:55.35" personId="{3DE5673D-4837-4FC9-B8B9-34243175713A}" id="{01364894-CF8D-4E25-8404-0D20400BEFC3}" done="1">
    <text>734,925 PY / 59447???</text>
  </threadedComment>
  <threadedComment ref="S1566" dT="2023-06-09T08:19:32.39" personId="{3DE5673D-4837-4FC9-B8B9-34243175713A}" id="{0E02E40D-4C7E-4B19-AAD2-9B74C7F0D6B4}" done="1">
    <text>687215 PY / 55,843???</text>
  </threadedComment>
  <threadedComment ref="T1566" dT="2023-06-09T08:27:55.35" personId="{3DE5673D-4837-4FC9-B8B9-34243175713A}" id="{0763236C-46CC-4947-B9E6-0B47AE81BC0F}" done="1">
    <text>734,925 PY / 59447???</text>
  </threadedComment>
  <threadedComment ref="S1567" dT="2023-06-09T08:19:32.39" personId="{3DE5673D-4837-4FC9-B8B9-34243175713A}" id="{D1BF3C99-328B-438C-999C-8BF30E7C520B}" done="1">
    <text>687215 PY / 55,843???</text>
  </threadedComment>
  <threadedComment ref="T1567" dT="2023-06-09T08:27:55.35" personId="{3DE5673D-4837-4FC9-B8B9-34243175713A}" id="{50B504F3-0472-43E5-94A9-C5C2A1736DDD}" done="1">
    <text>734,925 PY / 59447???</text>
  </threadedComment>
  <threadedComment ref="S1568" dT="2023-06-09T08:19:32.39" personId="{3DE5673D-4837-4FC9-B8B9-34243175713A}" id="{B8872BD9-75C6-4593-A3D4-5A569C7D9E17}" done="1">
    <text>687215 PY / 55,843???</text>
  </threadedComment>
  <threadedComment ref="T1568" dT="2023-06-09T08:27:55.35" personId="{3DE5673D-4837-4FC9-B8B9-34243175713A}" id="{D9AAC116-A8CE-44C5-9EDF-E7C5D6F4A1EC}" done="1">
    <text>734,925 PY / 59447???</text>
  </threadedComment>
  <threadedComment ref="S1569" dT="2023-06-09T08:19:32.39" personId="{3DE5673D-4837-4FC9-B8B9-34243175713A}" id="{891F5959-0427-47EF-BC97-DE53AC507932}" done="1">
    <text>687215 PY / 55,843???</text>
  </threadedComment>
  <threadedComment ref="T1569" dT="2023-06-09T08:27:55.35" personId="{3DE5673D-4837-4FC9-B8B9-34243175713A}" id="{D10744CA-9450-402D-933D-0D61611B237A}" done="1">
    <text>734,925 PY / 59447???</text>
  </threadedComment>
  <threadedComment ref="S1570" dT="2023-06-09T08:19:32.39" personId="{3DE5673D-4837-4FC9-B8B9-34243175713A}" id="{A85C4358-454A-48E6-B3CF-CF682B271EB1}" done="1">
    <text>687215 PY / 55,843???</text>
  </threadedComment>
  <threadedComment ref="T1570" dT="2023-06-09T08:27:55.35" personId="{3DE5673D-4837-4FC9-B8B9-34243175713A}" id="{369BF810-A097-43D0-98CD-39D460D89124}" done="1">
    <text>734,925 PY / 59447???</text>
  </threadedComment>
  <threadedComment ref="S1571" dT="2023-06-09T08:19:32.39" personId="{3DE5673D-4837-4FC9-B8B9-34243175713A}" id="{9563E455-1704-430C-A82F-A991683C8064}" done="1">
    <text>687215 PY / 55,843???</text>
  </threadedComment>
  <threadedComment ref="T1571" dT="2023-06-09T08:27:55.35" personId="{3DE5673D-4837-4FC9-B8B9-34243175713A}" id="{2DC3C8E8-B16C-417C-B8C0-820FA169DA96}" done="1">
    <text>734,925 PY / 59447???</text>
  </threadedComment>
  <threadedComment ref="S1572" dT="2023-06-09T08:19:32.39" personId="{3DE5673D-4837-4FC9-B8B9-34243175713A}" id="{8048ECA6-755E-433A-AC11-B5B44488B0A5}" done="1">
    <text>687215 PY / 55,843???</text>
  </threadedComment>
  <threadedComment ref="T1572" dT="2023-06-09T08:27:55.35" personId="{3DE5673D-4837-4FC9-B8B9-34243175713A}" id="{8BA795BA-E127-49DA-A398-F27A72CC3ADA}" done="1">
    <text>734,925 PY / 59447???</text>
  </threadedComment>
  <threadedComment ref="S1573" dT="2023-06-09T08:19:32.39" personId="{3DE5673D-4837-4FC9-B8B9-34243175713A}" id="{CAFD2845-77FB-4C67-9D99-3B9BA1E70405}" done="1">
    <text>687215 PY / 55,843???</text>
  </threadedComment>
  <threadedComment ref="T1573" dT="2023-06-09T08:27:55.35" personId="{3DE5673D-4837-4FC9-B8B9-34243175713A}" id="{8CDBB0C4-3037-4CF8-B6AD-436D62044C83}" done="1">
    <text>734,925 PY / 59447???</text>
  </threadedComment>
  <threadedComment ref="AO1573" dT="2023-06-09T09:16:35.79" personId="{3DE5673D-4837-4FC9-B8B9-34243175713A}" id="{B142A4A2-A399-4CDC-9391-78C8C1255CD4}" done="1">
    <text>Slightly different to reported rate in Table 4.</text>
  </threadedComment>
  <threadedComment ref="S1574" dT="2023-06-09T08:19:32.39" personId="{3DE5673D-4837-4FC9-B8B9-34243175713A}" id="{00997BE1-859D-472B-88FF-6A82AD8C5610}" done="1">
    <text>687215 PY / 55,843???</text>
  </threadedComment>
  <threadedComment ref="T1574" dT="2023-06-09T08:27:55.35" personId="{3DE5673D-4837-4FC9-B8B9-34243175713A}" id="{32DD65A3-636A-433B-B7F0-A446DF91D7AD}" done="1">
    <text>734,925 PY / 59447???</text>
  </threadedComment>
  <threadedComment ref="S1575" dT="2023-06-09T08:19:32.39" personId="{3DE5673D-4837-4FC9-B8B9-34243175713A}" id="{B3FC62E2-81D7-4DF9-AF48-051FB7A3F982}" done="1">
    <text>687215 PY / 55,843???</text>
  </threadedComment>
  <threadedComment ref="T1575" dT="2023-06-09T08:27:55.35" personId="{3DE5673D-4837-4FC9-B8B9-34243175713A}" id="{06587943-69F6-4A2D-AE2E-18B736AE7407}" done="1">
    <text>734,925 PY / 59447???</text>
  </threadedComment>
  <threadedComment ref="S1576" dT="2023-06-09T08:19:32.39" personId="{3DE5673D-4837-4FC9-B8B9-34243175713A}" id="{291E8339-5D10-4312-A155-74D4B6C61AB8}" done="1">
    <text>687215 PY / 55,843???</text>
  </threadedComment>
  <threadedComment ref="T1576" dT="2023-06-09T08:27:55.35" personId="{3DE5673D-4837-4FC9-B8B9-34243175713A}" id="{7E6DCA2C-2017-4A80-90F1-D5CCCC8E1140}" done="1">
    <text>734,925 PY / 59447???</text>
  </threadedComment>
  <threadedComment ref="S1577" dT="2023-06-09T08:19:32.39" personId="{3DE5673D-4837-4FC9-B8B9-34243175713A}" id="{B3A775C1-C57A-47BD-8FF3-F6125DC421DC}" done="1">
    <text>687215 PY / 55,843???</text>
  </threadedComment>
  <threadedComment ref="T1577" dT="2023-06-09T08:27:55.35" personId="{3DE5673D-4837-4FC9-B8B9-34243175713A}" id="{36B938BD-5B84-4F02-B5E9-AFB0DDD3F086}" done="1">
    <text>734,925 PY / 59447???</text>
  </threadedComment>
  <threadedComment ref="S1578" dT="2023-06-09T08:19:32.39" personId="{3DE5673D-4837-4FC9-B8B9-34243175713A}" id="{AA9A8ED0-27B9-410A-BB02-881579DEB1CF}" done="1">
    <text>687215 PY / 55,843???</text>
  </threadedComment>
  <threadedComment ref="T1578" dT="2023-06-09T08:27:55.35" personId="{3DE5673D-4837-4FC9-B8B9-34243175713A}" id="{F68A97E7-FD2A-4F23-B826-932507DD1AFC}" done="1">
    <text>734,925 PY / 59447???</text>
  </threadedComment>
  <threadedComment ref="S1579" dT="2023-06-09T08:19:32.39" personId="{3DE5673D-4837-4FC9-B8B9-34243175713A}" id="{D86E10B7-5933-416D-91FF-60F0CACB226D}" done="1">
    <text>687215 PY / 55,843???</text>
  </threadedComment>
  <threadedComment ref="T1579" dT="2023-06-09T08:27:55.35" personId="{3DE5673D-4837-4FC9-B8B9-34243175713A}" id="{C21387C7-74EF-46E0-91D4-8638A9E678A0}" done="1">
    <text>734,925 PY / 59447???</text>
  </threadedComment>
  <threadedComment ref="S1580" dT="2023-06-09T08:19:32.39" personId="{3DE5673D-4837-4FC9-B8B9-34243175713A}" id="{37A846F1-834B-45BD-91C8-ABD3A001FC23}" done="1">
    <text>687215 PY / 55,843???</text>
  </threadedComment>
  <threadedComment ref="T1580" dT="2023-06-09T08:27:55.35" personId="{3DE5673D-4837-4FC9-B8B9-34243175713A}" id="{D316CA9F-2449-4B0C-BB57-388E4FAAF5AF}" done="1">
    <text>734,925 PY / 59447???</text>
  </threadedComment>
  <threadedComment ref="D1581" dT="2024-01-18T16:39:26.45" personId="{C2B41D37-E765-46A9-9A6C-43C631A30BF3}" id="{9C721D77-0200-43B5-844D-E8A50F2E73C4}" done="1">
    <text>&gt;= 2 cm</text>
  </threadedComment>
  <threadedComment ref="D1581" dT="2024-01-19T10:46:53.67" personId="{3DE5673D-4837-4FC9-B8B9-34243175713A}" id="{24BDBEF9-913B-43C8-8383-2E36531D33E1}" parentId="{9C721D77-0200-43B5-844D-E8A50F2E73C4}">
    <text>Not sure as they have a category &lt;=2 cm, then 2-5 cm and &gt;5cm.
So, 2 cm seems to be included in category &lt;=2, and the next category should then start with cancers &gt;2 cm.</text>
  </threadedComment>
  <threadedComment ref="S1581" dT="2023-06-09T08:19:32.39" personId="{3DE5673D-4837-4FC9-B8B9-34243175713A}" id="{4E24795E-6103-4017-A534-22976EDA433A}" done="1">
    <text>687215 PY / 55,843???</text>
  </threadedComment>
  <threadedComment ref="T1581" dT="2023-06-09T08:27:55.35" personId="{3DE5673D-4837-4FC9-B8B9-34243175713A}" id="{00E8777C-6D40-4D74-BE13-E6E30055632D}" done="1">
    <text>734,925 PY / 59447???</text>
  </threadedComment>
  <threadedComment ref="S1582" dT="2023-06-09T08:19:32.39" personId="{3DE5673D-4837-4FC9-B8B9-34243175713A}" id="{1044B1D4-C2B7-4BFB-93F3-8AC8B8E61763}" done="1">
    <text>687215 PY / 55,843???</text>
  </threadedComment>
  <threadedComment ref="T1582" dT="2023-06-09T08:27:55.35" personId="{3DE5673D-4837-4FC9-B8B9-34243175713A}" id="{D6E3EBEC-CEA0-4F2E-947B-98675967AC10}" done="1">
    <text>734,925 PY / 59447???</text>
  </threadedComment>
  <threadedComment ref="S1583" dT="2023-06-09T08:19:32.39" personId="{3DE5673D-4837-4FC9-B8B9-34243175713A}" id="{1C7BE7FB-E381-4D3D-B6E5-93EFAA71A860}" done="1">
    <text>687215 PY / 55,843???</text>
  </threadedComment>
  <threadedComment ref="T1583" dT="2023-06-09T08:27:55.35" personId="{3DE5673D-4837-4FC9-B8B9-34243175713A}" id="{92E74B58-5422-49AB-ABF5-8DB7FE3AE4AC}" done="1">
    <text>734,925 PY / 59447???</text>
  </threadedComment>
  <threadedComment ref="S1584" dT="2023-06-09T08:19:32.39" personId="{3DE5673D-4837-4FC9-B8B9-34243175713A}" id="{210CA1DB-1348-4F47-88CA-E24E94761A9E}" done="1">
    <text>687215 PY / 55,843???</text>
  </threadedComment>
  <threadedComment ref="T1584" dT="2023-06-09T08:27:55.35" personId="{3DE5673D-4837-4FC9-B8B9-34243175713A}" id="{DD6A3911-81DA-496D-B639-E191F6C26409}" done="1">
    <text>734,925 PY / 59447???</text>
  </threadedComment>
  <threadedComment ref="S1585" dT="2023-06-09T08:19:32.39" personId="{3DE5673D-4837-4FC9-B8B9-34243175713A}" id="{F0107BB1-C65D-4E82-997B-5AD172731407}" done="1">
    <text>687215 PY / 55,843???</text>
  </threadedComment>
  <threadedComment ref="T1585" dT="2023-06-09T08:27:55.35" personId="{3DE5673D-4837-4FC9-B8B9-34243175713A}" id="{D664D62E-ECE2-4D7B-B303-485953444E8B}" done="1">
    <text>734,925 PY / 59447???</text>
  </threadedComment>
  <threadedComment ref="S1586" dT="2023-06-09T08:19:32.39" personId="{3DE5673D-4837-4FC9-B8B9-34243175713A}" id="{5AC0B2EF-C880-4927-AC1A-8D1D612186C9}" done="1">
    <text>687215 PY / 55,843???</text>
  </threadedComment>
  <threadedComment ref="T1586" dT="2023-06-09T08:27:55.35" personId="{3DE5673D-4837-4FC9-B8B9-34243175713A}" id="{E9A6D8BE-EBB3-47A4-8DC3-03467EC6FED4}" done="1">
    <text>734,925 PY / 59447???</text>
  </threadedComment>
  <threadedComment ref="AI1588" dT="2024-01-25T15:35:58.57" personId="{C2B41D37-E765-46A9-9A6C-43C631A30BF3}" id="{EC0458C2-EA1C-4FCB-9B1C-8748E20BD94D}" done="1">
    <text>Includes TIS is that ok?</text>
  </threadedComment>
  <threadedComment ref="AI1588" dT="2024-01-26T12:45:26.15" personId="{3DE5673D-4837-4FC9-B8B9-34243175713A}" id="{756A8613-563E-4AE0-A978-D6DF2B6D1D8A}" parentId="{EC0458C2-EA1C-4FCB-9B1C-8748E20BD94D}">
    <text>I have added it to the outcome description, numerator and denominator.</text>
  </threadedComment>
  <threadedComment ref="Y1589" dT="2024-01-25T15:40:16.99" personId="{C2B41D37-E765-46A9-9A6C-43C631A30BF3}" id="{6AECC046-E6AD-4785-A47A-A5BF01C0D627}" done="1">
    <text>Still don't like the totals for the two arms, I would be very cautious using these numbers in an analysis</text>
  </threadedComment>
  <threadedComment ref="Y1589" dT="2024-01-26T12:44:43.48" personId="{3DE5673D-4837-4FC9-B8B9-34243175713A}" id="{7058AE53-1374-4B19-949B-C2BB1B30BB15}" parentId="{6AECC046-E6AD-4785-A47A-A5BF01C0D627}">
    <text>Agree, but we don't have other numbers reported.</text>
  </threadedComment>
  <threadedComment ref="D1601" dT="2024-01-25T15:51:28.00" personId="{C2B41D37-E765-46A9-9A6C-43C631A30BF3}" id="{2C361647-42A8-4C8D-87B2-03FEB47D2351}" done="1">
    <text>&gt;20, i.e. 21mm+</text>
  </threadedComment>
  <threadedComment ref="D1601" dT="2024-01-29T08:54:02.73" personId="{3DE5673D-4837-4FC9-B8B9-34243175713A}" id="{03F2F1AE-4813-431A-B145-24CF7FD1E625}" parentId="{2C361647-42A8-4C8D-87B2-03FEB47D2351}">
    <text>Agree.</text>
  </threadedComment>
  <threadedComment ref="D1631" dT="2023-10-04T11:39:06.91" personId="{3DE5673D-4837-4FC9-B8B9-34243175713A}" id="{E98E1E72-158F-4DA1-B842-1994A4E6CF7F}" done="1">
    <text>Table IV reports "Stage II" as column heading only, but think it should be "Stage II+" as Table V reports 228+181=409 stage II+ cancers for ASP and 151+225=376 for PSP.</text>
  </threadedComment>
  <threadedComment ref="D1631" dT="2024-01-25T15:04:03.52" personId="{C2B41D37-E765-46A9-9A6C-43C631A30BF3}" id="{6536DE1C-330A-435E-80EB-0156EB5C93AF}" parentId="{E98E1E72-158F-4DA1-B842-1994A4E6CF7F}">
    <text>Plus, stage 1, stage 2 and invasive&lt;20mm add up to total invasive in table IV, so there can't be another invasive category</text>
  </threadedComment>
  <threadedComment ref="AR1633" dT="2023-09-25T10:22:10.66" personId="{3DE5673D-4837-4FC9-B8B9-34243175713A}" id="{1CC90B1E-B2B4-4F45-B02C-5DB5FFEEA5ED}" done="1">
    <text>Different to calculated rate.</text>
  </threadedComment>
  <threadedComment ref="AR1633" dT="2024-01-25T15:20:20.95" personId="{C2B41D37-E765-46A9-9A6C-43C631A30BF3}" id="{848681EF-CB20-43B1-938D-43C2EC989DB9}" parentId="{1CC90B1E-B2B4-4F45-B02C-5DB5FFEEA5ED}">
    <text>Can't get this either</text>
  </threadedComment>
  <threadedComment ref="AR1634" dT="2023-09-25T10:22:10.66" personId="{3DE5673D-4837-4FC9-B8B9-34243175713A}" id="{A19E9C11-712E-4728-88EF-E0AE34F02A93}" done="1">
    <text>Different to calculated rate.</text>
  </threadedComment>
  <threadedComment ref="AR1634" dT="2024-01-25T15:20:20.95" personId="{C2B41D37-E765-46A9-9A6C-43C631A30BF3}" id="{2DBB0A60-F51B-4BEF-A51C-10EB41A53865}" parentId="{A19E9C11-712E-4728-88EF-E0AE34F02A93}">
    <text>Can't get this either</text>
  </threadedComment>
  <threadedComment ref="C1636" dT="2023-09-25T10:28:08.90" personId="{3DE5673D-4837-4FC9-B8B9-34243175713A}" id="{C8207331-0EFE-467E-92F5-9CD77001C52E}" done="1">
    <text>Numbers for Ostergotland already extracted from Fagerberg 1985 (#5202).</text>
  </threadedComment>
  <threadedComment ref="AJ1648" dT="2024-01-25T16:08:10.73" personId="{C2B41D37-E765-46A9-9A6C-43C631A30BF3}" id="{2F52F045-0756-4135-BA08-E332F04BD2B0}" done="1">
    <text>62 as per table IV</text>
  </threadedComment>
  <threadedComment ref="AJ1648" dT="2024-01-29T08:57:04.97" personId="{3DE5673D-4837-4FC9-B8B9-34243175713A}" id="{EB36A49E-6E6C-48CA-B421-79EE5D29FCAA}" parentId="{2F52F045-0756-4135-BA08-E332F04BD2B0}">
    <text>Corrected.</text>
  </threadedComment>
  <threadedComment ref="A1734" dT="2023-09-28T16:26:11.98" personId="{3DE5673D-4837-4FC9-B8B9-34243175713A}" id="{1E7CB0EE-13FA-42CA-BB36-A2FC03DABB28}">
    <text>Table 2 also reports cumulative incidence rate (per 100,000 PY) but number of PY not reported.</text>
  </threadedComment>
  <threadedComment ref="A1735" dT="2023-09-28T16:26:11.98" personId="{3DE5673D-4837-4FC9-B8B9-34243175713A}" id="{7FF943F2-0B33-43DB-AEA9-751E47E56CB4}">
    <text>Table 2 also reports cumulative incidence rate (per 100,000 PY) but number of PY not reported.</text>
  </threadedComment>
  <threadedComment ref="A1736" dT="2023-09-28T16:26:11.98" personId="{3DE5673D-4837-4FC9-B8B9-34243175713A}" id="{A3DA766F-7EA7-4425-B22E-B729E49DEC1B}">
    <text>Table 2 also reports cumulative incidence rate (per 100,000 PY) but number of PY not reported.</text>
  </threadedComment>
  <threadedComment ref="A1737" dT="2023-09-28T16:26:11.98" personId="{3DE5673D-4837-4FC9-B8B9-34243175713A}" id="{56D42485-CEE7-4872-8B4C-3982259563F5}">
    <text>Table 2 also reports cumulative incidence rate (per 100,000 PY) but number of PY not reported.</text>
  </threadedComment>
  <threadedComment ref="A1738" dT="2023-09-28T16:26:11.98" personId="{3DE5673D-4837-4FC9-B8B9-34243175713A}" id="{43C7299D-12A6-4B14-B70B-C29EA0C0AA69}">
    <text>Table 2 also reports cumulative incidence rate (per 100,000 PY) but number of PY not reported.</text>
  </threadedComment>
  <threadedComment ref="A1739" dT="2023-09-28T16:26:11.98" personId="{3DE5673D-4837-4FC9-B8B9-34243175713A}" id="{9C502002-851E-4A95-92F5-13B4C0E85AFB}">
    <text>Table 2 also reports cumulative incidence rate (per 100,000 PY) but number of PY not reported.</text>
  </threadedComment>
  <threadedComment ref="A1740" dT="2023-09-28T16:26:11.98" personId="{3DE5673D-4837-4FC9-B8B9-34243175713A}" id="{EB005BEC-19FD-4EF6-BAD7-E320C9AF0624}">
    <text>Table 2 also reports cumulative incidence rate (per 100,000 PY) but number of PY not reported.</text>
  </threadedComment>
  <threadedComment ref="A1741" dT="2023-09-28T16:26:11.98" personId="{3DE5673D-4837-4FC9-B8B9-34243175713A}" id="{9A1C461C-D8ED-474D-B530-12E9BD9D1D46}">
    <text>Table 2 also reports cumulative incidence rate (per 100,000 PY) but number of PY not reported.</text>
  </threadedComment>
  <threadedComment ref="A1742" dT="2023-09-28T16:26:11.98" personId="{3DE5673D-4837-4FC9-B8B9-34243175713A}" id="{DE42328B-1B92-4D43-8B6F-950D6B97BCE5}">
    <text>Table 2 also reports cumulative incidence rate (per 100,000 PY) but number of PY not reported.</text>
  </threadedComment>
  <threadedComment ref="A1743" dT="2023-09-28T16:26:11.98" personId="{3DE5673D-4837-4FC9-B8B9-34243175713A}" id="{723F64BB-805C-4F51-A3D4-D831100F9769}">
    <text>Table 2 also reports cumulative incidence rate (per 100,000 PY) but number of PY not reported.</text>
  </threadedComment>
  <threadedComment ref="A1744" dT="2023-09-28T16:26:11.98" personId="{3DE5673D-4837-4FC9-B8B9-34243175713A}" id="{A2475BEE-BE47-45B4-9293-2E0351FAD65C}">
    <text>Table 2 also reports cumulative incidence rate (per 100,000 PY) but number of PY not reported.</text>
  </threadedComment>
  <threadedComment ref="A1745" dT="2023-09-28T16:26:11.98" personId="{3DE5673D-4837-4FC9-B8B9-34243175713A}" id="{95DC61E7-EFB6-4C03-B57F-FE71151F7B24}">
    <text>Table 2 also reports cumulative incidence rate (per 100,000 PY) but number of PY not reported.</text>
  </threadedComment>
  <threadedComment ref="A1746" dT="2023-09-28T16:26:11.98" personId="{3DE5673D-4837-4FC9-B8B9-34243175713A}" id="{068D47B0-B052-482B-B351-9A35DF89F922}">
    <text>Table 2 also reports cumulative incidence rate (per 100,000 PY) but number of PY not reported.</text>
  </threadedComment>
  <threadedComment ref="A1747" dT="2023-09-28T16:26:11.98" personId="{3DE5673D-4837-4FC9-B8B9-34243175713A}" id="{E73AC714-DC5F-4964-82A8-A75C57C90870}">
    <text>Table 2 also reports cumulative incidence rate (per 100,000 PY) but number of PY not reported.</text>
  </threadedComment>
  <threadedComment ref="A1748" dT="2023-09-28T16:26:11.98" personId="{3DE5673D-4837-4FC9-B8B9-34243175713A}" id="{645F61AA-E8BC-421B-A647-D108A01EB56B}">
    <text>Table 2 also reports cumulative incidence rate (per 100,000 PY) but number of PY not reported.</text>
  </threadedComment>
  <threadedComment ref="A1749" dT="2023-09-28T16:26:11.98" personId="{3DE5673D-4837-4FC9-B8B9-34243175713A}" id="{F8D51F8B-1AE0-4768-9DCB-02AB2CC32140}">
    <text>Table 2 also reports cumulative incidence rate (per 100,000 PY) but number of PY not reported.</text>
  </threadedComment>
  <threadedComment ref="A1750" dT="2023-09-28T16:26:11.98" personId="{3DE5673D-4837-4FC9-B8B9-34243175713A}" id="{24D4CE05-9BE8-4116-B4CD-FEB4B53941D4}">
    <text>Table 2 also reports cumulative incidence rate (per 100,000 PY) but number of PY not reported.</text>
  </threadedComment>
  <threadedComment ref="A1751" dT="2023-09-28T16:26:11.98" personId="{3DE5673D-4837-4FC9-B8B9-34243175713A}" id="{E5AAE3AA-1A33-4DE8-A6A3-19E058FDF0F9}">
    <text>Table 2 also reports cumulative incidence rate (per 100,000 PY) but number of PY not reported.</text>
  </threadedComment>
  <threadedComment ref="A1752" dT="2023-09-28T16:26:11.98" personId="{3DE5673D-4837-4FC9-B8B9-34243175713A}" id="{2C09C35B-91F0-40CA-80BE-C6A73EE6D2F7}">
    <text>Table 2 also reports cumulative incidence rate (per 100,000 PY) but number of PY not reported.</text>
  </threadedComment>
  <threadedComment ref="A1753" dT="2023-09-28T16:26:11.98" personId="{3DE5673D-4837-4FC9-B8B9-34243175713A}" id="{534F5F8B-AC1B-48F4-9962-772C2E4AB690}">
    <text>Table 2 also reports cumulative incidence rate (per 100,000 PY) but number of PY not reported.</text>
  </threadedComment>
  <threadedComment ref="Y1779" dT="2023-10-02T12:53:38.36" personId="{3DE5673D-4837-4FC9-B8B9-34243175713A}" id="{03BBB331-88CB-47B4-BFA7-9EE640FDE85B}">
    <text>Table 6 reports 57,296. Seems to be a type as numbers would not add up to 133,065 women aged 40-74 years.</text>
  </threadedComment>
  <threadedComment ref="A1780" dT="2023-10-02T16:13:59.14" personId="{3DE5673D-4837-4FC9-B8B9-34243175713A}" id="{AAFEF6FD-C696-4979-89BE-33B9B2900063}">
    <text>Delete es we don't have the exact number of events?</text>
  </threadedComment>
  <threadedComment ref="AJ1780" dT="2023-10-02T16:13:03.63" personId="{3DE5673D-4837-4FC9-B8B9-34243175713A}" id="{FEA60E13-0D66-40ED-8712-70BF7664B719}">
    <text>Figure 12: should add up to 857.</text>
  </threadedComment>
  <threadedComment ref="A1781" dT="2023-10-02T16:13:59.14" personId="{3DE5673D-4837-4FC9-B8B9-34243175713A}" id="{7BF311BA-1E28-4DCC-8658-BDB57BED2B0C}">
    <text>Delete es we don't have the exact number of events?</text>
  </threadedComment>
  <threadedComment ref="AI1781" dT="2023-10-02T16:13:18.78" personId="{3DE5673D-4837-4FC9-B8B9-34243175713A}" id="{765DC14F-3060-4799-A194-D347A22409AD}">
    <text>Figure 12: should add up to 808.</text>
  </threadedComment>
  <threadedComment ref="A1782" dT="2023-10-02T16:13:59.14" personId="{3DE5673D-4837-4FC9-B8B9-34243175713A}" id="{84D0DF89-FC0A-4A40-BBE6-029AE24F6936}">
    <text>Delete es we don't have the exact number of events?</text>
  </threadedComment>
  <threadedComment ref="AJ1782" dT="2023-10-02T16:13:35.65" personId="{3DE5673D-4837-4FC9-B8B9-34243175713A}" id="{13A0EB6F-A5C3-4E12-8623-2728DEDE62A5}">
    <text>Figure 12: should add up to 798.</text>
  </threadedComment>
  <threadedComment ref="AJ1784" dT="2023-10-02T16:27:10.17" personId="{3DE5673D-4837-4FC9-B8B9-34243175713A}" id="{5F5CC65E-4C1C-4E61-BED7-CCB5012AAC37}">
    <text>Number for "Medullary" PSP says 1025??? Used 10 now.</text>
  </threadedComment>
  <threadedComment ref="AI1796" dT="2024-01-17T16:27:32.61" personId="{C2B41D37-E765-46A9-9A6C-43C631A30BF3}" id="{611AB1F4-9EB6-4715-9982-E5AEC2013B5D}" done="1">
    <text>44.9% of 864 = 388?? Or of 857=385??
Using Table 5 totals works for in situ cancer in text and table.</text>
  </threadedComment>
  <threadedComment ref="AI1796" dT="2024-01-22T09:15:48.19" personId="{3DE5673D-4837-4FC9-B8B9-34243175713A}" id="{3D08E489-EA9E-4908-9FCF-33B3566A77F7}" parentId="{611AB1F4-9EB6-4715-9982-E5AEC2013B5D}">
    <text>I understood that Table 6 excludes the 7 cancer with clinical diagnosis only, so is based on 864-7=857 histologically confirmed cancer cases (bottom, left column). 
The reported % (right column) are then based on the 857-19=838 cancer cases with known T stage.
44.9% of 838=376.</text>
  </threadedComment>
  <threadedComment ref="AJ1796" dT="2024-01-17T16:28:32.03" personId="{C2B41D37-E765-46A9-9A6C-43C631A30BF3}" id="{6E6C330F-725B-45C1-89BC-D068BD389B58}" done="1">
    <text>41.6% of 896 = 373??</text>
  </threadedComment>
  <threadedComment ref="AJ1796" dT="2024-01-22T09:17:51.40" personId="{3DE5673D-4837-4FC9-B8B9-34243175713A}" id="{BCEF5A0F-6C97-4269-9DDB-04380FDAF8BF}" parentId="{6E6C330F-725B-45C1-89BC-D068BD389B58}">
    <text>Think the 6 cases with clinical diagnosis only are excluded from all the analyses (see text and Table 6), as were the 19 cases with unknown T classification from the reported %.
So, 896-6-19=871.
41.6% of 871=362.</text>
  </threadedComment>
  <threadedComment ref="BF1796" dT="2024-01-17T16:18:23.39" personId="{C2B41D37-E765-46A9-9A6C-43C631A30BF3}" id="{54D45297-4ACC-4DB1-9048-80718F38851D}" done="1">
    <text>Does this mean the rest (100% - 3.9% - 44.9% = 51.2%) are &gt;T1 stage???</text>
  </threadedComment>
  <threadedComment ref="BF1796" dT="2024-01-22T09:26:57.10" personId="{3DE5673D-4837-4FC9-B8B9-34243175713A}" id="{1BBE9BC9-5E6F-4DCD-89BB-F8482B95FB67}" parentId="{54D45297-4ACC-4DB1-9048-80718F38851D}">
    <text>Yes, I think so. I have added a row reporting these numbers (yellow highlighted). Please check!</text>
  </threadedComment>
  <threadedComment ref="A1797" dT="2023-09-18T12:20:27.18" personId="{3DE5673D-4837-4FC9-B8B9-34243175713A}" id="{0BDD8322-8067-4830-A0E4-FF1237ED25E7}" done="1">
    <text>Table 6 reports % of carcinomas with Tis or T1 by time since entry for each year until 11 years. Should we calculate absolute numbers even if we don't know the number with unknown T stage for each time period?</text>
  </threadedComment>
  <threadedComment ref="AI1797" dT="2024-01-17T16:33:28.46" personId="{C2B41D37-E765-46A9-9A6C-43C631A30BF3}" id="{1723325E-CC75-475B-8F23-FD1EB9EEA0A9}" done="1">
    <text>48.8% (table 6) of 864-19 =412??</text>
  </threadedComment>
  <threadedComment ref="AI1797" dT="2024-01-22T09:34:18.57" personId="{3DE5673D-4837-4FC9-B8B9-34243175713A}" id="{80E85E5C-FD05-4F6B-B061-624195410987}" parentId="{1723325E-CC75-475B-8F23-FD1EB9EEA0A9}">
    <text>I understood that the reported % in Table 6 are based on the 864-7-19=838 breast cancers with known T stage.
So, 48.8%*838=409</text>
  </threadedComment>
  <threadedComment ref="AJ1797" dT="2024-01-17T16:34:55.86" personId="{C2B41D37-E765-46A9-9A6C-43C631A30BF3}" id="{B29D3453-AF9B-486F-9399-5D71E0376229}" done="1">
    <text>41.6% of 896-19 = 365??</text>
  </threadedComment>
  <threadedComment ref="AJ1797" dT="2024-01-22T09:36:23.54" personId="{3DE5673D-4837-4FC9-B8B9-34243175713A}" id="{75344B23-CBF1-463A-A267-FD94549C4460}" parentId="{B29D3453-AF9B-486F-9399-5D71E0376229}">
    <text>I understood that Table 6 only reports on the 890 cancers that had been histologically diagnosed. The reported % then exclude the 19 cases with unknown T stage, so 890-19=871.
44.8%*871=390.</text>
  </threadedComment>
  <threadedComment ref="AI1800" dT="2024-01-17T16:42:21.90" personId="{C2B41D37-E765-46A9-9A6C-43C631A30BF3}" id="{5E7A71DB-3BB9-4F87-9C27-B4DD7C9F955F}" done="1">
    <text>I calculated them all differently. Can't quite work out which numbers you used:
I used table 5 for total cancers and percentages from text, so for N status: 
N0: 47%
N+: 53%
Total 864
Control:
N0: 48.3%
N+: 51.6%
Total 896
Option to: totals is histological confirmed only</text>
  </threadedComment>
  <threadedComment ref="AI1800" dT="2024-01-22T09:51:13.81" personId="{3DE5673D-4837-4FC9-B8B9-34243175713A}" id="{B9140F58-00DA-4DE9-A527-83C140A7A940}" parentId="{5E7A71DB-3BB9-4F87-9C27-B4DD7C9F955F}">
    <text>I have used the info from the text: "Among the 797 (92.2%) women with breast cancer in the instruction group and 844 (93.8%) women with breast cancer in the control group with histologically ascertained nodal status, evidence of tumor was found in 314 (39.4%) and 342 (40.5%), respectively."
The text reports 314 and 342 node-positive cases.</text>
  </threadedComment>
  <threadedComment ref="A1805" dT="2023-09-18T16:20:59.14" personId="{3DE5673D-4837-4FC9-B8B9-34243175713A}" id="{C9AAFFCA-96E6-4458-B893-11F73818A1A1}" done="1">
    <text>These are all breast cancers detected during BSE (so screen-detected). There are no "interval cancers" as BSE can always be performed by the woman...</text>
  </threadedComment>
  <threadedComment ref="F1805" dT="2024-01-23T13:37:11.51" personId="{3DE5673D-4837-4FC9-B8B9-34243175713A}" id="{48BF4BC7-CAFF-4767-A778-D5E5D3AAC3CB}" done="1">
    <text>I have changed the screening test from "Breast self-examination instruction" to "Breast self-examination".</text>
  </threadedComment>
  <threadedComment ref="A1806" dT="2023-09-18T16:20:59.14" personId="{3DE5673D-4837-4FC9-B8B9-34243175713A}" id="{F5EBFEA1-60F0-468B-8C0C-50BEFEBF47F5}" done="1">
    <text>These are all breast cancers detected during BSE (so screen-detected). There are no "interval cancers" as BSE can always be performed by the woman...</text>
  </threadedComment>
  <threadedComment ref="F1806" dT="2024-01-23T13:37:11.51" personId="{3DE5673D-4837-4FC9-B8B9-34243175713A}" id="{8585859E-D976-4D09-AE5B-589D25F1007B}" done="1">
    <text>I have changed the screening test from "Breast self-examination instruction" to "Breast self-examination".</text>
  </threadedComment>
  <threadedComment ref="A1807" dT="2023-09-18T16:20:59.14" personId="{3DE5673D-4837-4FC9-B8B9-34243175713A}" id="{C5AC1AAC-4542-4567-8283-5F1F5A6DCF0E}" done="1">
    <text>These are all breast cancers detected during BSE (so screen-detected). There are no "interval cancers" as BSE can always be performed by the woman...</text>
  </threadedComment>
  <threadedComment ref="F1807" dT="2024-01-23T13:37:11.51" personId="{3DE5673D-4837-4FC9-B8B9-34243175713A}" id="{C7E16644-55B8-4CB0-8A6C-AAD62B01D5E8}" done="1">
    <text>I have changed the screening test from "Breast self-examination instruction" to "Breast self-examination".</text>
  </threadedComment>
  <threadedComment ref="W1807" dT="2024-01-17T11:00:59.51" personId="{C2B41D37-E765-46A9-9A6C-43C631A30BF3}" id="{658207CF-ADD5-4151-B860-A70B96883602}" done="1">
    <text>Changing here to St Peterburg - consistency question</text>
  </threadedComment>
  <threadedComment ref="W1807" dT="2024-01-22T12:10:37.37" personId="{3DE5673D-4837-4FC9-B8B9-34243175713A}" id="{79EA31D1-1CCD-4304-9457-D765B38EAABB}" parentId="{658207CF-ADD5-4151-B860-A70B96883602}">
    <text>Made consistent throughout.</text>
  </threadedComment>
  <threadedComment ref="A1808" dT="2023-09-18T16:20:59.14" personId="{3DE5673D-4837-4FC9-B8B9-34243175713A}" id="{024AFD3D-984A-4696-83B6-87EFE536C83E}" done="1">
    <text>These are all breast cancers detected during BSE (so screen-detected). There are no "interval cancers" as BSE can always be performed by the woman...</text>
  </threadedComment>
  <threadedComment ref="D1808" dT="2024-01-17T10:58:57.39" personId="{C2B41D37-E765-46A9-9A6C-43C631A30BF3}" id="{890E5AA9-8109-473C-9C08-37326CC6DD3A}" done="1">
    <text>What's the reason of putting these together?</text>
  </threadedComment>
  <threadedComment ref="D1808" dT="2024-01-22T12:10:07.21" personId="{3DE5673D-4837-4FC9-B8B9-34243175713A}" id="{F4118AAC-28FE-4649-8AD4-7ADAB1B634E7}" parentId="{890E5AA9-8109-473C-9C08-37326CC6DD3A}">
    <text>To have the total number of node-positive cancers.</text>
  </threadedComment>
  <threadedComment ref="F1808" dT="2024-01-23T13:37:11.51" personId="{3DE5673D-4837-4FC9-B8B9-34243175713A}" id="{F1417B42-1075-4F38-9077-0DC046E2BEFA}" done="1">
    <text>I have changed the screening test from "Breast self-examination instruction" to "Breast self-examination".</text>
  </threadedComment>
  <threadedComment ref="A1809" dT="2023-09-18T16:20:59.14" personId="{3DE5673D-4837-4FC9-B8B9-34243175713A}" id="{4DFF8AB7-03E6-4AD0-A797-900B52AF5FDE}" done="1">
    <text>These are all breast cancers detected during BSE (so screen-detected). There are no "interval cancers" as BSE can always be performed by the woman...</text>
  </threadedComment>
  <threadedComment ref="F1809" dT="2024-01-23T13:37:11.51" personId="{3DE5673D-4837-4FC9-B8B9-34243175713A}" id="{8E909BB4-C47B-4723-950A-7C12168A0484}" done="1">
    <text>I have changed the screening test from "Breast self-examination instruction" to "Breast self-examination".</text>
  </threadedComment>
  <threadedComment ref="F1810" dT="2024-01-23T13:37:11.51" personId="{3DE5673D-4837-4FC9-B8B9-34243175713A}" id="{48C30595-05DC-4DB7-AD52-6E8B4D969CF0}" done="1">
    <text>I have changed the screening test from "Breast self-examination instruction" to "Breast self-examination".</text>
  </threadedComment>
  <threadedComment ref="F1811" dT="2024-01-23T13:37:11.51" personId="{3DE5673D-4837-4FC9-B8B9-34243175713A}" id="{4683056F-13FA-4B82-95AA-F2516348F615}" done="1">
    <text>I have changed the screening test from "Breast self-examination instruction" to "Breast self-examination".</text>
  </threadedComment>
  <threadedComment ref="F1812" dT="2024-01-23T13:37:11.51" personId="{3DE5673D-4837-4FC9-B8B9-34243175713A}" id="{D1AEFA11-9C72-445F-A74B-419E7F64C97D}" done="1">
    <text>I have changed the screening test from "Breast self-examination instruction" to "Breast self-examination".</text>
  </threadedComment>
  <threadedComment ref="F1813" dT="2024-01-23T13:37:11.51" personId="{3DE5673D-4837-4FC9-B8B9-34243175713A}" id="{8E5596FA-79A9-48C3-87C9-522B5A9F72E6}" done="1">
    <text>I have changed the screening test from "Breast self-examination instruction" to "Breast self-examination".</text>
  </threadedComment>
  <threadedComment ref="F1814" dT="2024-01-23T13:37:11.51" personId="{3DE5673D-4837-4FC9-B8B9-34243175713A}" id="{B560DA53-7064-4FDF-AA67-BFFEAA655EF7}" done="1">
    <text>I have changed the screening test from "Breast self-examination instruction" to "Breast self-examination".</text>
  </threadedComment>
  <threadedComment ref="F1815" dT="2024-01-23T13:37:11.51" personId="{3DE5673D-4837-4FC9-B8B9-34243175713A}" id="{F4FE12DD-3572-48C9-AB08-D6C2A3A021ED}" done="1">
    <text>I have changed the screening test from "Breast self-examination instruction" to "Breast self-examination".</text>
  </threadedComment>
  <threadedComment ref="F1816" dT="2024-01-23T13:37:11.51" personId="{3DE5673D-4837-4FC9-B8B9-34243175713A}" id="{B94C4326-1E6C-4396-AEEC-F9C7B12C86E3}" done="1">
    <text>I have changed the screening test from "Breast self-examination instruction" to "Breast self-examination".</text>
  </threadedComment>
  <threadedComment ref="F1817" dT="2024-01-23T13:37:11.51" personId="{3DE5673D-4837-4FC9-B8B9-34243175713A}" id="{ECE5C354-4187-4D5A-952E-ACDC5E8B8556}" done="1">
    <text>I have changed the screening test from "Breast self-examination instruction" to "Breast self-examination".</text>
  </threadedComment>
  <threadedComment ref="F1818" dT="2024-01-23T13:37:11.51" personId="{3DE5673D-4837-4FC9-B8B9-34243175713A}" id="{4042707D-79FC-4D26-B341-D8DC3B053196}" done="1">
    <text>I have changed the screening test from "Breast self-examination instruction" to "Breast self-examination".</text>
  </threadedComment>
  <threadedComment ref="F1819" dT="2024-01-23T13:37:11.51" personId="{3DE5673D-4837-4FC9-B8B9-34243175713A}" id="{057A63E9-8370-4CB9-B59C-C5F8FEF2CC9E}" done="1">
    <text>I have changed the screening test from "Breast self-examination instruction" to "Breast self-examination".</text>
  </threadedComment>
  <threadedComment ref="F1820" dT="2024-01-23T13:37:11.51" personId="{3DE5673D-4837-4FC9-B8B9-34243175713A}" id="{A7B9CE59-7DBC-4241-ABE6-5BE376C8DBA1}" done="1">
    <text>I have changed the screening test from "Breast self-examination instruction" to "Breast self-examination".</text>
  </threadedComment>
  <threadedComment ref="F1821" dT="2024-01-23T13:37:11.51" personId="{3DE5673D-4837-4FC9-B8B9-34243175713A}" id="{21898089-1BE1-412D-8C65-7BB8C51C549D}" done="1">
    <text>I have changed the screening test from "Breast self-examination instruction" to "Breast self-examination".</text>
  </threadedComment>
  <threadedComment ref="F1822" dT="2024-01-23T13:37:11.51" personId="{3DE5673D-4837-4FC9-B8B9-34243175713A}" id="{E9D239E7-DC79-4C90-848A-66E4FFA88119}" done="1">
    <text>I have changed the screening test from "Breast self-examination instruction" to "Breast self-examination".</text>
  </threadedComment>
  <threadedComment ref="F1823" dT="2024-01-23T13:37:11.51" personId="{3DE5673D-4837-4FC9-B8B9-34243175713A}" id="{9F114BDC-7EE8-4C43-9CB9-BBC17D961769}" done="1">
    <text>I have changed the screening test from "Breast self-examination instruction" to "Breast self-examination".</text>
  </threadedComment>
  <threadedComment ref="F1824" dT="2024-01-23T13:37:11.51" personId="{3DE5673D-4837-4FC9-B8B9-34243175713A}" id="{EB7A26DD-3A12-44C2-8C1D-46AB1B182FA8}" done="1">
    <text>I have changed the screening test from "Breast self-examination instruction" to "Breast self-examination".</text>
  </threadedComment>
  <threadedComment ref="F1825" dT="2024-01-23T13:37:11.51" personId="{3DE5673D-4837-4FC9-B8B9-34243175713A}" id="{47163862-B8BE-4896-BD97-F49085E0F3AF}" done="1">
    <text>I have changed the screening test from "Breast self-examination instruction" to "Breast self-examination".</text>
  </threadedComment>
  <threadedComment ref="AK1825" dT="2024-01-17T12:25:24.47" personId="{C2B41D37-E765-46A9-9A6C-43C631A30BF3}" id="{B0B8554D-51BB-4082-BB70-F17A9DAB2066}">
    <text>57712</text>
  </threadedComment>
  <threadedComment ref="AK1825" dT="2024-01-22T12:12:27.77" personId="{3DE5673D-4837-4FC9-B8B9-34243175713A}" id="{C15AA340-511F-4942-A38B-4EB8D90F3899}" parentId="{B0B8554D-51BB-4082-BB70-F17A9DAB2066}">
    <text>Corrected.</text>
  </threadedComment>
  <threadedComment ref="AL1825" dT="2024-01-17T12:25:42.82" personId="{C2B41D37-E765-46A9-9A6C-43C631A30BF3}" id="{231F02BB-4764-4A54-B678-4BF5807AA673}" done="1">
    <text>64759</text>
  </threadedComment>
  <threadedComment ref="AL1825" dT="2024-01-22T12:12:39.69" personId="{3DE5673D-4837-4FC9-B8B9-34243175713A}" id="{15F4A549-F2E5-4061-94C9-3EDBACECC1B7}" parentId="{231F02BB-4764-4A54-B678-4BF5807AA673}">
    <text>Corrected.</text>
  </threadedComment>
  <threadedComment ref="F1826" dT="2024-01-23T13:37:11.51" personId="{3DE5673D-4837-4FC9-B8B9-34243175713A}" id="{BC37BB30-709D-4DD5-8D2E-7F3687EB370C}" done="1">
    <text>I have changed the screening test from "Breast self-examination instruction" to "Breast self-examination".</text>
  </threadedComment>
  <threadedComment ref="P1826" dT="2024-01-17T12:16:26.07" personId="{C2B41D37-E765-46A9-9A6C-43C631A30BF3}" id="{08CFD47F-8471-4575-92DB-57A4A1C495F4}" done="1">
    <text xml:space="preserve">Why pick N1+N2 for this one and not for instance M stage (in definition of numerator column AG)? </text>
  </threadedComment>
  <threadedComment ref="P1826" dT="2024-01-17T12:17:37.09" personId="{C2B41D37-E765-46A9-9A6C-43C631A30BF3}" id="{A253FD5D-7A50-420A-B8EF-E06626857F42}" parentId="{08CFD47F-8471-4575-92DB-57A4A1C495F4}">
    <text>And why calculate surrogate 3 for this study and surrogate 7 for the other 2?</text>
  </threadedComment>
  <threadedComment ref="P1826" dT="2024-01-22T12:20:30.45" personId="{3DE5673D-4837-4FC9-B8B9-34243175713A}" id="{7A5D2A5D-BB02-40DF-B7E8-872710B00456}" parentId="{08CFD47F-8471-4575-92DB-57A4A1C495F4}">
    <text>We decided to use N stage over T stage. 
My understanding is that M stage is very late, but could be used as well. Nefeli can explore other cut-offs.
You are right, for the other 2 studies we could calculate surrogate 3 as well.
I have added 2 rows. Please check!</text>
  </threadedComment>
  <threadedComment ref="AH1826" dT="2024-01-17T12:23:09.42" personId="{C2B41D37-E765-46A9-9A6C-43C631A30BF3}" id="{9F0FD960-5407-4336-88B6-96BDBFAD3FFC}" done="1">
    <text>Add: by arm?</text>
  </threadedComment>
  <threadedComment ref="AH1826" dT="2024-01-22T13:09:29.37" personId="{3DE5673D-4837-4FC9-B8B9-34243175713A}" id="{2E39C210-7117-4617-9B71-3F942459B1F0}" parentId="{9F0FD960-5407-4336-88B6-96BDBFAD3FFC}">
    <text>Done.</text>
  </threadedComment>
  <threadedComment ref="F1827" dT="2024-01-23T13:37:11.51" personId="{3DE5673D-4837-4FC9-B8B9-34243175713A}" id="{D7DD6502-2C9C-4276-9E25-8F72AF5285DC}" done="1">
    <text>I have changed the screening test from "Breast self-examination instruction" to "Breast self-examination".</text>
  </threadedComment>
  <threadedComment ref="L1828" dT="2023-10-19T09:24:01.04" personId="{3DE5673D-4837-4FC9-B8B9-34243175713A}" id="{757B363E-8261-4CF5-AF79-5D1A16B9746D}" done="1">
    <text>Discussion says: "Much of the benefit in reducing colorectal-cancer mortality
from screening derives from a reduction in stage IV disease,4 which has a much higher mortality than lower stages. In the PLCO trial, 79.1%
of participants with stage IV disease died of colorectal cancer."</text>
  </threadedComment>
  <threadedComment ref="L1828" dT="2023-10-24T08:52:54.95" personId="{EB3A3BE2-592C-4348-A404-E1318D49EF19}" id="{3F4CDEB5-173E-4866-A43B-3EB03D4EA0F9}" parentId="{757B363E-8261-4CF5-AF79-5D1A16B9746D}">
    <text>Not sure about this one, it doesn't define it as late stage, just mentions where most of the reduction comes from?</text>
  </threadedComment>
  <threadedComment ref="L1828" dT="2023-10-25T12:41:49.88" personId="{3DE5673D-4837-4FC9-B8B9-34243175713A}" id="{6C796E97-2A21-4E1D-A598-12CCA0CB6ED8}" parentId="{757B363E-8261-4CF5-AF79-5D1A16B9746D}">
    <text>True, this is why I have put a '?'. Maybe we just leave it as 'NR' then.</text>
  </threadedComment>
  <threadedComment ref="L1829" dT="2023-10-19T09:24:01.04" personId="{3DE5673D-4837-4FC9-B8B9-34243175713A}" id="{A1C49ACB-8383-4EFD-9C1B-FE9B23D88E7F}" done="1">
    <text>Discussion says: "Much of the benefit in reducing colorectal-cancer mortality
from screening derives from a reduction in stage IV disease,4 which has a much higher mortality than lower stages. In the PLCO trial, 79.1%
of participants with stage IV disease died of colorectal cancer."</text>
  </threadedComment>
  <threadedComment ref="L1829" dT="2023-10-24T08:52:54.95" personId="{EB3A3BE2-592C-4348-A404-E1318D49EF19}" id="{1F50FBB2-D5D7-4B6A-AC1E-7ABCE0719D83}" parentId="{A1C49ACB-8383-4EFD-9C1B-FE9B23D88E7F}">
    <text>Not sure about this one, it doesn't define it as late stage, just mentions where most of the reduction comes from?</text>
  </threadedComment>
  <threadedComment ref="L1829" dT="2023-10-25T12:41:49.88" personId="{3DE5673D-4837-4FC9-B8B9-34243175713A}" id="{BA0E9526-6850-46BD-B204-8B7DC5D1C78B}" parentId="{A1C49ACB-8383-4EFD-9C1B-FE9B23D88E7F}">
    <text>True, this is why I have put a '?'. Maybe we just leave it as 'NR' then.</text>
  </threadedComment>
  <threadedComment ref="L1830" dT="2023-10-19T09:24:01.04" personId="{3DE5673D-4837-4FC9-B8B9-34243175713A}" id="{F13F70CC-76FF-45D1-AD07-DD0D94538D18}" done="1">
    <text>Discussion says: "Much of the benefit in reducing colorectal-cancer mortality
from screening derives from a reduction in stage IV disease,4 which has a much higher mortality than lower stages. In the PLCO trial, 79.1%
of participants with stage IV disease died of colorectal cancer."</text>
  </threadedComment>
  <threadedComment ref="L1830" dT="2023-10-24T08:52:54.95" personId="{EB3A3BE2-592C-4348-A404-E1318D49EF19}" id="{AA06786E-2D56-4B68-82AB-BACEE88B55C4}" parentId="{F13F70CC-76FF-45D1-AD07-DD0D94538D18}">
    <text>Not sure about this one, it doesn't define it as late stage, just mentions where most of the reduction comes from?</text>
  </threadedComment>
  <threadedComment ref="L1830" dT="2023-10-25T12:41:49.88" personId="{3DE5673D-4837-4FC9-B8B9-34243175713A}" id="{397E5612-87C2-4B48-BA40-6A55558DABA1}" parentId="{F13F70CC-76FF-45D1-AD07-DD0D94538D18}">
    <text>True, this is why I have put a '?'. Maybe we just leave it as 'NR' then.</text>
  </threadedComment>
  <threadedComment ref="L1831" dT="2023-10-19T09:24:01.04" personId="{3DE5673D-4837-4FC9-B8B9-34243175713A}" id="{00BE00E9-5C48-4808-A0F0-5EA2E4DD351C}" done="1">
    <text>Discussion says: "Much of the benefit in reducing colorectal-cancer mortality
from screening derives from a reduction in stage IV disease,4 which has a much higher mortality than lower stages. In the PLCO trial, 79.1%
of participants with stage IV disease died of colorectal cancer."</text>
  </threadedComment>
  <threadedComment ref="L1831" dT="2023-10-24T08:52:54.95" personId="{EB3A3BE2-592C-4348-A404-E1318D49EF19}" id="{A6134582-FD18-4731-86AF-BB91675FE445}" parentId="{00BE00E9-5C48-4808-A0F0-5EA2E4DD351C}">
    <text>Not sure about this one, it doesn't define it as late stage, just mentions where most of the reduction comes from?</text>
  </threadedComment>
  <threadedComment ref="L1831" dT="2023-10-25T12:41:49.88" personId="{3DE5673D-4837-4FC9-B8B9-34243175713A}" id="{56ECF000-3FCB-4B92-8CF4-229D71787D64}" parentId="{00BE00E9-5C48-4808-A0F0-5EA2E4DD351C}">
    <text>True, this is why I have put a '?'. Maybe we just leave it as 'NR' then.</text>
  </threadedComment>
  <threadedComment ref="L1832" dT="2023-10-19T09:24:01.04" personId="{3DE5673D-4837-4FC9-B8B9-34243175713A}" id="{64D2C7F6-7DB2-415B-9C6D-B94CE9975043}" done="1">
    <text>Discussion says: "Much of the benefit in reducing colorectal-cancer mortality
from screening derives from a reduction in stage IV disease,4 which has a much higher mortality than lower stages. In the PLCO trial, 79.1%
of participants with stage IV disease died of colorectal cancer."</text>
  </threadedComment>
  <threadedComment ref="L1832" dT="2023-10-24T08:52:54.95" personId="{EB3A3BE2-592C-4348-A404-E1318D49EF19}" id="{B71A9453-FFE3-4DD9-AFA9-84B89908437F}" parentId="{64D2C7F6-7DB2-415B-9C6D-B94CE9975043}">
    <text>Not sure about this one, it doesn't define it as late stage, just mentions where most of the reduction comes from?</text>
  </threadedComment>
  <threadedComment ref="L1832" dT="2023-10-25T12:41:49.88" personId="{3DE5673D-4837-4FC9-B8B9-34243175713A}" id="{F8264093-D31A-4FCA-A142-F76F95CDBAE5}" parentId="{64D2C7F6-7DB2-415B-9C6D-B94CE9975043}">
    <text>True, this is why I have put a '?'. Maybe we just leave it as 'NR' then.</text>
  </threadedComment>
  <threadedComment ref="L1833" dT="2023-10-19T09:24:01.04" personId="{3DE5673D-4837-4FC9-B8B9-34243175713A}" id="{74A55EE4-A650-4096-9466-018F99EA5DCA}" done="1">
    <text>Discussion says: "Much of the benefit in reducing colorectal-cancer mortality
from screening derives from a reduction in stage IV disease,4 which has a much higher mortality than lower stages. In the PLCO trial, 79.1%
of participants with stage IV disease died of colorectal cancer."</text>
  </threadedComment>
  <threadedComment ref="L1833" dT="2023-10-24T08:52:54.95" personId="{EB3A3BE2-592C-4348-A404-E1318D49EF19}" id="{1D0B4D94-66E5-4C59-8917-F46787116AD5}" parentId="{74A55EE4-A650-4096-9466-018F99EA5DCA}">
    <text>Not sure about this one, it doesn't define it as late stage, just mentions where most of the reduction comes from?</text>
  </threadedComment>
  <threadedComment ref="L1833" dT="2023-10-25T12:41:49.88" personId="{3DE5673D-4837-4FC9-B8B9-34243175713A}" id="{80CC537B-005C-450B-9ECE-463C5323B1B5}" parentId="{74A55EE4-A650-4096-9466-018F99EA5DCA}">
    <text>True, this is why I have put a '?'. Maybe we just leave it as 'NR' then.</text>
  </threadedComment>
  <threadedComment ref="L1834" dT="2023-10-19T09:24:01.04" personId="{3DE5673D-4837-4FC9-B8B9-34243175713A}" id="{2885C01C-2950-4D25-BEB0-AC1521931DDE}" done="1">
    <text>Discussion says: "Much of the benefit in reducing colorectal-cancer mortality
from screening derives from a reduction in stage IV disease,4 which has a much higher mortality than lower stages. In the PLCO trial, 79.1%
of participants with stage IV disease died of colorectal cancer."</text>
  </threadedComment>
  <threadedComment ref="L1834" dT="2023-10-24T08:52:54.95" personId="{EB3A3BE2-592C-4348-A404-E1318D49EF19}" id="{26BB033A-04FA-4648-8C83-BDFC81D318C2}" parentId="{2885C01C-2950-4D25-BEB0-AC1521931DDE}">
    <text>Not sure about this one, it doesn't define it as late stage, just mentions where most of the reduction comes from?</text>
  </threadedComment>
  <threadedComment ref="L1834" dT="2023-10-25T12:41:49.88" personId="{3DE5673D-4837-4FC9-B8B9-34243175713A}" id="{901D31AA-DA7B-4F10-8E89-1E79DFDCC5E8}" parentId="{2885C01C-2950-4D25-BEB0-AC1521931DDE}">
    <text>True, this is why I have put a '?'. Maybe we just leave it as 'NR' then.</text>
  </threadedComment>
  <threadedComment ref="L1835" dT="2023-10-19T09:24:01.04" personId="{3DE5673D-4837-4FC9-B8B9-34243175713A}" id="{1FC468A2-70EA-4F5E-820A-36294AF93368}" done="1">
    <text>Discussion says: "Much of the benefit in reducing colorectal-cancer mortality
from screening derives from a reduction in stage IV disease,4 which has a much higher mortality than lower stages. In the PLCO trial, 79.1%
of participants with stage IV disease died of colorectal cancer."</text>
  </threadedComment>
  <threadedComment ref="L1835" dT="2023-10-24T08:52:54.95" personId="{EB3A3BE2-592C-4348-A404-E1318D49EF19}" id="{614DC989-B8C1-47F0-B344-556872C24E11}" parentId="{1FC468A2-70EA-4F5E-820A-36294AF93368}">
    <text>Not sure about this one, it doesn't define it as late stage, just mentions where most of the reduction comes from?</text>
  </threadedComment>
  <threadedComment ref="L1835" dT="2023-10-25T12:41:49.88" personId="{3DE5673D-4837-4FC9-B8B9-34243175713A}" id="{5A2FDD60-7979-4F04-BCB4-B92A000A2B2B}" parentId="{1FC468A2-70EA-4F5E-820A-36294AF93368}">
    <text>True, this is why I have put a '?'. Maybe we just leave it as 'NR' then.</text>
  </threadedComment>
  <threadedComment ref="D1840" dT="2023-10-18T15:38:22.33" personId="{3DE5673D-4837-4FC9-B8B9-34243175713A}" id="{EEB88342-9DBB-45C9-A2CD-432E618D0C12}" done="1">
    <text>1 screening round, year 3 OR year 5?</text>
  </threadedComment>
  <threadedComment ref="D1841" dT="2023-10-18T13:39:54.54" personId="{3DE5673D-4837-4FC9-B8B9-34243175713A}" id="{CF1D8B9D-D35E-4871-B145-DB7DC6233352}" done="1">
    <text>2 screening rounds?</text>
  </threadedComment>
  <threadedComment ref="L1842" dT="2023-10-19T09:24:01.04" personId="{3DE5673D-4837-4FC9-B8B9-34243175713A}" id="{32D35F42-1FC9-4FE1-A5EE-5B9CD5EB2BDE}" done="1">
    <text>Discussion says: "Much of the benefit in reducing colorectal-cancer mortality
from screening derives from a reduction in stage IV disease,4 which has a much higher mortality than lower stages. In the PLCO trial, 79.1%
of participants with stage IV disease died of colorectal cancer."</text>
  </threadedComment>
  <threadedComment ref="L1842" dT="2023-10-24T08:52:54.95" personId="{EB3A3BE2-592C-4348-A404-E1318D49EF19}" id="{9B28A919-6681-41DC-8D87-7DC85E814CF7}" parentId="{32D35F42-1FC9-4FE1-A5EE-5B9CD5EB2BDE}">
    <text>Not sure about this one, it doesn't define it as late stage, just mentions where most of the reduction comes from?</text>
  </threadedComment>
  <threadedComment ref="L1842" dT="2023-10-25T12:41:49.88" personId="{3DE5673D-4837-4FC9-B8B9-34243175713A}" id="{0E9DCD13-24EC-4C84-8F65-592AE08C01CC}" parentId="{32D35F42-1FC9-4FE1-A5EE-5B9CD5EB2BDE}">
    <text>True, this is why I have put a '?'. Maybe we just leave it as 'NR' then.</text>
  </threadedComment>
  <threadedComment ref="L1843" dT="2023-10-19T09:24:01.04" personId="{3DE5673D-4837-4FC9-B8B9-34243175713A}" id="{AC8CF518-46EB-444B-95FF-572AE6762036}" done="1">
    <text>Discussion says: "Much of the benefit in reducing colorectal-cancer mortality
from screening derives from a reduction in stage IV disease,4 which has a much higher mortality than lower stages. In the PLCO trial, 79.1%
of participants with stage IV disease died of colorectal cancer."</text>
  </threadedComment>
  <threadedComment ref="L1843" dT="2023-10-24T08:52:54.95" personId="{EB3A3BE2-592C-4348-A404-E1318D49EF19}" id="{34D1CEC2-B7D8-489E-92F4-59EC1652D447}" parentId="{AC8CF518-46EB-444B-95FF-572AE6762036}">
    <text>Not sure about this one, it doesn't define it as late stage, just mentions where most of the reduction comes from?</text>
  </threadedComment>
  <threadedComment ref="L1843" dT="2023-10-25T12:41:49.88" personId="{3DE5673D-4837-4FC9-B8B9-34243175713A}" id="{0F5B8DC2-9980-4B07-95F2-6A8B5F320FE9}" parentId="{AC8CF518-46EB-444B-95FF-572AE6762036}">
    <text>True, this is why I have put a '?'. Maybe we just leave it as 'NR' then.</text>
  </threadedComment>
  <threadedComment ref="L1844" dT="2023-10-19T09:24:01.04" personId="{3DE5673D-4837-4FC9-B8B9-34243175713A}" id="{CD553419-01BA-47C9-90D0-74D2BECE028C}" done="1">
    <text>Discussion says: "Much of the benefit in reducing colorectal-cancer mortality
from screening derives from a reduction in stage IV disease,4 which has a much higher mortality than lower stages. In the PLCO trial, 79.1%
of participants with stage IV disease died of colorectal cancer."</text>
  </threadedComment>
  <threadedComment ref="L1844" dT="2023-10-24T08:52:54.95" personId="{EB3A3BE2-592C-4348-A404-E1318D49EF19}" id="{59E9E6EB-19A4-45E2-9650-3765D1A5B9B0}" parentId="{CD553419-01BA-47C9-90D0-74D2BECE028C}">
    <text>Not sure about this one, it doesn't define it as late stage, just mentions where most of the reduction comes from?</text>
  </threadedComment>
  <threadedComment ref="L1844" dT="2023-10-25T12:41:49.88" personId="{3DE5673D-4837-4FC9-B8B9-34243175713A}" id="{9B97B9A9-FEAE-4F56-8CD2-5B8F52F2D4A9}" parentId="{CD553419-01BA-47C9-90D0-74D2BECE028C}">
    <text>True, this is why I have put a '?'. Maybe we just leave it as 'NR' then.</text>
  </threadedComment>
  <threadedComment ref="L1845" dT="2023-10-19T09:24:01.04" personId="{3DE5673D-4837-4FC9-B8B9-34243175713A}" id="{ABFAC049-E8E7-45B2-AD29-3617DD2A1325}" done="1">
    <text>Discussion says: "Much of the benefit in reducing colorectal-cancer mortality
from screening derives from a reduction in stage IV disease,4 which has a much higher mortality than lower stages. In the PLCO trial, 79.1%
of participants with stage IV disease died of colorectal cancer."</text>
  </threadedComment>
  <threadedComment ref="L1845" dT="2023-10-24T08:52:54.95" personId="{EB3A3BE2-592C-4348-A404-E1318D49EF19}" id="{887B0CBF-074F-4C56-8A79-605AE200B2D8}" parentId="{ABFAC049-E8E7-45B2-AD29-3617DD2A1325}">
    <text>Not sure about this one, it doesn't define it as late stage, just mentions where most of the reduction comes from?</text>
  </threadedComment>
  <threadedComment ref="L1845" dT="2023-10-25T12:41:49.88" personId="{3DE5673D-4837-4FC9-B8B9-34243175713A}" id="{C049DA11-9E0D-40E8-9D84-DD97B743C50D}" parentId="{ABFAC049-E8E7-45B2-AD29-3617DD2A1325}">
    <text>True, this is why I have put a '?'. Maybe we just leave it as 'NR' then.</text>
  </threadedComment>
  <threadedComment ref="L1846" dT="2023-10-19T09:24:01.04" personId="{3DE5673D-4837-4FC9-B8B9-34243175713A}" id="{D23BEF42-B29E-46D9-B369-E36324BD05C0}" done="1">
    <text>Discussion says: "Much of the benefit in reducing colorectal-cancer mortality
from screening derives from a reduction in stage IV disease,4 which has a much higher mortality than lower stages. In the PLCO trial, 79.1%
of participants with stage IV disease died of colorectal cancer."</text>
  </threadedComment>
  <threadedComment ref="L1846" dT="2023-10-24T08:52:54.95" personId="{EB3A3BE2-592C-4348-A404-E1318D49EF19}" id="{47A6D584-D887-46B6-AF13-780611EFEB6A}" parentId="{D23BEF42-B29E-46D9-B369-E36324BD05C0}">
    <text>Not sure about this one, it doesn't define it as late stage, just mentions where most of the reduction comes from?</text>
  </threadedComment>
  <threadedComment ref="L1846" dT="2023-10-25T12:41:49.88" personId="{3DE5673D-4837-4FC9-B8B9-34243175713A}" id="{6A3E0C44-B4AB-4D9D-AA3C-5D77150ECB3C}" parentId="{D23BEF42-B29E-46D9-B369-E36324BD05C0}">
    <text>True, this is why I have put a '?'. Maybe we just leave it as 'NR' then.</text>
  </threadedComment>
  <threadedComment ref="L1847" dT="2023-10-19T09:24:01.04" personId="{3DE5673D-4837-4FC9-B8B9-34243175713A}" id="{DE45CE19-6D07-4129-909A-C5A63EE84FAE}" done="1">
    <text>Discussion says: "Much of the benefit in reducing colorectal-cancer mortality
from screening derives from a reduction in stage IV disease,4 which has a much higher mortality than lower stages. In the PLCO trial, 79.1%
of participants with stage IV disease died of colorectal cancer."</text>
  </threadedComment>
  <threadedComment ref="L1847" dT="2023-10-24T08:52:54.95" personId="{EB3A3BE2-592C-4348-A404-E1318D49EF19}" id="{D9C09F47-6ACA-42BB-A6D0-12C658CEE708}" parentId="{DE45CE19-6D07-4129-909A-C5A63EE84FAE}">
    <text>Not sure about this one, it doesn't define it as late stage, just mentions where most of the reduction comes from?</text>
  </threadedComment>
  <threadedComment ref="L1847" dT="2023-10-25T12:41:49.88" personId="{3DE5673D-4837-4FC9-B8B9-34243175713A}" id="{5147B0BA-0967-4F6D-A428-A533AF8980E9}" parentId="{DE45CE19-6D07-4129-909A-C5A63EE84FAE}">
    <text>True, this is why I have put a '?'. Maybe we just leave it as 'NR' then.</text>
  </threadedComment>
  <threadedComment ref="L1848" dT="2023-10-19T09:24:01.04" personId="{3DE5673D-4837-4FC9-B8B9-34243175713A}" id="{DD39B7E9-43F5-4822-84F4-9075EE5A0AF8}" done="1">
    <text>Discussion says: "Much of the benefit in reducing colorectal-cancer mortality
from screening derives from a reduction in stage IV disease,4 which has a much higher mortality than lower stages. In the PLCO trial, 79.1%
of participants with stage IV disease died of colorectal cancer."</text>
  </threadedComment>
  <threadedComment ref="L1848" dT="2023-10-24T08:52:54.95" personId="{EB3A3BE2-592C-4348-A404-E1318D49EF19}" id="{A20B3CB2-BB77-46F5-B1DE-920B728F3338}" parentId="{DD39B7E9-43F5-4822-84F4-9075EE5A0AF8}">
    <text>Not sure about this one, it doesn't define it as late stage, just mentions where most of the reduction comes from?</text>
  </threadedComment>
  <threadedComment ref="L1848" dT="2023-10-25T12:41:49.88" personId="{3DE5673D-4837-4FC9-B8B9-34243175713A}" id="{59A77712-94D4-4795-BFB9-8055895B30B6}" parentId="{DD39B7E9-43F5-4822-84F4-9075EE5A0AF8}">
    <text>True, this is why I have put a '?'. Maybe we just leave it as 'NR' then.</text>
  </threadedComment>
  <threadedComment ref="L1849" dT="2023-10-19T09:24:01.04" personId="{3DE5673D-4837-4FC9-B8B9-34243175713A}" id="{C5117872-F984-47A4-A0C7-10DB70EA745D}" done="1">
    <text>Discussion says: "Much of the benefit in reducing colorectal-cancer mortality
from screening derives from a reduction in stage IV disease,4 which has a much higher mortality than lower stages. In the PLCO trial, 79.1%
of participants with stage IV disease died of colorectal cancer."</text>
  </threadedComment>
  <threadedComment ref="L1849" dT="2023-10-24T08:52:54.95" personId="{EB3A3BE2-592C-4348-A404-E1318D49EF19}" id="{BB507A1D-4CE6-4F2F-B8C4-D86EF60953CE}" parentId="{C5117872-F984-47A4-A0C7-10DB70EA745D}">
    <text>Not sure about this one, it doesn't define it as late stage, just mentions where most of the reduction comes from?</text>
  </threadedComment>
  <threadedComment ref="L1849" dT="2023-10-25T12:41:49.88" personId="{3DE5673D-4837-4FC9-B8B9-34243175713A}" id="{FD74E25E-48EB-48AD-AECB-9209178EF17E}" parentId="{C5117872-F984-47A4-A0C7-10DB70EA745D}">
    <text>True, this is why I have put a '?'. Maybe we just leave it as 'NR' then.</text>
  </threadedComment>
  <threadedComment ref="AD1850" dT="2023-08-02T09:54:23.73" personId="{EB3A3BE2-592C-4348-A404-E1318D49EF19}" id="{BAE38C89-2673-45DB-B34D-9D1C530BEC02}" done="1">
    <text>Total incidence (fig.2) - total incidence with stage information (fig.3)</text>
  </threadedComment>
  <threadedComment ref="BA1850" dT="2023-10-20T11:56:24.48" personId="{3DE5673D-4837-4FC9-B8B9-34243175713A}" id="{2703B6AF-6804-408A-BB6F-01E15E1C5428}" done="1">
    <text>Think this is the p value for a difference in distribution of tumour stage overall, not only for the stage I incidence.</text>
  </threadedComment>
  <threadedComment ref="BA1850" dT="2023-10-24T09:08:44.17" personId="{EB3A3BE2-592C-4348-A404-E1318D49EF19}" id="{F79510D6-E6C2-4786-AE5F-56A02A3FE17F}" parentId="{2703B6AF-6804-408A-BB6F-01E15E1C5428}">
    <text>Happy to remove it</text>
  </threadedComment>
  <threadedComment ref="BA1851" dT="2023-10-20T11:56:24.48" personId="{3DE5673D-4837-4FC9-B8B9-34243175713A}" id="{F1DAF855-250A-4938-8BFF-6F507163B547}">
    <text>Think this is the p value for a difference in distribution of tumour stage overall, not only for the stage II incidence.</text>
  </threadedComment>
  <threadedComment ref="BA1852" dT="2023-10-20T11:56:24.48" personId="{3DE5673D-4837-4FC9-B8B9-34243175713A}" id="{9F7BA524-B9E9-4215-96DC-217001CEE7C1}">
    <text>Think this is the p value for a difference in distribution of tumour stage overall, not only for the stage III incidence.</text>
  </threadedComment>
  <threadedComment ref="BA1853" dT="2023-10-20T11:56:24.48" personId="{3DE5673D-4837-4FC9-B8B9-34243175713A}" id="{C1A189B7-2BF0-419D-88EA-132F57880548}">
    <text>Think this is the p value for a difference in distribution of tumour stage overall, not only for the stage IV incidence.</text>
  </threadedComment>
  <threadedComment ref="A1854" dT="2023-10-20T11:59:34.32" personId="{3DE5673D-4837-4FC9-B8B9-34243175713A}" id="{F701C04D-E14E-4EB8-BDAA-35C9634A819B}" done="1">
    <text>Think we only need to extract surrogate 3 for stages that could be classed as late-stage.</text>
  </threadedComment>
  <threadedComment ref="A1854" dT="2023-10-24T09:12:50.17" personId="{EB3A3BE2-592C-4348-A404-E1318D49EF19}" id="{78FD96F4-C76B-44AB-A547-3EB30D3C8B31}" parentId="{F701C04D-E14E-4EB8-BDAA-35C9634A819B}">
    <text>They could be useful when looking at different definitions of late stage in the analysis (e.g. decide to include stage II). We already have the numbers from surrogate 1/4 though, so happy to both remove/keep.</text>
  </threadedComment>
  <threadedComment ref="A1854" dT="2023-10-25T12:48:47.59" personId="{3DE5673D-4837-4FC9-B8B9-34243175713A}" id="{EC07285A-21E8-4B95-9653-86CD5EED71E0}" parentId="{F701C04D-E14E-4EB8-BDAA-35C9634A819B}">
    <text>Okay, let's keep them.</text>
  </threadedComment>
  <threadedComment ref="AD1854" dT="2023-08-02T09:54:23.73" personId="{EB3A3BE2-592C-4348-A404-E1318D49EF19}" id="{57F41181-3F1B-40A0-AB41-E8D075B3EBD1}" done="1">
    <text>Total incidence (fig.2) - total incidence with stage information (fig.3)</text>
  </threadedComment>
  <threadedComment ref="A1855" dT="2023-10-20T11:59:34.32" personId="{3DE5673D-4837-4FC9-B8B9-34243175713A}" id="{D02E3600-FF7C-40B4-96C3-19EAB39A3370}" done="1">
    <text>Think we only need to extract surrogate 3 for stages that could be classed as late-stage.</text>
  </threadedComment>
  <threadedComment ref="A1855" dT="2023-10-24T09:12:50.17" personId="{EB3A3BE2-592C-4348-A404-E1318D49EF19}" id="{48B75785-1EBA-4569-AE48-6DC2A0761694}" parentId="{D02E3600-FF7C-40B4-96C3-19EAB39A3370}">
    <text>They could be useful when looking at different definitions of late stage in the analysis (e.g. decide to include stage II). We already have the numbers from surrogate 1/4 though, so happy to both remove/keep.</text>
  </threadedComment>
  <threadedComment ref="A1855" dT="2023-10-25T12:48:47.59" personId="{3DE5673D-4837-4FC9-B8B9-34243175713A}" id="{785AA826-CAF7-4A44-BD58-ED4056CF57D5}" parentId="{D02E3600-FF7C-40B4-96C3-19EAB39A3370}">
    <text>Okay, let's keep them.</text>
  </threadedComment>
  <threadedComment ref="AD1866" dT="2023-08-02T09:54:23.73" personId="{EB3A3BE2-592C-4348-A404-E1318D49EF19}" id="{6F75C73D-EE4B-4024-8DB0-F0714F301045}" done="1">
    <text>Total incidence (fig.2) - total incidence with stage information (fig.3)</text>
  </threadedComment>
  <threadedComment ref="A1870" dT="2023-10-24T09:30:14.11" personId="{EB3A3BE2-592C-4348-A404-E1318D49EF19}" id="{17066271-A0B6-4990-B564-494A717C6494}" done="1">
    <text>Calculated surrogate 3 for distal (similar to above, happy to remove/keep stage I/II for this one)</text>
  </threadedComment>
  <threadedComment ref="AD1870" dT="2023-08-02T09:54:23.73" personId="{EB3A3BE2-592C-4348-A404-E1318D49EF19}" id="{4EEE7C43-9705-4D40-A785-C69D583B8FBF}" done="1">
    <text>Total incidence (fig.2) - total incidence with stage information (fig.3)</text>
  </threadedComment>
  <threadedComment ref="A1874" dT="2023-05-30T10:10:10.54" personId="{3DE5673D-4837-4FC9-B8B9-34243175713A}" id="{77311390-6CBF-499D-A8EE-73728C106E00}" done="1">
    <text>Only reports stage for the screen-detected cancers, not for all cancers. Lung cancer mortality is for all cancers only, so not extracted.</text>
  </threadedComment>
  <threadedComment ref="A1874" dT="2023-11-29T13:18:16.68" personId="{E08A2389-F34B-466D-8AA1-6ADBBDF0F7BF}" id="{8C467A4B-32E2-4893-B689-A46567857EDE}" parentId="{77311390-6CBF-499D-A8EE-73728C106E00}">
    <text>Agreed.</text>
  </threadedComment>
  <threadedComment ref="AB1874" dT="2023-05-30T09:29:42.24" personId="{3DE5673D-4837-4FC9-B8B9-34243175713A}" id="{F3CED8EF-8305-4465-BDCD-2608A9CACC52}" done="1">
    <text>2 censored in total because of missing information - unclear from which group.</text>
  </threadedComment>
  <threadedComment ref="AB1874" dT="2023-11-29T13:24:16.72" personId="{E08A2389-F34B-466D-8AA1-6ADBBDF0F7BF}" id="{48C3E177-53C5-41FC-8375-DBF15F0F4753}" parentId="{F3CED8EF-8305-4465-BDCD-2608A9CACC52}">
    <text>agreed</text>
  </threadedComment>
  <threadedComment ref="AC1874" dT="2023-11-29T14:24:35.75" personId="{E08A2389-F34B-466D-8AA1-6ADBBDF0F7BF}" id="{FD941249-F7B5-4B8F-A59B-82C931304CBE}" done="1">
    <text xml:space="preserve">10 cancers from the LCDT arms are missing stage information.
Table 3 
LC incidence
Annual CT n = 34
Biennial CT n = 25
Table 2 
Cancer stage
Annual CT n = 29
Biennial CT n = 20
</text>
  </threadedComment>
  <threadedComment ref="AC1874" dT="2023-12-01T08:56:43.47" personId="{3DE5673D-4837-4FC9-B8B9-34243175713A}" id="{FB981D8C-FE73-4FBE-A269-F583BD6E3A7B}" parentId="{FD941249-F7B5-4B8F-A59B-82C931304CBE}">
    <text>Agree, but this row reports diagnostic yield, nothing on stage. So, the only missing data here would be when they way of detection was unknown. I have clarified columns AD and AF.</text>
  </threadedComment>
  <threadedComment ref="AC1874" dT="2023-12-01T10:39:10.84" personId="{E08A2389-F34B-466D-8AA1-6ADBBDF0F7BF}" id="{F2B15549-6633-45F0-A01D-67EFB49C0B49}" parentId="{FD941249-F7B5-4B8F-A59B-82C931304CBE}">
    <text>I understand. Agreed.</text>
  </threadedComment>
  <threadedComment ref="AE1874" dT="2023-11-29T14:27:17.93" personId="{E08A2389-F34B-466D-8AA1-6ADBBDF0F7BF}" id="{3CFEBF4A-D9F7-4053-ACFA-502FA769075D}" done="1">
    <text>10 cancers from the LCDT arms are missing stage information.
Table 3 
LC incidence
Annual CT n = 34
Biennial CT n = 25
Table 2 
Cancer stage
Annual CT n = 29
Biennial CT n = 20</text>
  </threadedComment>
  <threadedComment ref="AE1874" dT="2023-12-01T08:58:32.89" personId="{3DE5673D-4837-4FC9-B8B9-34243175713A}" id="{3248B328-CE47-4A54-8709-24D558CB56CF}" parentId="{3CFEBF4A-D9F7-4053-ACFA-502FA769075D}">
    <text>Agree, but this row reports diagnostic yield, nothing on stage. So, the only missing data here would be when they way of detection was unknown. I have clarified columns AD and AF.</text>
  </threadedComment>
  <threadedComment ref="AE1874" dT="2023-12-01T10:39:41.55" personId="{E08A2389-F34B-466D-8AA1-6ADBBDF0F7BF}" id="{4B602D4B-7500-411D-89AD-097DB28C8979}" parentId="{3CFEBF4A-D9F7-4053-ACFA-502FA769075D}">
    <text>I understand. Agreed.</text>
  </threadedComment>
  <threadedComment ref="AA1875" dT="2023-05-30T09:29:42.24" personId="{3DE5673D-4837-4FC9-B8B9-34243175713A}" id="{196599C9-D1DD-499D-9BBF-DCEB6D7104F4}" done="1">
    <text>2 censored in total because of missing information - unclear from which group.</text>
  </threadedComment>
  <threadedComment ref="AC1875" dT="2023-11-29T14:25:51.10" personId="{E08A2389-F34B-466D-8AA1-6ADBBDF0F7BF}" id="{A3961629-7C9B-4758-BF1A-22C54714C306}" done="1">
    <text>See above</text>
  </threadedComment>
  <threadedComment ref="AB1876" dT="2023-05-30T09:29:42.24" personId="{3DE5673D-4837-4FC9-B8B9-34243175713A}" id="{8E6DC65E-ED42-467B-8459-4AB01DA2F877}" done="1">
    <text>2 censored in total because of missing information - unclear from which group.</text>
  </threadedComment>
  <threadedComment ref="AB1876" dT="2023-11-29T13:24:21.30" personId="{E08A2389-F34B-466D-8AA1-6ADBBDF0F7BF}" id="{192B9B68-7B75-40FE-AAE7-677CFA72E5E1}" parentId="{8E6DC65E-ED42-467B-8459-4AB01DA2F877}">
    <text>agreed</text>
  </threadedComment>
  <threadedComment ref="AC1876" dT="2023-11-29T14:25:51.10" personId="{E08A2389-F34B-466D-8AA1-6ADBBDF0F7BF}" id="{F656B711-9D92-434C-9FE7-E6FCC306CD5C}" done="1">
    <text>See above</text>
  </threadedComment>
  <threadedComment ref="AE1876" dT="2023-11-29T14:27:17.93" personId="{E08A2389-F34B-466D-8AA1-6ADBBDF0F7BF}" id="{36AD79C0-A6E0-4E63-9E21-DEE1AE7C8A9B}" done="1">
    <text>10 cancers from the LCDT arms are missing stage information.
Table 3 
LC incidence
Annual CT n = 34
Biennial CT n = 25
Table 2 
Cancer stage
Annual CT n = 29
Biennial CT n = 20</text>
  </threadedComment>
  <threadedComment ref="AE1876" dT="2023-12-01T08:58:32.89" personId="{3DE5673D-4837-4FC9-B8B9-34243175713A}" id="{A68DB43E-BEC7-4412-972B-267138C887B6}" parentId="{36AD79C0-A6E0-4E63-9E21-DEE1AE7C8A9B}">
    <text>Agree, but this row reports diagnostic yield, nothing on stage. So, the only missing data here would be when they way of detection was unknown. I have clarified columns AD and AF.</text>
  </threadedComment>
  <threadedComment ref="AE1876" dT="2023-12-01T10:39:41.55" personId="{E08A2389-F34B-466D-8AA1-6ADBBDF0F7BF}" id="{D088FBBE-8E12-47DF-90C6-5E974C90515C}" parentId="{36AD79C0-A6E0-4E63-9E21-DEE1AE7C8A9B}">
    <text>I understand. Agreed.</text>
  </threadedComment>
  <threadedComment ref="AA1877" dT="2023-05-30T09:29:42.24" personId="{3DE5673D-4837-4FC9-B8B9-34243175713A}" id="{898BF20B-839B-4115-8813-87121CE9AE29}" done="1">
    <text>2 censored in total because of missing information - unclear from which group.</text>
  </threadedComment>
  <threadedComment ref="AA1877" dT="2023-11-29T13:24:25.64" personId="{E08A2389-F34B-466D-8AA1-6ADBBDF0F7BF}" id="{482F1CC6-4B03-4EBB-82FB-6E43FA29E970}" parentId="{898BF20B-839B-4115-8813-87121CE9AE29}">
    <text>agreed</text>
  </threadedComment>
  <threadedComment ref="AC1877" dT="2023-11-29T14:25:51.10" personId="{E08A2389-F34B-466D-8AA1-6ADBBDF0F7BF}" id="{92CC6D97-1D72-4A27-BF27-8DEA87B10AF5}" done="1">
    <text>See above</text>
  </threadedComment>
  <threadedComment ref="S1899" dT="2023-05-31T09:48:44.35" personId="{3DE5673D-4837-4FC9-B8B9-34243175713A}" id="{6DC3F0D1-C401-4ADE-9512-4B961D91C9F4}" done="1">
    <text>22,714 PY / 2,376</text>
  </threadedComment>
  <threadedComment ref="S1899" dT="2023-11-29T15:00:15.65" personId="{E08A2389-F34B-466D-8AA1-6ADBBDF0F7BF}" id="{F2793132-A9DE-4DDE-8010-E6D6818ECD2B}" parentId="{6DC3F0D1-C401-4ADE-9512-4B961D91C9F4}">
    <text>I'm not sure about this. Isn't 22,714 the person time to cancer detection and 23,083 the person time to mortality? So we should use mortality or say NR?
6.2 is years of screening. Do we need that?</text>
  </threadedComment>
  <threadedComment ref="S1899" dT="2023-11-29T15:11:25.10" personId="{E08A2389-F34B-466D-8AA1-6ADBBDF0F7BF}" id="{574723F4-21E9-4942-94A6-B55F3731886E}" parentId="{6DC3F0D1-C401-4ADE-9512-4B961D91C9F4}">
    <text>My comment applies to this column for whole of extraction for #725</text>
  </threadedComment>
  <threadedComment ref="S1899" dT="2023-12-01T09:12:52.49" personId="{3DE5673D-4837-4FC9-B8B9-34243175713A}" id="{BB4B59CF-BD6C-491D-BFB8-E35E19B02F27}" parentId="{6DC3F0D1-C401-4ADE-9512-4B961D91C9F4}">
    <text>Why should we use the person time to mortality when for this outcome, the person is censored at cancer diagnosis?
Think follow-up time for cancer incidence should be shorter than follow-up time for mortality (as then the person is only censored at death).
Agree to remove the years of screening here.</text>
  </threadedComment>
  <threadedComment ref="S1899" dT="2023-12-01T10:42:54.25" personId="{E08A2389-F34B-466D-8AA1-6ADBBDF0F7BF}" id="{465BE401-03D5-4FD6-8526-72A464F88C3B}" parentId="{6DC3F0D1-C401-4ADE-9512-4B961D91C9F4}">
    <text>Ah yes. That makes sense. I was thinking final analysis not surrogate analysis.</text>
  </threadedComment>
  <threadedComment ref="T1899" dT="2023-05-31T09:49:26.17" personId="{3DE5673D-4837-4FC9-B8B9-34243175713A}" id="{2DAD0760-5687-4E9E-81A1-48C136AD7567}" done="1">
    <text>16,102 PY / 1,723</text>
  </threadedComment>
  <threadedComment ref="T1899" dT="2023-11-29T15:10:48.71" personId="{E08A2389-F34B-466D-8AA1-6ADBBDF0F7BF}" id="{2307A916-09D3-4177-BF41-9C10FB9A0401}" parentId="{2DAD0760-5687-4E9E-81A1-48C136AD7567}">
    <text>See comment in cell to left.</text>
  </threadedComment>
  <threadedComment ref="T1899" dT="2023-11-29T15:11:29.77" personId="{E08A2389-F34B-466D-8AA1-6ADBBDF0F7BF}" id="{68B39282-E650-4015-90C0-46BEBB99509E}" parentId="{2DAD0760-5687-4E9E-81A1-48C136AD7567}">
    <text>My comment applies to this column for whole of extraction for #725</text>
  </threadedComment>
  <threadedComment ref="S1900" dT="2023-05-31T09:48:44.35" personId="{3DE5673D-4837-4FC9-B8B9-34243175713A}" id="{9EDFECDA-BD9C-4534-8290-51CB125ED511}" done="1">
    <text>22,714 PY / 2,376</text>
  </threadedComment>
  <threadedComment ref="T1900" dT="2023-05-31T09:49:26.17" personId="{3DE5673D-4837-4FC9-B8B9-34243175713A}" id="{A6B50E89-DE29-4D72-8144-1C8A3D7A8E87}" done="1">
    <text>16,102 PY / 1,723</text>
  </threadedComment>
  <threadedComment ref="S1901" dT="2023-05-31T09:48:44.35" personId="{3DE5673D-4837-4FC9-B8B9-34243175713A}" id="{4A93B33E-71B7-40A7-89F4-51FF3A3B40AF}" done="1">
    <text>22,714 PY / 2,376</text>
  </threadedComment>
  <threadedComment ref="T1901" dT="2023-05-31T09:49:26.17" personId="{3DE5673D-4837-4FC9-B8B9-34243175713A}" id="{466F8370-AADF-42CD-AAE4-C41CE7730A73}" done="1">
    <text>16,102 PY / 1,723</text>
  </threadedComment>
  <threadedComment ref="S1902" dT="2023-05-31T09:48:44.35" personId="{3DE5673D-4837-4FC9-B8B9-34243175713A}" id="{BBD1F04C-E2FD-42C6-88EB-29466A3B89E6}" done="1">
    <text>22,714 PY / 2,376</text>
  </threadedComment>
  <threadedComment ref="T1902" dT="2023-05-31T09:49:26.17" personId="{3DE5673D-4837-4FC9-B8B9-34243175713A}" id="{2D00E5CC-989E-4D08-ACC8-B09197B1BF43}" done="1">
    <text>16,102 PY / 1,723</text>
  </threadedComment>
  <threadedComment ref="S1903" dT="2023-05-31T09:48:44.35" personId="{3DE5673D-4837-4FC9-B8B9-34243175713A}" id="{D7AC9E53-6FC7-47D2-A7A7-4752D07E88C6}" done="1">
    <text>22,714 PY / 2,376</text>
  </threadedComment>
  <threadedComment ref="T1903" dT="2023-05-31T09:49:26.17" personId="{3DE5673D-4837-4FC9-B8B9-34243175713A}" id="{4D090127-2EEB-4FEF-937D-B51239A4BA05}" done="1">
    <text>16,102 PY / 1,723</text>
  </threadedComment>
  <threadedComment ref="S1904" dT="2023-05-31T09:48:44.35" personId="{3DE5673D-4837-4FC9-B8B9-34243175713A}" id="{6051E53B-7466-4351-B937-56DC7615B812}" done="1">
    <text>22,714 PY / 2,376</text>
  </threadedComment>
  <threadedComment ref="T1904" dT="2023-05-31T09:49:26.17" personId="{3DE5673D-4837-4FC9-B8B9-34243175713A}" id="{B61C5D1B-0962-4A3C-8F3E-0F4C2EE9F1DB}" done="1">
    <text>16,102 PY / 1,723</text>
  </threadedComment>
  <threadedComment ref="S1905" dT="2023-05-31T09:48:44.35" personId="{3DE5673D-4837-4FC9-B8B9-34243175713A}" id="{1CEF62B4-1223-4ADA-AFB5-921493E17931}" done="1">
    <text>22,714 PY / 2,376</text>
  </threadedComment>
  <threadedComment ref="T1905" dT="2023-05-31T09:49:26.17" personId="{3DE5673D-4837-4FC9-B8B9-34243175713A}" id="{C0064B7E-A8F2-4EA4-BE4F-3F8CBD74A00A}" done="1">
    <text>16,102 PY / 1,723</text>
  </threadedComment>
  <threadedComment ref="S1906" dT="2023-05-31T09:48:44.35" personId="{3DE5673D-4837-4FC9-B8B9-34243175713A}" id="{45D0C6B0-1757-4172-9775-817377267B6B}" done="1">
    <text>22,714 PY / 2,376</text>
  </threadedComment>
  <threadedComment ref="T1906" dT="2023-05-31T09:49:26.17" personId="{3DE5673D-4837-4FC9-B8B9-34243175713A}" id="{18DBE1E9-E270-45FC-83E2-B3DFF856FE21}" done="1">
    <text>16,102 PY / 1,723</text>
  </threadedComment>
  <threadedComment ref="S1907" dT="2023-05-31T09:48:44.35" personId="{3DE5673D-4837-4FC9-B8B9-34243175713A}" id="{991FCCE6-64AD-46C4-A830-6851518DC05D}" done="1">
    <text>22,714 PY / 2,376</text>
  </threadedComment>
  <threadedComment ref="T1907" dT="2023-05-31T09:49:26.17" personId="{3DE5673D-4837-4FC9-B8B9-34243175713A}" id="{819E9B65-6A20-4021-83E8-87F2028B3CAE}" done="1">
    <text>16,102 PY / 1,723</text>
  </threadedComment>
  <threadedComment ref="S1908" dT="2023-05-31T09:48:44.35" personId="{3DE5673D-4837-4FC9-B8B9-34243175713A}" id="{3302AF68-3E5D-4CD7-BF7B-C7E787B62F9D}" done="1">
    <text>22,714 PY / 2,376</text>
  </threadedComment>
  <threadedComment ref="T1908" dT="2023-05-31T09:49:26.17" personId="{3DE5673D-4837-4FC9-B8B9-34243175713A}" id="{9A644654-132E-44B4-951F-A76DD3B04DEE}" done="1">
    <text>16,102 PY / 1,723</text>
  </threadedComment>
  <threadedComment ref="S1909" dT="2023-05-31T09:48:44.35" personId="{3DE5673D-4837-4FC9-B8B9-34243175713A}" id="{8A94ACD7-337B-487B-99EC-B49A27BB6F33}" done="1">
    <text>22,714 PY / 2,376</text>
  </threadedComment>
  <threadedComment ref="T1909" dT="2023-05-31T09:49:26.17" personId="{3DE5673D-4837-4FC9-B8B9-34243175713A}" id="{080CBAD5-42CC-473B-83F4-5018AC6F3EE8}" done="1">
    <text>16,102 PY / 1,723</text>
  </threadedComment>
  <threadedComment ref="S1910" dT="2023-05-31T09:48:44.35" personId="{3DE5673D-4837-4FC9-B8B9-34243175713A}" id="{B1BAF2DB-7B45-4C14-8AB9-EF149388A827}" done="1">
    <text>22,714 PY / 2,376</text>
  </threadedComment>
  <threadedComment ref="T1910" dT="2023-05-31T09:49:26.17" personId="{3DE5673D-4837-4FC9-B8B9-34243175713A}" id="{7A081088-4629-41BD-AE36-5BA04AE9E7A9}" done="1">
    <text>16,102 PY / 1,723</text>
  </threadedComment>
  <threadedComment ref="S1911" dT="2023-05-31T09:48:44.35" personId="{3DE5673D-4837-4FC9-B8B9-34243175713A}" id="{E2D93797-A64B-443A-80CE-B75B49486D5F}" done="1">
    <text>22,714 PY / 2,376</text>
  </threadedComment>
  <threadedComment ref="S1912" dT="2023-05-31T09:48:44.35" personId="{3DE5673D-4837-4FC9-B8B9-34243175713A}" id="{03A33705-D826-4D67-8B23-1816EAC0C1F1}" done="1">
    <text>22,714 PY / 2,376</text>
  </threadedComment>
  <threadedComment ref="A1913" dT="2023-05-31T12:25:46.60" personId="{3DE5673D-4837-4FC9-B8B9-34243175713A}" id="{9B35D4D3-1C57-4BA0-9A0B-68C3B4449D39}" done="1">
    <text>Number of stage I lung cancers also reported for 1,974 participants with negative baseline LDCT (Table S1).</text>
  </threadedComment>
  <threadedComment ref="A1913" dT="2023-11-29T15:18:32.66" personId="{E08A2389-F34B-466D-8AA1-6ADBBDF0F7BF}" id="{16DB1AEF-70D8-4A10-89E9-0E7509564CF1}" parentId="{9B35D4D3-1C57-4BA0-9A0B-68C3B4449D39}">
    <text>Do we need that information?</text>
  </threadedComment>
  <threadedComment ref="A1913" dT="2023-12-01T09:19:19.69" personId="{3DE5673D-4837-4FC9-B8B9-34243175713A}" id="{8AC194E7-0B4C-4FD2-8EFF-54F6E714C2AE}" parentId="{9B35D4D3-1C57-4BA0-9A0B-68C3B4449D39}">
    <text>Don't think so.</text>
  </threadedComment>
  <threadedComment ref="F1913" dT="2023-11-29T15:21:35.36" personId="{E08A2389-F34B-466D-8AA1-6ADBBDF0F7BF}" id="{A75EB847-39BB-4E8E-A88B-AED07003C9FF}" done="1">
    <text>Up to this point in the extraction for, the annual screening arm has been the 'screening test' and the 'biennial test' has been the comparator test. Risk of arms being mixed up in the analysis.</text>
  </threadedComment>
  <threadedComment ref="F1913" dT="2023-11-29T15:22:33.91" personId="{E08A2389-F34B-466D-8AA1-6ADBBDF0F7BF}" id="{85AB7F0D-6977-4EC8-806E-980D04B7E957}" parentId="{A75EB847-39BB-4E8E-A88B-AED07003C9FF}">
    <text>Comment appliable for cells F41-45 and G41-45.</text>
  </threadedComment>
  <threadedComment ref="F1913" dT="2023-12-01T09:20:57.45" personId="{3DE5673D-4837-4FC9-B8B9-34243175713A}" id="{7D9FFED2-3754-4444-8030-F3DE24CE2816}" parentId="{A75EB847-39BB-4E8E-A88B-AED07003C9FF}">
    <text>Agree. Swapped them round, please check.</text>
  </threadedComment>
  <threadedComment ref="AH1923" dT="2023-09-06T12:26:01.01" personId="{3DE5673D-4837-4FC9-B8B9-34243175713A}" id="{F7F1295B-42D9-4082-9D8F-C06BA946738C}" done="1">
    <text>Or should it be the total number of INVASIVE breast cancers only?</text>
  </threadedComment>
  <threadedComment ref="AH1923" dT="2023-12-17T15:01:25.91" personId="{E08A2389-F34B-466D-8AA1-6ADBBDF0F7BF}" id="{20D7A68B-9C4A-4437-8EF0-68498E776BEF}" parentId="{F7F1295B-42D9-4082-9D8F-C06BA946738C}">
    <text>I think it has to be just invasive. By definition, you can't have DCIS with lymph node involvement (or it would invasive not DCIS)</text>
  </threadedComment>
  <threadedComment ref="AK1923" dT="2023-12-17T15:03:24.61" personId="{E08A2389-F34B-466D-8AA1-6ADBBDF0F7BF}" id="{6D16481C-080E-4854-BE75-F16C2B2452C8}" done="1">
    <text>124, invasive cancers</text>
  </threadedComment>
  <threadedComment ref="AL1923" dT="2023-12-17T15:03:34.42" personId="{E08A2389-F34B-466D-8AA1-6ADBBDF0F7BF}" id="{28C85D8A-E513-4337-9F47-941D88335A78}" done="1">
    <text>182, invasive cancers</text>
  </threadedComment>
  <threadedComment ref="AO1923" dT="2023-12-17T15:05:14.49" personId="{E08A2389-F34B-466D-8AA1-6ADBBDF0F7BF}" id="{F7C9AB81-442E-4AF0-A65C-C84952ADA694}" done="1">
    <text>31.452
39*100/124</text>
  </threadedComment>
  <threadedComment ref="AS1923" dT="2023-12-17T15:05:37.78" personId="{E08A2389-F34B-466D-8AA1-6ADBBDF0F7BF}" id="{ADBCD99C-6F43-4E23-9756-C3EB50AD2744}" done="1">
    <text>45.604
83*100/182</text>
  </threadedComment>
  <threadedComment ref="AS1923" dT="2023-12-18T15:28:03.38" personId="{3DE5673D-4837-4FC9-B8B9-34243175713A}" id="{F28E3E81-2AFC-444E-92A8-A700EBD0BD31}" parentId="{ADBCD99C-6F43-4E23-9756-C3EB50AD2744}">
    <text>73*100/182=40.110</text>
  </threadedComment>
  <threadedComment ref="AS1923" dT="2023-12-19T11:56:39.14" personId="{E08A2389-F34B-466D-8AA1-6ADBBDF0F7BF}" id="{849F7D10-E7E2-45CA-8A6B-6B46BB620CE3}" parentId="{ADBCD99C-6F43-4E23-9756-C3EB50AD2744}">
    <text>Ha! Doesn't bode well that I can't tell the difference between 8s and 7s!</text>
  </threadedComment>
  <threadedComment ref="AX1923" dT="2023-12-17T15:06:13.77" personId="{E08A2389-F34B-466D-8AA1-6ADBBDF0F7BF}" id="{0E3C0E86-6D08-4A79-BE2E-69EDCA8F2550}" done="1">
    <text>0.690
31.452/45.604</text>
  </threadedComment>
  <threadedComment ref="AX1923" dT="2023-12-18T15:28:47.17" personId="{3DE5673D-4837-4FC9-B8B9-34243175713A}" id="{9AA6AF55-CA08-42BC-8194-ACD09E3139B2}" parentId="{0E3C0E86-6D08-4A79-BE2E-69EDCA8F2550}">
    <text>31.452/40.110=0.784</text>
  </threadedComment>
  <threadedComment ref="AX1923" dT="2023-12-19T11:57:00.23" personId="{E08A2389-F34B-466D-8AA1-6ADBBDF0F7BF}" id="{097838AE-D9AB-45F9-A999-AA6F02573CE8}" parentId="{0E3C0E86-6D08-4A79-BE2E-69EDCA8F2550}">
    <text>agreed</text>
  </threadedComment>
  <threadedComment ref="X1926" dT="2023-12-17T15:09:19.62" personId="{E08A2389-F34B-466D-8AA1-6ADBBDF0F7BF}" id="{7544CC58-28A5-442B-B9B5-58E248E847C6}" done="1">
    <text>Diagnostic yield is just about the screening arm.</text>
  </threadedComment>
  <threadedComment ref="X1926" dT="2023-12-18T15:29:50.36" personId="{3DE5673D-4837-4FC9-B8B9-34243175713A}" id="{46C02626-EF08-4916-BC06-850FC440BA9A}" parentId="{7544CC58-28A5-442B-B9B5-58E248E847C6}">
    <text>Here we also report results from screen 1 in the controls.</text>
  </threadedComment>
  <threadedComment ref="X1926" dT="2023-12-19T11:57:46.22" personId="{E08A2389-F34B-466D-8AA1-6ADBBDF0F7BF}" id="{AA5BA7D4-7972-4EDD-A013-3998209F06DC}" parentId="{7544CC58-28A5-442B-B9B5-58E248E847C6}">
    <text>Ah. I see.</text>
  </threadedComment>
  <threadedComment ref="Z1926" dT="2023-09-07T07:47:55.01" personId="{3DE5673D-4837-4FC9-B8B9-34243175713A}" id="{ACC15255-49C5-41A1-BDA7-7BD9B47EB890}" done="1">
    <text>Number invited from Table 2.</text>
  </threadedComment>
  <threadedComment ref="Z1926" dT="2023-12-17T15:08:26.95" personId="{E08A2389-F34B-466D-8AA1-6ADBBDF0F7BF}" id="{621CB353-644B-4F56-953A-3C8F51F988D8}" parentId="{ACC15255-49C5-41A1-BDA7-7BD9B47EB890}">
    <text>We don't need because diagnostic yield is about the intervention arm only.</text>
  </threadedComment>
  <threadedComment ref="Z1926" dT="2023-12-18T15:31:06.02" personId="{3DE5673D-4837-4FC9-B8B9-34243175713A}" id="{25F9A610-441C-4B89-AF56-C0534E0DE149}" parentId="{ACC15255-49C5-41A1-BDA7-7BD9B47EB890}">
    <text>Here we also report results from screen 1 in the controls.</text>
  </threadedComment>
  <threadedComment ref="AL1926" dT="2023-09-07T07:47:55.01" personId="{3DE5673D-4837-4FC9-B8B9-34243175713A}" id="{6B0789B2-1720-4DBA-AAF9-A9BAD0BD5B86}" done="1">
    <text>Number invited from Table 2.</text>
  </threadedComment>
  <threadedComment ref="AL1926" dT="2023-12-17T15:11:14.22" personId="{E08A2389-F34B-466D-8AA1-6ADBBDF0F7BF}" id="{15896053-6859-4A9D-BA22-4E9E62A8B8AB}" parentId="{6B0789B2-1720-4DBA-AAF9-A9BAD0BD5B86}">
    <text xml:space="preserve">We don't need because diagnostic yield is about the intervention arm only.
</text>
  </threadedComment>
  <threadedComment ref="AL1926" dT="2023-12-18T15:31:17.07" personId="{3DE5673D-4837-4FC9-B8B9-34243175713A}" id="{A937112E-F399-40C1-B7F2-733640D15A04}" parentId="{6B0789B2-1720-4DBA-AAF9-A9BAD0BD5B86}">
    <text>Here we also report results from screen 1 in the controls.</text>
  </threadedComment>
  <threadedComment ref="AL1926" dT="2023-12-19T11:57:53.42" personId="{E08A2389-F34B-466D-8AA1-6ADBBDF0F7BF}" id="{1819C786-14E1-41B8-A72C-1F7E43CBC1BC}" parentId="{6B0789B2-1720-4DBA-AAF9-A9BAD0BD5B86}">
    <text>agreed</text>
  </threadedComment>
  <threadedComment ref="AR1926" dT="2023-12-17T15:12:02.68" personId="{E08A2389-F34B-466D-8AA1-6ADBBDF0F7BF}" id="{BF2D77F9-597D-4D84-80D3-1B051D530BC8}" done="1">
    <text>We don't need because diagnostic yield is about the intervention arm only.</text>
  </threadedComment>
  <threadedComment ref="AR1926" dT="2023-12-18T15:32:16.99" personId="{3DE5673D-4837-4FC9-B8B9-34243175713A}" id="{C5618EED-6245-41C0-ABE9-5B19AF9FBB63}" parentId="{BF2D77F9-597D-4D84-80D3-1B051D530BC8}">
    <text>Not sure. The comparator arm was screened as well (exit screen), and I have reported data from screen 1 in the control arm here.</text>
  </threadedComment>
  <threadedComment ref="AR1926" dT="2023-12-19T11:58:02.71" personId="{E08A2389-F34B-466D-8AA1-6ADBBDF0F7BF}" id="{1A4DA73D-5E31-4C1A-80E2-0F0FFB3F762F}" parentId="{BF2D77F9-597D-4D84-80D3-1B051D530BC8}">
    <text>agreed</text>
  </threadedComment>
  <threadedComment ref="AX1926" dT="2023-12-17T15:12:21.46" personId="{E08A2389-F34B-466D-8AA1-6ADBBDF0F7BF}" id="{C80D69E0-0BAE-41D0-881D-5D390F8F6599}" done="1">
    <text xml:space="preserve">We don't need because diagnostic yield is about the intervention arm only.
</text>
  </threadedComment>
  <threadedComment ref="AX1926" dT="2023-12-18T15:32:24.43" personId="{3DE5673D-4837-4FC9-B8B9-34243175713A}" id="{C9D5554B-EDA7-49D0-B1C9-4216EB467E39}" parentId="{C80D69E0-0BAE-41D0-881D-5D390F8F6599}">
    <text>Not sure. The comparator arm was screened as well (exit screen), and I have reported data from screen 1 in the control arm here.</text>
  </threadedComment>
  <threadedComment ref="AX1926" dT="2023-12-19T11:58:09.39" personId="{E08A2389-F34B-466D-8AA1-6ADBBDF0F7BF}" id="{0B3A98B6-C2C9-4FF8-8680-DA43259D7A56}" parentId="{C80D69E0-0BAE-41D0-881D-5D390F8F6599}">
    <text>agreed</text>
  </threadedComment>
  <threadedComment ref="X1931" dT="2023-12-17T15:16:48.57" personId="{E08A2389-F34B-466D-8AA1-6ADBBDF0F7BF}" id="{B031896A-2342-4EFE-AD5C-47F04AB05609}" done="1">
    <text>We don't need because diagnostic yield is about the intervention arm only.</text>
  </threadedComment>
  <threadedComment ref="X1931" dT="2023-12-18T15:33:25.99" personId="{3DE5673D-4837-4FC9-B8B9-34243175713A}" id="{4E0C334E-D0E3-420E-8398-3883C516CE62}" parentId="{B031896A-2342-4EFE-AD5C-47F04AB05609}">
    <text>But there was an exit screen in the control group (screen 1)?</text>
  </threadedComment>
  <threadedComment ref="Z1931" dT="2023-09-07T07:47:55.01" personId="{3DE5673D-4837-4FC9-B8B9-34243175713A}" id="{D4250FBC-CF36-41CE-A5D3-9F4507D13956}" done="1">
    <text>Number invited from Table 2.</text>
  </threadedComment>
  <threadedComment ref="Z1931" dT="2023-12-17T15:16:54.33" personId="{E08A2389-F34B-466D-8AA1-6ADBBDF0F7BF}" id="{58CDF46D-0DF0-4BBF-B605-E90024AE9E05}" parentId="{D4250FBC-CF36-41CE-A5D3-9F4507D13956}">
    <text xml:space="preserve">We don't need because diagnostic yield is about the intervention arm only.
</text>
  </threadedComment>
  <threadedComment ref="Z1931" dT="2023-12-18T15:33:35.05" personId="{3DE5673D-4837-4FC9-B8B9-34243175713A}" id="{9E5C7B97-D7E9-4C6F-B504-C4B66EBB7845}" parentId="{D4250FBC-CF36-41CE-A5D3-9F4507D13956}">
    <text>But there was an exit screen in the control group (screen 1)?</text>
  </threadedComment>
  <threadedComment ref="AL1931" dT="2023-09-07T07:43:24.16" personId="{3DE5673D-4837-4FC9-B8B9-34243175713A}" id="{72C34482-996D-4313-BE73-EAFAD3056140}" done="1">
    <text>Number invited from Table 2.</text>
  </threadedComment>
  <threadedComment ref="AL1931" dT="2023-12-17T15:17:50.35" personId="{E08A2389-F34B-466D-8AA1-6ADBBDF0F7BF}" id="{8AFD8EDF-6233-47BE-986D-148483112C17}" parentId="{72C34482-996D-4313-BE73-EAFAD3056140}">
    <text xml:space="preserve">We don't need because diagnostic yield is about the intervention arm only.
</text>
  </threadedComment>
  <threadedComment ref="AL1931" dT="2023-12-18T15:33:41.56" personId="{3DE5673D-4837-4FC9-B8B9-34243175713A}" id="{024F74CC-0ED6-489D-A4B1-14AD490F99BD}" parentId="{72C34482-996D-4313-BE73-EAFAD3056140}">
    <text>But there was an exit screen in the control group (screen 1)?</text>
  </threadedComment>
  <threadedComment ref="AL1931" dT="2023-12-19T12:13:14.26" personId="{E08A2389-F34B-466D-8AA1-6ADBBDF0F7BF}" id="{3A398A3F-EC2A-455D-9B71-01D27B18B6DE}" parentId="{72C34482-996D-4313-BE73-EAFAD3056140}">
    <text>I understand. Agree.</text>
  </threadedComment>
  <threadedComment ref="AR1931" dT="2023-12-17T15:18:06.41" personId="{E08A2389-F34B-466D-8AA1-6ADBBDF0F7BF}" id="{4B48803B-8CDE-4484-9CE2-3F7893AF9529}" done="1">
    <text>We don't need because diagnostic yield is about the intervention arm only.</text>
  </threadedComment>
  <threadedComment ref="AR1931" dT="2023-12-18T15:33:50.94" personId="{3DE5673D-4837-4FC9-B8B9-34243175713A}" id="{1DE0F594-8162-42DA-9A4C-578C71DFE55C}" parentId="{4B48803B-8CDE-4484-9CE2-3F7893AF9529}">
    <text>But there was an exit screen in the control group (screen 1)?</text>
  </threadedComment>
  <threadedComment ref="AR1931" dT="2023-12-19T12:13:52.98" personId="{E08A2389-F34B-466D-8AA1-6ADBBDF0F7BF}" id="{D019BE5F-4F91-420C-88F0-3C5032B58009}" parentId="{4B48803B-8CDE-4484-9CE2-3F7893AF9529}">
    <text>I understand. Agree.</text>
  </threadedComment>
  <threadedComment ref="AV1931" dT="2023-12-17T15:18:22.08" personId="{E08A2389-F34B-466D-8AA1-6ADBBDF0F7BF}" id="{6CF69C55-6940-406B-B504-A53161DAE1EC}" done="1">
    <text xml:space="preserve">We don't need because diagnostic yield is about the intervention arm only.
</text>
  </threadedComment>
  <threadedComment ref="AV1931" dT="2023-12-18T15:33:56.63" personId="{3DE5673D-4837-4FC9-B8B9-34243175713A}" id="{B5BDD5A2-8C4C-4511-AC7F-389F315DADB0}" parentId="{6CF69C55-6940-406B-B504-A53161DAE1EC}">
    <text>But there was an exit screen in the control group (screen 1)?</text>
  </threadedComment>
  <threadedComment ref="AV1931" dT="2023-12-19T12:13:59.93" personId="{E08A2389-F34B-466D-8AA1-6ADBBDF0F7BF}" id="{51769BE4-02DC-4270-B73B-EB267F619F7F}" parentId="{6CF69C55-6940-406B-B504-A53161DAE1EC}">
    <text xml:space="preserve">I understand. Agree.
</text>
  </threadedComment>
  <threadedComment ref="AX1931" dT="2023-12-17T15:18:17.45" personId="{E08A2389-F34B-466D-8AA1-6ADBBDF0F7BF}" id="{30957318-03E7-445D-9E48-4AA7F6C2887A}" done="1">
    <text xml:space="preserve">We don't need because diagnostic yield is about the intervention arm only.
</text>
  </threadedComment>
  <threadedComment ref="AX1931" dT="2023-12-18T15:34:02.40" personId="{3DE5673D-4837-4FC9-B8B9-34243175713A}" id="{DA1D5D41-1FD7-42B5-80FA-EA838D5942FC}" parentId="{30957318-03E7-445D-9E48-4AA7F6C2887A}">
    <text>But there was an exit screen in the control group (screen 1)?</text>
  </threadedComment>
  <threadedComment ref="AX1931" dT="2023-12-19T12:14:03.92" personId="{E08A2389-F34B-466D-8AA1-6ADBBDF0F7BF}" id="{963C7A0D-623B-4172-BA4D-00ECA7CF410E}" parentId="{30957318-03E7-445D-9E48-4AA7F6C2887A}">
    <text xml:space="preserve">I understand. Agree.
</text>
  </threadedComment>
  <threadedComment ref="Z1935" dT="2023-09-07T07:47:55.01" personId="{3DE5673D-4837-4FC9-B8B9-34243175713A}" id="{9E595EEE-F3E1-4F86-BBE6-1E30BA794DDE}" done="1">
    <text>Number invited from Table 2.</text>
  </threadedComment>
  <threadedComment ref="Z1935" dT="2023-12-17T15:21:16.40" personId="{E08A2389-F34B-466D-8AA1-6ADBBDF0F7BF}" id="{595020B7-6EC0-4201-A0B9-3DA78B035A63}" parentId="{9E595EEE-F3E1-4F86-BBE6-1E30BA794DDE}">
    <text xml:space="preserve">We don't need because diagnostic yield is about the intervention arm only.
</text>
  </threadedComment>
  <threadedComment ref="Z1935" dT="2023-12-18T15:34:29.68" personId="{3DE5673D-4837-4FC9-B8B9-34243175713A}" id="{A705A471-ABDD-4DF6-9D98-FAEDDB2DFA21}" parentId="{9E595EEE-F3E1-4F86-BBE6-1E30BA794DDE}">
    <text>But there was an exit screen in the control group (screen 1)?</text>
  </threadedComment>
  <threadedComment ref="AL1935" dT="2023-09-07T07:43:24.16" personId="{3DE5673D-4837-4FC9-B8B9-34243175713A}" id="{CF3CFF0B-AC6E-47B7-82BD-A8951C549FE5}" done="1">
    <text>Number invited from Table 2.</text>
  </threadedComment>
  <threadedComment ref="AL1935" dT="2023-12-17T15:21:35.90" personId="{E08A2389-F34B-466D-8AA1-6ADBBDF0F7BF}" id="{8BD0C796-4C01-4AF8-B414-4E86A42CFB1A}" parentId="{CF3CFF0B-AC6E-47B7-82BD-A8951C549FE5}">
    <text xml:space="preserve">We don't need because diagnostic yield is about the intervention arm only.
</text>
  </threadedComment>
  <threadedComment ref="AL1935" dT="2023-12-18T15:34:37.36" personId="{3DE5673D-4837-4FC9-B8B9-34243175713A}" id="{7090E4EB-ED1F-404F-A11D-0F11E8363D72}" parentId="{CF3CFF0B-AC6E-47B7-82BD-A8951C549FE5}">
    <text>But there was an exit screen in the control group (screen 1)?</text>
  </threadedComment>
  <threadedComment ref="AL1935" dT="2023-12-19T12:14:45.10" personId="{E08A2389-F34B-466D-8AA1-6ADBBDF0F7BF}" id="{9559B3EF-16C3-465B-9ED9-FB8A0D7036B8}" parentId="{CF3CFF0B-AC6E-47B7-82BD-A8951C549FE5}">
    <text xml:space="preserve">I understand. Agree.
</text>
  </threadedComment>
  <threadedComment ref="AR1935" dT="2023-12-17T15:22:57.71" personId="{E08A2389-F34B-466D-8AA1-6ADBBDF0F7BF}" id="{272E4E9B-A45E-4A9D-BA5C-8E51E316514F}" done="1">
    <text xml:space="preserve">We don't need because diagnostic yield is about the intervention arm only.
</text>
  </threadedComment>
  <threadedComment ref="AR1935" dT="2023-12-18T15:34:47.46" personId="{3DE5673D-4837-4FC9-B8B9-34243175713A}" id="{700D8C56-1AAC-4D7E-B4F2-96EC9E2DE785}" parentId="{272E4E9B-A45E-4A9D-BA5C-8E51E316514F}">
    <text>But there was an exit screen in the control group (screen 1)?</text>
  </threadedComment>
  <threadedComment ref="AR1935" dT="2023-12-19T12:14:49.75" personId="{E08A2389-F34B-466D-8AA1-6ADBBDF0F7BF}" id="{4DB76C9F-816B-45C7-BBD8-C4F599CD0ACD}" parentId="{272E4E9B-A45E-4A9D-BA5C-8E51E316514F}">
    <text xml:space="preserve">I understand. Agree.
</text>
  </threadedComment>
  <threadedComment ref="AV1935" dT="2023-12-17T15:23:08.50" personId="{E08A2389-F34B-466D-8AA1-6ADBBDF0F7BF}" id="{7431E74E-F666-4F3B-BE0A-7191F3C8588E}" done="1">
    <text xml:space="preserve">We don't need because diagnostic yield is about the intervention arm only.
</text>
  </threadedComment>
  <threadedComment ref="AV1935" dT="2023-12-18T15:34:50.66" personId="{3DE5673D-4837-4FC9-B8B9-34243175713A}" id="{1FBC848C-C5A8-48D2-A464-BED75686C888}" parentId="{7431E74E-F666-4F3B-BE0A-7191F3C8588E}">
    <text>But there was an exit screen in the control group (screen 1)?</text>
  </threadedComment>
  <threadedComment ref="AV1935" dT="2023-12-19T12:14:54.62" personId="{E08A2389-F34B-466D-8AA1-6ADBBDF0F7BF}" id="{C69CAC1A-7A76-485F-9805-E64A8793A949}" parentId="{7431E74E-F666-4F3B-BE0A-7191F3C8588E}">
    <text xml:space="preserve">I understand. Agree.
</text>
  </threadedComment>
  <threadedComment ref="AX1935" dT="2023-12-17T15:23:21.86" personId="{E08A2389-F34B-466D-8AA1-6ADBBDF0F7BF}" id="{E9C33E12-16A5-4392-84D7-7F6AEB0EAE4B}" done="1">
    <text xml:space="preserve">We don't need because diagnostic yield is about the intervention arm only.
</text>
  </threadedComment>
  <threadedComment ref="AX1935" dT="2023-12-18T15:34:54.81" personId="{3DE5673D-4837-4FC9-B8B9-34243175713A}" id="{C3708E07-F8C7-4F20-B5A2-2A19986566E6}" parentId="{E9C33E12-16A5-4392-84D7-7F6AEB0EAE4B}">
    <text>But there was an exit screen in the control group (screen 1)?</text>
  </threadedComment>
  <threadedComment ref="AX1935" dT="2023-12-19T12:14:57.97" personId="{E08A2389-F34B-466D-8AA1-6ADBBDF0F7BF}" id="{3683D125-59BD-45A0-9F48-1303ADC6CD2C}" parentId="{E9C33E12-16A5-4392-84D7-7F6AEB0EAE4B}">
    <text xml:space="preserve">I understand. Agree.
</text>
  </threadedComment>
  <threadedComment ref="Z1939" dT="2023-09-07T07:43:24.16" personId="{3DE5673D-4837-4FC9-B8B9-34243175713A}" id="{D5505E3E-FCD7-4C3D-AF9E-8EBC8685344F}" done="1">
    <text>Number invited from Table 2.</text>
  </threadedComment>
  <threadedComment ref="Z1939" dT="2023-12-17T15:21:24.35" personId="{E08A2389-F34B-466D-8AA1-6ADBBDF0F7BF}" id="{BC4BB1AF-EAFE-4642-8E50-41C2A4CD1486}" parentId="{D5505E3E-FCD7-4C3D-AF9E-8EBC8685344F}">
    <text xml:space="preserve">We don't need because diagnostic yield is about the intervention arm only.
</text>
  </threadedComment>
  <threadedComment ref="Z1939" dT="2023-12-18T15:35:26.52" personId="{3DE5673D-4837-4FC9-B8B9-34243175713A}" id="{B07209D1-93FB-4AEA-9B3F-098F78CC8408}" parentId="{D5505E3E-FCD7-4C3D-AF9E-8EBC8685344F}">
    <text>But there was an exit screen in the control group (screen 1)?</text>
  </threadedComment>
  <threadedComment ref="Z1939" dT="2023-12-19T12:15:09.86" personId="{E08A2389-F34B-466D-8AA1-6ADBBDF0F7BF}" id="{7C0F1F07-2B71-4AB3-A236-0AB9C9C4343B}" parentId="{D5505E3E-FCD7-4C3D-AF9E-8EBC8685344F}">
    <text xml:space="preserve">I understand. Agree.
</text>
  </threadedComment>
  <threadedComment ref="AL1939" dT="2023-09-07T07:43:24.16" personId="{3DE5673D-4837-4FC9-B8B9-34243175713A}" id="{65811B31-4622-4395-A98F-F068CAC18D5E}" done="1">
    <text>Number invited from Table 2.</text>
  </threadedComment>
  <threadedComment ref="AL1939" dT="2023-12-17T15:21:38.31" personId="{E08A2389-F34B-466D-8AA1-6ADBBDF0F7BF}" id="{2291C8F3-F78B-4E9F-9218-39F1921BE465}" parentId="{65811B31-4622-4395-A98F-F068CAC18D5E}">
    <text xml:space="preserve">We don't need because diagnostic yield is about the intervention arm only.
</text>
  </threadedComment>
  <threadedComment ref="AL1939" dT="2023-12-18T15:35:59.69" personId="{3DE5673D-4837-4FC9-B8B9-34243175713A}" id="{B9CFC80D-8718-4E65-8B82-40EEFA65EF0C}" parentId="{65811B31-4622-4395-A98F-F068CAC18D5E}">
    <text>But there was an exit screen in the control group (screen 1)?</text>
  </threadedComment>
  <threadedComment ref="AL1939" dT="2023-12-19T12:15:18.02" personId="{E08A2389-F34B-466D-8AA1-6ADBBDF0F7BF}" id="{491DDB31-659F-4A81-81BB-1E4F240555CB}" parentId="{65811B31-4622-4395-A98F-F068CAC18D5E}">
    <text xml:space="preserve">I understand. Agree.
</text>
  </threadedComment>
  <threadedComment ref="AR1939" dT="2023-12-17T15:24:42.39" personId="{E08A2389-F34B-466D-8AA1-6ADBBDF0F7BF}" id="{1539F409-E2AD-49F5-9F04-D0C5BEA3D67E}" done="1">
    <text xml:space="preserve">We don't need because diagnostic yield is about the intervention arm only.
</text>
  </threadedComment>
  <threadedComment ref="AR1939" dT="2023-12-18T15:35:32.83" personId="{3DE5673D-4837-4FC9-B8B9-34243175713A}" id="{C78CCE14-761A-4C05-998D-4D3300F54A13}" parentId="{1539F409-E2AD-49F5-9F04-D0C5BEA3D67E}">
    <text>But there was an exit screen in the control group (screen 1)?</text>
  </threadedComment>
  <threadedComment ref="AR1939" dT="2023-12-19T12:15:20.90" personId="{E08A2389-F34B-466D-8AA1-6ADBBDF0F7BF}" id="{4BA70413-437C-490D-9A0D-6C219194DAA1}" parentId="{1539F409-E2AD-49F5-9F04-D0C5BEA3D67E}">
    <text xml:space="preserve">I understand. Agree.
</text>
  </threadedComment>
  <threadedComment ref="AV1939" dT="2023-12-17T15:24:49.89" personId="{E08A2389-F34B-466D-8AA1-6ADBBDF0F7BF}" id="{613997F0-DDB3-4453-90D3-5F3F11C97571}" done="1">
    <text xml:space="preserve">We don't need because diagnostic yield is about the intervention arm only.
</text>
  </threadedComment>
  <threadedComment ref="AV1939" dT="2023-12-18T15:36:09.96" personId="{3DE5673D-4837-4FC9-B8B9-34243175713A}" id="{992091C1-4283-4081-95C4-6F2832EB426A}" parentId="{613997F0-DDB3-4453-90D3-5F3F11C97571}">
    <text>But there was an exit screen in the control group (screen 1)?</text>
  </threadedComment>
  <threadedComment ref="AV1939" dT="2023-12-19T12:15:27.78" personId="{E08A2389-F34B-466D-8AA1-6ADBBDF0F7BF}" id="{3D7CFD8E-6679-429F-98D3-869D46FD3339}" parentId="{613997F0-DDB3-4453-90D3-5F3F11C97571}">
    <text xml:space="preserve">I understand. Agree.
</text>
  </threadedComment>
  <threadedComment ref="AX1939" dT="2023-12-17T15:24:56.67" personId="{E08A2389-F34B-466D-8AA1-6ADBBDF0F7BF}" id="{00F5E83C-C09C-46E3-8C79-1EF0B661F515}" done="1">
    <text xml:space="preserve">We don't need because diagnostic yield is about the intervention arm only.
</text>
  </threadedComment>
  <threadedComment ref="AX1939" dT="2023-12-18T15:36:15.23" personId="{3DE5673D-4837-4FC9-B8B9-34243175713A}" id="{61D718CF-3937-43FD-B4C8-23E012B58B11}" parentId="{00F5E83C-C09C-46E3-8C79-1EF0B661F515}">
    <text>But there was an exit screen in the control group (screen 1)?</text>
  </threadedComment>
  <threadedComment ref="AX1939" dT="2023-12-19T12:15:31.44" personId="{E08A2389-F34B-466D-8AA1-6ADBBDF0F7BF}" id="{B7CFB817-2158-4ABD-8BEB-B2A450700CDE}" parentId="{00F5E83C-C09C-46E3-8C79-1EF0B661F515}">
    <text xml:space="preserve">I understand. Agree.
</text>
  </threadedComment>
  <threadedComment ref="Z1943" dT="2023-09-07T07:43:24.16" personId="{3DE5673D-4837-4FC9-B8B9-34243175713A}" id="{65C13A8D-72EE-4970-9486-AC3FDAF8D27A}" done="1">
    <text>Number invited from Table 2.</text>
  </threadedComment>
  <threadedComment ref="Z1943" dT="2023-12-17T15:25:22.24" personId="{E08A2389-F34B-466D-8AA1-6ADBBDF0F7BF}" id="{A417AF6E-9064-4BC3-B0B4-E60183CFF182}" parentId="{65C13A8D-72EE-4970-9486-AC3FDAF8D27A}">
    <text xml:space="preserve">We don't need because diagnostic yield is about the intervention arm only.
</text>
  </threadedComment>
  <threadedComment ref="Z1943" dT="2023-12-18T15:36:34.40" personId="{3DE5673D-4837-4FC9-B8B9-34243175713A}" id="{A653D3F2-BF7E-416B-9B99-F34E2DE134C2}" parentId="{65C13A8D-72EE-4970-9486-AC3FDAF8D27A}">
    <text>But there was an exit screen in the control group (screen 1)?</text>
  </threadedComment>
  <threadedComment ref="Z1943" dT="2023-12-19T12:15:44.97" personId="{E08A2389-F34B-466D-8AA1-6ADBBDF0F7BF}" id="{A8A3BB06-2F0C-4360-9A5F-AA08F136E831}" parentId="{65C13A8D-72EE-4970-9486-AC3FDAF8D27A}">
    <text xml:space="preserve">I understand. Agree.
</text>
  </threadedComment>
  <threadedComment ref="AL1943" dT="2023-09-07T07:43:24.16" personId="{3DE5673D-4837-4FC9-B8B9-34243175713A}" id="{62E330C7-6B1C-4C0D-BC64-B809CBF8A935}" done="1">
    <text>Number invited from Table 2.</text>
  </threadedComment>
  <threadedComment ref="AL1943" dT="2023-12-17T15:25:33.67" personId="{E08A2389-F34B-466D-8AA1-6ADBBDF0F7BF}" id="{59A04D30-978F-4AFE-999A-6E959E94AFB9}" parentId="{62E330C7-6B1C-4C0D-BC64-B809CBF8A935}">
    <text xml:space="preserve">We don't need because diagnostic yield is about the intervention arm only.
</text>
  </threadedComment>
  <threadedComment ref="AL1943" dT="2023-12-19T12:15:50.39" personId="{E08A2389-F34B-466D-8AA1-6ADBBDF0F7BF}" id="{B5883645-7982-4C05-A37D-B4F78836513C}" parentId="{62E330C7-6B1C-4C0D-BC64-B809CBF8A935}">
    <text xml:space="preserve">I understand. Agree.
</text>
  </threadedComment>
  <threadedComment ref="AR1943" dT="2023-12-17T15:25:39.42" personId="{E08A2389-F34B-466D-8AA1-6ADBBDF0F7BF}" id="{157E251A-260E-4AD5-A2D3-BA10DC4A9EE3}" done="1">
    <text xml:space="preserve">We don't need because diagnostic yield is about the intervention arm only.
</text>
  </threadedComment>
  <threadedComment ref="AR1943" dT="2023-12-18T15:36:43.56" personId="{3DE5673D-4837-4FC9-B8B9-34243175713A}" id="{A9C83636-075E-4F44-BE9F-8934A6D1A7B6}" parentId="{157E251A-260E-4AD5-A2D3-BA10DC4A9EE3}">
    <text>But there was an exit screen in the control group (screen 1)?</text>
  </threadedComment>
  <threadedComment ref="AR1943" dT="2023-12-19T12:15:55.56" personId="{E08A2389-F34B-466D-8AA1-6ADBBDF0F7BF}" id="{E181DF8D-04ED-4BE9-9750-2F98B53652D6}" parentId="{157E251A-260E-4AD5-A2D3-BA10DC4A9EE3}">
    <text xml:space="preserve">I understand. Agree.
</text>
  </threadedComment>
  <threadedComment ref="AV1943" dT="2023-12-17T15:26:18.07" personId="{E08A2389-F34B-466D-8AA1-6ADBBDF0F7BF}" id="{2260AFA5-B9CB-453F-81CB-3B4186A68FA9}" done="1">
    <text xml:space="preserve">We don't need because diagnostic yield is about the intervention arm only.
</text>
  </threadedComment>
  <threadedComment ref="AV1943" dT="2023-12-18T15:36:49.60" personId="{3DE5673D-4837-4FC9-B8B9-34243175713A}" id="{EBBBB945-95D9-40E2-A02A-3EC2614699D8}" parentId="{2260AFA5-B9CB-453F-81CB-3B4186A68FA9}">
    <text>But there was an exit screen in the control group (screen 1)?</text>
  </threadedComment>
  <threadedComment ref="AV1943" dT="2023-12-19T12:16:01.63" personId="{E08A2389-F34B-466D-8AA1-6ADBBDF0F7BF}" id="{6589A544-B081-4B8F-9C22-7E35755642CD}" parentId="{2260AFA5-B9CB-453F-81CB-3B4186A68FA9}">
    <text xml:space="preserve">I understand. Agree.
</text>
  </threadedComment>
  <threadedComment ref="AX1943" dT="2023-12-17T15:26:22.19" personId="{E08A2389-F34B-466D-8AA1-6ADBBDF0F7BF}" id="{96F6AD71-9E9D-4AE6-9C95-932D29DAEF79}" done="1">
    <text xml:space="preserve">We don't need because diagnostic yield is about the intervention arm only.
</text>
  </threadedComment>
  <threadedComment ref="AX1943" dT="2023-12-18T15:36:54.39" personId="{3DE5673D-4837-4FC9-B8B9-34243175713A}" id="{7D68604A-4A9A-45CB-BF9D-19A01BEA4EA9}" parentId="{96F6AD71-9E9D-4AE6-9C95-932D29DAEF79}">
    <text>But there was an exit screen in the control group (screen 1)?</text>
  </threadedComment>
  <threadedComment ref="AX1943" dT="2023-12-19T12:16:04.70" personId="{E08A2389-F34B-466D-8AA1-6ADBBDF0F7BF}" id="{F85954C2-34A6-49F9-8483-6390D2C3292B}" parentId="{96F6AD71-9E9D-4AE6-9C95-932D29DAEF79}">
    <text xml:space="preserve">I understand. Agree.
</text>
  </threadedComment>
  <threadedComment ref="AH1947" dT="2023-09-07T12:49:07.41" personId="{3DE5673D-4837-4FC9-B8B9-34243175713A}" id="{0A6242BB-0569-4448-B03D-FCCE2FD62AFC}" done="1">
    <text>Or should it be the number of invasive breast cancers only?</text>
  </threadedComment>
  <threadedComment ref="AH1947" dT="2023-12-17T15:29:33.14" personId="{E08A2389-F34B-466D-8AA1-6ADBBDF0F7BF}" id="{DE155528-3B48-4791-ACC1-FAE438A048FF}" parentId="{0A6242BB-0569-4448-B03D-FCCE2FD62AFC}">
    <text xml:space="preserve">I think it has to be just invasive. By definition, you can't have DCIS with lymph node involvement (or it would invasive not DCIS)
</text>
  </threadedComment>
  <threadedComment ref="AK1947" dT="2023-12-17T15:32:57.12" personId="{E08A2389-F34B-466D-8AA1-6ADBBDF0F7BF}" id="{4E5BA9DA-C907-498D-BD09-015D8512B56B}" done="1">
    <text>271, invasive</text>
  </threadedComment>
  <threadedComment ref="AL1947" dT="2023-12-17T15:33:08.35" personId="{E08A2389-F34B-466D-8AA1-6ADBBDF0F7BF}" id="{49B5DBD5-7691-499B-9E01-CD0D900BEB3F}" done="1">
    <text>415, invasive</text>
  </threadedComment>
  <threadedComment ref="AO1947" dT="2023-12-17T15:35:04.01" personId="{E08A2389-F34B-466D-8AA1-6ADBBDF0F7BF}" id="{7A7589F3-C55F-478C-9F70-313B3C0856AB}" done="1">
    <text>31.365
85*100/271</text>
  </threadedComment>
  <threadedComment ref="AS1947" dT="2023-12-17T15:35:29.54" personId="{E08A2389-F34B-466D-8AA1-6ADBBDF0F7BF}" id="{CBBDC8C6-2C41-42C6-AB03-D04DEE0D4AE4}" done="1">
    <text>34.699
144*100/415</text>
  </threadedComment>
  <threadedComment ref="AX1947" dT="2023-12-17T15:36:07.84" personId="{E08A2389-F34B-466D-8AA1-6ADBBDF0F7BF}" id="{4E399F73-ACD7-443E-B4EC-3DB3DABCB13E}" done="1">
    <text>0.904
31.365/34.699</text>
  </threadedComment>
  <threadedComment ref="AO1949" dT="2023-09-07T09:29:03.39" personId="{3DE5673D-4837-4FC9-B8B9-34243175713A}" id="{C4F04593-AC03-4C75-8633-C145199C612C}" done="1">
    <text>Slightly different to reported rate. Why???</text>
  </threadedComment>
  <threadedComment ref="AO1949" dT="2023-12-17T15:37:23.18" personId="{E08A2389-F34B-466D-8AA1-6ADBBDF0F7BF}" id="{BEAC40EE-7972-43F1-9304-080473473195}" parentId="{C4F04593-AC03-4C75-8633-C145199C612C}">
    <text>Poisson regression perhaps.</text>
  </threadedComment>
  <threadedComment ref="AH1950" dT="2023-09-07T12:49:07.41" personId="{3DE5673D-4837-4FC9-B8B9-34243175713A}" id="{C4B696C2-374C-4849-80A1-896B9668B983}" done="1">
    <text>Or should it be the number of invasive breast cancers only?</text>
  </threadedComment>
  <threadedComment ref="AH1950" dT="2023-12-17T15:29:35.57" personId="{E08A2389-F34B-466D-8AA1-6ADBBDF0F7BF}" id="{DAEDD2E2-ECDE-47F4-B438-FCDDC5685A14}" parentId="{C4B696C2-374C-4849-80A1-896B9668B983}">
    <text xml:space="preserve">I think it has to be just invasive. By definition, you can't have DCIS with lymph node involvement (or it would invasive not DCIS)
</text>
  </threadedComment>
  <threadedComment ref="AK1950" dT="2023-12-17T15:39:43.45" personId="{E08A2389-F34B-466D-8AA1-6ADBBDF0F7BF}" id="{AE94881C-2CA8-431C-83B3-2202C438E394}" done="1">
    <text>67, invasive</text>
  </threadedComment>
  <threadedComment ref="AL1950" dT="2023-12-17T15:40:12.56" personId="{E08A2389-F34B-466D-8AA1-6ADBBDF0F7BF}" id="{0EE54A59-F384-45D3-8884-07FF8FB3DA9E}" done="1">
    <text>106, invasive</text>
  </threadedComment>
  <threadedComment ref="AO1950" dT="2023-12-17T15:40:52.52" personId="{E08A2389-F34B-466D-8AA1-6ADBBDF0F7BF}" id="{CC714C61-E9AC-45F4-A883-24C59CFAE125}" done="1">
    <text>35.821
24*100/67</text>
  </threadedComment>
  <threadedComment ref="AS1950" dT="2023-12-17T15:41:12.95" personId="{E08A2389-F34B-466D-8AA1-6ADBBDF0F7BF}" id="{104BD505-FD4C-4C40-9B9C-02B14FB361B7}" done="1">
    <text>38.679
41*100/106</text>
  </threadedComment>
  <threadedComment ref="AX1950" dT="2023-12-17T15:41:40.08" personId="{E08A2389-F34B-466D-8AA1-6ADBBDF0F7BF}" id="{14046445-414A-4364-B741-A429B7F4022A}" done="1">
    <text>0.926
35.821/38.679</text>
  </threadedComment>
  <threadedComment ref="AH1953" dT="2023-09-07T12:49:07.41" personId="{3DE5673D-4837-4FC9-B8B9-34243175713A}" id="{ADE16869-B4A4-4E8B-9427-DD3ABB2B72C1}" done="1">
    <text>Or should it be the number of invasive breast cancers only?</text>
  </threadedComment>
  <threadedComment ref="AH1953" dT="2023-12-17T15:29:38.52" personId="{E08A2389-F34B-466D-8AA1-6ADBBDF0F7BF}" id="{190ED182-908B-4A75-9BFC-F09018DE569E}" parentId="{ADE16869-B4A4-4E8B-9427-DD3ABB2B72C1}">
    <text xml:space="preserve">I think it has to be just invasive. By definition, you can't have DCIS with lymph node involvement (or it would invasive not DCIS)
</text>
  </threadedComment>
  <threadedComment ref="AK1953" dT="2023-12-17T15:53:02.50" personId="{E08A2389-F34B-466D-8AA1-6ADBBDF0F7BF}" id="{624F399D-7F0E-442C-AEFF-F99F47BDB499}" done="1">
    <text>57, invasive</text>
  </threadedComment>
  <threadedComment ref="AL1953" dT="2023-12-17T15:53:10.90" personId="{E08A2389-F34B-466D-8AA1-6ADBBDF0F7BF}" id="{ABDA39FB-F04C-488C-8F7C-F2B6EE8F183A}" done="1">
    <text>78, invasive</text>
  </threadedComment>
  <threadedComment ref="AO1953" dT="2023-12-17T15:53:41.68" personId="{E08A2389-F34B-466D-8AA1-6ADBBDF0F7BF}" id="{64864BBE-D01C-4BE5-995F-938E0547B63D}" done="1">
    <text>26.316
15*100/57</text>
  </threadedComment>
  <threadedComment ref="AS1953" dT="2023-12-17T15:54:00.54" personId="{E08A2389-F34B-466D-8AA1-6ADBBDF0F7BF}" id="{340203D2-DF38-41E6-8BE5-35ED68F8F9DD}" done="1">
    <text>41.026
32*100/78</text>
  </threadedComment>
  <threadedComment ref="AX1953" dT="2023-12-17T15:54:18.74" personId="{E08A2389-F34B-466D-8AA1-6ADBBDF0F7BF}" id="{F96DFE83-24FA-44F6-BC7F-A5FB855C6441}" done="1">
    <text>0.641
26.316/41.026</text>
  </threadedComment>
  <threadedComment ref="AH1956" dT="2023-09-07T12:49:07.41" personId="{3DE5673D-4837-4FC9-B8B9-34243175713A}" id="{86E832FD-A6C5-49DD-BF21-35743D0EFDC3}" done="1">
    <text>Or should it be the number of invasive breast cancers only?</text>
  </threadedComment>
  <threadedComment ref="AH1956" dT="2023-12-17T15:29:42.06" personId="{E08A2389-F34B-466D-8AA1-6ADBBDF0F7BF}" id="{40953E0D-57DF-4ED1-A2E1-AE651BB1BC5C}" parentId="{86E832FD-A6C5-49DD-BF21-35743D0EFDC3}">
    <text xml:space="preserve">I think it has to be just invasive. By definition, you can't have DCIS with lymph node involvement (or it would invasive not DCIS)
</text>
  </threadedComment>
  <threadedComment ref="AK1956" dT="2023-12-17T15:57:25.40" personId="{E08A2389-F34B-466D-8AA1-6ADBBDF0F7BF}" id="{4CDDA359-37C4-4CFA-839B-570F76EC3D5F}" done="1">
    <text>74 invasive</text>
  </threadedComment>
  <threadedComment ref="AL1956" dT="2023-12-17T15:57:36.50" personId="{E08A2389-F34B-466D-8AA1-6ADBBDF0F7BF}" id="{CC3E8A47-F916-4346-81F9-4CD03646AB8E}" done="1">
    <text>101 invasive</text>
  </threadedComment>
  <threadedComment ref="AO1956" dT="2023-12-17T15:58:17.25" personId="{E08A2389-F34B-466D-8AA1-6ADBBDF0F7BF}" id="{70FAB8AF-0469-4899-933B-E8BAB14D6264}" done="1">
    <text>36.486
27*100/74</text>
  </threadedComment>
  <threadedComment ref="AS1956" dT="2023-12-17T15:58:32.09" personId="{E08A2389-F34B-466D-8AA1-6ADBBDF0F7BF}" id="{6AB96C32-CD88-4FB8-B72D-978A123CDD63}" done="1">
    <text>35.644
36*100/101</text>
  </threadedComment>
  <threadedComment ref="AX1956" dT="2023-12-17T15:58:52.40" personId="{E08A2389-F34B-466D-8AA1-6ADBBDF0F7BF}" id="{6E7313C8-F4B8-490F-A6DE-F303AE18FBCF}" done="1">
    <text>1.024
36.486/35.644</text>
  </threadedComment>
  <threadedComment ref="AH1959" dT="2023-09-07T12:49:07.41" personId="{3DE5673D-4837-4FC9-B8B9-34243175713A}" id="{07F71110-0DC0-4433-96B0-6F19805BA3D1}" done="1">
    <text>Or should it be the number of invasive breast cancers only?</text>
  </threadedComment>
  <threadedComment ref="AH1959" dT="2023-12-17T15:29:45.66" personId="{E08A2389-F34B-466D-8AA1-6ADBBDF0F7BF}" id="{ED63F57D-139D-42B3-AB36-F31087E31E65}" parentId="{07F71110-0DC0-4433-96B0-6F19805BA3D1}">
    <text xml:space="preserve">I think it has to be just invasive. By definition, you can't have DCIS with lymph node involvement (or it would invasive not DCIS)
</text>
  </threadedComment>
  <threadedComment ref="AK1959" dT="2023-12-17T16:01:19.63" personId="{E08A2389-F34B-466D-8AA1-6ADBBDF0F7BF}" id="{3A671BF0-CF6C-40CB-8CA3-330EC146901B}" done="1">
    <text>73 invasive</text>
  </threadedComment>
  <threadedComment ref="AL1959" dT="2023-12-17T16:01:24.98" personId="{E08A2389-F34B-466D-8AA1-6ADBBDF0F7BF}" id="{01006FE6-853E-4C3D-A990-C60DC7BA0ADA}" done="1">
    <text>130 invasive</text>
  </threadedComment>
  <threadedComment ref="AO1959" dT="2023-12-17T16:02:02.07" personId="{E08A2389-F34B-466D-8AA1-6ADBBDF0F7BF}" id="{6296CBB9-40D1-4FD6-AF58-87D7004DD196}" done="1">
    <text>26.027
19*100/73</text>
  </threadedComment>
  <threadedComment ref="AS1959" dT="2023-12-17T16:02:15.48" personId="{E08A2389-F34B-466D-8AA1-6ADBBDF0F7BF}" id="{4590715A-8C36-4EC2-8C48-94B870CD82B1}" done="1">
    <text>26.923
35*100/130</text>
  </threadedComment>
  <threadedComment ref="AX1959" dT="2023-12-17T16:02:30.23" personId="{E08A2389-F34B-466D-8AA1-6ADBBDF0F7BF}" id="{AE83ABEF-852E-4029-A5FA-A8470768CF8D}" done="1">
    <text>0.967
26.027/26.923</text>
  </threadedComment>
  <threadedComment ref="AH1962" dT="2023-09-07T12:49:07.41" personId="{3DE5673D-4837-4FC9-B8B9-34243175713A}" id="{99F522B6-DA23-468A-88CD-72F716B6DCCE}" done="1">
    <text>Or should it be the number of invasive breast cancers only?</text>
  </threadedComment>
  <threadedComment ref="AH1962" dT="2023-12-17T16:00:38.56" personId="{E08A2389-F34B-466D-8AA1-6ADBBDF0F7BF}" id="{D7749488-98DD-4D56-8E49-AE0C5D83A872}" parentId="{99F522B6-DA23-468A-88CD-72F716B6DCCE}">
    <text>I think it has to be just invasive. By definition, you can't have DCIS with lymph node involvement (or it would invasive not DCIS)</text>
  </threadedComment>
  <threadedComment ref="AK1962" dT="2023-12-17T16:05:13.17" personId="{E08A2389-F34B-466D-8AA1-6ADBBDF0F7BF}" id="{FEFC3E93-E94E-4AA2-A6BF-4D61E49FD835}">
    <text>124 invasive</text>
  </threadedComment>
  <threadedComment ref="AL1962" dT="2023-12-17T16:05:25.73" personId="{E08A2389-F34B-466D-8AA1-6ADBBDF0F7BF}" id="{BBA18664-0286-4547-B0D1-7829704AFE2F}" done="1">
    <text>184 invasive</text>
  </threadedComment>
  <threadedComment ref="AO1962" dT="2023-12-17T16:05:52.69" personId="{E08A2389-F34B-466D-8AA1-6ADBBDF0F7BF}" id="{FDB14AE3-19D1-4E75-875D-F063BEB9C515}" done="1">
    <text>31.452
39*100/124</text>
  </threadedComment>
  <threadedComment ref="AS1962" dT="2023-12-17T16:06:07.10" personId="{E08A2389-F34B-466D-8AA1-6ADBBDF0F7BF}" id="{94FCC85A-89BD-40A1-9570-1FBEF77634D9}" done="1">
    <text>39.674
73*100/184</text>
  </threadedComment>
  <threadedComment ref="AX1962" dT="2023-12-17T16:06:29.57" personId="{E08A2389-F34B-466D-8AA1-6ADBBDF0F7BF}" id="{7768AD12-F7AB-46A6-95AC-A4BD43B82781}" done="1">
    <text>0.793
31.452/39.674</text>
  </threadedComment>
  <threadedComment ref="D1965" dT="2023-12-17T16:11:54.00" personId="{E08A2389-F34B-466D-8AA1-6ADBBDF0F7BF}" id="{70338A75-A8E6-4E2C-A596-E8076DFC11BB}" done="1">
    <text>The protocol says diagnostic yield is intervention arm only</text>
  </threadedComment>
  <threadedComment ref="D1965" dT="2023-12-18T17:09:46.93" personId="{3DE5673D-4837-4FC9-B8B9-34243175713A}" id="{9B4343B9-0CAB-46C3-BC39-021BD3D4E53F}" parentId="{70338A75-A8E6-4E2C-A596-E8076DFC11BB}">
    <text>Yes, but in some trials, both arms receive a screening test. Or like here, there is an exit screen...</text>
  </threadedComment>
  <threadedComment ref="D1965" dT="2023-12-19T12:17:17.18" personId="{E08A2389-F34B-466D-8AA1-6ADBBDF0F7BF}" id="{D793F97D-1D93-4167-AEFD-45406B8A3F8C}" parentId="{70338A75-A8E6-4E2C-A596-E8076DFC11BB}">
    <text xml:space="preserve">I understand. Agree.
</text>
  </threadedComment>
  <threadedComment ref="AG1965" dT="2023-12-17T16:12:11.28" personId="{E08A2389-F34B-466D-8AA1-6ADBBDF0F7BF}" id="{BC111718-5DB6-4B3C-82A4-69D8CB6CEE93}" done="1">
    <text xml:space="preserve">The protocol says diagnostic yield is intervention arm only
</text>
  </threadedComment>
  <threadedComment ref="AG1965" dT="2023-12-18T17:10:57.37" personId="{3DE5673D-4837-4FC9-B8B9-34243175713A}" id="{E453460E-77DD-43CF-AF21-D0F85BE54472}" parentId="{BC111718-5DB6-4B3C-82A4-69D8CB6CEE93}">
    <text>If the comparator arm received a screening test, I have included them as well.</text>
  </threadedComment>
  <threadedComment ref="AG1965" dT="2023-12-19T12:17:30.35" personId="{E08A2389-F34B-466D-8AA1-6ADBBDF0F7BF}" id="{9D28FBAE-4B9F-43DF-B4AF-CDD80765AC11}" parentId="{BC111718-5DB6-4B3C-82A4-69D8CB6CEE93}">
    <text xml:space="preserve">I understand. Agree.
</text>
  </threadedComment>
  <threadedComment ref="AJ1965" dT="2023-12-17T16:12:22.98" personId="{E08A2389-F34B-466D-8AA1-6ADBBDF0F7BF}" id="{FAFF8409-FE7A-43A0-9B5A-2ECA8271D8B3}" done="1">
    <text xml:space="preserve">The protocol says diagnostic yield is intervention arm only
</text>
  </threadedComment>
  <threadedComment ref="AJ1965" dT="2023-12-18T17:11:13.70" personId="{3DE5673D-4837-4FC9-B8B9-34243175713A}" id="{ABC7ADD0-8C92-44AC-BECD-1C6773E89D28}" parentId="{FAFF8409-FE7A-43A0-9B5A-2ECA8271D8B3}">
    <text>If the comparator arm received a screening test, I have included them as well.</text>
  </threadedComment>
  <threadedComment ref="AJ1965" dT="2023-12-19T12:18:17.35" personId="{E08A2389-F34B-466D-8AA1-6ADBBDF0F7BF}" id="{1813367A-9E7A-42ED-839F-8632852B4799}" parentId="{FAFF8409-FE7A-43A0-9B5A-2ECA8271D8B3}">
    <text xml:space="preserve">I understand. Agree.
</text>
  </threadedComment>
  <threadedComment ref="AL1965" dT="2023-12-17T16:12:28.43" personId="{E08A2389-F34B-466D-8AA1-6ADBBDF0F7BF}" id="{D97332A2-D01F-4514-9349-6D43E6ED432C}" done="1">
    <text xml:space="preserve">The protocol says diagnostic yield is intervention arm only
</text>
  </threadedComment>
  <threadedComment ref="AL1965" dT="2023-12-18T17:11:19.79" personId="{3DE5673D-4837-4FC9-B8B9-34243175713A}" id="{B3E4FD83-DC04-4319-9008-3550E0C5B4C5}" parentId="{D97332A2-D01F-4514-9349-6D43E6ED432C}">
    <text>If the comparator arm received a screening test, I have included them as well.</text>
  </threadedComment>
  <threadedComment ref="AL1965" dT="2023-12-19T12:18:30.95" personId="{E08A2389-F34B-466D-8AA1-6ADBBDF0F7BF}" id="{0C22D9FE-5C55-4996-9398-92F83B32E680}" parentId="{D97332A2-D01F-4514-9349-6D43E6ED432C}">
    <text xml:space="preserve">I understand. Agree.
</text>
  </threadedComment>
  <threadedComment ref="AS1965" dT="2023-12-17T16:12:36.59" personId="{E08A2389-F34B-466D-8AA1-6ADBBDF0F7BF}" id="{0D33B80A-CE76-46ED-8955-A2198B2EA451}" done="1">
    <text xml:space="preserve">The protocol says diagnostic yield is intervention arm only
</text>
  </threadedComment>
  <threadedComment ref="AS1965" dT="2023-12-19T12:18:40.07" personId="{E08A2389-F34B-466D-8AA1-6ADBBDF0F7BF}" id="{9C9AEC54-6234-4713-BDC6-37AFFD6E1410}" parentId="{0D33B80A-CE76-46ED-8955-A2198B2EA451}">
    <text xml:space="preserve">I understand. Agree.
</text>
  </threadedComment>
  <threadedComment ref="AV1965" dT="2023-12-17T16:14:14.45" personId="{E08A2389-F34B-466D-8AA1-6ADBBDF0F7BF}" id="{BA565657-9E21-4692-BC67-81A391560871}" done="1">
    <text xml:space="preserve">Shouldn't need this 'cos diagnostic yield is about intervention arm only
</text>
  </threadedComment>
  <threadedComment ref="AV1965" dT="2023-12-19T12:18:43.33" personId="{E08A2389-F34B-466D-8AA1-6ADBBDF0F7BF}" id="{984840B5-E58A-456E-AA5F-124CB32F96B7}" parentId="{BA565657-9E21-4692-BC67-81A391560871}">
    <text xml:space="preserve">I understand. Agree.
</text>
  </threadedComment>
  <threadedComment ref="AX1965" dT="2023-12-17T16:14:07.66" personId="{E08A2389-F34B-466D-8AA1-6ADBBDF0F7BF}" id="{A5ADD07D-1787-4BC3-9278-93B801041E42}" done="1">
    <text>Shouldn't need this 'cos diagnostic yield is about intervention arm only</text>
  </threadedComment>
  <threadedComment ref="AX1965" dT="2023-12-19T12:18:47.48" personId="{E08A2389-F34B-466D-8AA1-6ADBBDF0F7BF}" id="{382B5F85-9603-43B5-92AE-6B40606FF08F}" parentId="{A5ADD07D-1787-4BC3-9278-93B801041E42}">
    <text xml:space="preserve">I understand. Agree.
</text>
  </threadedComment>
  <threadedComment ref="X1966" dT="2023-12-17T16:19:37.86" personId="{E08A2389-F34B-466D-8AA1-6ADBBDF0F7BF}" id="{41162E3E-3166-4892-B16B-9F716FA2F056}" done="1">
    <text>Surrogate 5 is only about the intervention arm. Is the control arm included because they had 1 screening round?</text>
  </threadedComment>
  <threadedComment ref="X1966" dT="2023-12-18T17:10:16.45" personId="{3DE5673D-4837-4FC9-B8B9-34243175713A}" id="{4393A22A-5364-4686-B60F-870C6C0D210F}" parentId="{41162E3E-3166-4892-B16B-9F716FA2F056}">
    <text>Yes.</text>
  </threadedComment>
  <threadedComment ref="X1966" dT="2023-12-19T12:18:59.36" personId="{E08A2389-F34B-466D-8AA1-6ADBBDF0F7BF}" id="{38BE3FF8-4AB8-4AC4-8BDE-8584EF118872}" parentId="{41162E3E-3166-4892-B16B-9F716FA2F056}">
    <text xml:space="preserve">I understand. Agree.
</text>
  </threadedComment>
  <threadedComment ref="AH1966" dT="2023-12-19T12:19:13.05" personId="{E08A2389-F34B-466D-8AA1-6ADBBDF0F7BF}" id="{F10896D1-C675-4B42-8560-AB8DEDBDAE67}" done="1">
    <text>agreed</text>
  </threadedComment>
  <threadedComment ref="AL1966" dT="2023-12-17T16:18:27.17" personId="{E08A2389-F34B-466D-8AA1-6ADBBDF0F7BF}" id="{D9B5A129-B588-430F-902A-575C79BF45C4}" done="1">
    <text>Is this right? The 326 were symptomatic before screening, not during the screening period.</text>
  </threadedComment>
  <threadedComment ref="AL1966" dT="2023-12-18T17:12:43.98" personId="{3DE5673D-4837-4FC9-B8B9-34243175713A}" id="{4CD67938-40DE-4B37-B3F9-A54779422F96}" parentId="{D9B5A129-B588-430F-902A-575C79BF45C4}">
    <text>Yes. See my suggested rewording of the denominator.</text>
  </threadedComment>
  <threadedComment ref="AL1966" dT="2023-12-19T12:20:49.09" personId="{E08A2389-F34B-466D-8AA1-6ADBBDF0F7BF}" id="{F1405AD5-5A2F-49E5-8A8F-AC428255F9F1}" parentId="{D9B5A129-B588-430F-902A-575C79BF45C4}">
    <text>agreed</text>
  </threadedComment>
  <threadedComment ref="AS1966" dT="2023-12-17T16:20:49.29" personId="{E08A2389-F34B-466D-8AA1-6ADBBDF0F7BF}" id="{F0165156-94A0-4792-8DFA-E666EC9D3A64}" done="1">
    <text>Depends on queries to:
1) whether data for the control arm should be extracted.
2) whether the people who were symptomatic before the screening period should be included</text>
  </threadedComment>
  <threadedComment ref="AS1966" dT="2023-12-18T17:16:21.40" personId="{3DE5673D-4837-4FC9-B8B9-34243175713A}" id="{3A7BB1D0-F1C9-41BB-B637-8CD93658E02D}" parentId="{F0165156-94A0-4792-8DFA-E666EC9D3A64}">
    <text>I think YES to both. 😊</text>
  </threadedComment>
  <threadedComment ref="AS1966" dT="2023-12-19T12:21:10.65" personId="{E08A2389-F34B-466D-8AA1-6ADBBDF0F7BF}" id="{8778E0AC-4A63-4F6E-94B8-3FA3BF4D0295}" parentId="{F0165156-94A0-4792-8DFA-E666EC9D3A64}">
    <text>agreed</text>
  </threadedComment>
  <threadedComment ref="AX1966" dT="2023-12-17T16:20:58.85" personId="{E08A2389-F34B-466D-8AA1-6ADBBDF0F7BF}" id="{371439EF-42BD-4B83-849F-BBBAD95BB0D9}" done="1">
    <text xml:space="preserve">Depends on queries to:
1) whether data for the control arm should be extracted.
2) whether the people who were symptomatic before the screening period should be included
</text>
  </threadedComment>
  <threadedComment ref="AX1966" dT="2023-12-18T17:16:33.96" personId="{3DE5673D-4837-4FC9-B8B9-34243175713A}" id="{E5C97BF7-56CA-4D4A-A729-0817B7AA9803}" parentId="{371439EF-42BD-4B83-849F-BBBAD95BB0D9}">
    <text>I think YES to both.</text>
  </threadedComment>
  <threadedComment ref="AX1966" dT="2023-12-19T12:21:26.14" personId="{E08A2389-F34B-466D-8AA1-6ADBBDF0F7BF}" id="{233E0334-C027-45CA-91EA-0ECE599197D3}" parentId="{371439EF-42BD-4B83-849F-BBBAD95BB0D9}">
    <text>agreed</text>
  </threadedComment>
  <threadedComment ref="AW1967" dT="2023-12-17T16:23:05.35" personId="{E08A2389-F34B-466D-8AA1-6ADBBDF0F7BF}" id="{0EF2B3E9-0FC9-491B-A604-243FDA963431}" done="1">
    <text>Says RR 0.80 in the paragraph above Table 2</text>
  </threadedComment>
  <threadedComment ref="AW1967" dT="2023-12-18T17:19:44.53" personId="{3DE5673D-4837-4FC9-B8B9-34243175713A}" id="{A636E822-7C4F-4A26-8342-22542D55ACBF}" parentId="{0EF2B3E9-0FC9-491B-A604-243FDA963431}">
    <text>Added.</text>
  </threadedComment>
  <threadedComment ref="BC1967" dT="2023-12-17T16:24:22.44" personId="{E08A2389-F34B-466D-8AA1-6ADBBDF0F7BF}" id="{A54618BC-4ADB-42BA-BF41-8D1B3B21E0F9}" done="1">
    <text>Isn't this just the unadjusted estimate?</text>
  </threadedComment>
  <threadedComment ref="BC1967" dT="2023-12-18T17:20:23.50" personId="{3DE5673D-4837-4FC9-B8B9-34243175713A}" id="{17511909-35A6-4DA2-B3CF-389DDACA59DB}" parentId="{A54618BC-4ADB-42BA-BF41-8D1B3B21E0F9}">
    <text>Corrected.</text>
  </threadedComment>
  <threadedComment ref="J1986" dT="2024-01-10T08:34:27.80" personId="{3DE5673D-4837-4FC9-B8B9-34243175713A}" id="{70220A40-05B9-4A73-90B5-D223C4D38F12}">
    <text>I have added a new category to the dropdown menu. Does "Invasiveness &amp; size" make sense?</text>
  </threadedComment>
  <threadedComment ref="J1986" dT="2024-01-17T15:07:27.09" personId="{E331BB74-BBA0-4486-A922-69CA2C388022}" id="{C3280594-8E10-4733-A796-2E819E38F0D8}" parentId="{70220A40-05B9-4A73-90B5-D223C4D38F12}">
    <text>I think so</text>
  </threadedComment>
  <threadedComment ref="Y1987" dT="2023-07-13T15:34:35.23" personId="{3DE5673D-4837-4FC9-B8B9-34243175713A}" id="{9AD8B705-4E02-42BC-B338-7C80F1659F1C}" done="1">
    <text>NR but used number from #246.</text>
  </threadedComment>
  <threadedComment ref="Z1987" dT="2023-07-13T15:34:24.39" personId="{3DE5673D-4837-4FC9-B8B9-34243175713A}" id="{DC383015-89CD-4012-B478-7C9C94C39E73}" done="1">
    <text>NR but used number from #246.</text>
  </threadedComment>
  <threadedComment ref="AL1987" dT="2023-07-13T15:45:41.51" personId="{3DE5673D-4837-4FC9-B8B9-34243175713A}" id="{FA9728FE-D0A7-4CC1-AE10-3895936348A7}" done="1">
    <text>From #246</text>
  </threadedComment>
  <threadedComment ref="Y1988" dT="2023-07-13T15:34:35.23" personId="{3DE5673D-4837-4FC9-B8B9-34243175713A}" id="{1C65457F-BCC9-4ED5-854D-AECCFF79BB10}" done="1">
    <text>NR but used number from #246.</text>
  </threadedComment>
  <threadedComment ref="Z1988" dT="2023-07-13T15:34:24.39" personId="{3DE5673D-4837-4FC9-B8B9-34243175713A}" id="{4C034252-B897-4445-BFB4-20B0D9B8528A}" done="1">
    <text>NR but used number from #246.</text>
  </threadedComment>
  <threadedComment ref="AL1988" dT="2023-07-13T15:45:41.51" personId="{3DE5673D-4837-4FC9-B8B9-34243175713A}" id="{0A10B6EC-1AA6-4114-82D0-B7C5883D9CFF}" done="1">
    <text>From #246</text>
  </threadedComment>
  <threadedComment ref="Y1989" dT="2023-07-13T15:34:35.23" personId="{3DE5673D-4837-4FC9-B8B9-34243175713A}" id="{D99B5BD3-C7D9-44CD-97D6-29E74B9DD6A6}" done="1">
    <text>NR but used number from #246.</text>
  </threadedComment>
  <threadedComment ref="Z1989" dT="2023-07-13T15:34:24.39" personId="{3DE5673D-4837-4FC9-B8B9-34243175713A}" id="{D8A1EC91-6871-4E93-AE96-6795D2D505CC}" done="1">
    <text>NR but used number from #246.</text>
  </threadedComment>
  <threadedComment ref="AL1989" dT="2023-07-13T15:45:41.51" personId="{3DE5673D-4837-4FC9-B8B9-34243175713A}" id="{0D3F80AD-989A-4321-B74B-BAE01F56A5B0}" done="1">
    <text>From #246</text>
  </threadedComment>
  <threadedComment ref="Y1990" dT="2023-07-13T15:34:35.23" personId="{3DE5673D-4837-4FC9-B8B9-34243175713A}" id="{6E11C648-BE34-4E92-91CA-FFA30F46119D}" done="1">
    <text>NR but used number from #246.</text>
  </threadedComment>
  <threadedComment ref="Z1990" dT="2023-07-13T15:34:24.39" personId="{3DE5673D-4837-4FC9-B8B9-34243175713A}" id="{8C20AD3C-BF43-46C4-BDDB-9FB083136E88}" done="1">
    <text>NR but used number from #246.</text>
  </threadedComment>
  <threadedComment ref="AL1990" dT="2023-07-13T15:45:41.51" personId="{3DE5673D-4837-4FC9-B8B9-34243175713A}" id="{EF5C4126-99E6-4629-91DE-2B7CF44BC963}" done="1">
    <text>From #246</text>
  </threadedComment>
  <threadedComment ref="Y1992" dT="2023-07-13T15:34:35.23" personId="{3DE5673D-4837-4FC9-B8B9-34243175713A}" id="{03510C1F-534F-40E6-98F6-872BFBE6055F}" done="1">
    <text>NR but used number from #246.</text>
  </threadedComment>
  <threadedComment ref="Z1992" dT="2023-07-13T15:34:24.39" personId="{3DE5673D-4837-4FC9-B8B9-34243175713A}" id="{9F4EB6B1-A8DA-4B61-8761-B404E52CA0D7}" done="1">
    <text>NR but used number from #246.</text>
  </threadedComment>
  <threadedComment ref="AL1992" dT="2023-07-13T15:45:41.51" personId="{3DE5673D-4837-4FC9-B8B9-34243175713A}" id="{D4B454EF-A68D-4308-9900-2353CA3196F6}" done="1">
    <text>From #246</text>
  </threadedComment>
  <threadedComment ref="Y1993" dT="2023-07-13T15:34:35.23" personId="{3DE5673D-4837-4FC9-B8B9-34243175713A}" id="{00347CCF-50A3-4234-AF8A-3E8CFFA4A8C7}" done="1">
    <text>NR but used number from #246.</text>
  </threadedComment>
  <threadedComment ref="Z1993" dT="2023-07-13T15:34:24.39" personId="{3DE5673D-4837-4FC9-B8B9-34243175713A}" id="{DA56778E-FAC4-4864-8587-A849A38A550B}" done="1">
    <text>NR but used number from #246.</text>
  </threadedComment>
  <threadedComment ref="AL1993" dT="2023-07-13T15:45:41.51" personId="{3DE5673D-4837-4FC9-B8B9-34243175713A}" id="{DFEE2E30-1047-4FE7-84E2-C33C8E7586BA}" done="1">
    <text>From #246</text>
  </threadedComment>
  <threadedComment ref="Y1994" dT="2023-07-13T15:34:35.23" personId="{3DE5673D-4837-4FC9-B8B9-34243175713A}" id="{198D7CE5-8380-4FB0-91FB-0E0382A03EC0}" done="1">
    <text>NR but used number from #246.</text>
  </threadedComment>
  <threadedComment ref="Z1994" dT="2023-07-13T15:34:24.39" personId="{3DE5673D-4837-4FC9-B8B9-34243175713A}" id="{876D2062-5A38-4BE5-AA9A-DB7AB0E1B981}" done="1">
    <text>NR but used number from #246.</text>
  </threadedComment>
  <threadedComment ref="AL1994" dT="2023-07-13T15:45:41.51" personId="{3DE5673D-4837-4FC9-B8B9-34243175713A}" id="{A5DAEC6E-24EB-4882-9391-C95EE392B996}" done="1">
    <text>From #246</text>
  </threadedComment>
  <threadedComment ref="Y1995" dT="2023-07-13T15:34:35.23" personId="{3DE5673D-4837-4FC9-B8B9-34243175713A}" id="{1B9BE82F-BB11-4FFF-9953-C768BDFA95ED}" done="1">
    <text>NR but used number from #246.</text>
  </threadedComment>
  <threadedComment ref="Z1995" dT="2023-07-13T15:34:24.39" personId="{3DE5673D-4837-4FC9-B8B9-34243175713A}" id="{DE57CA7A-9087-4B12-BAC0-29EA49B50E1C}" done="1">
    <text>NR but used number from #246.</text>
  </threadedComment>
  <threadedComment ref="AL1995" dT="2023-07-13T15:45:41.51" personId="{3DE5673D-4837-4FC9-B8B9-34243175713A}" id="{9CDD5C78-D1EA-45EF-B01B-D8898A873778}" done="1">
    <text>From #246</text>
  </threadedComment>
  <threadedComment ref="Y1997" dT="2023-07-13T15:34:35.23" personId="{3DE5673D-4837-4FC9-B8B9-34243175713A}" id="{EB43216A-2207-4D97-B3B8-8534313956F9}" done="1">
    <text>NR but used number from #246.</text>
  </threadedComment>
  <threadedComment ref="Z1997" dT="2023-07-13T15:34:24.39" personId="{3DE5673D-4837-4FC9-B8B9-34243175713A}" id="{47AFB935-9EF9-41F0-97BD-B4BBAF7E411C}" done="1">
    <text>NR but used number from #246.</text>
  </threadedComment>
  <threadedComment ref="AL1997" dT="2023-07-13T15:45:41.51" personId="{3DE5673D-4837-4FC9-B8B9-34243175713A}" id="{677252B5-48A0-4CF1-9ECE-EBE0497ACD02}" done="1">
    <text>From #246</text>
  </threadedComment>
  <threadedComment ref="Y1998" dT="2023-07-13T15:34:35.23" personId="{3DE5673D-4837-4FC9-B8B9-34243175713A}" id="{210F81D8-D513-4157-A570-4644D398B789}" done="1">
    <text>NR but used number from #246.</text>
  </threadedComment>
  <threadedComment ref="Z1998" dT="2023-07-13T15:34:24.39" personId="{3DE5673D-4837-4FC9-B8B9-34243175713A}" id="{B2E23728-B265-48A4-9768-D6213CD0A6C9}" done="1">
    <text>NR but used number from #246.</text>
  </threadedComment>
  <threadedComment ref="AL1998" dT="2023-07-13T15:45:41.51" personId="{3DE5673D-4837-4FC9-B8B9-34243175713A}" id="{5DF1C5DF-D5FB-41E7-BDFA-97847623A356}" done="1">
    <text>From #246</text>
  </threadedComment>
  <threadedComment ref="Y1999" dT="2023-07-13T15:34:35.23" personId="{3DE5673D-4837-4FC9-B8B9-34243175713A}" id="{8927D40C-E732-4447-87EF-BA68A502A769}" done="1">
    <text>NR but used number from #246.</text>
  </threadedComment>
  <threadedComment ref="Z1999" dT="2023-07-13T15:34:24.39" personId="{3DE5673D-4837-4FC9-B8B9-34243175713A}" id="{5D3F3328-CBC4-4227-B64F-7B1F9E8F2766}" done="1">
    <text>NR but used number from #246.</text>
  </threadedComment>
  <threadedComment ref="AL1999" dT="2023-07-13T15:45:41.51" personId="{3DE5673D-4837-4FC9-B8B9-34243175713A}" id="{4FF118B5-9F27-4F76-BB11-611DA908196B}" done="1">
    <text>From #246</text>
  </threadedComment>
  <threadedComment ref="Y2000" dT="2023-07-13T15:34:35.23" personId="{3DE5673D-4837-4FC9-B8B9-34243175713A}" id="{F3096CFE-5FB3-4CB1-BC92-D6AEF7D08EFD}" done="1">
    <text>NR but used number from #246.</text>
  </threadedComment>
  <threadedComment ref="Z2000" dT="2023-07-13T15:34:24.39" personId="{3DE5673D-4837-4FC9-B8B9-34243175713A}" id="{3196EA17-7566-4760-B037-2D17EBF82679}" done="1">
    <text>NR but used number from #246.</text>
  </threadedComment>
  <threadedComment ref="AL2000" dT="2023-07-13T15:45:41.51" personId="{3DE5673D-4837-4FC9-B8B9-34243175713A}" id="{3C1B9D1C-BDF7-4A01-A80E-E85B7A8A94F0}" done="1">
    <text>From #246</text>
  </threadedComment>
  <threadedComment ref="Y2002" dT="2023-07-13T15:34:35.23" personId="{3DE5673D-4837-4FC9-B8B9-34243175713A}" id="{2A6D1AF5-2033-4D18-8CB5-049DC5B73BD7}" done="1">
    <text>NR but used number from #246.</text>
  </threadedComment>
  <threadedComment ref="Z2002" dT="2023-07-13T15:34:24.39" personId="{3DE5673D-4837-4FC9-B8B9-34243175713A}" id="{D470A973-E2A4-431D-B505-F1A54EE98890}" done="1">
    <text>NR but used number from #246.</text>
  </threadedComment>
  <threadedComment ref="AL2002" dT="2023-07-13T15:45:41.51" personId="{3DE5673D-4837-4FC9-B8B9-34243175713A}" id="{5C0F0A24-8049-4FDA-971A-A51ADB6B80F8}" done="1">
    <text>From #246</text>
  </threadedComment>
  <threadedComment ref="Y2003" dT="2023-07-13T15:34:35.23" personId="{3DE5673D-4837-4FC9-B8B9-34243175713A}" id="{26669624-B260-4CF6-996C-A63AB085210E}" done="1">
    <text>NR but used number from #246.</text>
  </threadedComment>
  <threadedComment ref="Z2003" dT="2023-07-13T15:34:24.39" personId="{3DE5673D-4837-4FC9-B8B9-34243175713A}" id="{71826207-03E8-42AF-AA4E-6D18AC9536E5}" done="1">
    <text>NR but used number from #246.</text>
  </threadedComment>
  <threadedComment ref="AL2003" dT="2023-07-13T15:45:41.51" personId="{3DE5673D-4837-4FC9-B8B9-34243175713A}" id="{C07D55C3-4EAE-4266-9AAA-331A72BF0128}" done="1">
    <text>From #246</text>
  </threadedComment>
  <threadedComment ref="Y2004" dT="2023-07-13T15:34:35.23" personId="{3DE5673D-4837-4FC9-B8B9-34243175713A}" id="{39590655-980A-4703-8FA3-D097CBD3CDC6}" done="1">
    <text>NR but used number from #246.</text>
  </threadedComment>
  <threadedComment ref="Z2004" dT="2023-07-13T15:34:24.39" personId="{3DE5673D-4837-4FC9-B8B9-34243175713A}" id="{F5B64FFD-6037-4979-8AF9-EA110DE35364}" done="1">
    <text>NR but used number from #246.</text>
  </threadedComment>
  <threadedComment ref="AL2004" dT="2023-07-13T15:45:41.51" personId="{3DE5673D-4837-4FC9-B8B9-34243175713A}" id="{8E4C3DB2-2268-43EF-8A8E-CCF636533991}" done="1">
    <text>From #246</text>
  </threadedComment>
  <threadedComment ref="Y2005" dT="2023-07-13T15:34:35.23" personId="{3DE5673D-4837-4FC9-B8B9-34243175713A}" id="{C2994B98-A58E-484F-8004-0EF0D3DBB89D}" done="1">
    <text>NR but used number from #246.</text>
  </threadedComment>
  <threadedComment ref="Z2005" dT="2023-07-13T15:34:24.39" personId="{3DE5673D-4837-4FC9-B8B9-34243175713A}" id="{25A1C02A-BFF8-42DC-88F5-26B4D37E4CDE}" done="1">
    <text>NR but used number from #246.</text>
  </threadedComment>
  <threadedComment ref="AL2005" dT="2023-07-13T15:45:41.51" personId="{3DE5673D-4837-4FC9-B8B9-34243175713A}" id="{26692B7C-4823-4394-B2B8-80B14123D0A0}" done="1">
    <text>From #246</text>
  </threadedComment>
  <threadedComment ref="Y2007" dT="2023-07-13T15:34:35.23" personId="{3DE5673D-4837-4FC9-B8B9-34243175713A}" id="{8FBF0A5B-CBC1-43B9-9752-555BBAAC5392}" done="1">
    <text>NR but used number from #246.</text>
  </threadedComment>
  <threadedComment ref="Z2007" dT="2023-07-13T15:34:24.39" personId="{3DE5673D-4837-4FC9-B8B9-34243175713A}" id="{761AAEE3-A9E1-469C-9172-D1D57BCCF5B2}" done="1">
    <text>NR but used number from #246.</text>
  </threadedComment>
  <threadedComment ref="AL2007" dT="2023-07-13T15:45:41.51" personId="{3DE5673D-4837-4FC9-B8B9-34243175713A}" id="{D4DE6CF6-D7B4-455E-85EE-991D8C9C5FFE}" done="1">
    <text>From #246</text>
  </threadedComment>
  <threadedComment ref="Y2008" dT="2023-07-13T15:34:35.23" personId="{3DE5673D-4837-4FC9-B8B9-34243175713A}" id="{850546A6-8DD3-4432-8664-3A8CD8BB4C2B}" done="1">
    <text>NR but used number from #246.</text>
  </threadedComment>
  <threadedComment ref="Z2008" dT="2023-07-13T15:34:24.39" personId="{3DE5673D-4837-4FC9-B8B9-34243175713A}" id="{351A0806-09E0-4F7E-8B51-CF6AA1697679}" done="1">
    <text>NR but used number from #246.</text>
  </threadedComment>
  <threadedComment ref="AL2008" dT="2023-07-13T15:45:41.51" personId="{3DE5673D-4837-4FC9-B8B9-34243175713A}" id="{36F98DC7-0205-492A-AA8D-5572B0199FAB}" done="1">
    <text>From #246</text>
  </threadedComment>
  <threadedComment ref="Y2009" dT="2023-07-13T15:34:35.23" personId="{3DE5673D-4837-4FC9-B8B9-34243175713A}" id="{C9423808-64A1-4D0D-96EB-B39F7AC95CD3}" done="1">
    <text>NR but used number from #246.</text>
  </threadedComment>
  <threadedComment ref="Z2009" dT="2023-07-13T15:34:24.39" personId="{3DE5673D-4837-4FC9-B8B9-34243175713A}" id="{9424EB35-892E-4821-A7C0-6FF6426637D5}" done="1">
    <text>NR but used number from #246.</text>
  </threadedComment>
  <threadedComment ref="AL2009" dT="2023-07-13T15:45:41.51" personId="{3DE5673D-4837-4FC9-B8B9-34243175713A}" id="{370BDC2C-0338-4AD5-A858-1ACA396DE920}" done="1">
    <text>From #246</text>
  </threadedComment>
  <threadedComment ref="Y2010" dT="2023-07-13T15:34:35.23" personId="{3DE5673D-4837-4FC9-B8B9-34243175713A}" id="{72EB6E79-D5D1-461B-87F8-C81750E65845}" done="1">
    <text>NR but used number from #246.</text>
  </threadedComment>
  <threadedComment ref="Z2010" dT="2023-07-13T15:34:24.39" personId="{3DE5673D-4837-4FC9-B8B9-34243175713A}" id="{3A88DBE0-61D3-4C9B-8DBC-8D2E79D8CA1F}" done="1">
    <text>NR but used number from #246.</text>
  </threadedComment>
  <threadedComment ref="AL2010" dT="2023-07-13T15:45:41.51" personId="{3DE5673D-4837-4FC9-B8B9-34243175713A}" id="{DC6174D9-FF3A-4EC5-93B9-F7509EB67C15}" done="1">
    <text>From #246</text>
  </threadedComment>
  <threadedComment ref="Y2012" dT="2023-07-13T15:34:35.23" personId="{3DE5673D-4837-4FC9-B8B9-34243175713A}" id="{8CA3E34F-569B-4AAE-A338-0192B7A7893E}" done="1">
    <text>NR but used number from #246.</text>
  </threadedComment>
  <threadedComment ref="Z2012" dT="2023-07-13T15:34:24.39" personId="{3DE5673D-4837-4FC9-B8B9-34243175713A}" id="{F611F661-D380-4748-AA76-2CF86CFC9C7C}" done="1">
    <text>NR but used number from #246.</text>
  </threadedComment>
  <threadedComment ref="AL2012" dT="2023-07-13T15:45:41.51" personId="{3DE5673D-4837-4FC9-B8B9-34243175713A}" id="{F6D96764-FE13-4B97-AD0F-00EDF6B36541}" done="1">
    <text>From #246</text>
  </threadedComment>
  <threadedComment ref="Y2013" dT="2023-07-13T15:34:35.23" personId="{3DE5673D-4837-4FC9-B8B9-34243175713A}" id="{311506C0-B66A-4B1D-829D-FD136EA1B019}" done="1">
    <text>NR but used number from #246.</text>
  </threadedComment>
  <threadedComment ref="Z2013" dT="2023-07-13T15:34:24.39" personId="{3DE5673D-4837-4FC9-B8B9-34243175713A}" id="{673C9671-71C3-422A-B726-CC199CE7BDB4}" done="1">
    <text>NR but used number from #246.</text>
  </threadedComment>
  <threadedComment ref="AL2013" dT="2023-07-13T15:45:41.51" personId="{3DE5673D-4837-4FC9-B8B9-34243175713A}" id="{09E63CDA-E750-4217-A890-FCEB73AE18F5}" done="1">
    <text>From #246</text>
  </threadedComment>
  <threadedComment ref="Y2014" dT="2023-07-13T15:34:35.23" personId="{3DE5673D-4837-4FC9-B8B9-34243175713A}" id="{A60E7369-4B81-4EE3-B035-719F2AE6FE2F}" done="1">
    <text>NR but used number from #246.</text>
  </threadedComment>
  <threadedComment ref="Z2014" dT="2023-07-13T15:34:24.39" personId="{3DE5673D-4837-4FC9-B8B9-34243175713A}" id="{95DAA0FD-DF7B-446E-8C98-731DC4FBE582}" done="1">
    <text>NR but used number from #246.</text>
  </threadedComment>
  <threadedComment ref="AL2014" dT="2023-07-13T15:45:41.51" personId="{3DE5673D-4837-4FC9-B8B9-34243175713A}" id="{969B4D0D-2286-48DC-86C0-C8AF57717D60}" done="1">
    <text>From #246</text>
  </threadedComment>
  <threadedComment ref="Y2015" dT="2023-07-13T15:34:35.23" personId="{3DE5673D-4837-4FC9-B8B9-34243175713A}" id="{1B5E0528-A783-402F-BF92-97A4EF65DC20}" done="1">
    <text>NR but used number from #246.</text>
  </threadedComment>
  <threadedComment ref="Z2015" dT="2023-07-13T15:34:24.39" personId="{3DE5673D-4837-4FC9-B8B9-34243175713A}" id="{2149515C-76F9-439A-B33C-A53BAEA3C8BE}" done="1">
    <text>NR but used number from #246.</text>
  </threadedComment>
  <threadedComment ref="AL2015" dT="2023-07-13T15:45:41.51" personId="{3DE5673D-4837-4FC9-B8B9-34243175713A}" id="{D91B6388-1E5A-4493-AA13-BBEBFA7B0B1A}" done="1">
    <text>From #246</text>
  </threadedComment>
  <threadedComment ref="Y2017" dT="2023-07-13T15:34:35.23" personId="{3DE5673D-4837-4FC9-B8B9-34243175713A}" id="{125CE9B2-A76E-4776-AF0C-F52EC58FFBC6}" done="1">
    <text>NR but used number from #246.</text>
  </threadedComment>
  <threadedComment ref="Z2017" dT="2023-07-13T15:34:24.39" personId="{3DE5673D-4837-4FC9-B8B9-34243175713A}" id="{D783E299-7E80-4072-B741-4D577BD8DEF8}" done="1">
    <text>NR but used number from #246.</text>
  </threadedComment>
  <threadedComment ref="AL2017" dT="2023-07-13T15:45:41.51" personId="{3DE5673D-4837-4FC9-B8B9-34243175713A}" id="{B53235D6-4478-4BC9-96A5-1F27523FFB58}" done="1">
    <text>From #246</text>
  </threadedComment>
  <threadedComment ref="Y2018" dT="2023-07-13T15:34:35.23" personId="{3DE5673D-4837-4FC9-B8B9-34243175713A}" id="{EDA30400-3546-41BB-9010-5618B725D4DF}" done="1">
    <text>NR but used number from #246.</text>
  </threadedComment>
  <threadedComment ref="Z2018" dT="2023-07-13T15:34:24.39" personId="{3DE5673D-4837-4FC9-B8B9-34243175713A}" id="{5698E3F9-72FE-4FDA-B821-5800CAD7706D}" done="1">
    <text>NR but used number from #246.</text>
  </threadedComment>
  <threadedComment ref="AL2018" dT="2023-07-13T15:45:41.51" personId="{3DE5673D-4837-4FC9-B8B9-34243175713A}" id="{958AF2B7-11E4-4B57-9A09-3B6960C57758}" done="1">
    <text>From #246</text>
  </threadedComment>
  <threadedComment ref="Y2019" dT="2023-07-13T15:34:35.23" personId="{3DE5673D-4837-4FC9-B8B9-34243175713A}" id="{E258E172-CE19-4EEF-A74C-552345485448}" done="1">
    <text>NR but used number from #246.</text>
  </threadedComment>
  <threadedComment ref="Z2019" dT="2023-07-13T15:34:24.39" personId="{3DE5673D-4837-4FC9-B8B9-34243175713A}" id="{0664036F-919C-4D61-99B0-32B04EE9FB08}" done="1">
    <text>NR but used number from #246.</text>
  </threadedComment>
  <threadedComment ref="AL2019" dT="2023-07-13T15:45:41.51" personId="{3DE5673D-4837-4FC9-B8B9-34243175713A}" id="{8840D28C-BAC8-4577-8373-F78307C6E60F}" done="1">
    <text>From #246</text>
  </threadedComment>
  <threadedComment ref="Y2020" dT="2023-07-13T15:34:35.23" personId="{3DE5673D-4837-4FC9-B8B9-34243175713A}" id="{585AD457-51AE-4F83-AF7D-272087C48F27}" done="1">
    <text>NR but used number from #246.</text>
  </threadedComment>
  <threadedComment ref="Z2020" dT="2023-07-13T15:34:24.39" personId="{3DE5673D-4837-4FC9-B8B9-34243175713A}" id="{E2EC5325-31F4-4317-B0B8-EE7226C0BF43}" done="1">
    <text>NR but used number from #246.</text>
  </threadedComment>
  <threadedComment ref="AL2020" dT="2023-07-13T15:45:41.51" personId="{3DE5673D-4837-4FC9-B8B9-34243175713A}" id="{0877EFA3-2102-4199-958A-06A5AD4509C5}" done="1">
    <text>From #246</text>
  </threadedComment>
  <threadedComment ref="Y2022" dT="2023-07-13T15:34:35.23" personId="{3DE5673D-4837-4FC9-B8B9-34243175713A}" id="{7DA7F495-E2FA-4B16-9AF0-2108B6E35588}" done="1">
    <text>NR but used number from #246.</text>
  </threadedComment>
  <threadedComment ref="Z2022" dT="2023-07-13T15:34:24.39" personId="{3DE5673D-4837-4FC9-B8B9-34243175713A}" id="{94BD81C2-1919-468D-B16D-CF2664ED8805}" done="1">
    <text>NR but used number from #246.</text>
  </threadedComment>
  <threadedComment ref="AL2022" dT="2023-07-13T15:45:41.51" personId="{3DE5673D-4837-4FC9-B8B9-34243175713A}" id="{F8A25DE9-2B0E-4EC0-A55D-CE80D27C2498}" done="1">
    <text>From #246</text>
  </threadedComment>
  <threadedComment ref="Y2023" dT="2023-07-13T15:34:35.23" personId="{3DE5673D-4837-4FC9-B8B9-34243175713A}" id="{5BC8EBA9-371D-4E91-BE2C-18A5C8EA8326}" done="1">
    <text>NR but used number from #246.</text>
  </threadedComment>
  <threadedComment ref="Z2023" dT="2023-07-13T15:34:24.39" personId="{3DE5673D-4837-4FC9-B8B9-34243175713A}" id="{D746CD03-F79B-4DFB-B994-78666D021150}" done="1">
    <text>NR but used number from #246.</text>
  </threadedComment>
  <threadedComment ref="AL2023" dT="2023-07-13T15:45:41.51" personId="{3DE5673D-4837-4FC9-B8B9-34243175713A}" id="{B6596CC3-6E81-4766-9902-60D1A9B8C0EE}" done="1">
    <text>From #246</text>
  </threadedComment>
  <threadedComment ref="J2024" dT="2024-01-10T08:34:27.80" personId="{3DE5673D-4837-4FC9-B8B9-34243175713A}" id="{A93688F4-E6E1-4BEF-903F-CF907F4B1F5F}">
    <text>I have added a new category to the dropdown menu. Does "Invasiveness &amp; size" make sense?</text>
  </threadedComment>
  <threadedComment ref="Y2024" dT="2023-07-13T15:34:35.23" personId="{3DE5673D-4837-4FC9-B8B9-34243175713A}" id="{498006DF-87B4-4BBF-ADA8-10ADC6C37369}" done="1">
    <text>NR but used number from #246.</text>
  </threadedComment>
  <threadedComment ref="Z2024" dT="2023-07-13T15:34:24.39" personId="{3DE5673D-4837-4FC9-B8B9-34243175713A}" id="{CF85595C-FB2F-4722-BA42-428125D05599}" done="1">
    <text>NR but used number from #246.</text>
  </threadedComment>
  <threadedComment ref="AL2024" dT="2023-07-13T15:45:41.51" personId="{3DE5673D-4837-4FC9-B8B9-34243175713A}" id="{DF385869-6B0D-41C3-8E0B-D1A959D23748}" done="1">
    <text>From #246</text>
  </threadedComment>
  <threadedComment ref="Y2025" dT="2023-07-13T15:34:35.23" personId="{3DE5673D-4837-4FC9-B8B9-34243175713A}" id="{6B498AED-1DF4-4BEA-80B4-C83B9183EE11}" done="1">
    <text>NR but used number from #246.</text>
  </threadedComment>
  <threadedComment ref="Z2025" dT="2023-07-13T15:34:24.39" personId="{3DE5673D-4837-4FC9-B8B9-34243175713A}" id="{C6FD9648-AB25-4ED0-9987-079E49F0FAC8}" done="1">
    <text>NR but used number from #246.</text>
  </threadedComment>
  <threadedComment ref="AL2025" dT="2023-07-13T15:45:41.51" personId="{3DE5673D-4837-4FC9-B8B9-34243175713A}" id="{9E5F23A1-FE11-420D-B9A2-75930233ED63}" done="1">
    <text>From #246</text>
  </threadedComment>
  <threadedComment ref="Y2026" dT="2023-07-13T15:34:35.23" personId="{3DE5673D-4837-4FC9-B8B9-34243175713A}" id="{10D35D50-F221-4B40-8FAB-964DA40BD534}" done="1">
    <text>NR but used number from #246.</text>
  </threadedComment>
  <threadedComment ref="Z2026" dT="2023-07-13T15:34:24.39" personId="{3DE5673D-4837-4FC9-B8B9-34243175713A}" id="{001D825B-73BE-4CD6-AEA4-55623C9AF3C5}" done="1">
    <text>NR but used number from #246.</text>
  </threadedComment>
  <threadedComment ref="AL2026" dT="2023-07-13T15:45:41.51" personId="{3DE5673D-4837-4FC9-B8B9-34243175713A}" id="{668F9F92-13D5-4032-9ED2-FA0848776D9D}" done="1">
    <text>From #246</text>
  </threadedComment>
  <threadedComment ref="J2027" dT="2024-01-10T08:34:27.80" personId="{3DE5673D-4837-4FC9-B8B9-34243175713A}" id="{E8C75D00-6414-4D93-AD69-A0D5BEFD0F65}">
    <text>I have added a new category to the dropdown menu. Does "Invasiveness &amp; size" make sense?</text>
  </threadedComment>
  <threadedComment ref="Y2027" dT="2023-07-13T15:34:35.23" personId="{3DE5673D-4837-4FC9-B8B9-34243175713A}" id="{8719FA98-E8D8-4E87-92FA-AC3DDC64119B}" done="1">
    <text>NR but used number from #246.</text>
  </threadedComment>
  <threadedComment ref="Z2027" dT="2023-07-13T15:34:24.39" personId="{3DE5673D-4837-4FC9-B8B9-34243175713A}" id="{B855316A-895A-40BC-963C-9E8E308A429D}" done="1">
    <text>NR but used number from #246.</text>
  </threadedComment>
  <threadedComment ref="AL2027" dT="2023-07-13T15:45:41.51" personId="{3DE5673D-4837-4FC9-B8B9-34243175713A}" id="{E98A744D-B1FA-4C36-B72B-520AE99BA9CC}" done="1">
    <text>From #246</text>
  </threadedComment>
  <threadedComment ref="Y2028" dT="2023-07-13T15:34:35.23" personId="{3DE5673D-4837-4FC9-B8B9-34243175713A}" id="{7DCE8314-E42A-4219-A656-D7285EB496D4}" done="1">
    <text>NR but used number from #246.</text>
  </threadedComment>
  <threadedComment ref="Z2028" dT="2023-07-13T15:34:24.39" personId="{3DE5673D-4837-4FC9-B8B9-34243175713A}" id="{CB39FF68-AABD-4F2B-B518-BAB0F74D12F9}" done="1">
    <text>NR but used number from #246.</text>
  </threadedComment>
  <threadedComment ref="AL2028" dT="2023-07-13T15:45:41.51" personId="{3DE5673D-4837-4FC9-B8B9-34243175713A}" id="{373146F8-F507-414E-BBDD-3640C63A7FBC}" done="1">
    <text>From #246</text>
  </threadedComment>
  <threadedComment ref="Y2029" dT="2023-07-13T15:34:35.23" personId="{3DE5673D-4837-4FC9-B8B9-34243175713A}" id="{9567CF9B-A10D-422F-ABDA-DA5A781580B5}" done="1">
    <text>NR but used number from #246.</text>
  </threadedComment>
  <threadedComment ref="Z2029" dT="2023-07-13T15:34:24.39" personId="{3DE5673D-4837-4FC9-B8B9-34243175713A}" id="{C9ABFE91-E10B-448C-A318-EAEFADB37769}" done="1">
    <text>NR but used number from #246.</text>
  </threadedComment>
  <threadedComment ref="AL2029" dT="2023-07-13T15:45:41.51" personId="{3DE5673D-4837-4FC9-B8B9-34243175713A}" id="{568A9BF0-46A2-4633-90D9-0BB8E0435C84}" done="1">
    <text>From #246</text>
  </threadedComment>
  <threadedComment ref="J2030" dT="2024-01-10T08:34:27.80" personId="{3DE5673D-4837-4FC9-B8B9-34243175713A}" id="{F124204D-6C1E-4A6E-A30C-60C6FF3EDF62}">
    <text>I have added a new category to the dropdown menu. Does "Invasiveness &amp; size" make sense?</text>
  </threadedComment>
  <threadedComment ref="Y2030" dT="2023-07-13T15:34:35.23" personId="{3DE5673D-4837-4FC9-B8B9-34243175713A}" id="{1D5FE209-23F9-4C8F-8A40-B5985DDA022F}" done="1">
    <text>NR but used number from #246.</text>
  </threadedComment>
  <threadedComment ref="Z2030" dT="2023-07-13T15:34:24.39" personId="{3DE5673D-4837-4FC9-B8B9-34243175713A}" id="{3A7EF6E8-E775-4A9B-9B48-D1BCE9FCF65B}" done="1">
    <text>NR but used number from #246.</text>
  </threadedComment>
  <threadedComment ref="AL2030" dT="2023-07-13T15:45:41.51" personId="{3DE5673D-4837-4FC9-B8B9-34243175713A}" id="{CDF91751-BC5E-44E9-8A81-AB70802E37D4}" done="1">
    <text>From #246</text>
  </threadedComment>
  <threadedComment ref="Y2031" dT="2023-07-13T15:34:35.23" personId="{3DE5673D-4837-4FC9-B8B9-34243175713A}" id="{AF0FA6CF-7CDE-45CF-BB26-5A27EC54E0A4}" done="1">
    <text>NR but used number from #246.</text>
  </threadedComment>
  <threadedComment ref="Z2031" dT="2023-07-13T15:34:24.39" personId="{3DE5673D-4837-4FC9-B8B9-34243175713A}" id="{BE138EEE-0453-4298-8909-D531D246E9EB}" done="1">
    <text>NR but used number from #246.</text>
  </threadedComment>
  <threadedComment ref="AL2031" dT="2023-07-13T15:45:41.51" personId="{3DE5673D-4837-4FC9-B8B9-34243175713A}" id="{8F8245D4-97BF-4A25-ABDA-77C0D457819F}" done="1">
    <text>From #246</text>
  </threadedComment>
  <threadedComment ref="Y2032" dT="2023-07-13T15:34:35.23" personId="{3DE5673D-4837-4FC9-B8B9-34243175713A}" id="{7587ED36-B7A0-4830-9709-6065B160E134}" done="1">
    <text>NR but used number from #246.</text>
  </threadedComment>
  <threadedComment ref="Z2032" dT="2023-07-13T15:34:24.39" personId="{3DE5673D-4837-4FC9-B8B9-34243175713A}" id="{548822B8-8631-481A-83A0-B1DDE96E50BB}" done="1">
    <text>NR but used number from #246.</text>
  </threadedComment>
  <threadedComment ref="AL2032" dT="2023-07-13T15:45:41.51" personId="{3DE5673D-4837-4FC9-B8B9-34243175713A}" id="{47040A0F-1785-401B-91A0-3E705418EDA8}" done="1">
    <text>From #246</text>
  </threadedComment>
  <threadedComment ref="J2033" dT="2024-01-10T08:34:27.80" personId="{3DE5673D-4837-4FC9-B8B9-34243175713A}" id="{1DE29FE7-88FB-40CE-91F2-5D7F3C72228C}">
    <text>I have added a new category to the dropdown menu. Does "Invasiveness &amp; size" make sense?</text>
  </threadedComment>
  <threadedComment ref="Y2033" dT="2023-07-13T15:34:35.23" personId="{3DE5673D-4837-4FC9-B8B9-34243175713A}" id="{88920796-381C-479C-A38C-C123A562C037}" done="1">
    <text>NR but used number from #246.</text>
  </threadedComment>
  <threadedComment ref="Z2033" dT="2023-07-13T15:34:24.39" personId="{3DE5673D-4837-4FC9-B8B9-34243175713A}" id="{FE3E2FC2-3CA9-4F02-B750-8F1CD80FE9CE}" done="1">
    <text>NR but used number from #246.</text>
  </threadedComment>
  <threadedComment ref="AL2033" dT="2023-07-13T15:45:41.51" personId="{3DE5673D-4837-4FC9-B8B9-34243175713A}" id="{2C535741-4DD9-4701-9833-8DA8012E51DB}" done="1">
    <text>From #246</text>
  </threadedComment>
  <threadedComment ref="Y2034" dT="2023-07-13T15:34:35.23" personId="{3DE5673D-4837-4FC9-B8B9-34243175713A}" id="{B45D07D9-90CC-4D3D-A2EE-810048FD7AEB}" done="1">
    <text>NR but used number from #246.</text>
  </threadedComment>
  <threadedComment ref="Z2034" dT="2023-07-13T15:34:24.39" personId="{3DE5673D-4837-4FC9-B8B9-34243175713A}" id="{7D16012B-E63E-47B7-BFE0-3E0F90F73D74}" done="1">
    <text>NR but used number from #246.</text>
  </threadedComment>
  <threadedComment ref="AL2034" dT="2023-07-13T15:45:41.51" personId="{3DE5673D-4837-4FC9-B8B9-34243175713A}" id="{658098A1-1510-4B79-A983-CD7BA6EB8E8A}" done="1">
    <text>From #246</text>
  </threadedComment>
  <threadedComment ref="Y2035" dT="2023-07-13T15:34:35.23" personId="{3DE5673D-4837-4FC9-B8B9-34243175713A}" id="{EB346E3E-5FBE-48EB-B2A0-64B5F8FBDCFD}" done="1">
    <text>NR but used number from #246.</text>
  </threadedComment>
  <threadedComment ref="Z2035" dT="2023-07-13T15:34:24.39" personId="{3DE5673D-4837-4FC9-B8B9-34243175713A}" id="{AA22C2AE-55C4-47C8-9DA1-4BE1EE3BCD5C}" done="1">
    <text>NR but used number from #246.</text>
  </threadedComment>
  <threadedComment ref="AL2035" dT="2023-07-13T15:45:41.51" personId="{3DE5673D-4837-4FC9-B8B9-34243175713A}" id="{21950230-73C0-465B-8389-BD7C82F156E0}" done="1">
    <text>From #246</text>
  </threadedComment>
  <threadedComment ref="J2036" dT="2024-01-10T08:34:27.80" personId="{3DE5673D-4837-4FC9-B8B9-34243175713A}" id="{162E4DFA-2ECF-4CD1-8652-5FC803499C62}">
    <text>I have added a new category to the dropdown menu. Does "Invasiveness &amp; size" make sense?</text>
  </threadedComment>
  <threadedComment ref="Y2036" dT="2023-07-13T15:34:35.23" personId="{3DE5673D-4837-4FC9-B8B9-34243175713A}" id="{D3970AA4-D1C9-4618-A17D-FA19039FCA2F}" done="1">
    <text>NR but used number from #246.</text>
  </threadedComment>
  <threadedComment ref="Z2036" dT="2023-07-13T15:34:24.39" personId="{3DE5673D-4837-4FC9-B8B9-34243175713A}" id="{C477F476-8414-4AAF-BC45-C38282EAAAEC}" done="1">
    <text>NR but used number from #246.</text>
  </threadedComment>
  <threadedComment ref="AL2036" dT="2023-07-13T15:45:41.51" personId="{3DE5673D-4837-4FC9-B8B9-34243175713A}" id="{01885406-B457-4323-BC56-D07D7E3C618F}" done="1">
    <text>From #246</text>
  </threadedComment>
  <threadedComment ref="Y2037" dT="2023-07-13T15:34:35.23" personId="{3DE5673D-4837-4FC9-B8B9-34243175713A}" id="{0296FACE-3BF2-4236-B285-AF52882CFDCD}" done="1">
    <text>NR but used number from #246.</text>
  </threadedComment>
  <threadedComment ref="Z2037" dT="2023-07-13T15:34:24.39" personId="{3DE5673D-4837-4FC9-B8B9-34243175713A}" id="{3BF947F8-68DE-44A8-A1DA-9C1F184EAADE}" done="1">
    <text>NR but used number from #246.</text>
  </threadedComment>
  <threadedComment ref="AL2037" dT="2023-07-13T15:45:41.51" personId="{3DE5673D-4837-4FC9-B8B9-34243175713A}" id="{22081B41-68E8-4653-869C-5EDDAD1F8334}" done="1">
    <text>From #246</text>
  </threadedComment>
  <threadedComment ref="Y2038" dT="2023-07-13T15:34:35.23" personId="{3DE5673D-4837-4FC9-B8B9-34243175713A}" id="{8DF52435-9549-4D72-9619-DD435D19D46C}" done="1">
    <text>NR but used number from #246.</text>
  </threadedComment>
  <threadedComment ref="Z2038" dT="2023-07-13T15:34:24.39" personId="{3DE5673D-4837-4FC9-B8B9-34243175713A}" id="{86000E32-7BBE-4E9F-90F6-620DE0784B00}" done="1">
    <text>NR but used number from #246.</text>
  </threadedComment>
  <threadedComment ref="AL2038" dT="2023-07-13T15:45:41.51" personId="{3DE5673D-4837-4FC9-B8B9-34243175713A}" id="{068CD587-7252-496C-817D-2566213CE232}" done="1">
    <text>From #246</text>
  </threadedComment>
  <threadedComment ref="J2039" dT="2024-01-10T08:34:27.80" personId="{3DE5673D-4837-4FC9-B8B9-34243175713A}" id="{3CBBD6B4-04D8-44B7-B8CC-B0BBDB599B52}">
    <text>I have added a new category to the dropdown menu. Does "Invasiveness &amp; size" make sense?</text>
  </threadedComment>
  <threadedComment ref="Y2039" dT="2023-07-13T15:34:35.23" personId="{3DE5673D-4837-4FC9-B8B9-34243175713A}" id="{BECAE8E4-F167-4090-8893-283A3304ADEE}" done="1">
    <text>NR but used number from #246.</text>
  </threadedComment>
  <threadedComment ref="Z2039" dT="2023-07-13T15:34:24.39" personId="{3DE5673D-4837-4FC9-B8B9-34243175713A}" id="{29815071-1D2B-4F1E-8755-C0555F924A20}" done="1">
    <text>NR but used number from #246.</text>
  </threadedComment>
  <threadedComment ref="AL2039" dT="2023-07-13T15:45:41.51" personId="{3DE5673D-4837-4FC9-B8B9-34243175713A}" id="{77D35CF0-2272-4A5A-B95A-812AA1E79B4C}" done="1">
    <text>From #246</text>
  </threadedComment>
  <threadedComment ref="Y2040" dT="2023-07-13T15:34:35.23" personId="{3DE5673D-4837-4FC9-B8B9-34243175713A}" id="{B258CECD-6A17-49CB-BC9A-A0B35D08BC72}" done="1">
    <text>NR but used number from #246.</text>
  </threadedComment>
  <threadedComment ref="Z2040" dT="2023-07-13T15:34:24.39" personId="{3DE5673D-4837-4FC9-B8B9-34243175713A}" id="{01FC4DC8-D2BD-44CE-8720-B9C0D2E4BA20}" done="1">
    <text>NR but used number from #246.</text>
  </threadedComment>
  <threadedComment ref="AL2040" dT="2023-07-13T15:45:41.51" personId="{3DE5673D-4837-4FC9-B8B9-34243175713A}" id="{DA7EEACB-3BA2-4489-958C-31C83894587C}" done="1">
    <text>From #246</text>
  </threadedComment>
  <threadedComment ref="Y2041" dT="2023-07-13T15:34:35.23" personId="{3DE5673D-4837-4FC9-B8B9-34243175713A}" id="{CC0A853C-6F19-4F92-B960-38DFAE9CE40C}" done="1">
    <text>NR but used number from #246.</text>
  </threadedComment>
  <threadedComment ref="Z2041" dT="2023-07-13T15:34:24.39" personId="{3DE5673D-4837-4FC9-B8B9-34243175713A}" id="{E97FDF47-27B0-498A-AF23-4C9DCDBEECA6}" done="1">
    <text>NR but used number from #246.</text>
  </threadedComment>
  <threadedComment ref="AL2041" dT="2023-07-13T15:45:41.51" personId="{3DE5673D-4837-4FC9-B8B9-34243175713A}" id="{0D7A0CA4-8881-4881-A1EF-60CD1C35CC82}" done="1">
    <text>From #246</text>
  </threadedComment>
  <threadedComment ref="Y2042" dT="2023-07-13T15:34:35.23" personId="{3DE5673D-4837-4FC9-B8B9-34243175713A}" id="{DC2D9EDB-2964-4BD5-B00A-4B77F1C8D946}" done="1">
    <text>NR but used number from #246.</text>
  </threadedComment>
  <threadedComment ref="Z2042" dT="2023-07-13T15:34:24.39" personId="{3DE5673D-4837-4FC9-B8B9-34243175713A}" id="{0F597309-D034-4A28-A0B0-B53609D9756D}" done="1">
    <text>NR but used number from #246.</text>
  </threadedComment>
  <threadedComment ref="AL2042" dT="2023-07-13T15:45:41.51" personId="{3DE5673D-4837-4FC9-B8B9-34243175713A}" id="{C037AC86-51C6-4F7E-8951-C855DFD4FBC8}" done="1">
    <text>From #246</text>
  </threadedComment>
  <threadedComment ref="BA2070" dT="2024-01-10T08:57:44.18" personId="{3DE5673D-4837-4FC9-B8B9-34243175713A}" id="{BF6B0B5E-372C-498C-8144-E3C856B4A785}">
    <text>Changed from 'NR' as the text says: "At the end of follow-up, 515 individuals in the screening group had an adenoma of 1・0 cm or larger compared with
317 of the controls (P &lt; 0・001) (Table 3)."</text>
  </threadedComment>
  <threadedComment ref="BA2070" dT="2024-01-17T15:25:59.40" personId="{E331BB74-BBA0-4486-A922-69CA2C388022}" id="{44922D9A-C961-4DEE-AC97-2F236D64EF58}" parentId="{BF6B0B5E-372C-498C-8144-E3C856B4A785}">
    <text>agree</text>
  </threadedComment>
  <threadedComment ref="A2071" dT="2024-01-10T09:09:28.23" personId="{3DE5673D-4837-4FC9-B8B9-34243175713A}" id="{5C92AAC4-8F8E-4B49-8A25-B31FF8437705}">
    <text>I have extracted the incidence of adenomas with size between 10-20mm here. Please check!</text>
  </threadedComment>
  <threadedComment ref="A2071" dT="2024-01-17T15:37:36.10" personId="{E331BB74-BBA0-4486-A922-69CA2C388022}" id="{44AB0902-83DE-49A4-94B6-E27A698CD8F3}" parentId="{5C92AAC4-8F8E-4B49-8A25-B31FF8437705}">
    <text>Checked</text>
  </threadedComment>
  <threadedComment ref="A2080" dT="2024-01-10T09:09:28.23" personId="{3DE5673D-4837-4FC9-B8B9-34243175713A}" id="{572D0A7B-B29F-403B-A3BD-08FE0032CA9E}">
    <text>I have extracted the incidence of adenomas with size between 10-20mm here. Please check!</text>
  </threadedComment>
  <threadedComment ref="A2080" dT="2024-01-17T15:37:28.76" personId="{E331BB74-BBA0-4486-A922-69CA2C388022}" id="{12A88DA8-4A16-4567-8893-05D9AF3C83CD}" parentId="{572D0A7B-B29F-403B-A3BD-08FE0032CA9E}">
    <text>Checked</text>
  </threadedComment>
  <threadedComment ref="AK2094" dT="2024-01-17T15:30:59.14" personId="{3DE5673D-4837-4FC9-B8B9-34243175713A}" id="{643BDE04-ADC1-4B26-8B15-1D91C98746C9}" done="1">
    <text>Should it be 39,164 women? See Table 2, 19,813 + 19,351? Frisell 1989 seem to only include women born 1-10 and 21-30 in the SP group, not the women born on the 31st "to simplify the numerical comparisons" with the control group.</text>
  </threadedComment>
  <threadedComment ref="AK2094" dT="2024-01-19T12:11:51.69" personId="{E08A2389-F34B-466D-8AA1-6ADBBDF0F7BF}" id="{AF9F2A0E-E2A7-4AE6-B89F-7F2FBD6AB1BB}" parentId="{643BDE04-ADC1-4B26-8B15-1D91C98746C9}">
    <text>That is weird. Though the women born on the 31st are included in Table 5.
Given that cancers and their stage are reported, I think that 40,318 is the correct denominator.</text>
  </threadedComment>
  <threadedComment ref="Y2095" dT="2023-12-21T09:14:01.54" personId="{E08A2389-F34B-466D-8AA1-6ADBBDF0F7BF}" id="{F870A5E3-6D89-4B5A-A481-68BAD6547A0A}" done="1">
    <text>40,318</text>
  </threadedComment>
  <threadedComment ref="Y2095" dT="2024-01-17T12:55:08.73" personId="{3DE5673D-4837-4FC9-B8B9-34243175713A}" id="{4F0264F3-AF00-41BF-AC90-FB92CD54D0B5}" parentId="{F870A5E3-6D89-4B5A-A481-68BAD6547A0A}">
    <text>We agreed that we rate that field as "NA" for surrogates 3 and 5 as the denominator is the total number of breast cancers.</text>
  </threadedComment>
  <threadedComment ref="Y2095" dT="2024-01-19T12:12:11.11" personId="{E08A2389-F34B-466D-8AA1-6ADBBDF0F7BF}" id="{119EFBED-9D9C-4488-B62F-A66A87B5A89F}" parentId="{F870A5E3-6D89-4B5A-A481-68BAD6547A0A}">
    <text>agreed</text>
  </threadedComment>
  <threadedComment ref="D2096" dT="2024-01-18T14:27:15.16" personId="{3DE5673D-4837-4FC9-B8B9-34243175713A}" id="{88CE612D-DE98-4E0C-8E7E-2C21CC8D7F85}" done="1">
    <text>Tried to clarify in this row that we are here including all women in the SP group (so also the ones born on the 31st).</text>
  </threadedComment>
  <threadedComment ref="D2096" dT="2024-01-19T12:20:35.72" personId="{E08A2389-F34B-466D-8AA1-6ADBBDF0F7BF}" id="{93324617-1280-4247-AC1B-40C14FCCFEE9}" parentId="{88CE612D-DE98-4E0C-8E7E-2C21CC8D7F85}">
    <text>I understand</text>
  </threadedComment>
  <threadedComment ref="A2097" dT="2023-09-11T15:56:11.89" personId="{3DE5673D-4837-4FC9-B8B9-34243175713A}" id="{25440DC3-C4BF-42C2-8E13-C57129EB82A9}" done="1">
    <text>Not quite sure if we need these data???</text>
  </threadedComment>
  <threadedComment ref="A2097" dT="2023-12-21T09:26:46.28" personId="{E08A2389-F34B-466D-8AA1-6ADBBDF0F7BF}" id="{BEE87848-448E-46A9-A0E1-2F5E87B6BC65}" parentId="{25440DC3-C4BF-42C2-8E13-C57129EB82A9}">
    <text>Hi Julia,
I don't understand/can't find the 'adjusted for size' info, so need to talk this through with you before I check these ones.</text>
  </threadedComment>
  <threadedComment ref="A2097" dT="2024-01-17T13:05:32.60" personId="{3DE5673D-4837-4FC9-B8B9-34243175713A}" id="{84DF530F-40A1-4535-AE46-30554602800A}" parentId="{25440DC3-C4BF-42C2-8E13-C57129EB82A9}">
    <text>Well, Frisell 1989 only say "Total CP (corrected for size)" in Table 5, but they have talked in the 'Methods' bit about excluding SP women born on the 31st "to simplify the numerical comparisons".
I understood that 
19,813 SP women born 1-10 were matched with 19,943 CP women born 11-20 AND
19,351 SP women born 21-30 were matched with 19,859 CP women born 11-20 (see Table 2 and Fig 1).
They seem to have excluded the 1,154 SP women born on the 31st and report their results separately in brackets in Table 5.
The number of new stage II+ cancer cases per year after randomisation reported in Table 6 adds up to the total number reported in Table 5 (143 for SP and 150 for CP), so I was assuming we could use these?
The number of all new cancer cases reported in Table 6 adds up to the total number reported in Table 5 for CP (257) but is out by 1 for SP (372 vs 371).</text>
  </threadedComment>
  <threadedComment ref="A2097" dT="2024-01-19T12:19:48.72" personId="{E08A2389-F34B-466D-8AA1-6ADBBDF0F7BF}" id="{1B99B213-76D6-4EFE-98EA-57DF1C0EFD62}" parentId="{25440DC3-C4BF-42C2-8E13-C57129EB82A9}">
    <text>It's the "corrected" bit that I can't get my head around. Corrected how? Does it mean that the 257 is not the actual number of cancers?</text>
  </threadedComment>
  <threadedComment ref="A2097" dT="2024-01-19T12:39:16.59" personId="{E08A2389-F34B-466D-8AA1-6ADBBDF0F7BF}" id="{8F26F98B-0A12-47CA-AC6B-9CA173C06F7A}" parentId="{25440DC3-C4BF-42C2-8E13-C57129EB82A9}">
    <text>Why do you think we don't need these data?</text>
  </threadedComment>
  <threadedComment ref="A2097" dT="2024-01-19T15:12:32.18" personId="{3DE5673D-4837-4FC9-B8B9-34243175713A}" id="{F7725E8E-BBD1-4812-A45C-3DD62D56EF30}" parentId="{25440DC3-C4BF-42C2-8E13-C57129EB82A9}">
    <text>I think we need this data if we can figure out how they were calculated?
I tried to explain what I think they did in the "Notes" cell.</text>
  </threadedComment>
  <threadedComment ref="D2097" dT="2024-01-18T14:39:57.23" personId="{3DE5673D-4837-4FC9-B8B9-34243175713A}" id="{F408EBF4-BDFA-438B-BC05-96C594E1055B}" done="1">
    <text>I tried to clarify which women the reported outcome includes.</text>
  </threadedComment>
  <threadedComment ref="D2097" dT="2024-01-19T12:21:37.75" personId="{E08A2389-F34B-466D-8AA1-6ADBBDF0F7BF}" id="{BC68E7E8-8E7D-413B-AC55-B25743611C9C}" parentId="{F408EBF4-BDFA-438B-BC05-96C594E1055B}">
    <text>Looks good to me (excluding that I have no idea how they 'corrected' the sample size!)</text>
  </threadedComment>
  <threadedComment ref="AG2097" dT="2024-01-19T12:22:18.51" personId="{E08A2389-F34B-466D-8AA1-6ADBBDF0F7BF}" id="{ED658547-2A39-4E00-82D2-D8F90D216E28}" done="1">
    <text>Looks good to me (whole column)</text>
  </threadedComment>
  <threadedComment ref="AH2097" dT="2024-01-19T12:29:01.63" personId="{E08A2389-F34B-466D-8AA1-6ADBBDF0F7BF}" id="{0B5DE418-DD5E-49F3-95BE-1C0F362FB9B1}" done="1">
    <text>agreed</text>
  </threadedComment>
  <threadedComment ref="AL2097" dT="2024-01-19T12:28:31.48" personId="{E08A2389-F34B-466D-8AA1-6ADBBDF0F7BF}" id="{E17F388C-04C2-4E65-A2FC-0A68D2AD0B16}" done="1">
    <text>agreed</text>
  </threadedComment>
  <threadedComment ref="BG2097" dT="2024-01-19T12:30:17.45" personId="{E08A2389-F34B-466D-8AA1-6ADBBDF0F7BF}" id="{9C4827C7-40DA-4A4A-A9B3-7F173ED1E634}" done="1">
    <text>Agree for whole column</text>
  </threadedComment>
  <threadedComment ref="A2098" dT="2023-09-11T15:56:11.89" personId="{3DE5673D-4837-4FC9-B8B9-34243175713A}" id="{C05283D3-4475-4B63-BF38-AD26333E238C}" done="1">
    <text>Not quite sure if we need these data???</text>
  </threadedComment>
  <threadedComment ref="D2098" dT="2024-01-18T14:39:57.23" personId="{3DE5673D-4837-4FC9-B8B9-34243175713A}" id="{B926F356-69DB-44F7-B4B6-6ACF18CB5971}" done="1">
    <text>I tried to clarify which women the reported outcome includes.</text>
  </threadedComment>
  <threadedComment ref="D2098" dT="2024-01-19T12:21:48.93" personId="{E08A2389-F34B-466D-8AA1-6ADBBDF0F7BF}" id="{8AF22F9B-7A7F-414E-A029-2DEC91BF2325}" parentId="{B926F356-69DB-44F7-B4B6-6ACF18CB5971}">
    <text>Looks good to me (whole column)</text>
  </threadedComment>
  <threadedComment ref="AL2098" dT="2024-01-19T12:28:38.28" personId="{E08A2389-F34B-466D-8AA1-6ADBBDF0F7BF}" id="{CB81660E-9373-448C-95B6-ABD235C0C1F0}" done="1">
    <text>agreed</text>
  </threadedComment>
  <threadedComment ref="A2099" dT="2023-09-11T15:56:11.89" personId="{3DE5673D-4837-4FC9-B8B9-34243175713A}" id="{EB2815DA-FDBC-43B5-960F-CC02243C7030}" done="1">
    <text>Not quite sure if we need these data???</text>
  </threadedComment>
  <threadedComment ref="AL2099" dT="2024-01-19T12:28:43.84" personId="{E08A2389-F34B-466D-8AA1-6ADBBDF0F7BF}" id="{CA86215E-077B-4C1D-90E6-4F179D566016}" done="1">
    <text>Agreed</text>
  </threadedComment>
  <threadedComment ref="A2100" dT="2023-09-11T15:56:11.89" personId="{3DE5673D-4837-4FC9-B8B9-34243175713A}" id="{481F08F1-151E-47CB-BC4F-31054D84B9D5}" done="1">
    <text>Not quite sure if we need these data???</text>
  </threadedComment>
  <threadedComment ref="AL2100" dT="2024-01-19T12:28:43.84" personId="{E08A2389-F34B-466D-8AA1-6ADBBDF0F7BF}" id="{BB46D78C-B827-48DE-B0B7-7A7063118DD1}" done="1">
    <text>Agreed</text>
  </threadedComment>
  <threadedComment ref="A2101" dT="2023-09-11T15:56:11.89" personId="{3DE5673D-4837-4FC9-B8B9-34243175713A}" id="{C1CF9406-3417-44DC-B29D-0403B1B250CB}" done="1">
    <text>Not quite sure if we need these data???</text>
  </threadedComment>
  <threadedComment ref="AL2101" dT="2024-01-19T12:28:43.84" personId="{E08A2389-F34B-466D-8AA1-6ADBBDF0F7BF}" id="{5CE785C9-2E48-43C7-984F-6BEEF0F327B8}" done="1">
    <text>Agreed</text>
  </threadedComment>
  <threadedComment ref="A2102" dT="2023-09-11T15:56:11.89" personId="{3DE5673D-4837-4FC9-B8B9-34243175713A}" id="{449CD505-E073-42F8-91D5-ED707E78B07F}" done="1">
    <text>Not quite sure if we need these data???</text>
  </threadedComment>
  <threadedComment ref="AL2102" dT="2024-01-19T12:28:43.84" personId="{E08A2389-F34B-466D-8AA1-6ADBBDF0F7BF}" id="{36BBAA55-A81C-4452-970D-886A0F1445B5}" done="1">
    <text>Agreed</text>
  </threadedComment>
  <threadedComment ref="A2103" dT="2023-09-11T15:56:11.89" personId="{3DE5673D-4837-4FC9-B8B9-34243175713A}" id="{58DDF06A-B126-4286-9A0D-2E504ED1F96D}" done="1">
    <text>Not quite sure if we need these data???</text>
  </threadedComment>
  <threadedComment ref="AL2103" dT="2024-01-19T12:28:43.84" personId="{E08A2389-F34B-466D-8AA1-6ADBBDF0F7BF}" id="{1094920B-826F-458C-806F-37B6AB683BBC}" done="1">
    <text>Agreed</text>
  </threadedComment>
  <threadedComment ref="A2104" dT="2023-09-11T15:56:11.89" personId="{3DE5673D-4837-4FC9-B8B9-34243175713A}" id="{5B9CB7C3-690D-4D5F-8827-8641B1C0AF0E}" done="1">
    <text>Not quite sure if we need these data???</text>
  </threadedComment>
  <threadedComment ref="AL2104" dT="2024-01-19T12:28:43.84" personId="{E08A2389-F34B-466D-8AA1-6ADBBDF0F7BF}" id="{67D019C6-A5A4-43C4-A14A-356AD35B464E}" done="1">
    <text>Agreed</text>
  </threadedComment>
  <threadedComment ref="A2105" dT="2023-09-11T15:56:11.89" personId="{3DE5673D-4837-4FC9-B8B9-34243175713A}" id="{0B21FD5A-47C2-4BD2-AB6A-1F1FDA79F884}" done="1">
    <text>Not quite sure if we need these data???</text>
  </threadedComment>
  <threadedComment ref="AL2105" dT="2024-01-19T12:28:43.84" personId="{E08A2389-F34B-466D-8AA1-6ADBBDF0F7BF}" id="{51BF5470-5962-489E-92F0-1CC751543056}" done="1">
    <text>Agreed</text>
  </threadedComment>
  <threadedComment ref="A2106" dT="2023-09-11T15:56:11.89" personId="{3DE5673D-4837-4FC9-B8B9-34243175713A}" id="{03074956-7D98-4734-B0F6-02BC7E322F2A}" done="1">
    <text>Not quite sure if we need these data???</text>
  </threadedComment>
  <threadedComment ref="AL2106" dT="2024-01-19T12:28:43.84" personId="{E08A2389-F34B-466D-8AA1-6ADBBDF0F7BF}" id="{1B3F9D93-7465-475E-8E61-047A8CE8E028}" done="1">
    <text>Agreed</text>
  </threadedComment>
  <threadedComment ref="D2107" dT="2024-01-19T12:31:24.70" personId="{E08A2389-F34B-466D-8AA1-6ADBBDF0F7BF}" id="{BEFA8908-1686-4199-B916-9BAEEF30973C}" done="1">
    <text>Agree with all this</text>
  </threadedComment>
  <threadedComment ref="AK2107" dT="2023-12-21T09:49:20.47" personId="{E08A2389-F34B-466D-8AA1-6ADBBDF0F7BF}" id="{7EB3C945-BFE8-40E8-AA74-A5948FD806C5}" done="1">
    <text>Throughout this file … I don't know where this number comes from.</text>
  </threadedComment>
  <threadedComment ref="AK2107" dT="2024-01-17T14:11:36.95" personId="{3DE5673D-4837-4FC9-B8B9-34243175713A}" id="{D6BBC191-4D73-4932-A9B6-1FF1E5B36BA5}" parentId="{7EB3C945-BFE8-40E8-AA74-A5948FD806C5}">
    <text>40,318 minus 1,154 (born on the 31st were also offered mammography but were excluded from the SP in order to simplify the numerical comparisons) = 39,164.
Or Table 1:
19,813 (DoB 1-10) +  19,351 (DoB 21-30) = 39,164.</text>
  </threadedComment>
  <threadedComment ref="AK2107" dT="2024-01-19T12:33:06.24" personId="{E08A2389-F34B-466D-8AA1-6ADBBDF0F7BF}" id="{E6D185EE-4426-4A71-BC28-05CC44A64711}" parentId="{7EB3C945-BFE8-40E8-AA74-A5948FD806C5}">
    <text>I understand</text>
  </threadedComment>
  <threadedComment ref="AL2107" dT="2024-01-19T12:35:31.19" personId="{E08A2389-F34B-466D-8AA1-6ADBBDF0F7BF}" id="{26675522-8C37-4949-AB48-76D94635CA52}" done="1">
    <text>agreed</text>
  </threadedComment>
  <threadedComment ref="BG2107" dT="2023-12-21T09:35:48.35" personId="{E08A2389-F34B-466D-8AA1-6ADBBDF0F7BF}" id="{E6481988-566A-49AB-AC87-0374576CB9D8}">
    <text>I don't understand/can't see an explanation of what they've done here.</text>
  </threadedComment>
  <threadedComment ref="BG2107" dT="2024-01-17T14:08:41.15" personId="{3DE5673D-4837-4FC9-B8B9-34243175713A}" id="{9A891239-A165-4F2D-A35C-A88C81E501BF}" parentId="{E6481988-566A-49AB-AC87-0374576CB9D8}">
    <text>I thought it is the same as in Frisell 1991:
"Women born on the 31st were also offered mammography but were excluded from the
SP in order to simplify the numerical comparisons."
"The control women were matched to the screened
women, those born on the llth being matched with
SP women born on the 1st and 21st, and so on."
Table 1 then reports the resulting numbers for both groups.
The CP group now seems to contain 19,943+19,859 women (so 39,802).</text>
  </threadedComment>
  <threadedComment ref="BG2107" dT="2024-01-19T12:31:45.84" personId="{E08A2389-F34B-466D-8AA1-6ADBBDF0F7BF}" id="{1DC21AEA-5A16-4CDE-948C-86D2E16B3925}" parentId="{E6481988-566A-49AB-AC87-0374576CB9D8}">
    <text>I understand.</text>
  </threadedComment>
  <threadedComment ref="AL2108" dT="2024-01-19T12:35:31.19" personId="{E08A2389-F34B-466D-8AA1-6ADBBDF0F7BF}" id="{9F130322-7117-4673-8FA4-8399757F19D0}" done="1">
    <text>agreed</text>
  </threadedComment>
  <threadedComment ref="AL2109" dT="2024-01-19T12:35:31.19" personId="{E08A2389-F34B-466D-8AA1-6ADBBDF0F7BF}" id="{D7153E05-C01E-4703-AA4D-09B65B4EE2FB}" done="1">
    <text>agreed</text>
  </threadedComment>
  <threadedComment ref="AL2110" dT="2024-01-19T12:35:31.19" personId="{E08A2389-F34B-466D-8AA1-6ADBBDF0F7BF}" id="{36A7159A-CF48-46AD-ADA5-141F4B7F932F}" done="1">
    <text>agreed</text>
  </threadedComment>
  <threadedComment ref="AL2112" dT="2024-01-19T12:35:31.19" personId="{E08A2389-F34B-466D-8AA1-6ADBBDF0F7BF}" id="{596FB99D-AB18-4884-927C-7D17B8539857}" done="1">
    <text>agreed</text>
  </threadedComment>
  <threadedComment ref="AL2113" dT="2024-01-19T12:35:31.19" personId="{E08A2389-F34B-466D-8AA1-6ADBBDF0F7BF}" id="{7D49A627-0762-4EB4-8216-5C00285549EE}" done="1">
    <text>agreed</text>
  </threadedComment>
  <threadedComment ref="AL2114" dT="2024-01-19T12:35:31.19" personId="{E08A2389-F34B-466D-8AA1-6ADBBDF0F7BF}" id="{E8780D38-31D0-484C-B3C6-ACF25B9DAA7B}" done="1">
    <text>agreed</text>
  </threadedComment>
  <threadedComment ref="AJ2115" dT="2023-12-21T09:40:25.04" personId="{E08A2389-F34B-466D-8AA1-6ADBBDF0F7BF}" id="{A4B491A3-0DB0-42A4-9117-EC78094847DC}" done="1">
    <text>N = 3
Stage 2 n = 2
Stage 3-4 n = 1</text>
  </threadedComment>
  <threadedComment ref="AJ2115" dT="2024-01-17T13:41:17.80" personId="{3DE5673D-4837-4FC9-B8B9-34243175713A}" id="{3C2ECDAA-4974-4B3A-9F7D-5E1699A62963}" parentId="{A4B491A3-0DB0-42A4-9117-EC78094847DC}">
    <text>Corrected.</text>
  </threadedComment>
  <threadedComment ref="AL2115" dT="2024-01-19T12:35:31.19" personId="{E08A2389-F34B-466D-8AA1-6ADBBDF0F7BF}" id="{378B68FB-89C4-4B58-AC07-47FC9E34E5AB}" done="1">
    <text>agreed</text>
  </threadedComment>
  <threadedComment ref="AS2115" dT="2023-12-21T09:43:13.94" personId="{E08A2389-F34B-466D-8AA1-6ADBBDF0F7BF}" id="{6036877F-8FFB-44B5-AFB8-0BC0ACC1DAB3}" done="1">
    <text xml:space="preserve">0.77
3*10000/	39164 = 0.76601
</text>
  </threadedComment>
  <threadedComment ref="AS2115" dT="2024-01-17T13:41:39.50" personId="{3DE5673D-4837-4FC9-B8B9-34243175713A}" id="{FA034CC7-ACBD-4609-AD6A-FDBC64297A39}" parentId="{6036877F-8FFB-44B5-AFB8-0BC0ACC1DAB3}">
    <text>Agree.</text>
  </threadedComment>
  <threadedComment ref="AX2115" dT="2023-12-21T09:44:44.33" personId="{E08A2389-F34B-466D-8AA1-6ADBBDF0F7BF}" id="{45C4173A-6827-47AC-91AC-1876F067BA64}" done="1">
    <text xml:space="preserve">3
2.298/0.766
</text>
  </threadedComment>
  <threadedComment ref="AX2115" dT="2024-01-17T13:41:58.91" personId="{3DE5673D-4837-4FC9-B8B9-34243175713A}" id="{9A66E771-A686-4C80-BCF6-EB1727C079F0}" parentId="{45C4173A-6827-47AC-91AC-1876F067BA64}">
    <text>Agree.</text>
  </threadedComment>
  <threadedComment ref="AL2116" dT="2024-01-19T12:35:31.19" personId="{E08A2389-F34B-466D-8AA1-6ADBBDF0F7BF}" id="{5ED836FC-D023-4BB4-BFCC-314FCABD5ED4}" done="1">
    <text>agreed</text>
  </threadedComment>
  <threadedComment ref="AL2117" dT="2024-01-19T12:35:31.19" personId="{E08A2389-F34B-466D-8AA1-6ADBBDF0F7BF}" id="{77BEE244-755E-4278-8398-01B46834B2A5}" done="1">
    <text>agreed</text>
  </threadedComment>
  <threadedComment ref="AL2118" dT="2024-01-19T12:35:31.19" personId="{E08A2389-F34B-466D-8AA1-6ADBBDF0F7BF}" id="{93A54EF8-5F87-453B-AA34-A6257FF1F62E}" done="1">
    <text>agreed</text>
  </threadedComment>
  <threadedComment ref="AL2119" dT="2024-01-19T12:35:31.19" personId="{E08A2389-F34B-466D-8AA1-6ADBBDF0F7BF}" id="{BEB656E8-9E31-4578-AC53-CB9D4CA1A84C}" done="1">
    <text>agreed</text>
  </threadedComment>
  <threadedComment ref="AL2120" dT="2024-01-19T12:35:31.19" personId="{E08A2389-F34B-466D-8AA1-6ADBBDF0F7BF}" id="{F115BCA5-736E-49AD-B324-30FAD0CCF251}" done="1">
    <text>agreed</text>
  </threadedComment>
  <threadedComment ref="AL2121" dT="2024-01-19T12:35:31.19" personId="{E08A2389-F34B-466D-8AA1-6ADBBDF0F7BF}" id="{05787FAE-5233-4C7E-8ADA-E14C4A41DABA}" done="1">
    <text>agreed</text>
  </threadedComment>
  <threadedComment ref="AL2122" dT="2024-01-19T12:35:31.19" personId="{E08A2389-F34B-466D-8AA1-6ADBBDF0F7BF}" id="{785A127A-45ED-4BC1-A2C2-352D7A7BDB9B}" done="1">
    <text>agreed</text>
  </threadedComment>
  <threadedComment ref="AL2123" dT="2024-01-19T12:35:31.19" personId="{E08A2389-F34B-466D-8AA1-6ADBBDF0F7BF}" id="{DBF91179-EA66-4206-805F-9110940FC332}" done="1">
    <text>agreed</text>
  </threadedComment>
  <threadedComment ref="AL2124" dT="2024-01-19T12:35:31.19" personId="{E08A2389-F34B-466D-8AA1-6ADBBDF0F7BF}" id="{297756FF-B9B6-4F17-A805-D52B3B4463E4}" done="1">
    <text>agreed</text>
  </threadedComment>
  <threadedComment ref="AL2125" dT="2024-01-19T12:35:31.19" personId="{E08A2389-F34B-466D-8AA1-6ADBBDF0F7BF}" id="{944E25D1-1370-442D-AA83-B3EB69BC38AA}" done="1">
    <text>agreed</text>
  </threadedComment>
  <threadedComment ref="AL2126" dT="2024-01-19T12:35:31.19" personId="{E08A2389-F34B-466D-8AA1-6ADBBDF0F7BF}" id="{2FB45D5E-9CC0-4DF6-94E4-CD5A812159EE}" done="1">
    <text>agreed</text>
  </threadedComment>
  <threadedComment ref="AL2127" dT="2024-01-19T12:35:31.19" personId="{E08A2389-F34B-466D-8AA1-6ADBBDF0F7BF}" id="{56568030-EA66-41B1-9875-4B0073C58A84}" done="1">
    <text>agreed</text>
  </threadedComment>
  <threadedComment ref="AL2128" dT="2024-01-19T12:35:31.19" personId="{E08A2389-F34B-466D-8AA1-6ADBBDF0F7BF}" id="{5B92113A-7AE3-4F24-8786-0A531E54247A}" done="1">
    <text>agreed</text>
  </threadedComment>
  <threadedComment ref="AL2129" dT="2024-01-19T12:35:31.19" personId="{E08A2389-F34B-466D-8AA1-6ADBBDF0F7BF}" id="{305BA75B-5A8E-4412-9757-2B0403DD8BB6}" done="1">
    <text>agreed</text>
  </threadedComment>
  <threadedComment ref="AL2130" dT="2024-01-19T12:35:31.19" personId="{E08A2389-F34B-466D-8AA1-6ADBBDF0F7BF}" id="{5BB64AED-5687-42CB-BA85-D18946E3ED28}" done="1">
    <text>agreed</text>
  </threadedComment>
  <threadedComment ref="AL2131" dT="2024-01-19T12:35:31.19" personId="{E08A2389-F34B-466D-8AA1-6ADBBDF0F7BF}" id="{E7EFADC9-8DDB-4AA0-B828-2EA293540CDF}" done="1">
    <text>agreed</text>
  </threadedComment>
  <threadedComment ref="D2132" dT="2023-12-21T10:17:18.80" personId="{E08A2389-F34B-466D-8AA1-6ADBBDF0F7BF}" id="{99874B65-5051-4E1D-B523-F54A3F23D145}">
    <text>Do we know this includes DCIS?</text>
  </threadedComment>
  <threadedComment ref="Y2132" dT="2023-12-21T10:00:57.37" personId="{E08A2389-F34B-466D-8AA1-6ADBBDF0F7BF}" id="{3DC07970-18A7-495B-943A-083503A15BA5}" done="1">
    <text>Why have the groups been combined?
I realise the control group gets screening at the end of the trial, but shouldn't the results be kept separate?
They aren't combined for #4366</text>
  </threadedComment>
  <threadedComment ref="Y2132" dT="2024-01-17T13:46:06.23" personId="{3DE5673D-4837-4FC9-B8B9-34243175713A}" id="{8306B496-4EB9-4DD9-87FD-2C23BDF38700}" parentId="{3DC07970-18A7-495B-943A-083503A15BA5}">
    <text>Not sure what I did. Corrected to only include the number of women in the screening arm (14,842).</text>
  </threadedComment>
  <threadedComment ref="Y2132" dT="2024-01-19T12:34:16.38" personId="{E08A2389-F34B-466D-8AA1-6ADBBDF0F7BF}" id="{D58E589D-00B9-486A-A30F-851ECF5F6C1D}" parentId="{3DC07970-18A7-495B-943A-083503A15BA5}">
    <text>agreed</text>
  </threadedComment>
  <threadedComment ref="AG2132" dT="2024-01-17T13:52:03.29" personId="{3DE5673D-4837-4FC9-B8B9-34243175713A}" id="{770E57B7-F39F-490F-95EE-EFDFB254766C}" done="1">
    <text>Clarified numerator by adding "in women aged 40-49 years".</text>
  </threadedComment>
  <threadedComment ref="AH2132" dT="2024-01-17T13:53:01.19" personId="{3DE5673D-4837-4FC9-B8B9-34243175713A}" id="{E24FC4DB-920C-4256-8668-DC5CB5324732}" done="1">
    <text>Clarified denominator by adding "aged 40-49 years".</text>
  </threadedComment>
  <threadedComment ref="AK2132" dT="2024-01-17T13:47:01.50" personId="{3DE5673D-4837-4FC9-B8B9-34243175713A}" id="{E78D5687-C68D-47BE-83C9-FECC2917A70C}" done="1">
    <text>Corrected from 21,945 to 14,842.</text>
  </threadedComment>
  <threadedComment ref="AK2132" dT="2024-01-19T12:34:24.95" personId="{E08A2389-F34B-466D-8AA1-6ADBBDF0F7BF}" id="{6350C014-5CA0-4DFD-8769-8CA5E7580C00}" parentId="{E78D5687-C68D-47BE-83C9-FECC2917A70C}">
    <text>agreed</text>
  </threadedComment>
  <threadedComment ref="AG2133" dT="2024-01-17T13:52:28.63" personId="{3DE5673D-4837-4FC9-B8B9-34243175713A}" id="{57F516F2-E151-469F-AA84-6866AE6D75DD}" done="1">
    <text>Clarified numerator by adding "(women aged 40-49 years)".</text>
  </threadedComment>
  <threadedComment ref="AH2133" dT="2024-01-17T13:53:21.40" personId="{3DE5673D-4837-4FC9-B8B9-34243175713A}" id="{A150779E-9C09-4C65-BF4C-88D752C5C650}" done="1">
    <text>Clarified denominator by adding "(women aged 40-49 years)".</text>
  </threadedComment>
  <threadedComment ref="A2138" dT="2024-01-17T14:03:09.65" personId="{3DE5673D-4837-4FC9-B8B9-34243175713A}" id="{1C9AB708-7ACF-4A69-953C-43F3A14E1DC0}" done="1">
    <text>Added that outcome as I think Nefeli wanted to combine stage I and CIS for surrogate 4.</text>
  </threadedComment>
  <threadedComment ref="A2138" dT="2024-01-19T12:52:16.61" personId="{E08A2389-F34B-466D-8AA1-6ADBBDF0F7BF}" id="{41359196-1363-4DD6-9598-4551E71B1C60}" parentId="{1C9AB708-7ACF-4A69-953C-43F3A14E1DC0}">
    <text>I agree with this row</text>
  </threadedComment>
  <threadedComment ref="AI2139" dT="2023-09-12T11:56:05.02" personId="{3DE5673D-4837-4FC9-B8B9-34243175713A}" id="{BAE7BA7D-6C45-4793-B938-5C6326A82A7F}" done="1">
    <text>#4368 reports 224 stage I invasive cancers in a smaller number of women???</text>
  </threadedComment>
  <threadedComment ref="AI2139" dT="2023-12-21T10:26:42.50" personId="{E08A2389-F34B-466D-8AA1-6ADBBDF0F7BF}" id="{109D37A5-3D6D-4407-B859-847A9F14595C}" parentId="{BAE7BA7D-6C45-4793-B938-5C6326A82A7F}">
    <text>Agreed. While the totals are the same, all of the stage data are different between the two papers.</text>
  </threadedComment>
  <threadedComment ref="AI2139" dT="2023-12-21T10:26:58.93" personId="{E08A2389-F34B-466D-8AA1-6ADBBDF0F7BF}" id="{DF549183-9E4E-40BE-A3F9-86E21DE0270E}" parentId="{BAE7BA7D-6C45-4793-B938-5C6326A82A7F}">
    <text>The only thing I could see which might explain it is…
"To assure completeness of
the followup, all breast cancer cases were also
checked against the official population registers
and a computerised register covering 95% of the
patients in care in the Stockholm region."
Perhaps the cancers had been reassessed and some restaged (quality assurance)? But I'm guessing.</text>
  </threadedComment>
  <threadedComment ref="AI2140" dT="2023-09-12T11:56:05.02" personId="{3DE5673D-4837-4FC9-B8B9-34243175713A}" id="{A41AA393-EB96-462A-9086-3025024BEC79}" done="1">
    <text>#4368 reports 224 stage I invasive cancers in a smaller number of women???</text>
  </threadedComment>
  <threadedComment ref="AI2140" dT="2023-12-21T10:26:42.50" personId="{E08A2389-F34B-466D-8AA1-6ADBBDF0F7BF}" id="{96197A99-403B-4746-AF1D-A12DF275062B}" parentId="{A41AA393-EB96-462A-9086-3025024BEC79}">
    <text>Agreed. While the totals are the same, all of the stage data are different between the two papers.</text>
  </threadedComment>
  <threadedComment ref="AI2140" dT="2023-12-21T10:26:58.93" personId="{E08A2389-F34B-466D-8AA1-6ADBBDF0F7BF}" id="{7B0A0E77-CA01-46B6-8FF7-4AAF67F24DC2}" parentId="{A41AA393-EB96-462A-9086-3025024BEC79}">
    <text>The only thing I could see which might explain it is…
"To assure completeness of
the followup, all breast cancer cases were also
checked against the official population registers
and a computerised register covering 95% of the
patients in care in the Stockholm region."
Perhaps the cancers had been reassessed and some restaged (quality assurance)? But I'm guessing.</text>
  </threadedComment>
  <threadedComment ref="AI2141" dT="2023-12-21T10:29:52.82" personId="{E08A2389-F34B-466D-8AA1-6ADBBDF0F7BF}" id="{EE0F800B-D211-49DA-B1BE-0AF55711D182}" done="1">
    <text xml:space="preserve">139 in #4368 </text>
  </threadedComment>
  <threadedComment ref="AI2142" dT="2023-09-12T11:59:15.50" personId="{3DE5673D-4837-4FC9-B8B9-34243175713A}" id="{55502484-719E-4A32-9941-A91D0AE95C93}" done="1">
    <text>#4368 reports 34 stage III-IV cancers in a smaller number of women though???</text>
  </threadedComment>
  <threadedComment ref="D2144" dT="2024-01-17T13:58:32.50" personId="{3DE5673D-4837-4FC9-B8B9-34243175713A}" id="{945E4A2E-1536-476A-9DD8-BEE8043485E6}" done="1">
    <text>Added "(invasive + CIS)" for clarification.</text>
  </threadedComment>
  <threadedComment ref="D2144" dT="2024-01-19T12:52:32.55" personId="{E08A2389-F34B-466D-8AA1-6ADBBDF0F7BF}" id="{FB6952E5-FBAD-4B1D-9CBB-292A7812F26E}" parentId="{945E4A2E-1536-476A-9DD8-BEE8043485E6}">
    <text>agreed</text>
  </threadedComment>
  <threadedComment ref="AH2144" dT="2023-09-12T11:54:47.92" personId="{3DE5673D-4837-4FC9-B8B9-34243175713A}" id="{3ED0BAC0-669F-442B-AF53-0BAAF0AC24D0}" done="1">
    <text>Should the denominator be number of invasive cancers+ CIS or just invasive cancers?</text>
  </threadedComment>
  <threadedComment ref="AH2144" dT="2023-12-21T10:31:18.15" personId="{E08A2389-F34B-466D-8AA1-6ADBBDF0F7BF}" id="{2DC976BB-37B6-4E2F-9362-B5FFF0C5ACAA}" parentId="{3ED0BAC0-669F-442B-AF53-0BAAF0AC24D0}">
    <text>I think it was decided it should be both.</text>
  </threadedComment>
  <threadedComment ref="AH2144" dT="2024-01-17T13:56:20.81" personId="{3DE5673D-4837-4FC9-B8B9-34243175713A}" id="{E419CCC8-8187-4B38-A169-93F2C8A60C07}" parentId="{3ED0BAC0-669F-442B-AF53-0BAAF0AC24D0}">
    <text>Agree, we decided we wanted both outcomes. Added it in the row below. Please check!</text>
  </threadedComment>
  <threadedComment ref="AH2144" dT="2024-01-19T12:52:55.32" personId="{E08A2389-F34B-466D-8AA1-6ADBBDF0F7BF}" id="{F8125C38-8D48-4473-A2F8-E913B8354013}" parentId="{3ED0BAC0-669F-442B-AF53-0BAAF0AC24D0}">
    <text>Will do!</text>
  </threadedComment>
  <threadedComment ref="A2145" dT="2024-01-18T16:55:37.58" personId="{3DE5673D-4837-4FC9-B8B9-34243175713A}" id="{86CEF993-9797-4751-9273-CCF675791FB1}" done="1">
    <text>Added surrogate 3 with invasive cancers as denominator.</text>
  </threadedComment>
  <threadedComment ref="A2145" dT="2024-01-19T12:55:22.18" personId="{E08A2389-F34B-466D-8AA1-6ADBBDF0F7BF}" id="{0B0B2256-91A7-4B58-8955-8FF7A167666A}" parentId="{86CEF993-9797-4751-9273-CCF675791FB1}">
    <text>I agree with this row</text>
  </threadedComment>
  <threadedComment ref="D2146" dT="2023-10-13T09:17:19.96" personId="{3DE5673D-4837-4FC9-B8B9-34243175713A}" id="{31DCA8DC-9A35-41D2-8534-818DA4F58DCC}">
    <text xml:space="preserve">Would be good to give more information in this column as this is where the row freezes when scrolling more to the right.
Just put enough information in to know which results this row is reporting.
</text>
  </threadedComment>
  <threadedComment ref="AI2147" dT="2023-10-06T09:42:41.45" personId="{3DE5673D-4837-4FC9-B8B9-34243175713A}" id="{EBB6C298-2CBA-4943-B3F7-96ABE4D44083}" done="1">
    <text>Typo in table?</text>
  </threadedComment>
  <threadedComment ref="AI2147" dT="2023-10-26T13:41:42.59" personId="{CE811150-85E8-49D4-9C90-18806B514541}" id="{FF111FC4-4BFF-4E1D-99C9-616192E101DE}" parentId="{EBB6C298-2CBA-4943-B3F7-96ABE4D44083}">
    <text>I've checked and the other rows add up to the total, so I have back-calculated to get 1830. This works if you back-calculate across and by the column so I think correct</text>
  </threadedComment>
  <threadedComment ref="AI2163" dT="2023-10-06T09:42:41.45" personId="{3DE5673D-4837-4FC9-B8B9-34243175713A}" id="{C20BBBC1-C11A-43DF-8A3E-9A748B96809F}" done="1">
    <text>Typo in table?</text>
  </threadedComment>
  <threadedComment ref="AI2163" dT="2023-10-26T13:43:25.10" personId="{CE811150-85E8-49D4-9C90-18806B514541}" id="{4528527F-D826-422C-8F82-4A3228E26A09}" parentId="{C20BBBC1-C11A-43DF-8A3E-9A748B96809F}">
    <text>See above</text>
  </threadedComment>
  <threadedComment ref="S2273" dT="2023-10-10T09:39:55.78" personId="{3DE5673D-4837-4FC9-B8B9-34243175713A}" id="{8BA51DDA-2E28-44BA-8718-C9E9FFCFB97D}">
    <text>Median higher than 75th percentile?</text>
  </threadedComment>
  <threadedComment ref="S2273" dT="2023-10-26T15:11:28.25" personId="{CE811150-85E8-49D4-9C90-18806B514541}" id="{9EE89565-9DCB-4EBC-B1FC-9768A5CE10E3}" parentId="{8BA51DDA-2E28-44BA-8718-C9E9FFCFB97D}">
    <text>Yep, looks like an error</text>
  </threadedComment>
  <threadedComment ref="S2276" dT="2023-10-10T09:41:59.48" personId="{3DE5673D-4837-4FC9-B8B9-34243175713A}" id="{4AD3E4A3-1ADF-4AB1-A12A-E804B199290B}">
    <text>Median higher than 75th percentile???</text>
  </threadedComment>
  <threadedComment ref="S2276" dT="2023-10-26T15:12:51.98" personId="{CE811150-85E8-49D4-9C90-18806B514541}" id="{710DD400-94A2-4310-8459-B37F07EDB5B0}" parentId="{4AD3E4A3-1ADF-4AB1-A12A-E804B199290B}">
    <text>Maybe we should delete IQR if not reliable?</text>
  </threadedComment>
  <threadedComment ref="S2284" dT="2023-10-10T09:39:55.78" personId="{3DE5673D-4837-4FC9-B8B9-34243175713A}" id="{C7B785CE-316C-4859-85A6-6400CA4B88A1}">
    <text>Median higher than 75th percentile?</text>
  </threadedComment>
  <threadedComment ref="S2287" dT="2023-10-10T09:41:59.48" personId="{3DE5673D-4837-4FC9-B8B9-34243175713A}" id="{ACF6FE3C-6653-4421-A55B-5497C88406CB}" done="1">
    <text>Median higher than 75th percentile???</text>
  </threadedComment>
  <threadedComment ref="AI2288" dT="2023-10-26T15:23:06.39" personId="{CE811150-85E8-49D4-9C90-18806B514541}" id="{F57B6EB3-A690-419E-9704-6508E8B6FF12}" done="1">
    <text>There was a typo in your formula - should 336 (Table 1)</text>
  </threadedComment>
  <threadedComment ref="AI2288" dT="2023-11-03T13:24:27.28" personId="{3DE5673D-4837-4FC9-B8B9-34243175713A}" id="{1D5C2BF8-9871-4992-A718-1D63EA59AD89}" parentId="{F57B6EB3-A690-419E-9704-6508E8B6FF12}">
    <text>Agree.</text>
  </threadedComment>
  <threadedComment ref="AI2291" dT="2023-10-26T15:26:36.86" personId="{CE811150-85E8-49D4-9C90-18806B514541}" id="{C287A551-50B5-4DF7-87B5-3BEF188BDADE}" done="1">
    <text>Corrected typo</text>
  </threadedComment>
  <threadedComment ref="D2308" dT="2023-10-06T16:41:21.27" personId="{3DE5673D-4837-4FC9-B8B9-34243175713A}" id="{99712688-A95A-4ED8-A1EC-974CCA7F9163}">
    <text xml:space="preserve">Would be good to give more information in this column as this is where the row freezes when scrolling more to the right.
Just put enough information in to know which results this row is reporting.
</text>
  </threadedComment>
  <threadedComment ref="AI2380" dT="2023-10-26T16:19:14.31" personId="{CE811150-85E8-49D4-9C90-18806B514541}" id="{7E703D60-A34A-4E2F-98BE-303BC30AE612}" done="1">
    <text>Corrected typo</text>
  </threadedComment>
  <threadedComment ref="BG2486" dT="2023-10-12T15:58:19.69" personId="{3DE5673D-4837-4FC9-B8B9-34243175713A}" id="{6B47284B-1D9E-4E1A-9628-E47E9FC3234E}" done="1">
    <text>Is this okay, or can't we use these data?</text>
  </threadedComment>
  <threadedComment ref="BG2487" dT="2023-10-12T15:58:19.69" personId="{3DE5673D-4837-4FC9-B8B9-34243175713A}" id="{C1464E50-4FF7-4AB3-8839-4F292E4EB18D}" done="1">
    <text>Is this okay, or can't we use these data?</text>
  </threadedComment>
  <threadedComment ref="BG2488" dT="2023-10-12T15:58:19.69" personId="{3DE5673D-4837-4FC9-B8B9-34243175713A}" id="{D7948A3E-2B8E-4158-A072-C9211F45F534}" done="1">
    <text>Is this okay, or can't we use these data?</text>
  </threadedComment>
  <threadedComment ref="BG2489" dT="2023-10-12T15:58:19.69" personId="{3DE5673D-4837-4FC9-B8B9-34243175713A}" id="{D5EC035E-3710-4E69-8ABB-6730E688B028}" done="1">
    <text>Is this okay, or can't we use these data?</text>
  </threadedComment>
  <threadedComment ref="BG2490" dT="2023-10-12T15:58:19.69" personId="{3DE5673D-4837-4FC9-B8B9-34243175713A}" id="{2B5C1F8F-6F06-42BD-BEA0-C24050C02BAF}" done="1">
    <text>Is this okay, or can't we use these data?</text>
  </threadedComment>
  <threadedComment ref="BG2491" dT="2023-10-12T15:58:19.69" personId="{3DE5673D-4837-4FC9-B8B9-34243175713A}" id="{D617884B-EE8F-4B81-9F28-E8BD28943FCD}" done="1">
    <text>Is this okay, or can't we use these data?</text>
  </threadedComment>
  <threadedComment ref="BG2492" dT="2023-10-12T15:58:19.69" personId="{3DE5673D-4837-4FC9-B8B9-34243175713A}" id="{E61A5A7A-960E-4FAA-9A55-ED14A1E927EA}" done="1">
    <text>Is this okay, or can't we use these data?</text>
  </threadedComment>
  <threadedComment ref="BG2493" dT="2023-10-12T15:58:19.69" personId="{3DE5673D-4837-4FC9-B8B9-34243175713A}" id="{064FAD0C-E38C-4785-BF14-2F0E27986B8B}" done="1">
    <text>Is this okay, or can't we use these data?</text>
  </threadedComment>
  <threadedComment ref="BG2494" dT="2023-10-12T15:58:19.69" personId="{3DE5673D-4837-4FC9-B8B9-34243175713A}" id="{3A07528A-CF7B-4ACC-956D-8F7183153787}" done="1">
    <text>Is this okay, or can't we use these data?</text>
  </threadedComment>
  <threadedComment ref="BG2495" dT="2023-10-12T15:58:19.69" personId="{3DE5673D-4837-4FC9-B8B9-34243175713A}" id="{676F9FDE-187B-44C3-91AB-0FDA7AFDEB6E}" done="1">
    <text>Is this okay, or can't we use these data?</text>
  </threadedComment>
  <threadedComment ref="D2496" dT="2023-10-13T09:17:37.23" personId="{3DE5673D-4837-4FC9-B8B9-34243175713A}" id="{32F0E931-3BC1-4236-9377-C843D1408263}">
    <text xml:space="preserve">Would be good to give more information in this column as this is where the row freezes when scrolling more to the right.
Just put enough information in to know which results this row is reporting.
</text>
  </threadedComment>
  <threadedComment ref="AH2534" dT="2023-10-06T11:09:55.01" personId="{3DE5673D-4837-4FC9-B8B9-34243175713A}" id="{D59290EA-3BCB-48E3-8BC9-EF7344D7C76E}">
    <text>The denominator for surrogate 1 or 4 is number of person years or, if we don't have that, number of people randomdised (or analysed) in arm.
Only surrogate 3 has total number of cancers as denominator.</text>
  </threadedComment>
  <threadedComment ref="AH2535" dT="2023-10-06T11:09:55.01" personId="{3DE5673D-4837-4FC9-B8B9-34243175713A}" id="{5EB278A5-FA15-4672-BC7B-FFD43DC90A86}">
    <text>The denominator for surrogate 1 or 4 is number of person years or, if we don't have that, number of people randomdised (or analysed) in arm.
Only surrogate 3 has total number of cancers as denominator.</text>
  </threadedComment>
  <threadedComment ref="AH2536" dT="2023-10-06T11:09:55.01" personId="{3DE5673D-4837-4FC9-B8B9-34243175713A}" id="{594C8CCF-8E0B-410B-B4E9-682FD30764A8}">
    <text>The denominator for surrogate 1 or 4 is number of person years or, if we don't have that, number of people randomdised (or analysed) in arm.
Only surrogate 3 has total number of cancers as denominator.</text>
  </threadedComment>
  <threadedComment ref="AH2538" dT="2023-10-06T11:09:55.01" personId="{3DE5673D-4837-4FC9-B8B9-34243175713A}" id="{B74C911C-54FA-4762-9073-034FE4240996}">
    <text>The denominator for surrogate 1 or 4 is number of person years or, if we don't have that, number of people randomdised (or analysed) in arm.
Only surrogate 3 has total number of cancers as denominator.</text>
  </threadedComment>
  <threadedComment ref="AH2539" dT="2023-10-06T11:09:55.01" personId="{3DE5673D-4837-4FC9-B8B9-34243175713A}" id="{C48C7ACE-3119-4C45-A6F5-BEAE47B5B6F7}">
    <text>The denominator for surrogate 1 or 4 is number of person years or, if we don't have that, number of people randomdised (or analysed) in arm.
Only surrogate 3 has total number of cancers as denominator.</text>
  </threadedComment>
  <threadedComment ref="AH2540" dT="2023-10-06T11:09:55.01" personId="{3DE5673D-4837-4FC9-B8B9-34243175713A}" id="{F090B6C5-5F88-44D6-8703-BC29055B5F6D}">
    <text>The denominator for surrogate 1 or 4 is number of person years or, if we don't have that, number of people randomdised (or analysed) in arm.
Only surrogate 3 has total number of cancers as denominator.</text>
  </threadedComment>
  <threadedComment ref="AH2541" dT="2023-10-06T11:09:55.01" personId="{3DE5673D-4837-4FC9-B8B9-34243175713A}" id="{D0D2ABAF-E83C-4301-94A0-ED1E5541CD29}">
    <text>The denominator for surrogate 1 or 4 is number of person years or, if we don't have that, number of people randomdised (or analysed) in arm.
Only surrogate 3 has total number of cancers as denominator.</text>
  </threadedComment>
  <threadedComment ref="AH2542" dT="2023-10-06T11:09:55.01" personId="{3DE5673D-4837-4FC9-B8B9-34243175713A}" id="{546744EB-B8F5-4005-86F9-189CBBCC08BD}">
    <text>The denominator for surrogate 1 or 4 is number of person years or, if we don't have that, number of people randomdised (or analysed) in arm.
Only surrogate 3 has total number of cancers as denominator.</text>
  </threadedComment>
  <threadedComment ref="AH2543" dT="2023-10-06T11:09:55.01" personId="{3DE5673D-4837-4FC9-B8B9-34243175713A}" id="{765E5B29-E834-4D89-87F6-64BEE4D78C56}">
    <text>The denominator for surrogate 1 or 4 is number of person years or, if we don't have that, number of people randomdised (or analysed) in arm.
Only surrogate 3 has total number of cancers as denominator.</text>
  </threadedComment>
  <threadedComment ref="AH2544" dT="2023-10-06T11:09:55.01" personId="{3DE5673D-4837-4FC9-B8B9-34243175713A}" id="{1ABCD79C-1CEF-4348-A6ED-07D6E069D805}">
    <text>The denominator for surrogate 1 or 4 is number of person years or, if we don't have that, number of people randomdised (or analysed) in arm.
Only surrogate 3 has total number of cancers as denominator.</text>
  </threadedComment>
  <threadedComment ref="AH2545" dT="2023-10-06T11:09:55.01" personId="{3DE5673D-4837-4FC9-B8B9-34243175713A}" id="{079B2CE7-6930-4584-9D96-20D8753C2B7F}">
    <text>The denominator for surrogate 1 or 4 is number of person years or, if we don't have that, number of people randomdised (or analysed) in arm.
Only surrogate 3 has total number of cancers as denominator.</text>
  </threadedComment>
  <threadedComment ref="AH2550" dT="2023-10-06T11:09:55.01" personId="{3DE5673D-4837-4FC9-B8B9-34243175713A}" id="{AA67EE15-AC63-42B0-A02E-144F73B16851}">
    <text>The denominator for surrogate 1 or 4 is number of person years or, if we don't have that, number of people randomdised (or analysed) in arm.
Only surrogate 3 has total number of cancers as denominator.</text>
  </threadedComment>
  <threadedComment ref="AH2551" dT="2023-10-06T11:09:55.01" personId="{3DE5673D-4837-4FC9-B8B9-34243175713A}" id="{780D64E2-B812-4579-8BD2-0F98B61B6DC6}">
    <text>The denominator for surrogate 1 or 4 is number of person years or, if we don't have that, number of people randomdised (or analysed) in arm.
Only surrogate 3 has total number of cancers as denominator.</text>
  </threadedComment>
  <threadedComment ref="AH2552" dT="2023-10-06T11:09:55.01" personId="{3DE5673D-4837-4FC9-B8B9-34243175713A}" id="{9BA42E9F-25F0-4743-9B38-E37C1B4793A5}">
    <text>The denominator for surrogate 1 or 4 is number of person years or, if we don't have that, number of people randomdised (or analysed) in arm.
Only surrogate 3 has total number of cancers as denominator.</text>
  </threadedComment>
  <threadedComment ref="AH2553" dT="2023-10-06T11:09:55.01" personId="{3DE5673D-4837-4FC9-B8B9-34243175713A}" id="{40A6ABF1-3D06-4920-849E-FFCB5F969E93}">
    <text>The denominator for surrogate 1 or 4 is number of person years or, if we don't have that, number of people randomdised (or analysed) in arm.
Only surrogate 3 has total number of cancers as denominator.</text>
  </threadedComment>
  <threadedComment ref="AH2554" dT="2023-10-06T11:09:55.01" personId="{3DE5673D-4837-4FC9-B8B9-34243175713A}" id="{154A6802-5261-4398-A749-500C73DD44E8}">
    <text>The denominator for surrogate 1 or 4 is number of person years or, if we don't have that, number of people randomdised (or analysed) in arm.
Only surrogate 3 has total number of cancers as denominator.</text>
  </threadedComment>
  <threadedComment ref="AH2555" dT="2023-10-06T11:09:55.01" personId="{3DE5673D-4837-4FC9-B8B9-34243175713A}" id="{6B1CA00F-9C14-4DEC-A35B-9B1A46CC802C}">
    <text>The denominator for surrogate 1 or 4 is number of person years or, if we don't have that, number of people randomdised (or analysed) in arm.
Only surrogate 3 has total number of cancers as denominator.</text>
  </threadedComment>
  <threadedComment ref="AH2556" dT="2023-10-06T11:09:55.01" personId="{3DE5673D-4837-4FC9-B8B9-34243175713A}" id="{079AC3A8-1BE4-4720-BC42-F41E2647C0CA}">
    <text>The denominator for surrogate 1 or 4 is number of person years or, if we don't have that, number of people randomdised (or analysed) in arm.
Only surrogate 3 has total number of cancers as denominator.</text>
  </threadedComment>
  <threadedComment ref="AH2557" dT="2023-10-06T11:09:55.01" personId="{3DE5673D-4837-4FC9-B8B9-34243175713A}" id="{9D29BBF8-9B1A-4A1F-8E25-AA4A9CA316DC}">
    <text>The denominator for surrogate 1 or 4 is number of person years or, if we don't have that, number of people randomdised (or analysed) in arm.
Only surrogate 3 has total number of cancers as denominator.</text>
  </threadedComment>
  <threadedComment ref="AH2558" dT="2023-10-06T11:09:55.01" personId="{3DE5673D-4837-4FC9-B8B9-34243175713A}" id="{7B38176A-6951-4D01-B3B6-B6759A509CD5}">
    <text>The denominator for surrogate 1 or 4 is number of person years or, if we don't have that, number of people randomdised (or analysed) in arm.
Only surrogate 3 has total number of cancers as denominator.</text>
  </threadedComment>
  <threadedComment ref="BG2558" dT="2023-10-12T15:58:19.69" personId="{3DE5673D-4837-4FC9-B8B9-34243175713A}" id="{F290D62D-821D-4F0C-B978-12859A198C6F}">
    <text>Is this okay, or can't we use these data?</text>
  </threadedComment>
  <threadedComment ref="AH2559" dT="2023-10-06T11:09:55.01" personId="{3DE5673D-4837-4FC9-B8B9-34243175713A}" id="{869F52C8-70B6-46AD-AE92-CF2D16DCCB2D}">
    <text>The denominator for surrogate 1 or 4 is number of person years or, if we don't have that, number of people randomdised (or analysed) in arm.
Only surrogate 3 has total number of cancers as denominator.</text>
  </threadedComment>
  <threadedComment ref="BG2559" dT="2023-10-12T15:58:19.69" personId="{3DE5673D-4837-4FC9-B8B9-34243175713A}" id="{EBE9A336-0DF0-4FC2-B276-A4EAC3017695}">
    <text>Is this okay, or can't we use these data?</text>
  </threadedComment>
  <threadedComment ref="AH2560" dT="2023-10-06T11:09:55.01" personId="{3DE5673D-4837-4FC9-B8B9-34243175713A}" id="{97C30567-1F4F-4C78-80F9-016C4D4E09DD}">
    <text>The denominator for surrogate 1 or 4 is number of person years or, if we don't have that, number of people randomdised (or analysed) in arm.
Only surrogate 3 has total number of cancers as denominator.</text>
  </threadedComment>
  <threadedComment ref="BG2560" dT="2023-10-12T15:58:19.69" personId="{3DE5673D-4837-4FC9-B8B9-34243175713A}" id="{BCF7E395-D4F8-424D-8990-84DC34A6BE8D}">
    <text>Is this okay, or can't we use these data?</text>
  </threadedComment>
  <threadedComment ref="D2561" dT="2023-10-13T09:17:50.61" personId="{3DE5673D-4837-4FC9-B8B9-34243175713A}" id="{24D4BAF3-AB0F-4E4F-8F98-19788C430907}">
    <text xml:space="preserve">Would be good to give more information in this column as this is where the row freezes when scrolling more to the right.
Just put enough information in to know which results this row is reporting.
</text>
  </threadedComment>
</ThreadedComments>
</file>

<file path=xl/threadedComments/threadedComment2.xml><?xml version="1.0" encoding="utf-8"?>
<ThreadedComments xmlns="http://schemas.microsoft.com/office/spreadsheetml/2018/threadedcomments" xmlns:x="http://schemas.openxmlformats.org/spreadsheetml/2006/main">
  <threadedComment ref="D1" dT="2023-04-24T10:23:03.34" personId="{3DE5673D-4837-4FC9-B8B9-34243175713A}" id="{57C6B605-428E-4D3D-BE67-EF92B0363A9E}">
    <text>Short summary of the indicator, not the results, e.g. 'All-cause mortality; follow-up until 31/12/2000; per 1,000 PY, screening vs. control'</text>
  </threadedComment>
  <threadedComment ref="G1" dT="2023-04-24T10:24:01.37" personId="{3DE5673D-4837-4FC9-B8B9-34243175713A}" id="{B37AD1D5-DFF6-4944-A986-10BAE97436A9}">
    <text>Rate 'Not applicable' if the comparator was 'No screening' or 'Usual care'.</text>
  </threadedComment>
  <threadedComment ref="H1" dT="2023-04-24T10:24:50.01" personId="{3DE5673D-4837-4FC9-B8B9-34243175713A}" id="{B4651FC3-5C56-4F61-B938-D8C49B771160}">
    <text>Rate as 'Not applicable' of the comparator was another screening test and/or interval.</text>
  </threadedComment>
  <threadedComment ref="I1" dT="2023-04-24T10:25:39.44" personId="{3DE5673D-4837-4FC9-B8B9-34243175713A}" id="{8D498E7A-59C5-4E1A-B15E-32A64AA46E11}">
    <text>Answer for the timepoint that you are extracting in that row.</text>
  </threadedComment>
  <threadedComment ref="N1" dT="2023-04-24T10:26:54.55" personId="{3DE5673D-4837-4FC9-B8B9-34243175713A}" id="{4E173CAC-7F9C-42A3-9056-B312D47375B9}">
    <text>Free text field to give more details for column M.</text>
  </threadedComment>
  <threadedComment ref="P1" dT="2023-04-24T10:40:00.45" personId="{3DE5673D-4837-4FC9-B8B9-34243175713A}" id="{6A32973F-58A5-41EC-BA4E-7E9637C92F6B}">
    <text>Date or 'NR'.</text>
  </threadedComment>
  <threadedComment ref="R1" dT="2023-04-24T10:41:29.29" personId="{3DE5673D-4837-4FC9-B8B9-34243175713A}" id="{E4220D52-7775-4099-AD90-DC5D7F3F2697}">
    <text>E.g. reported mean (SD) or median (IQR, range).</text>
  </threadedComment>
  <threadedComment ref="S1" dT="2023-04-24T10:41:42.16" personId="{3DE5673D-4837-4FC9-B8B9-34243175713A}" id="{B37153C5-29AB-4DD3-B69F-DC2E10F16145}">
    <text>E.g. reported mean (SD) or median (IQR, range).</text>
  </threadedComment>
  <threadedComment ref="T1" dT="2023-04-24T11:20:59.66" personId="{3DE5673D-4837-4FC9-B8B9-34243175713A}" id="{91EA7984-93A1-41C8-82F9-EB8B54F0C5B7}">
    <text>Number of rounds within the trial after which the analysis was done.</text>
  </threadedComment>
  <threadedComment ref="AG1" dT="2023-04-24T11:06:21.84" personId="{3DE5673D-4837-4FC9-B8B9-34243175713A}" id="{57E1495E-7885-4FA2-AEC7-D9533880A4E5}">
    <text>If both, person years and n randomised, are reported, please extract both, but use separate rows.</text>
  </threadedComment>
  <threadedComment ref="AH1" dT="2023-04-24T11:06:21.84" personId="{3DE5673D-4837-4FC9-B8B9-34243175713A}" id="{7D7D06FC-A050-490D-BFEB-FE48DBD0B0EF}">
    <text>If both, person years and n randomised, are reported, please extract both, but use separate rows.</text>
  </threadedComment>
  <threadedComment ref="AI1" dT="2023-04-24T10:44:06.05" personId="{3DE5673D-4837-4FC9-B8B9-34243175713A}" id="{6EE7E725-71A2-471A-AC55-776521D4AFAE}">
    <text>Unit for rate reported in column AJ and AN and/or calculated in columns AK and AO.</text>
  </threadedComment>
  <threadedComment ref="AJ1" dT="2023-04-24T10:45:57.15" personId="{3DE5673D-4837-4FC9-B8B9-34243175713A}" id="{5890B278-581B-4BFD-971D-E731EC957A54}">
    <text>Extract rate as reported in paper or fill as 'NR'.</text>
  </threadedComment>
  <threadedComment ref="AK1" dT="2023-04-24T10:46:48.60" personId="{3DE5673D-4837-4FC9-B8B9-34243175713A}" id="{1DBC96E8-F902-4025-B0A4-9BB48E65FE4E}">
    <text>Calculate rate yourself in Excel (e.g. =AE*1000/AG) to check reported rate or to obtain rate if not reported in paper.</text>
  </threadedComment>
  <threadedComment ref="AL1" dT="2023-04-24T10:47:32.80" personId="{3DE5673D-4837-4FC9-B8B9-34243175713A}" id="{58AF02A2-D991-40A2-A6AF-0B06C6849C0F}">
    <text>Extract the reported lower 95% confidence interval for the rate.</text>
  </threadedComment>
  <threadedComment ref="AM1" dT="2023-04-24T10:48:49.67" personId="{3DE5673D-4837-4FC9-B8B9-34243175713A}" id="{89760E72-A1E0-4EDB-9909-522C55431CBE}">
    <text>Extract the reported upper 95% confidence interval for the rate.</text>
  </threadedComment>
  <threadedComment ref="AN1" dT="2023-04-24T10:49:18.01" personId="{3DE5673D-4837-4FC9-B8B9-34243175713A}" id="{BAE939FB-D0EB-493A-868E-772293C59296}">
    <text>Extracted rate as reported in paper, or fill as 'NR'.</text>
  </threadedComment>
  <threadedComment ref="AO1" dT="2023-04-24T10:49:54.49" personId="{3DE5673D-4837-4FC9-B8B9-34243175713A}" id="{86F42810-C267-4A23-8613-C2F7F7FFD9EE}">
    <text>Calculate rate yourself in Excel (e.g. =AF*1000/AH) to check reported rate or to obtain rate if not reported in paper.</text>
  </threadedComment>
  <threadedComment ref="AP1" dT="2023-04-24T10:50:15.23" personId="{3DE5673D-4837-4FC9-B8B9-34243175713A}" id="{5D8495AD-D808-4181-B7E5-C0E0C242352F}">
    <text>Extract the reported lower 95% confidence interval for the rate.</text>
  </threadedComment>
  <threadedComment ref="AQ1" dT="2023-04-24T10:50:39.63" personId="{3DE5673D-4837-4FC9-B8B9-34243175713A}" id="{B7805E4D-6B21-4FB3-9526-EB626D6FCA2B}">
    <text>Extract the reported upper 95% confidence interval for the rate.</text>
  </threadedComment>
  <threadedComment ref="AR1" dT="2023-04-24T10:52:18.33" personId="{3DE5673D-4837-4FC9-B8B9-34243175713A}" id="{6E3D6FA5-6FCF-47B2-BC3D-6B1D80C2EB39}">
    <text>RR = Risk ratio. OR = Odds ratio. HR = Hazard ratio.</text>
  </threadedComment>
  <threadedComment ref="AS1" dT="2023-04-24T10:53:18.57" personId="{3DE5673D-4837-4FC9-B8B9-34243175713A}" id="{F93D2216-34C8-4775-814C-81894724FBB3}">
    <text>For the chosen indicator in column AR (e.g. RR), extract the reported, unadjusted value from the paper.</text>
  </threadedComment>
  <threadedComment ref="AT1" dT="2023-04-24T10:54:32.45" personId="{3DE5673D-4837-4FC9-B8B9-34243175713A}" id="{967070F2-D983-49BC-8D5C-9A38D151FC10}">
    <text>Calculate RR or OR yourself in Excel, e.g. =AK/AO. No need to calculate HR.</text>
  </threadedComment>
  <threadedComment ref="AU1" dT="2023-04-24T10:55:10.26" personId="{3DE5673D-4837-4FC9-B8B9-34243175713A}" id="{9D25C7A8-AE9F-4DC5-BB01-FE0FED6ADEF1}">
    <text>Extract the lower 95% confidence interval for AS from the paper.</text>
  </threadedComment>
  <threadedComment ref="AV1" dT="2023-04-24T10:55:21.22" personId="{3DE5673D-4837-4FC9-B8B9-34243175713A}" id="{FBB3A1ED-160C-4D3A-B0C6-E086FFC158C5}">
    <text>Extract the upper 95% confidence interval for AS from the paper.</text>
  </threadedComment>
  <threadedComment ref="AW1" dT="2023-04-24T10:56:12.76" personId="{3DE5673D-4837-4FC9-B8B9-34243175713A}" id="{AD7F9E5A-A21E-4527-B842-F6061CDA3E90}">
    <text>Extract the reported p value for the comparison in this row, or use 'NR'.</text>
  </threadedComment>
  <threadedComment ref="AX1" dT="2023-04-24T11:25:52.24" personId="{3DE5673D-4837-4FC9-B8B9-34243175713A}" id="{7E5D62B2-BB20-45F3-9F78-A9CB4CB0522B}">
    <text>Which variable(s) have been adjusted for? Methods?</text>
  </threadedComment>
  <threadedComment ref="D107" dT="2023-08-25T15:46:48.14" personId="{3DE5673D-4837-4FC9-B8B9-34243175713A}" id="{384CE717-257A-4363-8B4D-70032B3B0CB7}" done="1">
    <text>I have extracted the secondary analysis (Cox hazard ratio) not the primary analysis (Versatile test) from Table 3 so that it is comparable to the results reported by Jacobs 2016.</text>
  </threadedComment>
  <threadedComment ref="D107" dT="2023-08-27T17:56:30.06" personId="{883E32C5-8AB4-4AEE-9ADC-CF370F4EA9A2}" id="{7330D2F8-FDD5-471F-80CB-D6968D8D324E}" parentId="{384CE717-257A-4363-8B4D-70032B3B0CB7}">
    <text>There's no reported versatile test HR at all, isn't there?</text>
  </threadedComment>
  <threadedComment ref="D107" dT="2023-08-29T07:56:31.73" personId="{3DE5673D-4837-4FC9-B8B9-34243175713A}" id="{E0B0A259-2015-4E15-95E0-F6F7F6A484E3}" parentId="{384CE717-257A-4363-8B4D-70032B3B0CB7}">
    <text xml:space="preserve">No, they only report this "Maximum χ² "; Not sure what this is???
</text>
  </threadedComment>
  <threadedComment ref="D108" dT="2023-08-25T15:46:53.72" personId="{3DE5673D-4837-4FC9-B8B9-34243175713A}" id="{991F7833-B16D-484F-B60A-212FDC3B63CA}" done="1">
    <text>I have extracted the secondary analysis (Cox hazard ratio) not the primary analysis (Versatile test) from Table 3 so that it is comparable to the results reported by Jacobs 2016.</text>
  </threadedComment>
  <threadedComment ref="AG108" dT="2023-08-27T17:57:45.22" personId="{883E32C5-8AB4-4AEE-9ADC-CF370F4EA9A2}" id="{4B0FB14F-ED74-4910-8B01-2FFAE91A6E77}" done="1">
    <text>50,622?</text>
  </threadedComment>
  <threadedComment ref="AG108" dT="2023-08-29T07:57:06.77" personId="{3DE5673D-4837-4FC9-B8B9-34243175713A}" id="{DBFE7D22-E08E-4631-A366-E9241F20096D}" parentId="{4B0FB14F-ED74-4910-8B01-2FFAE91A6E77}">
    <text>Corrected.</text>
  </threadedComment>
  <threadedComment ref="P153" dT="2023-07-31T10:16:35.91" personId="{EB3A3BE2-592C-4348-A404-E1318D49EF19}" id="{3B5191A6-6CE3-4F42-842F-E4689542F1A2}" done="1">
    <text>Why do we have NA for &lt;7y?</text>
  </threadedComment>
  <threadedComment ref="P153" dT="2023-08-21T13:36:24.02" personId="{3DE5673D-4837-4FC9-B8B9-34243175713A}" id="{5170103D-636B-433C-AD0E-CC3FA08CFD32}" parentId="{3B5191A6-6CE3-4F42-842F-E4689542F1A2}">
    <text xml:space="preserve">I thought that we distinguish between follow-up until a certain analysis date (column P, everyone followed up until death, censoring or the analysis date) and follow-up for a certain period after randomisation (column Q, follow-up until death or until a certain follow-up time is reached). Participants were enrolled from November 1993 - July 2001. Does this not mean that on 31/12/2009, everyone had at least 8 years of follow-up? So, for follow-up times of 8 (or more) years after randomisation, the follow-up time stops at 8 (or more) years or 31/12/2009 (for people that were enrolled later and who have not yet reached the follow-up time). For follow-up times of less than 8 years, the follow-up time never goes until 31/12/2009 but stops once a participant has reached the follow-up time reported in that row. </text>
  </threadedComment>
  <threadedComment ref="AH189" dT="2023-07-06T11:27:43.47" personId="{3DE5673D-4837-4FC9-B8B9-34243175713A}" id="{0EFD548F-438E-4647-B0D4-5D0F8E330E8D}" done="1">
    <text xml:space="preserve">Not sure how accurate this is? Should we not just say 'NR'? Or do you need it?
Could also use 'Number randomised by arm' as denominator in a separate row?
</text>
  </threadedComment>
  <threadedComment ref="AG190" dT="2023-07-06T11:27:31.84" personId="{3DE5673D-4837-4FC9-B8B9-34243175713A}" id="{4217D654-E855-4FA0-981A-C20975002ECF}" done="1">
    <text xml:space="preserve">Not sure how accurate this is? Should we not just say 'NR'? Or do you need it?
Could also use 'Number randomised by arm' as denominator in a separate row?
</text>
  </threadedComment>
  <threadedComment ref="AH191" dT="2023-07-06T11:27:22.97" personId="{3DE5673D-4837-4FC9-B8B9-34243175713A}" id="{6C97E7CD-593D-496C-979A-FB58BEAA1D0C}" done="1">
    <text xml:space="preserve">Not sure how accurate this is? Should we not just say 'NR'? Or do you need it?
Could also use 'Number randomised by arm' as denominator in a separate row?
</text>
  </threadedComment>
  <threadedComment ref="D194" dT="2023-07-05T08:39:32.65" personId="{3DE5673D-4837-4FC9-B8B9-34243175713A}" id="{23D06529-5DE1-4804-B541-107B165D3AB5}" done="1">
    <text>I don't think we are interested in subgroups other than 'centre', 'sex' or 'age group'. I have therefore added people with and without comorbidities together. Still not sure this paper should be included at all.</text>
  </threadedComment>
  <threadedComment ref="D194" dT="2023-08-21T11:51:21.88" personId="{3DE5673D-4837-4FC9-B8B9-34243175713A}" id="{9AE80883-3059-4470-B4FB-D327C797846F}" parentId="{23D06529-5DE1-4804-B541-107B165D3AB5}">
    <text xml:space="preserve">Matejka's reply was: "We agreed at one of the group meetings that we will not extract data for groups other than sex, age, and centre. But I’m not sure whether this means that the Crawford paper could not be used, if this is the only paper providing data at 10 years post-randomisation. If you sum up those with no or minimal comorbidities and those with comorbidities by arm, could you get useful data? These data seem to be available in Table 3. BUT if you have another publication that is directly looking at mortality at 10 years, then I’d exclude Crawford for duplication." </text>
  </threadedComment>
  <threadedComment ref="D194" dT="2023-08-21T11:53:04.87" personId="{3DE5673D-4837-4FC9-B8B9-34243175713A}" id="{976A2EB0-DBFB-46F6-AA7C-F8E9D9A0A8CE}" parentId="{23D06529-5DE1-4804-B541-107B165D3AB5}">
    <text>We have data for 10-year mortality reported by Andriole 2012 and Pinsky 2017. But that paper also reports surrogate data up to 31/08/2009, an analysis date that is not covered by other publications. So we might want to leave it in...</text>
  </threadedComment>
  <threadedComment ref="A195" dT="2023-07-06T08:38:26.65" personId="{3DE5673D-4837-4FC9-B8B9-34243175713A}" id="{8A6484D1-A5F0-426E-87A8-06914D8E0A10}" done="1">
    <text>#1053 reports unadjusted rates. I have added them to this row.</text>
  </threadedComment>
  <threadedComment ref="AH195" dT="2023-07-06T11:26:52.08" personId="{3DE5673D-4837-4FC9-B8B9-34243175713A}" id="{E1360977-AC92-434E-A2BB-6C7608DD77A9}" done="1">
    <text xml:space="preserve">Not sure how accurate this is? Should we not just say 'NR'? Or do you need it?
Could also use 'Number randomised by arm' as denominator in a separate row?
</text>
  </threadedComment>
  <threadedComment ref="AH196" dT="2023-07-06T11:26:28.27" personId="{3DE5673D-4837-4FC9-B8B9-34243175713A}" id="{895AADCF-2D8E-4834-9CF6-1D28F412A159}" done="1">
    <text>Not sure how accurate this is? Should we not just say 'NR'? Or do you need it?
Could also use 'Number randomised by arm' as denominator in a separate row?</text>
  </threadedComment>
  <threadedComment ref="AV207" dT="2023-04-14T12:06:40.94" personId="{EB3A3BE2-592C-4348-A404-E1318D49EF19}" id="{17FC2F42-A530-45E8-9D4E-4D58A8368239}" done="1">
    <text>Likely a typo in the paper and meant 1.5 instead?</text>
  </threadedComment>
  <threadedComment ref="AV207" dT="2023-07-07T09:29:47.24" personId="{3DE5673D-4837-4FC9-B8B9-34243175713A}" id="{9E20057B-BD95-42A4-8F74-D73E1B69BA9B}" parentId="{17FC2F42-A530-45E8-9D4E-4D58A8368239}">
    <text>Agree to use 1.5.</text>
  </threadedComment>
  <threadedComment ref="AD214" dT="2023-06-13T10:16:29.50" personId="{3DE5673D-4837-4FC9-B8B9-34243175713A}" id="{5B30A5CB-1CA0-41C8-850C-F568568A5945}" done="1">
    <text>Or should it be number of people randomised?</text>
  </threadedComment>
  <threadedComment ref="AD214" dT="2023-08-28T16:42:13.90" personId="{883E32C5-8AB4-4AEE-9ADC-CF370F4EA9A2}" id="{82950D11-99BB-46BC-A16D-7210624A735F}" parentId="{5B30A5CB-1CA0-41C8-850C-F568568A5945}">
    <text>Those included in the ITT analyses, just under 2000 in each group (excluded were those who were ineligible either because of missing consent or had a censoring event before providing consent)</text>
  </threadedComment>
  <threadedComment ref="AD215" dT="2023-06-13T10:16:29.50" personId="{3DE5673D-4837-4FC9-B8B9-34243175713A}" id="{3684C62B-0ABE-4A93-A95B-085CE01239C5}" done="1">
    <text>Or should it be number of people randomised?</text>
  </threadedComment>
  <threadedComment ref="AD215" dT="2023-08-28T16:42:25.77" personId="{883E32C5-8AB4-4AEE-9ADC-CF370F4EA9A2}" id="{29985274-056E-4551-98E6-F45EA254B654}" parentId="{3684C62B-0ABE-4A93-A95B-085CE01239C5}">
    <text>As above</text>
  </threadedComment>
  <threadedComment ref="AD216" dT="2023-06-13T10:16:29.50" personId="{3DE5673D-4837-4FC9-B8B9-34243175713A}" id="{FA989B5E-32A8-4C74-90E8-186820A7C96C}" done="1">
    <text>Or should it be number of people randomised?</text>
  </threadedComment>
  <threadedComment ref="AD216" dT="2023-08-28T16:42:25.77" personId="{883E32C5-8AB4-4AEE-9ADC-CF370F4EA9A2}" id="{E9A45793-EDBB-4EE3-9F54-819302177D7E}" parentId="{FA989B5E-32A8-4C74-90E8-186820A7C96C}">
    <text>As above</text>
  </threadedComment>
  <threadedComment ref="AD217" dT="2023-06-13T10:16:29.50" personId="{3DE5673D-4837-4FC9-B8B9-34243175713A}" id="{21781BBB-663A-4D90-AFB2-2452F56FC1B2}" done="1">
    <text>Or should it be number of people randomised?</text>
  </threadedComment>
  <threadedComment ref="AD217" dT="2023-08-28T16:42:25.77" personId="{883E32C5-8AB4-4AEE-9ADC-CF370F4EA9A2}" id="{1BA3CC8D-34AC-4483-BE83-5A1B33821608}" parentId="{21781BBB-663A-4D90-AFB2-2452F56FC1B2}">
    <text>As above</text>
  </threadedComment>
  <threadedComment ref="AD218" dT="2023-06-13T10:16:29.50" personId="{3DE5673D-4837-4FC9-B8B9-34243175713A}" id="{473319DF-4FD9-4243-B6CF-73F4B185C84A}" done="1">
    <text>Or should it be number of people randomised?</text>
  </threadedComment>
  <threadedComment ref="AD218" dT="2023-08-28T16:42:25.77" personId="{883E32C5-8AB4-4AEE-9ADC-CF370F4EA9A2}" id="{2DC6896F-3819-40BE-8545-B54D167C43E3}" parentId="{473319DF-4FD9-4243-B6CF-73F4B185C84A}">
    <text>As above</text>
  </threadedComment>
  <threadedComment ref="AD219" dT="2023-06-13T10:16:29.50" personId="{3DE5673D-4837-4FC9-B8B9-34243175713A}" id="{795C2C50-15E8-4124-857A-CFA97C444DD1}" done="1">
    <text>Or should it be number of people randomised?</text>
  </threadedComment>
  <threadedComment ref="AD219" dT="2023-08-28T16:42:25.77" personId="{883E32C5-8AB4-4AEE-9ADC-CF370F4EA9A2}" id="{8D7EB24C-1012-46B1-B4A2-D9D1AF5E4917}" parentId="{795C2C50-15E8-4124-857A-CFA97C444DD1}">
    <text>As above</text>
  </threadedComment>
  <threadedComment ref="AD220" dT="2023-06-13T10:16:29.50" personId="{3DE5673D-4837-4FC9-B8B9-34243175713A}" id="{0CCC2F73-81E1-47EE-9D5D-3A6E9D1E8982}" done="1">
    <text>Or should it be number of people randomised?</text>
  </threadedComment>
  <threadedComment ref="AD220" dT="2023-08-28T16:42:25.77" personId="{883E32C5-8AB4-4AEE-9ADC-CF370F4EA9A2}" id="{0A2FD2E6-4B30-4980-AAA3-6ACDB3B0302B}" parentId="{0CCC2F73-81E1-47EE-9D5D-3A6E9D1E8982}">
    <text>As above</text>
  </threadedComment>
  <threadedComment ref="AD221" dT="2023-06-13T10:16:29.50" personId="{3DE5673D-4837-4FC9-B8B9-34243175713A}" id="{CA399B10-586A-440A-96E1-B11A97CBAEED}" done="1">
    <text>Or should it be number of people randomised?</text>
  </threadedComment>
  <threadedComment ref="AD221" dT="2023-08-28T16:42:25.77" personId="{883E32C5-8AB4-4AEE-9ADC-CF370F4EA9A2}" id="{058C4790-D81F-4D3D-B157-F13F0B1CBA76}" parentId="{CA399B10-586A-440A-96E1-B11A97CBAEED}">
    <text>As above</text>
  </threadedComment>
  <threadedComment ref="AF221" dT="2023-06-13T13:27:47.88" personId="{3DE5673D-4837-4FC9-B8B9-34243175713A}" id="{3D87EE87-4991-4B8F-8E90-04089B10E6ED}" done="1">
    <text>Numbers in Figure 2 add up to 40 lung cancer deaths, whereas the text says 46 lung cancer deaths.</text>
  </threadedComment>
  <threadedComment ref="AF221" dT="2023-08-28T16:51:00.04" personId="{883E32C5-8AB4-4AEE-9ADC-CF370F4EA9A2}" id="{0F87EA64-17CD-450B-B753-EA3B3AEF4BD7}" parentId="{3D87EE87-4991-4B8F-8E90-04089B10E6ED}">
    <text>If not a typo - They had on average slightly more than 7 years of FU in the main analysis - could be deaths after the beginning of year 7?</text>
  </threadedComment>
  <threadedComment ref="AF221" dT="2023-08-29T13:34:01.57" personId="{3DE5673D-4837-4FC9-B8B9-34243175713A}" id="{96F5F067-B72A-44B4-B252-EA819085721B}" parentId="{3D87EE87-4991-4B8F-8E90-04089B10E6ED}">
    <text>Could be. So, just left it as it is and put a comment in the notes column.</text>
  </threadedComment>
  <threadedComment ref="AD223" dT="2023-06-13T10:16:29.50" personId="{3DE5673D-4837-4FC9-B8B9-34243175713A}" id="{9CAE4395-F3FD-4EDD-AD9B-490529F99963}" done="1">
    <text>Or should it be number of people randomised?</text>
  </threadedComment>
  <threadedComment ref="AD223" dT="2023-08-28T16:42:25.77" personId="{883E32C5-8AB4-4AEE-9ADC-CF370F4EA9A2}" id="{28F8FAF5-3546-4645-9D1F-00A7F565EDBC}" parentId="{9CAE4395-F3FD-4EDD-AD9B-490529F99963}">
    <text>As above</text>
  </threadedComment>
  <threadedComment ref="AH224" dT="2023-06-12T16:53:17.95" personId="{3DE5673D-4837-4FC9-B8B9-34243175713A}" id="{69EF5B98-B305-477D-8573-0E572C986CB5}" done="1">
    <text>In Table 1, the same number of person-years is used as denominator for cancer incidence as well as for mortality.</text>
  </threadedComment>
  <threadedComment ref="AH224" dT="2023-08-28T20:23:10.09" personId="{883E32C5-8AB4-4AEE-9ADC-CF370F4EA9A2}" id="{4AABD293-B1BD-4D93-A865-2AA2E95E5C33}" parentId="{69EF5B98-B305-477D-8573-0E572C986CB5}">
    <text>OK</text>
  </threadedComment>
  <threadedComment ref="AH226" dT="2023-06-12T16:53:17.95" personId="{3DE5673D-4837-4FC9-B8B9-34243175713A}" id="{CCD6E452-9B91-4684-B1DE-E91A5C4EBB4E}" done="1">
    <text>In Table 1, the same number of person-years is used as denominator for cancer incidence as well as for mortality.</text>
  </threadedComment>
  <threadedComment ref="AH226" dT="2023-08-28T20:23:03.78" personId="{883E32C5-8AB4-4AEE-9ADC-CF370F4EA9A2}" id="{67F08594-96E1-4B29-BFF4-1F9F8803E55C}" parentId="{CCD6E452-9B91-4684-B1DE-E91A5C4EBB4E}">
    <text>OK</text>
  </threadedComment>
  <threadedComment ref="R228" dT="2023-08-28T13:04:32.13" personId="{883E32C5-8AB4-4AEE-9ADC-CF370F4EA9A2}" id="{E6BA1092-A204-49A8-A4F6-714A1FB1C174}" done="1">
    <text>These are indeed the numbers reported in the paper. But I find them strange: if recruitment was in 2009-2014 and they published the paper in 2022 and censored FU at 10 years, how could they have a median of 10 years of FU??
"Follow-up time was measured from the date of randomization to the date of emigration, the diagnosis of colorectal cancer (for analyses of the risk of colorectal cancer), death from colorec­tal cancer (for analyses of death from colorectal cancer), or death from causes other than colorec­tal cancer or to the end of follow-up after 10 years, whichever came first. "</text>
  </threadedComment>
  <threadedComment ref="R228" dT="2023-08-29T16:38:34.02" personId="{3DE5673D-4837-4FC9-B8B9-34243175713A}" id="{12F2B044-7F33-46A1-B67E-8D0E765B5F89}" parentId="{E6BA1092-A204-49A8-A4F6-714A1FB1C174}">
    <text>Maybe at least 50% of people had 10 years of follow-up (so recruited before 2012), so median 50%? Maybe they did not recruit that many people between 2012 and 2014 (&lt;25% because of the IQR)?</text>
  </threadedComment>
  <threadedComment ref="R228" dT="2023-08-29T18:51:59.80" personId="{883E32C5-8AB4-4AEE-9ADC-CF370F4EA9A2}" id="{9B119516-F668-4911-A6E9-F3C270169FD4}" parentId="{E6BA1092-A204-49A8-A4F6-714A1FB1C174}">
    <text>Possibly, yes. I don't think we should change the extracted numbers, as these really are the reported numbers</text>
  </threadedComment>
  <threadedComment ref="R228" dT="2023-08-30T08:51:23.44" personId="{3DE5673D-4837-4FC9-B8B9-34243175713A}" id="{F48BFA96-E74A-45F8-B202-1C821AFAF214}" parentId="{E6BA1092-A204-49A8-A4F6-714A1FB1C174}">
    <text>Okay.</text>
  </threadedComment>
  <threadedComment ref="W228" dT="2023-08-28T13:07:24.51" personId="{883E32C5-8AB4-4AEE-9ADC-CF370F4EA9A2}" id="{60641EF4-6BB2-462A-81EA-DFB6236D3987}" done="1">
    <text>What are these numbers?</text>
  </threadedComment>
  <threadedComment ref="W228" dT="2023-08-29T16:42:15.47" personId="{3DE5673D-4837-4FC9-B8B9-34243175713A}" id="{379C17D4-B32D-4192-B475-D18705994039}" parentId="{60641EF4-6BB2-462A-81EA-DFB6236D3987}">
    <text>Think I have calculated them from Figure 3 (number at risk 0 years since randomisation - number at risk 10 years since randomisation). Think I did this before we talked to Adam about it and he said that we won't have to provide numbers here if we have the follow-up time in person-years or as median and IQR. So happy to put "Not reported".</text>
  </threadedComment>
  <threadedComment ref="W228" dT="2023-08-29T18:53:17.94" personId="{883E32C5-8AB4-4AEE-9ADC-CF370F4EA9A2}" id="{41D9803E-EA55-4F35-A8A5-C7ED8F198869}" parentId="{60641EF4-6BB2-462A-81EA-DFB6236D3987}">
    <text>Yes, that would be better. The &gt;9000 censored women still provided quite a bit of person-years, so the number is difficult to interpret</text>
  </threadedComment>
  <threadedComment ref="Y228" dT="2023-06-30T08:38:27.33" personId="{3DE5673D-4837-4FC9-B8B9-34243175713A}" id="{C99B1709-1633-49AC-8DEB-6D5208014333}" done="1">
    <text>"Follow-up was virtually complete." Does this mean no missing outcome data?</text>
  </threadedComment>
  <threadedComment ref="Y228" dT="2023-08-28T13:09:55.38" personId="{883E32C5-8AB4-4AEE-9ADC-CF370F4EA9A2}" id="{049EDDCF-2295-4587-AF6B-13825C862635}" parentId="{C99B1709-1633-49AC-8DEB-6D5208014333}">
    <text>It's probably not as clear-cut. I guess what they meant was that they were following people through national registers (cancer and cause of death - these usually have 100% coverage) and they seemed to know when someone emigrated, so it's highly unlikely that they missed anyone</text>
  </threadedComment>
  <threadedComment ref="Y228" dT="2023-08-29T16:43:12.85" personId="{3DE5673D-4837-4FC9-B8B9-34243175713A}" id="{A1222769-76AA-4038-ABCF-1D6D4B1B1486}" parentId="{C99B1709-1633-49AC-8DEB-6D5208014333}">
    <text>Reworded.</text>
  </threadedComment>
  <threadedComment ref="AA228" dT="2023-06-30T08:38:27.33" personId="{3DE5673D-4837-4FC9-B8B9-34243175713A}" id="{5A35CB66-759B-47F4-81F6-20566F3014DD}" done="1">
    <text>"Follow-up was virtually complete." Does this mean no missing outcome data?</text>
  </threadedComment>
  <threadedComment ref="AA228" dT="2023-08-28T13:10:38.66" personId="{883E32C5-8AB4-4AEE-9ADC-CF370F4EA9A2}" id="{4E4EDB03-18E4-4512-BFBE-C6BD8D8DB7F6}" parentId="{5A35CB66-759B-47F4-81F6-20566F3014DD}">
    <text>They just don't quantify it, but would likely fall below our threshold of 5%</text>
  </threadedComment>
  <threadedComment ref="AK228" dT="2023-06-30T08:07:24.70" personId="{3DE5673D-4837-4FC9-B8B9-34243175713A}" id="{5D518176-601E-480E-A096-824EBF6B8F55}" done="1">
    <text>Different to reported risk which seems to be a Kaplan–Meier estimate???</text>
  </threadedComment>
  <threadedComment ref="AK228" dT="2023-08-28T13:16:12.40" personId="{883E32C5-8AB4-4AEE-9ADC-CF370F4EA9A2}" id="{1DDE0082-25FF-4577-B423-CA2B06BB6F6E}" parentId="{5D518176-601E-480E-A096-824EBF6B8F55}">
    <text>Likely (in a KM estimate, the denominator would become gradually smaller, so leading to a higher cumulative rate)</text>
  </threadedComment>
  <threadedComment ref="AO228" dT="2023-06-30T08:08:21.08" personId="{3DE5673D-4837-4FC9-B8B9-34243175713A}" id="{AC9C1790-47CE-41E0-8B20-78FD44E3FA39}" done="1">
    <text>Different to reported risk which seems to be a Kaplan–Meier estimate???</text>
  </threadedComment>
  <threadedComment ref="AO228" dT="2023-08-28T13:17:48.95" personId="{883E32C5-8AB4-4AEE-9ADC-CF370F4EA9A2}" id="{EBBBC022-1707-43E9-88CC-B9B00700A9E7}" parentId="{AC9C1790-47CE-41E0-8B20-78FD44E3FA39}">
    <text>Likely</text>
  </threadedComment>
  <threadedComment ref="AY228" dT="2023-08-28T13:19:25.46" personId="{883E32C5-8AB4-4AEE-9ADC-CF370F4EA9A2}" id="{2472015B-EBEF-41D1-96A2-8B0028BAD497}" done="1">
    <text>These are unadjusted estimates</text>
  </threadedComment>
  <threadedComment ref="AY228" dT="2023-08-29T17:33:16.16" personId="{3DE5673D-4837-4FC9-B8B9-34243175713A}" id="{4743A0D6-B9FE-451D-89E7-78E0BECF7E6B}" parentId="{2472015B-EBEF-41D1-96A2-8B0028BAD497}">
    <text>Corrected. I have added 2 additional rows for the results based on Kaplan Meier estimates.</text>
  </threadedComment>
  <threadedComment ref="AK229" dT="2023-06-30T08:07:24.70" personId="{3DE5673D-4837-4FC9-B8B9-34243175713A}" id="{59B61167-F441-45AE-80D2-EFA0822940F3}" done="1">
    <text>Different to reported risk which seems to be a Kaplan–Meier estimate???</text>
  </threadedComment>
  <threadedComment ref="AK229" dT="2023-08-28T13:16:19.26" personId="{883E32C5-8AB4-4AEE-9ADC-CF370F4EA9A2}" id="{243B8239-9C24-4AFB-A994-CCA795DACCD6}" parentId="{59B61167-F441-45AE-80D2-EFA0822940F3}">
    <text>Likely</text>
  </threadedComment>
  <threadedComment ref="AO229" dT="2023-06-30T08:08:21.08" personId="{3DE5673D-4837-4FC9-B8B9-34243175713A}" id="{E272FEA1-B210-4E37-BC19-BFC4ED2EA975}" done="1">
    <text>Different to reported risk which seems to be a Kaplan–Meier estimate???</text>
  </threadedComment>
  <threadedComment ref="AO229" dT="2023-08-28T13:17:54.48" personId="{883E32C5-8AB4-4AEE-9ADC-CF370F4EA9A2}" id="{0E885523-73F5-4873-BC19-9B3B6B10A4AA}" parentId="{E272FEA1-B210-4E37-BC19-BFC4ED2EA975}">
    <text>Likely</text>
  </threadedComment>
  <threadedComment ref="A230" dT="2023-08-29T18:57:57.97" personId="{883E32C5-8AB4-4AEE-9ADC-CF370F4EA9A2}" id="{D23C00E2-DB80-4994-BC72-0508106A737A}" done="1">
    <text>Looks good</text>
  </threadedComment>
  <threadedComment ref="R230" dT="2023-08-28T13:04:32.13" personId="{883E32C5-8AB4-4AEE-9ADC-CF370F4EA9A2}" id="{59FBF7D1-921B-418D-B146-DC6FA5C13B34}">
    <text>These are indeed the numbers reported in the paper. But I find them strange: if recruitment was in 2009-2014 and they published the paper in 2022 and censored FU at 10 years, how could they have a median of 10 years of FU??
"Follow-up time was measured from the date of randomization to the date of emigration, the diagnosis of colorectal cancer (for analyses of the risk of colorectal cancer), death from colorec­tal cancer (for analyses of death from colorectal cancer), or death from causes other than colorec­tal cancer or to the end of follow-up after 10 years, whichever came first. "</text>
  </threadedComment>
  <threadedComment ref="R230" dT="2023-08-29T16:38:34.02" personId="{3DE5673D-4837-4FC9-B8B9-34243175713A}" id="{7B982D4D-0F42-41A2-B47B-368379820278}" parentId="{59FBF7D1-921B-418D-B146-DC6FA5C13B34}">
    <text>Maybe at least 50% of people had 10 years of follow-up (so recruited before 2012)? Maybe they did not recruit that many people between 2012 and 2014 (&lt;25% as the IQR)?</text>
  </threadedComment>
  <threadedComment ref="BD230" dT="2023-08-28T13:20:09.59" personId="{883E32C5-8AB4-4AEE-9ADC-CF370F4EA9A2}" id="{C76A79A6-1B6D-4A60-9FC3-B0937522F279}" done="1">
    <text>Likely</text>
  </threadedComment>
  <threadedComment ref="BD231" dT="2023-08-28T13:20:09.59" personId="{883E32C5-8AB4-4AEE-9ADC-CF370F4EA9A2}" id="{09900E12-261D-4CFA-8EE8-036FD5C1BAE0}" done="1">
    <text>Likely</text>
  </threadedComment>
  <threadedComment ref="A232" dT="2023-06-14T11:28:25.83" personId="{3DE5673D-4837-4FC9-B8B9-34243175713A}" id="{1726E5E5-37A4-491D-8E9B-EE3858D14CE8}" done="1">
    <text>The paper also reports lung cancer mortality for women as well as for different age groups in men. I have not extracted them as we don't have a surrogate outcome for these subgroups.</text>
  </threadedComment>
  <threadedComment ref="A232" dT="2023-08-18T18:37:44.83" personId="{883E32C5-8AB4-4AEE-9ADC-CF370F4EA9A2}" id="{2559B80B-EA58-4B84-91BB-A94E8188E28C}" parentId="{1726E5E5-37A4-491D-8E9B-EE3858D14CE8}">
    <text>I agree - we can't use them for analyses</text>
  </threadedComment>
  <threadedComment ref="V232" dT="2023-06-14T11:19:39.44" personId="{3DE5673D-4837-4FC9-B8B9-34243175713A}" id="{CDB4BB9B-3A30-473A-82D5-8232BA073BB8}" done="1">
    <text>13 could not be linked to national registries.</text>
  </threadedComment>
  <threadedComment ref="V233" dT="2023-06-14T11:19:39.44" personId="{3DE5673D-4837-4FC9-B8B9-34243175713A}" id="{F537E655-C292-4A4A-9AE8-D1AAF7E8FD12}" done="1">
    <text>13 could not be linked to national registries.</text>
  </threadedComment>
  <threadedComment ref="AH233" dT="2023-06-14T11:19:39.44" personId="{3DE5673D-4837-4FC9-B8B9-34243175713A}" id="{039B0738-77F5-430D-9508-D29F9B9DC62E}" done="1">
    <text>13 could not be linked to national registries.</text>
  </threadedComment>
  <threadedComment ref="V234" dT="2023-06-14T11:19:39.44" personId="{3DE5673D-4837-4FC9-B8B9-34243175713A}" id="{7579DDA5-D2FF-46F4-A9E1-EAA0D0C0DEDC}" done="1">
    <text>13 could not be linked to national registries.</text>
  </threadedComment>
  <threadedComment ref="V235" dT="2023-06-14T11:19:39.44" personId="{3DE5673D-4837-4FC9-B8B9-34243175713A}" id="{3A352D2A-7666-49BB-B34D-BE2B0111FDFA}" done="1">
    <text>13 could not be linked to national registries.</text>
  </threadedComment>
  <threadedComment ref="V236" dT="2023-06-14T11:19:39.44" personId="{3DE5673D-4837-4FC9-B8B9-34243175713A}" id="{38AFCD43-4703-4B35-960C-275071530A87}" done="1">
    <text>13 could not be linked to national registries.</text>
  </threadedComment>
  <threadedComment ref="V237" dT="2023-06-14T11:19:39.44" personId="{3DE5673D-4837-4FC9-B8B9-34243175713A}" id="{23677340-8685-42D8-8EFD-3040813D77B0}" done="1">
    <text>13 could not be linked to national registries.</text>
  </threadedComment>
  <threadedComment ref="V238" dT="2023-06-14T11:19:39.44" personId="{3DE5673D-4837-4FC9-B8B9-34243175713A}" id="{4104EA6C-9F12-49A6-8145-6A86E40F8EF1}" done="1">
    <text>13 could not be linked to national registries.</text>
  </threadedComment>
  <threadedComment ref="V239" dT="2023-06-14T11:19:39.44" personId="{3DE5673D-4837-4FC9-B8B9-34243175713A}" id="{51BF256D-86DE-46EF-884C-8CF265AC8615}" done="1">
    <text>13 could not be linked to national registries.</text>
  </threadedComment>
  <threadedComment ref="AH239" dT="2023-06-14T11:19:39.44" personId="{3DE5673D-4837-4FC9-B8B9-34243175713A}" id="{19B59516-52CA-4905-98EA-9EA42E48614D}" done="1">
    <text>13 could not be linked to national registries.</text>
  </threadedComment>
  <threadedComment ref="AV239" dT="2023-06-14T10:17:20.72" personId="{3DE5673D-4837-4FC9-B8B9-34243175713A}" id="{F352631C-D67A-4815-8CCA-F638B263C46D}">
    <text>Slightly different to calculated rate.</text>
  </threadedComment>
  <threadedComment ref="V240" dT="2023-06-14T11:19:39.44" personId="{3DE5673D-4837-4FC9-B8B9-34243175713A}" id="{5D30A7A0-B484-4579-ABA7-B995F9CCE1E8}" done="1">
    <text>13 could not be linked to national registries.</text>
  </threadedComment>
  <threadedComment ref="AH240" dT="2023-06-14T11:19:39.44" personId="{3DE5673D-4837-4FC9-B8B9-34243175713A}" id="{5EE3E080-935E-4486-BD1F-44FAEFA1E38B}" done="1">
    <text>13 could not be linked to national registries.</text>
  </threadedComment>
  <threadedComment ref="AV240" dT="2023-06-14T10:17:20.72" personId="{3DE5673D-4837-4FC9-B8B9-34243175713A}" id="{987E1B4C-0CD3-4C57-A6DA-7F27D6E9C507}">
    <text>Slightly different to calculated rate.</text>
  </threadedComment>
  <threadedComment ref="V241" dT="2023-06-14T11:19:39.44" personId="{3DE5673D-4837-4FC9-B8B9-34243175713A}" id="{B1759653-3D8A-4C49-A603-3BC34757A857}" done="1">
    <text>13 could not be linked to national registries.</text>
  </threadedComment>
  <threadedComment ref="AH241" dT="2023-06-14T11:19:39.44" personId="{3DE5673D-4837-4FC9-B8B9-34243175713A}" id="{88B9932B-431E-4186-A0D0-DACA5C46A3F0}" done="1">
    <text>13 could not be linked to national registries.</text>
  </threadedComment>
  <threadedComment ref="AV241" dT="2023-06-14T10:17:20.72" personId="{3DE5673D-4837-4FC9-B8B9-34243175713A}" id="{B16DA28F-91ED-47B7-9820-638640C51E83}">
    <text>Slightly different to calculated rate.</text>
  </threadedComment>
  <threadedComment ref="V242" dT="2023-06-14T11:19:39.44" personId="{3DE5673D-4837-4FC9-B8B9-34243175713A}" id="{11D5ED15-0BB1-4EF0-8722-7F21252658E9}" done="1">
    <text>13 could not be linked to national registries.</text>
  </threadedComment>
  <threadedComment ref="AH242" dT="2023-06-14T11:19:39.44" personId="{3DE5673D-4837-4FC9-B8B9-34243175713A}" id="{6FF3203E-F39A-4C79-A741-437562EC726C}" done="1">
    <text>13 could not be linked to national registries.</text>
  </threadedComment>
  <threadedComment ref="AV242" dT="2023-06-14T10:17:20.72" personId="{3DE5673D-4837-4FC9-B8B9-34243175713A}" id="{E3BD7A9F-F60B-46DB-8DA5-F689D2B81459}">
    <text>Slightly different to calculated rate.</text>
  </threadedComment>
  <threadedComment ref="V243" dT="2023-06-14T11:19:39.44" personId="{3DE5673D-4837-4FC9-B8B9-34243175713A}" id="{BC4C840A-A2EB-4132-8BB4-CED3EE88489C}" done="1">
    <text>13 could not be linked to national registries.</text>
  </threadedComment>
  <threadedComment ref="AH243" dT="2023-06-14T11:19:39.44" personId="{3DE5673D-4837-4FC9-B8B9-34243175713A}" id="{C2E52D46-68F0-4112-8DA5-D0807F1EB1F5}" done="1">
    <text>13 could not be linked to national registries.</text>
  </threadedComment>
  <threadedComment ref="AV243" dT="2023-06-14T10:17:20.72" personId="{3DE5673D-4837-4FC9-B8B9-34243175713A}" id="{593CFCE3-64CA-4198-A3D0-C64CBC8B8268}">
    <text>Slightly different to calculated rate.</text>
  </threadedComment>
  <threadedComment ref="V244" dT="2023-06-14T11:19:39.44" personId="{3DE5673D-4837-4FC9-B8B9-34243175713A}" id="{4D38776F-F7BE-4C21-B743-BA733563D744}" done="1">
    <text>13 could not be linked to national registries.</text>
  </threadedComment>
  <threadedComment ref="AF244" dT="2023-08-18T18:53:10.41" personId="{883E32C5-8AB4-4AEE-9ADC-CF370F4EA9A2}" id="{111D2051-1DC1-45AA-B53C-A0C3FCEA3472}" done="1">
    <text>Do we know why these numbers are different from those in Table S3?
Table S3 (=rows above) include only deaths in men with a known date of diagnosis of lung cancer. I think this must be the analysis (which they mention under Sensitivity Analysis) without restriction on knowing the date of lung cancer diagnosis. Correct?</text>
  </threadedComment>
  <threadedComment ref="AF244" dT="2023-08-30T12:50:17.83" personId="{3DE5673D-4837-4FC9-B8B9-34243175713A}" id="{0165C122-5FE0-45F2-BE87-429A097C1F50}" parentId="{111D2051-1DC1-45AA-B53C-A0C3FCEA3472}">
    <text>Yes, here, we have lung cancer cases without known date of diagnosis included; in the rows above, they have been excluded.</text>
  </threadedComment>
  <threadedComment ref="V245" dT="2023-06-14T11:19:39.44" personId="{3DE5673D-4837-4FC9-B8B9-34243175713A}" id="{2838539C-82B7-470F-B692-365C642A44B5}" done="1">
    <text>13 could not be linked to national registries.</text>
  </threadedComment>
  <threadedComment ref="AH245" dT="2023-06-14T11:19:39.44" personId="{3DE5673D-4837-4FC9-B8B9-34243175713A}" id="{4EDC6069-4999-4454-AA8B-F785367334BC}" done="1">
    <text>13 could not be linked to national registries.</text>
  </threadedComment>
  <threadedComment ref="V246" dT="2023-06-14T11:19:39.44" personId="{3DE5673D-4837-4FC9-B8B9-34243175713A}" id="{FFCC9B70-DAAD-4BCD-AF34-DB19B7299DA0}" done="1">
    <text>13 could not be linked to national registries.</text>
  </threadedComment>
  <threadedComment ref="V247" dT="2023-06-14T11:19:39.44" personId="{3DE5673D-4837-4FC9-B8B9-34243175713A}" id="{61EB657B-3A36-4B75-BAC6-E02FD374DF0D}" done="1">
    <text>13 could not be linked to national registries.</text>
  </threadedComment>
  <threadedComment ref="AH247" dT="2023-06-14T11:19:39.44" personId="{3DE5673D-4837-4FC9-B8B9-34243175713A}" id="{507B294A-A11E-4BB1-8B2A-01BD645B3250}" done="1">
    <text>13 could not be linked to national registries.</text>
  </threadedComment>
  <threadedComment ref="R252" dT="2023-06-09T15:46:24.80" personId="{3DE5673D-4837-4FC9-B8B9-34243175713A}" id="{2BF92A47-C4FF-48E0-8FBB-2866D01C3E7E}" done="1">
    <text>602,696.2 PY / 75,360???</text>
  </threadedComment>
  <threadedComment ref="S252" dT="2023-06-09T15:47:18.01" personId="{3DE5673D-4837-4FC9-B8B9-34243175713A}" id="{1F8561BA-37B8-4404-99EC-1DD0BFE64D86}" done="1">
    <text>604,288.2 PY / 76,178???</text>
  </threadedComment>
  <threadedComment ref="S252" dT="2023-08-29T16:19:39.14" personId="{883E32C5-8AB4-4AEE-9ADC-CF370F4EA9A2}" id="{70831394-E17F-4F3E-AF13-0E620C12FD17}" parentId="{1F8561BA-37B8-4404-99EC-1DD0BFE64D86}">
    <text>Sounds OK (also for others yellow cells here)</text>
  </threadedComment>
  <threadedComment ref="Y252" dT="2023-06-09T16:20:31.20" personId="{3DE5673D-4837-4FC9-B8B9-34243175713A}" id="{FFC34E72-4C2D-4545-87C6-019F5FDA002F}" done="1">
    <text>"We were therefore able to ensure almost 100% capture of events." "...we were able to track all case patients and deaths in both groups through door-to-door monitoring at 24-month intervals and by cross-checking with the Mumbai Cancer Registry and
the Mumbai Municipal Death Records…" Does this mean there were no missing data for cause of death?</text>
  </threadedComment>
  <threadedComment ref="AA252" dT="2023-06-09T16:20:31.20" personId="{3DE5673D-4837-4FC9-B8B9-34243175713A}" id="{693D1AD0-DFB5-4144-BE0B-E8E609442D8C}" done="1">
    <text>"We were therefore able to ensure almost 100% capture of events." "...we were able to track all case patients and deaths in both groups through door-to-door monitoring at 24-month intervals and by cross-checking with the Mumbai Cancer Registry and
the Mumbai Municipal Death Records…" Does this mean there were no missing data for cause of death?</text>
  </threadedComment>
  <threadedComment ref="R253" dT="2023-06-09T15:46:24.80" personId="{3DE5673D-4837-4FC9-B8B9-34243175713A}" id="{136D39B4-F859-4ABE-B29B-7F120F286787}" done="1">
    <text>602,696.2 PY / 75,360???</text>
  </threadedComment>
  <threadedComment ref="S253" dT="2023-06-09T15:47:18.01" personId="{3DE5673D-4837-4FC9-B8B9-34243175713A}" id="{B8F34616-A584-4FD5-AC67-59CA18128A66}" done="1">
    <text>604,288.2 PY / 76,178???</text>
  </threadedComment>
  <threadedComment ref="S253" dT="2023-08-29T16:19:39.14" personId="{883E32C5-8AB4-4AEE-9ADC-CF370F4EA9A2}" id="{89352B4C-49E2-4149-BAA4-1201BABB89B0}" parentId="{B8F34616-A584-4FD5-AC67-59CA18128A66}">
    <text>Sounds OK (also for others yellow cells here)</text>
  </threadedComment>
  <threadedComment ref="Y253" dT="2023-06-09T16:20:31.20" personId="{3DE5673D-4837-4FC9-B8B9-34243175713A}" id="{3F5A1AA2-9DBF-4DE5-AA7E-62EC40F28F83}" done="1">
    <text>"We were therefore able to ensure almost 100% capture of events." "...we were able to track all case patients and deaths in both groups through door-to-door monitoring at 24-month intervals and by cross-checking with the Mumbai Cancer Registry and
the Mumbai Municipal Death Records…" Does this mean there were no missing data for cause of death?</text>
  </threadedComment>
  <threadedComment ref="AA253" dT="2023-06-09T16:20:31.20" personId="{3DE5673D-4837-4FC9-B8B9-34243175713A}" id="{4AF82F15-BA33-4550-BA2A-449662911242}" done="1">
    <text>"We were therefore able to ensure almost 100% capture of events." "...we were able to track all case patients and deaths in both groups through door-to-door monitoring at 24-month intervals and by cross-checking with the Mumbai Cancer Registry and
the Mumbai Municipal Death Records…" Does this mean there were no missing data for cause of death?</text>
  </threadedComment>
  <threadedComment ref="R254" dT="2023-06-09T15:46:24.80" personId="{3DE5673D-4837-4FC9-B8B9-34243175713A}" id="{4BBC85CF-7177-4A63-A082-04B61132B759}" done="1">
    <text>602,696.2 PY / 75,360???</text>
  </threadedComment>
  <threadedComment ref="S254" dT="2023-06-09T15:47:18.01" personId="{3DE5673D-4837-4FC9-B8B9-34243175713A}" id="{2741D9E9-B0BE-404B-B96A-D63B2A201AD9}" done="1">
    <text>604,288.2 PY / 76,178???</text>
  </threadedComment>
  <threadedComment ref="S254" dT="2023-08-29T16:19:39.14" personId="{883E32C5-8AB4-4AEE-9ADC-CF370F4EA9A2}" id="{D422DBB1-8D10-4172-B461-6DBDE6AC20DE}" parentId="{2741D9E9-B0BE-404B-B96A-D63B2A201AD9}">
    <text>Sounds OK (also for others yellow cells here)</text>
  </threadedComment>
  <threadedComment ref="R255" dT="2023-06-09T15:46:24.80" personId="{3DE5673D-4837-4FC9-B8B9-34243175713A}" id="{AF6BF292-5D32-40CC-9900-00BBAF6A14C4}" done="1">
    <text>602,696.2 PY / 75,360???</text>
  </threadedComment>
  <threadedComment ref="S255" dT="2023-06-09T15:47:18.01" personId="{3DE5673D-4837-4FC9-B8B9-34243175713A}" id="{D2CC11D1-CDE3-4D93-AC71-5FE5D3645F7B}" done="1">
    <text>604,288.2 PY / 76,178???</text>
  </threadedComment>
  <threadedComment ref="S255" dT="2023-08-29T16:19:39.14" personId="{883E32C5-8AB4-4AEE-9ADC-CF370F4EA9A2}" id="{320CDA61-70E1-4DF2-B6BE-66020DE4B6EC}" parentId="{D2CC11D1-CDE3-4D93-AC71-5FE5D3645F7B}">
    <text>Sounds OK (also for others yellow cells here)</text>
  </threadedComment>
  <threadedComment ref="R258" dT="2023-06-12T11:16:00.07" personId="{3DE5673D-4837-4FC9-B8B9-34243175713A}" id="{03203FF0-5D16-4A86-A6AA-9B59E7AB155B}" done="1">
    <text>763,141.8 PY / 54212???</text>
  </threadedComment>
  <threadedComment ref="R258" dT="2023-08-29T18:19:33.05" personId="{883E32C5-8AB4-4AEE-9ADC-CF370F4EA9A2}" id="{F131853D-95D1-4A36-9C53-52FDE1A49C2F}" parentId="{03203FF0-5D16-4A86-A6AA-9B59E7AB155B}">
    <text>Sounds good (also for other cells)</text>
  </threadedComment>
  <threadedComment ref="S258" dT="2023-06-12T11:17:03.22" personId="{3DE5673D-4837-4FC9-B8B9-34243175713A}" id="{CF94CC5C-40D6-41BB-9105-4F2050C3B780}" done="1">
    <text>751,367.0 PY / 54188???</text>
  </threadedComment>
  <threadedComment ref="R259" dT="2023-06-12T11:16:00.07" personId="{3DE5673D-4837-4FC9-B8B9-34243175713A}" id="{D9122AB5-E94E-4D00-99F0-2995C1B824A1}" done="1">
    <text>763,141.8 PY / 54212???</text>
  </threadedComment>
  <threadedComment ref="R259" dT="2023-08-29T18:19:33.05" personId="{883E32C5-8AB4-4AEE-9ADC-CF370F4EA9A2}" id="{5F49F200-CC4E-4EFC-9811-FE66412F7E42}" parentId="{D9122AB5-E94E-4D00-99F0-2995C1B824A1}">
    <text>Sounds good (also for other cells)</text>
  </threadedComment>
  <threadedComment ref="S259" dT="2023-06-12T11:17:03.22" personId="{3DE5673D-4837-4FC9-B8B9-34243175713A}" id="{085FB890-5616-4DFB-A54C-FD6306C83740}" done="1">
    <text>751,367.0 PY / 54188???</text>
  </threadedComment>
  <threadedComment ref="R260" dT="2023-06-12T11:21:55.63" personId="{3DE5673D-4837-4FC9-B8B9-34243175713A}" id="{0C83FF7C-9E88-4F48-9251-B971511A8F4B}" done="1">
    <text>259,955.2 PY / 20,965???</text>
  </threadedComment>
  <threadedComment ref="S260" dT="2023-06-12T11:22:49.94" personId="{3DE5673D-4837-4FC9-B8B9-34243175713A}" id="{B8EEA385-4951-4D4A-89ED-38A079006D34}" done="1">
    <text>268,133.1 PY / 21,909???</text>
  </threadedComment>
  <threadedComment ref="R261" dT="2023-06-12T11:21:55.63" personId="{3DE5673D-4837-4FC9-B8B9-34243175713A}" id="{311C8CE1-564A-4561-8D09-17D51E8C6C70}" done="1">
    <text>259,955.2 PY / 20,965???</text>
  </threadedComment>
  <threadedComment ref="S261" dT="2023-06-12T11:22:49.94" personId="{3DE5673D-4837-4FC9-B8B9-34243175713A}" id="{17714196-B6E6-4388-BED5-56ACF677496E}" done="1">
    <text>268,133.1 PY / 21,909???</text>
  </threadedComment>
  <threadedComment ref="R264" dT="2023-06-12T11:16:00.07" personId="{3DE5673D-4837-4FC9-B8B9-34243175713A}" id="{9F42798C-DDF3-45F7-AEEB-4D5A6FC326C0}" done="1">
    <text>763,177.7 PY / 54212???</text>
  </threadedComment>
  <threadedComment ref="S264" dT="2023-06-12T11:17:03.22" personId="{3DE5673D-4837-4FC9-B8B9-34243175713A}" id="{DCE20294-D7E2-44B6-856E-F6CBC52FD812}" done="1">
    <text>751,508.2 PY / 54,188???</text>
  </threadedComment>
  <threadedComment ref="R265" dT="2023-06-12T11:16:00.07" personId="{3DE5673D-4837-4FC9-B8B9-34243175713A}" id="{5E0DD841-ADB1-485B-8E18-02045DF1D91D}" done="1">
    <text>763,177.7 PY / 54212???</text>
  </threadedComment>
  <threadedComment ref="S265" dT="2023-06-12T11:17:03.22" personId="{3DE5673D-4837-4FC9-B8B9-34243175713A}" id="{85AF3656-4536-4BB3-8065-7EE973037A22}" done="1">
    <text>751,508.2 PY / 54,188???</text>
  </threadedComment>
  <threadedComment ref="R266" dT="2023-06-12T11:21:55.63" personId="{3DE5673D-4837-4FC9-B8B9-34243175713A}" id="{03CC479C-913B-44D6-8403-83593D37AC68}" done="1">
    <text>259,955.2 PY / 20,965???</text>
  </threadedComment>
  <threadedComment ref="S266" dT="2023-06-12T11:22:49.94" personId="{3DE5673D-4837-4FC9-B8B9-34243175713A}" id="{90AE4024-3A45-4D1C-8125-7E0DE65130A3}" done="1">
    <text>268,133.1 PY / 21,909???</text>
  </threadedComment>
  <threadedComment ref="R267" dT="2023-06-12T11:21:55.63" personId="{3DE5673D-4837-4FC9-B8B9-34243175713A}" id="{182124F9-1FBA-41E3-A905-D7ACD2F623D0}" done="1">
    <text>259,955.2 PY / 20,965???</text>
  </threadedComment>
  <threadedComment ref="S267" dT="2023-06-12T11:22:49.94" personId="{3DE5673D-4837-4FC9-B8B9-34243175713A}" id="{50AA0931-C482-48A8-8BE1-C5C11389C883}" done="1">
    <text>268,133.1 PY / 21,909???</text>
  </threadedComment>
  <threadedComment ref="BD268" dT="2023-09-01T10:18:50.39" personId="{3DE5673D-4837-4FC9-B8B9-34243175713A}" id="{5828F674-4D7E-47DD-97C6-1FCC147A029E}" done="1">
    <text>Yes, but I think we have agreed that Adam / Nefeli can calculate this at the analysis stage?</text>
  </threadedComment>
  <threadedComment ref="BD269" dT="2023-09-01T10:18:50.39" personId="{3DE5673D-4837-4FC9-B8B9-34243175713A}" id="{795DC34B-7AAA-4ECD-A72D-B0515418A6E6}" done="1">
    <text>Yes, but I think we have agreed that Adam / Nefeli can calculate this at the analysis stage?</text>
  </threadedComment>
  <threadedComment ref="BD270" dT="2023-09-01T10:18:50.39" personId="{3DE5673D-4837-4FC9-B8B9-34243175713A}" id="{F1872A27-9CFD-4BC5-80D7-11E52C652177}" done="1">
    <text>Yes, but I think we have agreed that Adam / Nefeli can calculate this at the analysis stage?</text>
  </threadedComment>
  <threadedComment ref="BD271" dT="2023-09-01T10:18:50.39" personId="{3DE5673D-4837-4FC9-B8B9-34243175713A}" id="{0D4759A4-BDE2-419F-9D3D-08CA5426D8CF}" done="1">
    <text>Yes, but I think we have agreed that Adam / Nefeli can calculate this at the analysis stage?</text>
  </threadedComment>
  <threadedComment ref="BD272" dT="2023-09-01T10:18:50.39" personId="{3DE5673D-4837-4FC9-B8B9-34243175713A}" id="{14D624CF-A7E1-45FB-B59D-BDA8AD98C43D}" done="1">
    <text>Yes, but I think we have agreed that Adam / Nefeli can calculate this at the analysis stage?</text>
  </threadedComment>
  <threadedComment ref="BD273" dT="2023-09-01T10:18:50.39" personId="{3DE5673D-4837-4FC9-B8B9-34243175713A}" id="{5C675D62-E399-4628-BF8E-C0117FBE56C1}" done="1">
    <text>Yes, but I think we have agreed that Adam / Nefeli can calculate this at the analysis stage?</text>
  </threadedComment>
  <threadedComment ref="BD274" dT="2023-09-01T10:18:50.39" personId="{3DE5673D-4837-4FC9-B8B9-34243175713A}" id="{2C11C477-8B00-4C48-9CC6-B0AAF8524506}" done="1">
    <text>Yes, but I think we have agreed that Adam / Nefeli can calculate this at the analysis stage?</text>
  </threadedComment>
  <threadedComment ref="BD275" dT="2023-09-01T10:18:50.39" personId="{3DE5673D-4837-4FC9-B8B9-34243175713A}" id="{DF71AD55-C4FD-4F48-83D7-E0F2680BEE84}" done="1">
    <text>Yes, but I think we have agreed that Adam / Nefeli can calculate this at the analysis stage?</text>
  </threadedComment>
  <threadedComment ref="A276" dT="2023-06-23T12:53:53.17" personId="{3DE5673D-4837-4FC9-B8B9-34243175713A}" id="{ECE7225E-F55F-41C3-A1B7-270130043E57}" done="1">
    <text>Figure 2 reports the cumulative incidence of stage II+ cancers as well as cumulative cervical cancer mortality per year after randomisation (1-8 years). No numbers reported though, just a graph.</text>
  </threadedComment>
  <threadedComment ref="BD276" dT="2023-09-01T10:18:50.39" personId="{3DE5673D-4837-4FC9-B8B9-34243175713A}" id="{BB1E049A-6F87-459E-9906-6449F42EFE72}" done="1">
    <text>Yes, but I think we have agreed that Adam / Nefeli can calculate this at the analysis stage?</text>
  </threadedComment>
  <threadedComment ref="D278" dT="2023-07-28T19:38:45.67" personId="{883E32C5-8AB4-4AEE-9ADC-CF370F4EA9A2}" id="{AF05561D-BE50-4541-9411-057216E1DF2C}" done="1">
    <text>Vs usual care? See my comments in the General trial design worksheet</text>
  </threadedComment>
  <threadedComment ref="X278" dT="2023-07-28T19:45:32.46" personId="{883E32C5-8AB4-4AEE-9ADC-CF370F4EA9A2}" id="{0347AF2E-5CDA-4FEA-880F-D03A01577798}" done="1">
    <text>Apologies, where does this come from?</text>
  </threadedComment>
  <threadedComment ref="X278" dT="2023-08-30T09:28:43.53" personId="{3DE5673D-4837-4FC9-B8B9-34243175713A}" id="{DAE14176-AEBD-46C6-96A6-253F643D04A2}" parentId="{0347AF2E-5CDA-4FEA-880F-D03A01577798}">
    <text>I think they are the people who died of other causes then cancer: 7-2=5 got the extensive screening group? For the comparator, should it be 11-4=7 non-cancer death plus 1 LTFU?</text>
  </threadedComment>
  <threadedComment ref="AE282" dT="2023-09-01T16:52:15.89" personId="{883E32C5-8AB4-4AEE-9ADC-CF370F4EA9A2}" id="{DF639176-32F9-4618-9C36-8AD91832146B}" done="1">
    <text>=216+961+2+20?</text>
  </threadedComment>
  <threadedComment ref="AE282" dT="2023-09-04T13:58:03.48" personId="{3DE5673D-4837-4FC9-B8B9-34243175713A}" id="{11B3DB14-0CA4-4623-9E53-F54057D15930}" parentId="{DF639176-32F9-4618-9C36-8AD91832146B}">
    <text>Yes, you re right.</text>
  </threadedComment>
  <threadedComment ref="AD284" dT="2023-08-16T07:40:33.56" personId="{E08A2389-F34B-466D-8AA1-6ADBBDF0F7BF}" id="{1F8CFEBD-D5CC-4AB3-AE9C-485196FD8044}">
    <text>I think it's 2005, and the 2007 date is when they did the analysis.</text>
  </threadedComment>
  <threadedComment ref="AT298" dT="2023-06-30T15:59:16.86" personId="{3DE5673D-4837-4FC9-B8B9-34243175713A}" id="{241CE931-3798-4893-AB8D-2B48920AA422}" done="1">
    <text>Slightly different to reported rate ratio.</text>
  </threadedComment>
  <threadedComment ref="AT298" dT="2023-09-28T19:14:32.36" personId="{883E32C5-8AB4-4AEE-9ADC-CF370F4EA9A2}" id="{D3BEB9EE-A95F-4D54-B814-A9BA4CAB3507}" parentId="{241CE931-3798-4893-AB8D-2B48920AA422}">
    <text>Rounding? Time distribution of PY at risk?</text>
  </threadedComment>
  <threadedComment ref="AT298" dT="2023-09-29T07:58:11.77" personId="{3DE5673D-4837-4FC9-B8B9-34243175713A}" id="{8D64FF3F-A280-41E9-B84E-84ACA90BA619}" parentId="{241CE931-3798-4893-AB8D-2B48920AA422}">
    <text>Possibly...</text>
  </threadedComment>
  <threadedComment ref="O306" dT="2023-09-26T19:04:39.29" personId="{883E32C5-8AB4-4AEE-9ADC-CF370F4EA9A2}" id="{294A2E74-12E4-47C6-B9E0-B4CEC9708F98}" done="1">
    <text>Whatever we called this for other thrombosis trials</text>
  </threadedComment>
  <threadedComment ref="O307" dT="2023-09-26T19:04:39.29" personId="{883E32C5-8AB4-4AEE-9ADC-CF370F4EA9A2}" id="{3C68185F-86CC-4835-904E-F7799BB04FDB}" done="1">
    <text>Whatever we called this for other thrombosis trials</text>
  </threadedComment>
  <threadedComment ref="P308" dT="2023-09-27T10:05:18.07" personId="{883E32C5-8AB4-4AEE-9ADC-CF370F4EA9A2}" id="{9EDFE717-6C13-4516-B520-49367E612C43}" done="1">
    <text>Or 1997? See my comments on the Mapping worksheet - sloppy reporting?</text>
  </threadedComment>
  <threadedComment ref="P308" dT="2023-09-27T14:08:52.67" personId="{3DE5673D-4837-4FC9-B8B9-34243175713A}" id="{A962DE68-180B-444B-BD73-8677A1D7D546}" parentId="{9EDFE717-6C13-4516-B520-49367E612C43}">
    <text>Agree, 31/12/1997.</text>
  </threadedComment>
  <threadedComment ref="Q308" dT="2023-09-27T10:06:01.16" personId="{883E32C5-8AB4-4AEE-9ADC-CF370F4EA9A2}" id="{C72A3DE2-5003-4B85-905B-0355301D2760}" done="1">
    <text>If they indeed ended FU at the end of 1997, then we have up to 5 years of FU (range 2-5?)</text>
  </threadedComment>
  <threadedComment ref="Q308" dT="2023-09-27T14:09:27.69" personId="{3DE5673D-4837-4FC9-B8B9-34243175713A}" id="{3DE2EA38-401A-4D87-9CFA-EC6246D0155C}" parentId="{C72A3DE2-5003-4B85-905B-0355301D2760}">
    <text>Corrected.</text>
  </threadedComment>
  <threadedComment ref="R308" dT="2023-09-27T15:58:21.96" personId="{3DE5673D-4837-4FC9-B8B9-34243175713A}" id="{D1038E95-8538-4AB6-B8E7-CF4824DC1514}" done="1">
    <text>I have added these. Please check!</text>
  </threadedComment>
  <threadedComment ref="U308" dT="2023-09-27T10:07:23.37" personId="{883E32C5-8AB4-4AEE-9ADC-CF370F4EA9A2}" id="{76374AE4-5275-4895-86E3-E9C62190E7A6}" done="1">
    <text>This doesn't include those who did not comply with the intervention. The number randomised into the intervention group was 9757</text>
  </threadedComment>
  <threadedComment ref="U308" dT="2023-09-27T10:07:50.07" personId="{883E32C5-8AB4-4AEE-9ADC-CF370F4EA9A2}" id="{B4A401B4-2998-49AE-8ED7-79237D562DF2}" parentId="{76374AE4-5275-4895-86E3-E9C62190E7A6}">
    <text>This would exaggerate the effectiveness of the intervention</text>
  </threadedComment>
  <threadedComment ref="U308" dT="2023-09-27T14:20:00.71" personId="{3DE5673D-4837-4FC9-B8B9-34243175713A}" id="{E76F4C07-7F5E-43AD-A898-AB866E468823}" parentId="{76374AE4-5275-4895-86E3-E9C62190E7A6}">
    <text>We are not looking at the effectiveness of screening. 
Here, we report the number included in the analysis.
This is 9,373 people as the others did not want to participate in the trial and were therefore not followed up. So, we only know the number of breast cancer deaths for these 9,373 cases.</text>
  </threadedComment>
  <threadedComment ref="V308" dT="2023-09-27T10:08:36.23" personId="{883E32C5-8AB4-4AEE-9ADC-CF370F4EA9A2}" id="{3299CD56-7270-4264-B4C3-7E3B93C4BD42}" done="1">
    <text>Did you notice how they "lost" 300 people from the control arm between the two publications, without giving any explanation why? 
Honestly, this trial's reporting...</text>
  </threadedComment>
  <threadedComment ref="V308" dT="2023-09-27T14:20:21.76" personId="{3DE5673D-4837-4FC9-B8B9-34243175713A}" id="{9658E552-6D3A-4218-A38B-17057E18AF78}" parentId="{3299CD56-7270-4264-B4C3-7E3B93C4BD42}">
    <text>Is it maybe because the first paper included 35-55 year olds, and the second paper 35-59 year olds?
Not sure though why the study group got larger...</text>
  </threadedComment>
  <threadedComment ref="AC308" dT="2023-09-27T10:10:20.07" personId="{883E32C5-8AB4-4AEE-9ADC-CF370F4EA9A2}" id="{AAB02AE5-B5BC-4E16-B95B-C33F74107DC0}">
    <text>All three cells: maybe 1997??</text>
  </threadedComment>
  <threadedComment ref="AC308" dT="2023-09-27T14:21:45.58" personId="{3DE5673D-4837-4FC9-B8B9-34243175713A}" id="{F83C68C1-EFA6-485A-B0A2-5FEF2103CA10}" parentId="{AAB02AE5-B5BC-4E16-B95B-C33F74107DC0}">
    <text>Corrected.</text>
  </threadedComment>
  <threadedComment ref="AG309" dT="2023-09-27T10:12:18.96" personId="{883E32C5-8AB4-4AEE-9ADC-CF370F4EA9A2}" id="{C6855FB3-8373-4F5B-8025-D3EBC1BFE29E}" done="1">
    <text>This is true (number of people analysed). Just wondering what we did in similar cases in other trials - did we take number analysed as the denominator or the number randomised? Likely analysed (like here), as we're not sure there weren't any deaths in the people excluded from the analysis?</text>
  </threadedComment>
  <threadedComment ref="AG309" dT="2023-09-27T14:20:46.56" personId="{3DE5673D-4837-4FC9-B8B9-34243175713A}" id="{2BFA5201-40BF-4A3A-9B11-32FB95BC7B35}" parentId="{C6855FB3-8373-4F5B-8025-D3EBC1BFE29E}">
    <text>We used the number of people in the analysis.</text>
  </threadedComment>
  <threadedComment ref="D310" dT="2023-08-31T21:40:49.75" personId="{883E32C5-8AB4-4AEE-9ADC-CF370F4EA9A2}" id="{18E8648E-5DDB-48EE-8018-68DFE004C10D}" done="1">
    <text>What was the agreement for extraction when we have unadjusted and more than 1 adjusted relative rates? Do we extract them all?</text>
  </threadedComment>
  <threadedComment ref="D310" dT="2023-09-01T09:45:34.72" personId="{3DE5673D-4837-4FC9-B8B9-34243175713A}" id="{DFE7CA5F-6F90-4E13-A888-A9F44A5972D2}" parentId="{18E8648E-5DDB-48EE-8018-68DFE004C10D}">
    <text>Not sure. A question for Adam?</text>
  </threadedComment>
  <threadedComment ref="D310" dT="2023-09-18T07:39:49.36" personId="{3DE5673D-4837-4FC9-B8B9-34243175713A}" id="{FACCAC53-C072-4BBD-8966-E2EAD4DE6301}" parentId="{18E8648E-5DDB-48EE-8018-68DFE004C10D}">
    <text>Reply Adam: "Think extracting both adjusted and unadjusted. For adjusted take the main adjusted one if clear? Otherwise one reported with most variables?"</text>
  </threadedComment>
  <threadedComment ref="D314" dT="2023-08-31T21:46:47.54" personId="{883E32C5-8AB4-4AEE-9ADC-CF370F4EA9A2}" id="{0434206F-C430-4DA7-ABDB-6D4D3268B1E8}">
    <text xml:space="preserve">Please help me remember - did we in the end agree that we are extracting rates even when absolute N are not reported? </text>
  </threadedComment>
  <threadedComment ref="D314" dT="2023-09-01T09:46:37.29" personId="{3DE5673D-4837-4FC9-B8B9-34243175713A}" id="{67AA4253-C1C5-4AFC-ADCE-AAC971F35F1C}" parentId="{0434206F-C430-4DA7-ABDB-6D4D3268B1E8}">
    <text>Can we check with Sian / Adam?</text>
  </threadedComment>
  <threadedComment ref="D314" dT="2023-09-18T07:43:45.36" personId="{3DE5673D-4837-4FC9-B8B9-34243175713A}" id="{B52456D8-1166-43DE-908A-7E2A14B6D830}" parentId="{0434206F-C430-4DA7-ABDB-6D4D3268B1E8}">
    <text>Reply Adam: yes, helpful.</text>
  </threadedComment>
  <threadedComment ref="AX321" dT="2023-06-26T10:52:26.56" personId="{3DE5673D-4837-4FC9-B8B9-34243175713A}" id="{5DAD0815-B4D5-431A-8498-C7A9F79B3383}">
    <text>Not clear what ratio is reported here and how it was adjusted. Methods sections says "Cox
proportional hazards regression, taking into account cluster design and adjusting for age, education, marital status, and parity, using intention to treat analysis."</text>
  </threadedComment>
  <threadedComment ref="AX321" dT="2023-08-31T21:50:47.27" personId="{883E32C5-8AB4-4AEE-9ADC-CF370F4EA9A2}" id="{A94A3493-61C3-4892-89BB-2A59B338482A}" parentId="{5DAD0815-B4D5-431A-8498-C7A9F79B3383}">
    <text>This one might just be a relative rate, calculated using age-standardised rates</text>
  </threadedComment>
  <threadedComment ref="AX321" dT="2023-09-29T11:40:46.87" personId="{3DE5673D-4837-4FC9-B8B9-34243175713A}" id="{8064B48E-F0CD-41D7-8308-B851ED55169D}" parentId="{5DAD0815-B4D5-431A-8498-C7A9F79B3383}">
    <text>The ratio using the age-standardised rates is 0.95. I have calculated it n the row above. Still unclear to me and no reply from Adam yet.</text>
  </threadedComment>
  <threadedComment ref="A322" dT="2023-06-26T11:27:20.55" personId="{3DE5673D-4837-4FC9-B8B9-34243175713A}" id="{B7F559EC-18B5-4426-A551-D874FA0E8920}" done="1">
    <text>The discussion reports additional data for the subgroup of 34 803 eligible women in the intervention and 30 770 eligible women in the control group identified by the initial single enumeration in the year 2000, before screening was initiated.</text>
  </threadedComment>
  <threadedComment ref="A322" dT="2023-08-31T21:38:19.56" personId="{883E32C5-8AB4-4AEE-9ADC-CF370F4EA9A2}" id="{A9164943-056D-415B-BDB2-6E8F3072DB22}" parentId="{B7F559EC-18B5-4426-A551-D874FA0E8920}">
    <text>I wouldn't prioritise extracting those numbers</text>
  </threadedComment>
  <threadedComment ref="R323" dT="2023-06-15T09:19:33.92" personId="{3DE5673D-4837-4FC9-B8B9-34243175713A}" id="{38048173-AECA-4D9B-AA41-555C0FB5EBF3}" done="1">
    <text>344,404 PY / 78,969???</text>
  </threadedComment>
  <threadedComment ref="R323" dT="2023-09-27T16:48:56.48" personId="{883E32C5-8AB4-4AEE-9ADC-CF370F4EA9A2}" id="{5265E0FF-C707-4E38-BCA2-5A0565D8A8CD}" parentId="{38048173-AECA-4D9B-AA41-555C0FB5EBF3}">
    <text>I agree</text>
  </threadedComment>
  <threadedComment ref="S323" dT="2023-06-15T09:20:41.08" personId="{3DE5673D-4837-4FC9-B8B9-34243175713A}" id="{4817E3E1-A1AB-4BF4-B5E1-E27BD384804B}" done="1">
    <text>329,326 PY / 74,739???</text>
  </threadedComment>
  <threadedComment ref="S323" dT="2023-09-27T16:49:05.52" personId="{883E32C5-8AB4-4AEE-9ADC-CF370F4EA9A2}" id="{59E4EC21-9109-4835-BC44-354B9A063358}" parentId="{4817E3E1-A1AB-4BF4-B5E1-E27BD384804B}">
    <text>I agree</text>
  </threadedComment>
  <threadedComment ref="R324" dT="2023-06-15T09:19:33.92" personId="{3DE5673D-4837-4FC9-B8B9-34243175713A}" id="{FAE48064-B162-4B8F-A402-12FD0A416C14}" done="1">
    <text>344,404 PY / 78,969???</text>
  </threadedComment>
  <threadedComment ref="R324" dT="2023-09-27T16:48:56.48" personId="{883E32C5-8AB4-4AEE-9ADC-CF370F4EA9A2}" id="{F6719D6A-B7BB-449B-A83B-AE2A848BA1DE}" parentId="{FAE48064-B162-4B8F-A402-12FD0A416C14}">
    <text>I agree</text>
  </threadedComment>
  <threadedComment ref="S324" dT="2023-06-15T09:20:41.08" personId="{3DE5673D-4837-4FC9-B8B9-34243175713A}" id="{1A6BCCFC-E5C6-40AE-A2B3-FDAF45A80719}" done="1">
    <text>329,326 PY / 74,739???</text>
  </threadedComment>
  <threadedComment ref="S324" dT="2023-09-27T16:49:05.52" personId="{883E32C5-8AB4-4AEE-9ADC-CF370F4EA9A2}" id="{580FD034-D2E6-44DD-B7C4-F636C2F75163}" parentId="{1A6BCCFC-E5C6-40AE-A2B3-FDAF45A80719}">
    <text>I agree</text>
  </threadedComment>
  <threadedComment ref="R325" dT="2023-06-15T11:18:50.90" personId="{3DE5673D-4837-4FC9-B8B9-34243175713A}" id="{4F34F10E-89B9-4F2D-927E-E255691E5057}" done="1">
    <text>469,089 PY / 96,517???</text>
  </threadedComment>
  <threadedComment ref="R325" dT="2023-09-27T17:37:36.75" personId="{883E32C5-8AB4-4AEE-9ADC-CF370F4EA9A2}" id="{F05B9611-0370-4792-8408-4498EC920C29}" parentId="{4F34F10E-89B9-4F2D-927E-E255691E5057}">
    <text>I agree</text>
  </threadedComment>
  <threadedComment ref="S325" dT="2023-06-15T11:22:33.94" personId="{3DE5673D-4837-4FC9-B8B9-34243175713A}" id="{25CF2C36-9F34-4144-BD51-E0607BD5995F}" done="1">
    <text>419,748 PY / 95,356???</text>
  </threadedComment>
  <threadedComment ref="S325" dT="2023-09-27T17:37:41.65" personId="{883E32C5-8AB4-4AEE-9ADC-CF370F4EA9A2}" id="{33F356C2-2411-4286-9C1B-CB81F4B093CD}" parentId="{25CF2C36-9F34-4144-BD51-E0607BD5995F}">
    <text>I agree</text>
  </threadedComment>
  <threadedComment ref="R326" dT="2023-06-15T11:18:50.90" personId="{3DE5673D-4837-4FC9-B8B9-34243175713A}" id="{39A890CE-0F3F-4EA1-A7FF-E5F9E0920576}" done="1">
    <text>469,089 PY / 96,517???</text>
  </threadedComment>
  <threadedComment ref="R326" dT="2023-09-27T17:37:36.75" personId="{883E32C5-8AB4-4AEE-9ADC-CF370F4EA9A2}" id="{3A5BAAF3-81CE-4FE2-8ED7-5F86914D5431}" parentId="{39A890CE-0F3F-4EA1-A7FF-E5F9E0920576}">
    <text>I agree</text>
  </threadedComment>
  <threadedComment ref="S326" dT="2023-06-15T11:22:33.94" personId="{3DE5673D-4837-4FC9-B8B9-34243175713A}" id="{0D7E0F9C-4E76-46EC-A334-9E4FCFBA4290}" done="1">
    <text>419,748 PY / 95,356???</text>
  </threadedComment>
  <threadedComment ref="S326" dT="2023-09-27T17:37:41.65" personId="{883E32C5-8AB4-4AEE-9ADC-CF370F4EA9A2}" id="{CC0C84C5-2B1E-4F8F-93EE-F8ECA3CD0957}" parentId="{0D7E0F9C-4E76-46EC-A334-9E4FCFBA4290}">
    <text>I agree</text>
  </threadedComment>
  <threadedComment ref="A327" dT="2023-06-15T16:12:07.96" personId="{3DE5673D-4837-4FC9-B8B9-34243175713A}" id="{529AA78F-B25D-4FD0-AA55-A5E86C200FB3}" done="1">
    <text>I have not extracted data for the subgroups "Tobacco or alcohol users or both" and "People with no habits".</text>
  </threadedComment>
  <threadedComment ref="A327" dT="2023-09-27T18:29:24.56" personId="{883E32C5-8AB4-4AEE-9ADC-CF370F4EA9A2}" id="{7E9A2B0C-5AF6-4FE5-832D-420595475C53}" parentId="{529AA78F-B25D-4FD0-AA55-A5E86C200FB3}">
    <text>I wonder whether we should though, as we have both the surrogate and mortality available. Same for the Subramanian paper.</text>
  </threadedComment>
  <threadedComment ref="A327" dT="2023-09-29T12:22:14.93" personId="{3DE5673D-4837-4FC9-B8B9-34243175713A}" id="{B4DD2712-DF62-4CFE-A3F7-3BD1C6D52F09}" parentId="{529AA78F-B25D-4FD0-AA55-A5E86C200FB3}">
    <text>I understood that we are only interested in subgroups by centre, age or sex (or combinations of these).</text>
  </threadedComment>
  <threadedComment ref="A327" dT="2023-09-29T15:15:12.79" personId="{883E32C5-8AB4-4AEE-9ADC-CF370F4EA9A2}" id="{81251015-0933-4103-B58D-11C41C81005B}" parentId="{529AA78F-B25D-4FD0-AA55-A5E86C200FB3}">
    <text>You're right. Please disregard my comment</text>
  </threadedComment>
  <threadedComment ref="R327" dT="2023-06-15T15:57:12.50" personId="{3DE5673D-4837-4FC9-B8B9-34243175713A}" id="{1104D397-248D-42E2-9EF3-94A4A8E32FA1}" done="1">
    <text>895,310 PY / 96,517???</text>
  </threadedComment>
  <threadedComment ref="R327" dT="2023-09-27T18:30:44.91" personId="{883E32C5-8AB4-4AEE-9ADC-CF370F4EA9A2}" id="{1DC86619-2F1F-46FA-9C3C-2B9DE8D06067}" parentId="{1104D397-248D-42E2-9EF3-94A4A8E32FA1}">
    <text>I agree, this is reported in the table with mortality. I'm just confused why the reported PY are so different in Fig1?</text>
  </threadedComment>
  <threadedComment ref="R327" dT="2023-09-29T12:23:33.82" personId="{3DE5673D-4837-4FC9-B8B9-34243175713A}" id="{111E0DE7-5349-430A-B2A5-D89ADEB28BB9}" parentId="{1104D397-248D-42E2-9EF3-94A4A8E32FA1}">
    <text>In Figure 1 that might be the PY until cancer diagnosis and here it is PY until death?</text>
  </threadedComment>
  <threadedComment ref="R327" dT="2023-09-29T15:18:27.72" personId="{883E32C5-8AB4-4AEE-9ADC-CF370F4EA9A2}" id="{50EF5F94-C250-4102-815A-6C4158DB49FC}" parentId="{1104D397-248D-42E2-9EF3-94A4A8E32FA1}">
    <text>Could be, yes (the direction of the differences is as you would have expected them in this case). I just thought the difference was larger than in other papers. Either way, you've used the right numbers (as reported for mortality)</text>
  </threadedComment>
  <threadedComment ref="S327" dT="2023-06-15T15:54:39.40" personId="{3DE5673D-4837-4FC9-B8B9-34243175713A}" id="{B56E9FE5-3DCB-4859-B2EA-A1687FB922B1}" done="1">
    <text>989,280 PY / 95,356???</text>
  </threadedComment>
  <threadedComment ref="S327" dT="2023-09-27T18:30:50.44" personId="{883E32C5-8AB4-4AEE-9ADC-CF370F4EA9A2}" id="{A6905805-795F-4570-B15C-E7125692D467}" parentId="{B56E9FE5-3DCB-4859-B2EA-A1687FB922B1}">
    <text>I agree, but see on the left</text>
  </threadedComment>
  <threadedComment ref="AS327" dT="2023-06-15T15:53:38.29" personId="{3DE5673D-4837-4FC9-B8B9-34243175713A}" id="{11551EFD-E57D-47E0-983B-461F65AA89AA}" done="1">
    <text>Slightly different to calculated RR.</text>
  </threadedComment>
  <threadedComment ref="AS327" dT="2023-09-27T18:31:53.26" personId="{883E32C5-8AB4-4AEE-9ADC-CF370F4EA9A2}" id="{CEA1C365-3632-49AA-969F-421B883B8580}" parentId="{11551EFD-E57D-47E0-983B-461F65AA89AA}">
    <text>Strange, as you have almost identical rates by arm. Though maybe the different PY at risk reported in the different parts of the paper give ever so slightly different RR?</text>
  </threadedComment>
  <threadedComment ref="AY327" dT="2023-06-15T15:59:11.04" personId="{3DE5673D-4837-4FC9-B8B9-34243175713A}" id="{76B51DC8-ADC7-41C5-A035-8286A0E78C8B}" done="1">
    <text>From Figure 1: 18.9 / 19.7</text>
  </threadedComment>
  <threadedComment ref="A328" dT="2023-06-15T16:12:07.96" personId="{3DE5673D-4837-4FC9-B8B9-34243175713A}" id="{0C3CC413-4E7F-4823-B31B-3DF341D733F3}" done="1">
    <text>I have not extracted data for the subgroups "Tobacco or alcohol users or both" and "People with no habits".</text>
  </threadedComment>
  <threadedComment ref="R328" dT="2023-06-15T15:57:12.50" personId="{3DE5673D-4837-4FC9-B8B9-34243175713A}" id="{9E0F0F5D-7C54-43F3-9B6C-DC073B94119B}" done="1">
    <text>895,310 PY / 96,517???</text>
  </threadedComment>
  <threadedComment ref="R328" dT="2023-09-27T18:30:44.91" personId="{883E32C5-8AB4-4AEE-9ADC-CF370F4EA9A2}" id="{C685144E-7A5C-40D2-91A0-C511A4096AFA}" parentId="{9E0F0F5D-7C54-43F3-9B6C-DC073B94119B}">
    <text>I agree, this is reported in the table with mortality. I'm just confused why the reported PY are so different in Fig1?</text>
  </threadedComment>
  <threadedComment ref="R328" dT="2023-09-29T12:23:33.82" personId="{3DE5673D-4837-4FC9-B8B9-34243175713A}" id="{DF51DA7A-C00C-4FC6-BA04-6EFAFE33C904}" parentId="{9E0F0F5D-7C54-43F3-9B6C-DC073B94119B}">
    <text>In Figure 1 that might be the PY until cancer diagnosis and here it is PY until death?</text>
  </threadedComment>
  <threadedComment ref="S328" dT="2023-06-15T15:54:39.40" personId="{3DE5673D-4837-4FC9-B8B9-34243175713A}" id="{BFCD5061-0626-498C-9832-73CBDDED3B05}" done="1">
    <text>989,280 PY / 95,356???</text>
  </threadedComment>
  <threadedComment ref="S328" dT="2023-09-27T18:30:50.44" personId="{883E32C5-8AB4-4AEE-9ADC-CF370F4EA9A2}" id="{087ADEA1-DBAA-4ECB-97C5-85814CC019F9}" parentId="{BFCD5061-0626-498C-9832-73CBDDED3B05}">
    <text>I agree, but see on the left</text>
  </threadedComment>
  <threadedComment ref="W329" dT="2023-09-28T20:33:08.54" personId="{883E32C5-8AB4-4AEE-9ADC-CF370F4EA9A2}" id="{B9D06D9B-17E1-47C4-BC66-1ACE37934396}" done="1">
    <text>Where does this come from? Apologies, I can't locate it</text>
  </threadedComment>
  <threadedComment ref="W329" dT="2023-09-29T13:51:18.53" personId="{3DE5673D-4837-4FC9-B8B9-34243175713A}" id="{D26B080B-9874-431C-B8EC-6ADAB42401DF}" parentId="{B9D06D9B-17E1-47C4-BC66-1ACE37934396}">
    <text>Must be 6+234=240?
"The NHSCR was unable to trace six people in the control group and six in the intervention group, two of whom were screened. A further 234 (&lt;1%) in the intervention group and 451 (&lt;1%) in the control group emigrated."</text>
  </threadedComment>
  <threadedComment ref="A367" dT="2023-07-24T14:41:21.07" personId="{3DE5673D-4837-4FC9-B8B9-34243175713A}" id="{A4720835-795A-468F-901C-67CB1B06FE51}" done="1">
    <text>Supplementary Table 1 also reports cancer incidence and mortality by "Sex and age group" which I have not extracted.</text>
  </threadedComment>
  <threadedComment ref="A367" dT="2023-09-28T21:17:38.80" personId="{883E32C5-8AB4-4AEE-9ADC-CF370F4EA9A2}" id="{65C5145B-B055-4601-BEE9-554B6E318B14}" parentId="{A4720835-795A-468F-901C-67CB1B06FE51}">
    <text>OK</text>
  </threadedComment>
  <threadedComment ref="D368" dT="2023-09-29T06:23:15.24" personId="{883E32C5-8AB4-4AEE-9ADC-CF370F4EA9A2}" id="{D367C2DF-7AE3-4BB0-BDE8-76F68502C690}" done="1">
    <text>To differentiate it from the Atkin 2017 paper, maybe we should label this also here as covering 13/14 centres? Otherwise there's no point in re-extracting these data again</text>
  </threadedComment>
  <threadedComment ref="D368" dT="2023-09-29T06:24:01.06" personId="{883E32C5-8AB4-4AEE-9ADC-CF370F4EA9A2}" id="{377700FE-BD38-438F-94EC-1D741043D2BA}" parentId="{D367C2DF-7AE3-4BB0-BDE8-76F68502C690}">
    <text>I do wonder whether we should re-extract the data anyway. Though maybe the meta-analysis will only correlate the surrogates from Cross 2022 with the mortality from the same paper</text>
  </threadedComment>
  <threadedComment ref="D368" dT="2023-09-29T13:52:56.26" personId="{3DE5673D-4837-4FC9-B8B9-34243175713A}" id="{DF692D21-4100-42DC-AC56-35CEF309C46E}" parentId="{D367C2DF-7AE3-4BB0-BDE8-76F68502C690}">
    <text>Done.</text>
  </threadedComment>
  <threadedComment ref="V368" dT="2023-09-29T06:51:03.80" personId="{883E32C5-8AB4-4AEE-9ADC-CF370F4EA9A2}" id="{A75F04C0-54C3-4E55-9241-0DE5959B3563}" done="1">
    <text>111,503?</text>
  </threadedComment>
  <threadedComment ref="V368" dT="2023-09-29T14:00:06.89" personId="{3DE5673D-4837-4FC9-B8B9-34243175713A}" id="{D872F883-9607-432D-9039-3CE313247456}" parentId="{A75F04C0-54C3-4E55-9241-0DE5959B3563}">
    <text>Corrected.</text>
  </threadedComment>
  <threadedComment ref="AE375" dT="2023-06-28T13:36:29.47" personId="{3DE5673D-4837-4FC9-B8B9-34243175713A}" id="{680A32E1-4B88-4C39-AFFB-BA6878D9E34D}" done="1">
    <text>0.9% of 423</text>
  </threadedComment>
  <threadedComment ref="AE375" dT="2023-09-01T13:41:47.99" personId="{883E32C5-8AB4-4AEE-9ADC-CF370F4EA9A2}" id="{CFB347FD-FECC-43C0-A78C-7531BAE2DA18}" parentId="{680A32E1-4B88-4C39-AFFB-BA6878D9E34D}">
    <text>I agree</text>
  </threadedComment>
  <threadedComment ref="AV385" dT="2023-09-15T09:23:59.93" personId="{3DE5673D-4837-4FC9-B8B9-34243175713A}" id="{A181684E-6E5A-4CA3-8A3E-7AA73E824C73}" done="1">
    <text>0.97 in Table 2 (#4257).</text>
  </threadedComment>
  <threadedComment ref="AV385" dT="2023-10-12T06:46:23.48" personId="{883E32C5-8AB4-4AEE-9ADC-CF370F4EA9A2}" id="{D5333B45-786A-4567-81A2-2F3AD4E42BDE}" parentId="{A181684E-6E5A-4CA3-8A3E-7AA73E824C73}">
    <text>ok</text>
  </threadedComment>
  <threadedComment ref="AS386" dT="2023-09-15T09:24:50.91" personId="{3DE5673D-4837-4FC9-B8B9-34243175713A}" id="{B664E636-4D8F-4977-B8EB-7A7EE45A81D3}" done="1">
    <text>Reported in Duffy 2020 (#4257).</text>
  </threadedComment>
  <threadedComment ref="AS386" dT="2023-10-12T06:46:12.64" personId="{883E32C5-8AB4-4AEE-9ADC-CF370F4EA9A2}" id="{4D438D56-FE7B-48F4-AEFD-9F18245B5FA7}" parentId="{B664E636-4D8F-4977-B8EB-7A7EE45A81D3}">
    <text>OK</text>
  </threadedComment>
  <threadedComment ref="AU386" dT="2023-09-15T09:24:50.91" personId="{3DE5673D-4837-4FC9-B8B9-34243175713A}" id="{40F5AD8E-0654-4C78-86A0-FFCFA6BAA76A}" done="1">
    <text>Reported in Duffy 2020 (#4257).</text>
  </threadedComment>
  <threadedComment ref="AU386" dT="2023-10-12T06:46:40.95" personId="{883E32C5-8AB4-4AEE-9ADC-CF370F4EA9A2}" id="{3CFC27F6-9678-43FD-B950-BDA6A6CD4BF6}" parentId="{40F5AD8E-0654-4C78-86A0-FFCFA6BAA76A}">
    <text>ok</text>
  </threadedComment>
  <threadedComment ref="AV386" dT="2023-09-15T09:24:50.91" personId="{3DE5673D-4837-4FC9-B8B9-34243175713A}" id="{1C508887-CBB1-47CC-BE2F-3D196BBE5AD8}" done="1">
    <text>Reported in Duffy 2020 (#4257).</text>
  </threadedComment>
  <threadedComment ref="AV386" dT="2023-10-12T06:46:47.43" personId="{883E32C5-8AB4-4AEE-9ADC-CF370F4EA9A2}" id="{FEBFA63F-1BF1-4889-AACF-D6BDE61574B1}" parentId="{1C508887-CBB1-47CC-BE2F-3D196BBE5AD8}">
    <text>ok</text>
  </threadedComment>
  <threadedComment ref="AG388" dT="2023-10-12T06:52:53.34" personId="{883E32C5-8AB4-4AEE-9ADC-CF370F4EA9A2}" id="{33DEA4D3-FB04-4E00-ADE8-2EEC3C299A51}" done="1">
    <text>These must be approximations?</text>
  </threadedComment>
  <threadedComment ref="AG388" dT="2023-10-13T13:33:10.85" personId="{3DE5673D-4837-4FC9-B8B9-34243175713A}" id="{0B64094B-62F1-4B79-A78A-5DF6E945E321}" parentId="{33DEA4D3-FB04-4E00-ADE8-2EEC3C299A51}">
    <text>The number of person years is from Table 3. I thought that the end of follow-up here is the same (31/12/2011). The only thing that differs here is that a death in a prostate cancer patient is not always classed as an event. The deceased person is still censored at death. Or is this an error of thinking?</text>
  </threadedComment>
  <threadedComment ref="AG388" dT="2023-10-17T10:13:29.09" personId="{883E32C5-8AB4-4AEE-9ADC-CF370F4EA9A2}" id="{2147E61F-3F12-43B9-8B82-B0A134334AA0}" parentId="{33DEA4D3-FB04-4E00-ADE8-2EEC3C299A51}">
    <text>Apologies - what I meant was that this seems to be the number of woman-years for the entire cohort until 31/12/2011, not just for the analysis where deaths are counted for cases diagnosed in the first 7 years. The number of woman-years for the latter would likely not very different from this one here, but it would probably not be entirely the same. (So if we're keeping the numbers in the spreadsheet - which is OK with me - we might leave a note somewhere to say that this is an approximation)</text>
  </threadedComment>
  <threadedComment ref="AG388" dT="2023-10-17T16:01:47.75" personId="{3DE5673D-4837-4FC9-B8B9-34243175713A}" id="{50B01D6C-C9B8-4484-A7B9-15E661DA0403}" parentId="{33DEA4D3-FB04-4E00-ADE8-2EEC3C299A51}">
    <text>I see. Fine with me. I will put it in the notes field.</text>
  </threadedComment>
  <threadedComment ref="D396" dT="2023-10-12T15:53:02.02" personId="{883E32C5-8AB4-4AEE-9ADC-CF370F4EA9A2}" id="{02AE96F3-2D8C-415B-9744-2D52A740DA79}" done="1">
    <text>We're not extracting 0-5 and 5-10 again because they were already covered in the previous publications, right?</text>
  </threadedComment>
  <threadedComment ref="D396" dT="2023-10-13T13:36:51.46" personId="{3DE5673D-4837-4FC9-B8B9-34243175713A}" id="{39ED48F2-7AE1-4A47-A80C-5984536D719D}" parentId="{02AE96F3-2D8C-415B-9744-2D52A740DA79}">
    <text>Yes, the numbers are completely the same for the other follow-up times, so I don't extracted them again.</text>
  </threadedComment>
  <threadedComment ref="D396" dT="2023-10-17T08:29:30.91" personId="{883E32C5-8AB4-4AEE-9ADC-CF370F4EA9A2}" id="{C3B364EE-44F4-4AD6-87A6-A2394E655282}" parentId="{02AE96F3-2D8C-415B-9744-2D52A740DA79}">
    <text>Excellent, thanks</text>
  </threadedComment>
  <threadedComment ref="AE396" dT="2023-09-15T10:03:27.61" personId="{3DE5673D-4837-4FC9-B8B9-34243175713A}" id="{313EB357-BA15-4CC2-A389-775DA7E33E06}" done="1">
    <text>Moss 2015 reported 181 deaths.</text>
  </threadedComment>
  <threadedComment ref="AG396" dT="2023-09-15T10:04:24.99" personId="{3DE5673D-4837-4FC9-B8B9-34243175713A}" id="{129E4A5C-CB56-4193-A76F-EBB8BB0DEC71}" done="1">
    <text>Slightly different number of person years compared to Moss 2015.</text>
  </threadedComment>
  <threadedComment ref="P398" dT="2023-06-01T09:39:41.96" personId="{3DE5673D-4837-4FC9-B8B9-34243175713A}" id="{46C4EBBC-30FC-4873-ADBF-4B956DBFDC9A}" done="1">
    <text>Last screening: 31 October 1982. "At this writing… status verified individually within the last two years…" Manuscript received 26 July 1983, published 1984.</text>
  </threadedComment>
  <threadedComment ref="P398" dT="2023-09-26T12:48:24.81" personId="{E08A2389-F34B-466D-8AA1-6ADBBDF0F7BF}" id="{70CE8B02-3741-408D-8C52-B21C8D2A536B}" parentId="{46C4EBBC-30FC-4873-ADBF-4B956DBFDC9A}">
    <text>Not clear. All we can say is approximately 1983 because of the statement above.</text>
  </threadedComment>
  <threadedComment ref="AC398" dT="2023-09-26T12:56:41.33" personId="{E08A2389-F34B-466D-8AA1-6ADBBDF0F7BF}" id="{064D2D12-97B9-4589-8CC0-BE4F20764E9C}" done="1">
    <text>I wouldn't include the "dead of diagnostic procedure-related causes (lung cancer present)" in cancer-specific mortality. It wasn't the lung cancer that they died from.</text>
  </threadedComment>
  <threadedComment ref="AC398" dT="2023-09-29T14:48:02.23" personId="{3DE5673D-4837-4FC9-B8B9-34243175713A}" id="{E62275BA-8C7B-4B47-B034-A70B7F0FDDE6}" parentId="{064D2D12-97B9-4589-8CC0-BE4F20764E9C}">
    <text>I have added an additional row excluding these deaths.</text>
  </threadedComment>
  <threadedComment ref="AE398" dT="2023-09-26T13:02:27.06" personId="{E08A2389-F34B-466D-8AA1-6ADBBDF0F7BF}" id="{34F577CD-BD71-4A95-8CC5-7A5AB5564EEF}" done="1">
    <text>74 if excluding the "diagnostic procedure deaths"</text>
  </threadedComment>
  <threadedComment ref="AE398" dT="2023-09-29T14:49:00.48" personId="{3DE5673D-4837-4FC9-B8B9-34243175713A}" id="{08C4408F-9353-4A4B-8EE6-8CC49ECD835B}" parentId="{34F577CD-BD71-4A95-8CC5-7A5AB5564EEF}">
    <text>Added below.</text>
  </threadedComment>
  <threadedComment ref="AF398" dT="2023-09-26T13:02:55.96" personId="{E08A2389-F34B-466D-8AA1-6ADBBDF0F7BF}" id="{CBDFEC8D-D5EF-408A-95E4-7785D0C8D244}" done="1">
    <text xml:space="preserve">82 if excluding the "diagnostic procedure deaths"
</text>
  </threadedComment>
  <threadedComment ref="AF398" dT="2023-09-29T14:49:22.12" personId="{3DE5673D-4837-4FC9-B8B9-34243175713A}" id="{34191285-FC36-4D3A-95CE-7011087D5A1C}" parentId="{CBDFEC8D-D5EF-408A-95E4-7785D0C8D244}">
    <text>Added below.</text>
  </threadedComment>
  <threadedComment ref="AK398" dT="2023-09-26T13:04:37.52" personId="{E08A2389-F34B-466D-8AA1-6ADBBDF0F7BF}" id="{3EECEDDC-E757-4370-8C47-099989262B84}" done="1">
    <text xml:space="preserve">1.49 if excluding the "diagnostic procedure deaths"
</text>
  </threadedComment>
  <threadedComment ref="AK398" dT="2023-09-29T14:49:54.09" personId="{3DE5673D-4837-4FC9-B8B9-34243175713A}" id="{2D307835-9B5C-40E8-9BFE-3DEC4AB318A2}" parentId="{3EECEDDC-E757-4370-8C47-099989262B84}">
    <text>Added below.</text>
  </threadedComment>
  <threadedComment ref="AO398" dT="2023-09-26T13:04:49.68" personId="{E08A2389-F34B-466D-8AA1-6ADBBDF0F7BF}" id="{FD57EA74-C042-4C26-86B0-28A3D0B3421E}" done="1">
    <text>1.62 if excluding the "diagnostic procedure deaths"</text>
  </threadedComment>
  <threadedComment ref="AO398" dT="2023-09-29T14:50:17.16" personId="{3DE5673D-4837-4FC9-B8B9-34243175713A}" id="{42301D92-FD30-46F6-8E08-D1538B79EE07}" parentId="{FD57EA74-C042-4C26-86B0-28A3D0B3421E}">
    <text>Added below.</text>
  </threadedComment>
  <threadedComment ref="P399" dT="2023-06-01T09:39:41.96" personId="{3DE5673D-4837-4FC9-B8B9-34243175713A}" id="{22B919B4-6BE5-4634-95AB-6464472CDA86}" done="1">
    <text>Last screening: 31 October 1982. "At this writing… status verified individually within the last two years…" Manuscript received 26 July 1983, published 1984.</text>
  </threadedComment>
  <threadedComment ref="P399" dT="2023-09-26T12:48:24.81" personId="{E08A2389-F34B-466D-8AA1-6ADBBDF0F7BF}" id="{8E30C932-B3AD-42B7-B56B-508FE7213124}" parentId="{22B919B4-6BE5-4634-95AB-6464472CDA86}">
    <text>Not clear. All we can say is approximately 1983 because of the statement above.</text>
  </threadedComment>
  <threadedComment ref="P400" dT="2023-06-01T09:39:41.96" personId="{3DE5673D-4837-4FC9-B8B9-34243175713A}" id="{B9B3C312-E504-431E-81A1-49A882FAC1AA}" done="1">
    <text>Last screening: 31 October 1982. "At this writing… status verified individually within the last two years…" Manuscript received 26 July 1983, published 1984.</text>
  </threadedComment>
  <threadedComment ref="P400" dT="2023-09-26T12:48:24.81" personId="{E08A2389-F34B-466D-8AA1-6ADBBDF0F7BF}" id="{5CF173E2-FB2C-4095-B38A-8CE2F36E63EB}" parentId="{B9B3C312-E504-431E-81A1-49A882FAC1AA}">
    <text>Not clear. All we can say is approximately 1983 because of the statement above.</text>
  </threadedComment>
  <threadedComment ref="AC400" dT="2023-09-26T12:57:53.55" personId="{E08A2389-F34B-466D-8AA1-6ADBBDF0F7BF}" id="{7AFFF450-A65E-4DF2-9C05-AB9706CEF2FA}" done="1">
    <text>As earlier comment, can't tell for sure. Some point between 1982 and 1983.</text>
  </threadedComment>
  <threadedComment ref="P401" dT="2023-06-01T10:37:50.25" personId="{3DE5673D-4837-4FC9-B8B9-34243175713A}" id="{F1970F64-A6E3-443F-9CD2-20DC0899358D}" done="1">
    <text>Paper published 1987. Lung cancer cases "still being followed" at the time of writing. Doria-Rose 2009 (#10966) reports that "all living lung cancer cases at Sloan-Kettering were followed for 4 to 8 months after all contact with noncases
had ceased."</text>
  </threadedComment>
  <threadedComment ref="P401" dT="2023-09-26T13:07:19.68" personId="{E08A2389-F34B-466D-8AA1-6ADBBDF0F7BF}" id="{BD4344D8-5C6B-4500-975D-0386299283B2}" parentId="{F1970F64-A6E3-443F-9CD2-20DC0899358D}">
    <text>Can't tell. Says still being followed at time of paper so ~1987</text>
  </threadedComment>
  <threadedComment ref="Q401" dT="2023-06-01T10:35:24.68" personId="{3DE5673D-4837-4FC9-B8B9-34243175713A}" id="{71E9C5ED-29B0-4391-8135-15F1731954A2}" done="1">
    <text>5-8 years active screening period + 2-year postscreen period. LC cases then "still being followed"...</text>
  </threadedComment>
  <threadedComment ref="AC401" dT="2023-09-26T13:10:30.31" personId="{E08A2389-F34B-466D-8AA1-6ADBBDF0F7BF}" id="{0F52E249-F87D-41F2-8B0D-A7C341100CCC}" done="1">
    <text>Seems to be 1987, but this is not clearly reported.</text>
  </threadedComment>
  <threadedComment ref="Y404" dT="2023-05-18T14:28:07.04" personId="{3DE5673D-4837-4FC9-B8B9-34243175713A}" id="{0B22F18F-8C93-423D-95E0-EB5D7B70A4B8}" done="1">
    <text>"… updated information regarding their vital status, causes of death and occurrence of any newly diagnosed malignancy was available for 96.6% of LDCT patients and 94.7% of controls."</text>
  </threadedComment>
  <threadedComment ref="Y404" dT="2023-10-10T11:16:15.27" personId="{E08A2389-F34B-466D-8AA1-6ADBBDF0F7BF}" id="{D601420F-A284-4ECB-A120-594EFA8EC2DB}" parentId="{0B22F18F-8C93-423D-95E0-EB5D7B70A4B8}">
    <text>Looks correct to me</text>
  </threadedComment>
  <threadedComment ref="AA404" dT="2023-05-18T14:28:33.97" personId="{3DE5673D-4837-4FC9-B8B9-34243175713A}" id="{384584A0-9D7D-4797-BBA4-15486BD9BA3A}" done="1">
    <text>"… updated information regarding their vital status, causes of death and occurrence of any newly diagnosed malignancy was available for 96.6% of LDCT patients and 94.7% of controls."</text>
  </threadedComment>
  <threadedComment ref="AA404" dT="2023-10-10T11:17:22.66" personId="{E08A2389-F34B-466D-8AA1-6ADBBDF0F7BF}" id="{0F76477A-03DB-4275-9285-57607B6ED8C6}" parentId="{384584A0-9D7D-4797-BBA4-15486BD9BA3A}">
    <text xml:space="preserve">Looks correct to me
</text>
  </threadedComment>
  <threadedComment ref="AT404" dT="2023-10-10T11:19:49.75" personId="{E08A2389-F34B-466D-8AA1-6ADBBDF0F7BF}" id="{29AE4852-B16C-4701-9663-A6ACAB757C1B}" done="1">
    <text>Should be AK3/AO3, which gives 0.94</text>
  </threadedComment>
  <threadedComment ref="AT404" dT="2023-10-18T08:45:59.27" personId="{3DE5673D-4837-4FC9-B8B9-34243175713A}" id="{6E2A6BA8-24CA-4132-BBA1-3E08702564B5}" parentId="{29AE4852-B16C-4701-9663-A6ACAB757C1B}">
    <text>Corrected.</text>
  </threadedComment>
  <threadedComment ref="Y405" dT="2023-05-18T14:28:07.04" personId="{3DE5673D-4837-4FC9-B8B9-34243175713A}" id="{5E82C252-F6B8-476A-BF9C-DAC2F22EC15F}" done="1">
    <text>"… updated information regarding their vital status, causes of death and occurrence of any newly diagnosed malignancy was available for 96.6% of LDCT patients and 94.7% of controls."</text>
  </threadedComment>
  <threadedComment ref="Y405" dT="2023-10-10T11:17:19.71" personId="{E08A2389-F34B-466D-8AA1-6ADBBDF0F7BF}" id="{9471C75E-BD3C-42D5-B99D-E2DDFBB640B2}" parentId="{5E82C252-F6B8-476A-BF9C-DAC2F22EC15F}">
    <text xml:space="preserve">Looks correct to me
</text>
  </threadedComment>
  <threadedComment ref="AA405" dT="2023-05-18T14:28:33.97" personId="{3DE5673D-4837-4FC9-B8B9-34243175713A}" id="{AEE1861F-9B4F-49CA-A4AC-7FEB8E1EB13A}" done="1">
    <text>"… updated information regarding their vital status, causes of death and occurrence of any newly diagnosed malignancy was available for 96.6% of LDCT patients and 94.7% of controls."</text>
  </threadedComment>
  <threadedComment ref="AA405" dT="2023-10-10T11:17:25.42" personId="{E08A2389-F34B-466D-8AA1-6ADBBDF0F7BF}" id="{FCB011DF-B0BC-4078-9AB4-5831F1F0D704}" parentId="{AEE1861F-9B4F-49CA-A4AC-7FEB8E1EB13A}">
    <text xml:space="preserve">Looks correct to me
</text>
  </threadedComment>
  <threadedComment ref="AT405" dT="2023-10-10T11:20:12.77" personId="{E08A2389-F34B-466D-8AA1-6ADBBDF0F7BF}" id="{ED07F04C-1D6D-450B-886C-C400B5D919EC}" done="1">
    <text>Should be AK3/AO3, which gives 0.96</text>
  </threadedComment>
  <threadedComment ref="Y406" dT="2023-05-17T12:09:16.33" personId="{3DE5673D-4837-4FC9-B8B9-34243175713A}" id="{E390A639-F0A8-461A-8C92-066EAC431D91}" done="1">
    <text>Figure 1 reports "1 died of an unknown cause". Table 4 reports 2 with unknown cause: "One patient died of disseminated cancer of unknown origin, and one patient died of unknown causes in a foreign country."</text>
  </threadedComment>
  <threadedComment ref="Y406" dT="2023-10-10T11:24:28.96" personId="{E08A2389-F34B-466D-8AA1-6ADBBDF0F7BF}" id="{F4AD1CDF-3465-439A-B6E6-F46216C4FEDD}" parentId="{E390A639-F0A8-461A-8C92-066EAC431D91}">
    <text>1 missing, I think.
I read it as 1 unknown (person who died in a foreign country) and 1 who died of cancer (but they don't know which type). Only the first is truly missing.</text>
  </threadedComment>
  <threadedComment ref="Y407" dT="2023-05-17T12:09:16.33" personId="{3DE5673D-4837-4FC9-B8B9-34243175713A}" id="{E30BC1D1-D170-4713-AB1B-9B7AB058B6AA}" done="1">
    <text>Figure 1 reports "1 died of an unknown cause". Table 4 reports 2 with unknown cause: "One patient died of disseminated cancer of unknown origin, and one patient died of unknown causes in a foreign country."</text>
  </threadedComment>
  <threadedComment ref="Y407" dT="2023-10-10T11:24:28.96" personId="{E08A2389-F34B-466D-8AA1-6ADBBDF0F7BF}" id="{85CBD3F1-EAE8-496A-9F9C-78EC9B51D06F}" parentId="{E30BC1D1-D170-4713-AB1B-9B7AB058B6AA}">
    <text>1 missing, I think.
I read it as 1 unknown (person who died in a foreign country) and 1 who died of cancer (but they don't know which type). Only the first is truly missing.</text>
  </threadedComment>
  <threadedComment ref="Y408" dT="2023-05-17T12:09:16.33" personId="{3DE5673D-4837-4FC9-B8B9-34243175713A}" id="{B2683885-4A38-4A7E-8A1E-5F77F43CD874}" done="1">
    <text>Figure 1 reports "1 died of an unknown cause". Table 4 reports 2 with unknown cause: "One patient died of disseminated cancer of unknown origin, and one patient died of unknown causes in a foreign country."</text>
  </threadedComment>
  <threadedComment ref="Y408" dT="2023-10-10T11:24:28.96" personId="{E08A2389-F34B-466D-8AA1-6ADBBDF0F7BF}" id="{E7ABFBE5-30EC-4C75-A0BA-43C30CD1DC52}" parentId="{B2683885-4A38-4A7E-8A1E-5F77F43CD874}">
    <text>1 missing, I think.
I read it as 1 unknown (person who died in a foreign country) and 1 who died of cancer (but they don't know which type). Only the first is truly missing.</text>
  </threadedComment>
  <threadedComment ref="B409" dT="2023-10-10T11:29:56.74" personId="{E08A2389-F34B-466D-8AA1-6ADBBDF0F7BF}" id="{5F92FFD8-4439-4AAB-94E9-98E175916525}" done="1">
    <text>2015</text>
  </threadedComment>
  <threadedComment ref="B410" dT="2023-10-10T11:29:56.74" personId="{E08A2389-F34B-466D-8AA1-6ADBBDF0F7BF}" id="{4918D85F-9187-439F-8C2C-5463B5881464}" done="1">
    <text>2015</text>
  </threadedComment>
  <threadedComment ref="AT410" dT="2023-10-10T11:34:02.85" personId="{E08A2389-F34B-466D-8AA1-6ADBBDF0F7BF}" id="{A55206AF-0375-405C-9071-5961DCFD8E9A}" done="1">
    <text>Should be AK9/AO9  'cos it's "calculated rate" - doesn't change estimate.</text>
  </threadedComment>
  <threadedComment ref="B411" dT="2023-10-10T11:29:56.74" personId="{E08A2389-F34B-466D-8AA1-6ADBBDF0F7BF}" id="{A7269E34-C3F6-4EC1-B1E0-8D648DA82D11}" done="1">
    <text>2015</text>
  </threadedComment>
  <threadedComment ref="AT411" dT="2023-10-10T11:34:21.50" personId="{E08A2389-F34B-466D-8AA1-6ADBBDF0F7BF}" id="{91ECDEAA-F2F3-42D6-B93E-F89AD4C251BB}" done="1">
    <text xml:space="preserve">Should be AK10/AO10  'cos it's "calculated rate" - doesn't change estimate.
</text>
  </threadedComment>
  <threadedComment ref="BD419" dT="2023-08-11T07:41:35.96" personId="{E08A2389-F34B-466D-8AA1-6ADBBDF0F7BF}" id="{B55B030E-6AF7-4503-927F-ABFF7A901306}" done="1">
    <text>Out of curiosity, why is this note for 8, 9, and 10 years different to the others?</text>
  </threadedComment>
  <threadedComment ref="BD419" dT="2023-08-21T16:10:44.62" personId="{3DE5673D-4837-4FC9-B8B9-34243175713A}" id="{3153C73F-ACD4-4EDF-9B4F-5A7C1EE0A92E}" parentId="{B55B030E-6AF7-4503-927F-ABFF7A901306}">
    <text>Because not all participants have had 8, 9 or 10 years of follow-up yet. Recruitment was October 2007 to April 2011, the end of follow-up here was 30 April 2018, so the later recruited people only had a maximum of 7 years of follow-up and are missing for the time points 8, 9 and 10 years since randomisation. This is why the figures show the data for these timepoints as dashed line only: "after April 2018, only part of study participants had reached longer postrandomization follow-up
times longer than 7 years. Dashed line corresponds to years post randomization for which follow-up was only partially complete until April 2018".</text>
  </threadedComment>
  <threadedComment ref="BD419" dT="2023-10-18T11:58:09.41" personId="{E08A2389-F34B-466D-8AA1-6ADBBDF0F7BF}" id="{F37342FF-F231-48B2-96C3-1806C1B3BD2A}" parentId="{B55B030E-6AF7-4503-927F-ABFF7A901306}">
    <text>Thank you.</text>
  </threadedComment>
  <threadedComment ref="D460" dT="2023-08-11T09:28:12.29" personId="{E08A2389-F34B-466D-8AA1-6ADBBDF0F7BF}" id="{5076DF4F-BF50-44D2-A520-64D66E3DE344}" done="1">
    <text>Why have we switch from per 1000 to per 100 people here?</text>
  </threadedComment>
  <threadedComment ref="D460" dT="2023-08-21T16:05:17.49" personId="{3DE5673D-4837-4FC9-B8B9-34243175713A}" id="{3EA60922-8AEE-4FD8-BCC9-E3B93E9B49D0}" parentId="{5076DF4F-BF50-44D2-A520-64D66E3DE344}">
    <text>Because the paper reported rates per 100 people (so %) and I wanted to use the same unit as the paper to compare my calculated rate with the reported rate.</text>
  </threadedComment>
  <threadedComment ref="D460" dT="2023-10-18T11:56:30.43" personId="{E08A2389-F34B-466D-8AA1-6ADBBDF0F7BF}" id="{7A4AED7C-C6A1-40FA-BB52-66A72763445C}" parentId="{5076DF4F-BF50-44D2-A520-64D66E3DE344}">
    <text>Okay!</text>
  </threadedComment>
  <threadedComment ref="D461" dT="2023-08-11T09:28:20.09" personId="{E08A2389-F34B-466D-8AA1-6ADBBDF0F7BF}" id="{B5781757-C78B-4704-A1E8-A8714E705933}" done="1">
    <text>Why have we switch from per 1000 to per 100 people here?</text>
  </threadedComment>
  <threadedComment ref="D461" dT="2023-08-21T16:05:37.29" personId="{3DE5673D-4837-4FC9-B8B9-34243175713A}" id="{5E72DA45-C8F5-46D9-982C-B6020B15517D}" parentId="{B5781757-C78B-4704-A1E8-A8714E705933}">
    <text>As row above.</text>
  </threadedComment>
  <threadedComment ref="D461" dT="2023-10-18T11:56:35.22" personId="{E08A2389-F34B-466D-8AA1-6ADBBDF0F7BF}" id="{1F854D9B-3AD2-41A4-88AC-68C0EC9E0716}" parentId="{B5781757-C78B-4704-A1E8-A8714E705933}">
    <text>Okay!</text>
  </threadedComment>
  <threadedComment ref="K462" dT="2023-08-22T15:34:53.51" personId="{3DE5673D-4837-4FC9-B8B9-34243175713A}" id="{A74D0BF1-08A8-4557-97F0-95D40972C2F4}" done="1">
    <text>Tried to shorten the info. Can't see this info in the paper though???</text>
  </threadedComment>
  <threadedComment ref="R462" dT="2023-09-25T17:00:27.43" personId="{C2B41D37-E765-46A9-9A6C-43C631A30BF3}" id="{721D2006-28E3-4CC8-97FC-12226BD19DA3}" done="1">
    <text>Where are the mean years from?</text>
  </threadedComment>
  <threadedComment ref="R462" dT="2023-09-27T07:57:16.85" personId="{3DE5673D-4837-4FC9-B8B9-34243175713A}" id="{2455D312-B8A4-46D1-A706-1213F14C8419}" parentId="{721D2006-28E3-4CC8-97FC-12226BD19DA3}">
    <text>I calculated it: Number of person years divided by number of women in group (columns T and U).</text>
  </threadedComment>
  <threadedComment ref="T462" dT="2023-05-11T15:50:42.09" personId="{C2B41D37-E765-46A9-9A6C-43C631A30BF3}" id="{565E199D-0849-43F8-83B0-39974DE0D183}" done="1">
    <text>Alternating mamo+clinical examination and clinical examination only, IC are cases presenting within 12 months of a negative screen</text>
  </threadedComment>
  <threadedComment ref="AE462" dT="2023-05-11T16:00:05.44" personId="{C2B41D37-E765-46A9-9A6C-43C631A30BF3}" id="{9E797A37-91A4-4EB6-9A4A-7E298A4914AC}" done="1">
    <text>I assume that number of brackets (BC deaths in non-attenders) is not additional deaths</text>
  </threadedComment>
  <threadedComment ref="AE462" dT="2023-08-22T16:37:25.41" personId="{3DE5673D-4837-4FC9-B8B9-34243175713A}" id="{C2CD1A10-F244-4B81-8338-E51B9571E430}" parentId="{9E797A37-91A4-4EB6-9A4A-7E298A4914AC}">
    <text>Agree. Otherwise, the reported rate would be different.</text>
  </threadedComment>
  <threadedComment ref="K463" dT="2023-08-22T15:34:53.51" personId="{3DE5673D-4837-4FC9-B8B9-34243175713A}" id="{DCF30BF2-AC4E-475A-B200-1852758AD0AE}" done="1">
    <text>Tried to shorten the info. Can't see this info in the paper though???</text>
  </threadedComment>
  <threadedComment ref="K464" dT="2023-08-22T15:34:53.51" personId="{3DE5673D-4837-4FC9-B8B9-34243175713A}" id="{B3873894-D3D6-4DB9-B162-9BC7813EE6B0}" done="1">
    <text>Tried to shorten the info. Can't see this info in the paper though???</text>
  </threadedComment>
  <threadedComment ref="K465" dT="2023-08-22T15:34:53.51" personId="{3DE5673D-4837-4FC9-B8B9-34243175713A}" id="{06FAA624-DA4C-4D79-A188-635EF33A08AB}" done="1">
    <text>Tried to shorten the info. Can't see this info in the paper though???</text>
  </threadedComment>
  <threadedComment ref="AR466" dT="2023-09-27T08:21:38.97" personId="{3DE5673D-4837-4FC9-B8B9-34243175713A}" id="{80F4211F-9EE2-4FD1-8A5C-4FFD8DFABC67}" done="1">
    <text>Table II states "Odds ratio", but do you think the reported ratio could be a rate ratio?
In the statistics section, they say "Rates in study and control practices were compared and their ratio calculated. As before (Roberts et al., 1990), a modified logistic regression procedure incorporated adjustment for extrabinomial regression (Williams, 1982) so as to
respect the cluster randomisation."
In Roberts 1990, they seem to report the rate ratio...</text>
  </threadedComment>
  <threadedComment ref="AC467" dT="2023-05-25T15:25:46.62" personId="{C2B41D37-E765-46A9-9A6C-43C631A30BF3}" id="{FC6952BF-E7D8-4B56-9A47-DECD53C5D11C}">
    <text>Principal end point</text>
  </threadedComment>
  <threadedComment ref="AR467" dT="2023-09-27T08:21:38.97" personId="{3DE5673D-4837-4FC9-B8B9-34243175713A}" id="{650E76BF-E75A-4D57-8B06-E15F0BB97F0F}" done="1">
    <text>Table II states "Odds ratio", but do you think the reported ratio could be a rate ratio?
In the statistics section, they say "Rates in study and control practices were compared and their ratio calculated. As before (Roberts et al., 1990), a modified logistic regression procedure incorporated adjustment for extrabinomial regression (Williams, 1982) so as to
respect the cluster randomisation."
In Roberts 1990, they seem to report the rate ratio...</text>
  </threadedComment>
  <threadedComment ref="AR468" dT="2023-09-27T08:21:38.97" personId="{3DE5673D-4837-4FC9-B8B9-34243175713A}" id="{1EC5606C-EC5A-4FBE-9FFD-4E8A80257AC4}" done="1">
    <text>Table II states "Odds ratio", but do you think the reported ratio could be a rate ratio?
In the statistics section, they say "Rates in study and control practices were compared and their ratio calculated. As before (Roberts et al., 1990), a modified logistic regression procedure incorporated adjustment for extrabinomial regression (Williams, 1982) so as to
respect the cluster randomisation."
In Roberts 1990, they seem to report the rate ratio...</text>
  </threadedComment>
  <threadedComment ref="AR469" dT="2023-09-27T08:21:38.97" personId="{3DE5673D-4837-4FC9-B8B9-34243175713A}" id="{38AE5BAF-BEF1-4602-96C6-2032ABFD3E1B}" done="1">
    <text>Table II states "Odds ratio", but do you think the reported ratio could be a rate ratio?
In the statistics section, they say "Rates in study and control practices were compared and their ratio calculated. As before (Roberts et al., 1990), a modified logistic regression procedure incorporated adjustment for extrabinomial regression (Williams, 1982) so as to
respect the cluster randomisation."
In Roberts 1990, they seem to report the rate ratio...</text>
  </threadedComment>
  <threadedComment ref="AR470" dT="2023-09-27T08:21:38.97" personId="{3DE5673D-4837-4FC9-B8B9-34243175713A}" id="{6B815502-B3B7-4E77-BF78-4E2067A6AEA9}" done="1">
    <text>Table II states "Odds ratio", but do you think the reported ratio could be a rate ratio?
In the statistics section, they say "Rates in study and control practices were compared and their ratio calculated. As before (Roberts et al., 1990), a modified logistic regression procedure incorporated adjustment for extrabinomial regression (Williams, 1982) so as to
respect the cluster randomisation."
In Roberts 1990, they seem to report the rate ratio...</text>
  </threadedComment>
  <threadedComment ref="AR471" dT="2023-09-27T08:21:38.97" personId="{3DE5673D-4837-4FC9-B8B9-34243175713A}" id="{8AE5038D-22C4-4FA4-ADF0-D50211C68E5E}" done="1">
    <text>Table II states "Odds ratio", but do you think the reported ratio could be a rate ratio?
In the statistics section, they say "Rates in study and control practices were compared and their ratio calculated. As before (Roberts et al., 1990), a modified logistic regression procedure incorporated adjustment for extrabinomial regression (Williams, 1982) so as to
respect the cluster randomisation."
In Roberts 1990, they seem to report the rate ratio...</text>
  </threadedComment>
  <threadedComment ref="AS473" dT="2023-08-23T16:13:46.20" personId="{3DE5673D-4837-4FC9-B8B9-34243175713A}" id="{994ABE50-619D-4F91-9B20-A95567C59E5F}" done="1">
    <text>Is this adjusted for cluster design?
"Breast-cancer and other-cause mortality rates were calculated
as rates per 10 000 woman-years at risk for the two groups in the trial, and the risk ratio calculated with a modified logistic regression procedure, as in previous studies,2 , 3 incorporating
adjustment for extrabinomial variation by the method of
Williams 1 1 to respect the cluster randomisation."</text>
  </threadedComment>
  <threadedComment ref="AS474" dT="2023-08-23T16:20:58.25" personId="{3DE5673D-4837-4FC9-B8B9-34243175713A}" id="{F4297A60-465C-439C-B323-8247CC07FB78}" done="1">
    <text xml:space="preserve">Is this adjusted for cluster design?
"Breast-cancer and other-cause mortality rates were calculated
as rates per 10 000 woman-years at risk for the two groups in the trial, and the risk ratio calculated with a modified logistic regression procedure, as in previous studies,2 , 3 incorporating
adjustment for extrabinomial variation by the method of
Williams 1 1 to respect the cluster randomisation."
</text>
  </threadedComment>
  <threadedComment ref="AS501" dT="2023-09-02T13:41:57.77" personId="{3DE5673D-4837-4FC9-B8B9-34243175713A}" id="{8B9D12C1-D312-4BF5-8192-FCE1D3E5DF75}" done="1">
    <text>Text says the reported value is a "rate ratio" so might be based on person-years???</text>
  </threadedComment>
  <threadedComment ref="AS501" dT="2023-12-19T15:32:00.86" personId="{E08A2389-F34B-466D-8AA1-6ADBBDF0F7BF}" id="{DA12CD7E-B9A2-4B08-87C4-9F56734FE2E6}" parentId="{8B9D12C1-D312-4BF5-8192-FCE1D3E5DF75}">
    <text>I calculated relative risk and rate ratio (unadjusted).
Rate ratio 1.1199 (0.8104, 1.5499)
Relative risk 1.1196 (0.8205, 1.5279)
So it does look like relative risk is correct.</text>
  </threadedComment>
  <threadedComment ref="M506" dT="2023-12-19T15:39:10.35" personId="{E08A2389-F34B-466D-8AA1-6ADBBDF0F7BF}" id="{A0316C8C-AA7B-49B3-A506-B4EDB82148D7}" done="1">
    <text>Women aged 40 - 49</text>
  </threadedComment>
  <threadedComment ref="M506" dT="2024-01-17T09:23:03.74" personId="{3DE5673D-4837-4FC9-B8B9-34243175713A}" id="{9F809DF3-C3DC-4459-BBC9-99E83B9DECEB}" parentId="{A0316C8C-AA7B-49B3-A506-B4EDB82148D7}">
    <text>Yes, but that was captured in column C as I have labelled it as "CNBSS-1' which was the trial for the 40-49 year olds.</text>
  </threadedComment>
  <threadedComment ref="M506" dT="2024-01-19T10:55:27.20" personId="{E08A2389-F34B-466D-8AA1-6ADBBDF0F7BF}" id="{6109A930-730B-43E5-B25E-5489E1B9A4A5}" parentId="{A0316C8C-AA7B-49B3-A506-B4EDB82148D7}">
    <text>agreed</text>
  </threadedComment>
  <threadedComment ref="U506" dT="2023-12-19T15:41:05.68" personId="{E08A2389-F34B-466D-8AA1-6ADBBDF0F7BF}" id="{1E3D64ED-B03A-49DB-A975-8E41127ECC54}">
    <text xml:space="preserve">The HR reported at the end of the row are for women aged 40 - 49, so shouldn't this be the number of women screened within this age rage? Which we don't know.
</text>
  </threadedComment>
  <threadedComment ref="U506" dT="2024-01-17T09:34:52.41" personId="{3DE5673D-4837-4FC9-B8B9-34243175713A}" id="{5D629D2B-8138-461F-A61E-310E370C5883}" parentId="{1E3D64ED-B03A-49DB-A975-8E41127ECC54}">
    <text xml:space="preserve">Fig. 1 reports individual numbers for 50,430 aged 40-49 years (=CNBSS-1):
25,214 intervention arm;
25,216 comparator arm.
</text>
  </threadedComment>
  <threadedComment ref="U506" dT="2024-01-19T10:59:58.06" personId="{E08A2389-F34B-466D-8AA1-6ADBBDF0F7BF}" id="{6121C73A-4BD5-4981-B4AA-2CFD5FD55FFA}" parentId="{1E3D64ED-B03A-49DB-A975-8E41127ECC54}">
    <text>agreed</text>
  </threadedComment>
  <threadedComment ref="V506" dT="2023-12-19T15:41:17.95" personId="{E08A2389-F34B-466D-8AA1-6ADBBDF0F7BF}" id="{D9867313-49E8-4DF3-BE34-41E9B0C373BC}" done="1">
    <text xml:space="preserve">The HR reported at the end of the row are for women aged 40 - 49, so shouldn't this be the number of women screened within this age rage? Which we don't know.
</text>
  </threadedComment>
  <threadedComment ref="V506" dT="2024-01-17T09:35:17.43" personId="{3DE5673D-4837-4FC9-B8B9-34243175713A}" id="{57A40791-2921-411B-BD26-39AE00B24DB5}" parentId="{D9867313-49E8-4DF3-BE34-41E9B0C373BC}">
    <text>Fig. 1 reports individual numbers for
50,430 aged 40-49 years (=CNBSS-1):
25,214 intervention arm;
25,216 comparator arm.</text>
  </threadedComment>
  <threadedComment ref="V506" dT="2024-01-19T11:00:04.01" personId="{E08A2389-F34B-466D-8AA1-6ADBBDF0F7BF}" id="{6F8784E1-EE8F-4381-BDCC-1CA3B5D5F3DC}" parentId="{D9867313-49E8-4DF3-BE34-41E9B0C373BC}">
    <text>agreed</text>
  </threadedComment>
  <threadedComment ref="AG506" dT="2023-12-19T15:41:05.68" personId="{E08A2389-F34B-466D-8AA1-6ADBBDF0F7BF}" id="{5AE22741-543E-4DA2-8F83-B14DC3BB14D6}" done="1">
    <text xml:space="preserve">The HR reported at the end of the row are for women aged 40 - 49, so shouldn't this be the number of women screened within this age rage? Which we don't know.
</text>
  </threadedComment>
  <threadedComment ref="AG506" dT="2024-01-17T09:34:52.41" personId="{3DE5673D-4837-4FC9-B8B9-34243175713A}" id="{A2C248BB-2B9D-4356-9991-558FF6C47A6A}" parentId="{5AE22741-543E-4DA2-8F83-B14DC3BB14D6}">
    <text xml:space="preserve">Fig. 1 reports individual numbers for
50,430 aged 40-49 years (=CNBSS-1):
25,214 intervention arm;
25,216 comparator arm.
</text>
  </threadedComment>
  <threadedComment ref="AG506" dT="2024-01-19T11:00:31.72" personId="{E08A2389-F34B-466D-8AA1-6ADBBDF0F7BF}" id="{EB77AFE1-B13D-432F-AB25-CFE0929361A1}" parentId="{5AE22741-543E-4DA2-8F83-B14DC3BB14D6}">
    <text>agreed</text>
  </threadedComment>
  <threadedComment ref="AH506" dT="2023-12-19T15:41:17.95" personId="{E08A2389-F34B-466D-8AA1-6ADBBDF0F7BF}" id="{8CDA5F91-71DB-46AD-AEDD-D87C4ACC8A05}" done="1">
    <text xml:space="preserve">The HR reported at the end of the row are for women aged 40 - 49, so shouldn't this be the number of women screened within this age rage? Which we don't know.
</text>
  </threadedComment>
  <threadedComment ref="AH506" dT="2024-01-17T09:35:17.43" personId="{3DE5673D-4837-4FC9-B8B9-34243175713A}" id="{7397C70E-D41F-49F7-A041-9E6238389070}" parentId="{8CDA5F91-71DB-46AD-AEDD-D87C4ACC8A05}">
    <text>Fig. 1 reports individual numbers for
50,430 aged 40-49 years (=CNBSS-1):
25,214 intervention arm;
25,216 comparator arm.</text>
  </threadedComment>
  <threadedComment ref="AH506" dT="2024-01-19T11:00:39.27" personId="{E08A2389-F34B-466D-8AA1-6ADBBDF0F7BF}" id="{3212A69E-0CEF-4589-8D7F-F8D87C1CECB1}" parentId="{8CDA5F91-71DB-46AD-AEDD-D87C4ACC8A05}">
    <text xml:space="preserve">agreed
</text>
  </threadedComment>
  <threadedComment ref="M507" dT="2023-12-19T15:39:15.24" personId="{E08A2389-F34B-466D-8AA1-6ADBBDF0F7BF}" id="{31A9484A-C7B6-4535-B5FB-5035F5A017C9}" done="1">
    <text xml:space="preserve">Women aged 40 - 49
</text>
  </threadedComment>
  <threadedComment ref="M507" dT="2024-01-17T09:27:43.73" personId="{3DE5673D-4837-4FC9-B8B9-34243175713A}" id="{BF3CB4D6-669D-4C36-949A-E77934CB45EB}" parentId="{31A9484A-C7B6-4535-B5FB-5035F5A017C9}">
    <text>This row is for women aged 50-59 years, which is 'CNBSS-2'. I have coded it as 'CNBSS-2' in column C, so it's the 'whole' CNBSS-2 trial.</text>
  </threadedComment>
  <threadedComment ref="M507" dT="2024-01-19T10:55:43.63" personId="{E08A2389-F34B-466D-8AA1-6ADBBDF0F7BF}" id="{E0F613A4-7C59-4E54-AA06-041F06B4624F}" parentId="{31A9484A-C7B6-4535-B5FB-5035F5A017C9}">
    <text>agreed</text>
  </threadedComment>
  <threadedComment ref="U507" dT="2023-12-19T15:41:13.97" personId="{E08A2389-F34B-466D-8AA1-6ADBBDF0F7BF}" id="{6EF5359F-C97B-4E04-871F-F34FE115E73C}">
    <text xml:space="preserve">The HR reported at the end of the row are for women aged 50 - 59, so shouldn't this be the number of women screened within this age rage? Which we don't know.
</text>
  </threadedComment>
  <threadedComment ref="U507" dT="2024-01-17T09:36:14.02" personId="{3DE5673D-4837-4FC9-B8B9-34243175713A}" id="{C5B70234-922B-4E60-A8D1-A0CF495350B0}" parentId="{6EF5359F-C97B-4E04-871F-F34FE115E73C}">
    <text>Fig. 1 reports individual numbers for 39,405 aged 50-59 years (=CNBSS-2):
19,711 intervention arm;
19,694 comparator arm.</text>
  </threadedComment>
  <threadedComment ref="U507" dT="2024-01-19T11:00:16.23" personId="{E08A2389-F34B-466D-8AA1-6ADBBDF0F7BF}" id="{7D56CB85-3516-4757-A75C-B446E4034798}" parentId="{6EF5359F-C97B-4E04-871F-F34FE115E73C}">
    <text>agreed</text>
  </threadedComment>
  <threadedComment ref="V507" dT="2023-12-19T15:41:27.96" personId="{E08A2389-F34B-466D-8AA1-6ADBBDF0F7BF}" id="{F24B23C0-1377-43FF-8512-0C343ED483CB}" done="1">
    <text xml:space="preserve">The HR reported at the end of the row are for women aged 40 - 59, so shouldn't this be the number of women screened within this age rage? Which we don't know.
</text>
  </threadedComment>
  <threadedComment ref="V507" dT="2024-01-17T09:40:42.87" personId="{3DE5673D-4837-4FC9-B8B9-34243175713A}" id="{252E4C5F-4F06-49BC-91A4-957AC30C7B85}" parentId="{F24B23C0-1377-43FF-8512-0C343ED483CB}">
    <text xml:space="preserve">Fig. 1 reports individual numbers for 39,405 aged 50-59 years (=CNBSS-2):
19,711 intervention arm;
19,694 comparator arm.
</text>
  </threadedComment>
  <threadedComment ref="V507" dT="2024-01-19T11:00:20.16" personId="{E08A2389-F34B-466D-8AA1-6ADBBDF0F7BF}" id="{F80CE3F5-5152-47CD-8BCB-8077C2925B7E}" parentId="{F24B23C0-1377-43FF-8512-0C343ED483CB}">
    <text>agreed</text>
  </threadedComment>
  <threadedComment ref="AG507" dT="2023-12-19T15:41:13.97" personId="{E08A2389-F34B-466D-8AA1-6ADBBDF0F7BF}" id="{10004493-9812-486D-B702-FFAFA34A0FFA}" done="1">
    <text xml:space="preserve">The HR reported at the end of the row are for women aged 50 - 59, so shouldn't this be the number of women screened within this age rage? Which we don't know.
</text>
  </threadedComment>
  <threadedComment ref="AG507" dT="2024-01-17T09:36:14.02" personId="{3DE5673D-4837-4FC9-B8B9-34243175713A}" id="{7960FF46-B663-496E-989C-69B658C3FFC4}" parentId="{10004493-9812-486D-B702-FFAFA34A0FFA}">
    <text>Fig. 1 reports individual numbers for 39,405 aged 50-59 years (=CNBSS-2):
19,711 intervention arm;
19,694 comparator arm.</text>
  </threadedComment>
  <threadedComment ref="AG507" dT="2024-01-19T11:00:35.64" personId="{E08A2389-F34B-466D-8AA1-6ADBBDF0F7BF}" id="{65FBB43F-4C33-4FB6-8A8A-A631DA8B376B}" parentId="{10004493-9812-486D-B702-FFAFA34A0FFA}">
    <text xml:space="preserve">agreed
</text>
  </threadedComment>
  <threadedComment ref="AH507" dT="2023-12-19T15:41:27.96" personId="{E08A2389-F34B-466D-8AA1-6ADBBDF0F7BF}" id="{DD25932E-DD60-4353-8B1B-E7930D5B6BDA}" done="1">
    <text xml:space="preserve">The HR reported at the end of the row are for women aged 40 - 59, so shouldn't this be the number of women screened within this age rage? Which we don't know.
</text>
  </threadedComment>
  <threadedComment ref="AH507" dT="2024-01-17T09:40:42.87" personId="{3DE5673D-4837-4FC9-B8B9-34243175713A}" id="{78BB7B50-B11D-4667-B0B9-DD34A8C1C516}" parentId="{DD25932E-DD60-4353-8B1B-E7930D5B6BDA}">
    <text xml:space="preserve">Fig. 1 reports individual numbers for 39,405 aged 50-59 years (=CNBSS-2):
19,711 intervention arm;
19,694 comparator arm.
</text>
  </threadedComment>
  <threadedComment ref="AH507" dT="2024-01-19T11:00:46.48" personId="{E08A2389-F34B-466D-8AA1-6ADBBDF0F7BF}" id="{9C087ED3-5DF0-492F-B084-153079E8661C}" parentId="{DD25932E-DD60-4353-8B1B-E7930D5B6BDA}">
    <text xml:space="preserve">agreed
</text>
  </threadedComment>
  <threadedComment ref="AJ508" dT="2023-09-05T11:36:21.13" personId="{3DE5673D-4837-4FC9-B8B9-34243175713A}" id="{66887FFA-08F5-4899-9B5B-C83E6EAA5EDC}" done="1">
    <text>Different to calculated rate.</text>
  </threadedComment>
  <threadedComment ref="AJ508" dT="2023-12-19T15:45:39.81" personId="{E08A2389-F34B-466D-8AA1-6ADBBDF0F7BF}" id="{00FA4E87-E28D-402C-B193-CB74AA22CA47}" parentId="{66887FFA-08F5-4899-9B5B-C83E6EAA5EDC}">
    <text>I agree that this is what is reported but the calculated rate is 111.297</text>
  </threadedComment>
  <threadedComment ref="AJ508" dT="2023-12-19T15:47:47.61" personId="{E08A2389-F34B-466D-8AA1-6ADBBDF0F7BF}" id="{5B84EB12-3FC7-4CF3-BA41-972422C8CF7D}" parentId="{66887FFA-08F5-4899-9B5B-C83E6EAA5EDC}">
    <text xml:space="preserve">I can't see anything in the paper that explains this.
</text>
  </threadedComment>
  <threadedComment ref="AN508" dT="2023-09-05T11:36:45.39" personId="{3DE5673D-4837-4FC9-B8B9-34243175713A}" id="{A5FD361A-E2E7-4FC8-9D4A-4BFA763E03EC}" done="1">
    <text>Different to calculated rate.</text>
  </threadedComment>
  <threadedComment ref="AN508" dT="2023-12-19T15:47:28.46" personId="{E08A2389-F34B-466D-8AA1-6ADBBDF0F7BF}" id="{6F26CFA7-306A-4BFB-89B6-1109C93988DD}" parentId="{A5FD361A-E2E7-4FC8-9D4A-4BFA763E03EC}">
    <text xml:space="preserve">I agree that this is what is reported but the calculated rate is 112.447
</text>
  </threadedComment>
  <threadedComment ref="AN508" dT="2023-12-19T15:47:41.15" personId="{E08A2389-F34B-466D-8AA1-6ADBBDF0F7BF}" id="{B8D1E099-9A0F-4B03-BA9B-3E6ABFC1DE04}" parentId="{A5FD361A-E2E7-4FC8-9D4A-4BFA763E03EC}">
    <text>I can't see anything in the paper that explains this.</text>
  </threadedComment>
  <threadedComment ref="M510" dT="2023-12-19T15:51:55.13" personId="{E08A2389-F34B-466D-8AA1-6ADBBDF0F7BF}" id="{6E18A3F6-CB57-40A5-83E5-8EAB4CEDC1A6}" done="1">
    <text>Women aged 40 - 49</text>
  </threadedComment>
  <threadedComment ref="M510" dT="2024-01-17T09:39:03.19" personId="{3DE5673D-4837-4FC9-B8B9-34243175713A}" id="{F12B2688-7F7E-4663-B07F-8BE9B1C8CAEA}" parentId="{6E18A3F6-CB57-40A5-83E5-8EAB4CEDC1A6}">
    <text>That was captured in column C as I have labelled it as "CNBSS-1' which was the trial for the 40-49 year olds. So, it's the 'whole' CNBSS-1 trial.</text>
  </threadedComment>
  <threadedComment ref="M510" dT="2024-01-19T10:55:48.44" personId="{E08A2389-F34B-466D-8AA1-6ADBBDF0F7BF}" id="{AB8AB0D6-1F44-43C8-A2C9-43A35FDE7592}" parentId="{6E18A3F6-CB57-40A5-83E5-8EAB4CEDC1A6}">
    <text>agreed</text>
  </threadedComment>
  <threadedComment ref="D511" dT="2023-10-13T09:17:09.74" personId="{3DE5673D-4837-4FC9-B8B9-34243175713A}" id="{509F17E0-87CA-41F5-959D-2056249852D8}">
    <text xml:space="preserve">Would be good to give more information in this column as this is where the row freezes when scrolling more to the right.
Just put enough information in to know which results this row is reporting.
</text>
  </threadedComment>
  <threadedComment ref="R511" dT="2023-10-25T20:52:39.31" personId="{CE811150-85E8-49D4-9C90-18806B514541}" id="{621883A3-29EB-4145-A517-CE122BBBFAF0}" done="1">
    <text>Median?</text>
  </threadedComment>
  <threadedComment ref="R511" dT="2023-10-27T16:01:44.40" personId="{3DE5673D-4837-4FC9-B8B9-34243175713A}" id="{5127C8EF-C9D4-420E-8180-31E7DA0A0CBB}" parentId="{621883A3-29EB-4145-A517-CE122BBBFAF0}">
    <text>I have calculated the mean: 643,401:72,890=8.8. The median was 9.0 years. I have added that.</text>
  </threadedComment>
  <threadedComment ref="S511" dT="2023-10-25T20:52:09.51" personId="{CE811150-85E8-49D4-9C90-18806B514541}" id="{E95B922A-B0B9-440A-9011-A6FCB5221A2E}" done="1">
    <text>Shouldn't this be median of 9.0?</text>
  </threadedComment>
  <threadedComment ref="S511" dT="2023-10-27T16:06:15.42" personId="{3DE5673D-4837-4FC9-B8B9-34243175713A}" id="{2C461A7D-9C79-418B-98FB-5A421422F2C4}" parentId="{E95B922A-B0B9-440A-9011-A6FCB5221A2E}">
    <text>I have divided the number of PY by the number of men in the study arm to get the mean: 785,585:89,353=8.8. Have added the median as well now.</text>
  </threadedComment>
  <threadedComment ref="R512" dT="2023-10-25T20:59:47.29" personId="{CE811150-85E8-49D4-9C90-18806B514541}" id="{B65DBDA2-7CE2-4D75-A349-7CCA443DE06B}" done="1">
    <text>I can't find these means</text>
  </threadedComment>
  <threadedComment ref="R512" dT="2023-10-27T16:06:38.94" personId="{3DE5673D-4837-4FC9-B8B9-34243175713A}" id="{6E5103AB-959E-41E6-891E-8432BB60C464}" parentId="{B65DBDA2-7CE2-4D75-A349-7CCA443DE06B}">
    <text>I have calculated them.</text>
  </threadedComment>
  <threadedComment ref="AG515" dT="2023-10-25T21:08:39.79" personId="{CE811150-85E8-49D4-9C90-18806B514541}" id="{9551021C-70BA-4FC2-90AF-D47A541AE1FF}">
    <text>I've changed this based on Table 2- please check you are happy with it</text>
  </threadedComment>
  <threadedComment ref="R520" dT="2023-10-25T21:19:40.44" personId="{CE811150-85E8-49D4-9C90-18806B514541}" id="{616694A3-79A5-4C5F-8E8C-3D804A75339A}" done="1">
    <text>I can't find these numbers either - you can show me</text>
  </threadedComment>
  <threadedComment ref="R520" dT="2023-10-27T16:10:58.27" personId="{3DE5673D-4837-4FC9-B8B9-34243175713A}" id="{7F99412B-0F47-45D5-8000-0CD9E311D6A0}" parentId="{616694A3-79A5-4C5F-8E8C-3D804A75339A}">
    <text>Sorry, I have calculated the mean by dividing the reported number of PY by the number of men in the arm.</text>
  </threadedComment>
  <threadedComment ref="AE579" dT="2023-10-10T08:31:57.05" personId="{3DE5673D-4837-4FC9-B8B9-34243175713A}" id="{DF082F61-6D91-43C1-8C67-6E25F494EF57}">
    <text>Figure 1 in appendix says 20,600 deaths?</text>
  </threadedComment>
  <threadedComment ref="AF579" dT="2023-10-10T08:32:16.22" personId="{3DE5673D-4837-4FC9-B8B9-34243175713A}" id="{4BAFAE07-038E-45C0-A1EB-AFA5E18CDE27}">
    <text>Figure 1 in appendix reports 24,542 deaths?</text>
  </threadedComment>
  <threadedComment ref="N604" dT="2023-10-10T11:54:47.44" personId="{3DE5673D-4837-4FC9-B8B9-34243175713A}" id="{F45BEDBB-E720-419E-8813-D0BE4C393198}" done="1">
    <text>Think it's for the core age group.</text>
  </threadedComment>
  <threadedComment ref="N605" dT="2023-10-10T11:54:47.44" personId="{3DE5673D-4837-4FC9-B8B9-34243175713A}" id="{543B74CB-AF91-4F7F-ADEF-8FCE9C615AFF}" done="1">
    <text>Think it's for the core age group.</text>
  </threadedComment>
  <threadedComment ref="N606" dT="2023-10-10T11:54:47.44" personId="{3DE5673D-4837-4FC9-B8B9-34243175713A}" id="{90C3EAD5-E2BF-4F90-9653-337548BDF174}" done="1">
    <text>Think it's for the core age group.</text>
  </threadedComment>
  <threadedComment ref="N607" dT="2023-10-10T11:54:47.44" personId="{3DE5673D-4837-4FC9-B8B9-34243175713A}" id="{C79A27B4-6B80-4E53-87E3-D2823EF9862F}" done="1">
    <text>Think it's for the core age group.</text>
  </threadedComment>
  <threadedComment ref="N608" dT="2023-10-10T11:54:47.44" personId="{3DE5673D-4837-4FC9-B8B9-34243175713A}" id="{95216C61-C798-4B4C-AEB9-B3DF660572C9}" done="1">
    <text>Think it's for the core age group.</text>
  </threadedComment>
  <threadedComment ref="N609" dT="2023-10-10T11:54:47.44" personId="{3DE5673D-4837-4FC9-B8B9-34243175713A}" id="{57803782-DC1C-4D7C-822A-22BA2277D01E}" done="1">
    <text>Think it's for the core age group.</text>
  </threadedComment>
  <threadedComment ref="N610" dT="2023-10-10T11:54:47.44" personId="{3DE5673D-4837-4FC9-B8B9-34243175713A}" id="{42FF05D8-17FF-4956-B299-C366654890AB}" done="1">
    <text>Think it's for the core age group.</text>
  </threadedComment>
  <threadedComment ref="AW611" dT="2023-10-11T08:24:43.64" personId="{3DE5673D-4837-4FC9-B8B9-34243175713A}" id="{0CF73507-A968-47F0-9C80-4B1FE8D5F934}" done="1">
    <text>I think this is the p-value for the % of men who died not for the rate ratio.</text>
  </threadedComment>
  <threadedComment ref="AW613" dT="2023-10-11T08:47:56.15" personId="{3DE5673D-4837-4FC9-B8B9-34243175713A}" id="{7321C814-4300-4683-AE18-E713DF09A39B}" done="1">
    <text>I think this is the p-value for the % of men who died not for the rate ratio.</text>
  </threadedComment>
  <threadedComment ref="BC623" dT="2023-10-25T22:39:43.52" personId="{CE811150-85E8-49D4-9C90-18806B514541}" id="{3E779C91-FC3D-4467-9EC7-B87B7D3CFA00}" done="1">
    <text>I can't see a Table 5?</text>
  </threadedComment>
  <threadedComment ref="BC623" dT="2023-10-27T16:27:12.47" personId="{3DE5673D-4837-4FC9-B8B9-34243175713A}" id="{0D68DF1F-630A-462F-AEDB-A859340DAF3B}" parentId="{3E779C91-FC3D-4467-9EC7-B87B7D3CFA00}">
    <text>Sorry, it's in Table 4.</text>
  </threadedComment>
  <threadedComment ref="AU640" dT="2023-10-25T23:06:11.93" personId="{CE811150-85E8-49D4-9C90-18806B514541}" id="{2C4EF897-CB24-459F-9F7B-22360525282F}" done="1">
    <text>These numbers are marginally different to what is reported in table 2 - maybe some adjustment?</text>
  </threadedComment>
  <threadedComment ref="AU640" dT="2023-10-27T16:42:49.54" personId="{3DE5673D-4837-4FC9-B8B9-34243175713A}" id="{FBECA434-80AA-4FFC-A732-95E3A2E5E619}" parentId="{2C4EF897-CB24-459F-9F7B-22360525282F}">
    <text>Think Table 2 might report the rate ratios and Table 3A (as well as Figure 3) hazard ratios? I have changed the values to the ones reported in Table 2.</text>
  </threadedComment>
  <threadedComment ref="A643" dT="2023-10-12T10:39:54.67" personId="{3DE5673D-4837-4FC9-B8B9-34243175713A}" id="{91AC946B-5439-4DB3-8AA0-321B0862D49E}">
    <text>Also reports PC mortality rate ratios at 16 year-follow-up for age groups 50-54; 55-59 and 60-64 years.</text>
  </threadedComment>
  <threadedComment ref="A644" dT="2023-10-12T10:39:54.67" personId="{3DE5673D-4837-4FC9-B8B9-34243175713A}" id="{50ECE829-7003-4765-B79C-2896E134BEB2}">
    <text>Also reports PC mortality rate ratios at 14 year-follow-up for age groups 50-54; 55-59 and 60-64 years.</text>
  </threadedComment>
  <threadedComment ref="Y677" dT="2024-01-20T17:09:08.28" personId="{E331BB74-BBA0-4486-A922-69CA2C388022}" id="{3C4E489B-A2F8-4669-9D08-947FD5DD284D}">
    <text>6? Or are you excluding the 2 excluded from randomisation?</text>
  </threadedComment>
  <threadedComment ref="Y677" dT="2024-01-23T09:20:38.20" personId="{3DE5673D-4837-4FC9-B8B9-34243175713A}" id="{B9086C65-7CC5-428A-9578-708093DE9543}" parentId="{3C4E489B-A2F8-4669-9D08-947FD5DD284D}">
    <text>Yes, I had excluded them.</text>
  </threadedComment>
  <threadedComment ref="AC682" dT="2024-01-20T18:30:37.69" personId="{E331BB74-BBA0-4486-A922-69CA2C388022}" id="{D431D19B-C09C-4D24-9480-2065B73525E7}" done="1">
    <text>I think these two are the wrong way round? Based on the numbers from AE</text>
  </threadedComment>
  <threadedComment ref="AC682" dT="2024-01-23T09:27:53.21" personId="{3DE5673D-4837-4FC9-B8B9-34243175713A}" id="{99124B60-F769-4432-953E-BA5A35571280}" parentId="{D431D19B-C09C-4D24-9480-2065B73525E7}">
    <text>Corrected.</text>
  </threadedComment>
  <threadedComment ref="R693" dT="2024-01-21T14:17:44.35" personId="{E331BB74-BBA0-4486-A922-69CA2C388022}" id="{CB91BCCF-8DB4-4ECF-8430-F785F4E8BEAC}" done="1">
    <text>I can't find the mean 13.9</text>
  </threadedComment>
  <threadedComment ref="R693" dT="2024-01-23T09:32:18.14" personId="{3DE5673D-4837-4FC9-B8B9-34243175713A}" id="{872A41E5-598F-4F45-B213-AFE83072C86D}" parentId="{CB91BCCF-8DB4-4ECF-8430-F785F4E8BEAC}">
    <text>Calculated: 431,190 PY divided by 30,967 persons = 13.9.</text>
  </threadedComment>
  <threadedComment ref="R696" dT="2024-01-21T14:50:38.42" personId="{E331BB74-BBA0-4486-A922-69CA2C388022}" id="{EAF990D0-1505-444F-B9D9-9832441C56DE}" done="1">
    <text>I can't see the 19.5 either, do you calculate them somehow or am I not very observant?</text>
  </threadedComment>
  <threadedComment ref="R696" dT="2024-01-23T09:35:04.49" personId="{3DE5673D-4837-4FC9-B8B9-34243175713A}" id="{CE3C4341-D1C6-4DEB-9646-EF6BE224010D}" parentId="{EAF990D0-1505-444F-B9D9-9832441C56DE}">
    <text>Calculated: 605,023 PY divided by 30,966 persons = 19.5 years.</text>
  </threadedComment>
  <threadedComment ref="A698" dT="2023-07-12T12:29:41.44" personId="{3DE5673D-4837-4FC9-B8B9-34243175713A}" id="{06030E46-2054-4E46-98CE-6A947AB5F90B}" done="1">
    <text xml:space="preserve">I have not extracted mortality by age group or gender as we don't have surrogate 1.-4. outcomes for these subgroups. Bech 1991 reports surrogate 5 by gender though. </text>
  </threadedComment>
  <threadedComment ref="A699" dT="2023-07-12T12:29:41.44" personId="{3DE5673D-4837-4FC9-B8B9-34243175713A}" id="{F159C831-D189-4C51-8CA5-79C1FBA55081}" done="1">
    <text xml:space="preserve">I have not extracted mortality by age group or gender as we don't have surrogate 1.-4. outcomes for these subgroups. Bech 1991 reports surrogate 5 by gender though. </text>
  </threadedComment>
  <threadedComment ref="AS699" dT="2023-07-12T11:12:18.11" personId="{3DE5673D-4837-4FC9-B8B9-34243175713A}" id="{F1654589-9CB0-4935-AD0B-010245A22BA4}" done="1">
    <text>Different from reported RR.</text>
  </threadedComment>
  <threadedComment ref="A701" dT="2023-09-06T09:53:12.33" personId="{3DE5673D-4837-4FC9-B8B9-34243175713A}" id="{9F3E4AC3-D64F-4830-9ADB-DE9D04D7F26A}" done="1">
    <text>Also reports number with breast cancer present at death (not necessarily the cause of death).</text>
  </threadedComment>
  <threadedComment ref="A701" dT="2023-12-17T09:17:17.96" personId="{E08A2389-F34B-466D-8AA1-6ADBBDF0F7BF}" id="{CE48ED1C-43D6-44A2-A268-CA4E6EE7AAAB}" parentId="{9F3E4AC3-D64F-4830-9ADB-DE9D04D7F26A}">
    <text>Not applicable for the breast cancer specific mortality.</text>
  </threadedComment>
  <threadedComment ref="K705" dT="2023-12-17T09:31:56.23" personId="{E08A2389-F34B-466D-8AA1-6ADBBDF0F7BF}" id="{9459652B-A593-4AC1-9520-C0B3C4395F34}" done="1">
    <text>I couldn't see how non-BC deaths were determined.</text>
  </threadedComment>
  <threadedComment ref="K705" dT="2023-12-18T15:10:55.13" personId="{3DE5673D-4837-4FC9-B8B9-34243175713A}" id="{8C4BF757-2D2B-4586-A80A-CE6AE5828E8B}" parentId="{9459652B-A593-4AC1-9520-C0B3C4395F34}">
    <text>Possibly also from the Swedish Cause of Death Register?</text>
  </threadedComment>
  <threadedComment ref="K705" dT="2023-12-19T11:45:12.26" personId="{E08A2389-F34B-466D-8AA1-6ADBBDF0F7BF}" id="{E787EA6F-0E1D-42B4-BBB3-BA79FD7707C2}" parentId="{9459652B-A593-4AC1-9520-C0B3C4395F34}">
    <text>That would make sense. Just mentioning 'cos it wasn't explicit.</text>
  </threadedComment>
  <threadedComment ref="AO705" dT="2023-09-06T11:42:58.31" personId="{3DE5673D-4837-4FC9-B8B9-34243175713A}" id="{5B82DD0E-5FD7-4337-8231-6D9DFCF7FE8A}" done="1">
    <text>Slightly different to reported rate???</text>
  </threadedComment>
  <threadedComment ref="AO705" dT="2023-12-17T09:35:52.69" personId="{E08A2389-F34B-466D-8AA1-6ADBBDF0F7BF}" id="{B98EEB08-3C46-4EB5-8B67-895FF804A243}" parentId="{5B82DD0E-5FD7-4337-8231-6D9DFCF7FE8A}">
    <text>Assume it's because they used Poisson regression.</text>
  </threadedComment>
  <threadedComment ref="AX707" dT="2023-12-17T09:42:14.68" personId="{E08A2389-F34B-466D-8AA1-6ADBBDF0F7BF}" id="{A3DFC0C4-83A7-42BC-8EAD-18D745B701E5}" done="1">
    <text>Also reports age adjustment (Table 5)</text>
  </threadedComment>
  <threadedComment ref="AX707" dT="2023-12-18T15:12:07.81" personId="{3DE5673D-4837-4FC9-B8B9-34243175713A}" id="{6FEB5C2A-E47C-4ED1-90F8-7B6E3F538BD3}" parentId="{A3DFC0C4-83A7-42BC-8EAD-18D745B701E5}">
    <text>Added here. Weighted RRs and Cis using Mantel-Haenszel procedures moved to "unadjusted estimates" after discussion with Adam.</text>
  </threadedComment>
  <threadedComment ref="AY707" dT="2023-12-17T09:42:25.47" personId="{E08A2389-F34B-466D-8AA1-6ADBBDF0F7BF}" id="{44BA5604-7513-4C2B-A2FA-ACF64AE0B981}">
    <text>0.78</text>
  </threadedComment>
  <threadedComment ref="AY707" dT="2023-12-18T15:13:11.26" personId="{3DE5673D-4837-4FC9-B8B9-34243175713A}" id="{E0A22E9E-F43F-41FA-9823-9739845C49F6}" parentId="{44BA5604-7513-4C2B-A2FA-ACF64AE0B981}">
    <text>Changed.</text>
  </threadedComment>
  <threadedComment ref="AZ707" dT="2023-12-17T09:42:35.56" personId="{E08A2389-F34B-466D-8AA1-6ADBBDF0F7BF}" id="{F1345A81-091B-4F02-BB8E-13C62FFF08D6}">
    <text>0.57</text>
  </threadedComment>
  <threadedComment ref="AZ707" dT="2023-12-18T15:13:40.11" personId="{3DE5673D-4837-4FC9-B8B9-34243175713A}" id="{EC18569D-1E58-4768-BE04-50E99FA01F5D}" parentId="{F1345A81-091B-4F02-BB8E-13C62FFF08D6}">
    <text>Changed.</text>
  </threadedComment>
  <threadedComment ref="BA707" dT="2023-12-17T09:42:50.18" personId="{E08A2389-F34B-466D-8AA1-6ADBBDF0F7BF}" id="{AB1473D0-D555-43C6-B5A0-7463B0F579D4}">
    <text>1.07</text>
  </threadedComment>
  <threadedComment ref="BA707" dT="2023-12-18T15:13:32.66" personId="{3DE5673D-4837-4FC9-B8B9-34243175713A}" id="{BAF4D677-307C-4DB9-8C60-7557BDC50B69}" parentId="{AB1473D0-D555-43C6-B5A0-7463B0F579D4}">
    <text>Changed.</text>
  </threadedComment>
  <threadedComment ref="R733" dT="2023-09-22T07:43:28.15" personId="{3DE5673D-4837-4FC9-B8B9-34243175713A}" id="{A36C3735-318A-4212-B104-3B9B562D6CE3}" done="1">
    <text>From Aron 1986 (#11132)</text>
  </threadedComment>
  <threadedComment ref="R733" dT="2024-01-26T13:25:35.96" personId="{E08A2389-F34B-466D-8AA1-6ADBBDF0F7BF}" id="{7A4E355F-DDD4-4856-ABE6-9C99F99A5702}" parentId="{A36C3735-318A-4212-B104-3B9B562D6CE3}">
    <text>agreed</text>
  </threadedComment>
  <threadedComment ref="S733" dT="2023-09-22T07:43:43.09" personId="{3DE5673D-4837-4FC9-B8B9-34243175713A}" id="{6219FF56-3254-45D4-9440-9B85FBD76799}" done="1">
    <text>From Aron 1986 (#11132).</text>
  </threadedComment>
  <threadedComment ref="S733" dT="2024-01-26T13:25:42.90" personId="{E08A2389-F34B-466D-8AA1-6ADBBDF0F7BF}" id="{9DA34581-B06C-4F4E-AA8C-83A3B9618CE9}" parentId="{6219FF56-3254-45D4-9440-9B85FBD76799}">
    <text xml:space="preserve">agreed
</text>
  </threadedComment>
  <threadedComment ref="AG733" dT="2023-09-20T12:40:52.85" personId="{3DE5673D-4837-4FC9-B8B9-34243175713A}" id="{A7524E8C-05DA-4A39-B9E1-5B49F75D505C}" done="1">
    <text>Estimated from reported rates and number of deaths.</text>
  </threadedComment>
  <threadedComment ref="AG733" dT="2024-01-26T13:27:36.70" personId="{E08A2389-F34B-466D-8AA1-6ADBBDF0F7BF}" id="{8BCB2F16-0E3D-4663-A994-4386E15C21BF}" parentId="{A7524E8C-05DA-4A39-B9E1-5B49F75D505C}">
    <text>agreed</text>
  </threadedComment>
  <threadedComment ref="AH733" dT="2023-09-20T12:41:01.25" personId="{3DE5673D-4837-4FC9-B8B9-34243175713A}" id="{26BC2057-7DD0-42C9-93BC-52DD9D40B8F9}" done="1">
    <text>Estimated from reported rates and number of deaths.</text>
  </threadedComment>
  <threadedComment ref="AH733" dT="2024-01-26T13:27:48.99" personId="{E08A2389-F34B-466D-8AA1-6ADBBDF0F7BF}" id="{0152DF0B-8813-436C-BC6B-F16717439555}" parentId="{26BC2057-7DD0-42C9-93BC-52DD9D40B8F9}">
    <text xml:space="preserve">agreed
</text>
  </threadedComment>
  <threadedComment ref="R734" dT="2023-09-22T07:43:28.15" personId="{3DE5673D-4837-4FC9-B8B9-34243175713A}" id="{68C87094-BDEC-4C76-B07F-1D2DEB53A771}" done="1">
    <text>From Aron 1986 (#11132)</text>
  </threadedComment>
  <threadedComment ref="R734" dT="2024-01-26T13:25:35.96" personId="{E08A2389-F34B-466D-8AA1-6ADBBDF0F7BF}" id="{59A13D1D-586A-4673-A29E-2B1884DD9043}" parentId="{68C87094-BDEC-4C76-B07F-1D2DEB53A771}">
    <text>agreed</text>
  </threadedComment>
  <threadedComment ref="S734" dT="2023-09-22T07:43:43.09" personId="{3DE5673D-4837-4FC9-B8B9-34243175713A}" id="{0AF07B3B-AE7A-4DAA-ABC4-67D850E6F7E3}" done="1">
    <text>From Aron 1986 (#11132).</text>
  </threadedComment>
  <threadedComment ref="S734" dT="2024-01-26T13:25:42.90" personId="{E08A2389-F34B-466D-8AA1-6ADBBDF0F7BF}" id="{FEB5ED26-E1B5-4128-8660-1EF865B62483}" parentId="{0AF07B3B-AE7A-4DAA-ABC4-67D850E6F7E3}">
    <text xml:space="preserve">agreed
</text>
  </threadedComment>
  <threadedComment ref="AG734" dT="2023-09-20T12:40:52.85" personId="{3DE5673D-4837-4FC9-B8B9-34243175713A}" id="{59D53028-EE67-4D56-ADCB-6179B2A4EC34}" done="1">
    <text>Estimated from reported rates and number of deaths.</text>
  </threadedComment>
  <threadedComment ref="AG734" dT="2024-01-26T13:27:36.70" personId="{E08A2389-F34B-466D-8AA1-6ADBBDF0F7BF}" id="{58B55EBC-B542-4A86-8335-DAF9757D2B22}" parentId="{59D53028-EE67-4D56-ADCB-6179B2A4EC34}">
    <text>agreed</text>
  </threadedComment>
  <threadedComment ref="AH734" dT="2023-09-20T12:41:01.25" personId="{3DE5673D-4837-4FC9-B8B9-34243175713A}" id="{086C5EF0-F5D6-42D9-908E-33B678D832B6}" done="1">
    <text>Estimated from reported rates and number of deaths.</text>
  </threadedComment>
  <threadedComment ref="AH734" dT="2024-01-26T13:27:48.99" personId="{E08A2389-F34B-466D-8AA1-6ADBBDF0F7BF}" id="{5BFE5EE5-2FD1-4DBB-A103-F634C675A5B9}" parentId="{086C5EF0-F5D6-42D9-908E-33B678D832B6}">
    <text xml:space="preserve">agreed
</text>
  </threadedComment>
  <threadedComment ref="R735" dT="2023-09-22T07:43:28.15" personId="{3DE5673D-4837-4FC9-B8B9-34243175713A}" id="{69000CCF-BDCF-4273-9DBE-EC3F6CA8E7F3}" done="1">
    <text>From Aron 1986 (#11132)</text>
  </threadedComment>
  <threadedComment ref="R735" dT="2024-01-26T13:33:03.67" personId="{E08A2389-F34B-466D-8AA1-6ADBBDF0F7BF}" id="{54EE0F90-FD44-4169-A40D-34599DDA6DAA}" parentId="{69000CCF-BDCF-4273-9DBE-EC3F6CA8E7F3}">
    <text xml:space="preserve">agreed
</text>
  </threadedComment>
  <threadedComment ref="S735" dT="2023-09-22T07:43:43.09" personId="{3DE5673D-4837-4FC9-B8B9-34243175713A}" id="{4F2A0037-51F5-484C-B9FA-1B08812DED0A}" done="1">
    <text>From Aron 1986 (#11132).</text>
  </threadedComment>
  <threadedComment ref="S735" dT="2024-01-26T13:33:24.56" personId="{E08A2389-F34B-466D-8AA1-6ADBBDF0F7BF}" id="{2CACD06D-C3F4-4913-BB7D-D73CC9085552}" parentId="{4F2A0037-51F5-484C-B9FA-1B08812DED0A}">
    <text xml:space="preserve">agreed
</text>
  </threadedComment>
  <threadedComment ref="R736" dT="2023-09-22T07:43:28.15" personId="{3DE5673D-4837-4FC9-B8B9-34243175713A}" id="{5D482A5B-7E7C-4A40-B4E7-27924765F203}" done="1">
    <text>From Aron 1986 (#11132)</text>
  </threadedComment>
  <threadedComment ref="R736" dT="2024-01-26T13:33:10.55" personId="{E08A2389-F34B-466D-8AA1-6ADBBDF0F7BF}" id="{A0768FBF-FB1F-44F6-85E4-B7776F4D09BE}" parentId="{5D482A5B-7E7C-4A40-B4E7-27924765F203}">
    <text>agreed</text>
  </threadedComment>
  <threadedComment ref="S736" dT="2023-09-22T07:43:43.09" personId="{3DE5673D-4837-4FC9-B8B9-34243175713A}" id="{339E6909-641E-460C-8D93-8DE3725F5F12}" done="1">
    <text>From Aron 1986 (#11132).</text>
  </threadedComment>
  <threadedComment ref="S736" dT="2024-01-26T13:33:28.55" personId="{E08A2389-F34B-466D-8AA1-6ADBBDF0F7BF}" id="{A50BEBA4-ECE4-491D-84F1-ECDD3BAF3B7C}" parentId="{339E6909-641E-460C-8D93-8DE3725F5F12}">
    <text xml:space="preserve">agreed
</text>
  </threadedComment>
  <threadedComment ref="R737" dT="2023-09-22T07:43:28.15" personId="{3DE5673D-4837-4FC9-B8B9-34243175713A}" id="{3D8CC86E-5661-47A3-8BCC-2DA2BA3B6FB2}" done="1">
    <text>From Aron 1986 (#11132)</text>
  </threadedComment>
  <threadedComment ref="R737" dT="2024-01-26T13:33:13.89" personId="{E08A2389-F34B-466D-8AA1-6ADBBDF0F7BF}" id="{A0DBB390-166A-459D-A89C-3E10CF5F2148}" parentId="{3D8CC86E-5661-47A3-8BCC-2DA2BA3B6FB2}">
    <text xml:space="preserve">agreed
</text>
  </threadedComment>
  <threadedComment ref="S737" dT="2023-09-22T07:43:43.09" personId="{3DE5673D-4837-4FC9-B8B9-34243175713A}" id="{DFA0930C-E44D-4D4A-81E0-FD1BC6B0C181}" done="1">
    <text>From Aron 1986 (#11132).</text>
  </threadedComment>
  <threadedComment ref="S737" dT="2024-01-26T13:33:30.97" personId="{E08A2389-F34B-466D-8AA1-6ADBBDF0F7BF}" id="{316837E1-1C59-43CD-962B-C089A4E5EF07}" parentId="{DFA0930C-E44D-4D4A-81E0-FD1BC6B0C181}">
    <text xml:space="preserve">agreed
</text>
  </threadedComment>
  <threadedComment ref="R738" dT="2023-09-22T07:43:28.15" personId="{3DE5673D-4837-4FC9-B8B9-34243175713A}" id="{6A789F73-55D0-4665-9401-9855FCA4DA55}" done="1">
    <text>From Aron 1986 (#11132)</text>
  </threadedComment>
  <threadedComment ref="R738" dT="2024-01-26T13:33:16.31" personId="{E08A2389-F34B-466D-8AA1-6ADBBDF0F7BF}" id="{BEE96074-ED4B-4EAB-A070-C584418B0091}" parentId="{6A789F73-55D0-4665-9401-9855FCA4DA55}">
    <text xml:space="preserve">agreed
</text>
  </threadedComment>
  <threadedComment ref="S738" dT="2023-09-22T07:43:43.09" personId="{3DE5673D-4837-4FC9-B8B9-34243175713A}" id="{4A85BA1B-B6D4-4CA1-94E8-4FFE1C04368B}" done="1">
    <text>From Aron 1986 (#11132).</text>
  </threadedComment>
  <threadedComment ref="S738" dT="2024-01-26T13:33:33.47" personId="{E08A2389-F34B-466D-8AA1-6ADBBDF0F7BF}" id="{39C50716-DC1B-4535-B97B-30A46031EB3C}" parentId="{4A85BA1B-B6D4-4CA1-94E8-4FFE1C04368B}">
    <text xml:space="preserve">agreed
</text>
  </threadedComment>
  <threadedComment ref="R739" dT="2023-09-22T07:43:28.15" personId="{3DE5673D-4837-4FC9-B8B9-34243175713A}" id="{5508C3EC-7A77-449D-B3DA-F51662DEF535}" done="1">
    <text>From Aron 1986 (#11132)</text>
  </threadedComment>
  <threadedComment ref="R739" dT="2024-01-26T13:33:19.07" personId="{E08A2389-F34B-466D-8AA1-6ADBBDF0F7BF}" id="{FBCE836F-4D91-4B23-9B2F-B8BD81A88ABF}" parentId="{5508C3EC-7A77-449D-B3DA-F51662DEF535}">
    <text xml:space="preserve">agreed
</text>
  </threadedComment>
  <threadedComment ref="S739" dT="2023-09-22T07:43:43.09" personId="{3DE5673D-4837-4FC9-B8B9-34243175713A}" id="{C6E0073D-FBE1-4735-919A-28775FB857A8}" done="1">
    <text>From Aron 1986 (#11132).</text>
  </threadedComment>
  <threadedComment ref="S739" dT="2024-01-26T13:33:36.58" personId="{E08A2389-F34B-466D-8AA1-6ADBBDF0F7BF}" id="{FFEA2CE2-663A-4D59-A801-CB009883DFA5}" parentId="{C6E0073D-FBE1-4735-919A-28775FB857A8}">
    <text xml:space="preserve">agreed
</text>
  </threadedComment>
  <threadedComment ref="R740" dT="2023-09-22T07:43:28.15" personId="{3DE5673D-4837-4FC9-B8B9-34243175713A}" id="{8F1E1313-94B7-43C8-BB02-575F3893B82F}" done="1">
    <text>From Aron 1986 (#11132)</text>
  </threadedComment>
  <threadedComment ref="R740" dT="2024-01-26T13:33:21.73" personId="{E08A2389-F34B-466D-8AA1-6ADBBDF0F7BF}" id="{1B23C088-3C51-440C-BF10-96B8E648F6B2}" parentId="{8F1E1313-94B7-43C8-BB02-575F3893B82F}">
    <text xml:space="preserve">agreed
</text>
  </threadedComment>
  <threadedComment ref="S740" dT="2023-09-22T07:43:43.09" personId="{3DE5673D-4837-4FC9-B8B9-34243175713A}" id="{A951E77F-CF84-4F6D-ABBF-CCE11DE2AC7F}" done="1">
    <text>From Aron 1986 (#11132).</text>
  </threadedComment>
  <threadedComment ref="S740" dT="2024-01-26T13:33:39.27" personId="{E08A2389-F34B-466D-8AA1-6ADBBDF0F7BF}" id="{E74B8EF7-E0F9-4C61-8D63-80F866524F0B}" parentId="{A951E77F-CF84-4F6D-ABBF-CCE11DE2AC7F}">
    <text xml:space="preserve">agreed
</text>
  </threadedComment>
  <threadedComment ref="A742" dT="2023-09-20T13:36:45.73" personId="{3DE5673D-4837-4FC9-B8B9-34243175713A}" id="{E579D1F9-6E34-4013-A459-84692CCC00E9}" done="1">
    <text>Mortality for 2-7 years after entry already reported in Shapiro 1974 (#4886).</text>
  </threadedComment>
  <threadedComment ref="A742" dT="2024-01-26T13:34:37.31" personId="{E08A2389-F34B-466D-8AA1-6ADBBDF0F7BF}" id="{E331354E-F335-4CCA-9A41-5630FFBD3C46}" parentId="{E579D1F9-6E34-4013-A459-84692CCC00E9}">
    <text xml:space="preserve">agreed
</text>
  </threadedComment>
  <threadedComment ref="R742" dT="2023-09-22T07:43:28.15" personId="{3DE5673D-4837-4FC9-B8B9-34243175713A}" id="{4151B456-773E-4899-891F-B8AF66652F4E}" done="1">
    <text>From Aron 1986 (#11132)</text>
  </threadedComment>
  <threadedComment ref="S742" dT="2023-09-22T07:43:43.09" personId="{3DE5673D-4837-4FC9-B8B9-34243175713A}" id="{593E43BD-DC25-4CC2-B88C-00FC6D27069E}" done="1">
    <text>From Aron 1986 (#11132).</text>
  </threadedComment>
  <threadedComment ref="R743" dT="2023-09-22T07:43:28.15" personId="{3DE5673D-4837-4FC9-B8B9-34243175713A}" id="{622CA8A5-1D8F-4A1A-AA21-D3872590C35D}" done="1">
    <text>From Aron 1986 (#11132)</text>
  </threadedComment>
  <threadedComment ref="S743" dT="2023-09-22T07:43:43.09" personId="{3DE5673D-4837-4FC9-B8B9-34243175713A}" id="{84A7C10F-2174-4B61-8D0C-D65CDD1F6DD0}" done="1">
    <text>From Aron 1986 (#11132).</text>
  </threadedComment>
  <threadedComment ref="U744" dT="2024-01-26T13:40:47.92" personId="{E08A2389-F34B-466D-8AA1-6ADBBDF0F7BF}" id="{AD267222-4A5C-45BB-A6DA-23AD768D6CEC}" done="1">
    <text>This is assuming there were exactly 31000 participants, right?
If yes, I agree.</text>
  </threadedComment>
  <threadedComment ref="V744" dT="2023-09-20T13:59:53.00" personId="{3DE5673D-4837-4FC9-B8B9-34243175713A}" id="{00BD894D-09F6-48B5-AC21-D972BC6068F7}" done="1">
    <text>Estimated from % in Table 1.</text>
  </threadedComment>
  <threadedComment ref="V744" dT="2024-01-26T13:43:00.52" personId="{E08A2389-F34B-466D-8AA1-6ADBBDF0F7BF}" id="{D4CC8979-3341-499A-8981-54C76E5F4B55}" parentId="{00BD894D-09F6-48B5-AC21-D972BC6068F7}">
    <text xml:space="preserve">This is assuming there were exactly 31000 participants, right?
If yes, I agree.
</text>
  </threadedComment>
  <threadedComment ref="AG744" dT="2024-01-26T13:43:16.45" personId="{E08A2389-F34B-466D-8AA1-6ADBBDF0F7BF}" id="{82DC80DB-C2EA-4DEA-9515-1AFD8813E47B}" done="1">
    <text xml:space="preserve">This is assuming there were exactly 31000 participants, right?
If yes, I agree.
</text>
  </threadedComment>
  <threadedComment ref="AH744" dT="2023-09-20T13:59:53.00" personId="{3DE5673D-4837-4FC9-B8B9-34243175713A}" id="{334AD212-FED2-480A-8CCE-FFBB50BF28BE}" done="1">
    <text>Estimated from % in Table 1. 
Or does the denominator not really matter as the 2 groups were matched by age and should be the same size anyway. So, to calculate the ratio, one could just divide the number of events only.</text>
  </threadedComment>
  <threadedComment ref="AH744" dT="2024-01-26T13:45:59.17" personId="{E08A2389-F34B-466D-8AA1-6ADBBDF0F7BF}" id="{8D17579C-6683-48F7-98CA-F7F2D758EC5F}" parentId="{334AD212-FED2-480A-8CCE-FFBB50BF28BE}">
    <text>I don't know if that is correct mathematically. Seems reasonably to do the same thing for all though.</text>
  </threadedComment>
  <threadedComment ref="U745" dT="2024-01-26T13:42:53.08" personId="{E08A2389-F34B-466D-8AA1-6ADBBDF0F7BF}" id="{C7A64B22-DA90-49BE-9E9D-7DA428339607}" done="1">
    <text xml:space="preserve">This is assuming there were exactly 31000 participants, right?
If yes, I agree.
</text>
  </threadedComment>
  <threadedComment ref="V745" dT="2023-09-20T13:59:53.00" personId="{3DE5673D-4837-4FC9-B8B9-34243175713A}" id="{9DC8AB44-25AD-417F-8BAD-B3751461113C}" done="1">
    <text>Estimated from % in Table 1.</text>
  </threadedComment>
  <threadedComment ref="V745" dT="2024-01-26T13:43:05.55" personId="{E08A2389-F34B-466D-8AA1-6ADBBDF0F7BF}" id="{3ED77502-4546-4B25-BD07-241CDC5E830D}" parentId="{9DC8AB44-25AD-417F-8BAD-B3751461113C}">
    <text xml:space="preserve">This is assuming there were exactly 31000 participants, right?
If yes, I agree.
</text>
  </threadedComment>
  <threadedComment ref="AG745" dT="2024-01-26T13:43:20.44" personId="{E08A2389-F34B-466D-8AA1-6ADBBDF0F7BF}" id="{CAF2A9FD-DC2C-437F-AC71-84F5C715F816}" done="1">
    <text xml:space="preserve">This is assuming there were exactly 31000 participants, right?
If yes, I agree.
</text>
  </threadedComment>
  <threadedComment ref="AH745" dT="2023-09-20T13:59:53.00" personId="{3DE5673D-4837-4FC9-B8B9-34243175713A}" id="{04C9F634-37EB-4276-A617-D599DC6B896E}" done="1">
    <text>Estimated from % in Table 1. 
Or does the denominator not really matter as the 2 groups were matched by age and should be the same size anyway. So, to calculate the ratio, one could just divide the number of events only.</text>
  </threadedComment>
  <threadedComment ref="AH745" dT="2024-01-26T13:46:45.14" personId="{E08A2389-F34B-466D-8AA1-6ADBBDF0F7BF}" id="{617B2214-9A8B-430F-A202-D2CA578FD691}" parentId="{04C9F634-37EB-4276-A617-D599DC6B896E}">
    <text>As above</text>
  </threadedComment>
  <threadedComment ref="U746" dT="2024-01-26T13:42:57.83" personId="{E08A2389-F34B-466D-8AA1-6ADBBDF0F7BF}" id="{D883D697-3CB0-4A28-BA57-DDF6291F60BE}" done="1">
    <text xml:space="preserve">This is assuming there were exactly 31000 participants, right?
If yes, I agree.
</text>
  </threadedComment>
  <threadedComment ref="V746" dT="2023-09-20T13:59:53.00" personId="{3DE5673D-4837-4FC9-B8B9-34243175713A}" id="{E77C91D7-BECF-4B82-A379-B4E73CCBBFF7}" done="1">
    <text>Estimated from % in Table 1.</text>
  </threadedComment>
  <threadedComment ref="AG746" dT="2024-01-26T13:43:23.77" personId="{E08A2389-F34B-466D-8AA1-6ADBBDF0F7BF}" id="{2E2C9B8F-5148-41A0-A344-07BD0D87B490}" done="1">
    <text xml:space="preserve">This is assuming there were exactly 31000 participants, right?
If yes, I agree.
</text>
  </threadedComment>
  <threadedComment ref="AH746" dT="2023-09-20T13:59:53.00" personId="{3DE5673D-4837-4FC9-B8B9-34243175713A}" id="{8A95493B-37D3-4B46-9BE0-C29D1647DDF0}" done="1">
    <text>Estimated from % in Table 1.
Or does the denominator not really matter as the 2 groups were matched by age and should be the same size anyway. So, to calculate the ratio, one could just divide the number of events only.</text>
  </threadedComment>
  <threadedComment ref="AH746" dT="2024-01-26T13:46:49.42" personId="{E08A2389-F34B-466D-8AA1-6ADBBDF0F7BF}" id="{12E16723-A0DD-47E9-A623-6C4CBAE0C30B}" parentId="{8A95493B-37D3-4B46-9BE0-C29D1647DDF0}">
    <text>As above</text>
  </threadedComment>
  <threadedComment ref="A747" dT="2023-09-21T09:20:22.59" personId="{3DE5673D-4837-4FC9-B8B9-34243175713A}" id="{88FD6AB0-9CD2-4B58-AAFC-86BD028E8ECC}" done="1">
    <text>Number of deaths from breast cancer 2 years after study are the same as reported in earlier publications, but numbers for all other follow-up times vary slightly, so I have extracted them again.</text>
  </threadedComment>
  <threadedComment ref="R747" dT="2023-09-22T07:43:28.15" personId="{3DE5673D-4837-4FC9-B8B9-34243175713A}" id="{F5548EF7-31AE-48D5-ADE0-1D53EDCB5D62}" done="1">
    <text>From Aron 1986 (#11132)</text>
  </threadedComment>
  <threadedComment ref="R747" dT="2024-01-26T13:58:12.30" personId="{E08A2389-F34B-466D-8AA1-6ADBBDF0F7BF}" id="{178B5E99-4019-4056-9287-7FCA0B016BEC}" parentId="{F5548EF7-31AE-48D5-ADE0-1D53EDCB5D62}">
    <text>agreed</text>
  </threadedComment>
  <threadedComment ref="S747" dT="2023-09-22T07:43:43.09" personId="{3DE5673D-4837-4FC9-B8B9-34243175713A}" id="{AD537D5D-0481-4FFB-B3C1-61C9B321EBC2}" done="1">
    <text>From Aron 1986 (#11132).</text>
  </threadedComment>
  <threadedComment ref="S747" dT="2024-01-26T13:58:47.25" personId="{E08A2389-F34B-466D-8AA1-6ADBBDF0F7BF}" id="{FAA2567F-B565-46D0-9166-DDB0C6CBF2F7}" parentId="{AD537D5D-0481-4FFB-B3C1-61C9B321EBC2}">
    <text xml:space="preserve">agreed
</text>
  </threadedComment>
  <threadedComment ref="A748" dT="2023-09-21T09:20:22.59" personId="{3DE5673D-4837-4FC9-B8B9-34243175713A}" id="{431486E1-DF6D-4094-9582-70F1D45E50AC}" done="1">
    <text>Number of deaths from breast cancer 2 years after study are the same as reported in earlier publications, but numbers for all other follow-up times vary slightly, so I have extracted them again.</text>
  </threadedComment>
  <threadedComment ref="R748" dT="2023-09-22T07:43:28.15" personId="{3DE5673D-4837-4FC9-B8B9-34243175713A}" id="{F8C4F258-E0F8-4E66-9CC2-5E14F50558D1}" done="1">
    <text>From Aron 1986 (#11132)</text>
  </threadedComment>
  <threadedComment ref="R748" dT="2024-01-26T13:58:14.98" personId="{E08A2389-F34B-466D-8AA1-6ADBBDF0F7BF}" id="{B6EB1301-4923-4AB1-AF23-19248F952591}" parentId="{F8C4F258-E0F8-4E66-9CC2-5E14F50558D1}">
    <text xml:space="preserve">agreed
</text>
  </threadedComment>
  <threadedComment ref="S748" dT="2023-09-22T07:43:43.09" personId="{3DE5673D-4837-4FC9-B8B9-34243175713A}" id="{26ED36B4-B12F-4F0F-902D-BB2D5B9AA85C}" done="1">
    <text>From Aron 1986 (#11132).</text>
  </threadedComment>
  <threadedComment ref="S748" dT="2024-01-26T13:58:50.47" personId="{E08A2389-F34B-466D-8AA1-6ADBBDF0F7BF}" id="{039CABA4-A4DD-4685-9429-6F1F9D5BA7C0}" parentId="{26ED36B4-B12F-4F0F-902D-BB2D5B9AA85C}">
    <text xml:space="preserve">agreed
</text>
  </threadedComment>
  <threadedComment ref="A749" dT="2023-09-21T09:20:22.59" personId="{3DE5673D-4837-4FC9-B8B9-34243175713A}" id="{35325406-68F3-4FC4-BEEF-A4012D3CE4F4}" done="1">
    <text>Number of deaths from breast cancer 2 years after study are the same as reported in earlier publications, but numbers for all other follow-up times vary slightly, so I have extracted them again.</text>
  </threadedComment>
  <threadedComment ref="R749" dT="2023-09-22T07:43:28.15" personId="{3DE5673D-4837-4FC9-B8B9-34243175713A}" id="{8178A394-3A80-4E22-952F-B0FBA461BAB3}" done="1">
    <text>From Aron 1986 (#11132)</text>
  </threadedComment>
  <threadedComment ref="R749" dT="2024-01-26T13:58:17.38" personId="{E08A2389-F34B-466D-8AA1-6ADBBDF0F7BF}" id="{D301EA97-0D00-4C86-8F7B-0006C9F3C1B7}" parentId="{8178A394-3A80-4E22-952F-B0FBA461BAB3}">
    <text xml:space="preserve">agreed
</text>
  </threadedComment>
  <threadedComment ref="S749" dT="2023-09-22T07:43:43.09" personId="{3DE5673D-4837-4FC9-B8B9-34243175713A}" id="{FEBD1AFA-6720-4980-A1F1-314A6C899434}" done="1">
    <text>From Aron 1986 (#11132).</text>
  </threadedComment>
  <threadedComment ref="S749" dT="2024-01-26T13:58:52.35" personId="{E08A2389-F34B-466D-8AA1-6ADBBDF0F7BF}" id="{C6B7AEBB-1DCF-4834-9188-8B03D3627F66}" parentId="{FEBD1AFA-6720-4980-A1F1-314A6C899434}">
    <text xml:space="preserve">agreed
</text>
  </threadedComment>
  <threadedComment ref="A750" dT="2023-09-21T09:20:22.59" personId="{3DE5673D-4837-4FC9-B8B9-34243175713A}" id="{16FA928C-C4A6-494A-88D9-F3991CEA4195}" done="1">
    <text>Number of deaths from breast cancer 2 years after study are the same as reported in earlier publications, but numbers for all other follow-up times vary slightly, so I have extracted them again.</text>
  </threadedComment>
  <threadedComment ref="R750" dT="2023-09-22T07:43:28.15" personId="{3DE5673D-4837-4FC9-B8B9-34243175713A}" id="{C5F954BE-CBF0-4AA1-A44C-5C767CB84B67}" done="1">
    <text>From Aron 1986 (#11132)</text>
  </threadedComment>
  <threadedComment ref="R750" dT="2024-01-26T13:58:19.34" personId="{E08A2389-F34B-466D-8AA1-6ADBBDF0F7BF}" id="{162FBC94-EC19-4DEB-8897-1492F0704140}" parentId="{C5F954BE-CBF0-4AA1-A44C-5C767CB84B67}">
    <text xml:space="preserve">agreed
</text>
  </threadedComment>
  <threadedComment ref="S750" dT="2023-09-22T07:43:43.09" personId="{3DE5673D-4837-4FC9-B8B9-34243175713A}" id="{22131542-22E7-46D5-A4ED-DAAB80EEDADD}" done="1">
    <text>From Aron 1986 (#11132).</text>
  </threadedComment>
  <threadedComment ref="S750" dT="2024-01-26T13:58:54.30" personId="{E08A2389-F34B-466D-8AA1-6ADBBDF0F7BF}" id="{D2DCE89D-78C3-4390-8EFC-EE5121BE71FF}" parentId="{22131542-22E7-46D5-A4ED-DAAB80EEDADD}">
    <text xml:space="preserve">agreed
</text>
  </threadedComment>
  <threadedComment ref="A751" dT="2023-09-21T09:20:22.59" personId="{3DE5673D-4837-4FC9-B8B9-34243175713A}" id="{AB812410-9C51-4B7E-ACD5-94B3DB0DC353}" done="1">
    <text>Number of deaths from breast cancer 2 years after study are the same as reported in earlier publications, but numbers for all other follow-up times vary slightly, so I have extracted them again.</text>
  </threadedComment>
  <threadedComment ref="R751" dT="2023-09-22T07:43:28.15" personId="{3DE5673D-4837-4FC9-B8B9-34243175713A}" id="{49869CEE-B448-48BE-A100-100F0FDDE445}" done="1">
    <text>From Aron 1986 (#11132)</text>
  </threadedComment>
  <threadedComment ref="R751" dT="2024-01-26T13:58:21.76" personId="{E08A2389-F34B-466D-8AA1-6ADBBDF0F7BF}" id="{AFFC44A3-CCCB-4762-8E3A-9B97823D2F5A}" parentId="{49869CEE-B448-48BE-A100-100F0FDDE445}">
    <text xml:space="preserve">agreed
</text>
  </threadedComment>
  <threadedComment ref="S751" dT="2023-09-22T07:43:43.09" personId="{3DE5673D-4837-4FC9-B8B9-34243175713A}" id="{165736AF-B8C3-413A-8BE8-EA3C5C9608FA}" done="1">
    <text>From Aron 1986 (#11132).</text>
  </threadedComment>
  <threadedComment ref="S751" dT="2024-01-26T13:58:56.71" personId="{E08A2389-F34B-466D-8AA1-6ADBBDF0F7BF}" id="{B24EC0C6-749D-49A2-ACD8-FA07DF434DB0}" parentId="{165736AF-B8C3-413A-8BE8-EA3C5C9608FA}">
    <text xml:space="preserve">agreed
</text>
  </threadedComment>
  <threadedComment ref="A752" dT="2023-09-21T09:20:22.59" personId="{3DE5673D-4837-4FC9-B8B9-34243175713A}" id="{6FBB56C0-D71D-499C-A9E5-2CA33DADA727}" done="1">
    <text>Number of deaths from breast cancer 2 years after study are the same as reported in earlier publications, but numbers for all other follow-up times vary slightly, so I have extracted them again.</text>
  </threadedComment>
  <threadedComment ref="R752" dT="2023-09-22T07:43:28.15" personId="{3DE5673D-4837-4FC9-B8B9-34243175713A}" id="{74AED413-D955-48B0-AC73-AEA3C50CB1CA}" done="1">
    <text>From Aron 1986 (#11132)</text>
  </threadedComment>
  <threadedComment ref="R752" dT="2024-01-26T13:58:24.49" personId="{E08A2389-F34B-466D-8AA1-6ADBBDF0F7BF}" id="{4165271C-B8A2-4BA7-A1F3-8E3E455C8359}" parentId="{74AED413-D955-48B0-AC73-AEA3C50CB1CA}">
    <text xml:space="preserve">agreed
</text>
  </threadedComment>
  <threadedComment ref="S752" dT="2023-09-22T07:43:43.09" personId="{3DE5673D-4837-4FC9-B8B9-34243175713A}" id="{A9C26DBB-CA58-4F9C-9036-4E8025BC7149}" done="1">
    <text>From Aron 1986 (#11132).</text>
  </threadedComment>
  <threadedComment ref="S752" dT="2024-01-26T13:58:59.15" personId="{E08A2389-F34B-466D-8AA1-6ADBBDF0F7BF}" id="{5451AD7A-19A1-4E15-8A1A-C9D5C5D6DD8E}" parentId="{A9C26DBB-CA58-4F9C-9036-4E8025BC7149}">
    <text xml:space="preserve">agreed
</text>
  </threadedComment>
  <threadedComment ref="A753" dT="2023-09-21T09:20:22.59" personId="{3DE5673D-4837-4FC9-B8B9-34243175713A}" id="{F4051D07-6ACF-4D3A-A6F6-8A70C2A3AA24}" done="1">
    <text>Number of deaths from breast cancer 2 years after study are the same as reported in earlier publications, but numbers for all other follow-up times vary slightly, so I have extracted them again.</text>
  </threadedComment>
  <threadedComment ref="R753" dT="2023-09-22T07:43:28.15" personId="{3DE5673D-4837-4FC9-B8B9-34243175713A}" id="{38DB7832-9C1E-432C-BB34-60677BB29F7A}" done="1">
    <text>From Aron 1986 (#11132)</text>
  </threadedComment>
  <threadedComment ref="R753" dT="2024-01-26T13:58:26.73" personId="{E08A2389-F34B-466D-8AA1-6ADBBDF0F7BF}" id="{B1076186-887D-4C82-B51B-02F7D9D35C48}" parentId="{38DB7832-9C1E-432C-BB34-60677BB29F7A}">
    <text xml:space="preserve">agreed
</text>
  </threadedComment>
  <threadedComment ref="S753" dT="2023-09-22T07:43:43.09" personId="{3DE5673D-4837-4FC9-B8B9-34243175713A}" id="{20101739-A6D9-48FC-9029-3C97ACD2D540}" done="1">
    <text>From Aron 1986 (#11132).</text>
  </threadedComment>
  <threadedComment ref="S753" dT="2024-01-26T13:59:01.83" personId="{E08A2389-F34B-466D-8AA1-6ADBBDF0F7BF}" id="{B253143F-B1C7-48AF-BBBD-301F46124945}" parentId="{20101739-A6D9-48FC-9029-3C97ACD2D540}">
    <text xml:space="preserve">agreed
</text>
  </threadedComment>
  <threadedComment ref="A754" dT="2023-09-21T09:20:22.59" personId="{3DE5673D-4837-4FC9-B8B9-34243175713A}" id="{FA3AC25A-C3D8-4512-B453-597976F8E05D}" done="1">
    <text>Number of deaths from breast cancer 2 years after study are the same as reported in earlier publications, but numbers for all other follow-up times vary slightly, so I have extracted them again.</text>
  </threadedComment>
  <threadedComment ref="R754" dT="2023-09-22T07:43:28.15" personId="{3DE5673D-4837-4FC9-B8B9-34243175713A}" id="{6884EE47-9D19-4ADD-9B34-43ECDF034768}" done="1">
    <text>From Aron 1986 (#11132)</text>
  </threadedComment>
  <threadedComment ref="R754" dT="2023-12-21T15:33:34.18" personId="{E08A2389-F34B-466D-8AA1-6ADBBDF0F7BF}" id="{BBE49C9F-5E1E-4B24-8CD0-43204F6BBBCC}" parentId="{6884EE47-9D19-4ADD-9B34-43ECDF034768}">
    <text xml:space="preserve">agreed
</text>
  </threadedComment>
  <threadedComment ref="S754" dT="2023-09-22T07:43:43.09" personId="{3DE5673D-4837-4FC9-B8B9-34243175713A}" id="{1540F197-D94D-4261-900D-09EB248E1BF4}" done="1">
    <text>From Aron 1986 (#11132).</text>
  </threadedComment>
  <threadedComment ref="S754" dT="2023-12-21T15:33:39.18" personId="{E08A2389-F34B-466D-8AA1-6ADBBDF0F7BF}" id="{6340A38F-4BC7-408A-90B2-65DD7DB665CB}" parentId="{1540F197-D94D-4261-900D-09EB248E1BF4}">
    <text xml:space="preserve">agreed
</text>
  </threadedComment>
  <threadedComment ref="U755" dT="2024-01-26T14:00:46.10" personId="{E08A2389-F34B-466D-8AA1-6ADBBDF0F7BF}" id="{06F98AF2-ACBF-41E0-BE5C-CE27064EBA69}" done="1">
    <text xml:space="preserve">agreed
</text>
  </threadedComment>
  <threadedComment ref="V755" dT="2023-09-20T13:59:53.00" personId="{3DE5673D-4837-4FC9-B8B9-34243175713A}" id="{4FE38A79-4D68-4E88-8C0E-16DEB544CDDB}" done="1">
    <text>Numbers from Table 1 in Habbema 1986 (#11131).
Or does the denominator not really matter as the 2 groups were matched by age and should be the same size anyway. So, to calculate the ratio, one could just divide the number of events only.</text>
  </threadedComment>
  <threadedComment ref="V755" dT="2024-01-26T14:01:11.99" personId="{E08A2389-F34B-466D-8AA1-6ADBBDF0F7BF}" id="{75BAFF72-F1D1-4FDA-AA73-3ECDDCED6D7F}" parentId="{4FE38A79-4D68-4E88-8C0E-16DEB544CDDB}">
    <text>Don't know mathematically. Suggest one process throughout.</text>
  </threadedComment>
  <threadedComment ref="AG755" dT="2024-01-26T14:01:43.63" personId="{E08A2389-F34B-466D-8AA1-6ADBBDF0F7BF}" id="{47418664-51F1-4429-8085-F871E6B3DB20}" done="1">
    <text>agreed</text>
  </threadedComment>
  <threadedComment ref="AH755" dT="2023-09-20T13:59:53.00" personId="{3DE5673D-4837-4FC9-B8B9-34243175713A}" id="{4F05A66A-C763-4AFA-B477-57C150A5AE45}" done="1">
    <text>Numbers from Table 1 in Habbema 1986 (#11131).
Or does the denominator not really matter as the 2 groups were matched by age and should be the same size anyway. So, to calculate the ratio, one could just divide the number of events only.</text>
  </threadedComment>
  <threadedComment ref="AH755" dT="2023-12-22T10:00:50.95" personId="{E08A2389-F34B-466D-8AA1-6ADBBDF0F7BF}" id="{6EAFE8C6-2B5E-43E5-8AFA-D93FBD1BE4EB}" parentId="{4F05A66A-C763-4AFA-B477-57C150A5AE45}">
    <text>Suggest sticking to one process where poss.</text>
  </threadedComment>
  <threadedComment ref="AH755" dT="2023-12-22T10:18:08.28" personId="{E08A2389-F34B-466D-8AA1-6ADBBDF0F7BF}" id="{1446D0D4-0AEB-4E00-B67E-20F7CB29080A}" parentId="{4F05A66A-C763-4AFA-B477-57C150A5AE45}">
    <text>For transparency, I do think we need to make it clear somewhere where we have estimated values.</text>
  </threadedComment>
  <threadedComment ref="U756" dT="2024-01-26T14:00:49.34" personId="{E08A2389-F34B-466D-8AA1-6ADBBDF0F7BF}" id="{FB117436-1F2F-446C-A858-532BB64161B3}" done="1">
    <text xml:space="preserve">agreed
</text>
  </threadedComment>
  <threadedComment ref="V756" dT="2023-09-20T13:59:53.00" personId="{3DE5673D-4837-4FC9-B8B9-34243175713A}" id="{59789F13-2B27-447F-8537-7964BFB622AD}" done="1">
    <text xml:space="preserve">Numbers from Table 1 in Habbema 1986 (#11131).
Or does the denominator not really matter as the 2 groups were matched by age and should be the same size anyway. So, to calculate the ratio, one could just divide the number of events only.
</text>
  </threadedComment>
  <threadedComment ref="V756" dT="2024-01-26T14:01:14.85" personId="{E08A2389-F34B-466D-8AA1-6ADBBDF0F7BF}" id="{CCC3E683-CBE3-41C7-BB43-8CC41D309ED9}" parentId="{59789F13-2B27-447F-8537-7964BFB622AD}">
    <text xml:space="preserve">Don't know mathematically. Suggest one process throughout.
</text>
  </threadedComment>
  <threadedComment ref="AG756" dT="2024-01-26T14:01:47.98" personId="{E08A2389-F34B-466D-8AA1-6ADBBDF0F7BF}" id="{667A8E73-ABFA-42EE-8338-C851FEB9B915}" done="1">
    <text xml:space="preserve">agreed
</text>
  </threadedComment>
  <threadedComment ref="AH756" dT="2023-09-20T13:59:53.00" personId="{3DE5673D-4837-4FC9-B8B9-34243175713A}" id="{C6724049-4676-4399-AF84-06D79D1C5D23}" done="1">
    <text xml:space="preserve">Numbers from Table 1 in Habbema 1986 (#11131).
Or does the denominator not really matter as the 2 groups were matched by age and should be the same size anyway. So, to calculate the ratio, one could just divide the number of events only.
</text>
  </threadedComment>
  <threadedComment ref="AH756" dT="2024-01-26T14:02:30.17" personId="{E08A2389-F34B-466D-8AA1-6ADBBDF0F7BF}" id="{24C8E2AE-5376-421E-9295-72CB5E623F72}" parentId="{C6724049-4676-4399-AF84-06D79D1C5D23}">
    <text xml:space="preserve">Suggest sticking to one process where poss.
</text>
  </threadedComment>
  <threadedComment ref="U757" dT="2024-01-26T14:00:52.03" personId="{E08A2389-F34B-466D-8AA1-6ADBBDF0F7BF}" id="{0B28EEEC-0F3C-4AAB-8F06-B378B13B3087}" done="1">
    <text xml:space="preserve">agreed
</text>
  </threadedComment>
  <threadedComment ref="V757" dT="2023-09-20T13:59:53.00" personId="{3DE5673D-4837-4FC9-B8B9-34243175713A}" id="{018D8C64-CE3B-4BE9-B875-69218575F2C5}" done="1">
    <text xml:space="preserve">Numbers from Table 1 in Habbema 1986 (#11131).
Or does the denominator not really matter as the 2 groups were matched by age and should be the same size anyway. So, to calculate the ratio, one could just divide the number of events only.
</text>
  </threadedComment>
  <threadedComment ref="V757" dT="2024-01-26T14:01:17.40" personId="{E08A2389-F34B-466D-8AA1-6ADBBDF0F7BF}" id="{5D661C30-3335-4335-8953-2AAA5C7B2A12}" parentId="{018D8C64-CE3B-4BE9-B875-69218575F2C5}">
    <text xml:space="preserve">Don't know mathematically. Suggest one process throughout.
</text>
  </threadedComment>
  <threadedComment ref="AG757" dT="2024-01-26T14:01:59.92" personId="{E08A2389-F34B-466D-8AA1-6ADBBDF0F7BF}" id="{6E55D1F4-5D37-439C-AA06-14967257EC88}" done="1">
    <text xml:space="preserve">agreed
</text>
  </threadedComment>
  <threadedComment ref="AH757" dT="2023-09-20T13:59:53.00" personId="{3DE5673D-4837-4FC9-B8B9-34243175713A}" id="{47B7AB29-D4EA-493B-AE99-13C3E3044A15}" done="1">
    <text xml:space="preserve">Numbers from Table 1 in Habbema 1986 (#11131).
Or does the denominator not really matter as the 2 groups were matched by age and should be the same size anyway. So, to calculate the ratio, one could just divide the number of events only.
</text>
  </threadedComment>
  <threadedComment ref="AH757" dT="2024-01-26T14:02:33.01" personId="{E08A2389-F34B-466D-8AA1-6ADBBDF0F7BF}" id="{B0F6E691-BAB2-46CF-B571-C29388F5680A}" parentId="{47B7AB29-D4EA-493B-AE99-13C3E3044A15}">
    <text xml:space="preserve">Suggest sticking to one process where poss.
</text>
  </threadedComment>
  <threadedComment ref="A758" dT="2023-09-21T10:19:35.51" personId="{3DE5673D-4837-4FC9-B8B9-34243175713A}" id="{502EFD88-E13E-4419-91A7-B66CE1266825}" done="1">
    <text>Numbers reported for deaths after 5 years from entry are the same as in Shapiro 1978 (#4870) and therefore not extracted again.</text>
  </threadedComment>
  <threadedComment ref="A758" dT="2024-01-26T14:03:00.16" personId="{E08A2389-F34B-466D-8AA1-6ADBBDF0F7BF}" id="{A21CF4EF-1D5D-4187-9688-2739730B258C}" parentId="{502EFD88-E13E-4419-91A7-B66CE1266825}">
    <text>agreed</text>
  </threadedComment>
  <threadedComment ref="R758" dT="2023-09-22T07:43:28.15" personId="{3DE5673D-4837-4FC9-B8B9-34243175713A}" id="{9DE92074-30B9-4E53-AB1F-FAF1961975D4}" done="1">
    <text>From Aron 1986 (#11132)</text>
  </threadedComment>
  <threadedComment ref="R758" dT="2024-01-26T14:03:19.05" personId="{E08A2389-F34B-466D-8AA1-6ADBBDF0F7BF}" id="{C2706D28-1251-46C3-ACAB-02B37A6C4008}" parentId="{9DE92074-30B9-4E53-AB1F-FAF1961975D4}">
    <text>agreed</text>
  </threadedComment>
  <threadedComment ref="S758" dT="2023-09-22T07:43:43.09" personId="{3DE5673D-4837-4FC9-B8B9-34243175713A}" id="{BEE20254-6A14-4A8C-8105-EF24301BCABD}" done="1">
    <text>From Aron 1986 (#11132).</text>
  </threadedComment>
  <threadedComment ref="S758" dT="2024-01-26T14:03:31.02" personId="{E08A2389-F34B-466D-8AA1-6ADBBDF0F7BF}" id="{849EBE4F-98D8-4E0D-AEC3-5305BD64FA85}" parentId="{BEE20254-6A14-4A8C-8105-EF24301BCABD}">
    <text xml:space="preserve">agreed
</text>
  </threadedComment>
  <threadedComment ref="R759" dT="2023-09-22T07:43:28.15" personId="{3DE5673D-4837-4FC9-B8B9-34243175713A}" id="{EC4F03AE-EE86-428F-865B-D2804D45F85F}" done="1">
    <text>From Aron 1986 (#11132)</text>
  </threadedComment>
  <threadedComment ref="R759" dT="2024-01-26T14:03:28.70" personId="{E08A2389-F34B-466D-8AA1-6ADBBDF0F7BF}" id="{014D32EA-4F1A-43CF-BD04-B6C5D7F670A7}" parentId="{EC4F03AE-EE86-428F-865B-D2804D45F85F}">
    <text xml:space="preserve">agreed
</text>
  </threadedComment>
  <threadedComment ref="S759" dT="2023-09-22T07:43:43.09" personId="{3DE5673D-4837-4FC9-B8B9-34243175713A}" id="{03DB1042-999C-4AC0-8D36-3DF1E90ECA34}" done="1">
    <text>From Aron 1986 (#11132).</text>
  </threadedComment>
  <threadedComment ref="S759" dT="2024-01-26T14:03:33.66" personId="{E08A2389-F34B-466D-8AA1-6ADBBDF0F7BF}" id="{5A2F1EE5-2877-4A51-8DDE-F4F88027BC99}" parentId="{03DB1042-999C-4AC0-8D36-3DF1E90ECA34}">
    <text xml:space="preserve">agreed
</text>
  </threadedComment>
  <threadedComment ref="AG759" dT="2023-12-22T10:20:39.61" personId="{E08A2389-F34B-466D-8AA1-6ADBBDF0F7BF}" id="{8704D826-AB2A-49FC-A8C9-80EF3B1A73F7}" done="1">
    <text>These are all approximate (rows 30, 33, 35)</text>
  </threadedComment>
  <threadedComment ref="AG759" dT="2024-01-19T09:05:57.58" personId="{3DE5673D-4837-4FC9-B8B9-34243175713A}" id="{FA05FE4B-7AB9-4C64-BD01-9211200EE17A}" parentId="{8704D826-AB2A-49FC-A8C9-80EF3B1A73F7}">
    <text>None of the papers give us more accurate numbers. It's not only in these 3 rows but throughout where it says "31,000".</text>
  </threadedComment>
  <threadedComment ref="AG759" dT="2024-01-26T14:05:01.18" personId="{E08A2389-F34B-466D-8AA1-6ADBBDF0F7BF}" id="{7D9C132B-4628-42D6-9C9A-49D3C9141DD3}" parentId="{8704D826-AB2A-49FC-A8C9-80EF3B1A73F7}">
    <text xml:space="preserve">agreed
</text>
  </threadedComment>
  <threadedComment ref="AH759" dT="2024-01-26T14:05:13.08" personId="{E08A2389-F34B-466D-8AA1-6ADBBDF0F7BF}" id="{2E7A75F5-FDB4-496D-9F00-2E86872D5ACF}" done="1">
    <text xml:space="preserve">agreed
</text>
  </threadedComment>
  <threadedComment ref="R761" dT="2023-09-22T07:43:28.15" personId="{3DE5673D-4837-4FC9-B8B9-34243175713A}" id="{79A1730D-1E0A-4FAE-99D8-C61204FD3767}" done="1">
    <text>From Aron 1986 (#11132)</text>
  </threadedComment>
  <threadedComment ref="R761" dT="2024-01-26T14:04:42.54" personId="{E08A2389-F34B-466D-8AA1-6ADBBDF0F7BF}" id="{AC33D803-579C-4A8C-885E-59417E4EF6B8}" parentId="{79A1730D-1E0A-4FAE-99D8-C61204FD3767}">
    <text xml:space="preserve">agreed
</text>
  </threadedComment>
  <threadedComment ref="S761" dT="2023-09-22T07:43:43.09" personId="{3DE5673D-4837-4FC9-B8B9-34243175713A}" id="{6381190D-79C9-46CA-B74F-618B87F7D806}" done="1">
    <text>From Aron 1986 (#11132).</text>
  </threadedComment>
  <threadedComment ref="S761" dT="2024-01-26T14:04:47.84" personId="{E08A2389-F34B-466D-8AA1-6ADBBDF0F7BF}" id="{5C82892D-9474-42AD-81E3-694F983BD65A}" parentId="{6381190D-79C9-46CA-B74F-618B87F7D806}">
    <text xml:space="preserve">agreed
</text>
  </threadedComment>
  <threadedComment ref="R762" dT="2023-09-22T07:43:28.15" personId="{3DE5673D-4837-4FC9-B8B9-34243175713A}" id="{62A8E96C-761E-4001-9EC7-166AE6467BC6}" done="1">
    <text>From Aron 1986 (#11132)</text>
  </threadedComment>
  <threadedComment ref="R762" dT="2024-01-26T14:04:44.97" personId="{E08A2389-F34B-466D-8AA1-6ADBBDF0F7BF}" id="{DC3D784C-44CC-4604-B2E0-DE79D2FB3493}" parentId="{62A8E96C-761E-4001-9EC7-166AE6467BC6}">
    <text xml:space="preserve">agreed
</text>
  </threadedComment>
  <threadedComment ref="S762" dT="2023-09-22T07:43:43.09" personId="{3DE5673D-4837-4FC9-B8B9-34243175713A}" id="{0EE2945D-FCA8-456D-86CC-DD82AEE3F039}" done="1">
    <text>From Aron 1986 (#11132).</text>
  </threadedComment>
  <threadedComment ref="S762" dT="2024-01-26T14:04:50.38" personId="{E08A2389-F34B-466D-8AA1-6ADBBDF0F7BF}" id="{ECC96C73-B97D-44A6-B0E5-1CB881715E55}" parentId="{0EE2945D-FCA8-456D-86CC-DD82AEE3F039}">
    <text xml:space="preserve">agreed
</text>
  </threadedComment>
  <threadedComment ref="AG762" dT="2024-01-26T14:05:30.24" personId="{E08A2389-F34B-466D-8AA1-6ADBBDF0F7BF}" id="{51E3CEDC-1277-4586-B0D1-779472733ED4}" done="1">
    <text xml:space="preserve">agreed
</text>
  </threadedComment>
  <threadedComment ref="AH762" dT="2024-01-26T14:05:35.85" personId="{E08A2389-F34B-466D-8AA1-6ADBBDF0F7BF}" id="{A9D7BF48-5AED-449A-A7D1-CA9F792ABE44}" done="1">
    <text xml:space="preserve">agreed
</text>
  </threadedComment>
  <threadedComment ref="R764" dT="2023-09-22T07:43:28.15" personId="{3DE5673D-4837-4FC9-B8B9-34243175713A}" id="{EF804E86-88F5-4B43-A96D-75E644CDC7DE}" done="1">
    <text>From Aron 1986 (#11132)</text>
  </threadedComment>
  <threadedComment ref="S764" dT="2023-09-22T07:43:43.09" personId="{3DE5673D-4837-4FC9-B8B9-34243175713A}" id="{35B1CCFF-CA94-4D50-B749-4C842071ADAC}" done="1">
    <text>From Aron 1986 (#11132).</text>
  </threadedComment>
  <threadedComment ref="AG764" dT="2024-01-26T14:05:39.63" personId="{E08A2389-F34B-466D-8AA1-6ADBBDF0F7BF}" id="{7574E6EC-B0AA-4F30-B565-37C54D8077BC}" done="1">
    <text xml:space="preserve">agreed
</text>
  </threadedComment>
  <threadedComment ref="AH764" dT="2024-01-26T14:05:43.11" personId="{E08A2389-F34B-466D-8AA1-6ADBBDF0F7BF}" id="{8A6E57BD-5891-46D3-A8E2-0A2DF3CD3C1F}" done="1">
    <text xml:space="preserve">agreed
</text>
  </threadedComment>
  <threadedComment ref="A766" dT="2023-09-21T10:59:52.47" personId="{3DE5673D-4837-4FC9-B8B9-34243175713A}" id="{62EAA717-5A3B-4888-8082-5302ED0ECBD1}" done="1">
    <text>Also reports data for age groups 40-44 and 45-49.</text>
  </threadedComment>
  <threadedComment ref="U766" dT="2024-01-26T14:06:46.31" personId="{E08A2389-F34B-466D-8AA1-6ADBBDF0F7BF}" id="{383902AE-7AC7-4EAB-8469-765897B4E6FA}" done="1">
    <text>Agreed for all below in this column</text>
  </threadedComment>
  <threadedComment ref="V766" dT="2023-09-20T13:59:53.00" personId="{3DE5673D-4837-4FC9-B8B9-34243175713A}" id="{FDEF4EDD-D47C-48D7-B96B-FE8EC8D613A3}" done="1">
    <text>Numbers from Table 1 in Habbema 1986 (#11131).
Or does the denominator not really matter as the 2 groups were matched by age and should be the same size anyway. So, to calculate the ratio, one could just divide the number of events only.</text>
  </threadedComment>
  <threadedComment ref="V766" dT="2024-01-26T14:07:13.28" personId="{E08A2389-F34B-466D-8AA1-6ADBBDF0F7BF}" id="{8AA92741-5368-49FC-8E57-5EC08C092AB5}" parentId="{FDEF4EDD-D47C-48D7-B96B-FE8EC8D613A3}">
    <text>Stick with one throughout, where poss.
Agreed for whole column below.</text>
  </threadedComment>
  <threadedComment ref="AG766" dT="2024-01-26T14:07:36.36" personId="{E08A2389-F34B-466D-8AA1-6ADBBDF0F7BF}" id="{014C4E38-1086-41E5-AE5D-8D5801FA8804}" done="1">
    <text>Agreed for whole column below</text>
  </threadedComment>
  <threadedComment ref="AH766" dT="2023-09-20T13:59:53.00" personId="{3DE5673D-4837-4FC9-B8B9-34243175713A}" id="{C0AAB2DE-E909-421E-809E-E4DA36C8F6D2}" done="1">
    <text>Numbers from Table 1 in Habbema 1986 (#11131).
Or does the denominator not really matter as the 2 groups were matched by age and should be the same size anyway. So, to calculate the ratio, one could just divide the number of events only.</text>
  </threadedComment>
  <threadedComment ref="AH766" dT="2024-01-26T14:07:27.73" personId="{E08A2389-F34B-466D-8AA1-6ADBBDF0F7BF}" id="{D247A047-2107-463A-9CF4-17FCB0AE8ECD}" parentId="{C0AAB2DE-E909-421E-809E-E4DA36C8F6D2}">
    <text xml:space="preserve">Stick with one throughout, where poss.
Agreed for whole column below.
</text>
  </threadedComment>
  <threadedComment ref="A767" dT="2023-09-21T11:00:29.00" personId="{3DE5673D-4837-4FC9-B8B9-34243175713A}" id="{897833DA-396E-47EA-9202-D8912B5C17CF}" done="1">
    <text>Also reports data for age groups 50-54 and 55-59.</text>
  </threadedComment>
  <threadedComment ref="V767" dT="2023-09-20T13:59:53.00" personId="{3DE5673D-4837-4FC9-B8B9-34243175713A}" id="{D710E459-F320-4411-8B43-2E94A1D4CB62}" done="1">
    <text xml:space="preserve">Numbers from Table 1 in Habbema 1986 (#11131).
Or does the denominator not really matter as the 2 groups were matched by age and should be the same size anyway. So, to calculate the ratio, one could just divide the number of events only.
</text>
  </threadedComment>
  <threadedComment ref="AH767" dT="2023-09-20T13:59:53.00" personId="{3DE5673D-4837-4FC9-B8B9-34243175713A}" id="{98E17142-8D75-44D2-BA94-689DF71A563D}" done="1">
    <text xml:space="preserve">Numbers from Table 1 in Habbema 1986 (#11131).
Or does the denominator not really matter as the 2 groups were matched by age and should be the same size anyway. So, to calculate the ratio, one could just divide the number of events only.
</text>
  </threadedComment>
  <threadedComment ref="V768" dT="2023-09-20T13:59:53.00" personId="{3DE5673D-4837-4FC9-B8B9-34243175713A}" id="{783B37BA-507D-402E-AAA2-52B259BF2C32}" done="1">
    <text xml:space="preserve">Numbers from Table 1 in Habbema 1986 (#11131).
Or does the denominator not really matter as the 2 groups were matched by age and should be the same size anyway. So, to calculate the ratio, one could just divide the number of events only.
</text>
  </threadedComment>
  <threadedComment ref="AH768" dT="2023-09-20T13:59:53.00" personId="{3DE5673D-4837-4FC9-B8B9-34243175713A}" id="{8C50E47C-A4D8-4D95-94AA-406E9AF41586}" done="1">
    <text xml:space="preserve">Numbers from Table 1 in Habbema 1986 (#11131).
Or does the denominator not really matter as the 2 groups were matched by age and should be the same size anyway. So, to calculate the ratio, one could just divide the number of events only.
</text>
  </threadedComment>
  <threadedComment ref="A769" dT="2023-09-21T10:59:52.47" personId="{3DE5673D-4837-4FC9-B8B9-34243175713A}" id="{AD6B151A-73BF-45EA-86B8-425ECAA53B2C}" done="1">
    <text>Also reports data for age groups 40-44 and 45-49.</text>
  </threadedComment>
  <threadedComment ref="V769" dT="2023-09-20T13:59:53.00" personId="{3DE5673D-4837-4FC9-B8B9-34243175713A}" id="{7F889277-9552-4512-B3F0-437C4A3DCEBD}" done="1">
    <text>Numbers from Table 1 in Habbema 1986 (#11131).
Or does the denominator not really matter as the 2 groups were matched by age and should be the same size anyway. So, to calculate the ratio, one could just divide the number of events only.</text>
  </threadedComment>
  <threadedComment ref="AH769" dT="2023-09-20T13:59:53.00" personId="{3DE5673D-4837-4FC9-B8B9-34243175713A}" id="{7CACC984-E920-4E15-953E-42A336088B1F}" done="1">
    <text>Numbers from Table 1 in Habbema 1986 (#11131).
Or does the denominator not really matter as the 2 groups were matched by age and should be the same size anyway. So, to calculate the ratio, one could just divide the number of events only.</text>
  </threadedComment>
  <threadedComment ref="A770" dT="2023-09-21T11:00:29.00" personId="{3DE5673D-4837-4FC9-B8B9-34243175713A}" id="{ACAFA0A6-4432-42C9-9E94-88C99AF0694A}" done="1">
    <text>Also reports data for age groups 50-54 and 55-59.</text>
  </threadedComment>
  <threadedComment ref="V770" dT="2023-09-20T13:59:53.00" personId="{3DE5673D-4837-4FC9-B8B9-34243175713A}" id="{E8D93DDC-616B-4C7C-8F56-DF520ACA214C}" done="1">
    <text xml:space="preserve">Numbers from Table 1 in Habbema 1986 (#11131).
Or does the denominator not really matter as the 2 groups were matched by age and should be the same size anyway. So, to calculate the ratio, one could just divide the number of events only.
</text>
  </threadedComment>
  <threadedComment ref="AH770" dT="2023-09-20T13:59:53.00" personId="{3DE5673D-4837-4FC9-B8B9-34243175713A}" id="{116B5AC0-3870-4684-B21D-3A64E1B9C084}" done="1">
    <text xml:space="preserve">Numbers from Table 1 in Habbema 1986 (#11131).
Or does the denominator not really matter as the 2 groups were matched by age and should be the same size anyway. So, to calculate the ratio, one could just divide the number of events only.
</text>
  </threadedComment>
  <threadedComment ref="V771" dT="2023-09-20T13:59:53.00" personId="{3DE5673D-4837-4FC9-B8B9-34243175713A}" id="{FC33D80F-768B-4F25-9D38-65BD16A9DF42}" done="1">
    <text xml:space="preserve">Numbers from Table 1 in Habbema 1986 (#11131).
Or does the denominator not really matter as the 2 groups were matched by age and should be the same size anyway. So, to calculate the ratio, one could just divide the number of events only.
</text>
  </threadedComment>
  <threadedComment ref="AH771" dT="2023-09-20T13:59:53.00" personId="{3DE5673D-4837-4FC9-B8B9-34243175713A}" id="{BA2F7A7D-7BEF-434A-BB88-08630C9529C7}" done="1">
    <text xml:space="preserve">Numbers from Table 1 in Habbema 1986 (#11131).
Or does the denominator not really matter as the 2 groups were matched by age and should be the same size anyway. So, to calculate the ratio, one could just divide the number of events only.
</text>
  </threadedComment>
  <threadedComment ref="A772" dT="2023-09-21T11:25:23.70" personId="{3DE5673D-4837-4FC9-B8B9-34243175713A}" id="{3A79E8BA-DA6E-46EF-B5E7-B19A224439CE}" done="1">
    <text>Also reports numbers of deaths for 5 and 14 years after entry, but they are the same as reported earlier. Number for 10-year follow-up are different though, so I have extracted them again.</text>
  </threadedComment>
  <threadedComment ref="A772" dT="2023-12-22T10:32:51.70" personId="{E08A2389-F34B-466D-8AA1-6ADBBDF0F7BF}" id="{30CBFE8A-3760-4FDA-B09C-678F3B535BE7}" parentId="{3A79E8BA-DA6E-46EF-B5E7-B19A224439CE}">
    <text>Well spotted.</text>
  </threadedComment>
  <threadedComment ref="A772" dT="2023-12-22T10:33:15.83" personId="{E08A2389-F34B-466D-8AA1-6ADBBDF0F7BF}" id="{3F850920-D88B-400B-B5C8-BF7E8C847AB9}" parentId="{3A79E8BA-DA6E-46EF-B5E7-B19A224439CE}">
    <text>You've done an amazing job of keeping track of all these inconsistencies!</text>
  </threadedComment>
  <threadedComment ref="V772" dT="2023-09-20T13:59:53.00" personId="{3DE5673D-4837-4FC9-B8B9-34243175713A}" id="{7FED7A06-7C54-4A36-96BA-55341A75571C}" done="1">
    <text>Numbers from Table 1 in Habbema 1986 (#11131).
Or does the denominator not really matter as the 2 groups were matched by age and should be the same size anyway. So, to calculate the ratio, one could just divide the number of events only.</text>
  </threadedComment>
  <threadedComment ref="AH772" dT="2023-09-20T13:59:53.00" personId="{3DE5673D-4837-4FC9-B8B9-34243175713A}" id="{3ED1DA61-11D2-41AF-A13A-1120017E9084}" done="1">
    <text>Numbers from Table 1 in Habbema 1986 (#11131).
Or does the denominator not really matter as the 2 groups were matched by age and should be the same size anyway. So, to calculate the ratio, one could just divide the number of events only.</text>
  </threadedComment>
  <threadedComment ref="AH772" dT="2023-12-22T10:33:41.37" personId="{E08A2389-F34B-466D-8AA1-6ADBBDF0F7BF}" id="{28725968-5BB9-4FC9-907C-19533BEF3EA3}" parentId="{3ED1DA61-11D2-41AF-A13A-1120017E9084}">
    <text>As above</text>
  </threadedComment>
  <threadedComment ref="AH772" dT="2023-12-22T10:33:44.19" personId="{E08A2389-F34B-466D-8AA1-6ADBBDF0F7BF}" id="{E4DC0995-B390-4C65-AF0A-4C14FBB81B8C}" parentId="{3ED1DA61-11D2-41AF-A13A-1120017E9084}">
    <text xml:space="preserve">We could do that. The result would be the same.
To note. We don't know how many people are in each group. Only that "the numbers are about the same
in study and control groups".
</text>
  </threadedComment>
  <threadedComment ref="V773" dT="2023-09-20T13:59:53.00" personId="{3DE5673D-4837-4FC9-B8B9-34243175713A}" id="{87569533-24E6-4E87-A5F1-19E84F471199}" done="1">
    <text>Numbers from Table 1 in Habbema 1986 (#11131).
Or does the denominator not really matter as the 2 groups were matched by age and should be the same size anyway. So, to calculate the ratio, one could just divide the number of events only.</text>
  </threadedComment>
  <threadedComment ref="AH773" dT="2023-09-20T13:59:53.00" personId="{3DE5673D-4837-4FC9-B8B9-34243175713A}" id="{7B4654C0-0E8E-4CBB-B591-39E35A0B7FBE}" done="1">
    <text>Numbers from Table 1 in Habbema 1986 (#11131).
Or does the denominator not really matter as the 2 groups were matched by age and should be the same size anyway. So, to calculate the ratio, one could just divide the number of events only.</text>
  </threadedComment>
  <threadedComment ref="V774" dT="2023-09-20T13:59:53.00" personId="{3DE5673D-4837-4FC9-B8B9-34243175713A}" id="{E77B97E8-48EE-4CD1-8EA2-04C96BD7E1AC}" done="1">
    <text>Numbers from Table 1 in Habbema 1986 (#11131).
Or does the denominator not really matter as the 2 groups were matched by age and should be the same size anyway. So, to calculate the ratio, one could just divide the number of events only.</text>
  </threadedComment>
  <threadedComment ref="AH774" dT="2023-09-20T13:59:53.00" personId="{3DE5673D-4837-4FC9-B8B9-34243175713A}" id="{1D841716-1A13-4D83-BA7E-1A50D9F26F95}" done="1">
    <text>Numbers from Table 1 in Habbema 1986 (#11131).
Or does the denominator not really matter as the 2 groups were matched by age and should be the same size anyway. So, to calculate the ratio, one could just divide the number of events only.</text>
  </threadedComment>
  <threadedComment ref="V775" dT="2023-09-20T13:59:53.00" personId="{3DE5673D-4837-4FC9-B8B9-34243175713A}" id="{B5FACC68-DE37-47F5-8BA4-203319EB581E}" done="1">
    <text>Numbers from Table 1 in Habbema 1986 (#11131).
Or does the denominator not really matter as the 2 groups were matched by age and should be the same size anyway. So, to calculate the ratio, one could just divide the number of events only.</text>
  </threadedComment>
  <threadedComment ref="AH775" dT="2023-09-20T13:59:53.00" personId="{3DE5673D-4837-4FC9-B8B9-34243175713A}" id="{C35605EA-2429-468E-8DCE-E7ECC10A9C11}" done="1">
    <text>Numbers from Table 1 in Habbema 1986 (#11131).
Or does the denominator not really matter as the 2 groups were matched by age and should be the same size anyway. So, to calculate the ratio, one could just divide the number of events only.</text>
  </threadedComment>
  <threadedComment ref="V776" dT="2023-09-20T13:59:53.00" personId="{3DE5673D-4837-4FC9-B8B9-34243175713A}" id="{7309DE43-6E57-4A2E-88D0-158593D83FA4}" done="1">
    <text>Numbers from Table 1 in Habbema 1986 (#11131).
Or does the denominator not really matter as the 2 groups were matched by age and should be the same size anyway. So, to calculate the ratio, one could just divide the number of events only.</text>
  </threadedComment>
  <threadedComment ref="AH776" dT="2023-09-20T13:59:53.00" personId="{3DE5673D-4837-4FC9-B8B9-34243175713A}" id="{5FC6E72E-392E-4A56-8B54-5FA7D4FFD0CD}" done="1">
    <text>Numbers from Table 1 in Habbema 1986 (#11131).
Or does the denominator not really matter as the 2 groups were matched by age and should be the same size anyway. So, to calculate the ratio, one could just divide the number of events only.</text>
  </threadedComment>
  <threadedComment ref="A777" dT="2023-09-21T11:59:30.47" personId="{3DE5673D-4837-4FC9-B8B9-34243175713A}" id="{59D2CEA1-BA61-41D9-A50B-A352C1482679}" done="1">
    <text>Slightly different to numbers reported by Strax 1984 (#3877).
Also reports data for subgroups 40-44 and 45-49 years.</text>
  </threadedComment>
  <threadedComment ref="A778" dT="2023-09-21T11:59:30.47" personId="{3DE5673D-4837-4FC9-B8B9-34243175713A}" id="{E9190411-01F5-4266-9BF2-AB1942D67AF0}" done="1">
    <text>Also reports data for subgroups 50-54 and 55-59 years.</text>
  </threadedComment>
  <threadedComment ref="A780" dT="2023-09-21T13:07:33.47" personId="{3DE5673D-4837-4FC9-B8B9-34243175713A}" id="{4990463B-FDDE-4BB8-9AE2-00F9D2A1368B}" done="1">
    <text>Results for 5 and 7 year follow up identical to the ones reported by Shapiro 1982 (#3896). I have only extracted data where numbers differed or the new 16-year follow-up period.</text>
  </threadedComment>
  <threadedComment ref="A780" dT="2024-01-26T14:08:03.87" personId="{E08A2389-F34B-466D-8AA1-6ADBBDF0F7BF}" id="{79D7A064-60BA-47D7-9E1B-4D4E7D56841B}" parentId="{4990463B-FDDE-4BB8-9AE2-00F9D2A1368B}">
    <text>agreed</text>
  </threadedComment>
  <threadedComment ref="A784" dT="2023-09-21T13:52:15.56" personId="{3DE5673D-4837-4FC9-B8B9-34243175713A}" id="{D158EE26-C0F5-4055-807A-660F1612CA49}" done="1">
    <text>Also reports numbers for age groups 40-44 and 45-49.</text>
  </threadedComment>
  <threadedComment ref="V784" dT="2023-09-20T13:59:53.00" personId="{3DE5673D-4837-4FC9-B8B9-34243175713A}" id="{60175268-A3AE-4DDB-B67B-2209FB6782D7}" done="1">
    <text>Numbers from Table 1 in Habbema 1986 (#11131).
Or does the denominator not really matter as the 2 groups were matched by age and should be the same size anyway. So, to calculate the ratio, one could just divide the number of events only.</text>
  </threadedComment>
  <threadedComment ref="AH784" dT="2023-09-20T13:59:53.00" personId="{3DE5673D-4837-4FC9-B8B9-34243175713A}" id="{44DD3FB7-057F-4162-8888-586054CFE440}" done="1">
    <text>Numbers from Table 1 in Habbema 1986 (#11131).
Or does the denominator not really matter as the 2 groups were matched by age and should be the same size anyway. So, to calculate the ratio, one could just divide the number of events only.</text>
  </threadedComment>
  <threadedComment ref="A785" dT="2023-09-21T13:52:15.56" personId="{3DE5673D-4837-4FC9-B8B9-34243175713A}" id="{63C5042C-CC15-4EBC-BBE6-769E0C0E7722}" done="1">
    <text>Also reports numbers for age groups 50-54 and 55-59.</text>
  </threadedComment>
  <threadedComment ref="V785" dT="2023-09-20T13:59:53.00" personId="{3DE5673D-4837-4FC9-B8B9-34243175713A}" id="{C7722A6A-D6EC-445A-BAE4-E74B5FCC9038}" done="1">
    <text xml:space="preserve">Numbers from Table 1 in Habbema 1986 (#11131).
Or does the denominator not really matter as the 2 groups were matched by age and should be the same size anyway. So, to calculate the ratio, one could just divide the number of events only.
</text>
  </threadedComment>
  <threadedComment ref="AH785" dT="2023-09-20T13:59:53.00" personId="{3DE5673D-4837-4FC9-B8B9-34243175713A}" id="{360167F2-619A-40A0-887E-83CFFDD7EDE9}" done="1">
    <text xml:space="preserve">Numbers from Table 1 in Habbema 1986 (#11131).
Or does the denominator not really matter as the 2 groups were matched by age and should be the same size anyway. So, to calculate the ratio, one could just divide the number of events only.
</text>
  </threadedComment>
  <threadedComment ref="V786" dT="2023-09-20T13:59:53.00" personId="{3DE5673D-4837-4FC9-B8B9-34243175713A}" id="{410BB566-CF94-4C8E-8BA5-04993231AA6D}" done="1">
    <text xml:space="preserve">Numbers from Table 1 in Habbema 1986 (#11131).
Or does the denominator not really matter as the 2 groups were matched by age and should be the same size anyway. So, to calculate the ratio, one could just divide the number of events only.
</text>
  </threadedComment>
  <threadedComment ref="AH786" dT="2023-09-20T13:59:53.00" personId="{3DE5673D-4837-4FC9-B8B9-34243175713A}" id="{9A9D82ED-3EAA-4695-8AE9-B7E9E3131965}" done="1">
    <text xml:space="preserve">Numbers from Table 1 in Habbema 1986 (#11131).
Or does the denominator not really matter as the 2 groups were matched by age and should be the same size anyway. So, to calculate the ratio, one could just divide the number of events only.
</text>
  </threadedComment>
  <threadedComment ref="Q802" dT="2023-12-14T09:47:09.78" personId="{E08A2389-F34B-466D-8AA1-6ADBBDF0F7BF}" id="{E5A8B109-6C47-41F4-86FA-EFF40C2F4E67}" done="1">
    <text>Figure 2 suggests 4 years</text>
  </threadedComment>
  <threadedComment ref="Q802" dT="2023-12-18T08:39:14.48" personId="{3DE5673D-4837-4FC9-B8B9-34243175713A}" id="{A2943C63-CA8C-4047-950F-556325231C83}" parentId="{E5A8B109-6C47-41F4-86FA-EFF40C2F4E67}">
    <text>Not sure: enrolment was November 1971 to July 1976, mortality results are reported up to 1 Nov 1977. So FU should be "Up to 6 years" but can be as little as 16 months??
The text reports 13,466 and 12,418 PY though, so could put this is columns R and S?
Please check the new numbers in red font.</text>
  </threadedComment>
  <threadedComment ref="Q802" dT="2024-01-25T11:17:04.64" personId="{E08A2389-F34B-466D-8AA1-6ADBBDF0F7BF}" id="{D0B41E46-136F-4DA6-8CB2-E08B2E810902}" parentId="{E5A8B109-6C47-41F4-86FA-EFF40C2F4E67}">
    <text>That makes sense. agreed</text>
  </threadedComment>
  <threadedComment ref="R802" dT="2024-01-25T11:17:15.01" personId="{E08A2389-F34B-466D-8AA1-6ADBBDF0F7BF}" id="{C1675508-B16F-41D8-8D30-FC6D8E494A4A}" done="1">
    <text>agreed</text>
  </threadedComment>
  <threadedComment ref="S802" dT="2024-01-25T11:18:03.50" personId="{E08A2389-F34B-466D-8AA1-6ADBBDF0F7BF}" id="{0C073F30-1D7D-4D25-96B0-BA441656275E}" done="1">
    <text>agreed</text>
  </threadedComment>
  <threadedComment ref="T802" dT="2023-12-14T09:49:05.54" personId="{E08A2389-F34B-466D-8AA1-6ADBBDF0F7BF}" id="{6887046A-9480-4305-8AF9-201A21D22EE0}" done="1">
    <text>Figure 2 suggests 12 (3 per year over 4 years)</text>
  </threadedComment>
  <threadedComment ref="T802" dT="2023-12-18T08:43:00.08" personId="{3DE5673D-4837-4FC9-B8B9-34243175713A}" id="{AA8AEF34-FD99-4A1B-863F-352CFCF9A173}" parentId="{6887046A-9480-4305-8AF9-201A21D22EE0}">
    <text>Not sure: enrolment was November 1971 to July 1976, mortality results are reported up to 1 Nov 1977. So FU should be "Up to 6 years", but could be as little as 16 months?</text>
  </threadedComment>
  <threadedComment ref="T802" dT="2024-01-25T11:19:46.60" personId="{E08A2389-F34B-466D-8AA1-6ADBBDF0F7BF}" id="{812F3D61-7EE6-4FD7-9B23-0C2643B0F35A}" parentId="{6887046A-9480-4305-8AF9-201A21D22EE0}">
    <text>Happy to go with NR as not explicitly stated.</text>
  </threadedComment>
  <threadedComment ref="AE803" dT="2024-01-25T11:21:33.39" personId="{E08A2389-F34B-466D-8AA1-6ADBBDF0F7BF}" id="{770478EB-3000-4C84-9848-AB11415F5602}" done="1">
    <text>agreed</text>
  </threadedComment>
  <threadedComment ref="AF803" dT="2023-06-05T13:38:28.33" personId="{3DE5673D-4837-4FC9-B8B9-34243175713A}" id="{9323CF0E-05A7-4990-83A3-8834DFC24817}" done="1">
    <text>#540 (Baker 2008) reports different numbers though.</text>
  </threadedComment>
  <threadedComment ref="AF803" dT="2023-12-14T09:58:41.86" personId="{E08A2389-F34B-466D-8AA1-6ADBBDF0F7BF}" id="{62E07849-D2BB-499D-A3D1-02F36BE1BCE8}" parentId="{9323CF0E-05A7-4990-83A3-8834DFC24817}">
    <text>They're looking at different timepoints.
Taylor - "Figure 5A presents the number and timing of deaths from lung cancer among the screened and control groups as of December 3 1, 1979"
Baker - "We analysed the data for successive years of follow-up from 1979 to 1984"</text>
  </threadedComment>
  <threadedComment ref="AF803" dT="2023-12-18T08:51:27.58" personId="{3DE5673D-4837-4FC9-B8B9-34243175713A}" id="{B78429C6-8C56-47E6-9991-9ABDEEE74BE7}" parentId="{9323CF0E-05A7-4990-83A3-8834DFC24817}">
    <text>They both reported mortality up the 31/12/1979. 
Baker additionally reported data for each year until 1984.</text>
  </threadedComment>
  <threadedComment ref="AF803" dT="2024-01-25T11:21:28.43" personId="{E08A2389-F34B-466D-8AA1-6ADBBDF0F7BF}" id="{6DD5BFC8-569A-4C63-A2F0-3A8119C1A96B}" parentId="{9323CF0E-05A7-4990-83A3-8834DFC24817}">
    <text>Ah yes. Agreed.</text>
  </threadedComment>
  <threadedComment ref="BC803" dT="2023-06-02T14:23:14.64" personId="{3DE5673D-4837-4FC9-B8B9-34243175713A}" id="{C57CC7A0-133A-4EE3-BF4E-1F93DD509EEE}" done="1">
    <text>Numbers in Figure 5A and text are not consistent with number in abstract???</text>
  </threadedComment>
  <threadedComment ref="BC803" dT="2023-12-14T10:04:23.15" personId="{E08A2389-F34B-466D-8AA1-6ADBBDF0F7BF}" id="{C3DC6A9A-8F77-405A-95E8-99F8DA8B0BEA}" parentId="{C57CC7A0-133A-4EE3-BF4E-1F93DD509EEE}">
    <text>Well spotted! 
The text, plus figures 5, &amp; 6A/6B all say 50/42.
Happy to go with that because that is what it says most often in the paper?</text>
  </threadedComment>
  <threadedComment ref="BC803" dT="2023-12-18T08:32:34.94" personId="{3DE5673D-4837-4FC9-B8B9-34243175713A}" id="{79296F8D-6F35-4225-AC73-44AC0C34F165}" parentId="{C57CC7A0-133A-4EE3-BF4E-1F93DD509EEE}">
    <text>Agree.</text>
  </threadedComment>
  <threadedComment ref="R807" dT="2023-06-05T08:53:54.80" personId="{3DE5673D-4837-4FC9-B8B9-34243175713A}" id="{2A75DA8B-B982-4DCF-8A29-16479E6BD24F}" done="1">
    <text>"Postscreening observation in both groups ranged from 1 to 5.5 years (average, 3 years)." plus 6 year screening period?</text>
  </threadedComment>
  <threadedComment ref="R807" dT="2023-12-14T11:33:51.71" personId="{E08A2389-F34B-466D-8AA1-6ADBBDF0F7BF}" id="{0BF1A00E-8691-4E97-B06E-BD21C6B8D4A1}" parentId="{2A75DA8B-B982-4DCF-8A29-16479E6BD24F}">
    <text>Sounds reasonable.
Put that in notes?</text>
  </threadedComment>
  <threadedComment ref="R807" dT="2023-12-18T08:44:58.80" personId="{3DE5673D-4837-4FC9-B8B9-34243175713A}" id="{E8F9CD54-1676-47DC-B609-14FFA0BD763A}" parentId="{2A75DA8B-B982-4DCF-8A29-16479E6BD24F}">
    <text>Done.</text>
  </threadedComment>
  <threadedComment ref="S807" dT="2023-06-05T08:53:54.80" personId="{3DE5673D-4837-4FC9-B8B9-34243175713A}" id="{F625EC1B-A0C4-4BE3-9E8E-4419C1CB3D68}" done="1">
    <text>"Postscreening observation in both groups ranged from 1 to 5.5 years (average, 3 years)." plus 6 year screening period?</text>
  </threadedComment>
  <threadedComment ref="S807" dT="2023-12-14T11:33:51.71" personId="{E08A2389-F34B-466D-8AA1-6ADBBDF0F7BF}" id="{7B409E89-C395-4B42-BCC6-10589A3AC4AB}" parentId="{F625EC1B-A0C4-4BE3-9E8E-4419C1CB3D68}">
    <text>Sounds reasonable.
Put that in notes?</text>
  </threadedComment>
  <threadedComment ref="S807" dT="2023-12-18T08:44:58.80" personId="{3DE5673D-4837-4FC9-B8B9-34243175713A}" id="{30559FF6-082A-4BAF-B187-5D2F730B3F97}" parentId="{F625EC1B-A0C4-4BE3-9E8E-4419C1CB3D68}">
    <text>Done.</text>
  </threadedComment>
  <threadedComment ref="R808" dT="2023-06-05T08:53:54.80" personId="{3DE5673D-4837-4FC9-B8B9-34243175713A}" id="{436E86B5-D7B3-4E9E-905F-88D78D21B0FF}" done="1">
    <text>"Postscreening observation in both groups ranged from 1 to 5.5 years (average, 3 years)." plus 6 year screening period?</text>
  </threadedComment>
  <threadedComment ref="R808" dT="2023-12-14T11:33:51.71" personId="{E08A2389-F34B-466D-8AA1-6ADBBDF0F7BF}" id="{1ABE7899-5C3E-4B00-8AFF-6A8EDFBDCF56}" parentId="{436E86B5-D7B3-4E9E-905F-88D78D21B0FF}">
    <text>Sounds reasonable.
Put that in notes?</text>
  </threadedComment>
  <threadedComment ref="R808" dT="2023-12-18T08:44:58.80" personId="{3DE5673D-4837-4FC9-B8B9-34243175713A}" id="{962A20D1-5919-4F93-BFE4-B799FCC44BF6}" parentId="{436E86B5-D7B3-4E9E-905F-88D78D21B0FF}">
    <text>Done.</text>
  </threadedComment>
  <threadedComment ref="S808" dT="2023-06-05T08:53:54.80" personId="{3DE5673D-4837-4FC9-B8B9-34243175713A}" id="{548F5C6A-04FB-4C5E-A0C5-3458F175FD9A}" done="1">
    <text>"Postscreening observation in both groups ranged from 1 to 5.5 years (average, 3 years)." plus 6 year screening period?</text>
  </threadedComment>
  <threadedComment ref="S808" dT="2023-12-14T11:33:51.71" personId="{E08A2389-F34B-466D-8AA1-6ADBBDF0F7BF}" id="{1A56A703-F35A-4A9D-83D0-5CE6B280B58D}" parentId="{548F5C6A-04FB-4C5E-A0C5-3458F175FD9A}">
    <text>Sounds reasonable.
Put that in notes?</text>
  </threadedComment>
  <threadedComment ref="S808" dT="2023-12-18T08:44:58.80" personId="{3DE5673D-4837-4FC9-B8B9-34243175713A}" id="{E64D421C-4CEC-4FD2-823B-D818F7CC7EB7}" parentId="{548F5C6A-04FB-4C5E-A0C5-3458F175FD9A}">
    <text>Done.</text>
  </threadedComment>
  <threadedComment ref="S809" dT="2023-06-05T11:42:35.25" personId="{3DE5673D-4837-4FC9-B8B9-34243175713A}" id="{9EE548ED-0ABA-483D-9BCE-47AF862EB0F3}" done="1">
    <text>Seems to be for both arms together.</text>
  </threadedComment>
  <threadedComment ref="S809" dT="2023-12-14T11:41:46.96" personId="{E08A2389-F34B-466D-8AA1-6ADBBDF0F7BF}" id="{FA9378CE-665C-40AB-8477-58FF4AF76A98}" parentId="{9EE548ED-0ABA-483D-9BCE-47AF862EB0F3}">
    <text>agreed</text>
  </threadedComment>
  <threadedComment ref="AT809" dT="2023-06-05T11:51:14.00" personId="{3DE5673D-4837-4FC9-B8B9-34243175713A}" id="{35A6C601-A65D-420D-B30C-D023C63308BD}" done="1">
    <text>Reported 13% higher mortality rate.</text>
  </threadedComment>
  <threadedComment ref="AT809" dT="2023-12-14T11:52:35.08" personId="{E08A2389-F34B-466D-8AA1-6ADBBDF0F7BF}" id="{5CE6A7F4-B848-4D37-9770-E59CC7FD3914}" parentId="{35A6C601-A65D-420D-B30C-D023C63308BD}">
    <text xml:space="preserve">It's the rounding that's doing this.
4.4/3.9 = 1.13
4.390/3.95 = 1.11
</text>
  </threadedComment>
  <threadedComment ref="S810" dT="2023-06-05T11:42:35.25" personId="{3DE5673D-4837-4FC9-B8B9-34243175713A}" id="{9603DA07-B8E3-4C2F-B688-921B94E6346F}" done="1">
    <text>Seems to be for both arms together.</text>
  </threadedComment>
  <threadedComment ref="S810" dT="2023-12-14T11:41:46.96" personId="{E08A2389-F34B-466D-8AA1-6ADBBDF0F7BF}" id="{3B148ED4-64BE-41D2-BA0B-FE64282841C1}" parentId="{9603DA07-B8E3-4C2F-B688-921B94E6346F}">
    <text>agreed</text>
  </threadedComment>
  <threadedComment ref="S811" dT="2023-06-05T11:42:35.25" personId="{3DE5673D-4837-4FC9-B8B9-34243175713A}" id="{3449A9E5-D583-4985-8286-C1E5D6906956}" done="1">
    <text>Seems to be for both arms together.</text>
  </threadedComment>
  <threadedComment ref="S811" dT="2023-12-14T11:41:46.96" personId="{E08A2389-F34B-466D-8AA1-6ADBBDF0F7BF}" id="{C3753696-00E3-4FF5-860A-3E924A33DB45}" parentId="{3449A9E5-D583-4985-8286-C1E5D6906956}">
    <text>agreed</text>
  </threadedComment>
  <threadedComment ref="S812" dT="2023-06-05T11:42:35.25" personId="{3DE5673D-4837-4FC9-B8B9-34243175713A}" id="{C29E3C22-8F87-49FE-8FC5-04288F1BA581}" done="1">
    <text>Seems to be for both arms together.</text>
  </threadedComment>
  <threadedComment ref="S812" dT="2023-12-14T11:41:46.96" personId="{E08A2389-F34B-466D-8AA1-6ADBBDF0F7BF}" id="{2902444B-E456-44E5-ADE9-08DFF14D8A51}" parentId="{C29E3C22-8F87-49FE-8FC5-04288F1BA581}">
    <text>agreed</text>
  </threadedComment>
  <threadedComment ref="AK812" dT="2023-06-05T12:45:49.69" personId="{3DE5673D-4837-4FC9-B8B9-34243175713A}" id="{2B12073D-5144-4B66-8C8C-D6D4B1F9802C}" done="1">
    <text>Text reports 3.6???</text>
  </threadedComment>
  <threadedComment ref="AK812" dT="2023-12-14T12:13:26.52" personId="{E08A2389-F34B-466D-8AA1-6ADBBDF0F7BF}" id="{26406D43-B0DE-4C60-96E4-A395A97053F5}" parentId="{2B12073D-5144-4B66-8C8C-D6D4B1F9802C}">
    <text>I agree with you. I can't make it 3.6 with the available data. Perhaps this is the result of adjusted analysis? Doesn't say that though.</text>
  </threadedComment>
  <threadedComment ref="AO812" dT="2023-06-05T12:46:09.33" personId="{3DE5673D-4837-4FC9-B8B9-34243175713A}" id="{8AC5A3EC-455B-4A14-8E1A-835DD2D6F9D5}" done="1">
    <text>Text reports 3.2???</text>
  </threadedComment>
  <threadedComment ref="AO812" dT="2023-12-14T12:13:37.16" personId="{E08A2389-F34B-466D-8AA1-6ADBBDF0F7BF}" id="{C9615E81-510D-4A19-B270-D15FA74C6B26}" parentId="{8AC5A3EC-455B-4A14-8E1A-835DD2D6F9D5}">
    <text xml:space="preserve">I agree with you. I can't make it 3.2 with the available data. Perhaps this is the result of adjusted analysis? Doesn't say that though.
</text>
  </threadedComment>
  <threadedComment ref="S813" dT="2023-06-05T11:42:35.25" personId="{3DE5673D-4837-4FC9-B8B9-34243175713A}" id="{2438F3E9-15BE-40F5-8398-1F8D17F38136}" done="1">
    <text>Seems to be for both arms together.</text>
  </threadedComment>
  <threadedComment ref="S813" dT="2023-12-14T11:41:46.96" personId="{E08A2389-F34B-466D-8AA1-6ADBBDF0F7BF}" id="{E9A46DE9-7DF8-42CD-ABC5-48B4B0EDE22B}" parentId="{2438F3E9-15BE-40F5-8398-1F8D17F38136}">
    <text>agreed</text>
  </threadedComment>
  <threadedComment ref="S814" dT="2023-06-05T11:42:35.25" personId="{3DE5673D-4837-4FC9-B8B9-34243175713A}" id="{B85E62D1-5F79-4150-A784-B1B2AA342727}" done="1">
    <text>Seems to be for both arms together.</text>
  </threadedComment>
  <threadedComment ref="S814" dT="2023-12-14T11:41:46.96" personId="{E08A2389-F34B-466D-8AA1-6ADBBDF0F7BF}" id="{D96F223C-47FD-4353-B0F9-08BA05237E1E}" parentId="{B85E62D1-5F79-4150-A784-B1B2AA342727}">
    <text>agreed</text>
  </threadedComment>
  <threadedComment ref="S815" dT="2023-06-05T11:42:35.25" personId="{3DE5673D-4837-4FC9-B8B9-34243175713A}" id="{217D9547-CC09-48FE-8261-BEB6C885E1B5}" done="1">
    <text>Seems to be for both arms together.</text>
  </threadedComment>
  <threadedComment ref="S815" dT="2023-12-14T11:41:46.96" personId="{E08A2389-F34B-466D-8AA1-6ADBBDF0F7BF}" id="{1CF1FF64-C94D-4924-AB9D-9C1D6C4858DB}" parentId="{217D9547-CC09-48FE-8261-BEB6C885E1B5}">
    <text>agreed</text>
  </threadedComment>
  <threadedComment ref="Y815" dT="2023-12-18T10:25:20.77" personId="{3DE5673D-4837-4FC9-B8B9-34243175713A}" id="{95BEB278-4A34-4F04-AC9F-4D70E72ED7B2}" done="1">
    <text>Changed from 'NR' according to the agreed RoB assessment (domain 3b).</text>
  </threadedComment>
  <threadedComment ref="Y815" dT="2024-01-25T11:23:10.21" personId="{E08A2389-F34B-466D-8AA1-6ADBBDF0F7BF}" id="{D4D40A69-E97D-484E-B53B-9EEA6CA18F13}" parentId="{95BEB278-4A34-4F04-AC9F-4D70E72ED7B2}">
    <text>agreed</text>
  </threadedComment>
  <threadedComment ref="Z815" dT="2024-01-25T11:23:17.63" personId="{E08A2389-F34B-466D-8AA1-6ADBBDF0F7BF}" id="{0DED0367-988F-48D3-9E15-F51FF75D88CF}" done="1">
    <text>agreed</text>
  </threadedComment>
  <threadedComment ref="AA815" dT="2024-01-25T11:23:23.12" personId="{E08A2389-F34B-466D-8AA1-6ADBBDF0F7BF}" id="{C1AE4196-778A-421D-B6DB-D7FAED2AF9C1}" done="1">
    <text>agreed</text>
  </threadedComment>
  <threadedComment ref="AB815" dT="2024-01-25T11:23:34.21" personId="{E08A2389-F34B-466D-8AA1-6ADBBDF0F7BF}" id="{CFD1F34F-5584-45C3-A943-00D9796AB2D5}" done="1">
    <text>agreed</text>
  </threadedComment>
  <threadedComment ref="S816" dT="2023-06-05T11:42:35.25" personId="{3DE5673D-4837-4FC9-B8B9-34243175713A}" id="{20E977F5-9056-4C26-9AAC-8D7B16C1BE8F}" done="1">
    <text>Seems to be for both arms together.</text>
  </threadedComment>
  <threadedComment ref="S816" dT="2023-12-14T11:41:46.96" personId="{E08A2389-F34B-466D-8AA1-6ADBBDF0F7BF}" id="{70C2D559-8924-4EDF-95A5-5077B11C2345}" parentId="{20E977F5-9056-4C26-9AAC-8D7B16C1BE8F}">
    <text>agreed</text>
  </threadedComment>
  <threadedComment ref="Y816" dT="2024-01-25T11:23:39.82" personId="{E08A2389-F34B-466D-8AA1-6ADBBDF0F7BF}" id="{71757918-C75A-4F4D-A3EE-B4EAFADB5BB2}" done="1">
    <text>agreed</text>
  </threadedComment>
  <threadedComment ref="Z816" dT="2024-01-25T11:23:49.27" personId="{E08A2389-F34B-466D-8AA1-6ADBBDF0F7BF}" id="{C85E9A56-6808-4FB0-896C-5D593A4FE6CB}">
    <text>agreed</text>
  </threadedComment>
  <threadedComment ref="AA816" dT="2024-01-25T11:23:53.52" personId="{E08A2389-F34B-466D-8AA1-6ADBBDF0F7BF}" id="{491BBD37-0FAE-4B99-A0E6-A21E5281E70A}" done="1">
    <text>agreed</text>
  </threadedComment>
  <threadedComment ref="AB816" dT="2024-01-25T11:23:43.58" personId="{E08A2389-F34B-466D-8AA1-6ADBBDF0F7BF}" id="{BF85556D-3E21-4D81-B40D-3E2B8A9B884F}" done="1">
    <text>agreed</text>
  </threadedComment>
  <threadedComment ref="V817" dT="2023-06-05T13:30:55.36" personId="{3DE5673D-4837-4FC9-B8B9-34243175713A}" id="{D9188B72-ACA2-4440-A9F5-AE9B4589411B}" done="1">
    <text>Not reported in paper. Paper only states 9,211 included participants in total ("... the numbers entering the study were 1603,1586, 2733, 2154 and 1135, respectively, which were approximated equally allocated to the two randomization groups.")
groups.</text>
  </threadedComment>
  <threadedComment ref="V817" dT="2023-12-14T13:34:21.68" personId="{E08A2389-F34B-466D-8AA1-6ADBBDF0F7BF}" id="{728BADE5-2F4C-4868-B86C-F4546F4800AB}" parentId="{D9188B72-ACA2-4440-A9F5-AE9B4589411B}">
    <text>If it's okay to make assumptions, this seems all right to me. Lots of the other papers say 9211 and report the numbers you've state per arm. Is there a way to flag this to Adam as an assumption we've made?</text>
  </threadedComment>
  <threadedComment ref="V817" dT="2023-12-14T18:11:33.39" personId="{E08A2389-F34B-466D-8AA1-6ADBBDF0F7BF}" id="{9C1FA41B-7858-4F2D-9E82-092E24FB4174}" parentId="{D9188B72-ACA2-4440-A9F5-AE9B4589411B}">
    <text>To save me repeating this, same comment for below cells.</text>
  </threadedComment>
  <threadedComment ref="V817" dT="2023-12-18T08:52:25.66" personId="{3DE5673D-4837-4FC9-B8B9-34243175713A}" id="{64A9C2AD-9CE6-4F95-8657-0E6E9010C22F}" parentId="{D9188B72-ACA2-4440-A9F5-AE9B4589411B}">
    <text>Can put it in the notes field.</text>
  </threadedComment>
  <threadedComment ref="B818" dT="2023-06-05T13:36:56.72" personId="{3DE5673D-4837-4FC9-B8B9-34243175713A}" id="{4F03F423-7A34-4B04-ADA4-7D7AAE9881F0}" done="1">
    <text>Also reported in #502,Taylor 1981.</text>
  </threadedComment>
  <threadedComment ref="B818" dT="2023-12-14T13:28:08.17" personId="{E08A2389-F34B-466D-8AA1-6ADBBDF0F7BF}" id="{D0189BE0-BFB1-4FDE-8191-7F16362ADB24}" parentId="{4F03F423-7A34-4B04-ADA4-7D7AAE9881F0}">
    <text>But not extracted for Taylor. Right?</text>
  </threadedComment>
  <threadedComment ref="B818" dT="2023-12-18T08:49:03.26" personId="{3DE5673D-4837-4FC9-B8B9-34243175713A}" id="{BE3422D2-AA06-4A6A-AC44-5F995E885A2B}" parentId="{4F03F423-7A34-4B04-ADA4-7D7AAE9881F0}">
    <text>Extracted in row 5.</text>
  </threadedComment>
  <threadedComment ref="B818" dT="2024-01-25T11:25:51.63" personId="{E08A2389-F34B-466D-8AA1-6ADBBDF0F7BF}" id="{A121AF8B-2501-4229-A000-FC0B36A24BF4}" parentId="{4F03F423-7A34-4B04-ADA4-7D7AAE9881F0}">
    <text>Ah yes, but some numbers are different (i.e. deaths)</text>
  </threadedComment>
  <threadedComment ref="V818" dT="2023-06-05T13:30:55.36" personId="{3DE5673D-4837-4FC9-B8B9-34243175713A}" id="{070C6B9B-D888-43F1-A522-13D1773A37FF}" done="1">
    <text>Not reported in paper. Paper only states 9,211 included participants in total ("... the numbers entering the study were 1603,1586, 2733, 2154 and 1135, respectively, which were approximated equally allocated to the two randomization groups.")
groups.</text>
  </threadedComment>
  <threadedComment ref="V818" dT="2023-12-14T13:34:21.68" personId="{E08A2389-F34B-466D-8AA1-6ADBBDF0F7BF}" id="{E19F2813-26D6-4B79-A4AF-B018036D346E}" parentId="{070C6B9B-D888-43F1-A522-13D1773A37FF}">
    <text>If it's okay to make assumptions, this seems all right to me. Lots of the other papers say 9211 and report the numbers you've state per arm. Is there a way to flag this to Adam as an assumption we've made?</text>
  </threadedComment>
  <threadedComment ref="V818" dT="2023-12-14T18:11:33.39" personId="{E08A2389-F34B-466D-8AA1-6ADBBDF0F7BF}" id="{E33CEE8C-6486-4064-B0D1-D2001F180E3B}" parentId="{070C6B9B-D888-43F1-A522-13D1773A37FF}">
    <text>To save me repeating this, same comment for below cells.</text>
  </threadedComment>
  <threadedComment ref="V818" dT="2023-12-18T08:52:25.66" personId="{3DE5673D-4837-4FC9-B8B9-34243175713A}" id="{4F2AA2A5-4089-487A-AE75-78FDAEAFDE69}" parentId="{070C6B9B-D888-43F1-A522-13D1773A37FF}">
    <text>Can put it in the notes field.</text>
  </threadedComment>
  <threadedComment ref="AF818" dT="2023-06-05T13:38:55.59" personId="{3DE5673D-4837-4FC9-B8B9-34243175713A}" id="{76B9AAC2-FF24-4556-8104-AAD2561384E5}" done="1">
    <text>#502 (Taylor 1981) reports different numbers though.</text>
  </threadedComment>
  <threadedComment ref="AF818" dT="2023-12-14T13:52:11.07" personId="{E08A2389-F34B-466D-8AA1-6ADBBDF0F7BF}" id="{8DCFA3FC-9456-46D5-B4D8-8354D1AC8C5A}" parentId="{76B9AAC2-FF24-4556-8104-AAD2561384E5}">
    <text>Agreed. Can't see a reason to explain this difference.</text>
  </threadedComment>
  <threadedComment ref="V819" dT="2023-06-05T13:30:55.36" personId="{3DE5673D-4837-4FC9-B8B9-34243175713A}" id="{6D9B48A7-868D-482E-872B-E8B1F505B4B3}" done="1">
    <text>Not reported in paper. Paper only states 9,211 included participants in total ("... the numbers entering the study were 1603,1586, 2733, 2154 and 1135, respectively, which were approximated equally allocated to the two randomization groups.")
groups.</text>
  </threadedComment>
  <threadedComment ref="V819" dT="2023-12-14T13:34:21.68" personId="{E08A2389-F34B-466D-8AA1-6ADBBDF0F7BF}" id="{E1D2DE68-565A-4778-B3DB-F1C0BF16E88B}" parentId="{6D9B48A7-868D-482E-872B-E8B1F505B4B3}">
    <text>If it's okay to make assumptions, this seems all right to me. Lots of the other papers say 9211 and report the numbers you've state per arm. Is there a way to flag this to Adam as an assumption we've made?</text>
  </threadedComment>
  <threadedComment ref="V819" dT="2023-12-14T18:11:33.39" personId="{E08A2389-F34B-466D-8AA1-6ADBBDF0F7BF}" id="{8CAB2D29-D1EE-4A2C-A7E7-CA34747217A5}" parentId="{6D9B48A7-868D-482E-872B-E8B1F505B4B3}">
    <text>To save me repeating this, same comment for below cells.</text>
  </threadedComment>
  <threadedComment ref="V819" dT="2023-12-18T08:52:25.66" personId="{3DE5673D-4837-4FC9-B8B9-34243175713A}" id="{233ECF32-2C23-4B14-8518-C77422A14170}" parentId="{6D9B48A7-868D-482E-872B-E8B1F505B4B3}">
    <text>Can put it in the notes field.</text>
  </threadedComment>
  <threadedComment ref="V820" dT="2023-06-05T13:30:55.36" personId="{3DE5673D-4837-4FC9-B8B9-34243175713A}" id="{C10B0890-C356-418D-9DE6-935D3CB178B2}" done="1">
    <text>Not reported in paper. Paper only states 9,211 included participants in total ("... the numbers entering the study were 1603,1586, 2733, 2154 and 1135, respectively, which were approximated equally allocated to the two randomization groups.")
groups.</text>
  </threadedComment>
  <threadedComment ref="V820" dT="2023-12-14T13:34:21.68" personId="{E08A2389-F34B-466D-8AA1-6ADBBDF0F7BF}" id="{BCE5575B-7351-48A0-A44D-B827CBF0D5F6}" parentId="{C10B0890-C356-418D-9DE6-935D3CB178B2}">
    <text>If it's okay to make assumptions, this seems all right to me. Lots of the other papers say 9211 and report the numbers you've state per arm. Is there a way to flag this to Adam as an assumption we've made?</text>
  </threadedComment>
  <threadedComment ref="V820" dT="2023-12-14T18:11:33.39" personId="{E08A2389-F34B-466D-8AA1-6ADBBDF0F7BF}" id="{113C05BA-FC8C-4E9D-AF07-088227A17278}" parentId="{C10B0890-C356-418D-9DE6-935D3CB178B2}">
    <text>To save me repeating this, same comment for below cells.</text>
  </threadedComment>
  <threadedComment ref="V820" dT="2023-12-18T08:52:25.66" personId="{3DE5673D-4837-4FC9-B8B9-34243175713A}" id="{708225CF-1ADC-4D52-90B6-560A9E4129B8}" parentId="{C10B0890-C356-418D-9DE6-935D3CB178B2}">
    <text>Can put it in the notes field.</text>
  </threadedComment>
  <threadedComment ref="V821" dT="2023-06-05T13:30:55.36" personId="{3DE5673D-4837-4FC9-B8B9-34243175713A}" id="{BB7B5DE6-6299-45C8-A1AB-BF54ADD3273D}" done="1">
    <text>Not reported in paper. Paper only states 9,211 included participants in total ("... the numbers entering the study were 1603,1586, 2733, 2154 and 1135, respectively, which were approximated equally allocated to the two randomization groups.")
groups.</text>
  </threadedComment>
  <threadedComment ref="V821" dT="2023-12-14T13:34:21.68" personId="{E08A2389-F34B-466D-8AA1-6ADBBDF0F7BF}" id="{AE7EC1E9-C3E0-43AB-90D1-ED7CC7DD1125}" parentId="{BB7B5DE6-6299-45C8-A1AB-BF54ADD3273D}">
    <text>If it's okay to make assumptions, this seems all right to me. Lots of the other papers say 9211 and report the numbers you've state per arm. Is there a way to flag this to Adam as an assumption we've made?</text>
  </threadedComment>
  <threadedComment ref="V821" dT="2023-12-14T18:11:33.39" personId="{E08A2389-F34B-466D-8AA1-6ADBBDF0F7BF}" id="{AB0FE71B-E487-4B9D-9F00-10F6B847A1AB}" parentId="{BB7B5DE6-6299-45C8-A1AB-BF54ADD3273D}">
    <text>To save me repeating this, same comment for below cells.</text>
  </threadedComment>
  <threadedComment ref="V821" dT="2023-12-18T08:52:25.66" personId="{3DE5673D-4837-4FC9-B8B9-34243175713A}" id="{D4C88EF7-A0E5-48C9-AF85-C402D1DB2F26}" parentId="{BB7B5DE6-6299-45C8-A1AB-BF54ADD3273D}">
    <text>Can put it in the notes field.</text>
  </threadedComment>
  <threadedComment ref="V822" dT="2023-06-05T13:30:55.36" personId="{3DE5673D-4837-4FC9-B8B9-34243175713A}" id="{79559AD8-B792-4FD8-AEBF-079875B9AAC4}" done="1">
    <text>Not reported in paper. Paper only states 9,211 included participants in total ("... the numbers entering the study were 1603,1586, 2733, 2154 and 1135, respectively, which were approximated equally allocated to the two randomization groups.")
groups.</text>
  </threadedComment>
  <threadedComment ref="V822" dT="2023-12-14T13:34:21.68" personId="{E08A2389-F34B-466D-8AA1-6ADBBDF0F7BF}" id="{A7E0689B-715A-4305-A4CB-ED4EAC12A62E}" parentId="{79559AD8-B792-4FD8-AEBF-079875B9AAC4}">
    <text>If it's okay to make assumptions, this seems all right to me. Lots of the other papers say 9211 and report the numbers you've state per arm. Is there a way to flag this to Adam as an assumption we've made?</text>
  </threadedComment>
  <threadedComment ref="V822" dT="2023-12-14T18:11:33.39" personId="{E08A2389-F34B-466D-8AA1-6ADBBDF0F7BF}" id="{0CFF37A1-38BC-4C2F-91B8-164AB09CE36A}" parentId="{79559AD8-B792-4FD8-AEBF-079875B9AAC4}">
    <text>To save me repeating this, same comment for below cells.</text>
  </threadedComment>
  <threadedComment ref="V822" dT="2023-12-18T08:52:25.66" personId="{3DE5673D-4837-4FC9-B8B9-34243175713A}" id="{A3647F34-6C75-4487-BB83-DFAB669966B0}" parentId="{79559AD8-B792-4FD8-AEBF-079875B9AAC4}">
    <text>Can put it in the notes field.</text>
  </threadedComment>
  <threadedComment ref="V823" dT="2023-06-05T13:30:55.36" personId="{3DE5673D-4837-4FC9-B8B9-34243175713A}" id="{412CAA49-0054-4319-BDF4-222A8481AE47}" done="1">
    <text>Not reported in paper. Paper only states 9,211 included participants in total ("... the numbers entering the study were 1603,1586, 2733, 2154 and 1135, respectively, which were approximated equally allocated to the two randomization groups.")
groups.</text>
  </threadedComment>
  <threadedComment ref="V823" dT="2023-12-14T13:34:21.68" personId="{E08A2389-F34B-466D-8AA1-6ADBBDF0F7BF}" id="{270FA60D-1456-45CD-B712-477EDC529CAF}" parentId="{412CAA49-0054-4319-BDF4-222A8481AE47}">
    <text>If it's okay to make assumptions, this seems all right to me. Lots of the other papers say 9211 and report the numbers you've state per arm. Is there a way to flag this to Adam as an assumption we've made?</text>
  </threadedComment>
  <threadedComment ref="V823" dT="2023-12-14T18:11:33.39" personId="{E08A2389-F34B-466D-8AA1-6ADBBDF0F7BF}" id="{318DEB7E-E7E9-457B-B6A9-D19273CA1990}" parentId="{412CAA49-0054-4319-BDF4-222A8481AE47}">
    <text>To save me repeating this, same comment for below cells.</text>
  </threadedComment>
  <threadedComment ref="V823" dT="2023-12-18T08:52:25.66" personId="{3DE5673D-4837-4FC9-B8B9-34243175713A}" id="{235850AE-F7EE-4B50-B5D0-22A4D5480EE8}" parentId="{412CAA49-0054-4319-BDF4-222A8481AE47}">
    <text>Can put it in the notes field.</text>
  </threadedComment>
  <threadedComment ref="V824" dT="2023-06-05T13:30:55.36" personId="{3DE5673D-4837-4FC9-B8B9-34243175713A}" id="{93B9622B-0EDA-4800-A3C8-AC7E340041E0}" done="1">
    <text>Not reported in paper. Paper only states 9,211 included participants in total ("... the numbers entering the study were 1603,1586, 2733, 2154 and 1135, respectively, which were approximated equally allocated to the two randomization groups.")
groups.</text>
  </threadedComment>
  <threadedComment ref="V824" dT="2023-12-14T13:34:21.68" personId="{E08A2389-F34B-466D-8AA1-6ADBBDF0F7BF}" id="{6087721A-74FC-4849-B881-D9B690B1128E}" parentId="{93B9622B-0EDA-4800-A3C8-AC7E340041E0}">
    <text>If it's okay to make assumptions, this seems all right to me. Lots of the other papers say 9211 and report the numbers you've state per arm. Is there a way to flag this to Adam as an assumption we've made?</text>
  </threadedComment>
  <threadedComment ref="V824" dT="2023-12-14T18:11:33.39" personId="{E08A2389-F34B-466D-8AA1-6ADBBDF0F7BF}" id="{2122AA4E-0A2A-4C78-B6F3-C917DD6B7FB7}" parentId="{93B9622B-0EDA-4800-A3C8-AC7E340041E0}">
    <text>To save me repeating this, same comment for below cells.</text>
  </threadedComment>
  <threadedComment ref="V824" dT="2023-12-18T08:52:25.66" personId="{3DE5673D-4837-4FC9-B8B9-34243175713A}" id="{D0A5B607-B98E-4C7A-97A2-9F198076A889}" parentId="{93B9622B-0EDA-4800-A3C8-AC7E340041E0}">
    <text>Can put it in the notes field.</text>
  </threadedComment>
  <threadedComment ref="V825" dT="2023-06-05T13:30:55.36" personId="{3DE5673D-4837-4FC9-B8B9-34243175713A}" id="{5949CEE7-BB75-47A3-AC46-0189457DCE50}" done="1">
    <text>Not reported in paper. Paper only states 9,211 included participants in total ("... the numbers entering the study were 1603,1586, 2733, 2154 and 1135, respectively, which were approximated equally allocated to the two randomization groups.")
groups.</text>
  </threadedComment>
  <threadedComment ref="V825" dT="2023-12-14T13:34:21.68" personId="{E08A2389-F34B-466D-8AA1-6ADBBDF0F7BF}" id="{A85F3C84-1819-4772-A6D8-3DA6D78CFDF7}" parentId="{5949CEE7-BB75-47A3-AC46-0189457DCE50}">
    <text>If it's okay to make assumptions, this seems all right to me. Lots of the other papers say 9211 and report the numbers you've state per arm. Is there a way to flag this to Adam as an assumption we've made?</text>
  </threadedComment>
  <threadedComment ref="V825" dT="2023-12-14T18:11:33.39" personId="{E08A2389-F34B-466D-8AA1-6ADBBDF0F7BF}" id="{46CD6746-BDA5-4082-B3DA-646028530BD0}" parentId="{5949CEE7-BB75-47A3-AC46-0189457DCE50}">
    <text>To save me repeating this, same comment for below cells.</text>
  </threadedComment>
  <threadedComment ref="V825" dT="2023-12-18T08:52:25.66" personId="{3DE5673D-4837-4FC9-B8B9-34243175713A}" id="{D32E602B-BE1E-42FD-94A8-EAAF8D99958C}" parentId="{5949CEE7-BB75-47A3-AC46-0189457DCE50}">
    <text>Can put it in the notes field.</text>
  </threadedComment>
  <threadedComment ref="V826" dT="2023-06-05T13:30:55.36" personId="{3DE5673D-4837-4FC9-B8B9-34243175713A}" id="{E4488924-E917-4A7A-AFEE-626A913BF4E1}" done="1">
    <text>Not reported in paper. Paper only states 9,211 included participants in total ("... the numbers entering the study were 1603,1586, 2733, 2154 and 1135, respectively, which were approximated equally allocated to the two randomization groups.")
groups.</text>
  </threadedComment>
  <threadedComment ref="V826" dT="2023-12-14T13:34:21.68" personId="{E08A2389-F34B-466D-8AA1-6ADBBDF0F7BF}" id="{0A0AF48A-FA9B-4C8D-801B-09CD27424B7D}" parentId="{E4488924-E917-4A7A-AFEE-626A913BF4E1}">
    <text>If it's okay to make assumptions, this seems all right to me. Lots of the other papers say 9211 and report the numbers you've state per arm. Is there a way to flag this to Adam as an assumption we've made?</text>
  </threadedComment>
  <threadedComment ref="V826" dT="2023-12-14T18:11:33.39" personId="{E08A2389-F34B-466D-8AA1-6ADBBDF0F7BF}" id="{6319CA17-45CC-4313-8548-A476A36BF4C0}" parentId="{E4488924-E917-4A7A-AFEE-626A913BF4E1}">
    <text>To save me repeating this, same comment for below cells.</text>
  </threadedComment>
  <threadedComment ref="V826" dT="2023-12-18T08:52:25.66" personId="{3DE5673D-4837-4FC9-B8B9-34243175713A}" id="{BCA6CC25-2D27-4C42-A0ED-9AF97EDF2FCC}" parentId="{E4488924-E917-4A7A-AFEE-626A913BF4E1}">
    <text>Can put it in the notes field.</text>
  </threadedComment>
  <threadedComment ref="V827" dT="2023-06-05T13:30:55.36" personId="{3DE5673D-4837-4FC9-B8B9-34243175713A}" id="{122363F4-0244-4FCB-93FD-31B0378F7D95}" done="1">
    <text>Not reported in paper. Paper only states 9,211 included participants in total ("... the numbers entering the study were 1603,1586, 2733, 2154 and 1135, respectively, which were approximated equally allocated to the two randomization groups.")
groups.</text>
  </threadedComment>
  <threadedComment ref="V827" dT="2023-12-14T13:34:21.68" personId="{E08A2389-F34B-466D-8AA1-6ADBBDF0F7BF}" id="{75231C04-E30C-4E4F-A008-273AC6B111EF}" parentId="{122363F4-0244-4FCB-93FD-31B0378F7D95}">
    <text>If it's okay to make assumptions, this seems all right to me. Lots of the other papers say 9211 and report the numbers you've state per arm. Is there a way to flag this to Adam as an assumption we've made?</text>
  </threadedComment>
  <threadedComment ref="V827" dT="2023-12-14T18:11:33.39" personId="{E08A2389-F34B-466D-8AA1-6ADBBDF0F7BF}" id="{CC340FAA-CF70-4E54-A3F6-8CB2A6686C82}" parentId="{122363F4-0244-4FCB-93FD-31B0378F7D95}">
    <text>To save me repeating this, same comment for below cells.</text>
  </threadedComment>
  <threadedComment ref="V827" dT="2023-12-18T08:52:25.66" personId="{3DE5673D-4837-4FC9-B8B9-34243175713A}" id="{FE58BABE-C030-45C3-BE62-28B103C01B7D}" parentId="{122363F4-0244-4FCB-93FD-31B0378F7D95}">
    <text>Can put it in the notes field.</text>
  </threadedComment>
  <threadedComment ref="V828" dT="2023-06-05T13:30:55.36" personId="{3DE5673D-4837-4FC9-B8B9-34243175713A}" id="{F5FEAE83-47A1-43EF-B71A-142A969CAA0E}" done="1">
    <text>Not reported in paper. Paper only states 9,211 included participants in total ("... the numbers entering the study were 1603,1586, 2733, 2154 and 1135, respectively, which were approximated equally allocated to the two randomization groups.")
groups.</text>
  </threadedComment>
  <threadedComment ref="V828" dT="2023-12-14T13:34:21.68" personId="{E08A2389-F34B-466D-8AA1-6ADBBDF0F7BF}" id="{EE05EA43-AB1B-4C87-988B-ED53F263835F}" parentId="{F5FEAE83-47A1-43EF-B71A-142A969CAA0E}">
    <text>If it's okay to make assumptions, this seems all right to me. Lots of the other papers say 9211 and report the numbers you've state per arm. Is there a way to flag this to Adam as an assumption we've made?</text>
  </threadedComment>
  <threadedComment ref="V828" dT="2023-12-14T18:11:33.39" personId="{E08A2389-F34B-466D-8AA1-6ADBBDF0F7BF}" id="{73C73629-6458-44C8-9AF5-C9B896CE5D8B}" parentId="{F5FEAE83-47A1-43EF-B71A-142A969CAA0E}">
    <text>To save me repeating this, same comment for below cells.</text>
  </threadedComment>
  <threadedComment ref="V828" dT="2023-12-18T08:52:25.66" personId="{3DE5673D-4837-4FC9-B8B9-34243175713A}" id="{625C1502-4C5A-4BEE-AF5B-5263CE256B09}" parentId="{F5FEAE83-47A1-43EF-B71A-142A969CAA0E}">
    <text>Can put it in the notes field.</text>
  </threadedComment>
  <threadedComment ref="V829" dT="2023-06-05T13:30:55.36" personId="{3DE5673D-4837-4FC9-B8B9-34243175713A}" id="{55FB1ACD-AF80-46F9-8B32-E370C890BC62}" done="1">
    <text>Not reported in paper. Paper only states 9,211 included participants in total ("... the numbers entering the study were 1603,1586, 2733, 2154 and 1135, respectively, which were approximated equally allocated to the two randomization groups.")
groups.</text>
  </threadedComment>
  <threadedComment ref="V829" dT="2023-12-14T13:34:21.68" personId="{E08A2389-F34B-466D-8AA1-6ADBBDF0F7BF}" id="{FFBA0DE6-9C3D-4030-BE59-219278059983}" parentId="{55FB1ACD-AF80-46F9-8B32-E370C890BC62}">
    <text>If it's okay to make assumptions, this seems all right to me. Lots of the other papers say 9211 and report the numbers you've state per arm. Is there a way to flag this to Adam as an assumption we've made?</text>
  </threadedComment>
  <threadedComment ref="V829" dT="2023-12-14T18:11:33.39" personId="{E08A2389-F34B-466D-8AA1-6ADBBDF0F7BF}" id="{B9111A6A-81E8-41AE-A82B-3C3A0B59806E}" parentId="{55FB1ACD-AF80-46F9-8B32-E370C890BC62}">
    <text>To save me repeating this, same comment for below cells.</text>
  </threadedComment>
  <threadedComment ref="V829" dT="2023-12-18T08:52:25.66" personId="{3DE5673D-4837-4FC9-B8B9-34243175713A}" id="{1BAD41C8-487B-4E7E-ABD6-97CE184EE023}" parentId="{55FB1ACD-AF80-46F9-8B32-E370C890BC62}">
    <text>Can put it in the notes field.</text>
  </threadedComment>
  <threadedComment ref="V830" dT="2023-06-05T13:30:55.36" personId="{3DE5673D-4837-4FC9-B8B9-34243175713A}" id="{85515C32-80CB-4002-8FEB-C25E596FD3F4}" done="1">
    <text>Not reported in paper. Paper only states 9,211 included participants in total ("... the numbers entering the study were 1603,1586, 2733, 2154 and 1135, respectively, which were approximated equally allocated to the two randomization groups.")
groups.</text>
  </threadedComment>
  <threadedComment ref="V830" dT="2023-12-14T13:34:21.68" personId="{E08A2389-F34B-466D-8AA1-6ADBBDF0F7BF}" id="{A1342A71-55DE-476C-B73F-86E82C4EA881}" parentId="{85515C32-80CB-4002-8FEB-C25E596FD3F4}">
    <text>If it's okay to make assumptions, this seems all right to me. Lots of the other papers say 9211 and report the numbers you've state per arm. Is there a way to flag this to Adam as an assumption we've made?</text>
  </threadedComment>
  <threadedComment ref="V830" dT="2023-12-14T18:11:33.39" personId="{E08A2389-F34B-466D-8AA1-6ADBBDF0F7BF}" id="{A43A799F-8D75-4A05-8EBF-7FC86A9E6628}" parentId="{85515C32-80CB-4002-8FEB-C25E596FD3F4}">
    <text>To save me repeating this, same comment for below cells.</text>
  </threadedComment>
  <threadedComment ref="V830" dT="2023-12-18T08:52:25.66" personId="{3DE5673D-4837-4FC9-B8B9-34243175713A}" id="{DBD29DD4-1887-4BDB-A7DE-4B5FC795CEC0}" parentId="{85515C32-80CB-4002-8FEB-C25E596FD3F4}">
    <text>Can put it in the notes field.</text>
  </threadedComment>
  <threadedComment ref="V831" dT="2023-06-05T13:30:55.36" personId="{3DE5673D-4837-4FC9-B8B9-34243175713A}" id="{32971F41-9933-4097-9655-92F13ABB0717}" done="1">
    <text>Not reported in paper. Paper only states 9,211 included participants in total ("... the numbers entering the study were 1603,1586, 2733, 2154 and 1135, respectively, which were approximated equally allocated to the two randomization groups.")
groups.</text>
  </threadedComment>
  <threadedComment ref="V831" dT="2023-12-14T13:34:21.68" personId="{E08A2389-F34B-466D-8AA1-6ADBBDF0F7BF}" id="{EAA088A5-04C4-440C-A0A6-472F17E6F5A9}" parentId="{32971F41-9933-4097-9655-92F13ABB0717}">
    <text>If it's okay to make assumptions, this seems all right to me. Lots of the other papers say 9211 and report the numbers you've state per arm. Is there a way to flag this to Adam as an assumption we've made?</text>
  </threadedComment>
  <threadedComment ref="V831" dT="2023-12-14T18:11:33.39" personId="{E08A2389-F34B-466D-8AA1-6ADBBDF0F7BF}" id="{582238A6-AB4E-48E2-BE55-DD52ABE81DF3}" parentId="{32971F41-9933-4097-9655-92F13ABB0717}">
    <text>To save me repeating this, same comment for below cells.</text>
  </threadedComment>
  <threadedComment ref="V831" dT="2023-12-18T08:52:25.66" personId="{3DE5673D-4837-4FC9-B8B9-34243175713A}" id="{A51AEFCF-DF11-4527-B152-D32275B78E28}" parentId="{32971F41-9933-4097-9655-92F13ABB0717}">
    <text>Can put it in the notes field.</text>
  </threadedComment>
  <threadedComment ref="V832" dT="2023-06-05T13:30:55.36" personId="{3DE5673D-4837-4FC9-B8B9-34243175713A}" id="{EEF5DDD1-718C-4597-BDA2-19428765B065}" done="1">
    <text>Not reported in paper. Paper only states 9,211 included participants in total ("... the numbers entering the study were 1603,1586, 2733, 2154 and 1135, respectively, which were approximated equally allocated to the two randomization groups.")
groups.</text>
  </threadedComment>
  <threadedComment ref="V832" dT="2023-12-14T13:34:21.68" personId="{E08A2389-F34B-466D-8AA1-6ADBBDF0F7BF}" id="{406AA394-D746-4A33-877A-4C0917DE152B}" parentId="{EEF5DDD1-718C-4597-BDA2-19428765B065}">
    <text>If it's okay to make assumptions, this seems all right to me. Lots of the other papers say 9211 and report the numbers you've state per arm. Is there a way to flag this to Adam as an assumption we've made?</text>
  </threadedComment>
  <threadedComment ref="V832" dT="2023-12-14T18:11:33.39" personId="{E08A2389-F34B-466D-8AA1-6ADBBDF0F7BF}" id="{4C456D80-462A-4DD8-83E6-E4C336C21EE6}" parentId="{EEF5DDD1-718C-4597-BDA2-19428765B065}">
    <text>To save me repeating this, same comment for below cells.</text>
  </threadedComment>
  <threadedComment ref="V832" dT="2023-12-18T08:52:25.66" personId="{3DE5673D-4837-4FC9-B8B9-34243175713A}" id="{F41CF76B-8F68-4317-B54A-5BB9BC93A36B}" parentId="{EEF5DDD1-718C-4597-BDA2-19428765B065}">
    <text>Can put it in the notes field.</text>
  </threadedComment>
  <threadedComment ref="V833" dT="2023-06-05T13:30:55.36" personId="{3DE5673D-4837-4FC9-B8B9-34243175713A}" id="{251980F4-6C85-4C37-8E97-071B051571FE}" done="1">
    <text>Not reported in paper. Paper only states 9,211 included participants in total ("... the numbers entering the study were 1603,1586, 2733, 2154 and 1135, respectively, which were approximated equally allocated to the two randomization groups.")
groups.</text>
  </threadedComment>
  <threadedComment ref="V833" dT="2023-12-14T13:34:21.68" personId="{E08A2389-F34B-466D-8AA1-6ADBBDF0F7BF}" id="{ECE7AC1E-291F-4575-989A-23A8CD91705E}" parentId="{251980F4-6C85-4C37-8E97-071B051571FE}">
    <text>If it's okay to make assumptions, this seems all right to me. Lots of the other papers say 9211 and report the numbers you've state per arm. Is there a way to flag this to Adam as an assumption we've made?</text>
  </threadedComment>
  <threadedComment ref="V833" dT="2023-12-14T18:11:33.39" personId="{E08A2389-F34B-466D-8AA1-6ADBBDF0F7BF}" id="{50EB41B1-784D-490B-98F7-32F61B7C3BF0}" parentId="{251980F4-6C85-4C37-8E97-071B051571FE}">
    <text>To save me repeating this, same comment for below cells.</text>
  </threadedComment>
  <threadedComment ref="V833" dT="2023-12-18T08:52:25.66" personId="{3DE5673D-4837-4FC9-B8B9-34243175713A}" id="{F3C4E546-DDE0-4642-8EA9-BC7CC63DC488}" parentId="{251980F4-6C85-4C37-8E97-071B051571FE}">
    <text>Can put it in the notes field.</text>
  </threadedComment>
  <threadedComment ref="R834" dT="2023-06-05T08:53:54.80" personId="{3DE5673D-4837-4FC9-B8B9-34243175713A}" id="{2F269134-ECAD-47D7-85EC-31C1F7544B44}" done="1">
    <text>"Postscreening observation in both groups ranged from 1 to 5.5 years (average, 3 years)." plus 6 year screening period?</text>
  </threadedComment>
  <threadedComment ref="R834" dT="2023-12-14T14:04:22.51" personId="{E08A2389-F34B-466D-8AA1-6ADBBDF0F7BF}" id="{D4723A04-113D-43BE-8028-8982BE83EFF5}" parentId="{2F269134-ECAD-47D7-85EC-31C1F7544B44}">
    <text xml:space="preserve">Sounds reasonable.
Put that in notes?
</text>
  </threadedComment>
  <threadedComment ref="R834" dT="2023-12-18T08:56:34.20" personId="{3DE5673D-4837-4FC9-B8B9-34243175713A}" id="{BCCD6512-4CA8-4B52-9F0B-B9A739E25211}" parentId="{2F269134-ECAD-47D7-85EC-31C1F7544B44}">
    <text>Done.</text>
  </threadedComment>
  <threadedComment ref="S834" dT="2023-06-05T08:53:54.80" personId="{3DE5673D-4837-4FC9-B8B9-34243175713A}" id="{8B6201B2-81DF-4B45-8961-04886D91DC1D}" done="1">
    <text>"Postscreening observation in both groups ranged from 1 to 5.5 years (average, 3 years)." plus 6 year screening period?</text>
  </threadedComment>
  <threadedComment ref="S834" dT="2023-12-14T14:04:22.51" personId="{E08A2389-F34B-466D-8AA1-6ADBBDF0F7BF}" id="{94E44E37-9130-4B98-83AC-0640F245BDA2}" parentId="{8B6201B2-81DF-4B45-8961-04886D91DC1D}">
    <text xml:space="preserve">Sounds reasonable.
Put that in notes?
</text>
  </threadedComment>
  <threadedComment ref="S834" dT="2023-12-18T08:56:34.20" personId="{3DE5673D-4837-4FC9-B8B9-34243175713A}" id="{6A22EBC2-5AC0-4963-BE42-DA67422788B6}" parentId="{8B6201B2-81DF-4B45-8961-04886D91DC1D}">
    <text>Done.</text>
  </threadedComment>
  <threadedComment ref="R835" dT="2023-06-05T08:53:54.80" personId="{3DE5673D-4837-4FC9-B8B9-34243175713A}" id="{424C34A9-EFB3-4230-AC85-C536DA664949}" done="1">
    <text>"Postscreening observation in both groups ranged from 1 to 5.5 years (average, 3 years)." plus 6 year screening period?</text>
  </threadedComment>
  <threadedComment ref="R835" dT="2023-12-14T14:04:22.51" personId="{E08A2389-F34B-466D-8AA1-6ADBBDF0F7BF}" id="{6592FE58-1C6A-4D7B-BB83-7A8566FCCE39}" parentId="{424C34A9-EFB3-4230-AC85-C536DA664949}">
    <text xml:space="preserve">Sounds reasonable.
Put that in notes?
</text>
  </threadedComment>
  <threadedComment ref="R835" dT="2023-12-18T08:56:34.20" personId="{3DE5673D-4837-4FC9-B8B9-34243175713A}" id="{708ECEB6-016E-414C-8AC1-E721CF7C92FF}" parentId="{424C34A9-EFB3-4230-AC85-C536DA664949}">
    <text>Done.</text>
  </threadedComment>
  <threadedComment ref="S835" dT="2023-06-05T08:53:54.80" personId="{3DE5673D-4837-4FC9-B8B9-34243175713A}" id="{28A30A9E-02E2-42E7-AD99-1871C10888F1}" done="1">
    <text>"Postscreening observation in both groups ranged from 1 to 5.5 years (average, 3 years)." plus 6 year screening period?</text>
  </threadedComment>
  <threadedComment ref="S835" dT="2023-12-14T14:04:22.51" personId="{E08A2389-F34B-466D-8AA1-6ADBBDF0F7BF}" id="{3124EFEC-8278-4844-8B43-F910FA767EEC}" parentId="{28A30A9E-02E2-42E7-AD99-1871C10888F1}">
    <text xml:space="preserve">Sounds reasonable.
Put that in notes?
</text>
  </threadedComment>
  <threadedComment ref="S835" dT="2023-12-18T08:56:34.20" personId="{3DE5673D-4837-4FC9-B8B9-34243175713A}" id="{A35E7176-C9CC-4885-A0A4-C7B5EBFCD165}" parentId="{28A30A9E-02E2-42E7-AD99-1871C10888F1}">
    <text>Done.</text>
  </threadedComment>
  <threadedComment ref="A836" dT="2023-06-06T09:54:17.75" personId="{3DE5673D-4837-4FC9-B8B9-34243175713A}" id="{2E7046DA-CE3F-43B8-86F2-2CED1234CF84}" done="1">
    <text>Risk ratio already calculated above (#531).</text>
  </threadedComment>
  <threadedComment ref="R836" dT="2023-06-05T08:53:54.80" personId="{3DE5673D-4837-4FC9-B8B9-34243175713A}" id="{6998C88D-2907-4CBF-BA29-59331375AC56}" done="1">
    <text>"Postscreening observation in both groups ranged from 1 to 5.5 years (average, 3 years)." plus 6 year screening period?</text>
  </threadedComment>
  <threadedComment ref="R836" dT="2023-12-14T14:04:22.51" personId="{E08A2389-F34B-466D-8AA1-6ADBBDF0F7BF}" id="{CF98891B-7639-4D25-856F-F4FF0C8313A9}" parentId="{6998C88D-2907-4CBF-BA29-59331375AC56}">
    <text xml:space="preserve">Sounds reasonable.
Put that in notes?
</text>
  </threadedComment>
  <threadedComment ref="R836" dT="2023-12-18T08:56:34.20" personId="{3DE5673D-4837-4FC9-B8B9-34243175713A}" id="{8FB028FD-639C-4D99-9F5C-3161FBC8A436}" parentId="{6998C88D-2907-4CBF-BA29-59331375AC56}">
    <text>Done.</text>
  </threadedComment>
  <threadedComment ref="S836" dT="2023-06-05T08:53:54.80" personId="{3DE5673D-4837-4FC9-B8B9-34243175713A}" id="{F2F9C8F0-6A64-442D-B742-E68CF341C781}" done="1">
    <text>"Postscreening observation in both groups ranged from 1 to 5.5 years (average, 3 years)." plus 6 year screening period?</text>
  </threadedComment>
  <threadedComment ref="S836" dT="2023-12-14T14:04:22.51" personId="{E08A2389-F34B-466D-8AA1-6ADBBDF0F7BF}" id="{37D407F9-C68E-4C95-BF18-18D1CE671B1D}" parentId="{F2F9C8F0-6A64-442D-B742-E68CF341C781}">
    <text xml:space="preserve">Sounds reasonable.
Put that in notes?
</text>
  </threadedComment>
  <threadedComment ref="S836" dT="2023-12-18T08:56:34.20" personId="{3DE5673D-4837-4FC9-B8B9-34243175713A}" id="{29DCDC01-D6BE-4F4F-A107-BD03018D3667}" parentId="{F2F9C8F0-6A64-442D-B742-E68CF341C781}">
    <text>Done.</text>
  </threadedComment>
  <threadedComment ref="R837" dT="2023-06-05T08:53:54.80" personId="{3DE5673D-4837-4FC9-B8B9-34243175713A}" id="{C3197550-70F0-44B8-AE88-09DBE4A03974}" done="1">
    <text>"Postscreening observation in both groups ranged from 1 to 5.5 years (average, 3 years)." plus 6 year screening period?</text>
  </threadedComment>
  <threadedComment ref="R837" dT="2023-12-14T14:04:22.51" personId="{E08A2389-F34B-466D-8AA1-6ADBBDF0F7BF}" id="{CAE86ECA-5712-4A99-8F22-484634149BD6}" parentId="{C3197550-70F0-44B8-AE88-09DBE4A03974}">
    <text xml:space="preserve">Sounds reasonable.
Put that in notes?
</text>
  </threadedComment>
  <threadedComment ref="R837" dT="2023-12-18T08:56:34.20" personId="{3DE5673D-4837-4FC9-B8B9-34243175713A}" id="{0B6CB003-F470-4DB0-B7E8-BD6DFFB88594}" parentId="{C3197550-70F0-44B8-AE88-09DBE4A03974}">
    <text>Done.</text>
  </threadedComment>
  <threadedComment ref="S837" dT="2023-06-05T08:53:54.80" personId="{3DE5673D-4837-4FC9-B8B9-34243175713A}" id="{5E89DEE8-6F3A-434D-850B-B0C47C8EF459}" done="1">
    <text>"Postscreening observation in both groups ranged from 1 to 5.5 years (average, 3 years)." plus 6 year screening period?</text>
  </threadedComment>
  <threadedComment ref="S837" dT="2023-12-14T14:04:22.51" personId="{E08A2389-F34B-466D-8AA1-6ADBBDF0F7BF}" id="{6BFFE931-41CA-4507-BE03-4C00C03B25C5}" parentId="{5E89DEE8-6F3A-434D-850B-B0C47C8EF459}">
    <text xml:space="preserve">Sounds reasonable.
Put that in notes?
</text>
  </threadedComment>
  <threadedComment ref="S837" dT="2023-12-18T08:56:34.20" personId="{3DE5673D-4837-4FC9-B8B9-34243175713A}" id="{10AD38A5-4501-4154-A164-9AAA25F4F72A}" parentId="{5E89DEE8-6F3A-434D-850B-B0C47C8EF459}">
    <text>Done.</text>
  </threadedComment>
  <threadedComment ref="AW858" dT="2024-01-14T21:46:28.42" personId="{E331BB74-BBA0-4486-A922-69CA2C388022}" id="{17DA1D39-15CA-4D95-AE0B-7B9EF647FAF4}" done="1">
    <text>Randell, Matthew:
I can't see where these are reported?</text>
  </threadedComment>
  <threadedComment ref="AW858" dT="2024-01-14T21:46:35.80" personId="{E331BB74-BBA0-4486-A922-69CA2C388022}" id="{0F4E04B3-5D73-4FFB-B7AD-E2F3132346D8}" parentId="{17DA1D39-15CA-4D95-AE0B-7B9EF647FAF4}">
    <text>Do you calculate them?</text>
  </threadedComment>
  <threadedComment ref="AW858" dT="2024-01-18T10:54:03.37" personId="{3DE5673D-4837-4FC9-B8B9-34243175713A}" id="{FD674904-3CAE-47B8-B77E-3DD568C4D373}" parentId="{17DA1D39-15CA-4D95-AE0B-7B9EF647FAF4}">
    <text xml:space="preserve">You are right, it's not clearly reported. </text>
  </threadedComment>
  <threadedComment ref="A875" dT="2023-07-18T17:00:38.40" personId="{3DE5673D-4837-4FC9-B8B9-34243175713A}" id="{75F64564-918F-40DE-A4DD-5C0E22B89A53}" done="1">
    <text>Paper reports mortality data by sex and age group, but we don't have surrogate data for these subgroups, so I don't have extracted them.</text>
  </threadedComment>
  <threadedComment ref="L876" dT="2023-12-12T09:20:14.65" personId="{E08A2389-F34B-466D-8AA1-6ADBBDF0F7BF}" id="{35A51089-037C-4433-AFCC-57A5D15DBAFB}" done="1">
    <text>Death isn't censoring. Censoring occurs when you can't measure the outcome of interest because something else happened, eg study ended before death, person withdrew before death.</text>
  </threadedComment>
  <threadedComment ref="L876" dT="2023-12-14T15:16:07.71" personId="{3DE5673D-4837-4FC9-B8B9-34243175713A}" id="{9EED7FAB-EB12-4E5C-A1A8-6FB2EB3BFAEE}" parentId="{35A51089-037C-4433-AFCC-57A5D15DBAFB}">
    <text>Agree.</text>
  </threadedComment>
  <threadedComment ref="R876" dT="2023-06-08T08:54:01.17" personId="{3DE5673D-4837-4FC9-B8B9-34243175713A}" id="{93D7AAD0-6ED3-4F3F-9331-BCDF477C5F1A}" done="1">
    <text>From #11135.</text>
  </threadedComment>
  <threadedComment ref="R876" dT="2023-12-12T09:24:08.47" personId="{E08A2389-F34B-466D-8AA1-6ADBBDF0F7BF}" id="{B03FE5F8-2C3B-4153-A9DA-FEA7A1B45B22}" parentId="{93D7AAD0-6ED3-4F3F-9331-BCDF477C5F1A}">
    <text>The "Characteristics of the participants" section says median follow up was 6.5 years. Though it doesn't specify a group.</text>
  </threadedComment>
  <threadedComment ref="R876" dT="2023-12-14T15:18:01.64" personId="{3DE5673D-4837-4FC9-B8B9-34243175713A}" id="{1FB0E34B-093A-4CD2-B260-16FAF10F3040}" parentId="{93D7AAD0-6ED3-4F3F-9331-BCDF477C5F1A}">
    <text>This is until 31/12/2009. But for lung cancer mortality, the FU was only until 15/01/2009.
I have used the median of 6.5 years below for all-cause mortality, where FU was until 31/12/2009.</text>
  </threadedComment>
  <threadedComment ref="R876" dT="2023-12-15T08:34:21.14" personId="{E08A2389-F34B-466D-8AA1-6ADBBDF0F7BF}" id="{24F38BE7-3C40-447D-A369-FD5BC061F215}" parentId="{93D7AAD0-6ED3-4F3F-9331-BCDF477C5F1A}">
    <text>Sounds good.</text>
  </threadedComment>
  <threadedComment ref="S876" dT="2023-06-08T08:54:01.17" personId="{3DE5673D-4837-4FC9-B8B9-34243175713A}" id="{38035354-EEA6-4975-BF9E-A8FE15C8949D}" done="1">
    <text>From #11135.</text>
  </threadedComment>
  <threadedComment ref="S876" dT="2023-12-12T09:24:08.47" personId="{E08A2389-F34B-466D-8AA1-6ADBBDF0F7BF}" id="{B5D08320-7C1D-42C7-A4F5-8D837015522C}" parentId="{38035354-EEA6-4975-BF9E-A8FE15C8949D}">
    <text>The "Characteristics of the participants" section says median follow up was 6.5 years. Though it doesn't specify a group.</text>
  </threadedComment>
  <threadedComment ref="S876" dT="2023-12-14T15:18:01.64" personId="{3DE5673D-4837-4FC9-B8B9-34243175713A}" id="{5924DF95-63B7-41D9-ADE8-4B7B200D4A8D}" parentId="{38035354-EEA6-4975-BF9E-A8FE15C8949D}">
    <text>This is until 31/12/2009. But for lung cancer mortality, the FU was only until 15/01/2009.
I have used the median of 6.5 years below for all-cause mortality, where FU was until 31/12/2009.</text>
  </threadedComment>
  <threadedComment ref="S876" dT="2023-12-15T08:34:21.14" personId="{E08A2389-F34B-466D-8AA1-6ADBBDF0F7BF}" id="{18BD35AF-6C83-4564-81C2-8ED84D426E1B}" parentId="{38035354-EEA6-4975-BF9E-A8FE15C8949D}">
    <text>Sounds good.</text>
  </threadedComment>
  <threadedComment ref="AU876" dT="2023-12-12T09:36:33.11" personId="{E08A2389-F34B-466D-8AA1-6ADBBDF0F7BF}" id="{58292876-9366-4EE1-BAA5-6FF5442B22DF}" done="1">
    <text>I can't see where this comes from.
Page 402 says the lower bound of the CI is 6.8.</text>
  </threadedComment>
  <threadedComment ref="AU876" dT="2023-12-14T15:22:15.42" personId="{3DE5673D-4837-4FC9-B8B9-34243175713A}" id="{96C3933F-1D6B-4147-AFEC-84D523E7B467}" parentId="{58292876-9366-4EE1-BAA5-6FF5442B22DF}">
    <text xml:space="preserve">Text: "20.0% (95% CI, 6.8 to 26.7; P = 0.004)."
100-26.7=73.3%=0.733
100-6.8=93.2%=0.932
See formula I used in Excel.
But maybe that's mathematically not correct? LOL
</text>
  </threadedComment>
  <threadedComment ref="AU876" dT="2023-12-15T10:38:29.51" personId="{E08A2389-F34B-466D-8AA1-6ADBBDF0F7BF}" id="{BAADA066-7160-4DEA-9A02-17B48A0C3238}" parentId="{58292876-9366-4EE1-BAA5-6FF5442B22DF}">
    <text>Oh, I see. You don't need to do that here. The paper gives all the info we need. RR 0.80 [based on a 20% relative risk reduction, i.e. 1 - 0.20] (95% CI, 6.8 to 26.7). 
Plus, we're not asked to calculate this ourselves!</text>
  </threadedComment>
  <threadedComment ref="AU876" dT="2023-12-15T12:17:37.51" personId="{3DE5673D-4837-4FC9-B8B9-34243175713A}" id="{FF6246B0-0FCD-4DE8-815D-F4CF65433A0C}" parentId="{58292876-9366-4EE1-BAA5-6FF5442B22DF}">
    <text>Okay, I delete it then and Nefeli can calculcate it.</text>
  </threadedComment>
  <threadedComment ref="AV876" dT="2023-12-12T09:36:54.06" personId="{E08A2389-F34B-466D-8AA1-6ADBBDF0F7BF}" id="{31BE20BA-B97A-46CF-B568-D21E6E8930D0}" done="1">
    <text>I can't see where this comes from.
Page 402 says the upper bound of the CI is 26.7.</text>
  </threadedComment>
  <threadedComment ref="AV876" dT="2023-12-14T15:22:35.83" personId="{3DE5673D-4837-4FC9-B8B9-34243175713A}" id="{292B80A0-06AD-43B5-8D03-533698A2D89F}" parentId="{31BE20BA-B97A-46CF-B568-D21E6E8930D0}">
    <text xml:space="preserve">Text: "20.0% (95% CI, 6.8 to 26.7; P = 0.004)."
100-26.7=73.3%=0.733
100-6.8=93.2%=0.932
See formula I used in Excel.
But maybe that's mathematically not correct? LOL
</text>
  </threadedComment>
  <threadedComment ref="AV876" dT="2023-12-15T10:38:34.52" personId="{E08A2389-F34B-466D-8AA1-6ADBBDF0F7BF}" id="{7A28F6BB-4D22-41B6-9434-D4523468097A}" parentId="{31BE20BA-B97A-46CF-B568-D21E6E8930D0}">
    <text xml:space="preserve">Oh, I see. You don't need to do that here. The paper gives all the info we need. RR 0.80 [based on a 20% relative risk reduction, i.e. 1 - 0.20] (95% CI, 6.8 to 26.7). 
Plus, we're not asked to calculate this ourselves!
</text>
  </threadedComment>
  <threadedComment ref="R877" dT="2023-06-08T08:54:01.17" personId="{3DE5673D-4837-4FC9-B8B9-34243175713A}" id="{51354F4B-4D7D-4451-98D9-3FF7143099B4}" done="1">
    <text>From #11135.</text>
  </threadedComment>
  <threadedComment ref="R877" dT="2023-12-12T09:24:08.47" personId="{E08A2389-F34B-466D-8AA1-6ADBBDF0F7BF}" id="{C7E06C89-5EF0-4AEE-9216-533A50AA2B37}" parentId="{51354F4B-4D7D-4451-98D9-3FF7143099B4}">
    <text>The "Characteristics of the participants" section says median follow up was 6.5 years. Though it doesn't specify a group.</text>
  </threadedComment>
  <threadedComment ref="R877" dT="2023-12-14T15:18:01.64" personId="{3DE5673D-4837-4FC9-B8B9-34243175713A}" id="{E59D7B70-6358-45B0-9C0F-27375AC70332}" parentId="{51354F4B-4D7D-4451-98D9-3FF7143099B4}">
    <text>This is until 31/12/2009. But for lung cancer mortality, the FU was only until 15/01/2009.
I have used the median of 6.5 years below for all-cause mortality, where FU was until 31/12/2009.</text>
  </threadedComment>
  <threadedComment ref="R877" dT="2023-12-15T08:34:21.14" personId="{E08A2389-F34B-466D-8AA1-6ADBBDF0F7BF}" id="{8A93722A-BD99-47BF-BDE6-8451ED004802}" parentId="{51354F4B-4D7D-4451-98D9-3FF7143099B4}">
    <text>Sounds good.</text>
  </threadedComment>
  <threadedComment ref="S877" dT="2023-06-08T08:54:01.17" personId="{3DE5673D-4837-4FC9-B8B9-34243175713A}" id="{0B3FF0CC-4C38-4DC5-8913-3F062C7DC744}" done="1">
    <text>From #11135.</text>
  </threadedComment>
  <threadedComment ref="S877" dT="2023-12-12T09:24:08.47" personId="{E08A2389-F34B-466D-8AA1-6ADBBDF0F7BF}" id="{64ABC433-C2F1-4192-882F-67C282725D75}" parentId="{0B3FF0CC-4C38-4DC5-8913-3F062C7DC744}">
    <text>The "Characteristics of the participants" section says median follow up was 6.5 years. Though it doesn't specify a group.</text>
  </threadedComment>
  <threadedComment ref="S877" dT="2023-12-14T15:18:01.64" personId="{3DE5673D-4837-4FC9-B8B9-34243175713A}" id="{4472F86C-F6ED-4A47-A9EB-B9E69E9B78F9}" parentId="{0B3FF0CC-4C38-4DC5-8913-3F062C7DC744}">
    <text>This is until 31/12/2009. But for lung cancer mortality, the FU was only until 15/01/2009.
I have used the median of 6.5 years below for all-cause mortality, where FU was until 31/12/2009.</text>
  </threadedComment>
  <threadedComment ref="S877" dT="2023-12-15T08:34:21.14" personId="{E08A2389-F34B-466D-8AA1-6ADBBDF0F7BF}" id="{51B6E6EF-C2E7-4401-B51F-39659195EB06}" parentId="{0B3FF0CC-4C38-4DC5-8913-3F062C7DC744}">
    <text>Sounds good.</text>
  </threadedComment>
  <threadedComment ref="Y878" dT="2023-12-12T09:41:05.61" personId="{E08A2389-F34B-466D-8AA1-6ADBBDF0F7BF}" id="{62618168-6B1C-4F9C-9779-2D5276E921C1}" done="1">
    <text>802 people</text>
  </threadedComment>
  <threadedComment ref="Y878" dT="2023-12-14T15:26:52.06" personId="{3DE5673D-4837-4FC9-B8B9-34243175713A}" id="{86AA5127-2C22-4811-A02B-417397B39635}" parentId="{62618168-6B1C-4F9C-9779-2D5276E921C1}">
    <text>Where does your number come from?
My information is from "As
of December 31, 2009, vital status was known for 97% of the participants in the low-dose CT group and 96% of those in the radiography group."</text>
  </threadedComment>
  <threadedComment ref="Y878" dT="2023-12-15T08:36:31.45" personId="{E08A2389-F34B-466D-8AA1-6ADBBDF0F7BF}" id="{C4119E3E-7C1A-43B7-911D-11713317A9ED}" parentId="{62618168-6B1C-4F9C-9779-2D5276E921C1}">
    <text>802 is 3% of 26722.</text>
  </threadedComment>
  <threadedComment ref="Y878" dT="2023-12-15T12:27:15.59" personId="{3DE5673D-4837-4FC9-B8B9-34243175713A}" id="{F9B1F075-1353-487E-A7E3-C3D34DA0DCCC}" parentId="{62618168-6B1C-4F9C-9779-2D5276E921C1}">
    <text>Think the problem is that they don't report any decimal places. 3% of 26722 could be any value between 669 and 935.</text>
  </threadedComment>
  <threadedComment ref="AA878" dT="2023-12-12T09:41:37.63" personId="{E08A2389-F34B-466D-8AA1-6ADBBDF0F7BF}" id="{AB6BAE2F-33F9-46AE-8944-4DFB08AA4ED5}" done="1">
    <text>1069 people</text>
  </threadedComment>
  <threadedComment ref="AA878" dT="2023-12-14T15:32:42.51" personId="{3DE5673D-4837-4FC9-B8B9-34243175713A}" id="{995BFA0A-A52E-4504-A100-8887D9CF9FD8}" parentId="{AB6BAE2F-33F9-46AE-8944-4DFB08AA4ED5}">
    <text xml:space="preserve">Where does your number come from?
My information is from "As
of December 31, 2009, vital status was known for 97% of the participants in the low-dose CT group and 96% of those in the radiography group."
</text>
  </threadedComment>
  <threadedComment ref="AA878" dT="2023-12-15T08:37:22.42" personId="{E08A2389-F34B-466D-8AA1-6ADBBDF0F7BF}" id="{77E98C83-1A89-4165-AB6D-19A7FA755AFB}" parentId="{AB6BAE2F-33F9-46AE-8944-4DFB08AA4ED5}">
    <text xml:space="preserve">1069 is 4% of 26732.
</text>
  </threadedComment>
  <threadedComment ref="AA878" dT="2023-12-15T12:29:12.28" personId="{3DE5673D-4837-4FC9-B8B9-34243175713A}" id="{7D2CAA56-5303-4E1A-8A55-8DBF0B200745}" parentId="{AB6BAE2F-33F9-46AE-8944-4DFB08AA4ED5}">
    <text>Well, it could be also any value between 936 and 1202.</text>
  </threadedComment>
  <threadedComment ref="AF878" dT="2023-12-12T09:44:08.56" personId="{E08A2389-F34B-466D-8AA1-6ADBBDF0F7BF}" id="{F77DED84-1FDC-4DCF-A19C-D78D090EE427}" done="1">
    <text>This is what it says in the text, but in/under Table 7 it says 1998.</text>
  </threadedComment>
  <threadedComment ref="AF878" dT="2023-12-14T15:38:54.91" personId="{3DE5673D-4837-4FC9-B8B9-34243175713A}" id="{B981B530-2634-413B-A8E3-75823013435F}" parentId="{F77DED84-1FDC-4DCF-A19C-D78D090EE427}">
    <text>You are right. But shouldn't make much difference. Can we leave as it is or what should we do?</text>
  </threadedComment>
  <threadedComment ref="AF878" dT="2023-12-15T08:39:00.37" personId="{E08A2389-F34B-466D-8AA1-6ADBBDF0F7BF}" id="{AAF7AE23-FB48-4783-9510-1015DCA1FE89}" parentId="{F77DED84-1FDC-4DCF-A19C-D78D090EE427}">
    <text>Your call. Can't tell from the paper which is correct.</text>
  </threadedComment>
  <threadedComment ref="AF878" dT="2023-12-15T12:21:07.57" personId="{3DE5673D-4837-4FC9-B8B9-34243175713A}" id="{8BB5C0BA-BEF6-4606-8A81-ACE21E188944}" parentId="{F77DED84-1FDC-4DCF-A19C-D78D090EE427}">
    <text>Let's leave as it is then.</text>
  </threadedComment>
  <threadedComment ref="AU878" dT="2023-12-12T09:48:14.81" personId="{E08A2389-F34B-466D-8AA1-6ADBBDF0F7BF}" id="{C0E821F8-D17E-462B-AF3B-5A3B060A4426}" done="1">
    <text>I can't see where this value comes from.
On page 403 it say the lower bound of the CI is 1.2.</text>
  </threadedComment>
  <threadedComment ref="AU878" dT="2023-12-14T15:42:18.09" personId="{3DE5673D-4837-4FC9-B8B9-34243175713A}" id="{1B9448BA-1A01-4C6D-8A13-9465DAB138A5}" parentId="{C0E821F8-D17E-462B-AF3B-5A3B060A4426}">
    <text>Yes, you need to convert it using 100 minus the reported value as they don't report the rate ratio but risk reduction: "6.7% (95% CI, 1.2 to 13.6) in the rate of death from any cause (P = 0.02)."
100-13.6=86.4%=0.864
100-1.2=98.8%=0.988
See formula I used in Excel.
Not sure though one can do that. LOL</text>
  </threadedComment>
  <threadedComment ref="AU878" dT="2023-12-15T11:11:44.84" personId="{E08A2389-F34B-466D-8AA1-6ADBBDF0F7BF}" id="{7E622F48-891A-45F4-88EA-E16C344B4CCD}" parentId="{C0E821F8-D17E-462B-AF3B-5A3B060A4426}">
    <text>I don't know the answer to this, but there are two things that make me think it doesn't matter:
1. We're supposed to be stating the reported rates, not calculating them.
2. There is a bit in the analysis section that makes me think we can't calculate the confidence intervals…
"We calculated the confidence intervals for mortality ratios with the weighted method that was used to monitor the primary end point of the trial,17 which allows for a varying rate ratio and is adjusted for the design."</text>
  </threadedComment>
  <threadedComment ref="AU878" dT="2023-12-15T12:19:38.39" personId="{3DE5673D-4837-4FC9-B8B9-34243175713A}" id="{5F664605-1761-40B7-8EA7-9E2AB8F568EA}" parentId="{C0E821F8-D17E-462B-AF3B-5A3B060A4426}">
    <text>I just say NR then.</text>
  </threadedComment>
  <threadedComment ref="AV878" dT="2023-12-12T09:48:30.00" personId="{E08A2389-F34B-466D-8AA1-6ADBBDF0F7BF}" id="{4145D587-6920-4782-B026-312FBBC24B79}" done="1">
    <text>I can't see where this value comes from.
On page 403 it say the upper bound of the CI is 13.6</text>
  </threadedComment>
  <threadedComment ref="AV878" dT="2023-12-14T15:41:57.63" personId="{3DE5673D-4837-4FC9-B8B9-34243175713A}" id="{D5EFC5F1-0ACE-4483-AE02-E0C18D8955E0}" parentId="{4145D587-6920-4782-B026-312FBBC24B79}">
    <text>Yes, you need to convert it using 100 minus the reported value as they don't report the rate ratio but risk reduction: "6.7% (95% CI, 1.2 to 13.6) in the rate of death from any cause (P = 0.02)."
100-13.6=86.4%=0.864
100-1.2=98.8%=0.988
See formula I used in Excel.
Not sure though one can do that. LOL</text>
  </threadedComment>
  <threadedComment ref="AV878" dT="2023-12-15T11:11:48.25" personId="{E08A2389-F34B-466D-8AA1-6ADBBDF0F7BF}" id="{78DF5972-4D70-45AB-8863-D13E23666BF2}" parentId="{4145D587-6920-4782-B026-312FBBC24B79}">
    <text xml:space="preserve">I don't know the answer to this, but there are two things that make me think it doesn't matter:
1. We're supposed to be stating the reported rates, not calculating them.
2. There is a bit in the analysis section that makes me think we can't calculate the confidence intervals…
"We calculated the confidence intervals for mortality ratios with the weighted method that was used to monitor the primary end point of the trial,17 which allows for a varying rate ratio and is adjusted for the design."
</text>
  </threadedComment>
  <threadedComment ref="Y879" dT="2023-12-12T09:41:05.61" personId="{E08A2389-F34B-466D-8AA1-6ADBBDF0F7BF}" id="{1189F1F1-AF22-4B21-BA69-C78EA069A47C}" done="1">
    <text>802 people</text>
  </threadedComment>
  <threadedComment ref="Y879" dT="2023-12-14T15:26:52.06" personId="{3DE5673D-4837-4FC9-B8B9-34243175713A}" id="{91AEB43F-04E1-4EE5-A750-BA6F5488710D}" parentId="{1189F1F1-AF22-4B21-BA69-C78EA069A47C}">
    <text>Where does your number come from?
My information is from "As
of December 31, 2009, vital status was known for 97% of the participants in the low-dose CT group and 96% of those in the radiography group."</text>
  </threadedComment>
  <threadedComment ref="Y879" dT="2023-12-15T08:36:31.45" personId="{E08A2389-F34B-466D-8AA1-6ADBBDF0F7BF}" id="{52D038A2-BD93-4A85-88C1-8861F7B9BBEE}" parentId="{1189F1F1-AF22-4B21-BA69-C78EA069A47C}">
    <text>802 is 3% of 26722.</text>
  </threadedComment>
  <threadedComment ref="Y879" dT="2023-12-15T12:27:15.59" personId="{3DE5673D-4837-4FC9-B8B9-34243175713A}" id="{9D413F84-9C0C-4911-A6D4-797FCB9DD93B}" parentId="{1189F1F1-AF22-4B21-BA69-C78EA069A47C}">
    <text>Think the problem is that they don't report any decimal places. 3% of 26722 could be any value between 669 and 935.</text>
  </threadedComment>
  <threadedComment ref="AA879" dT="2023-12-12T09:41:37.63" personId="{E08A2389-F34B-466D-8AA1-6ADBBDF0F7BF}" id="{C1186662-4C19-4DBE-97D6-308A13D00209}" done="1">
    <text>1069 people</text>
  </threadedComment>
  <threadedComment ref="AA879" dT="2023-12-14T15:32:42.51" personId="{3DE5673D-4837-4FC9-B8B9-34243175713A}" id="{989DF4D3-1210-4FBD-93CF-6BB8424FA6B0}" parentId="{C1186662-4C19-4DBE-97D6-308A13D00209}">
    <text xml:space="preserve">Where does your number come from?
My information is from "As
of December 31, 2009, vital status was known for 97% of the participants in the low-dose CT group and 96% of those in the radiography group."
</text>
  </threadedComment>
  <threadedComment ref="AA879" dT="2023-12-15T08:37:22.42" personId="{E08A2389-F34B-466D-8AA1-6ADBBDF0F7BF}" id="{5BDA223D-0B00-463C-A95A-C38093894779}" parentId="{C1186662-4C19-4DBE-97D6-308A13D00209}">
    <text xml:space="preserve">1069 is 4% of 26732.
</text>
  </threadedComment>
  <threadedComment ref="AA879" dT="2023-12-15T12:29:12.28" personId="{3DE5673D-4837-4FC9-B8B9-34243175713A}" id="{127BFC78-BEE6-40AA-9447-5615DD4C95F7}" parentId="{C1186662-4C19-4DBE-97D6-308A13D00209}">
    <text>Well, it could be also any value between 936 and 1202.</text>
  </threadedComment>
  <threadedComment ref="AF879" dT="2023-12-12T09:44:08.56" personId="{E08A2389-F34B-466D-8AA1-6ADBBDF0F7BF}" id="{DE44C94D-16D4-4AF4-9A55-25366AC8A91B}" done="1">
    <text>This is what it says in the text, but in/under Table 7 it says 1998.</text>
  </threadedComment>
  <threadedComment ref="AF879" dT="2023-12-14T15:38:54.91" personId="{3DE5673D-4837-4FC9-B8B9-34243175713A}" id="{4AFF8BAE-AC03-4D52-8C09-B200CDE49EE9}" parentId="{DE44C94D-16D4-4AF4-9A55-25366AC8A91B}">
    <text>You are right. But shouldn't make much difference.
Can we leave as it is or what should we do?</text>
  </threadedComment>
  <threadedComment ref="AF879" dT="2023-12-15T08:39:04.33" personId="{E08A2389-F34B-466D-8AA1-6ADBBDF0F7BF}" id="{2E2BD686-44D3-457D-9E8C-EF332948DBB6}" parentId="{DE44C94D-16D4-4AF4-9A55-25366AC8A91B}">
    <text xml:space="preserve">Your call. Can't tell from the paper which is correct.
</text>
  </threadedComment>
  <threadedComment ref="R880" dT="2023-06-08T08:55:16.42" personId="{3DE5673D-4837-4FC9-B8B9-34243175713A}" id="{93DD61B6-8FB1-4358-8357-44C17BBD2567}" done="1">
    <text>From #11135.</text>
  </threadedComment>
  <threadedComment ref="S880" dT="2023-06-08T08:55:16.42" personId="{3DE5673D-4837-4FC9-B8B9-34243175713A}" id="{73E4920D-AD7F-4437-968B-73F891210C11}" done="1">
    <text>From #11135.</text>
  </threadedComment>
  <threadedComment ref="R881" dT="2023-06-08T08:55:16.42" personId="{3DE5673D-4837-4FC9-B8B9-34243175713A}" id="{308A9474-2CF0-4362-A7D9-32518CD0E02F}" done="1">
    <text>From #11135.</text>
  </threadedComment>
  <threadedComment ref="S881" dT="2023-06-08T08:55:16.42" personId="{3DE5673D-4837-4FC9-B8B9-34243175713A}" id="{3AB957E9-D246-49BA-B2EB-7E0BA38027D9}" done="1">
    <text>From #11135.</text>
  </threadedComment>
  <threadedComment ref="A882" dT="2023-06-08T08:19:15.13" personId="{3DE5673D-4837-4FC9-B8B9-34243175713A}" id="{F79FFB05-16C5-47F1-B750-5ED8916DDCFE}" done="1">
    <text>Different number of deaths reported compared to #398.</text>
  </threadedComment>
  <threadedComment ref="R882" dT="2023-06-08T08:55:16.42" personId="{3DE5673D-4837-4FC9-B8B9-34243175713A}" id="{28C9B6CA-FCB2-489C-9B6B-7D80D0FBFE29}" done="1">
    <text>From #11135.</text>
  </threadedComment>
  <threadedComment ref="S882" dT="2023-06-08T08:55:16.42" personId="{3DE5673D-4837-4FC9-B8B9-34243175713A}" id="{E21072B3-7A19-4626-9263-145E090FD066}" done="1">
    <text>From #11135.</text>
  </threadedComment>
  <threadedComment ref="AE882" dT="2023-06-08T08:21:32.06" personId="{3DE5673D-4837-4FC9-B8B9-34243175713A}" id="{D4AD6233-236F-4794-BCBD-C3B6F352ACE1}" done="1">
    <text>Different to number of deaths reported in #398.</text>
  </threadedComment>
  <threadedComment ref="AE882" dT="2023-12-12T13:36:04.67" personId="{E08A2389-F34B-466D-8AA1-6ADBBDF0F7BF}" id="{3EDEF38F-1776-4036-B5ED-D0658627BF59}" parentId="{D4AD6233-236F-4794-BCBD-C3B6F352ACE1}">
    <text>Definitely different. But I can't see any reason why.</text>
  </threadedComment>
  <threadedComment ref="R883" dT="2023-06-08T08:55:16.42" personId="{3DE5673D-4837-4FC9-B8B9-34243175713A}" id="{3B01232B-A486-42E1-AC99-432D7BE71EC5}" done="1">
    <text>From #11135.</text>
  </threadedComment>
  <threadedComment ref="S883" dT="2023-06-08T08:55:16.42" personId="{3DE5673D-4837-4FC9-B8B9-34243175713A}" id="{B3C83FBD-4A54-4274-9229-487A6B90E571}" done="1">
    <text>From #11135.</text>
  </threadedComment>
  <threadedComment ref="V884" dT="2023-12-12T13:41:42.90" personId="{E08A2389-F34B-466D-8AA1-6ADBBDF0F7BF}" id="{F6CCE9B2-3F98-4BC9-859A-94CA2102E287}" done="1">
    <text>26,730</text>
  </threadedComment>
  <threadedComment ref="V884" dT="2023-12-14T16:36:46.03" personId="{3DE5673D-4837-4FC9-B8B9-34243175713A}" id="{97597769-0486-48A7-A5AD-C28D39386918}" parentId="{F6CCE9B2-3F98-4BC9-859A-94CA2102E287}">
    <text>Corrected.</text>
  </threadedComment>
  <threadedComment ref="AH884" dT="2023-12-12T13:44:22.93" personId="{E08A2389-F34B-466D-8AA1-6ADBBDF0F7BF}" id="{FDB86EB1-7693-4B05-A1C6-73EC88BDFE5F}" done="1">
    <text>26,730 slightly changes calculated rate.</text>
  </threadedComment>
  <threadedComment ref="AH884" dT="2023-12-14T16:39:01.15" personId="{3DE5673D-4837-4FC9-B8B9-34243175713A}" id="{7FE09176-62B0-4D1C-A811-A98EB7AEE5BF}" parentId="{FDB86EB1-7693-4B05-A1C6-73EC88BDFE5F}">
    <text>Corrected.</text>
  </threadedComment>
  <threadedComment ref="AO884" dT="2023-12-12T13:47:10.40" personId="{E08A2389-F34B-466D-8AA1-6ADBBDF0F7BF}" id="{D5DC93A5-051C-4DFC-B362-6934CF087B56}" done="1">
    <text>46.240. See column AH</text>
  </threadedComment>
  <threadedComment ref="AT884" dT="2023-06-08T10:03:10.53" personId="{3DE5673D-4837-4FC9-B8B9-34243175713A}" id="{B6B233AF-8115-4F1B-B7E8-551C59914097}" done="1">
    <text>Slightly different from reported RR.</text>
  </threadedComment>
  <threadedComment ref="AT884" dT="2023-12-12T13:49:03.14" personId="{E08A2389-F34B-466D-8AA1-6ADBBDF0F7BF}" id="{A3CADCE7-EF53-4677-89F9-9A704B06A4D2}" parentId="{B6B233AF-8115-4F1B-B7E8-551C59914097}">
    <text>See column ah</text>
  </threadedComment>
  <threadedComment ref="V885" dT="2023-12-12T13:41:42.90" personId="{E08A2389-F34B-466D-8AA1-6ADBBDF0F7BF}" id="{E6595528-32AA-4BEA-8CC9-AD59F569CDD8}" done="1">
    <text>26,730</text>
  </threadedComment>
  <threadedComment ref="V885" dT="2023-12-14T16:36:46.03" personId="{3DE5673D-4837-4FC9-B8B9-34243175713A}" id="{1D93D00F-AEAA-4D3D-B672-BE611F6DEBC7}" parentId="{E6595528-32AA-4BEA-8CC9-AD59F569CDD8}">
    <text>Corrected.</text>
  </threadedComment>
  <threadedComment ref="AH885" dT="2023-12-12T13:44:22.93" personId="{E08A2389-F34B-466D-8AA1-6ADBBDF0F7BF}" id="{BCEF4BBF-577F-456E-8E12-7C41F0462E1C}" done="1">
    <text>26,730 slightly changes calculated rate.</text>
  </threadedComment>
  <threadedComment ref="AH885" dT="2023-12-14T16:39:01.15" personId="{3DE5673D-4837-4FC9-B8B9-34243175713A}" id="{37776002-3C6D-4F5B-8653-CC6E22244C80}" parentId="{BCEF4BBF-577F-456E-8E12-7C41F0462E1C}">
    <text>Corrected.</text>
  </threadedComment>
  <threadedComment ref="AO885" dT="2023-12-12T13:47:22.20" personId="{E08A2389-F34B-466D-8AA1-6ADBBDF0F7BF}" id="{AD2D3F85-226B-4FDE-BA99-4F74AE151078}" done="1">
    <text>24.167. See column AH</text>
  </threadedComment>
  <threadedComment ref="AT885" dT="2023-06-08T10:03:17.72" personId="{3DE5673D-4837-4FC9-B8B9-34243175713A}" id="{A7A0AEE6-255D-4347-94C9-62903D1266C8}" done="1">
    <text>Slightly different from reported RR.</text>
  </threadedComment>
  <threadedComment ref="AT885" dT="2023-12-12T13:49:06.89" personId="{E08A2389-F34B-466D-8AA1-6ADBBDF0F7BF}" id="{04D5875B-AD9A-4E7D-86E1-87ADE80D0753}" parentId="{A7A0AEE6-255D-4347-94C9-62903D1266C8}">
    <text xml:space="preserve">See column ah
</text>
  </threadedComment>
  <threadedComment ref="V886" dT="2023-12-12T13:41:42.90" personId="{E08A2389-F34B-466D-8AA1-6ADBBDF0F7BF}" id="{91DE20A3-AB79-4404-94AA-4087982655A2}" done="1">
    <text>26,730</text>
  </threadedComment>
  <threadedComment ref="V886" dT="2023-12-14T16:36:46.03" personId="{3DE5673D-4837-4FC9-B8B9-34243175713A}" id="{BE7D912D-1B82-4581-AAB8-3EEE2443039D}" parentId="{91DE20A3-AB79-4404-94AA-4087982655A2}">
    <text>Corrected.</text>
  </threadedComment>
  <threadedComment ref="AH886" dT="2023-12-12T13:44:22.93" personId="{E08A2389-F34B-466D-8AA1-6ADBBDF0F7BF}" id="{DF680FF4-2CE6-4830-9CE6-26F786D36656}" done="1">
    <text>26,730 slightly changes calculated rate.</text>
  </threadedComment>
  <threadedComment ref="AH886" dT="2023-12-14T16:39:01.15" personId="{3DE5673D-4837-4FC9-B8B9-34243175713A}" id="{495C5BE6-3D73-4EBF-822E-5A1A3D72092A}" parentId="{DF680FF4-2CE6-4830-9CE6-26F786D36656}">
    <text>Corrected.</text>
  </threadedComment>
  <threadedComment ref="V887" dT="2023-12-12T13:41:42.90" personId="{E08A2389-F34B-466D-8AA1-6ADBBDF0F7BF}" id="{D80C826B-0420-4463-B1BC-7F27807DBD0C}" done="1">
    <text>26,730</text>
  </threadedComment>
  <threadedComment ref="V887" dT="2023-12-14T16:36:46.03" personId="{3DE5673D-4837-4FC9-B8B9-34243175713A}" id="{3619EC6A-7555-4238-B81B-DC738524FDD1}" parentId="{D80C826B-0420-4463-B1BC-7F27807DBD0C}">
    <text>Corrected.</text>
  </threadedComment>
  <threadedComment ref="AH887" dT="2023-12-12T13:44:22.93" personId="{E08A2389-F34B-466D-8AA1-6ADBBDF0F7BF}" id="{465E4F45-4BDA-490F-9B7F-726911E3C67D}" done="1">
    <text>26,730 slightly changes calculated rate.</text>
  </threadedComment>
  <threadedComment ref="AH887" dT="2023-12-14T16:39:01.15" personId="{3DE5673D-4837-4FC9-B8B9-34243175713A}" id="{F9CB2560-2675-4B4F-8BC3-57BAA6BC9740}" parentId="{465E4F45-4BDA-490F-9B7F-726911E3C67D}">
    <text>Corrected.</text>
  </threadedComment>
  <threadedComment ref="V888" dT="2023-12-12T13:41:42.90" personId="{E08A2389-F34B-466D-8AA1-6ADBBDF0F7BF}" id="{50271152-1235-4564-AD2A-9E9374639A09}" done="1">
    <text>26,730</text>
  </threadedComment>
  <threadedComment ref="V888" dT="2023-12-14T16:36:46.03" personId="{3DE5673D-4837-4FC9-B8B9-34243175713A}" id="{85E7353D-F0F8-4E8A-AC93-CDE4AA9E3DCD}" parentId="{50271152-1235-4564-AD2A-9E9374639A09}">
    <text>Corrected.</text>
  </threadedComment>
  <threadedComment ref="AH888" dT="2023-12-12T13:44:22.93" personId="{E08A2389-F34B-466D-8AA1-6ADBBDF0F7BF}" id="{D450DD31-45F0-4243-A17F-03D1BED66E5C}" done="1">
    <text>26,730 slightly changes calculated rate.</text>
  </threadedComment>
  <threadedComment ref="AH888" dT="2023-12-14T16:39:01.15" personId="{3DE5673D-4837-4FC9-B8B9-34243175713A}" id="{66825342-FE9C-4ECE-9DCB-D24069AE619E}" parentId="{D450DD31-45F0-4243-A17F-03D1BED66E5C}">
    <text>Corrected.</text>
  </threadedComment>
  <threadedComment ref="V889" dT="2023-12-12T13:41:42.90" personId="{E08A2389-F34B-466D-8AA1-6ADBBDF0F7BF}" id="{18C25C75-AA14-49E4-AFCE-14FA71E1C3C1}" done="1">
    <text>26,730</text>
  </threadedComment>
  <threadedComment ref="V889" dT="2023-12-14T16:36:46.03" personId="{3DE5673D-4837-4FC9-B8B9-34243175713A}" id="{893391C0-4A5E-4CA7-A1D8-CDA3ED909A64}" parentId="{18C25C75-AA14-49E4-AFCE-14FA71E1C3C1}">
    <text>Corrected.</text>
  </threadedComment>
  <threadedComment ref="AH889" dT="2023-12-12T13:44:22.93" personId="{E08A2389-F34B-466D-8AA1-6ADBBDF0F7BF}" id="{EDC294CA-C457-45ED-8AA9-57FC1A390BA2}" done="1">
    <text>26,730 slightly changes calculated rate.</text>
  </threadedComment>
  <threadedComment ref="AH889" dT="2023-12-14T16:39:01.15" personId="{3DE5673D-4837-4FC9-B8B9-34243175713A}" id="{BBB915A9-87EA-4DF2-883C-FED4FDDC4611}" parentId="{EDC294CA-C457-45ED-8AA9-57FC1A390BA2}">
    <text>Corrected.</text>
  </threadedComment>
  <threadedComment ref="V890" dT="2023-12-12T13:41:42.90" personId="{E08A2389-F34B-466D-8AA1-6ADBBDF0F7BF}" id="{FFD81E47-3D0F-436E-83AD-E3CAE89FA950}" done="1">
    <text>26,730</text>
  </threadedComment>
  <threadedComment ref="V890" dT="2023-12-14T16:36:46.03" personId="{3DE5673D-4837-4FC9-B8B9-34243175713A}" id="{72092725-5503-4A6E-91F5-BD9E37005A39}" parentId="{FFD81E47-3D0F-436E-83AD-E3CAE89FA950}">
    <text>Corrected.</text>
  </threadedComment>
  <threadedComment ref="AH890" dT="2023-12-12T13:44:22.93" personId="{E08A2389-F34B-466D-8AA1-6ADBBDF0F7BF}" id="{A42EB595-97FD-4183-8BBC-987AD74932FB}" done="1">
    <text>26,730 slightly changes calculated rate.</text>
  </threadedComment>
  <threadedComment ref="AH890" dT="2023-12-14T16:39:01.15" personId="{3DE5673D-4837-4FC9-B8B9-34243175713A}" id="{DAE889E9-B135-45C4-8654-B87712E52434}" parentId="{A42EB595-97FD-4183-8BBC-987AD74932FB}">
    <text>Corrected.</text>
  </threadedComment>
  <threadedComment ref="V891" dT="2023-12-12T13:41:42.90" personId="{E08A2389-F34B-466D-8AA1-6ADBBDF0F7BF}" id="{1670F9D6-822B-4884-BB95-22D605B5E01A}" done="1">
    <text>26,730</text>
  </threadedComment>
  <threadedComment ref="V891" dT="2023-12-14T16:36:46.03" personId="{3DE5673D-4837-4FC9-B8B9-34243175713A}" id="{4643ED51-182A-487C-8FF8-D9667610FC6A}" parentId="{1670F9D6-822B-4884-BB95-22D605B5E01A}">
    <text>Corrected.</text>
  </threadedComment>
  <threadedComment ref="AH891" dT="2023-12-12T13:44:22.93" personId="{E08A2389-F34B-466D-8AA1-6ADBBDF0F7BF}" id="{549933FA-2F5C-4FCE-B127-6D816F89B5E5}" done="1">
    <text>26,730 slightly changes calculated rate.</text>
  </threadedComment>
  <threadedComment ref="AH891" dT="2023-12-14T16:39:01.15" personId="{3DE5673D-4837-4FC9-B8B9-34243175713A}" id="{7D04C961-713F-4BE6-8739-739D0D3121A3}" parentId="{549933FA-2F5C-4FCE-B127-6D816F89B5E5}">
    <text>Corrected.</text>
  </threadedComment>
  <threadedComment ref="AO891" dT="2023-12-12T14:57:31.05" personId="{E08A2389-F34B-466D-8AA1-6ADBBDF0F7BF}" id="{874EB9F7-BACB-4E90-9F97-2F3D08460825}" done="1">
    <text>(5366/26700)*1000 = 200.748</text>
  </threadedComment>
  <threadedComment ref="AT891" dT="2023-06-08T10:03:24.70" personId="{3DE5673D-4837-4FC9-B8B9-34243175713A}" id="{E2ECF6BD-4E66-4AFE-9079-C96276F4CAA7}" done="1">
    <text>Slightly different from reported RR.</text>
  </threadedComment>
  <threadedComment ref="AT891" dT="2023-12-12T14:59:39.94" personId="{E08A2389-F34B-466D-8AA1-6ADBBDF0F7BF}" id="{BF2DDF32-3469-46CC-9717-1553C7B13DFB}" parentId="{E2ECF6BD-4E66-4AFE-9079-C96276F4CAA7}">
    <text>Looks like rounding.
196.579/200.748 = 0.979</text>
  </threadedComment>
  <threadedComment ref="V892" dT="2023-12-12T13:41:42.90" personId="{E08A2389-F34B-466D-8AA1-6ADBBDF0F7BF}" id="{655E7A7A-5467-489B-9D01-1B56D1A27082}" done="1">
    <text>26,730</text>
  </threadedComment>
  <threadedComment ref="V892" dT="2023-12-14T16:36:46.03" personId="{3DE5673D-4837-4FC9-B8B9-34243175713A}" id="{B6BFCEA3-287D-43AA-86B9-9EA800DF11A7}" parentId="{655E7A7A-5467-489B-9D01-1B56D1A27082}">
    <text>Corrected.</text>
  </threadedComment>
  <threadedComment ref="AH892" dT="2023-12-12T13:44:22.93" personId="{E08A2389-F34B-466D-8AA1-6ADBBDF0F7BF}" id="{8BA65634-9F54-4AFA-9BE8-BA8E67AE747B}" done="1">
    <text>26,730 slightly changes calculated rate.</text>
  </threadedComment>
  <threadedComment ref="AH892" dT="2023-12-14T16:39:01.15" personId="{3DE5673D-4837-4FC9-B8B9-34243175713A}" id="{2A2C9509-BF88-47C2-8DDB-4BA2B5DB71FD}" parentId="{8BA65634-9F54-4AFA-9BE8-BA8E67AE747B}">
    <text>Corrected.</text>
  </threadedComment>
  <threadedComment ref="AO892" dT="2023-12-12T15:04:54.12" personId="{E08A2389-F34B-466D-8AA1-6ADBBDF0F7BF}" id="{C8FF6DEB-E4B2-4C1E-97F6-39303E2AC62A}" done="1">
    <text>13.84212
370*1000/26730</text>
  </threadedComment>
  <threadedComment ref="V893" dT="2023-12-12T13:41:42.90" personId="{E08A2389-F34B-466D-8AA1-6ADBBDF0F7BF}" id="{BEA80506-A253-430F-9690-F925903FA88D}" done="1">
    <text>26,730</text>
  </threadedComment>
  <threadedComment ref="V893" dT="2023-12-14T16:36:46.03" personId="{3DE5673D-4837-4FC9-B8B9-34243175713A}" id="{068194DB-6A55-4350-9B51-729730747D9F}" parentId="{BEA80506-A253-430F-9690-F925903FA88D}">
    <text>Corrected.</text>
  </threadedComment>
  <threadedComment ref="AH893" dT="2023-12-12T13:44:22.93" personId="{E08A2389-F34B-466D-8AA1-6ADBBDF0F7BF}" id="{2C940CD4-EF77-4401-954B-00DF0D37E685}" done="1">
    <text>26,730 slightly changes calculated rate.</text>
  </threadedComment>
  <threadedComment ref="AH893" dT="2023-12-14T16:39:01.15" personId="{3DE5673D-4837-4FC9-B8B9-34243175713A}" id="{C7774CD1-E6F9-44EC-95FF-11AA7609B0AB}" parentId="{2C940CD4-EF77-4401-954B-00DF0D37E685}">
    <text>Corrected.</text>
  </threadedComment>
  <threadedComment ref="AO893" dT="2023-12-12T15:06:03.85" personId="{E08A2389-F34B-466D-8AA1-6ADBBDF0F7BF}" id="{8F997C76-D416-4A0F-B3B1-9ABCF330D719}" done="1">
    <text>15.974
427*1000/26730</text>
  </threadedComment>
  <threadedComment ref="V894" dT="2023-12-12T13:41:42.90" personId="{E08A2389-F34B-466D-8AA1-6ADBBDF0F7BF}" id="{0BBE73DE-4054-4213-9915-E3F2A294F920}" done="1">
    <text>26,730</text>
  </threadedComment>
  <threadedComment ref="V894" dT="2023-12-14T16:36:46.03" personId="{3DE5673D-4837-4FC9-B8B9-34243175713A}" id="{513135F8-41A4-432F-9585-7B2D46F08965}" parentId="{0BBE73DE-4054-4213-9915-E3F2A294F920}">
    <text>Corrected.</text>
  </threadedComment>
  <threadedComment ref="AH894" dT="2023-12-12T13:44:22.93" personId="{E08A2389-F34B-466D-8AA1-6ADBBDF0F7BF}" id="{7A2FF8BA-0E94-406C-A19F-1CB8A6DE6ECC}" done="1">
    <text>26,730 slightly changes calculated rate.</text>
  </threadedComment>
  <threadedComment ref="AH894" dT="2023-12-14T16:39:01.15" personId="{3DE5673D-4837-4FC9-B8B9-34243175713A}" id="{A6108667-BA41-4F09-B989-43E4B04A8238}" parentId="{7A2FF8BA-0E94-406C-A19F-1CB8A6DE6ECC}">
    <text>Corrected.</text>
  </threadedComment>
  <threadedComment ref="AO894" dT="2023-12-12T15:06:38.95" personId="{E08A2389-F34B-466D-8AA1-6ADBBDF0F7BF}" id="{F408B04A-BB19-4BCC-B884-42881A5E3B55}" done="1">
    <text xml:space="preserve">18.369
491*1000/26730	</text>
  </threadedComment>
  <threadedComment ref="V895" dT="2023-12-12T13:41:42.90" personId="{E08A2389-F34B-466D-8AA1-6ADBBDF0F7BF}" id="{ADFF9200-53EC-4700-AB3E-824B7732B0C1}" done="1">
    <text>26,730</text>
  </threadedComment>
  <threadedComment ref="V895" dT="2023-12-14T16:36:46.03" personId="{3DE5673D-4837-4FC9-B8B9-34243175713A}" id="{3C426076-03B7-4972-B51E-9AD70D364F90}" parentId="{ADFF9200-53EC-4700-AB3E-824B7732B0C1}">
    <text>Corrected.</text>
  </threadedComment>
  <threadedComment ref="AH895" dT="2023-12-12T13:44:22.93" personId="{E08A2389-F34B-466D-8AA1-6ADBBDF0F7BF}" id="{126AE37D-11C7-45E9-A8FF-DA33CAC6FAF2}" done="1">
    <text>26,730 slightly changes calculated rate.</text>
  </threadedComment>
  <threadedComment ref="AH895" dT="2023-12-14T16:39:01.15" personId="{3DE5673D-4837-4FC9-B8B9-34243175713A}" id="{C4FCAA62-4C76-4CBD-A37A-F51A0EA3B8D7}" parentId="{126AE37D-11C7-45E9-A8FF-DA33CAC6FAF2}">
    <text>Corrected.</text>
  </threadedComment>
  <threadedComment ref="AO895" dT="2023-12-12T15:07:08.12" personId="{E08A2389-F34B-466D-8AA1-6ADBBDF0F7BF}" id="{E418E91F-0C80-41C5-ACBB-F70B7134EB20}" done="1">
    <text xml:space="preserve">20.576
550*1000/26730	</text>
  </threadedComment>
  <threadedComment ref="V896" dT="2023-12-12T13:41:42.90" personId="{E08A2389-F34B-466D-8AA1-6ADBBDF0F7BF}" id="{516802F7-69F4-46BB-B5F1-5B7AAAF1BA96}" done="1">
    <text>26,730</text>
  </threadedComment>
  <threadedComment ref="V896" dT="2023-12-14T16:36:46.03" personId="{3DE5673D-4837-4FC9-B8B9-34243175713A}" id="{3C36B958-664E-4D7B-A397-ECD341653F45}" parentId="{516802F7-69F4-46BB-B5F1-5B7AAAF1BA96}">
    <text>Corrected.</text>
  </threadedComment>
  <threadedComment ref="AH896" dT="2023-12-12T13:44:22.93" personId="{E08A2389-F34B-466D-8AA1-6ADBBDF0F7BF}" id="{81E8CD70-0129-4369-8CA7-966EBEAE1995}" done="1">
    <text>26,730 slightly changes calculated rate.</text>
  </threadedComment>
  <threadedComment ref="AH896" dT="2023-12-14T16:39:01.15" personId="{3DE5673D-4837-4FC9-B8B9-34243175713A}" id="{068FC6D3-F017-4E1A-BF5B-70DD560C46F2}" parentId="{81E8CD70-0129-4369-8CA7-966EBEAE1995}">
    <text>Corrected.</text>
  </threadedComment>
  <threadedComment ref="AO896" dT="2023-12-12T15:08:09.04" personId="{E08A2389-F34B-466D-8AA1-6ADBBDF0F7BF}" id="{9942E1B5-AFA8-412C-9113-96465F6B5AA1}" done="1">
    <text xml:space="preserve">22.447
600*1000/26730	</text>
  </threadedComment>
  <threadedComment ref="A897" dT="2023-06-08T09:56:10.03" personId="{3DE5673D-4837-4FC9-B8B9-34243175713A}" id="{E2D8EFEA-57D8-41EE-8CC5-4BD619CEC5E4}" done="1">
    <text>Can be also calculated from #398, but here, more data are reported, e.g. RR and 95% CI.</text>
  </threadedComment>
  <threadedComment ref="A897" dT="2023-12-12T15:10:52.64" personId="{E08A2389-F34B-466D-8AA1-6ADBBDF0F7BF}" id="{AB4ABC28-27C6-4AE3-AF97-9E20349644A5}" parentId="{E2D8EFEA-57D8-41EE-8CC5-4BD619CEC5E4}">
    <text>Yes, but there are slightly people in the comparator arm in this paper.</text>
  </threadedComment>
  <threadedComment ref="A897" dT="2023-12-14T16:37:56.84" personId="{3DE5673D-4837-4FC9-B8B9-34243175713A}" id="{FDE5795A-358D-41B8-A581-F6505F9E02F6}" parentId="{E2D8EFEA-57D8-41EE-8CC5-4BD619CEC5E4}">
    <text>Agree.</text>
  </threadedComment>
  <threadedComment ref="V897" dT="2023-12-12T13:41:42.90" personId="{E08A2389-F34B-466D-8AA1-6ADBBDF0F7BF}" id="{1A56EFED-71FD-447A-A05D-3F18F7BA7BA6}" done="1">
    <text>26,730</text>
  </threadedComment>
  <threadedComment ref="V897" dT="2023-12-14T16:36:46.03" personId="{3DE5673D-4837-4FC9-B8B9-34243175713A}" id="{07BE9805-48D0-43D5-B3F5-FE3B24173AE1}" parentId="{1A56EFED-71FD-447A-A05D-3F18F7BA7BA6}">
    <text>Corrected.</text>
  </threadedComment>
  <threadedComment ref="AH897" dT="2023-12-12T13:44:22.93" personId="{E08A2389-F34B-466D-8AA1-6ADBBDF0F7BF}" id="{B5C9F67E-9D81-4E0A-B4E2-7F98343E2588}" done="1">
    <text>26,730 slightly changes calculated rate.</text>
  </threadedComment>
  <threadedComment ref="AH897" dT="2023-12-14T16:39:01.15" personId="{3DE5673D-4837-4FC9-B8B9-34243175713A}" id="{240D7BAC-01FB-40DA-90E3-950AFCB676CA}" parentId="{B5C9F67E-9D81-4E0A-B4E2-7F98343E2588}">
    <text>Corrected.</text>
  </threadedComment>
  <threadedComment ref="AO897" dT="2023-12-12T15:20:56.53" personId="{E08A2389-F34B-466D-8AA1-6ADBBDF0F7BF}" id="{DEE8F10B-83AD-4E91-A674-13158AD8E885}" done="1">
    <text xml:space="preserve">Slightly diff.
443*1000/26730 = 16.573
</text>
  </threadedComment>
  <threadedComment ref="A898" dT="2023-06-08T09:56:10.03" personId="{3DE5673D-4837-4FC9-B8B9-34243175713A}" id="{265EDFF3-57E7-48E9-AB5A-FE97FFE63062}" done="1">
    <text>Can be also calculated from #398, but here, more data are reported, e.g. RR and 95% CI.</text>
  </threadedComment>
  <threadedComment ref="A898" dT="2023-12-12T15:10:52.64" personId="{E08A2389-F34B-466D-8AA1-6ADBBDF0F7BF}" id="{962448D7-1A75-46CA-9E3E-C55ED7BE7FE2}" parentId="{265EDFF3-57E7-48E9-AB5A-FE97FFE63062}">
    <text>Yes, but there are slightly people in the comparator arm in this paper.</text>
  </threadedComment>
  <threadedComment ref="A898" dT="2023-12-14T16:37:56.84" personId="{3DE5673D-4837-4FC9-B8B9-34243175713A}" id="{61959802-CD93-408A-94FA-246F79B6EEEB}" parentId="{265EDFF3-57E7-48E9-AB5A-FE97FFE63062}">
    <text>Agree.</text>
  </threadedComment>
  <threadedComment ref="V898" dT="2023-12-12T13:41:42.90" personId="{E08A2389-F34B-466D-8AA1-6ADBBDF0F7BF}" id="{8F6F0426-1FA4-43D6-BDF0-EFFFA4CE6465}" done="1">
    <text>26,730</text>
  </threadedComment>
  <threadedComment ref="V898" dT="2023-12-14T16:36:46.03" personId="{3DE5673D-4837-4FC9-B8B9-34243175713A}" id="{D19F8011-7F8C-4C9C-9C36-00E3059A227E}" parentId="{8F6F0426-1FA4-43D6-BDF0-EFFFA4CE6465}">
    <text>Corrected.</text>
  </threadedComment>
  <threadedComment ref="AH898" dT="2023-12-12T13:44:22.93" personId="{E08A2389-F34B-466D-8AA1-6ADBBDF0F7BF}" id="{F107EAAA-4950-4467-8F93-2F058CEF5DCC}" done="1">
    <text>26,730 slightly changes calculated rate.</text>
  </threadedComment>
  <threadedComment ref="AH898" dT="2023-12-14T16:39:01.15" personId="{3DE5673D-4837-4FC9-B8B9-34243175713A}" id="{9E5F5FCA-CA74-4408-A715-75EA55EB7F71}" parentId="{F107EAAA-4950-4467-8F93-2F058CEF5DCC}">
    <text>Corrected.</text>
  </threadedComment>
  <threadedComment ref="AO898" dT="2023-12-12T15:21:23.92" personId="{E08A2389-F34B-466D-8AA1-6ADBBDF0F7BF}" id="{EB14B8F9-3072-44FB-8978-F027C528C650}" done="1">
    <text>Slightly diff.
552*1000/26730 = 20.651</text>
  </threadedComment>
  <threadedComment ref="AT898" dT="2023-06-08T10:03:38.06" personId="{3DE5673D-4837-4FC9-B8B9-34243175713A}" id="{286C14BF-9C2C-4C11-A050-5F3C9BB0CD93}" done="1">
    <text>Slightly different from reported RR.</text>
  </threadedComment>
  <threadedComment ref="AT898" dT="2023-12-12T15:22:28.50" personId="{E08A2389-F34B-466D-8AA1-6ADBBDF0F7BF}" id="{8F9B185B-E56E-4F0C-9A71-0F0383CD43F0}" parentId="{286C14BF-9C2C-4C11-A050-5F3C9BB0CD93}">
    <text>I make it the same as you, 0.85. Assume it's to do with rounding.</text>
  </threadedComment>
  <threadedComment ref="AT900" dT="2023-06-08T10:03:17.72" personId="{3DE5673D-4837-4FC9-B8B9-34243175713A}" id="{40B40B61-FD5F-4072-B981-A31EE233CE35}" done="1">
    <text>Slightly different from reported RR.</text>
  </threadedComment>
  <threadedComment ref="AT900" dT="2023-12-12T15:27:24.31" personId="{E08A2389-F34B-466D-8AA1-6ADBBDF0F7BF}" id="{E57DF058-4838-4304-BC12-3BBA2E694443}" parentId="{40B40B61-FD5F-4072-B981-A31EE233CE35}">
    <text>I agree with you. Rounding error?</text>
  </threadedComment>
  <threadedComment ref="AT903" dT="2023-06-08T11:19:00.04" personId="{3DE5673D-4837-4FC9-B8B9-34243175713A}" id="{FDA0D6D5-C528-44DC-AE4A-04E684BB4620}" done="1">
    <text>Slightly different from reported rate.</text>
  </threadedComment>
  <threadedComment ref="AT903" dT="2023-12-12T15:35:18.31" personId="{E08A2389-F34B-466D-8AA1-6ADBBDF0F7BF}" id="{15D24ACF-AD99-4CFB-A883-91CA5F6DA9EF}" parentId="{FDA0D6D5-C528-44DC-AE4A-04E684BB4620}">
    <text>Suspect rounding</text>
  </threadedComment>
  <threadedComment ref="AT904" dT="2023-06-08T11:19:05.06" personId="{3DE5673D-4837-4FC9-B8B9-34243175713A}" id="{D1D8DE76-9C19-463F-9593-1B546100FAF2}" done="1">
    <text>Slightly different from reported rate.</text>
  </threadedComment>
  <threadedComment ref="AT904" dT="2023-12-12T15:35:24.95" personId="{E08A2389-F34B-466D-8AA1-6ADBBDF0F7BF}" id="{2E9A5F6D-F8C0-44FC-96F3-60CE2F5C9AB4}" parentId="{D1D8DE76-9C19-463F-9593-1B546100FAF2}">
    <text>Suspect rounding</text>
  </threadedComment>
  <threadedComment ref="R910" dT="2024-01-19T10:47:02.10" personId="{E331BB74-BBA0-4486-A922-69CA2C388022}" id="{C8CD8A10-ABC7-4B4A-8A1D-635FAF7E90A7}" done="1">
    <text>"six (range five to seven) years for mortality from colorectal cancer", is it the same for all-cause mortality?</text>
  </threadedComment>
  <threadedComment ref="R910" dT="2024-01-22T15:11:10.75" personId="{3DE5673D-4837-4FC9-B8B9-34243175713A}" id="{143243D4-8D1A-43B4-B4CB-3250EEA80E98}" parentId="{C8CD8A10-ABC7-4B4A-8A1D-635FAF7E90A7}">
    <text>Yes, I think so.</text>
  </threadedComment>
  <threadedComment ref="F911" dT="2024-01-19T11:43:17.45" personId="{E331BB74-BBA0-4486-A922-69CA2C388022}" id="{1D0EAB31-920F-413B-9E68-834999DC0FE7}" done="1">
    <text>This is different to how we've described in in the paper-level info tab (see my comment on cell 10C of that tab)</text>
  </threadedComment>
  <threadedComment ref="F911" dT="2024-01-22T15:10:30.62" personId="{3DE5673D-4837-4FC9-B8B9-34243175713A}" id="{56188046-EC2C-473A-BE3D-4738A42DD70A}" parentId="{1D0EAB31-920F-413B-9E68-834999DC0FE7}">
    <text>You are right. I have corrected it in the paper-level info tab.</text>
  </threadedComment>
  <threadedComment ref="R911" dT="2024-01-19T17:51:26.70" personId="{E331BB74-BBA0-4486-A922-69CA2C388022}" id="{BA14CB1A-E1CB-4383-9414-102E1A731F59}">
    <text>Did you calculate the means? I couldn't find them in-text</text>
  </threadedComment>
  <threadedComment ref="R911" dT="2024-01-22T15:12:02.55" personId="{3DE5673D-4837-4FC9-B8B9-34243175713A}" id="{F0933C69-B784-4AED-A9D8-DA8E7E584AF7}" parentId="{BA14CB1A-E1CB-4383-9414-102E1A731F59}">
    <text>Yes, I have divided the total number of PY by the number of people.</text>
  </threadedComment>
  <threadedComment ref="R911" dT="2024-01-23T16:08:15.42" personId="{E331BB74-BBA0-4486-A922-69CA2C388022}" id="{47740A3C-CB88-4D08-8741-744499B19785}" parentId="{BA14CB1A-E1CB-4383-9414-102E1A731F59}">
    <text>I see!</text>
  </threadedComment>
  <threadedComment ref="A913" dT="2023-07-04T08:31:04.89" personId="{3DE5673D-4837-4FC9-B8B9-34243175713A}" id="{1A8EBAD6-92AA-4F75-A787-16D7E8569DB6}">
    <text>Also reports CRC mortality by CRC location (distal, proximal), sex (men / women), age group (50-54 / 55-64) and screening modality (FS only vs FS + FOBT), but I have not extracted these data as we don’t have surrogate data for these subgroups.</text>
  </threadedComment>
  <threadedComment ref="A913" dT="2024-01-22T15:29:46.90" personId="{3DE5673D-4837-4FC9-B8B9-34243175713A}" id="{C6527DC0-7E52-4265-BB10-AF4550457A5D}" parentId="{1A8EBAD6-92AA-4F75-A787-16D7E8569DB6}">
    <text>Correction:  we have surrogate data for 55-64 year olds, so have added the mortality data for this subgroup in the row below.</text>
  </threadedComment>
  <threadedComment ref="A924" dT="2023-07-04T08:31:04.89" personId="{3DE5673D-4837-4FC9-B8B9-34243175713A}" id="{C6D85AF9-BBE5-4C9B-BB75-3E366CDC8E78}">
    <text>Also reports CRC mortality by CRC location (distal, proximal), sex (men / women), age group (50-54 / 55-64) and screening modality (FS only vs FS + FOBT), but I have not extracted these data as we don’t have surrogate data for these subgroups.</text>
  </threadedComment>
  <threadedComment ref="A924" dT="2024-01-22T15:29:33.64" personId="{3DE5673D-4837-4FC9-B8B9-34243175713A}" id="{6ED8573E-A793-47E7-A879-AA5FCCB004DA}" parentId="{C6D85AF9-BBE5-4C9B-BB75-3E366CDC8E78}">
    <text>Correction:  we have surrogate data for 55-64 year olds, so have added the mortality data for this subgroup in the row below.</text>
  </threadedComment>
  <threadedComment ref="AE934" dT="2023-07-21T12:02:39.34" personId="{3DE5673D-4837-4FC9-B8B9-34243175713A}" id="{DD18485C-7EC6-4405-8B48-686842890A36}">
    <text>78,708*0.503</text>
  </threadedComment>
  <threadedComment ref="U935" dT="2024-01-23T13:44:50.89" personId="{E331BB74-BBA0-4486-A922-69CA2C388022}" id="{E851D942-FC63-4E9D-B448-532A21BC63A7}" done="1">
    <text>Numbers from Hardcastle 1996</text>
  </threadedComment>
  <threadedComment ref="AE935" dT="2024-01-23T14:02:12.53" personId="{E331BB74-BBA0-4486-A922-69CA2C388022}" id="{A7766A8E-7AD4-45EB-B63F-7B24244991E3}" done="1">
    <text>50.3% of 78,708</text>
  </threadedComment>
  <threadedComment ref="AF935" dT="2023-07-21T12:03:11.65" personId="{3DE5673D-4837-4FC9-B8B9-34243175713A}" id="{1FB2DB26-24A3-448B-BB38-5A194D2220C3}" done="1">
    <text>78,708-39,590</text>
  </threadedComment>
  <threadedComment ref="BC935" dT="2024-01-23T14:06:58.68" personId="{E331BB74-BBA0-4486-A922-69CA2C388022}" id="{0E582A86-1AA4-4299-A9E7-775D844C7F8E}" done="1">
    <text>Some numbers from #165</text>
  </threadedComment>
  <threadedComment ref="BC935" dT="2024-01-24T09:10:57.79" personId="{3DE5673D-4837-4FC9-B8B9-34243175713A}" id="{13A62AD4-A089-48D6-A009-19E098BF2A3D}" parentId="{0E582A86-1AA4-4299-A9E7-775D844C7F8E}">
    <text>Added.</text>
  </threadedComment>
  <threadedComment ref="AE936" dT="2023-07-21T12:13:35.14" personId="{3DE5673D-4837-4FC9-B8B9-34243175713A}" id="{F1665807-B677-4335-B010-A41E47E6A524}" done="1">
    <text>2.9% of 39.590.</text>
  </threadedComment>
  <threadedComment ref="AF936" dT="2023-07-21T12:14:02.39" personId="{3DE5673D-4837-4FC9-B8B9-34243175713A}" id="{F26C0D27-780F-41F3-97FB-72F533E43CBD}" done="1">
    <text>3.2% of 39,118</text>
  </threadedComment>
  <threadedComment ref="AS944" dT="2024-01-19T11:56:37.02" personId="{E08A2389-F34B-466D-8AA1-6ADBBDF0F7BF}" id="{2B8E35DE-BBC8-4336-A06F-0D5E3A324305}" done="1">
    <text>agreed</text>
  </threadedComment>
  <threadedComment ref="AU944" dT="2024-01-19T11:56:46.72" personId="{E08A2389-F34B-466D-8AA1-6ADBBDF0F7BF}" id="{AE177BF6-D35D-4DDF-A29B-0FBE6BE77F02}" done="1">
    <text xml:space="preserve">agreed
</text>
  </threadedComment>
  <threadedComment ref="AV944" dT="2024-01-19T11:56:54.03" personId="{E08A2389-F34B-466D-8AA1-6ADBBDF0F7BF}" id="{3A9258AF-7BF7-42A3-9FF3-816FF05D4009}" done="1">
    <text xml:space="preserve">agreed
</text>
  </threadedComment>
  <threadedComment ref="AS945" dT="2024-01-19T11:56:41.28" personId="{E08A2389-F34B-466D-8AA1-6ADBBDF0F7BF}" id="{69D55370-197C-40F8-89E4-4A278B6585C4}" done="1">
    <text xml:space="preserve">agreed
</text>
  </threadedComment>
  <threadedComment ref="AU945" dT="2024-01-19T11:56:50.78" personId="{E08A2389-F34B-466D-8AA1-6ADBBDF0F7BF}" id="{4BE4462F-AC0D-42CA-A319-A41237EBCE9E}" done="1">
    <text xml:space="preserve">agreed
</text>
  </threadedComment>
  <threadedComment ref="AV945" dT="2024-01-19T11:56:57.83" personId="{E08A2389-F34B-466D-8AA1-6ADBBDF0F7BF}" id="{33E22653-B41D-463E-BD4E-956CCEA09F52}" done="1">
    <text xml:space="preserve">agreed
</text>
  </threadedComment>
  <threadedComment ref="AS946" dT="2024-01-19T11:58:14.54" personId="{E08A2389-F34B-466D-8AA1-6ADBBDF0F7BF}" id="{0BE8B6F8-46B8-423B-8C79-194D1FE8A937}" done="1">
    <text xml:space="preserve">agreed
</text>
  </threadedComment>
  <threadedComment ref="AU946" dT="2024-01-19T11:58:30.44" personId="{E08A2389-F34B-466D-8AA1-6ADBBDF0F7BF}" id="{ADA08DEB-3CBB-4457-A157-759277ECAC04}" done="1">
    <text xml:space="preserve">agreed
</text>
  </threadedComment>
  <threadedComment ref="AV946" dT="2024-01-19T11:58:34.71" personId="{E08A2389-F34B-466D-8AA1-6ADBBDF0F7BF}" id="{B0AC5325-397C-4454-98CC-31EAE153241E}" done="1">
    <text xml:space="preserve">agreed
</text>
  </threadedComment>
  <threadedComment ref="AX946" dT="2023-12-20T14:30:28.09" personId="{E08A2389-F34B-466D-8AA1-6ADBBDF0F7BF}" id="{71848F46-061C-4AB4-A47F-4147F3C56A8B}" done="1">
    <text>There is also the age adjusted model (marked with a * in Table 5).
RR 0.90 (0.63, 1.28)</text>
  </threadedComment>
  <threadedComment ref="AX946" dT="2024-01-17T12:28:12.31" personId="{3DE5673D-4837-4FC9-B8B9-34243175713A}" id="{31B15994-CA7C-4985-B491-6780A33BCF48}" parentId="{71848F46-061C-4AB4-A47F-4147F3C56A8B}">
    <text>I have asked Adam about the Mantel-Haenszel procedures, and he said to put it in the "unadjusted" estimate fields. I have done this throughout. Please check.
I have then added the age-adjusted model to the "adjusted" cells.</text>
  </threadedComment>
  <threadedComment ref="AX946" dT="2024-01-19T11:58:53.10" personId="{E08A2389-F34B-466D-8AA1-6ADBBDF0F7BF}" id="{63A0769E-2EF3-4803-B272-B2D985E568DA}" parentId="{71848F46-061C-4AB4-A47F-4147F3C56A8B}">
    <text>done</text>
  </threadedComment>
  <threadedComment ref="AY946" dT="2024-01-19T11:58:59.70" personId="{E08A2389-F34B-466D-8AA1-6ADBBDF0F7BF}" id="{CB9F2535-D734-43BD-B028-FD3128BB340B}" done="1">
    <text xml:space="preserve">agreed
</text>
  </threadedComment>
  <threadedComment ref="AZ946" dT="2024-01-19T11:59:07.29" personId="{E08A2389-F34B-466D-8AA1-6ADBBDF0F7BF}" id="{40EA3CCE-D958-44A7-8DE9-9651D93DEAEE}" done="1">
    <text xml:space="preserve">agreed
</text>
  </threadedComment>
  <threadedComment ref="BA946" dT="2024-01-19T11:59:11.86" personId="{E08A2389-F34B-466D-8AA1-6ADBBDF0F7BF}" id="{9F87B096-2256-4778-8294-1D776D30E66D}" done="1">
    <text xml:space="preserve">agreed
</text>
  </threadedComment>
  <threadedComment ref="AG947" dT="2023-12-20T14:31:26.94" personId="{E08A2389-F34B-466D-8AA1-6ADBBDF0F7BF}" id="{70C0ABDD-FA35-4643-8ACE-770B93878D33}" done="1">
    <text>Table 7 says 534,000</text>
  </threadedComment>
  <threadedComment ref="AG947" dT="2024-01-17T12:24:55.77" personId="{3DE5673D-4837-4FC9-B8B9-34243175713A}" id="{A5C3C8F5-3114-49BC-B063-1BA7380E9CF2}" parentId="{70C0ABDD-FA35-4643-8ACE-770B93878D33}">
    <text>Corrected.</text>
  </threadedComment>
  <threadedComment ref="AK947" dT="2023-12-20T14:32:32.92" personId="{E08A2389-F34B-466D-8AA1-6ADBBDF0F7BF}" id="{8984160F-9457-47DF-8A0B-CAFD30A9D9CF}" done="1">
    <text>8.496 if…
4537*1000/534000</text>
  </threadedComment>
  <threadedComment ref="AK947" dT="2024-01-17T12:25:45.56" personId="{3DE5673D-4837-4FC9-B8B9-34243175713A}" id="{924F9D88-B524-4F1E-B8BE-32DB32ACFED2}" parentId="{8984160F-9457-47DF-8A0B-CAFD30A9D9CF}">
    <text>Agree.</text>
  </threadedComment>
  <threadedComment ref="AS947" dT="2024-01-19T11:59:57.11" personId="{E08A2389-F34B-466D-8AA1-6ADBBDF0F7BF}" id="{B75D8D32-B142-46F7-99FE-0D47DF6FCBE4}" done="1">
    <text xml:space="preserve">agreed
</text>
  </threadedComment>
  <threadedComment ref="AT947" dT="2023-12-20T14:34:07.85" personId="{E08A2389-F34B-466D-8AA1-6ADBBDF0F7BF}" id="{9F7C3D14-1983-4D69-9BE4-E59B9C0A99BD}" done="1">
    <text>0.978 if…
8.496/8.689</text>
  </threadedComment>
  <threadedComment ref="AT947" dT="2024-01-17T12:26:04.45" personId="{3DE5673D-4837-4FC9-B8B9-34243175713A}" id="{F446363C-D47C-4553-9AD2-E25BAC470956}" parentId="{9F7C3D14-1983-4D69-9BE4-E59B9C0A99BD}">
    <text>Agree.</text>
  </threadedComment>
  <threadedComment ref="AU947" dT="2024-01-19T12:00:03.80" personId="{E08A2389-F34B-466D-8AA1-6ADBBDF0F7BF}" id="{3C1EAE27-A92D-4A77-94AC-4D4781A6C56D}" done="1">
    <text xml:space="preserve">agreed
</text>
  </threadedComment>
  <threadedComment ref="AV947" dT="2024-01-19T12:00:07.88" personId="{E08A2389-F34B-466D-8AA1-6ADBBDF0F7BF}" id="{AF579D6D-0ED2-4533-A74F-6E6001F39EB6}" done="1">
    <text xml:space="preserve">agreed
</text>
  </threadedComment>
  <threadedComment ref="AT949" dT="2023-09-12T10:31:44.34" personId="{3DE5673D-4837-4FC9-B8B9-34243175713A}" id="{1BD204EE-F271-4A5B-A901-7E57EC764A18}" done="1">
    <text>Different to reported RR. Methods say "The significance analysis and the confidence intervals are based on the reasonable assumption that the observed numbers of deaths are Poisson-distributed and that uncertainty in the number of person-years can be neglected."</text>
  </threadedComment>
  <threadedComment ref="AT949" dT="2023-12-20T14:43:40.79" personId="{E08A2389-F34B-466D-8AA1-6ADBBDF0F7BF}" id="{B54CFEDC-9C45-4422-BBE0-74785D7788A6}" parentId="{1BD204EE-F271-4A5B-A901-7E57EC764A18}">
    <text>Need a statistician to confirm if this is (potential) cause of difference.</text>
  </threadedComment>
  <threadedComment ref="AT949" dT="2024-01-17T12:40:39.71" personId="{3DE5673D-4837-4FC9-B8B9-34243175713A}" id="{9CAB2514-831C-4B31-9395-45D0EF62E952}" parentId="{1BD204EE-F271-4A5B-A901-7E57EC764A18}">
    <text>Added issue to "Notes" field.</text>
  </threadedComment>
  <threadedComment ref="AT950" dT="2023-09-12T10:31:44.34" personId="{3DE5673D-4837-4FC9-B8B9-34243175713A}" id="{E27DCCE0-2BC4-4CE6-8320-90485FE30EB6}" done="1">
    <text>Different to reported RR. Methods say "The significance analysis and the confidence intervals are based on the reasonable assumption that the observed numbers of deaths are Poisson-distributed and that uncertainty in the number of person-years can be neglected."</text>
  </threadedComment>
  <threadedComment ref="AT950" dT="2023-12-20T14:43:44.05" personId="{E08A2389-F34B-466D-8AA1-6ADBBDF0F7BF}" id="{DF5C2A87-70EE-49FB-8D78-0091CB462C9F}" parentId="{E27DCCE0-2BC4-4CE6-8320-90485FE30EB6}">
    <text xml:space="preserve">Need a statistician to confirm if this is (potential) cause of difference.
</text>
  </threadedComment>
  <threadedComment ref="AT950" dT="2024-01-17T12:40:56.29" personId="{3DE5673D-4837-4FC9-B8B9-34243175713A}" id="{D5053AED-9182-415D-86D5-35B8B419C28C}" parentId="{E27DCCE0-2BC4-4CE6-8320-90485FE30EB6}">
    <text>Added issue to "Notes" field.</text>
  </threadedComment>
  <threadedComment ref="A953" dT="2023-09-12T12:03:55.80" personId="{3DE5673D-4837-4FC9-B8B9-34243175713A}" id="{5DA2F81A-FAF7-4621-B45F-77452E98982E}" done="1">
    <text>Figure 4 also reports relative risks of death from BC in 5-year age groups with corresponding 95% Cis, but no number of events reported. Not extracted.</text>
  </threadedComment>
  <threadedComment ref="A953" dT="2023-12-20T14:48:17.72" personId="{E08A2389-F34B-466D-8AA1-6ADBBDF0F7BF}" id="{86E4587A-BE93-40AA-9410-401281BBD25E}" parentId="{5DA2F81A-FAF7-4621-B45F-77452E98982E}">
    <text>Is that consistent with the other extract? I have a vague memory of extracting just RR before, but can't find it.</text>
  </threadedComment>
  <threadedComment ref="A953" dT="2024-01-17T12:21:58.08" personId="{3DE5673D-4837-4FC9-B8B9-34243175713A}" id="{EE55782F-FF29-411F-BE88-9FDD9E5AAA01}" parentId="{5DA2F81A-FAF7-4621-B45F-77452E98982E}">
    <text>Not sure now. Think we have extracted it before. But as we have no surrogate data for these 5-year age groups, is it worth extracting them?</text>
  </threadedComment>
  <threadedComment ref="A953" dT="2024-01-19T12:02:03.09" personId="{E08A2389-F34B-466D-8AA1-6ADBBDF0F7BF}" id="{42C49B6C-B149-4598-A9E6-8C59501C1D0E}" parentId="{5DA2F81A-FAF7-4621-B45F-77452E98982E}">
    <text>Ah yes. I don't think we need to extract if there are no surrogate data.</text>
  </threadedComment>
  <threadedComment ref="AS954" dT="2024-01-19T12:03:10.42" personId="{E08A2389-F34B-466D-8AA1-6ADBBDF0F7BF}" id="{ED26DB35-5B03-4AC6-BF59-EA1B19E189C9}" done="1">
    <text xml:space="preserve">agreed
</text>
  </threadedComment>
  <threadedComment ref="AU954" dT="2024-01-19T12:03:36.15" personId="{E08A2389-F34B-466D-8AA1-6ADBBDF0F7BF}" id="{D292FF14-04DD-4B25-BA6C-6A877F6F7298}" done="1">
    <text xml:space="preserve">agreed
</text>
  </threadedComment>
  <threadedComment ref="AV954" dT="2024-01-19T12:03:41.11" personId="{E08A2389-F34B-466D-8AA1-6ADBBDF0F7BF}" id="{DC9BFF9C-5174-479E-BCA6-D074E1638309}" done="1">
    <text xml:space="preserve">agreed
</text>
  </threadedComment>
  <threadedComment ref="AX956" dT="2023-12-20T14:56:06.49" personId="{E08A2389-F34B-466D-8AA1-6ADBBDF0F7BF}" id="{AA94B21F-3BAA-4010-B51F-BD558FD8335F}" done="1">
    <text>And "Including breast cancer deaths not reported to the cancer registry."</text>
  </threadedComment>
  <threadedComment ref="AS957" dT="2024-01-19T12:04:33.91" personId="{E08A2389-F34B-466D-8AA1-6ADBBDF0F7BF}" id="{6F1D865E-02D8-4B96-831B-4675897F748A}" done="1">
    <text xml:space="preserve">agreed
</text>
  </threadedComment>
  <threadedComment ref="AU957" dT="2024-01-19T12:04:37.36" personId="{E08A2389-F34B-466D-8AA1-6ADBBDF0F7BF}" id="{67E6AA3A-E4B9-4EC7-875A-6C599922AA54}" done="1">
    <text xml:space="preserve">agreed
</text>
  </threadedComment>
  <threadedComment ref="AV957" dT="2024-01-19T12:04:41.41" personId="{E08A2389-F34B-466D-8AA1-6ADBBDF0F7BF}" id="{05844995-BD44-46C6-BD48-5B743FA5D62F}" done="1">
    <text xml:space="preserve">agreed
</text>
  </threadedComment>
  <threadedComment ref="AC960" dT="2024-01-23T12:30:40.82" personId="{3DE5673D-4837-4FC9-B8B9-34243175713A}" id="{9A12A6FA-F5E1-4652-9E42-0E30283377DC}" done="1">
    <text>Clarified.</text>
  </threadedComment>
  <threadedComment ref="AJ960" dT="2024-01-22T16:31:01.89" personId="{E331BB74-BBA0-4486-A922-69CA2C388022}" id="{7444D70A-ADC2-4030-B85C-DABE4F6F58B7}">
    <text>0.25 (1/400)</text>
  </threadedComment>
  <threadedComment ref="AJ960" dT="2024-01-23T12:17:54.30" personId="{3DE5673D-4837-4FC9-B8B9-34243175713A}" id="{F44EDDE0-76BC-4B08-B292-A60B2461D563}" parentId="{7444D70A-ADC2-4030-B85C-DABE4F6F58B7}">
    <text>Corrected.</text>
  </threadedComment>
  <threadedComment ref="AC961" dT="2024-01-23T12:31:53.10" personId="{3DE5673D-4837-4FC9-B8B9-34243175713A}" id="{9988C9DD-122E-48E3-9CA7-2D29C998F793}" done="1">
    <text>Clarified.</text>
  </threadedComment>
  <threadedComment ref="AJ961" dT="2024-01-22T16:31:01.89" personId="{E331BB74-BBA0-4486-A922-69CA2C388022}" id="{7932FD75-07EC-4833-84A3-C34DE5F356C0}">
    <text>0.25 (1/400)</text>
  </threadedComment>
  <threadedComment ref="AJ961" dT="2024-01-23T12:17:54.30" personId="{3DE5673D-4837-4FC9-B8B9-34243175713A}" id="{B305FC4E-E363-49A7-BDC8-B708CD25D9F5}" parentId="{7932FD75-07EC-4833-84A3-C34DE5F356C0}">
    <text>Corrected.</text>
  </threadedComment>
  <threadedComment ref="A963" dT="2023-07-28T12:55:49.53" personId="{3DE5673D-4837-4FC9-B8B9-34243175713A}" id="{C56452B1-2DEC-4BB7-864C-C1F928CFF524}" done="1">
    <text>From Table III, we could get surrogate 1 and CRC mortality by year. But numbers are so small, I have not extracted it yet. Only extracted data with follow-up until 1995 to exclude the exit screen and until 1994 to match the analysis date for all-cause mortality.</text>
  </threadedComment>
  <threadedComment ref="A964" dT="2023-07-28T12:55:49.53" personId="{3DE5673D-4837-4FC9-B8B9-34243175713A}" id="{5A051F94-A39F-496F-BA88-6A086015EFC4}" done="1">
    <text>From Table III, we could get surrogate 1 and CRC mortality by year. But numbers are so small, I have not extracted it yet. Only extracted data with follow-up until 1995 to exclude the exit screen and until 1994 to match the analysis date for all-cause mortality.</text>
  </threadedComment>
  <threadedComment ref="A965" dT="2023-07-28T12:55:49.53" personId="{3DE5673D-4837-4FC9-B8B9-34243175713A}" id="{9D37E1A1-3232-45E1-84D9-B76F048CB53B}" done="1">
    <text>From Table III, we could get surrogate 1 and CRC mortality by year. But numbers are so small, I have not extracted it yet. Only extracted data with follow-up until 1995 to exclude the exit screen and until 1994 to match the analysis date for all-cause mortality.</text>
  </threadedComment>
  <threadedComment ref="R972" dT="2023-06-09T08:19:32.39" personId="{3DE5673D-4837-4FC9-B8B9-34243175713A}" id="{D2B3DDCB-A79A-4827-8FF4-8BD540D9DDB1}" done="1">
    <text>687215 PY / 55,843???</text>
  </threadedComment>
  <threadedComment ref="R972" dT="2024-01-17T18:06:07.24" personId="{C2B41D37-E765-46A9-9A6C-43C631A30BF3}" id="{B8CED11A-9C33-423B-8C41-A24DD554F708}" parentId="{D2B3DDCB-A79A-4827-8FF4-8BD540D9DDB1}">
    <text>Figure 1: 687215 PYO?</text>
  </threadedComment>
  <threadedComment ref="R972" dT="2024-01-19T10:35:28.93" personId="{3DE5673D-4837-4FC9-B8B9-34243175713A}" id="{5256933A-37B8-4386-93BC-253FEAA7FC41}" parentId="{D2B3DDCB-A79A-4827-8FF4-8BD540D9DDB1}">
    <text>Yes.</text>
  </threadedComment>
  <threadedComment ref="S972" dT="2023-06-09T08:27:55.35" personId="{3DE5673D-4837-4FC9-B8B9-34243175713A}" id="{10B3F0A9-D876-473D-9A27-06A63109FA0C}" done="1">
    <text>734,925 PY / 59447???</text>
  </threadedComment>
  <threadedComment ref="S972" dT="2024-01-17T18:06:45.97" personId="{C2B41D37-E765-46A9-9A6C-43C631A30BF3}" id="{6B0D30FE-9F33-4B18-80C5-6D4463542EF3}" parentId="{10B3F0A9-D876-473D-9A27-06A63109FA0C}">
    <text>734925 PYO?</text>
  </threadedComment>
  <threadedComment ref="S972" dT="2024-01-19T10:36:06.40" personId="{3DE5673D-4837-4FC9-B8B9-34243175713A}" id="{F90491BA-9BFA-4DF6-A488-F63D1AF6917C}" parentId="{10B3F0A9-D876-473D-9A27-06A63109FA0C}">
    <text>Yes.</text>
  </threadedComment>
  <threadedComment ref="AE972" dT="2023-06-09T09:19:50.30" personId="{3DE5673D-4837-4FC9-B8B9-34243175713A}" id="{52F26587-57EB-4F17-9DA2-A654CA9F0C30}" done="1">
    <text>Figure 1 reports 71?</text>
  </threadedComment>
  <threadedComment ref="AE972" dT="2024-01-17T18:12:54.23" personId="{C2B41D37-E765-46A9-9A6C-43C631A30BF3}" id="{8807BD44-ABD1-462D-AE43-70E2D892E516}" parentId="{52F26587-57EB-4F17-9DA2-A654CA9F0C30}">
    <text>But table 4 agrees with text, I would go with this</text>
  </threadedComment>
  <threadedComment ref="AE972" dT="2024-01-19T10:37:02.33" personId="{3DE5673D-4837-4FC9-B8B9-34243175713A}" id="{52739ADC-E095-4249-A4B6-F77371989373}" parentId="{52F26587-57EB-4F17-9DA2-A654CA9F0C30}">
    <text>Agreed.</text>
  </threadedComment>
  <threadedComment ref="AF972" dT="2023-06-09T09:20:02.95" personId="{3DE5673D-4837-4FC9-B8B9-34243175713A}" id="{0283CE68-EF36-4C03-ADD4-3A609DB5F19F}" done="1">
    <text>Figure 1 reports 72???</text>
  </threadedComment>
  <threadedComment ref="AJ972" dT="2024-01-17T18:10:32.50" personId="{C2B41D37-E765-46A9-9A6C-43C631A30BF3}" id="{8541E16B-1AC0-4975-BD34-8B861EDC1C3C}" done="1">
    <text>Figure 1 reports 10.3</text>
  </threadedComment>
  <threadedComment ref="AJ972" dT="2024-01-19T10:38:18.30" personId="{3DE5673D-4837-4FC9-B8B9-34243175713A}" id="{E72C2516-8AF6-4904-A692-75BC4A854896}" parentId="{8541E16B-1AC0-4975-BD34-8B861EDC1C3C}">
    <text>Added it to the "Notes" field.</text>
  </threadedComment>
  <threadedComment ref="AN972" dT="2024-01-17T18:11:09.82" personId="{C2B41D37-E765-46A9-9A6C-43C631A30BF3}" id="{F122D27F-30F5-4FE9-AA02-0745DE8BC738}" done="1">
    <text>Figure 1 reports 9.8</text>
  </threadedComment>
  <threadedComment ref="AN972" dT="2024-01-19T10:38:27.48" personId="{3DE5673D-4837-4FC9-B8B9-34243175713A}" id="{CDD41AC4-391B-411D-9CF1-A2CB5E75B704}" parentId="{F122D27F-30F5-4FE9-AA02-0745DE8BC738}">
    <text>Added it to the "Notes" field.</text>
  </threadedComment>
  <threadedComment ref="R973" dT="2023-06-09T08:19:32.39" personId="{3DE5673D-4837-4FC9-B8B9-34243175713A}" id="{17748F79-1762-412E-B839-496C41C7BBA8}" done="1">
    <text>687215 PY / 55,843???</text>
  </threadedComment>
  <threadedComment ref="R973" dT="2024-01-17T18:06:07.24" personId="{C2B41D37-E765-46A9-9A6C-43C631A30BF3}" id="{9CB6FF22-3DBE-456F-9621-02B06453A15C}" parentId="{17748F79-1762-412E-B839-496C41C7BBA8}">
    <text>Figure 1: 687215 PYO?</text>
  </threadedComment>
  <threadedComment ref="R973" dT="2024-01-19T10:35:28.93" personId="{3DE5673D-4837-4FC9-B8B9-34243175713A}" id="{C17FBE4C-A4FC-49C6-9634-2B1F7428B1A7}" parentId="{17748F79-1762-412E-B839-496C41C7BBA8}">
    <text>Yes.</text>
  </threadedComment>
  <threadedComment ref="S973" dT="2023-06-09T08:27:55.35" personId="{3DE5673D-4837-4FC9-B8B9-34243175713A}" id="{3BAA3171-E268-4027-879D-C7E548A62273}" done="1">
    <text>734,925 PY / 59447???</text>
  </threadedComment>
  <threadedComment ref="S973" dT="2024-01-17T18:06:45.97" personId="{C2B41D37-E765-46A9-9A6C-43C631A30BF3}" id="{71D6C531-7BF8-4F68-B5DD-EAA5540502A7}" parentId="{3BAA3171-E268-4027-879D-C7E548A62273}">
    <text>734925 PYO?</text>
  </threadedComment>
  <threadedComment ref="S973" dT="2024-01-19T10:36:06.40" personId="{3DE5673D-4837-4FC9-B8B9-34243175713A}" id="{7B49A2A1-549A-46C9-B4F8-634FC9DF5F99}" parentId="{3BAA3171-E268-4027-879D-C7E548A62273}">
    <text>Yes.</text>
  </threadedComment>
  <threadedComment ref="AE973" dT="2023-06-09T09:19:50.30" personId="{3DE5673D-4837-4FC9-B8B9-34243175713A}" id="{40FD9A22-9AB3-4846-BB38-961E84CD3F62}" done="1">
    <text>Figure 1 reports 71?</text>
  </threadedComment>
  <threadedComment ref="AE973" dT="2024-01-17T18:12:54.23" personId="{C2B41D37-E765-46A9-9A6C-43C631A30BF3}" id="{2D7FF6E4-6034-481F-8201-786FE0096C20}" parentId="{40FD9A22-9AB3-4846-BB38-961E84CD3F62}">
    <text>But table 4 agrees with text, I would go with this</text>
  </threadedComment>
  <threadedComment ref="AE973" dT="2024-01-19T10:37:02.33" personId="{3DE5673D-4837-4FC9-B8B9-34243175713A}" id="{A52E4025-DF41-4A93-8313-4B9970B96EC6}" parentId="{40FD9A22-9AB3-4846-BB38-961E84CD3F62}">
    <text>Agreed.</text>
  </threadedComment>
  <threadedComment ref="AF973" dT="2023-06-09T09:20:02.95" personId="{3DE5673D-4837-4FC9-B8B9-34243175713A}" id="{9ABA7D3C-F10A-4117-B8B1-E62D49D659E4}" done="1">
    <text>Figure 1 reports 72???</text>
  </threadedComment>
  <threadedComment ref="R974" dT="2023-06-09T08:19:32.39" personId="{3DE5673D-4837-4FC9-B8B9-34243175713A}" id="{BFAE31C8-8EE5-4209-A630-AE764CBAE911}" done="1">
    <text>687215 PY / 55,843???</text>
  </threadedComment>
  <threadedComment ref="R974" dT="2024-01-17T18:06:07.24" personId="{C2B41D37-E765-46A9-9A6C-43C631A30BF3}" id="{851AEC9F-2513-43D8-B81D-5E1C07EAAC55}" parentId="{BFAE31C8-8EE5-4209-A630-AE764CBAE911}">
    <text>Figure 1: 687215 PYO?</text>
  </threadedComment>
  <threadedComment ref="R974" dT="2024-01-19T10:35:28.93" personId="{3DE5673D-4837-4FC9-B8B9-34243175713A}" id="{D86A7D8A-969A-49DA-8122-202140A433BE}" parentId="{BFAE31C8-8EE5-4209-A630-AE764CBAE911}">
    <text>Yes.</text>
  </threadedComment>
  <threadedComment ref="S974" dT="2023-06-09T08:27:55.35" personId="{3DE5673D-4837-4FC9-B8B9-34243175713A}" id="{395E7226-BEC6-41BB-A732-42B9A3D2C3FF}" done="1">
    <text>734,925 PY / 59447???</text>
  </threadedComment>
  <threadedComment ref="S974" dT="2024-01-17T18:06:45.97" personId="{C2B41D37-E765-46A9-9A6C-43C631A30BF3}" id="{2F702FF2-DAAC-42FF-BD65-0B691F8F8985}" parentId="{395E7226-BEC6-41BB-A732-42B9A3D2C3FF}">
    <text>734925 PYO?</text>
  </threadedComment>
  <threadedComment ref="S974" dT="2024-01-19T10:36:06.40" personId="{3DE5673D-4837-4FC9-B8B9-34243175713A}" id="{6D8128DA-DD99-4FF8-9EBD-6F4EC306A6A4}" parentId="{395E7226-BEC6-41BB-A732-42B9A3D2C3FF}">
    <text>Yes.</text>
  </threadedComment>
  <threadedComment ref="AK974" dT="2023-06-09T09:29:59.14" personId="{3DE5673D-4837-4FC9-B8B9-34243175713A}" id="{738705E7-F799-4814-808E-2A93CABB56CB}" done="1">
    <text>Slightly different to reported value.</text>
  </threadedComment>
  <threadedComment ref="R975" dT="2023-06-09T08:19:32.39" personId="{3DE5673D-4837-4FC9-B8B9-34243175713A}" id="{3A18909F-8395-478F-8B05-CBDA425425D8}" done="1">
    <text>687215 PY / 55,843???</text>
  </threadedComment>
  <threadedComment ref="R975" dT="2024-01-17T18:06:07.24" personId="{C2B41D37-E765-46A9-9A6C-43C631A30BF3}" id="{FBBD6EFD-4113-4858-B9E3-6A7B3D15148A}" parentId="{3A18909F-8395-478F-8B05-CBDA425425D8}">
    <text>Figure 1: 687215 PYO?</text>
  </threadedComment>
  <threadedComment ref="R975" dT="2024-01-19T10:35:28.93" personId="{3DE5673D-4837-4FC9-B8B9-34243175713A}" id="{84E40B51-433A-49AD-A089-7FF0DF312292}" parentId="{3A18909F-8395-478F-8B05-CBDA425425D8}">
    <text>Yes.</text>
  </threadedComment>
  <threadedComment ref="S975" dT="2023-06-09T08:27:55.35" personId="{3DE5673D-4837-4FC9-B8B9-34243175713A}" id="{260A9DA2-B97E-4FFF-AC50-C5D478EFCBEE}" done="1">
    <text>734,925 PY / 59447???</text>
  </threadedComment>
  <threadedComment ref="S975" dT="2024-01-17T18:06:45.97" personId="{C2B41D37-E765-46A9-9A6C-43C631A30BF3}" id="{4090945D-FB09-4CD5-B557-67663B95E7FB}" parentId="{260A9DA2-B97E-4FFF-AC50-C5D478EFCBEE}">
    <text>734925 PYO?</text>
  </threadedComment>
  <threadedComment ref="S975" dT="2024-01-19T10:36:06.40" personId="{3DE5673D-4837-4FC9-B8B9-34243175713A}" id="{C001C769-F2F9-44A1-8964-F0B4256D6386}" parentId="{260A9DA2-B97E-4FFF-AC50-C5D478EFCBEE}">
    <text>Yes.</text>
  </threadedComment>
  <threadedComment ref="AS978" dT="2024-01-24T18:03:52.31" personId="{C2B41D37-E765-46A9-9A6C-43C631A30BF3}" id="{EB3C470B-6FBD-47FB-A5E6-7A316D2FE746}" done="1">
    <text>Table VI?</text>
  </threadedComment>
  <threadedComment ref="AS978" dT="2024-01-26T12:23:46.98" personId="{3DE5673D-4837-4FC9-B8B9-34243175713A}" id="{03EF3976-1382-4F2A-88D6-02F210C0C5AC}" parentId="{EB3C470B-6FBD-47FB-A5E6-7A316D2FE746}">
    <text>Think the reported RR is stratified by age. I have therefore reported it as adjusted estimate.</text>
  </threadedComment>
  <threadedComment ref="AS979" dT="2024-01-24T18:04:00.16" personId="{C2B41D37-E765-46A9-9A6C-43C631A30BF3}" id="{7846A8F2-CB86-4D9D-A8E0-ED584ED1D2CA}">
    <text>Table 6?</text>
  </threadedComment>
  <threadedComment ref="AS979" dT="2024-01-26T12:24:06.20" personId="{3DE5673D-4837-4FC9-B8B9-34243175713A}" id="{EF8ECC50-3EDA-442B-87E5-BA8D196A9207}" parentId="{7846A8F2-CB86-4D9D-A8E0-ED584ED1D2CA}">
    <text>Think the reported RR is stratified by age. I have therefore reported it as adjusted estimate.</text>
  </threadedComment>
  <threadedComment ref="AG980" dT="2024-01-24T18:08:15.06" personId="{C2B41D37-E765-46A9-9A6C-43C631A30BF3}" id="{7DF83278-598C-4EE8-9E70-A7BB591F5876}" done="1">
    <text>19937??</text>
  </threadedComment>
  <threadedComment ref="AG980" dT="2024-01-26T12:31:05.08" personId="{3DE5673D-4837-4FC9-B8B9-34243175713A}" id="{E789AF6B-2D94-46F6-A9E8-57B11068B078}" parentId="{7DF83278-598C-4EE8-9E70-A7BB591F5876}">
    <text>Corrected.</text>
  </threadedComment>
  <threadedComment ref="AS980" dT="2024-01-24T18:11:42.66" personId="{C2B41D37-E765-46A9-9A6C-43C631A30BF3}" id="{4DF5F352-1D27-49A0-BE1E-D7130B02B4D2}">
    <text>Table 7 RR with 95% CI for all year groups combined for both counties??</text>
  </threadedComment>
  <threadedComment ref="AS980" dT="2024-01-26T12:32:46.67" personId="{3DE5673D-4837-4FC9-B8B9-34243175713A}" id="{D9A3688B-F19C-48E4-B009-F3B4B17E1FBD}" parentId="{4DF5F352-1D27-49A0-BE1E-D7130B02B4D2}">
    <text>Think the reported rates are stratified by county and age. I have put them in the adjusted fields.</text>
  </threadedComment>
  <threadedComment ref="AG981" dT="2024-01-24T18:09:00.64" personId="{C2B41D37-E765-46A9-9A6C-43C631A30BF3}" id="{2587FD0E-8A87-4037-950F-D25703EC4EA1}" done="1">
    <text>9625 in table 7?</text>
  </threadedComment>
  <threadedComment ref="AG981" dT="2024-01-26T12:31:29.78" personId="{3DE5673D-4837-4FC9-B8B9-34243175713A}" id="{7DC88B6C-6F36-4D88-818B-A6446B4F6DA2}" parentId="{2587FD0E-8A87-4037-950F-D25703EC4EA1}">
    <text>Corrected.</text>
  </threadedComment>
  <threadedComment ref="AE986" dT="2024-01-24T18:15:29.70" personId="{C2B41D37-E765-46A9-9A6C-43C631A30BF3}" id="{97EEF06C-26B3-416F-82C6-93C168694EC5}" done="1">
    <text xml:space="preserve">I think it's the other way around. A programme would not easily switch position of labels. </text>
  </threadedComment>
  <threadedComment ref="AE986" dT="2024-01-26T12:42:30.52" personId="{3DE5673D-4837-4FC9-B8B9-34243175713A}" id="{B2C60797-097C-4783-8D7D-DA42CB43D98A}" parentId="{97EEF06C-26B3-416F-82C6-93C168694EC5}">
    <text>I think it's correct from Figure 2.</text>
  </threadedComment>
  <threadedComment ref="AS1004" dT="2024-01-22T11:59:55.97" personId="{C2B41D37-E765-46A9-9A6C-43C631A30BF3}" id="{B66306C7-B1CB-41CD-8ACB-5B6967E45DDB}" done="1">
    <text>According to Table 5 they reported relative risks not rate ratios?? Should this move up one row??</text>
  </threadedComment>
  <threadedComment ref="AS1004" dT="2024-01-29T08:28:34.25" personId="{3DE5673D-4837-4FC9-B8B9-34243175713A}" id="{6D169B06-11BC-42A0-8EF1-4D5FE014A916}" parentId="{B66306C7-B1CB-41CD-8ACB-5B6967E45DDB}">
    <text>Not sure - in the "Methods" section they report that "Statistical analysis of mortality was based on Poisson log-linear modelling, using person-years at risk as an offset."</text>
  </threadedComment>
  <threadedComment ref="AS1004" dT="2024-01-29T09:44:58.71" personId="{3DE5673D-4837-4FC9-B8B9-34243175713A}" id="{4B57A086-FEF0-4EA7-B8C7-89339640ACC0}" parentId="{B66306C7-B1CB-41CD-8ACB-5B6967E45DDB}">
    <text>Nefeli agreed to leave as rate ratio.</text>
  </threadedComment>
  <threadedComment ref="AY1004" dT="2024-01-22T11:46:04.93" personId="{C2B41D37-E765-46A9-9A6C-43C631A30BF3}" id="{40C6DF5D-AB7A-4C36-89E2-72AA4D1682FA}" done="1">
    <text>Not reporting adjusted rate for county only as above?? Fine, just wanted to highlight.</text>
  </threadedComment>
  <threadedComment ref="AY1012" dT="2024-01-24T17:41:56.36" personId="{C2B41D37-E765-46A9-9A6C-43C631A30BF3}" id="{011815B6-9FC8-4DF8-88E1-D3EDA2D287A7}" done="1">
    <text>Again, table 6 says RR not ratio?? And for other year groups</text>
  </threadedComment>
  <threadedComment ref="AY1012" dT="2024-01-29T09:45:44.37" personId="{3DE5673D-4837-4FC9-B8B9-34243175713A}" id="{5417DDF7-221E-469D-AB09-2A3919D6AF00}" parentId="{011815B6-9FC8-4DF8-88E1-D3EDA2D287A7}">
    <text>Nefeli agreed to leave as rate ratio.</text>
  </threadedComment>
  <threadedComment ref="AJ1021" dT="2023-09-25T16:00:10.29" personId="{3DE5673D-4837-4FC9-B8B9-34243175713A}" id="{A27B3DF3-53D7-4301-B8DE-305E0261E0C2}" done="1">
    <text>Different to calculated rate???</text>
  </threadedComment>
  <threadedComment ref="AJ1021" dT="2024-01-24T17:35:12.94" personId="{C2B41D37-E765-46A9-9A6C-43C631A30BF3}" id="{4FE47551-8CD2-4372-8C1E-54DBA3B398DA}" parentId="{A27B3DF3-53D7-4301-B8DE-305E0261E0C2}">
    <text>Maybe they used some modelling rather than crude numbers for this??? Even thought the methods say they used person years at risk for mortality analysis?</text>
  </threadedComment>
  <threadedComment ref="AN1021" dT="2023-09-25T16:00:16.66" personId="{3DE5673D-4837-4FC9-B8B9-34243175713A}" id="{E34560BB-0BC8-4373-9147-89CFDA18ACC6}" done="1">
    <text>Different to calculated rate???</text>
  </threadedComment>
  <threadedComment ref="AJ1030" dT="2023-09-25T16:00:10.29" personId="{3DE5673D-4837-4FC9-B8B9-34243175713A}" id="{CD1AE843-FA1A-4206-BC14-69F17B9C232A}" done="1">
    <text>Different to calculated rate???</text>
  </threadedComment>
  <threadedComment ref="AN1030" dT="2023-09-25T16:00:16.66" personId="{3DE5673D-4837-4FC9-B8B9-34243175713A}" id="{29316428-FBD9-40ED-9660-13B8EE8F890F}" done="1">
    <text>Different to calculated rate???</text>
  </threadedComment>
  <threadedComment ref="AJ1039" dT="2023-09-25T16:00:10.29" personId="{3DE5673D-4837-4FC9-B8B9-34243175713A}" id="{6E7CF3A4-4261-4254-B78A-EC3B830B16A5}">
    <text>Different to calculated rate???</text>
  </threadedComment>
  <threadedComment ref="AN1039" dT="2023-09-25T16:00:16.66" personId="{3DE5673D-4837-4FC9-B8B9-34243175713A}" id="{A2E78BA6-158E-4AF8-B32E-BD51F1927F7F}" done="1">
    <text>Different to calculated rate???</text>
  </threadedComment>
  <threadedComment ref="AJ1048" dT="2023-09-25T16:00:10.29" personId="{3DE5673D-4837-4FC9-B8B9-34243175713A}" id="{0B0BBDFC-F46F-4495-BEDD-1D9640511A58}" done="1">
    <text>Different to calculated rate???</text>
  </threadedComment>
  <threadedComment ref="AN1048" dT="2023-09-25T16:00:16.66" personId="{3DE5673D-4837-4FC9-B8B9-34243175713A}" id="{C48EA340-B7AB-426A-A117-6438E86124A2}" done="1">
    <text>Different to calculated rate???</text>
  </threadedComment>
  <threadedComment ref="R1049" dT="2023-09-26T08:56:34.44" personId="{3DE5673D-4837-4FC9-B8B9-34243175713A}" id="{64C206F4-6D53-4062-8B31-DD4A95AABDF0}" done="1">
    <text>Reported in Table 4, but I don't want to waste my time adding it all up.</text>
  </threadedComment>
  <threadedComment ref="S1049" dT="2023-09-26T08:56:34.44" personId="{3DE5673D-4837-4FC9-B8B9-34243175713A}" id="{84C207A3-5BAA-43C7-A8C6-5985A2636F3A}" done="1">
    <text>Reported in Table 4, but I don't want to waste my time adding it all up.</text>
  </threadedComment>
  <threadedComment ref="R1050" dT="2023-09-26T08:56:34.44" personId="{3DE5673D-4837-4FC9-B8B9-34243175713A}" id="{C92922DC-1558-4B5B-929D-4E27D6371008}" done="1">
    <text>Reported in Table 4, but I don't want to waste my time adding it all up.</text>
  </threadedComment>
  <threadedComment ref="S1050" dT="2023-09-26T08:56:34.44" personId="{3DE5673D-4837-4FC9-B8B9-34243175713A}" id="{E609E700-5F7E-4303-8DD9-4D81DD1F141D}" done="1">
    <text>Reported in Table 4, but I don't want to waste my time adding it all up.</text>
  </threadedComment>
  <threadedComment ref="R1051" dT="2023-09-26T08:56:34.44" personId="{3DE5673D-4837-4FC9-B8B9-34243175713A}" id="{EA0901ED-86FF-4C33-9643-D7495C969478}" done="1">
    <text>Reported in Table 4, but I don't want to waste my time adding it all up.</text>
  </threadedComment>
  <threadedComment ref="S1051" dT="2023-09-26T08:56:34.44" personId="{3DE5673D-4837-4FC9-B8B9-34243175713A}" id="{4FA48CAE-EE4F-4D55-A65D-97C32ACC2F4A}" done="1">
    <text>Reported in Table 4, but I don't want to waste my time adding it all up.</text>
  </threadedComment>
  <threadedComment ref="R1052" dT="2023-09-26T08:56:34.44" personId="{3DE5673D-4837-4FC9-B8B9-34243175713A}" id="{172C5437-D6C6-4622-985D-713B7F300385}" done="1">
    <text>Reported in Table 4, but I don't want to waste my time adding it all up.</text>
  </threadedComment>
  <threadedComment ref="S1052" dT="2023-09-26T08:56:34.44" personId="{3DE5673D-4837-4FC9-B8B9-34243175713A}" id="{8A15EB48-A345-4B4E-AEDF-5C4D750A1201}" done="1">
    <text>Reported in Table 4, but I don't want to waste my time adding it all up.</text>
  </threadedComment>
  <threadedComment ref="R1053" dT="2023-09-26T08:56:34.44" personId="{3DE5673D-4837-4FC9-B8B9-34243175713A}" id="{6D9186AB-76AE-4291-AD06-2A66E1623F5F}" done="1">
    <text>Reported in Table 4, but I don't want to waste my time adding it all up.</text>
  </threadedComment>
  <threadedComment ref="S1053" dT="2023-09-26T08:56:34.44" personId="{3DE5673D-4837-4FC9-B8B9-34243175713A}" id="{3DC03A7C-CC6D-4B71-AF2C-7D4BED737C13}" done="1">
    <text>Reported in Table 4, but I don't want to waste my time adding it all up.</text>
  </threadedComment>
  <threadedComment ref="R1054" dT="2023-09-26T08:56:34.44" personId="{3DE5673D-4837-4FC9-B8B9-34243175713A}" id="{58E70895-C569-4169-B340-1B9984A0163B}" done="1">
    <text>Reported in Table 4, but I don't want to waste my time adding it all up.</text>
  </threadedComment>
  <threadedComment ref="S1054" dT="2023-09-26T08:56:34.44" personId="{3DE5673D-4837-4FC9-B8B9-34243175713A}" id="{45774EEF-B658-40AF-A8B7-0C85B74AB371}" done="1">
    <text>Reported in Table 4, but I don't want to waste my time adding it all up.</text>
  </threadedComment>
  <threadedComment ref="R1055" dT="2023-09-26T08:56:34.44" personId="{3DE5673D-4837-4FC9-B8B9-34243175713A}" id="{66272588-E2C6-430E-844A-B5E8F6CCA305}" done="1">
    <text>Reported in Table 4, but I don't want to waste my time adding it all up.</text>
  </threadedComment>
  <threadedComment ref="S1055" dT="2023-09-26T08:56:34.44" personId="{3DE5673D-4837-4FC9-B8B9-34243175713A}" id="{0CA90E8C-CC58-4504-8A7F-EED578EFB150}" done="1">
    <text>Reported in Table 4, but I don't want to waste my time adding it all up.</text>
  </threadedComment>
  <threadedComment ref="R1056" dT="2023-09-26T08:56:34.44" personId="{3DE5673D-4837-4FC9-B8B9-34243175713A}" id="{4EE26314-BB22-449F-A913-55B0D3D54CAF}" done="1">
    <text>Reported in Table 4, but I don't want to waste my time adding it all up.</text>
  </threadedComment>
  <threadedComment ref="S1056" dT="2023-09-26T08:56:34.44" personId="{3DE5673D-4837-4FC9-B8B9-34243175713A}" id="{11B72A17-B722-4F91-9F41-C7E7F08D82A9}" done="1">
    <text>Reported in Table 4, but I don't want to waste my time adding it all up.</text>
  </threadedComment>
  <threadedComment ref="R1057" dT="2023-09-26T08:56:34.44" personId="{3DE5673D-4837-4FC9-B8B9-34243175713A}" id="{7D390976-F107-4679-A9D7-54DC572F47A4}" done="1">
    <text>Reported in Table 4, but I don't want to waste my time adding it all up.</text>
  </threadedComment>
  <threadedComment ref="S1057" dT="2023-09-26T08:56:34.44" personId="{3DE5673D-4837-4FC9-B8B9-34243175713A}" id="{2930FB67-5AEE-42F4-92F9-134D53677FF1}" done="1">
    <text>Reported in Table 4, but I don't want to waste my time adding it all up.</text>
  </threadedComment>
  <threadedComment ref="AJ1066" dT="2023-09-25T16:00:10.29" personId="{3DE5673D-4837-4FC9-B8B9-34243175713A}" id="{6C2F3C5A-C006-4567-A236-B913B51767B9}" done="1">
    <text>Different to calculated rate???</text>
  </threadedComment>
  <threadedComment ref="AN1066" dT="2023-09-25T16:00:16.66" personId="{3DE5673D-4837-4FC9-B8B9-34243175713A}" id="{909B25C9-00A4-4996-B91D-6472EA791AC4}" done="1">
    <text>Different to calculated rate???</text>
  </threadedComment>
  <threadedComment ref="AJ1075" dT="2023-09-25T16:00:10.29" personId="{3DE5673D-4837-4FC9-B8B9-34243175713A}" id="{29FD5A1A-0372-4626-9D55-4A966E1F4157}" done="1">
    <text>Different to calculated rate???</text>
  </threadedComment>
  <threadedComment ref="AN1075" dT="2023-09-25T16:00:16.66" personId="{3DE5673D-4837-4FC9-B8B9-34243175713A}" id="{0C16FDED-704B-4998-8135-769482915ECE}" done="1">
    <text>Different to calculated rate???</text>
  </threadedComment>
  <threadedComment ref="AJ1084" dT="2023-09-25T16:00:10.29" personId="{3DE5673D-4837-4FC9-B8B9-34243175713A}" id="{B5291B1D-D728-42C7-825D-7DE45832A877}" done="1">
    <text>Different to calculated rate???</text>
  </threadedComment>
  <threadedComment ref="AN1084" dT="2023-09-25T16:00:16.66" personId="{3DE5673D-4837-4FC9-B8B9-34243175713A}" id="{774571B0-8CAD-483F-8E64-ADEF9326B4D9}" done="1">
    <text>Different to calculated rate???</text>
  </threadedComment>
  <threadedComment ref="AJ1093" dT="2023-09-25T16:00:10.29" personId="{3DE5673D-4837-4FC9-B8B9-34243175713A}" id="{2863F92B-7BC3-428B-A12D-6953B5AA232E}" done="1">
    <text>Different to calculated rate???</text>
  </threadedComment>
  <threadedComment ref="AN1093" dT="2023-09-25T16:00:16.66" personId="{3DE5673D-4837-4FC9-B8B9-34243175713A}" id="{78D1EA9C-4C48-4A4F-90F2-F18F7B49153A}" done="1">
    <text>Different to calculated rate???</text>
  </threadedComment>
  <threadedComment ref="R1094" dT="2023-09-26T08:56:34.44" personId="{3DE5673D-4837-4FC9-B8B9-34243175713A}" id="{AC059B67-B641-49C4-AA9D-C891016514CD}" done="1">
    <text>Reported in Table 4, but I don't want to waste my time adding it all up.</text>
  </threadedComment>
  <threadedComment ref="S1094" dT="2023-09-26T08:56:34.44" personId="{3DE5673D-4837-4FC9-B8B9-34243175713A}" id="{DEABE74C-8337-466C-823B-9597B54B32D3}" done="1">
    <text>Reported in Table 4, but I don't want to waste my time adding it all up.</text>
  </threadedComment>
  <threadedComment ref="R1095" dT="2023-09-26T08:56:34.44" personId="{3DE5673D-4837-4FC9-B8B9-34243175713A}" id="{D3BEFF57-F71C-468B-A40A-930C4CF19736}" done="1">
    <text>Reported in Table 4, but I don't want to waste my time adding it all up.</text>
  </threadedComment>
  <threadedComment ref="S1095" dT="2023-09-26T08:56:34.44" personId="{3DE5673D-4837-4FC9-B8B9-34243175713A}" id="{D453A07C-2F07-4DA7-BF72-B44DDFEF9185}" done="1">
    <text>Reported in Table 4, but I don't want to waste my time adding it all up.</text>
  </threadedComment>
  <threadedComment ref="R1096" dT="2023-09-26T08:56:34.44" personId="{3DE5673D-4837-4FC9-B8B9-34243175713A}" id="{2474EDC3-1511-4213-8C8F-5CE452D7FDB3}" done="1">
    <text>Reported in Table 4, but I don't want to waste my time adding it all up.</text>
  </threadedComment>
  <threadedComment ref="S1096" dT="2023-09-26T08:56:34.44" personId="{3DE5673D-4837-4FC9-B8B9-34243175713A}" id="{D280D327-5E7D-4393-B976-AE09C4F8F79F}" done="1">
    <text>Reported in Table 4, but I don't want to waste my time adding it all up.</text>
  </threadedComment>
  <threadedComment ref="R1097" dT="2023-09-26T08:56:34.44" personId="{3DE5673D-4837-4FC9-B8B9-34243175713A}" id="{30DEF8EB-4FB6-4E70-ADF5-8068548A219E}" done="1">
    <text>Reported in Table 4, but I don't want to waste my time adding it all up.</text>
  </threadedComment>
  <threadedComment ref="S1097" dT="2023-09-26T08:56:34.44" personId="{3DE5673D-4837-4FC9-B8B9-34243175713A}" id="{6F57F514-3B37-4383-9986-75751F444CEF}" done="1">
    <text>Reported in Table 4, but I don't want to waste my time adding it all up.</text>
  </threadedComment>
  <threadedComment ref="R1098" dT="2023-09-26T08:56:34.44" personId="{3DE5673D-4837-4FC9-B8B9-34243175713A}" id="{3D734E79-9575-4E8A-9D11-6E2CF61844CE}" done="1">
    <text>Reported in Table 4, but I don't want to waste my time adding it all up.</text>
  </threadedComment>
  <threadedComment ref="S1098" dT="2023-09-26T08:56:34.44" personId="{3DE5673D-4837-4FC9-B8B9-34243175713A}" id="{417743F6-D417-4615-BEC9-50E01E7E5496}" done="1">
    <text>Reported in Table 4, but I don't want to waste my time adding it all up.</text>
  </threadedComment>
  <threadedComment ref="R1099" dT="2023-09-26T08:56:34.44" personId="{3DE5673D-4837-4FC9-B8B9-34243175713A}" id="{84307757-9CE2-4F20-B4DC-334B6CED5015}" done="1">
    <text>Reported in Table 4, but I don't want to waste my time adding it all up.</text>
  </threadedComment>
  <threadedComment ref="S1099" dT="2023-09-26T08:56:34.44" personId="{3DE5673D-4837-4FC9-B8B9-34243175713A}" id="{9ABD9EF8-FA79-4D99-95C4-71D67B7E2B5D}" done="1">
    <text>Reported in Table 4, but I don't want to waste my time adding it all up.</text>
  </threadedComment>
  <threadedComment ref="R1100" dT="2023-09-26T08:56:34.44" personId="{3DE5673D-4837-4FC9-B8B9-34243175713A}" id="{D6E4D22F-387C-47E6-A4E5-F3284DF924F2}" done="1">
    <text>Reported in Table 4, but I don't want to waste my time adding it all up.</text>
  </threadedComment>
  <threadedComment ref="S1100" dT="2023-09-26T08:56:34.44" personId="{3DE5673D-4837-4FC9-B8B9-34243175713A}" id="{C3586D1F-541F-4C21-B21A-7FE060C41367}" done="1">
    <text>Reported in Table 4, but I don't want to waste my time adding it all up.</text>
  </threadedComment>
  <threadedComment ref="R1101" dT="2023-09-26T08:56:34.44" personId="{3DE5673D-4837-4FC9-B8B9-34243175713A}" id="{C5819EF4-565C-42CA-B848-822BC8DBC5EA}" done="1">
    <text>Reported in Table 4, but I don't want to waste my time adding it all up.</text>
  </threadedComment>
  <threadedComment ref="S1101" dT="2023-09-26T08:56:34.44" personId="{3DE5673D-4837-4FC9-B8B9-34243175713A}" id="{7FA34D97-0347-4D92-92E6-8F80DA88B63C}" done="1">
    <text>Reported in Table 4, but I don't want to waste my time adding it all up.</text>
  </threadedComment>
  <threadedComment ref="AE1101" dT="2023-09-26T08:48:11.52" personId="{3DE5673D-4837-4FC9-B8B9-34243175713A}" id="{B5C83542-266B-481E-B6EB-6DBEC6C8C7C2}" done="1">
    <text>Table 3, ASP, year 7-8, says 10 BC deaths, but should be 11.</text>
  </threadedComment>
  <threadedComment ref="AE1101" dT="2024-01-24T17:38:37.37" personId="{C2B41D37-E765-46A9-9A6C-43C631A30BF3}" id="{B8520921-99BD-48E8-A661-716C83B45CB1}" parentId="{B5C83542-266B-481E-B6EB-6DBEC6C8C7C2}">
    <text>I agree</text>
  </threadedComment>
  <threadedComment ref="R1102" dT="2023-09-26T08:56:34.44" personId="{3DE5673D-4837-4FC9-B8B9-34243175713A}" id="{DE661865-237B-4DCE-8A59-219DFFC5B2D6}" done="1">
    <text>Reported in Table 4, but I don't want to waste my time adding it all up.</text>
  </threadedComment>
  <threadedComment ref="S1102" dT="2023-09-26T08:56:34.44" personId="{3DE5673D-4837-4FC9-B8B9-34243175713A}" id="{0706D94F-9B65-4FCF-98B6-CEBC56272145}" done="1">
    <text>Reported in Table 4, but I don't want to waste my time adding it all up.</text>
  </threadedComment>
  <threadedComment ref="AE1102" dT="2023-09-26T08:48:16.33" personId="{3DE5673D-4837-4FC9-B8B9-34243175713A}" id="{04342684-A2C2-4AF2-9A91-40399DEC29D8}" done="1">
    <text>Table 3, ASP, year 7-8, says 10 BC deaths, but should be 11.</text>
  </threadedComment>
  <threadedComment ref="A1103" dT="2023-09-26T10:27:06.22" personId="{3DE5673D-4837-4FC9-B8B9-34243175713A}" id="{96C73115-843D-42C8-B22F-FE2C45BEE303}" done="1">
    <text>Also reported for 1-10 years after randomisation (each year of follow-up separately).</text>
  </threadedComment>
  <threadedComment ref="A1105" dT="2023-09-26T10:27:06.22" personId="{3DE5673D-4837-4FC9-B8B9-34243175713A}" id="{796EDD1B-CE60-4B7D-92F9-97C0BAF29DB3}" done="1">
    <text>Also reported for 1-10 years after randomisation (each year of follow-up separately).</text>
  </threadedComment>
  <threadedComment ref="A1106" dT="2023-09-26T10:27:06.22" personId="{3DE5673D-4837-4FC9-B8B9-34243175713A}" id="{93A3A9FA-F11B-4B3B-8DE1-97AFC98A450B}" done="1">
    <text>Also reported for 1-10 years after randomisation (each year of follow-up separately).</text>
  </threadedComment>
  <threadedComment ref="A1107" dT="2023-09-26T10:27:06.22" personId="{3DE5673D-4837-4FC9-B8B9-34243175713A}" id="{C2D54FF8-F9B5-4011-9479-B628745323FE}" done="1">
    <text>Also reported for 1-10 years after randomisation (each year of follow-up separately).</text>
  </threadedComment>
  <threadedComment ref="A1108" dT="2023-09-26T10:27:06.22" personId="{3DE5673D-4837-4FC9-B8B9-34243175713A}" id="{9690904D-BD4D-4B38-9337-B7130B754325}" done="1">
    <text>Also reported for 1-10 years after randomisation (each year of follow-up separately).</text>
  </threadedComment>
  <threadedComment ref="A1109" dT="2023-09-26T15:52:19.95" personId="{3DE5673D-4837-4FC9-B8B9-34243175713A}" id="{5951EFFA-1979-47F3-A6C2-B292D91E192D}" done="1">
    <text>Data for up to 6 years since randomisation same as reported in Tabar 1989 (#4097).</text>
  </threadedComment>
  <threadedComment ref="A1129" dT="2023-09-26T15:52:19.95" personId="{3DE5673D-4837-4FC9-B8B9-34243175713A}" id="{B7710BAD-17EE-40FC-B6E3-BF24824AE793}" done="1">
    <text>Data for up to 6 years since randomisation same as reported in Tabar 1989 (#4097).</text>
  </threadedComment>
  <threadedComment ref="A1161" dT="2023-10-02T09:16:01.95" personId="{3DE5673D-4837-4FC9-B8B9-34243175713A}" id="{06F12972-3381-43A3-862C-3CE6DF2FDB4E}">
    <text>Reported number of person years different to Tabar 1995 (#4092). Better to use data from Tabar 1995 as here, the PY for the control group seem very low.</text>
  </threadedComment>
  <threadedComment ref="S1161" dT="2023-09-28T15:38:38.96" personId="{3DE5673D-4837-4FC9-B8B9-34243175713A}" id="{0ED82128-4FBD-4926-BBEE-15793756376D}">
    <text>Typo in the number of PY? Seems very low.</text>
  </threadedComment>
  <threadedComment ref="AH1161" dT="2023-09-28T15:38:56.85" personId="{3DE5673D-4837-4FC9-B8B9-34243175713A}" id="{A97DEF27-34D5-4CFE-BABE-8580A68561B4}">
    <text>Typo in the number of PY in Table 1?</text>
  </threadedComment>
  <threadedComment ref="AT1161" dT="2023-09-28T15:40:01.50" personId="{3DE5673D-4837-4FC9-B8B9-34243175713A}" id="{FE01D3B5-6D06-453A-8983-233B3C5456F6}">
    <text>Very different to reported adjusted RR. Typo in number of PY?</text>
  </threadedComment>
  <threadedComment ref="S1162" dT="2023-09-28T15:43:06.12" personId="{3DE5673D-4837-4FC9-B8B9-34243175713A}" id="{DD985354-47BE-4933-8C4B-B24593336672}">
    <text xml:space="preserve">Number of PY in Table 1 seems incorrect. Used the number of PY reported in Table 2 instead.
</text>
  </threadedComment>
  <threadedComment ref="AH1162" dT="2023-09-28T15:52:40.68" personId="{3DE5673D-4837-4FC9-B8B9-34243175713A}" id="{8926B517-D411-4ED4-A936-70E5FB8624F0}">
    <text>From Table 5; PY in Table 1 seemed to be mixed up.</text>
  </threadedComment>
  <threadedComment ref="R1163" dT="2023-09-28T15:55:23.15" personId="{3DE5673D-4837-4FC9-B8B9-34243175713A}" id="{97C99F5A-1695-4F61-A979-D76BB5F75027}">
    <text>From Table 5; PY in Table 1 seemed to be mixed up.</text>
  </threadedComment>
  <threadedComment ref="S1163" dT="2023-09-28T15:43:06.12" personId="{3DE5673D-4837-4FC9-B8B9-34243175713A}" id="{1D6BDF1A-4961-49C9-9300-C5A8F798F787}">
    <text xml:space="preserve">Typo in the number of PY? Seems very low.
</text>
  </threadedComment>
  <threadedComment ref="AG1163" dT="2023-09-28T15:55:23.15" personId="{3DE5673D-4837-4FC9-B8B9-34243175713A}" id="{A4E1B611-0020-4C7E-A97D-2DA97E6F91AA}">
    <text>From Table 5; PY in Table 1 seemed to be mixed up.</text>
  </threadedComment>
  <threadedComment ref="A1166" dT="2023-10-02T09:16:01.95" personId="{3DE5673D-4837-4FC9-B8B9-34243175713A}" id="{1174DC69-580B-4F46-9820-0778D2B40464}">
    <text>Reported number of person years different to Chen 1995 (#4172)</text>
  </threadedComment>
  <threadedComment ref="AE1166" dT="2023-10-02T10:51:00.64" personId="{3DE5673D-4837-4FC9-B8B9-34243175713A}" id="{5DBCF56D-0D7E-46E9-93A8-FBFD24F74496}">
    <text>Deaths in Table 2 only add up to 261, not 269.</text>
  </threadedComment>
  <threadedComment ref="AE1172" dT="2023-10-02T10:50:31.90" personId="{3DE5673D-4837-4FC9-B8B9-34243175713A}" id="{7034F72A-A7DA-4727-8A41-18EA25B21257}">
    <text>Deaths in W- and E-counties only add up to 261, not 269.</text>
  </threadedComment>
  <threadedComment ref="AE1178" dT="2023-10-02T10:50:03.67" personId="{3DE5673D-4837-4FC9-B8B9-34243175713A}" id="{D4390769-63C6-4C9B-B35A-AD67DA43BE9A}">
    <text>Deaths in W- and E-counties only add up to 261, not 269.</text>
  </threadedComment>
  <threadedComment ref="AY1216" dT="2023-10-04T07:47:33.29" personId="{3DE5673D-4837-4FC9-B8B9-34243175713A}" id="{2A2C8D13-2912-40CB-891A-12E17F2E46FD}">
    <text>Is the reported RR a rate ratio or relative risk?</text>
  </threadedComment>
  <threadedComment ref="A1242" dT="2023-09-18T13:22:39.42" personId="{3DE5673D-4837-4FC9-B8B9-34243175713A}" id="{93A3C7F0-5E9A-49A3-8F9E-02AA73D96FE8}" done="1">
    <text>Reports breast cancer mortality for women  &lt;50 years and 50+ years at baseline but we don't have surrogate data for these subgroups; therefore, I have not extracted these data.</text>
  </threadedComment>
  <threadedComment ref="AJ1242" dT="2023-09-18T13:17:23.10" personId="{3DE5673D-4837-4FC9-B8B9-34243175713A}" id="{B5373E4E-E338-49E1-A8D1-47D79A324A1D}" done="1">
    <text>Mortality rates were estimated using standard life table methods, with time measured from date of entry into the study.</text>
  </threadedComment>
  <threadedComment ref="AJ1242" dT="2024-01-17T15:42:42.87" personId="{C2B41D37-E765-46A9-9A6C-43C631A30BF3}" id="{71332F8C-BF6D-49D8-BA06-CC4C8AFB43F0}" parentId="{B5373E4E-E338-49E1-A8D1-47D79A324A1D}">
    <text>This gives me 11 who died in instruction arm??? Something not quite right somewhere?</text>
  </threadedComment>
  <threadedComment ref="AJ1242" dT="2024-01-22T08:58:47.29" personId="{3DE5673D-4837-4FC9-B8B9-34243175713A}" id="{4F45FA4C-5366-40A3-A056-1E1ABD2D80CC}" parentId="{B5373E4E-E338-49E1-A8D1-47D79A324A1D}">
    <text>Asked Nefeli for advice.</text>
  </threadedComment>
  <threadedComment ref="AJ1242" dT="2024-01-22T10:27:27.14" personId="{3DE5673D-4837-4FC9-B8B9-34243175713A}" id="{ABCC52F2-B6F4-4CFE-B849-6A3579870731}" parentId="{B5373E4E-E338-49E1-A8D1-47D79A324A1D}">
    <text>Changed to "NR" as we don't understand what they did.</text>
  </threadedComment>
  <threadedComment ref="AN1242" dT="2023-09-18T13:17:54.28" personId="{3DE5673D-4837-4FC9-B8B9-34243175713A}" id="{EFFEED67-6D66-4DA6-9859-EDD4D6DBA583}" done="1">
    <text>Mortality rates were estimated using standard life table methods, with time measured from date of entry into the study.</text>
  </threadedComment>
  <threadedComment ref="AN1242" dT="2024-01-22T08:58:51.41" personId="{3DE5673D-4837-4FC9-B8B9-34243175713A}" id="{A373F2DE-01E0-4011-975F-CD0F97404605}" parentId="{EFFEED67-6D66-4DA6-9859-EDD4D6DBA583}">
    <text>Asked Nefeli for advice.</text>
  </threadedComment>
  <threadedComment ref="AN1242" dT="2024-01-22T10:27:53.62" personId="{3DE5673D-4837-4FC9-B8B9-34243175713A}" id="{89DF33CF-9D77-41E8-AB94-09D72A7ED48E}" parentId="{EFFEED67-6D66-4DA6-9859-EDD4D6DBA583}">
    <text>Changed to "NR" as we don't understand what they did.</text>
  </threadedComment>
  <threadedComment ref="D1244" dT="2024-01-16T18:06:50.13" personId="{C2B41D37-E765-46A9-9A6C-43C631A30BF3}" id="{C93F05AC-DF15-4655-819A-6AD9EC840A32}" done="1">
    <text>Per 1000 not from study, is this calculated not just reported outcome??? If yes than ok.</text>
  </threadedComment>
  <threadedComment ref="D1244" dT="2024-01-22T11:07:28.23" personId="{3DE5673D-4837-4FC9-B8B9-34243175713A}" id="{40C79BF0-DD6D-4700-86C4-305A0F06A521}" parentId="{C93F05AC-DF15-4655-819A-6AD9EC840A32}">
    <text>Yes, calculated.</text>
  </threadedComment>
  <threadedComment ref="F1244" dT="2024-01-23T13:37:11.51" personId="{3DE5673D-4837-4FC9-B8B9-34243175713A}" id="{610D7D4A-0523-4863-8874-D1FF6AACA5D1}" done="1">
    <text>I have changed the screening test from "Breast self-examination instruction" to "Breast self-examination".</text>
  </threadedComment>
  <threadedComment ref="D1245" dT="2023-09-19T14:13:58.14" personId="{3DE5673D-4837-4FC9-B8B9-34243175713A}" id="{2077608E-7911-4DF7-BF3E-FF93F46F1318}" done="1">
    <text>Is the follow-up until 31/12/1997??? Text says "end of 10th year of the study", or is this another result???</text>
  </threadedComment>
  <threadedComment ref="D1245" dT="2024-01-16T18:19:30.72" personId="{C2B41D37-E765-46A9-9A6C-43C631A30BF3}" id="{535228E3-1631-4F1B-9A17-42338C5CDE4A}" parentId="{2077608E-7911-4DF7-BF3E-FF93F46F1318}">
    <text>I understand that the analysis for the graph is for 10 years (numbers not reported on page 147 and difficult to read from graph but around the 200/100000 mark which is similar to 2.5 per 1000 in flow diagramme. So absolutely not sure whether this is 1994 or 1997</text>
  </threadedComment>
  <threadedComment ref="D1245" dT="2024-01-22T11:12:29.59" personId="{3DE5673D-4837-4FC9-B8B9-34243175713A}" id="{FE12D94C-4E12-4F71-A226-017E114532EB}" parentId="{2077608E-7911-4DF7-BF3E-FF93F46F1318}">
    <text>Until end of 1994, Table 1 reports 243 breast cancer deaths in total.
Figure 1 then reports 321 breast cancer deaths in total until 1997.
The reported rates in Figure 1 up to 1997 (2.7/1,000 and 2.5 per 1,000) and my calculated ones (2.720/1,000 and 2.532/per 1,000) seem to be the same as the reported "272/100,000" and "253/100,000" in the text where they also reference "Figure 1". Not sure why they say "for the 10th year of the study" and "Over the 10 years" then. Maybe there was a median or mean 10 year follow-up time as the recruitment was from 1985-1989???
The reported rates in Figure 2 for 1994 are definitively lower than 272 and 253, more around 210 and 200. But the text says, Figure 2 is on "When mortality from breast cancer is compared from time of diagnosis, there is also no significant different in survival (Figure 2)". Figure 2 seems not on survival time from diagnosis...
What a mess!</text>
  </threadedComment>
  <threadedComment ref="F1245" dT="2024-01-23T13:37:11.51" personId="{3DE5673D-4837-4FC9-B8B9-34243175713A}" id="{66F584C5-0E0B-4EDF-8881-77D9F20BC924}" done="1">
    <text>I have changed the screening test from "Breast self-examination instruction" to "Breast self-examination".</text>
  </threadedComment>
  <threadedComment ref="P1245" dT="2024-01-16T18:22:08.70" personId="{C2B41D37-E765-46A9-9A6C-43C631A30BF3}" id="{CFFDC0BF-50FD-4E10-BB14-1F143E4B533C}" done="1">
    <text>Sure?</text>
  </threadedComment>
  <threadedComment ref="P1245" dT="2024-01-22T11:18:15.16" personId="{3DE5673D-4837-4FC9-B8B9-34243175713A}" id="{F994DD66-1692-423B-97E6-BB490D46644C}" parentId="{CFFDC0BF-50FD-4E10-BB14-1F143E4B533C}">
    <text>No, see my comment on the left. But I understood from Table 1 that there have been only 243 breast cancer deaths up to 1995, whereas here, we have 321, so must be later?</text>
  </threadedComment>
  <threadedComment ref="T1245" dT="2024-01-16T18:25:53.17" personId="{C2B41D37-E765-46A9-9A6C-43C631A30BF3}" id="{F53C78AB-F664-4909-A162-B83B9EF3832C}" done="1">
    <text>Reeducation session every three years but self assessment is every month / 5 or more times a year. What is screening round here? Is it applicable?</text>
  </threadedComment>
  <threadedComment ref="T1245" dT="2024-01-22T11:17:43.69" personId="{3DE5673D-4837-4FC9-B8B9-34243175713A}" id="{13E4A4B5-2421-4735-BA6C-0ADDBDFB9286}" parentId="{F53C78AB-F664-4909-A162-B83B9EF3832C}">
    <text>Might be 'NA' here.</text>
  </threadedComment>
  <threadedComment ref="AF1245" dT="2023-09-19T14:06:48.30" personId="{3DE5673D-4837-4FC9-B8B9-34243175713A}" id="{1D07E76D-FF50-4FD6-8198-33E343B25FCA}" done="1">
    <text>Abstract says 167 deaths???</text>
  </threadedComment>
  <threadedComment ref="AF1245" dT="2024-01-16T18:29:14.24" personId="{C2B41D37-E765-46A9-9A6C-43C631A30BF3}" id="{EC5623C2-8BAE-470C-AC4B-536889EFE353}" parentId="{1D07E76D-FF50-4FD6-8198-33E343B25FCA}">
    <text>Agree, which one do you believe? This seems a bit messy.</text>
  </threadedComment>
  <threadedComment ref="AF1245" dT="2024-01-22T11:35:28.00" personId="{3DE5673D-4837-4FC9-B8B9-34243175713A}" id="{32D9F69D-D5A8-462C-96C1-2D9B35E337B9}" parentId="{1D07E76D-FF50-4FD6-8198-33E343B25FCA}">
    <text>Think it should be 164, as when I put 167, the calculated rate is rounded to 2.6/1,000 not 2.5/1,000.</text>
  </threadedComment>
  <threadedComment ref="AI1245" dT="2024-01-16T18:27:22.40" personId="{C2B41D37-E765-46A9-9A6C-43C631A30BF3}" id="{97D1A8C3-E80B-4C42-83E4-22EB7222CE93}" done="1">
    <text>Graph and text say per 100000</text>
  </threadedComment>
  <threadedComment ref="AI1245" dT="2024-01-22T11:27:27.32" personId="{3DE5673D-4837-4FC9-B8B9-34243175713A}" id="{D7E8BC86-2C46-44F8-8A53-067662096CC6}" parentId="{97D1A8C3-E80B-4C42-83E4-22EB7222CE93}">
    <text>Yes, "per 1,000" was what I had calculated based on the reported numbers in "Figure 1".</text>
  </threadedComment>
  <threadedComment ref="AG1246" dT="2023-10-18T14:23:22.55" personId="{3DE5673D-4837-4FC9-B8B9-34243175713A}" id="{7A52100E-41A4-443A-BE52-5E5E03A10081}" done="1">
    <text>871,930</text>
  </threadedComment>
  <threadedComment ref="D1249" dT="2023-10-18T14:39:06.99" personId="{3DE5673D-4837-4FC9-B8B9-34243175713A}" id="{F212B6EB-E5F5-491F-A0E4-69E7F1D351A4}" done="1">
    <text>Randomisation was until July 2001, so 7 years since randomisation can only be until July 2008, never until 31/12/2009.</text>
  </threadedComment>
  <threadedComment ref="A1272" dT="2023-10-20T07:51:12.01" personId="{3DE5673D-4837-4FC9-B8B9-34243175713A}" id="{4E343B8B-A21E-4CE6-9AB4-6D87751BB3AB}" done="1">
    <text>Extracted again as numbers are slightly different to Schoen 2012.</text>
  </threadedComment>
  <threadedComment ref="A1274" dT="2023-10-20T07:51:12.01" personId="{3DE5673D-4837-4FC9-B8B9-34243175713A}" id="{C8AAF890-27CA-46EC-899F-C4822A44C37F}" done="1">
    <text>Extracted again as numbers are slightly different to Schoen 2012.</text>
  </threadedComment>
  <threadedComment ref="A1274" dT="2023-10-24T09:33:04.17" personId="{EB3A3BE2-592C-4348-A404-E1318D49EF19}" id="{16F5D7A8-A56E-4ECB-B23A-A81A97FAC8FF}" parentId="{C8AAF890-27CA-46EC-899F-C4822A44C37F}">
    <text>I thought we had agreed we were only extracting the main publication when same cutoff but slightly different numbers. It still wouldn't harm having both.</text>
  </threadedComment>
  <threadedComment ref="A1274" dT="2023-10-25T12:39:53.88" personId="{3DE5673D-4837-4FC9-B8B9-34243175713A}" id="{F5777F3F-C13A-4EB8-A283-5DCD29499046}" parentId="{C8AAF890-27CA-46EC-899F-C4822A44C37F}">
    <text>Think you are right. Will still leave them in though as I have extracted them now. LOL</text>
  </threadedComment>
  <threadedComment ref="A1275" dT="2023-10-20T07:51:12.01" personId="{3DE5673D-4837-4FC9-B8B9-34243175713A}" id="{C32CFB34-AEEE-4F23-AD6B-597E89916165}" done="1">
    <text>Extracted again as numbers are slightly different to Schoen 2012.</text>
  </threadedComment>
  <threadedComment ref="A1275" dT="2023-10-24T09:33:04.17" personId="{EB3A3BE2-592C-4348-A404-E1318D49EF19}" id="{CE7B7A68-FFC6-479C-BFBA-395792F4B78D}" parentId="{C32CFB34-AEEE-4F23-AD6B-597E89916165}">
    <text>I thought we had agreed we were only extracting the main publication when same cutoff but slightly different numbers. It still wouldn't harm having both.</text>
  </threadedComment>
  <threadedComment ref="A1275" dT="2023-10-25T12:39:53.88" personId="{3DE5673D-4837-4FC9-B8B9-34243175713A}" id="{4028EF75-C2C9-4F0E-909E-AC8483561B8F}" parentId="{C32CFB34-AEEE-4F23-AD6B-597E89916165}">
    <text>Think you are right. Will still leave them in though as I have extracted them now. LOL</text>
  </threadedComment>
  <threadedComment ref="A1276" dT="2023-10-20T07:51:12.01" personId="{3DE5673D-4837-4FC9-B8B9-34243175713A}" id="{FF9A68FF-DC83-471C-88D5-983FBF1B8C79}" done="1">
    <text>Extracted again as numbers are slightly different to Schoen 2012.</text>
  </threadedComment>
  <threadedComment ref="A1276" dT="2023-10-24T09:33:04.17" personId="{EB3A3BE2-592C-4348-A404-E1318D49EF19}" id="{987ACAF4-98DB-44FF-A923-CD30926A02EB}" parentId="{FF9A68FF-DC83-471C-88D5-983FBF1B8C79}">
    <text>I thought we had agreed we were only extracting the main publication when same cutoff but slightly different numbers. It still wouldn't harm having both.</text>
  </threadedComment>
  <threadedComment ref="A1276" dT="2023-10-25T12:39:53.88" personId="{3DE5673D-4837-4FC9-B8B9-34243175713A}" id="{482C1017-FCEC-418E-A589-041B98B6DBAB}" parentId="{FF9A68FF-DC83-471C-88D5-983FBF1B8C79}">
    <text>Think you are right. Will still leave them in though as I have extracted them now. LOL</text>
  </threadedComment>
  <threadedComment ref="A1277" dT="2023-10-20T07:51:12.01" personId="{3DE5673D-4837-4FC9-B8B9-34243175713A}" id="{A7721A67-AA1E-49CB-9589-01E79CB0879F}" done="1">
    <text>Extracted again as numbers are slightly different to Schoen 2012.</text>
  </threadedComment>
  <threadedComment ref="A1277" dT="2023-10-24T09:33:04.17" personId="{EB3A3BE2-592C-4348-A404-E1318D49EF19}" id="{E6ECC17C-526B-4285-986C-52163569DE4B}" parentId="{A7721A67-AA1E-49CB-9589-01E79CB0879F}">
    <text>I thought we had agreed we were only extracting the main publication when same cutoff but slightly different numbers. It still wouldn't harm having both.</text>
  </threadedComment>
  <threadedComment ref="A1277" dT="2023-10-25T12:39:53.88" personId="{3DE5673D-4837-4FC9-B8B9-34243175713A}" id="{DAF25B2A-19C0-49F4-B4FE-FAF911762DD6}" parentId="{A7721A67-AA1E-49CB-9589-01E79CB0879F}">
    <text>Think you are right. Will still leave them in though as I have extracted them now. LOL</text>
  </threadedComment>
  <threadedComment ref="A1278" dT="2023-10-20T07:51:12.01" personId="{3DE5673D-4837-4FC9-B8B9-34243175713A}" id="{2F084780-3C15-4F43-9917-B5C6B384D81C}" done="1">
    <text>Extracted again as numbers are slightly different to Schoen 2012.</text>
  </threadedComment>
  <threadedComment ref="A1278" dT="2023-10-24T09:33:04.17" personId="{EB3A3BE2-592C-4348-A404-E1318D49EF19}" id="{445E120D-0EAA-452E-B33F-CA6C7E02295B}" parentId="{2F084780-3C15-4F43-9917-B5C6B384D81C}">
    <text>I thought we had agreed we were only extracting the main publication when same cutoff but slightly different numbers. It still wouldn't harm having both.</text>
  </threadedComment>
  <threadedComment ref="A1278" dT="2023-10-25T12:39:53.88" personId="{3DE5673D-4837-4FC9-B8B9-34243175713A}" id="{411DD680-7C79-4F3F-90E0-05541390D954}" parentId="{2F084780-3C15-4F43-9917-B5C6B384D81C}">
    <text>Think you are right. Will still leave them in though as I have extracted them now. LOL</text>
  </threadedComment>
  <threadedComment ref="A1279" dT="2023-10-20T07:51:12.01" personId="{3DE5673D-4837-4FC9-B8B9-34243175713A}" id="{68935426-E486-4937-8FF3-E9E285FF71FA}" done="1">
    <text>Extracted again as numbers are slightly different to Schoen 2012.</text>
  </threadedComment>
  <threadedComment ref="A1279" dT="2023-10-24T09:33:04.17" personId="{EB3A3BE2-592C-4348-A404-E1318D49EF19}" id="{3C14DCFB-394C-42FB-822F-B7F40812E02C}" parentId="{68935426-E486-4937-8FF3-E9E285FF71FA}">
    <text>I thought we had agreed we were only extracting the main publication when same cutoff but slightly different numbers. It still wouldn't harm having both.</text>
  </threadedComment>
  <threadedComment ref="A1279" dT="2023-10-25T12:39:53.88" personId="{3DE5673D-4837-4FC9-B8B9-34243175713A}" id="{4AE154BE-42A9-43CD-9B1E-D5F0A1F1FE5C}" parentId="{68935426-E486-4937-8FF3-E9E285FF71FA}">
    <text>Think you are right. Will still leave them in though as I have extracted them now. LOL</text>
  </threadedComment>
  <threadedComment ref="A1280" dT="2023-10-20T07:51:12.01" personId="{3DE5673D-4837-4FC9-B8B9-34243175713A}" id="{4C5EAC96-5686-49A8-8CA8-23EB52ED59CF}" done="1">
    <text>Extracted again as numbers are slightly different to Schoen 2012.</text>
  </threadedComment>
  <threadedComment ref="A1280" dT="2023-10-24T09:33:04.17" personId="{EB3A3BE2-592C-4348-A404-E1318D49EF19}" id="{6E927E58-2BB1-491B-9769-EC925D207530}" parentId="{4C5EAC96-5686-49A8-8CA8-23EB52ED59CF}">
    <text>I thought we had agreed we were only extracting the main publication when same cutoff but slightly different numbers. It still wouldn't harm having both.</text>
  </threadedComment>
  <threadedComment ref="A1280" dT="2023-10-25T12:39:53.88" personId="{3DE5673D-4837-4FC9-B8B9-34243175713A}" id="{81734EFC-4FD9-4694-8694-CAFD93ADE34C}" parentId="{4C5EAC96-5686-49A8-8CA8-23EB52ED59CF}">
    <text>Think you are right. Will still leave them in though as I have extracted them now. LOL</text>
  </threadedComment>
  <threadedComment ref="A1281" dT="2023-10-20T07:51:12.01" personId="{3DE5673D-4837-4FC9-B8B9-34243175713A}" id="{FD8BBBE7-3497-480B-B290-CB99C7EA81FE}" done="1">
    <text>Extracted again as numbers are slightly different to Schoen 2012.</text>
  </threadedComment>
  <threadedComment ref="A1281" dT="2023-10-24T09:33:04.17" personId="{EB3A3BE2-592C-4348-A404-E1318D49EF19}" id="{16D8DFD7-F49F-414B-B0E1-76D3715BE2B9}" parentId="{FD8BBBE7-3497-480B-B290-CB99C7EA81FE}">
    <text>I thought we had agreed we were only extracting the main publication when same cutoff but slightly different numbers. It still wouldn't harm having both.</text>
  </threadedComment>
  <threadedComment ref="A1281" dT="2023-10-25T12:39:53.88" personId="{3DE5673D-4837-4FC9-B8B9-34243175713A}" id="{D8A2B135-6081-435B-A778-75B734FD2804}" parentId="{FD8BBBE7-3497-480B-B290-CB99C7EA81FE}">
    <text>Think you are right. Will still leave them in though as I have extracted them now. LOL</text>
  </threadedComment>
  <threadedComment ref="A1282" dT="2023-10-20T07:51:12.01" personId="{3DE5673D-4837-4FC9-B8B9-34243175713A}" id="{52B1C086-AEA2-4D44-8746-2E6F5DBD2C5A}" done="1">
    <text>Extracted again as numbers are slightly different to Schoen 2012.</text>
  </threadedComment>
  <threadedComment ref="A1282" dT="2023-10-24T09:33:04.17" personId="{EB3A3BE2-592C-4348-A404-E1318D49EF19}" id="{2FC26341-2960-4CF7-AE98-85F0A80EF28A}" parentId="{52B1C086-AEA2-4D44-8746-2E6F5DBD2C5A}">
    <text>I thought we had agreed we were only extracting the main publication when same cutoff but slightly different numbers. It still wouldn't harm having both.</text>
  </threadedComment>
  <threadedComment ref="A1282" dT="2023-10-25T12:39:53.88" personId="{3DE5673D-4837-4FC9-B8B9-34243175713A}" id="{059F1649-96A2-43FD-BCBE-F6CE023D862A}" parentId="{52B1C086-AEA2-4D44-8746-2E6F5DBD2C5A}">
    <text>Think you are right. Will still leave them in though as I have extracted them now. LOL</text>
  </threadedComment>
  <threadedComment ref="AC1283" dT="2023-10-20T09:11:53.23" personId="{3DE5673D-4837-4FC9-B8B9-34243175713A}" id="{249C2B67-D925-4B9F-981C-26D912AFC91B}" done="1">
    <text>31/12/2015?</text>
  </threadedComment>
  <threadedComment ref="AE1283" dT="2023-08-02T10:14:09.76" personId="{EB3A3BE2-592C-4348-A404-E1318D49EF19}" id="{550A5CC3-E369-42B5-AB19-5EC4DF5DDAF5}">
    <text>Reported in #1055</text>
  </threadedComment>
  <threadedComment ref="AE1283" dT="2023-10-20T09:13:25.49" personId="{3DE5673D-4837-4FC9-B8B9-34243175713A}" id="{AFB8FA0B-4B7D-41B7-94B6-01C08894DDAD}" parentId="{550A5CC3-E369-42B5-AB19-5EC4DF5DDAF5}">
    <text>Agree to extract this outcome from both papers as numbers differ slightly.</text>
  </threadedComment>
  <threadedComment ref="AF1283" dT="2023-08-02T10:54:44.53" personId="{EB3A3BE2-592C-4348-A404-E1318D49EF19}" id="{E578783D-1204-430B-AB7F-55B1288D6023}" done="1">
    <text>Reported in #1055</text>
  </threadedComment>
  <threadedComment ref="AF1283" dT="2023-10-20T09:13:33.81" personId="{3DE5673D-4837-4FC9-B8B9-34243175713A}" id="{E8790DB4-FAFA-45A4-839F-8C1B3A984985}" parentId="{E578783D-1204-430B-AB7F-55B1288D6023}">
    <text>Agree to extract this outcome from both papers as numbers differ slightly.</text>
  </threadedComment>
  <threadedComment ref="AF1306" dT="2023-10-20T10:55:42.20" personId="{3DE5673D-4837-4FC9-B8B9-34243175713A}" id="{E4A9BD98-FC20-4516-8D42-D2F5578DC633}">
    <text>Something is wrong with the numbers in Figure 2. How can the number of distal CRC be higher than the overall tumours? Should possibly be 0 to add up to 1 overall tumour?</text>
  </threadedComment>
  <threadedComment ref="AF1307" dT="2023-10-20T10:58:28.98" personId="{3DE5673D-4837-4FC9-B8B9-34243175713A}" id="{58AF9EF6-1A68-4EE5-A679-D182F017B8D3}">
    <text>Again something wrong with the numbers. Number of all tumours is 17, how can distal CRC be 21? Should be maybe 10 which was reported for 1 year since randomisation?</text>
  </threadedComment>
  <threadedComment ref="AF1308" dT="2023-10-20T11:07:10.17" personId="{3DE5673D-4837-4FC9-B8B9-34243175713A}" id="{62105332-F00C-4964-BE2F-DBA5AFD53F9E}">
    <text>Assumed the reported number from the year before is the correct one.</text>
  </threadedComment>
  <threadedComment ref="AF1309" dT="2023-10-20T11:07:21.59" personId="{3DE5673D-4837-4FC9-B8B9-34243175713A}" id="{98D02A8F-C1A0-4F88-AE19-DD9BFFF4B215}">
    <text xml:space="preserve">Assumed the reported number from the year before is the correct one.
</text>
  </threadedComment>
  <threadedComment ref="AF1310" dT="2023-10-20T11:07:26.56" personId="{3DE5673D-4837-4FC9-B8B9-34243175713A}" id="{79147360-7029-4157-9FEE-5E2761E5992A}">
    <text xml:space="preserve">Assumed the reported number from the year before is the correct one.
</text>
  </threadedComment>
  <threadedComment ref="AF1311" dT="2023-10-20T11:07:32.65" personId="{3DE5673D-4837-4FC9-B8B9-34243175713A}" id="{0F0D2DBC-9D74-4AFC-BE01-D87D86781689}">
    <text xml:space="preserve">Assumed the reported number from the year before is the correct one.
</text>
  </threadedComment>
  <threadedComment ref="AF1312" dT="2023-10-20T11:07:38.64" personId="{3DE5673D-4837-4FC9-B8B9-34243175713A}" id="{95D7CD33-D0E4-4EB9-82AF-557C5D654037}">
    <text xml:space="preserve">Assumed the reported number from the year before is the correct one.
</text>
  </threadedComment>
  <threadedComment ref="AF1313" dT="2023-10-20T11:07:44.57" personId="{3DE5673D-4837-4FC9-B8B9-34243175713A}" id="{8476503F-245F-4380-880C-112D6EF268EB}">
    <text xml:space="preserve">Assumed the reported number from the year before is the correct one.
</text>
  </threadedComment>
  <threadedComment ref="AF1314" dT="2023-10-20T11:07:50.11" personId="{3DE5673D-4837-4FC9-B8B9-34243175713A}" id="{1AA1A1AB-FA96-4F1E-B978-4AE7944C2E1C}">
    <text xml:space="preserve">Assumed the reported number from the year before is the correct one.
</text>
  </threadedComment>
  <threadedComment ref="AF1315" dT="2023-10-20T11:07:58.40" personId="{3DE5673D-4837-4FC9-B8B9-34243175713A}" id="{47A68DB3-9491-4F5D-8FB6-7513EC9AC1BB}">
    <text xml:space="preserve">Assumed the reported number from the year before is the correct one.
</text>
  </threadedComment>
  <threadedComment ref="AF1316" dT="2023-10-20T11:08:03.00" personId="{3DE5673D-4837-4FC9-B8B9-34243175713A}" id="{8812C28D-C80A-4039-B89F-5B8DBC3FE406}">
    <text xml:space="preserve">Assumed the reported number from the year before is the correct one.
</text>
  </threadedComment>
  <threadedComment ref="AF1317" dT="2023-10-20T11:08:08.10" personId="{3DE5673D-4837-4FC9-B8B9-34243175713A}" id="{4BCB9190-5868-4069-8D75-0FD8C9A1E10A}">
    <text xml:space="preserve">Assumed the reported number from the year before is the correct one.
</text>
  </threadedComment>
  <threadedComment ref="AF1318" dT="2023-10-20T11:08:13.13" personId="{3DE5673D-4837-4FC9-B8B9-34243175713A}" id="{6017DCBC-F2CF-40D1-9D57-C58B7FEC9137}">
    <text xml:space="preserve">Assumed the reported number from the year before is the correct one.
</text>
  </threadedComment>
  <threadedComment ref="AF1319" dT="2023-10-20T11:08:17.95" personId="{3DE5673D-4837-4FC9-B8B9-34243175713A}" id="{75590930-AB71-4540-A162-0D6E4DEEED3F}">
    <text xml:space="preserve">Assumed the reported number from the year before is the correct one.
</text>
  </threadedComment>
  <threadedComment ref="AF1320" dT="2023-10-20T11:08:22.58" personId="{3DE5673D-4837-4FC9-B8B9-34243175713A}" id="{A5B8E07F-5301-4291-BD90-DA7547A2E198}">
    <text xml:space="preserve">Assumed the reported number from the year before is the correct one.
</text>
  </threadedComment>
  <threadedComment ref="AF1321" dT="2023-10-20T11:08:27.14" personId="{3DE5673D-4837-4FC9-B8B9-34243175713A}" id="{739633F6-ABEE-4C4E-BFCD-5AEBF49ABA1B}">
    <text xml:space="preserve">Assumed the reported number from the year before is the correct one.
</text>
  </threadedComment>
  <threadedComment ref="AF1322" dT="2023-10-20T11:08:32.40" personId="{3DE5673D-4837-4FC9-B8B9-34243175713A}" id="{A22C51D1-E0E8-4B27-8471-020A91C4C0A2}">
    <text xml:space="preserve">Assumed the reported number from the year before is the correct one.
</text>
  </threadedComment>
  <threadedComment ref="AF1323" dT="2023-10-20T11:08:40.07" personId="{3DE5673D-4837-4FC9-B8B9-34243175713A}" id="{A80E3F31-5B62-4E34-BCF7-CA96961BF970}">
    <text xml:space="preserve">Assumed the reported number from the year before is the correct one.
</text>
  </threadedComment>
  <threadedComment ref="AF1324" dT="2023-10-20T11:08:45.14" personId="{3DE5673D-4837-4FC9-B8B9-34243175713A}" id="{4F782E1B-AB07-46B4-A618-BA5942C36F76}">
    <text xml:space="preserve">Assumed the reported number from the year before is the correct one.
</text>
  </threadedComment>
  <threadedComment ref="AF1325" dT="2023-10-20T11:08:51.31" personId="{3DE5673D-4837-4FC9-B8B9-34243175713A}" id="{B882A836-2341-4513-9C34-50F645225517}">
    <text xml:space="preserve">Assumed the reported number from the year before is the correct one.
</text>
  </threadedComment>
  <threadedComment ref="AF1326" dT="2023-10-20T11:08:55.58" personId="{3DE5673D-4837-4FC9-B8B9-34243175713A}" id="{B5852B3B-8122-4DAF-A999-E4ED0FAB6DD4}">
    <text xml:space="preserve">Assumed the reported number from the year before is the correct one.
</text>
  </threadedComment>
  <threadedComment ref="AE1357" dT="2023-08-02T10:54:59.56" personId="{EB3A3BE2-592C-4348-A404-E1318D49EF19}" id="{28C12AA9-E274-4A80-88AE-5C133145B0C5}" done="1">
    <text>Reported in #1169</text>
  </threadedComment>
  <threadedComment ref="AE1357" dT="2023-10-20T13:23:36.78" personId="{3DE5673D-4837-4FC9-B8B9-34243175713A}" id="{2B439298-CF0E-4D68-9E2C-B2A15297AB94}" parentId="{28C12AA9-E274-4A80-88AE-5C133145B0C5}">
    <text>Agree to extract outcome from both papers as numbers differ.</text>
  </threadedComment>
  <threadedComment ref="AF1357" dT="2023-08-02T10:13:48.28" personId="{EB3A3BE2-592C-4348-A404-E1318D49EF19}" id="{884438DA-A8A4-49FC-8371-22D5BFB6937B}" done="1">
    <text>Reported in #1169</text>
  </threadedComment>
  <threadedComment ref="AF1357" dT="2023-10-20T13:23:23.70" personId="{3DE5673D-4837-4FC9-B8B9-34243175713A}" id="{551E7B67-6B62-4FD4-84E0-405AE09692D9}" parentId="{884438DA-A8A4-49FC-8371-22D5BFB6937B}">
    <text>Agree to extract outcome from both papers as numbers differ.</text>
  </threadedComment>
  <threadedComment ref="AS1357" dT="2023-10-20T13:25:23.31" personId="{3DE5673D-4837-4FC9-B8B9-34243175713A}" id="{7EC840EA-089D-4086-A6C2-AF28CC0D126B}">
    <text>NR?</text>
  </threadedComment>
  <threadedComment ref="AU1357" dT="2023-10-20T13:25:48.09" personId="{3DE5673D-4837-4FC9-B8B9-34243175713A}" id="{7E62E140-818D-4CE6-8257-37C0FAF8CFC6}">
    <text>NR?</text>
  </threadedComment>
  <threadedComment ref="AV1357" dT="2023-10-20T13:26:16.38" personId="{3DE5673D-4837-4FC9-B8B9-34243175713A}" id="{E9C88012-908C-4E49-93D2-F63F1F26EF35}">
    <text>NR?</text>
  </threadedComment>
  <threadedComment ref="AW1357" dT="2023-10-20T13:25:12.61" personId="{3DE5673D-4837-4FC9-B8B9-34243175713A}" id="{E3002AB0-60E0-4460-92F4-26EB64E674B5}">
    <text>NR</text>
  </threadedComment>
  <threadedComment ref="R1363" dT="2023-05-19T14:02:51.27" personId="{3DE5673D-4837-4FC9-B8B9-34243175713A}" id="{11D6C7EA-72EC-47D2-9CCB-D74D40D29864}" done="1">
    <text>Median follow-up for the whole study, not by arm.</text>
  </threadedComment>
  <threadedComment ref="R1363" dT="2023-11-30T13:41:09.75" personId="{E08A2389-F34B-466D-8AA1-6ADBBDF0F7BF}" id="{9698DECD-2ACA-4240-B3D9-6F8351766FBB}" parentId="{11D6C7EA-72EC-47D2-9CCB-D74D40D29864}">
    <text>agreed</text>
  </threadedComment>
  <threadedComment ref="R1364" dT="2023-05-19T14:02:51.27" personId="{3DE5673D-4837-4FC9-B8B9-34243175713A}" id="{F7F22AF9-B965-4EA6-9086-5A7B7F73D8F3}">
    <text>Median follow-up for the whole study, not by arm.</text>
  </threadedComment>
  <threadedComment ref="T1365" dT="2023-11-30T13:42:21.03" personId="{E08A2389-F34B-466D-8AA1-6ADBBDF0F7BF}" id="{8234C466-517A-42DC-832F-4BDF3BED88F6}" done="1">
    <text>Shouldn't this be 1?</text>
  </threadedComment>
  <threadedComment ref="T1366" dT="2023-11-30T13:42:29.70" personId="{E08A2389-F34B-466D-8AA1-6ADBBDF0F7BF}" id="{957F6C4B-720E-4362-AA23-6EB6360096A8}" done="1">
    <text>Shouldn't this be 2?</text>
  </threadedComment>
  <threadedComment ref="T1367" dT="2023-11-30T13:42:36.71" personId="{E08A2389-F34B-466D-8AA1-6ADBBDF0F7BF}" id="{DF20EF4E-3C42-470C-8C8D-D3C1DC0F76EA}" done="1">
    <text>Shouldn't this be 3?</text>
  </threadedComment>
  <threadedComment ref="S1385" dT="2023-05-22T10:12:13.53" personId="{3DE5673D-4837-4FC9-B8B9-34243175713A}" id="{67652A80-740A-4914-BB06-9F834BEDA7ED}" done="1">
    <text>Median follow-up for the whole group, not by arm.</text>
  </threadedComment>
  <threadedComment ref="S1385" dT="2023-11-30T13:57:50.53" personId="{E08A2389-F34B-466D-8AA1-6ADBBDF0F7BF}" id="{F7681116-504E-46ED-9EAC-4E28A4A34274}" parentId="{67652A80-740A-4914-BB06-9F834BEDA7ED}">
    <text>agreed</text>
  </threadedComment>
  <threadedComment ref="A1386" dT="2023-05-22T11:38:46.26" personId="{3DE5673D-4837-4FC9-B8B9-34243175713A}" id="{73A8124C-E03B-45A5-8DD4-8AF48609ADF8}" done="1">
    <text>Same numbers reported in #669 and not extracted again.</text>
  </threadedComment>
  <threadedComment ref="A1386" dT="2023-11-30T13:59:08.52" personId="{E08A2389-F34B-466D-8AA1-6ADBBDF0F7BF}" id="{C9E9625E-9EB5-4599-A6B3-924427F769C4}" parentId="{73A8124C-E03B-45A5-8DD4-8AF48609ADF8}">
    <text>agreed</text>
  </threadedComment>
  <threadedComment ref="S1386" dT="2023-05-22T10:12:13.53" personId="{3DE5673D-4837-4FC9-B8B9-34243175713A}" id="{989C4A7C-18C6-4601-9071-B867698BDBD2}" done="1">
    <text>Median follow-up for the whole group, not by arm.</text>
  </threadedComment>
  <threadedComment ref="S1386" dT="2023-11-30T13:57:50.53" personId="{E08A2389-F34B-466D-8AA1-6ADBBDF0F7BF}" id="{530F6C5F-5428-4CB0-B358-E92778A58AF5}" parentId="{989C4A7C-18C6-4601-9071-B867698BDBD2}">
    <text>agreed</text>
  </threadedComment>
  <threadedComment ref="S1387" dT="2023-05-22T10:12:13.53" personId="{3DE5673D-4837-4FC9-B8B9-34243175713A}" id="{F0DD5CED-380B-41B9-A239-1889C6EC570D}" done="1">
    <text>Median follow-up for the whole group, not by arm.</text>
  </threadedComment>
  <threadedComment ref="S1387" dT="2023-11-30T13:57:50.53" personId="{E08A2389-F34B-466D-8AA1-6ADBBDF0F7BF}" id="{70B2E615-1FE6-4289-A26F-8E3B410878F9}" parentId="{F0DD5CED-380B-41B9-A239-1889C6EC570D}">
    <text>agreed</text>
  </threadedComment>
  <threadedComment ref="S1388" dT="2023-05-22T10:12:13.53" personId="{3DE5673D-4837-4FC9-B8B9-34243175713A}" id="{B0991CE7-9078-46A6-989A-0F6A5CDCF61A}" done="1">
    <text>Median follow-up for the whole group, not by arm.</text>
  </threadedComment>
  <threadedComment ref="S1388" dT="2023-11-30T13:57:50.53" personId="{E08A2389-F34B-466D-8AA1-6ADBBDF0F7BF}" id="{6D85A15A-3BC3-44BB-B393-ECD5AD6021D3}" parentId="{B0991CE7-9078-46A6-989A-0F6A5CDCF61A}">
    <text>agreed</text>
  </threadedComment>
  <threadedComment ref="X1389" dT="2023-05-30T09:29:42.24" personId="{3DE5673D-4837-4FC9-B8B9-34243175713A}" id="{6BFFB431-A9A4-4525-9CC8-B3F49EFE6593}" done="1">
    <text>2 censored in total because of missing information - unclear from which group.</text>
  </threadedComment>
  <threadedComment ref="X1389" dT="2023-11-29T15:28:47.86" personId="{E08A2389-F34B-466D-8AA1-6ADBBDF0F7BF}" id="{1F55D513-5AE6-4A93-A420-C86BF1AAFF5C}" parentId="{6BFFB431-A9A4-4525-9CC8-B3F49EFE6593}">
    <text>agreed</text>
  </threadedComment>
  <threadedComment ref="X1390" dT="2023-05-30T09:29:42.24" personId="{3DE5673D-4837-4FC9-B8B9-34243175713A}" id="{4AC72B9F-4CC9-4BF1-8AA3-0B5D527E9C4F}" done="1">
    <text>2 censored in total because of missing information - unclear from which group.</text>
  </threadedComment>
  <threadedComment ref="X1390" dT="2023-11-29T15:28:47.86" personId="{E08A2389-F34B-466D-8AA1-6ADBBDF0F7BF}" id="{97C5F56C-CD4D-4A15-BA45-072884E0FD22}" parentId="{4AC72B9F-4CC9-4BF1-8AA3-0B5D527E9C4F}">
    <text>agreed</text>
  </threadedComment>
  <threadedComment ref="X1391" dT="2023-05-30T09:29:42.24" personId="{3DE5673D-4837-4FC9-B8B9-34243175713A}" id="{B92D7382-CF26-46DC-8D79-8151C2798076}" done="1">
    <text>2 censored in total because of missing information - unclear from which group.</text>
  </threadedComment>
  <threadedComment ref="X1391" dT="2023-11-29T15:28:47.86" personId="{E08A2389-F34B-466D-8AA1-6ADBBDF0F7BF}" id="{E958A0CC-33AB-41B0-8EE9-DEBC8F2D5BA0}" parentId="{B92D7382-CF26-46DC-8D79-8151C2798076}">
    <text>agreed</text>
  </threadedComment>
  <threadedComment ref="X1392" dT="2023-05-30T09:29:42.24" personId="{3DE5673D-4837-4FC9-B8B9-34243175713A}" id="{19091507-F7F7-49FC-BD52-E976D0EDFAB9}" done="1">
    <text>2 censored in total because of missing information - unclear from which group.</text>
  </threadedComment>
  <threadedComment ref="X1392" dT="2023-11-29T15:28:47.86" personId="{E08A2389-F34B-466D-8AA1-6ADBBDF0F7BF}" id="{1B5D7B31-83B0-47BD-9D58-5F8C07936FE7}" parentId="{19091507-F7F7-49FC-BD52-E976D0EDFAB9}">
    <text>agreed</text>
  </threadedComment>
  <threadedComment ref="X1393" dT="2023-05-30T09:29:42.24" personId="{3DE5673D-4837-4FC9-B8B9-34243175713A}" id="{238B1F28-CC0F-42FA-944E-3FD874E9685F}" done="1">
    <text>2 censored in total because of missing information - unclear from which group.</text>
  </threadedComment>
  <threadedComment ref="X1393" dT="2023-11-29T15:28:47.86" personId="{E08A2389-F34B-466D-8AA1-6ADBBDF0F7BF}" id="{CBB99470-D9C9-4622-BF09-73FA05EC0071}" parentId="{238B1F28-CC0F-42FA-944E-3FD874E9685F}">
    <text>agreed</text>
  </threadedComment>
  <threadedComment ref="X1394" dT="2023-05-30T09:29:42.24" personId="{3DE5673D-4837-4FC9-B8B9-34243175713A}" id="{8A2EC2A8-4B6B-496A-AC65-B705597EDFB9}" done="1">
    <text>2 censored in total because of missing information - unclear from which group.</text>
  </threadedComment>
  <threadedComment ref="X1394" dT="2023-11-29T15:28:47.86" personId="{E08A2389-F34B-466D-8AA1-6ADBBDF0F7BF}" id="{AAA927FF-A310-437B-9B2A-5460EFB55FF2}" parentId="{8A2EC2A8-4B6B-496A-AC65-B705597EDFB9}">
    <text>agreed</text>
  </threadedComment>
  <threadedComment ref="X1395" dT="2023-05-30T09:29:42.24" personId="{3DE5673D-4837-4FC9-B8B9-34243175713A}" id="{F5CA3224-189E-4EAA-846D-F482CFCD7C6D}" done="1">
    <text>2 censored in total because of missing information - unclear from which group.</text>
  </threadedComment>
  <threadedComment ref="X1395" dT="2023-11-29T15:28:47.86" personId="{E08A2389-F34B-466D-8AA1-6ADBBDF0F7BF}" id="{644D2D55-5104-4ADA-BDED-1F61CB41CBD5}" parentId="{F5CA3224-189E-4EAA-846D-F482CFCD7C6D}">
    <text>agreed</text>
  </threadedComment>
  <threadedComment ref="X1396" dT="2023-05-30T09:29:42.24" personId="{3DE5673D-4837-4FC9-B8B9-34243175713A}" id="{3260B4DB-AD7F-477D-8093-35D792103F79}" done="1">
    <text>2 censored in total because of missing information - unclear from which group.</text>
  </threadedComment>
  <threadedComment ref="X1396" dT="2023-11-29T15:28:47.86" personId="{E08A2389-F34B-466D-8AA1-6ADBBDF0F7BF}" id="{91B7FBE2-DE2C-49DD-8874-C75D69FE76A5}" parentId="{3260B4DB-AD7F-477D-8093-35D792103F79}">
    <text>agreed</text>
  </threadedComment>
  <threadedComment ref="X1397" dT="2023-05-30T09:29:42.24" personId="{3DE5673D-4837-4FC9-B8B9-34243175713A}" id="{CF07E5E1-DA23-48DB-A2BD-77E142F5F99C}" done="1">
    <text>2 censored in total because of missing information - unclear from which group.</text>
  </threadedComment>
  <threadedComment ref="X1397" dT="2023-11-29T15:28:47.86" personId="{E08A2389-F34B-466D-8AA1-6ADBBDF0F7BF}" id="{DC175B1E-4FB4-42D4-89B9-E48D22EACFD9}" parentId="{CF07E5E1-DA23-48DB-A2BD-77E142F5F99C}">
    <text>agreed</text>
  </threadedComment>
  <threadedComment ref="X1398" dT="2023-05-30T09:29:42.24" personId="{3DE5673D-4837-4FC9-B8B9-34243175713A}" id="{4B2073B4-F027-4220-8732-B2438EDE01F4}" done="1">
    <text>2 censored in total because of missing information - unclear from which group.</text>
  </threadedComment>
  <threadedComment ref="X1399" dT="2023-05-30T09:29:42.24" personId="{3DE5673D-4837-4FC9-B8B9-34243175713A}" id="{F0BAF5F8-F45C-4537-A0B3-E675652E4070}">
    <text>2 censored in total because of missing information - unclear from which group.</text>
  </threadedComment>
  <threadedComment ref="X1400" dT="2023-05-30T09:29:42.24" personId="{3DE5673D-4837-4FC9-B8B9-34243175713A}" id="{64DE5A8D-17F7-4DAF-8A8D-0AFFBE42E234}" done="1">
    <text>2 censored in total because of missing information - unclear from which group.</text>
  </threadedComment>
  <threadedComment ref="X1400" dT="2023-11-29T15:28:47.86" personId="{E08A2389-F34B-466D-8AA1-6ADBBDF0F7BF}" id="{DD32545F-52AD-4663-B845-A5ED7FC151D4}" parentId="{64DE5A8D-17F7-4DAF-8A8D-0AFFBE42E234}">
    <text>agreed</text>
  </threadedComment>
  <threadedComment ref="X1401" dT="2023-05-30T09:29:42.24" personId="{3DE5673D-4837-4FC9-B8B9-34243175713A}" id="{8A488855-AA0C-46D8-A2E1-C4CF9C80A1DF}" done="1">
    <text>2 censored in total because of missing information - unclear from which group.</text>
  </threadedComment>
  <threadedComment ref="X1401" dT="2023-11-29T15:28:47.86" personId="{E08A2389-F34B-466D-8AA1-6ADBBDF0F7BF}" id="{5BBAA45A-5653-4025-B635-F9D1624C2C61}" parentId="{8A488855-AA0C-46D8-A2E1-C4CF9C80A1DF}">
    <text>agreed</text>
  </threadedComment>
  <threadedComment ref="X1402" dT="2023-05-30T09:29:42.24" personId="{3DE5673D-4837-4FC9-B8B9-34243175713A}" id="{20822FE3-43D9-4552-B852-C1699D98BE75}">
    <text>2 censored in total because of missing information - unclear from which group.</text>
  </threadedComment>
  <threadedComment ref="X1403" dT="2023-05-30T09:29:42.24" personId="{3DE5673D-4837-4FC9-B8B9-34243175713A}" id="{C7E85A17-3349-41EB-AACB-624CCF983D79}">
    <text>2 censored in total because of missing information - unclear from which group.</text>
  </threadedComment>
  <threadedComment ref="X1404" dT="2023-05-30T09:29:42.24" personId="{3DE5673D-4837-4FC9-B8B9-34243175713A}" id="{714F518F-80D9-40D8-9A17-189271276C2C}">
    <text>2 censored in total because of missing information - unclear from which group.</text>
  </threadedComment>
  <threadedComment ref="X1405" dT="2023-05-30T09:29:42.24" personId="{3DE5673D-4837-4FC9-B8B9-34243175713A}" id="{533048D6-C8EF-4DFC-AE30-731A9EDA7CF0}" done="1">
    <text>2 censored in total because of missing information - unclear from which group.</text>
  </threadedComment>
  <threadedComment ref="X1405" dT="2023-11-29T15:28:47.86" personId="{E08A2389-F34B-466D-8AA1-6ADBBDF0F7BF}" id="{A05D0F2D-CF47-4868-BFAF-2FC5C6F66AF2}" parentId="{533048D6-C8EF-4DFC-AE30-731A9EDA7CF0}">
    <text>agreed</text>
  </threadedComment>
  <threadedComment ref="X1406" dT="2023-05-30T09:29:42.24" personId="{3DE5673D-4837-4FC9-B8B9-34243175713A}" id="{0BD3BCFA-0C31-436D-B25B-D2C3B7F01C73}" done="1">
    <text>2 censored in total because of missing information - unclear from which group.</text>
  </threadedComment>
  <threadedComment ref="X1406" dT="2023-11-29T15:28:47.86" personId="{E08A2389-F34B-466D-8AA1-6ADBBDF0F7BF}" id="{6B1E100F-EF50-4C3C-B828-3A2C3C0723D9}" parentId="{0BD3BCFA-0C31-436D-B25B-D2C3B7F01C73}">
    <text>agreed</text>
  </threadedComment>
  <threadedComment ref="R1407" dT="2023-05-30T16:17:16.00" personId="{3DE5673D-4837-4FC9-B8B9-34243175713A}" id="{C49793DA-3BD3-4292-9261-C3F5F8277B97}" done="1">
    <text>19,605 PY / 2,376 people</text>
  </threadedComment>
  <threadedComment ref="R1407" dT="2023-11-30T08:18:23.64" personId="{E08A2389-F34B-466D-8AA1-6ADBBDF0F7BF}" id="{A4C7E48E-8E3B-4D02-817B-0F41B99EB7C9}" parentId="{C49793DA-3BD3-4292-9261-C3F5F8277B97}">
    <text>agreed</text>
  </threadedComment>
  <threadedComment ref="S1407" dT="2023-05-30T16:18:23.00" personId="{3DE5673D-4837-4FC9-B8B9-34243175713A}" id="{25D6037A-CACF-4F48-80FC-67916185FCA0}" done="1">
    <text>12,053 PY / 1,723</text>
  </threadedComment>
  <threadedComment ref="S1407" dT="2023-11-30T08:18:29.93" personId="{E08A2389-F34B-466D-8AA1-6ADBBDF0F7BF}" id="{8978DEE7-D34B-4B3E-967A-3910FB8C6AEF}" parentId="{25D6037A-CACF-4F48-80FC-67916185FCA0}">
    <text>agreed</text>
  </threadedComment>
  <threadedComment ref="R1408" dT="2023-05-30T16:17:16.00" personId="{3DE5673D-4837-4FC9-B8B9-34243175713A}" id="{23AB4D95-328C-4D1F-89A0-6D102572A46D}" done="1">
    <text>19,605 PY / 2,376 people</text>
  </threadedComment>
  <threadedComment ref="R1408" dT="2023-11-30T08:18:23.64" personId="{E08A2389-F34B-466D-8AA1-6ADBBDF0F7BF}" id="{409F3A71-C5A6-4C6B-894E-C946DAC26365}" parentId="{23AB4D95-328C-4D1F-89A0-6D102572A46D}">
    <text>agreed</text>
  </threadedComment>
  <threadedComment ref="S1408" dT="2023-05-30T16:18:23.00" personId="{3DE5673D-4837-4FC9-B8B9-34243175713A}" id="{13EBC02A-A3AE-4BCD-81AF-613C2DE9B95C}" done="1">
    <text>12,053 PY / 1,723</text>
  </threadedComment>
  <threadedComment ref="S1408" dT="2023-11-30T08:18:29.93" personId="{E08A2389-F34B-466D-8AA1-6ADBBDF0F7BF}" id="{E28991A8-9A24-4AD1-A26C-44FCD67E1B65}" parentId="{13EBC02A-A3AE-4BCD-81AF-613C2DE9B95C}">
    <text>agreed</text>
  </threadedComment>
  <threadedComment ref="R1409" dT="2023-05-30T16:17:16.00" personId="{3DE5673D-4837-4FC9-B8B9-34243175713A}" id="{C264FC6E-0B5E-4236-9EBE-891D3038198E}" done="1">
    <text>19,605 PY / 2,376 people</text>
  </threadedComment>
  <threadedComment ref="R1409" dT="2023-11-30T08:18:23.64" personId="{E08A2389-F34B-466D-8AA1-6ADBBDF0F7BF}" id="{292581D3-603B-42CD-AB5C-5D795855772E}" parentId="{C264FC6E-0B5E-4236-9EBE-891D3038198E}">
    <text>agreed</text>
  </threadedComment>
  <threadedComment ref="S1409" dT="2023-05-30T16:18:23.00" personId="{3DE5673D-4837-4FC9-B8B9-34243175713A}" id="{03C11490-F260-44F9-811E-5C6CD08E514C}" done="1">
    <text>12,053 PY / 1,723</text>
  </threadedComment>
  <threadedComment ref="S1409" dT="2023-11-30T08:18:29.93" personId="{E08A2389-F34B-466D-8AA1-6ADBBDF0F7BF}" id="{CD63948C-794B-4001-83A4-59EC39ED7E1B}" parentId="{03C11490-F260-44F9-811E-5C6CD08E514C}">
    <text>agreed</text>
  </threadedComment>
  <threadedComment ref="AC1409" dT="2023-11-30T08:19:39.99" personId="{E08A2389-F34B-466D-8AA1-6ADBBDF0F7BF}" id="{F3B9C5C7-2DA3-4BA5-9685-D46385111AF8}">
    <text>Isn't it "all" deaths? Cos this row is about all-cause mortality.</text>
  </threadedComment>
  <threadedComment ref="R1410" dT="2023-05-30T16:17:16.00" personId="{3DE5673D-4837-4FC9-B8B9-34243175713A}" id="{A1BC9262-AFCA-4728-86D8-C6CF34D28630}" done="1">
    <text>19,605 PY / 2,376 people</text>
  </threadedComment>
  <threadedComment ref="R1410" dT="2023-11-30T08:18:23.64" personId="{E08A2389-F34B-466D-8AA1-6ADBBDF0F7BF}" id="{5806BAEB-CC6F-43B8-95DF-59B9FCF96E5A}" parentId="{A1BC9262-AFCA-4728-86D8-C6CF34D28630}">
    <text>agreed</text>
  </threadedComment>
  <threadedComment ref="S1410" dT="2023-05-30T16:18:23.00" personId="{3DE5673D-4837-4FC9-B8B9-34243175713A}" id="{016F78BE-4960-4EB8-A6BD-833833A0CDBA}" done="1">
    <text>12,053 PY / 1,723</text>
  </threadedComment>
  <threadedComment ref="S1410" dT="2023-11-30T08:18:29.93" personId="{E08A2389-F34B-466D-8AA1-6ADBBDF0F7BF}" id="{681097EF-C1B2-4215-ADA4-7CE1F756E316}" parentId="{016F78BE-4960-4EB8-A6BD-833833A0CDBA}">
    <text>agreed</text>
  </threadedComment>
  <threadedComment ref="AC1410" dT="2023-11-30T08:19:45.68" personId="{E08A2389-F34B-466D-8AA1-6ADBBDF0F7BF}" id="{EB90F8CC-DEC4-45D0-9833-AE7231BE7D84}">
    <text>Isn't it "all" deaths? Cos this row is about all-cause mortality.</text>
  </threadedComment>
  <threadedComment ref="R1411" dT="2023-05-31T09:50:24.72" personId="{3DE5673D-4837-4FC9-B8B9-34243175713A}" id="{C99D11EE-A4A3-4174-A457-6CC81097E6D3}" done="1">
    <text>23,083 PY / 2,376</text>
  </threadedComment>
  <threadedComment ref="R1411" dT="2023-11-30T08:24:47.40" personId="{E08A2389-F34B-466D-8AA1-6ADBBDF0F7BF}" id="{E17B8CB7-AE79-44C9-BBA2-8C5B02747E9E}" parentId="{C99D11EE-A4A3-4174-A457-6CC81097E6D3}">
    <text>Agree with mean. Don’t' think we need the median cos it's about screening not total follow up.</text>
  </threadedComment>
  <threadedComment ref="R1411" dT="2023-12-01T09:31:18.37" personId="{3DE5673D-4837-4FC9-B8B9-34243175713A}" id="{33359022-1C36-44EF-B27F-96AF0089CCD9}" parentId="{C99D11EE-A4A3-4174-A457-6CC81097E6D3}">
    <text>Agree.</text>
  </threadedComment>
  <threadedComment ref="S1411" dT="2023-05-31T09:51:24.70" personId="{3DE5673D-4837-4FC9-B8B9-34243175713A}" id="{663965BA-EC8B-4A54-8EFA-5D245626395D}" done="1">
    <text>16,210 PY / 1,723</text>
  </threadedComment>
  <threadedComment ref="S1411" dT="2023-11-30T08:24:58.48" personId="{E08A2389-F34B-466D-8AA1-6ADBBDF0F7BF}" id="{56D6CDC7-2B54-42C9-9492-9FC2B7A4CD66}" parentId="{663965BA-EC8B-4A54-8EFA-5D245626395D}">
    <text>agreed</text>
  </threadedComment>
  <threadedComment ref="R1412" dT="2023-05-31T09:50:24.72" personId="{3DE5673D-4837-4FC9-B8B9-34243175713A}" id="{807CA722-C2F2-4257-8FF3-AFF6F454F252}" done="1">
    <text>23,083 PY / 2,376</text>
  </threadedComment>
  <threadedComment ref="R1412" dT="2023-11-30T08:24:47.40" personId="{E08A2389-F34B-466D-8AA1-6ADBBDF0F7BF}" id="{65037A70-EF70-475A-A1DC-3F358CA773A4}" parentId="{807CA722-C2F2-4257-8FF3-AFF6F454F252}">
    <text>Agree with mean. Don’t' think we need the median cos it's about screening not total follow up.</text>
  </threadedComment>
  <threadedComment ref="R1412" dT="2023-12-01T09:31:18.37" personId="{3DE5673D-4837-4FC9-B8B9-34243175713A}" id="{E1316DCE-2999-47DD-8E08-EFA4CAFD5A04}" parentId="{807CA722-C2F2-4257-8FF3-AFF6F454F252}">
    <text>Agree.</text>
  </threadedComment>
  <threadedComment ref="S1412" dT="2023-05-31T09:51:24.70" personId="{3DE5673D-4837-4FC9-B8B9-34243175713A}" id="{9863245E-7DF0-4EF8-82A7-35872FEA67AD}" done="1">
    <text>16,210 PY / 1,723</text>
  </threadedComment>
  <threadedComment ref="S1412" dT="2023-11-30T08:24:58.48" personId="{E08A2389-F34B-466D-8AA1-6ADBBDF0F7BF}" id="{1775BF4D-F02D-44AD-A756-A1896F06F0DB}" parentId="{9863245E-7DF0-4EF8-82A7-35872FEA67AD}">
    <text>agreed</text>
  </threadedComment>
  <threadedComment ref="R1413" dT="2023-05-31T09:50:24.72" personId="{3DE5673D-4837-4FC9-B8B9-34243175713A}" id="{E28E6CEA-541A-4B53-B2C9-C745569E8E85}" done="1">
    <text>23,083 PY / 2,376</text>
  </threadedComment>
  <threadedComment ref="R1413" dT="2023-11-30T08:24:47.40" personId="{E08A2389-F34B-466D-8AA1-6ADBBDF0F7BF}" id="{1207949E-F28D-47A9-9048-625EFB064A30}" parentId="{E28E6CEA-541A-4B53-B2C9-C745569E8E85}">
    <text>Agree with mean. Don’t' think we need the median cos it's about screening not total follow up.</text>
  </threadedComment>
  <threadedComment ref="R1413" dT="2023-12-01T09:31:18.37" personId="{3DE5673D-4837-4FC9-B8B9-34243175713A}" id="{FBD4F6F4-AFCB-4238-BAF6-6DC0F897099D}" parentId="{E28E6CEA-541A-4B53-B2C9-C745569E8E85}">
    <text>Agree.</text>
  </threadedComment>
  <threadedComment ref="S1413" dT="2023-05-31T09:51:24.70" personId="{3DE5673D-4837-4FC9-B8B9-34243175713A}" id="{64D9F8CD-54AA-4641-A00E-299756116766}" done="1">
    <text>16,210 PY / 1,723</text>
  </threadedComment>
  <threadedComment ref="S1413" dT="2023-11-30T08:24:58.48" personId="{E08A2389-F34B-466D-8AA1-6ADBBDF0F7BF}" id="{F433421E-9A2F-4201-920F-E652FAF3583E}" parentId="{64D9F8CD-54AA-4641-A00E-299756116766}">
    <text>agreed</text>
  </threadedComment>
  <threadedComment ref="R1414" dT="2023-05-31T09:50:24.72" personId="{3DE5673D-4837-4FC9-B8B9-34243175713A}" id="{56CB2313-D30B-411F-BBF3-FE8FCF96FFFF}" done="1">
    <text>23,083 PY / 2,376</text>
  </threadedComment>
  <threadedComment ref="R1414" dT="2023-11-30T08:24:47.40" personId="{E08A2389-F34B-466D-8AA1-6ADBBDF0F7BF}" id="{188C0AF3-634C-40E9-A00A-0D9E1ABCAD94}" parentId="{56CB2313-D30B-411F-BBF3-FE8FCF96FFFF}">
    <text>Agree with mean. Don’t' think we need the median cos it's about screening not total follow up.</text>
  </threadedComment>
  <threadedComment ref="R1414" dT="2023-12-01T09:31:18.37" personId="{3DE5673D-4837-4FC9-B8B9-34243175713A}" id="{6E8B8E81-6016-42F1-BB45-70ABB7CB37C5}" parentId="{56CB2313-D30B-411F-BBF3-FE8FCF96FFFF}">
    <text>Agree.</text>
  </threadedComment>
  <threadedComment ref="S1414" dT="2023-05-31T09:51:24.70" personId="{3DE5673D-4837-4FC9-B8B9-34243175713A}" id="{F1FF9C98-8F94-4EAD-8327-F3999B598819}" done="1">
    <text>16,210 PY / 1,723</text>
  </threadedComment>
  <threadedComment ref="S1414" dT="2023-11-30T08:24:58.48" personId="{E08A2389-F34B-466D-8AA1-6ADBBDF0F7BF}" id="{60CAFE9A-B839-49E2-89AC-2D231E03E34B}" parentId="{F1FF9C98-8F94-4EAD-8327-F3999B598819}">
    <text>agreed</text>
  </threadedComment>
  <threadedComment ref="Y1414" dT="2023-11-30T08:38:14.97" personId="{E08A2389-F34B-466D-8AA1-6ADBBDF0F7BF}" id="{B782F747-6D91-4260-966D-B081551DF8AD}" done="1">
    <text>Cause of death missing for 3 people in the intervention arm.</text>
  </threadedComment>
  <threadedComment ref="Y1414" dT="2023-12-01T09:36:01.20" personId="{3DE5673D-4837-4FC9-B8B9-34243175713A}" id="{6EE2128D-7D19-4930-B8D3-0DDDEAE4EE6A}" parentId="{B782F747-6D91-4260-966D-B081551DF8AD}">
    <text>Agree. But for the outcome "All-cause mortality" that does not matter. 
There are no missing data for that outcome. Should I put NA instead of 0?</text>
  </threadedComment>
  <threadedComment ref="Y1414" dT="2023-12-01T10:54:45.57" personId="{E08A2389-F34B-466D-8AA1-6ADBBDF0F7BF}" id="{C40B0452-730E-4783-A6CB-0B062370C2BF}" parentId="{B782F747-6D91-4260-966D-B081551DF8AD}">
    <text>You're quite right. Ignore me.</text>
  </threadedComment>
  <threadedComment ref="AA1414" dT="2023-11-30T08:38:14.97" personId="{E08A2389-F34B-466D-8AA1-6ADBBDF0F7BF}" id="{E2000BFD-3ABE-4D5C-B5CE-96DD743CE740}" done="1">
    <text>Cause of death missing for 3 people in the intervention arm.</text>
  </threadedComment>
  <threadedComment ref="AA1414" dT="2023-12-01T09:36:01.20" personId="{3DE5673D-4837-4FC9-B8B9-34243175713A}" id="{589AFD1C-26C5-4CBF-A8F4-C2C4AE1595EF}" parentId="{E2000BFD-3ABE-4D5C-B5CE-96DD743CE740}">
    <text>Agree. But for the outcome "All-cause mortality" that does not matter. 
There are no missing data for that outcome. Should I put NA instead of 0?</text>
  </threadedComment>
  <threadedComment ref="AA1414" dT="2023-12-01T10:54:45.57" personId="{E08A2389-F34B-466D-8AA1-6ADBBDF0F7BF}" id="{168F293B-DA1E-41DB-BF55-41E3F4054B69}" parentId="{E2000BFD-3ABE-4D5C-B5CE-96DD743CE740}">
    <text>You're quite right. Ignore me.</text>
  </threadedComment>
  <threadedComment ref="R1415" dT="2023-05-31T09:50:24.72" personId="{3DE5673D-4837-4FC9-B8B9-34243175713A}" id="{BB53D60A-AE65-46DA-963D-4663965D835D}" done="1">
    <text>23,083 PY / 2,376</text>
  </threadedComment>
  <threadedComment ref="R1415" dT="2023-11-30T08:24:47.40" personId="{E08A2389-F34B-466D-8AA1-6ADBBDF0F7BF}" id="{97073053-DE36-4141-894E-4A4C9D7BE1B8}" parentId="{BB53D60A-AE65-46DA-963D-4663965D835D}">
    <text>Agree with mean. Don’t' think we need the median cos it's about screening not total follow up.</text>
  </threadedComment>
  <threadedComment ref="R1415" dT="2023-12-01T09:31:18.37" personId="{3DE5673D-4837-4FC9-B8B9-34243175713A}" id="{A40FBA04-FA02-456F-A96A-78B3F6B5F95C}" parentId="{BB53D60A-AE65-46DA-963D-4663965D835D}">
    <text>Agree.</text>
  </threadedComment>
  <threadedComment ref="S1415" dT="2023-05-31T09:51:24.70" personId="{3DE5673D-4837-4FC9-B8B9-34243175713A}" id="{8CF2EE7B-D991-4E78-BC0D-DFC659B8F9F6}" done="1">
    <text>16,210 PY / 1,723</text>
  </threadedComment>
  <threadedComment ref="S1415" dT="2023-11-30T08:24:58.48" personId="{E08A2389-F34B-466D-8AA1-6ADBBDF0F7BF}" id="{2FCA32C6-5788-4553-95A4-EACE0D8B36AD}" parentId="{8CF2EE7B-D991-4E78-BC0D-DFC659B8F9F6}">
    <text>agreed</text>
  </threadedComment>
  <threadedComment ref="Y1415" dT="2023-11-30T08:38:14.97" personId="{E08A2389-F34B-466D-8AA1-6ADBBDF0F7BF}" id="{8EAB5EE2-63B1-4239-BE57-3EEDD6D9E706}" done="1">
    <text>Cause of death missing for 3 people in the intervention arm.</text>
  </threadedComment>
  <threadedComment ref="Y1415" dT="2023-12-01T09:36:01.20" personId="{3DE5673D-4837-4FC9-B8B9-34243175713A}" id="{661C546A-1410-44C2-BA4B-A7611567741C}" parentId="{8EAB5EE2-63B1-4239-BE57-3EEDD6D9E706}">
    <text>Agree. But for the outcome "All-cause mortality" that does not matter. 
There are no missing data for that outcome. Should I put NA instead of 0?</text>
  </threadedComment>
  <threadedComment ref="Y1415" dT="2023-12-01T10:54:45.57" personId="{E08A2389-F34B-466D-8AA1-6ADBBDF0F7BF}" id="{A5A4864C-EAF3-40D8-8AA0-4642B2D95468}" parentId="{8EAB5EE2-63B1-4239-BE57-3EEDD6D9E706}">
    <text>You're quite right. Ignore me.</text>
  </threadedComment>
  <threadedComment ref="AA1415" dT="2023-11-30T08:38:14.97" personId="{E08A2389-F34B-466D-8AA1-6ADBBDF0F7BF}" id="{17B83498-06B8-40B3-A4D5-2D3790FB4937}" done="1">
    <text>Cause of death missing for 3 people in the intervention arm.</text>
  </threadedComment>
  <threadedComment ref="AA1415" dT="2023-12-01T09:36:01.20" personId="{3DE5673D-4837-4FC9-B8B9-34243175713A}" id="{12734F25-A101-4125-BF51-946B64F9FBA8}" parentId="{17B83498-06B8-40B3-A4D5-2D3790FB4937}">
    <text>Agree. But for the outcome "All-cause mortality" that does not matter. 
There are no missing data for that outcome. Should I put NA instead of 0?</text>
  </threadedComment>
  <threadedComment ref="AA1415" dT="2023-12-01T10:54:45.57" personId="{E08A2389-F34B-466D-8AA1-6ADBBDF0F7BF}" id="{C5FACA86-708F-41AB-B186-DFB03BA05794}" parentId="{17B83498-06B8-40B3-A4D5-2D3790FB4937}">
    <text>You're quite right. Ignore me.</text>
  </threadedComment>
  <threadedComment ref="R1416" dT="2023-05-31T09:50:24.72" personId="{3DE5673D-4837-4FC9-B8B9-34243175713A}" id="{F3FE2EDC-55B2-45B5-A0C1-657FEAC17A72}" done="1">
    <text>23,083 PY / 2,376</text>
  </threadedComment>
  <threadedComment ref="R1416" dT="2023-11-30T08:24:47.40" personId="{E08A2389-F34B-466D-8AA1-6ADBBDF0F7BF}" id="{C65C0B54-D870-4039-B642-B637E6F0203B}" parentId="{F3FE2EDC-55B2-45B5-A0C1-657FEAC17A72}">
    <text>Agree with mean. Don’t' think we need the median cos it's about screening not total follow up.</text>
  </threadedComment>
  <threadedComment ref="R1416" dT="2023-12-01T09:31:18.37" personId="{3DE5673D-4837-4FC9-B8B9-34243175713A}" id="{65A6C873-FA5A-4ED1-A1BA-CA1BB474C04D}" parentId="{F3FE2EDC-55B2-45B5-A0C1-657FEAC17A72}">
    <text>Agree.</text>
  </threadedComment>
  <threadedComment ref="S1416" dT="2023-05-31T09:51:24.70" personId="{3DE5673D-4837-4FC9-B8B9-34243175713A}" id="{BDF254A3-CDAC-4844-8004-9A1F7CB942EB}" done="1">
    <text>16,210 PY / 1,723</text>
  </threadedComment>
  <threadedComment ref="S1416" dT="2023-11-30T08:24:58.48" personId="{E08A2389-F34B-466D-8AA1-6ADBBDF0F7BF}" id="{E3AD637F-B52E-436D-AD5D-B2091625C889}" parentId="{BDF254A3-CDAC-4844-8004-9A1F7CB942EB}">
    <text>agreed</text>
  </threadedComment>
  <threadedComment ref="Y1416" dT="2023-11-30T08:38:14.97" personId="{E08A2389-F34B-466D-8AA1-6ADBBDF0F7BF}" id="{6D5B49B3-6349-42A2-AAE2-825E004017D7}" done="1">
    <text>Cause of death missing for 3 people in the intervention arm.</text>
  </threadedComment>
  <threadedComment ref="Y1416" dT="2023-12-01T09:36:01.20" personId="{3DE5673D-4837-4FC9-B8B9-34243175713A}" id="{5C4D2171-DB37-4DE8-ADF8-0619BD9E584C}" parentId="{6D5B49B3-6349-42A2-AAE2-825E004017D7}">
    <text>Agree. But for the outcome "All-cause mortality" that does not matter. 
There are no missing data for that outcome. Should I put NA instead of 0?</text>
  </threadedComment>
  <threadedComment ref="Y1416" dT="2023-12-01T10:54:45.57" personId="{E08A2389-F34B-466D-8AA1-6ADBBDF0F7BF}" id="{D6659557-CD7D-4E2E-A951-FC533FEED091}" parentId="{6D5B49B3-6349-42A2-AAE2-825E004017D7}">
    <text>You're quite right. Ignore me.</text>
  </threadedComment>
  <threadedComment ref="AA1416" dT="2023-11-30T08:38:14.97" personId="{E08A2389-F34B-466D-8AA1-6ADBBDF0F7BF}" id="{068AB9C3-7F8D-451F-B49E-2B5993966531}" done="1">
    <text>Cause of death missing for 3 people in the intervention arm.</text>
  </threadedComment>
  <threadedComment ref="AA1416" dT="2023-12-01T09:36:01.20" personId="{3DE5673D-4837-4FC9-B8B9-34243175713A}" id="{C0DCAA38-D36F-4F0B-A070-CF99F0F020BC}" parentId="{068AB9C3-7F8D-451F-B49E-2B5993966531}">
    <text>Agree. But for the outcome "All-cause mortality" that does not matter. 
There are no missing data for that outcome. Should I put NA instead of 0?</text>
  </threadedComment>
  <threadedComment ref="AA1416" dT="2023-12-01T10:54:45.57" personId="{E08A2389-F34B-466D-8AA1-6ADBBDF0F7BF}" id="{3B7F48D9-3359-48C5-A2D5-F8585A235E21}" parentId="{068AB9C3-7F8D-451F-B49E-2B5993966531}">
    <text>You're quite right. Ignore me.</text>
  </threadedComment>
  <threadedComment ref="A1417" dT="2023-05-31T12:25:46.60" personId="{3DE5673D-4837-4FC9-B8B9-34243175713A}" id="{1974C516-3053-4727-BDAE-6D1734268445}" done="1">
    <text>Same outcomes seem to be reported for 1,974 participants with negative baseline LDCT (Table S1).</text>
  </threadedComment>
  <threadedComment ref="A1417" dT="2023-11-30T08:42:43.09" personId="{E08A2389-F34B-466D-8AA1-6ADBBDF0F7BF}" id="{8281CD83-C8BB-42BB-90C2-E36165CB2554}" parentId="{1974C516-3053-4727-BDAE-6D1734268445}">
    <text>I don't think we need the screen negative data.</text>
  </threadedComment>
  <threadedComment ref="F1417" dT="2023-11-30T08:46:59.41" personId="{E08A2389-F34B-466D-8AA1-6ADBBDF0F7BF}" id="{EEEB1934-F6FD-4A76-997D-1F414B1B797B}" done="1">
    <text>For previous papers annual was the screening arm and biennial was the comparator. Swapped for paper #724. Shouldn't it be consistent throughout?</text>
  </threadedComment>
  <threadedComment ref="F1417" dT="2023-12-01T09:39:48.21" personId="{3DE5673D-4837-4FC9-B8B9-34243175713A}" id="{FD0AA8EB-F023-4034-944D-447E4BAFF5BC}" parentId="{EEEB1934-F6FD-4A76-997D-1F414B1B797B}">
    <text>Agreed.</text>
  </threadedComment>
  <threadedComment ref="R1417" dT="2023-05-31T10:58:45.35" personId="{3DE5673D-4837-4FC9-B8B9-34243175713A}" id="{29AB5B91-A2EF-457E-83A0-955AA42598AE}" done="1">
    <text>11,521 PY / 1,190</text>
  </threadedComment>
  <threadedComment ref="R1417" dT="2023-11-30T08:44:13.78" personId="{E08A2389-F34B-466D-8AA1-6ADBBDF0F7BF}" id="{22750A60-ACC8-4A1C-80BD-F00049FD8737}" parentId="{29AB5B91-A2EF-457E-83A0-955AA42598AE}">
    <text>agreed</text>
  </threadedComment>
  <threadedComment ref="S1417" dT="2023-05-31T10:59:29.63" personId="{3DE5673D-4837-4FC9-B8B9-34243175713A}" id="{CF647D1D-5B2B-4B2D-A482-05ECD163B2DD}" done="1">
    <text>11,562 PY / 1,186</text>
  </threadedComment>
  <threadedComment ref="S1417" dT="2023-11-30T08:44:09.89" personId="{E08A2389-F34B-466D-8AA1-6ADBBDF0F7BF}" id="{CCF3344E-630D-4E3F-8317-16FCD82CD5CD}" parentId="{CF647D1D-5B2B-4B2D-A482-05ECD163B2DD}">
    <text>agreed</text>
  </threadedComment>
  <threadedComment ref="AS1417" dT="2023-12-01T11:15:00.47" personId="{E08A2389-F34B-466D-8AA1-6ADBBDF0F7BF}" id="{535AF516-9612-4775-B656-40F84B1C3B3D}" done="1">
    <text>Agree with the number, but this should be in the 'calculated' cell.</text>
  </threadedComment>
  <threadedComment ref="AU1417" dT="2023-12-01T11:15:11.69" personId="{E08A2389-F34B-466D-8AA1-6ADBBDF0F7BF}" id="{2749A25E-7ECB-4EE6-B413-76744AD90620}" done="1">
    <text xml:space="preserve">Agree with the number, but not reported, we calculated this.
</text>
  </threadedComment>
  <threadedComment ref="AU1417" dT="2023-12-01T13:20:03.59" personId="{3DE5673D-4837-4FC9-B8B9-34243175713A}" id="{E0EF1EFC-D2E9-48D6-94F1-BCEB3F7C7774}" parentId="{2749A25E-7ECB-4EE6-B413-76744AD90620}">
    <text>Agree, but there is no way putting it in the form. Will add it to the notes.</text>
  </threadedComment>
  <threadedComment ref="AV1417" dT="2023-12-01T11:15:51.33" personId="{E08A2389-F34B-466D-8AA1-6ADBBDF0F7BF}" id="{C8B42475-5054-46F8-BFFC-BB885E49C1A4}" done="1">
    <text>Agree with the number, but not reported, we calculated this.</text>
  </threadedComment>
  <threadedComment ref="R1418" dT="2023-05-31T10:58:45.35" personId="{3DE5673D-4837-4FC9-B8B9-34243175713A}" id="{AAAAE4BF-06E3-4DAD-8F78-CDD8D5EE3F72}" done="1">
    <text>11,521 PY / 1,190</text>
  </threadedComment>
  <threadedComment ref="R1418" dT="2023-11-30T08:44:13.78" personId="{E08A2389-F34B-466D-8AA1-6ADBBDF0F7BF}" id="{88579D00-C2D9-40EB-B3E2-C9B4B20007E7}" parentId="{AAAAE4BF-06E3-4DAD-8F78-CDD8D5EE3F72}">
    <text>agreed</text>
  </threadedComment>
  <threadedComment ref="S1418" dT="2023-05-31T10:59:29.63" personId="{3DE5673D-4837-4FC9-B8B9-34243175713A}" id="{002E3861-E0F1-4AE5-AA4B-F735BC7BC8F1}" done="1">
    <text>11,562 PY / 1,186</text>
  </threadedComment>
  <threadedComment ref="S1418" dT="2023-11-30T08:44:09.89" personId="{E08A2389-F34B-466D-8AA1-6ADBBDF0F7BF}" id="{D8E30191-341C-4E17-BC7F-6AA15BF9622D}" parentId="{002E3861-E0F1-4AE5-AA4B-F735BC7BC8F1}">
    <text>agreed</text>
  </threadedComment>
  <threadedComment ref="R1419" dT="2023-05-31T10:58:45.35" personId="{3DE5673D-4837-4FC9-B8B9-34243175713A}" id="{36643E97-1D97-416E-A6E3-DF44CBC9A854}" done="1">
    <text>11,521 PY / 1,190</text>
  </threadedComment>
  <threadedComment ref="R1419" dT="2023-11-30T08:44:13.78" personId="{E08A2389-F34B-466D-8AA1-6ADBBDF0F7BF}" id="{4E23AFBC-F937-4B6C-8C91-42AECD9C6B4A}" parentId="{36643E97-1D97-416E-A6E3-DF44CBC9A854}">
    <text>agreed</text>
  </threadedComment>
  <threadedComment ref="S1419" dT="2023-05-31T10:59:29.63" personId="{3DE5673D-4837-4FC9-B8B9-34243175713A}" id="{ED88BA74-C433-45F9-B436-A029976635FE}" done="1">
    <text>11,562 PY / 1,186</text>
  </threadedComment>
  <threadedComment ref="S1419" dT="2023-11-30T08:44:09.89" personId="{E08A2389-F34B-466D-8AA1-6ADBBDF0F7BF}" id="{28C7A483-1DB9-4586-815F-749C4FD0EE9E}" parentId="{ED88BA74-C433-45F9-B436-A029976635FE}">
    <text>agreed</text>
  </threadedComment>
  <threadedComment ref="R1420" dT="2023-05-31T10:58:45.35" personId="{3DE5673D-4837-4FC9-B8B9-34243175713A}" id="{BDE7145A-4025-4D96-B4C4-C4EC410DC7E0}" done="1">
    <text>11,521 PY / 1,190</text>
  </threadedComment>
  <threadedComment ref="R1420" dT="2023-11-30T08:44:13.78" personId="{E08A2389-F34B-466D-8AA1-6ADBBDF0F7BF}" id="{A100527D-7475-40DF-8509-741D8476764A}" parentId="{BDE7145A-4025-4D96-B4C4-C4EC410DC7E0}">
    <text>agreed</text>
  </threadedComment>
  <threadedComment ref="S1420" dT="2023-05-31T10:59:29.63" personId="{3DE5673D-4837-4FC9-B8B9-34243175713A}" id="{D9723855-9BE4-46B1-B86B-A3676E7F05C1}" done="1">
    <text>11,562 PY / 1,186</text>
  </threadedComment>
  <threadedComment ref="S1420" dT="2023-11-30T08:44:09.89" personId="{E08A2389-F34B-466D-8AA1-6ADBBDF0F7BF}" id="{E08C41A8-E042-468E-9463-76CE9CC0FE88}" parentId="{D9723855-9BE4-46B1-B86B-A3676E7F05C1}">
    <text>agreed</text>
  </threadedComment>
  <threadedComment ref="Y1420" dT="2023-11-30T08:48:26.43" personId="{E08A2389-F34B-466D-8AA1-6ADBBDF0F7BF}" id="{9943F66A-6151-4CA3-A5CA-4CA1E1F4C415}" done="1">
    <text>1 missing causes of death for annual arm</text>
  </threadedComment>
  <threadedComment ref="Y1420" dT="2023-12-01T10:57:59.51" personId="{E08A2389-F34B-466D-8AA1-6ADBBDF0F7BF}" id="{2ACBD896-99CE-44B2-9EDC-F6278AA24C1A}" parentId="{9943F66A-6151-4CA3-A5CA-4CA1E1F4C415}">
    <text>0 is right, cause doesn't make here</text>
  </threadedComment>
  <threadedComment ref="Z1420" dT="2023-11-30T08:49:06.85" personId="{E08A2389-F34B-466D-8AA1-6ADBBDF0F7BF}" id="{7822F51B-57E1-4AE1-8BFA-6BD488C7C221}" done="1">
    <text>Missing cause of death</text>
  </threadedComment>
  <threadedComment ref="AA1420" dT="2023-11-30T08:47:50.22" personId="{E08A2389-F34B-466D-8AA1-6ADBBDF0F7BF}" id="{74B151F1-F7FC-4977-9A0E-B203A5E96C02}" done="1">
    <text>2 missing causes of death for biennial arm</text>
  </threadedComment>
  <threadedComment ref="AA1420" dT="2023-12-01T10:58:21.79" personId="{E08A2389-F34B-466D-8AA1-6ADBBDF0F7BF}" id="{883FF113-9106-4B5E-B128-61965EF581AA}" parentId="{74B151F1-F7FC-4977-9A0E-B203A5E96C02}">
    <text xml:space="preserve">0 is right, cause doesn't make here
</text>
  </threadedComment>
  <threadedComment ref="AB1420" dT="2023-11-30T08:49:30.66" personId="{E08A2389-F34B-466D-8AA1-6ADBBDF0F7BF}" id="{1EC3911C-41CC-4407-B3B3-9C0D1FA040EB}" done="1">
    <text xml:space="preserve">Missing cause of death
</text>
  </threadedComment>
  <threadedComment ref="AB1420" dT="2023-12-01T10:58:49.75" personId="{E08A2389-F34B-466D-8AA1-6ADBBDF0F7BF}" id="{BB2C16B8-2C2E-4575-8988-923E605FD340}" parentId="{1EC3911C-41CC-4407-B3B3-9C0D1FA040EB}">
    <text>Agree with you, NA</text>
  </threadedComment>
  <threadedComment ref="AS1420" dT="2023-12-01T11:18:52.04" personId="{E08A2389-F34B-466D-8AA1-6ADBBDF0F7BF}" id="{FEF09872-36A0-4C08-B49B-9A38E5153991}" done="1">
    <text xml:space="preserve">Agree with the number, but this should be in the 'calculated' cell.
</text>
  </threadedComment>
  <threadedComment ref="AU1420" dT="2023-12-01T11:19:57.60" personId="{E08A2389-F34B-466D-8AA1-6ADBBDF0F7BF}" id="{7CF97B26-F888-473C-8C5F-26BB15D58019}" done="1">
    <text xml:space="preserve">Agree with the number, but not reported, we calculated this.
</text>
  </threadedComment>
  <threadedComment ref="AV1420" dT="2023-12-01T11:20:02.54" personId="{E08A2389-F34B-466D-8AA1-6ADBBDF0F7BF}" id="{9AB155C8-8F51-4D87-A3B0-D938DC4DAFD5}" done="1">
    <text xml:space="preserve">Agree with the number, but not reported, we calculated this.
</text>
  </threadedComment>
  <threadedComment ref="R1421" dT="2023-05-31T10:58:45.35" personId="{3DE5673D-4837-4FC9-B8B9-34243175713A}" id="{4EA9BA31-381F-47F7-B343-369C68BCC694}" done="1">
    <text>11,521 PY / 1,190</text>
  </threadedComment>
  <threadedComment ref="R1421" dT="2023-11-30T08:44:13.78" personId="{E08A2389-F34B-466D-8AA1-6ADBBDF0F7BF}" id="{B1E78AB2-CACF-4ECD-BBE7-20F081FC52BE}" parentId="{4EA9BA31-381F-47F7-B343-369C68BCC694}">
    <text>agreed</text>
  </threadedComment>
  <threadedComment ref="S1421" dT="2023-05-31T10:59:29.63" personId="{3DE5673D-4837-4FC9-B8B9-34243175713A}" id="{356BA46F-14C2-4014-855E-367EA1D38046}" done="1">
    <text>11,562 PY / 1,186</text>
  </threadedComment>
  <threadedComment ref="S1421" dT="2023-11-30T08:44:09.89" personId="{E08A2389-F34B-466D-8AA1-6ADBBDF0F7BF}" id="{DF3AB5AF-E8A4-45FB-90CF-681EDDDFA5EE}" parentId="{356BA46F-14C2-4014-855E-367EA1D38046}">
    <text>agreed</text>
  </threadedComment>
  <threadedComment ref="Y1421" dT="2023-11-30T08:48:26.43" personId="{E08A2389-F34B-466D-8AA1-6ADBBDF0F7BF}" id="{9C104A47-BB5D-40D7-B5E9-BE2676E492D8}" done="1">
    <text>1 missing causes of death for annual arm</text>
  </threadedComment>
  <threadedComment ref="Y1421" dT="2023-12-01T10:57:59.51" personId="{E08A2389-F34B-466D-8AA1-6ADBBDF0F7BF}" id="{1E5BF2CD-11EA-44CC-8626-91CC57789322}" parentId="{9C104A47-BB5D-40D7-B5E9-BE2676E492D8}">
    <text>0 is right, cause doesn't make here</text>
  </threadedComment>
  <threadedComment ref="Z1421" dT="2023-11-30T08:49:06.85" personId="{E08A2389-F34B-466D-8AA1-6ADBBDF0F7BF}" id="{B98508A8-1FF2-45DA-9D78-01BE754DE955}" done="1">
    <text>Missing cause of death</text>
  </threadedComment>
  <threadedComment ref="AA1421" dT="2023-11-30T08:47:50.22" personId="{E08A2389-F34B-466D-8AA1-6ADBBDF0F7BF}" id="{A7D8039E-F22F-4920-B5D1-916E18D10992}" done="1">
    <text>2 missing causes of death for biennial arm</text>
  </threadedComment>
  <threadedComment ref="AA1421" dT="2023-12-01T10:58:21.79" personId="{E08A2389-F34B-466D-8AA1-6ADBBDF0F7BF}" id="{3A1E7999-4976-420C-8440-DBFD9029CCD2}" parentId="{A7D8039E-F22F-4920-B5D1-916E18D10992}">
    <text xml:space="preserve">0 is right, cause doesn't make here
</text>
  </threadedComment>
  <threadedComment ref="AB1421" dT="2023-11-30T08:49:30.66" personId="{E08A2389-F34B-466D-8AA1-6ADBBDF0F7BF}" id="{3579A50D-EB4C-4D7C-A71B-5010BC065E7A}" done="1">
    <text xml:space="preserve">Missing cause of death
</text>
  </threadedComment>
  <threadedComment ref="AB1421" dT="2023-12-01T10:58:49.75" personId="{E08A2389-F34B-466D-8AA1-6ADBBDF0F7BF}" id="{6090BF56-DDF2-438C-9E9D-67987307DDF0}" parentId="{3579A50D-EB4C-4D7C-A71B-5010BC065E7A}">
    <text>Agree with you, NA</text>
  </threadedComment>
  <threadedComment ref="R1422" dT="2023-05-31T10:58:45.35" personId="{3DE5673D-4837-4FC9-B8B9-34243175713A}" id="{F94FB17F-ED09-4D52-9964-4613A3111125}" done="1">
    <text>11,521 PY / 1,190</text>
  </threadedComment>
  <threadedComment ref="R1422" dT="2023-11-30T08:44:13.78" personId="{E08A2389-F34B-466D-8AA1-6ADBBDF0F7BF}" id="{0B1679F0-FA7A-4424-AF1A-BED71389E4AF}" parentId="{F94FB17F-ED09-4D52-9964-4613A3111125}">
    <text>agreed</text>
  </threadedComment>
  <threadedComment ref="S1422" dT="2023-05-31T10:59:29.63" personId="{3DE5673D-4837-4FC9-B8B9-34243175713A}" id="{51BB8453-718A-463B-BAB9-EED2598AAEE2}" done="1">
    <text>11,562 PY / 1,186</text>
  </threadedComment>
  <threadedComment ref="S1422" dT="2023-11-30T08:44:09.89" personId="{E08A2389-F34B-466D-8AA1-6ADBBDF0F7BF}" id="{E84401A6-D09D-4E03-AC70-2535A9263D0C}" parentId="{51BB8453-718A-463B-BAB9-EED2598AAEE2}">
    <text>agreed</text>
  </threadedComment>
  <threadedComment ref="Y1422" dT="2023-11-30T08:48:26.43" personId="{E08A2389-F34B-466D-8AA1-6ADBBDF0F7BF}" id="{8EAD1409-52E5-420F-B5BF-C48CFCC4E359}" done="1">
    <text>1 missing causes of death for annual arm</text>
  </threadedComment>
  <threadedComment ref="Y1422" dT="2023-12-01T10:57:59.51" personId="{E08A2389-F34B-466D-8AA1-6ADBBDF0F7BF}" id="{0BCDBC6C-9203-4346-965C-74E0CEE0BAD2}" parentId="{8EAD1409-52E5-420F-B5BF-C48CFCC4E359}">
    <text>0 is right, cause doesn't make here</text>
  </threadedComment>
  <threadedComment ref="Z1422" dT="2023-11-30T08:49:06.85" personId="{E08A2389-F34B-466D-8AA1-6ADBBDF0F7BF}" id="{8F108E8D-96CC-4AB8-8667-DDDBCA715173}" done="1">
    <text>Missing cause of death</text>
  </threadedComment>
  <threadedComment ref="AA1422" dT="2023-11-30T08:47:50.22" personId="{E08A2389-F34B-466D-8AA1-6ADBBDF0F7BF}" id="{0DB8FAE6-A1B0-43C9-8842-9B33E8581CED}" done="1">
    <text>2 missing causes of death for biennial arm</text>
  </threadedComment>
  <threadedComment ref="AA1422" dT="2023-12-01T10:58:21.79" personId="{E08A2389-F34B-466D-8AA1-6ADBBDF0F7BF}" id="{8BBA3F27-B609-4333-A239-557A28BBB51D}" parentId="{0DB8FAE6-A1B0-43C9-8842-9B33E8581CED}">
    <text xml:space="preserve">0 is right, cause doesn't make here
</text>
  </threadedComment>
  <threadedComment ref="AB1422" dT="2023-11-30T08:49:30.66" personId="{E08A2389-F34B-466D-8AA1-6ADBBDF0F7BF}" id="{77F6A637-A08E-4C11-B139-A4201BBA4531}" done="1">
    <text xml:space="preserve">Missing cause of death
</text>
  </threadedComment>
  <threadedComment ref="AB1422" dT="2023-12-01T10:58:49.75" personId="{E08A2389-F34B-466D-8AA1-6ADBBDF0F7BF}" id="{51F2E6BE-5358-498B-96DA-1130DA9D3146}" parentId="{77F6A637-A08E-4C11-B139-A4201BBA4531}">
    <text>Agree with you, NA</text>
  </threadedComment>
  <threadedComment ref="AN1425" dT="2023-12-15T13:42:40.85" personId="{E08A2389-F34B-466D-8AA1-6ADBBDF0F7BF}" id="{35C847F7-A40C-4853-9CFF-D726ADDC268B}" done="1">
    <text>0</text>
  </threadedComment>
  <threadedComment ref="AN1425" dT="2023-12-18T13:44:04.85" personId="{3DE5673D-4837-4FC9-B8B9-34243175713A}" id="{17C1497E-610C-44D7-99C1-6042886CE865}" parentId="{35C847F7-A40C-4853-9CFF-D726ADDC268B}">
    <text>Okay.</text>
  </threadedComment>
  <threadedComment ref="A1434" dT="2023-09-13T14:41:42.37" personId="{3DE5673D-4837-4FC9-B8B9-34243175713A}" id="{E48E784C-D1F1-4F11-ABF1-8C2429D41194}" done="1">
    <text>Table VIII reports number of breast cancer deaths using different definitions. Extract?</text>
  </threadedComment>
  <threadedComment ref="A1444" dT="2023-09-14T07:54:18.06" personId="{3DE5673D-4837-4FC9-B8B9-34243175713A}" id="{768BDADF-5014-40F2-8F5D-81C05B911FD7}" done="1">
    <text>Table X and Figures b) and c) report the same data for age groups 55+ years at entry and &lt;55 years at entry. Not extracted yet as we don't have surrogate outcomes reported for these age groups.</text>
  </threadedComment>
  <threadedComment ref="A1444" dT="2023-12-18T15:39:48.72" personId="{E08A2389-F34B-466D-8AA1-6ADBBDF0F7BF}" id="{0E6E891D-2F95-4957-867C-998C2679E042}" parentId="{768BDADF-5014-40F2-8F5D-81C05B911FD7}">
    <text>Are we expecting to get them?</text>
  </threadedComment>
  <threadedComment ref="A1444" dT="2023-12-19T10:51:48.95" personId="{3DE5673D-4837-4FC9-B8B9-34243175713A}" id="{7E3253DA-37D0-4310-8001-AA2AD470B985}" parentId="{768BDADF-5014-40F2-8F5D-81C05B911FD7}">
    <text>No.</text>
  </threadedComment>
  <threadedComment ref="A1445" dT="2023-09-06T09:53:12.33" personId="{3DE5673D-4837-4FC9-B8B9-34243175713A}" id="{0262668D-B88D-4BCD-9F6B-ED1ACC547F20}" done="1">
    <text>Also reports number with breast cancer present at death (not necessarily the cause of death).</text>
  </threadedComment>
  <threadedComment ref="A1445" dT="2023-12-15T13:48:33.46" personId="{E08A2389-F34B-466D-8AA1-6ADBBDF0F7BF}" id="{54F3D945-4A6A-4759-998D-2B22056CE9CD}" parentId="{0262668D-B88D-4BCD-9F6B-ED1ACC547F20}">
    <text>Agreed. Not applicable for breast-cancer specific mortality</text>
  </threadedComment>
  <threadedComment ref="R1446" dT="2023-12-15T14:10:58.72" personId="{E08A2389-F34B-466D-8AA1-6ADBBDF0F7BF}" id="{579DB2BF-EF8C-4DC0-83A9-2EFA1DDB916E}" done="1">
    <text>I'm not sure if that is the IQR or the range.</text>
  </threadedComment>
  <threadedComment ref="R1446" dT="2023-12-18T14:01:49.87" personId="{3DE5673D-4837-4FC9-B8B9-34243175713A}" id="{9485A58B-818A-404E-BF6E-F2B43115B5B7}" parentId="{579DB2BF-EF8C-4DC0-83A9-2EFA1DDB916E}">
    <text>Not sure either now. Just put upper and lower limit.</text>
  </threadedComment>
  <threadedComment ref="S1446" dT="2023-12-15T14:10:58.72" personId="{E08A2389-F34B-466D-8AA1-6ADBBDF0F7BF}" id="{34288789-9F51-40CA-A900-9A9E188C76DF}" done="1">
    <text>I'm not sure if that is the IQR or the range.</text>
  </threadedComment>
  <threadedComment ref="S1446" dT="2023-12-18T14:01:49.87" personId="{3DE5673D-4837-4FC9-B8B9-34243175713A}" id="{C00AEC00-AE81-434B-A53D-86195A7D9ED4}" parentId="{34288789-9F51-40CA-A900-9A9E188C76DF}">
    <text>Not sure either now. Just put upper and lower limit.</text>
  </threadedComment>
  <threadedComment ref="R1447" dT="2023-12-15T14:13:47.06" personId="{E08A2389-F34B-466D-8AA1-6ADBBDF0F7BF}" id="{27AE5B63-1393-4CC1-9CF5-04A911C13460}" done="1">
    <text>I'm unclear if that is IQR or just range.</text>
  </threadedComment>
  <threadedComment ref="R1447" dT="2023-12-18T14:04:20.07" personId="{3DE5673D-4837-4FC9-B8B9-34243175713A}" id="{5A5BF262-C472-4852-92A3-3A0495A6D6AA}" parentId="{27AE5B63-1393-4CC1-9CF5-04A911C13460}">
    <text>Think it is range.</text>
  </threadedComment>
  <threadedComment ref="S1447" dT="2023-12-15T14:13:47.06" personId="{E08A2389-F34B-466D-8AA1-6ADBBDF0F7BF}" id="{B7EE0484-16E2-4E12-8EFC-791153A8004F}" done="1">
    <text>I'm unclear if that is IQR or just range.</text>
  </threadedComment>
  <threadedComment ref="S1447" dT="2023-12-18T14:04:20.07" personId="{3DE5673D-4837-4FC9-B8B9-34243175713A}" id="{DF7C3C17-7BA1-46C7-A942-A56033807282}" parentId="{B7EE0484-16E2-4E12-8EFC-791153A8004F}">
    <text>Think it is range.</text>
  </threadedComment>
  <threadedComment ref="AY1447" dT="2023-12-15T14:20:13.09" personId="{E08A2389-F34B-466D-8AA1-6ADBBDF0F7BF}" id="{0D97D38D-1640-45CE-814D-24B3A01E28FA}" done="1">
    <text>There's also an age-adjusted analysis RR 81 (0.66, 1.00)</text>
  </threadedComment>
  <threadedComment ref="AY1447" dT="2023-12-18T14:11:07.09" personId="{3DE5673D-4837-4FC9-B8B9-34243175713A}" id="{F47F1BFB-1324-41AE-BF98-153832F3A476}" parentId="{0D97D38D-1640-45CE-814D-24B3A01E28FA}">
    <text>Added.</text>
  </threadedComment>
  <threadedComment ref="U1448" dT="2023-12-15T14:21:28.67" personId="{E08A2389-F34B-466D-8AA1-6ADBBDF0F7BF}" id="{6DA1AD3E-FB16-4A10-8EBB-918081E2F337}" done="1">
    <text>21088</text>
  </threadedComment>
  <threadedComment ref="U1448" dT="2023-12-18T14:10:00.28" personId="{3DE5673D-4837-4FC9-B8B9-34243175713A}" id="{8CC35908-977A-4041-92EF-7525EC609533}" parentId="{6DA1AD3E-FB16-4A10-8EBB-918081E2F337}">
    <text>Corrected.</text>
  </threadedComment>
  <threadedComment ref="AE1451" dT="2023-12-15T14:29:44.18" personId="{E08A2389-F34B-466D-8AA1-6ADBBDF0F7BF}" id="{18BBE423-16F1-4332-80A5-F516491254D9}" done="1">
    <text>Do we also want the numbers for the "including breast cancer deaths not reported to the cancer registry" category?</text>
  </threadedComment>
  <threadedComment ref="AE1451" dT="2023-12-15T14:31:08.65" personId="{E08A2389-F34B-466D-8AA1-6ADBBDF0F7BF}" id="{A2C553A4-D4BA-49F9-875A-7670AEAACD8B}" parentId="{18BBE423-16F1-4332-80A5-F516491254D9}">
    <text>In table 4</text>
  </threadedComment>
  <threadedComment ref="AE1451" dT="2023-12-18T14:17:24.17" personId="{3DE5673D-4837-4FC9-B8B9-34243175713A}" id="{A6176EC7-5737-4E07-ACAC-DD58FD7E22CA}" parentId="{18BBE423-16F1-4332-80A5-F516491254D9}">
    <text>Added in row below.</text>
  </threadedComment>
  <threadedComment ref="AF1451" dT="2023-12-15T14:29:59.58" personId="{E08A2389-F34B-466D-8AA1-6ADBBDF0F7BF}" id="{C008A95A-0DBE-4DF9-8BFA-127E0FED791D}" done="1">
    <text>Do we also want the numbers for the "including breast cancer deaths not reported to the cancer registry" category?</text>
  </threadedComment>
  <threadedComment ref="AF1451" dT="2023-12-15T14:31:12.34" personId="{E08A2389-F34B-466D-8AA1-6ADBBDF0F7BF}" id="{017D0116-F66D-488A-848C-A5088CAD01AD}" parentId="{C008A95A-0DBE-4DF9-8BFA-127E0FED791D}">
    <text xml:space="preserve">In table 4
</text>
  </threadedComment>
  <threadedComment ref="AF1451" dT="2023-12-18T14:17:30.21" personId="{3DE5673D-4837-4FC9-B8B9-34243175713A}" id="{519AE934-9AA8-424B-A043-C0BAD9268635}" parentId="{C008A95A-0DBE-4DF9-8BFA-127E0FED791D}">
    <text>Added in row below.</text>
  </threadedComment>
  <threadedComment ref="A1452" dT="2023-12-18T15:50:25.60" personId="{E08A2389-F34B-466D-8AA1-6ADBBDF0F7BF}" id="{66F1CD3B-7486-4559-84AE-FA48EF4A9106}" done="1">
    <text>I agree with everything in this row.</text>
  </threadedComment>
  <threadedComment ref="A1453" dT="2023-12-18T15:55:02.11" personId="{E08A2389-F34B-466D-8AA1-6ADBBDF0F7BF}" id="{13D15CE1-4400-45B0-B48F-A0C3E7298AAF}" done="1">
    <text>Can we use this paper given it doesn't report mortality, only RR?</text>
  </threadedComment>
  <threadedComment ref="A1453" dT="2023-12-18T15:55:17.19" personId="{E08A2389-F34B-466D-8AA1-6ADBBDF0F7BF}" id="{42F376C3-A687-4364-806D-AB5088822787}" parentId="{13D15CE1-4400-45B0-B48F-A0C3E7298AAF}">
    <text>If yes, I agree with your extraction.</text>
  </threadedComment>
  <threadedComment ref="A1453" dT="2023-12-19T11:03:33.36" personId="{3DE5673D-4837-4FC9-B8B9-34243175713A}" id="{6EF6B538-1705-41E6-815B-6B918B336727}" parentId="{13D15CE1-4400-45B0-B48F-A0C3E7298AAF}">
    <text>Not sure. I leave it to Adam and Nefeli to decide if they want to use these data. Possibly not as we also don't know exact follow-up time or the analysis date.</text>
  </threadedComment>
  <threadedComment ref="D1453" dT="2023-12-18T13:43:50.02" personId="{3DE5673D-4837-4FC9-B8B9-34243175713A}" id="{50C8C737-3C48-44F2-A2E3-87AB28A42F7E}">
    <text>Is this correct? Or is it breast cancer mortality in all cancers (irrespective of date of diagnosis)?</text>
  </threadedComment>
  <threadedComment ref="D1453" dT="2023-12-18T15:51:38.00" personId="{E08A2389-F34B-466D-8AA1-6ADBBDF0F7BF}" id="{3EA84A6E-8A9C-48BB-A017-A089810365B3}" parentId="{50C8C737-3C48-44F2-A2E3-87AB28A42F7E}">
    <text>That is what the paper says.</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 Id="rId4" Type="http://schemas.microsoft.com/office/2017/10/relationships/threadedComment" Target="../threadedComments/threadedComment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4DDA39-4635-4C2C-9660-F4F6D5C79339}">
  <sheetPr filterMode="1"/>
  <dimension ref="A1:CL2563"/>
  <sheetViews>
    <sheetView tabSelected="1" zoomScale="74" zoomScaleNormal="74" workbookViewId="0">
      <pane xSplit="4" ySplit="2" topLeftCell="BE596" activePane="bottomRight" state="frozen"/>
      <selection pane="topRight" activeCell="E1" sqref="E1"/>
      <selection pane="bottomLeft" activeCell="A3" sqref="A3"/>
      <selection pane="bottomRight" activeCell="BI1" sqref="BI1"/>
    </sheetView>
  </sheetViews>
  <sheetFormatPr defaultRowHeight="14.5" x14ac:dyDescent="0.35"/>
  <cols>
    <col min="1" max="1" width="7.453125" style="5" customWidth="1"/>
    <col min="2" max="2" width="12.1796875" style="5" customWidth="1"/>
    <col min="3" max="3" width="13.54296875" style="5" customWidth="1"/>
    <col min="4" max="4" width="33" style="17" customWidth="1"/>
    <col min="5" max="5" width="10.54296875" style="2" customWidth="1"/>
    <col min="6" max="6" width="15" style="2" customWidth="1"/>
    <col min="7" max="7" width="18.1796875" style="2" customWidth="1"/>
    <col min="8" max="8" width="16.453125" style="2" customWidth="1"/>
    <col min="9" max="9" width="12.453125" style="5" customWidth="1"/>
    <col min="10" max="10" width="12.81640625" style="17" customWidth="1"/>
    <col min="11" max="11" width="13.26953125" style="5" customWidth="1"/>
    <col min="12" max="12" width="20.453125" style="2" customWidth="1"/>
    <col min="13" max="13" width="20.1796875" style="2" customWidth="1"/>
    <col min="14" max="14" width="51.81640625" style="2" customWidth="1"/>
    <col min="15" max="15" width="33.1796875" style="2" customWidth="1"/>
    <col min="16" max="16" width="17.1796875" style="17" customWidth="1"/>
    <col min="17" max="17" width="13.1796875" style="5" customWidth="1"/>
    <col min="18" max="18" width="12.453125" style="2" customWidth="1"/>
    <col min="19" max="19" width="15.54296875" style="2" customWidth="1"/>
    <col min="20" max="21" width="16.1796875" style="2" customWidth="1"/>
    <col min="22" max="22" width="14.81640625" style="5" customWidth="1"/>
    <col min="23" max="24" width="14" style="5" customWidth="1"/>
    <col min="25" max="25" width="10.453125" style="5" customWidth="1"/>
    <col min="26" max="26" width="10.81640625" style="5" customWidth="1"/>
    <col min="27" max="27" width="11" style="5" customWidth="1"/>
    <col min="28" max="28" width="10.1796875" style="5" customWidth="1"/>
    <col min="29" max="29" width="13.81640625" style="2" customWidth="1"/>
    <col min="30" max="30" width="16.54296875" style="2" customWidth="1"/>
    <col min="31" max="31" width="15.54296875" style="2" customWidth="1"/>
    <col min="32" max="32" width="16.54296875" style="2" customWidth="1"/>
    <col min="33" max="33" width="24.81640625" style="2" customWidth="1"/>
    <col min="34" max="34" width="26.81640625" style="2" customWidth="1"/>
    <col min="35" max="35" width="10.81640625" style="5" customWidth="1"/>
    <col min="36" max="36" width="11.453125" style="5" customWidth="1"/>
    <col min="37" max="37" width="16.1796875" style="5" customWidth="1"/>
    <col min="38" max="38" width="15.81640625" style="5" customWidth="1"/>
    <col min="39" max="39" width="10.54296875" style="39" customWidth="1"/>
    <col min="40" max="47" width="13.54296875" style="2" customWidth="1"/>
    <col min="48" max="48" width="12.81640625" style="5" customWidth="1"/>
    <col min="49" max="50" width="10.81640625" style="5" customWidth="1"/>
    <col min="51" max="51" width="10.453125" style="5" customWidth="1"/>
    <col min="52" max="53" width="10.81640625" style="5" customWidth="1"/>
    <col min="54" max="54" width="20.81640625" style="5" customWidth="1"/>
    <col min="55" max="57" width="8.81640625" style="5"/>
    <col min="58" max="59" width="51.453125" style="5" customWidth="1"/>
    <col min="60" max="61" width="20.453125" style="5" customWidth="1"/>
    <col min="62" max="62" width="17.453125" customWidth="1"/>
  </cols>
  <sheetData>
    <row r="1" spans="1:69" s="23" customFormat="1" ht="65" x14ac:dyDescent="0.35">
      <c r="A1" s="19" t="s">
        <v>1</v>
      </c>
      <c r="B1" s="18" t="s">
        <v>8</v>
      </c>
      <c r="C1" s="19" t="s">
        <v>3</v>
      </c>
      <c r="D1" s="19" t="s">
        <v>253</v>
      </c>
      <c r="E1" s="19" t="s">
        <v>2</v>
      </c>
      <c r="F1" s="19" t="s">
        <v>4</v>
      </c>
      <c r="G1" s="19" t="s">
        <v>213</v>
      </c>
      <c r="H1" s="19" t="s">
        <v>223</v>
      </c>
      <c r="I1" s="20" t="s">
        <v>7</v>
      </c>
      <c r="J1" s="19" t="s">
        <v>248</v>
      </c>
      <c r="K1" s="37" t="s">
        <v>247</v>
      </c>
      <c r="L1" s="19" t="s">
        <v>107</v>
      </c>
      <c r="M1" s="19" t="s">
        <v>108</v>
      </c>
      <c r="N1" s="19" t="s">
        <v>249</v>
      </c>
      <c r="O1" s="19" t="s">
        <v>205</v>
      </c>
      <c r="P1" s="19" t="s">
        <v>212</v>
      </c>
      <c r="Q1" s="20" t="s">
        <v>186</v>
      </c>
      <c r="R1" s="20" t="s">
        <v>187</v>
      </c>
      <c r="S1" s="20" t="s">
        <v>254</v>
      </c>
      <c r="T1" s="20" t="s">
        <v>255</v>
      </c>
      <c r="U1" s="20" t="s">
        <v>206</v>
      </c>
      <c r="V1" s="19" t="s">
        <v>109</v>
      </c>
      <c r="W1" s="19" t="s">
        <v>116</v>
      </c>
      <c r="X1" s="19" t="s">
        <v>9</v>
      </c>
      <c r="Y1" s="20" t="s">
        <v>18</v>
      </c>
      <c r="Z1" s="20" t="s">
        <v>115</v>
      </c>
      <c r="AA1" s="20" t="s">
        <v>224</v>
      </c>
      <c r="AB1" s="20" t="s">
        <v>227</v>
      </c>
      <c r="AC1" s="20" t="s">
        <v>214</v>
      </c>
      <c r="AD1" s="20" t="s">
        <v>266</v>
      </c>
      <c r="AE1" s="20" t="s">
        <v>215</v>
      </c>
      <c r="AF1" s="20" t="s">
        <v>267</v>
      </c>
      <c r="AG1" s="20" t="s">
        <v>185</v>
      </c>
      <c r="AH1" s="20" t="s">
        <v>110</v>
      </c>
      <c r="AI1" s="20" t="s">
        <v>191</v>
      </c>
      <c r="AJ1" s="20" t="s">
        <v>192</v>
      </c>
      <c r="AK1" s="20" t="s">
        <v>257</v>
      </c>
      <c r="AL1" s="20" t="s">
        <v>258</v>
      </c>
      <c r="AM1" s="20" t="s">
        <v>233</v>
      </c>
      <c r="AN1" s="20" t="s">
        <v>194</v>
      </c>
      <c r="AO1" s="20" t="s">
        <v>196</v>
      </c>
      <c r="AP1" s="20" t="s">
        <v>216</v>
      </c>
      <c r="AQ1" s="20" t="s">
        <v>221</v>
      </c>
      <c r="AR1" s="20" t="s">
        <v>193</v>
      </c>
      <c r="AS1" s="20" t="s">
        <v>218</v>
      </c>
      <c r="AT1" s="20" t="s">
        <v>219</v>
      </c>
      <c r="AU1" s="20" t="s">
        <v>217</v>
      </c>
      <c r="AV1" s="20" t="s">
        <v>222</v>
      </c>
      <c r="AW1" s="20" t="s">
        <v>203</v>
      </c>
      <c r="AX1" s="20" t="s">
        <v>228</v>
      </c>
      <c r="AY1" s="20" t="s">
        <v>201</v>
      </c>
      <c r="AZ1" s="20" t="s">
        <v>202</v>
      </c>
      <c r="BA1" s="20" t="s">
        <v>102</v>
      </c>
      <c r="BB1" s="20" t="s">
        <v>256</v>
      </c>
      <c r="BC1" s="20" t="s">
        <v>20</v>
      </c>
      <c r="BD1" s="20" t="s">
        <v>229</v>
      </c>
      <c r="BE1" s="20" t="s">
        <v>230</v>
      </c>
      <c r="BF1" s="20" t="s">
        <v>240</v>
      </c>
      <c r="BG1" s="20" t="s">
        <v>241</v>
      </c>
      <c r="BH1" s="20" t="s">
        <v>11704</v>
      </c>
      <c r="BI1" s="20" t="s">
        <v>11705</v>
      </c>
      <c r="BJ1" s="21"/>
      <c r="BK1" s="21"/>
      <c r="BL1" s="22"/>
      <c r="BM1" s="22"/>
      <c r="BN1" s="22"/>
      <c r="BO1" s="21"/>
      <c r="BP1" s="21"/>
      <c r="BQ1" s="22"/>
    </row>
    <row r="2" spans="1:69" s="29" customFormat="1" ht="13.5" hidden="1" thickBot="1" x14ac:dyDescent="0.4">
      <c r="A2" s="24" t="s">
        <v>12</v>
      </c>
      <c r="B2" s="24" t="s">
        <v>12</v>
      </c>
      <c r="C2" s="24" t="s">
        <v>0</v>
      </c>
      <c r="D2" s="25" t="s">
        <v>12</v>
      </c>
      <c r="E2" s="24" t="s">
        <v>0</v>
      </c>
      <c r="F2" s="24" t="s">
        <v>0</v>
      </c>
      <c r="G2" s="24" t="s">
        <v>0</v>
      </c>
      <c r="H2" s="24" t="s">
        <v>0</v>
      </c>
      <c r="I2" s="25" t="s">
        <v>0</v>
      </c>
      <c r="J2" s="25" t="s">
        <v>0</v>
      </c>
      <c r="K2" s="24" t="s">
        <v>12</v>
      </c>
      <c r="L2" s="30" t="s">
        <v>12</v>
      </c>
      <c r="M2" s="30" t="s">
        <v>12</v>
      </c>
      <c r="N2" s="24" t="s">
        <v>12</v>
      </c>
      <c r="O2" s="24" t="s">
        <v>12</v>
      </c>
      <c r="P2" s="25" t="s">
        <v>0</v>
      </c>
      <c r="Q2" s="25" t="s">
        <v>12</v>
      </c>
      <c r="R2" s="25" t="s">
        <v>12</v>
      </c>
      <c r="S2" s="25" t="s">
        <v>12</v>
      </c>
      <c r="T2" s="25" t="s">
        <v>12</v>
      </c>
      <c r="U2" s="25" t="s">
        <v>12</v>
      </c>
      <c r="V2" s="24" t="s">
        <v>0</v>
      </c>
      <c r="W2" s="24" t="s">
        <v>12</v>
      </c>
      <c r="X2" s="24" t="s">
        <v>0</v>
      </c>
      <c r="Y2" s="25" t="s">
        <v>12</v>
      </c>
      <c r="Z2" s="25" t="s">
        <v>12</v>
      </c>
      <c r="AA2" s="25" t="s">
        <v>12</v>
      </c>
      <c r="AB2" s="25" t="s">
        <v>12</v>
      </c>
      <c r="AC2" s="25" t="s">
        <v>12</v>
      </c>
      <c r="AD2" s="25" t="s">
        <v>12</v>
      </c>
      <c r="AE2" s="25" t="s">
        <v>12</v>
      </c>
      <c r="AF2" s="25" t="s">
        <v>12</v>
      </c>
      <c r="AG2" s="25" t="s">
        <v>12</v>
      </c>
      <c r="AH2" s="25" t="s">
        <v>12</v>
      </c>
      <c r="AI2" s="25" t="s">
        <v>12</v>
      </c>
      <c r="AJ2" s="25" t="s">
        <v>12</v>
      </c>
      <c r="AK2" s="25" t="s">
        <v>12</v>
      </c>
      <c r="AL2" s="25" t="s">
        <v>12</v>
      </c>
      <c r="AM2" s="26" t="s">
        <v>12</v>
      </c>
      <c r="AN2" s="25" t="s">
        <v>12</v>
      </c>
      <c r="AO2" s="25" t="s">
        <v>197</v>
      </c>
      <c r="AP2" s="25" t="s">
        <v>12</v>
      </c>
      <c r="AQ2" s="25" t="s">
        <v>12</v>
      </c>
      <c r="AR2" s="25" t="s">
        <v>12</v>
      </c>
      <c r="AS2" s="25" t="s">
        <v>197</v>
      </c>
      <c r="AT2" s="25" t="s">
        <v>12</v>
      </c>
      <c r="AU2" s="25" t="s">
        <v>12</v>
      </c>
      <c r="AV2" s="26" t="s">
        <v>0</v>
      </c>
      <c r="AW2" s="25" t="s">
        <v>12</v>
      </c>
      <c r="AX2" s="25" t="s">
        <v>197</v>
      </c>
      <c r="AY2" s="25" t="s">
        <v>12</v>
      </c>
      <c r="AZ2" s="25" t="s">
        <v>12</v>
      </c>
      <c r="BA2" s="25" t="s">
        <v>12</v>
      </c>
      <c r="BB2" s="25" t="s">
        <v>12</v>
      </c>
      <c r="BC2" s="25" t="s">
        <v>12</v>
      </c>
      <c r="BD2" s="25" t="s">
        <v>12</v>
      </c>
      <c r="BE2" s="25" t="s">
        <v>12</v>
      </c>
      <c r="BF2" s="26" t="s">
        <v>12</v>
      </c>
      <c r="BG2" s="26" t="s">
        <v>12</v>
      </c>
      <c r="BH2" s="26" t="s">
        <v>0</v>
      </c>
      <c r="BI2" s="26" t="s">
        <v>0</v>
      </c>
      <c r="BJ2" s="27"/>
      <c r="BK2" s="27"/>
      <c r="BL2" s="28"/>
      <c r="BM2" s="28"/>
      <c r="BN2" s="28"/>
      <c r="BO2" s="27"/>
      <c r="BP2" s="27"/>
      <c r="BQ2" s="28"/>
    </row>
    <row r="3" spans="1:69" s="33" customFormat="1" ht="52" hidden="1" x14ac:dyDescent="0.35">
      <c r="A3" s="8">
        <v>2736</v>
      </c>
      <c r="B3" s="8" t="s">
        <v>272</v>
      </c>
      <c r="C3" s="9" t="s">
        <v>2036</v>
      </c>
      <c r="D3" s="9" t="s">
        <v>285</v>
      </c>
      <c r="E3" s="8" t="s">
        <v>42</v>
      </c>
      <c r="F3" s="9" t="s">
        <v>274</v>
      </c>
      <c r="G3" s="8" t="s">
        <v>225</v>
      </c>
      <c r="H3" s="8" t="s">
        <v>125</v>
      </c>
      <c r="I3" s="8" t="s">
        <v>114</v>
      </c>
      <c r="J3" s="9" t="s">
        <v>98</v>
      </c>
      <c r="K3" s="8" t="s">
        <v>98</v>
      </c>
      <c r="L3" s="8" t="s">
        <v>98</v>
      </c>
      <c r="M3" s="8" t="s">
        <v>98</v>
      </c>
      <c r="N3" s="9" t="s">
        <v>286</v>
      </c>
      <c r="O3" s="9" t="s">
        <v>276</v>
      </c>
      <c r="P3" s="9" t="s">
        <v>238</v>
      </c>
      <c r="Q3" s="42" t="s">
        <v>287</v>
      </c>
      <c r="R3" s="9" t="s">
        <v>276</v>
      </c>
      <c r="S3" s="9" t="s">
        <v>276</v>
      </c>
      <c r="T3" s="9" t="s">
        <v>276</v>
      </c>
      <c r="U3" s="9">
        <v>3</v>
      </c>
      <c r="V3" s="8" t="s">
        <v>14</v>
      </c>
      <c r="W3" s="8" t="s">
        <v>98</v>
      </c>
      <c r="X3" s="9" t="s">
        <v>209</v>
      </c>
      <c r="Y3" s="13">
        <v>10958</v>
      </c>
      <c r="Z3" s="9" t="s">
        <v>98</v>
      </c>
      <c r="AA3" s="9" t="s">
        <v>276</v>
      </c>
      <c r="AB3" s="9" t="s">
        <v>98</v>
      </c>
      <c r="AC3" s="8">
        <v>0</v>
      </c>
      <c r="AD3" s="8" t="s">
        <v>98</v>
      </c>
      <c r="AE3" s="8" t="s">
        <v>98</v>
      </c>
      <c r="AF3" s="8" t="s">
        <v>98</v>
      </c>
      <c r="AG3" s="9" t="s">
        <v>288</v>
      </c>
      <c r="AH3" s="9" t="s">
        <v>280</v>
      </c>
      <c r="AI3" s="38">
        <v>6</v>
      </c>
      <c r="AJ3" s="38" t="s">
        <v>98</v>
      </c>
      <c r="AK3" s="13">
        <v>10958</v>
      </c>
      <c r="AL3" s="38" t="s">
        <v>98</v>
      </c>
      <c r="AM3" s="38" t="s">
        <v>281</v>
      </c>
      <c r="AN3" s="8" t="s">
        <v>276</v>
      </c>
      <c r="AO3" s="31">
        <f>AI3*1000/AK3</f>
        <v>0.54754517247672929</v>
      </c>
      <c r="AP3" s="8" t="s">
        <v>276</v>
      </c>
      <c r="AQ3" s="8" t="s">
        <v>276</v>
      </c>
      <c r="AR3" s="8" t="s">
        <v>98</v>
      </c>
      <c r="AS3" s="8" t="s">
        <v>98</v>
      </c>
      <c r="AT3" s="8" t="s">
        <v>98</v>
      </c>
      <c r="AU3" s="8" t="s">
        <v>98</v>
      </c>
      <c r="AV3" s="8" t="s">
        <v>98</v>
      </c>
      <c r="AW3" s="8" t="s">
        <v>98</v>
      </c>
      <c r="AX3" s="8" t="s">
        <v>98</v>
      </c>
      <c r="AY3" s="8" t="s">
        <v>98</v>
      </c>
      <c r="AZ3" s="8" t="s">
        <v>98</v>
      </c>
      <c r="BA3" s="8" t="s">
        <v>98</v>
      </c>
      <c r="BB3" s="8" t="s">
        <v>98</v>
      </c>
      <c r="BC3" s="8" t="s">
        <v>98</v>
      </c>
      <c r="BD3" s="8" t="s">
        <v>98</v>
      </c>
      <c r="BE3" s="8" t="s">
        <v>98</v>
      </c>
      <c r="BF3" s="9" t="s">
        <v>289</v>
      </c>
      <c r="BG3" s="9"/>
      <c r="BH3" s="9" t="s">
        <v>100</v>
      </c>
      <c r="BI3" s="9" t="s">
        <v>100</v>
      </c>
      <c r="BJ3" s="32"/>
      <c r="BK3" s="32"/>
      <c r="BO3" s="32"/>
      <c r="BP3" s="32"/>
    </row>
    <row r="4" spans="1:69" s="33" customFormat="1" ht="52" x14ac:dyDescent="0.35">
      <c r="A4" s="8">
        <v>2736</v>
      </c>
      <c r="B4" s="8" t="s">
        <v>272</v>
      </c>
      <c r="C4" s="9" t="s">
        <v>2036</v>
      </c>
      <c r="D4" s="9" t="s">
        <v>290</v>
      </c>
      <c r="E4" s="8" t="s">
        <v>42</v>
      </c>
      <c r="F4" s="9" t="s">
        <v>274</v>
      </c>
      <c r="G4" s="8" t="s">
        <v>225</v>
      </c>
      <c r="H4" s="8" t="s">
        <v>125</v>
      </c>
      <c r="I4" s="8" t="s">
        <v>114</v>
      </c>
      <c r="J4" s="9" t="s">
        <v>98</v>
      </c>
      <c r="K4" s="8" t="s">
        <v>98</v>
      </c>
      <c r="L4" s="8" t="s">
        <v>98</v>
      </c>
      <c r="M4" s="8" t="s">
        <v>98</v>
      </c>
      <c r="N4" s="9" t="s">
        <v>286</v>
      </c>
      <c r="O4" s="9" t="s">
        <v>276</v>
      </c>
      <c r="P4" s="9" t="s">
        <v>236</v>
      </c>
      <c r="Q4" s="42" t="s">
        <v>287</v>
      </c>
      <c r="R4" s="9" t="s">
        <v>276</v>
      </c>
      <c r="S4" s="9" t="s">
        <v>276</v>
      </c>
      <c r="T4" s="9" t="s">
        <v>276</v>
      </c>
      <c r="U4" s="9">
        <v>3</v>
      </c>
      <c r="V4" s="8" t="s">
        <v>14</v>
      </c>
      <c r="W4" s="8" t="s">
        <v>98</v>
      </c>
      <c r="X4" s="9" t="s">
        <v>209</v>
      </c>
      <c r="Y4" s="13">
        <v>10958</v>
      </c>
      <c r="Z4" s="9" t="s">
        <v>98</v>
      </c>
      <c r="AA4" s="9" t="s">
        <v>276</v>
      </c>
      <c r="AB4" s="9" t="s">
        <v>98</v>
      </c>
      <c r="AC4" s="8">
        <v>0</v>
      </c>
      <c r="AD4" s="8" t="s">
        <v>98</v>
      </c>
      <c r="AE4" s="8" t="s">
        <v>98</v>
      </c>
      <c r="AF4" s="8" t="s">
        <v>98</v>
      </c>
      <c r="AG4" s="9" t="s">
        <v>288</v>
      </c>
      <c r="AH4" s="9" t="s">
        <v>291</v>
      </c>
      <c r="AI4" s="38">
        <v>6</v>
      </c>
      <c r="AJ4" s="38" t="s">
        <v>98</v>
      </c>
      <c r="AK4" s="13">
        <v>16</v>
      </c>
      <c r="AL4" s="38" t="s">
        <v>98</v>
      </c>
      <c r="AM4" s="38" t="s">
        <v>292</v>
      </c>
      <c r="AN4" s="8" t="s">
        <v>276</v>
      </c>
      <c r="AO4" s="14">
        <f>AI4*100/AK4</f>
        <v>37.5</v>
      </c>
      <c r="AP4" s="8" t="s">
        <v>276</v>
      </c>
      <c r="AQ4" s="8" t="s">
        <v>276</v>
      </c>
      <c r="AR4" s="8" t="s">
        <v>98</v>
      </c>
      <c r="AS4" s="8" t="s">
        <v>98</v>
      </c>
      <c r="AT4" s="8" t="s">
        <v>98</v>
      </c>
      <c r="AU4" s="8" t="s">
        <v>98</v>
      </c>
      <c r="AV4" s="8" t="s">
        <v>98</v>
      </c>
      <c r="AW4" s="8" t="s">
        <v>98</v>
      </c>
      <c r="AX4" s="8" t="s">
        <v>98</v>
      </c>
      <c r="AY4" s="8" t="s">
        <v>98</v>
      </c>
      <c r="AZ4" s="8" t="s">
        <v>98</v>
      </c>
      <c r="BA4" s="8" t="s">
        <v>98</v>
      </c>
      <c r="BB4" s="8" t="s">
        <v>98</v>
      </c>
      <c r="BC4" s="8" t="s">
        <v>98</v>
      </c>
      <c r="BD4" s="8" t="s">
        <v>98</v>
      </c>
      <c r="BE4" s="8" t="s">
        <v>98</v>
      </c>
      <c r="BF4" s="9" t="s">
        <v>293</v>
      </c>
      <c r="BG4" s="9"/>
      <c r="BH4" s="9" t="s">
        <v>99</v>
      </c>
      <c r="BI4" s="9" t="s">
        <v>100</v>
      </c>
      <c r="BJ4" s="32"/>
      <c r="BK4" s="32"/>
      <c r="BO4" s="32"/>
      <c r="BP4" s="32"/>
    </row>
    <row r="5" spans="1:69" s="33" customFormat="1" ht="65" hidden="1" x14ac:dyDescent="0.35">
      <c r="A5" s="8">
        <v>2736</v>
      </c>
      <c r="B5" s="8" t="s">
        <v>272</v>
      </c>
      <c r="C5" s="9" t="s">
        <v>2036</v>
      </c>
      <c r="D5" s="9" t="s">
        <v>294</v>
      </c>
      <c r="E5" s="8" t="s">
        <v>42</v>
      </c>
      <c r="F5" s="9" t="s">
        <v>274</v>
      </c>
      <c r="G5" s="8" t="s">
        <v>225</v>
      </c>
      <c r="H5" s="8" t="s">
        <v>125</v>
      </c>
      <c r="I5" s="8" t="s">
        <v>114</v>
      </c>
      <c r="J5" s="9" t="s">
        <v>27</v>
      </c>
      <c r="K5" s="8" t="s">
        <v>295</v>
      </c>
      <c r="L5" s="8" t="s">
        <v>98</v>
      </c>
      <c r="M5" s="8" t="s">
        <v>98</v>
      </c>
      <c r="N5" s="9" t="s">
        <v>286</v>
      </c>
      <c r="O5" s="9" t="s">
        <v>276</v>
      </c>
      <c r="P5" s="9" t="s">
        <v>237</v>
      </c>
      <c r="Q5" s="42" t="s">
        <v>287</v>
      </c>
      <c r="R5" s="9" t="s">
        <v>276</v>
      </c>
      <c r="S5" s="9" t="s">
        <v>276</v>
      </c>
      <c r="T5" s="9" t="s">
        <v>276</v>
      </c>
      <c r="U5" s="9">
        <v>3</v>
      </c>
      <c r="V5" s="8" t="s">
        <v>14</v>
      </c>
      <c r="W5" s="8" t="s">
        <v>98</v>
      </c>
      <c r="X5" s="9" t="s">
        <v>209</v>
      </c>
      <c r="Y5" s="13">
        <v>10958</v>
      </c>
      <c r="Z5" s="9" t="s">
        <v>98</v>
      </c>
      <c r="AA5" s="9" t="s">
        <v>276</v>
      </c>
      <c r="AB5" s="9" t="s">
        <v>98</v>
      </c>
      <c r="AC5" s="8">
        <v>0</v>
      </c>
      <c r="AD5" s="8" t="s">
        <v>98</v>
      </c>
      <c r="AE5" s="8" t="s">
        <v>98</v>
      </c>
      <c r="AF5" s="8" t="s">
        <v>98</v>
      </c>
      <c r="AG5" s="9" t="s">
        <v>296</v>
      </c>
      <c r="AH5" s="9" t="s">
        <v>297</v>
      </c>
      <c r="AI5" s="38">
        <v>1</v>
      </c>
      <c r="AJ5" s="38" t="s">
        <v>98</v>
      </c>
      <c r="AK5" s="13">
        <v>5</v>
      </c>
      <c r="AL5" s="38" t="s">
        <v>98</v>
      </c>
      <c r="AM5" s="38" t="s">
        <v>292</v>
      </c>
      <c r="AN5" s="8" t="s">
        <v>276</v>
      </c>
      <c r="AO5" s="14">
        <f>AI5*100/AK5</f>
        <v>20</v>
      </c>
      <c r="AP5" s="8" t="s">
        <v>276</v>
      </c>
      <c r="AQ5" s="8" t="s">
        <v>276</v>
      </c>
      <c r="AR5" s="8" t="s">
        <v>98</v>
      </c>
      <c r="AS5" s="8" t="s">
        <v>98</v>
      </c>
      <c r="AT5" s="8" t="s">
        <v>98</v>
      </c>
      <c r="AU5" s="8" t="s">
        <v>98</v>
      </c>
      <c r="AV5" s="8" t="s">
        <v>98</v>
      </c>
      <c r="AW5" s="8" t="s">
        <v>98</v>
      </c>
      <c r="AX5" s="8" t="s">
        <v>98</v>
      </c>
      <c r="AY5" s="8" t="s">
        <v>98</v>
      </c>
      <c r="AZ5" s="8" t="s">
        <v>98</v>
      </c>
      <c r="BA5" s="8" t="s">
        <v>98</v>
      </c>
      <c r="BB5" s="8" t="s">
        <v>98</v>
      </c>
      <c r="BC5" s="8" t="s">
        <v>98</v>
      </c>
      <c r="BD5" s="8" t="s">
        <v>98</v>
      </c>
      <c r="BE5" s="8" t="s">
        <v>98</v>
      </c>
      <c r="BF5" s="9" t="s">
        <v>298</v>
      </c>
      <c r="BG5" s="9"/>
      <c r="BH5" s="9" t="s">
        <v>100</v>
      </c>
      <c r="BI5" s="9" t="s">
        <v>100</v>
      </c>
      <c r="BJ5" s="32"/>
      <c r="BK5" s="32"/>
      <c r="BO5" s="32"/>
      <c r="BP5" s="32"/>
    </row>
    <row r="6" spans="1:69" s="33" customFormat="1" ht="52" hidden="1" x14ac:dyDescent="0.35">
      <c r="A6" s="8">
        <v>2736</v>
      </c>
      <c r="B6" s="8" t="s">
        <v>272</v>
      </c>
      <c r="C6" s="9" t="s">
        <v>2036</v>
      </c>
      <c r="D6" s="9" t="s">
        <v>299</v>
      </c>
      <c r="E6" s="8" t="s">
        <v>42</v>
      </c>
      <c r="F6" s="9" t="s">
        <v>274</v>
      </c>
      <c r="G6" s="8" t="s">
        <v>225</v>
      </c>
      <c r="H6" s="8" t="s">
        <v>125</v>
      </c>
      <c r="I6" s="8" t="s">
        <v>114</v>
      </c>
      <c r="J6" s="9" t="s">
        <v>25</v>
      </c>
      <c r="K6" s="8" t="s">
        <v>300</v>
      </c>
      <c r="L6" s="8" t="s">
        <v>276</v>
      </c>
      <c r="M6" s="8" t="s">
        <v>301</v>
      </c>
      <c r="N6" s="9" t="s">
        <v>286</v>
      </c>
      <c r="O6" s="9" t="s">
        <v>276</v>
      </c>
      <c r="P6" s="9" t="s">
        <v>239</v>
      </c>
      <c r="Q6" s="42" t="s">
        <v>287</v>
      </c>
      <c r="R6" s="9" t="s">
        <v>276</v>
      </c>
      <c r="S6" s="9" t="s">
        <v>276</v>
      </c>
      <c r="T6" s="9" t="s">
        <v>276</v>
      </c>
      <c r="U6" s="9">
        <v>3</v>
      </c>
      <c r="V6" s="8" t="s">
        <v>14</v>
      </c>
      <c r="W6" s="8" t="s">
        <v>98</v>
      </c>
      <c r="X6" s="9" t="s">
        <v>207</v>
      </c>
      <c r="Y6" s="13">
        <v>10958</v>
      </c>
      <c r="Z6" s="38">
        <v>10977</v>
      </c>
      <c r="AA6" s="9" t="s">
        <v>276</v>
      </c>
      <c r="AB6" s="9" t="s">
        <v>276</v>
      </c>
      <c r="AC6" s="8">
        <v>0</v>
      </c>
      <c r="AD6" s="8" t="s">
        <v>98</v>
      </c>
      <c r="AE6" s="8">
        <v>0</v>
      </c>
      <c r="AF6" s="8" t="s">
        <v>98</v>
      </c>
      <c r="AG6" s="9" t="s">
        <v>302</v>
      </c>
      <c r="AH6" s="9" t="s">
        <v>280</v>
      </c>
      <c r="AI6" s="38">
        <v>4</v>
      </c>
      <c r="AJ6" s="38">
        <v>1</v>
      </c>
      <c r="AK6" s="13">
        <v>10958</v>
      </c>
      <c r="AL6" s="38">
        <v>10977</v>
      </c>
      <c r="AM6" s="38" t="s">
        <v>281</v>
      </c>
      <c r="AN6" s="8" t="s">
        <v>276</v>
      </c>
      <c r="AO6" s="14">
        <f t="shared" ref="AO6:AO11" si="0">AI6*1000/AK6</f>
        <v>0.36503011498448623</v>
      </c>
      <c r="AP6" s="8" t="s">
        <v>276</v>
      </c>
      <c r="AQ6" s="8" t="s">
        <v>276</v>
      </c>
      <c r="AR6" s="8" t="s">
        <v>276</v>
      </c>
      <c r="AS6" s="14">
        <f t="shared" ref="AS6:AS11" si="1">AJ6*1000/AL6</f>
        <v>9.1099571832012394E-2</v>
      </c>
      <c r="AT6" s="8" t="s">
        <v>276</v>
      </c>
      <c r="AU6" s="8" t="s">
        <v>276</v>
      </c>
      <c r="AV6" s="9" t="s">
        <v>268</v>
      </c>
      <c r="AW6" s="40" t="s">
        <v>276</v>
      </c>
      <c r="AX6" s="40">
        <f t="shared" ref="AX6:AX70" si="2">AO6/AS6</f>
        <v>4.0069355721847053</v>
      </c>
      <c r="AY6" s="9" t="s">
        <v>276</v>
      </c>
      <c r="AZ6" s="9" t="s">
        <v>276</v>
      </c>
      <c r="BA6" s="9" t="s">
        <v>276</v>
      </c>
      <c r="BB6" s="9" t="s">
        <v>282</v>
      </c>
      <c r="BC6" s="9" t="s">
        <v>276</v>
      </c>
      <c r="BD6" s="9" t="s">
        <v>276</v>
      </c>
      <c r="BE6" s="9" t="s">
        <v>276</v>
      </c>
      <c r="BF6" s="9" t="s">
        <v>298</v>
      </c>
      <c r="BG6" s="9"/>
      <c r="BH6" s="9" t="s">
        <v>100</v>
      </c>
      <c r="BI6" s="9" t="s">
        <v>100</v>
      </c>
      <c r="BJ6" s="32"/>
      <c r="BK6" s="32"/>
      <c r="BO6" s="32"/>
      <c r="BP6" s="32"/>
    </row>
    <row r="7" spans="1:69" s="33" customFormat="1" ht="52" hidden="1" x14ac:dyDescent="0.35">
      <c r="A7" s="8">
        <v>2736</v>
      </c>
      <c r="B7" s="8" t="s">
        <v>272</v>
      </c>
      <c r="C7" s="9" t="s">
        <v>2036</v>
      </c>
      <c r="D7" s="9" t="s">
        <v>303</v>
      </c>
      <c r="E7" s="8" t="s">
        <v>42</v>
      </c>
      <c r="F7" s="9" t="s">
        <v>274</v>
      </c>
      <c r="G7" s="8" t="s">
        <v>225</v>
      </c>
      <c r="H7" s="8" t="s">
        <v>125</v>
      </c>
      <c r="I7" s="8" t="s">
        <v>114</v>
      </c>
      <c r="J7" s="9" t="s">
        <v>25</v>
      </c>
      <c r="K7" s="8" t="s">
        <v>304</v>
      </c>
      <c r="L7" s="8" t="s">
        <v>276</v>
      </c>
      <c r="M7" s="8" t="s">
        <v>301</v>
      </c>
      <c r="N7" s="9" t="s">
        <v>286</v>
      </c>
      <c r="O7" s="9" t="s">
        <v>276</v>
      </c>
      <c r="P7" s="9" t="s">
        <v>239</v>
      </c>
      <c r="Q7" s="42" t="s">
        <v>287</v>
      </c>
      <c r="R7" s="9" t="s">
        <v>276</v>
      </c>
      <c r="S7" s="9" t="s">
        <v>276</v>
      </c>
      <c r="T7" s="9" t="s">
        <v>276</v>
      </c>
      <c r="U7" s="9">
        <v>3</v>
      </c>
      <c r="V7" s="8" t="s">
        <v>14</v>
      </c>
      <c r="W7" s="8" t="s">
        <v>98</v>
      </c>
      <c r="X7" s="9" t="s">
        <v>207</v>
      </c>
      <c r="Y7" s="13">
        <v>10958</v>
      </c>
      <c r="Z7" s="38">
        <v>10977</v>
      </c>
      <c r="AA7" s="9" t="s">
        <v>276</v>
      </c>
      <c r="AB7" s="9" t="s">
        <v>276</v>
      </c>
      <c r="AC7" s="8">
        <v>0</v>
      </c>
      <c r="AD7" s="8" t="s">
        <v>98</v>
      </c>
      <c r="AE7" s="8">
        <v>0</v>
      </c>
      <c r="AF7" s="8" t="s">
        <v>98</v>
      </c>
      <c r="AG7" s="9" t="s">
        <v>305</v>
      </c>
      <c r="AH7" s="9" t="s">
        <v>280</v>
      </c>
      <c r="AI7" s="38">
        <v>1</v>
      </c>
      <c r="AJ7" s="38">
        <v>1</v>
      </c>
      <c r="AK7" s="13">
        <v>10958</v>
      </c>
      <c r="AL7" s="38">
        <v>10977</v>
      </c>
      <c r="AM7" s="38" t="s">
        <v>281</v>
      </c>
      <c r="AN7" s="8" t="s">
        <v>276</v>
      </c>
      <c r="AO7" s="14">
        <f t="shared" si="0"/>
        <v>9.1257528746121558E-2</v>
      </c>
      <c r="AP7" s="8" t="s">
        <v>276</v>
      </c>
      <c r="AQ7" s="8" t="s">
        <v>276</v>
      </c>
      <c r="AR7" s="8" t="s">
        <v>276</v>
      </c>
      <c r="AS7" s="14">
        <f t="shared" si="1"/>
        <v>9.1099571832012394E-2</v>
      </c>
      <c r="AT7" s="8" t="s">
        <v>276</v>
      </c>
      <c r="AU7" s="8" t="s">
        <v>276</v>
      </c>
      <c r="AV7" s="9" t="s">
        <v>268</v>
      </c>
      <c r="AW7" s="40" t="s">
        <v>276</v>
      </c>
      <c r="AX7" s="40">
        <f t="shared" si="2"/>
        <v>1.0017338930461763</v>
      </c>
      <c r="AY7" s="9" t="s">
        <v>276</v>
      </c>
      <c r="AZ7" s="9" t="s">
        <v>276</v>
      </c>
      <c r="BA7" s="9" t="s">
        <v>276</v>
      </c>
      <c r="BB7" s="9" t="s">
        <v>282</v>
      </c>
      <c r="BC7" s="9" t="s">
        <v>276</v>
      </c>
      <c r="BD7" s="9" t="s">
        <v>276</v>
      </c>
      <c r="BE7" s="9" t="s">
        <v>276</v>
      </c>
      <c r="BF7" s="9" t="s">
        <v>298</v>
      </c>
      <c r="BG7" s="9"/>
      <c r="BH7" s="9" t="s">
        <v>100</v>
      </c>
      <c r="BI7" s="9" t="s">
        <v>100</v>
      </c>
      <c r="BJ7" s="32"/>
      <c r="BK7" s="32"/>
      <c r="BO7" s="32"/>
      <c r="BP7" s="32"/>
    </row>
    <row r="8" spans="1:69" s="33" customFormat="1" ht="65" hidden="1" x14ac:dyDescent="0.35">
      <c r="A8" s="8">
        <v>2736</v>
      </c>
      <c r="B8" s="8" t="s">
        <v>272</v>
      </c>
      <c r="C8" s="9" t="s">
        <v>2036</v>
      </c>
      <c r="D8" s="9" t="s">
        <v>306</v>
      </c>
      <c r="E8" s="8" t="s">
        <v>42</v>
      </c>
      <c r="F8" s="9" t="s">
        <v>274</v>
      </c>
      <c r="G8" s="8" t="s">
        <v>225</v>
      </c>
      <c r="H8" s="8" t="s">
        <v>125</v>
      </c>
      <c r="I8" s="8" t="s">
        <v>114</v>
      </c>
      <c r="J8" s="9" t="s">
        <v>25</v>
      </c>
      <c r="K8" s="8" t="s">
        <v>307</v>
      </c>
      <c r="L8" s="8" t="s">
        <v>276</v>
      </c>
      <c r="M8" s="8" t="s">
        <v>301</v>
      </c>
      <c r="N8" s="9" t="s">
        <v>286</v>
      </c>
      <c r="O8" s="9" t="s">
        <v>276</v>
      </c>
      <c r="P8" s="9" t="s">
        <v>239</v>
      </c>
      <c r="Q8" s="42" t="s">
        <v>287</v>
      </c>
      <c r="R8" s="9" t="s">
        <v>276</v>
      </c>
      <c r="S8" s="9" t="s">
        <v>276</v>
      </c>
      <c r="T8" s="9" t="s">
        <v>276</v>
      </c>
      <c r="U8" s="9">
        <v>3</v>
      </c>
      <c r="V8" s="8" t="s">
        <v>14</v>
      </c>
      <c r="W8" s="8" t="s">
        <v>98</v>
      </c>
      <c r="X8" s="9" t="s">
        <v>207</v>
      </c>
      <c r="Y8" s="13">
        <v>10958</v>
      </c>
      <c r="Z8" s="38">
        <v>10977</v>
      </c>
      <c r="AA8" s="9" t="s">
        <v>276</v>
      </c>
      <c r="AB8" s="9" t="s">
        <v>276</v>
      </c>
      <c r="AC8" s="8">
        <v>0</v>
      </c>
      <c r="AD8" s="8" t="s">
        <v>98</v>
      </c>
      <c r="AE8" s="8">
        <v>0</v>
      </c>
      <c r="AF8" s="8" t="s">
        <v>98</v>
      </c>
      <c r="AG8" s="9" t="s">
        <v>308</v>
      </c>
      <c r="AH8" s="9" t="s">
        <v>280</v>
      </c>
      <c r="AI8" s="38">
        <v>5</v>
      </c>
      <c r="AJ8" s="38">
        <v>2</v>
      </c>
      <c r="AK8" s="13">
        <v>10958</v>
      </c>
      <c r="AL8" s="38">
        <v>10977</v>
      </c>
      <c r="AM8" s="38" t="s">
        <v>281</v>
      </c>
      <c r="AN8" s="8" t="s">
        <v>276</v>
      </c>
      <c r="AO8" s="14">
        <f t="shared" si="0"/>
        <v>0.45628764373060776</v>
      </c>
      <c r="AP8" s="8" t="s">
        <v>276</v>
      </c>
      <c r="AQ8" s="8" t="s">
        <v>276</v>
      </c>
      <c r="AR8" s="8" t="s">
        <v>276</v>
      </c>
      <c r="AS8" s="14">
        <f t="shared" si="1"/>
        <v>0.18219914366402479</v>
      </c>
      <c r="AT8" s="8" t="s">
        <v>276</v>
      </c>
      <c r="AU8" s="8" t="s">
        <v>276</v>
      </c>
      <c r="AV8" s="9" t="s">
        <v>268</v>
      </c>
      <c r="AW8" s="40" t="s">
        <v>276</v>
      </c>
      <c r="AX8" s="40">
        <f t="shared" si="2"/>
        <v>2.5043347326154404</v>
      </c>
      <c r="AY8" s="9" t="s">
        <v>276</v>
      </c>
      <c r="AZ8" s="9" t="s">
        <v>276</v>
      </c>
      <c r="BA8" s="9" t="s">
        <v>276</v>
      </c>
      <c r="BB8" s="9" t="s">
        <v>282</v>
      </c>
      <c r="BC8" s="9" t="s">
        <v>276</v>
      </c>
      <c r="BD8" s="9" t="s">
        <v>276</v>
      </c>
      <c r="BE8" s="9" t="s">
        <v>276</v>
      </c>
      <c r="BF8" s="9" t="s">
        <v>309</v>
      </c>
      <c r="BG8" s="9"/>
      <c r="BH8" s="9" t="s">
        <v>100</v>
      </c>
      <c r="BI8" s="9" t="s">
        <v>100</v>
      </c>
      <c r="BJ8" s="32"/>
      <c r="BK8" s="32"/>
      <c r="BO8" s="32"/>
      <c r="BP8" s="32"/>
    </row>
    <row r="9" spans="1:69" s="33" customFormat="1" ht="52" hidden="1" x14ac:dyDescent="0.35">
      <c r="A9" s="8">
        <v>2736</v>
      </c>
      <c r="B9" s="8" t="s">
        <v>272</v>
      </c>
      <c r="C9" s="9" t="s">
        <v>2036</v>
      </c>
      <c r="D9" s="9" t="s">
        <v>310</v>
      </c>
      <c r="E9" s="8" t="s">
        <v>42</v>
      </c>
      <c r="F9" s="9" t="s">
        <v>274</v>
      </c>
      <c r="G9" s="8" t="s">
        <v>225</v>
      </c>
      <c r="H9" s="8" t="s">
        <v>125</v>
      </c>
      <c r="I9" s="8" t="s">
        <v>114</v>
      </c>
      <c r="J9" s="9" t="s">
        <v>25</v>
      </c>
      <c r="K9" s="8" t="s">
        <v>311</v>
      </c>
      <c r="L9" s="8" t="s">
        <v>276</v>
      </c>
      <c r="M9" s="8" t="s">
        <v>301</v>
      </c>
      <c r="N9" s="9" t="s">
        <v>286</v>
      </c>
      <c r="O9" s="9" t="s">
        <v>276</v>
      </c>
      <c r="P9" s="9" t="s">
        <v>239</v>
      </c>
      <c r="Q9" s="42" t="s">
        <v>287</v>
      </c>
      <c r="R9" s="9" t="s">
        <v>276</v>
      </c>
      <c r="S9" s="9" t="s">
        <v>276</v>
      </c>
      <c r="T9" s="9" t="s">
        <v>276</v>
      </c>
      <c r="U9" s="9">
        <v>3</v>
      </c>
      <c r="V9" s="8" t="s">
        <v>14</v>
      </c>
      <c r="W9" s="8" t="s">
        <v>98</v>
      </c>
      <c r="X9" s="9" t="s">
        <v>207</v>
      </c>
      <c r="Y9" s="13">
        <v>10958</v>
      </c>
      <c r="Z9" s="38">
        <v>10977</v>
      </c>
      <c r="AA9" s="9" t="s">
        <v>276</v>
      </c>
      <c r="AB9" s="9" t="s">
        <v>276</v>
      </c>
      <c r="AC9" s="8">
        <v>0</v>
      </c>
      <c r="AD9" s="8" t="s">
        <v>98</v>
      </c>
      <c r="AE9" s="8">
        <v>0</v>
      </c>
      <c r="AF9" s="8" t="s">
        <v>98</v>
      </c>
      <c r="AG9" s="9" t="s">
        <v>312</v>
      </c>
      <c r="AH9" s="9" t="s">
        <v>280</v>
      </c>
      <c r="AI9" s="38">
        <v>9</v>
      </c>
      <c r="AJ9" s="38">
        <v>15</v>
      </c>
      <c r="AK9" s="13">
        <v>10958</v>
      </c>
      <c r="AL9" s="38">
        <v>10977</v>
      </c>
      <c r="AM9" s="38" t="s">
        <v>281</v>
      </c>
      <c r="AN9" s="8" t="s">
        <v>276</v>
      </c>
      <c r="AO9" s="14">
        <f t="shared" si="0"/>
        <v>0.82131775871509405</v>
      </c>
      <c r="AP9" s="8" t="s">
        <v>276</v>
      </c>
      <c r="AQ9" s="8" t="s">
        <v>276</v>
      </c>
      <c r="AR9" s="8" t="s">
        <v>276</v>
      </c>
      <c r="AS9" s="14">
        <f t="shared" si="1"/>
        <v>1.3664935774801859</v>
      </c>
      <c r="AT9" s="8" t="s">
        <v>276</v>
      </c>
      <c r="AU9" s="8" t="s">
        <v>276</v>
      </c>
      <c r="AV9" s="9" t="s">
        <v>268</v>
      </c>
      <c r="AW9" s="40" t="s">
        <v>276</v>
      </c>
      <c r="AX9" s="40">
        <f t="shared" si="2"/>
        <v>0.60104033582770577</v>
      </c>
      <c r="AY9" s="9" t="s">
        <v>276</v>
      </c>
      <c r="AZ9" s="9" t="s">
        <v>276</v>
      </c>
      <c r="BA9" s="9" t="s">
        <v>276</v>
      </c>
      <c r="BB9" s="9" t="s">
        <v>282</v>
      </c>
      <c r="BC9" s="9" t="s">
        <v>276</v>
      </c>
      <c r="BD9" s="9" t="s">
        <v>276</v>
      </c>
      <c r="BE9" s="9" t="s">
        <v>276</v>
      </c>
      <c r="BF9" s="9" t="s">
        <v>298</v>
      </c>
      <c r="BG9" s="9"/>
      <c r="BH9" s="9" t="s">
        <v>100</v>
      </c>
      <c r="BI9" s="9" t="s">
        <v>100</v>
      </c>
      <c r="BJ9" s="32"/>
      <c r="BK9" s="32"/>
      <c r="BO9" s="32"/>
      <c r="BP9" s="32"/>
    </row>
    <row r="10" spans="1:69" s="33" customFormat="1" ht="52" hidden="1" x14ac:dyDescent="0.35">
      <c r="A10" s="8">
        <v>2736</v>
      </c>
      <c r="B10" s="8" t="s">
        <v>272</v>
      </c>
      <c r="C10" s="9" t="s">
        <v>2036</v>
      </c>
      <c r="D10" s="9" t="s">
        <v>313</v>
      </c>
      <c r="E10" s="8" t="s">
        <v>42</v>
      </c>
      <c r="F10" s="9" t="s">
        <v>274</v>
      </c>
      <c r="G10" s="8" t="s">
        <v>225</v>
      </c>
      <c r="H10" s="8" t="s">
        <v>125</v>
      </c>
      <c r="I10" s="8" t="s">
        <v>114</v>
      </c>
      <c r="J10" s="9" t="s">
        <v>25</v>
      </c>
      <c r="K10" s="8" t="s">
        <v>314</v>
      </c>
      <c r="L10" s="8" t="s">
        <v>276</v>
      </c>
      <c r="M10" s="8" t="s">
        <v>301</v>
      </c>
      <c r="N10" s="9" t="s">
        <v>286</v>
      </c>
      <c r="O10" s="9" t="s">
        <v>276</v>
      </c>
      <c r="P10" s="9" t="s">
        <v>239</v>
      </c>
      <c r="Q10" s="42" t="s">
        <v>287</v>
      </c>
      <c r="R10" s="9" t="s">
        <v>276</v>
      </c>
      <c r="S10" s="9" t="s">
        <v>276</v>
      </c>
      <c r="T10" s="9" t="s">
        <v>276</v>
      </c>
      <c r="U10" s="9">
        <v>3</v>
      </c>
      <c r="V10" s="8" t="s">
        <v>14</v>
      </c>
      <c r="W10" s="8" t="s">
        <v>98</v>
      </c>
      <c r="X10" s="9" t="s">
        <v>207</v>
      </c>
      <c r="Y10" s="13">
        <v>10958</v>
      </c>
      <c r="Z10" s="38">
        <v>10977</v>
      </c>
      <c r="AA10" s="9" t="s">
        <v>276</v>
      </c>
      <c r="AB10" s="9" t="s">
        <v>276</v>
      </c>
      <c r="AC10" s="8">
        <v>0</v>
      </c>
      <c r="AD10" s="8" t="s">
        <v>98</v>
      </c>
      <c r="AE10" s="8">
        <v>0</v>
      </c>
      <c r="AF10" s="8" t="s">
        <v>98</v>
      </c>
      <c r="AG10" s="9" t="s">
        <v>315</v>
      </c>
      <c r="AH10" s="9" t="s">
        <v>280</v>
      </c>
      <c r="AI10" s="38">
        <v>2</v>
      </c>
      <c r="AJ10" s="38">
        <v>3</v>
      </c>
      <c r="AK10" s="13">
        <v>10958</v>
      </c>
      <c r="AL10" s="38">
        <v>10977</v>
      </c>
      <c r="AM10" s="38" t="s">
        <v>281</v>
      </c>
      <c r="AN10" s="8" t="s">
        <v>276</v>
      </c>
      <c r="AO10" s="14">
        <f t="shared" si="0"/>
        <v>0.18251505749224312</v>
      </c>
      <c r="AP10" s="8" t="s">
        <v>276</v>
      </c>
      <c r="AQ10" s="8" t="s">
        <v>276</v>
      </c>
      <c r="AR10" s="8" t="s">
        <v>276</v>
      </c>
      <c r="AS10" s="14">
        <f t="shared" si="1"/>
        <v>0.27329871549603718</v>
      </c>
      <c r="AT10" s="8" t="s">
        <v>276</v>
      </c>
      <c r="AU10" s="8" t="s">
        <v>276</v>
      </c>
      <c r="AV10" s="9" t="s">
        <v>268</v>
      </c>
      <c r="AW10" s="40" t="s">
        <v>276</v>
      </c>
      <c r="AX10" s="40">
        <f t="shared" si="2"/>
        <v>0.66782259536411748</v>
      </c>
      <c r="AY10" s="9" t="s">
        <v>276</v>
      </c>
      <c r="AZ10" s="9" t="s">
        <v>276</v>
      </c>
      <c r="BA10" s="9" t="s">
        <v>276</v>
      </c>
      <c r="BB10" s="9" t="s">
        <v>282</v>
      </c>
      <c r="BC10" s="9" t="s">
        <v>276</v>
      </c>
      <c r="BD10" s="9" t="s">
        <v>276</v>
      </c>
      <c r="BE10" s="9" t="s">
        <v>276</v>
      </c>
      <c r="BF10" s="9" t="s">
        <v>298</v>
      </c>
      <c r="BG10" s="9"/>
      <c r="BH10" s="9" t="s">
        <v>100</v>
      </c>
      <c r="BI10" s="9" t="s">
        <v>100</v>
      </c>
      <c r="BJ10" s="32"/>
      <c r="BK10" s="32"/>
      <c r="BO10" s="32"/>
      <c r="BP10" s="32"/>
    </row>
    <row r="11" spans="1:69" s="33" customFormat="1" ht="52" hidden="1" x14ac:dyDescent="0.35">
      <c r="A11" s="8">
        <v>2736</v>
      </c>
      <c r="B11" s="8" t="s">
        <v>272</v>
      </c>
      <c r="C11" s="9" t="s">
        <v>2036</v>
      </c>
      <c r="D11" s="9" t="s">
        <v>316</v>
      </c>
      <c r="E11" s="8" t="s">
        <v>42</v>
      </c>
      <c r="F11" s="9" t="s">
        <v>274</v>
      </c>
      <c r="G11" s="8" t="s">
        <v>225</v>
      </c>
      <c r="H11" s="8" t="s">
        <v>125</v>
      </c>
      <c r="I11" s="8" t="s">
        <v>114</v>
      </c>
      <c r="J11" s="9" t="s">
        <v>25</v>
      </c>
      <c r="K11" s="8" t="s">
        <v>317</v>
      </c>
      <c r="L11" s="8" t="s">
        <v>276</v>
      </c>
      <c r="M11" s="8" t="s">
        <v>301</v>
      </c>
      <c r="N11" s="9" t="s">
        <v>286</v>
      </c>
      <c r="O11" s="9" t="s">
        <v>276</v>
      </c>
      <c r="P11" s="9" t="s">
        <v>239</v>
      </c>
      <c r="Q11" s="42" t="s">
        <v>287</v>
      </c>
      <c r="R11" s="9" t="s">
        <v>276</v>
      </c>
      <c r="S11" s="9" t="s">
        <v>276</v>
      </c>
      <c r="T11" s="9" t="s">
        <v>276</v>
      </c>
      <c r="U11" s="9">
        <v>3</v>
      </c>
      <c r="V11" s="8" t="s">
        <v>14</v>
      </c>
      <c r="W11" s="8" t="s">
        <v>98</v>
      </c>
      <c r="X11" s="9" t="s">
        <v>207</v>
      </c>
      <c r="Y11" s="13">
        <v>10958</v>
      </c>
      <c r="Z11" s="38">
        <v>10977</v>
      </c>
      <c r="AA11" s="9" t="s">
        <v>276</v>
      </c>
      <c r="AB11" s="9" t="s">
        <v>276</v>
      </c>
      <c r="AC11" s="8">
        <v>0</v>
      </c>
      <c r="AD11" s="8" t="s">
        <v>98</v>
      </c>
      <c r="AE11" s="8">
        <v>0</v>
      </c>
      <c r="AF11" s="8" t="s">
        <v>98</v>
      </c>
      <c r="AG11" s="9" t="s">
        <v>318</v>
      </c>
      <c r="AH11" s="9" t="s">
        <v>280</v>
      </c>
      <c r="AI11" s="38">
        <v>11</v>
      </c>
      <c r="AJ11" s="38">
        <v>18</v>
      </c>
      <c r="AK11" s="13">
        <v>10958</v>
      </c>
      <c r="AL11" s="38">
        <v>10977</v>
      </c>
      <c r="AM11" s="38" t="s">
        <v>281</v>
      </c>
      <c r="AN11" s="8" t="s">
        <v>276</v>
      </c>
      <c r="AO11" s="14">
        <f t="shared" si="0"/>
        <v>1.0038328162073371</v>
      </c>
      <c r="AP11" s="8" t="s">
        <v>276</v>
      </c>
      <c r="AQ11" s="8" t="s">
        <v>276</v>
      </c>
      <c r="AR11" s="8" t="s">
        <v>276</v>
      </c>
      <c r="AS11" s="14">
        <f t="shared" si="1"/>
        <v>1.639792292976223</v>
      </c>
      <c r="AT11" s="8" t="s">
        <v>276</v>
      </c>
      <c r="AU11" s="8" t="s">
        <v>276</v>
      </c>
      <c r="AV11" s="9" t="s">
        <v>268</v>
      </c>
      <c r="AW11" s="40" t="s">
        <v>276</v>
      </c>
      <c r="AX11" s="40">
        <f t="shared" si="2"/>
        <v>0.61217071241710774</v>
      </c>
      <c r="AY11" s="9" t="s">
        <v>276</v>
      </c>
      <c r="AZ11" s="9" t="s">
        <v>276</v>
      </c>
      <c r="BA11" s="9" t="s">
        <v>276</v>
      </c>
      <c r="BB11" s="9" t="s">
        <v>282</v>
      </c>
      <c r="BC11" s="9" t="s">
        <v>276</v>
      </c>
      <c r="BD11" s="9" t="s">
        <v>276</v>
      </c>
      <c r="BE11" s="9" t="s">
        <v>276</v>
      </c>
      <c r="BF11" s="9" t="s">
        <v>298</v>
      </c>
      <c r="BG11" s="9"/>
      <c r="BH11" s="9" t="s">
        <v>100</v>
      </c>
      <c r="BI11" s="9" t="s">
        <v>100</v>
      </c>
      <c r="BJ11" s="32"/>
      <c r="BK11" s="32"/>
      <c r="BO11" s="32"/>
      <c r="BP11" s="32"/>
    </row>
    <row r="12" spans="1:69" s="6" customFormat="1" ht="104" hidden="1" x14ac:dyDescent="0.35">
      <c r="A12" s="8">
        <v>3713</v>
      </c>
      <c r="B12" s="8" t="s">
        <v>319</v>
      </c>
      <c r="C12" s="8" t="s">
        <v>92</v>
      </c>
      <c r="D12" s="9" t="s">
        <v>415</v>
      </c>
      <c r="E12" s="8" t="s">
        <v>43</v>
      </c>
      <c r="F12" s="8" t="s">
        <v>138</v>
      </c>
      <c r="G12" s="8" t="s">
        <v>225</v>
      </c>
      <c r="H12" s="8" t="s">
        <v>125</v>
      </c>
      <c r="I12" s="8" t="s">
        <v>114</v>
      </c>
      <c r="J12" s="9" t="s">
        <v>29</v>
      </c>
      <c r="K12" s="44" t="s">
        <v>416</v>
      </c>
      <c r="L12" s="2" t="s">
        <v>276</v>
      </c>
      <c r="M12" s="2" t="s">
        <v>276</v>
      </c>
      <c r="N12" s="10" t="s">
        <v>417</v>
      </c>
      <c r="O12" s="10" t="s">
        <v>418</v>
      </c>
      <c r="P12" s="9" t="s">
        <v>239</v>
      </c>
      <c r="Q12" s="41" t="s">
        <v>323</v>
      </c>
      <c r="R12" s="9" t="s">
        <v>419</v>
      </c>
      <c r="S12" s="34" t="s">
        <v>420</v>
      </c>
      <c r="T12" s="34" t="s">
        <v>421</v>
      </c>
      <c r="U12" s="9">
        <v>1</v>
      </c>
      <c r="V12" s="8" t="s">
        <v>14</v>
      </c>
      <c r="W12" s="2" t="s">
        <v>98</v>
      </c>
      <c r="X12" s="10" t="s">
        <v>207</v>
      </c>
      <c r="Y12" s="13">
        <v>189386</v>
      </c>
      <c r="Z12" s="34">
        <v>219439</v>
      </c>
      <c r="AA12" s="38" t="s">
        <v>276</v>
      </c>
      <c r="AB12" s="38" t="s">
        <v>276</v>
      </c>
      <c r="AC12" s="8">
        <f t="shared" ref="AC12:AC18" si="3">8054-7276</f>
        <v>778</v>
      </c>
      <c r="AD12" s="9" t="s">
        <v>422</v>
      </c>
      <c r="AE12" s="8">
        <f t="shared" ref="AE12:AE18" si="4">7853-6899</f>
        <v>954</v>
      </c>
      <c r="AF12" s="9" t="s">
        <v>422</v>
      </c>
      <c r="AG12" s="9" t="s">
        <v>423</v>
      </c>
      <c r="AH12" s="9" t="s">
        <v>424</v>
      </c>
      <c r="AI12" s="34">
        <v>3263</v>
      </c>
      <c r="AJ12" s="34">
        <v>2440</v>
      </c>
      <c r="AK12" s="34">
        <v>1808031</v>
      </c>
      <c r="AL12" s="34">
        <v>2063912</v>
      </c>
      <c r="AM12" s="38" t="s">
        <v>425</v>
      </c>
      <c r="AN12" s="8" t="s">
        <v>276</v>
      </c>
      <c r="AO12" s="14">
        <f>AI12*1000/AK12</f>
        <v>1.804725693309462</v>
      </c>
      <c r="AP12" s="8" t="s">
        <v>276</v>
      </c>
      <c r="AQ12" s="8" t="s">
        <v>276</v>
      </c>
      <c r="AR12" s="8" t="s">
        <v>276</v>
      </c>
      <c r="AS12" s="14">
        <f>AJ12*1000/AL12</f>
        <v>1.1822209474047343</v>
      </c>
      <c r="AT12" s="8" t="s">
        <v>276</v>
      </c>
      <c r="AU12" s="8" t="s">
        <v>276</v>
      </c>
      <c r="AV12" s="9" t="s">
        <v>269</v>
      </c>
      <c r="AW12" s="35" t="s">
        <v>276</v>
      </c>
      <c r="AX12" s="35">
        <f t="shared" si="2"/>
        <v>1.5265553340695568</v>
      </c>
      <c r="AY12" s="10" t="s">
        <v>276</v>
      </c>
      <c r="AZ12" s="10" t="s">
        <v>276</v>
      </c>
      <c r="BA12" s="10" t="s">
        <v>276</v>
      </c>
      <c r="BB12" s="10" t="s">
        <v>98</v>
      </c>
      <c r="BC12" s="10" t="s">
        <v>98</v>
      </c>
      <c r="BD12" s="10" t="s">
        <v>98</v>
      </c>
      <c r="BE12" s="10" t="s">
        <v>98</v>
      </c>
      <c r="BF12" s="9" t="s">
        <v>426</v>
      </c>
      <c r="BG12" s="9" t="s">
        <v>427</v>
      </c>
      <c r="BH12" s="9" t="s">
        <v>100</v>
      </c>
      <c r="BI12" s="9" t="s">
        <v>100</v>
      </c>
      <c r="BJ12" s="32"/>
      <c r="BK12" s="32"/>
      <c r="BL12" s="33"/>
      <c r="BM12" s="33"/>
      <c r="BN12" s="33"/>
      <c r="BO12" s="32"/>
      <c r="BP12" s="32"/>
      <c r="BQ12" s="33"/>
    </row>
    <row r="13" spans="1:69" s="6" customFormat="1" ht="104" hidden="1" x14ac:dyDescent="0.35">
      <c r="A13" s="8">
        <v>3713</v>
      </c>
      <c r="B13" s="8" t="s">
        <v>319</v>
      </c>
      <c r="C13" s="8" t="s">
        <v>92</v>
      </c>
      <c r="D13" s="9" t="s">
        <v>428</v>
      </c>
      <c r="E13" s="8" t="s">
        <v>43</v>
      </c>
      <c r="F13" s="8" t="s">
        <v>138</v>
      </c>
      <c r="G13" s="8" t="s">
        <v>225</v>
      </c>
      <c r="H13" s="8" t="s">
        <v>125</v>
      </c>
      <c r="I13" s="8" t="s">
        <v>114</v>
      </c>
      <c r="J13" s="9" t="s">
        <v>29</v>
      </c>
      <c r="K13" s="44" t="s">
        <v>416</v>
      </c>
      <c r="L13" s="2" t="s">
        <v>276</v>
      </c>
      <c r="M13" s="2" t="s">
        <v>276</v>
      </c>
      <c r="N13" s="10" t="s">
        <v>417</v>
      </c>
      <c r="O13" s="10" t="s">
        <v>98</v>
      </c>
      <c r="P13" s="9" t="s">
        <v>239</v>
      </c>
      <c r="Q13" s="41" t="s">
        <v>323</v>
      </c>
      <c r="R13" s="9" t="s">
        <v>419</v>
      </c>
      <c r="S13" s="34" t="s">
        <v>420</v>
      </c>
      <c r="T13" s="34" t="s">
        <v>421</v>
      </c>
      <c r="U13" s="9">
        <v>1</v>
      </c>
      <c r="V13" s="8" t="s">
        <v>14</v>
      </c>
      <c r="W13" s="2" t="s">
        <v>98</v>
      </c>
      <c r="X13" s="10" t="s">
        <v>207</v>
      </c>
      <c r="Y13" s="13">
        <v>189386</v>
      </c>
      <c r="Z13" s="34">
        <v>219439</v>
      </c>
      <c r="AA13" s="38" t="s">
        <v>276</v>
      </c>
      <c r="AB13" s="38" t="s">
        <v>276</v>
      </c>
      <c r="AC13" s="8">
        <f t="shared" si="3"/>
        <v>778</v>
      </c>
      <c r="AD13" s="9" t="s">
        <v>422</v>
      </c>
      <c r="AE13" s="8">
        <f t="shared" si="4"/>
        <v>954</v>
      </c>
      <c r="AF13" s="9" t="s">
        <v>422</v>
      </c>
      <c r="AG13" s="9" t="s">
        <v>429</v>
      </c>
      <c r="AH13" s="9" t="s">
        <v>430</v>
      </c>
      <c r="AI13" s="34">
        <v>3263</v>
      </c>
      <c r="AJ13" s="34">
        <v>2440</v>
      </c>
      <c r="AK13" s="34">
        <f>Y13</f>
        <v>189386</v>
      </c>
      <c r="AL13" s="34">
        <f>Z13</f>
        <v>219439</v>
      </c>
      <c r="AM13" s="38" t="s">
        <v>376</v>
      </c>
      <c r="AN13" s="8">
        <v>1.7</v>
      </c>
      <c r="AO13" s="14">
        <f>AI13*100/AK13</f>
        <v>1.7229362254865723</v>
      </c>
      <c r="AP13" s="8" t="s">
        <v>276</v>
      </c>
      <c r="AQ13" s="8" t="s">
        <v>276</v>
      </c>
      <c r="AR13" s="8">
        <v>1.1000000000000001</v>
      </c>
      <c r="AS13" s="14">
        <f>AJ13*100/AL13</f>
        <v>1.1119263212099946</v>
      </c>
      <c r="AT13" s="8" t="s">
        <v>276</v>
      </c>
      <c r="AU13" s="8" t="s">
        <v>276</v>
      </c>
      <c r="AV13" s="9" t="s">
        <v>268</v>
      </c>
      <c r="AW13" s="35" t="s">
        <v>276</v>
      </c>
      <c r="AX13" s="35">
        <f t="shared" si="2"/>
        <v>1.5495057474776555</v>
      </c>
      <c r="AY13" s="10" t="s">
        <v>276</v>
      </c>
      <c r="AZ13" s="10" t="s">
        <v>276</v>
      </c>
      <c r="BA13" s="10" t="s">
        <v>431</v>
      </c>
      <c r="BB13" s="10" t="s">
        <v>98</v>
      </c>
      <c r="BC13" s="10" t="s">
        <v>98</v>
      </c>
      <c r="BD13" s="10" t="s">
        <v>98</v>
      </c>
      <c r="BE13" s="10" t="s">
        <v>98</v>
      </c>
      <c r="BF13" s="9" t="s">
        <v>432</v>
      </c>
      <c r="BG13" s="9" t="s">
        <v>276</v>
      </c>
      <c r="BH13" s="9" t="s">
        <v>100</v>
      </c>
      <c r="BI13" s="9" t="s">
        <v>100</v>
      </c>
      <c r="BJ13" s="32"/>
      <c r="BK13" s="32"/>
      <c r="BL13" s="33"/>
      <c r="BM13" s="33"/>
      <c r="BN13" s="33"/>
      <c r="BO13" s="32"/>
      <c r="BP13" s="32"/>
      <c r="BQ13" s="33"/>
    </row>
    <row r="14" spans="1:69" s="6" customFormat="1" ht="104" hidden="1" x14ac:dyDescent="0.35">
      <c r="A14" s="8">
        <v>3713</v>
      </c>
      <c r="B14" s="8" t="s">
        <v>319</v>
      </c>
      <c r="C14" s="8" t="s">
        <v>92</v>
      </c>
      <c r="D14" s="9" t="s">
        <v>433</v>
      </c>
      <c r="E14" s="8" t="s">
        <v>43</v>
      </c>
      <c r="F14" s="8" t="s">
        <v>138</v>
      </c>
      <c r="G14" s="8" t="s">
        <v>225</v>
      </c>
      <c r="H14" s="8" t="s">
        <v>125</v>
      </c>
      <c r="I14" s="8" t="s">
        <v>114</v>
      </c>
      <c r="J14" s="9" t="s">
        <v>29</v>
      </c>
      <c r="K14" s="44">
        <v>7</v>
      </c>
      <c r="L14" s="2" t="s">
        <v>276</v>
      </c>
      <c r="M14" s="2" t="s">
        <v>276</v>
      </c>
      <c r="N14" s="10" t="s">
        <v>417</v>
      </c>
      <c r="O14" s="10" t="s">
        <v>418</v>
      </c>
      <c r="P14" s="9" t="s">
        <v>239</v>
      </c>
      <c r="Q14" s="41" t="s">
        <v>323</v>
      </c>
      <c r="R14" s="9" t="s">
        <v>419</v>
      </c>
      <c r="S14" s="34" t="s">
        <v>420</v>
      </c>
      <c r="T14" s="34" t="s">
        <v>421</v>
      </c>
      <c r="U14" s="9">
        <v>1</v>
      </c>
      <c r="V14" s="8" t="s">
        <v>14</v>
      </c>
      <c r="W14" s="2" t="s">
        <v>98</v>
      </c>
      <c r="X14" s="10" t="s">
        <v>207</v>
      </c>
      <c r="Y14" s="13">
        <v>189386</v>
      </c>
      <c r="Z14" s="34">
        <v>219439</v>
      </c>
      <c r="AA14" s="38" t="s">
        <v>276</v>
      </c>
      <c r="AB14" s="38" t="s">
        <v>276</v>
      </c>
      <c r="AC14" s="8">
        <f t="shared" si="3"/>
        <v>778</v>
      </c>
      <c r="AD14" s="9" t="s">
        <v>422</v>
      </c>
      <c r="AE14" s="8">
        <f t="shared" si="4"/>
        <v>954</v>
      </c>
      <c r="AF14" s="9" t="s">
        <v>422</v>
      </c>
      <c r="AG14" s="9" t="s">
        <v>434</v>
      </c>
      <c r="AH14" s="9" t="s">
        <v>424</v>
      </c>
      <c r="AI14" s="34">
        <v>2710</v>
      </c>
      <c r="AJ14" s="34">
        <v>2823</v>
      </c>
      <c r="AK14" s="34">
        <v>1808031</v>
      </c>
      <c r="AL14" s="34">
        <v>2063912</v>
      </c>
      <c r="AM14" s="38" t="s">
        <v>425</v>
      </c>
      <c r="AN14" s="8" t="s">
        <v>276</v>
      </c>
      <c r="AO14" s="14">
        <f>AI14*1000/AK14</f>
        <v>1.4988681056906656</v>
      </c>
      <c r="AP14" s="8" t="s">
        <v>276</v>
      </c>
      <c r="AQ14" s="8" t="s">
        <v>276</v>
      </c>
      <c r="AR14" s="8" t="s">
        <v>276</v>
      </c>
      <c r="AS14" s="14">
        <f>AJ14*1000/AL14</f>
        <v>1.3677908748047398</v>
      </c>
      <c r="AT14" s="8" t="s">
        <v>276</v>
      </c>
      <c r="AU14" s="8" t="s">
        <v>276</v>
      </c>
      <c r="AV14" s="9" t="s">
        <v>269</v>
      </c>
      <c r="AW14" s="35" t="s">
        <v>276</v>
      </c>
      <c r="AX14" s="35">
        <f t="shared" si="2"/>
        <v>1.0958313389132954</v>
      </c>
      <c r="AY14" s="10" t="s">
        <v>276</v>
      </c>
      <c r="AZ14" s="10" t="s">
        <v>276</v>
      </c>
      <c r="BA14" s="10" t="s">
        <v>276</v>
      </c>
      <c r="BB14" s="10" t="s">
        <v>98</v>
      </c>
      <c r="BC14" s="10" t="s">
        <v>98</v>
      </c>
      <c r="BD14" s="10" t="s">
        <v>98</v>
      </c>
      <c r="BE14" s="10" t="s">
        <v>98</v>
      </c>
      <c r="BF14" s="9" t="s">
        <v>426</v>
      </c>
      <c r="BG14" s="9" t="s">
        <v>427</v>
      </c>
      <c r="BH14" s="9" t="s">
        <v>100</v>
      </c>
      <c r="BI14" s="9" t="s">
        <v>100</v>
      </c>
      <c r="BJ14" s="32"/>
      <c r="BK14" s="32"/>
      <c r="BL14" s="33"/>
      <c r="BM14" s="33"/>
      <c r="BN14" s="33"/>
      <c r="BO14" s="32"/>
      <c r="BP14" s="32"/>
      <c r="BQ14" s="33"/>
    </row>
    <row r="15" spans="1:69" s="6" customFormat="1" ht="104" hidden="1" x14ac:dyDescent="0.35">
      <c r="A15" s="8">
        <v>3713</v>
      </c>
      <c r="B15" s="8" t="s">
        <v>319</v>
      </c>
      <c r="C15" s="8" t="s">
        <v>92</v>
      </c>
      <c r="D15" s="9" t="s">
        <v>435</v>
      </c>
      <c r="E15" s="8" t="s">
        <v>43</v>
      </c>
      <c r="F15" s="8" t="s">
        <v>138</v>
      </c>
      <c r="G15" s="8" t="s">
        <v>225</v>
      </c>
      <c r="H15" s="8" t="s">
        <v>125</v>
      </c>
      <c r="I15" s="8" t="s">
        <v>114</v>
      </c>
      <c r="J15" s="9" t="s">
        <v>29</v>
      </c>
      <c r="K15" s="44">
        <v>7</v>
      </c>
      <c r="L15" s="2" t="s">
        <v>276</v>
      </c>
      <c r="M15" s="2" t="s">
        <v>276</v>
      </c>
      <c r="N15" s="10" t="s">
        <v>417</v>
      </c>
      <c r="O15" s="10" t="s">
        <v>98</v>
      </c>
      <c r="P15" s="9" t="s">
        <v>239</v>
      </c>
      <c r="Q15" s="41" t="s">
        <v>323</v>
      </c>
      <c r="R15" s="9" t="s">
        <v>419</v>
      </c>
      <c r="S15" s="34" t="s">
        <v>420</v>
      </c>
      <c r="T15" s="34" t="s">
        <v>421</v>
      </c>
      <c r="U15" s="9">
        <v>1</v>
      </c>
      <c r="V15" s="8" t="s">
        <v>14</v>
      </c>
      <c r="W15" s="2" t="s">
        <v>98</v>
      </c>
      <c r="X15" s="10" t="s">
        <v>207</v>
      </c>
      <c r="Y15" s="13">
        <v>189386</v>
      </c>
      <c r="Z15" s="34">
        <v>219439</v>
      </c>
      <c r="AA15" s="38" t="s">
        <v>276</v>
      </c>
      <c r="AB15" s="38" t="s">
        <v>276</v>
      </c>
      <c r="AC15" s="8">
        <f t="shared" si="3"/>
        <v>778</v>
      </c>
      <c r="AD15" s="9" t="s">
        <v>422</v>
      </c>
      <c r="AE15" s="8">
        <f t="shared" si="4"/>
        <v>954</v>
      </c>
      <c r="AF15" s="9" t="s">
        <v>422</v>
      </c>
      <c r="AG15" s="9" t="s">
        <v>434</v>
      </c>
      <c r="AH15" s="9" t="s">
        <v>430</v>
      </c>
      <c r="AI15" s="34">
        <v>2710</v>
      </c>
      <c r="AJ15" s="34">
        <v>2823</v>
      </c>
      <c r="AK15" s="34">
        <f>Y15</f>
        <v>189386</v>
      </c>
      <c r="AL15" s="34">
        <f>Z15</f>
        <v>219439</v>
      </c>
      <c r="AM15" s="38" t="s">
        <v>376</v>
      </c>
      <c r="AN15" s="8">
        <v>1.4</v>
      </c>
      <c r="AO15" s="14">
        <f>AI15*100/AK15</f>
        <v>1.4309399850041713</v>
      </c>
      <c r="AP15" s="8" t="s">
        <v>276</v>
      </c>
      <c r="AQ15" s="8" t="s">
        <v>276</v>
      </c>
      <c r="AR15" s="8">
        <v>1.3</v>
      </c>
      <c r="AS15" s="14">
        <f>AJ15*100/AL15</f>
        <v>1.2864622970392683</v>
      </c>
      <c r="AT15" s="8" t="s">
        <v>276</v>
      </c>
      <c r="AU15" s="8" t="s">
        <v>276</v>
      </c>
      <c r="AV15" s="9" t="s">
        <v>268</v>
      </c>
      <c r="AW15" s="35" t="s">
        <v>276</v>
      </c>
      <c r="AX15" s="35">
        <f t="shared" si="2"/>
        <v>1.1123061968449535</v>
      </c>
      <c r="AY15" s="10" t="s">
        <v>276</v>
      </c>
      <c r="AZ15" s="10" t="s">
        <v>276</v>
      </c>
      <c r="BA15" s="10" t="s">
        <v>436</v>
      </c>
      <c r="BB15" s="10" t="s">
        <v>98</v>
      </c>
      <c r="BC15" s="10" t="s">
        <v>98</v>
      </c>
      <c r="BD15" s="10" t="s">
        <v>98</v>
      </c>
      <c r="BE15" s="10" t="s">
        <v>98</v>
      </c>
      <c r="BF15" s="9" t="s">
        <v>426</v>
      </c>
      <c r="BG15" s="9" t="s">
        <v>437</v>
      </c>
      <c r="BH15" s="9" t="s">
        <v>100</v>
      </c>
      <c r="BI15" s="9" t="s">
        <v>100</v>
      </c>
      <c r="BJ15" s="32"/>
      <c r="BK15" s="32"/>
      <c r="BL15" s="33"/>
      <c r="BM15" s="33"/>
      <c r="BN15" s="33"/>
      <c r="BO15" s="32"/>
      <c r="BP15" s="32"/>
      <c r="BQ15" s="33"/>
    </row>
    <row r="16" spans="1:69" s="6" customFormat="1" ht="104" hidden="1" x14ac:dyDescent="0.35">
      <c r="A16" s="8">
        <v>3713</v>
      </c>
      <c r="B16" s="8" t="s">
        <v>319</v>
      </c>
      <c r="C16" s="8" t="s">
        <v>92</v>
      </c>
      <c r="D16" s="9" t="s">
        <v>438</v>
      </c>
      <c r="E16" s="8" t="s">
        <v>43</v>
      </c>
      <c r="F16" s="8" t="s">
        <v>138</v>
      </c>
      <c r="G16" s="8" t="s">
        <v>225</v>
      </c>
      <c r="H16" s="8" t="s">
        <v>125</v>
      </c>
      <c r="I16" s="8" t="s">
        <v>114</v>
      </c>
      <c r="J16" s="9" t="s">
        <v>29</v>
      </c>
      <c r="K16" s="44" t="s">
        <v>439</v>
      </c>
      <c r="L16" s="2" t="s">
        <v>276</v>
      </c>
      <c r="M16" s="2" t="s">
        <v>276</v>
      </c>
      <c r="N16" s="10" t="s">
        <v>417</v>
      </c>
      <c r="O16" s="10" t="s">
        <v>418</v>
      </c>
      <c r="P16" s="9" t="s">
        <v>239</v>
      </c>
      <c r="Q16" s="41" t="s">
        <v>323</v>
      </c>
      <c r="R16" s="9" t="s">
        <v>419</v>
      </c>
      <c r="S16" s="34" t="s">
        <v>420</v>
      </c>
      <c r="T16" s="34" t="s">
        <v>421</v>
      </c>
      <c r="U16" s="9">
        <v>1</v>
      </c>
      <c r="V16" s="8" t="s">
        <v>14</v>
      </c>
      <c r="W16" s="2" t="s">
        <v>98</v>
      </c>
      <c r="X16" s="10" t="s">
        <v>207</v>
      </c>
      <c r="Y16" s="13">
        <v>189386</v>
      </c>
      <c r="Z16" s="34">
        <v>219439</v>
      </c>
      <c r="AA16" s="38" t="s">
        <v>276</v>
      </c>
      <c r="AB16" s="38" t="s">
        <v>276</v>
      </c>
      <c r="AC16" s="8">
        <f t="shared" si="3"/>
        <v>778</v>
      </c>
      <c r="AD16" s="9" t="s">
        <v>422</v>
      </c>
      <c r="AE16" s="8">
        <f t="shared" si="4"/>
        <v>954</v>
      </c>
      <c r="AF16" s="9" t="s">
        <v>422</v>
      </c>
      <c r="AG16" s="9" t="s">
        <v>440</v>
      </c>
      <c r="AH16" s="9" t="s">
        <v>424</v>
      </c>
      <c r="AI16" s="34">
        <v>1303</v>
      </c>
      <c r="AJ16" s="34">
        <v>1636</v>
      </c>
      <c r="AK16" s="34">
        <v>1808031</v>
      </c>
      <c r="AL16" s="34">
        <v>2063912</v>
      </c>
      <c r="AM16" s="38" t="s">
        <v>425</v>
      </c>
      <c r="AN16" s="8" t="s">
        <v>276</v>
      </c>
      <c r="AO16" s="14">
        <f>AI16*1000/AK16</f>
        <v>0.72067348402765219</v>
      </c>
      <c r="AP16" s="8" t="s">
        <v>276</v>
      </c>
      <c r="AQ16" s="8" t="s">
        <v>276</v>
      </c>
      <c r="AR16" s="8" t="s">
        <v>276</v>
      </c>
      <c r="AS16" s="14">
        <f>AJ16*1000/AL16</f>
        <v>0.7926694548992399</v>
      </c>
      <c r="AT16" s="8" t="s">
        <v>276</v>
      </c>
      <c r="AU16" s="8" t="s">
        <v>276</v>
      </c>
      <c r="AV16" s="9" t="s">
        <v>269</v>
      </c>
      <c r="AW16" s="35" t="s">
        <v>276</v>
      </c>
      <c r="AX16" s="35">
        <f t="shared" si="2"/>
        <v>0.90917277002841057</v>
      </c>
      <c r="AY16" s="10" t="s">
        <v>276</v>
      </c>
      <c r="AZ16" s="10" t="s">
        <v>276</v>
      </c>
      <c r="BA16" s="10" t="s">
        <v>276</v>
      </c>
      <c r="BB16" s="10" t="s">
        <v>98</v>
      </c>
      <c r="BC16" s="10" t="s">
        <v>98</v>
      </c>
      <c r="BD16" s="10" t="s">
        <v>98</v>
      </c>
      <c r="BE16" s="10" t="s">
        <v>98</v>
      </c>
      <c r="BF16" s="9" t="s">
        <v>426</v>
      </c>
      <c r="BG16" s="9" t="s">
        <v>427</v>
      </c>
      <c r="BH16" s="9" t="s">
        <v>100</v>
      </c>
      <c r="BI16" s="9" t="s">
        <v>100</v>
      </c>
      <c r="BJ16" s="32"/>
      <c r="BK16" s="32"/>
      <c r="BL16" s="33"/>
      <c r="BM16" s="33"/>
      <c r="BN16" s="33"/>
      <c r="BO16" s="32"/>
      <c r="BP16" s="32"/>
      <c r="BQ16" s="33"/>
    </row>
    <row r="17" spans="1:69" s="6" customFormat="1" ht="104" hidden="1" x14ac:dyDescent="0.35">
      <c r="A17" s="8">
        <v>3713</v>
      </c>
      <c r="B17" s="8" t="s">
        <v>319</v>
      </c>
      <c r="C17" s="8" t="s">
        <v>92</v>
      </c>
      <c r="D17" s="9" t="s">
        <v>441</v>
      </c>
      <c r="E17" s="8" t="s">
        <v>43</v>
      </c>
      <c r="F17" s="8" t="s">
        <v>138</v>
      </c>
      <c r="G17" s="8" t="s">
        <v>225</v>
      </c>
      <c r="H17" s="8" t="s">
        <v>125</v>
      </c>
      <c r="I17" s="8" t="s">
        <v>114</v>
      </c>
      <c r="J17" s="9" t="s">
        <v>29</v>
      </c>
      <c r="K17" s="44" t="s">
        <v>439</v>
      </c>
      <c r="L17" s="2" t="s">
        <v>276</v>
      </c>
      <c r="M17" s="2" t="s">
        <v>276</v>
      </c>
      <c r="N17" s="10" t="s">
        <v>417</v>
      </c>
      <c r="O17" s="10" t="s">
        <v>98</v>
      </c>
      <c r="P17" s="9" t="s">
        <v>239</v>
      </c>
      <c r="Q17" s="41" t="s">
        <v>323</v>
      </c>
      <c r="R17" s="9" t="s">
        <v>419</v>
      </c>
      <c r="S17" s="34" t="s">
        <v>420</v>
      </c>
      <c r="T17" s="34" t="s">
        <v>421</v>
      </c>
      <c r="U17" s="9">
        <v>1</v>
      </c>
      <c r="V17" s="8" t="s">
        <v>14</v>
      </c>
      <c r="W17" s="2" t="s">
        <v>98</v>
      </c>
      <c r="X17" s="10" t="s">
        <v>207</v>
      </c>
      <c r="Y17" s="13">
        <v>189386</v>
      </c>
      <c r="Z17" s="34">
        <v>219439</v>
      </c>
      <c r="AA17" s="38" t="s">
        <v>276</v>
      </c>
      <c r="AB17" s="38" t="s">
        <v>276</v>
      </c>
      <c r="AC17" s="8">
        <f t="shared" si="3"/>
        <v>778</v>
      </c>
      <c r="AD17" s="9" t="s">
        <v>422</v>
      </c>
      <c r="AE17" s="8">
        <f t="shared" si="4"/>
        <v>954</v>
      </c>
      <c r="AF17" s="9" t="s">
        <v>422</v>
      </c>
      <c r="AG17" s="9" t="s">
        <v>442</v>
      </c>
      <c r="AH17" s="9" t="s">
        <v>430</v>
      </c>
      <c r="AI17" s="34">
        <v>1303</v>
      </c>
      <c r="AJ17" s="34">
        <v>1636</v>
      </c>
      <c r="AK17" s="34">
        <f>Y17</f>
        <v>189386</v>
      </c>
      <c r="AL17" s="34">
        <f>Z17</f>
        <v>219439</v>
      </c>
      <c r="AM17" s="38" t="s">
        <v>376</v>
      </c>
      <c r="AN17" s="8">
        <v>0.7</v>
      </c>
      <c r="AO17" s="14">
        <f>AI17*100/AK17</f>
        <v>0.68801284149831565</v>
      </c>
      <c r="AP17" s="8" t="s">
        <v>276</v>
      </c>
      <c r="AQ17" s="8" t="s">
        <v>276</v>
      </c>
      <c r="AR17" s="8">
        <v>0.7</v>
      </c>
      <c r="AS17" s="14">
        <f>AJ17*100/AL17</f>
        <v>0.74553748422112753</v>
      </c>
      <c r="AT17" s="8" t="s">
        <v>276</v>
      </c>
      <c r="AU17" s="8" t="s">
        <v>276</v>
      </c>
      <c r="AV17" s="9" t="s">
        <v>268</v>
      </c>
      <c r="AW17" s="35" t="s">
        <v>276</v>
      </c>
      <c r="AX17" s="35">
        <f t="shared" si="2"/>
        <v>0.92284138096301271</v>
      </c>
      <c r="AY17" s="10" t="s">
        <v>276</v>
      </c>
      <c r="AZ17" s="10" t="s">
        <v>276</v>
      </c>
      <c r="BA17" s="10">
        <v>0.03</v>
      </c>
      <c r="BB17" s="10" t="s">
        <v>98</v>
      </c>
      <c r="BC17" s="10" t="s">
        <v>98</v>
      </c>
      <c r="BD17" s="10" t="s">
        <v>98</v>
      </c>
      <c r="BE17" s="10" t="s">
        <v>98</v>
      </c>
      <c r="BF17" s="9" t="s">
        <v>443</v>
      </c>
      <c r="BG17" s="9" t="s">
        <v>276</v>
      </c>
      <c r="BH17" s="9" t="s">
        <v>100</v>
      </c>
      <c r="BI17" s="9" t="s">
        <v>100</v>
      </c>
      <c r="BJ17" s="32"/>
      <c r="BK17" s="32"/>
      <c r="BL17" s="33"/>
      <c r="BM17" s="33"/>
      <c r="BN17" s="33"/>
      <c r="BO17" s="32"/>
      <c r="BP17" s="32"/>
      <c r="BQ17" s="33"/>
    </row>
    <row r="18" spans="1:69" s="6" customFormat="1" ht="104" hidden="1" x14ac:dyDescent="0.35">
      <c r="A18" s="8">
        <v>3713</v>
      </c>
      <c r="B18" s="8" t="s">
        <v>319</v>
      </c>
      <c r="C18" s="8" t="s">
        <v>92</v>
      </c>
      <c r="D18" s="9" t="s">
        <v>444</v>
      </c>
      <c r="E18" s="8" t="s">
        <v>43</v>
      </c>
      <c r="F18" s="8" t="s">
        <v>138</v>
      </c>
      <c r="G18" s="8" t="s">
        <v>225</v>
      </c>
      <c r="H18" s="8" t="s">
        <v>125</v>
      </c>
      <c r="I18" s="8" t="s">
        <v>114</v>
      </c>
      <c r="J18" s="9" t="s">
        <v>29</v>
      </c>
      <c r="K18" s="44" t="s">
        <v>439</v>
      </c>
      <c r="L18" s="2" t="s">
        <v>276</v>
      </c>
      <c r="M18" s="2" t="s">
        <v>276</v>
      </c>
      <c r="N18" s="10" t="s">
        <v>417</v>
      </c>
      <c r="O18" s="10" t="s">
        <v>98</v>
      </c>
      <c r="P18" s="9" t="s">
        <v>235</v>
      </c>
      <c r="Q18" s="41" t="s">
        <v>323</v>
      </c>
      <c r="R18" s="9" t="s">
        <v>419</v>
      </c>
      <c r="S18" s="34" t="s">
        <v>420</v>
      </c>
      <c r="T18" s="34" t="s">
        <v>421</v>
      </c>
      <c r="U18" s="9">
        <v>1</v>
      </c>
      <c r="V18" s="8" t="s">
        <v>14</v>
      </c>
      <c r="W18" s="2" t="s">
        <v>98</v>
      </c>
      <c r="X18" s="10" t="s">
        <v>207</v>
      </c>
      <c r="Y18" s="13" t="s">
        <v>98</v>
      </c>
      <c r="Z18" s="34" t="s">
        <v>98</v>
      </c>
      <c r="AA18" s="34" t="s">
        <v>276</v>
      </c>
      <c r="AB18" s="34" t="s">
        <v>276</v>
      </c>
      <c r="AC18" s="8">
        <f t="shared" si="3"/>
        <v>778</v>
      </c>
      <c r="AD18" s="9" t="s">
        <v>422</v>
      </c>
      <c r="AE18" s="8">
        <f t="shared" si="4"/>
        <v>954</v>
      </c>
      <c r="AF18" s="9" t="s">
        <v>422</v>
      </c>
      <c r="AG18" s="9" t="s">
        <v>445</v>
      </c>
      <c r="AH18" s="9" t="s">
        <v>446</v>
      </c>
      <c r="AI18" s="34">
        <v>1303</v>
      </c>
      <c r="AJ18" s="34">
        <v>1636</v>
      </c>
      <c r="AK18" s="34">
        <v>8054</v>
      </c>
      <c r="AL18" s="34">
        <v>7853</v>
      </c>
      <c r="AM18" s="38" t="s">
        <v>447</v>
      </c>
      <c r="AN18" s="8" t="s">
        <v>276</v>
      </c>
      <c r="AO18" s="14">
        <f>AI18*100/AK18</f>
        <v>16.178296498634218</v>
      </c>
      <c r="AP18" s="8" t="s">
        <v>276</v>
      </c>
      <c r="AQ18" s="8" t="s">
        <v>276</v>
      </c>
      <c r="AR18" s="8" t="s">
        <v>276</v>
      </c>
      <c r="AS18" s="14">
        <f>AJ18*100/AL18</f>
        <v>20.832802750541195</v>
      </c>
      <c r="AT18" s="8" t="s">
        <v>276</v>
      </c>
      <c r="AU18" s="8" t="s">
        <v>276</v>
      </c>
      <c r="AV18" s="9" t="s">
        <v>268</v>
      </c>
      <c r="AW18" s="35" t="s">
        <v>276</v>
      </c>
      <c r="AX18" s="35">
        <f t="shared" si="2"/>
        <v>0.77657800980302272</v>
      </c>
      <c r="AY18" s="10" t="s">
        <v>276</v>
      </c>
      <c r="AZ18" s="10" t="s">
        <v>276</v>
      </c>
      <c r="BA18" s="10" t="s">
        <v>276</v>
      </c>
      <c r="BB18" s="10" t="s">
        <v>98</v>
      </c>
      <c r="BC18" s="10" t="s">
        <v>98</v>
      </c>
      <c r="BD18" s="10" t="s">
        <v>98</v>
      </c>
      <c r="BE18" s="10" t="s">
        <v>98</v>
      </c>
      <c r="BF18" s="9" t="s">
        <v>448</v>
      </c>
      <c r="BG18" s="9" t="s">
        <v>449</v>
      </c>
      <c r="BH18" s="9" t="s">
        <v>100</v>
      </c>
      <c r="BI18" s="9" t="s">
        <v>100</v>
      </c>
      <c r="BJ18" s="32"/>
      <c r="BK18" s="32"/>
      <c r="BL18" s="33"/>
      <c r="BM18" s="33"/>
      <c r="BN18" s="33"/>
      <c r="BO18" s="32"/>
      <c r="BP18" s="32"/>
      <c r="BQ18" s="33"/>
    </row>
    <row r="19" spans="1:69" s="6" customFormat="1" ht="117" hidden="1" x14ac:dyDescent="0.35">
      <c r="A19" s="8">
        <v>3713</v>
      </c>
      <c r="B19" s="8" t="s">
        <v>319</v>
      </c>
      <c r="C19" s="8" t="s">
        <v>92</v>
      </c>
      <c r="D19" s="9" t="s">
        <v>450</v>
      </c>
      <c r="E19" s="8" t="s">
        <v>43</v>
      </c>
      <c r="F19" s="8" t="s">
        <v>138</v>
      </c>
      <c r="G19" s="8" t="s">
        <v>225</v>
      </c>
      <c r="H19" s="8" t="s">
        <v>125</v>
      </c>
      <c r="I19" s="8" t="s">
        <v>114</v>
      </c>
      <c r="J19" s="9" t="s">
        <v>29</v>
      </c>
      <c r="K19" s="44" t="s">
        <v>416</v>
      </c>
      <c r="L19" s="2" t="s">
        <v>276</v>
      </c>
      <c r="M19" s="2" t="s">
        <v>276</v>
      </c>
      <c r="N19" s="10" t="s">
        <v>417</v>
      </c>
      <c r="O19" s="10" t="s">
        <v>418</v>
      </c>
      <c r="P19" s="9" t="s">
        <v>239</v>
      </c>
      <c r="Q19" s="41" t="s">
        <v>276</v>
      </c>
      <c r="R19" s="9" t="s">
        <v>451</v>
      </c>
      <c r="S19" s="34" t="s">
        <v>452</v>
      </c>
      <c r="T19" s="34" t="s">
        <v>453</v>
      </c>
      <c r="U19" s="9">
        <v>1</v>
      </c>
      <c r="V19" s="8" t="s">
        <v>14</v>
      </c>
      <c r="W19" s="2" t="s">
        <v>98</v>
      </c>
      <c r="X19" s="10" t="s">
        <v>207</v>
      </c>
      <c r="Y19" s="13">
        <v>189386</v>
      </c>
      <c r="Z19" s="34">
        <v>219439</v>
      </c>
      <c r="AA19" s="34" t="s">
        <v>276</v>
      </c>
      <c r="AB19" s="34" t="s">
        <v>276</v>
      </c>
      <c r="AC19" s="8">
        <v>198</v>
      </c>
      <c r="AD19" s="9" t="s">
        <v>422</v>
      </c>
      <c r="AE19" s="8">
        <v>114</v>
      </c>
      <c r="AF19" s="9" t="s">
        <v>422</v>
      </c>
      <c r="AG19" s="9" t="s">
        <v>454</v>
      </c>
      <c r="AH19" s="9" t="s">
        <v>455</v>
      </c>
      <c r="AI19" s="34">
        <v>1663</v>
      </c>
      <c r="AJ19" s="34">
        <v>250</v>
      </c>
      <c r="AK19" s="34">
        <v>279388</v>
      </c>
      <c r="AL19" s="34">
        <v>326081</v>
      </c>
      <c r="AM19" s="38" t="s">
        <v>425</v>
      </c>
      <c r="AN19" s="8" t="s">
        <v>276</v>
      </c>
      <c r="AO19" s="14">
        <f>AI19*1000/AK19</f>
        <v>5.9522957321001622</v>
      </c>
      <c r="AP19" s="8" t="s">
        <v>276</v>
      </c>
      <c r="AQ19" s="8" t="s">
        <v>276</v>
      </c>
      <c r="AR19" s="8" t="s">
        <v>276</v>
      </c>
      <c r="AS19" s="14">
        <f>AJ19*1000/AL19</f>
        <v>0.7666806713669303</v>
      </c>
      <c r="AT19" s="8" t="s">
        <v>276</v>
      </c>
      <c r="AU19" s="8" t="s">
        <v>276</v>
      </c>
      <c r="AV19" s="9" t="s">
        <v>269</v>
      </c>
      <c r="AW19" s="35" t="s">
        <v>276</v>
      </c>
      <c r="AX19" s="35">
        <f t="shared" si="2"/>
        <v>7.7637221784758124</v>
      </c>
      <c r="AY19" s="10" t="s">
        <v>276</v>
      </c>
      <c r="AZ19" s="10" t="s">
        <v>276</v>
      </c>
      <c r="BA19" s="10" t="s">
        <v>276</v>
      </c>
      <c r="BB19" s="10" t="s">
        <v>98</v>
      </c>
      <c r="BC19" s="10" t="s">
        <v>98</v>
      </c>
      <c r="BD19" s="10" t="s">
        <v>98</v>
      </c>
      <c r="BE19" s="10" t="s">
        <v>98</v>
      </c>
      <c r="BF19" s="9" t="s">
        <v>456</v>
      </c>
      <c r="BG19" s="9" t="s">
        <v>457</v>
      </c>
      <c r="BH19" s="9" t="s">
        <v>100</v>
      </c>
      <c r="BI19" s="9" t="s">
        <v>100</v>
      </c>
      <c r="BJ19" s="32"/>
      <c r="BK19" s="32"/>
      <c r="BL19" s="33"/>
      <c r="BM19" s="33"/>
      <c r="BN19" s="33"/>
      <c r="BO19" s="32"/>
      <c r="BP19" s="32"/>
      <c r="BQ19" s="33"/>
    </row>
    <row r="20" spans="1:69" s="6" customFormat="1" ht="117" hidden="1" x14ac:dyDescent="0.35">
      <c r="A20" s="8">
        <v>3713</v>
      </c>
      <c r="B20" s="8" t="s">
        <v>319</v>
      </c>
      <c r="C20" s="8" t="s">
        <v>92</v>
      </c>
      <c r="D20" s="9" t="s">
        <v>458</v>
      </c>
      <c r="E20" s="8" t="s">
        <v>43</v>
      </c>
      <c r="F20" s="8" t="s">
        <v>138</v>
      </c>
      <c r="G20" s="8" t="s">
        <v>225</v>
      </c>
      <c r="H20" s="8" t="s">
        <v>125</v>
      </c>
      <c r="I20" s="8" t="s">
        <v>114</v>
      </c>
      <c r="J20" s="9" t="s">
        <v>29</v>
      </c>
      <c r="K20" s="44" t="s">
        <v>416</v>
      </c>
      <c r="L20" s="2" t="s">
        <v>276</v>
      </c>
      <c r="M20" s="2" t="s">
        <v>276</v>
      </c>
      <c r="N20" s="10" t="s">
        <v>417</v>
      </c>
      <c r="O20" s="10" t="s">
        <v>98</v>
      </c>
      <c r="P20" s="9" t="s">
        <v>239</v>
      </c>
      <c r="Q20" s="41" t="s">
        <v>276</v>
      </c>
      <c r="R20" s="9" t="s">
        <v>451</v>
      </c>
      <c r="S20" s="34" t="s">
        <v>452</v>
      </c>
      <c r="T20" s="34" t="s">
        <v>453</v>
      </c>
      <c r="U20" s="9">
        <v>1</v>
      </c>
      <c r="V20" s="8" t="s">
        <v>14</v>
      </c>
      <c r="W20" s="2" t="s">
        <v>98</v>
      </c>
      <c r="X20" s="10" t="s">
        <v>207</v>
      </c>
      <c r="Y20" s="13">
        <v>189386</v>
      </c>
      <c r="Z20" s="34">
        <v>219439</v>
      </c>
      <c r="AA20" s="34" t="s">
        <v>276</v>
      </c>
      <c r="AB20" s="34" t="s">
        <v>276</v>
      </c>
      <c r="AC20" s="8">
        <v>198</v>
      </c>
      <c r="AD20" s="9" t="s">
        <v>422</v>
      </c>
      <c r="AE20" s="8">
        <v>114</v>
      </c>
      <c r="AF20" s="9" t="s">
        <v>422</v>
      </c>
      <c r="AG20" s="9" t="s">
        <v>454</v>
      </c>
      <c r="AH20" s="9" t="s">
        <v>430</v>
      </c>
      <c r="AI20" s="34">
        <v>1663</v>
      </c>
      <c r="AJ20" s="34">
        <v>250</v>
      </c>
      <c r="AK20" s="34">
        <f>Y20</f>
        <v>189386</v>
      </c>
      <c r="AL20" s="34">
        <f>Z20</f>
        <v>219439</v>
      </c>
      <c r="AM20" s="38" t="s">
        <v>376</v>
      </c>
      <c r="AN20" s="8">
        <v>0.86</v>
      </c>
      <c r="AO20" s="14">
        <f>AI20*100/AK20</f>
        <v>0.87810080998595463</v>
      </c>
      <c r="AP20" s="8" t="s">
        <v>276</v>
      </c>
      <c r="AQ20" s="8" t="s">
        <v>276</v>
      </c>
      <c r="AR20" s="8">
        <v>0.11</v>
      </c>
      <c r="AS20" s="14">
        <f>AJ20*100/AL20</f>
        <v>0.11392687717315518</v>
      </c>
      <c r="AT20" s="8" t="s">
        <v>276</v>
      </c>
      <c r="AU20" s="8" t="s">
        <v>276</v>
      </c>
      <c r="AV20" s="9" t="s">
        <v>268</v>
      </c>
      <c r="AW20" s="35" t="s">
        <v>276</v>
      </c>
      <c r="AX20" s="35">
        <f t="shared" si="2"/>
        <v>7.7075825457003164</v>
      </c>
      <c r="AY20" s="10" t="s">
        <v>276</v>
      </c>
      <c r="AZ20" s="10" t="s">
        <v>276</v>
      </c>
      <c r="BA20" s="10" t="s">
        <v>276</v>
      </c>
      <c r="BB20" s="10" t="s">
        <v>98</v>
      </c>
      <c r="BC20" s="10" t="s">
        <v>98</v>
      </c>
      <c r="BD20" s="10" t="s">
        <v>98</v>
      </c>
      <c r="BE20" s="10" t="s">
        <v>98</v>
      </c>
      <c r="BF20" s="9" t="s">
        <v>459</v>
      </c>
      <c r="BG20" s="9" t="s">
        <v>460</v>
      </c>
      <c r="BH20" s="9" t="s">
        <v>100</v>
      </c>
      <c r="BI20" s="9" t="s">
        <v>100</v>
      </c>
      <c r="BJ20" s="32"/>
      <c r="BK20" s="32"/>
      <c r="BL20" s="33"/>
      <c r="BM20" s="33"/>
      <c r="BN20" s="33"/>
      <c r="BO20" s="32"/>
      <c r="BP20" s="32"/>
      <c r="BQ20" s="33"/>
    </row>
    <row r="21" spans="1:69" s="6" customFormat="1" ht="117" hidden="1" x14ac:dyDescent="0.35">
      <c r="A21" s="8">
        <v>3713</v>
      </c>
      <c r="B21" s="8" t="s">
        <v>319</v>
      </c>
      <c r="C21" s="8" t="s">
        <v>92</v>
      </c>
      <c r="D21" s="9" t="s">
        <v>461</v>
      </c>
      <c r="E21" s="8" t="s">
        <v>43</v>
      </c>
      <c r="F21" s="8" t="s">
        <v>138</v>
      </c>
      <c r="G21" s="8" t="s">
        <v>225</v>
      </c>
      <c r="H21" s="8" t="s">
        <v>125</v>
      </c>
      <c r="I21" s="8" t="s">
        <v>114</v>
      </c>
      <c r="J21" s="9" t="s">
        <v>29</v>
      </c>
      <c r="K21" s="44">
        <v>7</v>
      </c>
      <c r="L21" s="2" t="s">
        <v>276</v>
      </c>
      <c r="M21" s="2" t="s">
        <v>276</v>
      </c>
      <c r="N21" s="10" t="s">
        <v>417</v>
      </c>
      <c r="O21" s="10" t="s">
        <v>418</v>
      </c>
      <c r="P21" s="9" t="s">
        <v>239</v>
      </c>
      <c r="Q21" s="41" t="s">
        <v>276</v>
      </c>
      <c r="R21" s="9" t="s">
        <v>451</v>
      </c>
      <c r="S21" s="34" t="s">
        <v>452</v>
      </c>
      <c r="T21" s="34" t="s">
        <v>453</v>
      </c>
      <c r="U21" s="9">
        <v>1</v>
      </c>
      <c r="V21" s="8" t="s">
        <v>14</v>
      </c>
      <c r="W21" s="2" t="s">
        <v>98</v>
      </c>
      <c r="X21" s="10" t="s">
        <v>207</v>
      </c>
      <c r="Y21" s="13">
        <v>189386</v>
      </c>
      <c r="Z21" s="34">
        <v>219439</v>
      </c>
      <c r="AA21" s="34" t="s">
        <v>276</v>
      </c>
      <c r="AB21" s="34" t="s">
        <v>276</v>
      </c>
      <c r="AC21" s="8">
        <v>198</v>
      </c>
      <c r="AD21" s="9" t="s">
        <v>422</v>
      </c>
      <c r="AE21" s="8">
        <v>114</v>
      </c>
      <c r="AF21" s="9" t="s">
        <v>422</v>
      </c>
      <c r="AG21" s="9" t="s">
        <v>462</v>
      </c>
      <c r="AH21" s="9" t="s">
        <v>455</v>
      </c>
      <c r="AI21" s="34">
        <v>856</v>
      </c>
      <c r="AJ21" s="34">
        <v>215</v>
      </c>
      <c r="AK21" s="34">
        <v>279388</v>
      </c>
      <c r="AL21" s="34">
        <v>326081</v>
      </c>
      <c r="AM21" s="38" t="s">
        <v>425</v>
      </c>
      <c r="AN21" s="8" t="s">
        <v>276</v>
      </c>
      <c r="AO21" s="14">
        <f>AI21*1000/AK21</f>
        <v>3.0638395349836069</v>
      </c>
      <c r="AP21" s="8" t="s">
        <v>276</v>
      </c>
      <c r="AQ21" s="8" t="s">
        <v>276</v>
      </c>
      <c r="AR21" s="8" t="s">
        <v>276</v>
      </c>
      <c r="AS21" s="14">
        <f>AJ21*1000/AL21</f>
        <v>0.65934537737556009</v>
      </c>
      <c r="AT21" s="8" t="s">
        <v>276</v>
      </c>
      <c r="AU21" s="8" t="s">
        <v>276</v>
      </c>
      <c r="AV21" s="9" t="s">
        <v>269</v>
      </c>
      <c r="AW21" s="35" t="s">
        <v>276</v>
      </c>
      <c r="AX21" s="35">
        <f t="shared" si="2"/>
        <v>4.6467900437534393</v>
      </c>
      <c r="AY21" s="10" t="s">
        <v>276</v>
      </c>
      <c r="AZ21" s="10" t="s">
        <v>276</v>
      </c>
      <c r="BA21" s="10" t="s">
        <v>276</v>
      </c>
      <c r="BB21" s="10" t="s">
        <v>98</v>
      </c>
      <c r="BC21" s="10" t="s">
        <v>98</v>
      </c>
      <c r="BD21" s="10" t="s">
        <v>98</v>
      </c>
      <c r="BE21" s="10" t="s">
        <v>98</v>
      </c>
      <c r="BF21" s="9" t="s">
        <v>463</v>
      </c>
      <c r="BG21" s="9" t="s">
        <v>457</v>
      </c>
      <c r="BH21" s="9" t="s">
        <v>100</v>
      </c>
      <c r="BI21" s="9" t="s">
        <v>100</v>
      </c>
      <c r="BJ21" s="32"/>
      <c r="BK21" s="32"/>
      <c r="BL21" s="33"/>
      <c r="BM21" s="33"/>
      <c r="BN21" s="33"/>
      <c r="BO21" s="32"/>
      <c r="BP21" s="32"/>
      <c r="BQ21" s="33"/>
    </row>
    <row r="22" spans="1:69" s="6" customFormat="1" ht="117" hidden="1" x14ac:dyDescent="0.35">
      <c r="A22" s="8">
        <v>3713</v>
      </c>
      <c r="B22" s="8" t="s">
        <v>319</v>
      </c>
      <c r="C22" s="8" t="s">
        <v>92</v>
      </c>
      <c r="D22" s="9" t="s">
        <v>464</v>
      </c>
      <c r="E22" s="8" t="s">
        <v>43</v>
      </c>
      <c r="F22" s="8" t="s">
        <v>138</v>
      </c>
      <c r="G22" s="8" t="s">
        <v>225</v>
      </c>
      <c r="H22" s="8" t="s">
        <v>125</v>
      </c>
      <c r="I22" s="8" t="s">
        <v>114</v>
      </c>
      <c r="J22" s="9" t="s">
        <v>29</v>
      </c>
      <c r="K22" s="44">
        <v>7</v>
      </c>
      <c r="L22" s="2" t="s">
        <v>276</v>
      </c>
      <c r="M22" s="2" t="s">
        <v>276</v>
      </c>
      <c r="N22" s="10" t="s">
        <v>417</v>
      </c>
      <c r="O22" s="10" t="s">
        <v>98</v>
      </c>
      <c r="P22" s="9" t="s">
        <v>239</v>
      </c>
      <c r="Q22" s="41" t="s">
        <v>276</v>
      </c>
      <c r="R22" s="9" t="s">
        <v>451</v>
      </c>
      <c r="S22" s="34" t="s">
        <v>452</v>
      </c>
      <c r="T22" s="34" t="s">
        <v>453</v>
      </c>
      <c r="U22" s="9">
        <v>1</v>
      </c>
      <c r="V22" s="8" t="s">
        <v>14</v>
      </c>
      <c r="W22" s="2" t="s">
        <v>98</v>
      </c>
      <c r="X22" s="10" t="s">
        <v>207</v>
      </c>
      <c r="Y22" s="13">
        <v>189386</v>
      </c>
      <c r="Z22" s="34">
        <v>219439</v>
      </c>
      <c r="AA22" s="34" t="s">
        <v>276</v>
      </c>
      <c r="AB22" s="34" t="s">
        <v>276</v>
      </c>
      <c r="AC22" s="8">
        <v>198</v>
      </c>
      <c r="AD22" s="9" t="s">
        <v>422</v>
      </c>
      <c r="AE22" s="8">
        <v>114</v>
      </c>
      <c r="AF22" s="9" t="s">
        <v>422</v>
      </c>
      <c r="AG22" s="9" t="s">
        <v>462</v>
      </c>
      <c r="AH22" s="9" t="s">
        <v>430</v>
      </c>
      <c r="AI22" s="34">
        <v>856</v>
      </c>
      <c r="AJ22" s="34">
        <v>215</v>
      </c>
      <c r="AK22" s="34">
        <f>Y22</f>
        <v>189386</v>
      </c>
      <c r="AL22" s="34">
        <f>Z22</f>
        <v>219439</v>
      </c>
      <c r="AM22" s="38" t="s">
        <v>376</v>
      </c>
      <c r="AN22" s="8">
        <v>0.45</v>
      </c>
      <c r="AO22" s="14">
        <f>AI22*100/AK22</f>
        <v>0.45198694729283051</v>
      </c>
      <c r="AP22" s="8" t="s">
        <v>276</v>
      </c>
      <c r="AQ22" s="8" t="s">
        <v>276</v>
      </c>
      <c r="AR22" s="8">
        <v>0.1</v>
      </c>
      <c r="AS22" s="14">
        <f>AJ22*100/AL22</f>
        <v>9.7977114368913459E-2</v>
      </c>
      <c r="AT22" s="8" t="s">
        <v>276</v>
      </c>
      <c r="AU22" s="8" t="s">
        <v>276</v>
      </c>
      <c r="AV22" s="9" t="s">
        <v>268</v>
      </c>
      <c r="AW22" s="35" t="s">
        <v>276</v>
      </c>
      <c r="AX22" s="35">
        <f t="shared" si="2"/>
        <v>4.6131890105577407</v>
      </c>
      <c r="AY22" s="10" t="s">
        <v>276</v>
      </c>
      <c r="AZ22" s="10" t="s">
        <v>276</v>
      </c>
      <c r="BA22" s="10" t="s">
        <v>276</v>
      </c>
      <c r="BB22" s="10" t="s">
        <v>98</v>
      </c>
      <c r="BC22" s="10" t="s">
        <v>98</v>
      </c>
      <c r="BD22" s="10" t="s">
        <v>98</v>
      </c>
      <c r="BE22" s="10" t="s">
        <v>98</v>
      </c>
      <c r="BF22" s="9" t="s">
        <v>463</v>
      </c>
      <c r="BG22" s="9" t="s">
        <v>460</v>
      </c>
      <c r="BH22" s="9" t="s">
        <v>100</v>
      </c>
      <c r="BI22" s="9" t="s">
        <v>100</v>
      </c>
      <c r="BJ22" s="32"/>
      <c r="BK22" s="32"/>
      <c r="BL22" s="33"/>
      <c r="BM22" s="33"/>
      <c r="BN22" s="33"/>
      <c r="BO22" s="32"/>
      <c r="BP22" s="32"/>
      <c r="BQ22" s="33"/>
    </row>
    <row r="23" spans="1:69" s="6" customFormat="1" ht="117" hidden="1" x14ac:dyDescent="0.35">
      <c r="A23" s="8">
        <v>3713</v>
      </c>
      <c r="B23" s="8" t="s">
        <v>319</v>
      </c>
      <c r="C23" s="8" t="s">
        <v>92</v>
      </c>
      <c r="D23" s="9" t="s">
        <v>465</v>
      </c>
      <c r="E23" s="8" t="s">
        <v>43</v>
      </c>
      <c r="F23" s="8" t="s">
        <v>138</v>
      </c>
      <c r="G23" s="8" t="s">
        <v>225</v>
      </c>
      <c r="H23" s="8" t="s">
        <v>125</v>
      </c>
      <c r="I23" s="8" t="s">
        <v>114</v>
      </c>
      <c r="J23" s="9" t="s">
        <v>29</v>
      </c>
      <c r="K23" s="44" t="s">
        <v>466</v>
      </c>
      <c r="L23" s="2" t="s">
        <v>276</v>
      </c>
      <c r="M23" s="2" t="s">
        <v>276</v>
      </c>
      <c r="N23" s="10" t="s">
        <v>417</v>
      </c>
      <c r="O23" s="10" t="s">
        <v>418</v>
      </c>
      <c r="P23" s="9" t="s">
        <v>239</v>
      </c>
      <c r="Q23" s="41" t="s">
        <v>276</v>
      </c>
      <c r="R23" s="9" t="s">
        <v>451</v>
      </c>
      <c r="S23" s="34" t="s">
        <v>452</v>
      </c>
      <c r="T23" s="34" t="s">
        <v>453</v>
      </c>
      <c r="U23" s="9">
        <v>1</v>
      </c>
      <c r="V23" s="8" t="s">
        <v>14</v>
      </c>
      <c r="W23" s="2" t="s">
        <v>98</v>
      </c>
      <c r="X23" s="10" t="s">
        <v>207</v>
      </c>
      <c r="Y23" s="13">
        <v>189386</v>
      </c>
      <c r="Z23" s="34">
        <v>219439</v>
      </c>
      <c r="AA23" s="34" t="s">
        <v>276</v>
      </c>
      <c r="AB23" s="34" t="s">
        <v>276</v>
      </c>
      <c r="AC23" s="8">
        <v>198</v>
      </c>
      <c r="AD23" s="9" t="s">
        <v>422</v>
      </c>
      <c r="AE23" s="8">
        <v>114</v>
      </c>
      <c r="AF23" s="9" t="s">
        <v>422</v>
      </c>
      <c r="AG23" s="9" t="s">
        <v>467</v>
      </c>
      <c r="AH23" s="9" t="s">
        <v>455</v>
      </c>
      <c r="AI23" s="34">
        <v>225</v>
      </c>
      <c r="AJ23" s="34">
        <v>131</v>
      </c>
      <c r="AK23" s="34">
        <v>279388</v>
      </c>
      <c r="AL23" s="34">
        <v>326081</v>
      </c>
      <c r="AM23" s="38" t="s">
        <v>425</v>
      </c>
      <c r="AN23" s="8" t="s">
        <v>276</v>
      </c>
      <c r="AO23" s="14">
        <f>AI23*1000/AK23</f>
        <v>0.80533165347115843</v>
      </c>
      <c r="AP23" s="8" t="s">
        <v>276</v>
      </c>
      <c r="AQ23" s="8" t="s">
        <v>276</v>
      </c>
      <c r="AR23" s="8" t="s">
        <v>276</v>
      </c>
      <c r="AS23" s="14">
        <f>AJ23*1000/AL23</f>
        <v>0.40174067179627149</v>
      </c>
      <c r="AT23" s="8" t="s">
        <v>276</v>
      </c>
      <c r="AU23" s="8" t="s">
        <v>276</v>
      </c>
      <c r="AV23" s="9" t="s">
        <v>269</v>
      </c>
      <c r="AW23" s="35" t="s">
        <v>276</v>
      </c>
      <c r="AX23" s="35">
        <f t="shared" si="2"/>
        <v>2.0046057320269375</v>
      </c>
      <c r="AY23" s="10" t="s">
        <v>276</v>
      </c>
      <c r="AZ23" s="10" t="s">
        <v>276</v>
      </c>
      <c r="BA23" s="10" t="s">
        <v>276</v>
      </c>
      <c r="BB23" s="10" t="s">
        <v>98</v>
      </c>
      <c r="BC23" s="10" t="s">
        <v>98</v>
      </c>
      <c r="BD23" s="10" t="s">
        <v>98</v>
      </c>
      <c r="BE23" s="10" t="s">
        <v>98</v>
      </c>
      <c r="BF23" s="9" t="s">
        <v>463</v>
      </c>
      <c r="BG23" s="9" t="s">
        <v>457</v>
      </c>
      <c r="BH23" s="9" t="s">
        <v>100</v>
      </c>
      <c r="BI23" s="9" t="s">
        <v>100</v>
      </c>
      <c r="BJ23" s="32"/>
      <c r="BK23" s="32"/>
      <c r="BL23" s="33"/>
      <c r="BM23" s="33"/>
      <c r="BN23" s="33"/>
      <c r="BO23" s="32"/>
      <c r="BP23" s="32"/>
      <c r="BQ23" s="33"/>
    </row>
    <row r="24" spans="1:69" s="6" customFormat="1" ht="117" hidden="1" x14ac:dyDescent="0.35">
      <c r="A24" s="8">
        <v>3713</v>
      </c>
      <c r="B24" s="8" t="s">
        <v>319</v>
      </c>
      <c r="C24" s="8" t="s">
        <v>92</v>
      </c>
      <c r="D24" s="9" t="s">
        <v>468</v>
      </c>
      <c r="E24" s="8" t="s">
        <v>43</v>
      </c>
      <c r="F24" s="8" t="s">
        <v>138</v>
      </c>
      <c r="G24" s="8" t="s">
        <v>225</v>
      </c>
      <c r="H24" s="8" t="s">
        <v>125</v>
      </c>
      <c r="I24" s="8" t="s">
        <v>114</v>
      </c>
      <c r="J24" s="9" t="s">
        <v>29</v>
      </c>
      <c r="K24" s="44" t="s">
        <v>466</v>
      </c>
      <c r="L24" s="2" t="s">
        <v>276</v>
      </c>
      <c r="M24" s="2" t="s">
        <v>276</v>
      </c>
      <c r="N24" s="10" t="s">
        <v>417</v>
      </c>
      <c r="O24" s="10" t="s">
        <v>98</v>
      </c>
      <c r="P24" s="9" t="s">
        <v>239</v>
      </c>
      <c r="Q24" s="41" t="s">
        <v>276</v>
      </c>
      <c r="R24" s="9" t="s">
        <v>451</v>
      </c>
      <c r="S24" s="34" t="s">
        <v>452</v>
      </c>
      <c r="T24" s="34" t="s">
        <v>453</v>
      </c>
      <c r="U24" s="9">
        <v>1</v>
      </c>
      <c r="V24" s="8" t="s">
        <v>14</v>
      </c>
      <c r="W24" s="2" t="s">
        <v>98</v>
      </c>
      <c r="X24" s="10" t="s">
        <v>207</v>
      </c>
      <c r="Y24" s="13">
        <v>189386</v>
      </c>
      <c r="Z24" s="34">
        <v>219439</v>
      </c>
      <c r="AA24" s="34" t="s">
        <v>276</v>
      </c>
      <c r="AB24" s="34" t="s">
        <v>276</v>
      </c>
      <c r="AC24" s="8">
        <v>198</v>
      </c>
      <c r="AD24" s="9" t="s">
        <v>422</v>
      </c>
      <c r="AE24" s="8">
        <v>114</v>
      </c>
      <c r="AF24" s="9" t="s">
        <v>422</v>
      </c>
      <c r="AG24" s="9" t="s">
        <v>467</v>
      </c>
      <c r="AH24" s="9" t="s">
        <v>430</v>
      </c>
      <c r="AI24" s="34">
        <v>225</v>
      </c>
      <c r="AJ24" s="34">
        <v>131</v>
      </c>
      <c r="AK24" s="34">
        <f>Y24</f>
        <v>189386</v>
      </c>
      <c r="AL24" s="34">
        <f>Z24</f>
        <v>219439</v>
      </c>
      <c r="AM24" s="38" t="s">
        <v>376</v>
      </c>
      <c r="AN24" s="8">
        <v>0.12</v>
      </c>
      <c r="AO24" s="14">
        <f t="shared" ref="AO24:AO68" si="5">AI24*100/AK24</f>
        <v>0.11880498030477438</v>
      </c>
      <c r="AP24" s="8" t="s">
        <v>276</v>
      </c>
      <c r="AQ24" s="8" t="s">
        <v>276</v>
      </c>
      <c r="AR24" s="8">
        <v>0.06</v>
      </c>
      <c r="AS24" s="14">
        <f t="shared" ref="AS24:AS68" si="6">AJ24*100/AL24</f>
        <v>5.9697683638733318E-2</v>
      </c>
      <c r="AT24" s="8" t="s">
        <v>276</v>
      </c>
      <c r="AU24" s="8" t="s">
        <v>276</v>
      </c>
      <c r="AV24" s="9" t="s">
        <v>268</v>
      </c>
      <c r="AW24" s="35" t="s">
        <v>276</v>
      </c>
      <c r="AX24" s="35">
        <f t="shared" si="2"/>
        <v>1.990110387259495</v>
      </c>
      <c r="AY24" s="10" t="s">
        <v>276</v>
      </c>
      <c r="AZ24" s="10" t="s">
        <v>276</v>
      </c>
      <c r="BA24" s="10" t="s">
        <v>276</v>
      </c>
      <c r="BB24" s="10" t="s">
        <v>98</v>
      </c>
      <c r="BC24" s="10" t="s">
        <v>98</v>
      </c>
      <c r="BD24" s="10" t="s">
        <v>98</v>
      </c>
      <c r="BE24" s="10" t="s">
        <v>98</v>
      </c>
      <c r="BF24" s="9" t="s">
        <v>463</v>
      </c>
      <c r="BG24" s="9" t="s">
        <v>460</v>
      </c>
      <c r="BH24" s="9" t="s">
        <v>100</v>
      </c>
      <c r="BI24" s="9" t="s">
        <v>100</v>
      </c>
      <c r="BJ24" s="32"/>
      <c r="BK24" s="32"/>
      <c r="BL24" s="33"/>
      <c r="BM24" s="33"/>
      <c r="BN24" s="33"/>
      <c r="BO24" s="32"/>
      <c r="BP24" s="32"/>
      <c r="BQ24" s="33"/>
    </row>
    <row r="25" spans="1:69" s="6" customFormat="1" ht="117" hidden="1" x14ac:dyDescent="0.35">
      <c r="A25" s="8">
        <v>3713</v>
      </c>
      <c r="B25" s="8" t="s">
        <v>319</v>
      </c>
      <c r="C25" s="8" t="s">
        <v>92</v>
      </c>
      <c r="D25" s="9" t="s">
        <v>469</v>
      </c>
      <c r="E25" s="8" t="s">
        <v>43</v>
      </c>
      <c r="F25" s="8" t="s">
        <v>138</v>
      </c>
      <c r="G25" s="8" t="s">
        <v>225</v>
      </c>
      <c r="H25" s="8" t="s">
        <v>125</v>
      </c>
      <c r="I25" s="8" t="s">
        <v>114</v>
      </c>
      <c r="J25" s="9" t="s">
        <v>29</v>
      </c>
      <c r="K25" s="44" t="s">
        <v>439</v>
      </c>
      <c r="L25" s="2" t="s">
        <v>276</v>
      </c>
      <c r="M25" s="2" t="s">
        <v>276</v>
      </c>
      <c r="N25" s="10" t="s">
        <v>417</v>
      </c>
      <c r="O25" s="10" t="s">
        <v>98</v>
      </c>
      <c r="P25" s="9" t="s">
        <v>235</v>
      </c>
      <c r="Q25" s="41" t="s">
        <v>276</v>
      </c>
      <c r="R25" s="9" t="s">
        <v>451</v>
      </c>
      <c r="S25" s="34" t="s">
        <v>452</v>
      </c>
      <c r="T25" s="34" t="s">
        <v>453</v>
      </c>
      <c r="U25" s="9">
        <v>1</v>
      </c>
      <c r="V25" s="8" t="s">
        <v>14</v>
      </c>
      <c r="W25" s="2" t="s">
        <v>98</v>
      </c>
      <c r="X25" s="10" t="s">
        <v>207</v>
      </c>
      <c r="Y25" s="13" t="s">
        <v>98</v>
      </c>
      <c r="Z25" s="34" t="s">
        <v>98</v>
      </c>
      <c r="AA25" s="34" t="s">
        <v>276</v>
      </c>
      <c r="AB25" s="34" t="s">
        <v>276</v>
      </c>
      <c r="AC25" s="8">
        <v>198</v>
      </c>
      <c r="AD25" s="9" t="s">
        <v>422</v>
      </c>
      <c r="AE25" s="8">
        <v>114</v>
      </c>
      <c r="AF25" s="9" t="s">
        <v>422</v>
      </c>
      <c r="AG25" s="9" t="s">
        <v>470</v>
      </c>
      <c r="AH25" s="9" t="s">
        <v>471</v>
      </c>
      <c r="AI25" s="34">
        <v>225</v>
      </c>
      <c r="AJ25" s="34">
        <v>131</v>
      </c>
      <c r="AK25" s="34">
        <v>2912</v>
      </c>
      <c r="AL25" s="34">
        <f>250+215+131+114</f>
        <v>710</v>
      </c>
      <c r="AM25" s="38" t="s">
        <v>447</v>
      </c>
      <c r="AN25" s="8" t="s">
        <v>276</v>
      </c>
      <c r="AO25" s="14">
        <f t="shared" si="5"/>
        <v>7.7266483516483513</v>
      </c>
      <c r="AP25" s="8" t="s">
        <v>276</v>
      </c>
      <c r="AQ25" s="8" t="s">
        <v>276</v>
      </c>
      <c r="AR25" s="8" t="s">
        <v>276</v>
      </c>
      <c r="AS25" s="14">
        <f t="shared" si="6"/>
        <v>18.450704225352112</v>
      </c>
      <c r="AT25" s="8" t="s">
        <v>276</v>
      </c>
      <c r="AU25" s="8" t="s">
        <v>276</v>
      </c>
      <c r="AV25" s="9" t="s">
        <v>268</v>
      </c>
      <c r="AW25" s="35" t="s">
        <v>276</v>
      </c>
      <c r="AX25" s="35">
        <f t="shared" si="2"/>
        <v>0.4187725442496435</v>
      </c>
      <c r="AY25" s="10" t="s">
        <v>276</v>
      </c>
      <c r="AZ25" s="10" t="s">
        <v>276</v>
      </c>
      <c r="BA25" s="10" t="s">
        <v>276</v>
      </c>
      <c r="BB25" s="10" t="s">
        <v>98</v>
      </c>
      <c r="BC25" s="10" t="s">
        <v>98</v>
      </c>
      <c r="BD25" s="10" t="s">
        <v>98</v>
      </c>
      <c r="BE25" s="10" t="s">
        <v>98</v>
      </c>
      <c r="BF25" s="9" t="s">
        <v>463</v>
      </c>
      <c r="BG25" s="9" t="s">
        <v>472</v>
      </c>
      <c r="BH25" s="9" t="s">
        <v>100</v>
      </c>
      <c r="BI25" s="9" t="s">
        <v>100</v>
      </c>
      <c r="BJ25" s="32"/>
      <c r="BK25" s="32"/>
      <c r="BL25" s="33"/>
      <c r="BM25" s="33"/>
      <c r="BN25" s="33"/>
      <c r="BO25" s="32"/>
      <c r="BP25" s="32"/>
      <c r="BQ25" s="33"/>
    </row>
    <row r="26" spans="1:69" s="6" customFormat="1" ht="104" hidden="1" x14ac:dyDescent="0.35">
      <c r="A26" s="8">
        <v>3713</v>
      </c>
      <c r="B26" s="8" t="s">
        <v>319</v>
      </c>
      <c r="C26" s="8" t="s">
        <v>92</v>
      </c>
      <c r="D26" s="9" t="s">
        <v>473</v>
      </c>
      <c r="E26" s="8" t="s">
        <v>43</v>
      </c>
      <c r="F26" s="8" t="s">
        <v>138</v>
      </c>
      <c r="G26" s="8" t="s">
        <v>225</v>
      </c>
      <c r="H26" s="8" t="s">
        <v>125</v>
      </c>
      <c r="I26" s="8" t="s">
        <v>114</v>
      </c>
      <c r="J26" s="9" t="s">
        <v>29</v>
      </c>
      <c r="K26" s="44" t="s">
        <v>416</v>
      </c>
      <c r="L26" s="2" t="s">
        <v>276</v>
      </c>
      <c r="M26" s="2" t="s">
        <v>276</v>
      </c>
      <c r="N26" s="10" t="s">
        <v>417</v>
      </c>
      <c r="O26" s="10" t="s">
        <v>98</v>
      </c>
      <c r="P26" s="9" t="s">
        <v>239</v>
      </c>
      <c r="Q26" s="41" t="s">
        <v>276</v>
      </c>
      <c r="R26" s="9" t="s">
        <v>379</v>
      </c>
      <c r="S26" s="9" t="s">
        <v>276</v>
      </c>
      <c r="T26" s="9" t="s">
        <v>276</v>
      </c>
      <c r="U26" s="9">
        <v>1</v>
      </c>
      <c r="V26" s="8" t="s">
        <v>14</v>
      </c>
      <c r="W26" s="2" t="s">
        <v>98</v>
      </c>
      <c r="X26" s="10" t="s">
        <v>207</v>
      </c>
      <c r="Y26" s="13">
        <v>189386</v>
      </c>
      <c r="Z26" s="34">
        <v>219439</v>
      </c>
      <c r="AA26" s="34">
        <f>Y26-184549</f>
        <v>4837</v>
      </c>
      <c r="AB26" s="34">
        <f>Z26-216057</f>
        <v>3382</v>
      </c>
      <c r="AC26" s="8" t="s">
        <v>276</v>
      </c>
      <c r="AD26" s="9" t="s">
        <v>422</v>
      </c>
      <c r="AE26" s="8" t="s">
        <v>276</v>
      </c>
      <c r="AF26" s="9" t="s">
        <v>422</v>
      </c>
      <c r="AG26" s="9" t="s">
        <v>474</v>
      </c>
      <c r="AH26" s="9" t="s">
        <v>430</v>
      </c>
      <c r="AI26" s="34">
        <v>1452</v>
      </c>
      <c r="AJ26" s="34">
        <v>159</v>
      </c>
      <c r="AK26" s="34">
        <f t="shared" ref="AK26:AL41" si="7">Y26</f>
        <v>189386</v>
      </c>
      <c r="AL26" s="34">
        <f t="shared" si="7"/>
        <v>219439</v>
      </c>
      <c r="AM26" s="38" t="s">
        <v>376</v>
      </c>
      <c r="AN26" s="8" t="s">
        <v>276</v>
      </c>
      <c r="AO26" s="14">
        <f t="shared" si="5"/>
        <v>0.76668813956681059</v>
      </c>
      <c r="AP26" s="8" t="s">
        <v>276</v>
      </c>
      <c r="AQ26" s="8" t="s">
        <v>276</v>
      </c>
      <c r="AR26" s="8" t="s">
        <v>276</v>
      </c>
      <c r="AS26" s="14">
        <f t="shared" si="6"/>
        <v>7.2457493882126689E-2</v>
      </c>
      <c r="AT26" s="8" t="s">
        <v>276</v>
      </c>
      <c r="AU26" s="8" t="s">
        <v>276</v>
      </c>
      <c r="AV26" s="9" t="s">
        <v>268</v>
      </c>
      <c r="AW26" s="35" t="s">
        <v>276</v>
      </c>
      <c r="AX26" s="35">
        <f t="shared" si="2"/>
        <v>10.581212494239079</v>
      </c>
      <c r="AY26" s="10" t="s">
        <v>276</v>
      </c>
      <c r="AZ26" s="10" t="s">
        <v>276</v>
      </c>
      <c r="BA26" s="10" t="s">
        <v>276</v>
      </c>
      <c r="BB26" s="10" t="s">
        <v>98</v>
      </c>
      <c r="BC26" s="10" t="s">
        <v>98</v>
      </c>
      <c r="BD26" s="10" t="s">
        <v>98</v>
      </c>
      <c r="BE26" s="10" t="s">
        <v>98</v>
      </c>
      <c r="BF26" s="9" t="s">
        <v>475</v>
      </c>
      <c r="BG26" s="9" t="s">
        <v>476</v>
      </c>
      <c r="BH26" s="9" t="s">
        <v>100</v>
      </c>
      <c r="BI26" s="9" t="s">
        <v>100</v>
      </c>
      <c r="BJ26" s="32"/>
      <c r="BK26" s="32"/>
      <c r="BL26" s="33"/>
      <c r="BM26" s="33"/>
      <c r="BN26" s="33"/>
      <c r="BO26" s="32"/>
      <c r="BP26" s="32"/>
      <c r="BQ26" s="33"/>
    </row>
    <row r="27" spans="1:69" s="6" customFormat="1" ht="104" hidden="1" x14ac:dyDescent="0.35">
      <c r="A27" s="8">
        <v>3713</v>
      </c>
      <c r="B27" s="8" t="s">
        <v>319</v>
      </c>
      <c r="C27" s="8" t="s">
        <v>92</v>
      </c>
      <c r="D27" s="9" t="s">
        <v>477</v>
      </c>
      <c r="E27" s="8" t="s">
        <v>43</v>
      </c>
      <c r="F27" s="8" t="s">
        <v>138</v>
      </c>
      <c r="G27" s="8" t="s">
        <v>225</v>
      </c>
      <c r="H27" s="8" t="s">
        <v>125</v>
      </c>
      <c r="I27" s="8" t="s">
        <v>114</v>
      </c>
      <c r="J27" s="9" t="s">
        <v>29</v>
      </c>
      <c r="K27" s="44">
        <v>7</v>
      </c>
      <c r="L27" s="2" t="s">
        <v>276</v>
      </c>
      <c r="M27" s="2" t="s">
        <v>276</v>
      </c>
      <c r="N27" s="10" t="s">
        <v>417</v>
      </c>
      <c r="O27" s="10" t="s">
        <v>98</v>
      </c>
      <c r="P27" s="9" t="s">
        <v>239</v>
      </c>
      <c r="Q27" s="41" t="s">
        <v>276</v>
      </c>
      <c r="R27" s="9" t="s">
        <v>379</v>
      </c>
      <c r="S27" s="9" t="s">
        <v>276</v>
      </c>
      <c r="T27" s="9" t="s">
        <v>276</v>
      </c>
      <c r="U27" s="9">
        <v>1</v>
      </c>
      <c r="V27" s="8" t="s">
        <v>14</v>
      </c>
      <c r="W27" s="2" t="s">
        <v>98</v>
      </c>
      <c r="X27" s="10" t="s">
        <v>207</v>
      </c>
      <c r="Y27" s="13">
        <v>189386</v>
      </c>
      <c r="Z27" s="34">
        <v>219439</v>
      </c>
      <c r="AA27" s="34">
        <f>Y27-184549</f>
        <v>4837</v>
      </c>
      <c r="AB27" s="34">
        <f>Z27-216057</f>
        <v>3382</v>
      </c>
      <c r="AC27" s="8" t="s">
        <v>276</v>
      </c>
      <c r="AD27" s="9" t="s">
        <v>422</v>
      </c>
      <c r="AE27" s="8" t="s">
        <v>276</v>
      </c>
      <c r="AF27" s="9" t="s">
        <v>422</v>
      </c>
      <c r="AG27" s="9" t="s">
        <v>478</v>
      </c>
      <c r="AH27" s="9" t="s">
        <v>430</v>
      </c>
      <c r="AI27" s="34">
        <v>691</v>
      </c>
      <c r="AJ27" s="34">
        <v>136</v>
      </c>
      <c r="AK27" s="34">
        <f t="shared" si="7"/>
        <v>189386</v>
      </c>
      <c r="AL27" s="34">
        <f t="shared" si="7"/>
        <v>219439</v>
      </c>
      <c r="AM27" s="38" t="s">
        <v>376</v>
      </c>
      <c r="AN27" s="8" t="s">
        <v>276</v>
      </c>
      <c r="AO27" s="14">
        <f t="shared" si="5"/>
        <v>0.3648632950693293</v>
      </c>
      <c r="AP27" s="8" t="s">
        <v>276</v>
      </c>
      <c r="AQ27" s="8" t="s">
        <v>276</v>
      </c>
      <c r="AR27" s="8" t="s">
        <v>276</v>
      </c>
      <c r="AS27" s="14">
        <f t="shared" si="6"/>
        <v>6.1976221182196416E-2</v>
      </c>
      <c r="AT27" s="8" t="s">
        <v>276</v>
      </c>
      <c r="AU27" s="8" t="s">
        <v>276</v>
      </c>
      <c r="AV27" s="9" t="s">
        <v>268</v>
      </c>
      <c r="AW27" s="35" t="s">
        <v>276</v>
      </c>
      <c r="AX27" s="35">
        <f t="shared" si="2"/>
        <v>5.8871497504940118</v>
      </c>
      <c r="AY27" s="10" t="s">
        <v>276</v>
      </c>
      <c r="AZ27" s="10" t="s">
        <v>276</v>
      </c>
      <c r="BA27" s="10" t="s">
        <v>276</v>
      </c>
      <c r="BB27" s="10" t="s">
        <v>98</v>
      </c>
      <c r="BC27" s="10" t="s">
        <v>98</v>
      </c>
      <c r="BD27" s="10" t="s">
        <v>98</v>
      </c>
      <c r="BE27" s="10" t="s">
        <v>98</v>
      </c>
      <c r="BF27" s="9" t="s">
        <v>475</v>
      </c>
      <c r="BG27" s="9" t="s">
        <v>476</v>
      </c>
      <c r="BH27" s="9" t="s">
        <v>100</v>
      </c>
      <c r="BI27" s="9" t="s">
        <v>100</v>
      </c>
      <c r="BJ27" s="32"/>
      <c r="BK27" s="32"/>
      <c r="BL27" s="33"/>
      <c r="BM27" s="33"/>
      <c r="BN27" s="33"/>
      <c r="BO27" s="32"/>
      <c r="BP27" s="32"/>
      <c r="BQ27" s="33"/>
    </row>
    <row r="28" spans="1:69" s="6" customFormat="1" ht="104" hidden="1" x14ac:dyDescent="0.35">
      <c r="A28" s="8">
        <v>3713</v>
      </c>
      <c r="B28" s="8" t="s">
        <v>319</v>
      </c>
      <c r="C28" s="8" t="s">
        <v>92</v>
      </c>
      <c r="D28" s="9" t="s">
        <v>479</v>
      </c>
      <c r="E28" s="8" t="s">
        <v>43</v>
      </c>
      <c r="F28" s="8" t="s">
        <v>138</v>
      </c>
      <c r="G28" s="8" t="s">
        <v>225</v>
      </c>
      <c r="H28" s="8" t="s">
        <v>125</v>
      </c>
      <c r="I28" s="8" t="s">
        <v>114</v>
      </c>
      <c r="J28" s="9" t="s">
        <v>29</v>
      </c>
      <c r="K28" s="44" t="s">
        <v>466</v>
      </c>
      <c r="L28" s="2" t="s">
        <v>276</v>
      </c>
      <c r="M28" s="2" t="s">
        <v>276</v>
      </c>
      <c r="N28" s="10" t="s">
        <v>417</v>
      </c>
      <c r="O28" s="10" t="s">
        <v>98</v>
      </c>
      <c r="P28" s="9" t="s">
        <v>239</v>
      </c>
      <c r="Q28" s="41" t="s">
        <v>276</v>
      </c>
      <c r="R28" s="9" t="s">
        <v>379</v>
      </c>
      <c r="S28" s="9" t="s">
        <v>276</v>
      </c>
      <c r="T28" s="9" t="s">
        <v>276</v>
      </c>
      <c r="U28" s="9">
        <v>1</v>
      </c>
      <c r="V28" s="8" t="s">
        <v>14</v>
      </c>
      <c r="W28" s="2" t="s">
        <v>98</v>
      </c>
      <c r="X28" s="10" t="s">
        <v>207</v>
      </c>
      <c r="Y28" s="13">
        <v>189386</v>
      </c>
      <c r="Z28" s="34">
        <v>219439</v>
      </c>
      <c r="AA28" s="34">
        <f>Y28-184549</f>
        <v>4837</v>
      </c>
      <c r="AB28" s="34">
        <f>Z28-216057</f>
        <v>3382</v>
      </c>
      <c r="AC28" s="8" t="s">
        <v>276</v>
      </c>
      <c r="AD28" s="9" t="s">
        <v>422</v>
      </c>
      <c r="AE28" s="8" t="s">
        <v>276</v>
      </c>
      <c r="AF28" s="9" t="s">
        <v>422</v>
      </c>
      <c r="AG28" s="9" t="s">
        <v>480</v>
      </c>
      <c r="AH28" s="9" t="s">
        <v>430</v>
      </c>
      <c r="AI28" s="34">
        <v>184</v>
      </c>
      <c r="AJ28" s="34">
        <v>86</v>
      </c>
      <c r="AK28" s="34">
        <f t="shared" si="7"/>
        <v>189386</v>
      </c>
      <c r="AL28" s="34">
        <f t="shared" si="7"/>
        <v>219439</v>
      </c>
      <c r="AM28" s="38" t="s">
        <v>376</v>
      </c>
      <c r="AN28" s="8" t="s">
        <v>276</v>
      </c>
      <c r="AO28" s="14">
        <f t="shared" si="5"/>
        <v>9.7156072782571046E-2</v>
      </c>
      <c r="AP28" s="8" t="s">
        <v>276</v>
      </c>
      <c r="AQ28" s="8" t="s">
        <v>276</v>
      </c>
      <c r="AR28" s="8" t="s">
        <v>276</v>
      </c>
      <c r="AS28" s="14">
        <f t="shared" si="6"/>
        <v>3.919084574756538E-2</v>
      </c>
      <c r="AT28" s="8" t="s">
        <v>276</v>
      </c>
      <c r="AU28" s="8" t="s">
        <v>276</v>
      </c>
      <c r="AV28" s="9" t="s">
        <v>268</v>
      </c>
      <c r="AW28" s="35" t="s">
        <v>276</v>
      </c>
      <c r="AX28" s="35">
        <f t="shared" si="2"/>
        <v>2.4790501692249545</v>
      </c>
      <c r="AY28" s="10" t="s">
        <v>276</v>
      </c>
      <c r="AZ28" s="10" t="s">
        <v>276</v>
      </c>
      <c r="BA28" s="10" t="s">
        <v>276</v>
      </c>
      <c r="BB28" s="10" t="s">
        <v>98</v>
      </c>
      <c r="BC28" s="10" t="s">
        <v>98</v>
      </c>
      <c r="BD28" s="10" t="s">
        <v>98</v>
      </c>
      <c r="BE28" s="10" t="s">
        <v>98</v>
      </c>
      <c r="BF28" s="9" t="s">
        <v>475</v>
      </c>
      <c r="BG28" s="9" t="s">
        <v>476</v>
      </c>
      <c r="BH28" s="9" t="s">
        <v>100</v>
      </c>
      <c r="BI28" s="9" t="s">
        <v>100</v>
      </c>
      <c r="BJ28" s="32"/>
      <c r="BK28" s="32"/>
      <c r="BL28" s="33"/>
      <c r="BM28" s="33"/>
      <c r="BN28" s="33"/>
      <c r="BO28" s="32"/>
      <c r="BP28" s="32"/>
      <c r="BQ28" s="33"/>
    </row>
    <row r="29" spans="1:69" s="6" customFormat="1" ht="104" hidden="1" x14ac:dyDescent="0.35">
      <c r="A29" s="8">
        <v>3713</v>
      </c>
      <c r="B29" s="8" t="s">
        <v>319</v>
      </c>
      <c r="C29" s="8" t="s">
        <v>92</v>
      </c>
      <c r="D29" s="9" t="s">
        <v>481</v>
      </c>
      <c r="E29" s="8" t="s">
        <v>43</v>
      </c>
      <c r="F29" s="8" t="s">
        <v>138</v>
      </c>
      <c r="G29" s="8" t="s">
        <v>225</v>
      </c>
      <c r="H29" s="8" t="s">
        <v>125</v>
      </c>
      <c r="I29" s="8" t="s">
        <v>114</v>
      </c>
      <c r="J29" s="9" t="s">
        <v>29</v>
      </c>
      <c r="K29" s="44" t="s">
        <v>416</v>
      </c>
      <c r="L29" s="2" t="s">
        <v>276</v>
      </c>
      <c r="M29" s="2" t="s">
        <v>276</v>
      </c>
      <c r="N29" s="10" t="s">
        <v>417</v>
      </c>
      <c r="O29" s="10" t="s">
        <v>98</v>
      </c>
      <c r="P29" s="9" t="s">
        <v>239</v>
      </c>
      <c r="Q29" s="41" t="s">
        <v>276</v>
      </c>
      <c r="R29" s="9" t="s">
        <v>339</v>
      </c>
      <c r="S29" s="9" t="s">
        <v>276</v>
      </c>
      <c r="T29" s="9" t="s">
        <v>276</v>
      </c>
      <c r="U29" s="9">
        <v>1</v>
      </c>
      <c r="V29" s="8" t="s">
        <v>14</v>
      </c>
      <c r="W29" s="2" t="s">
        <v>98</v>
      </c>
      <c r="X29" s="10" t="s">
        <v>207</v>
      </c>
      <c r="Y29" s="13">
        <v>189386</v>
      </c>
      <c r="Z29" s="34">
        <v>219439</v>
      </c>
      <c r="AA29" s="34">
        <f>Y29-181301</f>
        <v>8085</v>
      </c>
      <c r="AB29" s="34">
        <f>Z29-212739</f>
        <v>6700</v>
      </c>
      <c r="AC29" s="8" t="s">
        <v>276</v>
      </c>
      <c r="AD29" s="9" t="s">
        <v>422</v>
      </c>
      <c r="AE29" s="8" t="s">
        <v>276</v>
      </c>
      <c r="AF29" s="9" t="s">
        <v>422</v>
      </c>
      <c r="AG29" s="9" t="s">
        <v>482</v>
      </c>
      <c r="AH29" s="9" t="s">
        <v>430</v>
      </c>
      <c r="AI29" s="34">
        <f>1452+311</f>
        <v>1763</v>
      </c>
      <c r="AJ29" s="34">
        <f>159+202</f>
        <v>361</v>
      </c>
      <c r="AK29" s="34">
        <f t="shared" si="7"/>
        <v>189386</v>
      </c>
      <c r="AL29" s="34">
        <f t="shared" si="7"/>
        <v>219439</v>
      </c>
      <c r="AM29" s="38" t="s">
        <v>376</v>
      </c>
      <c r="AN29" s="8" t="s">
        <v>276</v>
      </c>
      <c r="AO29" s="14">
        <f t="shared" si="5"/>
        <v>0.93090302345474318</v>
      </c>
      <c r="AP29" s="8" t="s">
        <v>276</v>
      </c>
      <c r="AQ29" s="8" t="s">
        <v>276</v>
      </c>
      <c r="AR29" s="8" t="s">
        <v>276</v>
      </c>
      <c r="AS29" s="14">
        <f t="shared" si="6"/>
        <v>0.16451041063803609</v>
      </c>
      <c r="AT29" s="8" t="s">
        <v>276</v>
      </c>
      <c r="AU29" s="8" t="s">
        <v>276</v>
      </c>
      <c r="AV29" s="9" t="s">
        <v>268</v>
      </c>
      <c r="AW29" s="35" t="s">
        <v>276</v>
      </c>
      <c r="AX29" s="35">
        <f t="shared" si="2"/>
        <v>5.6586268300245255</v>
      </c>
      <c r="AY29" s="10" t="s">
        <v>276</v>
      </c>
      <c r="AZ29" s="10" t="s">
        <v>276</v>
      </c>
      <c r="BA29" s="10" t="s">
        <v>276</v>
      </c>
      <c r="BB29" s="10" t="s">
        <v>98</v>
      </c>
      <c r="BC29" s="10" t="s">
        <v>98</v>
      </c>
      <c r="BD29" s="10" t="s">
        <v>98</v>
      </c>
      <c r="BE29" s="10" t="s">
        <v>98</v>
      </c>
      <c r="BF29" s="9" t="s">
        <v>475</v>
      </c>
      <c r="BG29" s="9" t="s">
        <v>476</v>
      </c>
      <c r="BH29" s="9" t="s">
        <v>100</v>
      </c>
      <c r="BI29" s="9" t="s">
        <v>100</v>
      </c>
      <c r="BJ29" s="32"/>
      <c r="BK29" s="32"/>
      <c r="BL29" s="33"/>
      <c r="BM29" s="33"/>
      <c r="BN29" s="33"/>
      <c r="BO29" s="32"/>
      <c r="BP29" s="32"/>
      <c r="BQ29" s="33"/>
    </row>
    <row r="30" spans="1:69" s="6" customFormat="1" ht="104" hidden="1" x14ac:dyDescent="0.35">
      <c r="A30" s="8">
        <v>3713</v>
      </c>
      <c r="B30" s="8" t="s">
        <v>319</v>
      </c>
      <c r="C30" s="8" t="s">
        <v>92</v>
      </c>
      <c r="D30" s="9" t="s">
        <v>483</v>
      </c>
      <c r="E30" s="8" t="s">
        <v>43</v>
      </c>
      <c r="F30" s="8" t="s">
        <v>138</v>
      </c>
      <c r="G30" s="8" t="s">
        <v>225</v>
      </c>
      <c r="H30" s="8" t="s">
        <v>125</v>
      </c>
      <c r="I30" s="8" t="s">
        <v>114</v>
      </c>
      <c r="J30" s="9" t="s">
        <v>29</v>
      </c>
      <c r="K30" s="44">
        <v>7</v>
      </c>
      <c r="L30" s="2" t="s">
        <v>276</v>
      </c>
      <c r="M30" s="2" t="s">
        <v>276</v>
      </c>
      <c r="N30" s="10" t="s">
        <v>417</v>
      </c>
      <c r="O30" s="10" t="s">
        <v>98</v>
      </c>
      <c r="P30" s="9" t="s">
        <v>239</v>
      </c>
      <c r="Q30" s="41" t="s">
        <v>276</v>
      </c>
      <c r="R30" s="9" t="s">
        <v>339</v>
      </c>
      <c r="S30" s="9" t="s">
        <v>276</v>
      </c>
      <c r="T30" s="9" t="s">
        <v>276</v>
      </c>
      <c r="U30" s="9">
        <v>1</v>
      </c>
      <c r="V30" s="8" t="s">
        <v>14</v>
      </c>
      <c r="W30" s="2" t="s">
        <v>98</v>
      </c>
      <c r="X30" s="10" t="s">
        <v>207</v>
      </c>
      <c r="Y30" s="13">
        <v>189386</v>
      </c>
      <c r="Z30" s="34">
        <v>219439</v>
      </c>
      <c r="AA30" s="34">
        <f>Y30-181301</f>
        <v>8085</v>
      </c>
      <c r="AB30" s="34">
        <f>Z30-212739</f>
        <v>6700</v>
      </c>
      <c r="AC30" s="8" t="s">
        <v>276</v>
      </c>
      <c r="AD30" s="9" t="s">
        <v>422</v>
      </c>
      <c r="AE30" s="8" t="s">
        <v>276</v>
      </c>
      <c r="AF30" s="9" t="s">
        <v>422</v>
      </c>
      <c r="AG30" s="9" t="s">
        <v>484</v>
      </c>
      <c r="AH30" s="9" t="s">
        <v>430</v>
      </c>
      <c r="AI30" s="34">
        <f>691+235</f>
        <v>926</v>
      </c>
      <c r="AJ30" s="34">
        <f>136+176</f>
        <v>312</v>
      </c>
      <c r="AK30" s="34">
        <f t="shared" si="7"/>
        <v>189386</v>
      </c>
      <c r="AL30" s="34">
        <f t="shared" si="7"/>
        <v>219439</v>
      </c>
      <c r="AM30" s="38" t="s">
        <v>376</v>
      </c>
      <c r="AN30" s="8" t="s">
        <v>276</v>
      </c>
      <c r="AO30" s="14">
        <f t="shared" si="5"/>
        <v>0.48894849672098256</v>
      </c>
      <c r="AP30" s="8" t="s">
        <v>276</v>
      </c>
      <c r="AQ30" s="8" t="s">
        <v>276</v>
      </c>
      <c r="AR30" s="8" t="s">
        <v>276</v>
      </c>
      <c r="AS30" s="14">
        <f t="shared" si="6"/>
        <v>0.14218074271209766</v>
      </c>
      <c r="AT30" s="8" t="s">
        <v>276</v>
      </c>
      <c r="AU30" s="8" t="s">
        <v>276</v>
      </c>
      <c r="AV30" s="9" t="s">
        <v>268</v>
      </c>
      <c r="AW30" s="35" t="s">
        <v>276</v>
      </c>
      <c r="AX30" s="35">
        <f t="shared" si="2"/>
        <v>3.438922088844734</v>
      </c>
      <c r="AY30" s="10" t="s">
        <v>276</v>
      </c>
      <c r="AZ30" s="10" t="s">
        <v>276</v>
      </c>
      <c r="BA30" s="10" t="s">
        <v>276</v>
      </c>
      <c r="BB30" s="10" t="s">
        <v>98</v>
      </c>
      <c r="BC30" s="10" t="s">
        <v>98</v>
      </c>
      <c r="BD30" s="10" t="s">
        <v>98</v>
      </c>
      <c r="BE30" s="10" t="s">
        <v>98</v>
      </c>
      <c r="BF30" s="9" t="s">
        <v>475</v>
      </c>
      <c r="BG30" s="9" t="s">
        <v>476</v>
      </c>
      <c r="BH30" s="9" t="s">
        <v>100</v>
      </c>
      <c r="BI30" s="9" t="s">
        <v>100</v>
      </c>
      <c r="BJ30" s="32"/>
      <c r="BK30" s="32"/>
      <c r="BL30" s="33"/>
      <c r="BM30" s="33"/>
      <c r="BN30" s="33"/>
      <c r="BO30" s="32"/>
      <c r="BP30" s="32"/>
      <c r="BQ30" s="33"/>
    </row>
    <row r="31" spans="1:69" s="6" customFormat="1" ht="104" hidden="1" x14ac:dyDescent="0.35">
      <c r="A31" s="8">
        <v>3713</v>
      </c>
      <c r="B31" s="8" t="s">
        <v>319</v>
      </c>
      <c r="C31" s="8" t="s">
        <v>92</v>
      </c>
      <c r="D31" s="9" t="s">
        <v>485</v>
      </c>
      <c r="E31" s="8" t="s">
        <v>43</v>
      </c>
      <c r="F31" s="8" t="s">
        <v>138</v>
      </c>
      <c r="G31" s="8" t="s">
        <v>225</v>
      </c>
      <c r="H31" s="8" t="s">
        <v>125</v>
      </c>
      <c r="I31" s="8" t="s">
        <v>114</v>
      </c>
      <c r="J31" s="9" t="s">
        <v>29</v>
      </c>
      <c r="K31" s="44" t="s">
        <v>466</v>
      </c>
      <c r="L31" s="2" t="s">
        <v>276</v>
      </c>
      <c r="M31" s="2" t="s">
        <v>276</v>
      </c>
      <c r="N31" s="10" t="s">
        <v>417</v>
      </c>
      <c r="O31" s="10" t="s">
        <v>98</v>
      </c>
      <c r="P31" s="9" t="s">
        <v>239</v>
      </c>
      <c r="Q31" s="41" t="s">
        <v>276</v>
      </c>
      <c r="R31" s="9" t="s">
        <v>339</v>
      </c>
      <c r="S31" s="9" t="s">
        <v>276</v>
      </c>
      <c r="T31" s="9" t="s">
        <v>276</v>
      </c>
      <c r="U31" s="9">
        <v>1</v>
      </c>
      <c r="V31" s="8" t="s">
        <v>14</v>
      </c>
      <c r="W31" s="2" t="s">
        <v>98</v>
      </c>
      <c r="X31" s="10" t="s">
        <v>207</v>
      </c>
      <c r="Y31" s="13">
        <v>189386</v>
      </c>
      <c r="Z31" s="34">
        <v>219439</v>
      </c>
      <c r="AA31" s="34">
        <f>Y31-181301</f>
        <v>8085</v>
      </c>
      <c r="AB31" s="34">
        <f>Z31-212739</f>
        <v>6700</v>
      </c>
      <c r="AC31" s="8" t="s">
        <v>276</v>
      </c>
      <c r="AD31" s="9" t="s">
        <v>422</v>
      </c>
      <c r="AE31" s="8" t="s">
        <v>276</v>
      </c>
      <c r="AF31" s="9" t="s">
        <v>422</v>
      </c>
      <c r="AG31" s="9" t="s">
        <v>486</v>
      </c>
      <c r="AH31" s="9" t="s">
        <v>430</v>
      </c>
      <c r="AI31" s="34">
        <f>184+70</f>
        <v>254</v>
      </c>
      <c r="AJ31" s="34">
        <f>86+103</f>
        <v>189</v>
      </c>
      <c r="AK31" s="34">
        <f t="shared" si="7"/>
        <v>189386</v>
      </c>
      <c r="AL31" s="34">
        <f t="shared" si="7"/>
        <v>219439</v>
      </c>
      <c r="AM31" s="38" t="s">
        <v>376</v>
      </c>
      <c r="AN31" s="8" t="s">
        <v>276</v>
      </c>
      <c r="AO31" s="14">
        <f t="shared" si="5"/>
        <v>0.13411762221072307</v>
      </c>
      <c r="AP31" s="8" t="s">
        <v>276</v>
      </c>
      <c r="AQ31" s="8" t="s">
        <v>276</v>
      </c>
      <c r="AR31" s="8" t="s">
        <v>276</v>
      </c>
      <c r="AS31" s="14">
        <f t="shared" si="6"/>
        <v>8.6128719142905319E-2</v>
      </c>
      <c r="AT31" s="8" t="s">
        <v>276</v>
      </c>
      <c r="AU31" s="8" t="s">
        <v>276</v>
      </c>
      <c r="AV31" s="9" t="s">
        <v>268</v>
      </c>
      <c r="AW31" s="35" t="s">
        <v>276</v>
      </c>
      <c r="AX31" s="35">
        <f t="shared" si="2"/>
        <v>1.5571765555713681</v>
      </c>
      <c r="AY31" s="10" t="s">
        <v>276</v>
      </c>
      <c r="AZ31" s="10" t="s">
        <v>276</v>
      </c>
      <c r="BA31" s="10" t="s">
        <v>276</v>
      </c>
      <c r="BB31" s="10" t="s">
        <v>98</v>
      </c>
      <c r="BC31" s="10" t="s">
        <v>98</v>
      </c>
      <c r="BD31" s="10" t="s">
        <v>98</v>
      </c>
      <c r="BE31" s="10" t="s">
        <v>98</v>
      </c>
      <c r="BF31" s="9" t="s">
        <v>475</v>
      </c>
      <c r="BG31" s="9" t="s">
        <v>476</v>
      </c>
      <c r="BH31" s="9" t="s">
        <v>100</v>
      </c>
      <c r="BI31" s="9" t="s">
        <v>100</v>
      </c>
      <c r="BJ31" s="32"/>
      <c r="BK31" s="32"/>
      <c r="BL31" s="33"/>
      <c r="BM31" s="33"/>
      <c r="BN31" s="33"/>
      <c r="BO31" s="32"/>
      <c r="BP31" s="32"/>
      <c r="BQ31" s="33"/>
    </row>
    <row r="32" spans="1:69" s="6" customFormat="1" ht="104" hidden="1" x14ac:dyDescent="0.35">
      <c r="A32" s="8">
        <v>3713</v>
      </c>
      <c r="B32" s="8" t="s">
        <v>319</v>
      </c>
      <c r="C32" s="8" t="s">
        <v>92</v>
      </c>
      <c r="D32" s="9" t="s">
        <v>487</v>
      </c>
      <c r="E32" s="8" t="s">
        <v>43</v>
      </c>
      <c r="F32" s="8" t="s">
        <v>138</v>
      </c>
      <c r="G32" s="8" t="s">
        <v>225</v>
      </c>
      <c r="H32" s="8" t="s">
        <v>125</v>
      </c>
      <c r="I32" s="8" t="s">
        <v>114</v>
      </c>
      <c r="J32" s="9" t="s">
        <v>29</v>
      </c>
      <c r="K32" s="44" t="s">
        <v>416</v>
      </c>
      <c r="L32" s="2" t="s">
        <v>276</v>
      </c>
      <c r="M32" s="2" t="s">
        <v>276</v>
      </c>
      <c r="N32" s="10" t="s">
        <v>417</v>
      </c>
      <c r="O32" s="10" t="s">
        <v>98</v>
      </c>
      <c r="P32" s="9" t="s">
        <v>239</v>
      </c>
      <c r="Q32" s="41" t="s">
        <v>276</v>
      </c>
      <c r="R32" s="9" t="s">
        <v>385</v>
      </c>
      <c r="S32" s="9" t="s">
        <v>276</v>
      </c>
      <c r="T32" s="9" t="s">
        <v>276</v>
      </c>
      <c r="U32" s="9">
        <v>1</v>
      </c>
      <c r="V32" s="8" t="s">
        <v>14</v>
      </c>
      <c r="W32" s="2" t="s">
        <v>98</v>
      </c>
      <c r="X32" s="10" t="s">
        <v>207</v>
      </c>
      <c r="Y32" s="13">
        <v>189386</v>
      </c>
      <c r="Z32" s="34">
        <v>219439</v>
      </c>
      <c r="AA32" s="34">
        <f>Y32-178385</f>
        <v>11001</v>
      </c>
      <c r="AB32" s="34">
        <f>Z32-209018</f>
        <v>10421</v>
      </c>
      <c r="AC32" s="8" t="s">
        <v>276</v>
      </c>
      <c r="AD32" s="9" t="s">
        <v>422</v>
      </c>
      <c r="AE32" s="8" t="s">
        <v>276</v>
      </c>
      <c r="AF32" s="9" t="s">
        <v>422</v>
      </c>
      <c r="AG32" s="9" t="s">
        <v>488</v>
      </c>
      <c r="AH32" s="9" t="s">
        <v>430</v>
      </c>
      <c r="AI32" s="34">
        <f>1452+311+144</f>
        <v>1907</v>
      </c>
      <c r="AJ32" s="34">
        <f>159+202+192</f>
        <v>553</v>
      </c>
      <c r="AK32" s="34">
        <f t="shared" si="7"/>
        <v>189386</v>
      </c>
      <c r="AL32" s="34">
        <f t="shared" si="7"/>
        <v>219439</v>
      </c>
      <c r="AM32" s="38" t="s">
        <v>376</v>
      </c>
      <c r="AN32" s="8" t="s">
        <v>276</v>
      </c>
      <c r="AO32" s="14">
        <f t="shared" si="5"/>
        <v>1.0069382108497988</v>
      </c>
      <c r="AP32" s="8" t="s">
        <v>276</v>
      </c>
      <c r="AQ32" s="8" t="s">
        <v>276</v>
      </c>
      <c r="AR32" s="8" t="s">
        <v>276</v>
      </c>
      <c r="AS32" s="14">
        <f t="shared" si="6"/>
        <v>0.25200625230701929</v>
      </c>
      <c r="AT32" s="8" t="s">
        <v>276</v>
      </c>
      <c r="AU32" s="8" t="s">
        <v>276</v>
      </c>
      <c r="AV32" s="9" t="s">
        <v>268</v>
      </c>
      <c r="AW32" s="35" t="s">
        <v>276</v>
      </c>
      <c r="AX32" s="35">
        <f t="shared" si="2"/>
        <v>3.995687415021139</v>
      </c>
      <c r="AY32" s="10" t="s">
        <v>276</v>
      </c>
      <c r="AZ32" s="10" t="s">
        <v>276</v>
      </c>
      <c r="BA32" s="10" t="s">
        <v>276</v>
      </c>
      <c r="BB32" s="10" t="s">
        <v>98</v>
      </c>
      <c r="BC32" s="10" t="s">
        <v>98</v>
      </c>
      <c r="BD32" s="10" t="s">
        <v>98</v>
      </c>
      <c r="BE32" s="10" t="s">
        <v>98</v>
      </c>
      <c r="BF32" s="9" t="s">
        <v>475</v>
      </c>
      <c r="BG32" s="9" t="s">
        <v>476</v>
      </c>
      <c r="BH32" s="9" t="s">
        <v>100</v>
      </c>
      <c r="BI32" s="9" t="s">
        <v>100</v>
      </c>
      <c r="BJ32" s="32"/>
      <c r="BK32" s="32"/>
      <c r="BL32" s="33"/>
      <c r="BM32" s="33"/>
      <c r="BN32" s="33"/>
      <c r="BO32" s="32"/>
      <c r="BP32" s="32"/>
      <c r="BQ32" s="33"/>
    </row>
    <row r="33" spans="1:69" s="6" customFormat="1" ht="104" hidden="1" x14ac:dyDescent="0.35">
      <c r="A33" s="8">
        <v>3713</v>
      </c>
      <c r="B33" s="8" t="s">
        <v>319</v>
      </c>
      <c r="C33" s="8" t="s">
        <v>92</v>
      </c>
      <c r="D33" s="9" t="s">
        <v>489</v>
      </c>
      <c r="E33" s="8" t="s">
        <v>43</v>
      </c>
      <c r="F33" s="8" t="s">
        <v>138</v>
      </c>
      <c r="G33" s="8" t="s">
        <v>225</v>
      </c>
      <c r="H33" s="8" t="s">
        <v>125</v>
      </c>
      <c r="I33" s="8" t="s">
        <v>114</v>
      </c>
      <c r="J33" s="9" t="s">
        <v>29</v>
      </c>
      <c r="K33" s="44">
        <v>7</v>
      </c>
      <c r="L33" s="2" t="s">
        <v>276</v>
      </c>
      <c r="M33" s="2" t="s">
        <v>276</v>
      </c>
      <c r="N33" s="10" t="s">
        <v>417</v>
      </c>
      <c r="O33" s="10" t="s">
        <v>98</v>
      </c>
      <c r="P33" s="9" t="s">
        <v>239</v>
      </c>
      <c r="Q33" s="41" t="s">
        <v>276</v>
      </c>
      <c r="R33" s="9" t="s">
        <v>385</v>
      </c>
      <c r="S33" s="9" t="s">
        <v>276</v>
      </c>
      <c r="T33" s="9" t="s">
        <v>276</v>
      </c>
      <c r="U33" s="9">
        <v>1</v>
      </c>
      <c r="V33" s="8" t="s">
        <v>14</v>
      </c>
      <c r="W33" s="2" t="s">
        <v>98</v>
      </c>
      <c r="X33" s="10" t="s">
        <v>207</v>
      </c>
      <c r="Y33" s="13">
        <v>189386</v>
      </c>
      <c r="Z33" s="34">
        <v>219439</v>
      </c>
      <c r="AA33" s="34">
        <f>Y33-178385</f>
        <v>11001</v>
      </c>
      <c r="AB33" s="34">
        <f>Z33-209018</f>
        <v>10421</v>
      </c>
      <c r="AC33" s="8" t="s">
        <v>276</v>
      </c>
      <c r="AD33" s="9" t="s">
        <v>422</v>
      </c>
      <c r="AE33" s="8" t="s">
        <v>276</v>
      </c>
      <c r="AF33" s="9" t="s">
        <v>422</v>
      </c>
      <c r="AG33" s="9" t="s">
        <v>490</v>
      </c>
      <c r="AH33" s="9" t="s">
        <v>430</v>
      </c>
      <c r="AI33" s="34">
        <f>691+235+103</f>
        <v>1029</v>
      </c>
      <c r="AJ33" s="34">
        <f>136+176+201</f>
        <v>513</v>
      </c>
      <c r="AK33" s="34">
        <f t="shared" si="7"/>
        <v>189386</v>
      </c>
      <c r="AL33" s="34">
        <f t="shared" si="7"/>
        <v>219439</v>
      </c>
      <c r="AM33" s="38" t="s">
        <v>376</v>
      </c>
      <c r="AN33" s="8" t="s">
        <v>276</v>
      </c>
      <c r="AO33" s="14">
        <f t="shared" si="5"/>
        <v>0.54333477659383478</v>
      </c>
      <c r="AP33" s="8" t="s">
        <v>276</v>
      </c>
      <c r="AQ33" s="8" t="s">
        <v>276</v>
      </c>
      <c r="AR33" s="8" t="s">
        <v>276</v>
      </c>
      <c r="AS33" s="14">
        <f t="shared" si="6"/>
        <v>0.23377795195931445</v>
      </c>
      <c r="AT33" s="8" t="s">
        <v>276</v>
      </c>
      <c r="AU33" s="8" t="s">
        <v>276</v>
      </c>
      <c r="AV33" s="9" t="s">
        <v>268</v>
      </c>
      <c r="AW33" s="35" t="s">
        <v>276</v>
      </c>
      <c r="AX33" s="35">
        <f t="shared" si="2"/>
        <v>2.3241489286739672</v>
      </c>
      <c r="AY33" s="10" t="s">
        <v>276</v>
      </c>
      <c r="AZ33" s="10" t="s">
        <v>276</v>
      </c>
      <c r="BA33" s="10" t="s">
        <v>276</v>
      </c>
      <c r="BB33" s="10" t="s">
        <v>98</v>
      </c>
      <c r="BC33" s="10" t="s">
        <v>98</v>
      </c>
      <c r="BD33" s="10" t="s">
        <v>98</v>
      </c>
      <c r="BE33" s="10" t="s">
        <v>98</v>
      </c>
      <c r="BF33" s="9" t="s">
        <v>475</v>
      </c>
      <c r="BG33" s="9" t="s">
        <v>476</v>
      </c>
      <c r="BH33" s="9" t="s">
        <v>100</v>
      </c>
      <c r="BI33" s="9" t="s">
        <v>100</v>
      </c>
      <c r="BJ33" s="32"/>
      <c r="BK33" s="32"/>
      <c r="BL33" s="33"/>
      <c r="BM33" s="33"/>
      <c r="BN33" s="33"/>
      <c r="BO33" s="32"/>
      <c r="BP33" s="32"/>
      <c r="BQ33" s="33"/>
    </row>
    <row r="34" spans="1:69" s="6" customFormat="1" ht="104" hidden="1" x14ac:dyDescent="0.35">
      <c r="A34" s="8">
        <v>3713</v>
      </c>
      <c r="B34" s="8" t="s">
        <v>319</v>
      </c>
      <c r="C34" s="8" t="s">
        <v>92</v>
      </c>
      <c r="D34" s="9" t="s">
        <v>491</v>
      </c>
      <c r="E34" s="8" t="s">
        <v>43</v>
      </c>
      <c r="F34" s="8" t="s">
        <v>138</v>
      </c>
      <c r="G34" s="8" t="s">
        <v>225</v>
      </c>
      <c r="H34" s="8" t="s">
        <v>125</v>
      </c>
      <c r="I34" s="8" t="s">
        <v>114</v>
      </c>
      <c r="J34" s="9" t="s">
        <v>29</v>
      </c>
      <c r="K34" s="44" t="s">
        <v>466</v>
      </c>
      <c r="L34" s="2" t="s">
        <v>276</v>
      </c>
      <c r="M34" s="2" t="s">
        <v>276</v>
      </c>
      <c r="N34" s="10" t="s">
        <v>417</v>
      </c>
      <c r="O34" s="10" t="s">
        <v>98</v>
      </c>
      <c r="P34" s="9" t="s">
        <v>239</v>
      </c>
      <c r="Q34" s="41" t="s">
        <v>276</v>
      </c>
      <c r="R34" s="9" t="s">
        <v>385</v>
      </c>
      <c r="S34" s="9" t="s">
        <v>276</v>
      </c>
      <c r="T34" s="9" t="s">
        <v>276</v>
      </c>
      <c r="U34" s="9">
        <v>1</v>
      </c>
      <c r="V34" s="8" t="s">
        <v>14</v>
      </c>
      <c r="W34" s="2" t="s">
        <v>98</v>
      </c>
      <c r="X34" s="10" t="s">
        <v>207</v>
      </c>
      <c r="Y34" s="13">
        <v>189386</v>
      </c>
      <c r="Z34" s="34">
        <v>219439</v>
      </c>
      <c r="AA34" s="34">
        <f>Y34-178385</f>
        <v>11001</v>
      </c>
      <c r="AB34" s="34">
        <f>Z34-209018</f>
        <v>10421</v>
      </c>
      <c r="AC34" s="8" t="s">
        <v>276</v>
      </c>
      <c r="AD34" s="9" t="s">
        <v>422</v>
      </c>
      <c r="AE34" s="8" t="s">
        <v>276</v>
      </c>
      <c r="AF34" s="9" t="s">
        <v>422</v>
      </c>
      <c r="AG34" s="9" t="s">
        <v>492</v>
      </c>
      <c r="AH34" s="9" t="s">
        <v>430</v>
      </c>
      <c r="AI34" s="34">
        <f>184+70+71</f>
        <v>325</v>
      </c>
      <c r="AJ34" s="34">
        <f>86+103+109</f>
        <v>298</v>
      </c>
      <c r="AK34" s="34">
        <f t="shared" si="7"/>
        <v>189386</v>
      </c>
      <c r="AL34" s="34">
        <f t="shared" si="7"/>
        <v>219439</v>
      </c>
      <c r="AM34" s="38" t="s">
        <v>376</v>
      </c>
      <c r="AN34" s="8" t="s">
        <v>276</v>
      </c>
      <c r="AO34" s="14">
        <f t="shared" si="5"/>
        <v>0.17160719377356298</v>
      </c>
      <c r="AP34" s="8" t="s">
        <v>276</v>
      </c>
      <c r="AQ34" s="8" t="s">
        <v>276</v>
      </c>
      <c r="AR34" s="8" t="s">
        <v>276</v>
      </c>
      <c r="AS34" s="14">
        <f t="shared" si="6"/>
        <v>0.13580083759040099</v>
      </c>
      <c r="AT34" s="8" t="s">
        <v>276</v>
      </c>
      <c r="AU34" s="8" t="s">
        <v>276</v>
      </c>
      <c r="AV34" s="9" t="s">
        <v>268</v>
      </c>
      <c r="AW34" s="35" t="s">
        <v>276</v>
      </c>
      <c r="AX34" s="35">
        <f t="shared" si="2"/>
        <v>1.2636681541770767</v>
      </c>
      <c r="AY34" s="10" t="s">
        <v>276</v>
      </c>
      <c r="AZ34" s="10" t="s">
        <v>276</v>
      </c>
      <c r="BA34" s="10" t="s">
        <v>276</v>
      </c>
      <c r="BB34" s="10" t="s">
        <v>98</v>
      </c>
      <c r="BC34" s="10" t="s">
        <v>98</v>
      </c>
      <c r="BD34" s="10" t="s">
        <v>98</v>
      </c>
      <c r="BE34" s="10" t="s">
        <v>98</v>
      </c>
      <c r="BF34" s="9" t="s">
        <v>475</v>
      </c>
      <c r="BG34" s="9" t="s">
        <v>476</v>
      </c>
      <c r="BH34" s="9" t="s">
        <v>100</v>
      </c>
      <c r="BI34" s="9" t="s">
        <v>100</v>
      </c>
      <c r="BJ34" s="32"/>
      <c r="BK34" s="32"/>
      <c r="BL34" s="33"/>
      <c r="BM34" s="33"/>
      <c r="BN34" s="33"/>
      <c r="BO34" s="32"/>
      <c r="BP34" s="32"/>
      <c r="BQ34" s="33"/>
    </row>
    <row r="35" spans="1:69" s="6" customFormat="1" ht="104" hidden="1" x14ac:dyDescent="0.35">
      <c r="A35" s="8">
        <v>3713</v>
      </c>
      <c r="B35" s="8" t="s">
        <v>319</v>
      </c>
      <c r="C35" s="8" t="s">
        <v>92</v>
      </c>
      <c r="D35" s="9" t="s">
        <v>493</v>
      </c>
      <c r="E35" s="8" t="s">
        <v>43</v>
      </c>
      <c r="F35" s="8" t="s">
        <v>138</v>
      </c>
      <c r="G35" s="8" t="s">
        <v>225</v>
      </c>
      <c r="H35" s="8" t="s">
        <v>125</v>
      </c>
      <c r="I35" s="8" t="s">
        <v>114</v>
      </c>
      <c r="J35" s="9" t="s">
        <v>29</v>
      </c>
      <c r="K35" s="44" t="s">
        <v>416</v>
      </c>
      <c r="L35" s="2" t="s">
        <v>276</v>
      </c>
      <c r="M35" s="2" t="s">
        <v>276</v>
      </c>
      <c r="N35" s="10" t="s">
        <v>417</v>
      </c>
      <c r="O35" s="10" t="s">
        <v>98</v>
      </c>
      <c r="P35" s="9" t="s">
        <v>239</v>
      </c>
      <c r="Q35" s="41" t="s">
        <v>276</v>
      </c>
      <c r="R35" s="9" t="s">
        <v>343</v>
      </c>
      <c r="S35" s="9" t="s">
        <v>276</v>
      </c>
      <c r="T35" s="9" t="s">
        <v>276</v>
      </c>
      <c r="U35" s="9">
        <v>1</v>
      </c>
      <c r="V35" s="8" t="s">
        <v>14</v>
      </c>
      <c r="W35" s="2" t="s">
        <v>98</v>
      </c>
      <c r="X35" s="10" t="s">
        <v>207</v>
      </c>
      <c r="Y35" s="13">
        <v>189386</v>
      </c>
      <c r="Z35" s="34">
        <v>219439</v>
      </c>
      <c r="AA35" s="34">
        <f>Y35-175057</f>
        <v>14329</v>
      </c>
      <c r="AB35" s="34">
        <f>Z35-205021</f>
        <v>14418</v>
      </c>
      <c r="AC35" s="8" t="s">
        <v>276</v>
      </c>
      <c r="AD35" s="9" t="s">
        <v>422</v>
      </c>
      <c r="AE35" s="8" t="s">
        <v>276</v>
      </c>
      <c r="AF35" s="9" t="s">
        <v>422</v>
      </c>
      <c r="AG35" s="9" t="s">
        <v>494</v>
      </c>
      <c r="AH35" s="9" t="s">
        <v>430</v>
      </c>
      <c r="AI35" s="34">
        <f>1452+311+144+151</f>
        <v>2058</v>
      </c>
      <c r="AJ35" s="34">
        <f>159+202+192+249</f>
        <v>802</v>
      </c>
      <c r="AK35" s="34">
        <f t="shared" si="7"/>
        <v>189386</v>
      </c>
      <c r="AL35" s="34">
        <f t="shared" si="7"/>
        <v>219439</v>
      </c>
      <c r="AM35" s="38" t="s">
        <v>376</v>
      </c>
      <c r="AN35" s="8" t="s">
        <v>276</v>
      </c>
      <c r="AO35" s="14">
        <f t="shared" si="5"/>
        <v>1.0866695531876696</v>
      </c>
      <c r="AP35" s="8" t="s">
        <v>276</v>
      </c>
      <c r="AQ35" s="8" t="s">
        <v>276</v>
      </c>
      <c r="AR35" s="8" t="s">
        <v>276</v>
      </c>
      <c r="AS35" s="14">
        <f t="shared" si="6"/>
        <v>0.36547742197148181</v>
      </c>
      <c r="AT35" s="8" t="s">
        <v>276</v>
      </c>
      <c r="AU35" s="8" t="s">
        <v>276</v>
      </c>
      <c r="AV35" s="9" t="s">
        <v>268</v>
      </c>
      <c r="AW35" s="35" t="s">
        <v>276</v>
      </c>
      <c r="AX35" s="35">
        <f t="shared" si="2"/>
        <v>2.9732877815704368</v>
      </c>
      <c r="AY35" s="10" t="s">
        <v>276</v>
      </c>
      <c r="AZ35" s="10" t="s">
        <v>276</v>
      </c>
      <c r="BA35" s="10" t="s">
        <v>276</v>
      </c>
      <c r="BB35" s="10" t="s">
        <v>98</v>
      </c>
      <c r="BC35" s="10" t="s">
        <v>98</v>
      </c>
      <c r="BD35" s="10" t="s">
        <v>98</v>
      </c>
      <c r="BE35" s="10" t="s">
        <v>98</v>
      </c>
      <c r="BF35" s="9" t="s">
        <v>475</v>
      </c>
      <c r="BG35" s="9" t="s">
        <v>476</v>
      </c>
      <c r="BH35" s="9" t="s">
        <v>100</v>
      </c>
      <c r="BI35" s="9" t="s">
        <v>100</v>
      </c>
      <c r="BJ35" s="32"/>
      <c r="BK35" s="32"/>
      <c r="BL35" s="33"/>
      <c r="BM35" s="33"/>
      <c r="BN35" s="33"/>
      <c r="BO35" s="32"/>
      <c r="BP35" s="32"/>
      <c r="BQ35" s="33"/>
    </row>
    <row r="36" spans="1:69" s="6" customFormat="1" ht="104" hidden="1" x14ac:dyDescent="0.35">
      <c r="A36" s="8">
        <v>3713</v>
      </c>
      <c r="B36" s="8" t="s">
        <v>319</v>
      </c>
      <c r="C36" s="8" t="s">
        <v>92</v>
      </c>
      <c r="D36" s="9" t="s">
        <v>495</v>
      </c>
      <c r="E36" s="8" t="s">
        <v>43</v>
      </c>
      <c r="F36" s="8" t="s">
        <v>138</v>
      </c>
      <c r="G36" s="8" t="s">
        <v>225</v>
      </c>
      <c r="H36" s="8" t="s">
        <v>125</v>
      </c>
      <c r="I36" s="8" t="s">
        <v>114</v>
      </c>
      <c r="J36" s="9" t="s">
        <v>29</v>
      </c>
      <c r="K36" s="44">
        <v>7</v>
      </c>
      <c r="L36" s="2" t="s">
        <v>276</v>
      </c>
      <c r="M36" s="2" t="s">
        <v>276</v>
      </c>
      <c r="N36" s="10" t="s">
        <v>417</v>
      </c>
      <c r="O36" s="10" t="s">
        <v>98</v>
      </c>
      <c r="P36" s="9" t="s">
        <v>239</v>
      </c>
      <c r="Q36" s="41" t="s">
        <v>276</v>
      </c>
      <c r="R36" s="9" t="s">
        <v>343</v>
      </c>
      <c r="S36" s="9" t="s">
        <v>276</v>
      </c>
      <c r="T36" s="9" t="s">
        <v>276</v>
      </c>
      <c r="U36" s="9">
        <v>1</v>
      </c>
      <c r="V36" s="8" t="s">
        <v>14</v>
      </c>
      <c r="W36" s="2" t="s">
        <v>98</v>
      </c>
      <c r="X36" s="10" t="s">
        <v>207</v>
      </c>
      <c r="Y36" s="13">
        <v>189386</v>
      </c>
      <c r="Z36" s="34">
        <v>219439</v>
      </c>
      <c r="AA36" s="34">
        <f>Y36-175057</f>
        <v>14329</v>
      </c>
      <c r="AB36" s="34">
        <f>Z36-205021</f>
        <v>14418</v>
      </c>
      <c r="AC36" s="8" t="s">
        <v>276</v>
      </c>
      <c r="AD36" s="9" t="s">
        <v>422</v>
      </c>
      <c r="AE36" s="8" t="s">
        <v>276</v>
      </c>
      <c r="AF36" s="9" t="s">
        <v>422</v>
      </c>
      <c r="AG36" s="9" t="s">
        <v>496</v>
      </c>
      <c r="AH36" s="9" t="s">
        <v>430</v>
      </c>
      <c r="AI36" s="34">
        <f>691+235+103+150</f>
        <v>1179</v>
      </c>
      <c r="AJ36" s="34">
        <f>136+176+201+226</f>
        <v>739</v>
      </c>
      <c r="AK36" s="34">
        <f t="shared" si="7"/>
        <v>189386</v>
      </c>
      <c r="AL36" s="34">
        <f t="shared" si="7"/>
        <v>219439</v>
      </c>
      <c r="AM36" s="38" t="s">
        <v>376</v>
      </c>
      <c r="AN36" s="8" t="s">
        <v>276</v>
      </c>
      <c r="AO36" s="14">
        <f t="shared" si="5"/>
        <v>0.62253809679701777</v>
      </c>
      <c r="AP36" s="8" t="s">
        <v>276</v>
      </c>
      <c r="AQ36" s="8" t="s">
        <v>276</v>
      </c>
      <c r="AR36" s="8" t="s">
        <v>276</v>
      </c>
      <c r="AS36" s="14">
        <f t="shared" si="6"/>
        <v>0.3367678489238467</v>
      </c>
      <c r="AT36" s="8" t="s">
        <v>276</v>
      </c>
      <c r="AU36" s="8" t="s">
        <v>276</v>
      </c>
      <c r="AV36" s="9" t="s">
        <v>268</v>
      </c>
      <c r="AW36" s="35" t="s">
        <v>276</v>
      </c>
      <c r="AX36" s="35">
        <f t="shared" si="2"/>
        <v>1.8485674888097536</v>
      </c>
      <c r="AY36" s="10" t="s">
        <v>276</v>
      </c>
      <c r="AZ36" s="10" t="s">
        <v>276</v>
      </c>
      <c r="BA36" s="10" t="s">
        <v>276</v>
      </c>
      <c r="BB36" s="10" t="s">
        <v>98</v>
      </c>
      <c r="BC36" s="10" t="s">
        <v>98</v>
      </c>
      <c r="BD36" s="10" t="s">
        <v>98</v>
      </c>
      <c r="BE36" s="10" t="s">
        <v>98</v>
      </c>
      <c r="BF36" s="9" t="s">
        <v>475</v>
      </c>
      <c r="BG36" s="9" t="s">
        <v>476</v>
      </c>
      <c r="BH36" s="9" t="s">
        <v>100</v>
      </c>
      <c r="BI36" s="9" t="s">
        <v>100</v>
      </c>
      <c r="BJ36" s="32"/>
      <c r="BK36" s="32"/>
      <c r="BL36" s="33"/>
      <c r="BM36" s="33"/>
      <c r="BN36" s="33"/>
      <c r="BO36" s="32"/>
      <c r="BP36" s="32"/>
      <c r="BQ36" s="33"/>
    </row>
    <row r="37" spans="1:69" s="6" customFormat="1" ht="104" hidden="1" x14ac:dyDescent="0.35">
      <c r="A37" s="8">
        <v>3713</v>
      </c>
      <c r="B37" s="8" t="s">
        <v>319</v>
      </c>
      <c r="C37" s="8" t="s">
        <v>92</v>
      </c>
      <c r="D37" s="9" t="s">
        <v>497</v>
      </c>
      <c r="E37" s="8" t="s">
        <v>43</v>
      </c>
      <c r="F37" s="8" t="s">
        <v>138</v>
      </c>
      <c r="G37" s="8" t="s">
        <v>225</v>
      </c>
      <c r="H37" s="8" t="s">
        <v>125</v>
      </c>
      <c r="I37" s="8" t="s">
        <v>114</v>
      </c>
      <c r="J37" s="9" t="s">
        <v>29</v>
      </c>
      <c r="K37" s="44" t="s">
        <v>466</v>
      </c>
      <c r="L37" s="2" t="s">
        <v>276</v>
      </c>
      <c r="M37" s="2" t="s">
        <v>276</v>
      </c>
      <c r="N37" s="10" t="s">
        <v>417</v>
      </c>
      <c r="O37" s="10" t="s">
        <v>98</v>
      </c>
      <c r="P37" s="9" t="s">
        <v>239</v>
      </c>
      <c r="Q37" s="41" t="s">
        <v>276</v>
      </c>
      <c r="R37" s="9" t="s">
        <v>343</v>
      </c>
      <c r="S37" s="9" t="s">
        <v>276</v>
      </c>
      <c r="T37" s="9" t="s">
        <v>276</v>
      </c>
      <c r="U37" s="9">
        <v>1</v>
      </c>
      <c r="V37" s="8" t="s">
        <v>14</v>
      </c>
      <c r="W37" s="2" t="s">
        <v>98</v>
      </c>
      <c r="X37" s="10" t="s">
        <v>207</v>
      </c>
      <c r="Y37" s="13">
        <v>189386</v>
      </c>
      <c r="Z37" s="34">
        <v>219439</v>
      </c>
      <c r="AA37" s="34">
        <f>Y37-175057</f>
        <v>14329</v>
      </c>
      <c r="AB37" s="34">
        <f>Z37-205021</f>
        <v>14418</v>
      </c>
      <c r="AC37" s="8" t="s">
        <v>276</v>
      </c>
      <c r="AD37" s="9" t="s">
        <v>422</v>
      </c>
      <c r="AE37" s="8" t="s">
        <v>276</v>
      </c>
      <c r="AF37" s="9" t="s">
        <v>422</v>
      </c>
      <c r="AG37" s="9" t="s">
        <v>498</v>
      </c>
      <c r="AH37" s="9" t="s">
        <v>430</v>
      </c>
      <c r="AI37" s="34">
        <f>184+70+71+81</f>
        <v>406</v>
      </c>
      <c r="AJ37" s="34">
        <f>86+103+109+116</f>
        <v>414</v>
      </c>
      <c r="AK37" s="34">
        <f t="shared" si="7"/>
        <v>189386</v>
      </c>
      <c r="AL37" s="34">
        <f t="shared" si="7"/>
        <v>219439</v>
      </c>
      <c r="AM37" s="38" t="s">
        <v>376</v>
      </c>
      <c r="AN37" s="8" t="s">
        <v>276</v>
      </c>
      <c r="AO37" s="14">
        <f t="shared" si="5"/>
        <v>0.21437698668328176</v>
      </c>
      <c r="AP37" s="8" t="s">
        <v>276</v>
      </c>
      <c r="AQ37" s="8" t="s">
        <v>276</v>
      </c>
      <c r="AR37" s="8" t="s">
        <v>276</v>
      </c>
      <c r="AS37" s="14">
        <f t="shared" si="6"/>
        <v>0.18866290859874499</v>
      </c>
      <c r="AT37" s="8" t="s">
        <v>276</v>
      </c>
      <c r="AU37" s="8" t="s">
        <v>276</v>
      </c>
      <c r="AV37" s="9" t="s">
        <v>268</v>
      </c>
      <c r="AW37" s="35" t="s">
        <v>276</v>
      </c>
      <c r="AX37" s="35">
        <f t="shared" si="2"/>
        <v>1.1362964149949919</v>
      </c>
      <c r="AY37" s="10" t="s">
        <v>276</v>
      </c>
      <c r="AZ37" s="10" t="s">
        <v>276</v>
      </c>
      <c r="BA37" s="10" t="s">
        <v>276</v>
      </c>
      <c r="BB37" s="10" t="s">
        <v>98</v>
      </c>
      <c r="BC37" s="10" t="s">
        <v>98</v>
      </c>
      <c r="BD37" s="10" t="s">
        <v>98</v>
      </c>
      <c r="BE37" s="10" t="s">
        <v>98</v>
      </c>
      <c r="BF37" s="9" t="s">
        <v>475</v>
      </c>
      <c r="BG37" s="9" t="s">
        <v>476</v>
      </c>
      <c r="BH37" s="9" t="s">
        <v>100</v>
      </c>
      <c r="BI37" s="9" t="s">
        <v>100</v>
      </c>
      <c r="BJ37" s="32"/>
      <c r="BK37" s="32"/>
      <c r="BL37" s="33"/>
      <c r="BM37" s="33"/>
      <c r="BN37" s="33"/>
      <c r="BO37" s="32"/>
      <c r="BP37" s="32"/>
      <c r="BQ37" s="33"/>
    </row>
    <row r="38" spans="1:69" s="6" customFormat="1" ht="104" hidden="1" x14ac:dyDescent="0.35">
      <c r="A38" s="8">
        <v>3713</v>
      </c>
      <c r="B38" s="8" t="s">
        <v>319</v>
      </c>
      <c r="C38" s="8" t="s">
        <v>92</v>
      </c>
      <c r="D38" s="9" t="s">
        <v>499</v>
      </c>
      <c r="E38" s="8" t="s">
        <v>43</v>
      </c>
      <c r="F38" s="8" t="s">
        <v>138</v>
      </c>
      <c r="G38" s="8" t="s">
        <v>225</v>
      </c>
      <c r="H38" s="8" t="s">
        <v>125</v>
      </c>
      <c r="I38" s="8" t="s">
        <v>114</v>
      </c>
      <c r="J38" s="9" t="s">
        <v>29</v>
      </c>
      <c r="K38" s="44" t="s">
        <v>416</v>
      </c>
      <c r="L38" s="2" t="s">
        <v>276</v>
      </c>
      <c r="M38" s="2" t="s">
        <v>276</v>
      </c>
      <c r="N38" s="10" t="s">
        <v>417</v>
      </c>
      <c r="O38" s="10" t="s">
        <v>98</v>
      </c>
      <c r="P38" s="9" t="s">
        <v>239</v>
      </c>
      <c r="Q38" s="41" t="s">
        <v>276</v>
      </c>
      <c r="R38" s="9" t="s">
        <v>390</v>
      </c>
      <c r="S38" s="9" t="s">
        <v>276</v>
      </c>
      <c r="T38" s="9" t="s">
        <v>276</v>
      </c>
      <c r="U38" s="9">
        <v>1</v>
      </c>
      <c r="V38" s="8" t="s">
        <v>14</v>
      </c>
      <c r="W38" s="2" t="s">
        <v>98</v>
      </c>
      <c r="X38" s="10" t="s">
        <v>207</v>
      </c>
      <c r="Y38" s="13">
        <v>189386</v>
      </c>
      <c r="Z38" s="34">
        <v>219439</v>
      </c>
      <c r="AA38" s="34">
        <f>Y38-171650</f>
        <v>17736</v>
      </c>
      <c r="AB38" s="34">
        <f>Z38-200496</f>
        <v>18943</v>
      </c>
      <c r="AC38" s="8" t="s">
        <v>276</v>
      </c>
      <c r="AD38" s="9" t="s">
        <v>422</v>
      </c>
      <c r="AE38" s="8" t="s">
        <v>276</v>
      </c>
      <c r="AF38" s="9" t="s">
        <v>422</v>
      </c>
      <c r="AG38" s="9" t="s">
        <v>500</v>
      </c>
      <c r="AH38" s="9" t="s">
        <v>430</v>
      </c>
      <c r="AI38" s="34">
        <f>1452+311+144+151+167</f>
        <v>2225</v>
      </c>
      <c r="AJ38" s="34">
        <f>159+202+192+249+259</f>
        <v>1061</v>
      </c>
      <c r="AK38" s="34">
        <f t="shared" si="7"/>
        <v>189386</v>
      </c>
      <c r="AL38" s="34">
        <f t="shared" si="7"/>
        <v>219439</v>
      </c>
      <c r="AM38" s="38" t="s">
        <v>376</v>
      </c>
      <c r="AN38" s="8" t="s">
        <v>276</v>
      </c>
      <c r="AO38" s="14">
        <f t="shared" si="5"/>
        <v>1.1748492496805467</v>
      </c>
      <c r="AP38" s="8" t="s">
        <v>276</v>
      </c>
      <c r="AQ38" s="8" t="s">
        <v>276</v>
      </c>
      <c r="AR38" s="8" t="s">
        <v>276</v>
      </c>
      <c r="AS38" s="14">
        <f t="shared" si="6"/>
        <v>0.4835056667228706</v>
      </c>
      <c r="AT38" s="8" t="s">
        <v>276</v>
      </c>
      <c r="AU38" s="8" t="s">
        <v>276</v>
      </c>
      <c r="AV38" s="9" t="s">
        <v>268</v>
      </c>
      <c r="AW38" s="35" t="s">
        <v>276</v>
      </c>
      <c r="AX38" s="35">
        <f t="shared" si="2"/>
        <v>2.4298562158402404</v>
      </c>
      <c r="AY38" s="10" t="s">
        <v>276</v>
      </c>
      <c r="AZ38" s="10" t="s">
        <v>276</v>
      </c>
      <c r="BA38" s="10" t="s">
        <v>276</v>
      </c>
      <c r="BB38" s="10" t="s">
        <v>98</v>
      </c>
      <c r="BC38" s="10" t="s">
        <v>98</v>
      </c>
      <c r="BD38" s="10" t="s">
        <v>98</v>
      </c>
      <c r="BE38" s="10" t="s">
        <v>98</v>
      </c>
      <c r="BF38" s="9" t="s">
        <v>475</v>
      </c>
      <c r="BG38" s="9" t="s">
        <v>476</v>
      </c>
      <c r="BH38" s="9" t="s">
        <v>100</v>
      </c>
      <c r="BI38" s="9" t="s">
        <v>100</v>
      </c>
      <c r="BJ38" s="32"/>
      <c r="BK38" s="32"/>
      <c r="BL38" s="33"/>
      <c r="BM38" s="33"/>
      <c r="BN38" s="33"/>
      <c r="BO38" s="32"/>
      <c r="BP38" s="32"/>
      <c r="BQ38" s="33"/>
    </row>
    <row r="39" spans="1:69" s="6" customFormat="1" ht="104" hidden="1" x14ac:dyDescent="0.35">
      <c r="A39" s="8">
        <v>3713</v>
      </c>
      <c r="B39" s="8" t="s">
        <v>319</v>
      </c>
      <c r="C39" s="8" t="s">
        <v>92</v>
      </c>
      <c r="D39" s="9" t="s">
        <v>501</v>
      </c>
      <c r="E39" s="8" t="s">
        <v>43</v>
      </c>
      <c r="F39" s="8" t="s">
        <v>138</v>
      </c>
      <c r="G39" s="8" t="s">
        <v>225</v>
      </c>
      <c r="H39" s="8" t="s">
        <v>125</v>
      </c>
      <c r="I39" s="8" t="s">
        <v>114</v>
      </c>
      <c r="J39" s="9" t="s">
        <v>29</v>
      </c>
      <c r="K39" s="44">
        <v>7</v>
      </c>
      <c r="L39" s="2" t="s">
        <v>276</v>
      </c>
      <c r="M39" s="2" t="s">
        <v>276</v>
      </c>
      <c r="N39" s="10" t="s">
        <v>417</v>
      </c>
      <c r="O39" s="10" t="s">
        <v>98</v>
      </c>
      <c r="P39" s="9" t="s">
        <v>239</v>
      </c>
      <c r="Q39" s="41" t="s">
        <v>276</v>
      </c>
      <c r="R39" s="9" t="s">
        <v>390</v>
      </c>
      <c r="S39" s="9" t="s">
        <v>276</v>
      </c>
      <c r="T39" s="9" t="s">
        <v>276</v>
      </c>
      <c r="U39" s="9">
        <v>1</v>
      </c>
      <c r="V39" s="8" t="s">
        <v>14</v>
      </c>
      <c r="W39" s="2" t="s">
        <v>98</v>
      </c>
      <c r="X39" s="10" t="s">
        <v>207</v>
      </c>
      <c r="Y39" s="13">
        <v>189386</v>
      </c>
      <c r="Z39" s="34">
        <v>219439</v>
      </c>
      <c r="AA39" s="34">
        <f t="shared" ref="AA39:AA40" si="8">Y39-171650</f>
        <v>17736</v>
      </c>
      <c r="AB39" s="34">
        <f t="shared" ref="AB39:AB40" si="9">Z39-200496</f>
        <v>18943</v>
      </c>
      <c r="AC39" s="8" t="s">
        <v>276</v>
      </c>
      <c r="AD39" s="9" t="s">
        <v>422</v>
      </c>
      <c r="AE39" s="8" t="s">
        <v>276</v>
      </c>
      <c r="AF39" s="9" t="s">
        <v>422</v>
      </c>
      <c r="AG39" s="9" t="s">
        <v>502</v>
      </c>
      <c r="AH39" s="9" t="s">
        <v>430</v>
      </c>
      <c r="AI39" s="34">
        <f>691+235+103+150+172</f>
        <v>1351</v>
      </c>
      <c r="AJ39" s="34">
        <f>136+176+201+226+277</f>
        <v>1016</v>
      </c>
      <c r="AK39" s="34">
        <f t="shared" si="7"/>
        <v>189386</v>
      </c>
      <c r="AL39" s="34">
        <f t="shared" si="7"/>
        <v>219439</v>
      </c>
      <c r="AM39" s="38" t="s">
        <v>376</v>
      </c>
      <c r="AN39" s="8" t="s">
        <v>276</v>
      </c>
      <c r="AO39" s="14">
        <f t="shared" si="5"/>
        <v>0.71335790396333409</v>
      </c>
      <c r="AP39" s="8" t="s">
        <v>276</v>
      </c>
      <c r="AQ39" s="8" t="s">
        <v>276</v>
      </c>
      <c r="AR39" s="8" t="s">
        <v>276</v>
      </c>
      <c r="AS39" s="14">
        <f t="shared" si="6"/>
        <v>0.46299882883170268</v>
      </c>
      <c r="AT39" s="8" t="s">
        <v>276</v>
      </c>
      <c r="AU39" s="8" t="s">
        <v>276</v>
      </c>
      <c r="AV39" s="9" t="s">
        <v>268</v>
      </c>
      <c r="AW39" s="35" t="s">
        <v>276</v>
      </c>
      <c r="AX39" s="35">
        <f t="shared" si="2"/>
        <v>1.5407337114941935</v>
      </c>
      <c r="AY39" s="10" t="s">
        <v>276</v>
      </c>
      <c r="AZ39" s="10" t="s">
        <v>276</v>
      </c>
      <c r="BA39" s="10" t="s">
        <v>276</v>
      </c>
      <c r="BB39" s="10" t="s">
        <v>98</v>
      </c>
      <c r="BC39" s="10" t="s">
        <v>98</v>
      </c>
      <c r="BD39" s="10" t="s">
        <v>98</v>
      </c>
      <c r="BE39" s="10" t="s">
        <v>98</v>
      </c>
      <c r="BF39" s="9" t="s">
        <v>475</v>
      </c>
      <c r="BG39" s="9" t="s">
        <v>476</v>
      </c>
      <c r="BH39" s="9" t="s">
        <v>100</v>
      </c>
      <c r="BI39" s="9" t="s">
        <v>100</v>
      </c>
      <c r="BJ39" s="32"/>
      <c r="BK39" s="32"/>
      <c r="BL39" s="33"/>
      <c r="BM39" s="33"/>
      <c r="BN39" s="33"/>
      <c r="BO39" s="32"/>
      <c r="BP39" s="32"/>
      <c r="BQ39" s="33"/>
    </row>
    <row r="40" spans="1:69" s="6" customFormat="1" ht="104" hidden="1" x14ac:dyDescent="0.35">
      <c r="A40" s="8">
        <v>3713</v>
      </c>
      <c r="B40" s="8" t="s">
        <v>319</v>
      </c>
      <c r="C40" s="8" t="s">
        <v>92</v>
      </c>
      <c r="D40" s="9" t="s">
        <v>503</v>
      </c>
      <c r="E40" s="8" t="s">
        <v>43</v>
      </c>
      <c r="F40" s="8" t="s">
        <v>138</v>
      </c>
      <c r="G40" s="8" t="s">
        <v>225</v>
      </c>
      <c r="H40" s="8" t="s">
        <v>125</v>
      </c>
      <c r="I40" s="8" t="s">
        <v>114</v>
      </c>
      <c r="J40" s="9" t="s">
        <v>29</v>
      </c>
      <c r="K40" s="44" t="s">
        <v>466</v>
      </c>
      <c r="L40" s="2" t="s">
        <v>276</v>
      </c>
      <c r="M40" s="2" t="s">
        <v>276</v>
      </c>
      <c r="N40" s="10" t="s">
        <v>417</v>
      </c>
      <c r="O40" s="10" t="s">
        <v>98</v>
      </c>
      <c r="P40" s="9" t="s">
        <v>239</v>
      </c>
      <c r="Q40" s="41" t="s">
        <v>276</v>
      </c>
      <c r="R40" s="9" t="s">
        <v>390</v>
      </c>
      <c r="S40" s="9" t="s">
        <v>276</v>
      </c>
      <c r="T40" s="9" t="s">
        <v>276</v>
      </c>
      <c r="U40" s="9">
        <v>1</v>
      </c>
      <c r="V40" s="8" t="s">
        <v>14</v>
      </c>
      <c r="W40" s="2" t="s">
        <v>98</v>
      </c>
      <c r="X40" s="10" t="s">
        <v>207</v>
      </c>
      <c r="Y40" s="13">
        <v>189386</v>
      </c>
      <c r="Z40" s="34">
        <v>219439</v>
      </c>
      <c r="AA40" s="34">
        <f t="shared" si="8"/>
        <v>17736</v>
      </c>
      <c r="AB40" s="34">
        <f t="shared" si="9"/>
        <v>18943</v>
      </c>
      <c r="AC40" s="8" t="s">
        <v>276</v>
      </c>
      <c r="AD40" s="9" t="s">
        <v>422</v>
      </c>
      <c r="AE40" s="8" t="s">
        <v>276</v>
      </c>
      <c r="AF40" s="9" t="s">
        <v>422</v>
      </c>
      <c r="AG40" s="9" t="s">
        <v>504</v>
      </c>
      <c r="AH40" s="9" t="s">
        <v>430</v>
      </c>
      <c r="AI40" s="34">
        <f>184+70+71+81+93</f>
        <v>499</v>
      </c>
      <c r="AJ40" s="34">
        <f>86+103+109+116+127</f>
        <v>541</v>
      </c>
      <c r="AK40" s="34">
        <f t="shared" si="7"/>
        <v>189386</v>
      </c>
      <c r="AL40" s="34">
        <f t="shared" si="7"/>
        <v>219439</v>
      </c>
      <c r="AM40" s="38" t="s">
        <v>376</v>
      </c>
      <c r="AN40" s="8" t="s">
        <v>276</v>
      </c>
      <c r="AO40" s="14">
        <f t="shared" si="5"/>
        <v>0.2634830452092552</v>
      </c>
      <c r="AP40" s="8" t="s">
        <v>276</v>
      </c>
      <c r="AQ40" s="8" t="s">
        <v>276</v>
      </c>
      <c r="AR40" s="8" t="s">
        <v>276</v>
      </c>
      <c r="AS40" s="14">
        <f t="shared" si="6"/>
        <v>0.24653776220270782</v>
      </c>
      <c r="AT40" s="8" t="s">
        <v>276</v>
      </c>
      <c r="AU40" s="8" t="s">
        <v>276</v>
      </c>
      <c r="AV40" s="9" t="s">
        <v>268</v>
      </c>
      <c r="AW40" s="35" t="s">
        <v>276</v>
      </c>
      <c r="AX40" s="35">
        <f t="shared" si="2"/>
        <v>1.0687330121566312</v>
      </c>
      <c r="AY40" s="10" t="s">
        <v>276</v>
      </c>
      <c r="AZ40" s="10" t="s">
        <v>276</v>
      </c>
      <c r="BA40" s="10" t="s">
        <v>276</v>
      </c>
      <c r="BB40" s="10" t="s">
        <v>98</v>
      </c>
      <c r="BC40" s="10" t="s">
        <v>98</v>
      </c>
      <c r="BD40" s="10" t="s">
        <v>98</v>
      </c>
      <c r="BE40" s="10" t="s">
        <v>98</v>
      </c>
      <c r="BF40" s="9" t="s">
        <v>475</v>
      </c>
      <c r="BG40" s="9" t="s">
        <v>476</v>
      </c>
      <c r="BH40" s="9" t="s">
        <v>100</v>
      </c>
      <c r="BI40" s="9" t="s">
        <v>100</v>
      </c>
      <c r="BJ40" s="32"/>
      <c r="BK40" s="32"/>
      <c r="BL40" s="33"/>
      <c r="BM40" s="33"/>
      <c r="BN40" s="33"/>
      <c r="BO40" s="32"/>
      <c r="BP40" s="32"/>
      <c r="BQ40" s="33"/>
    </row>
    <row r="41" spans="1:69" s="6" customFormat="1" ht="104" hidden="1" x14ac:dyDescent="0.35">
      <c r="A41" s="8">
        <v>3713</v>
      </c>
      <c r="B41" s="8" t="s">
        <v>319</v>
      </c>
      <c r="C41" s="8" t="s">
        <v>92</v>
      </c>
      <c r="D41" s="9" t="s">
        <v>505</v>
      </c>
      <c r="E41" s="8" t="s">
        <v>43</v>
      </c>
      <c r="F41" s="8" t="s">
        <v>138</v>
      </c>
      <c r="G41" s="8" t="s">
        <v>225</v>
      </c>
      <c r="H41" s="8" t="s">
        <v>125</v>
      </c>
      <c r="I41" s="8" t="s">
        <v>114</v>
      </c>
      <c r="J41" s="9" t="s">
        <v>29</v>
      </c>
      <c r="K41" s="44" t="s">
        <v>416</v>
      </c>
      <c r="L41" s="2" t="s">
        <v>276</v>
      </c>
      <c r="M41" s="2" t="s">
        <v>276</v>
      </c>
      <c r="N41" s="10" t="s">
        <v>417</v>
      </c>
      <c r="O41" s="10" t="s">
        <v>98</v>
      </c>
      <c r="P41" s="9" t="s">
        <v>239</v>
      </c>
      <c r="Q41" s="41" t="s">
        <v>276</v>
      </c>
      <c r="R41" s="9" t="s">
        <v>346</v>
      </c>
      <c r="S41" s="9" t="s">
        <v>276</v>
      </c>
      <c r="T41" s="9" t="s">
        <v>276</v>
      </c>
      <c r="U41" s="9">
        <v>1</v>
      </c>
      <c r="V41" s="8" t="s">
        <v>14</v>
      </c>
      <c r="W41" s="2" t="s">
        <v>98</v>
      </c>
      <c r="X41" s="10" t="s">
        <v>207</v>
      </c>
      <c r="Y41" s="13">
        <v>189386</v>
      </c>
      <c r="Z41" s="34">
        <v>219439</v>
      </c>
      <c r="AA41" s="34">
        <f>Y41-168234</f>
        <v>21152</v>
      </c>
      <c r="AB41" s="34">
        <f>Z41-196022</f>
        <v>23417</v>
      </c>
      <c r="AC41" s="8" t="s">
        <v>276</v>
      </c>
      <c r="AD41" s="9" t="s">
        <v>422</v>
      </c>
      <c r="AE41" s="8" t="s">
        <v>276</v>
      </c>
      <c r="AF41" s="9" t="s">
        <v>422</v>
      </c>
      <c r="AG41" s="9" t="s">
        <v>506</v>
      </c>
      <c r="AH41" s="9" t="s">
        <v>430</v>
      </c>
      <c r="AI41" s="34">
        <f>1452+311+144+151+167+156</f>
        <v>2381</v>
      </c>
      <c r="AJ41" s="34">
        <f>159+202+192+249+259+225</f>
        <v>1286</v>
      </c>
      <c r="AK41" s="34">
        <f t="shared" si="7"/>
        <v>189386</v>
      </c>
      <c r="AL41" s="34">
        <f t="shared" si="7"/>
        <v>219439</v>
      </c>
      <c r="AM41" s="38" t="s">
        <v>376</v>
      </c>
      <c r="AN41" s="8" t="s">
        <v>276</v>
      </c>
      <c r="AO41" s="14">
        <f t="shared" si="5"/>
        <v>1.2572207026918569</v>
      </c>
      <c r="AP41" s="8" t="s">
        <v>276</v>
      </c>
      <c r="AQ41" s="8" t="s">
        <v>276</v>
      </c>
      <c r="AR41" s="8" t="s">
        <v>276</v>
      </c>
      <c r="AS41" s="14">
        <f t="shared" si="6"/>
        <v>0.58603985617871024</v>
      </c>
      <c r="AT41" s="8" t="s">
        <v>276</v>
      </c>
      <c r="AU41" s="8" t="s">
        <v>276</v>
      </c>
      <c r="AV41" s="9" t="s">
        <v>268</v>
      </c>
      <c r="AW41" s="35" t="s">
        <v>276</v>
      </c>
      <c r="AX41" s="35">
        <f t="shared" si="2"/>
        <v>2.145281911181947</v>
      </c>
      <c r="AY41" s="10" t="s">
        <v>276</v>
      </c>
      <c r="AZ41" s="10" t="s">
        <v>276</v>
      </c>
      <c r="BA41" s="10" t="s">
        <v>276</v>
      </c>
      <c r="BB41" s="10" t="s">
        <v>98</v>
      </c>
      <c r="BC41" s="10" t="s">
        <v>98</v>
      </c>
      <c r="BD41" s="10" t="s">
        <v>98</v>
      </c>
      <c r="BE41" s="10" t="s">
        <v>98</v>
      </c>
      <c r="BF41" s="9" t="s">
        <v>475</v>
      </c>
      <c r="BG41" s="9" t="s">
        <v>476</v>
      </c>
      <c r="BH41" s="9" t="s">
        <v>100</v>
      </c>
      <c r="BI41" s="9" t="s">
        <v>100</v>
      </c>
      <c r="BJ41" s="32"/>
      <c r="BK41" s="32"/>
      <c r="BL41" s="33"/>
      <c r="BM41" s="33"/>
      <c r="BN41" s="33"/>
      <c r="BO41" s="32"/>
      <c r="BP41" s="32"/>
      <c r="BQ41" s="33"/>
    </row>
    <row r="42" spans="1:69" s="6" customFormat="1" ht="104" hidden="1" x14ac:dyDescent="0.35">
      <c r="A42" s="8">
        <v>3713</v>
      </c>
      <c r="B42" s="8" t="s">
        <v>319</v>
      </c>
      <c r="C42" s="8" t="s">
        <v>92</v>
      </c>
      <c r="D42" s="9" t="s">
        <v>507</v>
      </c>
      <c r="E42" s="8" t="s">
        <v>43</v>
      </c>
      <c r="F42" s="8" t="s">
        <v>138</v>
      </c>
      <c r="G42" s="8" t="s">
        <v>225</v>
      </c>
      <c r="H42" s="8" t="s">
        <v>125</v>
      </c>
      <c r="I42" s="8" t="s">
        <v>114</v>
      </c>
      <c r="J42" s="9" t="s">
        <v>29</v>
      </c>
      <c r="K42" s="44">
        <v>7</v>
      </c>
      <c r="L42" s="2" t="s">
        <v>276</v>
      </c>
      <c r="M42" s="2" t="s">
        <v>276</v>
      </c>
      <c r="N42" s="10" t="s">
        <v>417</v>
      </c>
      <c r="O42" s="10" t="s">
        <v>98</v>
      </c>
      <c r="P42" s="9" t="s">
        <v>239</v>
      </c>
      <c r="Q42" s="41" t="s">
        <v>276</v>
      </c>
      <c r="R42" s="9" t="s">
        <v>346</v>
      </c>
      <c r="S42" s="9" t="s">
        <v>276</v>
      </c>
      <c r="T42" s="9" t="s">
        <v>276</v>
      </c>
      <c r="U42" s="9">
        <v>1</v>
      </c>
      <c r="V42" s="8" t="s">
        <v>14</v>
      </c>
      <c r="W42" s="2" t="s">
        <v>98</v>
      </c>
      <c r="X42" s="10" t="s">
        <v>207</v>
      </c>
      <c r="Y42" s="13">
        <v>189386</v>
      </c>
      <c r="Z42" s="34">
        <v>219439</v>
      </c>
      <c r="AA42" s="34">
        <f>Y42-168234</f>
        <v>21152</v>
      </c>
      <c r="AB42" s="34">
        <f>Z42-196022</f>
        <v>23417</v>
      </c>
      <c r="AC42" s="8" t="s">
        <v>276</v>
      </c>
      <c r="AD42" s="9" t="s">
        <v>422</v>
      </c>
      <c r="AE42" s="8" t="s">
        <v>276</v>
      </c>
      <c r="AF42" s="9" t="s">
        <v>422</v>
      </c>
      <c r="AG42" s="9" t="s">
        <v>508</v>
      </c>
      <c r="AH42" s="9" t="s">
        <v>430</v>
      </c>
      <c r="AI42" s="34">
        <f>691+235+103+150+172+186</f>
        <v>1537</v>
      </c>
      <c r="AJ42" s="34">
        <f>136+176+201+226+277+309</f>
        <v>1325</v>
      </c>
      <c r="AK42" s="34">
        <f t="shared" ref="AK42" si="10">Y42</f>
        <v>189386</v>
      </c>
      <c r="AL42" s="34">
        <f t="shared" ref="AL42" si="11">Z42</f>
        <v>219439</v>
      </c>
      <c r="AM42" s="38" t="s">
        <v>376</v>
      </c>
      <c r="AN42" s="8" t="s">
        <v>276</v>
      </c>
      <c r="AO42" s="14">
        <f t="shared" ref="AO42" si="12">AI42*100/AK42</f>
        <v>0.81157002101528097</v>
      </c>
      <c r="AP42" s="8" t="s">
        <v>276</v>
      </c>
      <c r="AQ42" s="8" t="s">
        <v>276</v>
      </c>
      <c r="AR42" s="8" t="s">
        <v>276</v>
      </c>
      <c r="AS42" s="14">
        <f t="shared" ref="AS42" si="13">AJ42*100/AL42</f>
        <v>0.60381244901772246</v>
      </c>
      <c r="AT42" s="8" t="s">
        <v>276</v>
      </c>
      <c r="AU42" s="8" t="s">
        <v>276</v>
      </c>
      <c r="AV42" s="9" t="s">
        <v>268</v>
      </c>
      <c r="AW42" s="35" t="s">
        <v>276</v>
      </c>
      <c r="AX42" s="35">
        <f t="shared" ref="AX42" si="14">AO42/AS42</f>
        <v>1.3440763308797905</v>
      </c>
      <c r="AY42" s="10" t="s">
        <v>276</v>
      </c>
      <c r="AZ42" s="10" t="s">
        <v>276</v>
      </c>
      <c r="BA42" s="10" t="s">
        <v>276</v>
      </c>
      <c r="BB42" s="10" t="s">
        <v>98</v>
      </c>
      <c r="BC42" s="10" t="s">
        <v>98</v>
      </c>
      <c r="BD42" s="10" t="s">
        <v>98</v>
      </c>
      <c r="BE42" s="10" t="s">
        <v>98</v>
      </c>
      <c r="BF42" s="9" t="s">
        <v>475</v>
      </c>
      <c r="BG42" s="9" t="s">
        <v>476</v>
      </c>
      <c r="BH42" s="9" t="s">
        <v>100</v>
      </c>
      <c r="BI42" s="9" t="s">
        <v>100</v>
      </c>
      <c r="BJ42" s="32"/>
      <c r="BK42" s="32"/>
      <c r="BL42" s="33"/>
      <c r="BM42" s="33"/>
      <c r="BN42" s="33"/>
      <c r="BO42" s="32"/>
      <c r="BP42" s="32"/>
      <c r="BQ42" s="33"/>
    </row>
    <row r="43" spans="1:69" s="6" customFormat="1" ht="104" hidden="1" x14ac:dyDescent="0.35">
      <c r="A43" s="8">
        <v>3713</v>
      </c>
      <c r="B43" s="8" t="s">
        <v>319</v>
      </c>
      <c r="C43" s="8" t="s">
        <v>92</v>
      </c>
      <c r="D43" s="9" t="s">
        <v>11697</v>
      </c>
      <c r="E43" s="8" t="s">
        <v>43</v>
      </c>
      <c r="F43" s="8" t="s">
        <v>138</v>
      </c>
      <c r="G43" s="8" t="s">
        <v>225</v>
      </c>
      <c r="H43" s="8" t="s">
        <v>125</v>
      </c>
      <c r="I43" s="8" t="s">
        <v>114</v>
      </c>
      <c r="J43" s="9" t="s">
        <v>29</v>
      </c>
      <c r="K43" s="44" t="s">
        <v>11698</v>
      </c>
      <c r="L43" s="2" t="s">
        <v>276</v>
      </c>
      <c r="M43" s="2" t="s">
        <v>276</v>
      </c>
      <c r="N43" s="10" t="s">
        <v>417</v>
      </c>
      <c r="O43" s="10" t="s">
        <v>98</v>
      </c>
      <c r="P43" s="9" t="s">
        <v>239</v>
      </c>
      <c r="Q43" s="41" t="s">
        <v>276</v>
      </c>
      <c r="R43" s="9" t="s">
        <v>346</v>
      </c>
      <c r="S43" s="9" t="s">
        <v>276</v>
      </c>
      <c r="T43" s="9" t="s">
        <v>276</v>
      </c>
      <c r="U43" s="9">
        <v>1</v>
      </c>
      <c r="V43" s="8" t="s">
        <v>14</v>
      </c>
      <c r="W43" s="2" t="s">
        <v>98</v>
      </c>
      <c r="X43" s="10" t="s">
        <v>207</v>
      </c>
      <c r="Y43" s="13">
        <v>189386</v>
      </c>
      <c r="Z43" s="34">
        <v>219439</v>
      </c>
      <c r="AA43" s="34">
        <f>Y43-168234</f>
        <v>21152</v>
      </c>
      <c r="AB43" s="34">
        <f>Z43-196022</f>
        <v>23417</v>
      </c>
      <c r="AC43" s="8" t="s">
        <v>276</v>
      </c>
      <c r="AD43" s="9" t="s">
        <v>422</v>
      </c>
      <c r="AE43" s="8" t="s">
        <v>276</v>
      </c>
      <c r="AF43" s="9" t="s">
        <v>422</v>
      </c>
      <c r="AG43" s="9" t="s">
        <v>11699</v>
      </c>
      <c r="AH43" s="9" t="s">
        <v>430</v>
      </c>
      <c r="AI43" s="34">
        <f>AI42+AI41</f>
        <v>3918</v>
      </c>
      <c r="AJ43" s="34">
        <f>AJ42+AJ41</f>
        <v>2611</v>
      </c>
      <c r="AK43" s="34">
        <f t="shared" ref="AK43:AL58" si="15">Y43</f>
        <v>189386</v>
      </c>
      <c r="AL43" s="34">
        <f t="shared" si="15"/>
        <v>219439</v>
      </c>
      <c r="AM43" s="38" t="s">
        <v>376</v>
      </c>
      <c r="AN43" s="8" t="s">
        <v>276</v>
      </c>
      <c r="AO43" s="14">
        <f t="shared" si="5"/>
        <v>2.0687907237071377</v>
      </c>
      <c r="AP43" s="8" t="s">
        <v>276</v>
      </c>
      <c r="AQ43" s="8" t="s">
        <v>276</v>
      </c>
      <c r="AR43" s="8" t="s">
        <v>276</v>
      </c>
      <c r="AS43" s="14">
        <f t="shared" si="6"/>
        <v>1.1898523051964327</v>
      </c>
      <c r="AT43" s="8" t="s">
        <v>276</v>
      </c>
      <c r="AU43" s="8" t="s">
        <v>276</v>
      </c>
      <c r="AV43" s="9" t="s">
        <v>268</v>
      </c>
      <c r="AW43" s="35" t="s">
        <v>276</v>
      </c>
      <c r="AX43" s="35">
        <f t="shared" si="2"/>
        <v>1.7386953949428212</v>
      </c>
      <c r="AY43" s="10" t="s">
        <v>276</v>
      </c>
      <c r="AZ43" s="10" t="s">
        <v>276</v>
      </c>
      <c r="BA43" s="10" t="s">
        <v>276</v>
      </c>
      <c r="BB43" s="10" t="s">
        <v>98</v>
      </c>
      <c r="BC43" s="10" t="s">
        <v>98</v>
      </c>
      <c r="BD43" s="10" t="s">
        <v>98</v>
      </c>
      <c r="BE43" s="10" t="s">
        <v>98</v>
      </c>
      <c r="BF43" s="9" t="s">
        <v>475</v>
      </c>
      <c r="BG43" s="9" t="s">
        <v>476</v>
      </c>
      <c r="BH43" s="9" t="s">
        <v>100</v>
      </c>
      <c r="BI43" s="9" t="s">
        <v>100</v>
      </c>
      <c r="BJ43" s="32"/>
      <c r="BK43" s="32"/>
      <c r="BL43" s="33"/>
      <c r="BM43" s="33"/>
      <c r="BN43" s="33"/>
      <c r="BO43" s="32"/>
      <c r="BP43" s="32"/>
      <c r="BQ43" s="33"/>
    </row>
    <row r="44" spans="1:69" s="6" customFormat="1" ht="104" hidden="1" x14ac:dyDescent="0.35">
      <c r="A44" s="8">
        <v>3713</v>
      </c>
      <c r="B44" s="8" t="s">
        <v>319</v>
      </c>
      <c r="C44" s="8" t="s">
        <v>92</v>
      </c>
      <c r="D44" s="9" t="s">
        <v>509</v>
      </c>
      <c r="E44" s="8" t="s">
        <v>43</v>
      </c>
      <c r="F44" s="8" t="s">
        <v>138</v>
      </c>
      <c r="G44" s="8" t="s">
        <v>225</v>
      </c>
      <c r="H44" s="8" t="s">
        <v>125</v>
      </c>
      <c r="I44" s="8" t="s">
        <v>114</v>
      </c>
      <c r="J44" s="9" t="s">
        <v>29</v>
      </c>
      <c r="K44" s="44" t="s">
        <v>466</v>
      </c>
      <c r="L44" s="2" t="s">
        <v>276</v>
      </c>
      <c r="M44" s="2" t="s">
        <v>276</v>
      </c>
      <c r="N44" s="10" t="s">
        <v>417</v>
      </c>
      <c r="O44" s="10" t="s">
        <v>98</v>
      </c>
      <c r="P44" s="9" t="s">
        <v>239</v>
      </c>
      <c r="Q44" s="41" t="s">
        <v>276</v>
      </c>
      <c r="R44" s="9" t="s">
        <v>346</v>
      </c>
      <c r="S44" s="9" t="s">
        <v>276</v>
      </c>
      <c r="T44" s="9" t="s">
        <v>276</v>
      </c>
      <c r="U44" s="9">
        <v>1</v>
      </c>
      <c r="V44" s="8" t="s">
        <v>14</v>
      </c>
      <c r="W44" s="2" t="s">
        <v>98</v>
      </c>
      <c r="X44" s="10" t="s">
        <v>207</v>
      </c>
      <c r="Y44" s="13">
        <v>189386</v>
      </c>
      <c r="Z44" s="34">
        <v>219439</v>
      </c>
      <c r="AA44" s="34">
        <f>Y44-168234</f>
        <v>21152</v>
      </c>
      <c r="AB44" s="34">
        <f>Z44-196022</f>
        <v>23417</v>
      </c>
      <c r="AC44" s="8" t="s">
        <v>276</v>
      </c>
      <c r="AD44" s="9" t="s">
        <v>422</v>
      </c>
      <c r="AE44" s="8" t="s">
        <v>276</v>
      </c>
      <c r="AF44" s="9" t="s">
        <v>422</v>
      </c>
      <c r="AG44" s="9" t="s">
        <v>510</v>
      </c>
      <c r="AH44" s="9" t="s">
        <v>430</v>
      </c>
      <c r="AI44" s="34">
        <f>184+70+71+81+93+104</f>
        <v>603</v>
      </c>
      <c r="AJ44" s="34">
        <f>86+103+109+116+127+158</f>
        <v>699</v>
      </c>
      <c r="AK44" s="34">
        <f t="shared" si="15"/>
        <v>189386</v>
      </c>
      <c r="AL44" s="34">
        <f t="shared" si="15"/>
        <v>219439</v>
      </c>
      <c r="AM44" s="38" t="s">
        <v>376</v>
      </c>
      <c r="AN44" s="8" t="s">
        <v>276</v>
      </c>
      <c r="AO44" s="14">
        <f t="shared" si="5"/>
        <v>0.3183973472167953</v>
      </c>
      <c r="AP44" s="8" t="s">
        <v>276</v>
      </c>
      <c r="AQ44" s="8" t="s">
        <v>276</v>
      </c>
      <c r="AR44" s="8" t="s">
        <v>276</v>
      </c>
      <c r="AS44" s="14">
        <f t="shared" si="6"/>
        <v>0.31853954857614186</v>
      </c>
      <c r="AT44" s="8" t="s">
        <v>276</v>
      </c>
      <c r="AU44" s="8" t="s">
        <v>276</v>
      </c>
      <c r="AV44" s="9" t="s">
        <v>268</v>
      </c>
      <c r="AW44" s="35" t="s">
        <v>276</v>
      </c>
      <c r="AX44" s="35">
        <f t="shared" si="2"/>
        <v>0.99955358334629973</v>
      </c>
      <c r="AY44" s="10" t="s">
        <v>276</v>
      </c>
      <c r="AZ44" s="10" t="s">
        <v>276</v>
      </c>
      <c r="BA44" s="10" t="s">
        <v>276</v>
      </c>
      <c r="BB44" s="10" t="s">
        <v>98</v>
      </c>
      <c r="BC44" s="10" t="s">
        <v>98</v>
      </c>
      <c r="BD44" s="10" t="s">
        <v>98</v>
      </c>
      <c r="BE44" s="10" t="s">
        <v>98</v>
      </c>
      <c r="BF44" s="9" t="s">
        <v>475</v>
      </c>
      <c r="BG44" s="9" t="s">
        <v>476</v>
      </c>
      <c r="BH44" s="9" t="s">
        <v>100</v>
      </c>
      <c r="BI44" s="9" t="s">
        <v>100</v>
      </c>
      <c r="BJ44" s="32"/>
      <c r="BK44" s="32"/>
      <c r="BL44" s="33"/>
      <c r="BM44" s="33"/>
      <c r="BN44" s="33"/>
      <c r="BO44" s="32"/>
      <c r="BP44" s="32"/>
      <c r="BQ44" s="33"/>
    </row>
    <row r="45" spans="1:69" s="6" customFormat="1" ht="104" hidden="1" x14ac:dyDescent="0.35">
      <c r="A45" s="8">
        <v>3713</v>
      </c>
      <c r="B45" s="8" t="s">
        <v>319</v>
      </c>
      <c r="C45" s="8" t="s">
        <v>92</v>
      </c>
      <c r="D45" s="9" t="s">
        <v>511</v>
      </c>
      <c r="E45" s="8" t="s">
        <v>43</v>
      </c>
      <c r="F45" s="8" t="s">
        <v>138</v>
      </c>
      <c r="G45" s="8" t="s">
        <v>225</v>
      </c>
      <c r="H45" s="8" t="s">
        <v>125</v>
      </c>
      <c r="I45" s="8" t="s">
        <v>114</v>
      </c>
      <c r="J45" s="9" t="s">
        <v>29</v>
      </c>
      <c r="K45" s="44" t="s">
        <v>416</v>
      </c>
      <c r="L45" s="2" t="s">
        <v>276</v>
      </c>
      <c r="M45" s="2" t="s">
        <v>276</v>
      </c>
      <c r="N45" s="10" t="s">
        <v>417</v>
      </c>
      <c r="O45" s="10" t="s">
        <v>98</v>
      </c>
      <c r="P45" s="9" t="s">
        <v>239</v>
      </c>
      <c r="Q45" s="41" t="s">
        <v>276</v>
      </c>
      <c r="R45" s="9" t="s">
        <v>395</v>
      </c>
      <c r="S45" s="9" t="s">
        <v>276</v>
      </c>
      <c r="T45" s="9" t="s">
        <v>276</v>
      </c>
      <c r="U45" s="9">
        <v>1</v>
      </c>
      <c r="V45" s="8" t="s">
        <v>14</v>
      </c>
      <c r="W45" s="2" t="s">
        <v>98</v>
      </c>
      <c r="X45" s="10" t="s">
        <v>207</v>
      </c>
      <c r="Y45" s="13">
        <v>189386</v>
      </c>
      <c r="Z45" s="34">
        <v>219439</v>
      </c>
      <c r="AA45" s="34">
        <f>Y45-164467</f>
        <v>24919</v>
      </c>
      <c r="AB45" s="34">
        <f>Z45-191503</f>
        <v>27936</v>
      </c>
      <c r="AC45" s="8" t="s">
        <v>276</v>
      </c>
      <c r="AD45" s="9" t="s">
        <v>422</v>
      </c>
      <c r="AE45" s="8" t="s">
        <v>276</v>
      </c>
      <c r="AF45" s="9" t="s">
        <v>422</v>
      </c>
      <c r="AG45" s="9" t="s">
        <v>512</v>
      </c>
      <c r="AH45" s="9" t="s">
        <v>430</v>
      </c>
      <c r="AI45" s="34">
        <f>1452+311+144+151+167+156+168</f>
        <v>2549</v>
      </c>
      <c r="AJ45" s="34">
        <f>159+202+192+249+259+225+284</f>
        <v>1570</v>
      </c>
      <c r="AK45" s="34">
        <f t="shared" si="15"/>
        <v>189386</v>
      </c>
      <c r="AL45" s="34">
        <f t="shared" si="15"/>
        <v>219439</v>
      </c>
      <c r="AM45" s="38" t="s">
        <v>376</v>
      </c>
      <c r="AN45" s="8" t="s">
        <v>276</v>
      </c>
      <c r="AO45" s="14">
        <f t="shared" si="5"/>
        <v>1.3459284213194218</v>
      </c>
      <c r="AP45" s="8" t="s">
        <v>276</v>
      </c>
      <c r="AQ45" s="8" t="s">
        <v>276</v>
      </c>
      <c r="AR45" s="8" t="s">
        <v>276</v>
      </c>
      <c r="AS45" s="14">
        <f t="shared" si="6"/>
        <v>0.71546078864741458</v>
      </c>
      <c r="AT45" s="8" t="s">
        <v>276</v>
      </c>
      <c r="AU45" s="8" t="s">
        <v>276</v>
      </c>
      <c r="AV45" s="9" t="s">
        <v>268</v>
      </c>
      <c r="AW45" s="35" t="s">
        <v>276</v>
      </c>
      <c r="AX45" s="35">
        <f t="shared" si="2"/>
        <v>1.8812050117574051</v>
      </c>
      <c r="AY45" s="10" t="s">
        <v>276</v>
      </c>
      <c r="AZ45" s="10" t="s">
        <v>276</v>
      </c>
      <c r="BA45" s="10" t="s">
        <v>276</v>
      </c>
      <c r="BB45" s="10" t="s">
        <v>98</v>
      </c>
      <c r="BC45" s="10" t="s">
        <v>98</v>
      </c>
      <c r="BD45" s="10" t="s">
        <v>98</v>
      </c>
      <c r="BE45" s="10" t="s">
        <v>98</v>
      </c>
      <c r="BF45" s="9" t="s">
        <v>475</v>
      </c>
      <c r="BG45" s="9" t="s">
        <v>476</v>
      </c>
      <c r="BH45" s="9" t="s">
        <v>100</v>
      </c>
      <c r="BI45" s="9" t="s">
        <v>100</v>
      </c>
      <c r="BJ45" s="32"/>
      <c r="BK45" s="32"/>
      <c r="BL45" s="33"/>
      <c r="BM45" s="33"/>
      <c r="BN45" s="33"/>
      <c r="BO45" s="32"/>
      <c r="BP45" s="32"/>
      <c r="BQ45" s="33"/>
    </row>
    <row r="46" spans="1:69" s="6" customFormat="1" ht="104" hidden="1" x14ac:dyDescent="0.35">
      <c r="A46" s="8">
        <v>3713</v>
      </c>
      <c r="B46" s="8" t="s">
        <v>319</v>
      </c>
      <c r="C46" s="8" t="s">
        <v>92</v>
      </c>
      <c r="D46" s="9" t="s">
        <v>513</v>
      </c>
      <c r="E46" s="8" t="s">
        <v>43</v>
      </c>
      <c r="F46" s="8" t="s">
        <v>138</v>
      </c>
      <c r="G46" s="8" t="s">
        <v>225</v>
      </c>
      <c r="H46" s="8" t="s">
        <v>125</v>
      </c>
      <c r="I46" s="8" t="s">
        <v>114</v>
      </c>
      <c r="J46" s="9" t="s">
        <v>29</v>
      </c>
      <c r="K46" s="44">
        <v>7</v>
      </c>
      <c r="L46" s="2" t="s">
        <v>276</v>
      </c>
      <c r="M46" s="2" t="s">
        <v>276</v>
      </c>
      <c r="N46" s="10" t="s">
        <v>417</v>
      </c>
      <c r="O46" s="10" t="s">
        <v>98</v>
      </c>
      <c r="P46" s="9" t="s">
        <v>239</v>
      </c>
      <c r="Q46" s="41" t="s">
        <v>276</v>
      </c>
      <c r="R46" s="9" t="s">
        <v>395</v>
      </c>
      <c r="S46" s="9" t="s">
        <v>276</v>
      </c>
      <c r="T46" s="9" t="s">
        <v>276</v>
      </c>
      <c r="U46" s="9">
        <v>1</v>
      </c>
      <c r="V46" s="8" t="s">
        <v>14</v>
      </c>
      <c r="W46" s="2" t="s">
        <v>98</v>
      </c>
      <c r="X46" s="10" t="s">
        <v>207</v>
      </c>
      <c r="Y46" s="13">
        <v>189386</v>
      </c>
      <c r="Z46" s="34">
        <v>219439</v>
      </c>
      <c r="AA46" s="34">
        <f t="shared" ref="AA46:AA47" si="16">Y46-164467</f>
        <v>24919</v>
      </c>
      <c r="AB46" s="34">
        <f t="shared" ref="AB46:AB47" si="17">Z46-191503</f>
        <v>27936</v>
      </c>
      <c r="AC46" s="8" t="s">
        <v>276</v>
      </c>
      <c r="AD46" s="9" t="s">
        <v>422</v>
      </c>
      <c r="AE46" s="8" t="s">
        <v>276</v>
      </c>
      <c r="AF46" s="9" t="s">
        <v>422</v>
      </c>
      <c r="AG46" s="9" t="s">
        <v>514</v>
      </c>
      <c r="AH46" s="9" t="s">
        <v>430</v>
      </c>
      <c r="AI46" s="34">
        <f>691+235+103+150+172+186+197</f>
        <v>1734</v>
      </c>
      <c r="AJ46" s="34">
        <f>136+176+201+226+277+309+329</f>
        <v>1654</v>
      </c>
      <c r="AK46" s="34">
        <f t="shared" si="15"/>
        <v>189386</v>
      </c>
      <c r="AL46" s="34">
        <f t="shared" si="15"/>
        <v>219439</v>
      </c>
      <c r="AM46" s="38" t="s">
        <v>376</v>
      </c>
      <c r="AN46" s="8" t="s">
        <v>276</v>
      </c>
      <c r="AO46" s="14">
        <f t="shared" si="5"/>
        <v>0.91559038154879457</v>
      </c>
      <c r="AP46" s="8" t="s">
        <v>276</v>
      </c>
      <c r="AQ46" s="8" t="s">
        <v>276</v>
      </c>
      <c r="AR46" s="8" t="s">
        <v>276</v>
      </c>
      <c r="AS46" s="14">
        <f t="shared" si="6"/>
        <v>0.75374021937759472</v>
      </c>
      <c r="AT46" s="8" t="s">
        <v>276</v>
      </c>
      <c r="AU46" s="8" t="s">
        <v>276</v>
      </c>
      <c r="AV46" s="9" t="s">
        <v>268</v>
      </c>
      <c r="AW46" s="35" t="s">
        <v>276</v>
      </c>
      <c r="AX46" s="35">
        <f t="shared" si="2"/>
        <v>1.2147293696292982</v>
      </c>
      <c r="AY46" s="10" t="s">
        <v>276</v>
      </c>
      <c r="AZ46" s="10" t="s">
        <v>276</v>
      </c>
      <c r="BA46" s="10" t="s">
        <v>276</v>
      </c>
      <c r="BB46" s="10" t="s">
        <v>98</v>
      </c>
      <c r="BC46" s="10" t="s">
        <v>98</v>
      </c>
      <c r="BD46" s="10" t="s">
        <v>98</v>
      </c>
      <c r="BE46" s="10" t="s">
        <v>98</v>
      </c>
      <c r="BF46" s="9" t="s">
        <v>475</v>
      </c>
      <c r="BG46" s="9" t="s">
        <v>476</v>
      </c>
      <c r="BH46" s="9" t="s">
        <v>100</v>
      </c>
      <c r="BI46" s="9" t="s">
        <v>100</v>
      </c>
      <c r="BJ46" s="32"/>
      <c r="BK46" s="32"/>
      <c r="BL46" s="33"/>
      <c r="BM46" s="33"/>
      <c r="BN46" s="33"/>
      <c r="BO46" s="32"/>
      <c r="BP46" s="32"/>
      <c r="BQ46" s="33"/>
    </row>
    <row r="47" spans="1:69" s="6" customFormat="1" ht="104" hidden="1" x14ac:dyDescent="0.35">
      <c r="A47" s="8">
        <v>3713</v>
      </c>
      <c r="B47" s="8" t="s">
        <v>319</v>
      </c>
      <c r="C47" s="8" t="s">
        <v>92</v>
      </c>
      <c r="D47" s="9" t="s">
        <v>515</v>
      </c>
      <c r="E47" s="8" t="s">
        <v>43</v>
      </c>
      <c r="F47" s="8" t="s">
        <v>138</v>
      </c>
      <c r="G47" s="8" t="s">
        <v>225</v>
      </c>
      <c r="H47" s="8" t="s">
        <v>125</v>
      </c>
      <c r="I47" s="8" t="s">
        <v>114</v>
      </c>
      <c r="J47" s="9" t="s">
        <v>29</v>
      </c>
      <c r="K47" s="44" t="s">
        <v>466</v>
      </c>
      <c r="L47" s="2" t="s">
        <v>276</v>
      </c>
      <c r="M47" s="2" t="s">
        <v>276</v>
      </c>
      <c r="N47" s="10" t="s">
        <v>417</v>
      </c>
      <c r="O47" s="10" t="s">
        <v>98</v>
      </c>
      <c r="P47" s="9" t="s">
        <v>239</v>
      </c>
      <c r="Q47" s="41" t="s">
        <v>276</v>
      </c>
      <c r="R47" s="9" t="s">
        <v>395</v>
      </c>
      <c r="S47" s="9" t="s">
        <v>276</v>
      </c>
      <c r="T47" s="9" t="s">
        <v>276</v>
      </c>
      <c r="U47" s="9">
        <v>1</v>
      </c>
      <c r="V47" s="8" t="s">
        <v>14</v>
      </c>
      <c r="W47" s="2" t="s">
        <v>98</v>
      </c>
      <c r="X47" s="10" t="s">
        <v>207</v>
      </c>
      <c r="Y47" s="13">
        <v>189386</v>
      </c>
      <c r="Z47" s="34">
        <v>219439</v>
      </c>
      <c r="AA47" s="34">
        <f t="shared" si="16"/>
        <v>24919</v>
      </c>
      <c r="AB47" s="34">
        <f t="shared" si="17"/>
        <v>27936</v>
      </c>
      <c r="AC47" s="8" t="s">
        <v>276</v>
      </c>
      <c r="AD47" s="9" t="s">
        <v>422</v>
      </c>
      <c r="AE47" s="8" t="s">
        <v>276</v>
      </c>
      <c r="AF47" s="9" t="s">
        <v>422</v>
      </c>
      <c r="AG47" s="9" t="s">
        <v>516</v>
      </c>
      <c r="AH47" s="9" t="s">
        <v>430</v>
      </c>
      <c r="AI47" s="34">
        <f>184+70+71+81+93+104+123</f>
        <v>726</v>
      </c>
      <c r="AJ47" s="34">
        <f>86+103+109+116+127+158+174</f>
        <v>873</v>
      </c>
      <c r="AK47" s="34">
        <f t="shared" si="15"/>
        <v>189386</v>
      </c>
      <c r="AL47" s="34">
        <f t="shared" si="15"/>
        <v>219439</v>
      </c>
      <c r="AM47" s="38" t="s">
        <v>376</v>
      </c>
      <c r="AN47" s="8" t="s">
        <v>276</v>
      </c>
      <c r="AO47" s="14">
        <f t="shared" si="5"/>
        <v>0.38334406978340529</v>
      </c>
      <c r="AP47" s="8" t="s">
        <v>276</v>
      </c>
      <c r="AQ47" s="8" t="s">
        <v>276</v>
      </c>
      <c r="AR47" s="8" t="s">
        <v>276</v>
      </c>
      <c r="AS47" s="14">
        <f t="shared" si="6"/>
        <v>0.39783265508865789</v>
      </c>
      <c r="AT47" s="8" t="s">
        <v>276</v>
      </c>
      <c r="AU47" s="8" t="s">
        <v>276</v>
      </c>
      <c r="AV47" s="9" t="s">
        <v>268</v>
      </c>
      <c r="AW47" s="35" t="s">
        <v>276</v>
      </c>
      <c r="AX47" s="35">
        <f t="shared" si="2"/>
        <v>0.96358120652005352</v>
      </c>
      <c r="AY47" s="10" t="s">
        <v>276</v>
      </c>
      <c r="AZ47" s="10" t="s">
        <v>276</v>
      </c>
      <c r="BA47" s="10" t="s">
        <v>276</v>
      </c>
      <c r="BB47" s="10" t="s">
        <v>98</v>
      </c>
      <c r="BC47" s="10" t="s">
        <v>98</v>
      </c>
      <c r="BD47" s="10" t="s">
        <v>98</v>
      </c>
      <c r="BE47" s="10" t="s">
        <v>98</v>
      </c>
      <c r="BF47" s="9" t="s">
        <v>475</v>
      </c>
      <c r="BG47" s="9" t="s">
        <v>476</v>
      </c>
      <c r="BH47" s="9" t="s">
        <v>100</v>
      </c>
      <c r="BI47" s="9" t="s">
        <v>100</v>
      </c>
      <c r="BJ47" s="32"/>
      <c r="BK47" s="32"/>
      <c r="BL47" s="33"/>
      <c r="BM47" s="33"/>
      <c r="BN47" s="33"/>
      <c r="BO47" s="32"/>
      <c r="BP47" s="32"/>
      <c r="BQ47" s="33"/>
    </row>
    <row r="48" spans="1:69" s="6" customFormat="1" ht="104" hidden="1" x14ac:dyDescent="0.35">
      <c r="A48" s="8">
        <v>3713</v>
      </c>
      <c r="B48" s="8" t="s">
        <v>319</v>
      </c>
      <c r="C48" s="8" t="s">
        <v>92</v>
      </c>
      <c r="D48" s="9" t="s">
        <v>517</v>
      </c>
      <c r="E48" s="8" t="s">
        <v>43</v>
      </c>
      <c r="F48" s="8" t="s">
        <v>138</v>
      </c>
      <c r="G48" s="8" t="s">
        <v>225</v>
      </c>
      <c r="H48" s="8" t="s">
        <v>125</v>
      </c>
      <c r="I48" s="8" t="s">
        <v>114</v>
      </c>
      <c r="J48" s="9" t="s">
        <v>29</v>
      </c>
      <c r="K48" s="44" t="s">
        <v>416</v>
      </c>
      <c r="L48" s="2" t="s">
        <v>276</v>
      </c>
      <c r="M48" s="2" t="s">
        <v>276</v>
      </c>
      <c r="N48" s="10" t="s">
        <v>417</v>
      </c>
      <c r="O48" s="10" t="s">
        <v>98</v>
      </c>
      <c r="P48" s="9" t="s">
        <v>239</v>
      </c>
      <c r="Q48" s="41" t="s">
        <v>276</v>
      </c>
      <c r="R48" s="9" t="s">
        <v>349</v>
      </c>
      <c r="S48" s="9" t="s">
        <v>276</v>
      </c>
      <c r="T48" s="9" t="s">
        <v>276</v>
      </c>
      <c r="U48" s="9">
        <v>1</v>
      </c>
      <c r="V48" s="8" t="s">
        <v>14</v>
      </c>
      <c r="W48" s="2" t="s">
        <v>98</v>
      </c>
      <c r="X48" s="10" t="s">
        <v>207</v>
      </c>
      <c r="Y48" s="13">
        <v>189386</v>
      </c>
      <c r="Z48" s="34">
        <v>219439</v>
      </c>
      <c r="AA48" s="34">
        <f>Y48-159939</f>
        <v>29447</v>
      </c>
      <c r="AB48" s="34">
        <f>Z48-185601</f>
        <v>33838</v>
      </c>
      <c r="AC48" s="8" t="s">
        <v>276</v>
      </c>
      <c r="AD48" s="9" t="s">
        <v>422</v>
      </c>
      <c r="AE48" s="8" t="s">
        <v>276</v>
      </c>
      <c r="AF48" s="9" t="s">
        <v>422</v>
      </c>
      <c r="AG48" s="9" t="s">
        <v>518</v>
      </c>
      <c r="AH48" s="9" t="s">
        <v>430</v>
      </c>
      <c r="AI48" s="34">
        <f>1452+311+144+151+167+156+168+197</f>
        <v>2746</v>
      </c>
      <c r="AJ48" s="34">
        <f>159+202+192+249+259+225+284+264</f>
        <v>1834</v>
      </c>
      <c r="AK48" s="34">
        <f t="shared" si="15"/>
        <v>189386</v>
      </c>
      <c r="AL48" s="34">
        <f t="shared" si="15"/>
        <v>219439</v>
      </c>
      <c r="AM48" s="38" t="s">
        <v>376</v>
      </c>
      <c r="AN48" s="8" t="s">
        <v>276</v>
      </c>
      <c r="AO48" s="14">
        <f t="shared" si="5"/>
        <v>1.4499487818529353</v>
      </c>
      <c r="AP48" s="8" t="s">
        <v>276</v>
      </c>
      <c r="AQ48" s="8" t="s">
        <v>276</v>
      </c>
      <c r="AR48" s="8" t="s">
        <v>276</v>
      </c>
      <c r="AS48" s="14">
        <f t="shared" si="6"/>
        <v>0.83576757094226639</v>
      </c>
      <c r="AT48" s="8" t="s">
        <v>276</v>
      </c>
      <c r="AU48" s="8" t="s">
        <v>276</v>
      </c>
      <c r="AV48" s="9" t="s">
        <v>268</v>
      </c>
      <c r="AW48" s="35" t="s">
        <v>276</v>
      </c>
      <c r="AX48" s="35">
        <f t="shared" si="2"/>
        <v>1.7348708328300233</v>
      </c>
      <c r="AY48" s="10" t="s">
        <v>276</v>
      </c>
      <c r="AZ48" s="10" t="s">
        <v>276</v>
      </c>
      <c r="BA48" s="10" t="s">
        <v>276</v>
      </c>
      <c r="BB48" s="10" t="s">
        <v>98</v>
      </c>
      <c r="BC48" s="10" t="s">
        <v>98</v>
      </c>
      <c r="BD48" s="10" t="s">
        <v>98</v>
      </c>
      <c r="BE48" s="10" t="s">
        <v>98</v>
      </c>
      <c r="BF48" s="9" t="s">
        <v>475</v>
      </c>
      <c r="BG48" s="9" t="s">
        <v>476</v>
      </c>
      <c r="BH48" s="9" t="s">
        <v>100</v>
      </c>
      <c r="BI48" s="9" t="s">
        <v>100</v>
      </c>
      <c r="BJ48" s="32"/>
      <c r="BK48" s="32"/>
      <c r="BL48" s="33"/>
      <c r="BM48" s="33"/>
      <c r="BN48" s="33"/>
      <c r="BO48" s="32"/>
      <c r="BP48" s="32"/>
      <c r="BQ48" s="33"/>
    </row>
    <row r="49" spans="1:69" s="6" customFormat="1" ht="104" hidden="1" x14ac:dyDescent="0.35">
      <c r="A49" s="8">
        <v>3713</v>
      </c>
      <c r="B49" s="8" t="s">
        <v>319</v>
      </c>
      <c r="C49" s="8" t="s">
        <v>92</v>
      </c>
      <c r="D49" s="9" t="s">
        <v>519</v>
      </c>
      <c r="E49" s="8" t="s">
        <v>43</v>
      </c>
      <c r="F49" s="8" t="s">
        <v>138</v>
      </c>
      <c r="G49" s="8" t="s">
        <v>225</v>
      </c>
      <c r="H49" s="8" t="s">
        <v>125</v>
      </c>
      <c r="I49" s="8" t="s">
        <v>114</v>
      </c>
      <c r="J49" s="9" t="s">
        <v>29</v>
      </c>
      <c r="K49" s="44">
        <v>7</v>
      </c>
      <c r="L49" s="2" t="s">
        <v>276</v>
      </c>
      <c r="M49" s="2" t="s">
        <v>276</v>
      </c>
      <c r="N49" s="10" t="s">
        <v>417</v>
      </c>
      <c r="O49" s="10" t="s">
        <v>98</v>
      </c>
      <c r="P49" s="9" t="s">
        <v>239</v>
      </c>
      <c r="Q49" s="41" t="s">
        <v>276</v>
      </c>
      <c r="R49" s="9" t="s">
        <v>349</v>
      </c>
      <c r="S49" s="9" t="s">
        <v>276</v>
      </c>
      <c r="T49" s="9" t="s">
        <v>276</v>
      </c>
      <c r="U49" s="9">
        <v>1</v>
      </c>
      <c r="V49" s="8" t="s">
        <v>14</v>
      </c>
      <c r="W49" s="2" t="s">
        <v>98</v>
      </c>
      <c r="X49" s="10" t="s">
        <v>207</v>
      </c>
      <c r="Y49" s="13">
        <v>189386</v>
      </c>
      <c r="Z49" s="34">
        <v>219439</v>
      </c>
      <c r="AA49" s="34">
        <f t="shared" ref="AA49:AA50" si="18">Y49-159939</f>
        <v>29447</v>
      </c>
      <c r="AB49" s="34">
        <f t="shared" ref="AB49:AB50" si="19">Z49-185601</f>
        <v>33838</v>
      </c>
      <c r="AC49" s="8" t="s">
        <v>276</v>
      </c>
      <c r="AD49" s="9" t="s">
        <v>422</v>
      </c>
      <c r="AE49" s="8" t="s">
        <v>276</v>
      </c>
      <c r="AF49" s="9" t="s">
        <v>422</v>
      </c>
      <c r="AG49" s="9" t="s">
        <v>520</v>
      </c>
      <c r="AH49" s="9" t="s">
        <v>430</v>
      </c>
      <c r="AI49" s="34">
        <f>691+235+103+150+172+186+197+255</f>
        <v>1989</v>
      </c>
      <c r="AJ49" s="34">
        <f>136+176+201+226+277+309+329+360</f>
        <v>2014</v>
      </c>
      <c r="AK49" s="34">
        <f t="shared" si="15"/>
        <v>189386</v>
      </c>
      <c r="AL49" s="34">
        <f t="shared" si="15"/>
        <v>219439</v>
      </c>
      <c r="AM49" s="38" t="s">
        <v>376</v>
      </c>
      <c r="AN49" s="8" t="s">
        <v>276</v>
      </c>
      <c r="AO49" s="14">
        <f t="shared" si="5"/>
        <v>1.0502360258942054</v>
      </c>
      <c r="AP49" s="8" t="s">
        <v>276</v>
      </c>
      <c r="AQ49" s="8" t="s">
        <v>276</v>
      </c>
      <c r="AR49" s="8" t="s">
        <v>276</v>
      </c>
      <c r="AS49" s="14">
        <f t="shared" si="6"/>
        <v>0.91779492250693817</v>
      </c>
      <c r="AT49" s="8" t="s">
        <v>276</v>
      </c>
      <c r="AU49" s="8" t="s">
        <v>276</v>
      </c>
      <c r="AV49" s="9" t="s">
        <v>268</v>
      </c>
      <c r="AW49" s="35" t="s">
        <v>276</v>
      </c>
      <c r="AX49" s="35">
        <f t="shared" si="2"/>
        <v>1.144303591291949</v>
      </c>
      <c r="AY49" s="10" t="s">
        <v>276</v>
      </c>
      <c r="AZ49" s="10" t="s">
        <v>276</v>
      </c>
      <c r="BA49" s="10" t="s">
        <v>276</v>
      </c>
      <c r="BB49" s="10" t="s">
        <v>98</v>
      </c>
      <c r="BC49" s="10" t="s">
        <v>98</v>
      </c>
      <c r="BD49" s="10" t="s">
        <v>98</v>
      </c>
      <c r="BE49" s="10" t="s">
        <v>98</v>
      </c>
      <c r="BF49" s="9" t="s">
        <v>475</v>
      </c>
      <c r="BG49" s="9" t="s">
        <v>476</v>
      </c>
      <c r="BH49" s="9" t="s">
        <v>100</v>
      </c>
      <c r="BI49" s="9" t="s">
        <v>100</v>
      </c>
      <c r="BJ49" s="32"/>
      <c r="BK49" s="32"/>
      <c r="BL49" s="33"/>
      <c r="BM49" s="33"/>
      <c r="BN49" s="33"/>
      <c r="BO49" s="32"/>
      <c r="BP49" s="32"/>
      <c r="BQ49" s="33"/>
    </row>
    <row r="50" spans="1:69" s="6" customFormat="1" ht="104" hidden="1" x14ac:dyDescent="0.35">
      <c r="A50" s="8">
        <v>3713</v>
      </c>
      <c r="B50" s="8" t="s">
        <v>319</v>
      </c>
      <c r="C50" s="8" t="s">
        <v>92</v>
      </c>
      <c r="D50" s="9" t="s">
        <v>521</v>
      </c>
      <c r="E50" s="8" t="s">
        <v>43</v>
      </c>
      <c r="F50" s="8" t="s">
        <v>138</v>
      </c>
      <c r="G50" s="8" t="s">
        <v>225</v>
      </c>
      <c r="H50" s="8" t="s">
        <v>125</v>
      </c>
      <c r="I50" s="8" t="s">
        <v>114</v>
      </c>
      <c r="J50" s="9" t="s">
        <v>29</v>
      </c>
      <c r="K50" s="44" t="s">
        <v>466</v>
      </c>
      <c r="L50" s="2" t="s">
        <v>276</v>
      </c>
      <c r="M50" s="2" t="s">
        <v>276</v>
      </c>
      <c r="N50" s="10" t="s">
        <v>417</v>
      </c>
      <c r="O50" s="10" t="s">
        <v>98</v>
      </c>
      <c r="P50" s="9" t="s">
        <v>239</v>
      </c>
      <c r="Q50" s="41" t="s">
        <v>276</v>
      </c>
      <c r="R50" s="9" t="s">
        <v>349</v>
      </c>
      <c r="S50" s="9" t="s">
        <v>276</v>
      </c>
      <c r="T50" s="9" t="s">
        <v>276</v>
      </c>
      <c r="U50" s="9">
        <v>1</v>
      </c>
      <c r="V50" s="8" t="s">
        <v>14</v>
      </c>
      <c r="W50" s="2" t="s">
        <v>98</v>
      </c>
      <c r="X50" s="10" t="s">
        <v>207</v>
      </c>
      <c r="Y50" s="13">
        <v>189386</v>
      </c>
      <c r="Z50" s="34">
        <v>219439</v>
      </c>
      <c r="AA50" s="34">
        <f t="shared" si="18"/>
        <v>29447</v>
      </c>
      <c r="AB50" s="34">
        <f t="shared" si="19"/>
        <v>33838</v>
      </c>
      <c r="AC50" s="8" t="s">
        <v>276</v>
      </c>
      <c r="AD50" s="9" t="s">
        <v>422</v>
      </c>
      <c r="AE50" s="8" t="s">
        <v>276</v>
      </c>
      <c r="AF50" s="9" t="s">
        <v>422</v>
      </c>
      <c r="AG50" s="9" t="s">
        <v>522</v>
      </c>
      <c r="AH50" s="9" t="s">
        <v>430</v>
      </c>
      <c r="AI50" s="34">
        <f>184+70+71+81+93+104+123+138</f>
        <v>864</v>
      </c>
      <c r="AJ50" s="34">
        <f>86+103+109+116+127+158+174+213</f>
        <v>1086</v>
      </c>
      <c r="AK50" s="34">
        <f t="shared" si="15"/>
        <v>189386</v>
      </c>
      <c r="AL50" s="34">
        <f t="shared" si="15"/>
        <v>219439</v>
      </c>
      <c r="AM50" s="38" t="s">
        <v>376</v>
      </c>
      <c r="AN50" s="8" t="s">
        <v>276</v>
      </c>
      <c r="AO50" s="14">
        <f t="shared" si="5"/>
        <v>0.45621112437033362</v>
      </c>
      <c r="AP50" s="8" t="s">
        <v>276</v>
      </c>
      <c r="AQ50" s="8" t="s">
        <v>276</v>
      </c>
      <c r="AR50" s="8" t="s">
        <v>276</v>
      </c>
      <c r="AS50" s="14">
        <f t="shared" si="6"/>
        <v>0.49489835444018609</v>
      </c>
      <c r="AT50" s="8" t="s">
        <v>276</v>
      </c>
      <c r="AU50" s="8" t="s">
        <v>276</v>
      </c>
      <c r="AV50" s="9" t="s">
        <v>268</v>
      </c>
      <c r="AW50" s="35" t="s">
        <v>276</v>
      </c>
      <c r="AX50" s="35">
        <f t="shared" si="2"/>
        <v>0.92182792744660813</v>
      </c>
      <c r="AY50" s="10" t="s">
        <v>276</v>
      </c>
      <c r="AZ50" s="10" t="s">
        <v>276</v>
      </c>
      <c r="BA50" s="10" t="s">
        <v>276</v>
      </c>
      <c r="BB50" s="10" t="s">
        <v>98</v>
      </c>
      <c r="BC50" s="10" t="s">
        <v>98</v>
      </c>
      <c r="BD50" s="10" t="s">
        <v>98</v>
      </c>
      <c r="BE50" s="10" t="s">
        <v>98</v>
      </c>
      <c r="BF50" s="9" t="s">
        <v>475</v>
      </c>
      <c r="BG50" s="9" t="s">
        <v>476</v>
      </c>
      <c r="BH50" s="9" t="s">
        <v>100</v>
      </c>
      <c r="BI50" s="9" t="s">
        <v>100</v>
      </c>
      <c r="BJ50" s="32"/>
      <c r="BK50" s="32"/>
      <c r="BL50" s="33"/>
      <c r="BM50" s="33"/>
      <c r="BN50" s="33"/>
      <c r="BO50" s="32"/>
      <c r="BP50" s="32"/>
      <c r="BQ50" s="33"/>
    </row>
    <row r="51" spans="1:69" s="6" customFormat="1" ht="104" hidden="1" x14ac:dyDescent="0.35">
      <c r="A51" s="8">
        <v>3713</v>
      </c>
      <c r="B51" s="8" t="s">
        <v>319</v>
      </c>
      <c r="C51" s="8" t="s">
        <v>92</v>
      </c>
      <c r="D51" s="9" t="s">
        <v>523</v>
      </c>
      <c r="E51" s="8" t="s">
        <v>43</v>
      </c>
      <c r="F51" s="8" t="s">
        <v>138</v>
      </c>
      <c r="G51" s="8" t="s">
        <v>225</v>
      </c>
      <c r="H51" s="8" t="s">
        <v>125</v>
      </c>
      <c r="I51" s="8" t="s">
        <v>114</v>
      </c>
      <c r="J51" s="9" t="s">
        <v>29</v>
      </c>
      <c r="K51" s="44" t="s">
        <v>416</v>
      </c>
      <c r="L51" s="2" t="s">
        <v>276</v>
      </c>
      <c r="M51" s="2" t="s">
        <v>276</v>
      </c>
      <c r="N51" s="10" t="s">
        <v>417</v>
      </c>
      <c r="O51" s="10" t="s">
        <v>98</v>
      </c>
      <c r="P51" s="9" t="s">
        <v>239</v>
      </c>
      <c r="Q51" s="41" t="s">
        <v>276</v>
      </c>
      <c r="R51" s="9" t="s">
        <v>400</v>
      </c>
      <c r="S51" s="9" t="s">
        <v>276</v>
      </c>
      <c r="T51" s="9" t="s">
        <v>276</v>
      </c>
      <c r="U51" s="9">
        <v>1</v>
      </c>
      <c r="V51" s="8" t="s">
        <v>14</v>
      </c>
      <c r="W51" s="2" t="s">
        <v>98</v>
      </c>
      <c r="X51" s="10" t="s">
        <v>207</v>
      </c>
      <c r="Y51" s="13">
        <v>189386</v>
      </c>
      <c r="Z51" s="34">
        <v>219439</v>
      </c>
      <c r="AA51" s="34">
        <f>Y51-125146</f>
        <v>64240</v>
      </c>
      <c r="AB51" s="34">
        <f>Z51-148182</f>
        <v>71257</v>
      </c>
      <c r="AC51" s="8" t="s">
        <v>276</v>
      </c>
      <c r="AD51" s="9" t="s">
        <v>422</v>
      </c>
      <c r="AE51" s="8" t="s">
        <v>276</v>
      </c>
      <c r="AF51" s="9" t="s">
        <v>422</v>
      </c>
      <c r="AG51" s="9" t="s">
        <v>524</v>
      </c>
      <c r="AH51" s="9" t="s">
        <v>430</v>
      </c>
      <c r="AI51" s="34">
        <f>1452+311+144+151+167+156+168+197+160</f>
        <v>2906</v>
      </c>
      <c r="AJ51" s="34">
        <f>159+202+192+249+259+225+284+264+270</f>
        <v>2104</v>
      </c>
      <c r="AK51" s="34">
        <f t="shared" si="15"/>
        <v>189386</v>
      </c>
      <c r="AL51" s="34">
        <f t="shared" si="15"/>
        <v>219439</v>
      </c>
      <c r="AM51" s="38" t="s">
        <v>376</v>
      </c>
      <c r="AN51" s="8" t="s">
        <v>276</v>
      </c>
      <c r="AO51" s="14">
        <f t="shared" si="5"/>
        <v>1.5344323234029971</v>
      </c>
      <c r="AP51" s="8" t="s">
        <v>276</v>
      </c>
      <c r="AQ51" s="8" t="s">
        <v>276</v>
      </c>
      <c r="AR51" s="8" t="s">
        <v>276</v>
      </c>
      <c r="AS51" s="14">
        <f t="shared" si="6"/>
        <v>0.95880859828927401</v>
      </c>
      <c r="AT51" s="8" t="s">
        <v>276</v>
      </c>
      <c r="AU51" s="8" t="s">
        <v>276</v>
      </c>
      <c r="AV51" s="9" t="s">
        <v>268</v>
      </c>
      <c r="AW51" s="35" t="s">
        <v>276</v>
      </c>
      <c r="AX51" s="35">
        <f t="shared" si="2"/>
        <v>1.6003531112891172</v>
      </c>
      <c r="AY51" s="10" t="s">
        <v>276</v>
      </c>
      <c r="AZ51" s="10" t="s">
        <v>276</v>
      </c>
      <c r="BA51" s="10" t="s">
        <v>276</v>
      </c>
      <c r="BB51" s="10" t="s">
        <v>98</v>
      </c>
      <c r="BC51" s="10" t="s">
        <v>98</v>
      </c>
      <c r="BD51" s="10" t="s">
        <v>98</v>
      </c>
      <c r="BE51" s="10" t="s">
        <v>98</v>
      </c>
      <c r="BF51" s="9" t="s">
        <v>475</v>
      </c>
      <c r="BG51" s="9" t="s">
        <v>476</v>
      </c>
      <c r="BH51" s="9" t="s">
        <v>100</v>
      </c>
      <c r="BI51" s="9" t="s">
        <v>100</v>
      </c>
      <c r="BJ51" s="32"/>
      <c r="BK51" s="32"/>
      <c r="BL51" s="33"/>
      <c r="BM51" s="33"/>
      <c r="BN51" s="33"/>
      <c r="BO51" s="32"/>
      <c r="BP51" s="32"/>
      <c r="BQ51" s="33"/>
    </row>
    <row r="52" spans="1:69" s="6" customFormat="1" ht="104" hidden="1" x14ac:dyDescent="0.35">
      <c r="A52" s="8">
        <v>3713</v>
      </c>
      <c r="B52" s="8" t="s">
        <v>319</v>
      </c>
      <c r="C52" s="8" t="s">
        <v>92</v>
      </c>
      <c r="D52" s="9" t="s">
        <v>525</v>
      </c>
      <c r="E52" s="8" t="s">
        <v>43</v>
      </c>
      <c r="F52" s="8" t="s">
        <v>138</v>
      </c>
      <c r="G52" s="8" t="s">
        <v>225</v>
      </c>
      <c r="H52" s="8" t="s">
        <v>125</v>
      </c>
      <c r="I52" s="8" t="s">
        <v>114</v>
      </c>
      <c r="J52" s="9" t="s">
        <v>29</v>
      </c>
      <c r="K52" s="44">
        <v>7</v>
      </c>
      <c r="L52" s="2" t="s">
        <v>276</v>
      </c>
      <c r="M52" s="2" t="s">
        <v>276</v>
      </c>
      <c r="N52" s="10" t="s">
        <v>417</v>
      </c>
      <c r="O52" s="10" t="s">
        <v>98</v>
      </c>
      <c r="P52" s="9" t="s">
        <v>239</v>
      </c>
      <c r="Q52" s="41" t="s">
        <v>276</v>
      </c>
      <c r="R52" s="9" t="s">
        <v>400</v>
      </c>
      <c r="S52" s="9" t="s">
        <v>276</v>
      </c>
      <c r="T52" s="9" t="s">
        <v>276</v>
      </c>
      <c r="U52" s="9">
        <v>1</v>
      </c>
      <c r="V52" s="8" t="s">
        <v>14</v>
      </c>
      <c r="W52" s="2" t="s">
        <v>98</v>
      </c>
      <c r="X52" s="10" t="s">
        <v>207</v>
      </c>
      <c r="Y52" s="13">
        <v>189386</v>
      </c>
      <c r="Z52" s="34">
        <v>219439</v>
      </c>
      <c r="AA52" s="34">
        <f>Y52-125146</f>
        <v>64240</v>
      </c>
      <c r="AB52" s="34">
        <f>Z52-148182</f>
        <v>71257</v>
      </c>
      <c r="AC52" s="8" t="s">
        <v>276</v>
      </c>
      <c r="AD52" s="9" t="s">
        <v>422</v>
      </c>
      <c r="AE52" s="8" t="s">
        <v>276</v>
      </c>
      <c r="AF52" s="9" t="s">
        <v>422</v>
      </c>
      <c r="AG52" s="9" t="s">
        <v>526</v>
      </c>
      <c r="AH52" s="9" t="s">
        <v>430</v>
      </c>
      <c r="AI52" s="34">
        <f>691+235+103+150+172+186+197+255+224</f>
        <v>2213</v>
      </c>
      <c r="AJ52" s="34">
        <f>136+176+201+226+277+309+329+360+314</f>
        <v>2328</v>
      </c>
      <c r="AK52" s="34">
        <f t="shared" si="15"/>
        <v>189386</v>
      </c>
      <c r="AL52" s="34">
        <f t="shared" si="15"/>
        <v>219439</v>
      </c>
      <c r="AM52" s="38" t="s">
        <v>376</v>
      </c>
      <c r="AN52" s="8" t="s">
        <v>276</v>
      </c>
      <c r="AO52" s="14">
        <f t="shared" si="5"/>
        <v>1.168512984064292</v>
      </c>
      <c r="AP52" s="8" t="s">
        <v>276</v>
      </c>
      <c r="AQ52" s="8" t="s">
        <v>276</v>
      </c>
      <c r="AR52" s="8" t="s">
        <v>276</v>
      </c>
      <c r="AS52" s="14">
        <f t="shared" si="6"/>
        <v>1.060887080236421</v>
      </c>
      <c r="AT52" s="8" t="s">
        <v>276</v>
      </c>
      <c r="AU52" s="8" t="s">
        <v>276</v>
      </c>
      <c r="AV52" s="9" t="s">
        <v>268</v>
      </c>
      <c r="AW52" s="35" t="s">
        <v>276</v>
      </c>
      <c r="AX52" s="35">
        <f t="shared" si="2"/>
        <v>1.1014489721223548</v>
      </c>
      <c r="AY52" s="10" t="s">
        <v>276</v>
      </c>
      <c r="AZ52" s="10" t="s">
        <v>276</v>
      </c>
      <c r="BA52" s="10" t="s">
        <v>276</v>
      </c>
      <c r="BB52" s="10" t="s">
        <v>98</v>
      </c>
      <c r="BC52" s="10" t="s">
        <v>98</v>
      </c>
      <c r="BD52" s="10" t="s">
        <v>98</v>
      </c>
      <c r="BE52" s="10" t="s">
        <v>98</v>
      </c>
      <c r="BF52" s="9" t="s">
        <v>475</v>
      </c>
      <c r="BG52" s="9" t="s">
        <v>476</v>
      </c>
      <c r="BH52" s="9" t="s">
        <v>100</v>
      </c>
      <c r="BI52" s="9" t="s">
        <v>100</v>
      </c>
      <c r="BJ52" s="32"/>
      <c r="BK52" s="32"/>
      <c r="BL52" s="33"/>
      <c r="BM52" s="33"/>
      <c r="BN52" s="33"/>
      <c r="BO52" s="32"/>
      <c r="BP52" s="32"/>
      <c r="BQ52" s="33"/>
    </row>
    <row r="53" spans="1:69" s="6" customFormat="1" ht="104" hidden="1" x14ac:dyDescent="0.35">
      <c r="A53" s="8">
        <v>3713</v>
      </c>
      <c r="B53" s="8" t="s">
        <v>319</v>
      </c>
      <c r="C53" s="8" t="s">
        <v>92</v>
      </c>
      <c r="D53" s="9" t="s">
        <v>527</v>
      </c>
      <c r="E53" s="8" t="s">
        <v>43</v>
      </c>
      <c r="F53" s="8" t="s">
        <v>138</v>
      </c>
      <c r="G53" s="8" t="s">
        <v>225</v>
      </c>
      <c r="H53" s="8" t="s">
        <v>125</v>
      </c>
      <c r="I53" s="8" t="s">
        <v>114</v>
      </c>
      <c r="J53" s="9" t="s">
        <v>29</v>
      </c>
      <c r="K53" s="44" t="s">
        <v>466</v>
      </c>
      <c r="L53" s="2" t="s">
        <v>276</v>
      </c>
      <c r="M53" s="2" t="s">
        <v>276</v>
      </c>
      <c r="N53" s="10" t="s">
        <v>417</v>
      </c>
      <c r="O53" s="10" t="s">
        <v>98</v>
      </c>
      <c r="P53" s="9" t="s">
        <v>239</v>
      </c>
      <c r="Q53" s="41" t="s">
        <v>276</v>
      </c>
      <c r="R53" s="9" t="s">
        <v>400</v>
      </c>
      <c r="S53" s="9" t="s">
        <v>276</v>
      </c>
      <c r="T53" s="9" t="s">
        <v>276</v>
      </c>
      <c r="U53" s="9">
        <v>1</v>
      </c>
      <c r="V53" s="8" t="s">
        <v>14</v>
      </c>
      <c r="W53" s="2" t="s">
        <v>98</v>
      </c>
      <c r="X53" s="10" t="s">
        <v>207</v>
      </c>
      <c r="Y53" s="13">
        <v>189386</v>
      </c>
      <c r="Z53" s="34">
        <v>219439</v>
      </c>
      <c r="AA53" s="34">
        <f>Y53-125146</f>
        <v>64240</v>
      </c>
      <c r="AB53" s="34">
        <f>Z53-148182</f>
        <v>71257</v>
      </c>
      <c r="AC53" s="8" t="s">
        <v>276</v>
      </c>
      <c r="AD53" s="9" t="s">
        <v>422</v>
      </c>
      <c r="AE53" s="8" t="s">
        <v>276</v>
      </c>
      <c r="AF53" s="9" t="s">
        <v>422</v>
      </c>
      <c r="AG53" s="9" t="s">
        <v>528</v>
      </c>
      <c r="AH53" s="9" t="s">
        <v>430</v>
      </c>
      <c r="AI53" s="34">
        <f>184+70+71+81+93+104+123+138+133</f>
        <v>997</v>
      </c>
      <c r="AJ53" s="34">
        <f>86+103+109+116+127+158+174+213+194</f>
        <v>1280</v>
      </c>
      <c r="AK53" s="34">
        <f t="shared" si="15"/>
        <v>189386</v>
      </c>
      <c r="AL53" s="34">
        <f t="shared" si="15"/>
        <v>219439</v>
      </c>
      <c r="AM53" s="38" t="s">
        <v>376</v>
      </c>
      <c r="AN53" s="8" t="s">
        <v>276</v>
      </c>
      <c r="AO53" s="14">
        <f t="shared" si="5"/>
        <v>0.52643806828382245</v>
      </c>
      <c r="AP53" s="8" t="s">
        <v>276</v>
      </c>
      <c r="AQ53" s="8" t="s">
        <v>276</v>
      </c>
      <c r="AR53" s="8" t="s">
        <v>276</v>
      </c>
      <c r="AS53" s="14">
        <f t="shared" si="6"/>
        <v>0.58330561112655455</v>
      </c>
      <c r="AT53" s="8" t="s">
        <v>276</v>
      </c>
      <c r="AU53" s="8" t="s">
        <v>276</v>
      </c>
      <c r="AV53" s="9" t="s">
        <v>268</v>
      </c>
      <c r="AW53" s="35" t="s">
        <v>276</v>
      </c>
      <c r="AX53" s="35">
        <f t="shared" si="2"/>
        <v>0.90250815051666966</v>
      </c>
      <c r="AY53" s="10" t="s">
        <v>276</v>
      </c>
      <c r="AZ53" s="10" t="s">
        <v>276</v>
      </c>
      <c r="BA53" s="10" t="s">
        <v>276</v>
      </c>
      <c r="BB53" s="10" t="s">
        <v>98</v>
      </c>
      <c r="BC53" s="10" t="s">
        <v>98</v>
      </c>
      <c r="BD53" s="10" t="s">
        <v>98</v>
      </c>
      <c r="BE53" s="10" t="s">
        <v>98</v>
      </c>
      <c r="BF53" s="9" t="s">
        <v>475</v>
      </c>
      <c r="BG53" s="9" t="s">
        <v>476</v>
      </c>
      <c r="BH53" s="9" t="s">
        <v>100</v>
      </c>
      <c r="BI53" s="9" t="s">
        <v>100</v>
      </c>
      <c r="BJ53" s="32"/>
      <c r="BK53" s="32"/>
      <c r="BL53" s="33"/>
      <c r="BM53" s="33"/>
      <c r="BN53" s="33"/>
      <c r="BO53" s="32"/>
      <c r="BP53" s="32"/>
      <c r="BQ53" s="33"/>
    </row>
    <row r="54" spans="1:69" s="6" customFormat="1" ht="104" hidden="1" x14ac:dyDescent="0.35">
      <c r="A54" s="8">
        <v>3713</v>
      </c>
      <c r="B54" s="8" t="s">
        <v>319</v>
      </c>
      <c r="C54" s="8" t="s">
        <v>92</v>
      </c>
      <c r="D54" s="9" t="s">
        <v>529</v>
      </c>
      <c r="E54" s="8" t="s">
        <v>43</v>
      </c>
      <c r="F54" s="8" t="s">
        <v>138</v>
      </c>
      <c r="G54" s="8" t="s">
        <v>225</v>
      </c>
      <c r="H54" s="8" t="s">
        <v>125</v>
      </c>
      <c r="I54" s="8" t="s">
        <v>114</v>
      </c>
      <c r="J54" s="9" t="s">
        <v>29</v>
      </c>
      <c r="K54" s="44" t="s">
        <v>416</v>
      </c>
      <c r="L54" s="2" t="s">
        <v>276</v>
      </c>
      <c r="M54" s="2" t="s">
        <v>276</v>
      </c>
      <c r="N54" s="10" t="s">
        <v>417</v>
      </c>
      <c r="O54" s="10" t="s">
        <v>98</v>
      </c>
      <c r="P54" s="9" t="s">
        <v>239</v>
      </c>
      <c r="Q54" s="41" t="s">
        <v>276</v>
      </c>
      <c r="R54" s="9" t="s">
        <v>352</v>
      </c>
      <c r="S54" s="9" t="s">
        <v>276</v>
      </c>
      <c r="T54" s="9" t="s">
        <v>276</v>
      </c>
      <c r="U54" s="9">
        <v>1</v>
      </c>
      <c r="V54" s="8" t="s">
        <v>14</v>
      </c>
      <c r="W54" s="2" t="s">
        <v>98</v>
      </c>
      <c r="X54" s="10" t="s">
        <v>207</v>
      </c>
      <c r="Y54" s="13">
        <v>189386</v>
      </c>
      <c r="Z54" s="34">
        <v>219439</v>
      </c>
      <c r="AA54" s="34">
        <f>Y54-91419</f>
        <v>97967</v>
      </c>
      <c r="AB54" s="34">
        <f>Z54-103578</f>
        <v>115861</v>
      </c>
      <c r="AC54" s="8" t="s">
        <v>276</v>
      </c>
      <c r="AD54" s="9" t="s">
        <v>422</v>
      </c>
      <c r="AE54" s="8" t="s">
        <v>276</v>
      </c>
      <c r="AF54" s="9" t="s">
        <v>422</v>
      </c>
      <c r="AG54" s="9" t="s">
        <v>530</v>
      </c>
      <c r="AH54" s="9" t="s">
        <v>430</v>
      </c>
      <c r="AI54" s="34">
        <f>1452+311+144+151+167+156+168+197+160+132</f>
        <v>3038</v>
      </c>
      <c r="AJ54" s="34">
        <f>159+202+192+249+259+225+284+264+270+181</f>
        <v>2285</v>
      </c>
      <c r="AK54" s="34">
        <f t="shared" si="15"/>
        <v>189386</v>
      </c>
      <c r="AL54" s="34">
        <f t="shared" si="15"/>
        <v>219439</v>
      </c>
      <c r="AM54" s="38" t="s">
        <v>376</v>
      </c>
      <c r="AN54" s="8" t="s">
        <v>276</v>
      </c>
      <c r="AO54" s="14">
        <f t="shared" si="5"/>
        <v>1.6041312451817979</v>
      </c>
      <c r="AP54" s="8" t="s">
        <v>276</v>
      </c>
      <c r="AQ54" s="8" t="s">
        <v>276</v>
      </c>
      <c r="AR54" s="8" t="s">
        <v>276</v>
      </c>
      <c r="AS54" s="14">
        <f t="shared" si="6"/>
        <v>1.0412916573626383</v>
      </c>
      <c r="AT54" s="8" t="s">
        <v>276</v>
      </c>
      <c r="AU54" s="8" t="s">
        <v>276</v>
      </c>
      <c r="AV54" s="9" t="s">
        <v>268</v>
      </c>
      <c r="AW54" s="35" t="s">
        <v>276</v>
      </c>
      <c r="AX54" s="35">
        <f t="shared" si="2"/>
        <v>1.5405205965490092</v>
      </c>
      <c r="AY54" s="10" t="s">
        <v>276</v>
      </c>
      <c r="AZ54" s="10" t="s">
        <v>276</v>
      </c>
      <c r="BA54" s="10" t="s">
        <v>276</v>
      </c>
      <c r="BB54" s="10" t="s">
        <v>98</v>
      </c>
      <c r="BC54" s="10" t="s">
        <v>98</v>
      </c>
      <c r="BD54" s="10" t="s">
        <v>98</v>
      </c>
      <c r="BE54" s="10" t="s">
        <v>98</v>
      </c>
      <c r="BF54" s="9" t="s">
        <v>475</v>
      </c>
      <c r="BG54" s="9" t="s">
        <v>476</v>
      </c>
      <c r="BH54" s="9" t="s">
        <v>100</v>
      </c>
      <c r="BI54" s="9" t="s">
        <v>100</v>
      </c>
      <c r="BJ54" s="32"/>
      <c r="BK54" s="32"/>
      <c r="BL54" s="33"/>
      <c r="BM54" s="33"/>
      <c r="BN54" s="33"/>
      <c r="BO54" s="32"/>
      <c r="BP54" s="32"/>
      <c r="BQ54" s="33"/>
    </row>
    <row r="55" spans="1:69" s="6" customFormat="1" ht="104" hidden="1" x14ac:dyDescent="0.35">
      <c r="A55" s="8">
        <v>3713</v>
      </c>
      <c r="B55" s="8" t="s">
        <v>319</v>
      </c>
      <c r="C55" s="8" t="s">
        <v>92</v>
      </c>
      <c r="D55" s="9" t="s">
        <v>531</v>
      </c>
      <c r="E55" s="8" t="s">
        <v>43</v>
      </c>
      <c r="F55" s="8" t="s">
        <v>138</v>
      </c>
      <c r="G55" s="8" t="s">
        <v>225</v>
      </c>
      <c r="H55" s="8" t="s">
        <v>125</v>
      </c>
      <c r="I55" s="8" t="s">
        <v>114</v>
      </c>
      <c r="J55" s="9" t="s">
        <v>29</v>
      </c>
      <c r="K55" s="44">
        <v>7</v>
      </c>
      <c r="L55" s="2" t="s">
        <v>276</v>
      </c>
      <c r="M55" s="2" t="s">
        <v>276</v>
      </c>
      <c r="N55" s="10" t="s">
        <v>417</v>
      </c>
      <c r="O55" s="10" t="s">
        <v>98</v>
      </c>
      <c r="P55" s="9" t="s">
        <v>239</v>
      </c>
      <c r="Q55" s="41" t="s">
        <v>276</v>
      </c>
      <c r="R55" s="9" t="s">
        <v>352</v>
      </c>
      <c r="S55" s="9" t="s">
        <v>276</v>
      </c>
      <c r="T55" s="9" t="s">
        <v>276</v>
      </c>
      <c r="U55" s="9">
        <v>1</v>
      </c>
      <c r="V55" s="8" t="s">
        <v>14</v>
      </c>
      <c r="W55" s="2" t="s">
        <v>98</v>
      </c>
      <c r="X55" s="10" t="s">
        <v>207</v>
      </c>
      <c r="Y55" s="13">
        <v>189386</v>
      </c>
      <c r="Z55" s="34">
        <v>219439</v>
      </c>
      <c r="AA55" s="34">
        <f t="shared" ref="AA55:AA56" si="20">Y55-91419</f>
        <v>97967</v>
      </c>
      <c r="AB55" s="34">
        <f t="shared" ref="AB55:AB56" si="21">Z55-103578</f>
        <v>115861</v>
      </c>
      <c r="AC55" s="8" t="s">
        <v>276</v>
      </c>
      <c r="AD55" s="9" t="s">
        <v>422</v>
      </c>
      <c r="AE55" s="8" t="s">
        <v>276</v>
      </c>
      <c r="AF55" s="9" t="s">
        <v>422</v>
      </c>
      <c r="AG55" s="9" t="s">
        <v>532</v>
      </c>
      <c r="AH55" s="9" t="s">
        <v>430</v>
      </c>
      <c r="AI55" s="34">
        <f>691+235+103+150+172+186+197+255+224+199</f>
        <v>2412</v>
      </c>
      <c r="AJ55" s="34">
        <f>136+176+201+226+277+309+329+360+314+228</f>
        <v>2556</v>
      </c>
      <c r="AK55" s="34">
        <f t="shared" si="15"/>
        <v>189386</v>
      </c>
      <c r="AL55" s="34">
        <f t="shared" si="15"/>
        <v>219439</v>
      </c>
      <c r="AM55" s="38" t="s">
        <v>376</v>
      </c>
      <c r="AN55" s="8" t="s">
        <v>276</v>
      </c>
      <c r="AO55" s="14">
        <f t="shared" si="5"/>
        <v>1.2735893888671812</v>
      </c>
      <c r="AP55" s="8" t="s">
        <v>276</v>
      </c>
      <c r="AQ55" s="8" t="s">
        <v>276</v>
      </c>
      <c r="AR55" s="8" t="s">
        <v>276</v>
      </c>
      <c r="AS55" s="14">
        <f t="shared" si="6"/>
        <v>1.1647883922183386</v>
      </c>
      <c r="AT55" s="8" t="s">
        <v>276</v>
      </c>
      <c r="AU55" s="8" t="s">
        <v>276</v>
      </c>
      <c r="AV55" s="9" t="s">
        <v>268</v>
      </c>
      <c r="AW55" s="35" t="s">
        <v>276</v>
      </c>
      <c r="AX55" s="35">
        <f t="shared" si="2"/>
        <v>1.0934083799046377</v>
      </c>
      <c r="AY55" s="10" t="s">
        <v>276</v>
      </c>
      <c r="AZ55" s="10" t="s">
        <v>276</v>
      </c>
      <c r="BA55" s="10" t="s">
        <v>276</v>
      </c>
      <c r="BB55" s="10" t="s">
        <v>98</v>
      </c>
      <c r="BC55" s="10" t="s">
        <v>98</v>
      </c>
      <c r="BD55" s="10" t="s">
        <v>98</v>
      </c>
      <c r="BE55" s="10" t="s">
        <v>98</v>
      </c>
      <c r="BF55" s="9" t="s">
        <v>475</v>
      </c>
      <c r="BG55" s="9" t="s">
        <v>476</v>
      </c>
      <c r="BH55" s="9" t="s">
        <v>100</v>
      </c>
      <c r="BI55" s="9" t="s">
        <v>100</v>
      </c>
      <c r="BJ55" s="32"/>
      <c r="BK55" s="32"/>
      <c r="BL55" s="33"/>
      <c r="BM55" s="33"/>
      <c r="BN55" s="33"/>
      <c r="BO55" s="32"/>
      <c r="BP55" s="32"/>
      <c r="BQ55" s="33"/>
    </row>
    <row r="56" spans="1:69" s="6" customFormat="1" ht="104" hidden="1" x14ac:dyDescent="0.35">
      <c r="A56" s="8">
        <v>3713</v>
      </c>
      <c r="B56" s="8" t="s">
        <v>319</v>
      </c>
      <c r="C56" s="8" t="s">
        <v>92</v>
      </c>
      <c r="D56" s="9" t="s">
        <v>533</v>
      </c>
      <c r="E56" s="8" t="s">
        <v>43</v>
      </c>
      <c r="F56" s="8" t="s">
        <v>138</v>
      </c>
      <c r="G56" s="8" t="s">
        <v>225</v>
      </c>
      <c r="H56" s="8" t="s">
        <v>125</v>
      </c>
      <c r="I56" s="8" t="s">
        <v>114</v>
      </c>
      <c r="J56" s="9" t="s">
        <v>29</v>
      </c>
      <c r="K56" s="44" t="s">
        <v>466</v>
      </c>
      <c r="L56" s="2" t="s">
        <v>276</v>
      </c>
      <c r="M56" s="2" t="s">
        <v>276</v>
      </c>
      <c r="N56" s="10" t="s">
        <v>417</v>
      </c>
      <c r="O56" s="10" t="s">
        <v>98</v>
      </c>
      <c r="P56" s="9" t="s">
        <v>239</v>
      </c>
      <c r="Q56" s="41" t="s">
        <v>276</v>
      </c>
      <c r="R56" s="9" t="s">
        <v>352</v>
      </c>
      <c r="S56" s="9" t="s">
        <v>276</v>
      </c>
      <c r="T56" s="9" t="s">
        <v>276</v>
      </c>
      <c r="U56" s="9">
        <v>1</v>
      </c>
      <c r="V56" s="8" t="s">
        <v>14</v>
      </c>
      <c r="W56" s="2" t="s">
        <v>98</v>
      </c>
      <c r="X56" s="10" t="s">
        <v>207</v>
      </c>
      <c r="Y56" s="13">
        <v>189386</v>
      </c>
      <c r="Z56" s="34">
        <v>219439</v>
      </c>
      <c r="AA56" s="34">
        <f t="shared" si="20"/>
        <v>97967</v>
      </c>
      <c r="AB56" s="34">
        <f t="shared" si="21"/>
        <v>115861</v>
      </c>
      <c r="AC56" s="8" t="s">
        <v>276</v>
      </c>
      <c r="AD56" s="9" t="s">
        <v>422</v>
      </c>
      <c r="AE56" s="8" t="s">
        <v>276</v>
      </c>
      <c r="AF56" s="9" t="s">
        <v>422</v>
      </c>
      <c r="AG56" s="9" t="s">
        <v>534</v>
      </c>
      <c r="AH56" s="9" t="s">
        <v>430</v>
      </c>
      <c r="AI56" s="34">
        <f>184+70+71+81+93+104+123+138+133+108</f>
        <v>1105</v>
      </c>
      <c r="AJ56" s="34">
        <f>86+103+109+116+127+158+174+213+194+178</f>
        <v>1458</v>
      </c>
      <c r="AK56" s="34">
        <f t="shared" si="15"/>
        <v>189386</v>
      </c>
      <c r="AL56" s="34">
        <f t="shared" si="15"/>
        <v>219439</v>
      </c>
      <c r="AM56" s="38" t="s">
        <v>376</v>
      </c>
      <c r="AN56" s="8" t="s">
        <v>276</v>
      </c>
      <c r="AO56" s="14">
        <f t="shared" si="5"/>
        <v>0.58346445883011411</v>
      </c>
      <c r="AP56" s="8" t="s">
        <v>276</v>
      </c>
      <c r="AQ56" s="8" t="s">
        <v>276</v>
      </c>
      <c r="AR56" s="8" t="s">
        <v>276</v>
      </c>
      <c r="AS56" s="14">
        <f t="shared" si="6"/>
        <v>0.66442154767384098</v>
      </c>
      <c r="AT56" s="8" t="s">
        <v>276</v>
      </c>
      <c r="AU56" s="8" t="s">
        <v>276</v>
      </c>
      <c r="AV56" s="9" t="s">
        <v>268</v>
      </c>
      <c r="AW56" s="35" t="s">
        <v>276</v>
      </c>
      <c r="AX56" s="35">
        <f t="shared" si="2"/>
        <v>0.87815402867778747</v>
      </c>
      <c r="AY56" s="10" t="s">
        <v>276</v>
      </c>
      <c r="AZ56" s="10" t="s">
        <v>276</v>
      </c>
      <c r="BA56" s="10" t="s">
        <v>276</v>
      </c>
      <c r="BB56" s="10" t="s">
        <v>98</v>
      </c>
      <c r="BC56" s="10" t="s">
        <v>98</v>
      </c>
      <c r="BD56" s="10" t="s">
        <v>98</v>
      </c>
      <c r="BE56" s="10" t="s">
        <v>98</v>
      </c>
      <c r="BF56" s="9" t="s">
        <v>475</v>
      </c>
      <c r="BG56" s="9" t="s">
        <v>476</v>
      </c>
      <c r="BH56" s="9" t="s">
        <v>100</v>
      </c>
      <c r="BI56" s="9" t="s">
        <v>100</v>
      </c>
      <c r="BJ56" s="32"/>
      <c r="BK56" s="32"/>
      <c r="BL56" s="33"/>
      <c r="BM56" s="33"/>
      <c r="BN56" s="33"/>
      <c r="BO56" s="32"/>
      <c r="BP56" s="32"/>
      <c r="BQ56" s="33"/>
    </row>
    <row r="57" spans="1:69" s="6" customFormat="1" ht="104" hidden="1" x14ac:dyDescent="0.35">
      <c r="A57" s="8">
        <v>3713</v>
      </c>
      <c r="B57" s="8" t="s">
        <v>319</v>
      </c>
      <c r="C57" s="8" t="s">
        <v>92</v>
      </c>
      <c r="D57" s="9" t="s">
        <v>535</v>
      </c>
      <c r="E57" s="8" t="s">
        <v>43</v>
      </c>
      <c r="F57" s="8" t="s">
        <v>138</v>
      </c>
      <c r="G57" s="8" t="s">
        <v>225</v>
      </c>
      <c r="H57" s="8" t="s">
        <v>125</v>
      </c>
      <c r="I57" s="8" t="s">
        <v>114</v>
      </c>
      <c r="J57" s="9" t="s">
        <v>29</v>
      </c>
      <c r="K57" s="44" t="s">
        <v>416</v>
      </c>
      <c r="L57" s="2" t="s">
        <v>276</v>
      </c>
      <c r="M57" s="2" t="s">
        <v>276</v>
      </c>
      <c r="N57" s="10" t="s">
        <v>417</v>
      </c>
      <c r="O57" s="10" t="s">
        <v>98</v>
      </c>
      <c r="P57" s="9" t="s">
        <v>239</v>
      </c>
      <c r="Q57" s="41" t="s">
        <v>276</v>
      </c>
      <c r="R57" s="9" t="s">
        <v>405</v>
      </c>
      <c r="S57" s="9" t="s">
        <v>276</v>
      </c>
      <c r="T57" s="9" t="s">
        <v>276</v>
      </c>
      <c r="U57" s="9">
        <v>1</v>
      </c>
      <c r="V57" s="8" t="s">
        <v>14</v>
      </c>
      <c r="W57" s="2" t="s">
        <v>98</v>
      </c>
      <c r="X57" s="10" t="s">
        <v>207</v>
      </c>
      <c r="Y57" s="13">
        <v>189386</v>
      </c>
      <c r="Z57" s="34">
        <v>219439</v>
      </c>
      <c r="AA57" s="34">
        <f>Y57-59931</f>
        <v>129455</v>
      </c>
      <c r="AB57" s="34">
        <f>Z57-48701</f>
        <v>170738</v>
      </c>
      <c r="AC57" s="8" t="s">
        <v>276</v>
      </c>
      <c r="AD57" s="9" t="s">
        <v>422</v>
      </c>
      <c r="AE57" s="8" t="s">
        <v>276</v>
      </c>
      <c r="AF57" s="9" t="s">
        <v>422</v>
      </c>
      <c r="AG57" s="9" t="s">
        <v>536</v>
      </c>
      <c r="AH57" s="9" t="s">
        <v>430</v>
      </c>
      <c r="AI57" s="34">
        <f>1452+311+144+151+167+156+168+197+160+132+110</f>
        <v>3148</v>
      </c>
      <c r="AJ57" s="34">
        <f>159+202+192+249+259+225+284+264+270+181+76</f>
        <v>2361</v>
      </c>
      <c r="AK57" s="34">
        <f t="shared" si="15"/>
        <v>189386</v>
      </c>
      <c r="AL57" s="34">
        <f t="shared" si="15"/>
        <v>219439</v>
      </c>
      <c r="AM57" s="38" t="s">
        <v>376</v>
      </c>
      <c r="AN57" s="8" t="s">
        <v>276</v>
      </c>
      <c r="AO57" s="14">
        <f t="shared" si="5"/>
        <v>1.6622136799974654</v>
      </c>
      <c r="AP57" s="8" t="s">
        <v>276</v>
      </c>
      <c r="AQ57" s="8" t="s">
        <v>276</v>
      </c>
      <c r="AR57" s="8" t="s">
        <v>276</v>
      </c>
      <c r="AS57" s="14">
        <f t="shared" si="6"/>
        <v>1.0759254280232775</v>
      </c>
      <c r="AT57" s="8" t="s">
        <v>276</v>
      </c>
      <c r="AU57" s="8" t="s">
        <v>276</v>
      </c>
      <c r="AV57" s="9" t="s">
        <v>268</v>
      </c>
      <c r="AW57" s="35" t="s">
        <v>276</v>
      </c>
      <c r="AX57" s="35">
        <f t="shared" si="2"/>
        <v>1.5449153228503338</v>
      </c>
      <c r="AY57" s="10" t="s">
        <v>276</v>
      </c>
      <c r="AZ57" s="10" t="s">
        <v>276</v>
      </c>
      <c r="BA57" s="10" t="s">
        <v>276</v>
      </c>
      <c r="BB57" s="10" t="s">
        <v>98</v>
      </c>
      <c r="BC57" s="10" t="s">
        <v>98</v>
      </c>
      <c r="BD57" s="10" t="s">
        <v>98</v>
      </c>
      <c r="BE57" s="10" t="s">
        <v>98</v>
      </c>
      <c r="BF57" s="9" t="s">
        <v>475</v>
      </c>
      <c r="BG57" s="9" t="s">
        <v>476</v>
      </c>
      <c r="BH57" s="9" t="s">
        <v>100</v>
      </c>
      <c r="BI57" s="9" t="s">
        <v>100</v>
      </c>
      <c r="BJ57" s="32"/>
      <c r="BK57" s="32"/>
      <c r="BL57" s="33"/>
      <c r="BM57" s="33"/>
      <c r="BN57" s="33"/>
      <c r="BO57" s="32"/>
      <c r="BP57" s="32"/>
      <c r="BQ57" s="33"/>
    </row>
    <row r="58" spans="1:69" s="6" customFormat="1" ht="104" hidden="1" x14ac:dyDescent="0.35">
      <c r="A58" s="8">
        <v>3713</v>
      </c>
      <c r="B58" s="8" t="s">
        <v>319</v>
      </c>
      <c r="C58" s="8" t="s">
        <v>92</v>
      </c>
      <c r="D58" s="9" t="s">
        <v>537</v>
      </c>
      <c r="E58" s="8" t="s">
        <v>43</v>
      </c>
      <c r="F58" s="8" t="s">
        <v>138</v>
      </c>
      <c r="G58" s="8" t="s">
        <v>225</v>
      </c>
      <c r="H58" s="8" t="s">
        <v>125</v>
      </c>
      <c r="I58" s="8" t="s">
        <v>114</v>
      </c>
      <c r="J58" s="9" t="s">
        <v>29</v>
      </c>
      <c r="K58" s="44">
        <v>7</v>
      </c>
      <c r="L58" s="2" t="s">
        <v>276</v>
      </c>
      <c r="M58" s="2" t="s">
        <v>276</v>
      </c>
      <c r="N58" s="10" t="s">
        <v>417</v>
      </c>
      <c r="O58" s="10" t="s">
        <v>98</v>
      </c>
      <c r="P58" s="9" t="s">
        <v>239</v>
      </c>
      <c r="Q58" s="41" t="s">
        <v>276</v>
      </c>
      <c r="R58" s="9" t="s">
        <v>405</v>
      </c>
      <c r="S58" s="9" t="s">
        <v>276</v>
      </c>
      <c r="T58" s="9" t="s">
        <v>276</v>
      </c>
      <c r="U58" s="9">
        <v>1</v>
      </c>
      <c r="V58" s="8" t="s">
        <v>14</v>
      </c>
      <c r="W58" s="2" t="s">
        <v>98</v>
      </c>
      <c r="X58" s="10" t="s">
        <v>207</v>
      </c>
      <c r="Y58" s="13">
        <v>189386</v>
      </c>
      <c r="Z58" s="34">
        <v>219439</v>
      </c>
      <c r="AA58" s="34">
        <f t="shared" ref="AA58:AA59" si="22">Y58-59931</f>
        <v>129455</v>
      </c>
      <c r="AB58" s="34">
        <f t="shared" ref="AB58:AB59" si="23">Z58-48701</f>
        <v>170738</v>
      </c>
      <c r="AC58" s="8" t="s">
        <v>276</v>
      </c>
      <c r="AD58" s="9" t="s">
        <v>422</v>
      </c>
      <c r="AE58" s="8" t="s">
        <v>276</v>
      </c>
      <c r="AF58" s="9" t="s">
        <v>422</v>
      </c>
      <c r="AG58" s="9" t="s">
        <v>538</v>
      </c>
      <c r="AH58" s="9" t="s">
        <v>430</v>
      </c>
      <c r="AI58" s="34">
        <f>691+235+103+150+172+186+197+255+224+199+131</f>
        <v>2543</v>
      </c>
      <c r="AJ58" s="34">
        <f>136+176+201+226+277+309+329+360+314+228+154</f>
        <v>2710</v>
      </c>
      <c r="AK58" s="34">
        <f t="shared" si="15"/>
        <v>189386</v>
      </c>
      <c r="AL58" s="34">
        <f t="shared" si="15"/>
        <v>219439</v>
      </c>
      <c r="AM58" s="38" t="s">
        <v>376</v>
      </c>
      <c r="AN58" s="8" t="s">
        <v>276</v>
      </c>
      <c r="AO58" s="14">
        <f t="shared" si="5"/>
        <v>1.3427602885112944</v>
      </c>
      <c r="AP58" s="8" t="s">
        <v>276</v>
      </c>
      <c r="AQ58" s="8" t="s">
        <v>276</v>
      </c>
      <c r="AR58" s="8" t="s">
        <v>276</v>
      </c>
      <c r="AS58" s="14">
        <f t="shared" si="6"/>
        <v>1.2349673485570021</v>
      </c>
      <c r="AT58" s="8" t="s">
        <v>276</v>
      </c>
      <c r="AU58" s="8" t="s">
        <v>276</v>
      </c>
      <c r="AV58" s="9" t="s">
        <v>268</v>
      </c>
      <c r="AW58" s="35" t="s">
        <v>276</v>
      </c>
      <c r="AX58" s="35">
        <f t="shared" si="2"/>
        <v>1.0872840404082287</v>
      </c>
      <c r="AY58" s="10" t="s">
        <v>276</v>
      </c>
      <c r="AZ58" s="10" t="s">
        <v>276</v>
      </c>
      <c r="BA58" s="10" t="s">
        <v>276</v>
      </c>
      <c r="BB58" s="10" t="s">
        <v>98</v>
      </c>
      <c r="BC58" s="10" t="s">
        <v>98</v>
      </c>
      <c r="BD58" s="10" t="s">
        <v>98</v>
      </c>
      <c r="BE58" s="10" t="s">
        <v>98</v>
      </c>
      <c r="BF58" s="9" t="s">
        <v>475</v>
      </c>
      <c r="BG58" s="9" t="s">
        <v>476</v>
      </c>
      <c r="BH58" s="9" t="s">
        <v>100</v>
      </c>
      <c r="BI58" s="9" t="s">
        <v>100</v>
      </c>
      <c r="BJ58" s="32"/>
      <c r="BK58" s="32"/>
      <c r="BL58" s="33"/>
      <c r="BM58" s="33"/>
      <c r="BN58" s="33"/>
      <c r="BO58" s="32"/>
      <c r="BP58" s="32"/>
      <c r="BQ58" s="33"/>
    </row>
    <row r="59" spans="1:69" s="6" customFormat="1" ht="104" hidden="1" x14ac:dyDescent="0.35">
      <c r="A59" s="8">
        <v>3713</v>
      </c>
      <c r="B59" s="8" t="s">
        <v>319</v>
      </c>
      <c r="C59" s="8" t="s">
        <v>92</v>
      </c>
      <c r="D59" s="9" t="s">
        <v>539</v>
      </c>
      <c r="E59" s="8" t="s">
        <v>43</v>
      </c>
      <c r="F59" s="8" t="s">
        <v>138</v>
      </c>
      <c r="G59" s="8" t="s">
        <v>225</v>
      </c>
      <c r="H59" s="8" t="s">
        <v>125</v>
      </c>
      <c r="I59" s="8" t="s">
        <v>114</v>
      </c>
      <c r="J59" s="9" t="s">
        <v>29</v>
      </c>
      <c r="K59" s="44" t="s">
        <v>466</v>
      </c>
      <c r="L59" s="2" t="s">
        <v>276</v>
      </c>
      <c r="M59" s="2" t="s">
        <v>276</v>
      </c>
      <c r="N59" s="10" t="s">
        <v>417</v>
      </c>
      <c r="O59" s="10" t="s">
        <v>98</v>
      </c>
      <c r="P59" s="9" t="s">
        <v>239</v>
      </c>
      <c r="Q59" s="41" t="s">
        <v>276</v>
      </c>
      <c r="R59" s="9" t="s">
        <v>405</v>
      </c>
      <c r="S59" s="9" t="s">
        <v>276</v>
      </c>
      <c r="T59" s="9" t="s">
        <v>276</v>
      </c>
      <c r="U59" s="9">
        <v>1</v>
      </c>
      <c r="V59" s="8" t="s">
        <v>14</v>
      </c>
      <c r="W59" s="2" t="s">
        <v>98</v>
      </c>
      <c r="X59" s="10" t="s">
        <v>207</v>
      </c>
      <c r="Y59" s="13">
        <v>189386</v>
      </c>
      <c r="Z59" s="34">
        <v>219439</v>
      </c>
      <c r="AA59" s="34">
        <f t="shared" si="22"/>
        <v>129455</v>
      </c>
      <c r="AB59" s="34">
        <f t="shared" si="23"/>
        <v>170738</v>
      </c>
      <c r="AC59" s="8" t="s">
        <v>276</v>
      </c>
      <c r="AD59" s="9" t="s">
        <v>422</v>
      </c>
      <c r="AE59" s="8" t="s">
        <v>276</v>
      </c>
      <c r="AF59" s="9" t="s">
        <v>422</v>
      </c>
      <c r="AG59" s="9" t="s">
        <v>540</v>
      </c>
      <c r="AH59" s="9" t="s">
        <v>430</v>
      </c>
      <c r="AI59" s="34">
        <f>184+70+71+81+93+104+123+138+133+108+91</f>
        <v>1196</v>
      </c>
      <c r="AJ59" s="34">
        <f>86+103+109+116+127+158+174+213+194+178+97</f>
        <v>1555</v>
      </c>
      <c r="AK59" s="34">
        <f t="shared" ref="AK59:AL68" si="24">Y59</f>
        <v>189386</v>
      </c>
      <c r="AL59" s="34">
        <f t="shared" si="24"/>
        <v>219439</v>
      </c>
      <c r="AM59" s="38" t="s">
        <v>376</v>
      </c>
      <c r="AN59" s="8" t="s">
        <v>276</v>
      </c>
      <c r="AO59" s="14">
        <f t="shared" si="5"/>
        <v>0.63151447308671183</v>
      </c>
      <c r="AP59" s="8" t="s">
        <v>276</v>
      </c>
      <c r="AQ59" s="8" t="s">
        <v>276</v>
      </c>
      <c r="AR59" s="8" t="s">
        <v>276</v>
      </c>
      <c r="AS59" s="14">
        <f t="shared" si="6"/>
        <v>0.70862517601702524</v>
      </c>
      <c r="AT59" s="8" t="s">
        <v>276</v>
      </c>
      <c r="AU59" s="8" t="s">
        <v>276</v>
      </c>
      <c r="AV59" s="9" t="s">
        <v>268</v>
      </c>
      <c r="AW59" s="35" t="s">
        <v>276</v>
      </c>
      <c r="AX59" s="35">
        <f t="shared" si="2"/>
        <v>0.89118266533553026</v>
      </c>
      <c r="AY59" s="10" t="s">
        <v>276</v>
      </c>
      <c r="AZ59" s="10" t="s">
        <v>276</v>
      </c>
      <c r="BA59" s="10" t="s">
        <v>276</v>
      </c>
      <c r="BB59" s="10" t="s">
        <v>98</v>
      </c>
      <c r="BC59" s="10" t="s">
        <v>98</v>
      </c>
      <c r="BD59" s="10" t="s">
        <v>98</v>
      </c>
      <c r="BE59" s="10" t="s">
        <v>98</v>
      </c>
      <c r="BF59" s="9" t="s">
        <v>475</v>
      </c>
      <c r="BG59" s="9" t="s">
        <v>476</v>
      </c>
      <c r="BH59" s="9" t="s">
        <v>100</v>
      </c>
      <c r="BI59" s="9" t="s">
        <v>100</v>
      </c>
      <c r="BJ59" s="32"/>
      <c r="BK59" s="32"/>
      <c r="BL59" s="33"/>
      <c r="BM59" s="33"/>
      <c r="BN59" s="33"/>
      <c r="BO59" s="32"/>
      <c r="BP59" s="32"/>
      <c r="BQ59" s="33"/>
    </row>
    <row r="60" spans="1:69" s="6" customFormat="1" ht="104" hidden="1" x14ac:dyDescent="0.35">
      <c r="A60" s="8">
        <v>3713</v>
      </c>
      <c r="B60" s="8" t="s">
        <v>319</v>
      </c>
      <c r="C60" s="8" t="s">
        <v>92</v>
      </c>
      <c r="D60" s="9" t="s">
        <v>541</v>
      </c>
      <c r="E60" s="8" t="s">
        <v>43</v>
      </c>
      <c r="F60" s="8" t="s">
        <v>138</v>
      </c>
      <c r="G60" s="8" t="s">
        <v>225</v>
      </c>
      <c r="H60" s="8" t="s">
        <v>125</v>
      </c>
      <c r="I60" s="8" t="s">
        <v>114</v>
      </c>
      <c r="J60" s="9" t="s">
        <v>29</v>
      </c>
      <c r="K60" s="44" t="s">
        <v>416</v>
      </c>
      <c r="L60" s="2" t="s">
        <v>276</v>
      </c>
      <c r="M60" s="2" t="s">
        <v>276</v>
      </c>
      <c r="N60" s="10" t="s">
        <v>417</v>
      </c>
      <c r="O60" s="10" t="s">
        <v>98</v>
      </c>
      <c r="P60" s="9" t="s">
        <v>239</v>
      </c>
      <c r="Q60" s="41" t="s">
        <v>276</v>
      </c>
      <c r="R60" s="9" t="s">
        <v>355</v>
      </c>
      <c r="S60" s="9" t="s">
        <v>276</v>
      </c>
      <c r="T60" s="9" t="s">
        <v>276</v>
      </c>
      <c r="U60" s="9">
        <v>1</v>
      </c>
      <c r="V60" s="8" t="s">
        <v>14</v>
      </c>
      <c r="W60" s="2" t="s">
        <v>98</v>
      </c>
      <c r="X60" s="10" t="s">
        <v>207</v>
      </c>
      <c r="Y60" s="13">
        <v>189386</v>
      </c>
      <c r="Z60" s="34">
        <v>219439</v>
      </c>
      <c r="AA60" s="34">
        <f>Y60-36222</f>
        <v>153164</v>
      </c>
      <c r="AB60" s="34">
        <f>Z60-22905</f>
        <v>196534</v>
      </c>
      <c r="AC60" s="8" t="s">
        <v>276</v>
      </c>
      <c r="AD60" s="9" t="s">
        <v>422</v>
      </c>
      <c r="AE60" s="8" t="s">
        <v>276</v>
      </c>
      <c r="AF60" s="9" t="s">
        <v>422</v>
      </c>
      <c r="AG60" s="9" t="s">
        <v>542</v>
      </c>
      <c r="AH60" s="9" t="s">
        <v>430</v>
      </c>
      <c r="AI60" s="34">
        <f>1452+311+144+151+167+156+168+197+160+132+110+63</f>
        <v>3211</v>
      </c>
      <c r="AJ60" s="34">
        <f>159+202+192+249+259+225+284+264+270+181+76+53</f>
        <v>2414</v>
      </c>
      <c r="AK60" s="34">
        <f t="shared" si="24"/>
        <v>189386</v>
      </c>
      <c r="AL60" s="34">
        <f t="shared" si="24"/>
        <v>219439</v>
      </c>
      <c r="AM60" s="38" t="s">
        <v>376</v>
      </c>
      <c r="AN60" s="8" t="s">
        <v>276</v>
      </c>
      <c r="AO60" s="14">
        <f t="shared" si="5"/>
        <v>1.6954790744828023</v>
      </c>
      <c r="AP60" s="8" t="s">
        <v>276</v>
      </c>
      <c r="AQ60" s="8" t="s">
        <v>276</v>
      </c>
      <c r="AR60" s="8" t="s">
        <v>276</v>
      </c>
      <c r="AS60" s="14">
        <f t="shared" si="6"/>
        <v>1.1000779259839863</v>
      </c>
      <c r="AT60" s="8" t="s">
        <v>276</v>
      </c>
      <c r="AU60" s="8" t="s">
        <v>276</v>
      </c>
      <c r="AV60" s="9" t="s">
        <v>268</v>
      </c>
      <c r="AW60" s="35" t="s">
        <v>276</v>
      </c>
      <c r="AX60" s="35">
        <f t="shared" si="2"/>
        <v>1.5412354292685655</v>
      </c>
      <c r="AY60" s="10" t="s">
        <v>276</v>
      </c>
      <c r="AZ60" s="10" t="s">
        <v>276</v>
      </c>
      <c r="BA60" s="10" t="s">
        <v>276</v>
      </c>
      <c r="BB60" s="10" t="s">
        <v>98</v>
      </c>
      <c r="BC60" s="10" t="s">
        <v>98</v>
      </c>
      <c r="BD60" s="10" t="s">
        <v>98</v>
      </c>
      <c r="BE60" s="10" t="s">
        <v>98</v>
      </c>
      <c r="BF60" s="9" t="s">
        <v>475</v>
      </c>
      <c r="BG60" s="9" t="s">
        <v>476</v>
      </c>
      <c r="BH60" s="9" t="s">
        <v>100</v>
      </c>
      <c r="BI60" s="9" t="s">
        <v>100</v>
      </c>
      <c r="BJ60" s="32"/>
      <c r="BK60" s="32"/>
      <c r="BL60" s="33"/>
      <c r="BM60" s="33"/>
      <c r="BN60" s="33"/>
      <c r="BO60" s="32"/>
      <c r="BP60" s="32"/>
      <c r="BQ60" s="33"/>
    </row>
    <row r="61" spans="1:69" s="6" customFormat="1" ht="104" hidden="1" x14ac:dyDescent="0.35">
      <c r="A61" s="8">
        <v>3713</v>
      </c>
      <c r="B61" s="8" t="s">
        <v>319</v>
      </c>
      <c r="C61" s="8" t="s">
        <v>92</v>
      </c>
      <c r="D61" s="9" t="s">
        <v>543</v>
      </c>
      <c r="E61" s="8" t="s">
        <v>43</v>
      </c>
      <c r="F61" s="8" t="s">
        <v>138</v>
      </c>
      <c r="G61" s="8" t="s">
        <v>225</v>
      </c>
      <c r="H61" s="8" t="s">
        <v>125</v>
      </c>
      <c r="I61" s="8" t="s">
        <v>114</v>
      </c>
      <c r="J61" s="9" t="s">
        <v>29</v>
      </c>
      <c r="K61" s="44">
        <v>7</v>
      </c>
      <c r="L61" s="2" t="s">
        <v>276</v>
      </c>
      <c r="M61" s="2" t="s">
        <v>276</v>
      </c>
      <c r="N61" s="10" t="s">
        <v>417</v>
      </c>
      <c r="O61" s="10" t="s">
        <v>98</v>
      </c>
      <c r="P61" s="9" t="s">
        <v>239</v>
      </c>
      <c r="Q61" s="41" t="s">
        <v>276</v>
      </c>
      <c r="R61" s="9" t="s">
        <v>355</v>
      </c>
      <c r="S61" s="9" t="s">
        <v>276</v>
      </c>
      <c r="T61" s="9" t="s">
        <v>276</v>
      </c>
      <c r="U61" s="9">
        <v>1</v>
      </c>
      <c r="V61" s="8" t="s">
        <v>14</v>
      </c>
      <c r="W61" s="2" t="s">
        <v>98</v>
      </c>
      <c r="X61" s="10" t="s">
        <v>207</v>
      </c>
      <c r="Y61" s="13">
        <v>189386</v>
      </c>
      <c r="Z61" s="34">
        <v>219439</v>
      </c>
      <c r="AA61" s="34">
        <f t="shared" ref="AA61:AA62" si="25">Y61-36222</f>
        <v>153164</v>
      </c>
      <c r="AB61" s="34">
        <f t="shared" ref="AB61:AB62" si="26">Z61-22905</f>
        <v>196534</v>
      </c>
      <c r="AC61" s="8" t="s">
        <v>276</v>
      </c>
      <c r="AD61" s="9" t="s">
        <v>422</v>
      </c>
      <c r="AE61" s="8" t="s">
        <v>276</v>
      </c>
      <c r="AF61" s="9" t="s">
        <v>422</v>
      </c>
      <c r="AG61" s="9" t="s">
        <v>544</v>
      </c>
      <c r="AH61" s="9" t="s">
        <v>430</v>
      </c>
      <c r="AI61" s="34">
        <f>691+235+103+150+172+186+197+255+224+199+131+105</f>
        <v>2648</v>
      </c>
      <c r="AJ61" s="34">
        <f>136+176+201+226+277+309+329+360+314+228+154+75</f>
        <v>2785</v>
      </c>
      <c r="AK61" s="34">
        <f t="shared" si="24"/>
        <v>189386</v>
      </c>
      <c r="AL61" s="34">
        <f t="shared" si="24"/>
        <v>219439</v>
      </c>
      <c r="AM61" s="38" t="s">
        <v>376</v>
      </c>
      <c r="AN61" s="8" t="s">
        <v>276</v>
      </c>
      <c r="AO61" s="14">
        <f t="shared" si="5"/>
        <v>1.3982026126535225</v>
      </c>
      <c r="AP61" s="8" t="s">
        <v>276</v>
      </c>
      <c r="AQ61" s="8" t="s">
        <v>276</v>
      </c>
      <c r="AR61" s="8" t="s">
        <v>276</v>
      </c>
      <c r="AS61" s="14">
        <f t="shared" si="6"/>
        <v>1.2691454117089487</v>
      </c>
      <c r="AT61" s="8" t="s">
        <v>276</v>
      </c>
      <c r="AU61" s="8" t="s">
        <v>276</v>
      </c>
      <c r="AV61" s="9" t="s">
        <v>268</v>
      </c>
      <c r="AW61" s="35" t="s">
        <v>276</v>
      </c>
      <c r="AX61" s="35">
        <f t="shared" si="2"/>
        <v>1.1016882697237929</v>
      </c>
      <c r="AY61" s="10" t="s">
        <v>276</v>
      </c>
      <c r="AZ61" s="10" t="s">
        <v>276</v>
      </c>
      <c r="BA61" s="10" t="s">
        <v>276</v>
      </c>
      <c r="BB61" s="10" t="s">
        <v>98</v>
      </c>
      <c r="BC61" s="10" t="s">
        <v>98</v>
      </c>
      <c r="BD61" s="10" t="s">
        <v>98</v>
      </c>
      <c r="BE61" s="10" t="s">
        <v>98</v>
      </c>
      <c r="BF61" s="9" t="s">
        <v>475</v>
      </c>
      <c r="BG61" s="9" t="s">
        <v>476</v>
      </c>
      <c r="BH61" s="9" t="s">
        <v>100</v>
      </c>
      <c r="BI61" s="9" t="s">
        <v>100</v>
      </c>
      <c r="BJ61" s="32"/>
      <c r="BK61" s="32"/>
      <c r="BL61" s="33"/>
      <c r="BM61" s="33"/>
      <c r="BN61" s="33"/>
      <c r="BO61" s="32"/>
      <c r="BP61" s="32"/>
      <c r="BQ61" s="33"/>
    </row>
    <row r="62" spans="1:69" s="6" customFormat="1" ht="104" hidden="1" x14ac:dyDescent="0.35">
      <c r="A62" s="8">
        <v>3713</v>
      </c>
      <c r="B62" s="8" t="s">
        <v>319</v>
      </c>
      <c r="C62" s="8" t="s">
        <v>92</v>
      </c>
      <c r="D62" s="9" t="s">
        <v>545</v>
      </c>
      <c r="E62" s="8" t="s">
        <v>43</v>
      </c>
      <c r="F62" s="8" t="s">
        <v>138</v>
      </c>
      <c r="G62" s="8" t="s">
        <v>225</v>
      </c>
      <c r="H62" s="8" t="s">
        <v>125</v>
      </c>
      <c r="I62" s="8" t="s">
        <v>114</v>
      </c>
      <c r="J62" s="9" t="s">
        <v>29</v>
      </c>
      <c r="K62" s="44" t="s">
        <v>466</v>
      </c>
      <c r="L62" s="2" t="s">
        <v>276</v>
      </c>
      <c r="M62" s="2" t="s">
        <v>276</v>
      </c>
      <c r="N62" s="10" t="s">
        <v>417</v>
      </c>
      <c r="O62" s="10" t="s">
        <v>98</v>
      </c>
      <c r="P62" s="9" t="s">
        <v>239</v>
      </c>
      <c r="Q62" s="41" t="s">
        <v>276</v>
      </c>
      <c r="R62" s="9" t="s">
        <v>355</v>
      </c>
      <c r="S62" s="9" t="s">
        <v>276</v>
      </c>
      <c r="T62" s="9" t="s">
        <v>276</v>
      </c>
      <c r="U62" s="9">
        <v>1</v>
      </c>
      <c r="V62" s="8" t="s">
        <v>14</v>
      </c>
      <c r="W62" s="2" t="s">
        <v>98</v>
      </c>
      <c r="X62" s="10" t="s">
        <v>207</v>
      </c>
      <c r="Y62" s="13">
        <v>189386</v>
      </c>
      <c r="Z62" s="34">
        <v>219439</v>
      </c>
      <c r="AA62" s="34">
        <f t="shared" si="25"/>
        <v>153164</v>
      </c>
      <c r="AB62" s="34">
        <f t="shared" si="26"/>
        <v>196534</v>
      </c>
      <c r="AC62" s="8" t="s">
        <v>276</v>
      </c>
      <c r="AD62" s="9" t="s">
        <v>422</v>
      </c>
      <c r="AE62" s="8" t="s">
        <v>276</v>
      </c>
      <c r="AF62" s="9" t="s">
        <v>422</v>
      </c>
      <c r="AG62" s="9" t="s">
        <v>546</v>
      </c>
      <c r="AH62" s="9" t="s">
        <v>430</v>
      </c>
      <c r="AI62" s="34">
        <f>184+70+71+81+93+104+123+138+133+108+91+59</f>
        <v>1255</v>
      </c>
      <c r="AJ62" s="34">
        <f>86+103+109+116+127+158+174+213+194+178+97+43</f>
        <v>1598</v>
      </c>
      <c r="AK62" s="34">
        <f t="shared" si="24"/>
        <v>189386</v>
      </c>
      <c r="AL62" s="34">
        <f t="shared" si="24"/>
        <v>219439</v>
      </c>
      <c r="AM62" s="38" t="s">
        <v>376</v>
      </c>
      <c r="AN62" s="8" t="s">
        <v>276</v>
      </c>
      <c r="AO62" s="14">
        <f t="shared" si="5"/>
        <v>0.6626677790332971</v>
      </c>
      <c r="AP62" s="8" t="s">
        <v>276</v>
      </c>
      <c r="AQ62" s="8" t="s">
        <v>276</v>
      </c>
      <c r="AR62" s="8" t="s">
        <v>276</v>
      </c>
      <c r="AS62" s="14">
        <f t="shared" si="6"/>
        <v>0.72822059889080792</v>
      </c>
      <c r="AT62" s="8" t="s">
        <v>276</v>
      </c>
      <c r="AU62" s="8" t="s">
        <v>276</v>
      </c>
      <c r="AV62" s="9" t="s">
        <v>268</v>
      </c>
      <c r="AW62" s="35" t="s">
        <v>276</v>
      </c>
      <c r="AX62" s="35">
        <f t="shared" si="2"/>
        <v>0.90998219501431588</v>
      </c>
      <c r="AY62" s="10" t="s">
        <v>276</v>
      </c>
      <c r="AZ62" s="10" t="s">
        <v>276</v>
      </c>
      <c r="BA62" s="10" t="s">
        <v>276</v>
      </c>
      <c r="BB62" s="10" t="s">
        <v>98</v>
      </c>
      <c r="BC62" s="10" t="s">
        <v>98</v>
      </c>
      <c r="BD62" s="10" t="s">
        <v>98</v>
      </c>
      <c r="BE62" s="10" t="s">
        <v>98</v>
      </c>
      <c r="BF62" s="9" t="s">
        <v>475</v>
      </c>
      <c r="BG62" s="9" t="s">
        <v>476</v>
      </c>
      <c r="BH62" s="9" t="s">
        <v>100</v>
      </c>
      <c r="BI62" s="9" t="s">
        <v>100</v>
      </c>
      <c r="BJ62" s="32"/>
      <c r="BK62" s="32"/>
      <c r="BL62" s="33"/>
      <c r="BM62" s="33"/>
      <c r="BN62" s="33"/>
      <c r="BO62" s="32"/>
      <c r="BP62" s="32"/>
      <c r="BQ62" s="33"/>
    </row>
    <row r="63" spans="1:69" s="6" customFormat="1" ht="104" hidden="1" x14ac:dyDescent="0.35">
      <c r="A63" s="8">
        <v>3713</v>
      </c>
      <c r="B63" s="8" t="s">
        <v>319</v>
      </c>
      <c r="C63" s="8" t="s">
        <v>92</v>
      </c>
      <c r="D63" s="9" t="s">
        <v>547</v>
      </c>
      <c r="E63" s="8" t="s">
        <v>43</v>
      </c>
      <c r="F63" s="8" t="s">
        <v>138</v>
      </c>
      <c r="G63" s="8" t="s">
        <v>225</v>
      </c>
      <c r="H63" s="8" t="s">
        <v>125</v>
      </c>
      <c r="I63" s="8" t="s">
        <v>114</v>
      </c>
      <c r="J63" s="9" t="s">
        <v>29</v>
      </c>
      <c r="K63" s="44" t="s">
        <v>416</v>
      </c>
      <c r="L63" s="2" t="s">
        <v>276</v>
      </c>
      <c r="M63" s="2" t="s">
        <v>276</v>
      </c>
      <c r="N63" s="10" t="s">
        <v>417</v>
      </c>
      <c r="O63" s="10" t="s">
        <v>98</v>
      </c>
      <c r="P63" s="9" t="s">
        <v>239</v>
      </c>
      <c r="Q63" s="41" t="s">
        <v>276</v>
      </c>
      <c r="R63" s="9" t="s">
        <v>410</v>
      </c>
      <c r="S63" s="9" t="s">
        <v>276</v>
      </c>
      <c r="T63" s="9" t="s">
        <v>276</v>
      </c>
      <c r="U63" s="9">
        <v>1</v>
      </c>
      <c r="V63" s="8" t="s">
        <v>14</v>
      </c>
      <c r="W63" s="2" t="s">
        <v>98</v>
      </c>
      <c r="X63" s="10" t="s">
        <v>207</v>
      </c>
      <c r="Y63" s="13">
        <v>189386</v>
      </c>
      <c r="Z63" s="34">
        <v>219439</v>
      </c>
      <c r="AA63" s="34">
        <f>Y63-16387</f>
        <v>172999</v>
      </c>
      <c r="AB63" s="34">
        <f>Z63-12894</f>
        <v>206545</v>
      </c>
      <c r="AC63" s="8" t="s">
        <v>276</v>
      </c>
      <c r="AD63" s="9" t="s">
        <v>422</v>
      </c>
      <c r="AE63" s="8" t="s">
        <v>276</v>
      </c>
      <c r="AF63" s="9" t="s">
        <v>422</v>
      </c>
      <c r="AG63" s="9" t="s">
        <v>548</v>
      </c>
      <c r="AH63" s="9" t="s">
        <v>430</v>
      </c>
      <c r="AI63" s="34">
        <f>1452+311+144+151+167+156+168+197+160+132+110+63+43</f>
        <v>3254</v>
      </c>
      <c r="AJ63" s="34">
        <f>159+202+192+249+259+225+284+264+270+181+76+53+23</f>
        <v>2437</v>
      </c>
      <c r="AK63" s="34">
        <f t="shared" si="24"/>
        <v>189386</v>
      </c>
      <c r="AL63" s="34">
        <f t="shared" si="24"/>
        <v>219439</v>
      </c>
      <c r="AM63" s="38" t="s">
        <v>376</v>
      </c>
      <c r="AN63" s="8" t="s">
        <v>276</v>
      </c>
      <c r="AO63" s="14">
        <f t="shared" si="5"/>
        <v>1.7181840262743815</v>
      </c>
      <c r="AP63" s="8" t="s">
        <v>276</v>
      </c>
      <c r="AQ63" s="8" t="s">
        <v>276</v>
      </c>
      <c r="AR63" s="8" t="s">
        <v>276</v>
      </c>
      <c r="AS63" s="14">
        <f t="shared" si="6"/>
        <v>1.1105591986839167</v>
      </c>
      <c r="AT63" s="8" t="s">
        <v>276</v>
      </c>
      <c r="AU63" s="8" t="s">
        <v>276</v>
      </c>
      <c r="AV63" s="9" t="s">
        <v>268</v>
      </c>
      <c r="AW63" s="35" t="s">
        <v>276</v>
      </c>
      <c r="AX63" s="35">
        <f t="shared" si="2"/>
        <v>1.5471341179385474</v>
      </c>
      <c r="AY63" s="10" t="s">
        <v>276</v>
      </c>
      <c r="AZ63" s="10" t="s">
        <v>276</v>
      </c>
      <c r="BA63" s="10" t="s">
        <v>276</v>
      </c>
      <c r="BB63" s="10" t="s">
        <v>98</v>
      </c>
      <c r="BC63" s="10" t="s">
        <v>98</v>
      </c>
      <c r="BD63" s="10" t="s">
        <v>98</v>
      </c>
      <c r="BE63" s="10" t="s">
        <v>98</v>
      </c>
      <c r="BF63" s="9" t="s">
        <v>475</v>
      </c>
      <c r="BG63" s="9" t="s">
        <v>476</v>
      </c>
      <c r="BH63" s="9" t="s">
        <v>100</v>
      </c>
      <c r="BI63" s="9" t="s">
        <v>100</v>
      </c>
      <c r="BJ63" s="32"/>
      <c r="BK63" s="32"/>
      <c r="BL63" s="33"/>
      <c r="BM63" s="33"/>
      <c r="BN63" s="33"/>
      <c r="BO63" s="32"/>
      <c r="BP63" s="32"/>
      <c r="BQ63" s="33"/>
    </row>
    <row r="64" spans="1:69" s="6" customFormat="1" ht="104" hidden="1" x14ac:dyDescent="0.35">
      <c r="A64" s="8">
        <v>3713</v>
      </c>
      <c r="B64" s="8" t="s">
        <v>319</v>
      </c>
      <c r="C64" s="8" t="s">
        <v>92</v>
      </c>
      <c r="D64" s="9" t="s">
        <v>549</v>
      </c>
      <c r="E64" s="8" t="s">
        <v>43</v>
      </c>
      <c r="F64" s="8" t="s">
        <v>138</v>
      </c>
      <c r="G64" s="8" t="s">
        <v>225</v>
      </c>
      <c r="H64" s="8" t="s">
        <v>125</v>
      </c>
      <c r="I64" s="8" t="s">
        <v>114</v>
      </c>
      <c r="J64" s="9" t="s">
        <v>29</v>
      </c>
      <c r="K64" s="44">
        <v>7</v>
      </c>
      <c r="L64" s="2" t="s">
        <v>276</v>
      </c>
      <c r="M64" s="2" t="s">
        <v>276</v>
      </c>
      <c r="N64" s="10" t="s">
        <v>417</v>
      </c>
      <c r="O64" s="10" t="s">
        <v>98</v>
      </c>
      <c r="P64" s="9" t="s">
        <v>239</v>
      </c>
      <c r="Q64" s="41" t="s">
        <v>276</v>
      </c>
      <c r="R64" s="9" t="s">
        <v>410</v>
      </c>
      <c r="S64" s="9" t="s">
        <v>276</v>
      </c>
      <c r="T64" s="9" t="s">
        <v>276</v>
      </c>
      <c r="U64" s="9">
        <v>1</v>
      </c>
      <c r="V64" s="8" t="s">
        <v>14</v>
      </c>
      <c r="W64" s="2" t="s">
        <v>98</v>
      </c>
      <c r="X64" s="10" t="s">
        <v>207</v>
      </c>
      <c r="Y64" s="13">
        <v>189386</v>
      </c>
      <c r="Z64" s="34">
        <v>219439</v>
      </c>
      <c r="AA64" s="34">
        <f t="shared" ref="AA64:AA65" si="27">Y64-16387</f>
        <v>172999</v>
      </c>
      <c r="AB64" s="34">
        <f t="shared" ref="AB64:AB65" si="28">Z64-12894</f>
        <v>206545</v>
      </c>
      <c r="AC64" s="8" t="s">
        <v>276</v>
      </c>
      <c r="AD64" s="9" t="s">
        <v>422</v>
      </c>
      <c r="AE64" s="8" t="s">
        <v>276</v>
      </c>
      <c r="AF64" s="9" t="s">
        <v>422</v>
      </c>
      <c r="AG64" s="9" t="s">
        <v>550</v>
      </c>
      <c r="AH64" s="9" t="s">
        <v>430</v>
      </c>
      <c r="AI64" s="34">
        <f>691+235+103+150+172+186+197+255+224+199+131+105+47</f>
        <v>2695</v>
      </c>
      <c r="AJ64" s="34">
        <f>136+176+201+226+277+309+329+360+314+228+154+75+26</f>
        <v>2811</v>
      </c>
      <c r="AK64" s="34">
        <f t="shared" si="24"/>
        <v>189386</v>
      </c>
      <c r="AL64" s="34">
        <f t="shared" si="24"/>
        <v>219439</v>
      </c>
      <c r="AM64" s="38" t="s">
        <v>376</v>
      </c>
      <c r="AN64" s="8" t="s">
        <v>276</v>
      </c>
      <c r="AO64" s="14">
        <f t="shared" si="5"/>
        <v>1.423019652983853</v>
      </c>
      <c r="AP64" s="8" t="s">
        <v>276</v>
      </c>
      <c r="AQ64" s="8" t="s">
        <v>276</v>
      </c>
      <c r="AR64" s="8" t="s">
        <v>276</v>
      </c>
      <c r="AS64" s="14">
        <f t="shared" si="6"/>
        <v>1.2809938069349569</v>
      </c>
      <c r="AT64" s="8" t="s">
        <v>276</v>
      </c>
      <c r="AU64" s="8" t="s">
        <v>276</v>
      </c>
      <c r="AV64" s="9" t="s">
        <v>268</v>
      </c>
      <c r="AW64" s="35" t="s">
        <v>276</v>
      </c>
      <c r="AX64" s="35">
        <f t="shared" si="2"/>
        <v>1.1108716102138874</v>
      </c>
      <c r="AY64" s="10" t="s">
        <v>276</v>
      </c>
      <c r="AZ64" s="10" t="s">
        <v>276</v>
      </c>
      <c r="BA64" s="10" t="s">
        <v>276</v>
      </c>
      <c r="BB64" s="10" t="s">
        <v>98</v>
      </c>
      <c r="BC64" s="10" t="s">
        <v>98</v>
      </c>
      <c r="BD64" s="10" t="s">
        <v>98</v>
      </c>
      <c r="BE64" s="10" t="s">
        <v>98</v>
      </c>
      <c r="BF64" s="9" t="s">
        <v>475</v>
      </c>
      <c r="BG64" s="9" t="s">
        <v>476</v>
      </c>
      <c r="BH64" s="9" t="s">
        <v>100</v>
      </c>
      <c r="BI64" s="9" t="s">
        <v>100</v>
      </c>
      <c r="BJ64" s="32"/>
      <c r="BK64" s="32"/>
      <c r="BL64" s="33"/>
      <c r="BM64" s="33"/>
      <c r="BN64" s="33"/>
      <c r="BO64" s="32"/>
      <c r="BP64" s="32"/>
      <c r="BQ64" s="33"/>
    </row>
    <row r="65" spans="1:69" s="6" customFormat="1" ht="104" hidden="1" x14ac:dyDescent="0.35">
      <c r="A65" s="8">
        <v>3713</v>
      </c>
      <c r="B65" s="8" t="s">
        <v>319</v>
      </c>
      <c r="C65" s="8" t="s">
        <v>92</v>
      </c>
      <c r="D65" s="9" t="s">
        <v>551</v>
      </c>
      <c r="E65" s="8" t="s">
        <v>43</v>
      </c>
      <c r="F65" s="8" t="s">
        <v>138</v>
      </c>
      <c r="G65" s="8" t="s">
        <v>225</v>
      </c>
      <c r="H65" s="8" t="s">
        <v>125</v>
      </c>
      <c r="I65" s="8" t="s">
        <v>114</v>
      </c>
      <c r="J65" s="9" t="s">
        <v>29</v>
      </c>
      <c r="K65" s="44" t="s">
        <v>466</v>
      </c>
      <c r="L65" s="2" t="s">
        <v>276</v>
      </c>
      <c r="M65" s="2" t="s">
        <v>276</v>
      </c>
      <c r="N65" s="10" t="s">
        <v>417</v>
      </c>
      <c r="O65" s="10" t="s">
        <v>98</v>
      </c>
      <c r="P65" s="9" t="s">
        <v>239</v>
      </c>
      <c r="Q65" s="41" t="s">
        <v>276</v>
      </c>
      <c r="R65" s="9" t="s">
        <v>410</v>
      </c>
      <c r="S65" s="9" t="s">
        <v>276</v>
      </c>
      <c r="T65" s="9" t="s">
        <v>276</v>
      </c>
      <c r="U65" s="9">
        <v>1</v>
      </c>
      <c r="V65" s="8" t="s">
        <v>14</v>
      </c>
      <c r="W65" s="2" t="s">
        <v>98</v>
      </c>
      <c r="X65" s="10" t="s">
        <v>207</v>
      </c>
      <c r="Y65" s="13">
        <v>189386</v>
      </c>
      <c r="Z65" s="34">
        <v>219439</v>
      </c>
      <c r="AA65" s="34">
        <f t="shared" si="27"/>
        <v>172999</v>
      </c>
      <c r="AB65" s="34">
        <f t="shared" si="28"/>
        <v>206545</v>
      </c>
      <c r="AC65" s="8" t="s">
        <v>276</v>
      </c>
      <c r="AD65" s="9" t="s">
        <v>422</v>
      </c>
      <c r="AE65" s="8" t="s">
        <v>276</v>
      </c>
      <c r="AF65" s="9" t="s">
        <v>422</v>
      </c>
      <c r="AG65" s="9" t="s">
        <v>552</v>
      </c>
      <c r="AH65" s="9" t="s">
        <v>430</v>
      </c>
      <c r="AI65" s="34">
        <f>184+70+71+81+93+104+123+138+133+108+91+59+35</f>
        <v>1290</v>
      </c>
      <c r="AJ65" s="34">
        <f>86+103+109+116+127+158+174+213+194+178+97+43+27</f>
        <v>1625</v>
      </c>
      <c r="AK65" s="34">
        <f t="shared" si="24"/>
        <v>189386</v>
      </c>
      <c r="AL65" s="34">
        <f t="shared" si="24"/>
        <v>219439</v>
      </c>
      <c r="AM65" s="38" t="s">
        <v>376</v>
      </c>
      <c r="AN65" s="8" t="s">
        <v>276</v>
      </c>
      <c r="AO65" s="14">
        <f t="shared" si="5"/>
        <v>0.68114855374737304</v>
      </c>
      <c r="AP65" s="8" t="s">
        <v>276</v>
      </c>
      <c r="AQ65" s="8" t="s">
        <v>276</v>
      </c>
      <c r="AR65" s="8" t="s">
        <v>276</v>
      </c>
      <c r="AS65" s="14">
        <f t="shared" si="6"/>
        <v>0.74052470162550865</v>
      </c>
      <c r="AT65" s="8" t="s">
        <v>276</v>
      </c>
      <c r="AU65" s="8" t="s">
        <v>276</v>
      </c>
      <c r="AV65" s="9" t="s">
        <v>268</v>
      </c>
      <c r="AW65" s="35" t="s">
        <v>276</v>
      </c>
      <c r="AX65" s="35">
        <f t="shared" si="2"/>
        <v>0.9198188152970449</v>
      </c>
      <c r="AY65" s="10" t="s">
        <v>276</v>
      </c>
      <c r="AZ65" s="10" t="s">
        <v>276</v>
      </c>
      <c r="BA65" s="10" t="s">
        <v>276</v>
      </c>
      <c r="BB65" s="10" t="s">
        <v>98</v>
      </c>
      <c r="BC65" s="10" t="s">
        <v>98</v>
      </c>
      <c r="BD65" s="10" t="s">
        <v>98</v>
      </c>
      <c r="BE65" s="10" t="s">
        <v>98</v>
      </c>
      <c r="BF65" s="9" t="s">
        <v>475</v>
      </c>
      <c r="BG65" s="9" t="s">
        <v>476</v>
      </c>
      <c r="BH65" s="9" t="s">
        <v>100</v>
      </c>
      <c r="BI65" s="9" t="s">
        <v>100</v>
      </c>
      <c r="BJ65" s="32"/>
      <c r="BK65" s="32"/>
      <c r="BL65" s="33"/>
      <c r="BM65" s="33"/>
      <c r="BN65" s="33"/>
      <c r="BO65" s="32"/>
      <c r="BP65" s="32"/>
      <c r="BQ65" s="33"/>
    </row>
    <row r="66" spans="1:69" s="6" customFormat="1" ht="104" hidden="1" x14ac:dyDescent="0.35">
      <c r="A66" s="8">
        <v>3713</v>
      </c>
      <c r="B66" s="8" t="s">
        <v>319</v>
      </c>
      <c r="C66" s="8" t="s">
        <v>92</v>
      </c>
      <c r="D66" s="9" t="s">
        <v>553</v>
      </c>
      <c r="E66" s="8" t="s">
        <v>43</v>
      </c>
      <c r="F66" s="8" t="s">
        <v>138</v>
      </c>
      <c r="G66" s="8" t="s">
        <v>225</v>
      </c>
      <c r="H66" s="8" t="s">
        <v>125</v>
      </c>
      <c r="I66" s="8" t="s">
        <v>114</v>
      </c>
      <c r="J66" s="9" t="s">
        <v>29</v>
      </c>
      <c r="K66" s="44" t="s">
        <v>416</v>
      </c>
      <c r="L66" s="2" t="s">
        <v>276</v>
      </c>
      <c r="M66" s="2" t="s">
        <v>276</v>
      </c>
      <c r="N66" s="10" t="s">
        <v>417</v>
      </c>
      <c r="O66" s="10" t="s">
        <v>98</v>
      </c>
      <c r="P66" s="9" t="s">
        <v>239</v>
      </c>
      <c r="Q66" s="41" t="s">
        <v>276</v>
      </c>
      <c r="R66" s="9" t="s">
        <v>358</v>
      </c>
      <c r="S66" s="9" t="s">
        <v>276</v>
      </c>
      <c r="T66" s="9" t="s">
        <v>276</v>
      </c>
      <c r="U66" s="9">
        <v>1</v>
      </c>
      <c r="V66" s="8" t="s">
        <v>14</v>
      </c>
      <c r="W66" s="2" t="s">
        <v>98</v>
      </c>
      <c r="X66" s="10" t="s">
        <v>207</v>
      </c>
      <c r="Y66" s="13">
        <v>189386</v>
      </c>
      <c r="Z66" s="34">
        <v>219439</v>
      </c>
      <c r="AA66" s="34">
        <f>Y66-1589</f>
        <v>187797</v>
      </c>
      <c r="AB66" s="34">
        <f>Z66-1747</f>
        <v>217692</v>
      </c>
      <c r="AC66" s="8" t="s">
        <v>276</v>
      </c>
      <c r="AD66" s="9" t="s">
        <v>422</v>
      </c>
      <c r="AE66" s="8" t="s">
        <v>276</v>
      </c>
      <c r="AF66" s="9" t="s">
        <v>422</v>
      </c>
      <c r="AG66" s="9" t="s">
        <v>554</v>
      </c>
      <c r="AH66" s="9" t="s">
        <v>430</v>
      </c>
      <c r="AI66" s="34">
        <f>1452+311+144+151+167+156+168+197+160+132+110+63+43+9</f>
        <v>3263</v>
      </c>
      <c r="AJ66" s="34">
        <f>159+202+192+249+259+225+284+264+270+181+76+53+23+3</f>
        <v>2440</v>
      </c>
      <c r="AK66" s="34">
        <f t="shared" si="24"/>
        <v>189386</v>
      </c>
      <c r="AL66" s="34">
        <f t="shared" si="24"/>
        <v>219439</v>
      </c>
      <c r="AM66" s="38" t="s">
        <v>376</v>
      </c>
      <c r="AN66" s="8" t="s">
        <v>276</v>
      </c>
      <c r="AO66" s="14">
        <f t="shared" si="5"/>
        <v>1.7229362254865723</v>
      </c>
      <c r="AP66" s="8" t="s">
        <v>276</v>
      </c>
      <c r="AQ66" s="8" t="s">
        <v>276</v>
      </c>
      <c r="AR66" s="8" t="s">
        <v>276</v>
      </c>
      <c r="AS66" s="14">
        <f t="shared" si="6"/>
        <v>1.1119263212099946</v>
      </c>
      <c r="AT66" s="8" t="s">
        <v>276</v>
      </c>
      <c r="AU66" s="8" t="s">
        <v>276</v>
      </c>
      <c r="AV66" s="9" t="s">
        <v>268</v>
      </c>
      <c r="AW66" s="35" t="s">
        <v>276</v>
      </c>
      <c r="AX66" s="35">
        <f t="shared" si="2"/>
        <v>1.5495057474776555</v>
      </c>
      <c r="AY66" s="10" t="s">
        <v>276</v>
      </c>
      <c r="AZ66" s="10" t="s">
        <v>276</v>
      </c>
      <c r="BA66" s="10" t="s">
        <v>276</v>
      </c>
      <c r="BB66" s="10" t="s">
        <v>98</v>
      </c>
      <c r="BC66" s="10" t="s">
        <v>98</v>
      </c>
      <c r="BD66" s="10" t="s">
        <v>98</v>
      </c>
      <c r="BE66" s="10" t="s">
        <v>98</v>
      </c>
      <c r="BF66" s="9" t="s">
        <v>475</v>
      </c>
      <c r="BG66" s="9" t="s">
        <v>476</v>
      </c>
      <c r="BH66" s="9" t="s">
        <v>100</v>
      </c>
      <c r="BI66" s="9" t="s">
        <v>100</v>
      </c>
      <c r="BJ66" s="32"/>
      <c r="BK66" s="32"/>
      <c r="BL66" s="33"/>
      <c r="BM66" s="33"/>
      <c r="BN66" s="33"/>
      <c r="BO66" s="32"/>
      <c r="BP66" s="32"/>
      <c r="BQ66" s="33"/>
    </row>
    <row r="67" spans="1:69" s="6" customFormat="1" ht="104" hidden="1" x14ac:dyDescent="0.35">
      <c r="A67" s="8">
        <v>3713</v>
      </c>
      <c r="B67" s="8" t="s">
        <v>319</v>
      </c>
      <c r="C67" s="8" t="s">
        <v>92</v>
      </c>
      <c r="D67" s="9" t="s">
        <v>555</v>
      </c>
      <c r="E67" s="8" t="s">
        <v>43</v>
      </c>
      <c r="F67" s="8" t="s">
        <v>138</v>
      </c>
      <c r="G67" s="8" t="s">
        <v>225</v>
      </c>
      <c r="H67" s="8" t="s">
        <v>125</v>
      </c>
      <c r="I67" s="8" t="s">
        <v>114</v>
      </c>
      <c r="J67" s="9" t="s">
        <v>29</v>
      </c>
      <c r="K67" s="44">
        <v>7</v>
      </c>
      <c r="L67" s="2" t="s">
        <v>276</v>
      </c>
      <c r="M67" s="2" t="s">
        <v>276</v>
      </c>
      <c r="N67" s="10" t="s">
        <v>417</v>
      </c>
      <c r="O67" s="10" t="s">
        <v>98</v>
      </c>
      <c r="P67" s="9" t="s">
        <v>239</v>
      </c>
      <c r="Q67" s="41" t="s">
        <v>276</v>
      </c>
      <c r="R67" s="9" t="s">
        <v>358</v>
      </c>
      <c r="S67" s="9" t="s">
        <v>276</v>
      </c>
      <c r="T67" s="9" t="s">
        <v>276</v>
      </c>
      <c r="U67" s="9">
        <v>1</v>
      </c>
      <c r="V67" s="8" t="s">
        <v>14</v>
      </c>
      <c r="W67" s="2" t="s">
        <v>98</v>
      </c>
      <c r="X67" s="10" t="s">
        <v>207</v>
      </c>
      <c r="Y67" s="13">
        <v>189386</v>
      </c>
      <c r="Z67" s="34">
        <v>219439</v>
      </c>
      <c r="AA67" s="34">
        <f t="shared" ref="AA67:AA68" si="29">Y67-1589</f>
        <v>187797</v>
      </c>
      <c r="AB67" s="34">
        <f t="shared" ref="AB67:AB68" si="30">Z67-1747</f>
        <v>217692</v>
      </c>
      <c r="AC67" s="8" t="s">
        <v>276</v>
      </c>
      <c r="AD67" s="9" t="s">
        <v>422</v>
      </c>
      <c r="AE67" s="8" t="s">
        <v>276</v>
      </c>
      <c r="AF67" s="9" t="s">
        <v>422</v>
      </c>
      <c r="AG67" s="9" t="s">
        <v>556</v>
      </c>
      <c r="AH67" s="9" t="s">
        <v>430</v>
      </c>
      <c r="AI67" s="34">
        <f>691+235+103+150+172+186+197+255+224+199+131+105+47+15</f>
        <v>2710</v>
      </c>
      <c r="AJ67" s="34">
        <f>136+176+201+226+277+309+329+360+314+228+154+75+26+12</f>
        <v>2823</v>
      </c>
      <c r="AK67" s="34">
        <f t="shared" si="24"/>
        <v>189386</v>
      </c>
      <c r="AL67" s="34">
        <f t="shared" si="24"/>
        <v>219439</v>
      </c>
      <c r="AM67" s="38" t="s">
        <v>376</v>
      </c>
      <c r="AN67" s="8" t="s">
        <v>276</v>
      </c>
      <c r="AO67" s="14">
        <f t="shared" si="5"/>
        <v>1.4309399850041713</v>
      </c>
      <c r="AP67" s="8" t="s">
        <v>276</v>
      </c>
      <c r="AQ67" s="8" t="s">
        <v>276</v>
      </c>
      <c r="AR67" s="8" t="s">
        <v>276</v>
      </c>
      <c r="AS67" s="14">
        <f t="shared" si="6"/>
        <v>1.2864622970392683</v>
      </c>
      <c r="AT67" s="8" t="s">
        <v>276</v>
      </c>
      <c r="AU67" s="8" t="s">
        <v>276</v>
      </c>
      <c r="AV67" s="9" t="s">
        <v>268</v>
      </c>
      <c r="AW67" s="35" t="s">
        <v>276</v>
      </c>
      <c r="AX67" s="35">
        <f t="shared" si="2"/>
        <v>1.1123061968449535</v>
      </c>
      <c r="AY67" s="10" t="s">
        <v>276</v>
      </c>
      <c r="AZ67" s="10" t="s">
        <v>276</v>
      </c>
      <c r="BA67" s="10" t="s">
        <v>276</v>
      </c>
      <c r="BB67" s="10" t="s">
        <v>98</v>
      </c>
      <c r="BC67" s="10" t="s">
        <v>98</v>
      </c>
      <c r="BD67" s="10" t="s">
        <v>98</v>
      </c>
      <c r="BE67" s="10" t="s">
        <v>98</v>
      </c>
      <c r="BF67" s="9" t="s">
        <v>475</v>
      </c>
      <c r="BG67" s="9" t="s">
        <v>476</v>
      </c>
      <c r="BH67" s="9" t="s">
        <v>100</v>
      </c>
      <c r="BI67" s="9" t="s">
        <v>100</v>
      </c>
      <c r="BJ67" s="32"/>
      <c r="BK67" s="32"/>
      <c r="BL67" s="33"/>
      <c r="BM67" s="33"/>
      <c r="BN67" s="33"/>
      <c r="BO67" s="32"/>
      <c r="BP67" s="32"/>
      <c r="BQ67" s="33"/>
    </row>
    <row r="68" spans="1:69" s="6" customFormat="1" ht="104" hidden="1" x14ac:dyDescent="0.35">
      <c r="A68" s="8">
        <v>3713</v>
      </c>
      <c r="B68" s="8" t="s">
        <v>319</v>
      </c>
      <c r="C68" s="8" t="s">
        <v>92</v>
      </c>
      <c r="D68" s="9" t="s">
        <v>557</v>
      </c>
      <c r="E68" s="8" t="s">
        <v>43</v>
      </c>
      <c r="F68" s="8" t="s">
        <v>138</v>
      </c>
      <c r="G68" s="8" t="s">
        <v>225</v>
      </c>
      <c r="H68" s="8" t="s">
        <v>125</v>
      </c>
      <c r="I68" s="8" t="s">
        <v>114</v>
      </c>
      <c r="J68" s="9" t="s">
        <v>29</v>
      </c>
      <c r="K68" s="44" t="s">
        <v>466</v>
      </c>
      <c r="L68" s="2" t="s">
        <v>276</v>
      </c>
      <c r="M68" s="2" t="s">
        <v>276</v>
      </c>
      <c r="N68" s="10" t="s">
        <v>417</v>
      </c>
      <c r="O68" s="10" t="s">
        <v>98</v>
      </c>
      <c r="P68" s="9" t="s">
        <v>239</v>
      </c>
      <c r="Q68" s="41" t="s">
        <v>276</v>
      </c>
      <c r="R68" s="9" t="s">
        <v>358</v>
      </c>
      <c r="S68" s="9" t="s">
        <v>276</v>
      </c>
      <c r="T68" s="9" t="s">
        <v>276</v>
      </c>
      <c r="U68" s="9">
        <v>1</v>
      </c>
      <c r="V68" s="8" t="s">
        <v>14</v>
      </c>
      <c r="W68" s="2" t="s">
        <v>98</v>
      </c>
      <c r="X68" s="10" t="s">
        <v>207</v>
      </c>
      <c r="Y68" s="13">
        <v>189386</v>
      </c>
      <c r="Z68" s="34">
        <v>219439</v>
      </c>
      <c r="AA68" s="34">
        <f t="shared" si="29"/>
        <v>187797</v>
      </c>
      <c r="AB68" s="34">
        <f t="shared" si="30"/>
        <v>217692</v>
      </c>
      <c r="AC68" s="8" t="s">
        <v>276</v>
      </c>
      <c r="AD68" s="9" t="s">
        <v>422</v>
      </c>
      <c r="AE68" s="8" t="s">
        <v>276</v>
      </c>
      <c r="AF68" s="9" t="s">
        <v>422</v>
      </c>
      <c r="AG68" s="9" t="s">
        <v>558</v>
      </c>
      <c r="AH68" s="9" t="s">
        <v>430</v>
      </c>
      <c r="AI68" s="34">
        <f>184+70+71+81+93+104+123+138+133+108+91+59+35+10</f>
        <v>1300</v>
      </c>
      <c r="AJ68" s="34">
        <f>86+103+109+116+127+158+174+213+194+178+97+43+27+11</f>
        <v>1636</v>
      </c>
      <c r="AK68" s="34">
        <f t="shared" si="24"/>
        <v>189386</v>
      </c>
      <c r="AL68" s="34">
        <f t="shared" si="24"/>
        <v>219439</v>
      </c>
      <c r="AM68" s="38" t="s">
        <v>376</v>
      </c>
      <c r="AN68" s="8" t="s">
        <v>276</v>
      </c>
      <c r="AO68" s="14">
        <f t="shared" si="5"/>
        <v>0.68642877509425193</v>
      </c>
      <c r="AP68" s="8" t="s">
        <v>276</v>
      </c>
      <c r="AQ68" s="8" t="s">
        <v>276</v>
      </c>
      <c r="AR68" s="8" t="s">
        <v>276</v>
      </c>
      <c r="AS68" s="14">
        <f t="shared" si="6"/>
        <v>0.74553748422112753</v>
      </c>
      <c r="AT68" s="8" t="s">
        <v>276</v>
      </c>
      <c r="AU68" s="8" t="s">
        <v>276</v>
      </c>
      <c r="AV68" s="9" t="s">
        <v>268</v>
      </c>
      <c r="AW68" s="35" t="s">
        <v>276</v>
      </c>
      <c r="AX68" s="35">
        <f t="shared" si="2"/>
        <v>0.92071665023170868</v>
      </c>
      <c r="AY68" s="10" t="s">
        <v>276</v>
      </c>
      <c r="AZ68" s="10" t="s">
        <v>276</v>
      </c>
      <c r="BA68" s="10" t="s">
        <v>276</v>
      </c>
      <c r="BB68" s="10" t="s">
        <v>98</v>
      </c>
      <c r="BC68" s="10" t="s">
        <v>98</v>
      </c>
      <c r="BD68" s="10" t="s">
        <v>98</v>
      </c>
      <c r="BE68" s="10" t="s">
        <v>98</v>
      </c>
      <c r="BF68" s="9" t="s">
        <v>475</v>
      </c>
      <c r="BG68" s="9" t="s">
        <v>476</v>
      </c>
      <c r="BH68" s="9" t="s">
        <v>100</v>
      </c>
      <c r="BI68" s="9" t="s">
        <v>100</v>
      </c>
      <c r="BJ68" s="32"/>
      <c r="BK68" s="32"/>
      <c r="BL68" s="33"/>
      <c r="BM68" s="33"/>
      <c r="BN68" s="33"/>
      <c r="BO68" s="32"/>
      <c r="BP68" s="32"/>
      <c r="BQ68" s="33"/>
    </row>
    <row r="69" spans="1:69" s="6" customFormat="1" ht="104" hidden="1" x14ac:dyDescent="0.35">
      <c r="A69" s="8">
        <v>3713</v>
      </c>
      <c r="B69" s="8" t="s">
        <v>319</v>
      </c>
      <c r="C69" s="8" t="s">
        <v>92</v>
      </c>
      <c r="D69" s="9" t="s">
        <v>559</v>
      </c>
      <c r="E69" s="8" t="s">
        <v>43</v>
      </c>
      <c r="F69" s="8" t="s">
        <v>138</v>
      </c>
      <c r="G69" s="8" t="s">
        <v>225</v>
      </c>
      <c r="H69" s="8" t="s">
        <v>125</v>
      </c>
      <c r="I69" s="8" t="s">
        <v>114</v>
      </c>
      <c r="J69" s="9" t="s">
        <v>26</v>
      </c>
      <c r="K69" s="45" t="s">
        <v>560</v>
      </c>
      <c r="L69" s="10" t="s">
        <v>561</v>
      </c>
      <c r="M69" s="2" t="s">
        <v>562</v>
      </c>
      <c r="N69" s="10" t="s">
        <v>563</v>
      </c>
      <c r="O69" s="10" t="s">
        <v>418</v>
      </c>
      <c r="P69" s="9" t="s">
        <v>239</v>
      </c>
      <c r="Q69" s="41" t="s">
        <v>323</v>
      </c>
      <c r="R69" s="9" t="s">
        <v>419</v>
      </c>
      <c r="S69" s="34" t="s">
        <v>420</v>
      </c>
      <c r="T69" s="34" t="s">
        <v>421</v>
      </c>
      <c r="U69" s="9">
        <v>1</v>
      </c>
      <c r="V69" s="8" t="s">
        <v>14</v>
      </c>
      <c r="W69" s="2" t="s">
        <v>98</v>
      </c>
      <c r="X69" s="10" t="s">
        <v>207</v>
      </c>
      <c r="Y69" s="13">
        <v>189386</v>
      </c>
      <c r="Z69" s="34">
        <v>219439</v>
      </c>
      <c r="AA69" s="38" t="s">
        <v>276</v>
      </c>
      <c r="AB69" s="38" t="s">
        <v>276</v>
      </c>
      <c r="AC69" s="8">
        <f>8054-7197</f>
        <v>857</v>
      </c>
      <c r="AD69" s="10" t="s">
        <v>564</v>
      </c>
      <c r="AE69" s="8">
        <f>7853-7009</f>
        <v>844</v>
      </c>
      <c r="AF69" s="10" t="s">
        <v>564</v>
      </c>
      <c r="AG69" s="9" t="s">
        <v>565</v>
      </c>
      <c r="AH69" s="9" t="s">
        <v>424</v>
      </c>
      <c r="AI69" s="34">
        <v>4938</v>
      </c>
      <c r="AJ69" s="34">
        <v>4192</v>
      </c>
      <c r="AK69" s="34">
        <v>1808031</v>
      </c>
      <c r="AL69" s="34">
        <v>2063912</v>
      </c>
      <c r="AM69" s="38" t="s">
        <v>425</v>
      </c>
      <c r="AN69" s="8" t="s">
        <v>276</v>
      </c>
      <c r="AO69" s="14">
        <f>AI69*1000/AK69</f>
        <v>2.7311478619559066</v>
      </c>
      <c r="AP69" s="8" t="s">
        <v>276</v>
      </c>
      <c r="AQ69" s="8" t="s">
        <v>276</v>
      </c>
      <c r="AR69" s="8" t="s">
        <v>276</v>
      </c>
      <c r="AS69" s="14">
        <f>AJ69*1000/AL69</f>
        <v>2.0310943489838715</v>
      </c>
      <c r="AT69" s="8" t="s">
        <v>276</v>
      </c>
      <c r="AU69" s="8" t="s">
        <v>276</v>
      </c>
      <c r="AV69" s="9" t="s">
        <v>269</v>
      </c>
      <c r="AW69" s="35" t="s">
        <v>276</v>
      </c>
      <c r="AX69" s="35">
        <f t="shared" si="2"/>
        <v>1.3446681407598136</v>
      </c>
      <c r="AY69" s="10" t="s">
        <v>276</v>
      </c>
      <c r="AZ69" s="10" t="s">
        <v>276</v>
      </c>
      <c r="BA69" s="10" t="s">
        <v>276</v>
      </c>
      <c r="BB69" s="10" t="s">
        <v>98</v>
      </c>
      <c r="BC69" s="10" t="s">
        <v>98</v>
      </c>
      <c r="BD69" s="10" t="s">
        <v>98</v>
      </c>
      <c r="BE69" s="10" t="s">
        <v>98</v>
      </c>
      <c r="BF69" s="9" t="s">
        <v>566</v>
      </c>
      <c r="BG69" s="9" t="s">
        <v>567</v>
      </c>
      <c r="BH69" s="9" t="s">
        <v>100</v>
      </c>
      <c r="BI69" s="9" t="s">
        <v>100</v>
      </c>
      <c r="BJ69" s="32"/>
      <c r="BK69" s="32"/>
      <c r="BL69" s="33"/>
      <c r="BM69" s="33"/>
      <c r="BN69" s="33"/>
      <c r="BO69" s="32"/>
      <c r="BP69" s="32"/>
      <c r="BQ69" s="33"/>
    </row>
    <row r="70" spans="1:69" s="6" customFormat="1" ht="104" hidden="1" x14ac:dyDescent="0.35">
      <c r="A70" s="8">
        <v>3713</v>
      </c>
      <c r="B70" s="8" t="s">
        <v>319</v>
      </c>
      <c r="C70" s="8" t="s">
        <v>92</v>
      </c>
      <c r="D70" s="9" t="s">
        <v>568</v>
      </c>
      <c r="E70" s="8" t="s">
        <v>43</v>
      </c>
      <c r="F70" s="8" t="s">
        <v>138</v>
      </c>
      <c r="G70" s="8" t="s">
        <v>225</v>
      </c>
      <c r="H70" s="8" t="s">
        <v>125</v>
      </c>
      <c r="I70" s="8" t="s">
        <v>114</v>
      </c>
      <c r="J70" s="9" t="s">
        <v>26</v>
      </c>
      <c r="K70" s="45" t="s">
        <v>560</v>
      </c>
      <c r="L70" s="10" t="s">
        <v>561</v>
      </c>
      <c r="M70" s="2" t="s">
        <v>562</v>
      </c>
      <c r="N70" s="10" t="s">
        <v>563</v>
      </c>
      <c r="O70" s="10" t="s">
        <v>98</v>
      </c>
      <c r="P70" s="9" t="s">
        <v>239</v>
      </c>
      <c r="Q70" s="41" t="s">
        <v>323</v>
      </c>
      <c r="R70" s="9" t="s">
        <v>419</v>
      </c>
      <c r="S70" s="34" t="s">
        <v>420</v>
      </c>
      <c r="T70" s="34" t="s">
        <v>421</v>
      </c>
      <c r="U70" s="9">
        <v>1</v>
      </c>
      <c r="V70" s="8" t="s">
        <v>14</v>
      </c>
      <c r="W70" s="2" t="s">
        <v>98</v>
      </c>
      <c r="X70" s="10" t="s">
        <v>207</v>
      </c>
      <c r="Y70" s="13">
        <v>189386</v>
      </c>
      <c r="Z70" s="34">
        <v>219439</v>
      </c>
      <c r="AA70" s="38" t="s">
        <v>276</v>
      </c>
      <c r="AB70" s="38" t="s">
        <v>276</v>
      </c>
      <c r="AC70" s="8">
        <f t="shared" ref="AC70:AC74" si="31">8054-7197</f>
        <v>857</v>
      </c>
      <c r="AD70" s="10" t="s">
        <v>564</v>
      </c>
      <c r="AE70" s="8">
        <f t="shared" ref="AE70:AE74" si="32">7853-7009</f>
        <v>844</v>
      </c>
      <c r="AF70" s="10" t="s">
        <v>564</v>
      </c>
      <c r="AG70" s="9" t="s">
        <v>565</v>
      </c>
      <c r="AH70" s="9" t="s">
        <v>430</v>
      </c>
      <c r="AI70" s="34">
        <v>4938</v>
      </c>
      <c r="AJ70" s="34">
        <v>4192</v>
      </c>
      <c r="AK70" s="34">
        <f>Y70</f>
        <v>189386</v>
      </c>
      <c r="AL70" s="34">
        <f>Z70</f>
        <v>219439</v>
      </c>
      <c r="AM70" s="38" t="s">
        <v>376</v>
      </c>
      <c r="AN70" s="8">
        <v>2.6</v>
      </c>
      <c r="AO70" s="14">
        <f>AI70*100/AK70</f>
        <v>2.6073733010887818</v>
      </c>
      <c r="AP70" s="8" t="s">
        <v>276</v>
      </c>
      <c r="AQ70" s="8" t="s">
        <v>276</v>
      </c>
      <c r="AR70" s="8">
        <v>1.9</v>
      </c>
      <c r="AS70" s="14">
        <f>AJ70*100/AL70</f>
        <v>1.9103258764394662</v>
      </c>
      <c r="AT70" s="8" t="s">
        <v>276</v>
      </c>
      <c r="AU70" s="8" t="s">
        <v>276</v>
      </c>
      <c r="AV70" s="9" t="s">
        <v>268</v>
      </c>
      <c r="AW70" s="35" t="s">
        <v>276</v>
      </c>
      <c r="AX70" s="35">
        <f t="shared" si="2"/>
        <v>1.3648840405954703</v>
      </c>
      <c r="AY70" s="10" t="s">
        <v>276</v>
      </c>
      <c r="AZ70" s="10" t="s">
        <v>276</v>
      </c>
      <c r="BA70" s="10" t="s">
        <v>431</v>
      </c>
      <c r="BB70" s="10" t="s">
        <v>98</v>
      </c>
      <c r="BC70" s="10" t="s">
        <v>98</v>
      </c>
      <c r="BD70" s="10" t="s">
        <v>98</v>
      </c>
      <c r="BE70" s="10" t="s">
        <v>98</v>
      </c>
      <c r="BF70" s="9" t="s">
        <v>569</v>
      </c>
      <c r="BG70" s="9" t="s">
        <v>276</v>
      </c>
      <c r="BH70" s="9" t="s">
        <v>100</v>
      </c>
      <c r="BI70" s="9" t="s">
        <v>100</v>
      </c>
      <c r="BJ70" s="32"/>
      <c r="BK70" s="32"/>
      <c r="BL70" s="33"/>
      <c r="BM70" s="33"/>
      <c r="BN70" s="33"/>
      <c r="BO70" s="32"/>
      <c r="BP70" s="32"/>
      <c r="BQ70" s="33"/>
    </row>
    <row r="71" spans="1:69" s="6" customFormat="1" ht="104" hidden="1" x14ac:dyDescent="0.35">
      <c r="A71" s="8">
        <v>3713</v>
      </c>
      <c r="B71" s="8" t="s">
        <v>319</v>
      </c>
      <c r="C71" s="8" t="s">
        <v>92</v>
      </c>
      <c r="D71" s="9" t="s">
        <v>570</v>
      </c>
      <c r="E71" s="8" t="s">
        <v>43</v>
      </c>
      <c r="F71" s="8" t="s">
        <v>138</v>
      </c>
      <c r="G71" s="8" t="s">
        <v>225</v>
      </c>
      <c r="H71" s="8" t="s">
        <v>125</v>
      </c>
      <c r="I71" s="8" t="s">
        <v>114</v>
      </c>
      <c r="J71" s="9" t="s">
        <v>26</v>
      </c>
      <c r="K71" s="45" t="s">
        <v>571</v>
      </c>
      <c r="L71" s="10" t="s">
        <v>561</v>
      </c>
      <c r="M71" s="2" t="s">
        <v>562</v>
      </c>
      <c r="N71" s="10" t="s">
        <v>563</v>
      </c>
      <c r="O71" s="10" t="s">
        <v>418</v>
      </c>
      <c r="P71" s="9" t="s">
        <v>239</v>
      </c>
      <c r="Q71" s="41" t="s">
        <v>323</v>
      </c>
      <c r="R71" s="9" t="s">
        <v>419</v>
      </c>
      <c r="S71" s="34" t="s">
        <v>420</v>
      </c>
      <c r="T71" s="34" t="s">
        <v>421</v>
      </c>
      <c r="U71" s="9">
        <v>1</v>
      </c>
      <c r="V71" s="8" t="s">
        <v>14</v>
      </c>
      <c r="W71" s="2" t="s">
        <v>98</v>
      </c>
      <c r="X71" s="10" t="s">
        <v>207</v>
      </c>
      <c r="Y71" s="13">
        <v>189386</v>
      </c>
      <c r="Z71" s="34">
        <v>219439</v>
      </c>
      <c r="AA71" s="38" t="s">
        <v>276</v>
      </c>
      <c r="AB71" s="38" t="s">
        <v>276</v>
      </c>
      <c r="AC71" s="8">
        <f t="shared" si="31"/>
        <v>857</v>
      </c>
      <c r="AD71" s="10" t="s">
        <v>564</v>
      </c>
      <c r="AE71" s="8">
        <f t="shared" si="32"/>
        <v>844</v>
      </c>
      <c r="AF71" s="10" t="s">
        <v>564</v>
      </c>
      <c r="AG71" s="9" t="s">
        <v>572</v>
      </c>
      <c r="AH71" s="9" t="s">
        <v>424</v>
      </c>
      <c r="AI71" s="34">
        <v>1329</v>
      </c>
      <c r="AJ71" s="34">
        <v>1540</v>
      </c>
      <c r="AK71" s="34">
        <v>1808031</v>
      </c>
      <c r="AL71" s="34">
        <v>2063912</v>
      </c>
      <c r="AM71" s="38" t="s">
        <v>425</v>
      </c>
      <c r="AN71" s="8" t="s">
        <v>276</v>
      </c>
      <c r="AO71" s="14">
        <f>AI71*1000/AK71</f>
        <v>0.73505376843649251</v>
      </c>
      <c r="AP71" s="8" t="s">
        <v>276</v>
      </c>
      <c r="AQ71" s="8" t="s">
        <v>276</v>
      </c>
      <c r="AR71" s="8" t="s">
        <v>276</v>
      </c>
      <c r="AS71" s="14">
        <f>AJ71*1000/AL71</f>
        <v>0.74615584385380773</v>
      </c>
      <c r="AT71" s="8" t="s">
        <v>276</v>
      </c>
      <c r="AU71" s="8" t="s">
        <v>276</v>
      </c>
      <c r="AV71" s="9" t="s">
        <v>269</v>
      </c>
      <c r="AW71" s="35" t="s">
        <v>276</v>
      </c>
      <c r="AX71" s="35">
        <f t="shared" ref="AX71:AX81" si="33">AO71/AS71</f>
        <v>0.98512096968915464</v>
      </c>
      <c r="AY71" s="10" t="s">
        <v>276</v>
      </c>
      <c r="AZ71" s="10" t="s">
        <v>276</v>
      </c>
      <c r="BA71" s="10" t="s">
        <v>276</v>
      </c>
      <c r="BB71" s="10" t="s">
        <v>98</v>
      </c>
      <c r="BC71" s="10" t="s">
        <v>98</v>
      </c>
      <c r="BD71" s="10" t="s">
        <v>98</v>
      </c>
      <c r="BE71" s="10" t="s">
        <v>98</v>
      </c>
      <c r="BF71" s="9" t="s">
        <v>426</v>
      </c>
      <c r="BG71" s="9" t="s">
        <v>567</v>
      </c>
      <c r="BH71" s="9" t="s">
        <v>100</v>
      </c>
      <c r="BI71" s="9" t="s">
        <v>100</v>
      </c>
      <c r="BJ71" s="32"/>
      <c r="BK71" s="32"/>
      <c r="BL71" s="33"/>
      <c r="BM71" s="33"/>
      <c r="BN71" s="33"/>
      <c r="BO71" s="32"/>
      <c r="BP71" s="32"/>
      <c r="BQ71" s="33"/>
    </row>
    <row r="72" spans="1:69" s="6" customFormat="1" ht="104" hidden="1" x14ac:dyDescent="0.35">
      <c r="A72" s="8">
        <v>3713</v>
      </c>
      <c r="B72" s="8" t="s">
        <v>319</v>
      </c>
      <c r="C72" s="8" t="s">
        <v>92</v>
      </c>
      <c r="D72" s="9" t="s">
        <v>573</v>
      </c>
      <c r="E72" s="8" t="s">
        <v>43</v>
      </c>
      <c r="F72" s="8" t="s">
        <v>138</v>
      </c>
      <c r="G72" s="8" t="s">
        <v>225</v>
      </c>
      <c r="H72" s="8" t="s">
        <v>125</v>
      </c>
      <c r="I72" s="8" t="s">
        <v>114</v>
      </c>
      <c r="J72" s="9" t="s">
        <v>26</v>
      </c>
      <c r="K72" s="45" t="s">
        <v>571</v>
      </c>
      <c r="L72" s="10" t="s">
        <v>561</v>
      </c>
      <c r="M72" s="2" t="s">
        <v>562</v>
      </c>
      <c r="N72" s="10" t="s">
        <v>563</v>
      </c>
      <c r="O72" s="10" t="s">
        <v>98</v>
      </c>
      <c r="P72" s="9" t="s">
        <v>239</v>
      </c>
      <c r="Q72" s="41" t="s">
        <v>323</v>
      </c>
      <c r="R72" s="9" t="s">
        <v>419</v>
      </c>
      <c r="S72" s="34" t="s">
        <v>420</v>
      </c>
      <c r="T72" s="34" t="s">
        <v>421</v>
      </c>
      <c r="U72" s="9">
        <v>1</v>
      </c>
      <c r="V72" s="8" t="s">
        <v>14</v>
      </c>
      <c r="W72" s="2" t="s">
        <v>98</v>
      </c>
      <c r="X72" s="10" t="s">
        <v>207</v>
      </c>
      <c r="Y72" s="13">
        <v>189386</v>
      </c>
      <c r="Z72" s="34">
        <v>219439</v>
      </c>
      <c r="AA72" s="38" t="s">
        <v>276</v>
      </c>
      <c r="AB72" s="38" t="s">
        <v>276</v>
      </c>
      <c r="AC72" s="8">
        <f t="shared" si="31"/>
        <v>857</v>
      </c>
      <c r="AD72" s="10" t="s">
        <v>564</v>
      </c>
      <c r="AE72" s="8">
        <f t="shared" si="32"/>
        <v>844</v>
      </c>
      <c r="AF72" s="10" t="s">
        <v>564</v>
      </c>
      <c r="AG72" s="9" t="s">
        <v>572</v>
      </c>
      <c r="AH72" s="9" t="s">
        <v>430</v>
      </c>
      <c r="AI72" s="34">
        <v>1329</v>
      </c>
      <c r="AJ72" s="34">
        <v>1540</v>
      </c>
      <c r="AK72" s="34">
        <f>Y72</f>
        <v>189386</v>
      </c>
      <c r="AL72" s="34">
        <f>Z72</f>
        <v>219439</v>
      </c>
      <c r="AM72" s="38" t="s">
        <v>376</v>
      </c>
      <c r="AN72" s="8">
        <v>0.7</v>
      </c>
      <c r="AO72" s="14">
        <f>AI72*100/AK72</f>
        <v>0.70174141700020065</v>
      </c>
      <c r="AP72" s="8" t="s">
        <v>276</v>
      </c>
      <c r="AQ72" s="8" t="s">
        <v>276</v>
      </c>
      <c r="AR72" s="8">
        <v>0.7</v>
      </c>
      <c r="AS72" s="14">
        <f>AJ72*100/AL72</f>
        <v>0.7017895633866359</v>
      </c>
      <c r="AT72" s="8" t="s">
        <v>276</v>
      </c>
      <c r="AU72" s="8" t="s">
        <v>276</v>
      </c>
      <c r="AV72" s="9" t="s">
        <v>268</v>
      </c>
      <c r="AW72" s="35" t="s">
        <v>276</v>
      </c>
      <c r="AX72" s="35">
        <f t="shared" si="33"/>
        <v>0.99993139483835736</v>
      </c>
      <c r="AY72" s="10" t="s">
        <v>276</v>
      </c>
      <c r="AZ72" s="10" t="s">
        <v>276</v>
      </c>
      <c r="BA72" s="10" t="s">
        <v>276</v>
      </c>
      <c r="BB72" s="10" t="s">
        <v>98</v>
      </c>
      <c r="BC72" s="10" t="s">
        <v>98</v>
      </c>
      <c r="BD72" s="10" t="s">
        <v>98</v>
      </c>
      <c r="BE72" s="10" t="s">
        <v>98</v>
      </c>
      <c r="BF72" s="9" t="s">
        <v>426</v>
      </c>
      <c r="BG72" s="9" t="s">
        <v>574</v>
      </c>
      <c r="BH72" s="9" t="s">
        <v>100</v>
      </c>
      <c r="BI72" s="9" t="s">
        <v>100</v>
      </c>
      <c r="BJ72" s="32"/>
      <c r="BK72" s="32"/>
      <c r="BL72" s="33"/>
      <c r="BM72" s="33"/>
      <c r="BN72" s="33"/>
      <c r="BO72" s="32"/>
      <c r="BP72" s="32"/>
      <c r="BQ72" s="33"/>
    </row>
    <row r="73" spans="1:69" s="6" customFormat="1" ht="117" hidden="1" x14ac:dyDescent="0.35">
      <c r="A73" s="8">
        <v>3713</v>
      </c>
      <c r="B73" s="8" t="s">
        <v>319</v>
      </c>
      <c r="C73" s="8" t="s">
        <v>92</v>
      </c>
      <c r="D73" s="9" t="s">
        <v>575</v>
      </c>
      <c r="E73" s="8" t="s">
        <v>43</v>
      </c>
      <c r="F73" s="8" t="s">
        <v>138</v>
      </c>
      <c r="G73" s="8" t="s">
        <v>225</v>
      </c>
      <c r="H73" s="8" t="s">
        <v>125</v>
      </c>
      <c r="I73" s="8" t="s">
        <v>114</v>
      </c>
      <c r="J73" s="9" t="s">
        <v>26</v>
      </c>
      <c r="K73" s="45" t="s">
        <v>576</v>
      </c>
      <c r="L73" s="10" t="s">
        <v>561</v>
      </c>
      <c r="M73" s="2" t="s">
        <v>562</v>
      </c>
      <c r="N73" s="10" t="s">
        <v>563</v>
      </c>
      <c r="O73" s="10" t="s">
        <v>418</v>
      </c>
      <c r="P73" s="9" t="s">
        <v>239</v>
      </c>
      <c r="Q73" s="41" t="s">
        <v>323</v>
      </c>
      <c r="R73" s="9" t="s">
        <v>419</v>
      </c>
      <c r="S73" s="34" t="s">
        <v>420</v>
      </c>
      <c r="T73" s="34" t="s">
        <v>421</v>
      </c>
      <c r="U73" s="9">
        <v>1</v>
      </c>
      <c r="V73" s="8" t="s">
        <v>14</v>
      </c>
      <c r="W73" s="2" t="s">
        <v>98</v>
      </c>
      <c r="X73" s="10" t="s">
        <v>207</v>
      </c>
      <c r="Y73" s="13">
        <v>189386</v>
      </c>
      <c r="Z73" s="34">
        <v>219439</v>
      </c>
      <c r="AA73" s="34" t="s">
        <v>276</v>
      </c>
      <c r="AB73" s="34" t="s">
        <v>276</v>
      </c>
      <c r="AC73" s="8">
        <f t="shared" si="31"/>
        <v>857</v>
      </c>
      <c r="AD73" s="10" t="s">
        <v>564</v>
      </c>
      <c r="AE73" s="8">
        <f t="shared" si="32"/>
        <v>844</v>
      </c>
      <c r="AF73" s="10" t="s">
        <v>564</v>
      </c>
      <c r="AG73" s="9" t="s">
        <v>577</v>
      </c>
      <c r="AH73" s="9" t="s">
        <v>424</v>
      </c>
      <c r="AI73" s="34">
        <v>930</v>
      </c>
      <c r="AJ73" s="34">
        <v>1277</v>
      </c>
      <c r="AK73" s="34">
        <v>1808031</v>
      </c>
      <c r="AL73" s="34">
        <v>2063912</v>
      </c>
      <c r="AM73" s="38" t="s">
        <v>425</v>
      </c>
      <c r="AN73" s="8" t="s">
        <v>276</v>
      </c>
      <c r="AO73" s="14">
        <f>AI73*1000/AK73</f>
        <v>0.51437171154698125</v>
      </c>
      <c r="AP73" s="8" t="s">
        <v>276</v>
      </c>
      <c r="AQ73" s="8" t="s">
        <v>276</v>
      </c>
      <c r="AR73" s="8" t="s">
        <v>276</v>
      </c>
      <c r="AS73" s="14">
        <f>AJ73*1000/AL73</f>
        <v>0.61872793026059247</v>
      </c>
      <c r="AT73" s="8" t="s">
        <v>276</v>
      </c>
      <c r="AU73" s="8" t="s">
        <v>276</v>
      </c>
      <c r="AV73" s="9" t="s">
        <v>269</v>
      </c>
      <c r="AW73" s="35" t="s">
        <v>276</v>
      </c>
      <c r="AX73" s="35">
        <f t="shared" si="33"/>
        <v>0.83133746900732441</v>
      </c>
      <c r="AY73" s="10" t="s">
        <v>276</v>
      </c>
      <c r="AZ73" s="10" t="s">
        <v>276</v>
      </c>
      <c r="BA73" s="10" t="s">
        <v>276</v>
      </c>
      <c r="BB73" s="10" t="s">
        <v>98</v>
      </c>
      <c r="BC73" s="10" t="s">
        <v>98</v>
      </c>
      <c r="BD73" s="10" t="s">
        <v>98</v>
      </c>
      <c r="BE73" s="10" t="s">
        <v>98</v>
      </c>
      <c r="BF73" s="9" t="s">
        <v>426</v>
      </c>
      <c r="BG73" s="9" t="s">
        <v>567</v>
      </c>
      <c r="BH73" s="9" t="s">
        <v>100</v>
      </c>
      <c r="BI73" s="9" t="s">
        <v>100</v>
      </c>
      <c r="BJ73" s="32"/>
      <c r="BK73" s="32"/>
      <c r="BL73" s="33"/>
      <c r="BM73" s="33"/>
      <c r="BN73" s="33"/>
      <c r="BO73" s="32"/>
      <c r="BP73" s="32"/>
      <c r="BQ73" s="33"/>
    </row>
    <row r="74" spans="1:69" s="6" customFormat="1" ht="117" hidden="1" x14ac:dyDescent="0.35">
      <c r="A74" s="8">
        <v>3713</v>
      </c>
      <c r="B74" s="8" t="s">
        <v>319</v>
      </c>
      <c r="C74" s="8" t="s">
        <v>92</v>
      </c>
      <c r="D74" s="9" t="s">
        <v>578</v>
      </c>
      <c r="E74" s="8" t="s">
        <v>43</v>
      </c>
      <c r="F74" s="8" t="s">
        <v>138</v>
      </c>
      <c r="G74" s="8" t="s">
        <v>225</v>
      </c>
      <c r="H74" s="8" t="s">
        <v>125</v>
      </c>
      <c r="I74" s="8" t="s">
        <v>114</v>
      </c>
      <c r="J74" s="9" t="s">
        <v>26</v>
      </c>
      <c r="K74" s="45" t="s">
        <v>576</v>
      </c>
      <c r="L74" s="10" t="s">
        <v>561</v>
      </c>
      <c r="M74" s="2" t="s">
        <v>562</v>
      </c>
      <c r="N74" s="10" t="s">
        <v>563</v>
      </c>
      <c r="O74" s="10" t="s">
        <v>98</v>
      </c>
      <c r="P74" s="9" t="s">
        <v>239</v>
      </c>
      <c r="Q74" s="41" t="s">
        <v>323</v>
      </c>
      <c r="R74" s="9" t="s">
        <v>419</v>
      </c>
      <c r="S74" s="34" t="s">
        <v>420</v>
      </c>
      <c r="T74" s="34" t="s">
        <v>421</v>
      </c>
      <c r="U74" s="9">
        <v>1</v>
      </c>
      <c r="V74" s="8" t="s">
        <v>14</v>
      </c>
      <c r="W74" s="2" t="s">
        <v>98</v>
      </c>
      <c r="X74" s="10" t="s">
        <v>207</v>
      </c>
      <c r="Y74" s="13">
        <v>189386</v>
      </c>
      <c r="Z74" s="34">
        <v>219439</v>
      </c>
      <c r="AA74" s="34" t="s">
        <v>276</v>
      </c>
      <c r="AB74" s="34" t="s">
        <v>276</v>
      </c>
      <c r="AC74" s="8">
        <f t="shared" si="31"/>
        <v>857</v>
      </c>
      <c r="AD74" s="10" t="s">
        <v>564</v>
      </c>
      <c r="AE74" s="8">
        <f t="shared" si="32"/>
        <v>844</v>
      </c>
      <c r="AF74" s="10" t="s">
        <v>564</v>
      </c>
      <c r="AG74" s="9" t="s">
        <v>577</v>
      </c>
      <c r="AH74" s="9" t="s">
        <v>430</v>
      </c>
      <c r="AI74" s="34">
        <v>930</v>
      </c>
      <c r="AJ74" s="34">
        <v>1277</v>
      </c>
      <c r="AK74" s="34">
        <f>Y74</f>
        <v>189386</v>
      </c>
      <c r="AL74" s="34">
        <f>Z74</f>
        <v>219439</v>
      </c>
      <c r="AM74" s="38" t="s">
        <v>376</v>
      </c>
      <c r="AN74" s="8">
        <v>0.5</v>
      </c>
      <c r="AO74" s="14">
        <f>AI74*100/AK74</f>
        <v>0.49106058525973406</v>
      </c>
      <c r="AP74" s="8" t="s">
        <v>276</v>
      </c>
      <c r="AQ74" s="8" t="s">
        <v>276</v>
      </c>
      <c r="AR74" s="8">
        <v>0.6</v>
      </c>
      <c r="AS74" s="14">
        <f>AJ74*100/AL74</f>
        <v>0.5819384886004767</v>
      </c>
      <c r="AT74" s="8" t="s">
        <v>276</v>
      </c>
      <c r="AU74" s="8" t="s">
        <v>276</v>
      </c>
      <c r="AV74" s="9" t="s">
        <v>268</v>
      </c>
      <c r="AW74" s="35" t="s">
        <v>276</v>
      </c>
      <c r="AX74" s="35">
        <f t="shared" si="33"/>
        <v>0.84383589482232402</v>
      </c>
      <c r="AY74" s="10" t="s">
        <v>276</v>
      </c>
      <c r="AZ74" s="10" t="s">
        <v>276</v>
      </c>
      <c r="BA74" s="10" t="s">
        <v>431</v>
      </c>
      <c r="BB74" s="10" t="s">
        <v>98</v>
      </c>
      <c r="BC74" s="10" t="s">
        <v>98</v>
      </c>
      <c r="BD74" s="10" t="s">
        <v>98</v>
      </c>
      <c r="BE74" s="10" t="s">
        <v>98</v>
      </c>
      <c r="BF74" s="9" t="s">
        <v>579</v>
      </c>
      <c r="BG74" s="9" t="s">
        <v>276</v>
      </c>
      <c r="BH74" s="9" t="s">
        <v>100</v>
      </c>
      <c r="BI74" s="9" t="s">
        <v>100</v>
      </c>
      <c r="BJ74" s="32"/>
      <c r="BK74" s="32"/>
      <c r="BL74" s="33"/>
      <c r="BM74" s="33"/>
      <c r="BN74" s="33"/>
      <c r="BO74" s="32"/>
      <c r="BP74" s="32"/>
      <c r="BQ74" s="33"/>
    </row>
    <row r="75" spans="1:69" s="6" customFormat="1" ht="117" hidden="1" x14ac:dyDescent="0.35">
      <c r="A75" s="8">
        <v>3713</v>
      </c>
      <c r="B75" s="8" t="s">
        <v>319</v>
      </c>
      <c r="C75" s="8" t="s">
        <v>92</v>
      </c>
      <c r="D75" s="9" t="s">
        <v>580</v>
      </c>
      <c r="E75" s="8" t="s">
        <v>43</v>
      </c>
      <c r="F75" s="8" t="s">
        <v>138</v>
      </c>
      <c r="G75" s="8" t="s">
        <v>225</v>
      </c>
      <c r="H75" s="8" t="s">
        <v>125</v>
      </c>
      <c r="I75" s="8" t="s">
        <v>114</v>
      </c>
      <c r="J75" s="9" t="s">
        <v>26</v>
      </c>
      <c r="K75" s="45" t="s">
        <v>576</v>
      </c>
      <c r="L75" s="10" t="s">
        <v>561</v>
      </c>
      <c r="M75" s="2" t="s">
        <v>562</v>
      </c>
      <c r="N75" s="10" t="s">
        <v>563</v>
      </c>
      <c r="O75" s="10" t="s">
        <v>98</v>
      </c>
      <c r="P75" s="9" t="s">
        <v>235</v>
      </c>
      <c r="Q75" s="41" t="s">
        <v>323</v>
      </c>
      <c r="R75" s="9" t="s">
        <v>419</v>
      </c>
      <c r="S75" s="34" t="s">
        <v>420</v>
      </c>
      <c r="T75" s="34" t="s">
        <v>421</v>
      </c>
      <c r="U75" s="9">
        <v>1</v>
      </c>
      <c r="V75" s="8" t="s">
        <v>14</v>
      </c>
      <c r="W75" s="2" t="s">
        <v>98</v>
      </c>
      <c r="X75" s="10" t="s">
        <v>207</v>
      </c>
      <c r="Y75" s="13" t="s">
        <v>98</v>
      </c>
      <c r="Z75" s="34" t="s">
        <v>98</v>
      </c>
      <c r="AA75" s="34" t="s">
        <v>276</v>
      </c>
      <c r="AB75" s="34" t="s">
        <v>276</v>
      </c>
      <c r="AC75" s="8">
        <f>8054-7197</f>
        <v>857</v>
      </c>
      <c r="AD75" s="10" t="s">
        <v>564</v>
      </c>
      <c r="AE75" s="8">
        <f>7853-7009</f>
        <v>844</v>
      </c>
      <c r="AF75" s="10" t="s">
        <v>564</v>
      </c>
      <c r="AG75" s="9" t="s">
        <v>577</v>
      </c>
      <c r="AH75" s="9" t="s">
        <v>581</v>
      </c>
      <c r="AI75" s="34">
        <v>930</v>
      </c>
      <c r="AJ75" s="34">
        <v>1277</v>
      </c>
      <c r="AK75" s="34">
        <v>8054</v>
      </c>
      <c r="AL75" s="34">
        <v>7853</v>
      </c>
      <c r="AM75" s="38" t="s">
        <v>447</v>
      </c>
      <c r="AN75" s="8" t="s">
        <v>276</v>
      </c>
      <c r="AO75" s="14">
        <f>AI75*100/AK75</f>
        <v>11.547057362801093</v>
      </c>
      <c r="AP75" s="8" t="s">
        <v>276</v>
      </c>
      <c r="AQ75" s="8" t="s">
        <v>276</v>
      </c>
      <c r="AR75" s="8" t="s">
        <v>276</v>
      </c>
      <c r="AS75" s="14">
        <f>AJ75*100/AL75</f>
        <v>16.261301413472559</v>
      </c>
      <c r="AT75" s="8" t="s">
        <v>276</v>
      </c>
      <c r="AU75" s="8" t="s">
        <v>276</v>
      </c>
      <c r="AV75" s="9" t="s">
        <v>268</v>
      </c>
      <c r="AW75" s="35" t="s">
        <v>276</v>
      </c>
      <c r="AX75" s="35">
        <f t="shared" si="33"/>
        <v>0.71009429498885657</v>
      </c>
      <c r="AY75" s="10" t="s">
        <v>276</v>
      </c>
      <c r="AZ75" s="10" t="s">
        <v>276</v>
      </c>
      <c r="BA75" s="10" t="s">
        <v>276</v>
      </c>
      <c r="BB75" s="10" t="s">
        <v>98</v>
      </c>
      <c r="BC75" s="10" t="s">
        <v>98</v>
      </c>
      <c r="BD75" s="10" t="s">
        <v>98</v>
      </c>
      <c r="BE75" s="10" t="s">
        <v>98</v>
      </c>
      <c r="BF75" s="9" t="s">
        <v>448</v>
      </c>
      <c r="BG75" s="9" t="s">
        <v>582</v>
      </c>
      <c r="BH75" s="9" t="s">
        <v>100</v>
      </c>
      <c r="BI75" s="9" t="s">
        <v>100</v>
      </c>
      <c r="BJ75" s="32"/>
      <c r="BK75" s="32"/>
      <c r="BL75" s="33"/>
      <c r="BM75" s="33"/>
      <c r="BN75" s="33"/>
      <c r="BO75" s="32"/>
      <c r="BP75" s="32"/>
      <c r="BQ75" s="33"/>
    </row>
    <row r="76" spans="1:69" s="6" customFormat="1" ht="104" hidden="1" x14ac:dyDescent="0.35">
      <c r="A76" s="8">
        <v>3713</v>
      </c>
      <c r="B76" s="8" t="s">
        <v>319</v>
      </c>
      <c r="C76" s="8" t="s">
        <v>92</v>
      </c>
      <c r="D76" s="9" t="s">
        <v>583</v>
      </c>
      <c r="E76" s="8" t="s">
        <v>43</v>
      </c>
      <c r="F76" s="8" t="s">
        <v>138</v>
      </c>
      <c r="G76" s="8" t="s">
        <v>225</v>
      </c>
      <c r="H76" s="8" t="s">
        <v>125</v>
      </c>
      <c r="I76" s="8" t="s">
        <v>114</v>
      </c>
      <c r="J76" s="9" t="s">
        <v>26</v>
      </c>
      <c r="K76" s="45" t="s">
        <v>560</v>
      </c>
      <c r="L76" s="10" t="s">
        <v>561</v>
      </c>
      <c r="M76" s="2" t="s">
        <v>562</v>
      </c>
      <c r="N76" s="10" t="s">
        <v>563</v>
      </c>
      <c r="O76" s="10" t="s">
        <v>418</v>
      </c>
      <c r="P76" s="9" t="s">
        <v>239</v>
      </c>
      <c r="Q76" s="41" t="s">
        <v>276</v>
      </c>
      <c r="R76" s="9" t="s">
        <v>451</v>
      </c>
      <c r="S76" s="34" t="s">
        <v>452</v>
      </c>
      <c r="T76" s="34" t="s">
        <v>453</v>
      </c>
      <c r="U76" s="9">
        <v>1</v>
      </c>
      <c r="V76" s="8" t="s">
        <v>14</v>
      </c>
      <c r="W76" s="2" t="s">
        <v>98</v>
      </c>
      <c r="X76" s="10" t="s">
        <v>207</v>
      </c>
      <c r="Y76" s="13">
        <v>189386</v>
      </c>
      <c r="Z76" s="34">
        <v>219439</v>
      </c>
      <c r="AA76" s="34" t="s">
        <v>276</v>
      </c>
      <c r="AB76" s="34" t="s">
        <v>276</v>
      </c>
      <c r="AC76" s="8">
        <v>271</v>
      </c>
      <c r="AD76" s="10" t="s">
        <v>564</v>
      </c>
      <c r="AE76" s="8">
        <v>143</v>
      </c>
      <c r="AF76" s="10" t="s">
        <v>564</v>
      </c>
      <c r="AG76" s="9" t="s">
        <v>584</v>
      </c>
      <c r="AH76" s="9" t="s">
        <v>455</v>
      </c>
      <c r="AI76" s="34">
        <v>2154</v>
      </c>
      <c r="AJ76" s="34">
        <v>364</v>
      </c>
      <c r="AK76" s="34">
        <v>279388</v>
      </c>
      <c r="AL76" s="34">
        <v>326081</v>
      </c>
      <c r="AM76" s="38" t="s">
        <v>425</v>
      </c>
      <c r="AN76" s="8" t="s">
        <v>276</v>
      </c>
      <c r="AO76" s="14">
        <f>AI76*1000/AK76</f>
        <v>7.70970836256389</v>
      </c>
      <c r="AP76" s="8" t="s">
        <v>276</v>
      </c>
      <c r="AQ76" s="8" t="s">
        <v>276</v>
      </c>
      <c r="AR76" s="8" t="s">
        <v>276</v>
      </c>
      <c r="AS76" s="14">
        <f>AJ76*1000/AL76</f>
        <v>1.1162870575102506</v>
      </c>
      <c r="AT76" s="8" t="s">
        <v>276</v>
      </c>
      <c r="AU76" s="8" t="s">
        <v>276</v>
      </c>
      <c r="AV76" s="9" t="s">
        <v>269</v>
      </c>
      <c r="AW76" s="35" t="s">
        <v>276</v>
      </c>
      <c r="AX76" s="35">
        <f t="shared" si="33"/>
        <v>6.9065643202560318</v>
      </c>
      <c r="AY76" s="10" t="s">
        <v>276</v>
      </c>
      <c r="AZ76" s="10" t="s">
        <v>276</v>
      </c>
      <c r="BA76" s="10" t="s">
        <v>276</v>
      </c>
      <c r="BB76" s="10" t="s">
        <v>98</v>
      </c>
      <c r="BC76" s="10" t="s">
        <v>98</v>
      </c>
      <c r="BD76" s="10" t="s">
        <v>98</v>
      </c>
      <c r="BE76" s="10" t="s">
        <v>98</v>
      </c>
      <c r="BF76" s="9" t="s">
        <v>463</v>
      </c>
      <c r="BG76" s="9" t="s">
        <v>457</v>
      </c>
      <c r="BH76" s="9" t="s">
        <v>100</v>
      </c>
      <c r="BI76" s="9" t="s">
        <v>100</v>
      </c>
      <c r="BJ76" s="32"/>
      <c r="BK76" s="32"/>
      <c r="BL76" s="33"/>
      <c r="BM76" s="33"/>
      <c r="BN76" s="33"/>
      <c r="BO76" s="32"/>
      <c r="BP76" s="32"/>
      <c r="BQ76" s="33"/>
    </row>
    <row r="77" spans="1:69" s="6" customFormat="1" ht="104" hidden="1" x14ac:dyDescent="0.35">
      <c r="A77" s="8">
        <v>3713</v>
      </c>
      <c r="B77" s="8" t="s">
        <v>319</v>
      </c>
      <c r="C77" s="8" t="s">
        <v>92</v>
      </c>
      <c r="D77" s="9" t="s">
        <v>585</v>
      </c>
      <c r="E77" s="8" t="s">
        <v>43</v>
      </c>
      <c r="F77" s="8" t="s">
        <v>138</v>
      </c>
      <c r="G77" s="8" t="s">
        <v>225</v>
      </c>
      <c r="H77" s="8" t="s">
        <v>125</v>
      </c>
      <c r="I77" s="8" t="s">
        <v>114</v>
      </c>
      <c r="J77" s="9" t="s">
        <v>26</v>
      </c>
      <c r="K77" s="45" t="s">
        <v>560</v>
      </c>
      <c r="L77" s="10" t="s">
        <v>561</v>
      </c>
      <c r="M77" s="2" t="s">
        <v>562</v>
      </c>
      <c r="N77" s="10" t="s">
        <v>563</v>
      </c>
      <c r="O77" s="10" t="s">
        <v>98</v>
      </c>
      <c r="P77" s="9" t="s">
        <v>239</v>
      </c>
      <c r="Q77" s="41" t="s">
        <v>276</v>
      </c>
      <c r="R77" s="9" t="s">
        <v>451</v>
      </c>
      <c r="S77" s="34" t="s">
        <v>452</v>
      </c>
      <c r="T77" s="34" t="s">
        <v>453</v>
      </c>
      <c r="U77" s="9">
        <v>1</v>
      </c>
      <c r="V77" s="8" t="s">
        <v>14</v>
      </c>
      <c r="W77" s="2" t="s">
        <v>98</v>
      </c>
      <c r="X77" s="10" t="s">
        <v>207</v>
      </c>
      <c r="Y77" s="13">
        <v>189386</v>
      </c>
      <c r="Z77" s="34">
        <v>219439</v>
      </c>
      <c r="AA77" s="34" t="s">
        <v>276</v>
      </c>
      <c r="AB77" s="34" t="s">
        <v>276</v>
      </c>
      <c r="AC77" s="8">
        <v>271</v>
      </c>
      <c r="AD77" s="10" t="s">
        <v>564</v>
      </c>
      <c r="AE77" s="8">
        <v>143</v>
      </c>
      <c r="AF77" s="10" t="s">
        <v>564</v>
      </c>
      <c r="AG77" s="9" t="s">
        <v>584</v>
      </c>
      <c r="AH77" s="9" t="s">
        <v>430</v>
      </c>
      <c r="AI77" s="34">
        <v>2154</v>
      </c>
      <c r="AJ77" s="34">
        <v>364</v>
      </c>
      <c r="AK77" s="34">
        <f>Y77</f>
        <v>189386</v>
      </c>
      <c r="AL77" s="34">
        <f>Z77</f>
        <v>219439</v>
      </c>
      <c r="AM77" s="38" t="s">
        <v>376</v>
      </c>
      <c r="AN77" s="8">
        <v>1.1399999999999999</v>
      </c>
      <c r="AO77" s="14">
        <f>AI77*100/AK77</f>
        <v>1.1373596781177067</v>
      </c>
      <c r="AP77" s="8" t="s">
        <v>276</v>
      </c>
      <c r="AQ77" s="8" t="s">
        <v>276</v>
      </c>
      <c r="AR77" s="8">
        <v>0.17</v>
      </c>
      <c r="AS77" s="14">
        <f>AJ77*100/AL77</f>
        <v>0.16587753316411394</v>
      </c>
      <c r="AT77" s="8" t="s">
        <v>276</v>
      </c>
      <c r="AU77" s="8" t="s">
        <v>276</v>
      </c>
      <c r="AV77" s="9" t="s">
        <v>268</v>
      </c>
      <c r="AW77" s="35" t="s">
        <v>276</v>
      </c>
      <c r="AX77" s="35">
        <f t="shared" si="33"/>
        <v>6.8566228133646003</v>
      </c>
      <c r="AY77" s="10" t="s">
        <v>276</v>
      </c>
      <c r="AZ77" s="10" t="s">
        <v>276</v>
      </c>
      <c r="BA77" s="10" t="s">
        <v>276</v>
      </c>
      <c r="BB77" s="10" t="s">
        <v>98</v>
      </c>
      <c r="BC77" s="10" t="s">
        <v>98</v>
      </c>
      <c r="BD77" s="10" t="s">
        <v>98</v>
      </c>
      <c r="BE77" s="10" t="s">
        <v>98</v>
      </c>
      <c r="BF77" s="9" t="s">
        <v>459</v>
      </c>
      <c r="BG77" s="9" t="s">
        <v>460</v>
      </c>
      <c r="BH77" s="9" t="s">
        <v>100</v>
      </c>
      <c r="BI77" s="9" t="s">
        <v>100</v>
      </c>
      <c r="BJ77" s="32"/>
      <c r="BK77" s="32"/>
      <c r="BL77" s="33"/>
      <c r="BM77" s="33"/>
      <c r="BN77" s="33"/>
      <c r="BO77" s="32"/>
      <c r="BP77" s="32"/>
      <c r="BQ77" s="33"/>
    </row>
    <row r="78" spans="1:69" s="6" customFormat="1" ht="104" hidden="1" x14ac:dyDescent="0.35">
      <c r="A78" s="8">
        <v>3713</v>
      </c>
      <c r="B78" s="8" t="s">
        <v>319</v>
      </c>
      <c r="C78" s="8" t="s">
        <v>92</v>
      </c>
      <c r="D78" s="9" t="s">
        <v>586</v>
      </c>
      <c r="E78" s="8" t="s">
        <v>43</v>
      </c>
      <c r="F78" s="8" t="s">
        <v>138</v>
      </c>
      <c r="G78" s="8" t="s">
        <v>225</v>
      </c>
      <c r="H78" s="8" t="s">
        <v>125</v>
      </c>
      <c r="I78" s="8" t="s">
        <v>114</v>
      </c>
      <c r="J78" s="9" t="s">
        <v>26</v>
      </c>
      <c r="K78" s="45" t="s">
        <v>571</v>
      </c>
      <c r="L78" s="10" t="s">
        <v>561</v>
      </c>
      <c r="M78" s="2" t="s">
        <v>562</v>
      </c>
      <c r="N78" s="10" t="s">
        <v>563</v>
      </c>
      <c r="O78" s="10" t="s">
        <v>418</v>
      </c>
      <c r="P78" s="9" t="s">
        <v>239</v>
      </c>
      <c r="Q78" s="41" t="s">
        <v>276</v>
      </c>
      <c r="R78" s="9" t="s">
        <v>451</v>
      </c>
      <c r="S78" s="34" t="s">
        <v>420</v>
      </c>
      <c r="T78" s="34" t="s">
        <v>421</v>
      </c>
      <c r="U78" s="9">
        <v>1</v>
      </c>
      <c r="V78" s="8" t="s">
        <v>14</v>
      </c>
      <c r="W78" s="2" t="s">
        <v>98</v>
      </c>
      <c r="X78" s="10" t="s">
        <v>207</v>
      </c>
      <c r="Y78" s="13">
        <v>189386</v>
      </c>
      <c r="Z78" s="34">
        <v>219439</v>
      </c>
      <c r="AA78" s="34" t="s">
        <v>276</v>
      </c>
      <c r="AB78" s="34" t="s">
        <v>276</v>
      </c>
      <c r="AC78" s="8">
        <v>271</v>
      </c>
      <c r="AD78" s="10" t="s">
        <v>564</v>
      </c>
      <c r="AE78" s="8">
        <v>143</v>
      </c>
      <c r="AF78" s="10" t="s">
        <v>564</v>
      </c>
      <c r="AG78" s="9" t="s">
        <v>587</v>
      </c>
      <c r="AH78" s="9" t="s">
        <v>455</v>
      </c>
      <c r="AI78" s="34">
        <v>370</v>
      </c>
      <c r="AJ78" s="34">
        <v>107</v>
      </c>
      <c r="AK78" s="34">
        <v>279388</v>
      </c>
      <c r="AL78" s="34">
        <v>326081</v>
      </c>
      <c r="AM78" s="38" t="s">
        <v>425</v>
      </c>
      <c r="AN78" s="8">
        <v>0.7</v>
      </c>
      <c r="AO78" s="14">
        <f>AI78*1000/AK78</f>
        <v>1.324323163485905</v>
      </c>
      <c r="AP78" s="8" t="s">
        <v>276</v>
      </c>
      <c r="AQ78" s="8" t="s">
        <v>276</v>
      </c>
      <c r="AR78" s="8">
        <v>0.7</v>
      </c>
      <c r="AS78" s="14">
        <f>AJ78*1000/AL78</f>
        <v>0.32813932734504619</v>
      </c>
      <c r="AT78" s="8" t="s">
        <v>276</v>
      </c>
      <c r="AU78" s="8" t="s">
        <v>276</v>
      </c>
      <c r="AV78" s="9" t="s">
        <v>269</v>
      </c>
      <c r="AW78" s="35" t="s">
        <v>276</v>
      </c>
      <c r="AX78" s="35">
        <f t="shared" si="33"/>
        <v>4.035856275445302</v>
      </c>
      <c r="AY78" s="10" t="s">
        <v>276</v>
      </c>
      <c r="AZ78" s="10" t="s">
        <v>276</v>
      </c>
      <c r="BA78" s="10" t="s">
        <v>276</v>
      </c>
      <c r="BB78" s="10" t="s">
        <v>98</v>
      </c>
      <c r="BC78" s="10" t="s">
        <v>98</v>
      </c>
      <c r="BD78" s="10" t="s">
        <v>98</v>
      </c>
      <c r="BE78" s="10" t="s">
        <v>98</v>
      </c>
      <c r="BF78" s="9" t="s">
        <v>463</v>
      </c>
      <c r="BG78" s="9" t="s">
        <v>457</v>
      </c>
      <c r="BH78" s="9" t="s">
        <v>100</v>
      </c>
      <c r="BI78" s="9" t="s">
        <v>100</v>
      </c>
      <c r="BJ78" s="32"/>
      <c r="BK78" s="32"/>
      <c r="BL78" s="33"/>
      <c r="BM78" s="33"/>
      <c r="BN78" s="33"/>
      <c r="BO78" s="32"/>
      <c r="BP78" s="32"/>
      <c r="BQ78" s="33"/>
    </row>
    <row r="79" spans="1:69" s="6" customFormat="1" ht="104" hidden="1" x14ac:dyDescent="0.35">
      <c r="A79" s="8">
        <v>3713</v>
      </c>
      <c r="B79" s="8" t="s">
        <v>319</v>
      </c>
      <c r="C79" s="8" t="s">
        <v>92</v>
      </c>
      <c r="D79" s="9" t="s">
        <v>588</v>
      </c>
      <c r="E79" s="8" t="s">
        <v>43</v>
      </c>
      <c r="F79" s="8" t="s">
        <v>138</v>
      </c>
      <c r="G79" s="8" t="s">
        <v>225</v>
      </c>
      <c r="H79" s="8" t="s">
        <v>125</v>
      </c>
      <c r="I79" s="8" t="s">
        <v>114</v>
      </c>
      <c r="J79" s="9" t="s">
        <v>26</v>
      </c>
      <c r="K79" s="45" t="s">
        <v>571</v>
      </c>
      <c r="L79" s="10" t="s">
        <v>561</v>
      </c>
      <c r="M79" s="2" t="s">
        <v>562</v>
      </c>
      <c r="N79" s="10" t="s">
        <v>563</v>
      </c>
      <c r="O79" s="10" t="s">
        <v>98</v>
      </c>
      <c r="P79" s="9" t="s">
        <v>239</v>
      </c>
      <c r="Q79" s="41" t="s">
        <v>276</v>
      </c>
      <c r="R79" s="9" t="s">
        <v>451</v>
      </c>
      <c r="S79" s="34" t="s">
        <v>420</v>
      </c>
      <c r="T79" s="34" t="s">
        <v>421</v>
      </c>
      <c r="U79" s="9">
        <v>1</v>
      </c>
      <c r="V79" s="8" t="s">
        <v>14</v>
      </c>
      <c r="W79" s="2" t="s">
        <v>98</v>
      </c>
      <c r="X79" s="10" t="s">
        <v>207</v>
      </c>
      <c r="Y79" s="13">
        <v>189386</v>
      </c>
      <c r="Z79" s="34">
        <v>219439</v>
      </c>
      <c r="AA79" s="34" t="s">
        <v>276</v>
      </c>
      <c r="AB79" s="34" t="s">
        <v>276</v>
      </c>
      <c r="AC79" s="8">
        <v>271</v>
      </c>
      <c r="AD79" s="10" t="s">
        <v>564</v>
      </c>
      <c r="AE79" s="8">
        <v>143</v>
      </c>
      <c r="AF79" s="10" t="s">
        <v>564</v>
      </c>
      <c r="AG79" s="9" t="s">
        <v>587</v>
      </c>
      <c r="AH79" s="9" t="s">
        <v>430</v>
      </c>
      <c r="AI79" s="34">
        <v>370</v>
      </c>
      <c r="AJ79" s="34">
        <v>107</v>
      </c>
      <c r="AK79" s="34">
        <f>Y79</f>
        <v>189386</v>
      </c>
      <c r="AL79" s="34">
        <f>Z79</f>
        <v>219439</v>
      </c>
      <c r="AM79" s="38" t="s">
        <v>376</v>
      </c>
      <c r="AN79" s="8">
        <v>0.2</v>
      </c>
      <c r="AO79" s="14">
        <f>AI79*100/AK79</f>
        <v>0.19536818983451787</v>
      </c>
      <c r="AP79" s="8" t="s">
        <v>276</v>
      </c>
      <c r="AQ79" s="8" t="s">
        <v>276</v>
      </c>
      <c r="AR79" s="8">
        <v>0.05</v>
      </c>
      <c r="AS79" s="14">
        <f>AJ79*100/AL79</f>
        <v>4.8760703430110415E-2</v>
      </c>
      <c r="AT79" s="8" t="s">
        <v>276</v>
      </c>
      <c r="AU79" s="8" t="s">
        <v>276</v>
      </c>
      <c r="AV79" s="9" t="s">
        <v>268</v>
      </c>
      <c r="AW79" s="35" t="s">
        <v>276</v>
      </c>
      <c r="AX79" s="35">
        <f t="shared" si="33"/>
        <v>4.0066729167380162</v>
      </c>
      <c r="AY79" s="10" t="s">
        <v>276</v>
      </c>
      <c r="AZ79" s="10" t="s">
        <v>276</v>
      </c>
      <c r="BA79" s="10" t="s">
        <v>276</v>
      </c>
      <c r="BB79" s="10" t="s">
        <v>98</v>
      </c>
      <c r="BC79" s="10" t="s">
        <v>98</v>
      </c>
      <c r="BD79" s="10" t="s">
        <v>98</v>
      </c>
      <c r="BE79" s="10" t="s">
        <v>98</v>
      </c>
      <c r="BF79" s="9" t="s">
        <v>463</v>
      </c>
      <c r="BG79" s="9" t="s">
        <v>460</v>
      </c>
      <c r="BH79" s="9" t="s">
        <v>100</v>
      </c>
      <c r="BI79" s="9" t="s">
        <v>100</v>
      </c>
      <c r="BJ79" s="32"/>
      <c r="BK79" s="32"/>
      <c r="BL79" s="33"/>
      <c r="BM79" s="33"/>
      <c r="BN79" s="33"/>
      <c r="BO79" s="32"/>
      <c r="BP79" s="32"/>
      <c r="BQ79" s="33"/>
    </row>
    <row r="80" spans="1:69" s="6" customFormat="1" ht="117" hidden="1" x14ac:dyDescent="0.35">
      <c r="A80" s="8">
        <v>3713</v>
      </c>
      <c r="B80" s="8" t="s">
        <v>319</v>
      </c>
      <c r="C80" s="8" t="s">
        <v>92</v>
      </c>
      <c r="D80" s="9" t="s">
        <v>589</v>
      </c>
      <c r="E80" s="8" t="s">
        <v>43</v>
      </c>
      <c r="F80" s="8" t="s">
        <v>138</v>
      </c>
      <c r="G80" s="8" t="s">
        <v>225</v>
      </c>
      <c r="H80" s="8" t="s">
        <v>125</v>
      </c>
      <c r="I80" s="8" t="s">
        <v>114</v>
      </c>
      <c r="J80" s="9" t="s">
        <v>26</v>
      </c>
      <c r="K80" s="45" t="s">
        <v>576</v>
      </c>
      <c r="L80" s="10" t="s">
        <v>561</v>
      </c>
      <c r="M80" s="2" t="s">
        <v>562</v>
      </c>
      <c r="N80" s="10" t="s">
        <v>563</v>
      </c>
      <c r="O80" s="10" t="s">
        <v>418</v>
      </c>
      <c r="P80" s="9" t="s">
        <v>239</v>
      </c>
      <c r="Q80" s="41" t="s">
        <v>276</v>
      </c>
      <c r="R80" s="9" t="s">
        <v>451</v>
      </c>
      <c r="S80" s="34" t="s">
        <v>452</v>
      </c>
      <c r="T80" s="34" t="s">
        <v>453</v>
      </c>
      <c r="U80" s="9">
        <v>1</v>
      </c>
      <c r="V80" s="8" t="s">
        <v>14</v>
      </c>
      <c r="W80" s="2" t="s">
        <v>98</v>
      </c>
      <c r="X80" s="10" t="s">
        <v>207</v>
      </c>
      <c r="Y80" s="13">
        <v>189386</v>
      </c>
      <c r="Z80" s="34">
        <v>219439</v>
      </c>
      <c r="AA80" s="34" t="s">
        <v>276</v>
      </c>
      <c r="AB80" s="34" t="s">
        <v>276</v>
      </c>
      <c r="AC80" s="8">
        <v>271</v>
      </c>
      <c r="AD80" s="10" t="s">
        <v>564</v>
      </c>
      <c r="AE80" s="8">
        <v>143</v>
      </c>
      <c r="AF80" s="10" t="s">
        <v>564</v>
      </c>
      <c r="AG80" s="9" t="s">
        <v>590</v>
      </c>
      <c r="AH80" s="9" t="s">
        <v>455</v>
      </c>
      <c r="AI80" s="34">
        <v>117</v>
      </c>
      <c r="AJ80" s="34">
        <v>96</v>
      </c>
      <c r="AK80" s="34">
        <v>279388</v>
      </c>
      <c r="AL80" s="34">
        <v>326081</v>
      </c>
      <c r="AM80" s="38" t="s">
        <v>425</v>
      </c>
      <c r="AN80" s="8" t="s">
        <v>276</v>
      </c>
      <c r="AO80" s="14">
        <f>AI80*1000/AK80</f>
        <v>0.41877245980500238</v>
      </c>
      <c r="AP80" s="8" t="s">
        <v>276</v>
      </c>
      <c r="AQ80" s="8" t="s">
        <v>276</v>
      </c>
      <c r="AR80" s="8" t="s">
        <v>276</v>
      </c>
      <c r="AS80" s="14">
        <f>AJ80*1000/AL80</f>
        <v>0.29440537780490122</v>
      </c>
      <c r="AT80" s="8" t="s">
        <v>276</v>
      </c>
      <c r="AU80" s="8" t="s">
        <v>276</v>
      </c>
      <c r="AV80" s="9" t="s">
        <v>269</v>
      </c>
      <c r="AW80" s="35" t="s">
        <v>276</v>
      </c>
      <c r="AX80" s="35">
        <f t="shared" si="33"/>
        <v>1.422434817350781</v>
      </c>
      <c r="AY80" s="10" t="s">
        <v>276</v>
      </c>
      <c r="AZ80" s="10" t="s">
        <v>276</v>
      </c>
      <c r="BA80" s="10" t="s">
        <v>431</v>
      </c>
      <c r="BB80" s="10" t="s">
        <v>98</v>
      </c>
      <c r="BC80" s="10" t="s">
        <v>98</v>
      </c>
      <c r="BD80" s="10" t="s">
        <v>98</v>
      </c>
      <c r="BE80" s="10" t="s">
        <v>98</v>
      </c>
      <c r="BF80" s="9" t="s">
        <v>463</v>
      </c>
      <c r="BG80" s="9" t="s">
        <v>457</v>
      </c>
      <c r="BH80" s="9" t="s">
        <v>100</v>
      </c>
      <c r="BI80" s="9" t="s">
        <v>100</v>
      </c>
      <c r="BJ80" s="32"/>
      <c r="BK80" s="32"/>
      <c r="BL80" s="33"/>
      <c r="BM80" s="33"/>
      <c r="BN80" s="33"/>
      <c r="BO80" s="32"/>
      <c r="BP80" s="32"/>
      <c r="BQ80" s="33"/>
    </row>
    <row r="81" spans="1:69" s="6" customFormat="1" ht="117" hidden="1" x14ac:dyDescent="0.35">
      <c r="A81" s="8">
        <v>3713</v>
      </c>
      <c r="B81" s="8" t="s">
        <v>319</v>
      </c>
      <c r="C81" s="8" t="s">
        <v>92</v>
      </c>
      <c r="D81" s="9" t="s">
        <v>591</v>
      </c>
      <c r="E81" s="8" t="s">
        <v>43</v>
      </c>
      <c r="F81" s="8" t="s">
        <v>138</v>
      </c>
      <c r="G81" s="8" t="s">
        <v>225</v>
      </c>
      <c r="H81" s="8" t="s">
        <v>125</v>
      </c>
      <c r="I81" s="8" t="s">
        <v>114</v>
      </c>
      <c r="J81" s="9" t="s">
        <v>26</v>
      </c>
      <c r="K81" s="45" t="s">
        <v>576</v>
      </c>
      <c r="L81" s="10" t="s">
        <v>561</v>
      </c>
      <c r="M81" s="2" t="s">
        <v>562</v>
      </c>
      <c r="N81" s="10" t="s">
        <v>563</v>
      </c>
      <c r="O81" s="10" t="s">
        <v>98</v>
      </c>
      <c r="P81" s="9" t="s">
        <v>239</v>
      </c>
      <c r="Q81" s="41" t="s">
        <v>276</v>
      </c>
      <c r="R81" s="9" t="s">
        <v>451</v>
      </c>
      <c r="S81" s="34" t="s">
        <v>452</v>
      </c>
      <c r="T81" s="34" t="s">
        <v>453</v>
      </c>
      <c r="U81" s="9">
        <v>1</v>
      </c>
      <c r="V81" s="8" t="s">
        <v>14</v>
      </c>
      <c r="W81" s="2" t="s">
        <v>98</v>
      </c>
      <c r="X81" s="10" t="s">
        <v>207</v>
      </c>
      <c r="Y81" s="13">
        <v>189386</v>
      </c>
      <c r="Z81" s="34">
        <v>219439</v>
      </c>
      <c r="AA81" s="34" t="s">
        <v>276</v>
      </c>
      <c r="AB81" s="34" t="s">
        <v>276</v>
      </c>
      <c r="AC81" s="8">
        <v>271</v>
      </c>
      <c r="AD81" s="10" t="s">
        <v>564</v>
      </c>
      <c r="AE81" s="8">
        <v>143</v>
      </c>
      <c r="AF81" s="10" t="s">
        <v>564</v>
      </c>
      <c r="AG81" s="9" t="s">
        <v>590</v>
      </c>
      <c r="AH81" s="9" t="s">
        <v>430</v>
      </c>
      <c r="AI81" s="34">
        <v>117</v>
      </c>
      <c r="AJ81" s="34">
        <v>96</v>
      </c>
      <c r="AK81" s="34">
        <f>Y81</f>
        <v>189386</v>
      </c>
      <c r="AL81" s="34">
        <f>Z81</f>
        <v>219439</v>
      </c>
      <c r="AM81" s="38" t="s">
        <v>376</v>
      </c>
      <c r="AN81" s="8">
        <v>0.06</v>
      </c>
      <c r="AO81" s="14">
        <f>AI81*100/AK81</f>
        <v>6.1778589758482674E-2</v>
      </c>
      <c r="AP81" s="8" t="s">
        <v>276</v>
      </c>
      <c r="AQ81" s="8" t="s">
        <v>276</v>
      </c>
      <c r="AR81" s="8">
        <v>0.04</v>
      </c>
      <c r="AS81" s="14">
        <f>AJ81*100/AL81</f>
        <v>4.374792083449159E-2</v>
      </c>
      <c r="AT81" s="8" t="s">
        <v>276</v>
      </c>
      <c r="AU81" s="8" t="s">
        <v>276</v>
      </c>
      <c r="AV81" s="9" t="s">
        <v>268</v>
      </c>
      <c r="AW81" s="35" t="s">
        <v>276</v>
      </c>
      <c r="AX81" s="35">
        <f t="shared" si="33"/>
        <v>1.4121491622928832</v>
      </c>
      <c r="AY81" s="10" t="s">
        <v>276</v>
      </c>
      <c r="AZ81" s="10" t="s">
        <v>276</v>
      </c>
      <c r="BA81" s="10" t="s">
        <v>276</v>
      </c>
      <c r="BB81" s="10" t="s">
        <v>98</v>
      </c>
      <c r="BC81" s="10" t="s">
        <v>98</v>
      </c>
      <c r="BD81" s="10" t="s">
        <v>98</v>
      </c>
      <c r="BE81" s="10" t="s">
        <v>98</v>
      </c>
      <c r="BF81" s="9" t="s">
        <v>463</v>
      </c>
      <c r="BG81" s="9" t="s">
        <v>460</v>
      </c>
      <c r="BH81" s="9" t="s">
        <v>100</v>
      </c>
      <c r="BI81" s="9" t="s">
        <v>100</v>
      </c>
      <c r="BJ81" s="32"/>
      <c r="BK81" s="32"/>
      <c r="BL81" s="33"/>
      <c r="BM81" s="33"/>
      <c r="BN81" s="33"/>
      <c r="BO81" s="32"/>
      <c r="BP81" s="32"/>
      <c r="BQ81" s="33"/>
    </row>
    <row r="82" spans="1:69" s="6" customFormat="1" ht="117" hidden="1" x14ac:dyDescent="0.35">
      <c r="A82" s="8">
        <v>3713</v>
      </c>
      <c r="B82" s="8" t="s">
        <v>319</v>
      </c>
      <c r="C82" s="8" t="s">
        <v>92</v>
      </c>
      <c r="D82" s="9" t="s">
        <v>592</v>
      </c>
      <c r="E82" s="8" t="s">
        <v>43</v>
      </c>
      <c r="F82" s="8" t="s">
        <v>138</v>
      </c>
      <c r="G82" s="8" t="s">
        <v>225</v>
      </c>
      <c r="H82" s="8" t="s">
        <v>125</v>
      </c>
      <c r="I82" s="8" t="s">
        <v>114</v>
      </c>
      <c r="J82" s="9" t="s">
        <v>26</v>
      </c>
      <c r="K82" s="45" t="s">
        <v>576</v>
      </c>
      <c r="L82" s="10" t="s">
        <v>561</v>
      </c>
      <c r="M82" s="2" t="s">
        <v>562</v>
      </c>
      <c r="N82" s="10" t="s">
        <v>563</v>
      </c>
      <c r="O82" s="10" t="s">
        <v>98</v>
      </c>
      <c r="P82" s="9" t="s">
        <v>235</v>
      </c>
      <c r="Q82" s="41" t="s">
        <v>276</v>
      </c>
      <c r="R82" s="9" t="s">
        <v>451</v>
      </c>
      <c r="S82" s="34" t="s">
        <v>452</v>
      </c>
      <c r="T82" s="34" t="s">
        <v>453</v>
      </c>
      <c r="U82" s="9">
        <v>1</v>
      </c>
      <c r="V82" s="8" t="s">
        <v>14</v>
      </c>
      <c r="W82" s="2" t="s">
        <v>98</v>
      </c>
      <c r="X82" s="10" t="s">
        <v>207</v>
      </c>
      <c r="Y82" s="13" t="s">
        <v>98</v>
      </c>
      <c r="Z82" s="34" t="s">
        <v>98</v>
      </c>
      <c r="AA82" s="34" t="s">
        <v>276</v>
      </c>
      <c r="AB82" s="34" t="s">
        <v>276</v>
      </c>
      <c r="AC82" s="8">
        <v>271</v>
      </c>
      <c r="AD82" s="10" t="s">
        <v>564</v>
      </c>
      <c r="AE82" s="8">
        <v>143</v>
      </c>
      <c r="AF82" s="10" t="s">
        <v>564</v>
      </c>
      <c r="AG82" s="9" t="s">
        <v>590</v>
      </c>
      <c r="AH82" s="9" t="s">
        <v>593</v>
      </c>
      <c r="AI82" s="34">
        <v>117</v>
      </c>
      <c r="AJ82" s="34">
        <v>96</v>
      </c>
      <c r="AK82" s="34">
        <f>2154+370+117+271</f>
        <v>2912</v>
      </c>
      <c r="AL82" s="34">
        <f>364+107+96+143</f>
        <v>710</v>
      </c>
      <c r="AM82" s="38" t="s">
        <v>447</v>
      </c>
      <c r="AN82" s="8" t="s">
        <v>276</v>
      </c>
      <c r="AO82" s="14">
        <f>AI82*100/AK82</f>
        <v>4.0178571428571432</v>
      </c>
      <c r="AP82" s="8" t="s">
        <v>276</v>
      </c>
      <c r="AQ82" s="8" t="s">
        <v>276</v>
      </c>
      <c r="AR82" s="8" t="s">
        <v>276</v>
      </c>
      <c r="AS82" s="14">
        <f>AJ82*100/AL82</f>
        <v>13.52112676056338</v>
      </c>
      <c r="AT82" s="8" t="s">
        <v>276</v>
      </c>
      <c r="AU82" s="8" t="s">
        <v>276</v>
      </c>
      <c r="AV82" s="9" t="s">
        <v>268</v>
      </c>
      <c r="AW82" s="35" t="s">
        <v>276</v>
      </c>
      <c r="AX82" s="35">
        <f>AO82/AS82</f>
        <v>0.2971540178571429</v>
      </c>
      <c r="AY82" s="10" t="s">
        <v>276</v>
      </c>
      <c r="AZ82" s="10" t="s">
        <v>276</v>
      </c>
      <c r="BA82" s="10" t="s">
        <v>276</v>
      </c>
      <c r="BB82" s="10" t="s">
        <v>98</v>
      </c>
      <c r="BC82" s="10" t="s">
        <v>98</v>
      </c>
      <c r="BD82" s="10" t="s">
        <v>98</v>
      </c>
      <c r="BE82" s="10" t="s">
        <v>98</v>
      </c>
      <c r="BF82" s="9" t="s">
        <v>463</v>
      </c>
      <c r="BG82" s="9" t="s">
        <v>594</v>
      </c>
      <c r="BH82" s="9" t="s">
        <v>100</v>
      </c>
      <c r="BI82" s="9" t="s">
        <v>100</v>
      </c>
      <c r="BJ82" s="32"/>
      <c r="BK82" s="32"/>
      <c r="BL82" s="33"/>
      <c r="BM82" s="33"/>
      <c r="BN82" s="33"/>
      <c r="BO82" s="32"/>
      <c r="BP82" s="32"/>
      <c r="BQ82" s="33"/>
    </row>
    <row r="83" spans="1:69" s="6" customFormat="1" ht="104" hidden="1" x14ac:dyDescent="0.35">
      <c r="A83" s="8">
        <v>3713</v>
      </c>
      <c r="B83" s="8" t="s">
        <v>319</v>
      </c>
      <c r="C83" s="8" t="s">
        <v>92</v>
      </c>
      <c r="D83" s="9" t="s">
        <v>595</v>
      </c>
      <c r="E83" s="8" t="s">
        <v>43</v>
      </c>
      <c r="F83" s="8" t="s">
        <v>138</v>
      </c>
      <c r="G83" s="8" t="s">
        <v>225</v>
      </c>
      <c r="H83" s="8" t="s">
        <v>125</v>
      </c>
      <c r="I83" s="8" t="s">
        <v>114</v>
      </c>
      <c r="J83" s="9" t="s">
        <v>26</v>
      </c>
      <c r="K83" s="45" t="s">
        <v>560</v>
      </c>
      <c r="L83" s="10" t="s">
        <v>561</v>
      </c>
      <c r="M83" s="2" t="s">
        <v>562</v>
      </c>
      <c r="N83" s="10" t="s">
        <v>563</v>
      </c>
      <c r="O83" s="10" t="s">
        <v>98</v>
      </c>
      <c r="P83" s="9" t="s">
        <v>239</v>
      </c>
      <c r="Q83" s="41" t="s">
        <v>276</v>
      </c>
      <c r="R83" s="9" t="s">
        <v>379</v>
      </c>
      <c r="S83" s="9" t="s">
        <v>276</v>
      </c>
      <c r="T83" s="9" t="s">
        <v>276</v>
      </c>
      <c r="U83" s="9">
        <v>1</v>
      </c>
      <c r="V83" s="8" t="s">
        <v>14</v>
      </c>
      <c r="W83" s="2" t="s">
        <v>98</v>
      </c>
      <c r="X83" s="10" t="s">
        <v>207</v>
      </c>
      <c r="Y83" s="13">
        <v>189386</v>
      </c>
      <c r="Z83" s="34">
        <v>219439</v>
      </c>
      <c r="AA83" s="34">
        <f>Y83-184549</f>
        <v>4837</v>
      </c>
      <c r="AB83" s="34">
        <f>Z83-216057</f>
        <v>3382</v>
      </c>
      <c r="AC83" s="8" t="s">
        <v>276</v>
      </c>
      <c r="AD83" s="10" t="s">
        <v>564</v>
      </c>
      <c r="AE83" s="8" t="s">
        <v>276</v>
      </c>
      <c r="AF83" s="10" t="s">
        <v>564</v>
      </c>
      <c r="AG83" s="9" t="s">
        <v>596</v>
      </c>
      <c r="AH83" s="9" t="s">
        <v>430</v>
      </c>
      <c r="AI83" s="34">
        <v>1852</v>
      </c>
      <c r="AJ83" s="34">
        <v>240</v>
      </c>
      <c r="AK83" s="34">
        <f t="shared" ref="AK83:AL124" si="34">Y83</f>
        <v>189386</v>
      </c>
      <c r="AL83" s="34">
        <f t="shared" si="34"/>
        <v>219439</v>
      </c>
      <c r="AM83" s="38" t="s">
        <v>376</v>
      </c>
      <c r="AN83" s="8" t="s">
        <v>276</v>
      </c>
      <c r="AO83" s="14">
        <f t="shared" ref="AO83:AO124" si="35">AI83*100/AK83</f>
        <v>0.97789699344196512</v>
      </c>
      <c r="AP83" s="8" t="s">
        <v>276</v>
      </c>
      <c r="AQ83" s="8" t="s">
        <v>276</v>
      </c>
      <c r="AR83" s="8" t="s">
        <v>276</v>
      </c>
      <c r="AS83" s="14">
        <f t="shared" ref="AS83:AS124" si="36">AJ83*100/AL83</f>
        <v>0.10936980208622897</v>
      </c>
      <c r="AT83" s="8" t="s">
        <v>276</v>
      </c>
      <c r="AU83" s="8" t="s">
        <v>276</v>
      </c>
      <c r="AV83" s="9" t="s">
        <v>268</v>
      </c>
      <c r="AW83" s="35" t="s">
        <v>276</v>
      </c>
      <c r="AX83" s="35">
        <f t="shared" ref="AX83:AX135" si="37">AO83/AS83</f>
        <v>8.9411974309963078</v>
      </c>
      <c r="AY83" s="10" t="s">
        <v>276</v>
      </c>
      <c r="AZ83" s="10" t="s">
        <v>276</v>
      </c>
      <c r="BA83" s="10" t="s">
        <v>276</v>
      </c>
      <c r="BB83" s="10" t="s">
        <v>98</v>
      </c>
      <c r="BC83" s="10" t="s">
        <v>98</v>
      </c>
      <c r="BD83" s="10" t="s">
        <v>98</v>
      </c>
      <c r="BE83" s="10" t="s">
        <v>98</v>
      </c>
      <c r="BF83" s="9" t="s">
        <v>597</v>
      </c>
      <c r="BG83" s="9" t="s">
        <v>476</v>
      </c>
      <c r="BH83" s="9" t="s">
        <v>100</v>
      </c>
      <c r="BI83" s="9" t="s">
        <v>100</v>
      </c>
      <c r="BJ83" s="32"/>
      <c r="BK83" s="32"/>
      <c r="BL83" s="33"/>
      <c r="BM83" s="33"/>
      <c r="BN83" s="33"/>
      <c r="BO83" s="32"/>
      <c r="BP83" s="32"/>
      <c r="BQ83" s="33"/>
    </row>
    <row r="84" spans="1:69" s="6" customFormat="1" ht="104" hidden="1" x14ac:dyDescent="0.35">
      <c r="A84" s="8">
        <v>3713</v>
      </c>
      <c r="B84" s="8" t="s">
        <v>319</v>
      </c>
      <c r="C84" s="8" t="s">
        <v>92</v>
      </c>
      <c r="D84" s="9" t="s">
        <v>598</v>
      </c>
      <c r="E84" s="8" t="s">
        <v>43</v>
      </c>
      <c r="F84" s="8" t="s">
        <v>138</v>
      </c>
      <c r="G84" s="8" t="s">
        <v>225</v>
      </c>
      <c r="H84" s="8" t="s">
        <v>125</v>
      </c>
      <c r="I84" s="8" t="s">
        <v>114</v>
      </c>
      <c r="J84" s="9" t="s">
        <v>26</v>
      </c>
      <c r="K84" s="45" t="s">
        <v>571</v>
      </c>
      <c r="L84" s="10" t="s">
        <v>561</v>
      </c>
      <c r="M84" s="2" t="s">
        <v>562</v>
      </c>
      <c r="N84" s="10" t="s">
        <v>563</v>
      </c>
      <c r="O84" s="10" t="s">
        <v>98</v>
      </c>
      <c r="P84" s="9" t="s">
        <v>239</v>
      </c>
      <c r="Q84" s="41" t="s">
        <v>276</v>
      </c>
      <c r="R84" s="9" t="s">
        <v>379</v>
      </c>
      <c r="S84" s="9" t="s">
        <v>276</v>
      </c>
      <c r="T84" s="9" t="s">
        <v>276</v>
      </c>
      <c r="U84" s="9">
        <v>1</v>
      </c>
      <c r="V84" s="8" t="s">
        <v>14</v>
      </c>
      <c r="W84" s="2" t="s">
        <v>98</v>
      </c>
      <c r="X84" s="10" t="s">
        <v>207</v>
      </c>
      <c r="Y84" s="13">
        <v>189386</v>
      </c>
      <c r="Z84" s="34">
        <v>219439</v>
      </c>
      <c r="AA84" s="34">
        <f>Y84-184549</f>
        <v>4837</v>
      </c>
      <c r="AB84" s="34">
        <f>Z84-216057</f>
        <v>3382</v>
      </c>
      <c r="AC84" s="8" t="s">
        <v>276</v>
      </c>
      <c r="AD84" s="10" t="s">
        <v>564</v>
      </c>
      <c r="AE84" s="8" t="s">
        <v>276</v>
      </c>
      <c r="AF84" s="10" t="s">
        <v>564</v>
      </c>
      <c r="AG84" s="9" t="s">
        <v>599</v>
      </c>
      <c r="AH84" s="9" t="s">
        <v>430</v>
      </c>
      <c r="AI84" s="34">
        <v>303</v>
      </c>
      <c r="AJ84" s="34">
        <v>69</v>
      </c>
      <c r="AK84" s="34">
        <f t="shared" si="34"/>
        <v>189386</v>
      </c>
      <c r="AL84" s="34">
        <f t="shared" si="34"/>
        <v>219439</v>
      </c>
      <c r="AM84" s="38" t="s">
        <v>376</v>
      </c>
      <c r="AN84" s="8" t="s">
        <v>276</v>
      </c>
      <c r="AO84" s="14">
        <f t="shared" si="35"/>
        <v>0.15999070681042948</v>
      </c>
      <c r="AP84" s="8" t="s">
        <v>276</v>
      </c>
      <c r="AQ84" s="8" t="s">
        <v>276</v>
      </c>
      <c r="AR84" s="8" t="s">
        <v>276</v>
      </c>
      <c r="AS84" s="14">
        <f t="shared" si="36"/>
        <v>3.1443818099790834E-2</v>
      </c>
      <c r="AT84" s="8" t="s">
        <v>276</v>
      </c>
      <c r="AU84" s="8" t="s">
        <v>276</v>
      </c>
      <c r="AV84" s="9" t="s">
        <v>268</v>
      </c>
      <c r="AW84" s="35" t="s">
        <v>276</v>
      </c>
      <c r="AX84" s="35">
        <f t="shared" si="37"/>
        <v>5.0881450306918596</v>
      </c>
      <c r="AY84" s="10" t="s">
        <v>276</v>
      </c>
      <c r="AZ84" s="10" t="s">
        <v>276</v>
      </c>
      <c r="BA84" s="10" t="s">
        <v>276</v>
      </c>
      <c r="BB84" s="10" t="s">
        <v>98</v>
      </c>
      <c r="BC84" s="10" t="s">
        <v>98</v>
      </c>
      <c r="BD84" s="10" t="s">
        <v>98</v>
      </c>
      <c r="BE84" s="10" t="s">
        <v>98</v>
      </c>
      <c r="BF84" s="9" t="s">
        <v>597</v>
      </c>
      <c r="BG84" s="9" t="s">
        <v>476</v>
      </c>
      <c r="BH84" s="9" t="s">
        <v>100</v>
      </c>
      <c r="BI84" s="9" t="s">
        <v>100</v>
      </c>
      <c r="BJ84" s="32"/>
      <c r="BK84" s="32"/>
      <c r="BL84" s="33"/>
      <c r="BM84" s="33"/>
      <c r="BN84" s="33"/>
      <c r="BO84" s="32"/>
      <c r="BP84" s="32"/>
      <c r="BQ84" s="33"/>
    </row>
    <row r="85" spans="1:69" s="6" customFormat="1" ht="117" hidden="1" x14ac:dyDescent="0.35">
      <c r="A85" s="8">
        <v>3713</v>
      </c>
      <c r="B85" s="8" t="s">
        <v>319</v>
      </c>
      <c r="C85" s="8" t="s">
        <v>92</v>
      </c>
      <c r="D85" s="9" t="s">
        <v>600</v>
      </c>
      <c r="E85" s="8" t="s">
        <v>43</v>
      </c>
      <c r="F85" s="8" t="s">
        <v>138</v>
      </c>
      <c r="G85" s="8" t="s">
        <v>225</v>
      </c>
      <c r="H85" s="8" t="s">
        <v>125</v>
      </c>
      <c r="I85" s="8" t="s">
        <v>114</v>
      </c>
      <c r="J85" s="9" t="s">
        <v>26</v>
      </c>
      <c r="K85" s="45" t="s">
        <v>576</v>
      </c>
      <c r="L85" s="10" t="s">
        <v>561</v>
      </c>
      <c r="M85" s="2" t="s">
        <v>562</v>
      </c>
      <c r="N85" s="10" t="s">
        <v>563</v>
      </c>
      <c r="O85" s="10" t="s">
        <v>98</v>
      </c>
      <c r="P85" s="9" t="s">
        <v>239</v>
      </c>
      <c r="Q85" s="41" t="s">
        <v>276</v>
      </c>
      <c r="R85" s="9" t="s">
        <v>379</v>
      </c>
      <c r="S85" s="9" t="s">
        <v>276</v>
      </c>
      <c r="T85" s="9" t="s">
        <v>276</v>
      </c>
      <c r="U85" s="9">
        <v>1</v>
      </c>
      <c r="V85" s="8" t="s">
        <v>14</v>
      </c>
      <c r="W85" s="2" t="s">
        <v>98</v>
      </c>
      <c r="X85" s="10" t="s">
        <v>207</v>
      </c>
      <c r="Y85" s="13">
        <v>189386</v>
      </c>
      <c r="Z85" s="34">
        <v>219439</v>
      </c>
      <c r="AA85" s="34">
        <f>Y85-184549</f>
        <v>4837</v>
      </c>
      <c r="AB85" s="34">
        <f>Z85-216057</f>
        <v>3382</v>
      </c>
      <c r="AC85" s="8" t="s">
        <v>276</v>
      </c>
      <c r="AD85" s="10" t="s">
        <v>564</v>
      </c>
      <c r="AE85" s="8" t="s">
        <v>276</v>
      </c>
      <c r="AF85" s="10" t="s">
        <v>564</v>
      </c>
      <c r="AG85" s="9" t="s">
        <v>601</v>
      </c>
      <c r="AH85" s="9" t="s">
        <v>430</v>
      </c>
      <c r="AI85" s="34">
        <v>93</v>
      </c>
      <c r="AJ85" s="34">
        <v>60</v>
      </c>
      <c r="AK85" s="34">
        <f t="shared" si="34"/>
        <v>189386</v>
      </c>
      <c r="AL85" s="34">
        <f t="shared" si="34"/>
        <v>219439</v>
      </c>
      <c r="AM85" s="38" t="s">
        <v>376</v>
      </c>
      <c r="AN85" s="8" t="s">
        <v>276</v>
      </c>
      <c r="AO85" s="14">
        <f t="shared" si="35"/>
        <v>4.9106058525973412E-2</v>
      </c>
      <c r="AP85" s="8" t="s">
        <v>276</v>
      </c>
      <c r="AQ85" s="8" t="s">
        <v>276</v>
      </c>
      <c r="AR85" s="8" t="s">
        <v>276</v>
      </c>
      <c r="AS85" s="14">
        <f t="shared" si="36"/>
        <v>2.7342450521557243E-2</v>
      </c>
      <c r="AT85" s="8" t="s">
        <v>276</v>
      </c>
      <c r="AU85" s="8" t="s">
        <v>276</v>
      </c>
      <c r="AV85" s="9" t="s">
        <v>268</v>
      </c>
      <c r="AW85" s="35" t="s">
        <v>276</v>
      </c>
      <c r="AX85" s="35">
        <f t="shared" si="37"/>
        <v>1.7959640628135134</v>
      </c>
      <c r="AY85" s="10" t="s">
        <v>276</v>
      </c>
      <c r="AZ85" s="10" t="s">
        <v>276</v>
      </c>
      <c r="BA85" s="10" t="s">
        <v>276</v>
      </c>
      <c r="BB85" s="10" t="s">
        <v>98</v>
      </c>
      <c r="BC85" s="10" t="s">
        <v>98</v>
      </c>
      <c r="BD85" s="10" t="s">
        <v>98</v>
      </c>
      <c r="BE85" s="10" t="s">
        <v>98</v>
      </c>
      <c r="BF85" s="9" t="s">
        <v>597</v>
      </c>
      <c r="BG85" s="9" t="s">
        <v>476</v>
      </c>
      <c r="BH85" s="9" t="s">
        <v>100</v>
      </c>
      <c r="BI85" s="9" t="s">
        <v>100</v>
      </c>
      <c r="BJ85" s="32"/>
      <c r="BK85" s="32"/>
      <c r="BL85" s="33"/>
      <c r="BM85" s="33"/>
      <c r="BN85" s="33"/>
      <c r="BO85" s="32"/>
      <c r="BP85" s="32"/>
      <c r="BQ85" s="33"/>
    </row>
    <row r="86" spans="1:69" s="6" customFormat="1" ht="104" hidden="1" x14ac:dyDescent="0.35">
      <c r="A86" s="8">
        <v>3713</v>
      </c>
      <c r="B86" s="8" t="s">
        <v>319</v>
      </c>
      <c r="C86" s="8" t="s">
        <v>92</v>
      </c>
      <c r="D86" s="9" t="s">
        <v>602</v>
      </c>
      <c r="E86" s="8" t="s">
        <v>43</v>
      </c>
      <c r="F86" s="8" t="s">
        <v>138</v>
      </c>
      <c r="G86" s="8" t="s">
        <v>225</v>
      </c>
      <c r="H86" s="8" t="s">
        <v>125</v>
      </c>
      <c r="I86" s="8" t="s">
        <v>114</v>
      </c>
      <c r="J86" s="9" t="s">
        <v>26</v>
      </c>
      <c r="K86" s="45" t="s">
        <v>560</v>
      </c>
      <c r="L86" s="10" t="s">
        <v>561</v>
      </c>
      <c r="M86" s="2" t="s">
        <v>562</v>
      </c>
      <c r="N86" s="10" t="s">
        <v>563</v>
      </c>
      <c r="O86" s="10" t="s">
        <v>98</v>
      </c>
      <c r="P86" s="9" t="s">
        <v>239</v>
      </c>
      <c r="Q86" s="41" t="s">
        <v>276</v>
      </c>
      <c r="R86" s="9" t="s">
        <v>339</v>
      </c>
      <c r="S86" s="9" t="s">
        <v>276</v>
      </c>
      <c r="T86" s="9" t="s">
        <v>276</v>
      </c>
      <c r="U86" s="9">
        <v>1</v>
      </c>
      <c r="V86" s="8" t="s">
        <v>14</v>
      </c>
      <c r="W86" s="2" t="s">
        <v>98</v>
      </c>
      <c r="X86" s="10" t="s">
        <v>207</v>
      </c>
      <c r="Y86" s="13">
        <v>189386</v>
      </c>
      <c r="Z86" s="34">
        <v>219439</v>
      </c>
      <c r="AA86" s="34">
        <f>Y86-181301</f>
        <v>8085</v>
      </c>
      <c r="AB86" s="34">
        <f>Z86-212739</f>
        <v>6700</v>
      </c>
      <c r="AC86" s="8" t="s">
        <v>276</v>
      </c>
      <c r="AD86" s="10" t="s">
        <v>564</v>
      </c>
      <c r="AE86" s="8" t="s">
        <v>276</v>
      </c>
      <c r="AF86" s="10" t="s">
        <v>564</v>
      </c>
      <c r="AG86" s="9" t="s">
        <v>603</v>
      </c>
      <c r="AH86" s="9" t="s">
        <v>430</v>
      </c>
      <c r="AI86" s="34">
        <f>1852+441</f>
        <v>2293</v>
      </c>
      <c r="AJ86" s="34">
        <f>240+283</f>
        <v>523</v>
      </c>
      <c r="AK86" s="34">
        <f t="shared" si="34"/>
        <v>189386</v>
      </c>
      <c r="AL86" s="34">
        <f t="shared" si="34"/>
        <v>219439</v>
      </c>
      <c r="AM86" s="38" t="s">
        <v>376</v>
      </c>
      <c r="AN86" s="8" t="s">
        <v>276</v>
      </c>
      <c r="AO86" s="14">
        <f t="shared" si="35"/>
        <v>1.2107547548393229</v>
      </c>
      <c r="AP86" s="8" t="s">
        <v>276</v>
      </c>
      <c r="AQ86" s="8" t="s">
        <v>276</v>
      </c>
      <c r="AR86" s="8" t="s">
        <v>276</v>
      </c>
      <c r="AS86" s="14">
        <f t="shared" si="36"/>
        <v>0.23833502704624063</v>
      </c>
      <c r="AT86" s="8" t="s">
        <v>276</v>
      </c>
      <c r="AU86" s="8" t="s">
        <v>276</v>
      </c>
      <c r="AV86" s="9" t="s">
        <v>268</v>
      </c>
      <c r="AW86" s="35" t="s">
        <v>276</v>
      </c>
      <c r="AX86" s="35">
        <f t="shared" si="37"/>
        <v>5.0800537791048983</v>
      </c>
      <c r="AY86" s="10" t="s">
        <v>276</v>
      </c>
      <c r="AZ86" s="10" t="s">
        <v>276</v>
      </c>
      <c r="BA86" s="10" t="s">
        <v>276</v>
      </c>
      <c r="BB86" s="10" t="s">
        <v>98</v>
      </c>
      <c r="BC86" s="10" t="s">
        <v>98</v>
      </c>
      <c r="BD86" s="10" t="s">
        <v>98</v>
      </c>
      <c r="BE86" s="10" t="s">
        <v>98</v>
      </c>
      <c r="BF86" s="9" t="s">
        <v>597</v>
      </c>
      <c r="BG86" s="9" t="s">
        <v>476</v>
      </c>
      <c r="BH86" s="9" t="s">
        <v>100</v>
      </c>
      <c r="BI86" s="9" t="s">
        <v>100</v>
      </c>
      <c r="BJ86" s="32"/>
      <c r="BK86" s="32"/>
      <c r="BL86" s="33"/>
      <c r="BM86" s="33"/>
      <c r="BN86" s="33"/>
      <c r="BO86" s="32"/>
      <c r="BP86" s="32"/>
      <c r="BQ86" s="33"/>
    </row>
    <row r="87" spans="1:69" s="6" customFormat="1" ht="104" hidden="1" x14ac:dyDescent="0.35">
      <c r="A87" s="8">
        <v>3713</v>
      </c>
      <c r="B87" s="8" t="s">
        <v>319</v>
      </c>
      <c r="C87" s="8" t="s">
        <v>92</v>
      </c>
      <c r="D87" s="9" t="s">
        <v>604</v>
      </c>
      <c r="E87" s="8" t="s">
        <v>43</v>
      </c>
      <c r="F87" s="8" t="s">
        <v>138</v>
      </c>
      <c r="G87" s="8" t="s">
        <v>225</v>
      </c>
      <c r="H87" s="8" t="s">
        <v>125</v>
      </c>
      <c r="I87" s="8" t="s">
        <v>114</v>
      </c>
      <c r="J87" s="9" t="s">
        <v>26</v>
      </c>
      <c r="K87" s="45" t="s">
        <v>571</v>
      </c>
      <c r="L87" s="10" t="s">
        <v>561</v>
      </c>
      <c r="M87" s="2" t="s">
        <v>562</v>
      </c>
      <c r="N87" s="10" t="s">
        <v>563</v>
      </c>
      <c r="O87" s="10" t="s">
        <v>98</v>
      </c>
      <c r="P87" s="9" t="s">
        <v>239</v>
      </c>
      <c r="Q87" s="41" t="s">
        <v>276</v>
      </c>
      <c r="R87" s="9" t="s">
        <v>339</v>
      </c>
      <c r="S87" s="9" t="s">
        <v>276</v>
      </c>
      <c r="T87" s="9" t="s">
        <v>276</v>
      </c>
      <c r="U87" s="9">
        <v>1</v>
      </c>
      <c r="V87" s="8" t="s">
        <v>14</v>
      </c>
      <c r="W87" s="2" t="s">
        <v>98</v>
      </c>
      <c r="X87" s="10" t="s">
        <v>207</v>
      </c>
      <c r="Y87" s="13">
        <v>189386</v>
      </c>
      <c r="Z87" s="34">
        <v>219439</v>
      </c>
      <c r="AA87" s="34">
        <f>Y87-181301</f>
        <v>8085</v>
      </c>
      <c r="AB87" s="34">
        <f>Z87-212739</f>
        <v>6700</v>
      </c>
      <c r="AC87" s="8" t="s">
        <v>276</v>
      </c>
      <c r="AD87" s="10" t="s">
        <v>564</v>
      </c>
      <c r="AE87" s="8" t="s">
        <v>276</v>
      </c>
      <c r="AF87" s="10" t="s">
        <v>564</v>
      </c>
      <c r="AG87" s="9" t="s">
        <v>605</v>
      </c>
      <c r="AH87" s="9" t="s">
        <v>430</v>
      </c>
      <c r="AI87" s="34">
        <f>303+97</f>
        <v>400</v>
      </c>
      <c r="AJ87" s="34">
        <f>69+97</f>
        <v>166</v>
      </c>
      <c r="AK87" s="34">
        <f t="shared" si="34"/>
        <v>189386</v>
      </c>
      <c r="AL87" s="34">
        <f t="shared" si="34"/>
        <v>219439</v>
      </c>
      <c r="AM87" s="38" t="s">
        <v>376</v>
      </c>
      <c r="AN87" s="8" t="s">
        <v>276</v>
      </c>
      <c r="AO87" s="14">
        <f t="shared" si="35"/>
        <v>0.21120885387515445</v>
      </c>
      <c r="AP87" s="8" t="s">
        <v>276</v>
      </c>
      <c r="AQ87" s="8" t="s">
        <v>276</v>
      </c>
      <c r="AR87" s="8" t="s">
        <v>276</v>
      </c>
      <c r="AS87" s="14">
        <f t="shared" si="36"/>
        <v>7.5647446442975039E-2</v>
      </c>
      <c r="AT87" s="8" t="s">
        <v>276</v>
      </c>
      <c r="AU87" s="8" t="s">
        <v>276</v>
      </c>
      <c r="AV87" s="9" t="s">
        <v>268</v>
      </c>
      <c r="AW87" s="35" t="s">
        <v>276</v>
      </c>
      <c r="AX87" s="35">
        <f t="shared" si="37"/>
        <v>2.7920156437054229</v>
      </c>
      <c r="AY87" s="10" t="s">
        <v>276</v>
      </c>
      <c r="AZ87" s="10" t="s">
        <v>276</v>
      </c>
      <c r="BA87" s="10" t="s">
        <v>276</v>
      </c>
      <c r="BB87" s="10" t="s">
        <v>98</v>
      </c>
      <c r="BC87" s="10" t="s">
        <v>98</v>
      </c>
      <c r="BD87" s="10" t="s">
        <v>98</v>
      </c>
      <c r="BE87" s="10" t="s">
        <v>98</v>
      </c>
      <c r="BF87" s="9" t="s">
        <v>597</v>
      </c>
      <c r="BG87" s="9" t="s">
        <v>476</v>
      </c>
      <c r="BH87" s="9" t="s">
        <v>100</v>
      </c>
      <c r="BI87" s="9" t="s">
        <v>100</v>
      </c>
      <c r="BJ87" s="32"/>
      <c r="BK87" s="32"/>
      <c r="BL87" s="33"/>
      <c r="BM87" s="33"/>
      <c r="BN87" s="33"/>
      <c r="BO87" s="32"/>
      <c r="BP87" s="32"/>
      <c r="BQ87" s="33"/>
    </row>
    <row r="88" spans="1:69" s="6" customFormat="1" ht="117" hidden="1" x14ac:dyDescent="0.35">
      <c r="A88" s="8">
        <v>3713</v>
      </c>
      <c r="B88" s="8" t="s">
        <v>319</v>
      </c>
      <c r="C88" s="8" t="s">
        <v>92</v>
      </c>
      <c r="D88" s="9" t="s">
        <v>606</v>
      </c>
      <c r="E88" s="8" t="s">
        <v>43</v>
      </c>
      <c r="F88" s="8" t="s">
        <v>138</v>
      </c>
      <c r="G88" s="8" t="s">
        <v>225</v>
      </c>
      <c r="H88" s="8" t="s">
        <v>125</v>
      </c>
      <c r="I88" s="8" t="s">
        <v>114</v>
      </c>
      <c r="J88" s="9" t="s">
        <v>26</v>
      </c>
      <c r="K88" s="45" t="s">
        <v>576</v>
      </c>
      <c r="L88" s="10" t="s">
        <v>561</v>
      </c>
      <c r="M88" s="2" t="s">
        <v>562</v>
      </c>
      <c r="N88" s="10" t="s">
        <v>563</v>
      </c>
      <c r="O88" s="10" t="s">
        <v>98</v>
      </c>
      <c r="P88" s="9" t="s">
        <v>239</v>
      </c>
      <c r="Q88" s="41" t="s">
        <v>276</v>
      </c>
      <c r="R88" s="9" t="s">
        <v>339</v>
      </c>
      <c r="S88" s="9" t="s">
        <v>276</v>
      </c>
      <c r="T88" s="9" t="s">
        <v>276</v>
      </c>
      <c r="U88" s="9">
        <v>1</v>
      </c>
      <c r="V88" s="8" t="s">
        <v>14</v>
      </c>
      <c r="W88" s="2" t="s">
        <v>98</v>
      </c>
      <c r="X88" s="10" t="s">
        <v>207</v>
      </c>
      <c r="Y88" s="13">
        <v>189386</v>
      </c>
      <c r="Z88" s="34">
        <v>219439</v>
      </c>
      <c r="AA88" s="34">
        <f>Y88-181301</f>
        <v>8085</v>
      </c>
      <c r="AB88" s="34">
        <f>Z88-212739</f>
        <v>6700</v>
      </c>
      <c r="AC88" s="8" t="s">
        <v>276</v>
      </c>
      <c r="AD88" s="10" t="s">
        <v>564</v>
      </c>
      <c r="AE88" s="8" t="s">
        <v>276</v>
      </c>
      <c r="AF88" s="10" t="s">
        <v>564</v>
      </c>
      <c r="AG88" s="9" t="s">
        <v>607</v>
      </c>
      <c r="AH88" s="9" t="s">
        <v>430</v>
      </c>
      <c r="AI88" s="34">
        <f>93+39</f>
        <v>132</v>
      </c>
      <c r="AJ88" s="34">
        <f>60+72</f>
        <v>132</v>
      </c>
      <c r="AK88" s="34">
        <f t="shared" si="34"/>
        <v>189386</v>
      </c>
      <c r="AL88" s="34">
        <f t="shared" si="34"/>
        <v>219439</v>
      </c>
      <c r="AM88" s="38" t="s">
        <v>376</v>
      </c>
      <c r="AN88" s="8" t="s">
        <v>276</v>
      </c>
      <c r="AO88" s="14">
        <f t="shared" si="35"/>
        <v>6.9698921778800965E-2</v>
      </c>
      <c r="AP88" s="8" t="s">
        <v>276</v>
      </c>
      <c r="AQ88" s="8" t="s">
        <v>276</v>
      </c>
      <c r="AR88" s="8" t="s">
        <v>276</v>
      </c>
      <c r="AS88" s="14">
        <f t="shared" si="36"/>
        <v>6.0153391147425933E-2</v>
      </c>
      <c r="AT88" s="8" t="s">
        <v>276</v>
      </c>
      <c r="AU88" s="8" t="s">
        <v>276</v>
      </c>
      <c r="AV88" s="9" t="s">
        <v>268</v>
      </c>
      <c r="AW88" s="35" t="s">
        <v>276</v>
      </c>
      <c r="AX88" s="35">
        <f t="shared" si="37"/>
        <v>1.1586864921377504</v>
      </c>
      <c r="AY88" s="10" t="s">
        <v>276</v>
      </c>
      <c r="AZ88" s="10" t="s">
        <v>276</v>
      </c>
      <c r="BA88" s="10" t="s">
        <v>276</v>
      </c>
      <c r="BB88" s="10" t="s">
        <v>98</v>
      </c>
      <c r="BC88" s="10" t="s">
        <v>98</v>
      </c>
      <c r="BD88" s="10" t="s">
        <v>98</v>
      </c>
      <c r="BE88" s="10" t="s">
        <v>98</v>
      </c>
      <c r="BF88" s="9" t="s">
        <v>597</v>
      </c>
      <c r="BG88" s="9" t="s">
        <v>476</v>
      </c>
      <c r="BH88" s="9" t="s">
        <v>100</v>
      </c>
      <c r="BI88" s="9" t="s">
        <v>100</v>
      </c>
      <c r="BJ88" s="32"/>
      <c r="BK88" s="32"/>
      <c r="BL88" s="33"/>
      <c r="BM88" s="33"/>
      <c r="BN88" s="33"/>
      <c r="BO88" s="32"/>
      <c r="BP88" s="32"/>
      <c r="BQ88" s="33"/>
    </row>
    <row r="89" spans="1:69" s="6" customFormat="1" ht="104" hidden="1" x14ac:dyDescent="0.35">
      <c r="A89" s="8">
        <v>3713</v>
      </c>
      <c r="B89" s="8" t="s">
        <v>319</v>
      </c>
      <c r="C89" s="8" t="s">
        <v>92</v>
      </c>
      <c r="D89" s="9" t="s">
        <v>608</v>
      </c>
      <c r="E89" s="8" t="s">
        <v>43</v>
      </c>
      <c r="F89" s="8" t="s">
        <v>138</v>
      </c>
      <c r="G89" s="8" t="s">
        <v>225</v>
      </c>
      <c r="H89" s="8" t="s">
        <v>125</v>
      </c>
      <c r="I89" s="8" t="s">
        <v>114</v>
      </c>
      <c r="J89" s="9" t="s">
        <v>26</v>
      </c>
      <c r="K89" s="45" t="s">
        <v>560</v>
      </c>
      <c r="L89" s="10" t="s">
        <v>561</v>
      </c>
      <c r="M89" s="2" t="s">
        <v>562</v>
      </c>
      <c r="N89" s="10" t="s">
        <v>563</v>
      </c>
      <c r="O89" s="10" t="s">
        <v>98</v>
      </c>
      <c r="P89" s="9" t="s">
        <v>239</v>
      </c>
      <c r="Q89" s="41" t="s">
        <v>276</v>
      </c>
      <c r="R89" s="9" t="s">
        <v>385</v>
      </c>
      <c r="S89" s="9" t="s">
        <v>276</v>
      </c>
      <c r="T89" s="9" t="s">
        <v>276</v>
      </c>
      <c r="U89" s="9">
        <v>1</v>
      </c>
      <c r="V89" s="8" t="s">
        <v>14</v>
      </c>
      <c r="W89" s="2" t="s">
        <v>98</v>
      </c>
      <c r="X89" s="10" t="s">
        <v>207</v>
      </c>
      <c r="Y89" s="13">
        <v>189386</v>
      </c>
      <c r="Z89" s="34">
        <v>219439</v>
      </c>
      <c r="AA89" s="34">
        <f>Y89-178385</f>
        <v>11001</v>
      </c>
      <c r="AB89" s="34">
        <f>Z89-209018</f>
        <v>10421</v>
      </c>
      <c r="AC89" s="8" t="s">
        <v>276</v>
      </c>
      <c r="AD89" s="10" t="s">
        <v>564</v>
      </c>
      <c r="AE89" s="8" t="s">
        <v>276</v>
      </c>
      <c r="AF89" s="10" t="s">
        <v>564</v>
      </c>
      <c r="AG89" s="9" t="s">
        <v>609</v>
      </c>
      <c r="AH89" s="9" t="s">
        <v>430</v>
      </c>
      <c r="AI89" s="34">
        <f>1852+441+187</f>
        <v>2480</v>
      </c>
      <c r="AJ89" s="34">
        <f>240+283+293</f>
        <v>816</v>
      </c>
      <c r="AK89" s="34">
        <f t="shared" si="34"/>
        <v>189386</v>
      </c>
      <c r="AL89" s="34">
        <f t="shared" si="34"/>
        <v>219439</v>
      </c>
      <c r="AM89" s="38" t="s">
        <v>376</v>
      </c>
      <c r="AN89" s="8" t="s">
        <v>276</v>
      </c>
      <c r="AO89" s="14">
        <f t="shared" si="35"/>
        <v>1.3094948940259576</v>
      </c>
      <c r="AP89" s="8" t="s">
        <v>276</v>
      </c>
      <c r="AQ89" s="8" t="s">
        <v>276</v>
      </c>
      <c r="AR89" s="8" t="s">
        <v>276</v>
      </c>
      <c r="AS89" s="14">
        <f t="shared" si="36"/>
        <v>0.37185732709317854</v>
      </c>
      <c r="AT89" s="8" t="s">
        <v>276</v>
      </c>
      <c r="AU89" s="8" t="s">
        <v>276</v>
      </c>
      <c r="AV89" s="9" t="s">
        <v>268</v>
      </c>
      <c r="AW89" s="35" t="s">
        <v>276</v>
      </c>
      <c r="AX89" s="35">
        <f t="shared" si="37"/>
        <v>3.5214981623794377</v>
      </c>
      <c r="AY89" s="10" t="s">
        <v>276</v>
      </c>
      <c r="AZ89" s="10" t="s">
        <v>276</v>
      </c>
      <c r="BA89" s="10" t="s">
        <v>276</v>
      </c>
      <c r="BB89" s="10" t="s">
        <v>98</v>
      </c>
      <c r="BC89" s="10" t="s">
        <v>98</v>
      </c>
      <c r="BD89" s="10" t="s">
        <v>98</v>
      </c>
      <c r="BE89" s="10" t="s">
        <v>98</v>
      </c>
      <c r="BF89" s="9" t="s">
        <v>597</v>
      </c>
      <c r="BG89" s="9" t="s">
        <v>476</v>
      </c>
      <c r="BH89" s="9" t="s">
        <v>100</v>
      </c>
      <c r="BI89" s="9" t="s">
        <v>100</v>
      </c>
      <c r="BJ89" s="32"/>
      <c r="BK89" s="32"/>
      <c r="BL89" s="33"/>
      <c r="BM89" s="33"/>
      <c r="BN89" s="33"/>
      <c r="BO89" s="32"/>
      <c r="BP89" s="32"/>
      <c r="BQ89" s="33"/>
    </row>
    <row r="90" spans="1:69" s="6" customFormat="1" ht="104" hidden="1" x14ac:dyDescent="0.35">
      <c r="A90" s="8">
        <v>3713</v>
      </c>
      <c r="B90" s="8" t="s">
        <v>319</v>
      </c>
      <c r="C90" s="8" t="s">
        <v>92</v>
      </c>
      <c r="D90" s="9" t="s">
        <v>610</v>
      </c>
      <c r="E90" s="8" t="s">
        <v>43</v>
      </c>
      <c r="F90" s="8" t="s">
        <v>138</v>
      </c>
      <c r="G90" s="8" t="s">
        <v>225</v>
      </c>
      <c r="H90" s="8" t="s">
        <v>125</v>
      </c>
      <c r="I90" s="8" t="s">
        <v>114</v>
      </c>
      <c r="J90" s="9" t="s">
        <v>26</v>
      </c>
      <c r="K90" s="45" t="s">
        <v>571</v>
      </c>
      <c r="L90" s="10" t="s">
        <v>561</v>
      </c>
      <c r="M90" s="2" t="s">
        <v>562</v>
      </c>
      <c r="N90" s="10" t="s">
        <v>563</v>
      </c>
      <c r="O90" s="10" t="s">
        <v>98</v>
      </c>
      <c r="P90" s="9" t="s">
        <v>239</v>
      </c>
      <c r="Q90" s="41" t="s">
        <v>276</v>
      </c>
      <c r="R90" s="9" t="s">
        <v>385</v>
      </c>
      <c r="S90" s="9" t="s">
        <v>276</v>
      </c>
      <c r="T90" s="9" t="s">
        <v>276</v>
      </c>
      <c r="U90" s="9">
        <v>1</v>
      </c>
      <c r="V90" s="8" t="s">
        <v>14</v>
      </c>
      <c r="W90" s="2" t="s">
        <v>98</v>
      </c>
      <c r="X90" s="10" t="s">
        <v>207</v>
      </c>
      <c r="Y90" s="13">
        <v>189386</v>
      </c>
      <c r="Z90" s="34">
        <v>219439</v>
      </c>
      <c r="AA90" s="34">
        <f>Y90-178385</f>
        <v>11001</v>
      </c>
      <c r="AB90" s="34">
        <f>Z90-209018</f>
        <v>10421</v>
      </c>
      <c r="AC90" s="8" t="s">
        <v>276</v>
      </c>
      <c r="AD90" s="10" t="s">
        <v>564</v>
      </c>
      <c r="AE90" s="8" t="s">
        <v>276</v>
      </c>
      <c r="AF90" s="10" t="s">
        <v>564</v>
      </c>
      <c r="AG90" s="9" t="s">
        <v>611</v>
      </c>
      <c r="AH90" s="9" t="s">
        <v>430</v>
      </c>
      <c r="AI90" s="34">
        <f>303+97+56</f>
        <v>456</v>
      </c>
      <c r="AJ90" s="34">
        <f>69+97+99</f>
        <v>265</v>
      </c>
      <c r="AK90" s="34">
        <f t="shared" si="34"/>
        <v>189386</v>
      </c>
      <c r="AL90" s="34">
        <f t="shared" si="34"/>
        <v>219439</v>
      </c>
      <c r="AM90" s="38" t="s">
        <v>376</v>
      </c>
      <c r="AN90" s="8" t="s">
        <v>276</v>
      </c>
      <c r="AO90" s="14">
        <f t="shared" si="35"/>
        <v>0.24077809341767606</v>
      </c>
      <c r="AP90" s="8" t="s">
        <v>276</v>
      </c>
      <c r="AQ90" s="8" t="s">
        <v>276</v>
      </c>
      <c r="AR90" s="8" t="s">
        <v>276</v>
      </c>
      <c r="AS90" s="14">
        <f t="shared" si="36"/>
        <v>0.1207624898035445</v>
      </c>
      <c r="AT90" s="8" t="s">
        <v>276</v>
      </c>
      <c r="AU90" s="8" t="s">
        <v>276</v>
      </c>
      <c r="AV90" s="9" t="s">
        <v>268</v>
      </c>
      <c r="AW90" s="35" t="s">
        <v>276</v>
      </c>
      <c r="AX90" s="35">
        <f t="shared" si="37"/>
        <v>1.9938152468483552</v>
      </c>
      <c r="AY90" s="10" t="s">
        <v>276</v>
      </c>
      <c r="AZ90" s="10" t="s">
        <v>276</v>
      </c>
      <c r="BA90" s="10" t="s">
        <v>276</v>
      </c>
      <c r="BB90" s="10" t="s">
        <v>98</v>
      </c>
      <c r="BC90" s="10" t="s">
        <v>98</v>
      </c>
      <c r="BD90" s="10" t="s">
        <v>98</v>
      </c>
      <c r="BE90" s="10" t="s">
        <v>98</v>
      </c>
      <c r="BF90" s="9" t="s">
        <v>597</v>
      </c>
      <c r="BG90" s="9" t="s">
        <v>476</v>
      </c>
      <c r="BH90" s="9" t="s">
        <v>100</v>
      </c>
      <c r="BI90" s="9" t="s">
        <v>100</v>
      </c>
      <c r="BJ90" s="32"/>
      <c r="BK90" s="32"/>
      <c r="BL90" s="33"/>
      <c r="BM90" s="33"/>
      <c r="BN90" s="33"/>
      <c r="BO90" s="32"/>
      <c r="BP90" s="32"/>
      <c r="BQ90" s="33"/>
    </row>
    <row r="91" spans="1:69" s="6" customFormat="1" ht="117" hidden="1" x14ac:dyDescent="0.35">
      <c r="A91" s="8">
        <v>3713</v>
      </c>
      <c r="B91" s="8" t="s">
        <v>319</v>
      </c>
      <c r="C91" s="8" t="s">
        <v>92</v>
      </c>
      <c r="D91" s="9" t="s">
        <v>612</v>
      </c>
      <c r="E91" s="8" t="s">
        <v>43</v>
      </c>
      <c r="F91" s="8" t="s">
        <v>138</v>
      </c>
      <c r="G91" s="8" t="s">
        <v>225</v>
      </c>
      <c r="H91" s="8" t="s">
        <v>125</v>
      </c>
      <c r="I91" s="8" t="s">
        <v>114</v>
      </c>
      <c r="J91" s="9" t="s">
        <v>26</v>
      </c>
      <c r="K91" s="45" t="s">
        <v>576</v>
      </c>
      <c r="L91" s="10" t="s">
        <v>561</v>
      </c>
      <c r="M91" s="2" t="s">
        <v>562</v>
      </c>
      <c r="N91" s="10" t="s">
        <v>563</v>
      </c>
      <c r="O91" s="10" t="s">
        <v>98</v>
      </c>
      <c r="P91" s="9" t="s">
        <v>239</v>
      </c>
      <c r="Q91" s="41" t="s">
        <v>276</v>
      </c>
      <c r="R91" s="9" t="s">
        <v>385</v>
      </c>
      <c r="S91" s="9" t="s">
        <v>276</v>
      </c>
      <c r="T91" s="9" t="s">
        <v>276</v>
      </c>
      <c r="U91" s="9">
        <v>1</v>
      </c>
      <c r="V91" s="8" t="s">
        <v>14</v>
      </c>
      <c r="W91" s="2" t="s">
        <v>98</v>
      </c>
      <c r="X91" s="10" t="s">
        <v>207</v>
      </c>
      <c r="Y91" s="13">
        <v>189386</v>
      </c>
      <c r="Z91" s="34">
        <v>219439</v>
      </c>
      <c r="AA91" s="34">
        <f>Y91-178385</f>
        <v>11001</v>
      </c>
      <c r="AB91" s="34">
        <f>Z91-209018</f>
        <v>10421</v>
      </c>
      <c r="AC91" s="8" t="s">
        <v>276</v>
      </c>
      <c r="AD91" s="10" t="s">
        <v>564</v>
      </c>
      <c r="AE91" s="8" t="s">
        <v>276</v>
      </c>
      <c r="AF91" s="10" t="s">
        <v>564</v>
      </c>
      <c r="AG91" s="9" t="s">
        <v>613</v>
      </c>
      <c r="AH91" s="9" t="s">
        <v>430</v>
      </c>
      <c r="AI91" s="34">
        <f>93+39+46</f>
        <v>178</v>
      </c>
      <c r="AJ91" s="34">
        <f>60+72+96</f>
        <v>228</v>
      </c>
      <c r="AK91" s="34">
        <f t="shared" si="34"/>
        <v>189386</v>
      </c>
      <c r="AL91" s="34">
        <f t="shared" si="34"/>
        <v>219439</v>
      </c>
      <c r="AM91" s="38" t="s">
        <v>376</v>
      </c>
      <c r="AN91" s="8" t="s">
        <v>276</v>
      </c>
      <c r="AO91" s="14">
        <f t="shared" si="35"/>
        <v>9.3987939974443727E-2</v>
      </c>
      <c r="AP91" s="8" t="s">
        <v>276</v>
      </c>
      <c r="AQ91" s="8" t="s">
        <v>276</v>
      </c>
      <c r="AR91" s="8" t="s">
        <v>276</v>
      </c>
      <c r="AS91" s="14">
        <f t="shared" si="36"/>
        <v>0.10390131198191753</v>
      </c>
      <c r="AT91" s="8" t="s">
        <v>276</v>
      </c>
      <c r="AU91" s="8" t="s">
        <v>276</v>
      </c>
      <c r="AV91" s="9" t="s">
        <v>268</v>
      </c>
      <c r="AW91" s="35" t="s">
        <v>276</v>
      </c>
      <c r="AX91" s="35">
        <f t="shared" si="37"/>
        <v>0.9045885771952612</v>
      </c>
      <c r="AY91" s="10" t="s">
        <v>276</v>
      </c>
      <c r="AZ91" s="10" t="s">
        <v>276</v>
      </c>
      <c r="BA91" s="10" t="s">
        <v>276</v>
      </c>
      <c r="BB91" s="10" t="s">
        <v>98</v>
      </c>
      <c r="BC91" s="10" t="s">
        <v>98</v>
      </c>
      <c r="BD91" s="10" t="s">
        <v>98</v>
      </c>
      <c r="BE91" s="10" t="s">
        <v>98</v>
      </c>
      <c r="BF91" s="9" t="s">
        <v>597</v>
      </c>
      <c r="BG91" s="9" t="s">
        <v>476</v>
      </c>
      <c r="BH91" s="9" t="s">
        <v>100</v>
      </c>
      <c r="BI91" s="9" t="s">
        <v>100</v>
      </c>
      <c r="BJ91" s="32"/>
      <c r="BK91" s="32"/>
      <c r="BL91" s="33"/>
      <c r="BM91" s="33"/>
      <c r="BN91" s="33"/>
      <c r="BO91" s="32"/>
      <c r="BP91" s="32"/>
      <c r="BQ91" s="33"/>
    </row>
    <row r="92" spans="1:69" s="6" customFormat="1" ht="104" hidden="1" x14ac:dyDescent="0.35">
      <c r="A92" s="8">
        <v>3713</v>
      </c>
      <c r="B92" s="8" t="s">
        <v>319</v>
      </c>
      <c r="C92" s="8" t="s">
        <v>92</v>
      </c>
      <c r="D92" s="9" t="s">
        <v>614</v>
      </c>
      <c r="E92" s="8" t="s">
        <v>43</v>
      </c>
      <c r="F92" s="8" t="s">
        <v>138</v>
      </c>
      <c r="G92" s="8" t="s">
        <v>225</v>
      </c>
      <c r="H92" s="8" t="s">
        <v>125</v>
      </c>
      <c r="I92" s="8" t="s">
        <v>114</v>
      </c>
      <c r="J92" s="9" t="s">
        <v>26</v>
      </c>
      <c r="K92" s="45" t="s">
        <v>560</v>
      </c>
      <c r="L92" s="10" t="s">
        <v>561</v>
      </c>
      <c r="M92" s="2" t="s">
        <v>562</v>
      </c>
      <c r="N92" s="10" t="s">
        <v>563</v>
      </c>
      <c r="O92" s="10" t="s">
        <v>98</v>
      </c>
      <c r="P92" s="9" t="s">
        <v>239</v>
      </c>
      <c r="Q92" s="41" t="s">
        <v>276</v>
      </c>
      <c r="R92" s="9" t="s">
        <v>343</v>
      </c>
      <c r="S92" s="9" t="s">
        <v>276</v>
      </c>
      <c r="T92" s="9" t="s">
        <v>276</v>
      </c>
      <c r="U92" s="9">
        <v>1</v>
      </c>
      <c r="V92" s="8" t="s">
        <v>14</v>
      </c>
      <c r="W92" s="2" t="s">
        <v>98</v>
      </c>
      <c r="X92" s="10" t="s">
        <v>207</v>
      </c>
      <c r="Y92" s="13">
        <v>189386</v>
      </c>
      <c r="Z92" s="34">
        <v>219439</v>
      </c>
      <c r="AA92" s="34">
        <f>Y92-175057</f>
        <v>14329</v>
      </c>
      <c r="AB92" s="34">
        <f>Z92-205021</f>
        <v>14418</v>
      </c>
      <c r="AC92" s="8" t="s">
        <v>276</v>
      </c>
      <c r="AD92" s="10" t="s">
        <v>564</v>
      </c>
      <c r="AE92" s="8" t="s">
        <v>276</v>
      </c>
      <c r="AF92" s="10" t="s">
        <v>564</v>
      </c>
      <c r="AG92" s="9" t="s">
        <v>615</v>
      </c>
      <c r="AH92" s="9" t="s">
        <v>430</v>
      </c>
      <c r="AI92" s="34">
        <f>1852+441+187+229</f>
        <v>2709</v>
      </c>
      <c r="AJ92" s="34">
        <f>240+283+293+365</f>
        <v>1181</v>
      </c>
      <c r="AK92" s="34">
        <f t="shared" si="34"/>
        <v>189386</v>
      </c>
      <c r="AL92" s="34">
        <f t="shared" si="34"/>
        <v>219439</v>
      </c>
      <c r="AM92" s="38" t="s">
        <v>376</v>
      </c>
      <c r="AN92" s="8" t="s">
        <v>276</v>
      </c>
      <c r="AO92" s="14">
        <f t="shared" si="35"/>
        <v>1.4304119628694836</v>
      </c>
      <c r="AP92" s="8" t="s">
        <v>276</v>
      </c>
      <c r="AQ92" s="8" t="s">
        <v>276</v>
      </c>
      <c r="AR92" s="8" t="s">
        <v>276</v>
      </c>
      <c r="AS92" s="14">
        <f t="shared" si="36"/>
        <v>0.53819056776598506</v>
      </c>
      <c r="AT92" s="8" t="s">
        <v>276</v>
      </c>
      <c r="AU92" s="8" t="s">
        <v>276</v>
      </c>
      <c r="AV92" s="9" t="s">
        <v>268</v>
      </c>
      <c r="AW92" s="35" t="s">
        <v>276</v>
      </c>
      <c r="AX92" s="35">
        <f t="shared" si="37"/>
        <v>2.6578168562245268</v>
      </c>
      <c r="AY92" s="10" t="s">
        <v>276</v>
      </c>
      <c r="AZ92" s="10" t="s">
        <v>276</v>
      </c>
      <c r="BA92" s="10" t="s">
        <v>276</v>
      </c>
      <c r="BB92" s="10" t="s">
        <v>98</v>
      </c>
      <c r="BC92" s="10" t="s">
        <v>98</v>
      </c>
      <c r="BD92" s="10" t="s">
        <v>98</v>
      </c>
      <c r="BE92" s="10" t="s">
        <v>98</v>
      </c>
      <c r="BF92" s="9" t="s">
        <v>597</v>
      </c>
      <c r="BG92" s="9" t="s">
        <v>476</v>
      </c>
      <c r="BH92" s="9" t="s">
        <v>100</v>
      </c>
      <c r="BI92" s="9" t="s">
        <v>100</v>
      </c>
      <c r="BJ92" s="32"/>
      <c r="BK92" s="32"/>
      <c r="BL92" s="33"/>
      <c r="BM92" s="33"/>
      <c r="BN92" s="33"/>
      <c r="BO92" s="32"/>
      <c r="BP92" s="32"/>
      <c r="BQ92" s="33"/>
    </row>
    <row r="93" spans="1:69" s="6" customFormat="1" ht="104" hidden="1" x14ac:dyDescent="0.35">
      <c r="A93" s="8">
        <v>3713</v>
      </c>
      <c r="B93" s="8" t="s">
        <v>319</v>
      </c>
      <c r="C93" s="8" t="s">
        <v>92</v>
      </c>
      <c r="D93" s="9" t="s">
        <v>616</v>
      </c>
      <c r="E93" s="8" t="s">
        <v>43</v>
      </c>
      <c r="F93" s="8" t="s">
        <v>138</v>
      </c>
      <c r="G93" s="8" t="s">
        <v>225</v>
      </c>
      <c r="H93" s="8" t="s">
        <v>125</v>
      </c>
      <c r="I93" s="8" t="s">
        <v>114</v>
      </c>
      <c r="J93" s="9" t="s">
        <v>26</v>
      </c>
      <c r="K93" s="45" t="s">
        <v>571</v>
      </c>
      <c r="L93" s="10" t="s">
        <v>561</v>
      </c>
      <c r="M93" s="2" t="s">
        <v>562</v>
      </c>
      <c r="N93" s="10" t="s">
        <v>563</v>
      </c>
      <c r="O93" s="10" t="s">
        <v>98</v>
      </c>
      <c r="P93" s="9" t="s">
        <v>239</v>
      </c>
      <c r="Q93" s="41" t="s">
        <v>276</v>
      </c>
      <c r="R93" s="9" t="s">
        <v>343</v>
      </c>
      <c r="S93" s="9" t="s">
        <v>276</v>
      </c>
      <c r="T93" s="9" t="s">
        <v>276</v>
      </c>
      <c r="U93" s="9">
        <v>1</v>
      </c>
      <c r="V93" s="8" t="s">
        <v>14</v>
      </c>
      <c r="W93" s="2" t="s">
        <v>98</v>
      </c>
      <c r="X93" s="10" t="s">
        <v>207</v>
      </c>
      <c r="Y93" s="13">
        <v>189386</v>
      </c>
      <c r="Z93" s="34">
        <v>219439</v>
      </c>
      <c r="AA93" s="34">
        <f>Y93-175057</f>
        <v>14329</v>
      </c>
      <c r="AB93" s="34">
        <f>Z93-205021</f>
        <v>14418</v>
      </c>
      <c r="AC93" s="8" t="s">
        <v>276</v>
      </c>
      <c r="AD93" s="10" t="s">
        <v>564</v>
      </c>
      <c r="AE93" s="8" t="s">
        <v>276</v>
      </c>
      <c r="AF93" s="10" t="s">
        <v>564</v>
      </c>
      <c r="AG93" s="9" t="s">
        <v>617</v>
      </c>
      <c r="AH93" s="9" t="s">
        <v>430</v>
      </c>
      <c r="AI93" s="34">
        <f>303+97+56+76</f>
        <v>532</v>
      </c>
      <c r="AJ93" s="34">
        <f>69+97+99+120</f>
        <v>385</v>
      </c>
      <c r="AK93" s="34">
        <f t="shared" si="34"/>
        <v>189386</v>
      </c>
      <c r="AL93" s="34">
        <f t="shared" si="34"/>
        <v>219439</v>
      </c>
      <c r="AM93" s="38" t="s">
        <v>376</v>
      </c>
      <c r="AN93" s="8" t="s">
        <v>276</v>
      </c>
      <c r="AO93" s="14">
        <f t="shared" si="35"/>
        <v>0.28090777565395542</v>
      </c>
      <c r="AP93" s="8" t="s">
        <v>276</v>
      </c>
      <c r="AQ93" s="8" t="s">
        <v>276</v>
      </c>
      <c r="AR93" s="8" t="s">
        <v>276</v>
      </c>
      <c r="AS93" s="14">
        <f t="shared" si="36"/>
        <v>0.17544739084665897</v>
      </c>
      <c r="AT93" s="8" t="s">
        <v>276</v>
      </c>
      <c r="AU93" s="8" t="s">
        <v>276</v>
      </c>
      <c r="AV93" s="9" t="s">
        <v>268</v>
      </c>
      <c r="AW93" s="35" t="s">
        <v>276</v>
      </c>
      <c r="AX93" s="35">
        <f t="shared" si="37"/>
        <v>1.6010940618630733</v>
      </c>
      <c r="AY93" s="10" t="s">
        <v>276</v>
      </c>
      <c r="AZ93" s="10" t="s">
        <v>276</v>
      </c>
      <c r="BA93" s="10" t="s">
        <v>276</v>
      </c>
      <c r="BB93" s="10" t="s">
        <v>98</v>
      </c>
      <c r="BC93" s="10" t="s">
        <v>98</v>
      </c>
      <c r="BD93" s="10" t="s">
        <v>98</v>
      </c>
      <c r="BE93" s="10" t="s">
        <v>98</v>
      </c>
      <c r="BF93" s="9" t="s">
        <v>597</v>
      </c>
      <c r="BG93" s="9" t="s">
        <v>476</v>
      </c>
      <c r="BH93" s="9" t="s">
        <v>100</v>
      </c>
      <c r="BI93" s="9" t="s">
        <v>100</v>
      </c>
      <c r="BJ93" s="32"/>
      <c r="BK93" s="32"/>
      <c r="BL93" s="33"/>
      <c r="BM93" s="33"/>
      <c r="BN93" s="33"/>
      <c r="BO93" s="32"/>
      <c r="BP93" s="32"/>
      <c r="BQ93" s="33"/>
    </row>
    <row r="94" spans="1:69" s="6" customFormat="1" ht="117" hidden="1" x14ac:dyDescent="0.35">
      <c r="A94" s="8">
        <v>3713</v>
      </c>
      <c r="B94" s="8" t="s">
        <v>319</v>
      </c>
      <c r="C94" s="8" t="s">
        <v>92</v>
      </c>
      <c r="D94" s="9" t="s">
        <v>618</v>
      </c>
      <c r="E94" s="8" t="s">
        <v>43</v>
      </c>
      <c r="F94" s="8" t="s">
        <v>138</v>
      </c>
      <c r="G94" s="8" t="s">
        <v>225</v>
      </c>
      <c r="H94" s="8" t="s">
        <v>125</v>
      </c>
      <c r="I94" s="8" t="s">
        <v>114</v>
      </c>
      <c r="J94" s="9" t="s">
        <v>26</v>
      </c>
      <c r="K94" s="45" t="s">
        <v>576</v>
      </c>
      <c r="L94" s="10" t="s">
        <v>561</v>
      </c>
      <c r="M94" s="2" t="s">
        <v>562</v>
      </c>
      <c r="N94" s="10" t="s">
        <v>563</v>
      </c>
      <c r="O94" s="10" t="s">
        <v>98</v>
      </c>
      <c r="P94" s="9" t="s">
        <v>239</v>
      </c>
      <c r="Q94" s="41" t="s">
        <v>276</v>
      </c>
      <c r="R94" s="9" t="s">
        <v>343</v>
      </c>
      <c r="S94" s="9" t="s">
        <v>276</v>
      </c>
      <c r="T94" s="9" t="s">
        <v>276</v>
      </c>
      <c r="U94" s="9">
        <v>1</v>
      </c>
      <c r="V94" s="8" t="s">
        <v>14</v>
      </c>
      <c r="W94" s="2" t="s">
        <v>98</v>
      </c>
      <c r="X94" s="10" t="s">
        <v>207</v>
      </c>
      <c r="Y94" s="13">
        <v>189386</v>
      </c>
      <c r="Z94" s="34">
        <v>219439</v>
      </c>
      <c r="AA94" s="34">
        <f>Y94-175057</f>
        <v>14329</v>
      </c>
      <c r="AB94" s="34">
        <f>Z94-205021</f>
        <v>14418</v>
      </c>
      <c r="AC94" s="8" t="s">
        <v>276</v>
      </c>
      <c r="AD94" s="10" t="s">
        <v>564</v>
      </c>
      <c r="AE94" s="8" t="s">
        <v>276</v>
      </c>
      <c r="AF94" s="10" t="s">
        <v>564</v>
      </c>
      <c r="AG94" s="9" t="s">
        <v>619</v>
      </c>
      <c r="AH94" s="9" t="s">
        <v>430</v>
      </c>
      <c r="AI94" s="34">
        <f>93+39+46+51</f>
        <v>229</v>
      </c>
      <c r="AJ94" s="34">
        <f>60+72+96+85</f>
        <v>313</v>
      </c>
      <c r="AK94" s="34">
        <f t="shared" si="34"/>
        <v>189386</v>
      </c>
      <c r="AL94" s="34">
        <f t="shared" si="34"/>
        <v>219439</v>
      </c>
      <c r="AM94" s="38" t="s">
        <v>376</v>
      </c>
      <c r="AN94" s="8" t="s">
        <v>276</v>
      </c>
      <c r="AO94" s="14">
        <f t="shared" si="35"/>
        <v>0.12091706884352592</v>
      </c>
      <c r="AP94" s="8" t="s">
        <v>276</v>
      </c>
      <c r="AQ94" s="8" t="s">
        <v>276</v>
      </c>
      <c r="AR94" s="8" t="s">
        <v>276</v>
      </c>
      <c r="AS94" s="14">
        <f t="shared" si="36"/>
        <v>0.1426364502207903</v>
      </c>
      <c r="AT94" s="8" t="s">
        <v>276</v>
      </c>
      <c r="AU94" s="8" t="s">
        <v>276</v>
      </c>
      <c r="AV94" s="9" t="s">
        <v>268</v>
      </c>
      <c r="AW94" s="35" t="s">
        <v>276</v>
      </c>
      <c r="AX94" s="35">
        <f t="shared" si="37"/>
        <v>0.84772909488672465</v>
      </c>
      <c r="AY94" s="10" t="s">
        <v>276</v>
      </c>
      <c r="AZ94" s="10" t="s">
        <v>276</v>
      </c>
      <c r="BA94" s="10" t="s">
        <v>276</v>
      </c>
      <c r="BB94" s="10" t="s">
        <v>98</v>
      </c>
      <c r="BC94" s="10" t="s">
        <v>98</v>
      </c>
      <c r="BD94" s="10" t="s">
        <v>98</v>
      </c>
      <c r="BE94" s="10" t="s">
        <v>98</v>
      </c>
      <c r="BF94" s="9" t="s">
        <v>597</v>
      </c>
      <c r="BG94" s="9" t="s">
        <v>476</v>
      </c>
      <c r="BH94" s="9" t="s">
        <v>100</v>
      </c>
      <c r="BI94" s="9" t="s">
        <v>100</v>
      </c>
      <c r="BJ94" s="32"/>
      <c r="BK94" s="32"/>
      <c r="BL94" s="33"/>
      <c r="BM94" s="33"/>
      <c r="BN94" s="33"/>
      <c r="BO94" s="32"/>
      <c r="BP94" s="32"/>
      <c r="BQ94" s="33"/>
    </row>
    <row r="95" spans="1:69" s="6" customFormat="1" ht="104" hidden="1" x14ac:dyDescent="0.35">
      <c r="A95" s="8">
        <v>3713</v>
      </c>
      <c r="B95" s="8" t="s">
        <v>319</v>
      </c>
      <c r="C95" s="8" t="s">
        <v>92</v>
      </c>
      <c r="D95" s="9" t="s">
        <v>620</v>
      </c>
      <c r="E95" s="8" t="s">
        <v>43</v>
      </c>
      <c r="F95" s="8" t="s">
        <v>138</v>
      </c>
      <c r="G95" s="8" t="s">
        <v>225</v>
      </c>
      <c r="H95" s="8" t="s">
        <v>125</v>
      </c>
      <c r="I95" s="8" t="s">
        <v>114</v>
      </c>
      <c r="J95" s="9" t="s">
        <v>26</v>
      </c>
      <c r="K95" s="45" t="s">
        <v>560</v>
      </c>
      <c r="L95" s="10" t="s">
        <v>561</v>
      </c>
      <c r="M95" s="2" t="s">
        <v>562</v>
      </c>
      <c r="N95" s="10" t="s">
        <v>563</v>
      </c>
      <c r="O95" s="10" t="s">
        <v>98</v>
      </c>
      <c r="P95" s="9" t="s">
        <v>239</v>
      </c>
      <c r="Q95" s="41" t="s">
        <v>276</v>
      </c>
      <c r="R95" s="9" t="s">
        <v>390</v>
      </c>
      <c r="S95" s="9" t="s">
        <v>276</v>
      </c>
      <c r="T95" s="9" t="s">
        <v>276</v>
      </c>
      <c r="U95" s="9">
        <v>1</v>
      </c>
      <c r="V95" s="8" t="s">
        <v>14</v>
      </c>
      <c r="W95" s="2" t="s">
        <v>98</v>
      </c>
      <c r="X95" s="10" t="s">
        <v>207</v>
      </c>
      <c r="Y95" s="13">
        <v>189386</v>
      </c>
      <c r="Z95" s="34">
        <v>219439</v>
      </c>
      <c r="AA95" s="34">
        <f>Y95-171650</f>
        <v>17736</v>
      </c>
      <c r="AB95" s="34">
        <f>Z95-200496</f>
        <v>18943</v>
      </c>
      <c r="AC95" s="8" t="s">
        <v>276</v>
      </c>
      <c r="AD95" s="10" t="s">
        <v>564</v>
      </c>
      <c r="AE95" s="8" t="s">
        <v>276</v>
      </c>
      <c r="AF95" s="10" t="s">
        <v>564</v>
      </c>
      <c r="AG95" s="9" t="s">
        <v>621</v>
      </c>
      <c r="AH95" s="9" t="s">
        <v>430</v>
      </c>
      <c r="AI95" s="34">
        <f>1852+441+187+229+235</f>
        <v>2944</v>
      </c>
      <c r="AJ95" s="34">
        <f>240+283+293+365+413</f>
        <v>1594</v>
      </c>
      <c r="AK95" s="34">
        <f t="shared" si="34"/>
        <v>189386</v>
      </c>
      <c r="AL95" s="34">
        <f t="shared" si="34"/>
        <v>219439</v>
      </c>
      <c r="AM95" s="38" t="s">
        <v>376</v>
      </c>
      <c r="AN95" s="8" t="s">
        <v>276</v>
      </c>
      <c r="AO95" s="14">
        <f t="shared" si="35"/>
        <v>1.5544971645211367</v>
      </c>
      <c r="AP95" s="8" t="s">
        <v>276</v>
      </c>
      <c r="AQ95" s="8" t="s">
        <v>276</v>
      </c>
      <c r="AR95" s="8" t="s">
        <v>276</v>
      </c>
      <c r="AS95" s="14">
        <f t="shared" si="36"/>
        <v>0.72639776885603746</v>
      </c>
      <c r="AT95" s="8" t="s">
        <v>276</v>
      </c>
      <c r="AU95" s="8" t="s">
        <v>276</v>
      </c>
      <c r="AV95" s="9" t="s">
        <v>268</v>
      </c>
      <c r="AW95" s="35" t="s">
        <v>276</v>
      </c>
      <c r="AX95" s="35">
        <f t="shared" si="37"/>
        <v>2.1400081761941889</v>
      </c>
      <c r="AY95" s="10" t="s">
        <v>276</v>
      </c>
      <c r="AZ95" s="10" t="s">
        <v>276</v>
      </c>
      <c r="BA95" s="10" t="s">
        <v>276</v>
      </c>
      <c r="BB95" s="10" t="s">
        <v>98</v>
      </c>
      <c r="BC95" s="10" t="s">
        <v>98</v>
      </c>
      <c r="BD95" s="10" t="s">
        <v>98</v>
      </c>
      <c r="BE95" s="10" t="s">
        <v>98</v>
      </c>
      <c r="BF95" s="9" t="s">
        <v>597</v>
      </c>
      <c r="BG95" s="9" t="s">
        <v>476</v>
      </c>
      <c r="BH95" s="9" t="s">
        <v>100</v>
      </c>
      <c r="BI95" s="9" t="s">
        <v>100</v>
      </c>
      <c r="BJ95" s="32"/>
      <c r="BK95" s="32"/>
      <c r="BL95" s="33"/>
      <c r="BM95" s="33"/>
      <c r="BN95" s="33"/>
      <c r="BO95" s="32"/>
      <c r="BP95" s="32"/>
      <c r="BQ95" s="33"/>
    </row>
    <row r="96" spans="1:69" s="6" customFormat="1" ht="104" hidden="1" x14ac:dyDescent="0.35">
      <c r="A96" s="8">
        <v>3713</v>
      </c>
      <c r="B96" s="8" t="s">
        <v>319</v>
      </c>
      <c r="C96" s="8" t="s">
        <v>92</v>
      </c>
      <c r="D96" s="9" t="s">
        <v>622</v>
      </c>
      <c r="E96" s="8" t="s">
        <v>43</v>
      </c>
      <c r="F96" s="8" t="s">
        <v>138</v>
      </c>
      <c r="G96" s="8" t="s">
        <v>225</v>
      </c>
      <c r="H96" s="8" t="s">
        <v>125</v>
      </c>
      <c r="I96" s="8" t="s">
        <v>114</v>
      </c>
      <c r="J96" s="9" t="s">
        <v>26</v>
      </c>
      <c r="K96" s="45" t="s">
        <v>571</v>
      </c>
      <c r="L96" s="10" t="s">
        <v>561</v>
      </c>
      <c r="M96" s="2" t="s">
        <v>562</v>
      </c>
      <c r="N96" s="10" t="s">
        <v>563</v>
      </c>
      <c r="O96" s="10" t="s">
        <v>98</v>
      </c>
      <c r="P96" s="9" t="s">
        <v>239</v>
      </c>
      <c r="Q96" s="41" t="s">
        <v>276</v>
      </c>
      <c r="R96" s="9" t="s">
        <v>390</v>
      </c>
      <c r="S96" s="9" t="s">
        <v>276</v>
      </c>
      <c r="T96" s="9" t="s">
        <v>276</v>
      </c>
      <c r="U96" s="9">
        <v>1</v>
      </c>
      <c r="V96" s="8" t="s">
        <v>14</v>
      </c>
      <c r="W96" s="2" t="s">
        <v>98</v>
      </c>
      <c r="X96" s="10" t="s">
        <v>207</v>
      </c>
      <c r="Y96" s="13">
        <v>189386</v>
      </c>
      <c r="Z96" s="34">
        <v>219439</v>
      </c>
      <c r="AA96" s="34">
        <f t="shared" ref="AA96:AA97" si="38">Y96-171650</f>
        <v>17736</v>
      </c>
      <c r="AB96" s="34">
        <f t="shared" ref="AB96:AB97" si="39">Z96-200496</f>
        <v>18943</v>
      </c>
      <c r="AC96" s="8" t="s">
        <v>276</v>
      </c>
      <c r="AD96" s="10" t="s">
        <v>564</v>
      </c>
      <c r="AE96" s="8" t="s">
        <v>276</v>
      </c>
      <c r="AF96" s="10" t="s">
        <v>564</v>
      </c>
      <c r="AG96" s="9" t="s">
        <v>623</v>
      </c>
      <c r="AH96" s="9" t="s">
        <v>430</v>
      </c>
      <c r="AI96" s="34">
        <f>303+97+56+76+85</f>
        <v>617</v>
      </c>
      <c r="AJ96" s="34">
        <f>69+97+99+120+131</f>
        <v>516</v>
      </c>
      <c r="AK96" s="34">
        <f t="shared" si="34"/>
        <v>189386</v>
      </c>
      <c r="AL96" s="34">
        <f t="shared" si="34"/>
        <v>219439</v>
      </c>
      <c r="AM96" s="38" t="s">
        <v>376</v>
      </c>
      <c r="AN96" s="8" t="s">
        <v>276</v>
      </c>
      <c r="AO96" s="14">
        <f t="shared" si="35"/>
        <v>0.32578965710242574</v>
      </c>
      <c r="AP96" s="8" t="s">
        <v>276</v>
      </c>
      <c r="AQ96" s="8" t="s">
        <v>276</v>
      </c>
      <c r="AR96" s="8" t="s">
        <v>276</v>
      </c>
      <c r="AS96" s="14">
        <f t="shared" si="36"/>
        <v>0.23514507448539229</v>
      </c>
      <c r="AT96" s="8" t="s">
        <v>276</v>
      </c>
      <c r="AU96" s="8" t="s">
        <v>276</v>
      </c>
      <c r="AV96" s="9" t="s">
        <v>268</v>
      </c>
      <c r="AW96" s="35" t="s">
        <v>276</v>
      </c>
      <c r="AX96" s="35">
        <f t="shared" si="37"/>
        <v>1.3854836543585116</v>
      </c>
      <c r="AY96" s="10" t="s">
        <v>276</v>
      </c>
      <c r="AZ96" s="10" t="s">
        <v>276</v>
      </c>
      <c r="BA96" s="10" t="s">
        <v>276</v>
      </c>
      <c r="BB96" s="10" t="s">
        <v>98</v>
      </c>
      <c r="BC96" s="10" t="s">
        <v>98</v>
      </c>
      <c r="BD96" s="10" t="s">
        <v>98</v>
      </c>
      <c r="BE96" s="10" t="s">
        <v>98</v>
      </c>
      <c r="BF96" s="9" t="s">
        <v>597</v>
      </c>
      <c r="BG96" s="9" t="s">
        <v>476</v>
      </c>
      <c r="BH96" s="9" t="s">
        <v>100</v>
      </c>
      <c r="BI96" s="9" t="s">
        <v>100</v>
      </c>
      <c r="BJ96" s="32"/>
      <c r="BK96" s="32"/>
      <c r="BL96" s="33"/>
      <c r="BM96" s="33"/>
      <c r="BN96" s="33"/>
      <c r="BO96" s="32"/>
      <c r="BP96" s="32"/>
      <c r="BQ96" s="33"/>
    </row>
    <row r="97" spans="1:69" s="6" customFormat="1" ht="117" hidden="1" x14ac:dyDescent="0.35">
      <c r="A97" s="8">
        <v>3713</v>
      </c>
      <c r="B97" s="8" t="s">
        <v>319</v>
      </c>
      <c r="C97" s="8" t="s">
        <v>92</v>
      </c>
      <c r="D97" s="9" t="s">
        <v>624</v>
      </c>
      <c r="E97" s="8" t="s">
        <v>43</v>
      </c>
      <c r="F97" s="8" t="s">
        <v>138</v>
      </c>
      <c r="G97" s="8" t="s">
        <v>225</v>
      </c>
      <c r="H97" s="8" t="s">
        <v>125</v>
      </c>
      <c r="I97" s="8" t="s">
        <v>114</v>
      </c>
      <c r="J97" s="9" t="s">
        <v>26</v>
      </c>
      <c r="K97" s="45" t="s">
        <v>576</v>
      </c>
      <c r="L97" s="10" t="s">
        <v>561</v>
      </c>
      <c r="M97" s="2" t="s">
        <v>562</v>
      </c>
      <c r="N97" s="10" t="s">
        <v>563</v>
      </c>
      <c r="O97" s="10" t="s">
        <v>98</v>
      </c>
      <c r="P97" s="9" t="s">
        <v>239</v>
      </c>
      <c r="Q97" s="41" t="s">
        <v>276</v>
      </c>
      <c r="R97" s="9" t="s">
        <v>390</v>
      </c>
      <c r="S97" s="9" t="s">
        <v>276</v>
      </c>
      <c r="T97" s="9" t="s">
        <v>276</v>
      </c>
      <c r="U97" s="9">
        <v>1</v>
      </c>
      <c r="V97" s="8" t="s">
        <v>14</v>
      </c>
      <c r="W97" s="2" t="s">
        <v>98</v>
      </c>
      <c r="X97" s="10" t="s">
        <v>207</v>
      </c>
      <c r="Y97" s="13">
        <v>189386</v>
      </c>
      <c r="Z97" s="34">
        <v>219439</v>
      </c>
      <c r="AA97" s="34">
        <f t="shared" si="38"/>
        <v>17736</v>
      </c>
      <c r="AB97" s="34">
        <f t="shared" si="39"/>
        <v>18943</v>
      </c>
      <c r="AC97" s="8" t="s">
        <v>276</v>
      </c>
      <c r="AD97" s="10" t="s">
        <v>564</v>
      </c>
      <c r="AE97" s="8" t="s">
        <v>276</v>
      </c>
      <c r="AF97" s="10" t="s">
        <v>564</v>
      </c>
      <c r="AG97" s="9" t="s">
        <v>625</v>
      </c>
      <c r="AH97" s="9" t="s">
        <v>430</v>
      </c>
      <c r="AI97" s="34">
        <f>93+39+46+51+71</f>
        <v>300</v>
      </c>
      <c r="AJ97" s="34">
        <f>60+72+96+85+103</f>
        <v>416</v>
      </c>
      <c r="AK97" s="34">
        <f t="shared" si="34"/>
        <v>189386</v>
      </c>
      <c r="AL97" s="34">
        <f t="shared" si="34"/>
        <v>219439</v>
      </c>
      <c r="AM97" s="38" t="s">
        <v>376</v>
      </c>
      <c r="AN97" s="8" t="s">
        <v>276</v>
      </c>
      <c r="AO97" s="14">
        <f t="shared" si="35"/>
        <v>0.15840664040636585</v>
      </c>
      <c r="AP97" s="8" t="s">
        <v>276</v>
      </c>
      <c r="AQ97" s="8" t="s">
        <v>276</v>
      </c>
      <c r="AR97" s="8" t="s">
        <v>276</v>
      </c>
      <c r="AS97" s="14">
        <f t="shared" si="36"/>
        <v>0.18957432361613022</v>
      </c>
      <c r="AT97" s="8" t="s">
        <v>276</v>
      </c>
      <c r="AU97" s="8" t="s">
        <v>276</v>
      </c>
      <c r="AV97" s="9" t="s">
        <v>268</v>
      </c>
      <c r="AW97" s="35" t="s">
        <v>276</v>
      </c>
      <c r="AX97" s="35">
        <f t="shared" si="37"/>
        <v>0.83559122029164701</v>
      </c>
      <c r="AY97" s="10" t="s">
        <v>276</v>
      </c>
      <c r="AZ97" s="10" t="s">
        <v>276</v>
      </c>
      <c r="BA97" s="10" t="s">
        <v>276</v>
      </c>
      <c r="BB97" s="10" t="s">
        <v>98</v>
      </c>
      <c r="BC97" s="10" t="s">
        <v>98</v>
      </c>
      <c r="BD97" s="10" t="s">
        <v>98</v>
      </c>
      <c r="BE97" s="10" t="s">
        <v>98</v>
      </c>
      <c r="BF97" s="9" t="s">
        <v>597</v>
      </c>
      <c r="BG97" s="9" t="s">
        <v>476</v>
      </c>
      <c r="BH97" s="9" t="s">
        <v>100</v>
      </c>
      <c r="BI97" s="9" t="s">
        <v>100</v>
      </c>
      <c r="BJ97" s="32"/>
      <c r="BK97" s="32"/>
      <c r="BL97" s="33"/>
      <c r="BM97" s="33"/>
      <c r="BN97" s="33"/>
      <c r="BO97" s="32"/>
      <c r="BP97" s="32"/>
      <c r="BQ97" s="33"/>
    </row>
    <row r="98" spans="1:69" s="6" customFormat="1" ht="104" hidden="1" x14ac:dyDescent="0.35">
      <c r="A98" s="8">
        <v>3713</v>
      </c>
      <c r="B98" s="8" t="s">
        <v>319</v>
      </c>
      <c r="C98" s="8" t="s">
        <v>92</v>
      </c>
      <c r="D98" s="9" t="s">
        <v>626</v>
      </c>
      <c r="E98" s="8" t="s">
        <v>43</v>
      </c>
      <c r="F98" s="8" t="s">
        <v>138</v>
      </c>
      <c r="G98" s="8" t="s">
        <v>225</v>
      </c>
      <c r="H98" s="8" t="s">
        <v>125</v>
      </c>
      <c r="I98" s="8" t="s">
        <v>114</v>
      </c>
      <c r="J98" s="9" t="s">
        <v>26</v>
      </c>
      <c r="K98" s="45" t="s">
        <v>560</v>
      </c>
      <c r="L98" s="10" t="s">
        <v>561</v>
      </c>
      <c r="M98" s="2" t="s">
        <v>562</v>
      </c>
      <c r="N98" s="10" t="s">
        <v>563</v>
      </c>
      <c r="O98" s="10" t="s">
        <v>98</v>
      </c>
      <c r="P98" s="9" t="s">
        <v>239</v>
      </c>
      <c r="Q98" s="41" t="s">
        <v>276</v>
      </c>
      <c r="R98" s="9" t="s">
        <v>346</v>
      </c>
      <c r="S98" s="9" t="s">
        <v>276</v>
      </c>
      <c r="T98" s="9" t="s">
        <v>276</v>
      </c>
      <c r="U98" s="9">
        <v>1</v>
      </c>
      <c r="V98" s="8" t="s">
        <v>14</v>
      </c>
      <c r="W98" s="2" t="s">
        <v>98</v>
      </c>
      <c r="X98" s="10" t="s">
        <v>207</v>
      </c>
      <c r="Y98" s="13">
        <v>189386</v>
      </c>
      <c r="Z98" s="34">
        <v>219439</v>
      </c>
      <c r="AA98" s="34">
        <f>Y98-168234</f>
        <v>21152</v>
      </c>
      <c r="AB98" s="34">
        <f>Z98-196022</f>
        <v>23417</v>
      </c>
      <c r="AC98" s="8" t="s">
        <v>276</v>
      </c>
      <c r="AD98" s="10" t="s">
        <v>564</v>
      </c>
      <c r="AE98" s="8" t="s">
        <v>276</v>
      </c>
      <c r="AF98" s="10" t="s">
        <v>564</v>
      </c>
      <c r="AG98" s="9" t="s">
        <v>627</v>
      </c>
      <c r="AH98" s="9" t="s">
        <v>430</v>
      </c>
      <c r="AI98" s="34">
        <f>1852+441+187+229+235+265</f>
        <v>3209</v>
      </c>
      <c r="AJ98" s="34">
        <f>240+283+293+365+413+413</f>
        <v>2007</v>
      </c>
      <c r="AK98" s="34">
        <f t="shared" si="34"/>
        <v>189386</v>
      </c>
      <c r="AL98" s="34">
        <f t="shared" si="34"/>
        <v>219439</v>
      </c>
      <c r="AM98" s="38" t="s">
        <v>376</v>
      </c>
      <c r="AN98" s="8" t="s">
        <v>276</v>
      </c>
      <c r="AO98" s="14">
        <f t="shared" si="35"/>
        <v>1.6944230302134264</v>
      </c>
      <c r="AP98" s="8" t="s">
        <v>276</v>
      </c>
      <c r="AQ98" s="8" t="s">
        <v>276</v>
      </c>
      <c r="AR98" s="8" t="s">
        <v>276</v>
      </c>
      <c r="AS98" s="14">
        <f t="shared" si="36"/>
        <v>0.91460496994608975</v>
      </c>
      <c r="AT98" s="8" t="s">
        <v>276</v>
      </c>
      <c r="AU98" s="8" t="s">
        <v>276</v>
      </c>
      <c r="AV98" s="9" t="s">
        <v>268</v>
      </c>
      <c r="AW98" s="35" t="s">
        <v>276</v>
      </c>
      <c r="AX98" s="35">
        <f t="shared" si="37"/>
        <v>1.8526282776631993</v>
      </c>
      <c r="AY98" s="10" t="s">
        <v>276</v>
      </c>
      <c r="AZ98" s="10" t="s">
        <v>276</v>
      </c>
      <c r="BA98" s="10" t="s">
        <v>276</v>
      </c>
      <c r="BB98" s="10" t="s">
        <v>98</v>
      </c>
      <c r="BC98" s="10" t="s">
        <v>98</v>
      </c>
      <c r="BD98" s="10" t="s">
        <v>98</v>
      </c>
      <c r="BE98" s="10" t="s">
        <v>98</v>
      </c>
      <c r="BF98" s="9" t="s">
        <v>597</v>
      </c>
      <c r="BG98" s="9" t="s">
        <v>476</v>
      </c>
      <c r="BH98" s="9" t="s">
        <v>100</v>
      </c>
      <c r="BI98" s="9" t="s">
        <v>100</v>
      </c>
      <c r="BJ98" s="32"/>
      <c r="BK98" s="32"/>
      <c r="BL98" s="33"/>
      <c r="BM98" s="33"/>
      <c r="BN98" s="33"/>
      <c r="BO98" s="32"/>
      <c r="BP98" s="32"/>
      <c r="BQ98" s="33"/>
    </row>
    <row r="99" spans="1:69" s="6" customFormat="1" ht="104" hidden="1" x14ac:dyDescent="0.35">
      <c r="A99" s="8">
        <v>3713</v>
      </c>
      <c r="B99" s="8" t="s">
        <v>319</v>
      </c>
      <c r="C99" s="8" t="s">
        <v>92</v>
      </c>
      <c r="D99" s="9" t="s">
        <v>628</v>
      </c>
      <c r="E99" s="8" t="s">
        <v>43</v>
      </c>
      <c r="F99" s="8" t="s">
        <v>138</v>
      </c>
      <c r="G99" s="8" t="s">
        <v>225</v>
      </c>
      <c r="H99" s="8" t="s">
        <v>125</v>
      </c>
      <c r="I99" s="8" t="s">
        <v>114</v>
      </c>
      <c r="J99" s="9" t="s">
        <v>26</v>
      </c>
      <c r="K99" s="45" t="s">
        <v>571</v>
      </c>
      <c r="L99" s="10" t="s">
        <v>561</v>
      </c>
      <c r="M99" s="2" t="s">
        <v>562</v>
      </c>
      <c r="N99" s="10" t="s">
        <v>563</v>
      </c>
      <c r="O99" s="10" t="s">
        <v>98</v>
      </c>
      <c r="P99" s="9" t="s">
        <v>239</v>
      </c>
      <c r="Q99" s="41" t="s">
        <v>276</v>
      </c>
      <c r="R99" s="9" t="s">
        <v>346</v>
      </c>
      <c r="S99" s="9" t="s">
        <v>276</v>
      </c>
      <c r="T99" s="9" t="s">
        <v>276</v>
      </c>
      <c r="U99" s="9">
        <v>1</v>
      </c>
      <c r="V99" s="8" t="s">
        <v>14</v>
      </c>
      <c r="W99" s="2" t="s">
        <v>98</v>
      </c>
      <c r="X99" s="10" t="s">
        <v>207</v>
      </c>
      <c r="Y99" s="13">
        <v>189386</v>
      </c>
      <c r="Z99" s="34">
        <v>219439</v>
      </c>
      <c r="AA99" s="34">
        <f>Y99-168234</f>
        <v>21152</v>
      </c>
      <c r="AB99" s="34">
        <f>Z99-196022</f>
        <v>23417</v>
      </c>
      <c r="AC99" s="8" t="s">
        <v>276</v>
      </c>
      <c r="AD99" s="10" t="s">
        <v>564</v>
      </c>
      <c r="AE99" s="8" t="s">
        <v>276</v>
      </c>
      <c r="AF99" s="10" t="s">
        <v>564</v>
      </c>
      <c r="AG99" s="9" t="s">
        <v>629</v>
      </c>
      <c r="AH99" s="9" t="s">
        <v>430</v>
      </c>
      <c r="AI99" s="34">
        <f>303+97+56+76+85+97</f>
        <v>714</v>
      </c>
      <c r="AJ99" s="34">
        <f>69+97+99+120+131+165</f>
        <v>681</v>
      </c>
      <c r="AK99" s="34">
        <f t="shared" si="34"/>
        <v>189386</v>
      </c>
      <c r="AL99" s="34">
        <f t="shared" si="34"/>
        <v>219439</v>
      </c>
      <c r="AM99" s="38" t="s">
        <v>376</v>
      </c>
      <c r="AN99" s="8" t="s">
        <v>276</v>
      </c>
      <c r="AO99" s="14">
        <f t="shared" si="35"/>
        <v>0.37700780416715068</v>
      </c>
      <c r="AP99" s="8" t="s">
        <v>276</v>
      </c>
      <c r="AQ99" s="8" t="s">
        <v>276</v>
      </c>
      <c r="AR99" s="8" t="s">
        <v>276</v>
      </c>
      <c r="AS99" s="14">
        <f t="shared" si="36"/>
        <v>0.31033681341967473</v>
      </c>
      <c r="AT99" s="8" t="s">
        <v>276</v>
      </c>
      <c r="AU99" s="8" t="s">
        <v>276</v>
      </c>
      <c r="AV99" s="9" t="s">
        <v>268</v>
      </c>
      <c r="AW99" s="35" t="s">
        <v>276</v>
      </c>
      <c r="AX99" s="35">
        <f t="shared" si="37"/>
        <v>1.2148342957215179</v>
      </c>
      <c r="AY99" s="10" t="s">
        <v>276</v>
      </c>
      <c r="AZ99" s="10" t="s">
        <v>276</v>
      </c>
      <c r="BA99" s="10" t="s">
        <v>276</v>
      </c>
      <c r="BB99" s="10" t="s">
        <v>98</v>
      </c>
      <c r="BC99" s="10" t="s">
        <v>98</v>
      </c>
      <c r="BD99" s="10" t="s">
        <v>98</v>
      </c>
      <c r="BE99" s="10" t="s">
        <v>98</v>
      </c>
      <c r="BF99" s="9" t="s">
        <v>597</v>
      </c>
      <c r="BG99" s="9" t="s">
        <v>476</v>
      </c>
      <c r="BH99" s="9" t="s">
        <v>100</v>
      </c>
      <c r="BI99" s="9" t="s">
        <v>100</v>
      </c>
      <c r="BJ99" s="32"/>
      <c r="BK99" s="32"/>
      <c r="BL99" s="33"/>
      <c r="BM99" s="33"/>
      <c r="BN99" s="33"/>
      <c r="BO99" s="32"/>
      <c r="BP99" s="32"/>
      <c r="BQ99" s="33"/>
    </row>
    <row r="100" spans="1:69" s="6" customFormat="1" ht="117" hidden="1" x14ac:dyDescent="0.35">
      <c r="A100" s="8">
        <v>3713</v>
      </c>
      <c r="B100" s="8" t="s">
        <v>319</v>
      </c>
      <c r="C100" s="8" t="s">
        <v>92</v>
      </c>
      <c r="D100" s="9" t="s">
        <v>630</v>
      </c>
      <c r="E100" s="8" t="s">
        <v>43</v>
      </c>
      <c r="F100" s="8" t="s">
        <v>138</v>
      </c>
      <c r="G100" s="8" t="s">
        <v>225</v>
      </c>
      <c r="H100" s="8" t="s">
        <v>125</v>
      </c>
      <c r="I100" s="8" t="s">
        <v>114</v>
      </c>
      <c r="J100" s="9" t="s">
        <v>26</v>
      </c>
      <c r="K100" s="45" t="s">
        <v>576</v>
      </c>
      <c r="L100" s="10" t="s">
        <v>561</v>
      </c>
      <c r="M100" s="2" t="s">
        <v>562</v>
      </c>
      <c r="N100" s="10" t="s">
        <v>563</v>
      </c>
      <c r="O100" s="10" t="s">
        <v>98</v>
      </c>
      <c r="P100" s="9" t="s">
        <v>239</v>
      </c>
      <c r="Q100" s="41" t="s">
        <v>276</v>
      </c>
      <c r="R100" s="9" t="s">
        <v>346</v>
      </c>
      <c r="S100" s="9" t="s">
        <v>276</v>
      </c>
      <c r="T100" s="9" t="s">
        <v>276</v>
      </c>
      <c r="U100" s="9">
        <v>1</v>
      </c>
      <c r="V100" s="8" t="s">
        <v>14</v>
      </c>
      <c r="W100" s="2" t="s">
        <v>98</v>
      </c>
      <c r="X100" s="10" t="s">
        <v>207</v>
      </c>
      <c r="Y100" s="13">
        <v>189386</v>
      </c>
      <c r="Z100" s="34">
        <v>219439</v>
      </c>
      <c r="AA100" s="34">
        <f>Y100-168234</f>
        <v>21152</v>
      </c>
      <c r="AB100" s="34">
        <f>Z100-196022</f>
        <v>23417</v>
      </c>
      <c r="AC100" s="8" t="s">
        <v>276</v>
      </c>
      <c r="AD100" s="10" t="s">
        <v>564</v>
      </c>
      <c r="AE100" s="8" t="s">
        <v>276</v>
      </c>
      <c r="AF100" s="10" t="s">
        <v>564</v>
      </c>
      <c r="AG100" s="9" t="s">
        <v>631</v>
      </c>
      <c r="AH100" s="9" t="s">
        <v>430</v>
      </c>
      <c r="AI100" s="34">
        <f>93+39+46+51+71+82</f>
        <v>382</v>
      </c>
      <c r="AJ100" s="34">
        <f>60+72+96+85+103+121</f>
        <v>537</v>
      </c>
      <c r="AK100" s="34">
        <f t="shared" si="34"/>
        <v>189386</v>
      </c>
      <c r="AL100" s="34">
        <f t="shared" si="34"/>
        <v>219439</v>
      </c>
      <c r="AM100" s="38" t="s">
        <v>376</v>
      </c>
      <c r="AN100" s="8" t="s">
        <v>276</v>
      </c>
      <c r="AO100" s="14">
        <f t="shared" si="35"/>
        <v>0.20170445545077251</v>
      </c>
      <c r="AP100" s="8" t="s">
        <v>276</v>
      </c>
      <c r="AQ100" s="8" t="s">
        <v>276</v>
      </c>
      <c r="AR100" s="8" t="s">
        <v>276</v>
      </c>
      <c r="AS100" s="14">
        <f t="shared" si="36"/>
        <v>0.24471493216793733</v>
      </c>
      <c r="AT100" s="8" t="s">
        <v>276</v>
      </c>
      <c r="AU100" s="8" t="s">
        <v>276</v>
      </c>
      <c r="AV100" s="9" t="s">
        <v>268</v>
      </c>
      <c r="AW100" s="35" t="s">
        <v>276</v>
      </c>
      <c r="AX100" s="35">
        <f t="shared" si="37"/>
        <v>0.8242425325821614</v>
      </c>
      <c r="AY100" s="10" t="s">
        <v>276</v>
      </c>
      <c r="AZ100" s="10" t="s">
        <v>276</v>
      </c>
      <c r="BA100" s="10" t="s">
        <v>276</v>
      </c>
      <c r="BB100" s="10" t="s">
        <v>98</v>
      </c>
      <c r="BC100" s="10" t="s">
        <v>98</v>
      </c>
      <c r="BD100" s="10" t="s">
        <v>98</v>
      </c>
      <c r="BE100" s="10" t="s">
        <v>98</v>
      </c>
      <c r="BF100" s="9" t="s">
        <v>597</v>
      </c>
      <c r="BG100" s="9" t="s">
        <v>476</v>
      </c>
      <c r="BH100" s="9" t="s">
        <v>100</v>
      </c>
      <c r="BI100" s="9" t="s">
        <v>100</v>
      </c>
      <c r="BJ100" s="32"/>
      <c r="BK100" s="32"/>
      <c r="BL100" s="33"/>
      <c r="BM100" s="33"/>
      <c r="BN100" s="33"/>
      <c r="BO100" s="32"/>
      <c r="BP100" s="32"/>
      <c r="BQ100" s="33"/>
    </row>
    <row r="101" spans="1:69" s="6" customFormat="1" ht="104" hidden="1" x14ac:dyDescent="0.35">
      <c r="A101" s="8">
        <v>3713</v>
      </c>
      <c r="B101" s="8" t="s">
        <v>319</v>
      </c>
      <c r="C101" s="8" t="s">
        <v>92</v>
      </c>
      <c r="D101" s="9" t="s">
        <v>632</v>
      </c>
      <c r="E101" s="8" t="s">
        <v>43</v>
      </c>
      <c r="F101" s="8" t="s">
        <v>138</v>
      </c>
      <c r="G101" s="8" t="s">
        <v>225</v>
      </c>
      <c r="H101" s="8" t="s">
        <v>125</v>
      </c>
      <c r="I101" s="8" t="s">
        <v>114</v>
      </c>
      <c r="J101" s="9" t="s">
        <v>26</v>
      </c>
      <c r="K101" s="45" t="s">
        <v>560</v>
      </c>
      <c r="L101" s="10" t="s">
        <v>561</v>
      </c>
      <c r="M101" s="2" t="s">
        <v>562</v>
      </c>
      <c r="N101" s="10" t="s">
        <v>563</v>
      </c>
      <c r="O101" s="10" t="s">
        <v>98</v>
      </c>
      <c r="P101" s="9" t="s">
        <v>239</v>
      </c>
      <c r="Q101" s="41" t="s">
        <v>276</v>
      </c>
      <c r="R101" s="9" t="s">
        <v>395</v>
      </c>
      <c r="S101" s="9" t="s">
        <v>276</v>
      </c>
      <c r="T101" s="9" t="s">
        <v>276</v>
      </c>
      <c r="U101" s="9">
        <v>1</v>
      </c>
      <c r="V101" s="8" t="s">
        <v>14</v>
      </c>
      <c r="W101" s="2" t="s">
        <v>98</v>
      </c>
      <c r="X101" s="10" t="s">
        <v>207</v>
      </c>
      <c r="Y101" s="13">
        <v>189386</v>
      </c>
      <c r="Z101" s="34">
        <v>219439</v>
      </c>
      <c r="AA101" s="34">
        <f>Y101-164467</f>
        <v>24919</v>
      </c>
      <c r="AB101" s="34">
        <f>Z101-191503</f>
        <v>27936</v>
      </c>
      <c r="AC101" s="8" t="s">
        <v>276</v>
      </c>
      <c r="AD101" s="10" t="s">
        <v>564</v>
      </c>
      <c r="AE101" s="8" t="s">
        <v>276</v>
      </c>
      <c r="AF101" s="10" t="s">
        <v>564</v>
      </c>
      <c r="AG101" s="9" t="s">
        <v>633</v>
      </c>
      <c r="AH101" s="9" t="s">
        <v>430</v>
      </c>
      <c r="AI101" s="34">
        <f>1852+441+187+229+235+265+313</f>
        <v>3522</v>
      </c>
      <c r="AJ101" s="34">
        <f>240+283+293+365+413+413+500</f>
        <v>2507</v>
      </c>
      <c r="AK101" s="34">
        <f t="shared" si="34"/>
        <v>189386</v>
      </c>
      <c r="AL101" s="34">
        <f t="shared" si="34"/>
        <v>219439</v>
      </c>
      <c r="AM101" s="38" t="s">
        <v>376</v>
      </c>
      <c r="AN101" s="8" t="s">
        <v>276</v>
      </c>
      <c r="AO101" s="14">
        <f t="shared" si="35"/>
        <v>1.8596939583707348</v>
      </c>
      <c r="AP101" s="8" t="s">
        <v>276</v>
      </c>
      <c r="AQ101" s="8" t="s">
        <v>276</v>
      </c>
      <c r="AR101" s="8" t="s">
        <v>276</v>
      </c>
      <c r="AS101" s="14">
        <f t="shared" si="36"/>
        <v>1.1424587242924003</v>
      </c>
      <c r="AT101" s="8" t="s">
        <v>276</v>
      </c>
      <c r="AU101" s="8" t="s">
        <v>276</v>
      </c>
      <c r="AV101" s="9" t="s">
        <v>268</v>
      </c>
      <c r="AW101" s="35" t="s">
        <v>276</v>
      </c>
      <c r="AX101" s="35">
        <f t="shared" si="37"/>
        <v>1.6277996909888937</v>
      </c>
      <c r="AY101" s="10" t="s">
        <v>276</v>
      </c>
      <c r="AZ101" s="10" t="s">
        <v>276</v>
      </c>
      <c r="BA101" s="10" t="s">
        <v>276</v>
      </c>
      <c r="BB101" s="10" t="s">
        <v>98</v>
      </c>
      <c r="BC101" s="10" t="s">
        <v>98</v>
      </c>
      <c r="BD101" s="10" t="s">
        <v>98</v>
      </c>
      <c r="BE101" s="10" t="s">
        <v>98</v>
      </c>
      <c r="BF101" s="9" t="s">
        <v>597</v>
      </c>
      <c r="BG101" s="9" t="s">
        <v>476</v>
      </c>
      <c r="BH101" s="9" t="s">
        <v>100</v>
      </c>
      <c r="BI101" s="9" t="s">
        <v>100</v>
      </c>
      <c r="BJ101" s="32"/>
      <c r="BK101" s="32"/>
      <c r="BL101" s="33"/>
      <c r="BM101" s="33"/>
      <c r="BN101" s="33"/>
      <c r="BO101" s="32"/>
      <c r="BP101" s="32"/>
      <c r="BQ101" s="33"/>
    </row>
    <row r="102" spans="1:69" s="6" customFormat="1" ht="104" hidden="1" x14ac:dyDescent="0.35">
      <c r="A102" s="8">
        <v>3713</v>
      </c>
      <c r="B102" s="8" t="s">
        <v>319</v>
      </c>
      <c r="C102" s="8" t="s">
        <v>92</v>
      </c>
      <c r="D102" s="9" t="s">
        <v>634</v>
      </c>
      <c r="E102" s="8" t="s">
        <v>43</v>
      </c>
      <c r="F102" s="8" t="s">
        <v>138</v>
      </c>
      <c r="G102" s="8" t="s">
        <v>225</v>
      </c>
      <c r="H102" s="8" t="s">
        <v>125</v>
      </c>
      <c r="I102" s="8" t="s">
        <v>114</v>
      </c>
      <c r="J102" s="9" t="s">
        <v>26</v>
      </c>
      <c r="K102" s="45" t="s">
        <v>571</v>
      </c>
      <c r="L102" s="10" t="s">
        <v>561</v>
      </c>
      <c r="M102" s="2" t="s">
        <v>562</v>
      </c>
      <c r="N102" s="10" t="s">
        <v>563</v>
      </c>
      <c r="O102" s="10" t="s">
        <v>98</v>
      </c>
      <c r="P102" s="9" t="s">
        <v>239</v>
      </c>
      <c r="Q102" s="41" t="s">
        <v>276</v>
      </c>
      <c r="R102" s="9" t="s">
        <v>395</v>
      </c>
      <c r="S102" s="9" t="s">
        <v>276</v>
      </c>
      <c r="T102" s="9" t="s">
        <v>276</v>
      </c>
      <c r="U102" s="9">
        <v>1</v>
      </c>
      <c r="V102" s="8" t="s">
        <v>14</v>
      </c>
      <c r="W102" s="2" t="s">
        <v>98</v>
      </c>
      <c r="X102" s="10" t="s">
        <v>207</v>
      </c>
      <c r="Y102" s="13">
        <v>189386</v>
      </c>
      <c r="Z102" s="34">
        <v>219439</v>
      </c>
      <c r="AA102" s="34">
        <f t="shared" ref="AA102:AA103" si="40">Y102-164467</f>
        <v>24919</v>
      </c>
      <c r="AB102" s="34">
        <f t="shared" ref="AB102:AB103" si="41">Z102-191503</f>
        <v>27936</v>
      </c>
      <c r="AC102" s="8" t="s">
        <v>276</v>
      </c>
      <c r="AD102" s="10" t="s">
        <v>564</v>
      </c>
      <c r="AE102" s="8" t="s">
        <v>276</v>
      </c>
      <c r="AF102" s="10" t="s">
        <v>564</v>
      </c>
      <c r="AG102" s="9" t="s">
        <v>635</v>
      </c>
      <c r="AH102" s="9" t="s">
        <v>430</v>
      </c>
      <c r="AI102" s="34">
        <f>303+97+56+76+85+97+81</f>
        <v>795</v>
      </c>
      <c r="AJ102" s="34">
        <f>69+97+99+120+131+165+167</f>
        <v>848</v>
      </c>
      <c r="AK102" s="34">
        <f t="shared" si="34"/>
        <v>189386</v>
      </c>
      <c r="AL102" s="34">
        <f t="shared" si="34"/>
        <v>219439</v>
      </c>
      <c r="AM102" s="38" t="s">
        <v>376</v>
      </c>
      <c r="AN102" s="8" t="s">
        <v>276</v>
      </c>
      <c r="AO102" s="14">
        <f t="shared" si="35"/>
        <v>0.41977759707686946</v>
      </c>
      <c r="AP102" s="8" t="s">
        <v>276</v>
      </c>
      <c r="AQ102" s="8" t="s">
        <v>276</v>
      </c>
      <c r="AR102" s="8" t="s">
        <v>276</v>
      </c>
      <c r="AS102" s="14">
        <f t="shared" si="36"/>
        <v>0.3864399673713424</v>
      </c>
      <c r="AT102" s="8" t="s">
        <v>276</v>
      </c>
      <c r="AU102" s="8" t="s">
        <v>276</v>
      </c>
      <c r="AV102" s="9" t="s">
        <v>268</v>
      </c>
      <c r="AW102" s="35" t="s">
        <v>276</v>
      </c>
      <c r="AX102" s="35">
        <f t="shared" si="37"/>
        <v>1.086268586379141</v>
      </c>
      <c r="AY102" s="10" t="s">
        <v>276</v>
      </c>
      <c r="AZ102" s="10" t="s">
        <v>276</v>
      </c>
      <c r="BA102" s="10" t="s">
        <v>276</v>
      </c>
      <c r="BB102" s="10" t="s">
        <v>98</v>
      </c>
      <c r="BC102" s="10" t="s">
        <v>98</v>
      </c>
      <c r="BD102" s="10" t="s">
        <v>98</v>
      </c>
      <c r="BE102" s="10" t="s">
        <v>98</v>
      </c>
      <c r="BF102" s="9" t="s">
        <v>597</v>
      </c>
      <c r="BG102" s="9" t="s">
        <v>476</v>
      </c>
      <c r="BH102" s="9" t="s">
        <v>100</v>
      </c>
      <c r="BI102" s="9" t="s">
        <v>100</v>
      </c>
      <c r="BJ102" s="32"/>
      <c r="BK102" s="32"/>
      <c r="BL102" s="33"/>
      <c r="BM102" s="33"/>
      <c r="BN102" s="33"/>
      <c r="BO102" s="32"/>
      <c r="BP102" s="32"/>
      <c r="BQ102" s="33"/>
    </row>
    <row r="103" spans="1:69" s="6" customFormat="1" ht="117" hidden="1" x14ac:dyDescent="0.35">
      <c r="A103" s="8">
        <v>3713</v>
      </c>
      <c r="B103" s="8" t="s">
        <v>319</v>
      </c>
      <c r="C103" s="8" t="s">
        <v>92</v>
      </c>
      <c r="D103" s="9" t="s">
        <v>636</v>
      </c>
      <c r="E103" s="8" t="s">
        <v>43</v>
      </c>
      <c r="F103" s="8" t="s">
        <v>138</v>
      </c>
      <c r="G103" s="8" t="s">
        <v>225</v>
      </c>
      <c r="H103" s="8" t="s">
        <v>125</v>
      </c>
      <c r="I103" s="8" t="s">
        <v>114</v>
      </c>
      <c r="J103" s="9" t="s">
        <v>26</v>
      </c>
      <c r="K103" s="45" t="s">
        <v>576</v>
      </c>
      <c r="L103" s="10" t="s">
        <v>561</v>
      </c>
      <c r="M103" s="2" t="s">
        <v>562</v>
      </c>
      <c r="N103" s="10" t="s">
        <v>563</v>
      </c>
      <c r="O103" s="10" t="s">
        <v>98</v>
      </c>
      <c r="P103" s="9" t="s">
        <v>239</v>
      </c>
      <c r="Q103" s="41" t="s">
        <v>276</v>
      </c>
      <c r="R103" s="9" t="s">
        <v>395</v>
      </c>
      <c r="S103" s="9" t="s">
        <v>276</v>
      </c>
      <c r="T103" s="9" t="s">
        <v>276</v>
      </c>
      <c r="U103" s="9">
        <v>1</v>
      </c>
      <c r="V103" s="8" t="s">
        <v>14</v>
      </c>
      <c r="W103" s="2" t="s">
        <v>98</v>
      </c>
      <c r="X103" s="10" t="s">
        <v>207</v>
      </c>
      <c r="Y103" s="13">
        <v>189386</v>
      </c>
      <c r="Z103" s="34">
        <v>219439</v>
      </c>
      <c r="AA103" s="34">
        <f t="shared" si="40"/>
        <v>24919</v>
      </c>
      <c r="AB103" s="34">
        <f t="shared" si="41"/>
        <v>27936</v>
      </c>
      <c r="AC103" s="8" t="s">
        <v>276</v>
      </c>
      <c r="AD103" s="10" t="s">
        <v>564</v>
      </c>
      <c r="AE103" s="8" t="s">
        <v>276</v>
      </c>
      <c r="AF103" s="10" t="s">
        <v>564</v>
      </c>
      <c r="AG103" s="9" t="s">
        <v>637</v>
      </c>
      <c r="AH103" s="9" t="s">
        <v>430</v>
      </c>
      <c r="AI103" s="34">
        <f>93+39+46+51+71+82+100</f>
        <v>482</v>
      </c>
      <c r="AJ103" s="34">
        <f>60+72+96+85+103+121+136</f>
        <v>673</v>
      </c>
      <c r="AK103" s="34">
        <f t="shared" si="34"/>
        <v>189386</v>
      </c>
      <c r="AL103" s="34">
        <f t="shared" si="34"/>
        <v>219439</v>
      </c>
      <c r="AM103" s="38" t="s">
        <v>376</v>
      </c>
      <c r="AN103" s="8" t="s">
        <v>276</v>
      </c>
      <c r="AO103" s="14">
        <f t="shared" si="35"/>
        <v>0.25450666891956109</v>
      </c>
      <c r="AP103" s="8" t="s">
        <v>276</v>
      </c>
      <c r="AQ103" s="8" t="s">
        <v>276</v>
      </c>
      <c r="AR103" s="8" t="s">
        <v>276</v>
      </c>
      <c r="AS103" s="14">
        <f t="shared" si="36"/>
        <v>0.30669115335013375</v>
      </c>
      <c r="AT103" s="8" t="s">
        <v>276</v>
      </c>
      <c r="AU103" s="8" t="s">
        <v>276</v>
      </c>
      <c r="AV103" s="9" t="s">
        <v>268</v>
      </c>
      <c r="AW103" s="35" t="s">
        <v>276</v>
      </c>
      <c r="AX103" s="35">
        <f t="shared" si="37"/>
        <v>0.82984678931708122</v>
      </c>
      <c r="AY103" s="10" t="s">
        <v>276</v>
      </c>
      <c r="AZ103" s="10" t="s">
        <v>276</v>
      </c>
      <c r="BA103" s="10" t="s">
        <v>276</v>
      </c>
      <c r="BB103" s="10" t="s">
        <v>98</v>
      </c>
      <c r="BC103" s="10" t="s">
        <v>98</v>
      </c>
      <c r="BD103" s="10" t="s">
        <v>98</v>
      </c>
      <c r="BE103" s="10" t="s">
        <v>98</v>
      </c>
      <c r="BF103" s="9" t="s">
        <v>597</v>
      </c>
      <c r="BG103" s="9" t="s">
        <v>476</v>
      </c>
      <c r="BH103" s="9" t="s">
        <v>100</v>
      </c>
      <c r="BI103" s="9" t="s">
        <v>100</v>
      </c>
      <c r="BJ103" s="32"/>
      <c r="BK103" s="32"/>
      <c r="BL103" s="33"/>
      <c r="BM103" s="33"/>
      <c r="BN103" s="33"/>
      <c r="BO103" s="32"/>
      <c r="BP103" s="32"/>
      <c r="BQ103" s="33"/>
    </row>
    <row r="104" spans="1:69" s="6" customFormat="1" ht="104" hidden="1" x14ac:dyDescent="0.35">
      <c r="A104" s="8">
        <v>3713</v>
      </c>
      <c r="B104" s="8" t="s">
        <v>319</v>
      </c>
      <c r="C104" s="8" t="s">
        <v>92</v>
      </c>
      <c r="D104" s="9" t="s">
        <v>638</v>
      </c>
      <c r="E104" s="8" t="s">
        <v>43</v>
      </c>
      <c r="F104" s="8" t="s">
        <v>138</v>
      </c>
      <c r="G104" s="8" t="s">
        <v>225</v>
      </c>
      <c r="H104" s="8" t="s">
        <v>125</v>
      </c>
      <c r="I104" s="8" t="s">
        <v>114</v>
      </c>
      <c r="J104" s="9" t="s">
        <v>26</v>
      </c>
      <c r="K104" s="45" t="s">
        <v>560</v>
      </c>
      <c r="L104" s="10" t="s">
        <v>561</v>
      </c>
      <c r="M104" s="2" t="s">
        <v>562</v>
      </c>
      <c r="N104" s="10" t="s">
        <v>563</v>
      </c>
      <c r="O104" s="10" t="s">
        <v>98</v>
      </c>
      <c r="P104" s="9" t="s">
        <v>239</v>
      </c>
      <c r="Q104" s="41" t="s">
        <v>276</v>
      </c>
      <c r="R104" s="9" t="s">
        <v>349</v>
      </c>
      <c r="S104" s="9" t="s">
        <v>276</v>
      </c>
      <c r="T104" s="9" t="s">
        <v>276</v>
      </c>
      <c r="U104" s="9">
        <v>1</v>
      </c>
      <c r="V104" s="8" t="s">
        <v>14</v>
      </c>
      <c r="W104" s="2" t="s">
        <v>98</v>
      </c>
      <c r="X104" s="10" t="s">
        <v>207</v>
      </c>
      <c r="Y104" s="13">
        <v>189386</v>
      </c>
      <c r="Z104" s="34">
        <v>219439</v>
      </c>
      <c r="AA104" s="34">
        <f>Y104-159939</f>
        <v>29447</v>
      </c>
      <c r="AB104" s="34">
        <f>Z104-185601</f>
        <v>33838</v>
      </c>
      <c r="AC104" s="8" t="s">
        <v>276</v>
      </c>
      <c r="AD104" s="10" t="s">
        <v>564</v>
      </c>
      <c r="AE104" s="8" t="s">
        <v>276</v>
      </c>
      <c r="AF104" s="10" t="s">
        <v>564</v>
      </c>
      <c r="AG104" s="9" t="s">
        <v>639</v>
      </c>
      <c r="AH104" s="9" t="s">
        <v>430</v>
      </c>
      <c r="AI104" s="34">
        <f>1852+441+187+229+235+265+313+359</f>
        <v>3881</v>
      </c>
      <c r="AJ104" s="34">
        <f>240+283+293+365+413+413+500+511</f>
        <v>3018</v>
      </c>
      <c r="AK104" s="34">
        <f t="shared" si="34"/>
        <v>189386</v>
      </c>
      <c r="AL104" s="34">
        <f t="shared" si="34"/>
        <v>219439</v>
      </c>
      <c r="AM104" s="38" t="s">
        <v>376</v>
      </c>
      <c r="AN104" s="8" t="s">
        <v>276</v>
      </c>
      <c r="AO104" s="14">
        <f t="shared" si="35"/>
        <v>2.049253904723686</v>
      </c>
      <c r="AP104" s="8" t="s">
        <v>276</v>
      </c>
      <c r="AQ104" s="8" t="s">
        <v>276</v>
      </c>
      <c r="AR104" s="8" t="s">
        <v>276</v>
      </c>
      <c r="AS104" s="14">
        <f t="shared" si="36"/>
        <v>1.3753252612343294</v>
      </c>
      <c r="AT104" s="8" t="s">
        <v>276</v>
      </c>
      <c r="AU104" s="8" t="s">
        <v>276</v>
      </c>
      <c r="AV104" s="9" t="s">
        <v>268</v>
      </c>
      <c r="AW104" s="35" t="s">
        <v>276</v>
      </c>
      <c r="AX104" s="35">
        <f t="shared" si="37"/>
        <v>1.4900140079478492</v>
      </c>
      <c r="AY104" s="10" t="s">
        <v>276</v>
      </c>
      <c r="AZ104" s="10" t="s">
        <v>276</v>
      </c>
      <c r="BA104" s="10" t="s">
        <v>276</v>
      </c>
      <c r="BB104" s="10" t="s">
        <v>98</v>
      </c>
      <c r="BC104" s="10" t="s">
        <v>98</v>
      </c>
      <c r="BD104" s="10" t="s">
        <v>98</v>
      </c>
      <c r="BE104" s="10" t="s">
        <v>98</v>
      </c>
      <c r="BF104" s="9" t="s">
        <v>597</v>
      </c>
      <c r="BG104" s="9" t="s">
        <v>476</v>
      </c>
      <c r="BH104" s="9" t="s">
        <v>100</v>
      </c>
      <c r="BI104" s="9" t="s">
        <v>100</v>
      </c>
      <c r="BJ104" s="32"/>
      <c r="BK104" s="32"/>
      <c r="BL104" s="33"/>
      <c r="BM104" s="33"/>
      <c r="BN104" s="33"/>
      <c r="BO104" s="32"/>
      <c r="BP104" s="32"/>
      <c r="BQ104" s="33"/>
    </row>
    <row r="105" spans="1:69" s="6" customFormat="1" ht="104" hidden="1" x14ac:dyDescent="0.35">
      <c r="A105" s="8">
        <v>3713</v>
      </c>
      <c r="B105" s="8" t="s">
        <v>319</v>
      </c>
      <c r="C105" s="8" t="s">
        <v>92</v>
      </c>
      <c r="D105" s="9" t="s">
        <v>640</v>
      </c>
      <c r="E105" s="8" t="s">
        <v>43</v>
      </c>
      <c r="F105" s="8" t="s">
        <v>138</v>
      </c>
      <c r="G105" s="8" t="s">
        <v>225</v>
      </c>
      <c r="H105" s="8" t="s">
        <v>125</v>
      </c>
      <c r="I105" s="8" t="s">
        <v>114</v>
      </c>
      <c r="J105" s="9" t="s">
        <v>26</v>
      </c>
      <c r="K105" s="45" t="s">
        <v>571</v>
      </c>
      <c r="L105" s="10" t="s">
        <v>561</v>
      </c>
      <c r="M105" s="2" t="s">
        <v>562</v>
      </c>
      <c r="N105" s="10" t="s">
        <v>563</v>
      </c>
      <c r="O105" s="10" t="s">
        <v>98</v>
      </c>
      <c r="P105" s="9" t="s">
        <v>239</v>
      </c>
      <c r="Q105" s="41" t="s">
        <v>276</v>
      </c>
      <c r="R105" s="9" t="s">
        <v>349</v>
      </c>
      <c r="S105" s="9" t="s">
        <v>276</v>
      </c>
      <c r="T105" s="9" t="s">
        <v>276</v>
      </c>
      <c r="U105" s="9">
        <v>1</v>
      </c>
      <c r="V105" s="8" t="s">
        <v>14</v>
      </c>
      <c r="W105" s="2" t="s">
        <v>98</v>
      </c>
      <c r="X105" s="10" t="s">
        <v>207</v>
      </c>
      <c r="Y105" s="13">
        <v>189386</v>
      </c>
      <c r="Z105" s="34">
        <v>219439</v>
      </c>
      <c r="AA105" s="34">
        <f t="shared" ref="AA105:AA106" si="42">Y105-159939</f>
        <v>29447</v>
      </c>
      <c r="AB105" s="34">
        <f t="shared" ref="AB105:AB106" si="43">Z105-185601</f>
        <v>33838</v>
      </c>
      <c r="AC105" s="8" t="s">
        <v>276</v>
      </c>
      <c r="AD105" s="10" t="s">
        <v>564</v>
      </c>
      <c r="AE105" s="8" t="s">
        <v>276</v>
      </c>
      <c r="AF105" s="10" t="s">
        <v>564</v>
      </c>
      <c r="AG105" s="9" t="s">
        <v>641</v>
      </c>
      <c r="AH105" s="9" t="s">
        <v>430</v>
      </c>
      <c r="AI105" s="34">
        <f>303+97+56+76+85+97+81+135</f>
        <v>930</v>
      </c>
      <c r="AJ105" s="34">
        <f>69+97+99+120+131+165+167+183</f>
        <v>1031</v>
      </c>
      <c r="AK105" s="34">
        <f t="shared" si="34"/>
        <v>189386</v>
      </c>
      <c r="AL105" s="34">
        <f t="shared" si="34"/>
        <v>219439</v>
      </c>
      <c r="AM105" s="38" t="s">
        <v>376</v>
      </c>
      <c r="AN105" s="8" t="s">
        <v>276</v>
      </c>
      <c r="AO105" s="14">
        <f t="shared" si="35"/>
        <v>0.49106058525973406</v>
      </c>
      <c r="AP105" s="8" t="s">
        <v>276</v>
      </c>
      <c r="AQ105" s="8" t="s">
        <v>276</v>
      </c>
      <c r="AR105" s="8" t="s">
        <v>276</v>
      </c>
      <c r="AS105" s="14">
        <f t="shared" si="36"/>
        <v>0.46983444146209197</v>
      </c>
      <c r="AT105" s="8" t="s">
        <v>276</v>
      </c>
      <c r="AU105" s="8" t="s">
        <v>276</v>
      </c>
      <c r="AV105" s="9" t="s">
        <v>268</v>
      </c>
      <c r="AW105" s="35" t="s">
        <v>276</v>
      </c>
      <c r="AX105" s="35">
        <f t="shared" si="37"/>
        <v>1.0451779221029174</v>
      </c>
      <c r="AY105" s="10" t="s">
        <v>276</v>
      </c>
      <c r="AZ105" s="10" t="s">
        <v>276</v>
      </c>
      <c r="BA105" s="10" t="s">
        <v>276</v>
      </c>
      <c r="BB105" s="10" t="s">
        <v>98</v>
      </c>
      <c r="BC105" s="10" t="s">
        <v>98</v>
      </c>
      <c r="BD105" s="10" t="s">
        <v>98</v>
      </c>
      <c r="BE105" s="10" t="s">
        <v>98</v>
      </c>
      <c r="BF105" s="9" t="s">
        <v>597</v>
      </c>
      <c r="BG105" s="9" t="s">
        <v>476</v>
      </c>
      <c r="BH105" s="9" t="s">
        <v>100</v>
      </c>
      <c r="BI105" s="9" t="s">
        <v>100</v>
      </c>
      <c r="BJ105" s="32"/>
      <c r="BK105" s="32"/>
      <c r="BL105" s="33"/>
      <c r="BM105" s="33"/>
      <c r="BN105" s="33"/>
      <c r="BO105" s="32"/>
      <c r="BP105" s="32"/>
      <c r="BQ105" s="33"/>
    </row>
    <row r="106" spans="1:69" s="6" customFormat="1" ht="117" hidden="1" x14ac:dyDescent="0.35">
      <c r="A106" s="8">
        <v>3713</v>
      </c>
      <c r="B106" s="8" t="s">
        <v>319</v>
      </c>
      <c r="C106" s="8" t="s">
        <v>92</v>
      </c>
      <c r="D106" s="9" t="s">
        <v>642</v>
      </c>
      <c r="E106" s="8" t="s">
        <v>43</v>
      </c>
      <c r="F106" s="8" t="s">
        <v>138</v>
      </c>
      <c r="G106" s="8" t="s">
        <v>225</v>
      </c>
      <c r="H106" s="8" t="s">
        <v>125</v>
      </c>
      <c r="I106" s="8" t="s">
        <v>114</v>
      </c>
      <c r="J106" s="9" t="s">
        <v>26</v>
      </c>
      <c r="K106" s="45" t="s">
        <v>576</v>
      </c>
      <c r="L106" s="10" t="s">
        <v>561</v>
      </c>
      <c r="M106" s="2" t="s">
        <v>562</v>
      </c>
      <c r="N106" s="10" t="s">
        <v>563</v>
      </c>
      <c r="O106" s="10" t="s">
        <v>98</v>
      </c>
      <c r="P106" s="9" t="s">
        <v>239</v>
      </c>
      <c r="Q106" s="41" t="s">
        <v>276</v>
      </c>
      <c r="R106" s="9" t="s">
        <v>349</v>
      </c>
      <c r="S106" s="9" t="s">
        <v>276</v>
      </c>
      <c r="T106" s="9" t="s">
        <v>276</v>
      </c>
      <c r="U106" s="9">
        <v>1</v>
      </c>
      <c r="V106" s="8" t="s">
        <v>14</v>
      </c>
      <c r="W106" s="2" t="s">
        <v>98</v>
      </c>
      <c r="X106" s="10" t="s">
        <v>207</v>
      </c>
      <c r="Y106" s="13">
        <v>189386</v>
      </c>
      <c r="Z106" s="34">
        <v>219439</v>
      </c>
      <c r="AA106" s="34">
        <f t="shared" si="42"/>
        <v>29447</v>
      </c>
      <c r="AB106" s="34">
        <f t="shared" si="43"/>
        <v>33838</v>
      </c>
      <c r="AC106" s="8" t="s">
        <v>276</v>
      </c>
      <c r="AD106" s="10" t="s">
        <v>564</v>
      </c>
      <c r="AE106" s="8" t="s">
        <v>276</v>
      </c>
      <c r="AF106" s="10" t="s">
        <v>564</v>
      </c>
      <c r="AG106" s="9" t="s">
        <v>643</v>
      </c>
      <c r="AH106" s="9" t="s">
        <v>430</v>
      </c>
      <c r="AI106" s="34">
        <f>93+39+46+51+71+82+100+117</f>
        <v>599</v>
      </c>
      <c r="AJ106" s="34">
        <f>60+72+96+85+103+121+136+172</f>
        <v>845</v>
      </c>
      <c r="AK106" s="34">
        <f t="shared" si="34"/>
        <v>189386</v>
      </c>
      <c r="AL106" s="34">
        <f t="shared" si="34"/>
        <v>219439</v>
      </c>
      <c r="AM106" s="38" t="s">
        <v>376</v>
      </c>
      <c r="AN106" s="8" t="s">
        <v>276</v>
      </c>
      <c r="AO106" s="14">
        <f t="shared" si="35"/>
        <v>0.3162852586780438</v>
      </c>
      <c r="AP106" s="8" t="s">
        <v>276</v>
      </c>
      <c r="AQ106" s="8" t="s">
        <v>276</v>
      </c>
      <c r="AR106" s="8" t="s">
        <v>276</v>
      </c>
      <c r="AS106" s="14">
        <f t="shared" si="36"/>
        <v>0.38507284484526449</v>
      </c>
      <c r="AT106" s="8" t="s">
        <v>276</v>
      </c>
      <c r="AU106" s="8" t="s">
        <v>276</v>
      </c>
      <c r="AV106" s="9" t="s">
        <v>268</v>
      </c>
      <c r="AW106" s="35" t="s">
        <v>276</v>
      </c>
      <c r="AX106" s="35">
        <f t="shared" si="37"/>
        <v>0.82136474413078409</v>
      </c>
      <c r="AY106" s="10" t="s">
        <v>276</v>
      </c>
      <c r="AZ106" s="10" t="s">
        <v>276</v>
      </c>
      <c r="BA106" s="10" t="s">
        <v>276</v>
      </c>
      <c r="BB106" s="10" t="s">
        <v>98</v>
      </c>
      <c r="BC106" s="10" t="s">
        <v>98</v>
      </c>
      <c r="BD106" s="10" t="s">
        <v>98</v>
      </c>
      <c r="BE106" s="10" t="s">
        <v>98</v>
      </c>
      <c r="BF106" s="9" t="s">
        <v>597</v>
      </c>
      <c r="BG106" s="9" t="s">
        <v>476</v>
      </c>
      <c r="BH106" s="9" t="s">
        <v>100</v>
      </c>
      <c r="BI106" s="9" t="s">
        <v>100</v>
      </c>
      <c r="BJ106" s="32"/>
      <c r="BK106" s="32"/>
      <c r="BL106" s="33"/>
      <c r="BM106" s="33"/>
      <c r="BN106" s="33"/>
      <c r="BO106" s="32"/>
      <c r="BP106" s="32"/>
      <c r="BQ106" s="33"/>
    </row>
    <row r="107" spans="1:69" s="6" customFormat="1" ht="104" hidden="1" x14ac:dyDescent="0.35">
      <c r="A107" s="8">
        <v>3713</v>
      </c>
      <c r="B107" s="8" t="s">
        <v>319</v>
      </c>
      <c r="C107" s="8" t="s">
        <v>92</v>
      </c>
      <c r="D107" s="9" t="s">
        <v>644</v>
      </c>
      <c r="E107" s="8" t="s">
        <v>43</v>
      </c>
      <c r="F107" s="8" t="s">
        <v>138</v>
      </c>
      <c r="G107" s="8" t="s">
        <v>225</v>
      </c>
      <c r="H107" s="8" t="s">
        <v>125</v>
      </c>
      <c r="I107" s="8" t="s">
        <v>114</v>
      </c>
      <c r="J107" s="9" t="s">
        <v>26</v>
      </c>
      <c r="K107" s="45" t="s">
        <v>560</v>
      </c>
      <c r="L107" s="10" t="s">
        <v>561</v>
      </c>
      <c r="M107" s="2" t="s">
        <v>562</v>
      </c>
      <c r="N107" s="10" t="s">
        <v>563</v>
      </c>
      <c r="O107" s="10" t="s">
        <v>98</v>
      </c>
      <c r="P107" s="9" t="s">
        <v>239</v>
      </c>
      <c r="Q107" s="41" t="s">
        <v>276</v>
      </c>
      <c r="R107" s="9" t="s">
        <v>400</v>
      </c>
      <c r="S107" s="9" t="s">
        <v>276</v>
      </c>
      <c r="T107" s="9" t="s">
        <v>276</v>
      </c>
      <c r="U107" s="9">
        <v>1</v>
      </c>
      <c r="V107" s="8" t="s">
        <v>14</v>
      </c>
      <c r="W107" s="2" t="s">
        <v>98</v>
      </c>
      <c r="X107" s="10" t="s">
        <v>207</v>
      </c>
      <c r="Y107" s="13">
        <v>189386</v>
      </c>
      <c r="Z107" s="34">
        <v>219439</v>
      </c>
      <c r="AA107" s="34">
        <f>Y107-125146</f>
        <v>64240</v>
      </c>
      <c r="AB107" s="34">
        <f>Z107-148182</f>
        <v>71257</v>
      </c>
      <c r="AC107" s="8" t="s">
        <v>276</v>
      </c>
      <c r="AD107" s="10" t="s">
        <v>564</v>
      </c>
      <c r="AE107" s="8" t="s">
        <v>276</v>
      </c>
      <c r="AF107" s="10" t="s">
        <v>564</v>
      </c>
      <c r="AG107" s="9" t="s">
        <v>645</v>
      </c>
      <c r="AH107" s="9" t="s">
        <v>430</v>
      </c>
      <c r="AI107" s="34">
        <f>1852+441+187+229+235+265+313+359+330</f>
        <v>4211</v>
      </c>
      <c r="AJ107" s="34">
        <f>240+283+293+365+413+413+500+511+469</f>
        <v>3487</v>
      </c>
      <c r="AK107" s="34">
        <f t="shared" si="34"/>
        <v>189386</v>
      </c>
      <c r="AL107" s="34">
        <f t="shared" si="34"/>
        <v>219439</v>
      </c>
      <c r="AM107" s="38" t="s">
        <v>376</v>
      </c>
      <c r="AN107" s="8" t="s">
        <v>276</v>
      </c>
      <c r="AO107" s="14">
        <f t="shared" si="35"/>
        <v>2.2235012091706885</v>
      </c>
      <c r="AP107" s="8" t="s">
        <v>276</v>
      </c>
      <c r="AQ107" s="8" t="s">
        <v>276</v>
      </c>
      <c r="AR107" s="8" t="s">
        <v>276</v>
      </c>
      <c r="AS107" s="14">
        <f t="shared" si="36"/>
        <v>1.5890520828111685</v>
      </c>
      <c r="AT107" s="8" t="s">
        <v>276</v>
      </c>
      <c r="AU107" s="8" t="s">
        <v>276</v>
      </c>
      <c r="AV107" s="9" t="s">
        <v>268</v>
      </c>
      <c r="AW107" s="35" t="s">
        <v>276</v>
      </c>
      <c r="AX107" s="35">
        <f t="shared" si="37"/>
        <v>1.3992626379099704</v>
      </c>
      <c r="AY107" s="10" t="s">
        <v>276</v>
      </c>
      <c r="AZ107" s="10" t="s">
        <v>276</v>
      </c>
      <c r="BA107" s="10" t="s">
        <v>276</v>
      </c>
      <c r="BB107" s="10" t="s">
        <v>98</v>
      </c>
      <c r="BC107" s="10" t="s">
        <v>98</v>
      </c>
      <c r="BD107" s="10" t="s">
        <v>98</v>
      </c>
      <c r="BE107" s="10" t="s">
        <v>98</v>
      </c>
      <c r="BF107" s="9" t="s">
        <v>597</v>
      </c>
      <c r="BG107" s="9" t="s">
        <v>476</v>
      </c>
      <c r="BH107" s="9" t="s">
        <v>100</v>
      </c>
      <c r="BI107" s="9" t="s">
        <v>100</v>
      </c>
      <c r="BJ107" s="32"/>
      <c r="BK107" s="32"/>
      <c r="BL107" s="33"/>
      <c r="BM107" s="33"/>
      <c r="BN107" s="33"/>
      <c r="BO107" s="32"/>
      <c r="BP107" s="32"/>
      <c r="BQ107" s="33"/>
    </row>
    <row r="108" spans="1:69" s="6" customFormat="1" ht="104" hidden="1" x14ac:dyDescent="0.35">
      <c r="A108" s="8">
        <v>3713</v>
      </c>
      <c r="B108" s="8" t="s">
        <v>319</v>
      </c>
      <c r="C108" s="8" t="s">
        <v>92</v>
      </c>
      <c r="D108" s="9" t="s">
        <v>646</v>
      </c>
      <c r="E108" s="8" t="s">
        <v>43</v>
      </c>
      <c r="F108" s="8" t="s">
        <v>138</v>
      </c>
      <c r="G108" s="8" t="s">
        <v>225</v>
      </c>
      <c r="H108" s="8" t="s">
        <v>125</v>
      </c>
      <c r="I108" s="8" t="s">
        <v>114</v>
      </c>
      <c r="J108" s="9" t="s">
        <v>26</v>
      </c>
      <c r="K108" s="45" t="s">
        <v>571</v>
      </c>
      <c r="L108" s="10" t="s">
        <v>561</v>
      </c>
      <c r="M108" s="2" t="s">
        <v>562</v>
      </c>
      <c r="N108" s="10" t="s">
        <v>563</v>
      </c>
      <c r="O108" s="10" t="s">
        <v>98</v>
      </c>
      <c r="P108" s="9" t="s">
        <v>239</v>
      </c>
      <c r="Q108" s="41" t="s">
        <v>276</v>
      </c>
      <c r="R108" s="9" t="s">
        <v>400</v>
      </c>
      <c r="S108" s="9" t="s">
        <v>276</v>
      </c>
      <c r="T108" s="9" t="s">
        <v>276</v>
      </c>
      <c r="U108" s="9">
        <v>1</v>
      </c>
      <c r="V108" s="8" t="s">
        <v>14</v>
      </c>
      <c r="W108" s="2" t="s">
        <v>98</v>
      </c>
      <c r="X108" s="10" t="s">
        <v>207</v>
      </c>
      <c r="Y108" s="13">
        <v>189386</v>
      </c>
      <c r="Z108" s="34">
        <v>219439</v>
      </c>
      <c r="AA108" s="34">
        <f>Y108-125146</f>
        <v>64240</v>
      </c>
      <c r="AB108" s="34">
        <f>Z108-148182</f>
        <v>71257</v>
      </c>
      <c r="AC108" s="8" t="s">
        <v>276</v>
      </c>
      <c r="AD108" s="10" t="s">
        <v>564</v>
      </c>
      <c r="AE108" s="8" t="s">
        <v>276</v>
      </c>
      <c r="AF108" s="10" t="s">
        <v>564</v>
      </c>
      <c r="AG108" s="9" t="s">
        <v>647</v>
      </c>
      <c r="AH108" s="9" t="s">
        <v>430</v>
      </c>
      <c r="AI108" s="34">
        <f>303+97+56+76+85+97+81+135+105</f>
        <v>1035</v>
      </c>
      <c r="AJ108" s="34">
        <f>69+97+99+120+131+165+167+183+185</f>
        <v>1216</v>
      </c>
      <c r="AK108" s="34">
        <f t="shared" si="34"/>
        <v>189386</v>
      </c>
      <c r="AL108" s="34">
        <f t="shared" si="34"/>
        <v>219439</v>
      </c>
      <c r="AM108" s="38" t="s">
        <v>376</v>
      </c>
      <c r="AN108" s="8" t="s">
        <v>276</v>
      </c>
      <c r="AO108" s="14">
        <f t="shared" si="35"/>
        <v>0.54650290940196211</v>
      </c>
      <c r="AP108" s="8" t="s">
        <v>276</v>
      </c>
      <c r="AQ108" s="8" t="s">
        <v>276</v>
      </c>
      <c r="AR108" s="8" t="s">
        <v>276</v>
      </c>
      <c r="AS108" s="14">
        <f t="shared" si="36"/>
        <v>0.55414033057022682</v>
      </c>
      <c r="AT108" s="8" t="s">
        <v>276</v>
      </c>
      <c r="AU108" s="8" t="s">
        <v>276</v>
      </c>
      <c r="AV108" s="9" t="s">
        <v>268</v>
      </c>
      <c r="AW108" s="35" t="s">
        <v>276</v>
      </c>
      <c r="AX108" s="35">
        <f t="shared" si="37"/>
        <v>0.98621753237053589</v>
      </c>
      <c r="AY108" s="10" t="s">
        <v>276</v>
      </c>
      <c r="AZ108" s="10" t="s">
        <v>276</v>
      </c>
      <c r="BA108" s="10" t="s">
        <v>276</v>
      </c>
      <c r="BB108" s="10" t="s">
        <v>98</v>
      </c>
      <c r="BC108" s="10" t="s">
        <v>98</v>
      </c>
      <c r="BD108" s="10" t="s">
        <v>98</v>
      </c>
      <c r="BE108" s="10" t="s">
        <v>98</v>
      </c>
      <c r="BF108" s="9" t="s">
        <v>597</v>
      </c>
      <c r="BG108" s="9" t="s">
        <v>476</v>
      </c>
      <c r="BH108" s="9" t="s">
        <v>100</v>
      </c>
      <c r="BI108" s="9" t="s">
        <v>100</v>
      </c>
      <c r="BJ108" s="32"/>
      <c r="BK108" s="32"/>
      <c r="BL108" s="33"/>
      <c r="BM108" s="33"/>
      <c r="BN108" s="33"/>
      <c r="BO108" s="32"/>
      <c r="BP108" s="32"/>
      <c r="BQ108" s="33"/>
    </row>
    <row r="109" spans="1:69" s="6" customFormat="1" ht="117" hidden="1" x14ac:dyDescent="0.35">
      <c r="A109" s="8">
        <v>3713</v>
      </c>
      <c r="B109" s="8" t="s">
        <v>319</v>
      </c>
      <c r="C109" s="8" t="s">
        <v>92</v>
      </c>
      <c r="D109" s="9" t="s">
        <v>648</v>
      </c>
      <c r="E109" s="8" t="s">
        <v>43</v>
      </c>
      <c r="F109" s="8" t="s">
        <v>138</v>
      </c>
      <c r="G109" s="8" t="s">
        <v>225</v>
      </c>
      <c r="H109" s="8" t="s">
        <v>125</v>
      </c>
      <c r="I109" s="8" t="s">
        <v>114</v>
      </c>
      <c r="J109" s="9" t="s">
        <v>26</v>
      </c>
      <c r="K109" s="45" t="s">
        <v>576</v>
      </c>
      <c r="L109" s="10" t="s">
        <v>561</v>
      </c>
      <c r="M109" s="2" t="s">
        <v>562</v>
      </c>
      <c r="N109" s="10" t="s">
        <v>563</v>
      </c>
      <c r="O109" s="10" t="s">
        <v>98</v>
      </c>
      <c r="P109" s="9" t="s">
        <v>239</v>
      </c>
      <c r="Q109" s="41" t="s">
        <v>276</v>
      </c>
      <c r="R109" s="9" t="s">
        <v>400</v>
      </c>
      <c r="S109" s="9" t="s">
        <v>276</v>
      </c>
      <c r="T109" s="9" t="s">
        <v>276</v>
      </c>
      <c r="U109" s="9">
        <v>1</v>
      </c>
      <c r="V109" s="8" t="s">
        <v>14</v>
      </c>
      <c r="W109" s="2" t="s">
        <v>98</v>
      </c>
      <c r="X109" s="10" t="s">
        <v>207</v>
      </c>
      <c r="Y109" s="13">
        <v>189386</v>
      </c>
      <c r="Z109" s="34">
        <v>219439</v>
      </c>
      <c r="AA109" s="34">
        <f>Y109-125146</f>
        <v>64240</v>
      </c>
      <c r="AB109" s="34">
        <f>Z109-148182</f>
        <v>71257</v>
      </c>
      <c r="AC109" s="8" t="s">
        <v>276</v>
      </c>
      <c r="AD109" s="10" t="s">
        <v>564</v>
      </c>
      <c r="AE109" s="8" t="s">
        <v>276</v>
      </c>
      <c r="AF109" s="10" t="s">
        <v>564</v>
      </c>
      <c r="AG109" s="9" t="s">
        <v>649</v>
      </c>
      <c r="AH109" s="9" t="s">
        <v>430</v>
      </c>
      <c r="AI109" s="34">
        <f>93+39+46+51+71+82+100+117+97</f>
        <v>696</v>
      </c>
      <c r="AJ109" s="34">
        <f>60+72+96+85+103+121+136+172+167</f>
        <v>1012</v>
      </c>
      <c r="AK109" s="34">
        <f t="shared" si="34"/>
        <v>189386</v>
      </c>
      <c r="AL109" s="34">
        <f t="shared" si="34"/>
        <v>219439</v>
      </c>
      <c r="AM109" s="38" t="s">
        <v>376</v>
      </c>
      <c r="AN109" s="8" t="s">
        <v>276</v>
      </c>
      <c r="AO109" s="14">
        <f t="shared" si="35"/>
        <v>0.36750340574276874</v>
      </c>
      <c r="AP109" s="8" t="s">
        <v>276</v>
      </c>
      <c r="AQ109" s="8" t="s">
        <v>276</v>
      </c>
      <c r="AR109" s="8" t="s">
        <v>276</v>
      </c>
      <c r="AS109" s="14">
        <f t="shared" si="36"/>
        <v>0.46117599879693216</v>
      </c>
      <c r="AT109" s="8" t="s">
        <v>276</v>
      </c>
      <c r="AU109" s="8" t="s">
        <v>276</v>
      </c>
      <c r="AV109" s="9" t="s">
        <v>268</v>
      </c>
      <c r="AW109" s="35" t="s">
        <v>276</v>
      </c>
      <c r="AX109" s="35">
        <f t="shared" si="37"/>
        <v>0.79688320012635805</v>
      </c>
      <c r="AY109" s="10" t="s">
        <v>276</v>
      </c>
      <c r="AZ109" s="10" t="s">
        <v>276</v>
      </c>
      <c r="BA109" s="10" t="s">
        <v>276</v>
      </c>
      <c r="BB109" s="10" t="s">
        <v>98</v>
      </c>
      <c r="BC109" s="10" t="s">
        <v>98</v>
      </c>
      <c r="BD109" s="10" t="s">
        <v>98</v>
      </c>
      <c r="BE109" s="10" t="s">
        <v>98</v>
      </c>
      <c r="BF109" s="9" t="s">
        <v>597</v>
      </c>
      <c r="BG109" s="9" t="s">
        <v>476</v>
      </c>
      <c r="BH109" s="9" t="s">
        <v>100</v>
      </c>
      <c r="BI109" s="9" t="s">
        <v>100</v>
      </c>
      <c r="BJ109" s="32"/>
      <c r="BK109" s="32"/>
      <c r="BL109" s="33"/>
      <c r="BM109" s="33"/>
      <c r="BN109" s="33"/>
      <c r="BO109" s="32"/>
      <c r="BP109" s="32"/>
      <c r="BQ109" s="33"/>
    </row>
    <row r="110" spans="1:69" s="6" customFormat="1" ht="104" hidden="1" x14ac:dyDescent="0.35">
      <c r="A110" s="8">
        <v>3713</v>
      </c>
      <c r="B110" s="8" t="s">
        <v>319</v>
      </c>
      <c r="C110" s="8" t="s">
        <v>92</v>
      </c>
      <c r="D110" s="9" t="s">
        <v>650</v>
      </c>
      <c r="E110" s="8" t="s">
        <v>43</v>
      </c>
      <c r="F110" s="8" t="s">
        <v>138</v>
      </c>
      <c r="G110" s="8" t="s">
        <v>225</v>
      </c>
      <c r="H110" s="8" t="s">
        <v>125</v>
      </c>
      <c r="I110" s="8" t="s">
        <v>114</v>
      </c>
      <c r="J110" s="9" t="s">
        <v>26</v>
      </c>
      <c r="K110" s="45" t="s">
        <v>560</v>
      </c>
      <c r="L110" s="10" t="s">
        <v>561</v>
      </c>
      <c r="M110" s="2" t="s">
        <v>562</v>
      </c>
      <c r="N110" s="10" t="s">
        <v>563</v>
      </c>
      <c r="O110" s="10" t="s">
        <v>98</v>
      </c>
      <c r="P110" s="9" t="s">
        <v>239</v>
      </c>
      <c r="Q110" s="41" t="s">
        <v>276</v>
      </c>
      <c r="R110" s="9" t="s">
        <v>352</v>
      </c>
      <c r="S110" s="9" t="s">
        <v>276</v>
      </c>
      <c r="T110" s="9" t="s">
        <v>276</v>
      </c>
      <c r="U110" s="9">
        <v>1</v>
      </c>
      <c r="V110" s="8" t="s">
        <v>14</v>
      </c>
      <c r="W110" s="2" t="s">
        <v>98</v>
      </c>
      <c r="X110" s="10" t="s">
        <v>207</v>
      </c>
      <c r="Y110" s="13">
        <v>189386</v>
      </c>
      <c r="Z110" s="34">
        <v>219439</v>
      </c>
      <c r="AA110" s="34">
        <f>Y110-91419</f>
        <v>97967</v>
      </c>
      <c r="AB110" s="34">
        <f>Z110-103578</f>
        <v>115861</v>
      </c>
      <c r="AC110" s="8" t="s">
        <v>276</v>
      </c>
      <c r="AD110" s="10" t="s">
        <v>564</v>
      </c>
      <c r="AE110" s="8" t="s">
        <v>276</v>
      </c>
      <c r="AF110" s="10" t="s">
        <v>564</v>
      </c>
      <c r="AG110" s="9" t="s">
        <v>651</v>
      </c>
      <c r="AH110" s="9" t="s">
        <v>430</v>
      </c>
      <c r="AI110" s="34">
        <f>1852+441+187+229+235+265+313+359+330+269</f>
        <v>4480</v>
      </c>
      <c r="AJ110" s="34">
        <f>240+283+293+365+413+413+500+511+469+353</f>
        <v>3840</v>
      </c>
      <c r="AK110" s="34">
        <f t="shared" si="34"/>
        <v>189386</v>
      </c>
      <c r="AL110" s="34">
        <f t="shared" si="34"/>
        <v>219439</v>
      </c>
      <c r="AM110" s="38" t="s">
        <v>376</v>
      </c>
      <c r="AN110" s="8" t="s">
        <v>276</v>
      </c>
      <c r="AO110" s="14">
        <f t="shared" si="35"/>
        <v>2.36553916340173</v>
      </c>
      <c r="AP110" s="8" t="s">
        <v>276</v>
      </c>
      <c r="AQ110" s="8" t="s">
        <v>276</v>
      </c>
      <c r="AR110" s="8" t="s">
        <v>276</v>
      </c>
      <c r="AS110" s="14">
        <f t="shared" si="36"/>
        <v>1.7499168333796635</v>
      </c>
      <c r="AT110" s="8" t="s">
        <v>276</v>
      </c>
      <c r="AU110" s="8" t="s">
        <v>276</v>
      </c>
      <c r="AV110" s="9" t="s">
        <v>268</v>
      </c>
      <c r="AW110" s="35" t="s">
        <v>276</v>
      </c>
      <c r="AX110" s="35">
        <f t="shared" si="37"/>
        <v>1.3518009074940422</v>
      </c>
      <c r="AY110" s="10" t="s">
        <v>276</v>
      </c>
      <c r="AZ110" s="10" t="s">
        <v>276</v>
      </c>
      <c r="BA110" s="10" t="s">
        <v>276</v>
      </c>
      <c r="BB110" s="10" t="s">
        <v>98</v>
      </c>
      <c r="BC110" s="10" t="s">
        <v>98</v>
      </c>
      <c r="BD110" s="10" t="s">
        <v>98</v>
      </c>
      <c r="BE110" s="10" t="s">
        <v>98</v>
      </c>
      <c r="BF110" s="9" t="s">
        <v>597</v>
      </c>
      <c r="BG110" s="9" t="s">
        <v>476</v>
      </c>
      <c r="BH110" s="9" t="s">
        <v>100</v>
      </c>
      <c r="BI110" s="9" t="s">
        <v>100</v>
      </c>
      <c r="BJ110" s="32"/>
      <c r="BK110" s="32"/>
      <c r="BL110" s="33"/>
      <c r="BM110" s="33"/>
      <c r="BN110" s="33"/>
      <c r="BO110" s="32"/>
      <c r="BP110" s="32"/>
      <c r="BQ110" s="33"/>
    </row>
    <row r="111" spans="1:69" s="6" customFormat="1" ht="104" hidden="1" x14ac:dyDescent="0.35">
      <c r="A111" s="8">
        <v>3713</v>
      </c>
      <c r="B111" s="8" t="s">
        <v>319</v>
      </c>
      <c r="C111" s="8" t="s">
        <v>92</v>
      </c>
      <c r="D111" s="9" t="s">
        <v>652</v>
      </c>
      <c r="E111" s="8" t="s">
        <v>43</v>
      </c>
      <c r="F111" s="8" t="s">
        <v>138</v>
      </c>
      <c r="G111" s="8" t="s">
        <v>225</v>
      </c>
      <c r="H111" s="8" t="s">
        <v>125</v>
      </c>
      <c r="I111" s="8" t="s">
        <v>114</v>
      </c>
      <c r="J111" s="9" t="s">
        <v>26</v>
      </c>
      <c r="K111" s="45" t="s">
        <v>571</v>
      </c>
      <c r="L111" s="10" t="s">
        <v>561</v>
      </c>
      <c r="M111" s="2" t="s">
        <v>562</v>
      </c>
      <c r="N111" s="10" t="s">
        <v>563</v>
      </c>
      <c r="O111" s="10" t="s">
        <v>98</v>
      </c>
      <c r="P111" s="9" t="s">
        <v>239</v>
      </c>
      <c r="Q111" s="41" t="s">
        <v>276</v>
      </c>
      <c r="R111" s="9" t="s">
        <v>352</v>
      </c>
      <c r="S111" s="9" t="s">
        <v>276</v>
      </c>
      <c r="T111" s="9" t="s">
        <v>276</v>
      </c>
      <c r="U111" s="9">
        <v>1</v>
      </c>
      <c r="V111" s="8" t="s">
        <v>14</v>
      </c>
      <c r="W111" s="2" t="s">
        <v>98</v>
      </c>
      <c r="X111" s="10" t="s">
        <v>207</v>
      </c>
      <c r="Y111" s="13">
        <v>189386</v>
      </c>
      <c r="Z111" s="34">
        <v>219439</v>
      </c>
      <c r="AA111" s="34">
        <f t="shared" ref="AA111:AA112" si="44">Y111-91419</f>
        <v>97967</v>
      </c>
      <c r="AB111" s="34">
        <f t="shared" ref="AB111:AB112" si="45">Z111-103578</f>
        <v>115861</v>
      </c>
      <c r="AC111" s="8" t="s">
        <v>276</v>
      </c>
      <c r="AD111" s="10" t="s">
        <v>564</v>
      </c>
      <c r="AE111" s="8" t="s">
        <v>276</v>
      </c>
      <c r="AF111" s="10" t="s">
        <v>564</v>
      </c>
      <c r="AG111" s="9" t="s">
        <v>653</v>
      </c>
      <c r="AH111" s="9" t="s">
        <v>430</v>
      </c>
      <c r="AI111" s="34">
        <f>303+97+56+76+85+97+81+135+105+117</f>
        <v>1152</v>
      </c>
      <c r="AJ111" s="34">
        <f>69+97+99+120+131+165+167+183+185+152</f>
        <v>1368</v>
      </c>
      <c r="AK111" s="34">
        <f t="shared" si="34"/>
        <v>189386</v>
      </c>
      <c r="AL111" s="34">
        <f t="shared" si="34"/>
        <v>219439</v>
      </c>
      <c r="AM111" s="38" t="s">
        <v>376</v>
      </c>
      <c r="AN111" s="8" t="s">
        <v>276</v>
      </c>
      <c r="AO111" s="14">
        <f t="shared" si="35"/>
        <v>0.60828149916044483</v>
      </c>
      <c r="AP111" s="8" t="s">
        <v>276</v>
      </c>
      <c r="AQ111" s="8" t="s">
        <v>276</v>
      </c>
      <c r="AR111" s="8" t="s">
        <v>276</v>
      </c>
      <c r="AS111" s="14">
        <f t="shared" si="36"/>
        <v>0.62340787189150515</v>
      </c>
      <c r="AT111" s="8" t="s">
        <v>276</v>
      </c>
      <c r="AU111" s="8" t="s">
        <v>276</v>
      </c>
      <c r="AV111" s="9" t="s">
        <v>268</v>
      </c>
      <c r="AW111" s="35" t="s">
        <v>276</v>
      </c>
      <c r="AX111" s="35">
        <f t="shared" si="37"/>
        <v>0.97573599337915828</v>
      </c>
      <c r="AY111" s="10" t="s">
        <v>276</v>
      </c>
      <c r="AZ111" s="10" t="s">
        <v>276</v>
      </c>
      <c r="BA111" s="10" t="s">
        <v>276</v>
      </c>
      <c r="BB111" s="10" t="s">
        <v>98</v>
      </c>
      <c r="BC111" s="10" t="s">
        <v>98</v>
      </c>
      <c r="BD111" s="10" t="s">
        <v>98</v>
      </c>
      <c r="BE111" s="10" t="s">
        <v>98</v>
      </c>
      <c r="BF111" s="9" t="s">
        <v>597</v>
      </c>
      <c r="BG111" s="9" t="s">
        <v>476</v>
      </c>
      <c r="BH111" s="9" t="s">
        <v>100</v>
      </c>
      <c r="BI111" s="9" t="s">
        <v>100</v>
      </c>
      <c r="BJ111" s="32"/>
      <c r="BK111" s="32"/>
      <c r="BL111" s="33"/>
      <c r="BM111" s="33"/>
      <c r="BN111" s="33"/>
      <c r="BO111" s="32"/>
      <c r="BP111" s="32"/>
      <c r="BQ111" s="33"/>
    </row>
    <row r="112" spans="1:69" s="6" customFormat="1" ht="117" hidden="1" x14ac:dyDescent="0.35">
      <c r="A112" s="8">
        <v>3713</v>
      </c>
      <c r="B112" s="8" t="s">
        <v>319</v>
      </c>
      <c r="C112" s="8" t="s">
        <v>92</v>
      </c>
      <c r="D112" s="9" t="s">
        <v>654</v>
      </c>
      <c r="E112" s="8" t="s">
        <v>43</v>
      </c>
      <c r="F112" s="8" t="s">
        <v>138</v>
      </c>
      <c r="G112" s="8" t="s">
        <v>225</v>
      </c>
      <c r="H112" s="8" t="s">
        <v>125</v>
      </c>
      <c r="I112" s="8" t="s">
        <v>114</v>
      </c>
      <c r="J112" s="9" t="s">
        <v>26</v>
      </c>
      <c r="K112" s="45" t="s">
        <v>576</v>
      </c>
      <c r="L112" s="10" t="s">
        <v>561</v>
      </c>
      <c r="M112" s="2" t="s">
        <v>562</v>
      </c>
      <c r="N112" s="10" t="s">
        <v>563</v>
      </c>
      <c r="O112" s="10" t="s">
        <v>98</v>
      </c>
      <c r="P112" s="9" t="s">
        <v>239</v>
      </c>
      <c r="Q112" s="41" t="s">
        <v>276</v>
      </c>
      <c r="R112" s="9" t="s">
        <v>352</v>
      </c>
      <c r="S112" s="9" t="s">
        <v>276</v>
      </c>
      <c r="T112" s="9" t="s">
        <v>276</v>
      </c>
      <c r="U112" s="9">
        <v>1</v>
      </c>
      <c r="V112" s="8" t="s">
        <v>14</v>
      </c>
      <c r="W112" s="2" t="s">
        <v>98</v>
      </c>
      <c r="X112" s="10" t="s">
        <v>207</v>
      </c>
      <c r="Y112" s="13">
        <v>189386</v>
      </c>
      <c r="Z112" s="34">
        <v>219439</v>
      </c>
      <c r="AA112" s="34">
        <f t="shared" si="44"/>
        <v>97967</v>
      </c>
      <c r="AB112" s="34">
        <f t="shared" si="45"/>
        <v>115861</v>
      </c>
      <c r="AC112" s="8" t="s">
        <v>276</v>
      </c>
      <c r="AD112" s="10" t="s">
        <v>564</v>
      </c>
      <c r="AE112" s="8" t="s">
        <v>276</v>
      </c>
      <c r="AF112" s="10" t="s">
        <v>564</v>
      </c>
      <c r="AG112" s="9" t="s">
        <v>655</v>
      </c>
      <c r="AH112" s="9" t="s">
        <v>430</v>
      </c>
      <c r="AI112" s="34">
        <f>93+39+46+51+71+82+100+117+97+86</f>
        <v>782</v>
      </c>
      <c r="AJ112" s="34">
        <f>60+72+96+85+103+121+136+172+167+116</f>
        <v>1128</v>
      </c>
      <c r="AK112" s="34">
        <f t="shared" si="34"/>
        <v>189386</v>
      </c>
      <c r="AL112" s="34">
        <f t="shared" si="34"/>
        <v>219439</v>
      </c>
      <c r="AM112" s="38" t="s">
        <v>376</v>
      </c>
      <c r="AN112" s="8" t="s">
        <v>276</v>
      </c>
      <c r="AO112" s="14">
        <f t="shared" si="35"/>
        <v>0.41291330932592696</v>
      </c>
      <c r="AP112" s="8" t="s">
        <v>276</v>
      </c>
      <c r="AQ112" s="8" t="s">
        <v>276</v>
      </c>
      <c r="AR112" s="8" t="s">
        <v>276</v>
      </c>
      <c r="AS112" s="14">
        <f t="shared" si="36"/>
        <v>0.51403806980527622</v>
      </c>
      <c r="AT112" s="8" t="s">
        <v>276</v>
      </c>
      <c r="AU112" s="8" t="s">
        <v>276</v>
      </c>
      <c r="AV112" s="9" t="s">
        <v>268</v>
      </c>
      <c r="AW112" s="35" t="s">
        <v>276</v>
      </c>
      <c r="AX112" s="35">
        <f t="shared" si="37"/>
        <v>0.8032737915352135</v>
      </c>
      <c r="AY112" s="10" t="s">
        <v>276</v>
      </c>
      <c r="AZ112" s="10" t="s">
        <v>276</v>
      </c>
      <c r="BA112" s="10" t="s">
        <v>276</v>
      </c>
      <c r="BB112" s="10" t="s">
        <v>98</v>
      </c>
      <c r="BC112" s="10" t="s">
        <v>98</v>
      </c>
      <c r="BD112" s="10" t="s">
        <v>98</v>
      </c>
      <c r="BE112" s="10" t="s">
        <v>98</v>
      </c>
      <c r="BF112" s="9" t="s">
        <v>597</v>
      </c>
      <c r="BG112" s="9" t="s">
        <v>476</v>
      </c>
      <c r="BH112" s="9" t="s">
        <v>100</v>
      </c>
      <c r="BI112" s="9" t="s">
        <v>100</v>
      </c>
      <c r="BJ112" s="32"/>
      <c r="BK112" s="32"/>
      <c r="BL112" s="33"/>
      <c r="BM112" s="33"/>
      <c r="BN112" s="33"/>
      <c r="BO112" s="32"/>
      <c r="BP112" s="32"/>
      <c r="BQ112" s="33"/>
    </row>
    <row r="113" spans="1:69" s="6" customFormat="1" ht="104" hidden="1" x14ac:dyDescent="0.35">
      <c r="A113" s="8">
        <v>3713</v>
      </c>
      <c r="B113" s="8" t="s">
        <v>319</v>
      </c>
      <c r="C113" s="8" t="s">
        <v>92</v>
      </c>
      <c r="D113" s="9" t="s">
        <v>656</v>
      </c>
      <c r="E113" s="8" t="s">
        <v>43</v>
      </c>
      <c r="F113" s="8" t="s">
        <v>138</v>
      </c>
      <c r="G113" s="8" t="s">
        <v>225</v>
      </c>
      <c r="H113" s="8" t="s">
        <v>125</v>
      </c>
      <c r="I113" s="8" t="s">
        <v>114</v>
      </c>
      <c r="J113" s="9" t="s">
        <v>26</v>
      </c>
      <c r="K113" s="45" t="s">
        <v>560</v>
      </c>
      <c r="L113" s="10" t="s">
        <v>561</v>
      </c>
      <c r="M113" s="2" t="s">
        <v>562</v>
      </c>
      <c r="N113" s="10" t="s">
        <v>563</v>
      </c>
      <c r="O113" s="10" t="s">
        <v>98</v>
      </c>
      <c r="P113" s="9" t="s">
        <v>239</v>
      </c>
      <c r="Q113" s="41" t="s">
        <v>276</v>
      </c>
      <c r="R113" s="9" t="s">
        <v>405</v>
      </c>
      <c r="S113" s="9" t="s">
        <v>276</v>
      </c>
      <c r="T113" s="9" t="s">
        <v>276</v>
      </c>
      <c r="U113" s="9">
        <v>1</v>
      </c>
      <c r="V113" s="8" t="s">
        <v>14</v>
      </c>
      <c r="W113" s="2" t="s">
        <v>98</v>
      </c>
      <c r="X113" s="10" t="s">
        <v>207</v>
      </c>
      <c r="Y113" s="13">
        <v>189386</v>
      </c>
      <c r="Z113" s="34">
        <v>219439</v>
      </c>
      <c r="AA113" s="34">
        <f>Y113-59931</f>
        <v>129455</v>
      </c>
      <c r="AB113" s="34">
        <f>Z113-48701</f>
        <v>170738</v>
      </c>
      <c r="AC113" s="8" t="s">
        <v>276</v>
      </c>
      <c r="AD113" s="10" t="s">
        <v>564</v>
      </c>
      <c r="AE113" s="8" t="s">
        <v>276</v>
      </c>
      <c r="AF113" s="10" t="s">
        <v>564</v>
      </c>
      <c r="AG113" s="9" t="s">
        <v>657</v>
      </c>
      <c r="AH113" s="9" t="s">
        <v>430</v>
      </c>
      <c r="AI113" s="34">
        <f>1852+441+187+229+235+265+313+359+330+269+215</f>
        <v>4695</v>
      </c>
      <c r="AJ113" s="34">
        <f>240+283+293+365+413+413+500+511+469+353+195</f>
        <v>4035</v>
      </c>
      <c r="AK113" s="34">
        <f t="shared" si="34"/>
        <v>189386</v>
      </c>
      <c r="AL113" s="34">
        <f t="shared" si="34"/>
        <v>219439</v>
      </c>
      <c r="AM113" s="38" t="s">
        <v>376</v>
      </c>
      <c r="AN113" s="8" t="s">
        <v>276</v>
      </c>
      <c r="AO113" s="14">
        <f t="shared" si="35"/>
        <v>2.4790639223596251</v>
      </c>
      <c r="AP113" s="8" t="s">
        <v>276</v>
      </c>
      <c r="AQ113" s="8" t="s">
        <v>276</v>
      </c>
      <c r="AR113" s="8" t="s">
        <v>276</v>
      </c>
      <c r="AS113" s="14">
        <f t="shared" si="36"/>
        <v>1.8387797975747247</v>
      </c>
      <c r="AT113" s="8" t="s">
        <v>276</v>
      </c>
      <c r="AU113" s="8" t="s">
        <v>276</v>
      </c>
      <c r="AV113" s="9" t="s">
        <v>268</v>
      </c>
      <c r="AW113" s="35" t="s">
        <v>276</v>
      </c>
      <c r="AX113" s="35">
        <f t="shared" si="37"/>
        <v>1.3482114202197615</v>
      </c>
      <c r="AY113" s="10" t="s">
        <v>276</v>
      </c>
      <c r="AZ113" s="10" t="s">
        <v>276</v>
      </c>
      <c r="BA113" s="10" t="s">
        <v>276</v>
      </c>
      <c r="BB113" s="10" t="s">
        <v>98</v>
      </c>
      <c r="BC113" s="10" t="s">
        <v>98</v>
      </c>
      <c r="BD113" s="10" t="s">
        <v>98</v>
      </c>
      <c r="BE113" s="10" t="s">
        <v>98</v>
      </c>
      <c r="BF113" s="9" t="s">
        <v>597</v>
      </c>
      <c r="BG113" s="9" t="s">
        <v>476</v>
      </c>
      <c r="BH113" s="9" t="s">
        <v>100</v>
      </c>
      <c r="BI113" s="9" t="s">
        <v>100</v>
      </c>
      <c r="BJ113" s="32"/>
      <c r="BK113" s="32"/>
      <c r="BL113" s="33"/>
      <c r="BM113" s="33"/>
      <c r="BN113" s="33"/>
      <c r="BO113" s="32"/>
      <c r="BP113" s="32"/>
      <c r="BQ113" s="33"/>
    </row>
    <row r="114" spans="1:69" s="6" customFormat="1" ht="104" hidden="1" x14ac:dyDescent="0.35">
      <c r="A114" s="8">
        <v>3713</v>
      </c>
      <c r="B114" s="8" t="s">
        <v>319</v>
      </c>
      <c r="C114" s="8" t="s">
        <v>92</v>
      </c>
      <c r="D114" s="9" t="s">
        <v>658</v>
      </c>
      <c r="E114" s="8" t="s">
        <v>43</v>
      </c>
      <c r="F114" s="8" t="s">
        <v>138</v>
      </c>
      <c r="G114" s="8" t="s">
        <v>225</v>
      </c>
      <c r="H114" s="8" t="s">
        <v>125</v>
      </c>
      <c r="I114" s="8" t="s">
        <v>114</v>
      </c>
      <c r="J114" s="9" t="s">
        <v>26</v>
      </c>
      <c r="K114" s="45" t="s">
        <v>571</v>
      </c>
      <c r="L114" s="10" t="s">
        <v>561</v>
      </c>
      <c r="M114" s="2" t="s">
        <v>562</v>
      </c>
      <c r="N114" s="10" t="s">
        <v>563</v>
      </c>
      <c r="O114" s="10" t="s">
        <v>98</v>
      </c>
      <c r="P114" s="9" t="s">
        <v>239</v>
      </c>
      <c r="Q114" s="41" t="s">
        <v>276</v>
      </c>
      <c r="R114" s="9" t="s">
        <v>405</v>
      </c>
      <c r="S114" s="9" t="s">
        <v>276</v>
      </c>
      <c r="T114" s="9" t="s">
        <v>276</v>
      </c>
      <c r="U114" s="9">
        <v>1</v>
      </c>
      <c r="V114" s="8" t="s">
        <v>14</v>
      </c>
      <c r="W114" s="2" t="s">
        <v>98</v>
      </c>
      <c r="X114" s="10" t="s">
        <v>207</v>
      </c>
      <c r="Y114" s="13">
        <v>189386</v>
      </c>
      <c r="Z114" s="34">
        <v>219439</v>
      </c>
      <c r="AA114" s="34">
        <f t="shared" ref="AA114:AA115" si="46">Y114-59931</f>
        <v>129455</v>
      </c>
      <c r="AB114" s="34">
        <f t="shared" ref="AB114:AB115" si="47">Z114-48701</f>
        <v>170738</v>
      </c>
      <c r="AC114" s="8" t="s">
        <v>276</v>
      </c>
      <c r="AD114" s="10" t="s">
        <v>564</v>
      </c>
      <c r="AE114" s="8" t="s">
        <v>276</v>
      </c>
      <c r="AF114" s="10" t="s">
        <v>564</v>
      </c>
      <c r="AG114" s="9" t="s">
        <v>659</v>
      </c>
      <c r="AH114" s="9" t="s">
        <v>430</v>
      </c>
      <c r="AI114" s="34">
        <f>303+97+56+76+85+97+81+135+105+117+85</f>
        <v>1237</v>
      </c>
      <c r="AJ114" s="34">
        <f>69+97+99+120+131+165+167+183+185+152+88</f>
        <v>1456</v>
      </c>
      <c r="AK114" s="34">
        <f t="shared" si="34"/>
        <v>189386</v>
      </c>
      <c r="AL114" s="34">
        <f t="shared" si="34"/>
        <v>219439</v>
      </c>
      <c r="AM114" s="38" t="s">
        <v>376</v>
      </c>
      <c r="AN114" s="8" t="s">
        <v>276</v>
      </c>
      <c r="AO114" s="14">
        <f t="shared" si="35"/>
        <v>0.6531633806089151</v>
      </c>
      <c r="AP114" s="8" t="s">
        <v>276</v>
      </c>
      <c r="AQ114" s="8" t="s">
        <v>276</v>
      </c>
      <c r="AR114" s="8" t="s">
        <v>276</v>
      </c>
      <c r="AS114" s="14">
        <f t="shared" si="36"/>
        <v>0.66351013265645575</v>
      </c>
      <c r="AT114" s="8" t="s">
        <v>276</v>
      </c>
      <c r="AU114" s="8" t="s">
        <v>276</v>
      </c>
      <c r="AV114" s="9" t="s">
        <v>268</v>
      </c>
      <c r="AW114" s="35" t="s">
        <v>276</v>
      </c>
      <c r="AX114" s="35">
        <f t="shared" si="37"/>
        <v>0.9844060376197783</v>
      </c>
      <c r="AY114" s="10" t="s">
        <v>276</v>
      </c>
      <c r="AZ114" s="10" t="s">
        <v>276</v>
      </c>
      <c r="BA114" s="10" t="s">
        <v>276</v>
      </c>
      <c r="BB114" s="10" t="s">
        <v>98</v>
      </c>
      <c r="BC114" s="10" t="s">
        <v>98</v>
      </c>
      <c r="BD114" s="10" t="s">
        <v>98</v>
      </c>
      <c r="BE114" s="10" t="s">
        <v>98</v>
      </c>
      <c r="BF114" s="9" t="s">
        <v>597</v>
      </c>
      <c r="BG114" s="9" t="s">
        <v>476</v>
      </c>
      <c r="BH114" s="9" t="s">
        <v>100</v>
      </c>
      <c r="BI114" s="9" t="s">
        <v>100</v>
      </c>
      <c r="BJ114" s="32"/>
      <c r="BK114" s="32"/>
      <c r="BL114" s="33"/>
      <c r="BM114" s="33"/>
      <c r="BN114" s="33"/>
      <c r="BO114" s="32"/>
      <c r="BP114" s="32"/>
      <c r="BQ114" s="33"/>
    </row>
    <row r="115" spans="1:69" s="6" customFormat="1" ht="117" hidden="1" x14ac:dyDescent="0.35">
      <c r="A115" s="8">
        <v>3713</v>
      </c>
      <c r="B115" s="8" t="s">
        <v>319</v>
      </c>
      <c r="C115" s="8" t="s">
        <v>92</v>
      </c>
      <c r="D115" s="9" t="s">
        <v>660</v>
      </c>
      <c r="E115" s="8" t="s">
        <v>43</v>
      </c>
      <c r="F115" s="8" t="s">
        <v>138</v>
      </c>
      <c r="G115" s="8" t="s">
        <v>225</v>
      </c>
      <c r="H115" s="8" t="s">
        <v>125</v>
      </c>
      <c r="I115" s="8" t="s">
        <v>114</v>
      </c>
      <c r="J115" s="9" t="s">
        <v>26</v>
      </c>
      <c r="K115" s="45" t="s">
        <v>576</v>
      </c>
      <c r="L115" s="10" t="s">
        <v>561</v>
      </c>
      <c r="M115" s="2" t="s">
        <v>562</v>
      </c>
      <c r="N115" s="10" t="s">
        <v>563</v>
      </c>
      <c r="O115" s="10" t="s">
        <v>98</v>
      </c>
      <c r="P115" s="9" t="s">
        <v>239</v>
      </c>
      <c r="Q115" s="41" t="s">
        <v>276</v>
      </c>
      <c r="R115" s="9" t="s">
        <v>405</v>
      </c>
      <c r="S115" s="9" t="s">
        <v>276</v>
      </c>
      <c r="T115" s="9" t="s">
        <v>276</v>
      </c>
      <c r="U115" s="9">
        <v>1</v>
      </c>
      <c r="V115" s="8" t="s">
        <v>14</v>
      </c>
      <c r="W115" s="2" t="s">
        <v>98</v>
      </c>
      <c r="X115" s="10" t="s">
        <v>207</v>
      </c>
      <c r="Y115" s="13">
        <v>189386</v>
      </c>
      <c r="Z115" s="34">
        <v>219439</v>
      </c>
      <c r="AA115" s="34">
        <f t="shared" si="46"/>
        <v>129455</v>
      </c>
      <c r="AB115" s="34">
        <f t="shared" si="47"/>
        <v>170738</v>
      </c>
      <c r="AC115" s="8" t="s">
        <v>276</v>
      </c>
      <c r="AD115" s="10" t="s">
        <v>564</v>
      </c>
      <c r="AE115" s="8" t="s">
        <v>276</v>
      </c>
      <c r="AF115" s="10" t="s">
        <v>564</v>
      </c>
      <c r="AG115" s="9" t="s">
        <v>661</v>
      </c>
      <c r="AH115" s="9" t="s">
        <v>430</v>
      </c>
      <c r="AI115" s="34">
        <f>93+39+46+51+71+82+100+117+97+86+64</f>
        <v>846</v>
      </c>
      <c r="AJ115" s="34">
        <f>60+72+96+85+103+121+136+172+167+116+83</f>
        <v>1211</v>
      </c>
      <c r="AK115" s="34">
        <f t="shared" si="34"/>
        <v>189386</v>
      </c>
      <c r="AL115" s="34">
        <f t="shared" si="34"/>
        <v>219439</v>
      </c>
      <c r="AM115" s="38" t="s">
        <v>376</v>
      </c>
      <c r="AN115" s="8" t="s">
        <v>276</v>
      </c>
      <c r="AO115" s="14">
        <f t="shared" si="35"/>
        <v>0.44670672594595168</v>
      </c>
      <c r="AP115" s="8" t="s">
        <v>276</v>
      </c>
      <c r="AQ115" s="8" t="s">
        <v>276</v>
      </c>
      <c r="AR115" s="8" t="s">
        <v>276</v>
      </c>
      <c r="AS115" s="14">
        <f t="shared" si="36"/>
        <v>0.55186179302676375</v>
      </c>
      <c r="AT115" s="8" t="s">
        <v>276</v>
      </c>
      <c r="AU115" s="8" t="s">
        <v>276</v>
      </c>
      <c r="AV115" s="9" t="s">
        <v>268</v>
      </c>
      <c r="AW115" s="35" t="s">
        <v>276</v>
      </c>
      <c r="AX115" s="35">
        <f t="shared" si="37"/>
        <v>0.80945398212100483</v>
      </c>
      <c r="AY115" s="10" t="s">
        <v>276</v>
      </c>
      <c r="AZ115" s="10" t="s">
        <v>276</v>
      </c>
      <c r="BA115" s="10" t="s">
        <v>276</v>
      </c>
      <c r="BB115" s="10" t="s">
        <v>98</v>
      </c>
      <c r="BC115" s="10" t="s">
        <v>98</v>
      </c>
      <c r="BD115" s="10" t="s">
        <v>98</v>
      </c>
      <c r="BE115" s="10" t="s">
        <v>98</v>
      </c>
      <c r="BF115" s="9" t="s">
        <v>597</v>
      </c>
      <c r="BG115" s="9" t="s">
        <v>476</v>
      </c>
      <c r="BH115" s="9" t="s">
        <v>100</v>
      </c>
      <c r="BI115" s="9" t="s">
        <v>100</v>
      </c>
      <c r="BJ115" s="32"/>
      <c r="BK115" s="32"/>
      <c r="BL115" s="33"/>
      <c r="BM115" s="33"/>
      <c r="BN115" s="33"/>
      <c r="BO115" s="32"/>
      <c r="BP115" s="32"/>
      <c r="BQ115" s="33"/>
    </row>
    <row r="116" spans="1:69" s="6" customFormat="1" ht="104" hidden="1" x14ac:dyDescent="0.35">
      <c r="A116" s="8">
        <v>3713</v>
      </c>
      <c r="B116" s="8" t="s">
        <v>319</v>
      </c>
      <c r="C116" s="8" t="s">
        <v>92</v>
      </c>
      <c r="D116" s="9" t="s">
        <v>662</v>
      </c>
      <c r="E116" s="8" t="s">
        <v>43</v>
      </c>
      <c r="F116" s="8" t="s">
        <v>138</v>
      </c>
      <c r="G116" s="8" t="s">
        <v>225</v>
      </c>
      <c r="H116" s="8" t="s">
        <v>125</v>
      </c>
      <c r="I116" s="8" t="s">
        <v>114</v>
      </c>
      <c r="J116" s="9" t="s">
        <v>26</v>
      </c>
      <c r="K116" s="45" t="s">
        <v>560</v>
      </c>
      <c r="L116" s="10" t="s">
        <v>561</v>
      </c>
      <c r="M116" s="2" t="s">
        <v>562</v>
      </c>
      <c r="N116" s="10" t="s">
        <v>563</v>
      </c>
      <c r="O116" s="10" t="s">
        <v>98</v>
      </c>
      <c r="P116" s="9" t="s">
        <v>239</v>
      </c>
      <c r="Q116" s="41" t="s">
        <v>276</v>
      </c>
      <c r="R116" s="9" t="s">
        <v>355</v>
      </c>
      <c r="S116" s="9" t="s">
        <v>276</v>
      </c>
      <c r="T116" s="9" t="s">
        <v>276</v>
      </c>
      <c r="U116" s="9">
        <v>1</v>
      </c>
      <c r="V116" s="8" t="s">
        <v>14</v>
      </c>
      <c r="W116" s="2" t="s">
        <v>98</v>
      </c>
      <c r="X116" s="10" t="s">
        <v>207</v>
      </c>
      <c r="Y116" s="13">
        <v>189386</v>
      </c>
      <c r="Z116" s="34">
        <v>219439</v>
      </c>
      <c r="AA116" s="34">
        <f>Y116-36222</f>
        <v>153164</v>
      </c>
      <c r="AB116" s="34">
        <f>Z116-22905</f>
        <v>196534</v>
      </c>
      <c r="AC116" s="8" t="s">
        <v>276</v>
      </c>
      <c r="AD116" s="10" t="s">
        <v>564</v>
      </c>
      <c r="AE116" s="8" t="s">
        <v>276</v>
      </c>
      <c r="AF116" s="10" t="s">
        <v>564</v>
      </c>
      <c r="AG116" s="9" t="s">
        <v>663</v>
      </c>
      <c r="AH116" s="9" t="s">
        <v>430</v>
      </c>
      <c r="AI116" s="34">
        <f>1852+441+187+229+235+265+313+359+330+269+215+151</f>
        <v>4846</v>
      </c>
      <c r="AJ116" s="34">
        <f>240+283+293+365+413+413+500+511+469+353+195+106</f>
        <v>4141</v>
      </c>
      <c r="AK116" s="34">
        <f t="shared" si="34"/>
        <v>189386</v>
      </c>
      <c r="AL116" s="34">
        <f t="shared" si="34"/>
        <v>219439</v>
      </c>
      <c r="AM116" s="38" t="s">
        <v>376</v>
      </c>
      <c r="AN116" s="8" t="s">
        <v>276</v>
      </c>
      <c r="AO116" s="14">
        <f t="shared" si="35"/>
        <v>2.5587952646974963</v>
      </c>
      <c r="AP116" s="8" t="s">
        <v>276</v>
      </c>
      <c r="AQ116" s="8" t="s">
        <v>276</v>
      </c>
      <c r="AR116" s="8" t="s">
        <v>276</v>
      </c>
      <c r="AS116" s="14">
        <f t="shared" si="36"/>
        <v>1.8870847934961423</v>
      </c>
      <c r="AT116" s="8" t="s">
        <v>276</v>
      </c>
      <c r="AU116" s="8" t="s">
        <v>276</v>
      </c>
      <c r="AV116" s="9" t="s">
        <v>268</v>
      </c>
      <c r="AW116" s="35" t="s">
        <v>276</v>
      </c>
      <c r="AX116" s="35">
        <f t="shared" si="37"/>
        <v>1.3559513984302196</v>
      </c>
      <c r="AY116" s="10" t="s">
        <v>276</v>
      </c>
      <c r="AZ116" s="10" t="s">
        <v>276</v>
      </c>
      <c r="BA116" s="10" t="s">
        <v>276</v>
      </c>
      <c r="BB116" s="10" t="s">
        <v>98</v>
      </c>
      <c r="BC116" s="10" t="s">
        <v>98</v>
      </c>
      <c r="BD116" s="10" t="s">
        <v>98</v>
      </c>
      <c r="BE116" s="10" t="s">
        <v>98</v>
      </c>
      <c r="BF116" s="9" t="s">
        <v>597</v>
      </c>
      <c r="BG116" s="9" t="s">
        <v>476</v>
      </c>
      <c r="BH116" s="9" t="s">
        <v>100</v>
      </c>
      <c r="BI116" s="9" t="s">
        <v>100</v>
      </c>
      <c r="BJ116" s="32"/>
      <c r="BK116" s="32"/>
      <c r="BL116" s="33"/>
      <c r="BM116" s="33"/>
      <c r="BN116" s="33"/>
      <c r="BO116" s="32"/>
      <c r="BP116" s="32"/>
      <c r="BQ116" s="33"/>
    </row>
    <row r="117" spans="1:69" s="6" customFormat="1" ht="104" hidden="1" x14ac:dyDescent="0.35">
      <c r="A117" s="8">
        <v>3713</v>
      </c>
      <c r="B117" s="8" t="s">
        <v>319</v>
      </c>
      <c r="C117" s="8" t="s">
        <v>92</v>
      </c>
      <c r="D117" s="9" t="s">
        <v>664</v>
      </c>
      <c r="E117" s="8" t="s">
        <v>43</v>
      </c>
      <c r="F117" s="8" t="s">
        <v>138</v>
      </c>
      <c r="G117" s="8" t="s">
        <v>225</v>
      </c>
      <c r="H117" s="8" t="s">
        <v>125</v>
      </c>
      <c r="I117" s="8" t="s">
        <v>114</v>
      </c>
      <c r="J117" s="9" t="s">
        <v>26</v>
      </c>
      <c r="K117" s="45" t="s">
        <v>571</v>
      </c>
      <c r="L117" s="10" t="s">
        <v>561</v>
      </c>
      <c r="M117" s="2" t="s">
        <v>562</v>
      </c>
      <c r="N117" s="10" t="s">
        <v>563</v>
      </c>
      <c r="O117" s="10" t="s">
        <v>98</v>
      </c>
      <c r="P117" s="9" t="s">
        <v>239</v>
      </c>
      <c r="Q117" s="41" t="s">
        <v>276</v>
      </c>
      <c r="R117" s="9" t="s">
        <v>355</v>
      </c>
      <c r="S117" s="9" t="s">
        <v>276</v>
      </c>
      <c r="T117" s="9" t="s">
        <v>276</v>
      </c>
      <c r="U117" s="9">
        <v>1</v>
      </c>
      <c r="V117" s="8" t="s">
        <v>14</v>
      </c>
      <c r="W117" s="2" t="s">
        <v>98</v>
      </c>
      <c r="X117" s="10" t="s">
        <v>207</v>
      </c>
      <c r="Y117" s="13">
        <v>189386</v>
      </c>
      <c r="Z117" s="34">
        <v>219439</v>
      </c>
      <c r="AA117" s="34">
        <f t="shared" ref="AA117:AA118" si="48">Y117-36222</f>
        <v>153164</v>
      </c>
      <c r="AB117" s="34">
        <f t="shared" ref="AB117:AB118" si="49">Z117-22905</f>
        <v>196534</v>
      </c>
      <c r="AC117" s="8" t="s">
        <v>276</v>
      </c>
      <c r="AD117" s="10" t="s">
        <v>564</v>
      </c>
      <c r="AE117" s="8" t="s">
        <v>276</v>
      </c>
      <c r="AF117" s="10" t="s">
        <v>564</v>
      </c>
      <c r="AG117" s="9" t="s">
        <v>665</v>
      </c>
      <c r="AH117" s="9" t="s">
        <v>430</v>
      </c>
      <c r="AI117" s="34">
        <f>303+97+56+76+85+97+81+135+105+117+85+50</f>
        <v>1287</v>
      </c>
      <c r="AJ117" s="34">
        <f>69+97+99+120+131+165+167+183+185+152+88+52</f>
        <v>1508</v>
      </c>
      <c r="AK117" s="34">
        <f t="shared" si="34"/>
        <v>189386</v>
      </c>
      <c r="AL117" s="34">
        <f t="shared" si="34"/>
        <v>219439</v>
      </c>
      <c r="AM117" s="38" t="s">
        <v>376</v>
      </c>
      <c r="AN117" s="8" t="s">
        <v>276</v>
      </c>
      <c r="AO117" s="14">
        <f t="shared" si="35"/>
        <v>0.67956448734330943</v>
      </c>
      <c r="AP117" s="8" t="s">
        <v>276</v>
      </c>
      <c r="AQ117" s="8" t="s">
        <v>276</v>
      </c>
      <c r="AR117" s="8" t="s">
        <v>276</v>
      </c>
      <c r="AS117" s="14">
        <f t="shared" si="36"/>
        <v>0.68720692310847209</v>
      </c>
      <c r="AT117" s="8" t="s">
        <v>276</v>
      </c>
      <c r="AU117" s="8" t="s">
        <v>276</v>
      </c>
      <c r="AV117" s="9" t="s">
        <v>268</v>
      </c>
      <c r="AW117" s="35" t="s">
        <v>276</v>
      </c>
      <c r="AX117" s="35">
        <f t="shared" si="37"/>
        <v>0.98887898897963178</v>
      </c>
      <c r="AY117" s="10" t="s">
        <v>276</v>
      </c>
      <c r="AZ117" s="10" t="s">
        <v>276</v>
      </c>
      <c r="BA117" s="10" t="s">
        <v>276</v>
      </c>
      <c r="BB117" s="10" t="s">
        <v>98</v>
      </c>
      <c r="BC117" s="10" t="s">
        <v>98</v>
      </c>
      <c r="BD117" s="10" t="s">
        <v>98</v>
      </c>
      <c r="BE117" s="10" t="s">
        <v>98</v>
      </c>
      <c r="BF117" s="9" t="s">
        <v>597</v>
      </c>
      <c r="BG117" s="9" t="s">
        <v>476</v>
      </c>
      <c r="BH117" s="9" t="s">
        <v>100</v>
      </c>
      <c r="BI117" s="9" t="s">
        <v>100</v>
      </c>
      <c r="BJ117" s="32"/>
      <c r="BK117" s="32"/>
      <c r="BL117" s="33"/>
      <c r="BM117" s="33"/>
      <c r="BN117" s="33"/>
      <c r="BO117" s="32"/>
      <c r="BP117" s="32"/>
      <c r="BQ117" s="33"/>
    </row>
    <row r="118" spans="1:69" s="6" customFormat="1" ht="117" hidden="1" x14ac:dyDescent="0.35">
      <c r="A118" s="8">
        <v>3713</v>
      </c>
      <c r="B118" s="8" t="s">
        <v>319</v>
      </c>
      <c r="C118" s="8" t="s">
        <v>92</v>
      </c>
      <c r="D118" s="9" t="s">
        <v>666</v>
      </c>
      <c r="E118" s="8" t="s">
        <v>43</v>
      </c>
      <c r="F118" s="8" t="s">
        <v>138</v>
      </c>
      <c r="G118" s="8" t="s">
        <v>225</v>
      </c>
      <c r="H118" s="8" t="s">
        <v>125</v>
      </c>
      <c r="I118" s="8" t="s">
        <v>114</v>
      </c>
      <c r="J118" s="9" t="s">
        <v>26</v>
      </c>
      <c r="K118" s="45" t="s">
        <v>576</v>
      </c>
      <c r="L118" s="10" t="s">
        <v>561</v>
      </c>
      <c r="M118" s="2" t="s">
        <v>562</v>
      </c>
      <c r="N118" s="10" t="s">
        <v>563</v>
      </c>
      <c r="O118" s="10" t="s">
        <v>98</v>
      </c>
      <c r="P118" s="9" t="s">
        <v>239</v>
      </c>
      <c r="Q118" s="41" t="s">
        <v>276</v>
      </c>
      <c r="R118" s="9" t="s">
        <v>355</v>
      </c>
      <c r="S118" s="9" t="s">
        <v>276</v>
      </c>
      <c r="T118" s="9" t="s">
        <v>276</v>
      </c>
      <c r="U118" s="9">
        <v>1</v>
      </c>
      <c r="V118" s="8" t="s">
        <v>14</v>
      </c>
      <c r="W118" s="2" t="s">
        <v>98</v>
      </c>
      <c r="X118" s="10" t="s">
        <v>207</v>
      </c>
      <c r="Y118" s="13">
        <v>189386</v>
      </c>
      <c r="Z118" s="34">
        <v>219439</v>
      </c>
      <c r="AA118" s="34">
        <f t="shared" si="48"/>
        <v>153164</v>
      </c>
      <c r="AB118" s="34">
        <f t="shared" si="49"/>
        <v>196534</v>
      </c>
      <c r="AC118" s="8" t="s">
        <v>276</v>
      </c>
      <c r="AD118" s="10" t="s">
        <v>564</v>
      </c>
      <c r="AE118" s="8" t="s">
        <v>276</v>
      </c>
      <c r="AF118" s="10" t="s">
        <v>564</v>
      </c>
      <c r="AG118" s="9" t="s">
        <v>667</v>
      </c>
      <c r="AH118" s="9" t="s">
        <v>430</v>
      </c>
      <c r="AI118" s="34">
        <f>93+39+46+51+71+82+100+117+97+86+64+51</f>
        <v>897</v>
      </c>
      <c r="AJ118" s="34">
        <f>60+72+96+85+103+121+136+172+167+116+83+36</f>
        <v>1247</v>
      </c>
      <c r="AK118" s="34">
        <f t="shared" si="34"/>
        <v>189386</v>
      </c>
      <c r="AL118" s="34">
        <f t="shared" si="34"/>
        <v>219439</v>
      </c>
      <c r="AM118" s="38" t="s">
        <v>376</v>
      </c>
      <c r="AN118" s="8" t="s">
        <v>276</v>
      </c>
      <c r="AO118" s="14">
        <f t="shared" si="35"/>
        <v>0.47363585481503384</v>
      </c>
      <c r="AP118" s="8" t="s">
        <v>276</v>
      </c>
      <c r="AQ118" s="8" t="s">
        <v>276</v>
      </c>
      <c r="AR118" s="8" t="s">
        <v>276</v>
      </c>
      <c r="AS118" s="14">
        <f t="shared" si="36"/>
        <v>0.56826726333969801</v>
      </c>
      <c r="AT118" s="8" t="s">
        <v>276</v>
      </c>
      <c r="AU118" s="8" t="s">
        <v>276</v>
      </c>
      <c r="AV118" s="9" t="s">
        <v>268</v>
      </c>
      <c r="AW118" s="35" t="s">
        <v>276</v>
      </c>
      <c r="AX118" s="35">
        <f t="shared" si="37"/>
        <v>0.83347376379114846</v>
      </c>
      <c r="AY118" s="10" t="s">
        <v>276</v>
      </c>
      <c r="AZ118" s="10" t="s">
        <v>276</v>
      </c>
      <c r="BA118" s="10" t="s">
        <v>276</v>
      </c>
      <c r="BB118" s="10" t="s">
        <v>98</v>
      </c>
      <c r="BC118" s="10" t="s">
        <v>98</v>
      </c>
      <c r="BD118" s="10" t="s">
        <v>98</v>
      </c>
      <c r="BE118" s="10" t="s">
        <v>98</v>
      </c>
      <c r="BF118" s="9" t="s">
        <v>597</v>
      </c>
      <c r="BG118" s="9" t="s">
        <v>476</v>
      </c>
      <c r="BH118" s="9" t="s">
        <v>100</v>
      </c>
      <c r="BI118" s="9" t="s">
        <v>100</v>
      </c>
      <c r="BJ118" s="32"/>
      <c r="BK118" s="32"/>
      <c r="BL118" s="33"/>
      <c r="BM118" s="33"/>
      <c r="BN118" s="33"/>
      <c r="BO118" s="32"/>
      <c r="BP118" s="32"/>
      <c r="BQ118" s="33"/>
    </row>
    <row r="119" spans="1:69" s="6" customFormat="1" ht="104" hidden="1" x14ac:dyDescent="0.35">
      <c r="A119" s="8">
        <v>3713</v>
      </c>
      <c r="B119" s="8" t="s">
        <v>319</v>
      </c>
      <c r="C119" s="8" t="s">
        <v>92</v>
      </c>
      <c r="D119" s="9" t="s">
        <v>668</v>
      </c>
      <c r="E119" s="8" t="s">
        <v>43</v>
      </c>
      <c r="F119" s="8" t="s">
        <v>138</v>
      </c>
      <c r="G119" s="8" t="s">
        <v>225</v>
      </c>
      <c r="H119" s="8" t="s">
        <v>125</v>
      </c>
      <c r="I119" s="8" t="s">
        <v>114</v>
      </c>
      <c r="J119" s="9" t="s">
        <v>26</v>
      </c>
      <c r="K119" s="45" t="s">
        <v>560</v>
      </c>
      <c r="L119" s="10" t="s">
        <v>561</v>
      </c>
      <c r="M119" s="2" t="s">
        <v>562</v>
      </c>
      <c r="N119" s="10" t="s">
        <v>563</v>
      </c>
      <c r="O119" s="10" t="s">
        <v>98</v>
      </c>
      <c r="P119" s="9" t="s">
        <v>239</v>
      </c>
      <c r="Q119" s="41" t="s">
        <v>276</v>
      </c>
      <c r="R119" s="9" t="s">
        <v>410</v>
      </c>
      <c r="S119" s="9" t="s">
        <v>276</v>
      </c>
      <c r="T119" s="9" t="s">
        <v>276</v>
      </c>
      <c r="U119" s="9">
        <v>1</v>
      </c>
      <c r="V119" s="8" t="s">
        <v>14</v>
      </c>
      <c r="W119" s="2" t="s">
        <v>98</v>
      </c>
      <c r="X119" s="10" t="s">
        <v>207</v>
      </c>
      <c r="Y119" s="13">
        <v>189386</v>
      </c>
      <c r="Z119" s="34">
        <v>219439</v>
      </c>
      <c r="AA119" s="34">
        <f>Y119-16387</f>
        <v>172999</v>
      </c>
      <c r="AB119" s="34">
        <f>Z119-12894</f>
        <v>206545</v>
      </c>
      <c r="AC119" s="8" t="s">
        <v>276</v>
      </c>
      <c r="AD119" s="10" t="s">
        <v>564</v>
      </c>
      <c r="AE119" s="8" t="s">
        <v>276</v>
      </c>
      <c r="AF119" s="10" t="s">
        <v>564</v>
      </c>
      <c r="AG119" s="9" t="s">
        <v>669</v>
      </c>
      <c r="AH119" s="9" t="s">
        <v>430</v>
      </c>
      <c r="AI119" s="34">
        <f>1852+441+187+229+235+265+313+359+330+269+215+151+78</f>
        <v>4924</v>
      </c>
      <c r="AJ119" s="34">
        <f>240+283+293+365+413+413+500+511+469+353+195+106+41</f>
        <v>4182</v>
      </c>
      <c r="AK119" s="34">
        <f t="shared" si="34"/>
        <v>189386</v>
      </c>
      <c r="AL119" s="34">
        <f t="shared" si="34"/>
        <v>219439</v>
      </c>
      <c r="AM119" s="38" t="s">
        <v>376</v>
      </c>
      <c r="AN119" s="8" t="s">
        <v>276</v>
      </c>
      <c r="AO119" s="14">
        <f t="shared" si="35"/>
        <v>2.5999809912031511</v>
      </c>
      <c r="AP119" s="8" t="s">
        <v>276</v>
      </c>
      <c r="AQ119" s="8" t="s">
        <v>276</v>
      </c>
      <c r="AR119" s="8" t="s">
        <v>276</v>
      </c>
      <c r="AS119" s="14">
        <f t="shared" si="36"/>
        <v>1.9057688013525398</v>
      </c>
      <c r="AT119" s="8" t="s">
        <v>276</v>
      </c>
      <c r="AU119" s="8" t="s">
        <v>276</v>
      </c>
      <c r="AV119" s="9" t="s">
        <v>268</v>
      </c>
      <c r="AW119" s="35" t="s">
        <v>276</v>
      </c>
      <c r="AX119" s="35">
        <f t="shared" si="37"/>
        <v>1.3642688396189104</v>
      </c>
      <c r="AY119" s="10" t="s">
        <v>276</v>
      </c>
      <c r="AZ119" s="10" t="s">
        <v>276</v>
      </c>
      <c r="BA119" s="10" t="s">
        <v>276</v>
      </c>
      <c r="BB119" s="10" t="s">
        <v>98</v>
      </c>
      <c r="BC119" s="10" t="s">
        <v>98</v>
      </c>
      <c r="BD119" s="10" t="s">
        <v>98</v>
      </c>
      <c r="BE119" s="10" t="s">
        <v>98</v>
      </c>
      <c r="BF119" s="9" t="s">
        <v>597</v>
      </c>
      <c r="BG119" s="9" t="s">
        <v>476</v>
      </c>
      <c r="BH119" s="9" t="s">
        <v>100</v>
      </c>
      <c r="BI119" s="9" t="s">
        <v>100</v>
      </c>
      <c r="BJ119" s="32"/>
      <c r="BK119" s="32"/>
      <c r="BL119" s="33"/>
      <c r="BM119" s="33"/>
      <c r="BN119" s="33"/>
      <c r="BO119" s="32"/>
      <c r="BP119" s="32"/>
      <c r="BQ119" s="33"/>
    </row>
    <row r="120" spans="1:69" s="6" customFormat="1" ht="104" hidden="1" x14ac:dyDescent="0.35">
      <c r="A120" s="8">
        <v>3713</v>
      </c>
      <c r="B120" s="8" t="s">
        <v>319</v>
      </c>
      <c r="C120" s="8" t="s">
        <v>92</v>
      </c>
      <c r="D120" s="9" t="s">
        <v>670</v>
      </c>
      <c r="E120" s="8" t="s">
        <v>43</v>
      </c>
      <c r="F120" s="8" t="s">
        <v>138</v>
      </c>
      <c r="G120" s="8" t="s">
        <v>225</v>
      </c>
      <c r="H120" s="8" t="s">
        <v>125</v>
      </c>
      <c r="I120" s="8" t="s">
        <v>114</v>
      </c>
      <c r="J120" s="9" t="s">
        <v>26</v>
      </c>
      <c r="K120" s="45" t="s">
        <v>571</v>
      </c>
      <c r="L120" s="10" t="s">
        <v>561</v>
      </c>
      <c r="M120" s="2" t="s">
        <v>562</v>
      </c>
      <c r="N120" s="10" t="s">
        <v>563</v>
      </c>
      <c r="O120" s="10" t="s">
        <v>98</v>
      </c>
      <c r="P120" s="9" t="s">
        <v>239</v>
      </c>
      <c r="Q120" s="41" t="s">
        <v>276</v>
      </c>
      <c r="R120" s="9" t="s">
        <v>410</v>
      </c>
      <c r="S120" s="9" t="s">
        <v>276</v>
      </c>
      <c r="T120" s="9" t="s">
        <v>276</v>
      </c>
      <c r="U120" s="9">
        <v>1</v>
      </c>
      <c r="V120" s="8" t="s">
        <v>14</v>
      </c>
      <c r="W120" s="2" t="s">
        <v>98</v>
      </c>
      <c r="X120" s="10" t="s">
        <v>207</v>
      </c>
      <c r="Y120" s="13">
        <v>189386</v>
      </c>
      <c r="Z120" s="34">
        <v>219439</v>
      </c>
      <c r="AA120" s="34">
        <f t="shared" ref="AA120:AA121" si="50">Y120-16387</f>
        <v>172999</v>
      </c>
      <c r="AB120" s="34">
        <f t="shared" ref="AB120:AB121" si="51">Z120-12894</f>
        <v>206545</v>
      </c>
      <c r="AC120" s="8" t="s">
        <v>276</v>
      </c>
      <c r="AD120" s="10" t="s">
        <v>564</v>
      </c>
      <c r="AE120" s="8" t="s">
        <v>276</v>
      </c>
      <c r="AF120" s="10" t="s">
        <v>564</v>
      </c>
      <c r="AG120" s="9" t="s">
        <v>671</v>
      </c>
      <c r="AH120" s="9" t="s">
        <v>430</v>
      </c>
      <c r="AI120" s="34">
        <f>303+97+56+76+85+97+81+135+105+117+85+50+37</f>
        <v>1324</v>
      </c>
      <c r="AJ120" s="34">
        <f>69+97+99+120+131+165+167+183+185+152+88+52+21</f>
        <v>1529</v>
      </c>
      <c r="AK120" s="34">
        <f t="shared" si="34"/>
        <v>189386</v>
      </c>
      <c r="AL120" s="34">
        <f t="shared" si="34"/>
        <v>219439</v>
      </c>
      <c r="AM120" s="38" t="s">
        <v>376</v>
      </c>
      <c r="AN120" s="8" t="s">
        <v>276</v>
      </c>
      <c r="AO120" s="14">
        <f t="shared" si="35"/>
        <v>0.69910130632676126</v>
      </c>
      <c r="AP120" s="8" t="s">
        <v>276</v>
      </c>
      <c r="AQ120" s="8" t="s">
        <v>276</v>
      </c>
      <c r="AR120" s="8" t="s">
        <v>276</v>
      </c>
      <c r="AS120" s="14">
        <f t="shared" si="36"/>
        <v>0.69677678079101713</v>
      </c>
      <c r="AT120" s="8" t="s">
        <v>276</v>
      </c>
      <c r="AU120" s="8" t="s">
        <v>276</v>
      </c>
      <c r="AV120" s="9" t="s">
        <v>268</v>
      </c>
      <c r="AW120" s="35" t="s">
        <v>276</v>
      </c>
      <c r="AX120" s="35">
        <f t="shared" si="37"/>
        <v>1.0033361122239253</v>
      </c>
      <c r="AY120" s="10" t="s">
        <v>276</v>
      </c>
      <c r="AZ120" s="10" t="s">
        <v>276</v>
      </c>
      <c r="BA120" s="10" t="s">
        <v>276</v>
      </c>
      <c r="BB120" s="10" t="s">
        <v>98</v>
      </c>
      <c r="BC120" s="10" t="s">
        <v>98</v>
      </c>
      <c r="BD120" s="10" t="s">
        <v>98</v>
      </c>
      <c r="BE120" s="10" t="s">
        <v>98</v>
      </c>
      <c r="BF120" s="9" t="s">
        <v>597</v>
      </c>
      <c r="BG120" s="9" t="s">
        <v>476</v>
      </c>
      <c r="BH120" s="9" t="s">
        <v>100</v>
      </c>
      <c r="BI120" s="9" t="s">
        <v>100</v>
      </c>
      <c r="BJ120" s="32"/>
      <c r="BK120" s="32"/>
      <c r="BL120" s="33"/>
      <c r="BM120" s="33"/>
      <c r="BN120" s="33"/>
      <c r="BO120" s="32"/>
      <c r="BP120" s="32"/>
      <c r="BQ120" s="33"/>
    </row>
    <row r="121" spans="1:69" s="6" customFormat="1" ht="117" hidden="1" x14ac:dyDescent="0.35">
      <c r="A121" s="8">
        <v>3713</v>
      </c>
      <c r="B121" s="8" t="s">
        <v>319</v>
      </c>
      <c r="C121" s="8" t="s">
        <v>92</v>
      </c>
      <c r="D121" s="9" t="s">
        <v>672</v>
      </c>
      <c r="E121" s="8" t="s">
        <v>43</v>
      </c>
      <c r="F121" s="8" t="s">
        <v>138</v>
      </c>
      <c r="G121" s="8" t="s">
        <v>225</v>
      </c>
      <c r="H121" s="8" t="s">
        <v>125</v>
      </c>
      <c r="I121" s="8" t="s">
        <v>114</v>
      </c>
      <c r="J121" s="9" t="s">
        <v>26</v>
      </c>
      <c r="K121" s="45" t="s">
        <v>576</v>
      </c>
      <c r="L121" s="10" t="s">
        <v>561</v>
      </c>
      <c r="M121" s="2" t="s">
        <v>562</v>
      </c>
      <c r="N121" s="10" t="s">
        <v>563</v>
      </c>
      <c r="O121" s="10" t="s">
        <v>98</v>
      </c>
      <c r="P121" s="9" t="s">
        <v>239</v>
      </c>
      <c r="Q121" s="41" t="s">
        <v>276</v>
      </c>
      <c r="R121" s="9" t="s">
        <v>410</v>
      </c>
      <c r="S121" s="9" t="s">
        <v>276</v>
      </c>
      <c r="T121" s="9" t="s">
        <v>276</v>
      </c>
      <c r="U121" s="9">
        <v>1</v>
      </c>
      <c r="V121" s="8" t="s">
        <v>14</v>
      </c>
      <c r="W121" s="2" t="s">
        <v>98</v>
      </c>
      <c r="X121" s="10" t="s">
        <v>207</v>
      </c>
      <c r="Y121" s="13">
        <v>189386</v>
      </c>
      <c r="Z121" s="34">
        <v>219439</v>
      </c>
      <c r="AA121" s="34">
        <f t="shared" si="50"/>
        <v>172999</v>
      </c>
      <c r="AB121" s="34">
        <f t="shared" si="51"/>
        <v>206545</v>
      </c>
      <c r="AC121" s="8" t="s">
        <v>276</v>
      </c>
      <c r="AD121" s="10" t="s">
        <v>564</v>
      </c>
      <c r="AE121" s="8" t="s">
        <v>276</v>
      </c>
      <c r="AF121" s="10" t="s">
        <v>564</v>
      </c>
      <c r="AG121" s="9" t="s">
        <v>673</v>
      </c>
      <c r="AH121" s="9" t="s">
        <v>430</v>
      </c>
      <c r="AI121" s="34">
        <f>93+39+46+51+71+82+100+117+97+86+64+51+27</f>
        <v>924</v>
      </c>
      <c r="AJ121" s="34">
        <f>60+72+96+85+103+121+136+172+167+116+83+36+23</f>
        <v>1270</v>
      </c>
      <c r="AK121" s="34">
        <f t="shared" si="34"/>
        <v>189386</v>
      </c>
      <c r="AL121" s="34">
        <f t="shared" si="34"/>
        <v>219439</v>
      </c>
      <c r="AM121" s="38" t="s">
        <v>376</v>
      </c>
      <c r="AN121" s="8" t="s">
        <v>276</v>
      </c>
      <c r="AO121" s="14">
        <f t="shared" si="35"/>
        <v>0.48789245245160678</v>
      </c>
      <c r="AP121" s="8" t="s">
        <v>276</v>
      </c>
      <c r="AQ121" s="8" t="s">
        <v>276</v>
      </c>
      <c r="AR121" s="8" t="s">
        <v>276</v>
      </c>
      <c r="AS121" s="14">
        <f t="shared" si="36"/>
        <v>0.57874853603962828</v>
      </c>
      <c r="AT121" s="8" t="s">
        <v>276</v>
      </c>
      <c r="AU121" s="8" t="s">
        <v>276</v>
      </c>
      <c r="AV121" s="9" t="s">
        <v>268</v>
      </c>
      <c r="AW121" s="35" t="s">
        <v>276</v>
      </c>
      <c r="AX121" s="35">
        <f t="shared" si="37"/>
        <v>0.84301284939785948</v>
      </c>
      <c r="AY121" s="10" t="s">
        <v>276</v>
      </c>
      <c r="AZ121" s="10" t="s">
        <v>276</v>
      </c>
      <c r="BA121" s="10" t="s">
        <v>276</v>
      </c>
      <c r="BB121" s="10" t="s">
        <v>98</v>
      </c>
      <c r="BC121" s="10" t="s">
        <v>98</v>
      </c>
      <c r="BD121" s="10" t="s">
        <v>98</v>
      </c>
      <c r="BE121" s="10" t="s">
        <v>98</v>
      </c>
      <c r="BF121" s="9" t="s">
        <v>597</v>
      </c>
      <c r="BG121" s="9" t="s">
        <v>476</v>
      </c>
      <c r="BH121" s="9" t="s">
        <v>100</v>
      </c>
      <c r="BI121" s="9" t="s">
        <v>100</v>
      </c>
      <c r="BJ121" s="32"/>
      <c r="BK121" s="32"/>
      <c r="BL121" s="33"/>
      <c r="BM121" s="33"/>
      <c r="BN121" s="33"/>
      <c r="BO121" s="32"/>
      <c r="BP121" s="32"/>
      <c r="BQ121" s="33"/>
    </row>
    <row r="122" spans="1:69" s="6" customFormat="1" ht="104" hidden="1" x14ac:dyDescent="0.35">
      <c r="A122" s="8">
        <v>3713</v>
      </c>
      <c r="B122" s="8" t="s">
        <v>319</v>
      </c>
      <c r="C122" s="8" t="s">
        <v>92</v>
      </c>
      <c r="D122" s="9" t="s">
        <v>674</v>
      </c>
      <c r="E122" s="8" t="s">
        <v>43</v>
      </c>
      <c r="F122" s="8" t="s">
        <v>138</v>
      </c>
      <c r="G122" s="8" t="s">
        <v>225</v>
      </c>
      <c r="H122" s="8" t="s">
        <v>125</v>
      </c>
      <c r="I122" s="8" t="s">
        <v>114</v>
      </c>
      <c r="J122" s="9" t="s">
        <v>26</v>
      </c>
      <c r="K122" s="45" t="s">
        <v>560</v>
      </c>
      <c r="L122" s="10" t="s">
        <v>561</v>
      </c>
      <c r="M122" s="2" t="s">
        <v>562</v>
      </c>
      <c r="N122" s="10" t="s">
        <v>563</v>
      </c>
      <c r="O122" s="10" t="s">
        <v>98</v>
      </c>
      <c r="P122" s="9" t="s">
        <v>239</v>
      </c>
      <c r="Q122" s="41" t="s">
        <v>276</v>
      </c>
      <c r="R122" s="9" t="s">
        <v>358</v>
      </c>
      <c r="S122" s="9" t="s">
        <v>276</v>
      </c>
      <c r="T122" s="9" t="s">
        <v>276</v>
      </c>
      <c r="U122" s="9">
        <v>1</v>
      </c>
      <c r="V122" s="8" t="s">
        <v>14</v>
      </c>
      <c r="W122" s="2" t="s">
        <v>98</v>
      </c>
      <c r="X122" s="10" t="s">
        <v>207</v>
      </c>
      <c r="Y122" s="13">
        <v>189386</v>
      </c>
      <c r="Z122" s="34">
        <v>219439</v>
      </c>
      <c r="AA122" s="34">
        <f>Y122-1589</f>
        <v>187797</v>
      </c>
      <c r="AB122" s="34">
        <f>Z122-1747</f>
        <v>217692</v>
      </c>
      <c r="AC122" s="8" t="s">
        <v>276</v>
      </c>
      <c r="AD122" s="10" t="s">
        <v>564</v>
      </c>
      <c r="AE122" s="8" t="s">
        <v>276</v>
      </c>
      <c r="AF122" s="10" t="s">
        <v>564</v>
      </c>
      <c r="AG122" s="9" t="s">
        <v>675</v>
      </c>
      <c r="AH122" s="9" t="s">
        <v>430</v>
      </c>
      <c r="AI122" s="34">
        <f>1852+441+187+229+235+265+313+359+330+269+215+151+78+30</f>
        <v>4954</v>
      </c>
      <c r="AJ122" s="34">
        <f>240+283+293+365+413+413+500+511+469+353+195+106+41+13</f>
        <v>4195</v>
      </c>
      <c r="AK122" s="34">
        <f t="shared" si="34"/>
        <v>189386</v>
      </c>
      <c r="AL122" s="34">
        <f t="shared" si="34"/>
        <v>219439</v>
      </c>
      <c r="AM122" s="38" t="s">
        <v>376</v>
      </c>
      <c r="AN122" s="8" t="s">
        <v>276</v>
      </c>
      <c r="AO122" s="14">
        <f t="shared" si="35"/>
        <v>2.6158216552437876</v>
      </c>
      <c r="AP122" s="8" t="s">
        <v>276</v>
      </c>
      <c r="AQ122" s="8" t="s">
        <v>276</v>
      </c>
      <c r="AR122" s="8" t="s">
        <v>276</v>
      </c>
      <c r="AS122" s="14">
        <f t="shared" si="36"/>
        <v>1.911692998965544</v>
      </c>
      <c r="AT122" s="8" t="s">
        <v>276</v>
      </c>
      <c r="AU122" s="8" t="s">
        <v>276</v>
      </c>
      <c r="AV122" s="9" t="s">
        <v>268</v>
      </c>
      <c r="AW122" s="35" t="s">
        <v>276</v>
      </c>
      <c r="AX122" s="35">
        <f t="shared" si="37"/>
        <v>1.3683272662813861</v>
      </c>
      <c r="AY122" s="10" t="s">
        <v>276</v>
      </c>
      <c r="AZ122" s="10" t="s">
        <v>276</v>
      </c>
      <c r="BA122" s="10" t="s">
        <v>276</v>
      </c>
      <c r="BB122" s="10" t="s">
        <v>98</v>
      </c>
      <c r="BC122" s="10" t="s">
        <v>98</v>
      </c>
      <c r="BD122" s="10" t="s">
        <v>98</v>
      </c>
      <c r="BE122" s="10" t="s">
        <v>98</v>
      </c>
      <c r="BF122" s="9" t="s">
        <v>597</v>
      </c>
      <c r="BG122" s="9" t="s">
        <v>676</v>
      </c>
      <c r="BH122" s="9" t="s">
        <v>100</v>
      </c>
      <c r="BI122" s="9" t="s">
        <v>100</v>
      </c>
      <c r="BJ122" s="32"/>
      <c r="BK122" s="32"/>
      <c r="BL122" s="33"/>
      <c r="BM122" s="33"/>
      <c r="BN122" s="33"/>
      <c r="BO122" s="32"/>
      <c r="BP122" s="32"/>
      <c r="BQ122" s="33"/>
    </row>
    <row r="123" spans="1:69" s="6" customFormat="1" ht="104" hidden="1" x14ac:dyDescent="0.35">
      <c r="A123" s="8">
        <v>3713</v>
      </c>
      <c r="B123" s="8" t="s">
        <v>319</v>
      </c>
      <c r="C123" s="8" t="s">
        <v>92</v>
      </c>
      <c r="D123" s="9" t="s">
        <v>677</v>
      </c>
      <c r="E123" s="8" t="s">
        <v>43</v>
      </c>
      <c r="F123" s="8" t="s">
        <v>138</v>
      </c>
      <c r="G123" s="8" t="s">
        <v>225</v>
      </c>
      <c r="H123" s="8" t="s">
        <v>125</v>
      </c>
      <c r="I123" s="8" t="s">
        <v>114</v>
      </c>
      <c r="J123" s="9" t="s">
        <v>26</v>
      </c>
      <c r="K123" s="45" t="s">
        <v>571</v>
      </c>
      <c r="L123" s="10" t="s">
        <v>561</v>
      </c>
      <c r="M123" s="2" t="s">
        <v>562</v>
      </c>
      <c r="N123" s="10" t="s">
        <v>563</v>
      </c>
      <c r="O123" s="10" t="s">
        <v>98</v>
      </c>
      <c r="P123" s="9" t="s">
        <v>239</v>
      </c>
      <c r="Q123" s="41" t="s">
        <v>276</v>
      </c>
      <c r="R123" s="9" t="s">
        <v>358</v>
      </c>
      <c r="S123" s="9" t="s">
        <v>276</v>
      </c>
      <c r="T123" s="9" t="s">
        <v>276</v>
      </c>
      <c r="U123" s="9">
        <v>1</v>
      </c>
      <c r="V123" s="8" t="s">
        <v>14</v>
      </c>
      <c r="W123" s="2" t="s">
        <v>98</v>
      </c>
      <c r="X123" s="10" t="s">
        <v>207</v>
      </c>
      <c r="Y123" s="13">
        <v>189386</v>
      </c>
      <c r="Z123" s="34">
        <v>219439</v>
      </c>
      <c r="AA123" s="34">
        <f t="shared" ref="AA123:AA124" si="52">Y123-1589</f>
        <v>187797</v>
      </c>
      <c r="AB123" s="34">
        <f t="shared" ref="AB123:AB124" si="53">Z123-1747</f>
        <v>217692</v>
      </c>
      <c r="AC123" s="8" t="s">
        <v>276</v>
      </c>
      <c r="AD123" s="10" t="s">
        <v>564</v>
      </c>
      <c r="AE123" s="8" t="s">
        <v>276</v>
      </c>
      <c r="AF123" s="10" t="s">
        <v>564</v>
      </c>
      <c r="AG123" s="9" t="s">
        <v>678</v>
      </c>
      <c r="AH123" s="9" t="s">
        <v>430</v>
      </c>
      <c r="AI123" s="34">
        <f>303+97+56+76+85+97+81+135+105+117+85+50+37+5</f>
        <v>1329</v>
      </c>
      <c r="AJ123" s="34">
        <f>69+97+99+120+131+165+167+183+185+152+88+52+21+12</f>
        <v>1541</v>
      </c>
      <c r="AK123" s="34">
        <f t="shared" si="34"/>
        <v>189386</v>
      </c>
      <c r="AL123" s="34">
        <f t="shared" si="34"/>
        <v>219439</v>
      </c>
      <c r="AM123" s="38" t="s">
        <v>376</v>
      </c>
      <c r="AN123" s="8" t="s">
        <v>276</v>
      </c>
      <c r="AO123" s="14">
        <f t="shared" si="35"/>
        <v>0.70174141700020065</v>
      </c>
      <c r="AP123" s="8" t="s">
        <v>276</v>
      </c>
      <c r="AQ123" s="8" t="s">
        <v>276</v>
      </c>
      <c r="AR123" s="8" t="s">
        <v>276</v>
      </c>
      <c r="AS123" s="14">
        <f t="shared" si="36"/>
        <v>0.70224527089532851</v>
      </c>
      <c r="AT123" s="8" t="s">
        <v>276</v>
      </c>
      <c r="AU123" s="8" t="s">
        <v>276</v>
      </c>
      <c r="AV123" s="9" t="s">
        <v>268</v>
      </c>
      <c r="AW123" s="35" t="s">
        <v>276</v>
      </c>
      <c r="AX123" s="35">
        <f t="shared" si="37"/>
        <v>0.99928251009154467</v>
      </c>
      <c r="AY123" s="10" t="s">
        <v>276</v>
      </c>
      <c r="AZ123" s="10" t="s">
        <v>276</v>
      </c>
      <c r="BA123" s="10" t="s">
        <v>276</v>
      </c>
      <c r="BB123" s="10" t="s">
        <v>98</v>
      </c>
      <c r="BC123" s="10" t="s">
        <v>98</v>
      </c>
      <c r="BD123" s="10" t="s">
        <v>98</v>
      </c>
      <c r="BE123" s="10" t="s">
        <v>98</v>
      </c>
      <c r="BF123" s="9" t="s">
        <v>597</v>
      </c>
      <c r="BG123" s="9" t="s">
        <v>676</v>
      </c>
      <c r="BH123" s="9" t="s">
        <v>100</v>
      </c>
      <c r="BI123" s="9" t="s">
        <v>100</v>
      </c>
      <c r="BJ123" s="32"/>
      <c r="BK123" s="32"/>
      <c r="BL123" s="33"/>
      <c r="BM123" s="33"/>
      <c r="BN123" s="33"/>
      <c r="BO123" s="32"/>
      <c r="BP123" s="32"/>
      <c r="BQ123" s="33"/>
    </row>
    <row r="124" spans="1:69" s="6" customFormat="1" ht="117" hidden="1" x14ac:dyDescent="0.35">
      <c r="A124" s="8">
        <v>3713</v>
      </c>
      <c r="B124" s="8" t="s">
        <v>319</v>
      </c>
      <c r="C124" s="8" t="s">
        <v>92</v>
      </c>
      <c r="D124" s="9" t="s">
        <v>679</v>
      </c>
      <c r="E124" s="8" t="s">
        <v>43</v>
      </c>
      <c r="F124" s="8" t="s">
        <v>138</v>
      </c>
      <c r="G124" s="8" t="s">
        <v>225</v>
      </c>
      <c r="H124" s="8" t="s">
        <v>125</v>
      </c>
      <c r="I124" s="8" t="s">
        <v>114</v>
      </c>
      <c r="J124" s="9" t="s">
        <v>26</v>
      </c>
      <c r="K124" s="45" t="s">
        <v>576</v>
      </c>
      <c r="L124" s="10" t="s">
        <v>561</v>
      </c>
      <c r="M124" s="2" t="s">
        <v>562</v>
      </c>
      <c r="N124" s="10" t="s">
        <v>563</v>
      </c>
      <c r="O124" s="10" t="s">
        <v>98</v>
      </c>
      <c r="P124" s="9" t="s">
        <v>239</v>
      </c>
      <c r="Q124" s="41" t="s">
        <v>276</v>
      </c>
      <c r="R124" s="9" t="s">
        <v>358</v>
      </c>
      <c r="S124" s="9" t="s">
        <v>276</v>
      </c>
      <c r="T124" s="9" t="s">
        <v>276</v>
      </c>
      <c r="U124" s="9">
        <v>1</v>
      </c>
      <c r="V124" s="8" t="s">
        <v>14</v>
      </c>
      <c r="W124" s="2" t="s">
        <v>98</v>
      </c>
      <c r="X124" s="10" t="s">
        <v>207</v>
      </c>
      <c r="Y124" s="13">
        <v>189386</v>
      </c>
      <c r="Z124" s="34">
        <v>219439</v>
      </c>
      <c r="AA124" s="34">
        <f t="shared" si="52"/>
        <v>187797</v>
      </c>
      <c r="AB124" s="34">
        <f t="shared" si="53"/>
        <v>217692</v>
      </c>
      <c r="AC124" s="8" t="s">
        <v>276</v>
      </c>
      <c r="AD124" s="10" t="s">
        <v>564</v>
      </c>
      <c r="AE124" s="8" t="s">
        <v>276</v>
      </c>
      <c r="AF124" s="10" t="s">
        <v>564</v>
      </c>
      <c r="AG124" s="9" t="s">
        <v>680</v>
      </c>
      <c r="AH124" s="9" t="s">
        <v>430</v>
      </c>
      <c r="AI124" s="34">
        <f>93+39+46+51+71+82+100+117+97+86+64+51+27+7</f>
        <v>931</v>
      </c>
      <c r="AJ124" s="34">
        <f>60+72+96+85+103+121+136+172+167+116+83+36+23+7</f>
        <v>1277</v>
      </c>
      <c r="AK124" s="34">
        <f t="shared" si="34"/>
        <v>189386</v>
      </c>
      <c r="AL124" s="34">
        <f t="shared" si="34"/>
        <v>219439</v>
      </c>
      <c r="AM124" s="38" t="s">
        <v>376</v>
      </c>
      <c r="AN124" s="8" t="s">
        <v>276</v>
      </c>
      <c r="AO124" s="14">
        <f t="shared" si="35"/>
        <v>0.49158860739442195</v>
      </c>
      <c r="AP124" s="8" t="s">
        <v>276</v>
      </c>
      <c r="AQ124" s="8" t="s">
        <v>276</v>
      </c>
      <c r="AR124" s="8" t="s">
        <v>276</v>
      </c>
      <c r="AS124" s="14">
        <f t="shared" si="36"/>
        <v>0.5819384886004767</v>
      </c>
      <c r="AT124" s="8" t="s">
        <v>276</v>
      </c>
      <c r="AU124" s="8" t="s">
        <v>276</v>
      </c>
      <c r="AV124" s="9" t="s">
        <v>268</v>
      </c>
      <c r="AW124" s="35" t="s">
        <v>276</v>
      </c>
      <c r="AX124" s="35">
        <f t="shared" si="37"/>
        <v>0.84474324524686417</v>
      </c>
      <c r="AY124" s="10" t="s">
        <v>276</v>
      </c>
      <c r="AZ124" s="10" t="s">
        <v>276</v>
      </c>
      <c r="BA124" s="10" t="s">
        <v>276</v>
      </c>
      <c r="BB124" s="10" t="s">
        <v>98</v>
      </c>
      <c r="BC124" s="10" t="s">
        <v>98</v>
      </c>
      <c r="BD124" s="10" t="s">
        <v>98</v>
      </c>
      <c r="BE124" s="10" t="s">
        <v>98</v>
      </c>
      <c r="BF124" s="9" t="s">
        <v>597</v>
      </c>
      <c r="BG124" s="9" t="s">
        <v>676</v>
      </c>
      <c r="BH124" s="9" t="s">
        <v>100</v>
      </c>
      <c r="BI124" s="9" t="s">
        <v>100</v>
      </c>
      <c r="BJ124" s="32"/>
      <c r="BK124" s="32"/>
      <c r="BL124" s="33"/>
      <c r="BM124" s="33"/>
      <c r="BN124" s="33"/>
      <c r="BO124" s="32"/>
      <c r="BP124" s="32"/>
      <c r="BQ124" s="33"/>
    </row>
    <row r="125" spans="1:69" s="6" customFormat="1" ht="91" hidden="1" x14ac:dyDescent="0.35">
      <c r="A125" s="8">
        <v>656</v>
      </c>
      <c r="B125" s="8" t="s">
        <v>681</v>
      </c>
      <c r="C125" s="8" t="s">
        <v>72</v>
      </c>
      <c r="D125" s="10" t="s">
        <v>819</v>
      </c>
      <c r="E125" s="8" t="s">
        <v>39</v>
      </c>
      <c r="F125" s="9" t="s">
        <v>683</v>
      </c>
      <c r="G125" s="9" t="s">
        <v>684</v>
      </c>
      <c r="H125" s="8" t="s">
        <v>225</v>
      </c>
      <c r="I125" s="8" t="s">
        <v>98</v>
      </c>
      <c r="J125" s="9" t="s">
        <v>98</v>
      </c>
      <c r="K125" s="2" t="s">
        <v>98</v>
      </c>
      <c r="L125" s="2" t="s">
        <v>98</v>
      </c>
      <c r="M125" s="2" t="s">
        <v>98</v>
      </c>
      <c r="N125" s="2" t="s">
        <v>820</v>
      </c>
      <c r="O125" s="10" t="s">
        <v>276</v>
      </c>
      <c r="P125" s="9" t="s">
        <v>236</v>
      </c>
      <c r="Q125" s="36" t="s">
        <v>276</v>
      </c>
      <c r="R125" s="10" t="s">
        <v>686</v>
      </c>
      <c r="S125" s="9" t="s">
        <v>276</v>
      </c>
      <c r="T125" s="9" t="s">
        <v>276</v>
      </c>
      <c r="U125" s="9" t="s">
        <v>687</v>
      </c>
      <c r="V125" s="8" t="s">
        <v>14</v>
      </c>
      <c r="W125" s="2" t="s">
        <v>98</v>
      </c>
      <c r="X125" s="10" t="s">
        <v>208</v>
      </c>
      <c r="Y125" s="13" t="s">
        <v>98</v>
      </c>
      <c r="Z125" s="34" t="s">
        <v>98</v>
      </c>
      <c r="AA125" s="10" t="s">
        <v>276</v>
      </c>
      <c r="AB125" s="10" t="s">
        <v>276</v>
      </c>
      <c r="AC125" s="8">
        <v>0</v>
      </c>
      <c r="AD125" s="8" t="s">
        <v>98</v>
      </c>
      <c r="AE125" s="8">
        <v>0</v>
      </c>
      <c r="AF125" s="8" t="s">
        <v>98</v>
      </c>
      <c r="AG125" s="9" t="s">
        <v>821</v>
      </c>
      <c r="AH125" s="9" t="s">
        <v>822</v>
      </c>
      <c r="AI125" s="34">
        <v>29</v>
      </c>
      <c r="AJ125" s="34">
        <v>8</v>
      </c>
      <c r="AK125" s="34">
        <v>39</v>
      </c>
      <c r="AL125" s="34">
        <v>27</v>
      </c>
      <c r="AM125" s="38" t="s">
        <v>292</v>
      </c>
      <c r="AN125" s="8">
        <v>74</v>
      </c>
      <c r="AO125" s="14">
        <f>AI125*100/AK125</f>
        <v>74.358974358974365</v>
      </c>
      <c r="AP125" s="8" t="s">
        <v>276</v>
      </c>
      <c r="AQ125" s="8" t="s">
        <v>276</v>
      </c>
      <c r="AR125" s="8">
        <v>30</v>
      </c>
      <c r="AS125" s="14">
        <f>AJ125*100/AL125</f>
        <v>29.62962962962963</v>
      </c>
      <c r="AT125" s="8" t="s">
        <v>276</v>
      </c>
      <c r="AU125" s="8" t="s">
        <v>276</v>
      </c>
      <c r="AV125" s="9" t="s">
        <v>268</v>
      </c>
      <c r="AW125" s="35" t="s">
        <v>276</v>
      </c>
      <c r="AX125" s="35">
        <f t="shared" si="37"/>
        <v>2.5096153846153846</v>
      </c>
      <c r="AY125" s="35" t="s">
        <v>276</v>
      </c>
      <c r="AZ125" s="35" t="s">
        <v>276</v>
      </c>
      <c r="BA125" s="35" t="s">
        <v>823</v>
      </c>
      <c r="BB125" s="35" t="s">
        <v>98</v>
      </c>
      <c r="BC125" s="35" t="s">
        <v>276</v>
      </c>
      <c r="BD125" s="35" t="s">
        <v>276</v>
      </c>
      <c r="BE125" s="35" t="s">
        <v>276</v>
      </c>
      <c r="BF125" s="9" t="s">
        <v>824</v>
      </c>
      <c r="BG125" s="9" t="s">
        <v>825</v>
      </c>
      <c r="BH125" s="9" t="s">
        <v>100</v>
      </c>
      <c r="BI125" s="9" t="s">
        <v>100</v>
      </c>
      <c r="BJ125" s="32"/>
      <c r="BK125" s="32"/>
      <c r="BL125" s="33"/>
      <c r="BM125" s="33"/>
      <c r="BN125" s="33"/>
      <c r="BO125" s="32"/>
      <c r="BP125" s="32"/>
      <c r="BQ125" s="33"/>
    </row>
    <row r="126" spans="1:69" s="6" customFormat="1" ht="78" hidden="1" x14ac:dyDescent="0.35">
      <c r="A126" s="8">
        <v>656</v>
      </c>
      <c r="B126" s="8" t="s">
        <v>681</v>
      </c>
      <c r="C126" s="8" t="s">
        <v>72</v>
      </c>
      <c r="D126" s="10" t="s">
        <v>826</v>
      </c>
      <c r="E126" s="8" t="s">
        <v>39</v>
      </c>
      <c r="F126" s="9" t="s">
        <v>683</v>
      </c>
      <c r="G126" s="9" t="s">
        <v>684</v>
      </c>
      <c r="H126" s="8" t="s">
        <v>225</v>
      </c>
      <c r="I126" s="8" t="s">
        <v>98</v>
      </c>
      <c r="J126" s="9" t="s">
        <v>25</v>
      </c>
      <c r="K126" s="2" t="s">
        <v>300</v>
      </c>
      <c r="L126" s="10" t="s">
        <v>827</v>
      </c>
      <c r="M126" s="2" t="s">
        <v>276</v>
      </c>
      <c r="N126" s="10" t="s">
        <v>276</v>
      </c>
      <c r="O126" s="10" t="s">
        <v>276</v>
      </c>
      <c r="P126" s="9" t="s">
        <v>239</v>
      </c>
      <c r="Q126" s="36" t="s">
        <v>276</v>
      </c>
      <c r="R126" s="10" t="s">
        <v>686</v>
      </c>
      <c r="S126" s="9" t="s">
        <v>276</v>
      </c>
      <c r="T126" s="9" t="s">
        <v>276</v>
      </c>
      <c r="U126" s="9" t="s">
        <v>687</v>
      </c>
      <c r="V126" s="8" t="s">
        <v>14</v>
      </c>
      <c r="W126" s="2" t="s">
        <v>98</v>
      </c>
      <c r="X126" s="10" t="s">
        <v>208</v>
      </c>
      <c r="Y126" s="13">
        <v>3172</v>
      </c>
      <c r="Z126" s="34">
        <v>3174</v>
      </c>
      <c r="AA126" s="10" t="s">
        <v>276</v>
      </c>
      <c r="AB126" s="10" t="s">
        <v>276</v>
      </c>
      <c r="AC126" s="8">
        <v>0</v>
      </c>
      <c r="AD126" s="8" t="s">
        <v>98</v>
      </c>
      <c r="AE126" s="8">
        <v>0</v>
      </c>
      <c r="AF126" s="8" t="s">
        <v>98</v>
      </c>
      <c r="AG126" s="9" t="s">
        <v>828</v>
      </c>
      <c r="AH126" s="9" t="s">
        <v>430</v>
      </c>
      <c r="AI126" s="34">
        <f>11+1</f>
        <v>12</v>
      </c>
      <c r="AJ126" s="34">
        <f>5+2</f>
        <v>7</v>
      </c>
      <c r="AK126" s="34">
        <f t="shared" ref="AK126:AL128" si="54">Y126</f>
        <v>3172</v>
      </c>
      <c r="AL126" s="34">
        <f t="shared" si="54"/>
        <v>3174</v>
      </c>
      <c r="AM126" s="38" t="s">
        <v>690</v>
      </c>
      <c r="AN126" s="8" t="s">
        <v>276</v>
      </c>
      <c r="AO126" s="14">
        <f>AI126*1000/AK126</f>
        <v>3.7831021437578816</v>
      </c>
      <c r="AP126" s="8" t="s">
        <v>276</v>
      </c>
      <c r="AQ126" s="8" t="s">
        <v>276</v>
      </c>
      <c r="AR126" s="8" t="s">
        <v>276</v>
      </c>
      <c r="AS126" s="14">
        <f>AJ126*1000/AL126</f>
        <v>2.2054190296156269</v>
      </c>
      <c r="AT126" s="8" t="s">
        <v>276</v>
      </c>
      <c r="AU126" s="8" t="s">
        <v>276</v>
      </c>
      <c r="AV126" s="9" t="s">
        <v>268</v>
      </c>
      <c r="AW126" s="35" t="s">
        <v>276</v>
      </c>
      <c r="AX126" s="35">
        <f t="shared" si="37"/>
        <v>1.7153666006125023</v>
      </c>
      <c r="AY126" s="10" t="s">
        <v>276</v>
      </c>
      <c r="AZ126" s="10" t="s">
        <v>276</v>
      </c>
      <c r="BA126" s="10" t="s">
        <v>276</v>
      </c>
      <c r="BB126" s="10" t="s">
        <v>98</v>
      </c>
      <c r="BC126" s="10" t="s">
        <v>276</v>
      </c>
      <c r="BD126" s="10" t="s">
        <v>276</v>
      </c>
      <c r="BE126" s="10" t="s">
        <v>276</v>
      </c>
      <c r="BF126" s="9" t="s">
        <v>829</v>
      </c>
      <c r="BG126" s="9"/>
      <c r="BH126" s="9" t="s">
        <v>100</v>
      </c>
      <c r="BI126" s="9" t="s">
        <v>100</v>
      </c>
      <c r="BJ126" s="32"/>
      <c r="BK126" s="32"/>
      <c r="BL126" s="33"/>
      <c r="BM126" s="33"/>
      <c r="BN126" s="33"/>
      <c r="BO126" s="32"/>
      <c r="BP126" s="32"/>
      <c r="BQ126" s="33"/>
    </row>
    <row r="127" spans="1:69" s="6" customFormat="1" ht="78" hidden="1" x14ac:dyDescent="0.35">
      <c r="A127" s="8">
        <v>656</v>
      </c>
      <c r="B127" s="8" t="s">
        <v>681</v>
      </c>
      <c r="C127" s="8" t="s">
        <v>72</v>
      </c>
      <c r="D127" s="10" t="s">
        <v>830</v>
      </c>
      <c r="E127" s="8" t="s">
        <v>39</v>
      </c>
      <c r="F127" s="9" t="s">
        <v>683</v>
      </c>
      <c r="G127" s="9" t="s">
        <v>684</v>
      </c>
      <c r="H127" s="8" t="s">
        <v>225</v>
      </c>
      <c r="I127" s="8" t="s">
        <v>98</v>
      </c>
      <c r="J127" s="9" t="s">
        <v>25</v>
      </c>
      <c r="K127" s="2" t="s">
        <v>304</v>
      </c>
      <c r="L127" s="10" t="s">
        <v>827</v>
      </c>
      <c r="M127" s="2" t="s">
        <v>276</v>
      </c>
      <c r="N127" s="10" t="s">
        <v>276</v>
      </c>
      <c r="O127" s="10" t="s">
        <v>276</v>
      </c>
      <c r="P127" s="9" t="s">
        <v>239</v>
      </c>
      <c r="Q127" s="36" t="s">
        <v>276</v>
      </c>
      <c r="R127" s="10" t="s">
        <v>686</v>
      </c>
      <c r="S127" s="9" t="s">
        <v>276</v>
      </c>
      <c r="T127" s="9" t="s">
        <v>276</v>
      </c>
      <c r="U127" s="9" t="s">
        <v>687</v>
      </c>
      <c r="V127" s="8" t="s">
        <v>14</v>
      </c>
      <c r="W127" s="2" t="s">
        <v>98</v>
      </c>
      <c r="X127" s="10" t="s">
        <v>208</v>
      </c>
      <c r="Y127" s="13">
        <v>3172</v>
      </c>
      <c r="Z127" s="34">
        <v>3174</v>
      </c>
      <c r="AA127" s="10" t="s">
        <v>276</v>
      </c>
      <c r="AB127" s="10" t="s">
        <v>276</v>
      </c>
      <c r="AC127" s="8">
        <v>0</v>
      </c>
      <c r="AD127" s="8" t="s">
        <v>98</v>
      </c>
      <c r="AE127" s="8">
        <v>0</v>
      </c>
      <c r="AF127" s="8" t="s">
        <v>98</v>
      </c>
      <c r="AG127" s="9" t="s">
        <v>831</v>
      </c>
      <c r="AH127" s="9" t="s">
        <v>430</v>
      </c>
      <c r="AI127" s="34">
        <f>4+2</f>
        <v>6</v>
      </c>
      <c r="AJ127" s="34">
        <f>1+2</f>
        <v>3</v>
      </c>
      <c r="AK127" s="34">
        <f t="shared" si="54"/>
        <v>3172</v>
      </c>
      <c r="AL127" s="34">
        <f t="shared" si="54"/>
        <v>3174</v>
      </c>
      <c r="AM127" s="38" t="s">
        <v>690</v>
      </c>
      <c r="AN127" s="8" t="s">
        <v>276</v>
      </c>
      <c r="AO127" s="14">
        <f>AI127*1000/AK127</f>
        <v>1.8915510718789408</v>
      </c>
      <c r="AP127" s="8" t="s">
        <v>276</v>
      </c>
      <c r="AQ127" s="8" t="s">
        <v>276</v>
      </c>
      <c r="AR127" s="8" t="s">
        <v>276</v>
      </c>
      <c r="AS127" s="14">
        <f>AJ127*1000/AL127</f>
        <v>0.94517958412098302</v>
      </c>
      <c r="AT127" s="8" t="s">
        <v>276</v>
      </c>
      <c r="AU127" s="8" t="s">
        <v>276</v>
      </c>
      <c r="AV127" s="9" t="s">
        <v>268</v>
      </c>
      <c r="AW127" s="35" t="s">
        <v>276</v>
      </c>
      <c r="AX127" s="35">
        <f t="shared" si="37"/>
        <v>2.0012610340479191</v>
      </c>
      <c r="AY127" s="10" t="s">
        <v>276</v>
      </c>
      <c r="AZ127" s="10" t="s">
        <v>276</v>
      </c>
      <c r="BA127" s="10" t="s">
        <v>276</v>
      </c>
      <c r="BB127" s="10" t="s">
        <v>98</v>
      </c>
      <c r="BC127" s="10" t="s">
        <v>276</v>
      </c>
      <c r="BD127" s="10" t="s">
        <v>276</v>
      </c>
      <c r="BE127" s="10" t="s">
        <v>276</v>
      </c>
      <c r="BF127" s="9" t="s">
        <v>829</v>
      </c>
      <c r="BG127" s="9"/>
      <c r="BH127" s="9" t="s">
        <v>100</v>
      </c>
      <c r="BI127" s="9" t="s">
        <v>100</v>
      </c>
      <c r="BJ127" s="32"/>
      <c r="BK127" s="32"/>
      <c r="BL127" s="33"/>
      <c r="BM127" s="33"/>
      <c r="BN127" s="33"/>
      <c r="BO127" s="32"/>
      <c r="BP127" s="32"/>
      <c r="BQ127" s="33"/>
    </row>
    <row r="128" spans="1:69" s="6" customFormat="1" ht="78" hidden="1" x14ac:dyDescent="0.35">
      <c r="A128" s="8">
        <v>656</v>
      </c>
      <c r="B128" s="8" t="s">
        <v>681</v>
      </c>
      <c r="C128" s="8" t="s">
        <v>72</v>
      </c>
      <c r="D128" s="10" t="s">
        <v>832</v>
      </c>
      <c r="E128" s="8" t="s">
        <v>39</v>
      </c>
      <c r="F128" s="9" t="s">
        <v>683</v>
      </c>
      <c r="G128" s="9" t="s">
        <v>684</v>
      </c>
      <c r="H128" s="8" t="s">
        <v>225</v>
      </c>
      <c r="I128" s="8" t="s">
        <v>98</v>
      </c>
      <c r="J128" s="9" t="s">
        <v>25</v>
      </c>
      <c r="K128" s="2" t="s">
        <v>311</v>
      </c>
      <c r="L128" s="10" t="s">
        <v>827</v>
      </c>
      <c r="M128" s="2" t="s">
        <v>276</v>
      </c>
      <c r="N128" s="10" t="s">
        <v>276</v>
      </c>
      <c r="O128" s="10" t="s">
        <v>276</v>
      </c>
      <c r="P128" s="9" t="s">
        <v>239</v>
      </c>
      <c r="Q128" s="36" t="s">
        <v>276</v>
      </c>
      <c r="R128" s="10" t="s">
        <v>686</v>
      </c>
      <c r="S128" s="9" t="s">
        <v>276</v>
      </c>
      <c r="T128" s="9" t="s">
        <v>276</v>
      </c>
      <c r="U128" s="9" t="s">
        <v>687</v>
      </c>
      <c r="V128" s="8" t="s">
        <v>14</v>
      </c>
      <c r="W128" s="2" t="s">
        <v>98</v>
      </c>
      <c r="X128" s="10" t="s">
        <v>208</v>
      </c>
      <c r="Y128" s="13">
        <v>3172</v>
      </c>
      <c r="Z128" s="34">
        <v>3174</v>
      </c>
      <c r="AA128" s="10" t="s">
        <v>276</v>
      </c>
      <c r="AB128" s="10" t="s">
        <v>276</v>
      </c>
      <c r="AC128" s="8">
        <v>0</v>
      </c>
      <c r="AD128" s="8" t="s">
        <v>98</v>
      </c>
      <c r="AE128" s="8">
        <v>0</v>
      </c>
      <c r="AF128" s="8" t="s">
        <v>98</v>
      </c>
      <c r="AG128" s="9" t="s">
        <v>833</v>
      </c>
      <c r="AH128" s="9" t="s">
        <v>430</v>
      </c>
      <c r="AI128" s="34">
        <f>12+7+2</f>
        <v>21</v>
      </c>
      <c r="AJ128" s="34">
        <f>2+15</f>
        <v>17</v>
      </c>
      <c r="AK128" s="34">
        <f t="shared" si="54"/>
        <v>3172</v>
      </c>
      <c r="AL128" s="34">
        <f t="shared" si="54"/>
        <v>3174</v>
      </c>
      <c r="AM128" s="38" t="s">
        <v>690</v>
      </c>
      <c r="AN128" s="8" t="s">
        <v>276</v>
      </c>
      <c r="AO128" s="14">
        <f>AI128*1000/AK128</f>
        <v>6.6204287515762923</v>
      </c>
      <c r="AP128" s="8" t="s">
        <v>276</v>
      </c>
      <c r="AQ128" s="8" t="s">
        <v>276</v>
      </c>
      <c r="AR128" s="8" t="s">
        <v>276</v>
      </c>
      <c r="AS128" s="14">
        <f>AJ128*1000/AL128</f>
        <v>5.3560176433522368</v>
      </c>
      <c r="AT128" s="8" t="s">
        <v>276</v>
      </c>
      <c r="AU128" s="8" t="s">
        <v>276</v>
      </c>
      <c r="AV128" s="9" t="s">
        <v>268</v>
      </c>
      <c r="AW128" s="35" t="s">
        <v>276</v>
      </c>
      <c r="AX128" s="35">
        <f t="shared" si="37"/>
        <v>1.2360729916178326</v>
      </c>
      <c r="AY128" s="10" t="s">
        <v>276</v>
      </c>
      <c r="AZ128" s="10" t="s">
        <v>276</v>
      </c>
      <c r="BA128" s="10" t="s">
        <v>276</v>
      </c>
      <c r="BB128" s="10" t="s">
        <v>98</v>
      </c>
      <c r="BC128" s="10" t="s">
        <v>276</v>
      </c>
      <c r="BD128" s="10" t="s">
        <v>276</v>
      </c>
      <c r="BE128" s="10" t="s">
        <v>276</v>
      </c>
      <c r="BF128" s="9" t="s">
        <v>829</v>
      </c>
      <c r="BG128" s="9" t="s">
        <v>834</v>
      </c>
      <c r="BH128" s="9" t="s">
        <v>100</v>
      </c>
      <c r="BI128" s="9" t="s">
        <v>100</v>
      </c>
      <c r="BJ128" s="32"/>
      <c r="BK128" s="32"/>
      <c r="BL128" s="33"/>
      <c r="BM128" s="33"/>
      <c r="BN128" s="33"/>
      <c r="BO128" s="32"/>
      <c r="BP128" s="32"/>
      <c r="BQ128" s="33"/>
    </row>
    <row r="129" spans="1:69" s="6" customFormat="1" ht="91" hidden="1" x14ac:dyDescent="0.35">
      <c r="A129" s="8">
        <v>656</v>
      </c>
      <c r="B129" s="8" t="s">
        <v>681</v>
      </c>
      <c r="C129" s="8" t="s">
        <v>72</v>
      </c>
      <c r="D129" s="10" t="s">
        <v>835</v>
      </c>
      <c r="E129" s="8" t="s">
        <v>39</v>
      </c>
      <c r="F129" s="9" t="s">
        <v>683</v>
      </c>
      <c r="G129" s="9" t="s">
        <v>684</v>
      </c>
      <c r="H129" s="8" t="s">
        <v>225</v>
      </c>
      <c r="I129" s="8" t="s">
        <v>98</v>
      </c>
      <c r="J129" s="9" t="s">
        <v>25</v>
      </c>
      <c r="K129" s="2" t="s">
        <v>311</v>
      </c>
      <c r="L129" s="10" t="s">
        <v>827</v>
      </c>
      <c r="M129" s="2" t="s">
        <v>276</v>
      </c>
      <c r="N129" s="10" t="s">
        <v>276</v>
      </c>
      <c r="O129" s="10" t="s">
        <v>276</v>
      </c>
      <c r="P129" s="9" t="s">
        <v>235</v>
      </c>
      <c r="Q129" s="36" t="s">
        <v>276</v>
      </c>
      <c r="R129" s="10" t="s">
        <v>686</v>
      </c>
      <c r="S129" s="9" t="s">
        <v>276</v>
      </c>
      <c r="T129" s="9" t="s">
        <v>276</v>
      </c>
      <c r="U129" s="9" t="s">
        <v>687</v>
      </c>
      <c r="V129" s="8" t="s">
        <v>14</v>
      </c>
      <c r="W129" s="2" t="s">
        <v>98</v>
      </c>
      <c r="X129" s="10" t="s">
        <v>208</v>
      </c>
      <c r="Y129" s="13" t="s">
        <v>98</v>
      </c>
      <c r="Z129" s="34" t="s">
        <v>98</v>
      </c>
      <c r="AA129" s="10" t="s">
        <v>276</v>
      </c>
      <c r="AB129" s="10" t="s">
        <v>276</v>
      </c>
      <c r="AC129" s="8">
        <v>0</v>
      </c>
      <c r="AD129" s="8" t="s">
        <v>98</v>
      </c>
      <c r="AE129" s="8">
        <v>0</v>
      </c>
      <c r="AF129" s="8" t="s">
        <v>98</v>
      </c>
      <c r="AG129" s="9" t="s">
        <v>836</v>
      </c>
      <c r="AH129" s="9" t="s">
        <v>837</v>
      </c>
      <c r="AI129" s="34">
        <f>12+7+2</f>
        <v>21</v>
      </c>
      <c r="AJ129" s="34">
        <f>2+15</f>
        <v>17</v>
      </c>
      <c r="AK129" s="34">
        <v>39</v>
      </c>
      <c r="AL129" s="34">
        <v>27</v>
      </c>
      <c r="AM129" s="38" t="s">
        <v>292</v>
      </c>
      <c r="AN129" s="8" t="s">
        <v>276</v>
      </c>
      <c r="AO129" s="14">
        <f>AI129*100/AK129</f>
        <v>53.846153846153847</v>
      </c>
      <c r="AP129" s="8" t="s">
        <v>276</v>
      </c>
      <c r="AQ129" s="8" t="s">
        <v>276</v>
      </c>
      <c r="AR129" s="8" t="s">
        <v>276</v>
      </c>
      <c r="AS129" s="14">
        <f>AJ129*100/AL129</f>
        <v>62.962962962962962</v>
      </c>
      <c r="AT129" s="8" t="s">
        <v>276</v>
      </c>
      <c r="AU129" s="8" t="s">
        <v>276</v>
      </c>
      <c r="AV129" s="9" t="s">
        <v>268</v>
      </c>
      <c r="AW129" s="35" t="s">
        <v>276</v>
      </c>
      <c r="AX129" s="35">
        <f t="shared" si="37"/>
        <v>0.85520361990950233</v>
      </c>
      <c r="AY129" s="10" t="s">
        <v>276</v>
      </c>
      <c r="AZ129" s="10" t="s">
        <v>276</v>
      </c>
      <c r="BA129" s="10" t="s">
        <v>276</v>
      </c>
      <c r="BB129" s="10" t="s">
        <v>98</v>
      </c>
      <c r="BC129" s="10" t="s">
        <v>276</v>
      </c>
      <c r="BD129" s="10" t="s">
        <v>276</v>
      </c>
      <c r="BE129" s="10" t="s">
        <v>276</v>
      </c>
      <c r="BF129" s="9" t="s">
        <v>829</v>
      </c>
      <c r="BG129" s="9" t="s">
        <v>834</v>
      </c>
      <c r="BH129" s="9" t="s">
        <v>100</v>
      </c>
      <c r="BI129" s="9" t="s">
        <v>100</v>
      </c>
      <c r="BJ129" s="54"/>
      <c r="BK129" s="32"/>
      <c r="BL129" s="33"/>
      <c r="BM129" s="33"/>
      <c r="BN129" s="33"/>
      <c r="BO129" s="32"/>
      <c r="BP129" s="32"/>
      <c r="BQ129" s="33"/>
    </row>
    <row r="130" spans="1:69" s="6" customFormat="1" ht="78" hidden="1" x14ac:dyDescent="0.35">
      <c r="A130" s="8">
        <v>654</v>
      </c>
      <c r="B130" s="8" t="s">
        <v>697</v>
      </c>
      <c r="C130" s="8" t="s">
        <v>72</v>
      </c>
      <c r="D130" s="10" t="s">
        <v>838</v>
      </c>
      <c r="E130" s="8" t="s">
        <v>39</v>
      </c>
      <c r="F130" s="9" t="s">
        <v>683</v>
      </c>
      <c r="G130" s="9" t="s">
        <v>684</v>
      </c>
      <c r="H130" s="8" t="s">
        <v>225</v>
      </c>
      <c r="I130" s="8" t="s">
        <v>98</v>
      </c>
      <c r="J130" s="9" t="s">
        <v>25</v>
      </c>
      <c r="K130" s="2" t="s">
        <v>311</v>
      </c>
      <c r="L130" s="10" t="s">
        <v>839</v>
      </c>
      <c r="M130" s="2" t="s">
        <v>276</v>
      </c>
      <c r="N130" s="10" t="s">
        <v>276</v>
      </c>
      <c r="O130" s="10" t="s">
        <v>276</v>
      </c>
      <c r="P130" s="9" t="s">
        <v>239</v>
      </c>
      <c r="Q130" s="36" t="s">
        <v>276</v>
      </c>
      <c r="R130" s="10" t="s">
        <v>385</v>
      </c>
      <c r="S130" s="9" t="s">
        <v>276</v>
      </c>
      <c r="T130" s="9" t="s">
        <v>276</v>
      </c>
      <c r="U130" s="9" t="s">
        <v>714</v>
      </c>
      <c r="V130" s="8" t="s">
        <v>14</v>
      </c>
      <c r="W130" s="2" t="s">
        <v>98</v>
      </c>
      <c r="X130" s="10" t="s">
        <v>208</v>
      </c>
      <c r="Y130" s="13">
        <v>3171</v>
      </c>
      <c r="Z130" s="34">
        <v>3174</v>
      </c>
      <c r="AA130" s="10" t="s">
        <v>276</v>
      </c>
      <c r="AB130" s="10" t="s">
        <v>276</v>
      </c>
      <c r="AC130" s="8" t="s">
        <v>276</v>
      </c>
      <c r="AD130" s="8" t="s">
        <v>276</v>
      </c>
      <c r="AE130" s="8" t="s">
        <v>276</v>
      </c>
      <c r="AF130" s="8" t="s">
        <v>276</v>
      </c>
      <c r="AG130" s="9" t="s">
        <v>840</v>
      </c>
      <c r="AH130" s="9" t="s">
        <v>430</v>
      </c>
      <c r="AI130" s="34">
        <v>17</v>
      </c>
      <c r="AJ130" s="34">
        <v>15</v>
      </c>
      <c r="AK130" s="34">
        <f t="shared" ref="AK130:AL130" si="55">Y130</f>
        <v>3171</v>
      </c>
      <c r="AL130" s="34">
        <f t="shared" si="55"/>
        <v>3174</v>
      </c>
      <c r="AM130" s="38" t="s">
        <v>690</v>
      </c>
      <c r="AN130" s="8" t="s">
        <v>276</v>
      </c>
      <c r="AO130" s="14">
        <f>AI130*1000/AK130</f>
        <v>5.3610848312835069</v>
      </c>
      <c r="AP130" s="8" t="s">
        <v>276</v>
      </c>
      <c r="AQ130" s="8" t="s">
        <v>276</v>
      </c>
      <c r="AR130" s="8" t="s">
        <v>276</v>
      </c>
      <c r="AS130" s="14">
        <f>AJ130*1000/AL130</f>
        <v>4.7258979206049148</v>
      </c>
      <c r="AT130" s="8" t="s">
        <v>276</v>
      </c>
      <c r="AU130" s="8" t="s">
        <v>276</v>
      </c>
      <c r="AV130" s="9" t="s">
        <v>268</v>
      </c>
      <c r="AW130" s="35" t="s">
        <v>276</v>
      </c>
      <c r="AX130" s="35">
        <f t="shared" si="37"/>
        <v>1.13440555029959</v>
      </c>
      <c r="AY130" s="10" t="s">
        <v>276</v>
      </c>
      <c r="AZ130" s="10" t="s">
        <v>276</v>
      </c>
      <c r="BA130" s="10" t="s">
        <v>276</v>
      </c>
      <c r="BB130" s="10" t="s">
        <v>98</v>
      </c>
      <c r="BC130" s="10" t="s">
        <v>276</v>
      </c>
      <c r="BD130" s="10" t="s">
        <v>276</v>
      </c>
      <c r="BE130" s="10" t="s">
        <v>276</v>
      </c>
      <c r="BF130" s="9" t="s">
        <v>841</v>
      </c>
      <c r="BG130" s="9"/>
      <c r="BH130" s="9" t="s">
        <v>100</v>
      </c>
      <c r="BI130" s="9" t="s">
        <v>100</v>
      </c>
      <c r="BJ130" s="32"/>
      <c r="BK130" s="32"/>
      <c r="BL130" s="33"/>
      <c r="BM130" s="33"/>
      <c r="BN130" s="33"/>
      <c r="BO130" s="32"/>
      <c r="BP130" s="32"/>
      <c r="BQ130" s="33"/>
    </row>
    <row r="131" spans="1:69" s="6" customFormat="1" ht="78" hidden="1" x14ac:dyDescent="0.35">
      <c r="A131" s="8">
        <v>654</v>
      </c>
      <c r="B131" s="8" t="s">
        <v>697</v>
      </c>
      <c r="C131" s="8" t="s">
        <v>72</v>
      </c>
      <c r="D131" s="10" t="s">
        <v>842</v>
      </c>
      <c r="E131" s="8" t="s">
        <v>39</v>
      </c>
      <c r="F131" s="9" t="s">
        <v>683</v>
      </c>
      <c r="G131" s="9" t="s">
        <v>684</v>
      </c>
      <c r="H131" s="8" t="s">
        <v>225</v>
      </c>
      <c r="I131" s="8" t="s">
        <v>98</v>
      </c>
      <c r="J131" s="9" t="s">
        <v>25</v>
      </c>
      <c r="K131" s="2" t="s">
        <v>311</v>
      </c>
      <c r="L131" s="10" t="s">
        <v>839</v>
      </c>
      <c r="M131" s="2" t="s">
        <v>276</v>
      </c>
      <c r="N131" s="10" t="s">
        <v>276</v>
      </c>
      <c r="O131" s="10" t="s">
        <v>276</v>
      </c>
      <c r="P131" s="9" t="s">
        <v>235</v>
      </c>
      <c r="Q131" s="36" t="s">
        <v>276</v>
      </c>
      <c r="R131" s="10" t="s">
        <v>385</v>
      </c>
      <c r="S131" s="9" t="s">
        <v>276</v>
      </c>
      <c r="T131" s="9" t="s">
        <v>276</v>
      </c>
      <c r="U131" s="9" t="s">
        <v>714</v>
      </c>
      <c r="V131" s="8" t="s">
        <v>14</v>
      </c>
      <c r="W131" s="2" t="s">
        <v>98</v>
      </c>
      <c r="X131" s="10" t="s">
        <v>208</v>
      </c>
      <c r="Y131" s="13" t="s">
        <v>98</v>
      </c>
      <c r="Z131" s="34" t="s">
        <v>98</v>
      </c>
      <c r="AA131" s="10" t="s">
        <v>276</v>
      </c>
      <c r="AB131" s="10" t="s">
        <v>276</v>
      </c>
      <c r="AC131" s="8" t="s">
        <v>276</v>
      </c>
      <c r="AD131" s="8" t="s">
        <v>276</v>
      </c>
      <c r="AE131" s="8" t="s">
        <v>276</v>
      </c>
      <c r="AF131" s="8" t="s">
        <v>276</v>
      </c>
      <c r="AG131" s="9" t="s">
        <v>840</v>
      </c>
      <c r="AH131" s="9" t="s">
        <v>843</v>
      </c>
      <c r="AI131" s="34">
        <v>17</v>
      </c>
      <c r="AJ131" s="34">
        <v>15</v>
      </c>
      <c r="AK131" s="34">
        <v>36</v>
      </c>
      <c r="AL131" s="34">
        <v>19</v>
      </c>
      <c r="AM131" s="38" t="s">
        <v>292</v>
      </c>
      <c r="AN131" s="8">
        <v>47.2</v>
      </c>
      <c r="AO131" s="14">
        <f>AI131*100/AK131</f>
        <v>47.222222222222221</v>
      </c>
      <c r="AP131" s="8" t="s">
        <v>276</v>
      </c>
      <c r="AQ131" s="8" t="s">
        <v>276</v>
      </c>
      <c r="AR131" s="8">
        <v>78.900000000000006</v>
      </c>
      <c r="AS131" s="14">
        <f>AJ131*100/AL131</f>
        <v>78.94736842105263</v>
      </c>
      <c r="AT131" s="8" t="s">
        <v>276</v>
      </c>
      <c r="AU131" s="8" t="s">
        <v>276</v>
      </c>
      <c r="AV131" s="9" t="s">
        <v>268</v>
      </c>
      <c r="AW131" s="35" t="s">
        <v>276</v>
      </c>
      <c r="AX131" s="35">
        <f t="shared" si="37"/>
        <v>0.5981481481481481</v>
      </c>
      <c r="AY131" s="10" t="s">
        <v>276</v>
      </c>
      <c r="AZ131" s="10" t="s">
        <v>276</v>
      </c>
      <c r="BA131" s="9" t="s">
        <v>844</v>
      </c>
      <c r="BB131" s="9" t="s">
        <v>98</v>
      </c>
      <c r="BC131" s="9" t="s">
        <v>276</v>
      </c>
      <c r="BD131" s="9" t="s">
        <v>276</v>
      </c>
      <c r="BE131" s="9" t="s">
        <v>276</v>
      </c>
      <c r="BF131" s="9" t="s">
        <v>845</v>
      </c>
      <c r="BG131" s="9"/>
      <c r="BH131" s="9" t="s">
        <v>100</v>
      </c>
      <c r="BI131" s="9" t="s">
        <v>100</v>
      </c>
      <c r="BJ131" s="32"/>
      <c r="BK131" s="32"/>
      <c r="BL131" s="33"/>
      <c r="BM131" s="33"/>
      <c r="BN131" s="33"/>
      <c r="BO131" s="32"/>
      <c r="BP131" s="32"/>
      <c r="BQ131" s="33"/>
    </row>
    <row r="132" spans="1:69" s="6" customFormat="1" ht="78" hidden="1" x14ac:dyDescent="0.35">
      <c r="A132" s="8">
        <v>654</v>
      </c>
      <c r="B132" s="8" t="s">
        <v>697</v>
      </c>
      <c r="C132" s="8" t="s">
        <v>72</v>
      </c>
      <c r="D132" s="10" t="s">
        <v>846</v>
      </c>
      <c r="E132" s="8" t="s">
        <v>39</v>
      </c>
      <c r="F132" s="9" t="s">
        <v>683</v>
      </c>
      <c r="G132" s="9" t="s">
        <v>684</v>
      </c>
      <c r="H132" s="8" t="s">
        <v>225</v>
      </c>
      <c r="I132" s="8" t="s">
        <v>98</v>
      </c>
      <c r="J132" s="9" t="s">
        <v>25</v>
      </c>
      <c r="K132" s="2" t="s">
        <v>311</v>
      </c>
      <c r="L132" s="10" t="s">
        <v>839</v>
      </c>
      <c r="M132" s="2" t="s">
        <v>276</v>
      </c>
      <c r="N132" s="10" t="s">
        <v>276</v>
      </c>
      <c r="O132" s="10" t="s">
        <v>276</v>
      </c>
      <c r="P132" s="9" t="s">
        <v>239</v>
      </c>
      <c r="Q132" s="36" t="s">
        <v>276</v>
      </c>
      <c r="R132" s="10" t="s">
        <v>733</v>
      </c>
      <c r="S132" s="9" t="s">
        <v>276</v>
      </c>
      <c r="T132" s="9" t="s">
        <v>276</v>
      </c>
      <c r="U132" s="9" t="s">
        <v>725</v>
      </c>
      <c r="V132" s="8" t="s">
        <v>14</v>
      </c>
      <c r="W132" s="2" t="s">
        <v>98</v>
      </c>
      <c r="X132" s="10" t="s">
        <v>208</v>
      </c>
      <c r="Y132" s="13">
        <v>3171</v>
      </c>
      <c r="Z132" s="34">
        <v>3174</v>
      </c>
      <c r="AA132" s="10" t="s">
        <v>276</v>
      </c>
      <c r="AB132" s="10" t="s">
        <v>276</v>
      </c>
      <c r="AC132" s="8" t="s">
        <v>276</v>
      </c>
      <c r="AD132" s="8" t="s">
        <v>276</v>
      </c>
      <c r="AE132" s="8" t="s">
        <v>276</v>
      </c>
      <c r="AF132" s="8" t="s">
        <v>276</v>
      </c>
      <c r="AG132" s="9" t="s">
        <v>847</v>
      </c>
      <c r="AH132" s="9" t="s">
        <v>430</v>
      </c>
      <c r="AI132" s="34">
        <v>53</v>
      </c>
      <c r="AJ132" s="34">
        <v>46</v>
      </c>
      <c r="AK132" s="34">
        <f t="shared" ref="AK132:AL132" si="56">Y132</f>
        <v>3171</v>
      </c>
      <c r="AL132" s="34">
        <f t="shared" si="56"/>
        <v>3174</v>
      </c>
      <c r="AM132" s="38" t="s">
        <v>690</v>
      </c>
      <c r="AN132" s="8" t="s">
        <v>276</v>
      </c>
      <c r="AO132" s="14">
        <f>AI132*1000/AK132</f>
        <v>16.713970356354462</v>
      </c>
      <c r="AP132" s="8" t="s">
        <v>276</v>
      </c>
      <c r="AQ132" s="8" t="s">
        <v>276</v>
      </c>
      <c r="AR132" s="8" t="s">
        <v>276</v>
      </c>
      <c r="AS132" s="14">
        <f>AJ132*1000/AL132</f>
        <v>14.492753623188406</v>
      </c>
      <c r="AT132" s="8" t="s">
        <v>276</v>
      </c>
      <c r="AU132" s="8" t="s">
        <v>276</v>
      </c>
      <c r="AV132" s="9" t="s">
        <v>268</v>
      </c>
      <c r="AW132" s="35" t="s">
        <v>276</v>
      </c>
      <c r="AX132" s="35">
        <f t="shared" si="37"/>
        <v>1.1532639545884578</v>
      </c>
      <c r="AY132" s="10" t="s">
        <v>276</v>
      </c>
      <c r="AZ132" s="10" t="s">
        <v>276</v>
      </c>
      <c r="BA132" s="10" t="s">
        <v>276</v>
      </c>
      <c r="BB132" s="10" t="s">
        <v>98</v>
      </c>
      <c r="BC132" s="10" t="s">
        <v>276</v>
      </c>
      <c r="BD132" s="10" t="s">
        <v>276</v>
      </c>
      <c r="BE132" s="10" t="s">
        <v>276</v>
      </c>
      <c r="BF132" s="9" t="s">
        <v>841</v>
      </c>
      <c r="BG132" s="9"/>
      <c r="BH132" s="9" t="s">
        <v>100</v>
      </c>
      <c r="BI132" s="9" t="s">
        <v>100</v>
      </c>
      <c r="BJ132" s="32"/>
      <c r="BK132" s="32"/>
      <c r="BL132" s="33"/>
      <c r="BM132" s="33"/>
      <c r="BN132" s="33"/>
      <c r="BO132" s="32"/>
      <c r="BP132" s="32"/>
      <c r="BQ132" s="33"/>
    </row>
    <row r="133" spans="1:69" s="6" customFormat="1" ht="78" hidden="1" x14ac:dyDescent="0.35">
      <c r="A133" s="8">
        <v>654</v>
      </c>
      <c r="B133" s="8" t="s">
        <v>697</v>
      </c>
      <c r="C133" s="8" t="s">
        <v>72</v>
      </c>
      <c r="D133" s="10" t="s">
        <v>848</v>
      </c>
      <c r="E133" s="8" t="s">
        <v>39</v>
      </c>
      <c r="F133" s="9" t="s">
        <v>683</v>
      </c>
      <c r="G133" s="9" t="s">
        <v>684</v>
      </c>
      <c r="H133" s="8" t="s">
        <v>225</v>
      </c>
      <c r="I133" s="8" t="s">
        <v>98</v>
      </c>
      <c r="J133" s="9" t="s">
        <v>25</v>
      </c>
      <c r="K133" s="2" t="s">
        <v>311</v>
      </c>
      <c r="L133" s="10" t="s">
        <v>839</v>
      </c>
      <c r="M133" s="2" t="s">
        <v>276</v>
      </c>
      <c r="N133" s="10" t="s">
        <v>276</v>
      </c>
      <c r="O133" s="10" t="s">
        <v>276</v>
      </c>
      <c r="P133" s="9" t="s">
        <v>235</v>
      </c>
      <c r="Q133" s="36" t="s">
        <v>276</v>
      </c>
      <c r="R133" s="10" t="s">
        <v>733</v>
      </c>
      <c r="S133" s="9" t="s">
        <v>276</v>
      </c>
      <c r="T133" s="9" t="s">
        <v>276</v>
      </c>
      <c r="U133" s="9" t="s">
        <v>725</v>
      </c>
      <c r="V133" s="8" t="s">
        <v>14</v>
      </c>
      <c r="W133" s="2" t="s">
        <v>98</v>
      </c>
      <c r="X133" s="10" t="s">
        <v>208</v>
      </c>
      <c r="Y133" s="13" t="s">
        <v>98</v>
      </c>
      <c r="Z133" s="34" t="s">
        <v>98</v>
      </c>
      <c r="AA133" s="10" t="s">
        <v>276</v>
      </c>
      <c r="AB133" s="10" t="s">
        <v>276</v>
      </c>
      <c r="AC133" s="8" t="s">
        <v>276</v>
      </c>
      <c r="AD133" s="8" t="s">
        <v>276</v>
      </c>
      <c r="AE133" s="8" t="s">
        <v>276</v>
      </c>
      <c r="AF133" s="8" t="s">
        <v>276</v>
      </c>
      <c r="AG133" s="9" t="s">
        <v>847</v>
      </c>
      <c r="AH133" s="9" t="s">
        <v>849</v>
      </c>
      <c r="AI133" s="34">
        <v>53</v>
      </c>
      <c r="AJ133" s="34">
        <v>46</v>
      </c>
      <c r="AK133" s="34">
        <v>108</v>
      </c>
      <c r="AL133" s="34">
        <v>82</v>
      </c>
      <c r="AM133" s="38" t="s">
        <v>292</v>
      </c>
      <c r="AN133" s="8">
        <v>49.1</v>
      </c>
      <c r="AO133" s="14">
        <f>AI133*100/AK133</f>
        <v>49.074074074074076</v>
      </c>
      <c r="AP133" s="8" t="s">
        <v>276</v>
      </c>
      <c r="AQ133" s="8" t="s">
        <v>276</v>
      </c>
      <c r="AR133" s="8">
        <v>56.1</v>
      </c>
      <c r="AS133" s="14">
        <f>AJ133*100/AL133</f>
        <v>56.097560975609753</v>
      </c>
      <c r="AT133" s="8" t="s">
        <v>276</v>
      </c>
      <c r="AU133" s="8" t="s">
        <v>276</v>
      </c>
      <c r="AV133" s="9" t="s">
        <v>268</v>
      </c>
      <c r="AW133" s="35" t="s">
        <v>276</v>
      </c>
      <c r="AX133" s="35">
        <f t="shared" si="37"/>
        <v>0.8747987117552336</v>
      </c>
      <c r="AY133" s="10" t="s">
        <v>276</v>
      </c>
      <c r="AZ133" s="10" t="s">
        <v>276</v>
      </c>
      <c r="BA133" s="10" t="s">
        <v>276</v>
      </c>
      <c r="BB133" s="10" t="s">
        <v>98</v>
      </c>
      <c r="BC133" s="10" t="s">
        <v>276</v>
      </c>
      <c r="BD133" s="10" t="s">
        <v>276</v>
      </c>
      <c r="BE133" s="10" t="s">
        <v>276</v>
      </c>
      <c r="BF133" s="9" t="s">
        <v>841</v>
      </c>
      <c r="BG133" s="9"/>
      <c r="BH133" s="9" t="s">
        <v>100</v>
      </c>
      <c r="BI133" s="9" t="s">
        <v>100</v>
      </c>
      <c r="BJ133" s="32"/>
      <c r="BK133" s="32"/>
      <c r="BL133" s="33"/>
      <c r="BM133" s="33"/>
      <c r="BN133" s="33"/>
      <c r="BO133" s="32"/>
      <c r="BP133" s="32"/>
      <c r="BQ133" s="33"/>
    </row>
    <row r="134" spans="1:69" s="6" customFormat="1" ht="78" hidden="1" x14ac:dyDescent="0.35">
      <c r="A134" s="8">
        <v>654</v>
      </c>
      <c r="B134" s="8" t="s">
        <v>697</v>
      </c>
      <c r="C134" s="8" t="s">
        <v>72</v>
      </c>
      <c r="D134" s="10" t="s">
        <v>850</v>
      </c>
      <c r="E134" s="8" t="s">
        <v>39</v>
      </c>
      <c r="F134" s="9" t="s">
        <v>683</v>
      </c>
      <c r="G134" s="9" t="s">
        <v>684</v>
      </c>
      <c r="H134" s="8" t="s">
        <v>225</v>
      </c>
      <c r="I134" s="8" t="s">
        <v>98</v>
      </c>
      <c r="J134" s="9" t="s">
        <v>98</v>
      </c>
      <c r="K134" s="2" t="s">
        <v>98</v>
      </c>
      <c r="L134" s="2" t="s">
        <v>98</v>
      </c>
      <c r="M134" s="2" t="s">
        <v>98</v>
      </c>
      <c r="N134" s="2" t="s">
        <v>820</v>
      </c>
      <c r="O134" s="10" t="s">
        <v>276</v>
      </c>
      <c r="P134" s="9" t="s">
        <v>236</v>
      </c>
      <c r="Q134" s="36" t="s">
        <v>276</v>
      </c>
      <c r="R134" s="10" t="s">
        <v>733</v>
      </c>
      <c r="S134" s="9" t="s">
        <v>276</v>
      </c>
      <c r="T134" s="9" t="s">
        <v>276</v>
      </c>
      <c r="U134" s="9" t="s">
        <v>725</v>
      </c>
      <c r="V134" s="8" t="s">
        <v>14</v>
      </c>
      <c r="W134" s="2" t="s">
        <v>98</v>
      </c>
      <c r="X134" s="10" t="s">
        <v>208</v>
      </c>
      <c r="Y134" s="13" t="s">
        <v>98</v>
      </c>
      <c r="Z134" s="34" t="s">
        <v>98</v>
      </c>
      <c r="AA134" s="10" t="s">
        <v>276</v>
      </c>
      <c r="AB134" s="10" t="s">
        <v>276</v>
      </c>
      <c r="AC134" s="8">
        <v>0</v>
      </c>
      <c r="AD134" s="8" t="s">
        <v>98</v>
      </c>
      <c r="AE134" s="8">
        <v>0</v>
      </c>
      <c r="AF134" s="8" t="s">
        <v>98</v>
      </c>
      <c r="AG134" s="9" t="s">
        <v>851</v>
      </c>
      <c r="AH134" s="9" t="s">
        <v>852</v>
      </c>
      <c r="AI134" s="34">
        <v>61</v>
      </c>
      <c r="AJ134" s="34">
        <v>38</v>
      </c>
      <c r="AK134" s="34">
        <v>108</v>
      </c>
      <c r="AL134" s="34">
        <v>82</v>
      </c>
      <c r="AM134" s="38" t="s">
        <v>292</v>
      </c>
      <c r="AN134" s="8" t="s">
        <v>276</v>
      </c>
      <c r="AO134" s="14">
        <f>AI134*100/AK134</f>
        <v>56.481481481481481</v>
      </c>
      <c r="AP134" s="8" t="s">
        <v>276</v>
      </c>
      <c r="AQ134" s="8" t="s">
        <v>276</v>
      </c>
      <c r="AR134" s="8" t="s">
        <v>276</v>
      </c>
      <c r="AS134" s="14">
        <f>AJ134*100/AL134</f>
        <v>46.341463414634148</v>
      </c>
      <c r="AT134" s="8" t="s">
        <v>276</v>
      </c>
      <c r="AU134" s="8" t="s">
        <v>276</v>
      </c>
      <c r="AV134" s="9" t="s">
        <v>268</v>
      </c>
      <c r="AW134" s="35" t="s">
        <v>276</v>
      </c>
      <c r="AX134" s="35">
        <f t="shared" si="37"/>
        <v>1.2188109161793372</v>
      </c>
      <c r="AY134" s="35" t="s">
        <v>276</v>
      </c>
      <c r="AZ134" s="35" t="s">
        <v>276</v>
      </c>
      <c r="BA134" s="35" t="s">
        <v>276</v>
      </c>
      <c r="BB134" s="35" t="s">
        <v>98</v>
      </c>
      <c r="BC134" s="35" t="s">
        <v>276</v>
      </c>
      <c r="BD134" s="35" t="s">
        <v>276</v>
      </c>
      <c r="BE134" s="35" t="s">
        <v>276</v>
      </c>
      <c r="BF134" s="9" t="s">
        <v>853</v>
      </c>
      <c r="BG134" s="9"/>
      <c r="BH134" s="9" t="s">
        <v>100</v>
      </c>
      <c r="BI134" s="9" t="s">
        <v>100</v>
      </c>
      <c r="BJ134" s="32"/>
      <c r="BK134" s="32"/>
      <c r="BL134" s="33"/>
      <c r="BM134" s="33"/>
      <c r="BN134" s="33"/>
      <c r="BO134" s="32"/>
      <c r="BP134" s="32"/>
      <c r="BQ134" s="33"/>
    </row>
    <row r="135" spans="1:69" s="6" customFormat="1" ht="78" hidden="1" x14ac:dyDescent="0.35">
      <c r="A135" s="8">
        <v>654</v>
      </c>
      <c r="B135" s="8" t="s">
        <v>697</v>
      </c>
      <c r="C135" s="8" t="s">
        <v>72</v>
      </c>
      <c r="D135" s="10" t="s">
        <v>854</v>
      </c>
      <c r="E135" s="8" t="s">
        <v>39</v>
      </c>
      <c r="F135" s="9" t="s">
        <v>683</v>
      </c>
      <c r="G135" s="9" t="s">
        <v>684</v>
      </c>
      <c r="H135" s="8" t="s">
        <v>225</v>
      </c>
      <c r="I135" s="8" t="s">
        <v>98</v>
      </c>
      <c r="J135" s="9" t="s">
        <v>98</v>
      </c>
      <c r="K135" s="2" t="s">
        <v>98</v>
      </c>
      <c r="L135" s="2" t="s">
        <v>98</v>
      </c>
      <c r="M135" s="2" t="s">
        <v>98</v>
      </c>
      <c r="N135" s="2" t="s">
        <v>820</v>
      </c>
      <c r="O135" s="10" t="s">
        <v>276</v>
      </c>
      <c r="P135" s="9" t="s">
        <v>238</v>
      </c>
      <c r="Q135" s="36" t="s">
        <v>276</v>
      </c>
      <c r="R135" s="10" t="s">
        <v>733</v>
      </c>
      <c r="S135" s="9" t="s">
        <v>276</v>
      </c>
      <c r="T135" s="9" t="s">
        <v>276</v>
      </c>
      <c r="U135" s="9" t="s">
        <v>725</v>
      </c>
      <c r="V135" s="8" t="s">
        <v>14</v>
      </c>
      <c r="W135" s="2" t="s">
        <v>98</v>
      </c>
      <c r="X135" s="10" t="s">
        <v>208</v>
      </c>
      <c r="Y135" s="13">
        <v>3171</v>
      </c>
      <c r="Z135" s="34">
        <v>3174</v>
      </c>
      <c r="AA135" s="10" t="s">
        <v>276</v>
      </c>
      <c r="AB135" s="10" t="s">
        <v>276</v>
      </c>
      <c r="AC135" s="8">
        <v>0</v>
      </c>
      <c r="AD135" s="8" t="s">
        <v>98</v>
      </c>
      <c r="AE135" s="8">
        <v>0</v>
      </c>
      <c r="AF135" s="8" t="s">
        <v>98</v>
      </c>
      <c r="AG135" s="9" t="s">
        <v>851</v>
      </c>
      <c r="AH135" s="9" t="s">
        <v>430</v>
      </c>
      <c r="AI135" s="34">
        <v>61</v>
      </c>
      <c r="AJ135" s="34">
        <v>38</v>
      </c>
      <c r="AK135" s="34">
        <v>3171</v>
      </c>
      <c r="AL135" s="34">
        <v>3174</v>
      </c>
      <c r="AM135" s="38" t="s">
        <v>292</v>
      </c>
      <c r="AN135" s="8" t="s">
        <v>276</v>
      </c>
      <c r="AO135" s="31">
        <f>AI135*100/AK135</f>
        <v>1.923683380637023</v>
      </c>
      <c r="AP135" s="8" t="s">
        <v>276</v>
      </c>
      <c r="AQ135" s="8" t="s">
        <v>276</v>
      </c>
      <c r="AR135" s="8" t="s">
        <v>276</v>
      </c>
      <c r="AS135" s="31">
        <f>AJ135*100/AL135</f>
        <v>1.1972274732199117</v>
      </c>
      <c r="AT135" s="8" t="s">
        <v>276</v>
      </c>
      <c r="AU135" s="8" t="s">
        <v>276</v>
      </c>
      <c r="AV135" s="9" t="s">
        <v>268</v>
      </c>
      <c r="AW135" s="35" t="s">
        <v>276</v>
      </c>
      <c r="AX135" s="35">
        <f t="shared" si="37"/>
        <v>1.6067818553005029</v>
      </c>
      <c r="AY135" s="35" t="s">
        <v>276</v>
      </c>
      <c r="AZ135" s="35" t="s">
        <v>276</v>
      </c>
      <c r="BA135" s="35" t="s">
        <v>276</v>
      </c>
      <c r="BB135" s="35" t="s">
        <v>98</v>
      </c>
      <c r="BC135" s="35" t="s">
        <v>276</v>
      </c>
      <c r="BD135" s="35" t="s">
        <v>276</v>
      </c>
      <c r="BE135" s="35" t="s">
        <v>276</v>
      </c>
      <c r="BF135" s="9" t="s">
        <v>853</v>
      </c>
      <c r="BG135" s="9"/>
      <c r="BH135" s="9" t="s">
        <v>100</v>
      </c>
      <c r="BI135" s="9" t="s">
        <v>100</v>
      </c>
      <c r="BJ135" s="32"/>
      <c r="BK135" s="32"/>
      <c r="BL135" s="33"/>
      <c r="BM135" s="33"/>
      <c r="BN135" s="33"/>
      <c r="BO135" s="32"/>
      <c r="BP135" s="32"/>
      <c r="BQ135" s="33"/>
    </row>
    <row r="136" spans="1:69" s="6" customFormat="1" ht="91" hidden="1" x14ac:dyDescent="0.35">
      <c r="A136" s="8">
        <v>653</v>
      </c>
      <c r="B136" s="8" t="s">
        <v>764</v>
      </c>
      <c r="C136" s="8" t="s">
        <v>72</v>
      </c>
      <c r="D136" s="10" t="s">
        <v>855</v>
      </c>
      <c r="E136" s="8" t="s">
        <v>39</v>
      </c>
      <c r="F136" s="9" t="s">
        <v>683</v>
      </c>
      <c r="G136" s="9" t="s">
        <v>225</v>
      </c>
      <c r="H136" s="8" t="s">
        <v>225</v>
      </c>
      <c r="I136" s="8" t="s">
        <v>98</v>
      </c>
      <c r="J136" s="9" t="s">
        <v>98</v>
      </c>
      <c r="K136" s="2" t="s">
        <v>98</v>
      </c>
      <c r="L136" s="2" t="s">
        <v>98</v>
      </c>
      <c r="M136" s="2" t="s">
        <v>98</v>
      </c>
      <c r="N136" s="2" t="s">
        <v>820</v>
      </c>
      <c r="O136" s="10" t="s">
        <v>276</v>
      </c>
      <c r="P136" s="9" t="s">
        <v>236</v>
      </c>
      <c r="Q136" s="36" t="s">
        <v>276</v>
      </c>
      <c r="R136" s="10" t="s">
        <v>385</v>
      </c>
      <c r="S136" s="9" t="s">
        <v>276</v>
      </c>
      <c r="T136" s="9" t="s">
        <v>276</v>
      </c>
      <c r="U136" s="9">
        <v>5</v>
      </c>
      <c r="V136" s="8" t="s">
        <v>14</v>
      </c>
      <c r="W136" s="2" t="s">
        <v>98</v>
      </c>
      <c r="X136" s="10" t="s">
        <v>209</v>
      </c>
      <c r="Y136" s="13" t="s">
        <v>98</v>
      </c>
      <c r="Z136" s="34" t="s">
        <v>98</v>
      </c>
      <c r="AA136" s="10" t="s">
        <v>276</v>
      </c>
      <c r="AB136" s="10" t="s">
        <v>98</v>
      </c>
      <c r="AC136" s="8">
        <v>0</v>
      </c>
      <c r="AD136" s="8" t="s">
        <v>98</v>
      </c>
      <c r="AE136" s="8" t="s">
        <v>98</v>
      </c>
      <c r="AF136" s="8" t="s">
        <v>98</v>
      </c>
      <c r="AG136" s="9" t="s">
        <v>856</v>
      </c>
      <c r="AH136" s="9" t="s">
        <v>857</v>
      </c>
      <c r="AI136" s="34">
        <v>26</v>
      </c>
      <c r="AJ136" s="34" t="s">
        <v>98</v>
      </c>
      <c r="AK136" s="34">
        <v>36</v>
      </c>
      <c r="AL136" s="34" t="s">
        <v>98</v>
      </c>
      <c r="AM136" s="38" t="s">
        <v>292</v>
      </c>
      <c r="AN136" s="8" t="s">
        <v>276</v>
      </c>
      <c r="AO136" s="14">
        <f>AI136*100/AK136</f>
        <v>72.222222222222229</v>
      </c>
      <c r="AP136" s="8" t="s">
        <v>276</v>
      </c>
      <c r="AQ136" s="8" t="s">
        <v>276</v>
      </c>
      <c r="AR136" s="8" t="s">
        <v>98</v>
      </c>
      <c r="AS136" s="14" t="s">
        <v>98</v>
      </c>
      <c r="AT136" s="8" t="s">
        <v>98</v>
      </c>
      <c r="AU136" s="8" t="s">
        <v>98</v>
      </c>
      <c r="AV136" s="9" t="s">
        <v>268</v>
      </c>
      <c r="AW136" s="35" t="s">
        <v>98</v>
      </c>
      <c r="AX136" s="35" t="s">
        <v>98</v>
      </c>
      <c r="AY136" s="35" t="s">
        <v>98</v>
      </c>
      <c r="AZ136" s="35" t="s">
        <v>98</v>
      </c>
      <c r="BA136" s="35" t="s">
        <v>98</v>
      </c>
      <c r="BB136" s="35" t="s">
        <v>98</v>
      </c>
      <c r="BC136" s="35" t="s">
        <v>98</v>
      </c>
      <c r="BD136" s="35" t="s">
        <v>98</v>
      </c>
      <c r="BE136" s="35" t="s">
        <v>98</v>
      </c>
      <c r="BF136" s="9" t="s">
        <v>858</v>
      </c>
      <c r="BG136" s="9"/>
      <c r="BH136" s="9" t="s">
        <v>100</v>
      </c>
      <c r="BI136" s="9" t="s">
        <v>100</v>
      </c>
      <c r="BJ136" s="32"/>
      <c r="BK136" s="32"/>
      <c r="BL136" s="33"/>
      <c r="BM136" s="33"/>
      <c r="BN136" s="33"/>
      <c r="BO136" s="32"/>
      <c r="BP136" s="32"/>
      <c r="BQ136" s="33"/>
    </row>
    <row r="137" spans="1:69" s="33" customFormat="1" ht="39" hidden="1" x14ac:dyDescent="0.35">
      <c r="A137" s="8">
        <v>764</v>
      </c>
      <c r="B137" s="8" t="s">
        <v>859</v>
      </c>
      <c r="C137" s="8" t="s">
        <v>73</v>
      </c>
      <c r="D137" s="9" t="s">
        <v>899</v>
      </c>
      <c r="E137" s="8" t="s">
        <v>39</v>
      </c>
      <c r="F137" s="8" t="s">
        <v>143</v>
      </c>
      <c r="G137" s="8" t="s">
        <v>225</v>
      </c>
      <c r="H137" s="8" t="s">
        <v>225</v>
      </c>
      <c r="I137" s="8" t="s">
        <v>114</v>
      </c>
      <c r="J137" s="9" t="s">
        <v>98</v>
      </c>
      <c r="K137" s="8" t="s">
        <v>98</v>
      </c>
      <c r="L137" s="9" t="s">
        <v>98</v>
      </c>
      <c r="M137" s="9" t="s">
        <v>98</v>
      </c>
      <c r="N137" s="9" t="s">
        <v>900</v>
      </c>
      <c r="O137" s="9" t="s">
        <v>276</v>
      </c>
      <c r="P137" s="9" t="s">
        <v>238</v>
      </c>
      <c r="Q137" s="41">
        <v>40268</v>
      </c>
      <c r="R137" s="9" t="s">
        <v>276</v>
      </c>
      <c r="S137" s="9" t="s">
        <v>901</v>
      </c>
      <c r="T137" s="9" t="s">
        <v>98</v>
      </c>
      <c r="U137" s="48">
        <v>5</v>
      </c>
      <c r="V137" s="8" t="s">
        <v>14</v>
      </c>
      <c r="W137" s="8" t="s">
        <v>98</v>
      </c>
      <c r="X137" s="9" t="s">
        <v>209</v>
      </c>
      <c r="Y137" s="13">
        <v>2052</v>
      </c>
      <c r="Z137" s="9" t="s">
        <v>98</v>
      </c>
      <c r="AA137" s="9" t="s">
        <v>276</v>
      </c>
      <c r="AB137" s="9" t="s">
        <v>98</v>
      </c>
      <c r="AC137" s="8">
        <v>0</v>
      </c>
      <c r="AD137" s="8" t="s">
        <v>98</v>
      </c>
      <c r="AE137" s="8" t="s">
        <v>98</v>
      </c>
      <c r="AF137" s="8" t="s">
        <v>98</v>
      </c>
      <c r="AG137" s="9" t="s">
        <v>902</v>
      </c>
      <c r="AH137" s="9" t="s">
        <v>866</v>
      </c>
      <c r="AI137" s="38">
        <v>68</v>
      </c>
      <c r="AJ137" s="38" t="s">
        <v>98</v>
      </c>
      <c r="AK137" s="38">
        <v>2052</v>
      </c>
      <c r="AL137" s="38" t="s">
        <v>98</v>
      </c>
      <c r="AM137" s="38" t="s">
        <v>292</v>
      </c>
      <c r="AN137" s="14" t="s">
        <v>276</v>
      </c>
      <c r="AO137" s="31">
        <f t="shared" ref="AO137:AO147" si="57">AI137*100/AK137</f>
        <v>3.3138401559454191</v>
      </c>
      <c r="AP137" s="8" t="s">
        <v>276</v>
      </c>
      <c r="AQ137" s="8" t="s">
        <v>276</v>
      </c>
      <c r="AR137" s="8" t="s">
        <v>98</v>
      </c>
      <c r="AS137" s="8" t="s">
        <v>98</v>
      </c>
      <c r="AT137" s="8" t="s">
        <v>98</v>
      </c>
      <c r="AU137" s="8" t="s">
        <v>98</v>
      </c>
      <c r="AV137" s="8" t="s">
        <v>98</v>
      </c>
      <c r="AW137" s="8" t="s">
        <v>98</v>
      </c>
      <c r="AX137" s="8" t="s">
        <v>98</v>
      </c>
      <c r="AY137" s="8" t="s">
        <v>98</v>
      </c>
      <c r="AZ137" s="8" t="s">
        <v>98</v>
      </c>
      <c r="BA137" s="8" t="s">
        <v>98</v>
      </c>
      <c r="BB137" s="8" t="s">
        <v>98</v>
      </c>
      <c r="BC137" s="8" t="s">
        <v>98</v>
      </c>
      <c r="BD137" s="8" t="s">
        <v>98</v>
      </c>
      <c r="BE137" s="8" t="s">
        <v>98</v>
      </c>
      <c r="BF137" s="9" t="s">
        <v>903</v>
      </c>
      <c r="BG137" s="9" t="s">
        <v>868</v>
      </c>
      <c r="BH137" s="9" t="s">
        <v>100</v>
      </c>
      <c r="BI137" s="9" t="s">
        <v>100</v>
      </c>
      <c r="BJ137" s="32"/>
      <c r="BK137" s="32"/>
      <c r="BO137" s="32"/>
      <c r="BP137" s="32"/>
    </row>
    <row r="138" spans="1:69" s="33" customFormat="1" ht="39" hidden="1" x14ac:dyDescent="0.35">
      <c r="A138" s="8">
        <v>764</v>
      </c>
      <c r="B138" s="8" t="s">
        <v>859</v>
      </c>
      <c r="C138" s="8" t="s">
        <v>73</v>
      </c>
      <c r="D138" s="9" t="s">
        <v>904</v>
      </c>
      <c r="E138" s="8" t="s">
        <v>39</v>
      </c>
      <c r="F138" s="8" t="s">
        <v>143</v>
      </c>
      <c r="G138" s="8" t="s">
        <v>225</v>
      </c>
      <c r="H138" s="8" t="s">
        <v>225</v>
      </c>
      <c r="I138" s="8" t="s">
        <v>114</v>
      </c>
      <c r="J138" s="9" t="s">
        <v>98</v>
      </c>
      <c r="K138" s="8" t="s">
        <v>98</v>
      </c>
      <c r="L138" s="9" t="s">
        <v>98</v>
      </c>
      <c r="M138" s="9" t="s">
        <v>98</v>
      </c>
      <c r="N138" s="9" t="s">
        <v>900</v>
      </c>
      <c r="O138" s="9" t="s">
        <v>276</v>
      </c>
      <c r="P138" s="9" t="s">
        <v>238</v>
      </c>
      <c r="Q138" s="41" t="s">
        <v>276</v>
      </c>
      <c r="R138" s="9">
        <v>0</v>
      </c>
      <c r="S138" s="9">
        <v>0</v>
      </c>
      <c r="T138" s="9" t="s">
        <v>98</v>
      </c>
      <c r="U138" s="48">
        <v>1</v>
      </c>
      <c r="V138" s="8" t="s">
        <v>14</v>
      </c>
      <c r="W138" s="8" t="s">
        <v>98</v>
      </c>
      <c r="X138" s="9" t="s">
        <v>209</v>
      </c>
      <c r="Y138" s="13">
        <v>2052</v>
      </c>
      <c r="Z138" s="9" t="s">
        <v>98</v>
      </c>
      <c r="AA138" s="9" t="s">
        <v>276</v>
      </c>
      <c r="AB138" s="9" t="s">
        <v>98</v>
      </c>
      <c r="AC138" s="8">
        <v>0</v>
      </c>
      <c r="AD138" s="8" t="s">
        <v>98</v>
      </c>
      <c r="AE138" s="8" t="s">
        <v>98</v>
      </c>
      <c r="AF138" s="8" t="s">
        <v>98</v>
      </c>
      <c r="AG138" s="9" t="s">
        <v>905</v>
      </c>
      <c r="AH138" s="9" t="s">
        <v>866</v>
      </c>
      <c r="AI138" s="38">
        <v>17</v>
      </c>
      <c r="AJ138" s="38" t="s">
        <v>98</v>
      </c>
      <c r="AK138" s="38">
        <v>2052</v>
      </c>
      <c r="AL138" s="38" t="s">
        <v>98</v>
      </c>
      <c r="AM138" s="38" t="s">
        <v>292</v>
      </c>
      <c r="AN138" s="14">
        <v>0.83</v>
      </c>
      <c r="AO138" s="31">
        <f t="shared" si="57"/>
        <v>0.82846003898635479</v>
      </c>
      <c r="AP138" s="8" t="s">
        <v>276</v>
      </c>
      <c r="AQ138" s="8" t="s">
        <v>276</v>
      </c>
      <c r="AR138" s="8" t="s">
        <v>98</v>
      </c>
      <c r="AS138" s="8" t="s">
        <v>98</v>
      </c>
      <c r="AT138" s="8" t="s">
        <v>98</v>
      </c>
      <c r="AU138" s="8" t="s">
        <v>98</v>
      </c>
      <c r="AV138" s="8" t="s">
        <v>98</v>
      </c>
      <c r="AW138" s="8" t="s">
        <v>98</v>
      </c>
      <c r="AX138" s="8" t="s">
        <v>98</v>
      </c>
      <c r="AY138" s="8" t="s">
        <v>98</v>
      </c>
      <c r="AZ138" s="8" t="s">
        <v>98</v>
      </c>
      <c r="BA138" s="8" t="s">
        <v>98</v>
      </c>
      <c r="BB138" s="8" t="s">
        <v>98</v>
      </c>
      <c r="BC138" s="8" t="s">
        <v>98</v>
      </c>
      <c r="BD138" s="8" t="s">
        <v>98</v>
      </c>
      <c r="BE138" s="8" t="s">
        <v>98</v>
      </c>
      <c r="BF138" s="9" t="s">
        <v>906</v>
      </c>
      <c r="BG138" s="9" t="s">
        <v>868</v>
      </c>
      <c r="BH138" s="9" t="s">
        <v>100</v>
      </c>
      <c r="BI138" s="9" t="s">
        <v>100</v>
      </c>
      <c r="BJ138" s="32"/>
      <c r="BK138" s="32"/>
      <c r="BO138" s="32"/>
      <c r="BP138" s="32"/>
    </row>
    <row r="139" spans="1:69" s="33" customFormat="1" ht="91" hidden="1" x14ac:dyDescent="0.35">
      <c r="A139" s="8">
        <v>764</v>
      </c>
      <c r="B139" s="8" t="s">
        <v>859</v>
      </c>
      <c r="C139" s="8" t="s">
        <v>73</v>
      </c>
      <c r="D139" s="9" t="s">
        <v>907</v>
      </c>
      <c r="E139" s="8" t="s">
        <v>39</v>
      </c>
      <c r="F139" s="8" t="s">
        <v>143</v>
      </c>
      <c r="G139" s="8" t="s">
        <v>225</v>
      </c>
      <c r="H139" s="8" t="s">
        <v>225</v>
      </c>
      <c r="I139" s="8" t="s">
        <v>114</v>
      </c>
      <c r="J139" s="9" t="s">
        <v>98</v>
      </c>
      <c r="K139" s="8" t="s">
        <v>98</v>
      </c>
      <c r="L139" s="9" t="s">
        <v>98</v>
      </c>
      <c r="M139" s="9" t="s">
        <v>98</v>
      </c>
      <c r="N139" s="9" t="s">
        <v>900</v>
      </c>
      <c r="O139" s="9" t="s">
        <v>276</v>
      </c>
      <c r="P139" s="9" t="s">
        <v>238</v>
      </c>
      <c r="Q139" s="41" t="s">
        <v>276</v>
      </c>
      <c r="R139" s="9" t="s">
        <v>276</v>
      </c>
      <c r="S139" s="9" t="s">
        <v>276</v>
      </c>
      <c r="T139" s="9" t="s">
        <v>98</v>
      </c>
      <c r="U139" s="48">
        <v>4</v>
      </c>
      <c r="V139" s="8" t="s">
        <v>14</v>
      </c>
      <c r="W139" s="8" t="s">
        <v>98</v>
      </c>
      <c r="X139" s="9" t="s">
        <v>209</v>
      </c>
      <c r="Y139" s="13">
        <v>2052</v>
      </c>
      <c r="Z139" s="9" t="s">
        <v>98</v>
      </c>
      <c r="AA139" s="9" t="s">
        <v>276</v>
      </c>
      <c r="AB139" s="9" t="s">
        <v>98</v>
      </c>
      <c r="AC139" s="8">
        <v>0</v>
      </c>
      <c r="AD139" s="8" t="s">
        <v>98</v>
      </c>
      <c r="AE139" s="8" t="s">
        <v>98</v>
      </c>
      <c r="AF139" s="8" t="s">
        <v>98</v>
      </c>
      <c r="AG139" s="9" t="s">
        <v>908</v>
      </c>
      <c r="AH139" s="9" t="s">
        <v>866</v>
      </c>
      <c r="AI139" s="38">
        <f>68-17</f>
        <v>51</v>
      </c>
      <c r="AJ139" s="38" t="s">
        <v>98</v>
      </c>
      <c r="AK139" s="38">
        <v>2052</v>
      </c>
      <c r="AL139" s="38" t="s">
        <v>98</v>
      </c>
      <c r="AM139" s="38" t="s">
        <v>292</v>
      </c>
      <c r="AN139" s="14" t="s">
        <v>276</v>
      </c>
      <c r="AO139" s="31">
        <f t="shared" si="57"/>
        <v>2.4853801169590644</v>
      </c>
      <c r="AP139" s="8" t="s">
        <v>276</v>
      </c>
      <c r="AQ139" s="8" t="s">
        <v>276</v>
      </c>
      <c r="AR139" s="8" t="s">
        <v>98</v>
      </c>
      <c r="AS139" s="8" t="s">
        <v>98</v>
      </c>
      <c r="AT139" s="8" t="s">
        <v>98</v>
      </c>
      <c r="AU139" s="8" t="s">
        <v>98</v>
      </c>
      <c r="AV139" s="8" t="s">
        <v>98</v>
      </c>
      <c r="AW139" s="8" t="s">
        <v>98</v>
      </c>
      <c r="AX139" s="8" t="s">
        <v>98</v>
      </c>
      <c r="AY139" s="8" t="s">
        <v>98</v>
      </c>
      <c r="AZ139" s="8" t="s">
        <v>98</v>
      </c>
      <c r="BA139" s="8" t="s">
        <v>98</v>
      </c>
      <c r="BB139" s="8" t="s">
        <v>98</v>
      </c>
      <c r="BC139" s="8" t="s">
        <v>98</v>
      </c>
      <c r="BD139" s="8" t="s">
        <v>98</v>
      </c>
      <c r="BE139" s="8" t="s">
        <v>98</v>
      </c>
      <c r="BF139" s="9" t="s">
        <v>909</v>
      </c>
      <c r="BG139" s="9" t="s">
        <v>910</v>
      </c>
      <c r="BH139" s="9" t="s">
        <v>100</v>
      </c>
      <c r="BI139" s="9" t="s">
        <v>100</v>
      </c>
      <c r="BJ139" s="32"/>
      <c r="BK139" s="32"/>
      <c r="BO139" s="32"/>
      <c r="BP139" s="32"/>
    </row>
    <row r="140" spans="1:69" s="33" customFormat="1" ht="52" hidden="1" x14ac:dyDescent="0.35">
      <c r="A140" s="8">
        <v>764</v>
      </c>
      <c r="B140" s="8" t="s">
        <v>859</v>
      </c>
      <c r="C140" s="8" t="s">
        <v>73</v>
      </c>
      <c r="D140" s="9" t="s">
        <v>911</v>
      </c>
      <c r="E140" s="8" t="s">
        <v>39</v>
      </c>
      <c r="F140" s="8" t="s">
        <v>143</v>
      </c>
      <c r="G140" s="8" t="s">
        <v>225</v>
      </c>
      <c r="H140" s="8" t="s">
        <v>225</v>
      </c>
      <c r="I140" s="8" t="s">
        <v>114</v>
      </c>
      <c r="J140" s="9" t="s">
        <v>98</v>
      </c>
      <c r="K140" s="8" t="s">
        <v>98</v>
      </c>
      <c r="L140" s="9" t="s">
        <v>98</v>
      </c>
      <c r="M140" s="9" t="s">
        <v>98</v>
      </c>
      <c r="N140" s="9" t="s">
        <v>900</v>
      </c>
      <c r="O140" s="9" t="s">
        <v>276</v>
      </c>
      <c r="P140" s="9" t="s">
        <v>236</v>
      </c>
      <c r="Q140" s="41">
        <v>40268</v>
      </c>
      <c r="R140" s="9" t="s">
        <v>276</v>
      </c>
      <c r="S140" s="9" t="s">
        <v>901</v>
      </c>
      <c r="T140" s="9" t="s">
        <v>98</v>
      </c>
      <c r="U140" s="48">
        <v>5</v>
      </c>
      <c r="V140" s="8" t="s">
        <v>14</v>
      </c>
      <c r="W140" s="8" t="s">
        <v>98</v>
      </c>
      <c r="X140" s="9" t="s">
        <v>209</v>
      </c>
      <c r="Y140" s="13" t="s">
        <v>98</v>
      </c>
      <c r="Z140" s="9" t="s">
        <v>98</v>
      </c>
      <c r="AA140" s="9" t="s">
        <v>276</v>
      </c>
      <c r="AB140" s="9" t="s">
        <v>98</v>
      </c>
      <c r="AC140" s="8">
        <v>0</v>
      </c>
      <c r="AD140" s="8" t="s">
        <v>98</v>
      </c>
      <c r="AE140" s="8" t="s">
        <v>98</v>
      </c>
      <c r="AF140" s="8" t="s">
        <v>98</v>
      </c>
      <c r="AG140" s="9" t="s">
        <v>902</v>
      </c>
      <c r="AH140" s="9" t="s">
        <v>11665</v>
      </c>
      <c r="AI140" s="38">
        <v>68</v>
      </c>
      <c r="AJ140" s="38" t="s">
        <v>98</v>
      </c>
      <c r="AK140" s="38">
        <v>69</v>
      </c>
      <c r="AL140" s="38" t="s">
        <v>98</v>
      </c>
      <c r="AM140" s="38" t="s">
        <v>292</v>
      </c>
      <c r="AN140" s="14" t="s">
        <v>276</v>
      </c>
      <c r="AO140" s="31">
        <f t="shared" si="57"/>
        <v>98.550724637681157</v>
      </c>
      <c r="AP140" s="8" t="s">
        <v>276</v>
      </c>
      <c r="AQ140" s="8" t="s">
        <v>276</v>
      </c>
      <c r="AR140" s="8" t="s">
        <v>98</v>
      </c>
      <c r="AS140" s="8" t="s">
        <v>98</v>
      </c>
      <c r="AT140" s="8" t="s">
        <v>98</v>
      </c>
      <c r="AU140" s="8" t="s">
        <v>98</v>
      </c>
      <c r="AV140" s="8" t="s">
        <v>98</v>
      </c>
      <c r="AW140" s="8" t="s">
        <v>98</v>
      </c>
      <c r="AX140" s="8" t="s">
        <v>98</v>
      </c>
      <c r="AY140" s="8" t="s">
        <v>98</v>
      </c>
      <c r="AZ140" s="8" t="s">
        <v>98</v>
      </c>
      <c r="BA140" s="8" t="s">
        <v>98</v>
      </c>
      <c r="BB140" s="8" t="s">
        <v>98</v>
      </c>
      <c r="BC140" s="8" t="s">
        <v>98</v>
      </c>
      <c r="BD140" s="8" t="s">
        <v>98</v>
      </c>
      <c r="BE140" s="8" t="s">
        <v>98</v>
      </c>
      <c r="BF140" s="9" t="s">
        <v>912</v>
      </c>
      <c r="BG140" s="9" t="s">
        <v>868</v>
      </c>
      <c r="BH140" s="9" t="s">
        <v>100</v>
      </c>
      <c r="BI140" s="9" t="s">
        <v>100</v>
      </c>
      <c r="BJ140" s="32"/>
      <c r="BK140" s="32"/>
      <c r="BO140" s="32"/>
      <c r="BP140" s="32"/>
    </row>
    <row r="141" spans="1:69" s="33" customFormat="1" ht="65" hidden="1" x14ac:dyDescent="0.35">
      <c r="A141" s="8">
        <v>764</v>
      </c>
      <c r="B141" s="8" t="s">
        <v>859</v>
      </c>
      <c r="C141" s="8" t="s">
        <v>73</v>
      </c>
      <c r="D141" s="9" t="s">
        <v>913</v>
      </c>
      <c r="E141" s="8" t="s">
        <v>39</v>
      </c>
      <c r="F141" s="8" t="s">
        <v>143</v>
      </c>
      <c r="G141" s="8" t="s">
        <v>225</v>
      </c>
      <c r="H141" s="8" t="s">
        <v>125</v>
      </c>
      <c r="I141" s="8" t="s">
        <v>114</v>
      </c>
      <c r="J141" s="9" t="s">
        <v>25</v>
      </c>
      <c r="K141" s="9" t="s">
        <v>914</v>
      </c>
      <c r="L141" s="9" t="s">
        <v>915</v>
      </c>
      <c r="M141" s="9" t="s">
        <v>916</v>
      </c>
      <c r="N141" s="9" t="s">
        <v>900</v>
      </c>
      <c r="O141" s="9" t="s">
        <v>276</v>
      </c>
      <c r="P141" s="9" t="s">
        <v>239</v>
      </c>
      <c r="Q141" s="41">
        <v>40268</v>
      </c>
      <c r="R141" s="9" t="s">
        <v>276</v>
      </c>
      <c r="S141" s="9" t="s">
        <v>901</v>
      </c>
      <c r="T141" s="9" t="s">
        <v>917</v>
      </c>
      <c r="U141" s="48">
        <v>5</v>
      </c>
      <c r="V141" s="8" t="s">
        <v>14</v>
      </c>
      <c r="W141" s="8" t="s">
        <v>98</v>
      </c>
      <c r="X141" s="9" t="s">
        <v>207</v>
      </c>
      <c r="Y141" s="13">
        <v>2052</v>
      </c>
      <c r="Z141" s="9">
        <v>2052</v>
      </c>
      <c r="AA141" s="9">
        <v>15</v>
      </c>
      <c r="AB141" s="9">
        <v>14</v>
      </c>
      <c r="AC141" s="8">
        <v>0</v>
      </c>
      <c r="AD141" s="8" t="s">
        <v>98</v>
      </c>
      <c r="AE141" s="8">
        <v>0</v>
      </c>
      <c r="AF141" s="8" t="s">
        <v>98</v>
      </c>
      <c r="AG141" s="9" t="s">
        <v>918</v>
      </c>
      <c r="AH141" s="9" t="s">
        <v>919</v>
      </c>
      <c r="AI141" s="38">
        <v>21</v>
      </c>
      <c r="AJ141" s="38">
        <v>16</v>
      </c>
      <c r="AK141" s="38">
        <v>2052</v>
      </c>
      <c r="AL141" s="38">
        <v>2052</v>
      </c>
      <c r="AM141" s="38" t="s">
        <v>292</v>
      </c>
      <c r="AN141" s="8" t="s">
        <v>276</v>
      </c>
      <c r="AO141" s="31">
        <f t="shared" si="57"/>
        <v>1.0233918128654971</v>
      </c>
      <c r="AP141" s="8" t="s">
        <v>276</v>
      </c>
      <c r="AQ141" s="8" t="s">
        <v>276</v>
      </c>
      <c r="AR141" s="8" t="s">
        <v>276</v>
      </c>
      <c r="AS141" s="31">
        <f t="shared" ref="AS141:AS168" si="58">AJ141*100/AL141</f>
        <v>0.77972709551656916</v>
      </c>
      <c r="AT141" s="8" t="s">
        <v>276</v>
      </c>
      <c r="AU141" s="8" t="s">
        <v>276</v>
      </c>
      <c r="AV141" s="9" t="s">
        <v>268</v>
      </c>
      <c r="AW141" s="40" t="s">
        <v>276</v>
      </c>
      <c r="AX141" s="53">
        <f t="shared" ref="AX141:AX185" si="59">AO141/AS141</f>
        <v>1.3125</v>
      </c>
      <c r="AY141" s="9" t="s">
        <v>276</v>
      </c>
      <c r="AZ141" s="9" t="s">
        <v>276</v>
      </c>
      <c r="BA141" s="9">
        <v>0.41039999999999999</v>
      </c>
      <c r="BB141" s="9" t="s">
        <v>282</v>
      </c>
      <c r="BC141" s="9" t="s">
        <v>98</v>
      </c>
      <c r="BD141" s="9" t="s">
        <v>98</v>
      </c>
      <c r="BE141" s="9" t="s">
        <v>98</v>
      </c>
      <c r="BF141" s="9" t="s">
        <v>920</v>
      </c>
      <c r="BG141" s="9" t="s">
        <v>921</v>
      </c>
      <c r="BH141" s="9" t="s">
        <v>100</v>
      </c>
      <c r="BI141" s="9" t="s">
        <v>100</v>
      </c>
      <c r="BJ141" s="32"/>
      <c r="BK141" s="32"/>
      <c r="BO141" s="32"/>
      <c r="BP141" s="32"/>
    </row>
    <row r="142" spans="1:69" s="33" customFormat="1" ht="52" x14ac:dyDescent="0.35">
      <c r="A142" s="8">
        <v>748</v>
      </c>
      <c r="B142" s="8" t="s">
        <v>878</v>
      </c>
      <c r="C142" s="8" t="s">
        <v>73</v>
      </c>
      <c r="D142" s="9" t="s">
        <v>11666</v>
      </c>
      <c r="E142" s="8" t="s">
        <v>39</v>
      </c>
      <c r="F142" s="8" t="s">
        <v>143</v>
      </c>
      <c r="G142" s="8" t="s">
        <v>225</v>
      </c>
      <c r="H142" s="8" t="s">
        <v>225</v>
      </c>
      <c r="I142" s="8" t="s">
        <v>114</v>
      </c>
      <c r="J142" s="9" t="s">
        <v>98</v>
      </c>
      <c r="K142" s="8" t="s">
        <v>98</v>
      </c>
      <c r="L142" s="9" t="s">
        <v>98</v>
      </c>
      <c r="M142" s="9" t="s">
        <v>98</v>
      </c>
      <c r="N142" s="9" t="s">
        <v>900</v>
      </c>
      <c r="O142" s="9" t="s">
        <v>276</v>
      </c>
      <c r="P142" s="9" t="s">
        <v>236</v>
      </c>
      <c r="Q142" s="41">
        <v>42101</v>
      </c>
      <c r="R142" s="9" t="s">
        <v>276</v>
      </c>
      <c r="S142" s="9" t="s">
        <v>967</v>
      </c>
      <c r="T142" s="9" t="s">
        <v>98</v>
      </c>
      <c r="U142" s="48">
        <v>5</v>
      </c>
      <c r="V142" s="8" t="s">
        <v>14</v>
      </c>
      <c r="W142" s="8" t="s">
        <v>98</v>
      </c>
      <c r="X142" s="9" t="s">
        <v>209</v>
      </c>
      <c r="Y142" s="13" t="s">
        <v>98</v>
      </c>
      <c r="Z142" s="9" t="s">
        <v>98</v>
      </c>
      <c r="AA142" s="9" t="s">
        <v>276</v>
      </c>
      <c r="AB142" s="9" t="s">
        <v>98</v>
      </c>
      <c r="AC142" s="8">
        <v>0</v>
      </c>
      <c r="AD142" s="8" t="s">
        <v>98</v>
      </c>
      <c r="AE142" s="8" t="s">
        <v>98</v>
      </c>
      <c r="AF142" s="8" t="s">
        <v>98</v>
      </c>
      <c r="AG142" s="9" t="s">
        <v>902</v>
      </c>
      <c r="AH142" s="9" t="s">
        <v>1000</v>
      </c>
      <c r="AI142" s="38">
        <v>68</v>
      </c>
      <c r="AJ142" s="38" t="s">
        <v>98</v>
      </c>
      <c r="AK142" s="38">
        <v>100</v>
      </c>
      <c r="AL142" s="38" t="s">
        <v>98</v>
      </c>
      <c r="AM142" s="38" t="s">
        <v>292</v>
      </c>
      <c r="AN142" s="14" t="s">
        <v>276</v>
      </c>
      <c r="AO142" s="31">
        <f t="shared" ref="AO142" si="60">AI142*100/AK142</f>
        <v>68</v>
      </c>
      <c r="AP142" s="8" t="s">
        <v>276</v>
      </c>
      <c r="AQ142" s="8" t="s">
        <v>276</v>
      </c>
      <c r="AR142" s="8" t="s">
        <v>98</v>
      </c>
      <c r="AS142" s="8" t="s">
        <v>98</v>
      </c>
      <c r="AT142" s="8" t="s">
        <v>98</v>
      </c>
      <c r="AU142" s="8" t="s">
        <v>98</v>
      </c>
      <c r="AV142" s="8" t="s">
        <v>98</v>
      </c>
      <c r="AW142" s="8" t="s">
        <v>98</v>
      </c>
      <c r="AX142" s="8" t="s">
        <v>98</v>
      </c>
      <c r="AY142" s="8" t="s">
        <v>98</v>
      </c>
      <c r="AZ142" s="8" t="s">
        <v>98</v>
      </c>
      <c r="BA142" s="8" t="s">
        <v>98</v>
      </c>
      <c r="BB142" s="8" t="s">
        <v>98</v>
      </c>
      <c r="BC142" s="8" t="s">
        <v>98</v>
      </c>
      <c r="BD142" s="8" t="s">
        <v>98</v>
      </c>
      <c r="BE142" s="8" t="s">
        <v>98</v>
      </c>
      <c r="BF142" s="9" t="s">
        <v>912</v>
      </c>
      <c r="BG142" s="9" t="s">
        <v>868</v>
      </c>
      <c r="BH142" s="9" t="s">
        <v>99</v>
      </c>
      <c r="BI142" s="9" t="s">
        <v>100</v>
      </c>
      <c r="BJ142" s="32"/>
      <c r="BK142" s="32"/>
      <c r="BO142" s="32"/>
      <c r="BP142" s="32"/>
    </row>
    <row r="143" spans="1:69" s="33" customFormat="1" ht="65" hidden="1" x14ac:dyDescent="0.35">
      <c r="A143" s="8">
        <v>764</v>
      </c>
      <c r="B143" s="8" t="s">
        <v>859</v>
      </c>
      <c r="C143" s="8" t="s">
        <v>73</v>
      </c>
      <c r="D143" s="9" t="s">
        <v>922</v>
      </c>
      <c r="E143" s="8" t="s">
        <v>39</v>
      </c>
      <c r="F143" s="8" t="s">
        <v>143</v>
      </c>
      <c r="G143" s="8" t="s">
        <v>225</v>
      </c>
      <c r="H143" s="8" t="s">
        <v>125</v>
      </c>
      <c r="I143" s="8" t="s">
        <v>114</v>
      </c>
      <c r="J143" s="9" t="s">
        <v>25</v>
      </c>
      <c r="K143" s="9" t="s">
        <v>914</v>
      </c>
      <c r="L143" s="9" t="s">
        <v>915</v>
      </c>
      <c r="M143" s="9" t="s">
        <v>916</v>
      </c>
      <c r="N143" s="9" t="s">
        <v>900</v>
      </c>
      <c r="O143" s="9" t="s">
        <v>276</v>
      </c>
      <c r="P143" s="9" t="s">
        <v>235</v>
      </c>
      <c r="Q143" s="41">
        <v>40268</v>
      </c>
      <c r="R143" s="9" t="s">
        <v>276</v>
      </c>
      <c r="S143" s="9" t="s">
        <v>901</v>
      </c>
      <c r="T143" s="9" t="s">
        <v>917</v>
      </c>
      <c r="U143" s="48">
        <v>5</v>
      </c>
      <c r="V143" s="8" t="s">
        <v>14</v>
      </c>
      <c r="W143" s="8" t="s">
        <v>98</v>
      </c>
      <c r="X143" s="9" t="s">
        <v>207</v>
      </c>
      <c r="Y143" s="13" t="s">
        <v>98</v>
      </c>
      <c r="Z143" s="13" t="s">
        <v>98</v>
      </c>
      <c r="AA143" s="9">
        <v>15</v>
      </c>
      <c r="AB143" s="9">
        <v>14</v>
      </c>
      <c r="AC143" s="8">
        <v>0</v>
      </c>
      <c r="AD143" s="8" t="s">
        <v>98</v>
      </c>
      <c r="AE143" s="8">
        <v>0</v>
      </c>
      <c r="AF143" s="8" t="s">
        <v>98</v>
      </c>
      <c r="AG143" s="9" t="s">
        <v>918</v>
      </c>
      <c r="AH143" s="9" t="s">
        <v>923</v>
      </c>
      <c r="AI143" s="38">
        <v>21</v>
      </c>
      <c r="AJ143" s="38">
        <v>16</v>
      </c>
      <c r="AK143" s="38">
        <v>69</v>
      </c>
      <c r="AL143" s="38">
        <v>24</v>
      </c>
      <c r="AM143" s="38" t="s">
        <v>292</v>
      </c>
      <c r="AN143" s="8">
        <v>30</v>
      </c>
      <c r="AO143" s="31">
        <f t="shared" si="57"/>
        <v>30.434782608695652</v>
      </c>
      <c r="AP143" s="8" t="s">
        <v>276</v>
      </c>
      <c r="AQ143" s="8" t="s">
        <v>276</v>
      </c>
      <c r="AR143" s="8">
        <v>67</v>
      </c>
      <c r="AS143" s="31">
        <f t="shared" si="58"/>
        <v>66.666666666666671</v>
      </c>
      <c r="AT143" s="8" t="s">
        <v>276</v>
      </c>
      <c r="AU143" s="8" t="s">
        <v>276</v>
      </c>
      <c r="AV143" s="9" t="s">
        <v>268</v>
      </c>
      <c r="AW143" s="40" t="s">
        <v>276</v>
      </c>
      <c r="AX143" s="53">
        <f t="shared" si="59"/>
        <v>0.45652173913043476</v>
      </c>
      <c r="AY143" s="9" t="s">
        <v>276</v>
      </c>
      <c r="AZ143" s="9" t="s">
        <v>276</v>
      </c>
      <c r="BA143" s="9" t="s">
        <v>276</v>
      </c>
      <c r="BB143" s="9" t="s">
        <v>282</v>
      </c>
      <c r="BC143" s="9" t="s">
        <v>98</v>
      </c>
      <c r="BD143" s="9" t="s">
        <v>98</v>
      </c>
      <c r="BE143" s="9" t="s">
        <v>98</v>
      </c>
      <c r="BF143" s="9" t="s">
        <v>924</v>
      </c>
      <c r="BG143" s="9" t="s">
        <v>921</v>
      </c>
      <c r="BH143" s="9" t="s">
        <v>100</v>
      </c>
      <c r="BI143" s="9" t="s">
        <v>100</v>
      </c>
      <c r="BJ143" s="32"/>
      <c r="BK143" s="32"/>
      <c r="BO143" s="32"/>
      <c r="BP143" s="32"/>
    </row>
    <row r="144" spans="1:69" s="33" customFormat="1" ht="104" hidden="1" x14ac:dyDescent="0.35">
      <c r="A144" s="8">
        <v>764</v>
      </c>
      <c r="B144" s="8" t="s">
        <v>859</v>
      </c>
      <c r="C144" s="8" t="s">
        <v>73</v>
      </c>
      <c r="D144" s="9" t="s">
        <v>925</v>
      </c>
      <c r="E144" s="8" t="s">
        <v>39</v>
      </c>
      <c r="F144" s="8" t="s">
        <v>143</v>
      </c>
      <c r="G144" s="8" t="s">
        <v>225</v>
      </c>
      <c r="H144" s="8" t="s">
        <v>125</v>
      </c>
      <c r="I144" s="8" t="s">
        <v>114</v>
      </c>
      <c r="J144" s="9" t="s">
        <v>25</v>
      </c>
      <c r="K144" s="9" t="s">
        <v>926</v>
      </c>
      <c r="L144" s="9" t="s">
        <v>915</v>
      </c>
      <c r="M144" s="9" t="s">
        <v>916</v>
      </c>
      <c r="N144" s="9" t="s">
        <v>900</v>
      </c>
      <c r="O144" s="9" t="s">
        <v>276</v>
      </c>
      <c r="P144" s="9" t="s">
        <v>239</v>
      </c>
      <c r="Q144" s="41">
        <v>40268</v>
      </c>
      <c r="R144" s="9" t="s">
        <v>276</v>
      </c>
      <c r="S144" s="9" t="s">
        <v>901</v>
      </c>
      <c r="T144" s="9" t="s">
        <v>917</v>
      </c>
      <c r="U144" s="48">
        <v>5</v>
      </c>
      <c r="V144" s="8" t="s">
        <v>14</v>
      </c>
      <c r="W144" s="8" t="s">
        <v>98</v>
      </c>
      <c r="X144" s="9" t="s">
        <v>207</v>
      </c>
      <c r="Y144" s="13">
        <v>2052</v>
      </c>
      <c r="Z144" s="9">
        <v>2052</v>
      </c>
      <c r="AA144" s="9">
        <v>15</v>
      </c>
      <c r="AB144" s="9">
        <v>14</v>
      </c>
      <c r="AC144" s="8">
        <v>0</v>
      </c>
      <c r="AD144" s="8" t="s">
        <v>98</v>
      </c>
      <c r="AE144" s="8">
        <v>0</v>
      </c>
      <c r="AF144" s="8" t="s">
        <v>98</v>
      </c>
      <c r="AG144" s="9" t="s">
        <v>927</v>
      </c>
      <c r="AH144" s="9" t="s">
        <v>919</v>
      </c>
      <c r="AI144" s="38">
        <v>48</v>
      </c>
      <c r="AJ144" s="38">
        <v>8</v>
      </c>
      <c r="AK144" s="38">
        <v>2052</v>
      </c>
      <c r="AL144" s="38">
        <v>2052</v>
      </c>
      <c r="AM144" s="38" t="s">
        <v>292</v>
      </c>
      <c r="AN144" s="8" t="s">
        <v>276</v>
      </c>
      <c r="AO144" s="31">
        <f t="shared" si="57"/>
        <v>2.3391812865497075</v>
      </c>
      <c r="AP144" s="8" t="s">
        <v>276</v>
      </c>
      <c r="AQ144" s="8" t="s">
        <v>276</v>
      </c>
      <c r="AR144" s="8" t="s">
        <v>276</v>
      </c>
      <c r="AS144" s="31">
        <f t="shared" si="58"/>
        <v>0.38986354775828458</v>
      </c>
      <c r="AT144" s="8" t="s">
        <v>276</v>
      </c>
      <c r="AU144" s="8" t="s">
        <v>276</v>
      </c>
      <c r="AV144" s="9" t="s">
        <v>268</v>
      </c>
      <c r="AW144" s="48" t="s">
        <v>276</v>
      </c>
      <c r="AX144" s="53">
        <f t="shared" si="59"/>
        <v>6</v>
      </c>
      <c r="AY144" s="9" t="s">
        <v>276</v>
      </c>
      <c r="AZ144" s="9" t="s">
        <v>276</v>
      </c>
      <c r="BA144" s="9" t="s">
        <v>276</v>
      </c>
      <c r="BB144" s="9" t="s">
        <v>282</v>
      </c>
      <c r="BC144" s="9" t="s">
        <v>98</v>
      </c>
      <c r="BD144" s="9" t="s">
        <v>98</v>
      </c>
      <c r="BE144" s="9" t="s">
        <v>98</v>
      </c>
      <c r="BF144" s="9" t="s">
        <v>928</v>
      </c>
      <c r="BG144" s="9" t="s">
        <v>868</v>
      </c>
      <c r="BH144" s="9" t="s">
        <v>100</v>
      </c>
      <c r="BI144" s="9" t="s">
        <v>100</v>
      </c>
      <c r="BJ144" s="32"/>
      <c r="BK144" s="32"/>
      <c r="BO144" s="32"/>
      <c r="BP144" s="32"/>
    </row>
    <row r="145" spans="1:68" s="33" customFormat="1" ht="65" hidden="1" x14ac:dyDescent="0.35">
      <c r="A145" s="8">
        <v>764</v>
      </c>
      <c r="B145" s="8" t="s">
        <v>859</v>
      </c>
      <c r="C145" s="8" t="s">
        <v>73</v>
      </c>
      <c r="D145" s="9" t="s">
        <v>929</v>
      </c>
      <c r="E145" s="8" t="s">
        <v>39</v>
      </c>
      <c r="F145" s="8" t="s">
        <v>143</v>
      </c>
      <c r="G145" s="8" t="s">
        <v>225</v>
      </c>
      <c r="H145" s="8" t="s">
        <v>125</v>
      </c>
      <c r="I145" s="8" t="s">
        <v>114</v>
      </c>
      <c r="J145" s="9" t="s">
        <v>25</v>
      </c>
      <c r="K145" s="8" t="s">
        <v>930</v>
      </c>
      <c r="L145" s="9" t="s">
        <v>915</v>
      </c>
      <c r="M145" s="9" t="s">
        <v>916</v>
      </c>
      <c r="N145" s="9" t="s">
        <v>900</v>
      </c>
      <c r="O145" s="9" t="s">
        <v>276</v>
      </c>
      <c r="P145" s="9" t="s">
        <v>239</v>
      </c>
      <c r="Q145" s="41">
        <v>40268</v>
      </c>
      <c r="R145" s="9" t="s">
        <v>276</v>
      </c>
      <c r="S145" s="9" t="s">
        <v>901</v>
      </c>
      <c r="T145" s="9" t="s">
        <v>917</v>
      </c>
      <c r="U145" s="48">
        <v>5</v>
      </c>
      <c r="V145" s="8" t="s">
        <v>14</v>
      </c>
      <c r="W145" s="8" t="s">
        <v>98</v>
      </c>
      <c r="X145" s="9" t="s">
        <v>207</v>
      </c>
      <c r="Y145" s="13">
        <v>2052</v>
      </c>
      <c r="Z145" s="9">
        <v>2052</v>
      </c>
      <c r="AA145" s="9">
        <v>15</v>
      </c>
      <c r="AB145" s="9">
        <v>14</v>
      </c>
      <c r="AC145" s="8">
        <v>0</v>
      </c>
      <c r="AD145" s="8" t="s">
        <v>98</v>
      </c>
      <c r="AE145" s="8">
        <v>0</v>
      </c>
      <c r="AF145" s="8" t="s">
        <v>98</v>
      </c>
      <c r="AG145" s="9" t="s">
        <v>931</v>
      </c>
      <c r="AH145" s="9" t="s">
        <v>919</v>
      </c>
      <c r="AI145" s="38">
        <v>37</v>
      </c>
      <c r="AJ145" s="38">
        <v>3</v>
      </c>
      <c r="AK145" s="38">
        <v>2052</v>
      </c>
      <c r="AL145" s="38">
        <v>2052</v>
      </c>
      <c r="AM145" s="38" t="s">
        <v>292</v>
      </c>
      <c r="AN145" s="8" t="s">
        <v>276</v>
      </c>
      <c r="AO145" s="31">
        <f t="shared" si="57"/>
        <v>1.8031189083820662</v>
      </c>
      <c r="AP145" s="8" t="s">
        <v>276</v>
      </c>
      <c r="AQ145" s="8" t="s">
        <v>276</v>
      </c>
      <c r="AR145" s="8" t="s">
        <v>276</v>
      </c>
      <c r="AS145" s="31">
        <f t="shared" si="58"/>
        <v>0.14619883040935672</v>
      </c>
      <c r="AT145" s="8" t="s">
        <v>276</v>
      </c>
      <c r="AU145" s="8" t="s">
        <v>276</v>
      </c>
      <c r="AV145" s="9" t="s">
        <v>268</v>
      </c>
      <c r="AW145" s="40" t="s">
        <v>276</v>
      </c>
      <c r="AX145" s="53">
        <f t="shared" si="59"/>
        <v>12.333333333333334</v>
      </c>
      <c r="AY145" s="9" t="s">
        <v>276</v>
      </c>
      <c r="AZ145" s="9" t="s">
        <v>276</v>
      </c>
      <c r="BA145" s="9" t="s">
        <v>276</v>
      </c>
      <c r="BB145" s="9" t="s">
        <v>282</v>
      </c>
      <c r="BC145" s="9" t="s">
        <v>98</v>
      </c>
      <c r="BD145" s="9" t="s">
        <v>98</v>
      </c>
      <c r="BE145" s="9" t="s">
        <v>98</v>
      </c>
      <c r="BF145" s="9" t="s">
        <v>932</v>
      </c>
      <c r="BG145" s="9" t="s">
        <v>868</v>
      </c>
      <c r="BH145" s="9" t="s">
        <v>100</v>
      </c>
      <c r="BI145" s="9" t="s">
        <v>100</v>
      </c>
      <c r="BJ145" s="54"/>
      <c r="BK145" s="32"/>
      <c r="BO145" s="32"/>
      <c r="BP145" s="32"/>
    </row>
    <row r="146" spans="1:68" s="33" customFormat="1" ht="65" hidden="1" x14ac:dyDescent="0.35">
      <c r="A146" s="8">
        <v>764</v>
      </c>
      <c r="B146" s="8" t="s">
        <v>859</v>
      </c>
      <c r="C146" s="8" t="s">
        <v>73</v>
      </c>
      <c r="D146" s="9" t="s">
        <v>933</v>
      </c>
      <c r="E146" s="8" t="s">
        <v>39</v>
      </c>
      <c r="F146" s="8" t="s">
        <v>143</v>
      </c>
      <c r="G146" s="8" t="s">
        <v>225</v>
      </c>
      <c r="H146" s="8" t="s">
        <v>125</v>
      </c>
      <c r="I146" s="8" t="s">
        <v>114</v>
      </c>
      <c r="J146" s="9" t="s">
        <v>25</v>
      </c>
      <c r="K146" s="8" t="s">
        <v>934</v>
      </c>
      <c r="L146" s="9" t="s">
        <v>915</v>
      </c>
      <c r="M146" s="9" t="s">
        <v>916</v>
      </c>
      <c r="N146" s="9" t="s">
        <v>900</v>
      </c>
      <c r="O146" s="9" t="s">
        <v>276</v>
      </c>
      <c r="P146" s="9" t="s">
        <v>239</v>
      </c>
      <c r="Q146" s="41">
        <v>40268</v>
      </c>
      <c r="R146" s="9" t="s">
        <v>276</v>
      </c>
      <c r="S146" s="9" t="s">
        <v>901</v>
      </c>
      <c r="T146" s="9" t="s">
        <v>917</v>
      </c>
      <c r="U146" s="48">
        <v>5</v>
      </c>
      <c r="V146" s="8" t="s">
        <v>14</v>
      </c>
      <c r="W146" s="8" t="s">
        <v>98</v>
      </c>
      <c r="X146" s="9" t="s">
        <v>207</v>
      </c>
      <c r="Y146" s="13">
        <v>2052</v>
      </c>
      <c r="Z146" s="9">
        <v>2052</v>
      </c>
      <c r="AA146" s="9">
        <v>15</v>
      </c>
      <c r="AB146" s="9">
        <v>14</v>
      </c>
      <c r="AC146" s="8">
        <v>0</v>
      </c>
      <c r="AD146" s="8" t="s">
        <v>98</v>
      </c>
      <c r="AE146" s="8">
        <v>0</v>
      </c>
      <c r="AF146" s="8" t="s">
        <v>98</v>
      </c>
      <c r="AG146" s="9" t="s">
        <v>935</v>
      </c>
      <c r="AH146" s="9" t="s">
        <v>919</v>
      </c>
      <c r="AI146" s="38">
        <v>10</v>
      </c>
      <c r="AJ146" s="38">
        <v>2</v>
      </c>
      <c r="AK146" s="38">
        <v>2052</v>
      </c>
      <c r="AL146" s="38">
        <v>2052</v>
      </c>
      <c r="AM146" s="38" t="s">
        <v>292</v>
      </c>
      <c r="AN146" s="8" t="s">
        <v>276</v>
      </c>
      <c r="AO146" s="31">
        <f t="shared" si="57"/>
        <v>0.48732943469785572</v>
      </c>
      <c r="AP146" s="8" t="s">
        <v>276</v>
      </c>
      <c r="AQ146" s="8" t="s">
        <v>276</v>
      </c>
      <c r="AR146" s="8" t="s">
        <v>276</v>
      </c>
      <c r="AS146" s="31">
        <f t="shared" si="58"/>
        <v>9.7465886939571145E-2</v>
      </c>
      <c r="AT146" s="8" t="s">
        <v>276</v>
      </c>
      <c r="AU146" s="8" t="s">
        <v>276</v>
      </c>
      <c r="AV146" s="9" t="s">
        <v>268</v>
      </c>
      <c r="AW146" s="40" t="s">
        <v>276</v>
      </c>
      <c r="AX146" s="53">
        <f t="shared" si="59"/>
        <v>5</v>
      </c>
      <c r="AY146" s="9" t="s">
        <v>276</v>
      </c>
      <c r="AZ146" s="9" t="s">
        <v>276</v>
      </c>
      <c r="BA146" s="9" t="s">
        <v>276</v>
      </c>
      <c r="BB146" s="9" t="s">
        <v>282</v>
      </c>
      <c r="BC146" s="9" t="s">
        <v>98</v>
      </c>
      <c r="BD146" s="9" t="s">
        <v>98</v>
      </c>
      <c r="BE146" s="9" t="s">
        <v>98</v>
      </c>
      <c r="BF146" s="9" t="s">
        <v>932</v>
      </c>
      <c r="BG146" s="9" t="s">
        <v>868</v>
      </c>
      <c r="BH146" s="9" t="s">
        <v>100</v>
      </c>
      <c r="BI146" s="9" t="s">
        <v>100</v>
      </c>
      <c r="BJ146" s="32"/>
      <c r="BK146" s="32"/>
      <c r="BO146" s="32"/>
      <c r="BP146" s="32"/>
    </row>
    <row r="147" spans="1:68" s="33" customFormat="1" ht="65" hidden="1" x14ac:dyDescent="0.35">
      <c r="A147" s="8">
        <v>764</v>
      </c>
      <c r="B147" s="8" t="s">
        <v>859</v>
      </c>
      <c r="C147" s="8" t="s">
        <v>73</v>
      </c>
      <c r="D147" s="9" t="s">
        <v>936</v>
      </c>
      <c r="E147" s="8" t="s">
        <v>39</v>
      </c>
      <c r="F147" s="8" t="s">
        <v>143</v>
      </c>
      <c r="G147" s="8" t="s">
        <v>225</v>
      </c>
      <c r="H147" s="8" t="s">
        <v>125</v>
      </c>
      <c r="I147" s="8" t="s">
        <v>114</v>
      </c>
      <c r="J147" s="9" t="s">
        <v>25</v>
      </c>
      <c r="K147" s="8" t="s">
        <v>300</v>
      </c>
      <c r="L147" s="9" t="s">
        <v>915</v>
      </c>
      <c r="M147" s="9" t="s">
        <v>916</v>
      </c>
      <c r="N147" s="9" t="s">
        <v>900</v>
      </c>
      <c r="O147" s="9" t="s">
        <v>276</v>
      </c>
      <c r="P147" s="9" t="s">
        <v>239</v>
      </c>
      <c r="Q147" s="41">
        <v>40268</v>
      </c>
      <c r="R147" s="9" t="s">
        <v>276</v>
      </c>
      <c r="S147" s="9" t="s">
        <v>901</v>
      </c>
      <c r="T147" s="9" t="s">
        <v>917</v>
      </c>
      <c r="U147" s="48">
        <v>5</v>
      </c>
      <c r="V147" s="8" t="s">
        <v>14</v>
      </c>
      <c r="W147" s="8" t="s">
        <v>98</v>
      </c>
      <c r="X147" s="9" t="s">
        <v>207</v>
      </c>
      <c r="Y147" s="13">
        <v>2052</v>
      </c>
      <c r="Z147" s="9">
        <v>2052</v>
      </c>
      <c r="AA147" s="9">
        <v>15</v>
      </c>
      <c r="AB147" s="9">
        <v>14</v>
      </c>
      <c r="AC147" s="8">
        <v>0</v>
      </c>
      <c r="AD147" s="8" t="s">
        <v>98</v>
      </c>
      <c r="AE147" s="8">
        <v>0</v>
      </c>
      <c r="AF147" s="8" t="s">
        <v>98</v>
      </c>
      <c r="AG147" s="9" t="s">
        <v>937</v>
      </c>
      <c r="AH147" s="9" t="s">
        <v>919</v>
      </c>
      <c r="AI147" s="38">
        <f>AI145+AI146</f>
        <v>47</v>
      </c>
      <c r="AJ147" s="38">
        <f>AJ145+AJ146</f>
        <v>5</v>
      </c>
      <c r="AK147" s="38">
        <v>2052</v>
      </c>
      <c r="AL147" s="38">
        <v>2052</v>
      </c>
      <c r="AM147" s="38" t="s">
        <v>292</v>
      </c>
      <c r="AN147" s="8" t="s">
        <v>276</v>
      </c>
      <c r="AO147" s="31">
        <f t="shared" si="57"/>
        <v>2.2904483430799218</v>
      </c>
      <c r="AP147" s="8" t="s">
        <v>276</v>
      </c>
      <c r="AQ147" s="8" t="s">
        <v>276</v>
      </c>
      <c r="AR147" s="8" t="s">
        <v>276</v>
      </c>
      <c r="AS147" s="31">
        <f t="shared" si="58"/>
        <v>0.24366471734892786</v>
      </c>
      <c r="AT147" s="8" t="s">
        <v>276</v>
      </c>
      <c r="AU147" s="8" t="s">
        <v>276</v>
      </c>
      <c r="AV147" s="9" t="s">
        <v>268</v>
      </c>
      <c r="AW147" s="40" t="s">
        <v>276</v>
      </c>
      <c r="AX147" s="53">
        <f t="shared" si="59"/>
        <v>9.4</v>
      </c>
      <c r="AY147" s="9" t="s">
        <v>276</v>
      </c>
      <c r="AZ147" s="9" t="s">
        <v>276</v>
      </c>
      <c r="BA147" s="9" t="s">
        <v>276</v>
      </c>
      <c r="BB147" s="9" t="s">
        <v>282</v>
      </c>
      <c r="BC147" s="9" t="s">
        <v>98</v>
      </c>
      <c r="BD147" s="9" t="s">
        <v>98</v>
      </c>
      <c r="BE147" s="9" t="s">
        <v>98</v>
      </c>
      <c r="BF147" s="9" t="s">
        <v>932</v>
      </c>
      <c r="BG147" s="9" t="s">
        <v>868</v>
      </c>
      <c r="BH147" s="9" t="s">
        <v>100</v>
      </c>
      <c r="BI147" s="9" t="s">
        <v>100</v>
      </c>
      <c r="BJ147" s="32"/>
      <c r="BK147" s="32"/>
      <c r="BO147" s="32"/>
      <c r="BP147" s="32"/>
    </row>
    <row r="148" spans="1:68" s="33" customFormat="1" ht="65" hidden="1" x14ac:dyDescent="0.35">
      <c r="A148" s="8">
        <v>764</v>
      </c>
      <c r="B148" s="8" t="s">
        <v>859</v>
      </c>
      <c r="C148" s="8" t="s">
        <v>73</v>
      </c>
      <c r="D148" s="9" t="s">
        <v>938</v>
      </c>
      <c r="E148" s="8" t="s">
        <v>39</v>
      </c>
      <c r="F148" s="8" t="s">
        <v>143</v>
      </c>
      <c r="G148" s="8" t="s">
        <v>225</v>
      </c>
      <c r="H148" s="8" t="s">
        <v>125</v>
      </c>
      <c r="I148" s="8" t="s">
        <v>114</v>
      </c>
      <c r="J148" s="9" t="s">
        <v>25</v>
      </c>
      <c r="K148" s="8" t="s">
        <v>939</v>
      </c>
      <c r="L148" s="9" t="s">
        <v>915</v>
      </c>
      <c r="M148" s="9" t="s">
        <v>916</v>
      </c>
      <c r="N148" s="9" t="s">
        <v>900</v>
      </c>
      <c r="O148" s="9" t="s">
        <v>276</v>
      </c>
      <c r="P148" s="9" t="s">
        <v>239</v>
      </c>
      <c r="Q148" s="41">
        <v>40268</v>
      </c>
      <c r="R148" s="9" t="s">
        <v>276</v>
      </c>
      <c r="S148" s="9" t="s">
        <v>901</v>
      </c>
      <c r="T148" s="9" t="s">
        <v>917</v>
      </c>
      <c r="U148" s="48">
        <v>5</v>
      </c>
      <c r="V148" s="8" t="s">
        <v>14</v>
      </c>
      <c r="W148" s="8" t="s">
        <v>98</v>
      </c>
      <c r="X148" s="9" t="s">
        <v>207</v>
      </c>
      <c r="Y148" s="13">
        <v>2052</v>
      </c>
      <c r="Z148" s="9">
        <v>2052</v>
      </c>
      <c r="AA148" s="9">
        <v>15</v>
      </c>
      <c r="AB148" s="9">
        <v>14</v>
      </c>
      <c r="AC148" s="8">
        <v>0</v>
      </c>
      <c r="AD148" s="8" t="s">
        <v>98</v>
      </c>
      <c r="AE148" s="8">
        <v>0</v>
      </c>
      <c r="AF148" s="8" t="s">
        <v>98</v>
      </c>
      <c r="AG148" s="9" t="s">
        <v>940</v>
      </c>
      <c r="AH148" s="9" t="s">
        <v>919</v>
      </c>
      <c r="AI148" s="38">
        <v>0</v>
      </c>
      <c r="AJ148" s="38">
        <v>0</v>
      </c>
      <c r="AK148" s="38">
        <v>2052</v>
      </c>
      <c r="AL148" s="38">
        <v>2052</v>
      </c>
      <c r="AM148" s="38" t="s">
        <v>292</v>
      </c>
      <c r="AN148" s="8" t="s">
        <v>276</v>
      </c>
      <c r="AO148" s="31" t="s">
        <v>98</v>
      </c>
      <c r="AP148" s="8" t="s">
        <v>276</v>
      </c>
      <c r="AQ148" s="8" t="s">
        <v>276</v>
      </c>
      <c r="AR148" s="8" t="s">
        <v>276</v>
      </c>
      <c r="AS148" s="31" t="s">
        <v>98</v>
      </c>
      <c r="AT148" s="8" t="s">
        <v>276</v>
      </c>
      <c r="AU148" s="8" t="s">
        <v>276</v>
      </c>
      <c r="AV148" s="9" t="s">
        <v>268</v>
      </c>
      <c r="AW148" s="40" t="s">
        <v>276</v>
      </c>
      <c r="AX148" s="40" t="s">
        <v>98</v>
      </c>
      <c r="AY148" s="9" t="s">
        <v>276</v>
      </c>
      <c r="AZ148" s="9" t="s">
        <v>276</v>
      </c>
      <c r="BA148" s="9" t="s">
        <v>276</v>
      </c>
      <c r="BB148" s="9" t="s">
        <v>282</v>
      </c>
      <c r="BC148" s="9" t="s">
        <v>98</v>
      </c>
      <c r="BD148" s="9" t="s">
        <v>98</v>
      </c>
      <c r="BE148" s="9" t="s">
        <v>98</v>
      </c>
      <c r="BF148" s="9" t="s">
        <v>932</v>
      </c>
      <c r="BG148" s="9" t="s">
        <v>868</v>
      </c>
      <c r="BH148" s="9" t="s">
        <v>100</v>
      </c>
      <c r="BI148" s="9" t="s">
        <v>100</v>
      </c>
      <c r="BJ148" s="32"/>
      <c r="BK148" s="32"/>
      <c r="BO148" s="32"/>
      <c r="BP148" s="32"/>
    </row>
    <row r="149" spans="1:68" s="33" customFormat="1" ht="65" hidden="1" x14ac:dyDescent="0.35">
      <c r="A149" s="8">
        <v>764</v>
      </c>
      <c r="B149" s="8" t="s">
        <v>859</v>
      </c>
      <c r="C149" s="8" t="s">
        <v>73</v>
      </c>
      <c r="D149" s="9" t="s">
        <v>941</v>
      </c>
      <c r="E149" s="8" t="s">
        <v>39</v>
      </c>
      <c r="F149" s="8" t="s">
        <v>143</v>
      </c>
      <c r="G149" s="8" t="s">
        <v>225</v>
      </c>
      <c r="H149" s="8" t="s">
        <v>125</v>
      </c>
      <c r="I149" s="8" t="s">
        <v>114</v>
      </c>
      <c r="J149" s="9" t="s">
        <v>25</v>
      </c>
      <c r="K149" s="8" t="s">
        <v>942</v>
      </c>
      <c r="L149" s="9" t="s">
        <v>915</v>
      </c>
      <c r="M149" s="9" t="s">
        <v>916</v>
      </c>
      <c r="N149" s="9" t="s">
        <v>900</v>
      </c>
      <c r="O149" s="9" t="s">
        <v>276</v>
      </c>
      <c r="P149" s="9" t="s">
        <v>239</v>
      </c>
      <c r="Q149" s="41">
        <v>40268</v>
      </c>
      <c r="R149" s="9" t="s">
        <v>276</v>
      </c>
      <c r="S149" s="9" t="s">
        <v>901</v>
      </c>
      <c r="T149" s="9" t="s">
        <v>917</v>
      </c>
      <c r="U149" s="48">
        <v>5</v>
      </c>
      <c r="V149" s="8" t="s">
        <v>14</v>
      </c>
      <c r="W149" s="8" t="s">
        <v>98</v>
      </c>
      <c r="X149" s="9" t="s">
        <v>207</v>
      </c>
      <c r="Y149" s="13">
        <v>2052</v>
      </c>
      <c r="Z149" s="9">
        <v>2052</v>
      </c>
      <c r="AA149" s="9">
        <v>15</v>
      </c>
      <c r="AB149" s="9">
        <v>14</v>
      </c>
      <c r="AC149" s="8">
        <v>0</v>
      </c>
      <c r="AD149" s="8" t="s">
        <v>98</v>
      </c>
      <c r="AE149" s="8">
        <v>0</v>
      </c>
      <c r="AF149" s="8" t="s">
        <v>98</v>
      </c>
      <c r="AG149" s="9" t="s">
        <v>943</v>
      </c>
      <c r="AH149" s="9" t="s">
        <v>919</v>
      </c>
      <c r="AI149" s="38">
        <v>0</v>
      </c>
      <c r="AJ149" s="38">
        <v>2</v>
      </c>
      <c r="AK149" s="38">
        <v>2052</v>
      </c>
      <c r="AL149" s="38">
        <v>2052</v>
      </c>
      <c r="AM149" s="38" t="s">
        <v>292</v>
      </c>
      <c r="AN149" s="8" t="s">
        <v>276</v>
      </c>
      <c r="AO149" s="31">
        <f t="shared" ref="AO149:AO168" si="61">AI149*100/AK149</f>
        <v>0</v>
      </c>
      <c r="AP149" s="8" t="s">
        <v>276</v>
      </c>
      <c r="AQ149" s="8" t="s">
        <v>276</v>
      </c>
      <c r="AR149" s="8" t="s">
        <v>276</v>
      </c>
      <c r="AS149" s="31">
        <f t="shared" si="58"/>
        <v>9.7465886939571145E-2</v>
      </c>
      <c r="AT149" s="8" t="s">
        <v>276</v>
      </c>
      <c r="AU149" s="8" t="s">
        <v>276</v>
      </c>
      <c r="AV149" s="9" t="s">
        <v>268</v>
      </c>
      <c r="AW149" s="40" t="s">
        <v>276</v>
      </c>
      <c r="AX149" s="53">
        <f t="shared" si="59"/>
        <v>0</v>
      </c>
      <c r="AY149" s="9" t="s">
        <v>276</v>
      </c>
      <c r="AZ149" s="9" t="s">
        <v>276</v>
      </c>
      <c r="BA149" s="9" t="s">
        <v>276</v>
      </c>
      <c r="BB149" s="9" t="s">
        <v>282</v>
      </c>
      <c r="BC149" s="9" t="s">
        <v>98</v>
      </c>
      <c r="BD149" s="9" t="s">
        <v>98</v>
      </c>
      <c r="BE149" s="9" t="s">
        <v>98</v>
      </c>
      <c r="BF149" s="9" t="s">
        <v>932</v>
      </c>
      <c r="BG149" s="9" t="s">
        <v>868</v>
      </c>
      <c r="BH149" s="9" t="s">
        <v>100</v>
      </c>
      <c r="BI149" s="9" t="s">
        <v>100</v>
      </c>
      <c r="BJ149" s="32"/>
      <c r="BK149" s="32"/>
      <c r="BO149" s="32"/>
      <c r="BP149" s="32"/>
    </row>
    <row r="150" spans="1:68" s="33" customFormat="1" ht="65" hidden="1" x14ac:dyDescent="0.35">
      <c r="A150" s="8">
        <v>764</v>
      </c>
      <c r="B150" s="8" t="s">
        <v>859</v>
      </c>
      <c r="C150" s="8" t="s">
        <v>73</v>
      </c>
      <c r="D150" s="9" t="s">
        <v>944</v>
      </c>
      <c r="E150" s="8" t="s">
        <v>39</v>
      </c>
      <c r="F150" s="8" t="s">
        <v>143</v>
      </c>
      <c r="G150" s="8" t="s">
        <v>225</v>
      </c>
      <c r="H150" s="8" t="s">
        <v>125</v>
      </c>
      <c r="I150" s="8" t="s">
        <v>114</v>
      </c>
      <c r="J150" s="9" t="s">
        <v>25</v>
      </c>
      <c r="K150" s="8" t="s">
        <v>304</v>
      </c>
      <c r="L150" s="9" t="s">
        <v>915</v>
      </c>
      <c r="M150" s="9" t="s">
        <v>916</v>
      </c>
      <c r="N150" s="9" t="s">
        <v>900</v>
      </c>
      <c r="O150" s="9" t="s">
        <v>276</v>
      </c>
      <c r="P150" s="9" t="s">
        <v>239</v>
      </c>
      <c r="Q150" s="41">
        <v>40268</v>
      </c>
      <c r="R150" s="9" t="s">
        <v>276</v>
      </c>
      <c r="S150" s="9" t="s">
        <v>901</v>
      </c>
      <c r="T150" s="9" t="s">
        <v>917</v>
      </c>
      <c r="U150" s="48">
        <v>5</v>
      </c>
      <c r="V150" s="8" t="s">
        <v>14</v>
      </c>
      <c r="W150" s="8" t="s">
        <v>98</v>
      </c>
      <c r="X150" s="9" t="s">
        <v>207</v>
      </c>
      <c r="Y150" s="13">
        <v>2052</v>
      </c>
      <c r="Z150" s="9">
        <v>2052</v>
      </c>
      <c r="AA150" s="9">
        <v>15</v>
      </c>
      <c r="AB150" s="9">
        <v>14</v>
      </c>
      <c r="AC150" s="8">
        <v>0</v>
      </c>
      <c r="AD150" s="8" t="s">
        <v>98</v>
      </c>
      <c r="AE150" s="8">
        <v>0</v>
      </c>
      <c r="AF150" s="8" t="s">
        <v>98</v>
      </c>
      <c r="AG150" s="9" t="s">
        <v>945</v>
      </c>
      <c r="AH150" s="9" t="s">
        <v>919</v>
      </c>
      <c r="AI150" s="38">
        <f>AI148+AI149</f>
        <v>0</v>
      </c>
      <c r="AJ150" s="38">
        <f>AJ148+AJ149</f>
        <v>2</v>
      </c>
      <c r="AK150" s="38">
        <v>2052</v>
      </c>
      <c r="AL150" s="38">
        <v>2052</v>
      </c>
      <c r="AM150" s="38" t="s">
        <v>292</v>
      </c>
      <c r="AN150" s="8" t="s">
        <v>276</v>
      </c>
      <c r="AO150" s="31">
        <f t="shared" si="61"/>
        <v>0</v>
      </c>
      <c r="AP150" s="8" t="s">
        <v>276</v>
      </c>
      <c r="AQ150" s="8" t="s">
        <v>276</v>
      </c>
      <c r="AR150" s="8" t="s">
        <v>276</v>
      </c>
      <c r="AS150" s="31">
        <f t="shared" si="58"/>
        <v>9.7465886939571145E-2</v>
      </c>
      <c r="AT150" s="8" t="s">
        <v>276</v>
      </c>
      <c r="AU150" s="8" t="s">
        <v>276</v>
      </c>
      <c r="AV150" s="9" t="s">
        <v>268</v>
      </c>
      <c r="AW150" s="40" t="s">
        <v>276</v>
      </c>
      <c r="AX150" s="53">
        <f t="shared" si="59"/>
        <v>0</v>
      </c>
      <c r="AY150" s="9" t="s">
        <v>276</v>
      </c>
      <c r="AZ150" s="9" t="s">
        <v>276</v>
      </c>
      <c r="BA150" s="9" t="s">
        <v>276</v>
      </c>
      <c r="BB150" s="9" t="s">
        <v>282</v>
      </c>
      <c r="BC150" s="9" t="s">
        <v>98</v>
      </c>
      <c r="BD150" s="9" t="s">
        <v>98</v>
      </c>
      <c r="BE150" s="9" t="s">
        <v>98</v>
      </c>
      <c r="BF150" s="9" t="s">
        <v>932</v>
      </c>
      <c r="BG150" s="9" t="s">
        <v>868</v>
      </c>
      <c r="BH150" s="9" t="s">
        <v>100</v>
      </c>
      <c r="BI150" s="9" t="s">
        <v>100</v>
      </c>
      <c r="BJ150" s="32"/>
      <c r="BK150" s="32"/>
      <c r="BO150" s="32"/>
      <c r="BP150" s="32"/>
    </row>
    <row r="151" spans="1:68" s="33" customFormat="1" ht="65" hidden="1" x14ac:dyDescent="0.35">
      <c r="A151" s="8">
        <v>764</v>
      </c>
      <c r="B151" s="8" t="s">
        <v>859</v>
      </c>
      <c r="C151" s="8" t="s">
        <v>73</v>
      </c>
      <c r="D151" s="9" t="s">
        <v>946</v>
      </c>
      <c r="E151" s="8" t="s">
        <v>39</v>
      </c>
      <c r="F151" s="8" t="s">
        <v>143</v>
      </c>
      <c r="G151" s="8" t="s">
        <v>225</v>
      </c>
      <c r="H151" s="8" t="s">
        <v>125</v>
      </c>
      <c r="I151" s="8" t="s">
        <v>114</v>
      </c>
      <c r="J151" s="9" t="s">
        <v>25</v>
      </c>
      <c r="K151" s="8" t="s">
        <v>947</v>
      </c>
      <c r="L151" s="9" t="s">
        <v>915</v>
      </c>
      <c r="M151" s="9" t="s">
        <v>916</v>
      </c>
      <c r="N151" s="9" t="s">
        <v>900</v>
      </c>
      <c r="O151" s="9" t="s">
        <v>276</v>
      </c>
      <c r="P151" s="9" t="s">
        <v>239</v>
      </c>
      <c r="Q151" s="41">
        <v>40268</v>
      </c>
      <c r="R151" s="9" t="s">
        <v>276</v>
      </c>
      <c r="S151" s="9" t="s">
        <v>901</v>
      </c>
      <c r="T151" s="9" t="s">
        <v>917</v>
      </c>
      <c r="U151" s="48">
        <v>5</v>
      </c>
      <c r="V151" s="8" t="s">
        <v>14</v>
      </c>
      <c r="W151" s="8" t="s">
        <v>98</v>
      </c>
      <c r="X151" s="9" t="s">
        <v>207</v>
      </c>
      <c r="Y151" s="13">
        <v>2052</v>
      </c>
      <c r="Z151" s="9">
        <v>2052</v>
      </c>
      <c r="AA151" s="9">
        <v>15</v>
      </c>
      <c r="AB151" s="9">
        <v>14</v>
      </c>
      <c r="AC151" s="8">
        <v>0</v>
      </c>
      <c r="AD151" s="8" t="s">
        <v>98</v>
      </c>
      <c r="AE151" s="8">
        <v>0</v>
      </c>
      <c r="AF151" s="8" t="s">
        <v>98</v>
      </c>
      <c r="AG151" s="9" t="s">
        <v>948</v>
      </c>
      <c r="AH151" s="9" t="s">
        <v>919</v>
      </c>
      <c r="AI151" s="38">
        <v>10</v>
      </c>
      <c r="AJ151" s="38">
        <v>1</v>
      </c>
      <c r="AK151" s="38">
        <v>2052</v>
      </c>
      <c r="AL151" s="38">
        <v>2052</v>
      </c>
      <c r="AM151" s="38" t="s">
        <v>292</v>
      </c>
      <c r="AN151" s="8" t="s">
        <v>276</v>
      </c>
      <c r="AO151" s="31">
        <f t="shared" si="61"/>
        <v>0.48732943469785572</v>
      </c>
      <c r="AP151" s="8" t="s">
        <v>276</v>
      </c>
      <c r="AQ151" s="8" t="s">
        <v>276</v>
      </c>
      <c r="AR151" s="8" t="s">
        <v>276</v>
      </c>
      <c r="AS151" s="31">
        <f t="shared" si="58"/>
        <v>4.8732943469785572E-2</v>
      </c>
      <c r="AT151" s="8" t="s">
        <v>276</v>
      </c>
      <c r="AU151" s="8" t="s">
        <v>276</v>
      </c>
      <c r="AV151" s="9" t="s">
        <v>268</v>
      </c>
      <c r="AW151" s="40" t="s">
        <v>276</v>
      </c>
      <c r="AX151" s="53">
        <f t="shared" si="59"/>
        <v>10</v>
      </c>
      <c r="AY151" s="9" t="s">
        <v>276</v>
      </c>
      <c r="AZ151" s="9" t="s">
        <v>276</v>
      </c>
      <c r="BA151" s="9" t="s">
        <v>276</v>
      </c>
      <c r="BB151" s="9" t="s">
        <v>282</v>
      </c>
      <c r="BC151" s="9" t="s">
        <v>98</v>
      </c>
      <c r="BD151" s="9" t="s">
        <v>98</v>
      </c>
      <c r="BE151" s="9" t="s">
        <v>98</v>
      </c>
      <c r="BF151" s="9" t="s">
        <v>932</v>
      </c>
      <c r="BG151" s="9" t="s">
        <v>868</v>
      </c>
      <c r="BH151" s="9" t="s">
        <v>100</v>
      </c>
      <c r="BI151" s="9" t="s">
        <v>100</v>
      </c>
      <c r="BJ151" s="32"/>
      <c r="BK151" s="32"/>
      <c r="BO151" s="32"/>
      <c r="BP151" s="32"/>
    </row>
    <row r="152" spans="1:68" s="33" customFormat="1" ht="65" hidden="1" x14ac:dyDescent="0.35">
      <c r="A152" s="8">
        <v>764</v>
      </c>
      <c r="B152" s="8" t="s">
        <v>859</v>
      </c>
      <c r="C152" s="8" t="s">
        <v>73</v>
      </c>
      <c r="D152" s="9" t="s">
        <v>949</v>
      </c>
      <c r="E152" s="8" t="s">
        <v>39</v>
      </c>
      <c r="F152" s="8" t="s">
        <v>143</v>
      </c>
      <c r="G152" s="8" t="s">
        <v>225</v>
      </c>
      <c r="H152" s="8" t="s">
        <v>125</v>
      </c>
      <c r="I152" s="8" t="s">
        <v>114</v>
      </c>
      <c r="J152" s="9" t="s">
        <v>25</v>
      </c>
      <c r="K152" s="8" t="s">
        <v>950</v>
      </c>
      <c r="L152" s="9" t="s">
        <v>915</v>
      </c>
      <c r="M152" s="9" t="s">
        <v>916</v>
      </c>
      <c r="N152" s="9" t="s">
        <v>900</v>
      </c>
      <c r="O152" s="9" t="s">
        <v>276</v>
      </c>
      <c r="P152" s="9" t="s">
        <v>239</v>
      </c>
      <c r="Q152" s="41">
        <v>40268</v>
      </c>
      <c r="R152" s="9" t="s">
        <v>276</v>
      </c>
      <c r="S152" s="9" t="s">
        <v>901</v>
      </c>
      <c r="T152" s="9" t="s">
        <v>917</v>
      </c>
      <c r="U152" s="48">
        <v>5</v>
      </c>
      <c r="V152" s="8" t="s">
        <v>14</v>
      </c>
      <c r="W152" s="8" t="s">
        <v>98</v>
      </c>
      <c r="X152" s="9" t="s">
        <v>207</v>
      </c>
      <c r="Y152" s="13">
        <v>2052</v>
      </c>
      <c r="Z152" s="9">
        <v>2052</v>
      </c>
      <c r="AA152" s="9">
        <v>15</v>
      </c>
      <c r="AB152" s="9">
        <v>14</v>
      </c>
      <c r="AC152" s="8">
        <v>0</v>
      </c>
      <c r="AD152" s="8" t="s">
        <v>98</v>
      </c>
      <c r="AE152" s="8">
        <v>0</v>
      </c>
      <c r="AF152" s="8" t="s">
        <v>98</v>
      </c>
      <c r="AG152" s="9" t="s">
        <v>951</v>
      </c>
      <c r="AH152" s="9" t="s">
        <v>919</v>
      </c>
      <c r="AI152" s="38">
        <v>3</v>
      </c>
      <c r="AJ152" s="38">
        <v>2</v>
      </c>
      <c r="AK152" s="38">
        <v>2052</v>
      </c>
      <c r="AL152" s="38">
        <v>2052</v>
      </c>
      <c r="AM152" s="38" t="s">
        <v>292</v>
      </c>
      <c r="AN152" s="8" t="s">
        <v>276</v>
      </c>
      <c r="AO152" s="31">
        <f t="shared" si="61"/>
        <v>0.14619883040935672</v>
      </c>
      <c r="AP152" s="8" t="s">
        <v>276</v>
      </c>
      <c r="AQ152" s="8" t="s">
        <v>276</v>
      </c>
      <c r="AR152" s="8" t="s">
        <v>276</v>
      </c>
      <c r="AS152" s="31">
        <f t="shared" si="58"/>
        <v>9.7465886939571145E-2</v>
      </c>
      <c r="AT152" s="8" t="s">
        <v>276</v>
      </c>
      <c r="AU152" s="8" t="s">
        <v>276</v>
      </c>
      <c r="AV152" s="9" t="s">
        <v>268</v>
      </c>
      <c r="AW152" s="40" t="s">
        <v>276</v>
      </c>
      <c r="AX152" s="53">
        <f t="shared" si="59"/>
        <v>1.5</v>
      </c>
      <c r="AY152" s="9" t="s">
        <v>276</v>
      </c>
      <c r="AZ152" s="9" t="s">
        <v>276</v>
      </c>
      <c r="BA152" s="9" t="s">
        <v>276</v>
      </c>
      <c r="BB152" s="9" t="s">
        <v>282</v>
      </c>
      <c r="BC152" s="9" t="s">
        <v>98</v>
      </c>
      <c r="BD152" s="9" t="s">
        <v>98</v>
      </c>
      <c r="BE152" s="9" t="s">
        <v>98</v>
      </c>
      <c r="BF152" s="9" t="s">
        <v>932</v>
      </c>
      <c r="BG152" s="9" t="s">
        <v>868</v>
      </c>
      <c r="BH152" s="9" t="s">
        <v>100</v>
      </c>
      <c r="BI152" s="9" t="s">
        <v>100</v>
      </c>
      <c r="BJ152" s="32"/>
      <c r="BK152" s="32"/>
      <c r="BO152" s="32"/>
      <c r="BP152" s="32"/>
    </row>
    <row r="153" spans="1:68" s="33" customFormat="1" ht="65" hidden="1" x14ac:dyDescent="0.35">
      <c r="A153" s="8">
        <v>764</v>
      </c>
      <c r="B153" s="8" t="s">
        <v>859</v>
      </c>
      <c r="C153" s="8" t="s">
        <v>73</v>
      </c>
      <c r="D153" s="9" t="s">
        <v>952</v>
      </c>
      <c r="E153" s="8" t="s">
        <v>39</v>
      </c>
      <c r="F153" s="8" t="s">
        <v>143</v>
      </c>
      <c r="G153" s="8" t="s">
        <v>225</v>
      </c>
      <c r="H153" s="8" t="s">
        <v>125</v>
      </c>
      <c r="I153" s="8" t="s">
        <v>114</v>
      </c>
      <c r="J153" s="9" t="s">
        <v>25</v>
      </c>
      <c r="K153" s="8" t="s">
        <v>311</v>
      </c>
      <c r="L153" s="9" t="s">
        <v>915</v>
      </c>
      <c r="M153" s="9" t="s">
        <v>916</v>
      </c>
      <c r="N153" s="9" t="s">
        <v>900</v>
      </c>
      <c r="O153" s="9" t="s">
        <v>276</v>
      </c>
      <c r="P153" s="9" t="s">
        <v>239</v>
      </c>
      <c r="Q153" s="41">
        <v>40268</v>
      </c>
      <c r="R153" s="9" t="s">
        <v>276</v>
      </c>
      <c r="S153" s="9" t="s">
        <v>901</v>
      </c>
      <c r="T153" s="9" t="s">
        <v>917</v>
      </c>
      <c r="U153" s="48">
        <v>5</v>
      </c>
      <c r="V153" s="8" t="s">
        <v>14</v>
      </c>
      <c r="W153" s="8" t="s">
        <v>98</v>
      </c>
      <c r="X153" s="9" t="s">
        <v>207</v>
      </c>
      <c r="Y153" s="13">
        <v>2052</v>
      </c>
      <c r="Z153" s="9">
        <v>2052</v>
      </c>
      <c r="AA153" s="9">
        <v>15</v>
      </c>
      <c r="AB153" s="9">
        <v>14</v>
      </c>
      <c r="AC153" s="8">
        <v>0</v>
      </c>
      <c r="AD153" s="8" t="s">
        <v>98</v>
      </c>
      <c r="AE153" s="8">
        <v>0</v>
      </c>
      <c r="AF153" s="8" t="s">
        <v>98</v>
      </c>
      <c r="AG153" s="9" t="s">
        <v>953</v>
      </c>
      <c r="AH153" s="9" t="s">
        <v>919</v>
      </c>
      <c r="AI153" s="38">
        <f>AI151+AI152</f>
        <v>13</v>
      </c>
      <c r="AJ153" s="38">
        <f>AJ151+AJ152</f>
        <v>3</v>
      </c>
      <c r="AK153" s="38">
        <v>2052</v>
      </c>
      <c r="AL153" s="38">
        <v>2052</v>
      </c>
      <c r="AM153" s="38" t="s">
        <v>292</v>
      </c>
      <c r="AN153" s="8" t="s">
        <v>276</v>
      </c>
      <c r="AO153" s="31">
        <f t="shared" si="61"/>
        <v>0.6335282651072125</v>
      </c>
      <c r="AP153" s="8" t="s">
        <v>276</v>
      </c>
      <c r="AQ153" s="8" t="s">
        <v>276</v>
      </c>
      <c r="AR153" s="8" t="s">
        <v>276</v>
      </c>
      <c r="AS153" s="31">
        <f t="shared" si="58"/>
        <v>0.14619883040935672</v>
      </c>
      <c r="AT153" s="8" t="s">
        <v>276</v>
      </c>
      <c r="AU153" s="8" t="s">
        <v>276</v>
      </c>
      <c r="AV153" s="9" t="s">
        <v>268</v>
      </c>
      <c r="AW153" s="40" t="s">
        <v>276</v>
      </c>
      <c r="AX153" s="53">
        <f t="shared" si="59"/>
        <v>4.3333333333333339</v>
      </c>
      <c r="AY153" s="9" t="s">
        <v>276</v>
      </c>
      <c r="AZ153" s="9" t="s">
        <v>276</v>
      </c>
      <c r="BA153" s="9" t="s">
        <v>276</v>
      </c>
      <c r="BB153" s="9" t="s">
        <v>282</v>
      </c>
      <c r="BC153" s="9" t="s">
        <v>98</v>
      </c>
      <c r="BD153" s="9" t="s">
        <v>98</v>
      </c>
      <c r="BE153" s="9" t="s">
        <v>98</v>
      </c>
      <c r="BF153" s="9" t="s">
        <v>932</v>
      </c>
      <c r="BG153" s="9" t="s">
        <v>868</v>
      </c>
      <c r="BH153" s="9" t="s">
        <v>100</v>
      </c>
      <c r="BI153" s="9" t="s">
        <v>100</v>
      </c>
      <c r="BJ153" s="32"/>
      <c r="BK153" s="32"/>
      <c r="BO153" s="32"/>
      <c r="BP153" s="32"/>
    </row>
    <row r="154" spans="1:68" s="33" customFormat="1" ht="65" hidden="1" x14ac:dyDescent="0.35">
      <c r="A154" s="8">
        <v>764</v>
      </c>
      <c r="B154" s="8" t="s">
        <v>859</v>
      </c>
      <c r="C154" s="8" t="s">
        <v>73</v>
      </c>
      <c r="D154" s="9" t="s">
        <v>954</v>
      </c>
      <c r="E154" s="8" t="s">
        <v>39</v>
      </c>
      <c r="F154" s="8" t="s">
        <v>143</v>
      </c>
      <c r="G154" s="8" t="s">
        <v>225</v>
      </c>
      <c r="H154" s="8" t="s">
        <v>125</v>
      </c>
      <c r="I154" s="8" t="s">
        <v>114</v>
      </c>
      <c r="J154" s="9" t="s">
        <v>25</v>
      </c>
      <c r="K154" s="8" t="s">
        <v>314</v>
      </c>
      <c r="L154" s="9" t="s">
        <v>915</v>
      </c>
      <c r="M154" s="9" t="s">
        <v>916</v>
      </c>
      <c r="N154" s="9" t="s">
        <v>900</v>
      </c>
      <c r="O154" s="9" t="s">
        <v>276</v>
      </c>
      <c r="P154" s="9" t="s">
        <v>239</v>
      </c>
      <c r="Q154" s="41">
        <v>40268</v>
      </c>
      <c r="R154" s="9" t="s">
        <v>276</v>
      </c>
      <c r="S154" s="9" t="s">
        <v>901</v>
      </c>
      <c r="T154" s="9" t="s">
        <v>917</v>
      </c>
      <c r="U154" s="48">
        <v>5</v>
      </c>
      <c r="V154" s="8" t="s">
        <v>14</v>
      </c>
      <c r="W154" s="8" t="s">
        <v>98</v>
      </c>
      <c r="X154" s="9" t="s">
        <v>207</v>
      </c>
      <c r="Y154" s="13">
        <v>2052</v>
      </c>
      <c r="Z154" s="9">
        <v>2052</v>
      </c>
      <c r="AA154" s="9">
        <v>15</v>
      </c>
      <c r="AB154" s="9">
        <v>14</v>
      </c>
      <c r="AC154" s="8">
        <v>0</v>
      </c>
      <c r="AD154" s="8" t="s">
        <v>98</v>
      </c>
      <c r="AE154" s="8">
        <v>0</v>
      </c>
      <c r="AF154" s="8" t="s">
        <v>98</v>
      </c>
      <c r="AG154" s="9" t="s">
        <v>955</v>
      </c>
      <c r="AH154" s="9" t="s">
        <v>919</v>
      </c>
      <c r="AI154" s="38">
        <v>6</v>
      </c>
      <c r="AJ154" s="38">
        <v>7</v>
      </c>
      <c r="AK154" s="38">
        <v>2052</v>
      </c>
      <c r="AL154" s="38">
        <v>2052</v>
      </c>
      <c r="AM154" s="38" t="s">
        <v>292</v>
      </c>
      <c r="AN154" s="8" t="s">
        <v>276</v>
      </c>
      <c r="AO154" s="31">
        <f t="shared" ref="AO154" si="62">AI154*100/AK154</f>
        <v>0.29239766081871343</v>
      </c>
      <c r="AP154" s="8" t="s">
        <v>276</v>
      </c>
      <c r="AQ154" s="8" t="s">
        <v>276</v>
      </c>
      <c r="AR154" s="8" t="s">
        <v>276</v>
      </c>
      <c r="AS154" s="31">
        <f t="shared" ref="AS154" si="63">AJ154*100/AL154</f>
        <v>0.34113060428849901</v>
      </c>
      <c r="AT154" s="8" t="s">
        <v>276</v>
      </c>
      <c r="AU154" s="8" t="s">
        <v>276</v>
      </c>
      <c r="AV154" s="9" t="s">
        <v>268</v>
      </c>
      <c r="AW154" s="40" t="s">
        <v>276</v>
      </c>
      <c r="AX154" s="53">
        <f t="shared" ref="AX154" si="64">AO154/AS154</f>
        <v>0.8571428571428571</v>
      </c>
      <c r="AY154" s="9" t="s">
        <v>276</v>
      </c>
      <c r="AZ154" s="9" t="s">
        <v>276</v>
      </c>
      <c r="BA154" s="9" t="s">
        <v>276</v>
      </c>
      <c r="BB154" s="9" t="s">
        <v>282</v>
      </c>
      <c r="BC154" s="9" t="s">
        <v>98</v>
      </c>
      <c r="BD154" s="9" t="s">
        <v>98</v>
      </c>
      <c r="BE154" s="9" t="s">
        <v>98</v>
      </c>
      <c r="BF154" s="9" t="s">
        <v>932</v>
      </c>
      <c r="BG154" s="9" t="s">
        <v>868</v>
      </c>
      <c r="BH154" s="9" t="s">
        <v>100</v>
      </c>
      <c r="BI154" s="9" t="s">
        <v>100</v>
      </c>
      <c r="BJ154" s="32"/>
      <c r="BK154" s="32"/>
      <c r="BO154" s="32"/>
      <c r="BP154" s="32"/>
    </row>
    <row r="155" spans="1:68" s="33" customFormat="1" ht="65" hidden="1" x14ac:dyDescent="0.35">
      <c r="A155" s="8">
        <v>764</v>
      </c>
      <c r="B155" s="8" t="s">
        <v>859</v>
      </c>
      <c r="C155" s="8" t="s">
        <v>73</v>
      </c>
      <c r="D155" s="9" t="s">
        <v>11582</v>
      </c>
      <c r="E155" s="8" t="s">
        <v>39</v>
      </c>
      <c r="F155" s="8" t="s">
        <v>143</v>
      </c>
      <c r="G155" s="8" t="s">
        <v>225</v>
      </c>
      <c r="H155" s="8" t="s">
        <v>125</v>
      </c>
      <c r="I155" s="8" t="s">
        <v>114</v>
      </c>
      <c r="J155" s="9" t="s">
        <v>25</v>
      </c>
      <c r="K155" s="8" t="s">
        <v>317</v>
      </c>
      <c r="L155" s="9" t="s">
        <v>915</v>
      </c>
      <c r="M155" s="9" t="s">
        <v>916</v>
      </c>
      <c r="N155" s="9" t="s">
        <v>900</v>
      </c>
      <c r="O155" s="9" t="s">
        <v>276</v>
      </c>
      <c r="P155" s="9" t="s">
        <v>239</v>
      </c>
      <c r="Q155" s="41">
        <v>40268</v>
      </c>
      <c r="R155" s="9" t="s">
        <v>276</v>
      </c>
      <c r="S155" s="9" t="s">
        <v>901</v>
      </c>
      <c r="T155" s="9" t="s">
        <v>917</v>
      </c>
      <c r="U155" s="48">
        <v>5</v>
      </c>
      <c r="V155" s="8" t="s">
        <v>14</v>
      </c>
      <c r="W155" s="8" t="s">
        <v>98</v>
      </c>
      <c r="X155" s="9" t="s">
        <v>207</v>
      </c>
      <c r="Y155" s="13">
        <v>2052</v>
      </c>
      <c r="Z155" s="9">
        <v>2052</v>
      </c>
      <c r="AA155" s="9">
        <v>15</v>
      </c>
      <c r="AB155" s="9">
        <v>14</v>
      </c>
      <c r="AC155" s="8">
        <v>0</v>
      </c>
      <c r="AD155" s="8" t="s">
        <v>98</v>
      </c>
      <c r="AE155" s="8">
        <v>0</v>
      </c>
      <c r="AF155" s="8" t="s">
        <v>98</v>
      </c>
      <c r="AG155" s="9" t="s">
        <v>11583</v>
      </c>
      <c r="AH155" s="9" t="s">
        <v>919</v>
      </c>
      <c r="AI155" s="38">
        <f>6+13</f>
        <v>19</v>
      </c>
      <c r="AJ155" s="38">
        <f>7+3</f>
        <v>10</v>
      </c>
      <c r="AK155" s="38">
        <v>2052</v>
      </c>
      <c r="AL155" s="38">
        <v>2052</v>
      </c>
      <c r="AM155" s="38" t="s">
        <v>292</v>
      </c>
      <c r="AN155" s="8" t="s">
        <v>276</v>
      </c>
      <c r="AO155" s="31">
        <f t="shared" si="61"/>
        <v>0.92592592592592593</v>
      </c>
      <c r="AP155" s="8" t="s">
        <v>276</v>
      </c>
      <c r="AQ155" s="8" t="s">
        <v>276</v>
      </c>
      <c r="AR155" s="8" t="s">
        <v>276</v>
      </c>
      <c r="AS155" s="31">
        <f t="shared" si="58"/>
        <v>0.48732943469785572</v>
      </c>
      <c r="AT155" s="8" t="s">
        <v>276</v>
      </c>
      <c r="AU155" s="8" t="s">
        <v>276</v>
      </c>
      <c r="AV155" s="9" t="s">
        <v>268</v>
      </c>
      <c r="AW155" s="40" t="s">
        <v>276</v>
      </c>
      <c r="AX155" s="53">
        <f t="shared" si="59"/>
        <v>1.9000000000000001</v>
      </c>
      <c r="AY155" s="9" t="s">
        <v>276</v>
      </c>
      <c r="AZ155" s="9" t="s">
        <v>276</v>
      </c>
      <c r="BA155" s="9" t="s">
        <v>276</v>
      </c>
      <c r="BB155" s="9" t="s">
        <v>282</v>
      </c>
      <c r="BC155" s="9" t="s">
        <v>98</v>
      </c>
      <c r="BD155" s="9" t="s">
        <v>98</v>
      </c>
      <c r="BE155" s="9" t="s">
        <v>98</v>
      </c>
      <c r="BF155" s="9" t="s">
        <v>932</v>
      </c>
      <c r="BG155" s="9" t="s">
        <v>868</v>
      </c>
      <c r="BH155" s="9" t="s">
        <v>100</v>
      </c>
      <c r="BI155" s="9" t="s">
        <v>100</v>
      </c>
      <c r="BJ155" s="32"/>
      <c r="BK155" s="32"/>
      <c r="BO155" s="32"/>
      <c r="BP155" s="32"/>
    </row>
    <row r="156" spans="1:68" s="33" customFormat="1" ht="65" hidden="1" x14ac:dyDescent="0.35">
      <c r="A156" s="8">
        <v>764</v>
      </c>
      <c r="B156" s="8" t="s">
        <v>859</v>
      </c>
      <c r="C156" s="8" t="s">
        <v>73</v>
      </c>
      <c r="D156" s="9" t="s">
        <v>956</v>
      </c>
      <c r="E156" s="8" t="s">
        <v>39</v>
      </c>
      <c r="F156" s="8" t="s">
        <v>143</v>
      </c>
      <c r="G156" s="8" t="s">
        <v>225</v>
      </c>
      <c r="H156" s="8" t="s">
        <v>125</v>
      </c>
      <c r="I156" s="8" t="s">
        <v>114</v>
      </c>
      <c r="J156" s="9" t="s">
        <v>25</v>
      </c>
      <c r="K156" s="8" t="s">
        <v>957</v>
      </c>
      <c r="L156" s="9" t="s">
        <v>915</v>
      </c>
      <c r="M156" s="9" t="s">
        <v>916</v>
      </c>
      <c r="N156" s="9" t="s">
        <v>900</v>
      </c>
      <c r="O156" s="9" t="s">
        <v>276</v>
      </c>
      <c r="P156" s="9" t="s">
        <v>239</v>
      </c>
      <c r="Q156" s="41">
        <v>40268</v>
      </c>
      <c r="R156" s="9" t="s">
        <v>276</v>
      </c>
      <c r="S156" s="9" t="s">
        <v>901</v>
      </c>
      <c r="T156" s="9" t="s">
        <v>917</v>
      </c>
      <c r="U156" s="48">
        <v>5</v>
      </c>
      <c r="V156" s="8" t="s">
        <v>14</v>
      </c>
      <c r="W156" s="8" t="s">
        <v>98</v>
      </c>
      <c r="X156" s="9" t="s">
        <v>207</v>
      </c>
      <c r="Y156" s="13">
        <v>2052</v>
      </c>
      <c r="Z156" s="9">
        <v>2052</v>
      </c>
      <c r="AA156" s="9">
        <v>15</v>
      </c>
      <c r="AB156" s="9">
        <v>14</v>
      </c>
      <c r="AC156" s="8">
        <v>0</v>
      </c>
      <c r="AD156" s="8" t="s">
        <v>98</v>
      </c>
      <c r="AE156" s="8">
        <v>0</v>
      </c>
      <c r="AF156" s="8" t="s">
        <v>98</v>
      </c>
      <c r="AG156" s="9" t="s">
        <v>958</v>
      </c>
      <c r="AH156" s="9" t="s">
        <v>919</v>
      </c>
      <c r="AI156" s="38">
        <v>1</v>
      </c>
      <c r="AJ156" s="38">
        <v>1</v>
      </c>
      <c r="AK156" s="38">
        <v>2052</v>
      </c>
      <c r="AL156" s="38">
        <v>2052</v>
      </c>
      <c r="AM156" s="38" t="s">
        <v>292</v>
      </c>
      <c r="AN156" s="8" t="s">
        <v>276</v>
      </c>
      <c r="AO156" s="31">
        <f t="shared" si="61"/>
        <v>4.8732943469785572E-2</v>
      </c>
      <c r="AP156" s="8" t="s">
        <v>276</v>
      </c>
      <c r="AQ156" s="8" t="s">
        <v>276</v>
      </c>
      <c r="AR156" s="8" t="s">
        <v>276</v>
      </c>
      <c r="AS156" s="31">
        <f t="shared" si="58"/>
        <v>4.8732943469785572E-2</v>
      </c>
      <c r="AT156" s="8" t="s">
        <v>276</v>
      </c>
      <c r="AU156" s="8" t="s">
        <v>276</v>
      </c>
      <c r="AV156" s="9" t="s">
        <v>268</v>
      </c>
      <c r="AW156" s="40" t="s">
        <v>276</v>
      </c>
      <c r="AX156" s="53">
        <f t="shared" si="59"/>
        <v>1</v>
      </c>
      <c r="AY156" s="9" t="s">
        <v>276</v>
      </c>
      <c r="AZ156" s="9" t="s">
        <v>276</v>
      </c>
      <c r="BA156" s="9" t="s">
        <v>276</v>
      </c>
      <c r="BB156" s="9" t="s">
        <v>282</v>
      </c>
      <c r="BC156" s="9" t="s">
        <v>98</v>
      </c>
      <c r="BD156" s="9" t="s">
        <v>98</v>
      </c>
      <c r="BE156" s="9" t="s">
        <v>98</v>
      </c>
      <c r="BF156" s="9" t="s">
        <v>932</v>
      </c>
      <c r="BG156" s="9" t="s">
        <v>868</v>
      </c>
      <c r="BH156" s="9" t="s">
        <v>100</v>
      </c>
      <c r="BI156" s="9" t="s">
        <v>100</v>
      </c>
      <c r="BJ156" s="32"/>
      <c r="BK156" s="32"/>
      <c r="BO156" s="32"/>
      <c r="BP156" s="32"/>
    </row>
    <row r="157" spans="1:68" s="33" customFormat="1" ht="65" hidden="1" x14ac:dyDescent="0.35">
      <c r="A157" s="8">
        <v>764</v>
      </c>
      <c r="B157" s="8" t="s">
        <v>859</v>
      </c>
      <c r="C157" s="8" t="s">
        <v>73</v>
      </c>
      <c r="D157" s="9" t="s">
        <v>959</v>
      </c>
      <c r="E157" s="8" t="s">
        <v>39</v>
      </c>
      <c r="F157" s="8" t="s">
        <v>143</v>
      </c>
      <c r="G157" s="8" t="s">
        <v>225</v>
      </c>
      <c r="H157" s="8" t="s">
        <v>125</v>
      </c>
      <c r="I157" s="8" t="s">
        <v>114</v>
      </c>
      <c r="J157" s="9" t="s">
        <v>25</v>
      </c>
      <c r="K157" s="8" t="s">
        <v>960</v>
      </c>
      <c r="L157" s="9" t="s">
        <v>915</v>
      </c>
      <c r="M157" s="9" t="s">
        <v>916</v>
      </c>
      <c r="N157" s="9" t="s">
        <v>900</v>
      </c>
      <c r="O157" s="9" t="s">
        <v>276</v>
      </c>
      <c r="P157" s="9" t="s">
        <v>239</v>
      </c>
      <c r="Q157" s="41">
        <v>40268</v>
      </c>
      <c r="R157" s="9" t="s">
        <v>276</v>
      </c>
      <c r="S157" s="9" t="s">
        <v>901</v>
      </c>
      <c r="T157" s="9" t="s">
        <v>917</v>
      </c>
      <c r="U157" s="48">
        <v>5</v>
      </c>
      <c r="V157" s="8" t="s">
        <v>14</v>
      </c>
      <c r="W157" s="8" t="s">
        <v>98</v>
      </c>
      <c r="X157" s="9" t="s">
        <v>207</v>
      </c>
      <c r="Y157" s="13">
        <v>2052</v>
      </c>
      <c r="Z157" s="9">
        <v>2052</v>
      </c>
      <c r="AA157" s="9">
        <v>15</v>
      </c>
      <c r="AB157" s="9">
        <v>14</v>
      </c>
      <c r="AC157" s="8">
        <v>0</v>
      </c>
      <c r="AD157" s="8" t="s">
        <v>98</v>
      </c>
      <c r="AE157" s="8">
        <v>0</v>
      </c>
      <c r="AF157" s="8" t="s">
        <v>98</v>
      </c>
      <c r="AG157" s="9" t="s">
        <v>961</v>
      </c>
      <c r="AH157" s="9" t="s">
        <v>919</v>
      </c>
      <c r="AI157" s="38">
        <v>2</v>
      </c>
      <c r="AJ157" s="38">
        <v>6</v>
      </c>
      <c r="AK157" s="38">
        <v>2052</v>
      </c>
      <c r="AL157" s="38">
        <v>2052</v>
      </c>
      <c r="AM157" s="38" t="s">
        <v>292</v>
      </c>
      <c r="AN157" s="8" t="s">
        <v>276</v>
      </c>
      <c r="AO157" s="31">
        <f t="shared" si="61"/>
        <v>9.7465886939571145E-2</v>
      </c>
      <c r="AP157" s="8" t="s">
        <v>276</v>
      </c>
      <c r="AQ157" s="8" t="s">
        <v>276</v>
      </c>
      <c r="AR157" s="8" t="s">
        <v>276</v>
      </c>
      <c r="AS157" s="31">
        <f t="shared" si="58"/>
        <v>0.29239766081871343</v>
      </c>
      <c r="AT157" s="8" t="s">
        <v>276</v>
      </c>
      <c r="AU157" s="8" t="s">
        <v>276</v>
      </c>
      <c r="AV157" s="9" t="s">
        <v>268</v>
      </c>
      <c r="AW157" s="40" t="s">
        <v>276</v>
      </c>
      <c r="AX157" s="53">
        <f t="shared" si="59"/>
        <v>0.33333333333333331</v>
      </c>
      <c r="AY157" s="9" t="s">
        <v>276</v>
      </c>
      <c r="AZ157" s="9" t="s">
        <v>276</v>
      </c>
      <c r="BA157" s="9" t="s">
        <v>276</v>
      </c>
      <c r="BB157" s="9" t="s">
        <v>282</v>
      </c>
      <c r="BC157" s="9" t="s">
        <v>98</v>
      </c>
      <c r="BD157" s="9" t="s">
        <v>98</v>
      </c>
      <c r="BE157" s="9" t="s">
        <v>98</v>
      </c>
      <c r="BF157" s="9" t="s">
        <v>932</v>
      </c>
      <c r="BG157" s="9" t="s">
        <v>868</v>
      </c>
      <c r="BH157" s="9" t="s">
        <v>100</v>
      </c>
      <c r="BI157" s="9" t="s">
        <v>100</v>
      </c>
      <c r="BJ157" s="32"/>
      <c r="BK157" s="32"/>
      <c r="BO157" s="32"/>
      <c r="BP157" s="32"/>
    </row>
    <row r="158" spans="1:68" s="33" customFormat="1" ht="52" hidden="1" x14ac:dyDescent="0.35">
      <c r="A158" s="8">
        <v>748</v>
      </c>
      <c r="B158" s="8" t="s">
        <v>878</v>
      </c>
      <c r="C158" s="8" t="s">
        <v>73</v>
      </c>
      <c r="D158" s="9" t="s">
        <v>962</v>
      </c>
      <c r="E158" s="8" t="s">
        <v>39</v>
      </c>
      <c r="F158" s="8" t="s">
        <v>143</v>
      </c>
      <c r="G158" s="8" t="s">
        <v>225</v>
      </c>
      <c r="H158" s="8" t="s">
        <v>125</v>
      </c>
      <c r="I158" s="8" t="s">
        <v>114</v>
      </c>
      <c r="J158" s="9" t="s">
        <v>26</v>
      </c>
      <c r="K158" s="8" t="s">
        <v>963</v>
      </c>
      <c r="L158" s="8" t="s">
        <v>964</v>
      </c>
      <c r="M158" s="8" t="s">
        <v>965</v>
      </c>
      <c r="N158" s="9" t="s">
        <v>966</v>
      </c>
      <c r="O158" s="9" t="s">
        <v>881</v>
      </c>
      <c r="P158" s="9" t="s">
        <v>239</v>
      </c>
      <c r="Q158" s="52">
        <v>42101</v>
      </c>
      <c r="R158" s="9" t="s">
        <v>276</v>
      </c>
      <c r="S158" s="9" t="s">
        <v>967</v>
      </c>
      <c r="T158" s="9" t="s">
        <v>967</v>
      </c>
      <c r="U158" s="48">
        <v>5</v>
      </c>
      <c r="V158" s="8" t="s">
        <v>14</v>
      </c>
      <c r="W158" s="8" t="s">
        <v>98</v>
      </c>
      <c r="X158" s="9" t="s">
        <v>207</v>
      </c>
      <c r="Y158" s="13">
        <v>2052</v>
      </c>
      <c r="Z158" s="9">
        <v>2052</v>
      </c>
      <c r="AA158" s="9">
        <v>20</v>
      </c>
      <c r="AB158" s="9">
        <v>14</v>
      </c>
      <c r="AC158" s="8">
        <v>0</v>
      </c>
      <c r="AD158" s="8" t="s">
        <v>98</v>
      </c>
      <c r="AE158" s="8">
        <v>2</v>
      </c>
      <c r="AF158" s="8" t="s">
        <v>968</v>
      </c>
      <c r="AG158" s="9" t="s">
        <v>969</v>
      </c>
      <c r="AH158" s="9" t="s">
        <v>919</v>
      </c>
      <c r="AI158" s="38">
        <v>41</v>
      </c>
      <c r="AJ158" s="38">
        <v>6</v>
      </c>
      <c r="AK158" s="38">
        <v>2052</v>
      </c>
      <c r="AL158" s="38">
        <v>2052</v>
      </c>
      <c r="AM158" s="38" t="s">
        <v>292</v>
      </c>
      <c r="AN158" s="8" t="s">
        <v>276</v>
      </c>
      <c r="AO158" s="31">
        <f t="shared" si="61"/>
        <v>1.9980506822612085</v>
      </c>
      <c r="AP158" s="8" t="s">
        <v>276</v>
      </c>
      <c r="AQ158" s="8" t="s">
        <v>276</v>
      </c>
      <c r="AR158" s="8" t="s">
        <v>276</v>
      </c>
      <c r="AS158" s="31">
        <f t="shared" si="58"/>
        <v>0.29239766081871343</v>
      </c>
      <c r="AT158" s="8" t="s">
        <v>276</v>
      </c>
      <c r="AU158" s="8" t="s">
        <v>276</v>
      </c>
      <c r="AV158" s="9" t="s">
        <v>268</v>
      </c>
      <c r="AW158" s="40" t="s">
        <v>276</v>
      </c>
      <c r="AX158" s="53">
        <f t="shared" si="59"/>
        <v>6.8333333333333339</v>
      </c>
      <c r="AY158" s="9" t="s">
        <v>276</v>
      </c>
      <c r="AZ158" s="9" t="s">
        <v>276</v>
      </c>
      <c r="BA158" s="9" t="s">
        <v>276</v>
      </c>
      <c r="BB158" s="9" t="s">
        <v>282</v>
      </c>
      <c r="BC158" s="9" t="s">
        <v>98</v>
      </c>
      <c r="BD158" s="9" t="s">
        <v>98</v>
      </c>
      <c r="BE158" s="9" t="s">
        <v>98</v>
      </c>
      <c r="BF158" s="9" t="s">
        <v>970</v>
      </c>
      <c r="BG158" s="9" t="s">
        <v>886</v>
      </c>
      <c r="BH158" s="9" t="s">
        <v>100</v>
      </c>
      <c r="BI158" s="9" t="s">
        <v>100</v>
      </c>
      <c r="BJ158" s="32"/>
      <c r="BK158" s="32"/>
      <c r="BO158" s="32"/>
      <c r="BP158" s="32"/>
    </row>
    <row r="159" spans="1:68" s="33" customFormat="1" ht="52" hidden="1" x14ac:dyDescent="0.35">
      <c r="A159" s="8">
        <v>748</v>
      </c>
      <c r="B159" s="8" t="s">
        <v>878</v>
      </c>
      <c r="C159" s="8" t="s">
        <v>73</v>
      </c>
      <c r="D159" s="9" t="s">
        <v>971</v>
      </c>
      <c r="E159" s="8" t="s">
        <v>39</v>
      </c>
      <c r="F159" s="8" t="s">
        <v>143</v>
      </c>
      <c r="G159" s="8" t="s">
        <v>225</v>
      </c>
      <c r="H159" s="8" t="s">
        <v>125</v>
      </c>
      <c r="I159" s="8" t="s">
        <v>114</v>
      </c>
      <c r="J159" s="9" t="s">
        <v>26</v>
      </c>
      <c r="K159" s="8" t="s">
        <v>972</v>
      </c>
      <c r="L159" s="8" t="s">
        <v>964</v>
      </c>
      <c r="M159" s="8" t="s">
        <v>965</v>
      </c>
      <c r="N159" s="9" t="s">
        <v>966</v>
      </c>
      <c r="O159" s="9" t="s">
        <v>881</v>
      </c>
      <c r="P159" s="9" t="s">
        <v>239</v>
      </c>
      <c r="Q159" s="52">
        <v>42101</v>
      </c>
      <c r="R159" s="9" t="s">
        <v>276</v>
      </c>
      <c r="S159" s="9" t="s">
        <v>967</v>
      </c>
      <c r="T159" s="9" t="s">
        <v>967</v>
      </c>
      <c r="U159" s="48">
        <v>5</v>
      </c>
      <c r="V159" s="8" t="s">
        <v>14</v>
      </c>
      <c r="W159" s="8" t="s">
        <v>98</v>
      </c>
      <c r="X159" s="9" t="s">
        <v>207</v>
      </c>
      <c r="Y159" s="13">
        <v>2052</v>
      </c>
      <c r="Z159" s="9">
        <v>2052</v>
      </c>
      <c r="AA159" s="9">
        <v>20</v>
      </c>
      <c r="AB159" s="9">
        <v>14</v>
      </c>
      <c r="AC159" s="8">
        <v>0</v>
      </c>
      <c r="AD159" s="8" t="s">
        <v>98</v>
      </c>
      <c r="AE159" s="8">
        <v>2</v>
      </c>
      <c r="AF159" s="8" t="s">
        <v>968</v>
      </c>
      <c r="AG159" s="9" t="s">
        <v>973</v>
      </c>
      <c r="AH159" s="9" t="s">
        <v>919</v>
      </c>
      <c r="AI159" s="38">
        <v>8</v>
      </c>
      <c r="AJ159" s="38">
        <v>21</v>
      </c>
      <c r="AK159" s="38">
        <v>2052</v>
      </c>
      <c r="AL159" s="38">
        <v>2052</v>
      </c>
      <c r="AM159" s="38" t="s">
        <v>292</v>
      </c>
      <c r="AN159" s="8" t="s">
        <v>276</v>
      </c>
      <c r="AO159" s="31">
        <f t="shared" si="61"/>
        <v>0.38986354775828458</v>
      </c>
      <c r="AP159" s="8" t="s">
        <v>276</v>
      </c>
      <c r="AQ159" s="8" t="s">
        <v>276</v>
      </c>
      <c r="AR159" s="8" t="s">
        <v>276</v>
      </c>
      <c r="AS159" s="31">
        <f t="shared" si="58"/>
        <v>1.0233918128654971</v>
      </c>
      <c r="AT159" s="8" t="s">
        <v>276</v>
      </c>
      <c r="AU159" s="8" t="s">
        <v>276</v>
      </c>
      <c r="AV159" s="9" t="s">
        <v>268</v>
      </c>
      <c r="AW159" s="40" t="s">
        <v>276</v>
      </c>
      <c r="AX159" s="53">
        <f t="shared" si="59"/>
        <v>0.38095238095238093</v>
      </c>
      <c r="AY159" s="9" t="s">
        <v>276</v>
      </c>
      <c r="AZ159" s="9" t="s">
        <v>276</v>
      </c>
      <c r="BA159" s="9" t="s">
        <v>276</v>
      </c>
      <c r="BB159" s="9" t="s">
        <v>282</v>
      </c>
      <c r="BC159" s="9" t="s">
        <v>98</v>
      </c>
      <c r="BD159" s="9" t="s">
        <v>98</v>
      </c>
      <c r="BE159" s="9" t="s">
        <v>98</v>
      </c>
      <c r="BF159" s="9" t="s">
        <v>974</v>
      </c>
      <c r="BG159" s="9" t="s">
        <v>886</v>
      </c>
      <c r="BH159" s="9" t="s">
        <v>100</v>
      </c>
      <c r="BI159" s="9" t="s">
        <v>100</v>
      </c>
      <c r="BJ159" s="32"/>
      <c r="BK159" s="32"/>
      <c r="BO159" s="32"/>
      <c r="BP159" s="32"/>
    </row>
    <row r="160" spans="1:68" s="33" customFormat="1" ht="52" hidden="1" x14ac:dyDescent="0.35">
      <c r="A160" s="8">
        <v>748</v>
      </c>
      <c r="B160" s="8" t="s">
        <v>878</v>
      </c>
      <c r="C160" s="8" t="s">
        <v>73</v>
      </c>
      <c r="D160" s="9" t="s">
        <v>975</v>
      </c>
      <c r="E160" s="8" t="s">
        <v>39</v>
      </c>
      <c r="F160" s="8" t="s">
        <v>143</v>
      </c>
      <c r="G160" s="8" t="s">
        <v>225</v>
      </c>
      <c r="H160" s="8" t="s">
        <v>125</v>
      </c>
      <c r="I160" s="8" t="s">
        <v>114</v>
      </c>
      <c r="J160" s="9" t="s">
        <v>25</v>
      </c>
      <c r="K160" s="8" t="s">
        <v>300</v>
      </c>
      <c r="L160" s="8" t="s">
        <v>964</v>
      </c>
      <c r="M160" s="8" t="s">
        <v>965</v>
      </c>
      <c r="N160" s="9" t="s">
        <v>966</v>
      </c>
      <c r="O160" s="9" t="s">
        <v>881</v>
      </c>
      <c r="P160" s="9" t="s">
        <v>239</v>
      </c>
      <c r="Q160" s="52">
        <v>42101</v>
      </c>
      <c r="R160" s="9" t="s">
        <v>276</v>
      </c>
      <c r="S160" s="9" t="s">
        <v>967</v>
      </c>
      <c r="T160" s="9" t="s">
        <v>967</v>
      </c>
      <c r="U160" s="48">
        <v>5</v>
      </c>
      <c r="V160" s="8" t="s">
        <v>14</v>
      </c>
      <c r="W160" s="8" t="s">
        <v>98</v>
      </c>
      <c r="X160" s="9" t="s">
        <v>207</v>
      </c>
      <c r="Y160" s="13">
        <v>2052</v>
      </c>
      <c r="Z160" s="9">
        <v>2052</v>
      </c>
      <c r="AA160" s="9">
        <v>20</v>
      </c>
      <c r="AB160" s="9">
        <v>14</v>
      </c>
      <c r="AC160" s="8">
        <v>0</v>
      </c>
      <c r="AD160" s="8" t="s">
        <v>98</v>
      </c>
      <c r="AE160" s="8">
        <v>2</v>
      </c>
      <c r="AF160" s="8" t="s">
        <v>968</v>
      </c>
      <c r="AG160" s="9" t="s">
        <v>976</v>
      </c>
      <c r="AH160" s="9" t="s">
        <v>919</v>
      </c>
      <c r="AI160" s="38">
        <v>50</v>
      </c>
      <c r="AJ160" s="38">
        <v>8</v>
      </c>
      <c r="AK160" s="38">
        <v>2052</v>
      </c>
      <c r="AL160" s="38">
        <v>2052</v>
      </c>
      <c r="AM160" s="38" t="s">
        <v>292</v>
      </c>
      <c r="AN160" s="8" t="s">
        <v>276</v>
      </c>
      <c r="AO160" s="31">
        <f t="shared" si="61"/>
        <v>2.4366471734892787</v>
      </c>
      <c r="AP160" s="8" t="s">
        <v>276</v>
      </c>
      <c r="AQ160" s="8" t="s">
        <v>276</v>
      </c>
      <c r="AR160" s="8" t="s">
        <v>276</v>
      </c>
      <c r="AS160" s="31">
        <f t="shared" si="58"/>
        <v>0.38986354775828458</v>
      </c>
      <c r="AT160" s="8" t="s">
        <v>276</v>
      </c>
      <c r="AU160" s="8" t="s">
        <v>276</v>
      </c>
      <c r="AV160" s="9" t="s">
        <v>268</v>
      </c>
      <c r="AW160" s="40" t="s">
        <v>276</v>
      </c>
      <c r="AX160" s="53">
        <f t="shared" si="59"/>
        <v>6.25</v>
      </c>
      <c r="AY160" s="9" t="s">
        <v>276</v>
      </c>
      <c r="AZ160" s="9" t="s">
        <v>276</v>
      </c>
      <c r="BA160" s="9" t="s">
        <v>276</v>
      </c>
      <c r="BB160" s="9" t="s">
        <v>282</v>
      </c>
      <c r="BC160" s="9" t="s">
        <v>98</v>
      </c>
      <c r="BD160" s="9" t="s">
        <v>98</v>
      </c>
      <c r="BE160" s="9" t="s">
        <v>98</v>
      </c>
      <c r="BF160" s="9" t="s">
        <v>298</v>
      </c>
      <c r="BG160" s="9" t="s">
        <v>886</v>
      </c>
      <c r="BH160" s="9" t="s">
        <v>100</v>
      </c>
      <c r="BI160" s="9" t="s">
        <v>100</v>
      </c>
      <c r="BJ160" s="32"/>
      <c r="BK160" s="32"/>
      <c r="BO160" s="32"/>
      <c r="BP160" s="32"/>
    </row>
    <row r="161" spans="1:68" s="33" customFormat="1" ht="52" hidden="1" x14ac:dyDescent="0.35">
      <c r="A161" s="8">
        <v>748</v>
      </c>
      <c r="B161" s="8" t="s">
        <v>878</v>
      </c>
      <c r="C161" s="8" t="s">
        <v>73</v>
      </c>
      <c r="D161" s="9" t="s">
        <v>977</v>
      </c>
      <c r="E161" s="8" t="s">
        <v>39</v>
      </c>
      <c r="F161" s="8" t="s">
        <v>143</v>
      </c>
      <c r="G161" s="8" t="s">
        <v>225</v>
      </c>
      <c r="H161" s="8" t="s">
        <v>125</v>
      </c>
      <c r="I161" s="8" t="s">
        <v>114</v>
      </c>
      <c r="J161" s="9" t="s">
        <v>25</v>
      </c>
      <c r="K161" s="8" t="s">
        <v>304</v>
      </c>
      <c r="L161" s="8" t="s">
        <v>964</v>
      </c>
      <c r="M161" s="8" t="s">
        <v>965</v>
      </c>
      <c r="N161" s="9" t="s">
        <v>966</v>
      </c>
      <c r="O161" s="9" t="s">
        <v>881</v>
      </c>
      <c r="P161" s="9" t="s">
        <v>239</v>
      </c>
      <c r="Q161" s="52">
        <v>42101</v>
      </c>
      <c r="R161" s="9" t="s">
        <v>276</v>
      </c>
      <c r="S161" s="9" t="s">
        <v>967</v>
      </c>
      <c r="T161" s="9" t="s">
        <v>967</v>
      </c>
      <c r="U161" s="48">
        <v>5</v>
      </c>
      <c r="V161" s="8" t="s">
        <v>14</v>
      </c>
      <c r="W161" s="8" t="s">
        <v>98</v>
      </c>
      <c r="X161" s="9" t="s">
        <v>207</v>
      </c>
      <c r="Y161" s="13">
        <v>2052</v>
      </c>
      <c r="Z161" s="9">
        <v>2052</v>
      </c>
      <c r="AA161" s="9">
        <v>20</v>
      </c>
      <c r="AB161" s="9">
        <v>14</v>
      </c>
      <c r="AC161" s="8">
        <v>0</v>
      </c>
      <c r="AD161" s="8" t="s">
        <v>98</v>
      </c>
      <c r="AE161" s="8">
        <v>2</v>
      </c>
      <c r="AF161" s="8" t="s">
        <v>968</v>
      </c>
      <c r="AG161" s="9" t="s">
        <v>978</v>
      </c>
      <c r="AH161" s="9" t="s">
        <v>919</v>
      </c>
      <c r="AI161" s="38">
        <v>4</v>
      </c>
      <c r="AJ161" s="38">
        <v>2</v>
      </c>
      <c r="AK161" s="38">
        <v>2052</v>
      </c>
      <c r="AL161" s="38">
        <v>2052</v>
      </c>
      <c r="AM161" s="38" t="s">
        <v>292</v>
      </c>
      <c r="AN161" s="8" t="s">
        <v>276</v>
      </c>
      <c r="AO161" s="31">
        <f t="shared" si="61"/>
        <v>0.19493177387914229</v>
      </c>
      <c r="AP161" s="8" t="s">
        <v>276</v>
      </c>
      <c r="AQ161" s="8" t="s">
        <v>276</v>
      </c>
      <c r="AR161" s="8" t="s">
        <v>276</v>
      </c>
      <c r="AS161" s="31">
        <f t="shared" si="58"/>
        <v>9.7465886939571145E-2</v>
      </c>
      <c r="AT161" s="8" t="s">
        <v>276</v>
      </c>
      <c r="AU161" s="8" t="s">
        <v>276</v>
      </c>
      <c r="AV161" s="9" t="s">
        <v>268</v>
      </c>
      <c r="AW161" s="40" t="s">
        <v>276</v>
      </c>
      <c r="AX161" s="53">
        <f>AO161/AS161</f>
        <v>2</v>
      </c>
      <c r="AY161" s="9" t="s">
        <v>276</v>
      </c>
      <c r="AZ161" s="9" t="s">
        <v>276</v>
      </c>
      <c r="BA161" s="9" t="s">
        <v>276</v>
      </c>
      <c r="BB161" s="9" t="s">
        <v>282</v>
      </c>
      <c r="BC161" s="9" t="s">
        <v>98</v>
      </c>
      <c r="BD161" s="9" t="s">
        <v>98</v>
      </c>
      <c r="BE161" s="9" t="s">
        <v>98</v>
      </c>
      <c r="BF161" s="9" t="s">
        <v>298</v>
      </c>
      <c r="BG161" s="9" t="s">
        <v>886</v>
      </c>
      <c r="BH161" s="9" t="s">
        <v>100</v>
      </c>
      <c r="BI161" s="9" t="s">
        <v>100</v>
      </c>
      <c r="BJ161" s="32"/>
      <c r="BK161" s="32"/>
      <c r="BO161" s="32"/>
      <c r="BP161" s="32"/>
    </row>
    <row r="162" spans="1:68" s="33" customFormat="1" ht="52" hidden="1" x14ac:dyDescent="0.35">
      <c r="A162" s="8">
        <v>748</v>
      </c>
      <c r="B162" s="8" t="s">
        <v>878</v>
      </c>
      <c r="C162" s="8" t="s">
        <v>73</v>
      </c>
      <c r="D162" s="9" t="s">
        <v>979</v>
      </c>
      <c r="E162" s="8" t="s">
        <v>39</v>
      </c>
      <c r="F162" s="8" t="s">
        <v>143</v>
      </c>
      <c r="G162" s="8" t="s">
        <v>225</v>
      </c>
      <c r="H162" s="8" t="s">
        <v>125</v>
      </c>
      <c r="I162" s="8" t="s">
        <v>114</v>
      </c>
      <c r="J162" s="9" t="s">
        <v>25</v>
      </c>
      <c r="K162" s="8" t="s">
        <v>965</v>
      </c>
      <c r="L162" s="8" t="s">
        <v>964</v>
      </c>
      <c r="M162" s="8" t="s">
        <v>965</v>
      </c>
      <c r="N162" s="9" t="s">
        <v>966</v>
      </c>
      <c r="O162" s="9" t="s">
        <v>881</v>
      </c>
      <c r="P162" s="9" t="s">
        <v>239</v>
      </c>
      <c r="Q162" s="52">
        <v>42101</v>
      </c>
      <c r="R162" s="9" t="s">
        <v>276</v>
      </c>
      <c r="S162" s="9" t="s">
        <v>967</v>
      </c>
      <c r="T162" s="9" t="s">
        <v>967</v>
      </c>
      <c r="U162" s="48">
        <v>5</v>
      </c>
      <c r="V162" s="8" t="s">
        <v>14</v>
      </c>
      <c r="W162" s="8" t="s">
        <v>98</v>
      </c>
      <c r="X162" s="9" t="s">
        <v>207</v>
      </c>
      <c r="Y162" s="13">
        <v>2052</v>
      </c>
      <c r="Z162" s="9">
        <v>2052</v>
      </c>
      <c r="AA162" s="9">
        <v>20</v>
      </c>
      <c r="AB162" s="9">
        <v>14</v>
      </c>
      <c r="AC162" s="8">
        <v>0</v>
      </c>
      <c r="AD162" s="8" t="s">
        <v>98</v>
      </c>
      <c r="AE162" s="8">
        <v>2</v>
      </c>
      <c r="AF162" s="8" t="s">
        <v>968</v>
      </c>
      <c r="AG162" s="9" t="s">
        <v>980</v>
      </c>
      <c r="AH162" s="9" t="s">
        <v>919</v>
      </c>
      <c r="AI162" s="38">
        <f>AI160+AI161</f>
        <v>54</v>
      </c>
      <c r="AJ162" s="38">
        <f>AJ160+AJ161</f>
        <v>10</v>
      </c>
      <c r="AK162" s="38">
        <v>2052</v>
      </c>
      <c r="AL162" s="38">
        <v>2052</v>
      </c>
      <c r="AM162" s="38" t="s">
        <v>292</v>
      </c>
      <c r="AN162" s="8" t="s">
        <v>276</v>
      </c>
      <c r="AO162" s="31">
        <f t="shared" si="61"/>
        <v>2.6315789473684212</v>
      </c>
      <c r="AP162" s="8" t="s">
        <v>276</v>
      </c>
      <c r="AQ162" s="8" t="s">
        <v>276</v>
      </c>
      <c r="AR162" s="8" t="s">
        <v>276</v>
      </c>
      <c r="AS162" s="31">
        <f t="shared" si="58"/>
        <v>0.48732943469785572</v>
      </c>
      <c r="AT162" s="8" t="s">
        <v>276</v>
      </c>
      <c r="AU162" s="8" t="s">
        <v>276</v>
      </c>
      <c r="AV162" s="9" t="s">
        <v>268</v>
      </c>
      <c r="AW162" s="40" t="s">
        <v>276</v>
      </c>
      <c r="AX162" s="53">
        <f t="shared" si="59"/>
        <v>5.4</v>
      </c>
      <c r="AY162" s="9" t="s">
        <v>276</v>
      </c>
      <c r="AZ162" s="9" t="s">
        <v>276</v>
      </c>
      <c r="BA162" s="9" t="s">
        <v>276</v>
      </c>
      <c r="BB162" s="9" t="s">
        <v>282</v>
      </c>
      <c r="BC162" s="9" t="s">
        <v>98</v>
      </c>
      <c r="BD162" s="9" t="s">
        <v>98</v>
      </c>
      <c r="BE162" s="9" t="s">
        <v>98</v>
      </c>
      <c r="BF162" s="9" t="s">
        <v>981</v>
      </c>
      <c r="BG162" s="9" t="s">
        <v>886</v>
      </c>
      <c r="BH162" s="9" t="s">
        <v>100</v>
      </c>
      <c r="BI162" s="9" t="s">
        <v>100</v>
      </c>
      <c r="BJ162" s="32"/>
      <c r="BK162" s="32"/>
      <c r="BO162" s="32"/>
      <c r="BP162" s="32"/>
    </row>
    <row r="163" spans="1:68" s="33" customFormat="1" ht="52" hidden="1" x14ac:dyDescent="0.35">
      <c r="A163" s="8">
        <v>748</v>
      </c>
      <c r="B163" s="8" t="s">
        <v>878</v>
      </c>
      <c r="C163" s="8" t="s">
        <v>73</v>
      </c>
      <c r="D163" s="9" t="s">
        <v>982</v>
      </c>
      <c r="E163" s="8" t="s">
        <v>39</v>
      </c>
      <c r="F163" s="8" t="s">
        <v>143</v>
      </c>
      <c r="G163" s="8" t="s">
        <v>225</v>
      </c>
      <c r="H163" s="8" t="s">
        <v>125</v>
      </c>
      <c r="I163" s="8" t="s">
        <v>114</v>
      </c>
      <c r="J163" s="9" t="s">
        <v>25</v>
      </c>
      <c r="K163" s="8" t="s">
        <v>983</v>
      </c>
      <c r="L163" s="8" t="s">
        <v>964</v>
      </c>
      <c r="M163" s="8" t="s">
        <v>965</v>
      </c>
      <c r="N163" s="9" t="s">
        <v>966</v>
      </c>
      <c r="O163" s="9" t="s">
        <v>881</v>
      </c>
      <c r="P163" s="9" t="s">
        <v>239</v>
      </c>
      <c r="Q163" s="52">
        <v>42101</v>
      </c>
      <c r="R163" s="9" t="s">
        <v>276</v>
      </c>
      <c r="S163" s="9" t="s">
        <v>967</v>
      </c>
      <c r="T163" s="9" t="s">
        <v>967</v>
      </c>
      <c r="U163" s="48">
        <v>5</v>
      </c>
      <c r="V163" s="8" t="s">
        <v>14</v>
      </c>
      <c r="W163" s="8" t="s">
        <v>98</v>
      </c>
      <c r="X163" s="9" t="s">
        <v>207</v>
      </c>
      <c r="Y163" s="13">
        <v>2052</v>
      </c>
      <c r="Z163" s="9">
        <v>2052</v>
      </c>
      <c r="AA163" s="9">
        <v>20</v>
      </c>
      <c r="AB163" s="9">
        <v>14</v>
      </c>
      <c r="AC163" s="8">
        <v>0</v>
      </c>
      <c r="AD163" s="8" t="s">
        <v>98</v>
      </c>
      <c r="AE163" s="8">
        <v>2</v>
      </c>
      <c r="AF163" s="8" t="s">
        <v>968</v>
      </c>
      <c r="AG163" s="9" t="s">
        <v>984</v>
      </c>
      <c r="AH163" s="9" t="s">
        <v>919</v>
      </c>
      <c r="AI163" s="38">
        <v>15</v>
      </c>
      <c r="AJ163" s="38">
        <v>3</v>
      </c>
      <c r="AK163" s="38">
        <v>2052</v>
      </c>
      <c r="AL163" s="38">
        <v>2052</v>
      </c>
      <c r="AM163" s="38" t="s">
        <v>292</v>
      </c>
      <c r="AN163" s="8" t="s">
        <v>276</v>
      </c>
      <c r="AO163" s="31">
        <f t="shared" si="61"/>
        <v>0.73099415204678364</v>
      </c>
      <c r="AP163" s="8" t="s">
        <v>276</v>
      </c>
      <c r="AQ163" s="8" t="s">
        <v>276</v>
      </c>
      <c r="AR163" s="8" t="s">
        <v>276</v>
      </c>
      <c r="AS163" s="31">
        <f t="shared" si="58"/>
        <v>0.14619883040935672</v>
      </c>
      <c r="AT163" s="8" t="s">
        <v>276</v>
      </c>
      <c r="AU163" s="8" t="s">
        <v>276</v>
      </c>
      <c r="AV163" s="9" t="s">
        <v>268</v>
      </c>
      <c r="AW163" s="40" t="s">
        <v>276</v>
      </c>
      <c r="AX163" s="53">
        <f t="shared" si="59"/>
        <v>5</v>
      </c>
      <c r="AY163" s="9" t="s">
        <v>276</v>
      </c>
      <c r="AZ163" s="9" t="s">
        <v>276</v>
      </c>
      <c r="BA163" s="9" t="s">
        <v>276</v>
      </c>
      <c r="BB163" s="9" t="s">
        <v>282</v>
      </c>
      <c r="BC163" s="9" t="s">
        <v>98</v>
      </c>
      <c r="BD163" s="9" t="s">
        <v>98</v>
      </c>
      <c r="BE163" s="9" t="s">
        <v>98</v>
      </c>
      <c r="BF163" s="9" t="s">
        <v>985</v>
      </c>
      <c r="BG163" s="9" t="s">
        <v>886</v>
      </c>
      <c r="BH163" s="9" t="s">
        <v>100</v>
      </c>
      <c r="BI163" s="9" t="s">
        <v>100</v>
      </c>
      <c r="BJ163" s="32"/>
      <c r="BK163" s="32"/>
      <c r="BO163" s="32"/>
      <c r="BP163" s="32"/>
    </row>
    <row r="164" spans="1:68" s="33" customFormat="1" ht="52" hidden="1" x14ac:dyDescent="0.35">
      <c r="A164" s="8">
        <v>748</v>
      </c>
      <c r="B164" s="8" t="s">
        <v>878</v>
      </c>
      <c r="C164" s="8" t="s">
        <v>73</v>
      </c>
      <c r="D164" s="9" t="s">
        <v>986</v>
      </c>
      <c r="E164" s="8" t="s">
        <v>39</v>
      </c>
      <c r="F164" s="8" t="s">
        <v>143</v>
      </c>
      <c r="G164" s="8" t="s">
        <v>225</v>
      </c>
      <c r="H164" s="8" t="s">
        <v>125</v>
      </c>
      <c r="I164" s="8" t="s">
        <v>114</v>
      </c>
      <c r="J164" s="9" t="s">
        <v>25</v>
      </c>
      <c r="K164" s="8" t="s">
        <v>987</v>
      </c>
      <c r="L164" s="8" t="s">
        <v>964</v>
      </c>
      <c r="M164" s="8" t="s">
        <v>965</v>
      </c>
      <c r="N164" s="9" t="s">
        <v>966</v>
      </c>
      <c r="O164" s="9" t="s">
        <v>881</v>
      </c>
      <c r="P164" s="9" t="s">
        <v>239</v>
      </c>
      <c r="Q164" s="52">
        <v>42101</v>
      </c>
      <c r="R164" s="9" t="s">
        <v>276</v>
      </c>
      <c r="S164" s="9" t="s">
        <v>967</v>
      </c>
      <c r="T164" s="9" t="s">
        <v>967</v>
      </c>
      <c r="U164" s="48">
        <v>5</v>
      </c>
      <c r="V164" s="8" t="s">
        <v>14</v>
      </c>
      <c r="W164" s="8" t="s">
        <v>98</v>
      </c>
      <c r="X164" s="9" t="s">
        <v>207</v>
      </c>
      <c r="Y164" s="13">
        <v>2052</v>
      </c>
      <c r="Z164" s="9">
        <v>2052</v>
      </c>
      <c r="AA164" s="9">
        <v>20</v>
      </c>
      <c r="AB164" s="9">
        <v>14</v>
      </c>
      <c r="AC164" s="8">
        <v>0</v>
      </c>
      <c r="AD164" s="8" t="s">
        <v>98</v>
      </c>
      <c r="AE164" s="8">
        <v>2</v>
      </c>
      <c r="AF164" s="8" t="s">
        <v>968</v>
      </c>
      <c r="AG164" s="9" t="s">
        <v>988</v>
      </c>
      <c r="AH164" s="9" t="s">
        <v>919</v>
      </c>
      <c r="AI164" s="38">
        <v>8</v>
      </c>
      <c r="AJ164" s="38">
        <v>6</v>
      </c>
      <c r="AK164" s="38">
        <v>2052</v>
      </c>
      <c r="AL164" s="38">
        <v>2052</v>
      </c>
      <c r="AM164" s="38" t="s">
        <v>292</v>
      </c>
      <c r="AN164" s="8" t="s">
        <v>276</v>
      </c>
      <c r="AO164" s="31">
        <f t="shared" si="61"/>
        <v>0.38986354775828458</v>
      </c>
      <c r="AP164" s="8" t="s">
        <v>276</v>
      </c>
      <c r="AQ164" s="8" t="s">
        <v>276</v>
      </c>
      <c r="AR164" s="8" t="s">
        <v>276</v>
      </c>
      <c r="AS164" s="31">
        <f t="shared" si="58"/>
        <v>0.29239766081871343</v>
      </c>
      <c r="AT164" s="8" t="s">
        <v>276</v>
      </c>
      <c r="AU164" s="8" t="s">
        <v>276</v>
      </c>
      <c r="AV164" s="9" t="s">
        <v>268</v>
      </c>
      <c r="AW164" s="40" t="s">
        <v>276</v>
      </c>
      <c r="AX164" s="53">
        <f t="shared" si="59"/>
        <v>1.3333333333333333</v>
      </c>
      <c r="AY164" s="9" t="s">
        <v>276</v>
      </c>
      <c r="AZ164" s="9" t="s">
        <v>276</v>
      </c>
      <c r="BA164" s="9" t="s">
        <v>276</v>
      </c>
      <c r="BB164" s="9" t="s">
        <v>282</v>
      </c>
      <c r="BC164" s="9" t="s">
        <v>98</v>
      </c>
      <c r="BD164" s="9" t="s">
        <v>98</v>
      </c>
      <c r="BE164" s="9" t="s">
        <v>98</v>
      </c>
      <c r="BF164" s="9" t="s">
        <v>989</v>
      </c>
      <c r="BG164" s="9" t="s">
        <v>886</v>
      </c>
      <c r="BH164" s="9" t="s">
        <v>100</v>
      </c>
      <c r="BI164" s="9" t="s">
        <v>100</v>
      </c>
      <c r="BJ164" s="32"/>
      <c r="BK164" s="32"/>
      <c r="BO164" s="32"/>
      <c r="BP164" s="32"/>
    </row>
    <row r="165" spans="1:68" s="33" customFormat="1" ht="52" hidden="1" x14ac:dyDescent="0.35">
      <c r="A165" s="8">
        <v>748</v>
      </c>
      <c r="B165" s="8" t="s">
        <v>878</v>
      </c>
      <c r="C165" s="8" t="s">
        <v>73</v>
      </c>
      <c r="D165" s="9" t="s">
        <v>990</v>
      </c>
      <c r="E165" s="8" t="s">
        <v>39</v>
      </c>
      <c r="F165" s="8" t="s">
        <v>143</v>
      </c>
      <c r="G165" s="8" t="s">
        <v>225</v>
      </c>
      <c r="H165" s="8" t="s">
        <v>125</v>
      </c>
      <c r="I165" s="8" t="s">
        <v>114</v>
      </c>
      <c r="J165" s="9" t="s">
        <v>25</v>
      </c>
      <c r="K165" s="8" t="s">
        <v>311</v>
      </c>
      <c r="L165" s="8" t="s">
        <v>964</v>
      </c>
      <c r="M165" s="8" t="s">
        <v>965</v>
      </c>
      <c r="N165" s="9" t="s">
        <v>966</v>
      </c>
      <c r="O165" s="9" t="s">
        <v>881</v>
      </c>
      <c r="P165" s="9" t="s">
        <v>239</v>
      </c>
      <c r="Q165" s="52">
        <v>42101</v>
      </c>
      <c r="R165" s="9" t="s">
        <v>276</v>
      </c>
      <c r="S165" s="9" t="s">
        <v>967</v>
      </c>
      <c r="T165" s="9" t="s">
        <v>967</v>
      </c>
      <c r="U165" s="48">
        <v>5</v>
      </c>
      <c r="V165" s="8" t="s">
        <v>14</v>
      </c>
      <c r="W165" s="8" t="s">
        <v>98</v>
      </c>
      <c r="X165" s="9" t="s">
        <v>207</v>
      </c>
      <c r="Y165" s="13">
        <v>2052</v>
      </c>
      <c r="Z165" s="9">
        <v>2052</v>
      </c>
      <c r="AA165" s="9">
        <v>20</v>
      </c>
      <c r="AB165" s="9">
        <v>14</v>
      </c>
      <c r="AC165" s="8">
        <v>0</v>
      </c>
      <c r="AD165" s="8" t="s">
        <v>98</v>
      </c>
      <c r="AE165" s="8">
        <v>2</v>
      </c>
      <c r="AF165" s="8" t="s">
        <v>968</v>
      </c>
      <c r="AG165" s="9" t="s">
        <v>991</v>
      </c>
      <c r="AH165" s="9" t="s">
        <v>919</v>
      </c>
      <c r="AI165" s="38">
        <f>AI163+AI164</f>
        <v>23</v>
      </c>
      <c r="AJ165" s="38">
        <f>AJ163+AJ164</f>
        <v>9</v>
      </c>
      <c r="AK165" s="38">
        <v>2052</v>
      </c>
      <c r="AL165" s="38">
        <v>2052</v>
      </c>
      <c r="AM165" s="38" t="s">
        <v>292</v>
      </c>
      <c r="AN165" s="8" t="s">
        <v>276</v>
      </c>
      <c r="AO165" s="31">
        <f t="shared" si="61"/>
        <v>1.1208576998050683</v>
      </c>
      <c r="AP165" s="8" t="s">
        <v>276</v>
      </c>
      <c r="AQ165" s="8" t="s">
        <v>276</v>
      </c>
      <c r="AR165" s="8" t="s">
        <v>276</v>
      </c>
      <c r="AS165" s="31">
        <f t="shared" si="58"/>
        <v>0.43859649122807015</v>
      </c>
      <c r="AT165" s="8" t="s">
        <v>276</v>
      </c>
      <c r="AU165" s="8" t="s">
        <v>276</v>
      </c>
      <c r="AV165" s="9" t="s">
        <v>268</v>
      </c>
      <c r="AW165" s="40" t="s">
        <v>276</v>
      </c>
      <c r="AX165" s="53">
        <f t="shared" si="59"/>
        <v>2.5555555555555558</v>
      </c>
      <c r="AY165" s="9" t="s">
        <v>276</v>
      </c>
      <c r="AZ165" s="9" t="s">
        <v>276</v>
      </c>
      <c r="BA165" s="9" t="s">
        <v>276</v>
      </c>
      <c r="BB165" s="9" t="s">
        <v>282</v>
      </c>
      <c r="BC165" s="9" t="s">
        <v>98</v>
      </c>
      <c r="BD165" s="9" t="s">
        <v>98</v>
      </c>
      <c r="BE165" s="9" t="s">
        <v>98</v>
      </c>
      <c r="BF165" s="9" t="s">
        <v>298</v>
      </c>
      <c r="BG165" s="9" t="s">
        <v>992</v>
      </c>
      <c r="BH165" s="9" t="s">
        <v>100</v>
      </c>
      <c r="BI165" s="9" t="s">
        <v>100</v>
      </c>
      <c r="BJ165" s="32"/>
      <c r="BK165" s="32"/>
      <c r="BO165" s="32"/>
      <c r="BP165" s="32"/>
    </row>
    <row r="166" spans="1:68" s="33" customFormat="1" ht="52" hidden="1" x14ac:dyDescent="0.35">
      <c r="A166" s="8">
        <v>748</v>
      </c>
      <c r="B166" s="8" t="s">
        <v>878</v>
      </c>
      <c r="C166" s="8" t="s">
        <v>73</v>
      </c>
      <c r="D166" s="9" t="s">
        <v>993</v>
      </c>
      <c r="E166" s="8" t="s">
        <v>39</v>
      </c>
      <c r="F166" s="8" t="s">
        <v>143</v>
      </c>
      <c r="G166" s="8" t="s">
        <v>225</v>
      </c>
      <c r="H166" s="8" t="s">
        <v>125</v>
      </c>
      <c r="I166" s="8" t="s">
        <v>114</v>
      </c>
      <c r="J166" s="9" t="s">
        <v>25</v>
      </c>
      <c r="K166" s="8" t="s">
        <v>314</v>
      </c>
      <c r="L166" s="8" t="s">
        <v>964</v>
      </c>
      <c r="M166" s="8" t="s">
        <v>965</v>
      </c>
      <c r="N166" s="9" t="s">
        <v>966</v>
      </c>
      <c r="O166" s="9" t="s">
        <v>881</v>
      </c>
      <c r="P166" s="9" t="s">
        <v>239</v>
      </c>
      <c r="Q166" s="52">
        <v>42101</v>
      </c>
      <c r="R166" s="9" t="s">
        <v>276</v>
      </c>
      <c r="S166" s="9" t="s">
        <v>967</v>
      </c>
      <c r="T166" s="9" t="s">
        <v>967</v>
      </c>
      <c r="U166" s="48">
        <v>5</v>
      </c>
      <c r="V166" s="8" t="s">
        <v>14</v>
      </c>
      <c r="W166" s="8" t="s">
        <v>98</v>
      </c>
      <c r="X166" s="9" t="s">
        <v>207</v>
      </c>
      <c r="Y166" s="13">
        <v>2052</v>
      </c>
      <c r="Z166" s="9">
        <v>2052</v>
      </c>
      <c r="AA166" s="9">
        <v>20</v>
      </c>
      <c r="AB166" s="9">
        <v>14</v>
      </c>
      <c r="AC166" s="8">
        <v>0</v>
      </c>
      <c r="AD166" s="8" t="s">
        <v>98</v>
      </c>
      <c r="AE166" s="8">
        <v>2</v>
      </c>
      <c r="AF166" s="8" t="s">
        <v>968</v>
      </c>
      <c r="AG166" s="9" t="s">
        <v>994</v>
      </c>
      <c r="AH166" s="9" t="s">
        <v>919</v>
      </c>
      <c r="AI166" s="38">
        <v>23</v>
      </c>
      <c r="AJ166" s="38">
        <v>32</v>
      </c>
      <c r="AK166" s="38">
        <v>2052</v>
      </c>
      <c r="AL166" s="38">
        <v>2052</v>
      </c>
      <c r="AM166" s="38" t="s">
        <v>292</v>
      </c>
      <c r="AN166" s="8" t="s">
        <v>276</v>
      </c>
      <c r="AO166" s="31">
        <f t="shared" si="61"/>
        <v>1.1208576998050683</v>
      </c>
      <c r="AP166" s="8" t="s">
        <v>276</v>
      </c>
      <c r="AQ166" s="8" t="s">
        <v>276</v>
      </c>
      <c r="AR166" s="8" t="s">
        <v>276</v>
      </c>
      <c r="AS166" s="31">
        <f t="shared" si="58"/>
        <v>1.5594541910331383</v>
      </c>
      <c r="AT166" s="8" t="s">
        <v>276</v>
      </c>
      <c r="AU166" s="8" t="s">
        <v>276</v>
      </c>
      <c r="AV166" s="9" t="s">
        <v>268</v>
      </c>
      <c r="AW166" s="40" t="s">
        <v>276</v>
      </c>
      <c r="AX166" s="53">
        <f t="shared" si="59"/>
        <v>0.71875000000000011</v>
      </c>
      <c r="AY166" s="9" t="s">
        <v>276</v>
      </c>
      <c r="AZ166" s="9" t="s">
        <v>276</v>
      </c>
      <c r="BA166" s="9" t="s">
        <v>276</v>
      </c>
      <c r="BB166" s="9" t="s">
        <v>282</v>
      </c>
      <c r="BC166" s="9" t="s">
        <v>98</v>
      </c>
      <c r="BD166" s="9" t="s">
        <v>98</v>
      </c>
      <c r="BE166" s="9" t="s">
        <v>98</v>
      </c>
      <c r="BF166" s="9" t="s">
        <v>995</v>
      </c>
      <c r="BG166" s="9" t="s">
        <v>886</v>
      </c>
      <c r="BH166" s="9" t="s">
        <v>100</v>
      </c>
      <c r="BI166" s="9" t="s">
        <v>100</v>
      </c>
      <c r="BJ166" s="32"/>
      <c r="BK166" s="32"/>
      <c r="BO166" s="32"/>
      <c r="BP166" s="32"/>
    </row>
    <row r="167" spans="1:68" s="33" customFormat="1" ht="52" hidden="1" x14ac:dyDescent="0.35">
      <c r="A167" s="8">
        <v>748</v>
      </c>
      <c r="B167" s="8" t="s">
        <v>878</v>
      </c>
      <c r="C167" s="8" t="s">
        <v>73</v>
      </c>
      <c r="D167" s="9" t="s">
        <v>996</v>
      </c>
      <c r="E167" s="8" t="s">
        <v>39</v>
      </c>
      <c r="F167" s="8" t="s">
        <v>143</v>
      </c>
      <c r="G167" s="8" t="s">
        <v>225</v>
      </c>
      <c r="H167" s="8" t="s">
        <v>125</v>
      </c>
      <c r="I167" s="8" t="s">
        <v>114</v>
      </c>
      <c r="J167" s="9" t="s">
        <v>25</v>
      </c>
      <c r="K167" s="8" t="s">
        <v>317</v>
      </c>
      <c r="L167" s="8" t="s">
        <v>964</v>
      </c>
      <c r="M167" s="8" t="s">
        <v>965</v>
      </c>
      <c r="N167" s="9" t="s">
        <v>966</v>
      </c>
      <c r="O167" s="9" t="s">
        <v>881</v>
      </c>
      <c r="P167" s="9" t="s">
        <v>239</v>
      </c>
      <c r="Q167" s="52">
        <v>42101</v>
      </c>
      <c r="R167" s="9" t="s">
        <v>276</v>
      </c>
      <c r="S167" s="9" t="s">
        <v>967</v>
      </c>
      <c r="T167" s="9" t="s">
        <v>967</v>
      </c>
      <c r="U167" s="48">
        <v>5</v>
      </c>
      <c r="V167" s="8" t="s">
        <v>14</v>
      </c>
      <c r="W167" s="8" t="s">
        <v>98</v>
      </c>
      <c r="X167" s="9" t="s">
        <v>207</v>
      </c>
      <c r="Y167" s="13">
        <v>2052</v>
      </c>
      <c r="Z167" s="9">
        <v>2052</v>
      </c>
      <c r="AA167" s="9">
        <v>20</v>
      </c>
      <c r="AB167" s="9">
        <v>14</v>
      </c>
      <c r="AC167" s="8">
        <v>0</v>
      </c>
      <c r="AD167" s="8" t="s">
        <v>98</v>
      </c>
      <c r="AE167" s="8">
        <v>2</v>
      </c>
      <c r="AF167" s="8" t="s">
        <v>968</v>
      </c>
      <c r="AG167" s="9" t="s">
        <v>997</v>
      </c>
      <c r="AH167" s="9" t="s">
        <v>919</v>
      </c>
      <c r="AI167" s="38">
        <f>AI165+AI166</f>
        <v>46</v>
      </c>
      <c r="AJ167" s="38">
        <f>AJ165+AJ166</f>
        <v>41</v>
      </c>
      <c r="AK167" s="38">
        <v>2052</v>
      </c>
      <c r="AL167" s="38">
        <v>2052</v>
      </c>
      <c r="AM167" s="38" t="s">
        <v>292</v>
      </c>
      <c r="AN167" s="8" t="s">
        <v>276</v>
      </c>
      <c r="AO167" s="31">
        <f t="shared" si="61"/>
        <v>2.2417153996101367</v>
      </c>
      <c r="AP167" s="8" t="s">
        <v>276</v>
      </c>
      <c r="AQ167" s="8" t="s">
        <v>276</v>
      </c>
      <c r="AR167" s="8" t="s">
        <v>276</v>
      </c>
      <c r="AS167" s="31">
        <f t="shared" si="58"/>
        <v>1.9980506822612085</v>
      </c>
      <c r="AT167" s="8" t="s">
        <v>276</v>
      </c>
      <c r="AU167" s="8" t="s">
        <v>276</v>
      </c>
      <c r="AV167" s="9" t="s">
        <v>268</v>
      </c>
      <c r="AW167" s="40" t="s">
        <v>276</v>
      </c>
      <c r="AX167" s="53">
        <f t="shared" si="59"/>
        <v>1.1219512195121952</v>
      </c>
      <c r="AY167" s="9" t="s">
        <v>276</v>
      </c>
      <c r="AZ167" s="9" t="s">
        <v>276</v>
      </c>
      <c r="BA167" s="9" t="s">
        <v>276</v>
      </c>
      <c r="BB167" s="9" t="s">
        <v>282</v>
      </c>
      <c r="BC167" s="9" t="s">
        <v>98</v>
      </c>
      <c r="BD167" s="9" t="s">
        <v>98</v>
      </c>
      <c r="BE167" s="9" t="s">
        <v>98</v>
      </c>
      <c r="BF167" s="9" t="s">
        <v>998</v>
      </c>
      <c r="BG167" s="9" t="s">
        <v>992</v>
      </c>
      <c r="BH167" s="9" t="s">
        <v>100</v>
      </c>
      <c r="BI167" s="9" t="s">
        <v>100</v>
      </c>
      <c r="BJ167" s="32"/>
      <c r="BK167" s="32"/>
      <c r="BO167" s="32"/>
      <c r="BP167" s="32"/>
    </row>
    <row r="168" spans="1:68" s="33" customFormat="1" ht="52" hidden="1" x14ac:dyDescent="0.35">
      <c r="A168" s="8">
        <v>748</v>
      </c>
      <c r="B168" s="8" t="s">
        <v>878</v>
      </c>
      <c r="C168" s="8" t="s">
        <v>73</v>
      </c>
      <c r="D168" s="9" t="s">
        <v>999</v>
      </c>
      <c r="E168" s="8" t="s">
        <v>39</v>
      </c>
      <c r="F168" s="8" t="s">
        <v>143</v>
      </c>
      <c r="G168" s="8" t="s">
        <v>225</v>
      </c>
      <c r="H168" s="8" t="s">
        <v>125</v>
      </c>
      <c r="I168" s="8" t="s">
        <v>114</v>
      </c>
      <c r="J168" s="9" t="s">
        <v>25</v>
      </c>
      <c r="K168" s="8" t="s">
        <v>317</v>
      </c>
      <c r="L168" s="8" t="s">
        <v>964</v>
      </c>
      <c r="M168" s="8" t="s">
        <v>965</v>
      </c>
      <c r="N168" s="9" t="s">
        <v>966</v>
      </c>
      <c r="O168" s="9" t="s">
        <v>881</v>
      </c>
      <c r="P168" s="9" t="s">
        <v>235</v>
      </c>
      <c r="Q168" s="52">
        <v>42101</v>
      </c>
      <c r="R168" s="9" t="s">
        <v>276</v>
      </c>
      <c r="S168" s="9" t="s">
        <v>967</v>
      </c>
      <c r="T168" s="9" t="s">
        <v>967</v>
      </c>
      <c r="U168" s="48">
        <v>5</v>
      </c>
      <c r="V168" s="8" t="s">
        <v>14</v>
      </c>
      <c r="W168" s="8" t="s">
        <v>98</v>
      </c>
      <c r="X168" s="9" t="s">
        <v>207</v>
      </c>
      <c r="Y168" s="13" t="s">
        <v>98</v>
      </c>
      <c r="Z168" s="9" t="s">
        <v>98</v>
      </c>
      <c r="AA168" s="9">
        <v>20</v>
      </c>
      <c r="AB168" s="9">
        <v>14</v>
      </c>
      <c r="AC168" s="8">
        <v>0</v>
      </c>
      <c r="AD168" s="8" t="s">
        <v>98</v>
      </c>
      <c r="AE168" s="8">
        <v>2</v>
      </c>
      <c r="AF168" s="8" t="s">
        <v>968</v>
      </c>
      <c r="AG168" s="9" t="s">
        <v>997</v>
      </c>
      <c r="AH168" s="9" t="s">
        <v>1000</v>
      </c>
      <c r="AI168" s="38">
        <v>46</v>
      </c>
      <c r="AJ168" s="38">
        <v>41</v>
      </c>
      <c r="AK168" s="38">
        <v>100</v>
      </c>
      <c r="AL168" s="38">
        <v>53</v>
      </c>
      <c r="AM168" s="38" t="s">
        <v>292</v>
      </c>
      <c r="AN168" s="8" t="s">
        <v>276</v>
      </c>
      <c r="AO168" s="31">
        <f t="shared" si="61"/>
        <v>46</v>
      </c>
      <c r="AP168" s="8" t="s">
        <v>276</v>
      </c>
      <c r="AQ168" s="8" t="s">
        <v>276</v>
      </c>
      <c r="AR168" s="8" t="s">
        <v>276</v>
      </c>
      <c r="AS168" s="31">
        <f t="shared" si="58"/>
        <v>77.35849056603773</v>
      </c>
      <c r="AT168" s="8" t="s">
        <v>276</v>
      </c>
      <c r="AU168" s="8" t="s">
        <v>276</v>
      </c>
      <c r="AV168" s="9" t="s">
        <v>268</v>
      </c>
      <c r="AW168" s="40" t="s">
        <v>276</v>
      </c>
      <c r="AX168" s="53">
        <f t="shared" si="59"/>
        <v>0.5946341463414635</v>
      </c>
      <c r="AY168" s="9" t="s">
        <v>276</v>
      </c>
      <c r="AZ168" s="9" t="s">
        <v>276</v>
      </c>
      <c r="BA168" s="9" t="s">
        <v>276</v>
      </c>
      <c r="BB168" s="9" t="s">
        <v>282</v>
      </c>
      <c r="BC168" s="9" t="s">
        <v>98</v>
      </c>
      <c r="BD168" s="9" t="s">
        <v>98</v>
      </c>
      <c r="BE168" s="9" t="s">
        <v>98</v>
      </c>
      <c r="BF168" s="9" t="s">
        <v>298</v>
      </c>
      <c r="BG168" s="9" t="s">
        <v>992</v>
      </c>
      <c r="BH168" s="9" t="s">
        <v>100</v>
      </c>
      <c r="BI168" s="9" t="s">
        <v>100</v>
      </c>
      <c r="BJ168" s="32"/>
      <c r="BK168" s="32"/>
      <c r="BO168" s="32"/>
      <c r="BP168" s="32"/>
    </row>
    <row r="169" spans="1:68" s="33" customFormat="1" ht="65" hidden="1" x14ac:dyDescent="0.35">
      <c r="A169" s="8">
        <v>10739</v>
      </c>
      <c r="B169" s="8" t="s">
        <v>1001</v>
      </c>
      <c r="C169" s="9" t="s">
        <v>79</v>
      </c>
      <c r="D169" s="9" t="s">
        <v>1023</v>
      </c>
      <c r="E169" s="8" t="s">
        <v>39</v>
      </c>
      <c r="F169" s="9" t="s">
        <v>263</v>
      </c>
      <c r="G169" s="8" t="s">
        <v>262</v>
      </c>
      <c r="H169" s="8" t="s">
        <v>225</v>
      </c>
      <c r="I169" s="8" t="s">
        <v>98</v>
      </c>
      <c r="J169" s="9" t="s">
        <v>1024</v>
      </c>
      <c r="K169" s="8" t="s">
        <v>1025</v>
      </c>
      <c r="L169" s="8" t="s">
        <v>276</v>
      </c>
      <c r="M169" s="8" t="s">
        <v>276</v>
      </c>
      <c r="N169" s="8" t="s">
        <v>276</v>
      </c>
      <c r="O169" s="9" t="s">
        <v>276</v>
      </c>
      <c r="P169" s="9" t="s">
        <v>239</v>
      </c>
      <c r="Q169" s="41">
        <v>29494</v>
      </c>
      <c r="R169" s="9" t="s">
        <v>276</v>
      </c>
      <c r="S169" s="9" t="s">
        <v>1026</v>
      </c>
      <c r="T169" s="9" t="s">
        <v>1027</v>
      </c>
      <c r="U169" s="9" t="s">
        <v>1005</v>
      </c>
      <c r="V169" s="8" t="s">
        <v>14</v>
      </c>
      <c r="W169" s="8" t="s">
        <v>98</v>
      </c>
      <c r="X169" s="9" t="s">
        <v>208</v>
      </c>
      <c r="Y169" s="13">
        <v>5226</v>
      </c>
      <c r="Z169" s="9">
        <v>5161</v>
      </c>
      <c r="AA169" s="9" t="s">
        <v>276</v>
      </c>
      <c r="AB169" s="9" t="s">
        <v>276</v>
      </c>
      <c r="AC169" s="8">
        <v>0</v>
      </c>
      <c r="AD169" s="8" t="s">
        <v>98</v>
      </c>
      <c r="AE169" s="8">
        <v>0</v>
      </c>
      <c r="AF169" s="8" t="s">
        <v>98</v>
      </c>
      <c r="AG169" s="9" t="s">
        <v>1028</v>
      </c>
      <c r="AH169" s="9" t="s">
        <v>689</v>
      </c>
      <c r="AI169" s="38">
        <v>47</v>
      </c>
      <c r="AJ169" s="38">
        <v>45</v>
      </c>
      <c r="AK169" s="38">
        <f>Y169</f>
        <v>5226</v>
      </c>
      <c r="AL169" s="38">
        <f>Z169</f>
        <v>5161</v>
      </c>
      <c r="AM169" s="38" t="s">
        <v>292</v>
      </c>
      <c r="AN169" s="8" t="s">
        <v>276</v>
      </c>
      <c r="AO169" s="31">
        <f>AI169*100/AK169</f>
        <v>0.89934940681209341</v>
      </c>
      <c r="AP169" s="8" t="s">
        <v>276</v>
      </c>
      <c r="AQ169" s="8" t="s">
        <v>276</v>
      </c>
      <c r="AR169" s="8" t="s">
        <v>276</v>
      </c>
      <c r="AS169" s="31">
        <f>AJ169*100/AL169</f>
        <v>0.87192404572757221</v>
      </c>
      <c r="AT169" s="8" t="s">
        <v>276</v>
      </c>
      <c r="AU169" s="8" t="s">
        <v>276</v>
      </c>
      <c r="AV169" s="9" t="s">
        <v>268</v>
      </c>
      <c r="AW169" s="40" t="s">
        <v>276</v>
      </c>
      <c r="AX169" s="53">
        <f t="shared" si="59"/>
        <v>1.0314538419016031</v>
      </c>
      <c r="AY169" s="9" t="s">
        <v>276</v>
      </c>
      <c r="AZ169" s="9" t="s">
        <v>276</v>
      </c>
      <c r="BA169" s="9" t="s">
        <v>276</v>
      </c>
      <c r="BB169" s="9" t="s">
        <v>282</v>
      </c>
      <c r="BC169" s="9" t="s">
        <v>276</v>
      </c>
      <c r="BD169" s="9" t="s">
        <v>276</v>
      </c>
      <c r="BE169" s="9" t="s">
        <v>276</v>
      </c>
      <c r="BF169" s="9" t="s">
        <v>1029</v>
      </c>
      <c r="BG169" s="9" t="s">
        <v>1030</v>
      </c>
      <c r="BH169" s="9" t="s">
        <v>100</v>
      </c>
      <c r="BI169" s="9" t="s">
        <v>100</v>
      </c>
      <c r="BJ169" s="32"/>
      <c r="BK169" s="32"/>
      <c r="BO169" s="32"/>
      <c r="BP169" s="32"/>
    </row>
    <row r="170" spans="1:68" s="33" customFormat="1" ht="65" hidden="1" x14ac:dyDescent="0.35">
      <c r="A170" s="8">
        <v>10739</v>
      </c>
      <c r="B170" s="8" t="s">
        <v>1001</v>
      </c>
      <c r="C170" s="9" t="s">
        <v>79</v>
      </c>
      <c r="D170" s="9" t="s">
        <v>1031</v>
      </c>
      <c r="E170" s="8" t="s">
        <v>39</v>
      </c>
      <c r="F170" s="9" t="s">
        <v>263</v>
      </c>
      <c r="G170" s="8" t="s">
        <v>262</v>
      </c>
      <c r="H170" s="8" t="s">
        <v>225</v>
      </c>
      <c r="I170" s="8" t="s">
        <v>98</v>
      </c>
      <c r="J170" s="9" t="s">
        <v>1024</v>
      </c>
      <c r="K170" s="8" t="s">
        <v>1025</v>
      </c>
      <c r="L170" s="8" t="s">
        <v>276</v>
      </c>
      <c r="M170" s="8" t="s">
        <v>276</v>
      </c>
      <c r="N170" s="8" t="s">
        <v>276</v>
      </c>
      <c r="O170" s="9" t="s">
        <v>276</v>
      </c>
      <c r="P170" s="9" t="s">
        <v>239</v>
      </c>
      <c r="Q170" s="41">
        <v>29494</v>
      </c>
      <c r="R170" s="9" t="s">
        <v>276</v>
      </c>
      <c r="S170" s="9" t="s">
        <v>1026</v>
      </c>
      <c r="T170" s="9" t="s">
        <v>1027</v>
      </c>
      <c r="U170" s="9" t="s">
        <v>1005</v>
      </c>
      <c r="V170" s="8" t="s">
        <v>14</v>
      </c>
      <c r="W170" s="8" t="s">
        <v>98</v>
      </c>
      <c r="X170" s="9" t="s">
        <v>208</v>
      </c>
      <c r="Y170" s="13">
        <v>5226</v>
      </c>
      <c r="Z170" s="9">
        <v>5161</v>
      </c>
      <c r="AA170" s="9" t="s">
        <v>276</v>
      </c>
      <c r="AB170" s="9" t="s">
        <v>276</v>
      </c>
      <c r="AC170" s="8">
        <v>0</v>
      </c>
      <c r="AD170" s="8" t="s">
        <v>98</v>
      </c>
      <c r="AE170" s="8">
        <v>0</v>
      </c>
      <c r="AF170" s="8" t="s">
        <v>98</v>
      </c>
      <c r="AG170" s="9" t="s">
        <v>1028</v>
      </c>
      <c r="AH170" s="9" t="s">
        <v>1032</v>
      </c>
      <c r="AI170" s="38">
        <v>47</v>
      </c>
      <c r="AJ170" s="38">
        <v>45</v>
      </c>
      <c r="AK170" s="38">
        <v>21532</v>
      </c>
      <c r="AL170" s="38">
        <v>20647</v>
      </c>
      <c r="AM170" s="38" t="s">
        <v>425</v>
      </c>
      <c r="AN170" s="8" t="s">
        <v>276</v>
      </c>
      <c r="AO170" s="31">
        <f>AI170*1000/AK170</f>
        <v>2.1827976964517926</v>
      </c>
      <c r="AP170" s="8" t="s">
        <v>276</v>
      </c>
      <c r="AQ170" s="8" t="s">
        <v>276</v>
      </c>
      <c r="AR170" s="8" t="s">
        <v>276</v>
      </c>
      <c r="AS170" s="31">
        <f>AJ170*1000/AL170</f>
        <v>2.1794933888700538</v>
      </c>
      <c r="AT170" s="8" t="s">
        <v>276</v>
      </c>
      <c r="AU170" s="8" t="s">
        <v>276</v>
      </c>
      <c r="AV170" s="9" t="s">
        <v>269</v>
      </c>
      <c r="AW170" s="40" t="s">
        <v>276</v>
      </c>
      <c r="AX170" s="53">
        <f t="shared" si="59"/>
        <v>1.001516089747559</v>
      </c>
      <c r="AY170" s="9" t="s">
        <v>276</v>
      </c>
      <c r="AZ170" s="9" t="s">
        <v>276</v>
      </c>
      <c r="BA170" s="9" t="s">
        <v>276</v>
      </c>
      <c r="BB170" s="9" t="s">
        <v>282</v>
      </c>
      <c r="BC170" s="9" t="s">
        <v>276</v>
      </c>
      <c r="BD170" s="9" t="s">
        <v>276</v>
      </c>
      <c r="BE170" s="9" t="s">
        <v>276</v>
      </c>
      <c r="BF170" s="9" t="s">
        <v>1033</v>
      </c>
      <c r="BG170" s="9" t="s">
        <v>1030</v>
      </c>
      <c r="BH170" s="9" t="s">
        <v>100</v>
      </c>
      <c r="BI170" s="9" t="s">
        <v>100</v>
      </c>
      <c r="BJ170" s="32"/>
      <c r="BK170" s="32"/>
      <c r="BO170" s="32"/>
      <c r="BP170" s="32"/>
    </row>
    <row r="171" spans="1:68" s="33" customFormat="1" ht="52" hidden="1" x14ac:dyDescent="0.35">
      <c r="A171" s="8">
        <v>10744</v>
      </c>
      <c r="B171" s="8" t="s">
        <v>1034</v>
      </c>
      <c r="C171" s="9" t="s">
        <v>79</v>
      </c>
      <c r="D171" s="9" t="s">
        <v>1035</v>
      </c>
      <c r="E171" s="8" t="s">
        <v>39</v>
      </c>
      <c r="F171" s="9" t="s">
        <v>263</v>
      </c>
      <c r="G171" s="8" t="s">
        <v>262</v>
      </c>
      <c r="H171" s="8" t="s">
        <v>225</v>
      </c>
      <c r="I171" s="8" t="s">
        <v>98</v>
      </c>
      <c r="J171" s="9" t="s">
        <v>98</v>
      </c>
      <c r="K171" s="8" t="s">
        <v>98</v>
      </c>
      <c r="L171" s="8" t="s">
        <v>98</v>
      </c>
      <c r="M171" s="8" t="s">
        <v>98</v>
      </c>
      <c r="N171" s="8" t="s">
        <v>276</v>
      </c>
      <c r="O171" s="9" t="s">
        <v>276</v>
      </c>
      <c r="P171" s="9" t="s">
        <v>238</v>
      </c>
      <c r="Q171" s="52" t="s">
        <v>1036</v>
      </c>
      <c r="R171" s="9" t="s">
        <v>1037</v>
      </c>
      <c r="S171" s="9" t="s">
        <v>276</v>
      </c>
      <c r="T171" s="9" t="s">
        <v>276</v>
      </c>
      <c r="U171" s="9">
        <v>1</v>
      </c>
      <c r="V171" s="8" t="s">
        <v>14</v>
      </c>
      <c r="W171" s="8" t="s">
        <v>98</v>
      </c>
      <c r="X171" s="9" t="s">
        <v>208</v>
      </c>
      <c r="Y171" s="13">
        <v>5226</v>
      </c>
      <c r="Z171" s="38">
        <v>5161</v>
      </c>
      <c r="AA171" s="9" t="s">
        <v>276</v>
      </c>
      <c r="AB171" s="9" t="s">
        <v>276</v>
      </c>
      <c r="AC171" s="8">
        <v>0</v>
      </c>
      <c r="AD171" s="8" t="s">
        <v>98</v>
      </c>
      <c r="AE171" s="8">
        <v>0</v>
      </c>
      <c r="AF171" s="8" t="s">
        <v>98</v>
      </c>
      <c r="AG171" s="9" t="s">
        <v>1038</v>
      </c>
      <c r="AH171" s="9" t="s">
        <v>689</v>
      </c>
      <c r="AI171" s="38">
        <v>39</v>
      </c>
      <c r="AJ171" s="38">
        <v>40</v>
      </c>
      <c r="AK171" s="38">
        <v>5226</v>
      </c>
      <c r="AL171" s="38">
        <v>5161</v>
      </c>
      <c r="AM171" s="38" t="s">
        <v>690</v>
      </c>
      <c r="AN171" s="8">
        <v>7.5</v>
      </c>
      <c r="AO171" s="31">
        <f t="shared" ref="AO171:AO182" si="65">AI171*1000/AK171</f>
        <v>7.4626865671641793</v>
      </c>
      <c r="AP171" s="8" t="s">
        <v>276</v>
      </c>
      <c r="AQ171" s="8" t="s">
        <v>276</v>
      </c>
      <c r="AR171" s="8">
        <v>7.8</v>
      </c>
      <c r="AS171" s="31">
        <f t="shared" ref="AS171:AS182" si="66">AJ171*1000/AL171</f>
        <v>7.7504359620228636</v>
      </c>
      <c r="AT171" s="8" t="s">
        <v>276</v>
      </c>
      <c r="AU171" s="8" t="s">
        <v>276</v>
      </c>
      <c r="AV171" s="9" t="s">
        <v>268</v>
      </c>
      <c r="AW171" s="40" t="s">
        <v>276</v>
      </c>
      <c r="AX171" s="53">
        <f t="shared" si="59"/>
        <v>0.9628731343283583</v>
      </c>
      <c r="AY171" s="9" t="s">
        <v>276</v>
      </c>
      <c r="AZ171" s="9" t="s">
        <v>276</v>
      </c>
      <c r="BA171" s="9">
        <v>0.13</v>
      </c>
      <c r="BB171" s="9" t="s">
        <v>282</v>
      </c>
      <c r="BC171" s="9" t="s">
        <v>276</v>
      </c>
      <c r="BD171" s="9" t="s">
        <v>276</v>
      </c>
      <c r="BE171" s="9" t="s">
        <v>276</v>
      </c>
      <c r="BF171" s="9" t="s">
        <v>1039</v>
      </c>
      <c r="BG171" s="9"/>
      <c r="BH171" s="9" t="s">
        <v>100</v>
      </c>
      <c r="BI171" s="9" t="s">
        <v>100</v>
      </c>
      <c r="BJ171" s="32"/>
      <c r="BK171" s="32"/>
      <c r="BO171" s="32"/>
      <c r="BP171" s="32"/>
    </row>
    <row r="172" spans="1:68" s="33" customFormat="1" ht="52" hidden="1" x14ac:dyDescent="0.35">
      <c r="A172" s="8">
        <v>10744</v>
      </c>
      <c r="B172" s="8" t="s">
        <v>1034</v>
      </c>
      <c r="C172" s="9" t="s">
        <v>79</v>
      </c>
      <c r="D172" s="9" t="s">
        <v>1040</v>
      </c>
      <c r="E172" s="8" t="s">
        <v>39</v>
      </c>
      <c r="F172" s="9" t="s">
        <v>263</v>
      </c>
      <c r="G172" s="8" t="s">
        <v>262</v>
      </c>
      <c r="H172" s="8" t="s">
        <v>225</v>
      </c>
      <c r="I172" s="8" t="s">
        <v>98</v>
      </c>
      <c r="J172" s="9" t="s">
        <v>25</v>
      </c>
      <c r="K172" s="8" t="s">
        <v>300</v>
      </c>
      <c r="L172" s="8" t="s">
        <v>276</v>
      </c>
      <c r="M172" s="8" t="s">
        <v>276</v>
      </c>
      <c r="N172" s="8" t="s">
        <v>276</v>
      </c>
      <c r="O172" s="9" t="s">
        <v>276</v>
      </c>
      <c r="P172" s="9" t="s">
        <v>239</v>
      </c>
      <c r="Q172" s="52" t="s">
        <v>1036</v>
      </c>
      <c r="R172" s="9" t="s">
        <v>1037</v>
      </c>
      <c r="S172" s="9" t="s">
        <v>276</v>
      </c>
      <c r="T172" s="9" t="s">
        <v>276</v>
      </c>
      <c r="U172" s="9">
        <v>1</v>
      </c>
      <c r="V172" s="8" t="s">
        <v>14</v>
      </c>
      <c r="W172" s="8" t="s">
        <v>98</v>
      </c>
      <c r="X172" s="9" t="s">
        <v>208</v>
      </c>
      <c r="Y172" s="13">
        <v>5226</v>
      </c>
      <c r="Z172" s="38">
        <v>5161</v>
      </c>
      <c r="AA172" s="9" t="s">
        <v>276</v>
      </c>
      <c r="AB172" s="9" t="s">
        <v>276</v>
      </c>
      <c r="AC172" s="8">
        <v>0</v>
      </c>
      <c r="AD172" s="8" t="s">
        <v>98</v>
      </c>
      <c r="AE172" s="8">
        <v>0</v>
      </c>
      <c r="AF172" s="8" t="s">
        <v>98</v>
      </c>
      <c r="AG172" s="9" t="s">
        <v>1041</v>
      </c>
      <c r="AH172" s="9" t="s">
        <v>689</v>
      </c>
      <c r="AI172" s="38">
        <v>26</v>
      </c>
      <c r="AJ172" s="38">
        <v>16</v>
      </c>
      <c r="AK172" s="38">
        <v>5226</v>
      </c>
      <c r="AL172" s="38">
        <v>5161</v>
      </c>
      <c r="AM172" s="38" t="s">
        <v>690</v>
      </c>
      <c r="AN172" s="8" t="s">
        <v>276</v>
      </c>
      <c r="AO172" s="31">
        <f t="shared" si="65"/>
        <v>4.9751243781094523</v>
      </c>
      <c r="AP172" s="8" t="s">
        <v>276</v>
      </c>
      <c r="AQ172" s="8" t="s">
        <v>276</v>
      </c>
      <c r="AR172" s="8" t="s">
        <v>276</v>
      </c>
      <c r="AS172" s="31">
        <f t="shared" si="66"/>
        <v>3.1001743848091454</v>
      </c>
      <c r="AT172" s="8" t="s">
        <v>276</v>
      </c>
      <c r="AU172" s="8" t="s">
        <v>276</v>
      </c>
      <c r="AV172" s="9" t="s">
        <v>268</v>
      </c>
      <c r="AW172" s="40" t="s">
        <v>276</v>
      </c>
      <c r="AX172" s="53">
        <f t="shared" si="59"/>
        <v>1.6047885572139302</v>
      </c>
      <c r="AY172" s="9" t="s">
        <v>276</v>
      </c>
      <c r="AZ172" s="9" t="s">
        <v>276</v>
      </c>
      <c r="BA172" s="9" t="s">
        <v>844</v>
      </c>
      <c r="BB172" s="9" t="s">
        <v>282</v>
      </c>
      <c r="BC172" s="9" t="s">
        <v>276</v>
      </c>
      <c r="BD172" s="9" t="s">
        <v>276</v>
      </c>
      <c r="BE172" s="9" t="s">
        <v>276</v>
      </c>
      <c r="BF172" s="9" t="s">
        <v>1042</v>
      </c>
      <c r="BG172" s="9"/>
      <c r="BH172" s="9" t="s">
        <v>100</v>
      </c>
      <c r="BI172" s="9" t="s">
        <v>100</v>
      </c>
      <c r="BJ172" s="32"/>
      <c r="BK172" s="32"/>
      <c r="BO172" s="32"/>
      <c r="BP172" s="32"/>
    </row>
    <row r="173" spans="1:68" s="33" customFormat="1" ht="39" hidden="1" x14ac:dyDescent="0.35">
      <c r="A173" s="8">
        <v>10744</v>
      </c>
      <c r="B173" s="8" t="s">
        <v>1034</v>
      </c>
      <c r="C173" s="9" t="s">
        <v>79</v>
      </c>
      <c r="D173" s="9" t="s">
        <v>1043</v>
      </c>
      <c r="E173" s="8" t="s">
        <v>39</v>
      </c>
      <c r="F173" s="9" t="s">
        <v>263</v>
      </c>
      <c r="G173" s="8" t="s">
        <v>262</v>
      </c>
      <c r="H173" s="8" t="s">
        <v>225</v>
      </c>
      <c r="I173" s="8" t="s">
        <v>98</v>
      </c>
      <c r="J173" s="9" t="s">
        <v>25</v>
      </c>
      <c r="K173" s="8" t="s">
        <v>304</v>
      </c>
      <c r="L173" s="8" t="s">
        <v>276</v>
      </c>
      <c r="M173" s="8" t="s">
        <v>276</v>
      </c>
      <c r="N173" s="8" t="s">
        <v>276</v>
      </c>
      <c r="O173" s="9" t="s">
        <v>276</v>
      </c>
      <c r="P173" s="9" t="s">
        <v>239</v>
      </c>
      <c r="Q173" s="52" t="s">
        <v>1036</v>
      </c>
      <c r="R173" s="9" t="s">
        <v>1037</v>
      </c>
      <c r="S173" s="9" t="s">
        <v>276</v>
      </c>
      <c r="T173" s="9" t="s">
        <v>276</v>
      </c>
      <c r="U173" s="9">
        <v>1</v>
      </c>
      <c r="V173" s="8" t="s">
        <v>14</v>
      </c>
      <c r="W173" s="8" t="s">
        <v>98</v>
      </c>
      <c r="X173" s="9" t="s">
        <v>208</v>
      </c>
      <c r="Y173" s="13">
        <v>5226</v>
      </c>
      <c r="Z173" s="38">
        <v>5161</v>
      </c>
      <c r="AA173" s="9" t="s">
        <v>276</v>
      </c>
      <c r="AB173" s="9" t="s">
        <v>276</v>
      </c>
      <c r="AC173" s="8">
        <v>0</v>
      </c>
      <c r="AD173" s="8" t="s">
        <v>98</v>
      </c>
      <c r="AE173" s="8">
        <v>0</v>
      </c>
      <c r="AF173" s="8" t="s">
        <v>98</v>
      </c>
      <c r="AG173" s="9" t="s">
        <v>1044</v>
      </c>
      <c r="AH173" s="9" t="s">
        <v>689</v>
      </c>
      <c r="AI173" s="38">
        <v>2</v>
      </c>
      <c r="AJ173" s="38">
        <v>2</v>
      </c>
      <c r="AK173" s="38">
        <v>5226</v>
      </c>
      <c r="AL173" s="38">
        <v>5161</v>
      </c>
      <c r="AM173" s="38" t="s">
        <v>690</v>
      </c>
      <c r="AN173" s="8" t="s">
        <v>276</v>
      </c>
      <c r="AO173" s="31">
        <f t="shared" si="65"/>
        <v>0.38270187523918869</v>
      </c>
      <c r="AP173" s="8" t="s">
        <v>276</v>
      </c>
      <c r="AQ173" s="8" t="s">
        <v>276</v>
      </c>
      <c r="AR173" s="8" t="s">
        <v>276</v>
      </c>
      <c r="AS173" s="31">
        <f t="shared" si="66"/>
        <v>0.38752179810114318</v>
      </c>
      <c r="AT173" s="8" t="s">
        <v>276</v>
      </c>
      <c r="AU173" s="8" t="s">
        <v>276</v>
      </c>
      <c r="AV173" s="9" t="s">
        <v>268</v>
      </c>
      <c r="AW173" s="40" t="s">
        <v>276</v>
      </c>
      <c r="AX173" s="53">
        <f t="shared" si="59"/>
        <v>0.98756218905472648</v>
      </c>
      <c r="AY173" s="9" t="s">
        <v>276</v>
      </c>
      <c r="AZ173" s="9" t="s">
        <v>276</v>
      </c>
      <c r="BA173" s="9" t="s">
        <v>276</v>
      </c>
      <c r="BB173" s="9" t="s">
        <v>282</v>
      </c>
      <c r="BC173" s="9" t="s">
        <v>276</v>
      </c>
      <c r="BD173" s="9" t="s">
        <v>276</v>
      </c>
      <c r="BE173" s="9" t="s">
        <v>276</v>
      </c>
      <c r="BF173" s="9" t="s">
        <v>298</v>
      </c>
      <c r="BG173" s="9"/>
      <c r="BH173" s="9" t="s">
        <v>100</v>
      </c>
      <c r="BI173" s="9" t="s">
        <v>100</v>
      </c>
      <c r="BJ173" s="32"/>
      <c r="BK173" s="32"/>
      <c r="BO173" s="32"/>
      <c r="BP173" s="32"/>
    </row>
    <row r="174" spans="1:68" s="33" customFormat="1" ht="39" hidden="1" x14ac:dyDescent="0.35">
      <c r="A174" s="8">
        <v>10744</v>
      </c>
      <c r="B174" s="8" t="s">
        <v>1034</v>
      </c>
      <c r="C174" s="9" t="s">
        <v>79</v>
      </c>
      <c r="D174" s="9" t="s">
        <v>1045</v>
      </c>
      <c r="E174" s="8" t="s">
        <v>39</v>
      </c>
      <c r="F174" s="9" t="s">
        <v>263</v>
      </c>
      <c r="G174" s="8" t="s">
        <v>262</v>
      </c>
      <c r="H174" s="8" t="s">
        <v>225</v>
      </c>
      <c r="I174" s="8" t="s">
        <v>98</v>
      </c>
      <c r="J174" s="9" t="s">
        <v>25</v>
      </c>
      <c r="K174" s="8" t="s">
        <v>311</v>
      </c>
      <c r="L174" s="8" t="s">
        <v>276</v>
      </c>
      <c r="M174" s="8" t="s">
        <v>276</v>
      </c>
      <c r="N174" s="8" t="s">
        <v>276</v>
      </c>
      <c r="O174" s="9" t="s">
        <v>276</v>
      </c>
      <c r="P174" s="9" t="s">
        <v>239</v>
      </c>
      <c r="Q174" s="52" t="s">
        <v>1036</v>
      </c>
      <c r="R174" s="9" t="s">
        <v>1037</v>
      </c>
      <c r="S174" s="9" t="s">
        <v>276</v>
      </c>
      <c r="T174" s="9" t="s">
        <v>276</v>
      </c>
      <c r="U174" s="9">
        <v>1</v>
      </c>
      <c r="V174" s="8" t="s">
        <v>14</v>
      </c>
      <c r="W174" s="8" t="s">
        <v>98</v>
      </c>
      <c r="X174" s="9" t="s">
        <v>208</v>
      </c>
      <c r="Y174" s="13">
        <v>5226</v>
      </c>
      <c r="Z174" s="38">
        <v>5161</v>
      </c>
      <c r="AA174" s="9" t="s">
        <v>276</v>
      </c>
      <c r="AB174" s="9" t="s">
        <v>276</v>
      </c>
      <c r="AC174" s="8">
        <v>0</v>
      </c>
      <c r="AD174" s="8" t="s">
        <v>98</v>
      </c>
      <c r="AE174" s="8">
        <v>0</v>
      </c>
      <c r="AF174" s="8" t="s">
        <v>98</v>
      </c>
      <c r="AG174" s="9" t="s">
        <v>1046</v>
      </c>
      <c r="AH174" s="9" t="s">
        <v>689</v>
      </c>
      <c r="AI174" s="38">
        <v>11</v>
      </c>
      <c r="AJ174" s="38">
        <v>22</v>
      </c>
      <c r="AK174" s="38">
        <v>5226</v>
      </c>
      <c r="AL174" s="38">
        <v>5161</v>
      </c>
      <c r="AM174" s="38" t="s">
        <v>690</v>
      </c>
      <c r="AN174" s="8" t="s">
        <v>276</v>
      </c>
      <c r="AO174" s="31">
        <f t="shared" si="65"/>
        <v>2.1048603138155375</v>
      </c>
      <c r="AP174" s="8" t="s">
        <v>276</v>
      </c>
      <c r="AQ174" s="8" t="s">
        <v>276</v>
      </c>
      <c r="AR174" s="8" t="s">
        <v>276</v>
      </c>
      <c r="AS174" s="31">
        <f t="shared" si="66"/>
        <v>4.2627397791125752</v>
      </c>
      <c r="AT174" s="8" t="s">
        <v>276</v>
      </c>
      <c r="AU174" s="8" t="s">
        <v>276</v>
      </c>
      <c r="AV174" s="9" t="s">
        <v>268</v>
      </c>
      <c r="AW174" s="40" t="s">
        <v>276</v>
      </c>
      <c r="AX174" s="53">
        <f t="shared" si="59"/>
        <v>0.49378109452736313</v>
      </c>
      <c r="AY174" s="9" t="s">
        <v>276</v>
      </c>
      <c r="AZ174" s="9" t="s">
        <v>276</v>
      </c>
      <c r="BA174" s="9" t="s">
        <v>276</v>
      </c>
      <c r="BB174" s="9" t="s">
        <v>282</v>
      </c>
      <c r="BC174" s="9" t="s">
        <v>276</v>
      </c>
      <c r="BD174" s="9" t="s">
        <v>276</v>
      </c>
      <c r="BE174" s="9" t="s">
        <v>276</v>
      </c>
      <c r="BF174" s="9" t="s">
        <v>298</v>
      </c>
      <c r="BG174" s="9"/>
      <c r="BH174" s="9" t="s">
        <v>100</v>
      </c>
      <c r="BI174" s="9" t="s">
        <v>100</v>
      </c>
      <c r="BJ174" s="32"/>
      <c r="BK174" s="32"/>
      <c r="BO174" s="32"/>
      <c r="BP174" s="32"/>
    </row>
    <row r="175" spans="1:68" s="33" customFormat="1" ht="156" hidden="1" x14ac:dyDescent="0.35">
      <c r="A175" s="8">
        <v>10745</v>
      </c>
      <c r="B175" s="9" t="s">
        <v>1011</v>
      </c>
      <c r="C175" s="9" t="s">
        <v>79</v>
      </c>
      <c r="D175" s="9" t="s">
        <v>1047</v>
      </c>
      <c r="E175" s="8" t="s">
        <v>39</v>
      </c>
      <c r="F175" s="9" t="s">
        <v>263</v>
      </c>
      <c r="G175" s="8" t="s">
        <v>262</v>
      </c>
      <c r="H175" s="8" t="s">
        <v>225</v>
      </c>
      <c r="I175" s="8" t="s">
        <v>98</v>
      </c>
      <c r="J175" s="9" t="s">
        <v>25</v>
      </c>
      <c r="K175" s="8" t="s">
        <v>1048</v>
      </c>
      <c r="L175" s="8" t="s">
        <v>276</v>
      </c>
      <c r="M175" s="8" t="s">
        <v>276</v>
      </c>
      <c r="N175" s="9" t="s">
        <v>1049</v>
      </c>
      <c r="O175" s="9" t="s">
        <v>1014</v>
      </c>
      <c r="P175" s="9" t="s">
        <v>239</v>
      </c>
      <c r="Q175" s="52" t="s">
        <v>276</v>
      </c>
      <c r="R175" s="9" t="s">
        <v>752</v>
      </c>
      <c r="S175" s="9" t="s">
        <v>1015</v>
      </c>
      <c r="T175" s="9" t="s">
        <v>1015</v>
      </c>
      <c r="U175" s="9" t="s">
        <v>1050</v>
      </c>
      <c r="V175" s="8" t="s">
        <v>14</v>
      </c>
      <c r="W175" s="8" t="s">
        <v>98</v>
      </c>
      <c r="X175" s="9" t="s">
        <v>208</v>
      </c>
      <c r="Y175" s="13">
        <v>5226</v>
      </c>
      <c r="Z175" s="38">
        <v>5160</v>
      </c>
      <c r="AA175" s="9">
        <v>19</v>
      </c>
      <c r="AB175" s="9">
        <v>9</v>
      </c>
      <c r="AC175" s="8">
        <f t="shared" ref="AC175:AC183" si="67">233-53-51-19-75-17</f>
        <v>18</v>
      </c>
      <c r="AD175" s="9" t="s">
        <v>1051</v>
      </c>
      <c r="AE175" s="8">
        <f t="shared" ref="AE175:AE183" si="68">242-62-49-30-80-1</f>
        <v>20</v>
      </c>
      <c r="AF175" s="9" t="s">
        <v>1051</v>
      </c>
      <c r="AG175" s="9" t="s">
        <v>1052</v>
      </c>
      <c r="AH175" s="9" t="s">
        <v>689</v>
      </c>
      <c r="AI175" s="38">
        <v>17</v>
      </c>
      <c r="AJ175" s="38">
        <v>1</v>
      </c>
      <c r="AK175" s="38">
        <v>5226</v>
      </c>
      <c r="AL175" s="38">
        <v>5160</v>
      </c>
      <c r="AM175" s="38" t="s">
        <v>690</v>
      </c>
      <c r="AN175" s="8" t="s">
        <v>276</v>
      </c>
      <c r="AO175" s="31">
        <f t="shared" si="65"/>
        <v>3.2529659395331039</v>
      </c>
      <c r="AP175" s="8" t="s">
        <v>276</v>
      </c>
      <c r="AQ175" s="8" t="s">
        <v>276</v>
      </c>
      <c r="AR175" s="8" t="s">
        <v>276</v>
      </c>
      <c r="AS175" s="31">
        <f t="shared" si="66"/>
        <v>0.19379844961240311</v>
      </c>
      <c r="AT175" s="8" t="s">
        <v>276</v>
      </c>
      <c r="AU175" s="8" t="s">
        <v>276</v>
      </c>
      <c r="AV175" s="9" t="s">
        <v>268</v>
      </c>
      <c r="AW175" s="40" t="s">
        <v>276</v>
      </c>
      <c r="AX175" s="53">
        <f t="shared" si="59"/>
        <v>16.785304247990815</v>
      </c>
      <c r="AY175" s="9" t="s">
        <v>276</v>
      </c>
      <c r="AZ175" s="9" t="s">
        <v>276</v>
      </c>
      <c r="BA175" s="9" t="s">
        <v>276</v>
      </c>
      <c r="BB175" s="9" t="s">
        <v>282</v>
      </c>
      <c r="BC175" s="9" t="s">
        <v>276</v>
      </c>
      <c r="BD175" s="9" t="s">
        <v>276</v>
      </c>
      <c r="BE175" s="9" t="s">
        <v>276</v>
      </c>
      <c r="BF175" s="9" t="s">
        <v>426</v>
      </c>
      <c r="BG175" s="9" t="s">
        <v>1053</v>
      </c>
      <c r="BH175" s="9" t="s">
        <v>100</v>
      </c>
      <c r="BI175" s="9" t="s">
        <v>100</v>
      </c>
      <c r="BJ175" s="32"/>
      <c r="BK175" s="32"/>
      <c r="BO175" s="32"/>
      <c r="BP175" s="32"/>
    </row>
    <row r="176" spans="1:68" s="33" customFormat="1" ht="130" hidden="1" x14ac:dyDescent="0.35">
      <c r="A176" s="8">
        <v>10745</v>
      </c>
      <c r="B176" s="9" t="s">
        <v>1011</v>
      </c>
      <c r="C176" s="9" t="s">
        <v>79</v>
      </c>
      <c r="D176" s="9" t="s">
        <v>11631</v>
      </c>
      <c r="E176" s="8" t="s">
        <v>39</v>
      </c>
      <c r="F176" s="9" t="s">
        <v>263</v>
      </c>
      <c r="G176" s="8" t="s">
        <v>262</v>
      </c>
      <c r="H176" s="8" t="s">
        <v>225</v>
      </c>
      <c r="I176" s="8" t="s">
        <v>98</v>
      </c>
      <c r="J176" s="9" t="s">
        <v>25</v>
      </c>
      <c r="K176" s="8" t="s">
        <v>300</v>
      </c>
      <c r="L176" s="8" t="s">
        <v>276</v>
      </c>
      <c r="M176" s="8" t="s">
        <v>276</v>
      </c>
      <c r="N176" s="9" t="s">
        <v>1049</v>
      </c>
      <c r="O176" s="9" t="s">
        <v>1014</v>
      </c>
      <c r="P176" s="9" t="s">
        <v>239</v>
      </c>
      <c r="Q176" s="52" t="s">
        <v>276</v>
      </c>
      <c r="R176" s="9" t="s">
        <v>752</v>
      </c>
      <c r="S176" s="9" t="s">
        <v>1015</v>
      </c>
      <c r="T176" s="9" t="s">
        <v>1015</v>
      </c>
      <c r="U176" s="9" t="s">
        <v>1050</v>
      </c>
      <c r="V176" s="8" t="s">
        <v>14</v>
      </c>
      <c r="W176" s="8" t="s">
        <v>98</v>
      </c>
      <c r="X176" s="9" t="s">
        <v>208</v>
      </c>
      <c r="Y176" s="13">
        <v>5226</v>
      </c>
      <c r="Z176" s="38">
        <v>5160</v>
      </c>
      <c r="AA176" s="9">
        <v>19</v>
      </c>
      <c r="AB176" s="9">
        <v>9</v>
      </c>
      <c r="AC176" s="8">
        <f t="shared" si="67"/>
        <v>18</v>
      </c>
      <c r="AD176" s="9" t="s">
        <v>1051</v>
      </c>
      <c r="AE176" s="8">
        <f t="shared" si="68"/>
        <v>20</v>
      </c>
      <c r="AF176" s="9" t="s">
        <v>1051</v>
      </c>
      <c r="AG176" s="9" t="s">
        <v>11635</v>
      </c>
      <c r="AH176" s="9" t="s">
        <v>689</v>
      </c>
      <c r="AI176" s="38">
        <v>75</v>
      </c>
      <c r="AJ176" s="38">
        <v>80</v>
      </c>
      <c r="AK176" s="38">
        <v>5226</v>
      </c>
      <c r="AL176" s="38">
        <v>5160</v>
      </c>
      <c r="AM176" s="38" t="s">
        <v>690</v>
      </c>
      <c r="AN176" s="8" t="s">
        <v>276</v>
      </c>
      <c r="AO176" s="31">
        <f t="shared" ref="AO176" si="69">AI176*1000/AK176</f>
        <v>14.351320321469576</v>
      </c>
      <c r="AP176" s="8" t="s">
        <v>276</v>
      </c>
      <c r="AQ176" s="8" t="s">
        <v>276</v>
      </c>
      <c r="AR176" s="8" t="s">
        <v>276</v>
      </c>
      <c r="AS176" s="31">
        <f t="shared" ref="AS176" si="70">AJ176*1000/AL176</f>
        <v>15.503875968992247</v>
      </c>
      <c r="AT176" s="8" t="s">
        <v>276</v>
      </c>
      <c r="AU176" s="8" t="s">
        <v>276</v>
      </c>
      <c r="AV176" s="9" t="s">
        <v>268</v>
      </c>
      <c r="AW176" s="40" t="s">
        <v>276</v>
      </c>
      <c r="AX176" s="53">
        <f t="shared" ref="AX176" si="71">AO176/AS176</f>
        <v>0.92566016073478774</v>
      </c>
      <c r="AY176" s="9" t="s">
        <v>276</v>
      </c>
      <c r="AZ176" s="9" t="s">
        <v>276</v>
      </c>
      <c r="BA176" s="9" t="s">
        <v>276</v>
      </c>
      <c r="BB176" s="9" t="s">
        <v>282</v>
      </c>
      <c r="BC176" s="9" t="s">
        <v>276</v>
      </c>
      <c r="BD176" s="9" t="s">
        <v>276</v>
      </c>
      <c r="BE176" s="9" t="s">
        <v>276</v>
      </c>
      <c r="BF176" s="9" t="s">
        <v>426</v>
      </c>
      <c r="BG176" s="9" t="s">
        <v>1055</v>
      </c>
      <c r="BH176" s="9" t="s">
        <v>100</v>
      </c>
      <c r="BI176" s="9" t="s">
        <v>100</v>
      </c>
      <c r="BJ176" s="32"/>
      <c r="BK176" s="32"/>
      <c r="BO176" s="32"/>
      <c r="BP176" s="32"/>
    </row>
    <row r="177" spans="1:68" s="33" customFormat="1" ht="130" hidden="1" x14ac:dyDescent="0.35">
      <c r="A177" s="8">
        <v>10745</v>
      </c>
      <c r="B177" s="9" t="s">
        <v>1011</v>
      </c>
      <c r="C177" s="9" t="s">
        <v>79</v>
      </c>
      <c r="D177" s="9" t="s">
        <v>11633</v>
      </c>
      <c r="E177" s="8" t="s">
        <v>39</v>
      </c>
      <c r="F177" s="9" t="s">
        <v>263</v>
      </c>
      <c r="G177" s="8" t="s">
        <v>262</v>
      </c>
      <c r="H177" s="8" t="s">
        <v>225</v>
      </c>
      <c r="I177" s="8" t="s">
        <v>98</v>
      </c>
      <c r="J177" s="9" t="s">
        <v>25</v>
      </c>
      <c r="K177" s="8" t="s">
        <v>9184</v>
      </c>
      <c r="L177" s="8" t="s">
        <v>276</v>
      </c>
      <c r="M177" s="8" t="s">
        <v>276</v>
      </c>
      <c r="N177" s="9" t="s">
        <v>1049</v>
      </c>
      <c r="O177" s="9" t="s">
        <v>1014</v>
      </c>
      <c r="P177" s="9" t="s">
        <v>239</v>
      </c>
      <c r="Q177" s="52" t="s">
        <v>276</v>
      </c>
      <c r="R177" s="9" t="s">
        <v>752</v>
      </c>
      <c r="S177" s="9" t="s">
        <v>1015</v>
      </c>
      <c r="T177" s="9" t="s">
        <v>1015</v>
      </c>
      <c r="U177" s="9" t="s">
        <v>1050</v>
      </c>
      <c r="V177" s="8" t="s">
        <v>14</v>
      </c>
      <c r="W177" s="8" t="s">
        <v>98</v>
      </c>
      <c r="X177" s="9" t="s">
        <v>208</v>
      </c>
      <c r="Y177" s="13">
        <v>5226</v>
      </c>
      <c r="Z177" s="38">
        <v>5160</v>
      </c>
      <c r="AA177" s="9">
        <v>19</v>
      </c>
      <c r="AB177" s="9">
        <v>9</v>
      </c>
      <c r="AC177" s="8">
        <f t="shared" si="67"/>
        <v>18</v>
      </c>
      <c r="AD177" s="9" t="s">
        <v>1051</v>
      </c>
      <c r="AE177" s="8">
        <f t="shared" si="68"/>
        <v>20</v>
      </c>
      <c r="AF177" s="9" t="s">
        <v>1051</v>
      </c>
      <c r="AG177" s="9" t="s">
        <v>11634</v>
      </c>
      <c r="AH177" s="9" t="s">
        <v>689</v>
      </c>
      <c r="AI177" s="38">
        <f>75+17</f>
        <v>92</v>
      </c>
      <c r="AJ177" s="38">
        <f>80+1</f>
        <v>81</v>
      </c>
      <c r="AK177" s="38">
        <v>5226</v>
      </c>
      <c r="AL177" s="38">
        <v>5160</v>
      </c>
      <c r="AM177" s="38" t="s">
        <v>690</v>
      </c>
      <c r="AN177" s="8" t="s">
        <v>276</v>
      </c>
      <c r="AO177" s="31">
        <f t="shared" si="65"/>
        <v>17.604286261002677</v>
      </c>
      <c r="AP177" s="8" t="s">
        <v>276</v>
      </c>
      <c r="AQ177" s="8" t="s">
        <v>276</v>
      </c>
      <c r="AR177" s="8" t="s">
        <v>276</v>
      </c>
      <c r="AS177" s="31">
        <f t="shared" si="66"/>
        <v>15.697674418604651</v>
      </c>
      <c r="AT177" s="8" t="s">
        <v>276</v>
      </c>
      <c r="AU177" s="8" t="s">
        <v>276</v>
      </c>
      <c r="AV177" s="9" t="s">
        <v>268</v>
      </c>
      <c r="AW177" s="40" t="s">
        <v>276</v>
      </c>
      <c r="AX177" s="53">
        <f t="shared" si="59"/>
        <v>1.1214582358860965</v>
      </c>
      <c r="AY177" s="9" t="s">
        <v>276</v>
      </c>
      <c r="AZ177" s="9" t="s">
        <v>276</v>
      </c>
      <c r="BA177" s="9" t="s">
        <v>276</v>
      </c>
      <c r="BB177" s="9" t="s">
        <v>282</v>
      </c>
      <c r="BC177" s="9" t="s">
        <v>276</v>
      </c>
      <c r="BD177" s="9" t="s">
        <v>276</v>
      </c>
      <c r="BE177" s="9" t="s">
        <v>276</v>
      </c>
      <c r="BF177" s="9" t="s">
        <v>426</v>
      </c>
      <c r="BG177" s="9" t="s">
        <v>1055</v>
      </c>
      <c r="BH177" s="9" t="s">
        <v>100</v>
      </c>
      <c r="BI177" s="9" t="s">
        <v>100</v>
      </c>
      <c r="BJ177" s="32"/>
      <c r="BK177" s="32"/>
      <c r="BO177" s="32"/>
      <c r="BP177" s="32"/>
    </row>
    <row r="178" spans="1:68" s="33" customFormat="1" ht="130" hidden="1" x14ac:dyDescent="0.35">
      <c r="A178" s="8">
        <v>10745</v>
      </c>
      <c r="B178" s="9" t="s">
        <v>1011</v>
      </c>
      <c r="C178" s="9" t="s">
        <v>79</v>
      </c>
      <c r="D178" s="9" t="s">
        <v>11632</v>
      </c>
      <c r="E178" s="8" t="s">
        <v>39</v>
      </c>
      <c r="F178" s="9" t="s">
        <v>263</v>
      </c>
      <c r="G178" s="8" t="s">
        <v>262</v>
      </c>
      <c r="H178" s="8" t="s">
        <v>225</v>
      </c>
      <c r="I178" s="8" t="s">
        <v>98</v>
      </c>
      <c r="J178" s="9" t="s">
        <v>25</v>
      </c>
      <c r="K178" s="8" t="s">
        <v>304</v>
      </c>
      <c r="L178" s="8" t="s">
        <v>276</v>
      </c>
      <c r="M178" s="8" t="s">
        <v>276</v>
      </c>
      <c r="N178" s="9" t="s">
        <v>1049</v>
      </c>
      <c r="O178" s="9" t="s">
        <v>1014</v>
      </c>
      <c r="P178" s="9" t="s">
        <v>239</v>
      </c>
      <c r="Q178" s="52" t="s">
        <v>276</v>
      </c>
      <c r="R178" s="9" t="s">
        <v>752</v>
      </c>
      <c r="S178" s="9" t="s">
        <v>1015</v>
      </c>
      <c r="T178" s="9" t="s">
        <v>1015</v>
      </c>
      <c r="U178" s="9" t="s">
        <v>1050</v>
      </c>
      <c r="V178" s="8" t="s">
        <v>14</v>
      </c>
      <c r="W178" s="8" t="s">
        <v>98</v>
      </c>
      <c r="X178" s="9" t="s">
        <v>208</v>
      </c>
      <c r="Y178" s="13">
        <v>5226</v>
      </c>
      <c r="Z178" s="38">
        <v>5160</v>
      </c>
      <c r="AA178" s="9">
        <v>19</v>
      </c>
      <c r="AB178" s="9">
        <v>9</v>
      </c>
      <c r="AC178" s="8">
        <f t="shared" si="67"/>
        <v>18</v>
      </c>
      <c r="AD178" s="9" t="s">
        <v>1051</v>
      </c>
      <c r="AE178" s="8">
        <f t="shared" si="68"/>
        <v>20</v>
      </c>
      <c r="AF178" s="9" t="s">
        <v>1051</v>
      </c>
      <c r="AG178" s="9" t="s">
        <v>11636</v>
      </c>
      <c r="AH178" s="9" t="s">
        <v>689</v>
      </c>
      <c r="AI178" s="38">
        <v>19</v>
      </c>
      <c r="AJ178" s="38">
        <v>30</v>
      </c>
      <c r="AK178" s="38">
        <v>5226</v>
      </c>
      <c r="AL178" s="38">
        <v>5160</v>
      </c>
      <c r="AM178" s="38" t="s">
        <v>690</v>
      </c>
      <c r="AN178" s="8" t="s">
        <v>276</v>
      </c>
      <c r="AO178" s="31">
        <f>AI178*1000/AK178</f>
        <v>3.6356678147722925</v>
      </c>
      <c r="AP178" s="8" t="s">
        <v>276</v>
      </c>
      <c r="AQ178" s="8" t="s">
        <v>276</v>
      </c>
      <c r="AR178" s="8" t="s">
        <v>276</v>
      </c>
      <c r="AS178" s="31">
        <f t="shared" si="66"/>
        <v>5.8139534883720927</v>
      </c>
      <c r="AT178" s="8" t="s">
        <v>276</v>
      </c>
      <c r="AU178" s="8" t="s">
        <v>276</v>
      </c>
      <c r="AV178" s="9" t="s">
        <v>268</v>
      </c>
      <c r="AW178" s="40" t="s">
        <v>276</v>
      </c>
      <c r="AX178" s="53">
        <f t="shared" si="59"/>
        <v>0.62533486414083439</v>
      </c>
      <c r="AY178" s="9" t="s">
        <v>276</v>
      </c>
      <c r="AZ178" s="9" t="s">
        <v>276</v>
      </c>
      <c r="BA178" s="9" t="s">
        <v>276</v>
      </c>
      <c r="BB178" s="9" t="s">
        <v>282</v>
      </c>
      <c r="BC178" s="9" t="s">
        <v>276</v>
      </c>
      <c r="BD178" s="9" t="s">
        <v>276</v>
      </c>
      <c r="BE178" s="9" t="s">
        <v>276</v>
      </c>
      <c r="BF178" s="9" t="s">
        <v>426</v>
      </c>
      <c r="BG178" s="9" t="s">
        <v>1055</v>
      </c>
      <c r="BH178" s="9" t="s">
        <v>100</v>
      </c>
      <c r="BI178" s="9" t="s">
        <v>100</v>
      </c>
      <c r="BJ178" s="32"/>
      <c r="BK178" s="32"/>
      <c r="BO178" s="32"/>
      <c r="BP178" s="32"/>
    </row>
    <row r="179" spans="1:68" s="33" customFormat="1" ht="130" hidden="1" x14ac:dyDescent="0.35">
      <c r="A179" s="8">
        <v>10745</v>
      </c>
      <c r="B179" s="9" t="s">
        <v>1011</v>
      </c>
      <c r="C179" s="9" t="s">
        <v>79</v>
      </c>
      <c r="D179" s="9" t="s">
        <v>1057</v>
      </c>
      <c r="E179" s="8" t="s">
        <v>39</v>
      </c>
      <c r="F179" s="9" t="s">
        <v>263</v>
      </c>
      <c r="G179" s="8" t="s">
        <v>262</v>
      </c>
      <c r="H179" s="8" t="s">
        <v>225</v>
      </c>
      <c r="I179" s="8" t="s">
        <v>98</v>
      </c>
      <c r="J179" s="9" t="s">
        <v>25</v>
      </c>
      <c r="K179" s="8" t="s">
        <v>1058</v>
      </c>
      <c r="L179" s="8" t="s">
        <v>276</v>
      </c>
      <c r="M179" s="8" t="s">
        <v>276</v>
      </c>
      <c r="N179" s="9" t="s">
        <v>1049</v>
      </c>
      <c r="O179" s="9" t="s">
        <v>1014</v>
      </c>
      <c r="P179" s="9" t="s">
        <v>239</v>
      </c>
      <c r="Q179" s="52" t="s">
        <v>276</v>
      </c>
      <c r="R179" s="9" t="s">
        <v>752</v>
      </c>
      <c r="S179" s="9" t="s">
        <v>1015</v>
      </c>
      <c r="T179" s="9" t="s">
        <v>1015</v>
      </c>
      <c r="U179" s="9" t="s">
        <v>1050</v>
      </c>
      <c r="V179" s="8" t="s">
        <v>14</v>
      </c>
      <c r="W179" s="8" t="s">
        <v>98</v>
      </c>
      <c r="X179" s="9" t="s">
        <v>208</v>
      </c>
      <c r="Y179" s="13">
        <v>5226</v>
      </c>
      <c r="Z179" s="38">
        <v>5160</v>
      </c>
      <c r="AA179" s="9">
        <v>19</v>
      </c>
      <c r="AB179" s="9">
        <v>9</v>
      </c>
      <c r="AC179" s="8">
        <f t="shared" si="67"/>
        <v>18</v>
      </c>
      <c r="AD179" s="9" t="s">
        <v>1051</v>
      </c>
      <c r="AE179" s="8">
        <f t="shared" si="68"/>
        <v>20</v>
      </c>
      <c r="AF179" s="9" t="s">
        <v>1051</v>
      </c>
      <c r="AG179" s="9" t="s">
        <v>1059</v>
      </c>
      <c r="AH179" s="9" t="s">
        <v>689</v>
      </c>
      <c r="AI179" s="38">
        <v>51</v>
      </c>
      <c r="AJ179" s="38">
        <v>49</v>
      </c>
      <c r="AK179" s="38">
        <v>5226</v>
      </c>
      <c r="AL179" s="38">
        <v>5160</v>
      </c>
      <c r="AM179" s="38" t="s">
        <v>690</v>
      </c>
      <c r="AN179" s="8" t="s">
        <v>276</v>
      </c>
      <c r="AO179" s="31">
        <f t="shared" si="65"/>
        <v>9.7588978185993103</v>
      </c>
      <c r="AP179" s="8" t="s">
        <v>276</v>
      </c>
      <c r="AQ179" s="8" t="s">
        <v>276</v>
      </c>
      <c r="AR179" s="8" t="s">
        <v>276</v>
      </c>
      <c r="AS179" s="31">
        <f t="shared" si="66"/>
        <v>9.4961240310077528</v>
      </c>
      <c r="AT179" s="8" t="s">
        <v>276</v>
      </c>
      <c r="AU179" s="8" t="s">
        <v>276</v>
      </c>
      <c r="AV179" s="9" t="s">
        <v>268</v>
      </c>
      <c r="AW179" s="40" t="s">
        <v>276</v>
      </c>
      <c r="AX179" s="53">
        <f t="shared" si="59"/>
        <v>1.0276716886524988</v>
      </c>
      <c r="AY179" s="9" t="s">
        <v>276</v>
      </c>
      <c r="AZ179" s="9" t="s">
        <v>276</v>
      </c>
      <c r="BA179" s="9" t="s">
        <v>276</v>
      </c>
      <c r="BB179" s="9" t="s">
        <v>282</v>
      </c>
      <c r="BC179" s="9" t="s">
        <v>276</v>
      </c>
      <c r="BD179" s="9" t="s">
        <v>276</v>
      </c>
      <c r="BE179" s="9" t="s">
        <v>276</v>
      </c>
      <c r="BF179" s="9" t="s">
        <v>426</v>
      </c>
      <c r="BG179" s="9" t="s">
        <v>1055</v>
      </c>
      <c r="BH179" s="9" t="s">
        <v>100</v>
      </c>
      <c r="BI179" s="9" t="s">
        <v>100</v>
      </c>
      <c r="BJ179" s="32"/>
      <c r="BK179" s="32"/>
      <c r="BO179" s="32"/>
      <c r="BP179" s="32"/>
    </row>
    <row r="180" spans="1:68" s="33" customFormat="1" ht="130" hidden="1" x14ac:dyDescent="0.35">
      <c r="A180" s="8">
        <v>10745</v>
      </c>
      <c r="B180" s="9" t="s">
        <v>1011</v>
      </c>
      <c r="C180" s="9" t="s">
        <v>79</v>
      </c>
      <c r="D180" s="9" t="s">
        <v>1060</v>
      </c>
      <c r="E180" s="8" t="s">
        <v>39</v>
      </c>
      <c r="F180" s="9" t="s">
        <v>263</v>
      </c>
      <c r="G180" s="8" t="s">
        <v>262</v>
      </c>
      <c r="H180" s="8" t="s">
        <v>225</v>
      </c>
      <c r="I180" s="8" t="s">
        <v>98</v>
      </c>
      <c r="J180" s="9" t="s">
        <v>25</v>
      </c>
      <c r="K180" s="8" t="s">
        <v>1058</v>
      </c>
      <c r="L180" s="8" t="s">
        <v>276</v>
      </c>
      <c r="M180" s="8" t="s">
        <v>276</v>
      </c>
      <c r="N180" s="9" t="s">
        <v>1049</v>
      </c>
      <c r="O180" s="9" t="s">
        <v>1014</v>
      </c>
      <c r="P180" s="9" t="s">
        <v>239</v>
      </c>
      <c r="Q180" s="52" t="s">
        <v>276</v>
      </c>
      <c r="R180" s="9" t="s">
        <v>752</v>
      </c>
      <c r="S180" s="9" t="s">
        <v>1015</v>
      </c>
      <c r="T180" s="9" t="s">
        <v>1015</v>
      </c>
      <c r="U180" s="9" t="s">
        <v>1050</v>
      </c>
      <c r="V180" s="8" t="s">
        <v>14</v>
      </c>
      <c r="W180" s="8" t="s">
        <v>98</v>
      </c>
      <c r="X180" s="9" t="s">
        <v>208</v>
      </c>
      <c r="Y180" s="13">
        <v>5226</v>
      </c>
      <c r="Z180" s="38">
        <v>5160</v>
      </c>
      <c r="AA180" s="9">
        <v>19</v>
      </c>
      <c r="AB180" s="9">
        <v>9</v>
      </c>
      <c r="AC180" s="8">
        <f t="shared" si="67"/>
        <v>18</v>
      </c>
      <c r="AD180" s="9" t="s">
        <v>1051</v>
      </c>
      <c r="AE180" s="8">
        <f t="shared" si="68"/>
        <v>20</v>
      </c>
      <c r="AF180" s="9" t="s">
        <v>1051</v>
      </c>
      <c r="AG180" s="9" t="s">
        <v>1061</v>
      </c>
      <c r="AH180" s="9" t="s">
        <v>689</v>
      </c>
      <c r="AI180" s="38">
        <v>53</v>
      </c>
      <c r="AJ180" s="38">
        <v>62</v>
      </c>
      <c r="AK180" s="38">
        <v>5226</v>
      </c>
      <c r="AL180" s="38">
        <v>5160</v>
      </c>
      <c r="AM180" s="38" t="s">
        <v>690</v>
      </c>
      <c r="AN180" s="8" t="s">
        <v>276</v>
      </c>
      <c r="AO180" s="31">
        <f t="shared" si="65"/>
        <v>10.141599693838501</v>
      </c>
      <c r="AP180" s="8" t="s">
        <v>276</v>
      </c>
      <c r="AQ180" s="8" t="s">
        <v>276</v>
      </c>
      <c r="AR180" s="8" t="s">
        <v>276</v>
      </c>
      <c r="AS180" s="31">
        <f t="shared" si="66"/>
        <v>12.015503875968992</v>
      </c>
      <c r="AT180" s="8" t="s">
        <v>276</v>
      </c>
      <c r="AU180" s="8" t="s">
        <v>276</v>
      </c>
      <c r="AV180" s="9" t="s">
        <v>268</v>
      </c>
      <c r="AW180" s="40" t="s">
        <v>276</v>
      </c>
      <c r="AX180" s="53">
        <f t="shared" si="59"/>
        <v>0.84404281322913977</v>
      </c>
      <c r="AY180" s="9" t="s">
        <v>276</v>
      </c>
      <c r="AZ180" s="9" t="s">
        <v>276</v>
      </c>
      <c r="BA180" s="9" t="s">
        <v>276</v>
      </c>
      <c r="BB180" s="9" t="s">
        <v>282</v>
      </c>
      <c r="BC180" s="9" t="s">
        <v>276</v>
      </c>
      <c r="BD180" s="9" t="s">
        <v>276</v>
      </c>
      <c r="BE180" s="9" t="s">
        <v>276</v>
      </c>
      <c r="BF180" s="9" t="s">
        <v>426</v>
      </c>
      <c r="BG180" s="9" t="s">
        <v>1055</v>
      </c>
      <c r="BH180" s="9" t="s">
        <v>100</v>
      </c>
      <c r="BI180" s="9" t="s">
        <v>100</v>
      </c>
      <c r="BJ180" s="32"/>
      <c r="BK180" s="32"/>
      <c r="BO180" s="32"/>
      <c r="BP180" s="32"/>
    </row>
    <row r="181" spans="1:68" s="33" customFormat="1" ht="130" hidden="1" x14ac:dyDescent="0.35">
      <c r="A181" s="8">
        <v>10745</v>
      </c>
      <c r="B181" s="9" t="s">
        <v>1011</v>
      </c>
      <c r="C181" s="9" t="s">
        <v>79</v>
      </c>
      <c r="D181" s="9" t="s">
        <v>11584</v>
      </c>
      <c r="E181" s="8" t="s">
        <v>39</v>
      </c>
      <c r="F181" s="9" t="s">
        <v>263</v>
      </c>
      <c r="G181" s="8" t="s">
        <v>262</v>
      </c>
      <c r="H181" s="8" t="s">
        <v>225</v>
      </c>
      <c r="I181" s="8" t="s">
        <v>98</v>
      </c>
      <c r="J181" s="9" t="s">
        <v>25</v>
      </c>
      <c r="K181" s="8" t="s">
        <v>317</v>
      </c>
      <c r="L181" s="8" t="s">
        <v>276</v>
      </c>
      <c r="M181" s="8" t="s">
        <v>276</v>
      </c>
      <c r="N181" s="9" t="s">
        <v>1049</v>
      </c>
      <c r="O181" s="9" t="s">
        <v>1014</v>
      </c>
      <c r="P181" s="9" t="s">
        <v>239</v>
      </c>
      <c r="Q181" s="52" t="s">
        <v>276</v>
      </c>
      <c r="R181" s="9" t="s">
        <v>752</v>
      </c>
      <c r="S181" s="9" t="s">
        <v>1015</v>
      </c>
      <c r="T181" s="9" t="s">
        <v>1015</v>
      </c>
      <c r="U181" s="9" t="s">
        <v>1050</v>
      </c>
      <c r="V181" s="8" t="s">
        <v>14</v>
      </c>
      <c r="W181" s="8" t="s">
        <v>98</v>
      </c>
      <c r="X181" s="9" t="s">
        <v>208</v>
      </c>
      <c r="Y181" s="13">
        <v>5226</v>
      </c>
      <c r="Z181" s="38">
        <v>5160</v>
      </c>
      <c r="AA181" s="9">
        <v>19</v>
      </c>
      <c r="AB181" s="9">
        <v>9</v>
      </c>
      <c r="AC181" s="8">
        <f t="shared" si="67"/>
        <v>18</v>
      </c>
      <c r="AD181" s="9" t="s">
        <v>1051</v>
      </c>
      <c r="AE181" s="8">
        <f t="shared" si="68"/>
        <v>20</v>
      </c>
      <c r="AF181" s="9" t="s">
        <v>1051</v>
      </c>
      <c r="AG181" s="9" t="s">
        <v>11585</v>
      </c>
      <c r="AH181" s="9" t="s">
        <v>689</v>
      </c>
      <c r="AI181" s="38">
        <f>53+51</f>
        <v>104</v>
      </c>
      <c r="AJ181" s="38">
        <f>62+49</f>
        <v>111</v>
      </c>
      <c r="AK181" s="38">
        <v>5226</v>
      </c>
      <c r="AL181" s="38">
        <v>5160</v>
      </c>
      <c r="AM181" s="38" t="s">
        <v>690</v>
      </c>
      <c r="AN181" s="8" t="s">
        <v>276</v>
      </c>
      <c r="AO181" s="31">
        <f t="shared" ref="AO181" si="72">AI181*1000/AK181</f>
        <v>19.900497512437809</v>
      </c>
      <c r="AP181" s="8" t="s">
        <v>276</v>
      </c>
      <c r="AQ181" s="8" t="s">
        <v>276</v>
      </c>
      <c r="AR181" s="8" t="s">
        <v>276</v>
      </c>
      <c r="AS181" s="31">
        <f t="shared" ref="AS181" si="73">AJ181*1000/AL181</f>
        <v>21.511627906976745</v>
      </c>
      <c r="AT181" s="8" t="s">
        <v>276</v>
      </c>
      <c r="AU181" s="8" t="s">
        <v>276</v>
      </c>
      <c r="AV181" s="9" t="s">
        <v>268</v>
      </c>
      <c r="AW181" s="40" t="s">
        <v>276</v>
      </c>
      <c r="AX181" s="798">
        <f t="shared" ref="AX181" si="74">AO181/AS181</f>
        <v>0.92510420868629817</v>
      </c>
      <c r="AY181" s="9" t="s">
        <v>276</v>
      </c>
      <c r="AZ181" s="9" t="s">
        <v>276</v>
      </c>
      <c r="BA181" s="9" t="s">
        <v>276</v>
      </c>
      <c r="BB181" s="9" t="s">
        <v>282</v>
      </c>
      <c r="BC181" s="9" t="s">
        <v>276</v>
      </c>
      <c r="BD181" s="9" t="s">
        <v>276</v>
      </c>
      <c r="BE181" s="9" t="s">
        <v>276</v>
      </c>
      <c r="BF181" s="9" t="s">
        <v>426</v>
      </c>
      <c r="BG181" s="9" t="s">
        <v>1055</v>
      </c>
      <c r="BH181" s="9" t="s">
        <v>100</v>
      </c>
      <c r="BI181" s="9" t="s">
        <v>100</v>
      </c>
      <c r="BJ181" s="32"/>
      <c r="BK181" s="32"/>
      <c r="BO181" s="32"/>
      <c r="BP181" s="32"/>
    </row>
    <row r="182" spans="1:68" s="33" customFormat="1" ht="130" hidden="1" x14ac:dyDescent="0.35">
      <c r="A182" s="8">
        <v>10745</v>
      </c>
      <c r="B182" s="9" t="s">
        <v>1011</v>
      </c>
      <c r="C182" s="9" t="s">
        <v>79</v>
      </c>
      <c r="D182" s="9" t="s">
        <v>1062</v>
      </c>
      <c r="E182" s="8" t="s">
        <v>39</v>
      </c>
      <c r="F182" s="9" t="s">
        <v>263</v>
      </c>
      <c r="G182" s="8" t="s">
        <v>262</v>
      </c>
      <c r="H182" s="8" t="s">
        <v>225</v>
      </c>
      <c r="I182" s="8" t="s">
        <v>98</v>
      </c>
      <c r="J182" s="9" t="s">
        <v>25</v>
      </c>
      <c r="K182" s="8" t="s">
        <v>1063</v>
      </c>
      <c r="L182" s="8" t="s">
        <v>276</v>
      </c>
      <c r="M182" s="8" t="s">
        <v>276</v>
      </c>
      <c r="N182" s="9" t="s">
        <v>1049</v>
      </c>
      <c r="O182" s="9" t="s">
        <v>1014</v>
      </c>
      <c r="P182" s="9" t="s">
        <v>239</v>
      </c>
      <c r="Q182" s="52" t="s">
        <v>276</v>
      </c>
      <c r="R182" s="9" t="s">
        <v>752</v>
      </c>
      <c r="S182" s="9" t="s">
        <v>1015</v>
      </c>
      <c r="T182" s="9" t="s">
        <v>1015</v>
      </c>
      <c r="U182" s="9" t="s">
        <v>1050</v>
      </c>
      <c r="V182" s="8" t="s">
        <v>14</v>
      </c>
      <c r="W182" s="8" t="s">
        <v>98</v>
      </c>
      <c r="X182" s="9" t="s">
        <v>208</v>
      </c>
      <c r="Y182" s="13">
        <v>5226</v>
      </c>
      <c r="Z182" s="38">
        <v>5160</v>
      </c>
      <c r="AA182" s="9">
        <v>19</v>
      </c>
      <c r="AB182" s="9">
        <v>9</v>
      </c>
      <c r="AC182" s="8">
        <f t="shared" si="67"/>
        <v>18</v>
      </c>
      <c r="AD182" s="9" t="s">
        <v>1051</v>
      </c>
      <c r="AE182" s="8">
        <f t="shared" si="68"/>
        <v>20</v>
      </c>
      <c r="AF182" s="9" t="s">
        <v>1051</v>
      </c>
      <c r="AG182" s="9" t="s">
        <v>1064</v>
      </c>
      <c r="AH182" s="9" t="s">
        <v>689</v>
      </c>
      <c r="AI182" s="38">
        <f>AI178+AI179+AI180</f>
        <v>123</v>
      </c>
      <c r="AJ182" s="38">
        <f>AJ178+AJ179+AJ180</f>
        <v>141</v>
      </c>
      <c r="AK182" s="38">
        <v>5226</v>
      </c>
      <c r="AL182" s="38">
        <v>5160</v>
      </c>
      <c r="AM182" s="38" t="s">
        <v>690</v>
      </c>
      <c r="AN182" s="8" t="s">
        <v>276</v>
      </c>
      <c r="AO182" s="31">
        <f t="shared" si="65"/>
        <v>23.536165327210103</v>
      </c>
      <c r="AP182" s="8" t="s">
        <v>276</v>
      </c>
      <c r="AQ182" s="8" t="s">
        <v>276</v>
      </c>
      <c r="AR182" s="8" t="s">
        <v>276</v>
      </c>
      <c r="AS182" s="31">
        <f t="shared" si="66"/>
        <v>27.325581395348838</v>
      </c>
      <c r="AT182" s="8" t="s">
        <v>276</v>
      </c>
      <c r="AU182" s="8" t="s">
        <v>276</v>
      </c>
      <c r="AV182" s="9" t="s">
        <v>268</v>
      </c>
      <c r="AW182" s="40" t="s">
        <v>276</v>
      </c>
      <c r="AX182" s="53">
        <f t="shared" si="59"/>
        <v>0.8613234970808803</v>
      </c>
      <c r="AY182" s="9" t="s">
        <v>276</v>
      </c>
      <c r="AZ182" s="9" t="s">
        <v>276</v>
      </c>
      <c r="BA182" s="9" t="s">
        <v>276</v>
      </c>
      <c r="BB182" s="9" t="s">
        <v>282</v>
      </c>
      <c r="BC182" s="9" t="s">
        <v>276</v>
      </c>
      <c r="BD182" s="9" t="s">
        <v>276</v>
      </c>
      <c r="BE182" s="9" t="s">
        <v>276</v>
      </c>
      <c r="BF182" s="9" t="s">
        <v>426</v>
      </c>
      <c r="BG182" s="9" t="s">
        <v>1055</v>
      </c>
      <c r="BH182" s="9" t="s">
        <v>100</v>
      </c>
      <c r="BI182" s="9" t="s">
        <v>100</v>
      </c>
      <c r="BJ182" s="32"/>
      <c r="BK182" s="32"/>
      <c r="BO182" s="32"/>
      <c r="BP182" s="32"/>
    </row>
    <row r="183" spans="1:68" s="33" customFormat="1" ht="130" hidden="1" x14ac:dyDescent="0.35">
      <c r="A183" s="8">
        <v>10745</v>
      </c>
      <c r="B183" s="9" t="s">
        <v>1011</v>
      </c>
      <c r="C183" s="9" t="s">
        <v>79</v>
      </c>
      <c r="D183" s="9" t="s">
        <v>1065</v>
      </c>
      <c r="E183" s="8" t="s">
        <v>39</v>
      </c>
      <c r="F183" s="9" t="s">
        <v>263</v>
      </c>
      <c r="G183" s="8" t="s">
        <v>262</v>
      </c>
      <c r="H183" s="8" t="s">
        <v>225</v>
      </c>
      <c r="I183" s="8" t="s">
        <v>98</v>
      </c>
      <c r="J183" s="9" t="s">
        <v>25</v>
      </c>
      <c r="K183" s="8" t="s">
        <v>1063</v>
      </c>
      <c r="L183" s="8" t="s">
        <v>276</v>
      </c>
      <c r="M183" s="8" t="s">
        <v>276</v>
      </c>
      <c r="N183" s="9" t="s">
        <v>1049</v>
      </c>
      <c r="O183" s="9" t="s">
        <v>1014</v>
      </c>
      <c r="P183" s="9" t="s">
        <v>235</v>
      </c>
      <c r="Q183" s="52" t="s">
        <v>276</v>
      </c>
      <c r="R183" s="9" t="s">
        <v>752</v>
      </c>
      <c r="S183" s="9" t="s">
        <v>1015</v>
      </c>
      <c r="T183" s="9" t="s">
        <v>1015</v>
      </c>
      <c r="U183" s="9" t="s">
        <v>1050</v>
      </c>
      <c r="V183" s="8" t="s">
        <v>14</v>
      </c>
      <c r="W183" s="8" t="s">
        <v>98</v>
      </c>
      <c r="X183" s="9" t="s">
        <v>208</v>
      </c>
      <c r="Y183" s="13" t="s">
        <v>98</v>
      </c>
      <c r="Z183" s="38" t="s">
        <v>98</v>
      </c>
      <c r="AA183" s="9">
        <v>19</v>
      </c>
      <c r="AB183" s="9">
        <v>9</v>
      </c>
      <c r="AC183" s="8">
        <f t="shared" si="67"/>
        <v>18</v>
      </c>
      <c r="AD183" s="9" t="s">
        <v>1051</v>
      </c>
      <c r="AE183" s="8">
        <f t="shared" si="68"/>
        <v>20</v>
      </c>
      <c r="AF183" s="9" t="s">
        <v>1051</v>
      </c>
      <c r="AG183" s="9" t="s">
        <v>1064</v>
      </c>
      <c r="AH183" s="9" t="s">
        <v>1066</v>
      </c>
      <c r="AI183" s="38">
        <v>123</v>
      </c>
      <c r="AJ183" s="38">
        <v>141</v>
      </c>
      <c r="AK183" s="38">
        <v>233</v>
      </c>
      <c r="AL183" s="38">
        <v>242</v>
      </c>
      <c r="AM183" s="38" t="s">
        <v>292</v>
      </c>
      <c r="AN183" s="8" t="s">
        <v>276</v>
      </c>
      <c r="AO183" s="31">
        <f>AI183*100/AK183</f>
        <v>52.789699570815451</v>
      </c>
      <c r="AP183" s="8" t="s">
        <v>276</v>
      </c>
      <c r="AQ183" s="8" t="s">
        <v>276</v>
      </c>
      <c r="AR183" s="8" t="s">
        <v>276</v>
      </c>
      <c r="AS183" s="31">
        <f>AJ183*100/AL183</f>
        <v>58.264462809917354</v>
      </c>
      <c r="AT183" s="8" t="s">
        <v>276</v>
      </c>
      <c r="AU183" s="8" t="s">
        <v>276</v>
      </c>
      <c r="AV183" s="9" t="s">
        <v>268</v>
      </c>
      <c r="AW183" s="40" t="s">
        <v>276</v>
      </c>
      <c r="AX183" s="53">
        <f t="shared" si="59"/>
        <v>0.90603597844945671</v>
      </c>
      <c r="AY183" s="9" t="s">
        <v>276</v>
      </c>
      <c r="AZ183" s="9" t="s">
        <v>276</v>
      </c>
      <c r="BA183" s="9" t="s">
        <v>276</v>
      </c>
      <c r="BB183" s="9" t="s">
        <v>282</v>
      </c>
      <c r="BC183" s="9" t="s">
        <v>276</v>
      </c>
      <c r="BD183" s="9" t="s">
        <v>276</v>
      </c>
      <c r="BE183" s="9" t="s">
        <v>276</v>
      </c>
      <c r="BF183" s="9" t="s">
        <v>426</v>
      </c>
      <c r="BG183" s="9" t="s">
        <v>1055</v>
      </c>
      <c r="BH183" s="9" t="s">
        <v>100</v>
      </c>
      <c r="BI183" s="9" t="s">
        <v>100</v>
      </c>
      <c r="BJ183" s="32"/>
      <c r="BK183" s="32"/>
      <c r="BO183" s="32"/>
      <c r="BP183" s="32"/>
    </row>
    <row r="184" spans="1:68" s="33" customFormat="1" ht="52" hidden="1" x14ac:dyDescent="0.35">
      <c r="A184" s="8">
        <v>10745</v>
      </c>
      <c r="B184" s="9" t="s">
        <v>1011</v>
      </c>
      <c r="C184" s="9" t="s">
        <v>79</v>
      </c>
      <c r="D184" s="9" t="s">
        <v>1067</v>
      </c>
      <c r="E184" s="8" t="s">
        <v>39</v>
      </c>
      <c r="F184" s="9" t="s">
        <v>263</v>
      </c>
      <c r="G184" s="8" t="s">
        <v>262</v>
      </c>
      <c r="H184" s="8" t="s">
        <v>225</v>
      </c>
      <c r="I184" s="8" t="s">
        <v>98</v>
      </c>
      <c r="J184" s="9" t="s">
        <v>98</v>
      </c>
      <c r="K184" s="8" t="s">
        <v>98</v>
      </c>
      <c r="L184" s="8" t="s">
        <v>98</v>
      </c>
      <c r="M184" s="8" t="s">
        <v>98</v>
      </c>
      <c r="N184" s="9" t="s">
        <v>1068</v>
      </c>
      <c r="O184" s="9" t="s">
        <v>1014</v>
      </c>
      <c r="P184" s="9" t="s">
        <v>236</v>
      </c>
      <c r="Q184" s="52" t="s">
        <v>276</v>
      </c>
      <c r="R184" s="9" t="s">
        <v>752</v>
      </c>
      <c r="S184" s="9" t="s">
        <v>1015</v>
      </c>
      <c r="T184" s="9" t="s">
        <v>1015</v>
      </c>
      <c r="U184" s="9" t="s">
        <v>1050</v>
      </c>
      <c r="V184" s="8" t="s">
        <v>14</v>
      </c>
      <c r="W184" s="8" t="s">
        <v>98</v>
      </c>
      <c r="X184" s="9" t="s">
        <v>208</v>
      </c>
      <c r="Y184" s="13" t="s">
        <v>98</v>
      </c>
      <c r="Z184" s="38" t="s">
        <v>98</v>
      </c>
      <c r="AA184" s="9">
        <v>19</v>
      </c>
      <c r="AB184" s="9">
        <v>9</v>
      </c>
      <c r="AC184" s="8">
        <v>0</v>
      </c>
      <c r="AD184" s="8" t="s">
        <v>98</v>
      </c>
      <c r="AE184" s="8">
        <v>0</v>
      </c>
      <c r="AF184" s="8" t="s">
        <v>98</v>
      </c>
      <c r="AG184" s="9" t="s">
        <v>1069</v>
      </c>
      <c r="AH184" s="9" t="s">
        <v>1070</v>
      </c>
      <c r="AI184" s="38">
        <v>132</v>
      </c>
      <c r="AJ184" s="38">
        <v>133</v>
      </c>
      <c r="AK184" s="38">
        <v>233</v>
      </c>
      <c r="AL184" s="38">
        <v>242</v>
      </c>
      <c r="AM184" s="38" t="s">
        <v>292</v>
      </c>
      <c r="AN184" s="8" t="s">
        <v>276</v>
      </c>
      <c r="AO184" s="31">
        <f>AI184*100/AK184</f>
        <v>56.652360515021456</v>
      </c>
      <c r="AP184" s="8" t="s">
        <v>276</v>
      </c>
      <c r="AQ184" s="8" t="s">
        <v>276</v>
      </c>
      <c r="AR184" s="8">
        <v>55</v>
      </c>
      <c r="AS184" s="31">
        <f>AJ184*100/AL184</f>
        <v>54.958677685950413</v>
      </c>
      <c r="AT184" s="8" t="s">
        <v>276</v>
      </c>
      <c r="AU184" s="8" t="s">
        <v>276</v>
      </c>
      <c r="AV184" s="9" t="s">
        <v>268</v>
      </c>
      <c r="AW184" s="40" t="s">
        <v>276</v>
      </c>
      <c r="AX184" s="53">
        <f t="shared" si="59"/>
        <v>1.0308173868146762</v>
      </c>
      <c r="AY184" s="9" t="s">
        <v>276</v>
      </c>
      <c r="AZ184" s="9" t="s">
        <v>276</v>
      </c>
      <c r="BA184" s="9" t="s">
        <v>276</v>
      </c>
      <c r="BB184" s="9" t="s">
        <v>282</v>
      </c>
      <c r="BC184" s="9" t="s">
        <v>276</v>
      </c>
      <c r="BD184" s="9" t="s">
        <v>276</v>
      </c>
      <c r="BE184" s="9" t="s">
        <v>276</v>
      </c>
      <c r="BF184" s="9" t="s">
        <v>1029</v>
      </c>
      <c r="BG184" s="9"/>
      <c r="BH184" s="9" t="s">
        <v>100</v>
      </c>
      <c r="BI184" s="9" t="s">
        <v>100</v>
      </c>
      <c r="BJ184" s="32"/>
      <c r="BK184" s="32"/>
      <c r="BO184" s="32"/>
      <c r="BP184" s="32"/>
    </row>
    <row r="185" spans="1:68" s="33" customFormat="1" ht="39" hidden="1" x14ac:dyDescent="0.35">
      <c r="A185" s="8">
        <v>10745</v>
      </c>
      <c r="B185" s="9" t="s">
        <v>1011</v>
      </c>
      <c r="C185" s="9" t="s">
        <v>79</v>
      </c>
      <c r="D185" s="9" t="s">
        <v>1071</v>
      </c>
      <c r="E185" s="8" t="s">
        <v>39</v>
      </c>
      <c r="F185" s="9" t="s">
        <v>263</v>
      </c>
      <c r="G185" s="8" t="s">
        <v>262</v>
      </c>
      <c r="H185" s="8" t="s">
        <v>225</v>
      </c>
      <c r="I185" s="8" t="s">
        <v>98</v>
      </c>
      <c r="J185" s="9" t="s">
        <v>98</v>
      </c>
      <c r="K185" s="8" t="s">
        <v>98</v>
      </c>
      <c r="L185" s="8" t="s">
        <v>98</v>
      </c>
      <c r="M185" s="8" t="s">
        <v>98</v>
      </c>
      <c r="N185" s="9" t="s">
        <v>1068</v>
      </c>
      <c r="O185" s="9" t="s">
        <v>1014</v>
      </c>
      <c r="P185" s="9" t="s">
        <v>238</v>
      </c>
      <c r="Q185" s="52" t="s">
        <v>276</v>
      </c>
      <c r="R185" s="9" t="s">
        <v>1072</v>
      </c>
      <c r="S185" s="9" t="s">
        <v>276</v>
      </c>
      <c r="T185" s="9" t="s">
        <v>276</v>
      </c>
      <c r="U185" s="9" t="s">
        <v>1050</v>
      </c>
      <c r="V185" s="8" t="s">
        <v>14</v>
      </c>
      <c r="W185" s="8" t="s">
        <v>98</v>
      </c>
      <c r="X185" s="9" t="s">
        <v>208</v>
      </c>
      <c r="Y185" s="13">
        <v>5226</v>
      </c>
      <c r="Z185" s="38">
        <v>5160</v>
      </c>
      <c r="AA185" s="9">
        <v>19</v>
      </c>
      <c r="AB185" s="9">
        <v>9</v>
      </c>
      <c r="AC185" s="8">
        <v>0</v>
      </c>
      <c r="AD185" s="8" t="s">
        <v>98</v>
      </c>
      <c r="AE185" s="8">
        <v>0</v>
      </c>
      <c r="AF185" s="8" t="s">
        <v>98</v>
      </c>
      <c r="AG185" s="9" t="s">
        <v>1073</v>
      </c>
      <c r="AH185" s="9" t="s">
        <v>689</v>
      </c>
      <c r="AI185" s="38">
        <v>132</v>
      </c>
      <c r="AJ185" s="38">
        <v>133</v>
      </c>
      <c r="AK185" s="38">
        <v>5226</v>
      </c>
      <c r="AL185" s="38">
        <v>5160</v>
      </c>
      <c r="AM185" s="38" t="s">
        <v>292</v>
      </c>
      <c r="AN185" s="8" t="s">
        <v>276</v>
      </c>
      <c r="AO185" s="31">
        <f>AI185*100/AK185</f>
        <v>2.5258323765786455</v>
      </c>
      <c r="AP185" s="8" t="s">
        <v>276</v>
      </c>
      <c r="AQ185" s="8" t="s">
        <v>276</v>
      </c>
      <c r="AR185" s="8" t="s">
        <v>276</v>
      </c>
      <c r="AS185" s="31">
        <f>AJ185*100/AL185</f>
        <v>2.5775193798449614</v>
      </c>
      <c r="AT185" s="8" t="s">
        <v>276</v>
      </c>
      <c r="AU185" s="8" t="s">
        <v>276</v>
      </c>
      <c r="AV185" s="9" t="s">
        <v>268</v>
      </c>
      <c r="AW185" s="40" t="s">
        <v>276</v>
      </c>
      <c r="AX185" s="53">
        <f t="shared" si="59"/>
        <v>0.97994699722900824</v>
      </c>
      <c r="AY185" s="9" t="s">
        <v>276</v>
      </c>
      <c r="AZ185" s="9" t="s">
        <v>276</v>
      </c>
      <c r="BA185" s="9" t="s">
        <v>276</v>
      </c>
      <c r="BB185" s="9" t="s">
        <v>282</v>
      </c>
      <c r="BC185" s="9" t="s">
        <v>276</v>
      </c>
      <c r="BD185" s="9" t="s">
        <v>276</v>
      </c>
      <c r="BE185" s="9" t="s">
        <v>276</v>
      </c>
      <c r="BF185" s="9" t="s">
        <v>1029</v>
      </c>
      <c r="BG185" s="9"/>
      <c r="BH185" s="9" t="s">
        <v>100</v>
      </c>
      <c r="BI185" s="9" t="s">
        <v>100</v>
      </c>
      <c r="BJ185" s="32"/>
      <c r="BK185" s="32"/>
      <c r="BO185" s="32"/>
      <c r="BP185" s="32"/>
    </row>
    <row r="186" spans="1:68" s="32" customFormat="1" ht="70" hidden="1" x14ac:dyDescent="0.35">
      <c r="A186" s="9">
        <v>3726</v>
      </c>
      <c r="B186" s="9" t="s">
        <v>1074</v>
      </c>
      <c r="C186" s="9" t="s">
        <v>91</v>
      </c>
      <c r="D186" s="55" t="s">
        <v>1092</v>
      </c>
      <c r="E186" s="9" t="s">
        <v>43</v>
      </c>
      <c r="F186" s="9" t="s">
        <v>1076</v>
      </c>
      <c r="G186" s="9" t="s">
        <v>225</v>
      </c>
      <c r="H186" s="9" t="s">
        <v>125</v>
      </c>
      <c r="I186" s="9" t="s">
        <v>114</v>
      </c>
      <c r="J186" s="9" t="s">
        <v>26</v>
      </c>
      <c r="K186" s="9" t="s">
        <v>1093</v>
      </c>
      <c r="L186" s="9" t="s">
        <v>1094</v>
      </c>
      <c r="M186" s="56" t="s">
        <v>1095</v>
      </c>
      <c r="N186" s="9" t="s">
        <v>1096</v>
      </c>
      <c r="O186" s="9" t="s">
        <v>1078</v>
      </c>
      <c r="P186" s="9" t="s">
        <v>239</v>
      </c>
      <c r="Q186" s="52">
        <v>36525</v>
      </c>
      <c r="R186" s="9" t="s">
        <v>773</v>
      </c>
      <c r="S186" s="9" t="s">
        <v>276</v>
      </c>
      <c r="T186" s="9" t="s">
        <v>276</v>
      </c>
      <c r="U186" s="9">
        <v>4</v>
      </c>
      <c r="V186" s="9" t="s">
        <v>14</v>
      </c>
      <c r="W186" s="9" t="s">
        <v>98</v>
      </c>
      <c r="X186" s="9" t="s">
        <v>207</v>
      </c>
      <c r="Y186" s="38">
        <v>1494</v>
      </c>
      <c r="Z186" s="38">
        <v>7532</v>
      </c>
      <c r="AA186" s="9" t="s">
        <v>276</v>
      </c>
      <c r="AB186" s="9" t="s">
        <v>276</v>
      </c>
      <c r="AC186" s="9">
        <v>0</v>
      </c>
      <c r="AD186" s="9" t="s">
        <v>98</v>
      </c>
      <c r="AE186" s="9">
        <v>0</v>
      </c>
      <c r="AF186" s="9" t="s">
        <v>98</v>
      </c>
      <c r="AG186" s="9" t="s">
        <v>1097</v>
      </c>
      <c r="AH186" s="9" t="s">
        <v>1098</v>
      </c>
      <c r="AI186" s="38">
        <v>37</v>
      </c>
      <c r="AJ186" s="38">
        <v>214</v>
      </c>
      <c r="AK186" s="38">
        <v>1494</v>
      </c>
      <c r="AL186" s="38">
        <v>7532</v>
      </c>
      <c r="AM186" s="38" t="s">
        <v>292</v>
      </c>
      <c r="AN186" s="9">
        <v>2.5</v>
      </c>
      <c r="AO186" s="40">
        <f t="shared" ref="AO186:AO194" si="75">(AI186/AK186)*100</f>
        <v>2.4765729585006691</v>
      </c>
      <c r="AP186" s="9" t="s">
        <v>276</v>
      </c>
      <c r="AQ186" s="9" t="s">
        <v>276</v>
      </c>
      <c r="AR186" s="9">
        <v>2.8</v>
      </c>
      <c r="AS186" s="40">
        <f t="shared" ref="AS186:AS194" si="76">(AJ186/AL186)*100</f>
        <v>2.8412108337758895</v>
      </c>
      <c r="AT186" s="9" t="s">
        <v>276</v>
      </c>
      <c r="AU186" s="9" t="s">
        <v>276</v>
      </c>
      <c r="AV186" s="9" t="s">
        <v>268</v>
      </c>
      <c r="AW186" s="40" t="s">
        <v>276</v>
      </c>
      <c r="AX186" s="40">
        <f>(AI186/AK186)/(AJ186/AL186)</f>
        <v>0.87166109922556267</v>
      </c>
      <c r="AY186" s="9" t="s">
        <v>276</v>
      </c>
      <c r="AZ186" s="9" t="s">
        <v>276</v>
      </c>
      <c r="BA186" s="9">
        <v>0.44</v>
      </c>
      <c r="BB186" s="9" t="s">
        <v>276</v>
      </c>
      <c r="BC186" s="9" t="s">
        <v>276</v>
      </c>
      <c r="BD186" s="9" t="s">
        <v>276</v>
      </c>
      <c r="BE186" s="9" t="s">
        <v>276</v>
      </c>
      <c r="BF186" s="9" t="s">
        <v>1099</v>
      </c>
      <c r="BG186" s="9" t="s">
        <v>1100</v>
      </c>
      <c r="BH186" s="9" t="s">
        <v>100</v>
      </c>
      <c r="BI186" s="9" t="s">
        <v>100</v>
      </c>
    </row>
    <row r="187" spans="1:68" s="32" customFormat="1" ht="65" hidden="1" x14ac:dyDescent="0.35">
      <c r="A187" s="9">
        <v>3726</v>
      </c>
      <c r="B187" s="9" t="s">
        <v>1074</v>
      </c>
      <c r="C187" s="9" t="s">
        <v>91</v>
      </c>
      <c r="D187" s="55" t="s">
        <v>1101</v>
      </c>
      <c r="E187" s="9" t="s">
        <v>43</v>
      </c>
      <c r="F187" s="9" t="s">
        <v>1076</v>
      </c>
      <c r="G187" s="9" t="s">
        <v>225</v>
      </c>
      <c r="H187" s="9" t="s">
        <v>125</v>
      </c>
      <c r="I187" s="9" t="s">
        <v>114</v>
      </c>
      <c r="J187" s="9" t="s">
        <v>26</v>
      </c>
      <c r="K187" s="9" t="s">
        <v>1102</v>
      </c>
      <c r="L187" s="9" t="s">
        <v>1094</v>
      </c>
      <c r="M187" s="56" t="s">
        <v>1095</v>
      </c>
      <c r="N187" s="9" t="s">
        <v>1096</v>
      </c>
      <c r="O187" s="9" t="s">
        <v>1078</v>
      </c>
      <c r="P187" s="9" t="s">
        <v>239</v>
      </c>
      <c r="Q187" s="52">
        <v>36525</v>
      </c>
      <c r="R187" s="9" t="s">
        <v>773</v>
      </c>
      <c r="S187" s="9" t="s">
        <v>276</v>
      </c>
      <c r="T187" s="9" t="s">
        <v>276</v>
      </c>
      <c r="U187" s="9">
        <v>4</v>
      </c>
      <c r="V187" s="9" t="s">
        <v>14</v>
      </c>
      <c r="W187" s="9" t="s">
        <v>98</v>
      </c>
      <c r="X187" s="9" t="s">
        <v>207</v>
      </c>
      <c r="Y187" s="38">
        <v>1494</v>
      </c>
      <c r="Z187" s="38">
        <v>7532</v>
      </c>
      <c r="AA187" s="9" t="s">
        <v>276</v>
      </c>
      <c r="AB187" s="9" t="s">
        <v>276</v>
      </c>
      <c r="AC187" s="9">
        <v>0</v>
      </c>
      <c r="AD187" s="9" t="s">
        <v>98</v>
      </c>
      <c r="AE187" s="9">
        <v>0</v>
      </c>
      <c r="AF187" s="9" t="s">
        <v>98</v>
      </c>
      <c r="AG187" s="9" t="s">
        <v>1103</v>
      </c>
      <c r="AH187" s="9" t="s">
        <v>1098</v>
      </c>
      <c r="AI187" s="38">
        <v>48</v>
      </c>
      <c r="AJ187" s="38">
        <v>78</v>
      </c>
      <c r="AK187" s="38">
        <v>1494</v>
      </c>
      <c r="AL187" s="38">
        <v>7532</v>
      </c>
      <c r="AM187" s="38" t="s">
        <v>292</v>
      </c>
      <c r="AN187" s="9" t="s">
        <v>276</v>
      </c>
      <c r="AO187" s="40">
        <f t="shared" si="75"/>
        <v>3.2128514056224895</v>
      </c>
      <c r="AP187" s="9" t="s">
        <v>276</v>
      </c>
      <c r="AQ187" s="9" t="s">
        <v>276</v>
      </c>
      <c r="AR187" s="9" t="s">
        <v>276</v>
      </c>
      <c r="AS187" s="40">
        <f t="shared" si="76"/>
        <v>1.0355815188528943</v>
      </c>
      <c r="AT187" s="9" t="s">
        <v>276</v>
      </c>
      <c r="AU187" s="9" t="s">
        <v>276</v>
      </c>
      <c r="AV187" s="9" t="s">
        <v>268</v>
      </c>
      <c r="AW187" s="40" t="s">
        <v>276</v>
      </c>
      <c r="AX187" s="40">
        <f t="shared" ref="AX187:AX198" si="77">AO187/AS187</f>
        <v>3.1024611265575119</v>
      </c>
      <c r="AY187" s="9" t="s">
        <v>276</v>
      </c>
      <c r="AZ187" s="9" t="s">
        <v>276</v>
      </c>
      <c r="BA187" s="9" t="s">
        <v>276</v>
      </c>
      <c r="BB187" s="9" t="s">
        <v>276</v>
      </c>
      <c r="BC187" s="9" t="s">
        <v>276</v>
      </c>
      <c r="BD187" s="9" t="s">
        <v>276</v>
      </c>
      <c r="BE187" s="9" t="s">
        <v>276</v>
      </c>
      <c r="BF187" s="9" t="s">
        <v>298</v>
      </c>
      <c r="BG187" s="9" t="s">
        <v>276</v>
      </c>
      <c r="BH187" s="9" t="s">
        <v>100</v>
      </c>
      <c r="BI187" s="9" t="s">
        <v>100</v>
      </c>
    </row>
    <row r="188" spans="1:68" s="32" customFormat="1" ht="65" hidden="1" x14ac:dyDescent="0.35">
      <c r="A188" s="9">
        <v>3726</v>
      </c>
      <c r="B188" s="9" t="s">
        <v>1074</v>
      </c>
      <c r="C188" s="9" t="s">
        <v>91</v>
      </c>
      <c r="D188" s="55" t="s">
        <v>1104</v>
      </c>
      <c r="E188" s="9" t="s">
        <v>43</v>
      </c>
      <c r="F188" s="9" t="s">
        <v>1076</v>
      </c>
      <c r="G188" s="9" t="s">
        <v>225</v>
      </c>
      <c r="H188" s="9" t="s">
        <v>125</v>
      </c>
      <c r="I188" s="9" t="s">
        <v>114</v>
      </c>
      <c r="J188" s="9" t="s">
        <v>26</v>
      </c>
      <c r="K188" s="9" t="s">
        <v>1093</v>
      </c>
      <c r="L188" s="9" t="s">
        <v>1094</v>
      </c>
      <c r="M188" s="56" t="s">
        <v>1105</v>
      </c>
      <c r="N188" s="9" t="s">
        <v>1096</v>
      </c>
      <c r="O188" s="9" t="s">
        <v>1078</v>
      </c>
      <c r="P188" s="9" t="s">
        <v>235</v>
      </c>
      <c r="Q188" s="52">
        <v>36525</v>
      </c>
      <c r="R188" s="9" t="s">
        <v>773</v>
      </c>
      <c r="S188" s="9" t="s">
        <v>276</v>
      </c>
      <c r="T188" s="9" t="s">
        <v>276</v>
      </c>
      <c r="U188" s="9">
        <v>4</v>
      </c>
      <c r="V188" s="9" t="s">
        <v>14</v>
      </c>
      <c r="W188" s="9" t="s">
        <v>98</v>
      </c>
      <c r="X188" s="9" t="s">
        <v>207</v>
      </c>
      <c r="Y188" s="38" t="s">
        <v>98</v>
      </c>
      <c r="Z188" s="38" t="s">
        <v>98</v>
      </c>
      <c r="AA188" s="9" t="s">
        <v>276</v>
      </c>
      <c r="AB188" s="9" t="s">
        <v>276</v>
      </c>
      <c r="AC188" s="9">
        <v>0</v>
      </c>
      <c r="AD188" s="9" t="s">
        <v>98</v>
      </c>
      <c r="AE188" s="9">
        <v>0</v>
      </c>
      <c r="AF188" s="9" t="s">
        <v>98</v>
      </c>
      <c r="AG188" s="9" t="s">
        <v>1097</v>
      </c>
      <c r="AH188" s="9" t="s">
        <v>1106</v>
      </c>
      <c r="AI188" s="38">
        <v>37</v>
      </c>
      <c r="AJ188" s="38">
        <v>214</v>
      </c>
      <c r="AK188" s="38">
        <v>85</v>
      </c>
      <c r="AL188" s="38">
        <v>292</v>
      </c>
      <c r="AM188" s="38" t="s">
        <v>292</v>
      </c>
      <c r="AN188" s="9">
        <v>43.5</v>
      </c>
      <c r="AO188" s="40">
        <f t="shared" si="75"/>
        <v>43.529411764705884</v>
      </c>
      <c r="AP188" s="9" t="s">
        <v>276</v>
      </c>
      <c r="AQ188" s="9" t="s">
        <v>276</v>
      </c>
      <c r="AR188" s="9">
        <v>73.3</v>
      </c>
      <c r="AS188" s="40">
        <f t="shared" si="76"/>
        <v>73.287671232876718</v>
      </c>
      <c r="AT188" s="9" t="s">
        <v>276</v>
      </c>
      <c r="AU188" s="9" t="s">
        <v>276</v>
      </c>
      <c r="AV188" s="9" t="s">
        <v>268</v>
      </c>
      <c r="AW188" s="40" t="s">
        <v>276</v>
      </c>
      <c r="AX188" s="40">
        <f t="shared" si="77"/>
        <v>0.59395272127542609</v>
      </c>
      <c r="AY188" s="9" t="s">
        <v>276</v>
      </c>
      <c r="AZ188" s="9" t="s">
        <v>276</v>
      </c>
      <c r="BA188" s="9" t="s">
        <v>276</v>
      </c>
      <c r="BB188" s="9" t="s">
        <v>276</v>
      </c>
      <c r="BC188" s="9" t="s">
        <v>276</v>
      </c>
      <c r="BD188" s="9" t="s">
        <v>276</v>
      </c>
      <c r="BE188" s="9" t="s">
        <v>276</v>
      </c>
      <c r="BF188" s="9" t="s">
        <v>298</v>
      </c>
      <c r="BG188" s="9" t="s">
        <v>1100</v>
      </c>
      <c r="BH188" s="9" t="s">
        <v>100</v>
      </c>
      <c r="BI188" s="9" t="s">
        <v>100</v>
      </c>
    </row>
    <row r="189" spans="1:68" s="32" customFormat="1" ht="65" hidden="1" x14ac:dyDescent="0.35">
      <c r="A189" s="9">
        <v>3727</v>
      </c>
      <c r="B189" s="9" t="s">
        <v>1086</v>
      </c>
      <c r="C189" s="9" t="s">
        <v>91</v>
      </c>
      <c r="D189" s="55" t="s">
        <v>1107</v>
      </c>
      <c r="E189" s="9" t="s">
        <v>43</v>
      </c>
      <c r="F189" s="9" t="s">
        <v>1076</v>
      </c>
      <c r="G189" s="9" t="s">
        <v>225</v>
      </c>
      <c r="H189" s="9" t="s">
        <v>125</v>
      </c>
      <c r="I189" s="9" t="s">
        <v>114</v>
      </c>
      <c r="J189" s="9" t="s">
        <v>33</v>
      </c>
      <c r="K189" s="9" t="s">
        <v>1108</v>
      </c>
      <c r="L189" s="9" t="s">
        <v>276</v>
      </c>
      <c r="M189" s="9" t="s">
        <v>276</v>
      </c>
      <c r="N189" s="9" t="s">
        <v>1096</v>
      </c>
      <c r="O189" s="9" t="s">
        <v>1078</v>
      </c>
      <c r="P189" s="9" t="s">
        <v>239</v>
      </c>
      <c r="Q189" s="52">
        <v>36525</v>
      </c>
      <c r="R189" s="9" t="s">
        <v>773</v>
      </c>
      <c r="S189" s="9" t="s">
        <v>276</v>
      </c>
      <c r="T189" s="9" t="s">
        <v>276</v>
      </c>
      <c r="U189" s="9">
        <v>4</v>
      </c>
      <c r="V189" s="9" t="s">
        <v>14</v>
      </c>
      <c r="W189" s="9" t="s">
        <v>98</v>
      </c>
      <c r="X189" s="9" t="s">
        <v>207</v>
      </c>
      <c r="Y189" s="38">
        <v>1494</v>
      </c>
      <c r="Z189" s="9">
        <v>7532</v>
      </c>
      <c r="AA189" s="9" t="s">
        <v>276</v>
      </c>
      <c r="AB189" s="9" t="s">
        <v>276</v>
      </c>
      <c r="AC189" s="9">
        <v>0</v>
      </c>
      <c r="AD189" s="9" t="s">
        <v>1109</v>
      </c>
      <c r="AE189" s="9">
        <v>4</v>
      </c>
      <c r="AF189" s="9" t="s">
        <v>1109</v>
      </c>
      <c r="AG189" s="9" t="s">
        <v>1110</v>
      </c>
      <c r="AH189" s="9" t="s">
        <v>1098</v>
      </c>
      <c r="AI189" s="38">
        <v>11</v>
      </c>
      <c r="AJ189" s="38">
        <v>43</v>
      </c>
      <c r="AK189" s="38">
        <v>1494</v>
      </c>
      <c r="AL189" s="38">
        <v>7532</v>
      </c>
      <c r="AM189" s="38" t="s">
        <v>292</v>
      </c>
      <c r="AN189" s="9" t="s">
        <v>276</v>
      </c>
      <c r="AO189" s="40">
        <f t="shared" si="75"/>
        <v>0.73627844712182056</v>
      </c>
      <c r="AP189" s="9" t="s">
        <v>276</v>
      </c>
      <c r="AQ189" s="9" t="s">
        <v>276</v>
      </c>
      <c r="AR189" s="9" t="s">
        <v>276</v>
      </c>
      <c r="AS189" s="40">
        <f t="shared" si="76"/>
        <v>0.57089750398300587</v>
      </c>
      <c r="AT189" s="9" t="s">
        <v>276</v>
      </c>
      <c r="AU189" s="9" t="s">
        <v>276</v>
      </c>
      <c r="AV189" s="9" t="s">
        <v>268</v>
      </c>
      <c r="AW189" s="40" t="s">
        <v>276</v>
      </c>
      <c r="AX189" s="40">
        <f t="shared" si="77"/>
        <v>1.2896858752840819</v>
      </c>
      <c r="AY189" s="9" t="s">
        <v>276</v>
      </c>
      <c r="AZ189" s="9" t="s">
        <v>276</v>
      </c>
      <c r="BA189" s="9" t="s">
        <v>276</v>
      </c>
      <c r="BB189" s="9" t="s">
        <v>276</v>
      </c>
      <c r="BC189" s="9" t="s">
        <v>276</v>
      </c>
      <c r="BD189" s="9" t="s">
        <v>276</v>
      </c>
      <c r="BE189" s="9" t="s">
        <v>276</v>
      </c>
      <c r="BF189" s="9" t="s">
        <v>298</v>
      </c>
      <c r="BG189" s="9" t="s">
        <v>276</v>
      </c>
      <c r="BH189" s="9" t="s">
        <v>100</v>
      </c>
      <c r="BI189" s="9" t="s">
        <v>100</v>
      </c>
    </row>
    <row r="190" spans="1:68" s="32" customFormat="1" ht="65" hidden="1" x14ac:dyDescent="0.35">
      <c r="A190" s="9">
        <v>3727</v>
      </c>
      <c r="B190" s="9" t="s">
        <v>1086</v>
      </c>
      <c r="C190" s="9" t="s">
        <v>91</v>
      </c>
      <c r="D190" s="55" t="s">
        <v>1111</v>
      </c>
      <c r="E190" s="9" t="s">
        <v>43</v>
      </c>
      <c r="F190" s="9" t="s">
        <v>1076</v>
      </c>
      <c r="G190" s="9" t="s">
        <v>225</v>
      </c>
      <c r="H190" s="9" t="s">
        <v>125</v>
      </c>
      <c r="I190" s="9" t="s">
        <v>114</v>
      </c>
      <c r="J190" s="9" t="s">
        <v>117</v>
      </c>
      <c r="K190" s="9" t="s">
        <v>1112</v>
      </c>
      <c r="L190" s="9" t="s">
        <v>276</v>
      </c>
      <c r="M190" s="9" t="s">
        <v>276</v>
      </c>
      <c r="N190" s="9" t="s">
        <v>1096</v>
      </c>
      <c r="O190" s="9" t="s">
        <v>1078</v>
      </c>
      <c r="P190" s="9" t="s">
        <v>239</v>
      </c>
      <c r="Q190" s="52">
        <v>36525</v>
      </c>
      <c r="R190" s="9" t="s">
        <v>773</v>
      </c>
      <c r="S190" s="9" t="s">
        <v>276</v>
      </c>
      <c r="T190" s="9" t="s">
        <v>276</v>
      </c>
      <c r="U190" s="9">
        <v>4</v>
      </c>
      <c r="V190" s="9" t="s">
        <v>14</v>
      </c>
      <c r="W190" s="9" t="s">
        <v>98</v>
      </c>
      <c r="X190" s="9" t="s">
        <v>207</v>
      </c>
      <c r="Y190" s="38">
        <v>1494</v>
      </c>
      <c r="Z190" s="9">
        <v>7532</v>
      </c>
      <c r="AA190" s="9" t="s">
        <v>276</v>
      </c>
      <c r="AB190" s="9" t="s">
        <v>276</v>
      </c>
      <c r="AC190" s="9">
        <v>61</v>
      </c>
      <c r="AD190" s="9" t="s">
        <v>1113</v>
      </c>
      <c r="AE190" s="9">
        <v>237</v>
      </c>
      <c r="AF190" s="9" t="s">
        <v>1113</v>
      </c>
      <c r="AG190" s="9" t="s">
        <v>1114</v>
      </c>
      <c r="AH190" s="9" t="s">
        <v>1098</v>
      </c>
      <c r="AI190" s="38">
        <v>3</v>
      </c>
      <c r="AJ190" s="38">
        <v>13</v>
      </c>
      <c r="AK190" s="38">
        <v>1494</v>
      </c>
      <c r="AL190" s="38">
        <v>7532</v>
      </c>
      <c r="AM190" s="38" t="s">
        <v>292</v>
      </c>
      <c r="AN190" s="9" t="s">
        <v>276</v>
      </c>
      <c r="AO190" s="40">
        <f t="shared" si="75"/>
        <v>0.20080321285140559</v>
      </c>
      <c r="AP190" s="9" t="s">
        <v>276</v>
      </c>
      <c r="AQ190" s="9" t="s">
        <v>276</v>
      </c>
      <c r="AR190" s="9" t="s">
        <v>276</v>
      </c>
      <c r="AS190" s="40">
        <f t="shared" si="76"/>
        <v>0.17259691980881572</v>
      </c>
      <c r="AT190" s="9" t="s">
        <v>276</v>
      </c>
      <c r="AU190" s="9" t="s">
        <v>276</v>
      </c>
      <c r="AV190" s="9" t="s">
        <v>268</v>
      </c>
      <c r="AW190" s="40" t="s">
        <v>276</v>
      </c>
      <c r="AX190" s="40">
        <f t="shared" si="77"/>
        <v>1.1634229224590669</v>
      </c>
      <c r="AY190" s="9" t="s">
        <v>276</v>
      </c>
      <c r="AZ190" s="9" t="s">
        <v>276</v>
      </c>
      <c r="BA190" s="9" t="s">
        <v>276</v>
      </c>
      <c r="BB190" s="9" t="s">
        <v>276</v>
      </c>
      <c r="BC190" s="9" t="s">
        <v>276</v>
      </c>
      <c r="BD190" s="9" t="s">
        <v>276</v>
      </c>
      <c r="BE190" s="9" t="s">
        <v>276</v>
      </c>
      <c r="BF190" s="9" t="s">
        <v>298</v>
      </c>
      <c r="BG190" s="9" t="s">
        <v>276</v>
      </c>
      <c r="BH190" s="9" t="s">
        <v>100</v>
      </c>
      <c r="BI190" s="9" t="s">
        <v>100</v>
      </c>
    </row>
    <row r="191" spans="1:68" s="32" customFormat="1" ht="65" hidden="1" x14ac:dyDescent="0.35">
      <c r="A191" s="9">
        <v>3727</v>
      </c>
      <c r="B191" s="9" t="s">
        <v>1086</v>
      </c>
      <c r="C191" s="9" t="s">
        <v>91</v>
      </c>
      <c r="D191" s="55" t="s">
        <v>1115</v>
      </c>
      <c r="E191" s="9" t="s">
        <v>43</v>
      </c>
      <c r="F191" s="9" t="s">
        <v>1076</v>
      </c>
      <c r="G191" s="9" t="s">
        <v>225</v>
      </c>
      <c r="H191" s="9" t="s">
        <v>125</v>
      </c>
      <c r="I191" s="9" t="s">
        <v>114</v>
      </c>
      <c r="J191" s="9" t="s">
        <v>1116</v>
      </c>
      <c r="K191" s="9" t="s">
        <v>1117</v>
      </c>
      <c r="L191" s="9" t="s">
        <v>276</v>
      </c>
      <c r="M191" s="9" t="s">
        <v>276</v>
      </c>
      <c r="N191" s="9" t="s">
        <v>1096</v>
      </c>
      <c r="O191" s="9" t="s">
        <v>1078</v>
      </c>
      <c r="P191" s="9" t="s">
        <v>239</v>
      </c>
      <c r="Q191" s="52">
        <v>36525</v>
      </c>
      <c r="R191" s="9" t="s">
        <v>773</v>
      </c>
      <c r="S191" s="9" t="s">
        <v>276</v>
      </c>
      <c r="T191" s="9" t="s">
        <v>276</v>
      </c>
      <c r="U191" s="9">
        <v>4</v>
      </c>
      <c r="V191" s="9" t="s">
        <v>14</v>
      </c>
      <c r="W191" s="9" t="s">
        <v>98</v>
      </c>
      <c r="X191" s="9" t="s">
        <v>207</v>
      </c>
      <c r="Y191" s="38">
        <v>1494</v>
      </c>
      <c r="Z191" s="9">
        <v>7532</v>
      </c>
      <c r="AA191" s="9" t="s">
        <v>276</v>
      </c>
      <c r="AB191" s="9" t="s">
        <v>276</v>
      </c>
      <c r="AC191" s="9">
        <v>15</v>
      </c>
      <c r="AD191" s="9" t="s">
        <v>1118</v>
      </c>
      <c r="AE191" s="9">
        <v>100</v>
      </c>
      <c r="AF191" s="9" t="s">
        <v>1118</v>
      </c>
      <c r="AG191" s="9" t="s">
        <v>1119</v>
      </c>
      <c r="AH191" s="9" t="s">
        <v>1098</v>
      </c>
      <c r="AI191" s="38">
        <v>14</v>
      </c>
      <c r="AJ191" s="38">
        <v>63</v>
      </c>
      <c r="AK191" s="38">
        <v>1494</v>
      </c>
      <c r="AL191" s="38">
        <v>7532</v>
      </c>
      <c r="AM191" s="38" t="s">
        <v>292</v>
      </c>
      <c r="AN191" s="9" t="s">
        <v>276</v>
      </c>
      <c r="AO191" s="40">
        <f t="shared" si="75"/>
        <v>0.93708165997322623</v>
      </c>
      <c r="AP191" s="9" t="s">
        <v>276</v>
      </c>
      <c r="AQ191" s="9" t="s">
        <v>276</v>
      </c>
      <c r="AR191" s="9" t="s">
        <v>276</v>
      </c>
      <c r="AS191" s="40">
        <f t="shared" si="76"/>
        <v>0.83643122676579917</v>
      </c>
      <c r="AT191" s="9" t="s">
        <v>276</v>
      </c>
      <c r="AU191" s="9" t="s">
        <v>276</v>
      </c>
      <c r="AV191" s="9" t="s">
        <v>268</v>
      </c>
      <c r="AW191" s="40" t="s">
        <v>276</v>
      </c>
      <c r="AX191" s="40">
        <f t="shared" si="77"/>
        <v>1.1203331845902129</v>
      </c>
      <c r="AY191" s="9" t="s">
        <v>276</v>
      </c>
      <c r="AZ191" s="9" t="s">
        <v>276</v>
      </c>
      <c r="BA191" s="9" t="s">
        <v>276</v>
      </c>
      <c r="BB191" s="9" t="s">
        <v>276</v>
      </c>
      <c r="BC191" s="9" t="s">
        <v>276</v>
      </c>
      <c r="BD191" s="9" t="s">
        <v>276</v>
      </c>
      <c r="BE191" s="9" t="s">
        <v>276</v>
      </c>
      <c r="BF191" s="9" t="s">
        <v>298</v>
      </c>
      <c r="BG191" s="9" t="s">
        <v>276</v>
      </c>
      <c r="BH191" s="9" t="s">
        <v>100</v>
      </c>
      <c r="BI191" s="9" t="s">
        <v>100</v>
      </c>
    </row>
    <row r="192" spans="1:68" s="32" customFormat="1" ht="65" hidden="1" x14ac:dyDescent="0.35">
      <c r="A192" s="9">
        <v>3727</v>
      </c>
      <c r="B192" s="9" t="s">
        <v>1086</v>
      </c>
      <c r="C192" s="9" t="s">
        <v>91</v>
      </c>
      <c r="D192" s="55" t="s">
        <v>1120</v>
      </c>
      <c r="E192" s="9" t="s">
        <v>43</v>
      </c>
      <c r="F192" s="9" t="s">
        <v>1076</v>
      </c>
      <c r="G192" s="9" t="s">
        <v>225</v>
      </c>
      <c r="H192" s="9" t="s">
        <v>125</v>
      </c>
      <c r="I192" s="9" t="s">
        <v>114</v>
      </c>
      <c r="J192" s="9" t="s">
        <v>33</v>
      </c>
      <c r="K192" s="9" t="s">
        <v>1108</v>
      </c>
      <c r="L192" s="9" t="s">
        <v>276</v>
      </c>
      <c r="M192" s="9" t="s">
        <v>276</v>
      </c>
      <c r="N192" s="9" t="s">
        <v>1096</v>
      </c>
      <c r="O192" s="9" t="s">
        <v>1078</v>
      </c>
      <c r="P192" s="9" t="s">
        <v>235</v>
      </c>
      <c r="Q192" s="52">
        <v>36525</v>
      </c>
      <c r="R192" s="9" t="s">
        <v>773</v>
      </c>
      <c r="S192" s="9" t="s">
        <v>276</v>
      </c>
      <c r="T192" s="9" t="s">
        <v>276</v>
      </c>
      <c r="U192" s="9">
        <v>4</v>
      </c>
      <c r="V192" s="9" t="s">
        <v>14</v>
      </c>
      <c r="W192" s="9" t="s">
        <v>98</v>
      </c>
      <c r="X192" s="9" t="s">
        <v>207</v>
      </c>
      <c r="Y192" s="38" t="s">
        <v>98</v>
      </c>
      <c r="Z192" s="38" t="s">
        <v>98</v>
      </c>
      <c r="AA192" s="9" t="s">
        <v>276</v>
      </c>
      <c r="AB192" s="9" t="s">
        <v>276</v>
      </c>
      <c r="AC192" s="9">
        <v>0</v>
      </c>
      <c r="AD192" s="9" t="s">
        <v>1109</v>
      </c>
      <c r="AE192" s="9">
        <v>4</v>
      </c>
      <c r="AF192" s="9" t="s">
        <v>1109</v>
      </c>
      <c r="AG192" s="9" t="s">
        <v>1121</v>
      </c>
      <c r="AH192" s="9" t="s">
        <v>1106</v>
      </c>
      <c r="AI192" s="38">
        <v>11</v>
      </c>
      <c r="AJ192" s="38">
        <v>43</v>
      </c>
      <c r="AK192" s="38">
        <f>85-AC192</f>
        <v>85</v>
      </c>
      <c r="AL192" s="38">
        <v>292</v>
      </c>
      <c r="AM192" s="38" t="s">
        <v>292</v>
      </c>
      <c r="AN192" s="9">
        <v>12.9</v>
      </c>
      <c r="AO192" s="40">
        <f t="shared" si="75"/>
        <v>12.941176470588237</v>
      </c>
      <c r="AP192" s="9" t="s">
        <v>276</v>
      </c>
      <c r="AQ192" s="9" t="s">
        <v>276</v>
      </c>
      <c r="AR192" s="9" t="s">
        <v>1122</v>
      </c>
      <c r="AS192" s="40">
        <f t="shared" si="76"/>
        <v>14.726027397260275</v>
      </c>
      <c r="AT192" s="9" t="s">
        <v>276</v>
      </c>
      <c r="AU192" s="9" t="s">
        <v>276</v>
      </c>
      <c r="AV192" s="9" t="s">
        <v>268</v>
      </c>
      <c r="AW192" s="40" t="s">
        <v>276</v>
      </c>
      <c r="AX192" s="40">
        <f t="shared" si="77"/>
        <v>0.878796169630643</v>
      </c>
      <c r="AY192" s="9" t="s">
        <v>276</v>
      </c>
      <c r="AZ192" s="9" t="s">
        <v>276</v>
      </c>
      <c r="BA192" s="9" t="s">
        <v>276</v>
      </c>
      <c r="BB192" s="9" t="s">
        <v>276</v>
      </c>
      <c r="BC192" s="9" t="s">
        <v>276</v>
      </c>
      <c r="BD192" s="9" t="s">
        <v>276</v>
      </c>
      <c r="BE192" s="9" t="s">
        <v>276</v>
      </c>
      <c r="BF192" s="9" t="s">
        <v>298</v>
      </c>
      <c r="BG192" s="9" t="s">
        <v>1123</v>
      </c>
      <c r="BH192" s="9" t="s">
        <v>100</v>
      </c>
      <c r="BI192" s="9" t="s">
        <v>100</v>
      </c>
    </row>
    <row r="193" spans="1:68" s="32" customFormat="1" ht="65" hidden="1" x14ac:dyDescent="0.35">
      <c r="A193" s="9">
        <v>3727</v>
      </c>
      <c r="B193" s="9" t="s">
        <v>1086</v>
      </c>
      <c r="C193" s="9" t="s">
        <v>91</v>
      </c>
      <c r="D193" s="55" t="s">
        <v>1124</v>
      </c>
      <c r="E193" s="9" t="s">
        <v>43</v>
      </c>
      <c r="F193" s="9" t="s">
        <v>1076</v>
      </c>
      <c r="G193" s="9" t="s">
        <v>225</v>
      </c>
      <c r="H193" s="9" t="s">
        <v>125</v>
      </c>
      <c r="I193" s="9" t="s">
        <v>114</v>
      </c>
      <c r="J193" s="9" t="s">
        <v>117</v>
      </c>
      <c r="K193" s="9" t="s">
        <v>1112</v>
      </c>
      <c r="L193" s="9" t="s">
        <v>276</v>
      </c>
      <c r="M193" s="9" t="s">
        <v>276</v>
      </c>
      <c r="N193" s="9" t="s">
        <v>1096</v>
      </c>
      <c r="O193" s="9" t="s">
        <v>1078</v>
      </c>
      <c r="P193" s="9" t="s">
        <v>235</v>
      </c>
      <c r="Q193" s="52">
        <v>36525</v>
      </c>
      <c r="R193" s="9" t="s">
        <v>773</v>
      </c>
      <c r="S193" s="9" t="s">
        <v>276</v>
      </c>
      <c r="T193" s="9" t="s">
        <v>276</v>
      </c>
      <c r="U193" s="9">
        <v>4</v>
      </c>
      <c r="V193" s="9" t="s">
        <v>14</v>
      </c>
      <c r="W193" s="9" t="s">
        <v>98</v>
      </c>
      <c r="X193" s="9" t="s">
        <v>207</v>
      </c>
      <c r="Y193" s="38" t="s">
        <v>98</v>
      </c>
      <c r="Z193" s="38" t="s">
        <v>98</v>
      </c>
      <c r="AA193" s="9" t="s">
        <v>276</v>
      </c>
      <c r="AB193" s="9" t="s">
        <v>276</v>
      </c>
      <c r="AC193" s="9">
        <v>61</v>
      </c>
      <c r="AD193" s="9" t="s">
        <v>1113</v>
      </c>
      <c r="AE193" s="9">
        <v>237</v>
      </c>
      <c r="AF193" s="9" t="s">
        <v>1113</v>
      </c>
      <c r="AG193" s="9" t="s">
        <v>1114</v>
      </c>
      <c r="AH193" s="9" t="s">
        <v>1106</v>
      </c>
      <c r="AI193" s="38">
        <v>3</v>
      </c>
      <c r="AJ193" s="38">
        <v>13</v>
      </c>
      <c r="AK193" s="38">
        <v>85</v>
      </c>
      <c r="AL193" s="38">
        <v>292</v>
      </c>
      <c r="AM193" s="38" t="s">
        <v>292</v>
      </c>
      <c r="AN193" s="9" t="s">
        <v>1125</v>
      </c>
      <c r="AO193" s="40">
        <f t="shared" si="75"/>
        <v>3.5294117647058822</v>
      </c>
      <c r="AP193" s="9" t="s">
        <v>276</v>
      </c>
      <c r="AQ193" s="9" t="s">
        <v>276</v>
      </c>
      <c r="AR193" s="9" t="s">
        <v>1126</v>
      </c>
      <c r="AS193" s="40">
        <f t="shared" si="76"/>
        <v>4.4520547945205475</v>
      </c>
      <c r="AT193" s="9" t="s">
        <v>276</v>
      </c>
      <c r="AU193" s="9" t="s">
        <v>276</v>
      </c>
      <c r="AV193" s="9" t="s">
        <v>268</v>
      </c>
      <c r="AW193" s="40" t="s">
        <v>276</v>
      </c>
      <c r="AX193" s="40">
        <f t="shared" si="77"/>
        <v>0.79276018099547518</v>
      </c>
      <c r="AY193" s="9" t="s">
        <v>276</v>
      </c>
      <c r="AZ193" s="9" t="s">
        <v>276</v>
      </c>
      <c r="BA193" s="9" t="s">
        <v>276</v>
      </c>
      <c r="BB193" s="9" t="s">
        <v>276</v>
      </c>
      <c r="BC193" s="9" t="s">
        <v>276</v>
      </c>
      <c r="BD193" s="9" t="s">
        <v>276</v>
      </c>
      <c r="BE193" s="9" t="s">
        <v>276</v>
      </c>
      <c r="BF193" s="9" t="s">
        <v>298</v>
      </c>
      <c r="BG193" s="9" t="s">
        <v>1123</v>
      </c>
      <c r="BH193" s="9" t="s">
        <v>100</v>
      </c>
      <c r="BI193" s="9" t="s">
        <v>100</v>
      </c>
    </row>
    <row r="194" spans="1:68" s="32" customFormat="1" ht="65" hidden="1" x14ac:dyDescent="0.35">
      <c r="A194" s="9">
        <v>3727</v>
      </c>
      <c r="B194" s="9" t="s">
        <v>1086</v>
      </c>
      <c r="C194" s="9" t="s">
        <v>91</v>
      </c>
      <c r="D194" s="55" t="s">
        <v>1127</v>
      </c>
      <c r="E194" s="9" t="s">
        <v>43</v>
      </c>
      <c r="F194" s="9" t="s">
        <v>1076</v>
      </c>
      <c r="G194" s="9" t="s">
        <v>225</v>
      </c>
      <c r="H194" s="9" t="s">
        <v>125</v>
      </c>
      <c r="I194" s="9" t="s">
        <v>114</v>
      </c>
      <c r="J194" s="9" t="s">
        <v>1116</v>
      </c>
      <c r="K194" s="9" t="s">
        <v>1117</v>
      </c>
      <c r="L194" s="9" t="s">
        <v>276</v>
      </c>
      <c r="M194" s="9" t="s">
        <v>276</v>
      </c>
      <c r="N194" s="9" t="s">
        <v>1096</v>
      </c>
      <c r="O194" s="9" t="s">
        <v>1078</v>
      </c>
      <c r="P194" s="9" t="s">
        <v>235</v>
      </c>
      <c r="Q194" s="52">
        <v>36525</v>
      </c>
      <c r="R194" s="9" t="s">
        <v>773</v>
      </c>
      <c r="S194" s="9" t="s">
        <v>276</v>
      </c>
      <c r="T194" s="9" t="s">
        <v>276</v>
      </c>
      <c r="U194" s="9">
        <v>4</v>
      </c>
      <c r="V194" s="9" t="s">
        <v>14</v>
      </c>
      <c r="W194" s="9" t="s">
        <v>98</v>
      </c>
      <c r="X194" s="9" t="s">
        <v>207</v>
      </c>
      <c r="Y194" s="38" t="s">
        <v>98</v>
      </c>
      <c r="Z194" s="38" t="s">
        <v>98</v>
      </c>
      <c r="AA194" s="9" t="s">
        <v>276</v>
      </c>
      <c r="AB194" s="9" t="s">
        <v>276</v>
      </c>
      <c r="AC194" s="9">
        <v>15</v>
      </c>
      <c r="AD194" s="9" t="s">
        <v>1118</v>
      </c>
      <c r="AE194" s="9">
        <v>100</v>
      </c>
      <c r="AF194" s="9" t="s">
        <v>1118</v>
      </c>
      <c r="AG194" s="9" t="s">
        <v>1128</v>
      </c>
      <c r="AH194" s="9" t="s">
        <v>1106</v>
      </c>
      <c r="AI194" s="38">
        <v>14</v>
      </c>
      <c r="AJ194" s="38">
        <v>63</v>
      </c>
      <c r="AK194" s="38">
        <v>85</v>
      </c>
      <c r="AL194" s="38">
        <v>292</v>
      </c>
      <c r="AM194" s="38" t="s">
        <v>292</v>
      </c>
      <c r="AN194" s="9" t="s">
        <v>1129</v>
      </c>
      <c r="AO194" s="40">
        <f t="shared" si="75"/>
        <v>16.470588235294116</v>
      </c>
      <c r="AP194" s="9" t="s">
        <v>276</v>
      </c>
      <c r="AQ194" s="9" t="s">
        <v>276</v>
      </c>
      <c r="AR194" s="9" t="s">
        <v>1130</v>
      </c>
      <c r="AS194" s="40">
        <f t="shared" si="76"/>
        <v>21.575342465753426</v>
      </c>
      <c r="AT194" s="9" t="s">
        <v>276</v>
      </c>
      <c r="AU194" s="9" t="s">
        <v>276</v>
      </c>
      <c r="AV194" s="9" t="s">
        <v>268</v>
      </c>
      <c r="AW194" s="40" t="s">
        <v>276</v>
      </c>
      <c r="AX194" s="40">
        <f t="shared" si="77"/>
        <v>0.76339869281045736</v>
      </c>
      <c r="AY194" s="9" t="s">
        <v>276</v>
      </c>
      <c r="AZ194" s="9" t="s">
        <v>276</v>
      </c>
      <c r="BA194" s="9" t="s">
        <v>276</v>
      </c>
      <c r="BB194" s="9" t="s">
        <v>276</v>
      </c>
      <c r="BC194" s="9" t="s">
        <v>276</v>
      </c>
      <c r="BD194" s="9" t="s">
        <v>276</v>
      </c>
      <c r="BE194" s="9" t="s">
        <v>276</v>
      </c>
      <c r="BF194" s="9" t="s">
        <v>298</v>
      </c>
      <c r="BG194" s="9" t="s">
        <v>1123</v>
      </c>
      <c r="BH194" s="9" t="s">
        <v>100</v>
      </c>
      <c r="BI194" s="9" t="s">
        <v>100</v>
      </c>
    </row>
    <row r="195" spans="1:68" s="33" customFormat="1" ht="52" hidden="1" x14ac:dyDescent="0.35">
      <c r="A195" s="8">
        <v>3727</v>
      </c>
      <c r="B195" s="8" t="s">
        <v>1086</v>
      </c>
      <c r="C195" s="8" t="s">
        <v>91</v>
      </c>
      <c r="D195" s="9" t="s">
        <v>1131</v>
      </c>
      <c r="E195" s="8" t="s">
        <v>43</v>
      </c>
      <c r="F195" s="9" t="s">
        <v>1076</v>
      </c>
      <c r="G195" s="8" t="s">
        <v>225</v>
      </c>
      <c r="H195" s="8" t="s">
        <v>125</v>
      </c>
      <c r="I195" s="8" t="s">
        <v>114</v>
      </c>
      <c r="J195" s="9" t="s">
        <v>27</v>
      </c>
      <c r="K195" s="9" t="s">
        <v>1132</v>
      </c>
      <c r="L195" s="9" t="s">
        <v>276</v>
      </c>
      <c r="M195" s="9" t="s">
        <v>276</v>
      </c>
      <c r="N195" s="8" t="s">
        <v>1096</v>
      </c>
      <c r="O195" s="9" t="s">
        <v>276</v>
      </c>
      <c r="P195" s="9" t="s">
        <v>239</v>
      </c>
      <c r="Q195" s="52">
        <v>36525</v>
      </c>
      <c r="R195" s="9" t="s">
        <v>773</v>
      </c>
      <c r="S195" s="9" t="s">
        <v>276</v>
      </c>
      <c r="T195" s="9" t="s">
        <v>276</v>
      </c>
      <c r="U195" s="9">
        <v>4</v>
      </c>
      <c r="V195" s="8" t="s">
        <v>14</v>
      </c>
      <c r="W195" s="8" t="s">
        <v>98</v>
      </c>
      <c r="X195" s="9" t="s">
        <v>207</v>
      </c>
      <c r="Y195" s="13">
        <v>1494</v>
      </c>
      <c r="Z195" s="38">
        <v>7532</v>
      </c>
      <c r="AA195" s="9" t="s">
        <v>276</v>
      </c>
      <c r="AB195" s="9" t="s">
        <v>276</v>
      </c>
      <c r="AC195" s="8">
        <v>0</v>
      </c>
      <c r="AD195" s="9" t="s">
        <v>1133</v>
      </c>
      <c r="AE195" s="8">
        <v>6</v>
      </c>
      <c r="AF195" s="9" t="s">
        <v>1133</v>
      </c>
      <c r="AG195" s="9" t="s">
        <v>1134</v>
      </c>
      <c r="AH195" s="9" t="s">
        <v>689</v>
      </c>
      <c r="AI195" s="38">
        <v>43</v>
      </c>
      <c r="AJ195" s="38">
        <v>94</v>
      </c>
      <c r="AK195" s="38">
        <v>1494</v>
      </c>
      <c r="AL195" s="38">
        <v>7532</v>
      </c>
      <c r="AM195" s="38" t="s">
        <v>292</v>
      </c>
      <c r="AN195" s="8" t="s">
        <v>276</v>
      </c>
      <c r="AO195" s="14">
        <f>AI195*100/AK195</f>
        <v>2.8781793842034804</v>
      </c>
      <c r="AP195" s="8" t="s">
        <v>276</v>
      </c>
      <c r="AQ195" s="8" t="s">
        <v>276</v>
      </c>
      <c r="AR195" s="8" t="s">
        <v>276</v>
      </c>
      <c r="AS195" s="14">
        <f t="shared" ref="AS195:AS198" si="78">AJ195*100/AL195</f>
        <v>1.248008497079129</v>
      </c>
      <c r="AT195" s="8" t="s">
        <v>276</v>
      </c>
      <c r="AU195" s="8" t="s">
        <v>276</v>
      </c>
      <c r="AV195" s="9" t="s">
        <v>268</v>
      </c>
      <c r="AW195" s="40" t="s">
        <v>276</v>
      </c>
      <c r="AX195" s="40">
        <f t="shared" si="77"/>
        <v>2.3062177789170866</v>
      </c>
      <c r="AY195" s="9" t="s">
        <v>276</v>
      </c>
      <c r="AZ195" s="9" t="s">
        <v>276</v>
      </c>
      <c r="BA195" s="9" t="s">
        <v>276</v>
      </c>
      <c r="BB195" s="9" t="s">
        <v>282</v>
      </c>
      <c r="BC195" s="9" t="s">
        <v>276</v>
      </c>
      <c r="BD195" s="9" t="s">
        <v>276</v>
      </c>
      <c r="BE195" s="9" t="s">
        <v>276</v>
      </c>
      <c r="BF195" s="9" t="s">
        <v>298</v>
      </c>
      <c r="BG195" s="9" t="s">
        <v>276</v>
      </c>
      <c r="BH195" s="9" t="s">
        <v>100</v>
      </c>
      <c r="BI195" s="9" t="s">
        <v>100</v>
      </c>
      <c r="BJ195" s="32"/>
      <c r="BK195" s="32"/>
      <c r="BO195" s="32"/>
      <c r="BP195" s="32"/>
    </row>
    <row r="196" spans="1:68" s="33" customFormat="1" ht="52" hidden="1" x14ac:dyDescent="0.35">
      <c r="A196" s="8">
        <v>3727</v>
      </c>
      <c r="B196" s="8" t="s">
        <v>1086</v>
      </c>
      <c r="C196" s="8" t="s">
        <v>91</v>
      </c>
      <c r="D196" s="9" t="s">
        <v>1135</v>
      </c>
      <c r="E196" s="8" t="s">
        <v>43</v>
      </c>
      <c r="F196" s="9" t="s">
        <v>1076</v>
      </c>
      <c r="G196" s="8" t="s">
        <v>225</v>
      </c>
      <c r="H196" s="8" t="s">
        <v>125</v>
      </c>
      <c r="I196" s="8" t="s">
        <v>114</v>
      </c>
      <c r="J196" s="9" t="s">
        <v>27</v>
      </c>
      <c r="K196" s="9" t="s">
        <v>1136</v>
      </c>
      <c r="L196" s="9" t="s">
        <v>276</v>
      </c>
      <c r="M196" s="9" t="s">
        <v>276</v>
      </c>
      <c r="N196" s="8" t="s">
        <v>1096</v>
      </c>
      <c r="O196" s="9" t="s">
        <v>276</v>
      </c>
      <c r="P196" s="9" t="s">
        <v>239</v>
      </c>
      <c r="Q196" s="52">
        <v>36525</v>
      </c>
      <c r="R196" s="9" t="s">
        <v>773</v>
      </c>
      <c r="S196" s="9" t="s">
        <v>276</v>
      </c>
      <c r="T196" s="9" t="s">
        <v>276</v>
      </c>
      <c r="U196" s="9">
        <v>4</v>
      </c>
      <c r="V196" s="8" t="s">
        <v>14</v>
      </c>
      <c r="W196" s="8" t="s">
        <v>98</v>
      </c>
      <c r="X196" s="9" t="s">
        <v>207</v>
      </c>
      <c r="Y196" s="13">
        <v>1494</v>
      </c>
      <c r="Z196" s="38">
        <v>7532</v>
      </c>
      <c r="AA196" s="9" t="s">
        <v>276</v>
      </c>
      <c r="AB196" s="9" t="s">
        <v>276</v>
      </c>
      <c r="AC196" s="8">
        <v>0</v>
      </c>
      <c r="AD196" s="9" t="s">
        <v>1133</v>
      </c>
      <c r="AE196" s="8">
        <v>6</v>
      </c>
      <c r="AF196" s="9" t="s">
        <v>1133</v>
      </c>
      <c r="AG196" s="9" t="s">
        <v>1137</v>
      </c>
      <c r="AH196" s="9" t="s">
        <v>689</v>
      </c>
      <c r="AI196" s="38">
        <v>31</v>
      </c>
      <c r="AJ196" s="38">
        <v>149</v>
      </c>
      <c r="AK196" s="38">
        <v>1494</v>
      </c>
      <c r="AL196" s="38">
        <v>7532</v>
      </c>
      <c r="AM196" s="38" t="s">
        <v>292</v>
      </c>
      <c r="AN196" s="8" t="s">
        <v>276</v>
      </c>
      <c r="AO196" s="14">
        <f>AI196*100/AK196</f>
        <v>2.0749665327978581</v>
      </c>
      <c r="AP196" s="8" t="s">
        <v>276</v>
      </c>
      <c r="AQ196" s="8" t="s">
        <v>276</v>
      </c>
      <c r="AR196" s="8" t="s">
        <v>276</v>
      </c>
      <c r="AS196" s="14">
        <f t="shared" si="78"/>
        <v>1.9782262347318109</v>
      </c>
      <c r="AT196" s="8" t="s">
        <v>276</v>
      </c>
      <c r="AU196" s="8" t="s">
        <v>276</v>
      </c>
      <c r="AV196" s="9" t="s">
        <v>268</v>
      </c>
      <c r="AW196" s="40" t="s">
        <v>276</v>
      </c>
      <c r="AX196" s="40">
        <f t="shared" si="77"/>
        <v>1.0489025453042595</v>
      </c>
      <c r="AY196" s="9" t="s">
        <v>276</v>
      </c>
      <c r="AZ196" s="9" t="s">
        <v>276</v>
      </c>
      <c r="BA196" s="9" t="s">
        <v>276</v>
      </c>
      <c r="BB196" s="9" t="s">
        <v>282</v>
      </c>
      <c r="BC196" s="9" t="s">
        <v>276</v>
      </c>
      <c r="BD196" s="9" t="s">
        <v>276</v>
      </c>
      <c r="BE196" s="9" t="s">
        <v>276</v>
      </c>
      <c r="BF196" s="9" t="s">
        <v>298</v>
      </c>
      <c r="BG196" s="9" t="s">
        <v>276</v>
      </c>
      <c r="BH196" s="9" t="s">
        <v>100</v>
      </c>
      <c r="BI196" s="9" t="s">
        <v>100</v>
      </c>
      <c r="BJ196" s="32"/>
      <c r="BK196" s="32"/>
      <c r="BO196" s="32"/>
      <c r="BP196" s="32"/>
    </row>
    <row r="197" spans="1:68" s="33" customFormat="1" ht="52" hidden="1" x14ac:dyDescent="0.35">
      <c r="A197" s="8">
        <v>3727</v>
      </c>
      <c r="B197" s="8" t="s">
        <v>1086</v>
      </c>
      <c r="C197" s="8" t="s">
        <v>91</v>
      </c>
      <c r="D197" s="9" t="s">
        <v>1138</v>
      </c>
      <c r="E197" s="8" t="s">
        <v>43</v>
      </c>
      <c r="F197" s="9" t="s">
        <v>1076</v>
      </c>
      <c r="G197" s="8" t="s">
        <v>225</v>
      </c>
      <c r="H197" s="8" t="s">
        <v>125</v>
      </c>
      <c r="I197" s="8" t="s">
        <v>114</v>
      </c>
      <c r="J197" s="9" t="s">
        <v>27</v>
      </c>
      <c r="K197" s="9" t="s">
        <v>1139</v>
      </c>
      <c r="L197" s="9" t="s">
        <v>276</v>
      </c>
      <c r="M197" s="9" t="s">
        <v>276</v>
      </c>
      <c r="N197" s="8" t="s">
        <v>1096</v>
      </c>
      <c r="O197" s="9" t="s">
        <v>276</v>
      </c>
      <c r="P197" s="9" t="s">
        <v>239</v>
      </c>
      <c r="Q197" s="52">
        <v>36525</v>
      </c>
      <c r="R197" s="9" t="s">
        <v>773</v>
      </c>
      <c r="S197" s="9" t="s">
        <v>276</v>
      </c>
      <c r="T197" s="9" t="s">
        <v>276</v>
      </c>
      <c r="U197" s="9">
        <v>4</v>
      </c>
      <c r="V197" s="8" t="s">
        <v>14</v>
      </c>
      <c r="W197" s="8" t="s">
        <v>98</v>
      </c>
      <c r="X197" s="9" t="s">
        <v>207</v>
      </c>
      <c r="Y197" s="13">
        <v>1494</v>
      </c>
      <c r="Z197" s="38">
        <v>7532</v>
      </c>
      <c r="AA197" s="9" t="s">
        <v>276</v>
      </c>
      <c r="AB197" s="9" t="s">
        <v>276</v>
      </c>
      <c r="AC197" s="8">
        <v>0</v>
      </c>
      <c r="AD197" s="9" t="s">
        <v>1133</v>
      </c>
      <c r="AE197" s="8">
        <v>6</v>
      </c>
      <c r="AF197" s="9" t="s">
        <v>1133</v>
      </c>
      <c r="AG197" s="9" t="s">
        <v>1140</v>
      </c>
      <c r="AH197" s="9" t="s">
        <v>689</v>
      </c>
      <c r="AI197" s="38">
        <v>11</v>
      </c>
      <c r="AJ197" s="38">
        <v>43</v>
      </c>
      <c r="AK197" s="38">
        <v>1494</v>
      </c>
      <c r="AL197" s="38">
        <v>7532</v>
      </c>
      <c r="AM197" s="38" t="s">
        <v>292</v>
      </c>
      <c r="AN197" s="8" t="s">
        <v>276</v>
      </c>
      <c r="AO197" s="14">
        <f>AI197*100/AK197</f>
        <v>0.73627844712182067</v>
      </c>
      <c r="AP197" s="8" t="s">
        <v>276</v>
      </c>
      <c r="AQ197" s="8" t="s">
        <v>276</v>
      </c>
      <c r="AR197" s="8" t="s">
        <v>276</v>
      </c>
      <c r="AS197" s="14">
        <f t="shared" si="78"/>
        <v>0.57089750398300587</v>
      </c>
      <c r="AT197" s="8" t="s">
        <v>276</v>
      </c>
      <c r="AU197" s="8" t="s">
        <v>276</v>
      </c>
      <c r="AV197" s="9" t="s">
        <v>268</v>
      </c>
      <c r="AW197" s="40" t="s">
        <v>276</v>
      </c>
      <c r="AX197" s="40">
        <f t="shared" si="77"/>
        <v>1.2896858752840821</v>
      </c>
      <c r="AY197" s="9" t="s">
        <v>276</v>
      </c>
      <c r="AZ197" s="9" t="s">
        <v>276</v>
      </c>
      <c r="BA197" s="9" t="s">
        <v>276</v>
      </c>
      <c r="BB197" s="9" t="s">
        <v>282</v>
      </c>
      <c r="BC197" s="9" t="s">
        <v>276</v>
      </c>
      <c r="BD197" s="9" t="s">
        <v>276</v>
      </c>
      <c r="BE197" s="9" t="s">
        <v>276</v>
      </c>
      <c r="BF197" s="9" t="s">
        <v>298</v>
      </c>
      <c r="BG197" s="9" t="s">
        <v>276</v>
      </c>
      <c r="BH197" s="9" t="s">
        <v>100</v>
      </c>
      <c r="BI197" s="9" t="s">
        <v>100</v>
      </c>
      <c r="BJ197" s="32"/>
      <c r="BK197" s="32"/>
      <c r="BO197" s="32"/>
      <c r="BP197" s="32"/>
    </row>
    <row r="198" spans="1:68" s="33" customFormat="1" ht="52" hidden="1" x14ac:dyDescent="0.35">
      <c r="A198" s="8">
        <v>3727</v>
      </c>
      <c r="B198" s="8" t="s">
        <v>1086</v>
      </c>
      <c r="C198" s="8" t="s">
        <v>91</v>
      </c>
      <c r="D198" s="9" t="s">
        <v>1141</v>
      </c>
      <c r="E198" s="8" t="s">
        <v>43</v>
      </c>
      <c r="F198" s="9" t="s">
        <v>1076</v>
      </c>
      <c r="G198" s="8" t="s">
        <v>225</v>
      </c>
      <c r="H198" s="8" t="s">
        <v>125</v>
      </c>
      <c r="I198" s="8" t="s">
        <v>114</v>
      </c>
      <c r="J198" s="9" t="s">
        <v>27</v>
      </c>
      <c r="K198" s="9" t="s">
        <v>1139</v>
      </c>
      <c r="L198" s="9" t="s">
        <v>276</v>
      </c>
      <c r="M198" s="9" t="s">
        <v>276</v>
      </c>
      <c r="N198" s="8" t="s">
        <v>1096</v>
      </c>
      <c r="O198" s="9" t="s">
        <v>276</v>
      </c>
      <c r="P198" s="9" t="s">
        <v>235</v>
      </c>
      <c r="Q198" s="52">
        <v>36525</v>
      </c>
      <c r="R198" s="9" t="s">
        <v>773</v>
      </c>
      <c r="S198" s="9" t="s">
        <v>276</v>
      </c>
      <c r="T198" s="9" t="s">
        <v>276</v>
      </c>
      <c r="U198" s="9">
        <v>4</v>
      </c>
      <c r="V198" s="8" t="s">
        <v>14</v>
      </c>
      <c r="W198" s="8" t="s">
        <v>98</v>
      </c>
      <c r="X198" s="9" t="s">
        <v>207</v>
      </c>
      <c r="Y198" s="38" t="s">
        <v>98</v>
      </c>
      <c r="Z198" s="38" t="s">
        <v>98</v>
      </c>
      <c r="AA198" s="9" t="s">
        <v>276</v>
      </c>
      <c r="AB198" s="9" t="s">
        <v>276</v>
      </c>
      <c r="AC198" s="8">
        <v>0</v>
      </c>
      <c r="AD198" s="9" t="s">
        <v>1133</v>
      </c>
      <c r="AE198" s="8">
        <v>6</v>
      </c>
      <c r="AF198" s="9" t="s">
        <v>1133</v>
      </c>
      <c r="AG198" s="9" t="s">
        <v>1140</v>
      </c>
      <c r="AH198" s="9" t="s">
        <v>1106</v>
      </c>
      <c r="AI198" s="38">
        <v>11</v>
      </c>
      <c r="AJ198" s="38">
        <v>43</v>
      </c>
      <c r="AK198" s="38">
        <v>85</v>
      </c>
      <c r="AL198" s="38">
        <v>292</v>
      </c>
      <c r="AM198" s="38" t="s">
        <v>292</v>
      </c>
      <c r="AN198" s="8">
        <v>12.9</v>
      </c>
      <c r="AO198" s="14">
        <f>AI198*100/AK198</f>
        <v>12.941176470588236</v>
      </c>
      <c r="AP198" s="8" t="s">
        <v>276</v>
      </c>
      <c r="AQ198" s="8" t="s">
        <v>276</v>
      </c>
      <c r="AR198" s="8">
        <v>14.7</v>
      </c>
      <c r="AS198" s="14">
        <f t="shared" si="78"/>
        <v>14.726027397260275</v>
      </c>
      <c r="AT198" s="8" t="s">
        <v>276</v>
      </c>
      <c r="AU198" s="8" t="s">
        <v>276</v>
      </c>
      <c r="AV198" s="9" t="s">
        <v>268</v>
      </c>
      <c r="AW198" s="40" t="s">
        <v>276</v>
      </c>
      <c r="AX198" s="40">
        <f t="shared" si="77"/>
        <v>0.87879616963064289</v>
      </c>
      <c r="AY198" s="9" t="s">
        <v>276</v>
      </c>
      <c r="AZ198" s="9" t="s">
        <v>276</v>
      </c>
      <c r="BA198" s="9" t="s">
        <v>276</v>
      </c>
      <c r="BB198" s="9" t="s">
        <v>282</v>
      </c>
      <c r="BC198" s="9" t="s">
        <v>276</v>
      </c>
      <c r="BD198" s="9" t="s">
        <v>276</v>
      </c>
      <c r="BE198" s="9" t="s">
        <v>276</v>
      </c>
      <c r="BF198" s="9" t="s">
        <v>298</v>
      </c>
      <c r="BG198" s="9" t="s">
        <v>276</v>
      </c>
      <c r="BH198" s="9" t="s">
        <v>100</v>
      </c>
      <c r="BI198" s="9" t="s">
        <v>100</v>
      </c>
      <c r="BJ198" s="32"/>
      <c r="BK198" s="32"/>
      <c r="BO198" s="32"/>
      <c r="BP198" s="32"/>
    </row>
    <row r="199" spans="1:68" s="33" customFormat="1" ht="78" x14ac:dyDescent="0.35">
      <c r="A199" s="8">
        <v>3727</v>
      </c>
      <c r="B199" s="8" t="s">
        <v>1086</v>
      </c>
      <c r="C199" s="8" t="s">
        <v>91</v>
      </c>
      <c r="D199" s="9" t="s">
        <v>1142</v>
      </c>
      <c r="E199" s="8" t="s">
        <v>43</v>
      </c>
      <c r="F199" s="9" t="s">
        <v>1076</v>
      </c>
      <c r="G199" s="8" t="s">
        <v>225</v>
      </c>
      <c r="H199" s="8" t="s">
        <v>125</v>
      </c>
      <c r="I199" s="8" t="s">
        <v>114</v>
      </c>
      <c r="J199" s="9" t="s">
        <v>98</v>
      </c>
      <c r="K199" s="8" t="s">
        <v>98</v>
      </c>
      <c r="L199" s="8" t="s">
        <v>98</v>
      </c>
      <c r="M199" s="8" t="s">
        <v>98</v>
      </c>
      <c r="N199" s="9" t="s">
        <v>1143</v>
      </c>
      <c r="O199" s="9" t="s">
        <v>276</v>
      </c>
      <c r="P199" s="9" t="s">
        <v>236</v>
      </c>
      <c r="Q199" s="52">
        <v>36525</v>
      </c>
      <c r="R199" s="9" t="s">
        <v>773</v>
      </c>
      <c r="S199" s="9" t="s">
        <v>276</v>
      </c>
      <c r="T199" s="9" t="s">
        <v>276</v>
      </c>
      <c r="U199" s="9">
        <v>4</v>
      </c>
      <c r="V199" s="8" t="s">
        <v>14</v>
      </c>
      <c r="W199" s="8" t="s">
        <v>98</v>
      </c>
      <c r="X199" s="9" t="s">
        <v>209</v>
      </c>
      <c r="Y199" s="9" t="s">
        <v>98</v>
      </c>
      <c r="Z199" s="9" t="s">
        <v>98</v>
      </c>
      <c r="AA199" s="9" t="s">
        <v>276</v>
      </c>
      <c r="AB199" s="9" t="s">
        <v>98</v>
      </c>
      <c r="AC199" s="8">
        <v>0</v>
      </c>
      <c r="AD199" s="8" t="s">
        <v>98</v>
      </c>
      <c r="AE199" s="8" t="s">
        <v>98</v>
      </c>
      <c r="AF199" s="8" t="s">
        <v>98</v>
      </c>
      <c r="AG199" s="9" t="s">
        <v>1144</v>
      </c>
      <c r="AH199" s="9" t="s">
        <v>1145</v>
      </c>
      <c r="AI199" s="38">
        <v>43</v>
      </c>
      <c r="AJ199" s="38" t="s">
        <v>98</v>
      </c>
      <c r="AK199" s="38">
        <v>85</v>
      </c>
      <c r="AL199" s="38" t="s">
        <v>98</v>
      </c>
      <c r="AM199" s="38" t="s">
        <v>1146</v>
      </c>
      <c r="AN199" s="8" t="s">
        <v>276</v>
      </c>
      <c r="AO199" s="14">
        <f t="shared" ref="AO199:AO205" si="79">AI199*100/AK199</f>
        <v>50.588235294117645</v>
      </c>
      <c r="AP199" s="8" t="s">
        <v>276</v>
      </c>
      <c r="AQ199" s="8" t="s">
        <v>276</v>
      </c>
      <c r="AR199" s="8" t="s">
        <v>98</v>
      </c>
      <c r="AS199" s="8" t="s">
        <v>98</v>
      </c>
      <c r="AT199" s="8" t="s">
        <v>98</v>
      </c>
      <c r="AU199" s="8" t="s">
        <v>98</v>
      </c>
      <c r="AV199" s="8" t="s">
        <v>98</v>
      </c>
      <c r="AW199" s="8" t="s">
        <v>98</v>
      </c>
      <c r="AX199" s="8" t="s">
        <v>98</v>
      </c>
      <c r="AY199" s="8" t="s">
        <v>98</v>
      </c>
      <c r="AZ199" s="8" t="s">
        <v>98</v>
      </c>
      <c r="BA199" s="8" t="s">
        <v>98</v>
      </c>
      <c r="BB199" s="8" t="s">
        <v>98</v>
      </c>
      <c r="BC199" s="8" t="s">
        <v>98</v>
      </c>
      <c r="BD199" s="8" t="s">
        <v>98</v>
      </c>
      <c r="BE199" s="8" t="s">
        <v>98</v>
      </c>
      <c r="BF199" s="9" t="s">
        <v>1147</v>
      </c>
      <c r="BG199" s="9" t="s">
        <v>276</v>
      </c>
      <c r="BH199" s="9" t="s">
        <v>99</v>
      </c>
      <c r="BI199" s="9" t="s">
        <v>99</v>
      </c>
      <c r="BJ199" s="32"/>
      <c r="BK199" s="32"/>
      <c r="BO199" s="32"/>
      <c r="BP199" s="32"/>
    </row>
    <row r="200" spans="1:68" s="33" customFormat="1" ht="65" hidden="1" x14ac:dyDescent="0.35">
      <c r="A200" s="8">
        <v>3727</v>
      </c>
      <c r="B200" s="8" t="s">
        <v>1086</v>
      </c>
      <c r="C200" s="8" t="s">
        <v>91</v>
      </c>
      <c r="D200" s="9" t="s">
        <v>1148</v>
      </c>
      <c r="E200" s="8" t="s">
        <v>43</v>
      </c>
      <c r="F200" s="9" t="s">
        <v>1076</v>
      </c>
      <c r="G200" s="8" t="s">
        <v>225</v>
      </c>
      <c r="H200" s="8" t="s">
        <v>125</v>
      </c>
      <c r="I200" s="8" t="s">
        <v>114</v>
      </c>
      <c r="J200" s="9" t="s">
        <v>27</v>
      </c>
      <c r="K200" s="9" t="s">
        <v>1139</v>
      </c>
      <c r="L200" s="8" t="s">
        <v>98</v>
      </c>
      <c r="M200" s="8" t="s">
        <v>98</v>
      </c>
      <c r="N200" s="9" t="s">
        <v>1143</v>
      </c>
      <c r="O200" s="9" t="s">
        <v>276</v>
      </c>
      <c r="P200" s="9" t="s">
        <v>237</v>
      </c>
      <c r="Q200" s="52">
        <v>36525</v>
      </c>
      <c r="R200" s="9" t="s">
        <v>773</v>
      </c>
      <c r="S200" s="9" t="s">
        <v>276</v>
      </c>
      <c r="T200" s="9" t="s">
        <v>276</v>
      </c>
      <c r="U200" s="9">
        <v>4</v>
      </c>
      <c r="V200" s="8" t="s">
        <v>14</v>
      </c>
      <c r="W200" s="8" t="s">
        <v>98</v>
      </c>
      <c r="X200" s="9" t="s">
        <v>209</v>
      </c>
      <c r="Y200" s="9" t="s">
        <v>98</v>
      </c>
      <c r="Z200" s="9" t="s">
        <v>98</v>
      </c>
      <c r="AA200" s="9" t="s">
        <v>276</v>
      </c>
      <c r="AB200" s="9" t="s">
        <v>98</v>
      </c>
      <c r="AC200" s="8">
        <v>0</v>
      </c>
      <c r="AD200" s="8" t="s">
        <v>98</v>
      </c>
      <c r="AE200" s="8" t="s">
        <v>98</v>
      </c>
      <c r="AF200" s="8" t="s">
        <v>98</v>
      </c>
      <c r="AG200" s="9" t="s">
        <v>1149</v>
      </c>
      <c r="AH200" s="9" t="s">
        <v>1150</v>
      </c>
      <c r="AI200" s="38">
        <v>0</v>
      </c>
      <c r="AJ200" s="38" t="s">
        <v>98</v>
      </c>
      <c r="AK200" s="38">
        <v>11</v>
      </c>
      <c r="AL200" s="38" t="s">
        <v>98</v>
      </c>
      <c r="AM200" s="38" t="s">
        <v>1151</v>
      </c>
      <c r="AN200" s="8" t="s">
        <v>276</v>
      </c>
      <c r="AO200" s="14">
        <f t="shared" si="79"/>
        <v>0</v>
      </c>
      <c r="AP200" s="8" t="s">
        <v>276</v>
      </c>
      <c r="AQ200" s="8" t="s">
        <v>276</v>
      </c>
      <c r="AR200" s="8" t="s">
        <v>98</v>
      </c>
      <c r="AS200" s="8" t="s">
        <v>98</v>
      </c>
      <c r="AT200" s="8" t="s">
        <v>98</v>
      </c>
      <c r="AU200" s="8" t="s">
        <v>98</v>
      </c>
      <c r="AV200" s="8" t="s">
        <v>98</v>
      </c>
      <c r="AW200" s="8" t="s">
        <v>98</v>
      </c>
      <c r="AX200" s="8" t="s">
        <v>98</v>
      </c>
      <c r="AY200" s="8" t="s">
        <v>98</v>
      </c>
      <c r="AZ200" s="8" t="s">
        <v>98</v>
      </c>
      <c r="BA200" s="8" t="s">
        <v>98</v>
      </c>
      <c r="BB200" s="8" t="s">
        <v>98</v>
      </c>
      <c r="BC200" s="8" t="s">
        <v>98</v>
      </c>
      <c r="BD200" s="8" t="s">
        <v>98</v>
      </c>
      <c r="BE200" s="8" t="s">
        <v>98</v>
      </c>
      <c r="BF200" s="9" t="s">
        <v>298</v>
      </c>
      <c r="BG200" s="9" t="s">
        <v>1152</v>
      </c>
      <c r="BH200" s="9" t="s">
        <v>100</v>
      </c>
      <c r="BI200" s="9" t="s">
        <v>100</v>
      </c>
      <c r="BJ200" s="32"/>
      <c r="BK200" s="32"/>
      <c r="BO200" s="32"/>
      <c r="BP200" s="32"/>
    </row>
    <row r="201" spans="1:68" s="33" customFormat="1" ht="65" hidden="1" x14ac:dyDescent="0.35">
      <c r="A201" s="8">
        <v>3727</v>
      </c>
      <c r="B201" s="8" t="s">
        <v>1086</v>
      </c>
      <c r="C201" s="8" t="s">
        <v>91</v>
      </c>
      <c r="D201" s="9" t="s">
        <v>1153</v>
      </c>
      <c r="E201" s="8" t="s">
        <v>43</v>
      </c>
      <c r="F201" s="9" t="s">
        <v>1154</v>
      </c>
      <c r="G201" s="8" t="s">
        <v>225</v>
      </c>
      <c r="H201" s="8" t="s">
        <v>125</v>
      </c>
      <c r="I201" s="8" t="s">
        <v>114</v>
      </c>
      <c r="J201" s="9" t="s">
        <v>98</v>
      </c>
      <c r="K201" s="8" t="s">
        <v>98</v>
      </c>
      <c r="L201" s="8" t="s">
        <v>98</v>
      </c>
      <c r="M201" s="8" t="s">
        <v>98</v>
      </c>
      <c r="N201" s="9" t="s">
        <v>1143</v>
      </c>
      <c r="O201" s="9" t="s">
        <v>276</v>
      </c>
      <c r="P201" s="9" t="s">
        <v>238</v>
      </c>
      <c r="Q201" s="48">
        <v>1987</v>
      </c>
      <c r="R201" s="9" t="s">
        <v>98</v>
      </c>
      <c r="S201" s="9" t="s">
        <v>98</v>
      </c>
      <c r="T201" s="9" t="s">
        <v>98</v>
      </c>
      <c r="U201" s="9">
        <v>1</v>
      </c>
      <c r="V201" s="8" t="s">
        <v>14</v>
      </c>
      <c r="W201" s="8" t="s">
        <v>98</v>
      </c>
      <c r="X201" s="9" t="s">
        <v>209</v>
      </c>
      <c r="Y201" s="9" t="s">
        <v>98</v>
      </c>
      <c r="Z201" s="9" t="s">
        <v>98</v>
      </c>
      <c r="AA201" s="9" t="s">
        <v>276</v>
      </c>
      <c r="AB201" s="9" t="s">
        <v>98</v>
      </c>
      <c r="AC201" s="8">
        <v>0</v>
      </c>
      <c r="AD201" s="8" t="s">
        <v>98</v>
      </c>
      <c r="AE201" s="8" t="s">
        <v>98</v>
      </c>
      <c r="AF201" s="8" t="s">
        <v>98</v>
      </c>
      <c r="AG201" s="9" t="s">
        <v>1155</v>
      </c>
      <c r="AH201" s="9" t="s">
        <v>689</v>
      </c>
      <c r="AI201" s="38">
        <v>13</v>
      </c>
      <c r="AJ201" s="38" t="s">
        <v>98</v>
      </c>
      <c r="AK201" s="38">
        <v>1494</v>
      </c>
      <c r="AL201" s="38" t="s">
        <v>98</v>
      </c>
      <c r="AM201" s="38" t="s">
        <v>292</v>
      </c>
      <c r="AN201" s="8" t="s">
        <v>276</v>
      </c>
      <c r="AO201" s="31">
        <f t="shared" si="79"/>
        <v>0.87014725568942441</v>
      </c>
      <c r="AP201" s="8" t="s">
        <v>276</v>
      </c>
      <c r="AQ201" s="8" t="s">
        <v>276</v>
      </c>
      <c r="AR201" s="8" t="s">
        <v>98</v>
      </c>
      <c r="AS201" s="8" t="s">
        <v>98</v>
      </c>
      <c r="AT201" s="8" t="s">
        <v>98</v>
      </c>
      <c r="AU201" s="8" t="s">
        <v>98</v>
      </c>
      <c r="AV201" s="8" t="s">
        <v>98</v>
      </c>
      <c r="AW201" s="8" t="s">
        <v>98</v>
      </c>
      <c r="AX201" s="8" t="s">
        <v>98</v>
      </c>
      <c r="AY201" s="8" t="s">
        <v>98</v>
      </c>
      <c r="AZ201" s="8" t="s">
        <v>98</v>
      </c>
      <c r="BA201" s="8" t="s">
        <v>98</v>
      </c>
      <c r="BB201" s="8" t="s">
        <v>98</v>
      </c>
      <c r="BC201" s="8" t="s">
        <v>98</v>
      </c>
      <c r="BD201" s="8" t="s">
        <v>98</v>
      </c>
      <c r="BE201" s="8" t="s">
        <v>98</v>
      </c>
      <c r="BF201" s="9" t="s">
        <v>1156</v>
      </c>
      <c r="BG201" s="9" t="s">
        <v>276</v>
      </c>
      <c r="BH201" s="9" t="s">
        <v>100</v>
      </c>
      <c r="BI201" s="9" t="s">
        <v>100</v>
      </c>
      <c r="BJ201" s="32"/>
      <c r="BK201" s="32"/>
      <c r="BO201" s="32"/>
      <c r="BP201" s="32"/>
    </row>
    <row r="202" spans="1:68" s="33" customFormat="1" ht="52" hidden="1" x14ac:dyDescent="0.35">
      <c r="A202" s="8">
        <v>3727</v>
      </c>
      <c r="B202" s="8" t="s">
        <v>1086</v>
      </c>
      <c r="C202" s="8" t="s">
        <v>91</v>
      </c>
      <c r="D202" s="9" t="s">
        <v>1157</v>
      </c>
      <c r="E202" s="8" t="s">
        <v>43</v>
      </c>
      <c r="F202" s="9" t="s">
        <v>1154</v>
      </c>
      <c r="G202" s="8" t="s">
        <v>225</v>
      </c>
      <c r="H202" s="8" t="s">
        <v>125</v>
      </c>
      <c r="I202" s="8" t="s">
        <v>114</v>
      </c>
      <c r="J202" s="9" t="s">
        <v>98</v>
      </c>
      <c r="K202" s="8" t="s">
        <v>98</v>
      </c>
      <c r="L202" s="8" t="s">
        <v>98</v>
      </c>
      <c r="M202" s="8" t="s">
        <v>98</v>
      </c>
      <c r="N202" s="9" t="s">
        <v>1143</v>
      </c>
      <c r="O202" s="9" t="s">
        <v>276</v>
      </c>
      <c r="P202" s="9" t="s">
        <v>238</v>
      </c>
      <c r="Q202" s="48">
        <v>1990</v>
      </c>
      <c r="R202" s="9" t="s">
        <v>98</v>
      </c>
      <c r="S202" s="9" t="s">
        <v>98</v>
      </c>
      <c r="T202" s="9" t="s">
        <v>98</v>
      </c>
      <c r="U202" s="9">
        <v>1</v>
      </c>
      <c r="V202" s="8" t="s">
        <v>14</v>
      </c>
      <c r="W202" s="8" t="s">
        <v>98</v>
      </c>
      <c r="X202" s="9" t="s">
        <v>209</v>
      </c>
      <c r="Y202" s="9" t="s">
        <v>98</v>
      </c>
      <c r="Z202" s="9" t="s">
        <v>98</v>
      </c>
      <c r="AA202" s="9" t="s">
        <v>276</v>
      </c>
      <c r="AB202" s="9" t="s">
        <v>98</v>
      </c>
      <c r="AC202" s="8">
        <v>0</v>
      </c>
      <c r="AD202" s="8" t="s">
        <v>98</v>
      </c>
      <c r="AE202" s="8" t="s">
        <v>98</v>
      </c>
      <c r="AF202" s="8" t="s">
        <v>98</v>
      </c>
      <c r="AG202" s="9" t="s">
        <v>1158</v>
      </c>
      <c r="AH202" s="9" t="s">
        <v>689</v>
      </c>
      <c r="AI202" s="38">
        <v>7</v>
      </c>
      <c r="AJ202" s="38" t="s">
        <v>98</v>
      </c>
      <c r="AK202" s="38">
        <v>1494</v>
      </c>
      <c r="AL202" s="38" t="s">
        <v>98</v>
      </c>
      <c r="AM202" s="38" t="s">
        <v>292</v>
      </c>
      <c r="AN202" s="8" t="s">
        <v>276</v>
      </c>
      <c r="AO202" s="31">
        <f t="shared" si="79"/>
        <v>0.46854082998661312</v>
      </c>
      <c r="AP202" s="8" t="s">
        <v>276</v>
      </c>
      <c r="AQ202" s="8" t="s">
        <v>276</v>
      </c>
      <c r="AR202" s="8" t="s">
        <v>98</v>
      </c>
      <c r="AS202" s="8" t="s">
        <v>98</v>
      </c>
      <c r="AT202" s="8" t="s">
        <v>98</v>
      </c>
      <c r="AU202" s="8" t="s">
        <v>98</v>
      </c>
      <c r="AV202" s="8" t="s">
        <v>98</v>
      </c>
      <c r="AW202" s="8" t="s">
        <v>98</v>
      </c>
      <c r="AX202" s="8" t="s">
        <v>98</v>
      </c>
      <c r="AY202" s="8" t="s">
        <v>98</v>
      </c>
      <c r="AZ202" s="8" t="s">
        <v>98</v>
      </c>
      <c r="BA202" s="8" t="s">
        <v>98</v>
      </c>
      <c r="BB202" s="8" t="s">
        <v>98</v>
      </c>
      <c r="BC202" s="8" t="s">
        <v>98</v>
      </c>
      <c r="BD202" s="8" t="s">
        <v>98</v>
      </c>
      <c r="BE202" s="8" t="s">
        <v>98</v>
      </c>
      <c r="BF202" s="9" t="s">
        <v>1159</v>
      </c>
      <c r="BG202" s="9" t="s">
        <v>276</v>
      </c>
      <c r="BH202" s="9" t="s">
        <v>100</v>
      </c>
      <c r="BI202" s="9" t="s">
        <v>100</v>
      </c>
      <c r="BJ202" s="32"/>
      <c r="BK202" s="32"/>
      <c r="BO202" s="32"/>
      <c r="BP202" s="32"/>
    </row>
    <row r="203" spans="1:68" s="33" customFormat="1" ht="52" hidden="1" x14ac:dyDescent="0.35">
      <c r="A203" s="8">
        <v>3727</v>
      </c>
      <c r="B203" s="8" t="s">
        <v>1086</v>
      </c>
      <c r="C203" s="8" t="s">
        <v>91</v>
      </c>
      <c r="D203" s="9" t="s">
        <v>1160</v>
      </c>
      <c r="E203" s="8" t="s">
        <v>43</v>
      </c>
      <c r="F203" s="9" t="s">
        <v>1076</v>
      </c>
      <c r="G203" s="8" t="s">
        <v>225</v>
      </c>
      <c r="H203" s="8" t="s">
        <v>125</v>
      </c>
      <c r="I203" s="8" t="s">
        <v>114</v>
      </c>
      <c r="J203" s="9" t="s">
        <v>98</v>
      </c>
      <c r="K203" s="8" t="s">
        <v>98</v>
      </c>
      <c r="L203" s="8" t="s">
        <v>98</v>
      </c>
      <c r="M203" s="8" t="s">
        <v>98</v>
      </c>
      <c r="N203" s="9" t="s">
        <v>1143</v>
      </c>
      <c r="O203" s="9" t="s">
        <v>276</v>
      </c>
      <c r="P203" s="9" t="s">
        <v>238</v>
      </c>
      <c r="Q203" s="48">
        <v>1993</v>
      </c>
      <c r="R203" s="9" t="s">
        <v>98</v>
      </c>
      <c r="S203" s="9" t="s">
        <v>98</v>
      </c>
      <c r="T203" s="9" t="s">
        <v>98</v>
      </c>
      <c r="U203" s="9">
        <v>1</v>
      </c>
      <c r="V203" s="8" t="s">
        <v>14</v>
      </c>
      <c r="W203" s="8" t="s">
        <v>98</v>
      </c>
      <c r="X203" s="9" t="s">
        <v>209</v>
      </c>
      <c r="Y203" s="9" t="s">
        <v>98</v>
      </c>
      <c r="Z203" s="9" t="s">
        <v>98</v>
      </c>
      <c r="AA203" s="9" t="s">
        <v>276</v>
      </c>
      <c r="AB203" s="9" t="s">
        <v>98</v>
      </c>
      <c r="AC203" s="8">
        <v>0</v>
      </c>
      <c r="AD203" s="8" t="s">
        <v>98</v>
      </c>
      <c r="AE203" s="8" t="s">
        <v>98</v>
      </c>
      <c r="AF203" s="8" t="s">
        <v>98</v>
      </c>
      <c r="AG203" s="9" t="s">
        <v>1161</v>
      </c>
      <c r="AH203" s="9" t="s">
        <v>689</v>
      </c>
      <c r="AI203" s="38">
        <v>17</v>
      </c>
      <c r="AJ203" s="38" t="s">
        <v>98</v>
      </c>
      <c r="AK203" s="38">
        <v>1494</v>
      </c>
      <c r="AL203" s="38" t="s">
        <v>98</v>
      </c>
      <c r="AM203" s="38" t="s">
        <v>292</v>
      </c>
      <c r="AN203" s="8" t="s">
        <v>276</v>
      </c>
      <c r="AO203" s="31">
        <f t="shared" si="79"/>
        <v>1.1378848728246318</v>
      </c>
      <c r="AP203" s="8" t="s">
        <v>276</v>
      </c>
      <c r="AQ203" s="8" t="s">
        <v>276</v>
      </c>
      <c r="AR203" s="8" t="s">
        <v>98</v>
      </c>
      <c r="AS203" s="8" t="s">
        <v>98</v>
      </c>
      <c r="AT203" s="8" t="s">
        <v>98</v>
      </c>
      <c r="AU203" s="8" t="s">
        <v>98</v>
      </c>
      <c r="AV203" s="8" t="s">
        <v>98</v>
      </c>
      <c r="AW203" s="8" t="s">
        <v>98</v>
      </c>
      <c r="AX203" s="8" t="s">
        <v>98</v>
      </c>
      <c r="AY203" s="8" t="s">
        <v>98</v>
      </c>
      <c r="AZ203" s="8" t="s">
        <v>98</v>
      </c>
      <c r="BA203" s="8" t="s">
        <v>98</v>
      </c>
      <c r="BB203" s="8" t="s">
        <v>98</v>
      </c>
      <c r="BC203" s="8" t="s">
        <v>98</v>
      </c>
      <c r="BD203" s="8" t="s">
        <v>98</v>
      </c>
      <c r="BE203" s="8" t="s">
        <v>98</v>
      </c>
      <c r="BF203" s="9" t="s">
        <v>1162</v>
      </c>
      <c r="BG203" s="9" t="s">
        <v>276</v>
      </c>
      <c r="BH203" s="9" t="s">
        <v>100</v>
      </c>
      <c r="BI203" s="9" t="s">
        <v>100</v>
      </c>
      <c r="BJ203" s="32"/>
      <c r="BK203" s="32"/>
      <c r="BO203" s="32"/>
      <c r="BP203" s="32"/>
    </row>
    <row r="204" spans="1:68" s="33" customFormat="1" ht="52" hidden="1" x14ac:dyDescent="0.35">
      <c r="A204" s="8">
        <v>3727</v>
      </c>
      <c r="B204" s="8" t="s">
        <v>1086</v>
      </c>
      <c r="C204" s="8" t="s">
        <v>91</v>
      </c>
      <c r="D204" s="9" t="s">
        <v>1163</v>
      </c>
      <c r="E204" s="8" t="s">
        <v>43</v>
      </c>
      <c r="F204" s="9" t="s">
        <v>1076</v>
      </c>
      <c r="G204" s="8" t="s">
        <v>225</v>
      </c>
      <c r="H204" s="8" t="s">
        <v>125</v>
      </c>
      <c r="I204" s="8" t="s">
        <v>114</v>
      </c>
      <c r="J204" s="9" t="s">
        <v>98</v>
      </c>
      <c r="K204" s="8" t="s">
        <v>98</v>
      </c>
      <c r="L204" s="8" t="s">
        <v>98</v>
      </c>
      <c r="M204" s="8" t="s">
        <v>98</v>
      </c>
      <c r="N204" s="9" t="s">
        <v>1143</v>
      </c>
      <c r="O204" s="9" t="s">
        <v>276</v>
      </c>
      <c r="P204" s="9" t="s">
        <v>238</v>
      </c>
      <c r="Q204" s="48">
        <v>1996</v>
      </c>
      <c r="R204" s="9" t="s">
        <v>98</v>
      </c>
      <c r="S204" s="9" t="s">
        <v>98</v>
      </c>
      <c r="T204" s="9" t="s">
        <v>98</v>
      </c>
      <c r="U204" s="9">
        <v>1</v>
      </c>
      <c r="V204" s="8" t="s">
        <v>14</v>
      </c>
      <c r="W204" s="8" t="s">
        <v>98</v>
      </c>
      <c r="X204" s="9" t="s">
        <v>209</v>
      </c>
      <c r="Y204" s="9" t="s">
        <v>98</v>
      </c>
      <c r="Z204" s="9" t="s">
        <v>98</v>
      </c>
      <c r="AA204" s="9" t="s">
        <v>276</v>
      </c>
      <c r="AB204" s="9" t="s">
        <v>98</v>
      </c>
      <c r="AC204" s="8">
        <v>0</v>
      </c>
      <c r="AD204" s="8" t="s">
        <v>98</v>
      </c>
      <c r="AE204" s="8" t="s">
        <v>98</v>
      </c>
      <c r="AF204" s="8" t="s">
        <v>98</v>
      </c>
      <c r="AG204" s="9" t="s">
        <v>1164</v>
      </c>
      <c r="AH204" s="9" t="s">
        <v>689</v>
      </c>
      <c r="AI204" s="38">
        <v>6</v>
      </c>
      <c r="AJ204" s="38" t="s">
        <v>98</v>
      </c>
      <c r="AK204" s="38">
        <v>1494</v>
      </c>
      <c r="AL204" s="38" t="s">
        <v>98</v>
      </c>
      <c r="AM204" s="38" t="s">
        <v>292</v>
      </c>
      <c r="AN204" s="8" t="s">
        <v>276</v>
      </c>
      <c r="AO204" s="31">
        <f t="shared" si="79"/>
        <v>0.40160642570281124</v>
      </c>
      <c r="AP204" s="8" t="s">
        <v>276</v>
      </c>
      <c r="AQ204" s="8" t="s">
        <v>276</v>
      </c>
      <c r="AR204" s="8" t="s">
        <v>98</v>
      </c>
      <c r="AS204" s="8" t="s">
        <v>98</v>
      </c>
      <c r="AT204" s="8" t="s">
        <v>98</v>
      </c>
      <c r="AU204" s="8" t="s">
        <v>98</v>
      </c>
      <c r="AV204" s="8" t="s">
        <v>98</v>
      </c>
      <c r="AW204" s="8" t="s">
        <v>98</v>
      </c>
      <c r="AX204" s="8" t="s">
        <v>98</v>
      </c>
      <c r="AY204" s="8" t="s">
        <v>98</v>
      </c>
      <c r="AZ204" s="8" t="s">
        <v>98</v>
      </c>
      <c r="BA204" s="8" t="s">
        <v>98</v>
      </c>
      <c r="BB204" s="8" t="s">
        <v>98</v>
      </c>
      <c r="BC204" s="8" t="s">
        <v>98</v>
      </c>
      <c r="BD204" s="8" t="s">
        <v>98</v>
      </c>
      <c r="BE204" s="8" t="s">
        <v>98</v>
      </c>
      <c r="BF204" s="9" t="s">
        <v>1165</v>
      </c>
      <c r="BG204" s="9" t="s">
        <v>276</v>
      </c>
      <c r="BH204" s="9" t="s">
        <v>100</v>
      </c>
      <c r="BI204" s="9" t="s">
        <v>100</v>
      </c>
      <c r="BJ204" s="32"/>
      <c r="BK204" s="32"/>
      <c r="BO204" s="32"/>
      <c r="BP204" s="32"/>
    </row>
    <row r="205" spans="1:68" s="33" customFormat="1" ht="39" hidden="1" x14ac:dyDescent="0.35">
      <c r="A205" s="8">
        <v>3727</v>
      </c>
      <c r="B205" s="8" t="s">
        <v>1086</v>
      </c>
      <c r="C205" s="8" t="s">
        <v>91</v>
      </c>
      <c r="D205" s="9" t="s">
        <v>1166</v>
      </c>
      <c r="E205" s="8" t="s">
        <v>43</v>
      </c>
      <c r="F205" s="9" t="s">
        <v>1076</v>
      </c>
      <c r="G205" s="8" t="s">
        <v>225</v>
      </c>
      <c r="H205" s="8" t="s">
        <v>125</v>
      </c>
      <c r="I205" s="8" t="s">
        <v>114</v>
      </c>
      <c r="J205" s="9" t="s">
        <v>98</v>
      </c>
      <c r="K205" s="8" t="s">
        <v>98</v>
      </c>
      <c r="L205" s="8" t="s">
        <v>98</v>
      </c>
      <c r="M205" s="8" t="s">
        <v>98</v>
      </c>
      <c r="N205" s="9" t="s">
        <v>1143</v>
      </c>
      <c r="O205" s="9" t="s">
        <v>276</v>
      </c>
      <c r="P205" s="9" t="s">
        <v>238</v>
      </c>
      <c r="Q205" s="48">
        <v>1996</v>
      </c>
      <c r="R205" s="9" t="s">
        <v>752</v>
      </c>
      <c r="S205" s="9" t="s">
        <v>276</v>
      </c>
      <c r="T205" s="9" t="s">
        <v>98</v>
      </c>
      <c r="U205" s="9">
        <v>4</v>
      </c>
      <c r="V205" s="8" t="s">
        <v>14</v>
      </c>
      <c r="W205" s="8" t="s">
        <v>98</v>
      </c>
      <c r="X205" s="9" t="s">
        <v>209</v>
      </c>
      <c r="Y205" s="9" t="s">
        <v>98</v>
      </c>
      <c r="Z205" s="9" t="s">
        <v>98</v>
      </c>
      <c r="AA205" s="9" t="s">
        <v>276</v>
      </c>
      <c r="AB205" s="9" t="s">
        <v>98</v>
      </c>
      <c r="AC205" s="8">
        <v>0</v>
      </c>
      <c r="AD205" s="8" t="s">
        <v>98</v>
      </c>
      <c r="AE205" s="8" t="s">
        <v>98</v>
      </c>
      <c r="AF205" s="8" t="s">
        <v>98</v>
      </c>
      <c r="AG205" s="9" t="s">
        <v>1167</v>
      </c>
      <c r="AH205" s="9" t="s">
        <v>689</v>
      </c>
      <c r="AI205" s="38">
        <f>SUM(AI201:AI204)</f>
        <v>43</v>
      </c>
      <c r="AJ205" s="38" t="s">
        <v>98</v>
      </c>
      <c r="AK205" s="38">
        <v>1494</v>
      </c>
      <c r="AL205" s="38" t="s">
        <v>98</v>
      </c>
      <c r="AM205" s="38" t="s">
        <v>292</v>
      </c>
      <c r="AN205" s="8" t="s">
        <v>276</v>
      </c>
      <c r="AO205" s="31">
        <f t="shared" si="79"/>
        <v>2.8781793842034804</v>
      </c>
      <c r="AP205" s="8" t="s">
        <v>276</v>
      </c>
      <c r="AQ205" s="8" t="s">
        <v>276</v>
      </c>
      <c r="AR205" s="8" t="s">
        <v>98</v>
      </c>
      <c r="AS205" s="8" t="s">
        <v>98</v>
      </c>
      <c r="AT205" s="8" t="s">
        <v>98</v>
      </c>
      <c r="AU205" s="8" t="s">
        <v>98</v>
      </c>
      <c r="AV205" s="8" t="s">
        <v>98</v>
      </c>
      <c r="AW205" s="8" t="s">
        <v>98</v>
      </c>
      <c r="AX205" s="8" t="s">
        <v>98</v>
      </c>
      <c r="AY205" s="8" t="s">
        <v>98</v>
      </c>
      <c r="AZ205" s="8" t="s">
        <v>98</v>
      </c>
      <c r="BA205" s="8" t="s">
        <v>98</v>
      </c>
      <c r="BB205" s="8" t="s">
        <v>98</v>
      </c>
      <c r="BC205" s="8" t="s">
        <v>98</v>
      </c>
      <c r="BD205" s="8" t="s">
        <v>98</v>
      </c>
      <c r="BE205" s="8" t="s">
        <v>98</v>
      </c>
      <c r="BF205" s="9" t="s">
        <v>1168</v>
      </c>
      <c r="BG205" s="9" t="s">
        <v>276</v>
      </c>
      <c r="BH205" s="9" t="s">
        <v>100</v>
      </c>
      <c r="BI205" s="9" t="s">
        <v>100</v>
      </c>
      <c r="BJ205" s="32"/>
      <c r="BK205" s="32"/>
      <c r="BO205" s="32"/>
      <c r="BP205" s="32"/>
    </row>
    <row r="206" spans="1:68" s="33" customFormat="1" ht="91" hidden="1" x14ac:dyDescent="0.35">
      <c r="A206" s="8">
        <v>2733</v>
      </c>
      <c r="B206" s="8" t="s">
        <v>1169</v>
      </c>
      <c r="C206" s="8" t="s">
        <v>86</v>
      </c>
      <c r="D206" s="9" t="s">
        <v>1296</v>
      </c>
      <c r="E206" s="8" t="s">
        <v>42</v>
      </c>
      <c r="F206" s="9" t="s">
        <v>274</v>
      </c>
      <c r="G206" s="8" t="s">
        <v>148</v>
      </c>
      <c r="H206" s="8" t="s">
        <v>225</v>
      </c>
      <c r="I206" s="8" t="s">
        <v>98</v>
      </c>
      <c r="J206" s="9" t="s">
        <v>98</v>
      </c>
      <c r="K206" s="8" t="s">
        <v>98</v>
      </c>
      <c r="L206" s="8" t="s">
        <v>98</v>
      </c>
      <c r="M206" s="8" t="s">
        <v>98</v>
      </c>
      <c r="N206" s="9" t="s">
        <v>1171</v>
      </c>
      <c r="O206" s="9" t="s">
        <v>1297</v>
      </c>
      <c r="P206" s="9" t="s">
        <v>238</v>
      </c>
      <c r="Q206" s="52">
        <v>42004</v>
      </c>
      <c r="R206" s="9" t="s">
        <v>276</v>
      </c>
      <c r="S206" s="9" t="s">
        <v>1298</v>
      </c>
      <c r="T206" s="9" t="s">
        <v>1299</v>
      </c>
      <c r="U206" s="51" t="s">
        <v>1174</v>
      </c>
      <c r="V206" s="8" t="s">
        <v>14</v>
      </c>
      <c r="W206" s="9" t="s">
        <v>1300</v>
      </c>
      <c r="X206" s="9" t="s">
        <v>208</v>
      </c>
      <c r="Y206" s="13">
        <v>50624</v>
      </c>
      <c r="Z206" s="9">
        <v>50623</v>
      </c>
      <c r="AA206" s="9" t="s">
        <v>276</v>
      </c>
      <c r="AB206" s="9" t="s">
        <v>276</v>
      </c>
      <c r="AC206" s="8">
        <v>540</v>
      </c>
      <c r="AD206" s="9" t="s">
        <v>1196</v>
      </c>
      <c r="AE206" s="8">
        <v>563</v>
      </c>
      <c r="AF206" s="9" t="s">
        <v>1196</v>
      </c>
      <c r="AG206" s="9" t="s">
        <v>1301</v>
      </c>
      <c r="AH206" s="9" t="s">
        <v>1302</v>
      </c>
      <c r="AI206" s="38">
        <v>199</v>
      </c>
      <c r="AJ206" s="38">
        <v>161</v>
      </c>
      <c r="AK206" s="38">
        <v>50624</v>
      </c>
      <c r="AL206" s="38">
        <v>50623</v>
      </c>
      <c r="AM206" s="38" t="s">
        <v>281</v>
      </c>
      <c r="AN206" s="8" t="s">
        <v>276</v>
      </c>
      <c r="AO206" s="31">
        <v>3.9309418457648548</v>
      </c>
      <c r="AP206" s="8" t="s">
        <v>276</v>
      </c>
      <c r="AQ206" s="8" t="s">
        <v>276</v>
      </c>
      <c r="AR206" s="8" t="s">
        <v>276</v>
      </c>
      <c r="AS206" s="14">
        <v>3.1803725579282145</v>
      </c>
      <c r="AT206" s="8" t="s">
        <v>276</v>
      </c>
      <c r="AU206" s="8" t="s">
        <v>276</v>
      </c>
      <c r="AV206" s="8" t="s">
        <v>268</v>
      </c>
      <c r="AW206" s="40" t="s">
        <v>276</v>
      </c>
      <c r="AX206" s="53">
        <v>1.236000428932635</v>
      </c>
      <c r="AY206" s="9" t="s">
        <v>276</v>
      </c>
      <c r="AZ206" s="9" t="s">
        <v>276</v>
      </c>
      <c r="BA206" s="9" t="s">
        <v>276</v>
      </c>
      <c r="BB206" s="9" t="s">
        <v>282</v>
      </c>
      <c r="BC206" s="9" t="s">
        <v>276</v>
      </c>
      <c r="BD206" s="9" t="s">
        <v>276</v>
      </c>
      <c r="BE206" s="9" t="s">
        <v>276</v>
      </c>
      <c r="BF206" s="9" t="s">
        <v>298</v>
      </c>
      <c r="BG206" s="9"/>
      <c r="BH206" s="9" t="s">
        <v>100</v>
      </c>
      <c r="BI206" s="9" t="s">
        <v>100</v>
      </c>
      <c r="BJ206" s="32"/>
      <c r="BK206" s="32"/>
      <c r="BO206" s="32"/>
      <c r="BP206" s="32"/>
    </row>
    <row r="207" spans="1:68" s="33" customFormat="1" ht="91" x14ac:dyDescent="0.35">
      <c r="A207" s="8">
        <v>2733</v>
      </c>
      <c r="B207" s="8" t="s">
        <v>1169</v>
      </c>
      <c r="C207" s="8" t="s">
        <v>86</v>
      </c>
      <c r="D207" s="9" t="s">
        <v>1303</v>
      </c>
      <c r="E207" s="8" t="s">
        <v>42</v>
      </c>
      <c r="F207" s="9" t="s">
        <v>274</v>
      </c>
      <c r="G207" s="8" t="s">
        <v>148</v>
      </c>
      <c r="H207" s="8" t="s">
        <v>225</v>
      </c>
      <c r="I207" s="8" t="s">
        <v>98</v>
      </c>
      <c r="J207" s="9" t="s">
        <v>98</v>
      </c>
      <c r="K207" s="8" t="s">
        <v>98</v>
      </c>
      <c r="L207" s="8" t="s">
        <v>98</v>
      </c>
      <c r="M207" s="8" t="s">
        <v>98</v>
      </c>
      <c r="N207" s="9" t="s">
        <v>1171</v>
      </c>
      <c r="O207" s="9" t="s">
        <v>1297</v>
      </c>
      <c r="P207" s="9" t="s">
        <v>236</v>
      </c>
      <c r="Q207" s="52">
        <v>42004</v>
      </c>
      <c r="R207" s="9" t="s">
        <v>276</v>
      </c>
      <c r="S207" s="9" t="s">
        <v>1298</v>
      </c>
      <c r="T207" s="9" t="s">
        <v>1299</v>
      </c>
      <c r="U207" s="51" t="s">
        <v>1174</v>
      </c>
      <c r="V207" s="8" t="s">
        <v>14</v>
      </c>
      <c r="W207" s="9" t="s">
        <v>1300</v>
      </c>
      <c r="X207" s="9" t="s">
        <v>208</v>
      </c>
      <c r="Y207" s="13">
        <v>50624</v>
      </c>
      <c r="Z207" s="9">
        <v>50623</v>
      </c>
      <c r="AA207" s="9" t="s">
        <v>276</v>
      </c>
      <c r="AB207" s="9" t="s">
        <v>276</v>
      </c>
      <c r="AC207" s="8">
        <v>540</v>
      </c>
      <c r="AD207" s="9" t="s">
        <v>1196</v>
      </c>
      <c r="AE207" s="8">
        <v>563</v>
      </c>
      <c r="AF207" s="9" t="s">
        <v>1196</v>
      </c>
      <c r="AG207" s="9" t="s">
        <v>1301</v>
      </c>
      <c r="AH207" s="9" t="s">
        <v>1304</v>
      </c>
      <c r="AI207" s="38">
        <v>199</v>
      </c>
      <c r="AJ207" s="38">
        <v>161</v>
      </c>
      <c r="AK207" s="38">
        <v>338</v>
      </c>
      <c r="AL207" s="38">
        <v>314</v>
      </c>
      <c r="AM207" s="38" t="s">
        <v>292</v>
      </c>
      <c r="AN207" s="8">
        <v>59</v>
      </c>
      <c r="AO207" s="14">
        <v>58.875739644970416</v>
      </c>
      <c r="AP207" s="8" t="s">
        <v>276</v>
      </c>
      <c r="AQ207" s="8" t="s">
        <v>276</v>
      </c>
      <c r="AR207" s="8">
        <v>51</v>
      </c>
      <c r="AS207" s="14">
        <v>51.273885350318473</v>
      </c>
      <c r="AT207" s="8" t="s">
        <v>276</v>
      </c>
      <c r="AU207" s="8" t="s">
        <v>276</v>
      </c>
      <c r="AV207" s="8" t="s">
        <v>268</v>
      </c>
      <c r="AW207" s="40" t="s">
        <v>276</v>
      </c>
      <c r="AX207" s="53">
        <v>1.1482597669888639</v>
      </c>
      <c r="AY207" s="9" t="s">
        <v>276</v>
      </c>
      <c r="AZ207" s="9" t="s">
        <v>276</v>
      </c>
      <c r="BA207" s="9" t="s">
        <v>276</v>
      </c>
      <c r="BB207" s="9" t="s">
        <v>282</v>
      </c>
      <c r="BC207" s="9" t="s">
        <v>276</v>
      </c>
      <c r="BD207" s="9" t="s">
        <v>276</v>
      </c>
      <c r="BE207" s="9" t="s">
        <v>276</v>
      </c>
      <c r="BF207" s="9" t="s">
        <v>298</v>
      </c>
      <c r="BG207" s="9"/>
      <c r="BH207" s="9" t="s">
        <v>99</v>
      </c>
      <c r="BI207" s="9" t="s">
        <v>100</v>
      </c>
      <c r="BJ207" s="32"/>
      <c r="BK207" s="32"/>
      <c r="BO207" s="32"/>
      <c r="BP207" s="32"/>
    </row>
    <row r="208" spans="1:68" s="33" customFormat="1" ht="104" hidden="1" x14ac:dyDescent="0.35">
      <c r="A208" s="8">
        <v>2733</v>
      </c>
      <c r="B208" s="8" t="s">
        <v>1169</v>
      </c>
      <c r="C208" s="8" t="s">
        <v>86</v>
      </c>
      <c r="D208" s="9" t="s">
        <v>1305</v>
      </c>
      <c r="E208" s="8" t="s">
        <v>42</v>
      </c>
      <c r="F208" s="9" t="s">
        <v>274</v>
      </c>
      <c r="G208" s="8" t="s">
        <v>148</v>
      </c>
      <c r="H208" s="8" t="s">
        <v>225</v>
      </c>
      <c r="I208" s="8" t="s">
        <v>98</v>
      </c>
      <c r="J208" s="9" t="s">
        <v>98</v>
      </c>
      <c r="K208" s="8" t="s">
        <v>98</v>
      </c>
      <c r="L208" s="8" t="s">
        <v>98</v>
      </c>
      <c r="M208" s="8" t="s">
        <v>98</v>
      </c>
      <c r="N208" s="9" t="s">
        <v>1171</v>
      </c>
      <c r="O208" s="9" t="s">
        <v>1297</v>
      </c>
      <c r="P208" s="9" t="s">
        <v>238</v>
      </c>
      <c r="Q208" s="52">
        <v>42004</v>
      </c>
      <c r="R208" s="9" t="s">
        <v>276</v>
      </c>
      <c r="S208" s="9" t="s">
        <v>1298</v>
      </c>
      <c r="T208" s="9" t="s">
        <v>1299</v>
      </c>
      <c r="U208" s="51" t="s">
        <v>1174</v>
      </c>
      <c r="V208" s="8" t="s">
        <v>14</v>
      </c>
      <c r="W208" s="9" t="s">
        <v>1300</v>
      </c>
      <c r="X208" s="9" t="s">
        <v>208</v>
      </c>
      <c r="Y208" s="13">
        <v>50624</v>
      </c>
      <c r="Z208" s="9">
        <v>50623</v>
      </c>
      <c r="AA208" s="9" t="s">
        <v>276</v>
      </c>
      <c r="AB208" s="9" t="s">
        <v>276</v>
      </c>
      <c r="AC208" s="8">
        <v>540</v>
      </c>
      <c r="AD208" s="9" t="s">
        <v>1196</v>
      </c>
      <c r="AE208" s="8">
        <v>563</v>
      </c>
      <c r="AF208" s="9" t="s">
        <v>1196</v>
      </c>
      <c r="AG208" s="9" t="s">
        <v>1306</v>
      </c>
      <c r="AH208" s="9" t="s">
        <v>1302</v>
      </c>
      <c r="AI208" s="38">
        <v>212</v>
      </c>
      <c r="AJ208" s="38">
        <v>164</v>
      </c>
      <c r="AK208" s="38">
        <v>50624</v>
      </c>
      <c r="AL208" s="38">
        <v>50623</v>
      </c>
      <c r="AM208" s="38" t="s">
        <v>281</v>
      </c>
      <c r="AN208" s="8" t="s">
        <v>276</v>
      </c>
      <c r="AO208" s="31">
        <v>4.1877370417193429</v>
      </c>
      <c r="AP208" s="8" t="s">
        <v>276</v>
      </c>
      <c r="AQ208" s="8" t="s">
        <v>276</v>
      </c>
      <c r="AR208" s="8" t="s">
        <v>276</v>
      </c>
      <c r="AS208" s="14">
        <v>3.239634158386504</v>
      </c>
      <c r="AT208" s="8" t="s">
        <v>276</v>
      </c>
      <c r="AU208" s="8" t="s">
        <v>276</v>
      </c>
      <c r="AV208" s="8" t="s">
        <v>268</v>
      </c>
      <c r="AW208" s="40" t="s">
        <v>276</v>
      </c>
      <c r="AX208" s="53">
        <v>1.2926573918473068</v>
      </c>
      <c r="AY208" s="9" t="s">
        <v>276</v>
      </c>
      <c r="AZ208" s="9" t="s">
        <v>276</v>
      </c>
      <c r="BA208" s="9" t="s">
        <v>276</v>
      </c>
      <c r="BB208" s="9" t="s">
        <v>282</v>
      </c>
      <c r="BC208" s="9" t="s">
        <v>276</v>
      </c>
      <c r="BD208" s="9" t="s">
        <v>276</v>
      </c>
      <c r="BE208" s="9" t="s">
        <v>276</v>
      </c>
      <c r="BF208" s="9" t="s">
        <v>298</v>
      </c>
      <c r="BG208" s="9"/>
      <c r="BH208" s="9" t="s">
        <v>100</v>
      </c>
      <c r="BI208" s="9" t="s">
        <v>100</v>
      </c>
      <c r="BJ208" s="32"/>
      <c r="BK208" s="32"/>
      <c r="BO208" s="32"/>
      <c r="BP208" s="32"/>
    </row>
    <row r="209" spans="1:68" s="33" customFormat="1" ht="104" hidden="1" x14ac:dyDescent="0.35">
      <c r="A209" s="8">
        <v>2733</v>
      </c>
      <c r="B209" s="8" t="s">
        <v>1169</v>
      </c>
      <c r="C209" s="8" t="s">
        <v>86</v>
      </c>
      <c r="D209" s="9" t="s">
        <v>1307</v>
      </c>
      <c r="E209" s="8" t="s">
        <v>42</v>
      </c>
      <c r="F209" s="9" t="s">
        <v>274</v>
      </c>
      <c r="G209" s="8" t="s">
        <v>148</v>
      </c>
      <c r="H209" s="8" t="s">
        <v>225</v>
      </c>
      <c r="I209" s="8" t="s">
        <v>98</v>
      </c>
      <c r="J209" s="9" t="s">
        <v>98</v>
      </c>
      <c r="K209" s="8" t="s">
        <v>98</v>
      </c>
      <c r="L209" s="8" t="s">
        <v>98</v>
      </c>
      <c r="M209" s="8" t="s">
        <v>98</v>
      </c>
      <c r="N209" s="9" t="s">
        <v>1171</v>
      </c>
      <c r="O209" s="9" t="s">
        <v>1297</v>
      </c>
      <c r="P209" s="9" t="s">
        <v>236</v>
      </c>
      <c r="Q209" s="52">
        <v>42004</v>
      </c>
      <c r="R209" s="9" t="s">
        <v>276</v>
      </c>
      <c r="S209" s="9" t="s">
        <v>1298</v>
      </c>
      <c r="T209" s="9" t="s">
        <v>1299</v>
      </c>
      <c r="U209" s="51" t="s">
        <v>1174</v>
      </c>
      <c r="V209" s="8" t="s">
        <v>14</v>
      </c>
      <c r="W209" s="9" t="s">
        <v>1300</v>
      </c>
      <c r="X209" s="9" t="s">
        <v>208</v>
      </c>
      <c r="Y209" s="13">
        <v>50624</v>
      </c>
      <c r="Z209" s="9">
        <v>50623</v>
      </c>
      <c r="AA209" s="9" t="s">
        <v>276</v>
      </c>
      <c r="AB209" s="9" t="s">
        <v>276</v>
      </c>
      <c r="AC209" s="8">
        <v>540</v>
      </c>
      <c r="AD209" s="9" t="s">
        <v>1196</v>
      </c>
      <c r="AE209" s="8">
        <v>563</v>
      </c>
      <c r="AF209" s="9" t="s">
        <v>1196</v>
      </c>
      <c r="AG209" s="9" t="s">
        <v>1306</v>
      </c>
      <c r="AH209" s="9" t="s">
        <v>1308</v>
      </c>
      <c r="AI209" s="38">
        <v>212</v>
      </c>
      <c r="AJ209" s="38">
        <v>164</v>
      </c>
      <c r="AK209" s="38">
        <v>354</v>
      </c>
      <c r="AL209" s="38">
        <v>324</v>
      </c>
      <c r="AM209" s="38" t="s">
        <v>292</v>
      </c>
      <c r="AN209" s="8">
        <v>81</v>
      </c>
      <c r="AO209" s="14">
        <v>59.887005649717516</v>
      </c>
      <c r="AP209" s="8" t="s">
        <v>276</v>
      </c>
      <c r="AQ209" s="8" t="s">
        <v>276</v>
      </c>
      <c r="AR209" s="8">
        <v>30</v>
      </c>
      <c r="AS209" s="14">
        <v>50.617283950617285</v>
      </c>
      <c r="AT209" s="8" t="s">
        <v>276</v>
      </c>
      <c r="AU209" s="8" t="s">
        <v>276</v>
      </c>
      <c r="AV209" s="8" t="s">
        <v>268</v>
      </c>
      <c r="AW209" s="40" t="s">
        <v>276</v>
      </c>
      <c r="AX209" s="53">
        <v>1.1831335262505167</v>
      </c>
      <c r="AY209" s="9" t="s">
        <v>276</v>
      </c>
      <c r="AZ209" s="9" t="s">
        <v>276</v>
      </c>
      <c r="BA209" s="9" t="s">
        <v>276</v>
      </c>
      <c r="BB209" s="9" t="s">
        <v>282</v>
      </c>
      <c r="BC209" s="9" t="s">
        <v>276</v>
      </c>
      <c r="BD209" s="9" t="s">
        <v>276</v>
      </c>
      <c r="BE209" s="9" t="s">
        <v>276</v>
      </c>
      <c r="BF209" s="9" t="s">
        <v>298</v>
      </c>
      <c r="BG209" s="9"/>
      <c r="BH209" s="9" t="s">
        <v>100</v>
      </c>
      <c r="BI209" s="9" t="s">
        <v>100</v>
      </c>
      <c r="BJ209" s="32"/>
      <c r="BK209" s="32"/>
      <c r="BO209" s="32"/>
      <c r="BP209" s="32"/>
    </row>
    <row r="210" spans="1:68" s="33" customFormat="1" ht="78" hidden="1" x14ac:dyDescent="0.35">
      <c r="A210" s="8">
        <v>2733</v>
      </c>
      <c r="B210" s="8" t="s">
        <v>1169</v>
      </c>
      <c r="C210" s="8" t="s">
        <v>86</v>
      </c>
      <c r="D210" s="9" t="s">
        <v>1309</v>
      </c>
      <c r="E210" s="8" t="s">
        <v>42</v>
      </c>
      <c r="F210" s="9" t="s">
        <v>274</v>
      </c>
      <c r="G210" s="8" t="s">
        <v>225</v>
      </c>
      <c r="H210" s="8" t="s">
        <v>125</v>
      </c>
      <c r="I210" s="8" t="s">
        <v>114</v>
      </c>
      <c r="J210" s="9" t="s">
        <v>25</v>
      </c>
      <c r="K210" s="8" t="s">
        <v>300</v>
      </c>
      <c r="L210" s="8" t="s">
        <v>276</v>
      </c>
      <c r="M210" s="8" t="s">
        <v>276</v>
      </c>
      <c r="N210" s="9" t="s">
        <v>1171</v>
      </c>
      <c r="O210" s="9" t="s">
        <v>1297</v>
      </c>
      <c r="P210" s="9" t="s">
        <v>239</v>
      </c>
      <c r="Q210" s="52">
        <v>42004</v>
      </c>
      <c r="R210" s="9" t="s">
        <v>276</v>
      </c>
      <c r="S210" s="9" t="s">
        <v>1298</v>
      </c>
      <c r="T210" s="9" t="s">
        <v>1310</v>
      </c>
      <c r="U210" s="51" t="s">
        <v>1174</v>
      </c>
      <c r="V210" s="8" t="s">
        <v>14</v>
      </c>
      <c r="W210" s="9" t="s">
        <v>98</v>
      </c>
      <c r="X210" s="9" t="s">
        <v>207</v>
      </c>
      <c r="Y210" s="13">
        <v>50624</v>
      </c>
      <c r="Z210" s="38">
        <v>101299</v>
      </c>
      <c r="AA210" s="9" t="s">
        <v>276</v>
      </c>
      <c r="AB210" s="9" t="s">
        <v>276</v>
      </c>
      <c r="AC210" s="8">
        <v>1</v>
      </c>
      <c r="AD210" s="9" t="s">
        <v>1311</v>
      </c>
      <c r="AE210" s="8">
        <v>2</v>
      </c>
      <c r="AF210" s="9" t="s">
        <v>1311</v>
      </c>
      <c r="AG210" s="9" t="s">
        <v>1312</v>
      </c>
      <c r="AH210" s="9" t="s">
        <v>1302</v>
      </c>
      <c r="AI210" s="38">
        <v>127</v>
      </c>
      <c r="AJ210" s="38">
        <v>147</v>
      </c>
      <c r="AK210" s="38">
        <v>50624</v>
      </c>
      <c r="AL210" s="38">
        <v>101299</v>
      </c>
      <c r="AM210" s="38" t="s">
        <v>281</v>
      </c>
      <c r="AN210" s="8" t="s">
        <v>276</v>
      </c>
      <c r="AO210" s="14">
        <v>2.5086915297092287</v>
      </c>
      <c r="AP210" s="8" t="s">
        <v>276</v>
      </c>
      <c r="AQ210" s="8" t="s">
        <v>276</v>
      </c>
      <c r="AR210" s="8" t="s">
        <v>276</v>
      </c>
      <c r="AS210" s="14">
        <v>1.4511495671230712</v>
      </c>
      <c r="AT210" s="8" t="s">
        <v>276</v>
      </c>
      <c r="AU210" s="8" t="s">
        <v>276</v>
      </c>
      <c r="AV210" s="8" t="s">
        <v>268</v>
      </c>
      <c r="AW210" s="40" t="s">
        <v>276</v>
      </c>
      <c r="AX210" s="53">
        <v>1.7287615188300351</v>
      </c>
      <c r="AY210" s="9" t="s">
        <v>276</v>
      </c>
      <c r="AZ210" s="9" t="s">
        <v>276</v>
      </c>
      <c r="BA210" s="9" t="s">
        <v>276</v>
      </c>
      <c r="BB210" s="9" t="s">
        <v>282</v>
      </c>
      <c r="BC210" s="9" t="s">
        <v>276</v>
      </c>
      <c r="BD210" s="9" t="s">
        <v>276</v>
      </c>
      <c r="BE210" s="9" t="s">
        <v>276</v>
      </c>
      <c r="BF210" s="9" t="s">
        <v>1313</v>
      </c>
      <c r="BG210" s="9"/>
      <c r="BH210" s="9" t="s">
        <v>100</v>
      </c>
      <c r="BI210" s="9" t="s">
        <v>100</v>
      </c>
      <c r="BJ210" s="32"/>
      <c r="BK210" s="32"/>
      <c r="BO210" s="32"/>
      <c r="BP210" s="32"/>
    </row>
    <row r="211" spans="1:68" s="33" customFormat="1" ht="78" hidden="1" x14ac:dyDescent="0.35">
      <c r="A211" s="8">
        <v>2733</v>
      </c>
      <c r="B211" s="8" t="s">
        <v>1169</v>
      </c>
      <c r="C211" s="8" t="s">
        <v>86</v>
      </c>
      <c r="D211" s="9" t="s">
        <v>1314</v>
      </c>
      <c r="E211" s="8" t="s">
        <v>42</v>
      </c>
      <c r="F211" s="9" t="s">
        <v>274</v>
      </c>
      <c r="G211" s="8" t="s">
        <v>225</v>
      </c>
      <c r="H211" s="8" t="s">
        <v>125</v>
      </c>
      <c r="I211" s="8" t="s">
        <v>114</v>
      </c>
      <c r="J211" s="9" t="s">
        <v>25</v>
      </c>
      <c r="K211" s="8" t="s">
        <v>300</v>
      </c>
      <c r="L211" s="8" t="s">
        <v>276</v>
      </c>
      <c r="M211" s="8" t="s">
        <v>276</v>
      </c>
      <c r="N211" s="9" t="s">
        <v>1171</v>
      </c>
      <c r="O211" s="9" t="s">
        <v>1297</v>
      </c>
      <c r="P211" s="9" t="s">
        <v>239</v>
      </c>
      <c r="Q211" s="52">
        <v>42004</v>
      </c>
      <c r="R211" s="9" t="s">
        <v>276</v>
      </c>
      <c r="S211" s="9" t="s">
        <v>1298</v>
      </c>
      <c r="T211" s="9" t="s">
        <v>1310</v>
      </c>
      <c r="U211" s="51" t="s">
        <v>1174</v>
      </c>
      <c r="V211" s="8" t="s">
        <v>14</v>
      </c>
      <c r="W211" s="9" t="s">
        <v>98</v>
      </c>
      <c r="X211" s="9" t="s">
        <v>207</v>
      </c>
      <c r="Y211" s="13">
        <v>50624</v>
      </c>
      <c r="Z211" s="38">
        <v>101299</v>
      </c>
      <c r="AA211" s="9" t="s">
        <v>276</v>
      </c>
      <c r="AB211" s="9" t="s">
        <v>276</v>
      </c>
      <c r="AC211" s="8">
        <v>1</v>
      </c>
      <c r="AD211" s="9" t="s">
        <v>1311</v>
      </c>
      <c r="AE211" s="8">
        <v>2</v>
      </c>
      <c r="AF211" s="9" t="s">
        <v>1311</v>
      </c>
      <c r="AG211" s="9" t="s">
        <v>1312</v>
      </c>
      <c r="AH211" s="9" t="s">
        <v>1188</v>
      </c>
      <c r="AI211" s="38">
        <v>127</v>
      </c>
      <c r="AJ211" s="38">
        <v>147</v>
      </c>
      <c r="AK211" s="38">
        <v>548533</v>
      </c>
      <c r="AL211" s="38">
        <v>1097089</v>
      </c>
      <c r="AM211" s="38" t="s">
        <v>425</v>
      </c>
      <c r="AN211" s="8" t="s">
        <v>276</v>
      </c>
      <c r="AO211" s="14">
        <v>0.23152663558983688</v>
      </c>
      <c r="AP211" s="8" t="s">
        <v>276</v>
      </c>
      <c r="AQ211" s="8" t="s">
        <v>276</v>
      </c>
      <c r="AR211" s="8" t="s">
        <v>276</v>
      </c>
      <c r="AS211" s="14">
        <v>0.13399095242045084</v>
      </c>
      <c r="AT211" s="8" t="s">
        <v>276</v>
      </c>
      <c r="AU211" s="8" t="s">
        <v>276</v>
      </c>
      <c r="AV211" s="8" t="s">
        <v>269</v>
      </c>
      <c r="AW211" s="40" t="s">
        <v>276</v>
      </c>
      <c r="AX211" s="53">
        <v>1.7279273817184937</v>
      </c>
      <c r="AY211" s="9" t="s">
        <v>276</v>
      </c>
      <c r="AZ211" s="9" t="s">
        <v>276</v>
      </c>
      <c r="BA211" s="9" t="s">
        <v>276</v>
      </c>
      <c r="BB211" s="9" t="s">
        <v>282</v>
      </c>
      <c r="BC211" s="9" t="s">
        <v>276</v>
      </c>
      <c r="BD211" s="9" t="s">
        <v>276</v>
      </c>
      <c r="BE211" s="9" t="s">
        <v>276</v>
      </c>
      <c r="BF211" s="9" t="s">
        <v>1315</v>
      </c>
      <c r="BG211" s="9"/>
      <c r="BH211" s="9" t="s">
        <v>100</v>
      </c>
      <c r="BI211" s="9" t="s">
        <v>100</v>
      </c>
      <c r="BJ211" s="32"/>
      <c r="BK211" s="32"/>
      <c r="BO211" s="32"/>
      <c r="BP211" s="32"/>
    </row>
    <row r="212" spans="1:68" s="33" customFormat="1" ht="78" hidden="1" x14ac:dyDescent="0.35">
      <c r="A212" s="8">
        <v>2733</v>
      </c>
      <c r="B212" s="8" t="s">
        <v>1169</v>
      </c>
      <c r="C212" s="8" t="s">
        <v>86</v>
      </c>
      <c r="D212" s="9" t="s">
        <v>1316</v>
      </c>
      <c r="E212" s="8" t="s">
        <v>42</v>
      </c>
      <c r="F212" s="9" t="s">
        <v>274</v>
      </c>
      <c r="G212" s="8" t="s">
        <v>225</v>
      </c>
      <c r="H212" s="8" t="s">
        <v>125</v>
      </c>
      <c r="I212" s="8" t="s">
        <v>114</v>
      </c>
      <c r="J212" s="9" t="s">
        <v>25</v>
      </c>
      <c r="K212" s="8" t="s">
        <v>304</v>
      </c>
      <c r="L212" s="8" t="s">
        <v>276</v>
      </c>
      <c r="M212" s="8" t="s">
        <v>276</v>
      </c>
      <c r="N212" s="9" t="s">
        <v>1171</v>
      </c>
      <c r="O212" s="9" t="s">
        <v>1297</v>
      </c>
      <c r="P212" s="9" t="s">
        <v>239</v>
      </c>
      <c r="Q212" s="52">
        <v>42004</v>
      </c>
      <c r="R212" s="9" t="s">
        <v>276</v>
      </c>
      <c r="S212" s="9" t="s">
        <v>1298</v>
      </c>
      <c r="T212" s="9" t="s">
        <v>1310</v>
      </c>
      <c r="U212" s="51" t="s">
        <v>1174</v>
      </c>
      <c r="V212" s="8" t="s">
        <v>14</v>
      </c>
      <c r="W212" s="9" t="s">
        <v>98</v>
      </c>
      <c r="X212" s="9" t="s">
        <v>207</v>
      </c>
      <c r="Y212" s="13">
        <v>50624</v>
      </c>
      <c r="Z212" s="38">
        <v>101299</v>
      </c>
      <c r="AA212" s="9" t="s">
        <v>276</v>
      </c>
      <c r="AB212" s="9" t="s">
        <v>276</v>
      </c>
      <c r="AC212" s="8">
        <v>1</v>
      </c>
      <c r="AD212" s="9" t="s">
        <v>1311</v>
      </c>
      <c r="AE212" s="8">
        <v>2</v>
      </c>
      <c r="AF212" s="9" t="s">
        <v>1311</v>
      </c>
      <c r="AG212" s="9" t="s">
        <v>1317</v>
      </c>
      <c r="AH212" s="9" t="s">
        <v>1302</v>
      </c>
      <c r="AI212" s="38">
        <v>31</v>
      </c>
      <c r="AJ212" s="38">
        <v>50</v>
      </c>
      <c r="AK212" s="38">
        <v>50624</v>
      </c>
      <c r="AL212" s="38">
        <v>101299</v>
      </c>
      <c r="AM212" s="38" t="s">
        <v>281</v>
      </c>
      <c r="AN212" s="8" t="s">
        <v>276</v>
      </c>
      <c r="AO212" s="14">
        <v>0.61235777496839439</v>
      </c>
      <c r="AP212" s="8" t="s">
        <v>276</v>
      </c>
      <c r="AQ212" s="8" t="s">
        <v>276</v>
      </c>
      <c r="AR212" s="8" t="s">
        <v>276</v>
      </c>
      <c r="AS212" s="14">
        <v>0.4935882881370991</v>
      </c>
      <c r="AT212" s="8" t="s">
        <v>276</v>
      </c>
      <c r="AU212" s="8" t="s">
        <v>276</v>
      </c>
      <c r="AV212" s="8" t="s">
        <v>268</v>
      </c>
      <c r="AW212" s="40" t="s">
        <v>276</v>
      </c>
      <c r="AX212" s="53">
        <v>1.2406246049304677</v>
      </c>
      <c r="AY212" s="9" t="s">
        <v>276</v>
      </c>
      <c r="AZ212" s="9" t="s">
        <v>276</v>
      </c>
      <c r="BA212" s="9" t="s">
        <v>276</v>
      </c>
      <c r="BB212" s="9" t="s">
        <v>282</v>
      </c>
      <c r="BC212" s="9" t="s">
        <v>276</v>
      </c>
      <c r="BD212" s="9" t="s">
        <v>276</v>
      </c>
      <c r="BE212" s="9" t="s">
        <v>276</v>
      </c>
      <c r="BF212" s="9" t="s">
        <v>1313</v>
      </c>
      <c r="BG212" s="9"/>
      <c r="BH212" s="9" t="s">
        <v>100</v>
      </c>
      <c r="BI212" s="9" t="s">
        <v>100</v>
      </c>
      <c r="BJ212" s="32"/>
      <c r="BK212" s="32"/>
      <c r="BO212" s="32"/>
      <c r="BP212" s="32"/>
    </row>
    <row r="213" spans="1:68" s="33" customFormat="1" ht="78" hidden="1" x14ac:dyDescent="0.35">
      <c r="A213" s="8">
        <v>2733</v>
      </c>
      <c r="B213" s="8" t="s">
        <v>1169</v>
      </c>
      <c r="C213" s="8" t="s">
        <v>86</v>
      </c>
      <c r="D213" s="9" t="s">
        <v>1318</v>
      </c>
      <c r="E213" s="8" t="s">
        <v>42</v>
      </c>
      <c r="F213" s="9" t="s">
        <v>274</v>
      </c>
      <c r="G213" s="8" t="s">
        <v>225</v>
      </c>
      <c r="H213" s="8" t="s">
        <v>125</v>
      </c>
      <c r="I213" s="8" t="s">
        <v>114</v>
      </c>
      <c r="J213" s="9" t="s">
        <v>25</v>
      </c>
      <c r="K213" s="8" t="s">
        <v>304</v>
      </c>
      <c r="L213" s="8" t="s">
        <v>276</v>
      </c>
      <c r="M213" s="8" t="s">
        <v>276</v>
      </c>
      <c r="N213" s="9" t="s">
        <v>1171</v>
      </c>
      <c r="O213" s="9" t="s">
        <v>1297</v>
      </c>
      <c r="P213" s="9" t="s">
        <v>239</v>
      </c>
      <c r="Q213" s="52">
        <v>42004</v>
      </c>
      <c r="R213" s="9" t="s">
        <v>276</v>
      </c>
      <c r="S213" s="9" t="s">
        <v>1298</v>
      </c>
      <c r="T213" s="9" t="s">
        <v>1310</v>
      </c>
      <c r="U213" s="51" t="s">
        <v>1174</v>
      </c>
      <c r="V213" s="8" t="s">
        <v>14</v>
      </c>
      <c r="W213" s="9" t="s">
        <v>98</v>
      </c>
      <c r="X213" s="9" t="s">
        <v>207</v>
      </c>
      <c r="Y213" s="13">
        <v>50624</v>
      </c>
      <c r="Z213" s="38">
        <v>101299</v>
      </c>
      <c r="AA213" s="9" t="s">
        <v>276</v>
      </c>
      <c r="AB213" s="9" t="s">
        <v>276</v>
      </c>
      <c r="AC213" s="8">
        <v>1</v>
      </c>
      <c r="AD213" s="9" t="s">
        <v>1311</v>
      </c>
      <c r="AE213" s="8">
        <v>2</v>
      </c>
      <c r="AF213" s="9" t="s">
        <v>1311</v>
      </c>
      <c r="AG213" s="9" t="s">
        <v>1317</v>
      </c>
      <c r="AH213" s="9" t="s">
        <v>1188</v>
      </c>
      <c r="AI213" s="38">
        <v>31</v>
      </c>
      <c r="AJ213" s="38">
        <v>50</v>
      </c>
      <c r="AK213" s="38">
        <v>548533</v>
      </c>
      <c r="AL213" s="38">
        <v>1097089</v>
      </c>
      <c r="AM213" s="38" t="s">
        <v>425</v>
      </c>
      <c r="AN213" s="8" t="s">
        <v>276</v>
      </c>
      <c r="AO213" s="14">
        <v>5.6514375616416881E-2</v>
      </c>
      <c r="AP213" s="8" t="s">
        <v>276</v>
      </c>
      <c r="AQ213" s="8" t="s">
        <v>276</v>
      </c>
      <c r="AR213" s="8" t="s">
        <v>276</v>
      </c>
      <c r="AS213" s="14">
        <v>4.5575153884507093E-2</v>
      </c>
      <c r="AT213" s="8" t="s">
        <v>276</v>
      </c>
      <c r="AU213" s="8" t="s">
        <v>276</v>
      </c>
      <c r="AV213" s="8" t="s">
        <v>269</v>
      </c>
      <c r="AW213" s="40" t="s">
        <v>276</v>
      </c>
      <c r="AX213" s="53">
        <v>1.2400259966127836</v>
      </c>
      <c r="AY213" s="9" t="s">
        <v>276</v>
      </c>
      <c r="AZ213" s="9" t="s">
        <v>276</v>
      </c>
      <c r="BA213" s="9" t="s">
        <v>276</v>
      </c>
      <c r="BB213" s="9" t="s">
        <v>282</v>
      </c>
      <c r="BC213" s="9" t="s">
        <v>276</v>
      </c>
      <c r="BD213" s="9" t="s">
        <v>276</v>
      </c>
      <c r="BE213" s="9" t="s">
        <v>276</v>
      </c>
      <c r="BF213" s="9" t="s">
        <v>1315</v>
      </c>
      <c r="BG213" s="9"/>
      <c r="BH213" s="9" t="s">
        <v>100</v>
      </c>
      <c r="BI213" s="9" t="s">
        <v>100</v>
      </c>
      <c r="BJ213" s="32"/>
      <c r="BK213" s="32"/>
      <c r="BO213" s="32"/>
      <c r="BP213" s="32"/>
    </row>
    <row r="214" spans="1:68" s="33" customFormat="1" ht="78" hidden="1" x14ac:dyDescent="0.35">
      <c r="A214" s="8">
        <v>2733</v>
      </c>
      <c r="B214" s="8" t="s">
        <v>1169</v>
      </c>
      <c r="C214" s="8" t="s">
        <v>86</v>
      </c>
      <c r="D214" s="9" t="s">
        <v>11671</v>
      </c>
      <c r="E214" s="8" t="s">
        <v>42</v>
      </c>
      <c r="F214" s="9" t="s">
        <v>274</v>
      </c>
      <c r="G214" s="8" t="s">
        <v>225</v>
      </c>
      <c r="H214" s="8" t="s">
        <v>125</v>
      </c>
      <c r="I214" s="8" t="s">
        <v>114</v>
      </c>
      <c r="J214" s="9" t="s">
        <v>25</v>
      </c>
      <c r="K214" s="8" t="s">
        <v>307</v>
      </c>
      <c r="L214" s="8" t="s">
        <v>276</v>
      </c>
      <c r="M214" s="8" t="s">
        <v>276</v>
      </c>
      <c r="N214" s="9" t="s">
        <v>1171</v>
      </c>
      <c r="O214" s="9" t="s">
        <v>1297</v>
      </c>
      <c r="P214" s="9" t="s">
        <v>239</v>
      </c>
      <c r="Q214" s="52">
        <v>42004</v>
      </c>
      <c r="R214" s="9" t="s">
        <v>276</v>
      </c>
      <c r="S214" s="9" t="s">
        <v>1298</v>
      </c>
      <c r="T214" s="9" t="s">
        <v>1310</v>
      </c>
      <c r="U214" s="51" t="s">
        <v>1174</v>
      </c>
      <c r="V214" s="8" t="s">
        <v>14</v>
      </c>
      <c r="W214" s="9" t="s">
        <v>98</v>
      </c>
      <c r="X214" s="9" t="s">
        <v>207</v>
      </c>
      <c r="Y214" s="13">
        <v>50624</v>
      </c>
      <c r="Z214" s="38">
        <v>101299</v>
      </c>
      <c r="AA214" s="9" t="s">
        <v>276</v>
      </c>
      <c r="AB214" s="9" t="s">
        <v>276</v>
      </c>
      <c r="AC214" s="8">
        <v>1</v>
      </c>
      <c r="AD214" s="9" t="s">
        <v>1311</v>
      </c>
      <c r="AE214" s="8">
        <v>2</v>
      </c>
      <c r="AF214" s="9" t="s">
        <v>1311</v>
      </c>
      <c r="AG214" s="9" t="s">
        <v>11672</v>
      </c>
      <c r="AH214" s="9" t="s">
        <v>1188</v>
      </c>
      <c r="AI214" s="38">
        <f>31+127</f>
        <v>158</v>
      </c>
      <c r="AJ214" s="38">
        <f>50+147</f>
        <v>197</v>
      </c>
      <c r="AK214" s="38">
        <v>548533</v>
      </c>
      <c r="AL214" s="38">
        <v>1097089</v>
      </c>
      <c r="AM214" s="38" t="s">
        <v>425</v>
      </c>
      <c r="AN214" s="8" t="s">
        <v>276</v>
      </c>
      <c r="AO214" s="14">
        <f>AI214*1000/AK214</f>
        <v>0.28804101120625375</v>
      </c>
      <c r="AP214" s="8" t="s">
        <v>276</v>
      </c>
      <c r="AQ214" s="8" t="s">
        <v>276</v>
      </c>
      <c r="AR214" s="8" t="s">
        <v>276</v>
      </c>
      <c r="AS214" s="14">
        <f>AJ214*1000/AL214</f>
        <v>0.17956610630495795</v>
      </c>
      <c r="AT214" s="8" t="s">
        <v>276</v>
      </c>
      <c r="AU214" s="8" t="s">
        <v>276</v>
      </c>
      <c r="AV214" s="8" t="s">
        <v>269</v>
      </c>
      <c r="AW214" s="40" t="s">
        <v>276</v>
      </c>
      <c r="AX214" s="53">
        <f>AO214/AS214</f>
        <v>1.6040945428591762</v>
      </c>
      <c r="AY214" s="9" t="s">
        <v>276</v>
      </c>
      <c r="AZ214" s="9" t="s">
        <v>276</v>
      </c>
      <c r="BA214" s="9" t="s">
        <v>276</v>
      </c>
      <c r="BB214" s="9" t="s">
        <v>282</v>
      </c>
      <c r="BC214" s="9" t="s">
        <v>276</v>
      </c>
      <c r="BD214" s="9" t="s">
        <v>276</v>
      </c>
      <c r="BE214" s="9" t="s">
        <v>276</v>
      </c>
      <c r="BF214" s="9" t="s">
        <v>1315</v>
      </c>
      <c r="BG214" s="9"/>
      <c r="BH214" s="9" t="s">
        <v>100</v>
      </c>
      <c r="BI214" s="9" t="s">
        <v>100</v>
      </c>
      <c r="BJ214" s="32"/>
      <c r="BK214" s="32"/>
      <c r="BO214" s="32"/>
      <c r="BP214" s="32"/>
    </row>
    <row r="215" spans="1:68" s="33" customFormat="1" ht="78" hidden="1" x14ac:dyDescent="0.35">
      <c r="A215" s="8">
        <v>2733</v>
      </c>
      <c r="B215" s="8" t="s">
        <v>1169</v>
      </c>
      <c r="C215" s="8" t="s">
        <v>86</v>
      </c>
      <c r="D215" s="9" t="s">
        <v>1319</v>
      </c>
      <c r="E215" s="8" t="s">
        <v>42</v>
      </c>
      <c r="F215" s="9" t="s">
        <v>274</v>
      </c>
      <c r="G215" s="8" t="s">
        <v>225</v>
      </c>
      <c r="H215" s="8" t="s">
        <v>125</v>
      </c>
      <c r="I215" s="8" t="s">
        <v>114</v>
      </c>
      <c r="J215" s="9" t="s">
        <v>25</v>
      </c>
      <c r="K215" s="8" t="s">
        <v>311</v>
      </c>
      <c r="L215" s="8" t="s">
        <v>276</v>
      </c>
      <c r="M215" s="8" t="s">
        <v>276</v>
      </c>
      <c r="N215" s="9" t="s">
        <v>1171</v>
      </c>
      <c r="O215" s="9" t="s">
        <v>1297</v>
      </c>
      <c r="P215" s="9" t="s">
        <v>239</v>
      </c>
      <c r="Q215" s="52">
        <v>42004</v>
      </c>
      <c r="R215" s="9" t="s">
        <v>276</v>
      </c>
      <c r="S215" s="9" t="s">
        <v>1298</v>
      </c>
      <c r="T215" s="9" t="s">
        <v>1310</v>
      </c>
      <c r="U215" s="51" t="s">
        <v>1174</v>
      </c>
      <c r="V215" s="8" t="s">
        <v>14</v>
      </c>
      <c r="W215" s="9" t="s">
        <v>98</v>
      </c>
      <c r="X215" s="9" t="s">
        <v>207</v>
      </c>
      <c r="Y215" s="13">
        <v>50624</v>
      </c>
      <c r="Z215" s="38">
        <v>101299</v>
      </c>
      <c r="AA215" s="9" t="s">
        <v>276</v>
      </c>
      <c r="AB215" s="9" t="s">
        <v>276</v>
      </c>
      <c r="AC215" s="8">
        <v>1</v>
      </c>
      <c r="AD215" s="9" t="s">
        <v>1311</v>
      </c>
      <c r="AE215" s="8">
        <v>2</v>
      </c>
      <c r="AF215" s="9" t="s">
        <v>1311</v>
      </c>
      <c r="AG215" s="9" t="s">
        <v>1320</v>
      </c>
      <c r="AH215" s="9" t="s">
        <v>1302</v>
      </c>
      <c r="AI215" s="38">
        <v>146</v>
      </c>
      <c r="AJ215" s="38">
        <v>323</v>
      </c>
      <c r="AK215" s="38">
        <v>50624</v>
      </c>
      <c r="AL215" s="38">
        <v>101299</v>
      </c>
      <c r="AM215" s="38" t="s">
        <v>281</v>
      </c>
      <c r="AN215" s="8" t="s">
        <v>276</v>
      </c>
      <c r="AO215" s="14">
        <v>2.8840075853350191</v>
      </c>
      <c r="AP215" s="8" t="s">
        <v>276</v>
      </c>
      <c r="AQ215" s="8" t="s">
        <v>276</v>
      </c>
      <c r="AR215" s="8" t="s">
        <v>276</v>
      </c>
      <c r="AS215" s="14">
        <v>3.1885803413656602</v>
      </c>
      <c r="AT215" s="8" t="s">
        <v>276</v>
      </c>
      <c r="AU215" s="8" t="s">
        <v>276</v>
      </c>
      <c r="AV215" s="8" t="s">
        <v>268</v>
      </c>
      <c r="AW215" s="40" t="s">
        <v>276</v>
      </c>
      <c r="AX215" s="53">
        <v>0.90448013742059474</v>
      </c>
      <c r="AY215" s="9" t="s">
        <v>276</v>
      </c>
      <c r="AZ215" s="9" t="s">
        <v>276</v>
      </c>
      <c r="BA215" s="9" t="s">
        <v>276</v>
      </c>
      <c r="BB215" s="9" t="s">
        <v>282</v>
      </c>
      <c r="BC215" s="9" t="s">
        <v>276</v>
      </c>
      <c r="BD215" s="9" t="s">
        <v>276</v>
      </c>
      <c r="BE215" s="9" t="s">
        <v>276</v>
      </c>
      <c r="BF215" s="9" t="s">
        <v>1313</v>
      </c>
      <c r="BG215" s="9"/>
      <c r="BH215" s="9" t="s">
        <v>100</v>
      </c>
      <c r="BI215" s="9" t="s">
        <v>100</v>
      </c>
      <c r="BJ215" s="32"/>
      <c r="BK215" s="32"/>
      <c r="BO215" s="32"/>
      <c r="BP215" s="32"/>
    </row>
    <row r="216" spans="1:68" s="33" customFormat="1" ht="78" hidden="1" x14ac:dyDescent="0.35">
      <c r="A216" s="8">
        <v>2733</v>
      </c>
      <c r="B216" s="8" t="s">
        <v>1169</v>
      </c>
      <c r="C216" s="8" t="s">
        <v>86</v>
      </c>
      <c r="D216" s="9" t="s">
        <v>1321</v>
      </c>
      <c r="E216" s="8" t="s">
        <v>42</v>
      </c>
      <c r="F216" s="9" t="s">
        <v>274</v>
      </c>
      <c r="G216" s="8" t="s">
        <v>225</v>
      </c>
      <c r="H216" s="8" t="s">
        <v>125</v>
      </c>
      <c r="I216" s="8" t="s">
        <v>114</v>
      </c>
      <c r="J216" s="9" t="s">
        <v>25</v>
      </c>
      <c r="K216" s="8" t="s">
        <v>311</v>
      </c>
      <c r="L216" s="8" t="s">
        <v>276</v>
      </c>
      <c r="M216" s="8" t="s">
        <v>276</v>
      </c>
      <c r="N216" s="9" t="s">
        <v>1171</v>
      </c>
      <c r="O216" s="9" t="s">
        <v>1297</v>
      </c>
      <c r="P216" s="9" t="s">
        <v>239</v>
      </c>
      <c r="Q216" s="52">
        <v>42004</v>
      </c>
      <c r="R216" s="9" t="s">
        <v>276</v>
      </c>
      <c r="S216" s="9" t="s">
        <v>1298</v>
      </c>
      <c r="T216" s="9" t="s">
        <v>1310</v>
      </c>
      <c r="U216" s="51" t="s">
        <v>1174</v>
      </c>
      <c r="V216" s="8" t="s">
        <v>14</v>
      </c>
      <c r="W216" s="9" t="s">
        <v>98</v>
      </c>
      <c r="X216" s="9" t="s">
        <v>207</v>
      </c>
      <c r="Y216" s="13">
        <v>50624</v>
      </c>
      <c r="Z216" s="38">
        <v>101299</v>
      </c>
      <c r="AA216" s="9" t="s">
        <v>276</v>
      </c>
      <c r="AB216" s="9" t="s">
        <v>276</v>
      </c>
      <c r="AC216" s="8">
        <v>1</v>
      </c>
      <c r="AD216" s="9" t="s">
        <v>1311</v>
      </c>
      <c r="AE216" s="8">
        <v>2</v>
      </c>
      <c r="AF216" s="9" t="s">
        <v>1311</v>
      </c>
      <c r="AG216" s="9" t="s">
        <v>1320</v>
      </c>
      <c r="AH216" s="9" t="s">
        <v>1188</v>
      </c>
      <c r="AI216" s="38">
        <v>146</v>
      </c>
      <c r="AJ216" s="38">
        <v>323</v>
      </c>
      <c r="AK216" s="38">
        <v>548533</v>
      </c>
      <c r="AL216" s="38">
        <v>1097089</v>
      </c>
      <c r="AM216" s="38" t="s">
        <v>425</v>
      </c>
      <c r="AN216" s="8" t="s">
        <v>276</v>
      </c>
      <c r="AO216" s="14">
        <v>0.26616447870957627</v>
      </c>
      <c r="AP216" s="8" t="s">
        <v>276</v>
      </c>
      <c r="AQ216" s="8" t="s">
        <v>276</v>
      </c>
      <c r="AR216" s="8" t="s">
        <v>276</v>
      </c>
      <c r="AS216" s="14">
        <v>0.29441549409391582</v>
      </c>
      <c r="AT216" s="8" t="s">
        <v>276</v>
      </c>
      <c r="AU216" s="8" t="s">
        <v>276</v>
      </c>
      <c r="AV216" s="8" t="s">
        <v>269</v>
      </c>
      <c r="AW216" s="40" t="s">
        <v>276</v>
      </c>
      <c r="AX216" s="53">
        <v>0.90404372069043437</v>
      </c>
      <c r="AY216" s="9" t="s">
        <v>276</v>
      </c>
      <c r="AZ216" s="9" t="s">
        <v>276</v>
      </c>
      <c r="BA216" s="9" t="s">
        <v>276</v>
      </c>
      <c r="BB216" s="9" t="s">
        <v>282</v>
      </c>
      <c r="BC216" s="9" t="s">
        <v>276</v>
      </c>
      <c r="BD216" s="9" t="s">
        <v>276</v>
      </c>
      <c r="BE216" s="9" t="s">
        <v>276</v>
      </c>
      <c r="BF216" s="9" t="s">
        <v>1315</v>
      </c>
      <c r="BG216" s="9"/>
      <c r="BH216" s="9" t="s">
        <v>100</v>
      </c>
      <c r="BI216" s="9" t="s">
        <v>100</v>
      </c>
      <c r="BJ216" s="32"/>
      <c r="BK216" s="32"/>
      <c r="BO216" s="32"/>
      <c r="BP216" s="32"/>
    </row>
    <row r="217" spans="1:68" s="33" customFormat="1" ht="78" hidden="1" x14ac:dyDescent="0.35">
      <c r="A217" s="8">
        <v>2733</v>
      </c>
      <c r="B217" s="8" t="s">
        <v>1169</v>
      </c>
      <c r="C217" s="8" t="s">
        <v>86</v>
      </c>
      <c r="D217" s="9" t="s">
        <v>1322</v>
      </c>
      <c r="E217" s="8" t="s">
        <v>42</v>
      </c>
      <c r="F217" s="9" t="s">
        <v>274</v>
      </c>
      <c r="G217" s="8" t="s">
        <v>225</v>
      </c>
      <c r="H217" s="8" t="s">
        <v>125</v>
      </c>
      <c r="I217" s="8" t="s">
        <v>114</v>
      </c>
      <c r="J217" s="9" t="s">
        <v>25</v>
      </c>
      <c r="K217" s="8" t="s">
        <v>314</v>
      </c>
      <c r="L217" s="8" t="s">
        <v>276</v>
      </c>
      <c r="M217" s="8" t="s">
        <v>276</v>
      </c>
      <c r="N217" s="9" t="s">
        <v>1171</v>
      </c>
      <c r="O217" s="9" t="s">
        <v>1297</v>
      </c>
      <c r="P217" s="9" t="s">
        <v>239</v>
      </c>
      <c r="Q217" s="52">
        <v>42004</v>
      </c>
      <c r="R217" s="9" t="s">
        <v>276</v>
      </c>
      <c r="S217" s="9" t="s">
        <v>1298</v>
      </c>
      <c r="T217" s="9" t="s">
        <v>1310</v>
      </c>
      <c r="U217" s="51" t="s">
        <v>1174</v>
      </c>
      <c r="V217" s="8" t="s">
        <v>14</v>
      </c>
      <c r="W217" s="9" t="s">
        <v>98</v>
      </c>
      <c r="X217" s="9" t="s">
        <v>207</v>
      </c>
      <c r="Y217" s="13">
        <v>50624</v>
      </c>
      <c r="Z217" s="38">
        <v>101299</v>
      </c>
      <c r="AA217" s="9" t="s">
        <v>276</v>
      </c>
      <c r="AB217" s="9" t="s">
        <v>276</v>
      </c>
      <c r="AC217" s="8">
        <v>1</v>
      </c>
      <c r="AD217" s="9" t="s">
        <v>1311</v>
      </c>
      <c r="AE217" s="8">
        <v>2</v>
      </c>
      <c r="AF217" s="9" t="s">
        <v>1311</v>
      </c>
      <c r="AG217" s="9" t="s">
        <v>1323</v>
      </c>
      <c r="AH217" s="9" t="s">
        <v>1302</v>
      </c>
      <c r="AI217" s="38">
        <v>33</v>
      </c>
      <c r="AJ217" s="38">
        <v>108</v>
      </c>
      <c r="AK217" s="38">
        <v>50624</v>
      </c>
      <c r="AL217" s="38">
        <v>101299</v>
      </c>
      <c r="AM217" s="38" t="s">
        <v>281</v>
      </c>
      <c r="AN217" s="8" t="s">
        <v>276</v>
      </c>
      <c r="AO217" s="14">
        <v>0.65186472819216179</v>
      </c>
      <c r="AP217" s="8" t="s">
        <v>276</v>
      </c>
      <c r="AQ217" s="8" t="s">
        <v>276</v>
      </c>
      <c r="AR217" s="8" t="s">
        <v>276</v>
      </c>
      <c r="AS217" s="14">
        <v>1.0661507023761341</v>
      </c>
      <c r="AT217" s="8" t="s">
        <v>276</v>
      </c>
      <c r="AU217" s="8" t="s">
        <v>276</v>
      </c>
      <c r="AV217" s="8" t="s">
        <v>268</v>
      </c>
      <c r="AW217" s="40" t="s">
        <v>276</v>
      </c>
      <c r="AX217" s="53">
        <v>0.61141893612164622</v>
      </c>
      <c r="AY217" s="9" t="s">
        <v>276</v>
      </c>
      <c r="AZ217" s="9" t="s">
        <v>276</v>
      </c>
      <c r="BA217" s="9" t="s">
        <v>276</v>
      </c>
      <c r="BB217" s="9" t="s">
        <v>282</v>
      </c>
      <c r="BC217" s="9" t="s">
        <v>276</v>
      </c>
      <c r="BD217" s="9" t="s">
        <v>276</v>
      </c>
      <c r="BE217" s="9" t="s">
        <v>276</v>
      </c>
      <c r="BF217" s="9" t="s">
        <v>1313</v>
      </c>
      <c r="BG217" s="9"/>
      <c r="BH217" s="9" t="s">
        <v>100</v>
      </c>
      <c r="BI217" s="9" t="s">
        <v>100</v>
      </c>
      <c r="BJ217" s="32"/>
      <c r="BK217" s="32"/>
      <c r="BO217" s="32"/>
      <c r="BP217" s="32"/>
    </row>
    <row r="218" spans="1:68" s="33" customFormat="1" ht="78" hidden="1" x14ac:dyDescent="0.35">
      <c r="A218" s="8">
        <v>2733</v>
      </c>
      <c r="B218" s="8" t="s">
        <v>1169</v>
      </c>
      <c r="C218" s="8" t="s">
        <v>86</v>
      </c>
      <c r="D218" s="9" t="s">
        <v>1324</v>
      </c>
      <c r="E218" s="8" t="s">
        <v>42</v>
      </c>
      <c r="F218" s="9" t="s">
        <v>274</v>
      </c>
      <c r="G218" s="8" t="s">
        <v>225</v>
      </c>
      <c r="H218" s="8" t="s">
        <v>125</v>
      </c>
      <c r="I218" s="8" t="s">
        <v>114</v>
      </c>
      <c r="J218" s="9" t="s">
        <v>25</v>
      </c>
      <c r="K218" s="8" t="s">
        <v>314</v>
      </c>
      <c r="L218" s="8" t="s">
        <v>276</v>
      </c>
      <c r="M218" s="8" t="s">
        <v>276</v>
      </c>
      <c r="N218" s="9" t="s">
        <v>1171</v>
      </c>
      <c r="O218" s="9" t="s">
        <v>1297</v>
      </c>
      <c r="P218" s="9" t="s">
        <v>239</v>
      </c>
      <c r="Q218" s="52">
        <v>42004</v>
      </c>
      <c r="R218" s="9" t="s">
        <v>276</v>
      </c>
      <c r="S218" s="9" t="s">
        <v>1298</v>
      </c>
      <c r="T218" s="9" t="s">
        <v>1310</v>
      </c>
      <c r="U218" s="51" t="s">
        <v>1174</v>
      </c>
      <c r="V218" s="8" t="s">
        <v>14</v>
      </c>
      <c r="W218" s="9" t="s">
        <v>98</v>
      </c>
      <c r="X218" s="9" t="s">
        <v>207</v>
      </c>
      <c r="Y218" s="13">
        <v>50624</v>
      </c>
      <c r="Z218" s="38">
        <v>101299</v>
      </c>
      <c r="AA218" s="9" t="s">
        <v>276</v>
      </c>
      <c r="AB218" s="9" t="s">
        <v>276</v>
      </c>
      <c r="AC218" s="8">
        <v>1</v>
      </c>
      <c r="AD218" s="9" t="s">
        <v>1311</v>
      </c>
      <c r="AE218" s="8">
        <v>2</v>
      </c>
      <c r="AF218" s="9" t="s">
        <v>1311</v>
      </c>
      <c r="AG218" s="9" t="s">
        <v>1323</v>
      </c>
      <c r="AH218" s="9" t="s">
        <v>1188</v>
      </c>
      <c r="AI218" s="38">
        <v>33</v>
      </c>
      <c r="AJ218" s="38">
        <v>108</v>
      </c>
      <c r="AK218" s="38">
        <v>548533</v>
      </c>
      <c r="AL218" s="38">
        <v>1097089</v>
      </c>
      <c r="AM218" s="38" t="s">
        <v>425</v>
      </c>
      <c r="AN218" s="8" t="s">
        <v>276</v>
      </c>
      <c r="AO218" s="14">
        <v>6.0160464365863128E-2</v>
      </c>
      <c r="AP218" s="8" t="s">
        <v>276</v>
      </c>
      <c r="AQ218" s="8" t="s">
        <v>276</v>
      </c>
      <c r="AR218" s="8" t="s">
        <v>276</v>
      </c>
      <c r="AS218" s="14">
        <v>9.844233239053532E-2</v>
      </c>
      <c r="AT218" s="8" t="s">
        <v>276</v>
      </c>
      <c r="AU218" s="8" t="s">
        <v>276</v>
      </c>
      <c r="AV218" s="8" t="s">
        <v>269</v>
      </c>
      <c r="AW218" s="40" t="s">
        <v>276</v>
      </c>
      <c r="AX218" s="53">
        <v>0.6111239230618557</v>
      </c>
      <c r="AY218" s="9" t="s">
        <v>276</v>
      </c>
      <c r="AZ218" s="9" t="s">
        <v>276</v>
      </c>
      <c r="BA218" s="9" t="s">
        <v>276</v>
      </c>
      <c r="BB218" s="9" t="s">
        <v>282</v>
      </c>
      <c r="BC218" s="9" t="s">
        <v>276</v>
      </c>
      <c r="BD218" s="9" t="s">
        <v>276</v>
      </c>
      <c r="BE218" s="9" t="s">
        <v>276</v>
      </c>
      <c r="BF218" s="9" t="s">
        <v>1315</v>
      </c>
      <c r="BG218" s="9"/>
      <c r="BH218" s="9" t="s">
        <v>100</v>
      </c>
      <c r="BI218" s="9" t="s">
        <v>100</v>
      </c>
      <c r="BJ218" s="32"/>
      <c r="BK218" s="32"/>
      <c r="BO218" s="32"/>
      <c r="BP218" s="32"/>
    </row>
    <row r="219" spans="1:68" s="33" customFormat="1" ht="91" hidden="1" x14ac:dyDescent="0.35">
      <c r="A219" s="8">
        <v>2733</v>
      </c>
      <c r="B219" s="8" t="s">
        <v>1169</v>
      </c>
      <c r="C219" s="8" t="s">
        <v>86</v>
      </c>
      <c r="D219" s="9" t="s">
        <v>1325</v>
      </c>
      <c r="E219" s="8" t="s">
        <v>42</v>
      </c>
      <c r="F219" s="9" t="s">
        <v>274</v>
      </c>
      <c r="G219" s="8" t="s">
        <v>225</v>
      </c>
      <c r="H219" s="8" t="s">
        <v>125</v>
      </c>
      <c r="I219" s="8" t="s">
        <v>114</v>
      </c>
      <c r="J219" s="9" t="s">
        <v>25</v>
      </c>
      <c r="K219" s="8" t="s">
        <v>300</v>
      </c>
      <c r="L219" s="8" t="s">
        <v>276</v>
      </c>
      <c r="M219" s="8" t="s">
        <v>276</v>
      </c>
      <c r="N219" s="9" t="s">
        <v>1171</v>
      </c>
      <c r="O219" s="9" t="s">
        <v>1297</v>
      </c>
      <c r="P219" s="9" t="s">
        <v>239</v>
      </c>
      <c r="Q219" s="52">
        <v>42004</v>
      </c>
      <c r="R219" s="9" t="s">
        <v>276</v>
      </c>
      <c r="S219" s="9" t="s">
        <v>1298</v>
      </c>
      <c r="T219" s="9" t="s">
        <v>1310</v>
      </c>
      <c r="U219" s="51" t="s">
        <v>1174</v>
      </c>
      <c r="V219" s="8" t="s">
        <v>14</v>
      </c>
      <c r="W219" s="9" t="s">
        <v>98</v>
      </c>
      <c r="X219" s="9" t="s">
        <v>207</v>
      </c>
      <c r="Y219" s="13">
        <v>50624</v>
      </c>
      <c r="Z219" s="38">
        <v>101299</v>
      </c>
      <c r="AA219" s="9" t="s">
        <v>276</v>
      </c>
      <c r="AB219" s="9" t="s">
        <v>276</v>
      </c>
      <c r="AC219" s="8">
        <v>1</v>
      </c>
      <c r="AD219" s="9" t="s">
        <v>1311</v>
      </c>
      <c r="AE219" s="8">
        <v>2</v>
      </c>
      <c r="AF219" s="9" t="s">
        <v>1311</v>
      </c>
      <c r="AG219" s="9" t="s">
        <v>1326</v>
      </c>
      <c r="AH219" s="9" t="s">
        <v>1302</v>
      </c>
      <c r="AI219" s="38">
        <v>127</v>
      </c>
      <c r="AJ219" s="38">
        <v>147</v>
      </c>
      <c r="AK219" s="38">
        <v>50624</v>
      </c>
      <c r="AL219" s="38">
        <v>101299</v>
      </c>
      <c r="AM219" s="38" t="s">
        <v>281</v>
      </c>
      <c r="AN219" s="8" t="s">
        <v>276</v>
      </c>
      <c r="AO219" s="14">
        <v>2.5086915297092287</v>
      </c>
      <c r="AP219" s="8" t="s">
        <v>276</v>
      </c>
      <c r="AQ219" s="8" t="s">
        <v>276</v>
      </c>
      <c r="AR219" s="8" t="s">
        <v>276</v>
      </c>
      <c r="AS219" s="14">
        <v>1.4511495671230712</v>
      </c>
      <c r="AT219" s="8" t="s">
        <v>276</v>
      </c>
      <c r="AU219" s="8" t="s">
        <v>276</v>
      </c>
      <c r="AV219" s="8" t="s">
        <v>268</v>
      </c>
      <c r="AW219" s="40" t="s">
        <v>276</v>
      </c>
      <c r="AX219" s="53">
        <v>1.7287615188300351</v>
      </c>
      <c r="AY219" s="9" t="s">
        <v>276</v>
      </c>
      <c r="AZ219" s="9" t="s">
        <v>276</v>
      </c>
      <c r="BA219" s="9" t="s">
        <v>276</v>
      </c>
      <c r="BB219" s="9" t="s">
        <v>282</v>
      </c>
      <c r="BC219" s="9" t="s">
        <v>276</v>
      </c>
      <c r="BD219" s="9" t="s">
        <v>276</v>
      </c>
      <c r="BE219" s="9" t="s">
        <v>276</v>
      </c>
      <c r="BF219" s="9" t="s">
        <v>1313</v>
      </c>
      <c r="BG219" s="9"/>
      <c r="BH219" s="9" t="s">
        <v>100</v>
      </c>
      <c r="BI219" s="9" t="s">
        <v>100</v>
      </c>
      <c r="BJ219" s="32"/>
      <c r="BK219" s="32"/>
      <c r="BO219" s="32"/>
      <c r="BP219" s="32"/>
    </row>
    <row r="220" spans="1:68" s="33" customFormat="1" ht="91" hidden="1" x14ac:dyDescent="0.35">
      <c r="A220" s="8">
        <v>2733</v>
      </c>
      <c r="B220" s="8" t="s">
        <v>1169</v>
      </c>
      <c r="C220" s="8" t="s">
        <v>86</v>
      </c>
      <c r="D220" s="9" t="s">
        <v>1327</v>
      </c>
      <c r="E220" s="8" t="s">
        <v>42</v>
      </c>
      <c r="F220" s="9" t="s">
        <v>274</v>
      </c>
      <c r="G220" s="8" t="s">
        <v>225</v>
      </c>
      <c r="H220" s="8" t="s">
        <v>125</v>
      </c>
      <c r="I220" s="8" t="s">
        <v>114</v>
      </c>
      <c r="J220" s="9" t="s">
        <v>25</v>
      </c>
      <c r="K220" s="8" t="s">
        <v>300</v>
      </c>
      <c r="L220" s="8" t="s">
        <v>276</v>
      </c>
      <c r="M220" s="8" t="s">
        <v>276</v>
      </c>
      <c r="N220" s="9" t="s">
        <v>1171</v>
      </c>
      <c r="O220" s="9" t="s">
        <v>1297</v>
      </c>
      <c r="P220" s="9" t="s">
        <v>239</v>
      </c>
      <c r="Q220" s="52">
        <v>42004</v>
      </c>
      <c r="R220" s="9" t="s">
        <v>276</v>
      </c>
      <c r="S220" s="9" t="s">
        <v>1298</v>
      </c>
      <c r="T220" s="9" t="s">
        <v>1310</v>
      </c>
      <c r="U220" s="51" t="s">
        <v>1174</v>
      </c>
      <c r="V220" s="8" t="s">
        <v>14</v>
      </c>
      <c r="W220" s="9" t="s">
        <v>98</v>
      </c>
      <c r="X220" s="9" t="s">
        <v>207</v>
      </c>
      <c r="Y220" s="13">
        <v>50624</v>
      </c>
      <c r="Z220" s="38">
        <v>101299</v>
      </c>
      <c r="AA220" s="9" t="s">
        <v>276</v>
      </c>
      <c r="AB220" s="9" t="s">
        <v>276</v>
      </c>
      <c r="AC220" s="8">
        <v>1</v>
      </c>
      <c r="AD220" s="9" t="s">
        <v>1311</v>
      </c>
      <c r="AE220" s="8">
        <v>2</v>
      </c>
      <c r="AF220" s="9" t="s">
        <v>1311</v>
      </c>
      <c r="AG220" s="9" t="s">
        <v>1326</v>
      </c>
      <c r="AH220" s="9" t="s">
        <v>1188</v>
      </c>
      <c r="AI220" s="38">
        <v>127</v>
      </c>
      <c r="AJ220" s="38">
        <v>147</v>
      </c>
      <c r="AK220" s="38">
        <v>548533</v>
      </c>
      <c r="AL220" s="38">
        <v>1097089</v>
      </c>
      <c r="AM220" s="38" t="s">
        <v>425</v>
      </c>
      <c r="AN220" s="8" t="s">
        <v>276</v>
      </c>
      <c r="AO220" s="14">
        <v>0.23152663558983688</v>
      </c>
      <c r="AP220" s="8" t="s">
        <v>276</v>
      </c>
      <c r="AQ220" s="8" t="s">
        <v>276</v>
      </c>
      <c r="AR220" s="8" t="s">
        <v>276</v>
      </c>
      <c r="AS220" s="14">
        <v>0.13399095242045084</v>
      </c>
      <c r="AT220" s="8" t="s">
        <v>276</v>
      </c>
      <c r="AU220" s="8" t="s">
        <v>276</v>
      </c>
      <c r="AV220" s="8" t="s">
        <v>269</v>
      </c>
      <c r="AW220" s="40" t="s">
        <v>276</v>
      </c>
      <c r="AX220" s="53">
        <v>1.7279273817184937</v>
      </c>
      <c r="AY220" s="9" t="s">
        <v>276</v>
      </c>
      <c r="AZ220" s="9" t="s">
        <v>276</v>
      </c>
      <c r="BA220" s="9" t="s">
        <v>276</v>
      </c>
      <c r="BB220" s="9" t="s">
        <v>282</v>
      </c>
      <c r="BC220" s="9" t="s">
        <v>276</v>
      </c>
      <c r="BD220" s="9" t="s">
        <v>276</v>
      </c>
      <c r="BE220" s="9" t="s">
        <v>276</v>
      </c>
      <c r="BF220" s="9" t="s">
        <v>1315</v>
      </c>
      <c r="BG220" s="9"/>
      <c r="BH220" s="9" t="s">
        <v>100</v>
      </c>
      <c r="BI220" s="9" t="s">
        <v>100</v>
      </c>
      <c r="BJ220" s="32"/>
      <c r="BK220" s="32"/>
      <c r="BO220" s="32"/>
      <c r="BP220" s="32"/>
    </row>
    <row r="221" spans="1:68" s="33" customFormat="1" ht="91" hidden="1" x14ac:dyDescent="0.35">
      <c r="A221" s="8">
        <v>2733</v>
      </c>
      <c r="B221" s="8" t="s">
        <v>1169</v>
      </c>
      <c r="C221" s="8" t="s">
        <v>86</v>
      </c>
      <c r="D221" s="9" t="s">
        <v>1328</v>
      </c>
      <c r="E221" s="8" t="s">
        <v>42</v>
      </c>
      <c r="F221" s="9" t="s">
        <v>274</v>
      </c>
      <c r="G221" s="8" t="s">
        <v>225</v>
      </c>
      <c r="H221" s="8" t="s">
        <v>125</v>
      </c>
      <c r="I221" s="8" t="s">
        <v>114</v>
      </c>
      <c r="J221" s="9" t="s">
        <v>25</v>
      </c>
      <c r="K221" s="8" t="s">
        <v>304</v>
      </c>
      <c r="L221" s="8" t="s">
        <v>276</v>
      </c>
      <c r="M221" s="8" t="s">
        <v>276</v>
      </c>
      <c r="N221" s="9" t="s">
        <v>1171</v>
      </c>
      <c r="O221" s="9" t="s">
        <v>1297</v>
      </c>
      <c r="P221" s="9" t="s">
        <v>239</v>
      </c>
      <c r="Q221" s="52">
        <v>42004</v>
      </c>
      <c r="R221" s="9" t="s">
        <v>276</v>
      </c>
      <c r="S221" s="9" t="s">
        <v>1298</v>
      </c>
      <c r="T221" s="9" t="s">
        <v>1310</v>
      </c>
      <c r="U221" s="51" t="s">
        <v>1174</v>
      </c>
      <c r="V221" s="8" t="s">
        <v>14</v>
      </c>
      <c r="W221" s="9" t="s">
        <v>98</v>
      </c>
      <c r="X221" s="9" t="s">
        <v>207</v>
      </c>
      <c r="Y221" s="13">
        <v>50624</v>
      </c>
      <c r="Z221" s="38">
        <v>101299</v>
      </c>
      <c r="AA221" s="9" t="s">
        <v>276</v>
      </c>
      <c r="AB221" s="9" t="s">
        <v>276</v>
      </c>
      <c r="AC221" s="8">
        <v>1</v>
      </c>
      <c r="AD221" s="9" t="s">
        <v>1311</v>
      </c>
      <c r="AE221" s="8">
        <v>2</v>
      </c>
      <c r="AF221" s="9" t="s">
        <v>1311</v>
      </c>
      <c r="AG221" s="9" t="s">
        <v>1329</v>
      </c>
      <c r="AH221" s="9" t="s">
        <v>1302</v>
      </c>
      <c r="AI221" s="38">
        <v>32</v>
      </c>
      <c r="AJ221" s="38">
        <v>51</v>
      </c>
      <c r="AK221" s="38">
        <v>50624</v>
      </c>
      <c r="AL221" s="38">
        <v>101299</v>
      </c>
      <c r="AM221" s="38" t="s">
        <v>281</v>
      </c>
      <c r="AN221" s="8" t="s">
        <v>276</v>
      </c>
      <c r="AO221" s="14">
        <v>0.63211125158027814</v>
      </c>
      <c r="AP221" s="8" t="s">
        <v>276</v>
      </c>
      <c r="AQ221" s="8" t="s">
        <v>276</v>
      </c>
      <c r="AR221" s="8" t="s">
        <v>276</v>
      </c>
      <c r="AS221" s="14">
        <v>0.50346005389984105</v>
      </c>
      <c r="AT221" s="8" t="s">
        <v>276</v>
      </c>
      <c r="AU221" s="8" t="s">
        <v>276</v>
      </c>
      <c r="AV221" s="8" t="s">
        <v>268</v>
      </c>
      <c r="AW221" s="40" t="s">
        <v>276</v>
      </c>
      <c r="AX221" s="53">
        <v>1.2555340720358941</v>
      </c>
      <c r="AY221" s="9" t="s">
        <v>276</v>
      </c>
      <c r="AZ221" s="9" t="s">
        <v>276</v>
      </c>
      <c r="BA221" s="9" t="s">
        <v>276</v>
      </c>
      <c r="BB221" s="9" t="s">
        <v>282</v>
      </c>
      <c r="BC221" s="9" t="s">
        <v>276</v>
      </c>
      <c r="BD221" s="9" t="s">
        <v>276</v>
      </c>
      <c r="BE221" s="9" t="s">
        <v>276</v>
      </c>
      <c r="BF221" s="9" t="s">
        <v>1313</v>
      </c>
      <c r="BG221" s="9"/>
      <c r="BH221" s="9" t="s">
        <v>100</v>
      </c>
      <c r="BI221" s="9" t="s">
        <v>100</v>
      </c>
      <c r="BJ221" s="32"/>
      <c r="BK221" s="32"/>
      <c r="BO221" s="32"/>
      <c r="BP221" s="32"/>
    </row>
    <row r="222" spans="1:68" s="33" customFormat="1" ht="91" hidden="1" x14ac:dyDescent="0.35">
      <c r="A222" s="8">
        <v>2733</v>
      </c>
      <c r="B222" s="8" t="s">
        <v>1169</v>
      </c>
      <c r="C222" s="8" t="s">
        <v>86</v>
      </c>
      <c r="D222" s="9" t="s">
        <v>1330</v>
      </c>
      <c r="E222" s="8" t="s">
        <v>42</v>
      </c>
      <c r="F222" s="9" t="s">
        <v>274</v>
      </c>
      <c r="G222" s="8" t="s">
        <v>225</v>
      </c>
      <c r="H222" s="8" t="s">
        <v>125</v>
      </c>
      <c r="I222" s="8" t="s">
        <v>114</v>
      </c>
      <c r="J222" s="9" t="s">
        <v>25</v>
      </c>
      <c r="K222" s="8" t="s">
        <v>304</v>
      </c>
      <c r="L222" s="8" t="s">
        <v>276</v>
      </c>
      <c r="M222" s="8" t="s">
        <v>276</v>
      </c>
      <c r="N222" s="9" t="s">
        <v>1171</v>
      </c>
      <c r="O222" s="9" t="s">
        <v>1297</v>
      </c>
      <c r="P222" s="9" t="s">
        <v>239</v>
      </c>
      <c r="Q222" s="52">
        <v>42004</v>
      </c>
      <c r="R222" s="9" t="s">
        <v>276</v>
      </c>
      <c r="S222" s="9" t="s">
        <v>1298</v>
      </c>
      <c r="T222" s="9" t="s">
        <v>1310</v>
      </c>
      <c r="U222" s="51" t="s">
        <v>1174</v>
      </c>
      <c r="V222" s="8" t="s">
        <v>14</v>
      </c>
      <c r="W222" s="9" t="s">
        <v>98</v>
      </c>
      <c r="X222" s="9" t="s">
        <v>207</v>
      </c>
      <c r="Y222" s="13">
        <v>50624</v>
      </c>
      <c r="Z222" s="38">
        <v>101299</v>
      </c>
      <c r="AA222" s="9" t="s">
        <v>276</v>
      </c>
      <c r="AB222" s="9" t="s">
        <v>276</v>
      </c>
      <c r="AC222" s="8">
        <v>1</v>
      </c>
      <c r="AD222" s="9" t="s">
        <v>1311</v>
      </c>
      <c r="AE222" s="8">
        <v>2</v>
      </c>
      <c r="AF222" s="9" t="s">
        <v>1311</v>
      </c>
      <c r="AG222" s="9" t="s">
        <v>1329</v>
      </c>
      <c r="AH222" s="9" t="s">
        <v>1188</v>
      </c>
      <c r="AI222" s="38">
        <v>32</v>
      </c>
      <c r="AJ222" s="38">
        <v>51</v>
      </c>
      <c r="AK222" s="38">
        <v>548533</v>
      </c>
      <c r="AL222" s="38">
        <v>1097089</v>
      </c>
      <c r="AM222" s="38" t="s">
        <v>425</v>
      </c>
      <c r="AN222" s="8" t="s">
        <v>276</v>
      </c>
      <c r="AO222" s="14">
        <v>5.8337419991140005E-2</v>
      </c>
      <c r="AP222" s="8" t="s">
        <v>276</v>
      </c>
      <c r="AQ222" s="8" t="s">
        <v>276</v>
      </c>
      <c r="AR222" s="8" t="s">
        <v>276</v>
      </c>
      <c r="AS222" s="14">
        <v>4.6486656962197233E-2</v>
      </c>
      <c r="AT222" s="8" t="s">
        <v>276</v>
      </c>
      <c r="AU222" s="8" t="s">
        <v>276</v>
      </c>
      <c r="AV222" s="8" t="s">
        <v>269</v>
      </c>
      <c r="AW222" s="40" t="s">
        <v>276</v>
      </c>
      <c r="AX222" s="53">
        <v>1.2549282698168587</v>
      </c>
      <c r="AY222" s="9" t="s">
        <v>276</v>
      </c>
      <c r="AZ222" s="9" t="s">
        <v>276</v>
      </c>
      <c r="BA222" s="9" t="s">
        <v>276</v>
      </c>
      <c r="BB222" s="9" t="s">
        <v>282</v>
      </c>
      <c r="BC222" s="9" t="s">
        <v>276</v>
      </c>
      <c r="BD222" s="9" t="s">
        <v>276</v>
      </c>
      <c r="BE222" s="9" t="s">
        <v>276</v>
      </c>
      <c r="BF222" s="9" t="s">
        <v>1315</v>
      </c>
      <c r="BG222" s="9"/>
      <c r="BH222" s="9" t="s">
        <v>100</v>
      </c>
      <c r="BI222" s="9" t="s">
        <v>100</v>
      </c>
      <c r="BJ222" s="32"/>
      <c r="BK222" s="32"/>
      <c r="BO222" s="32"/>
      <c r="BP222" s="32"/>
    </row>
    <row r="223" spans="1:68" s="33" customFormat="1" ht="91" hidden="1" x14ac:dyDescent="0.35">
      <c r="A223" s="8">
        <v>2733</v>
      </c>
      <c r="B223" s="8" t="s">
        <v>1169</v>
      </c>
      <c r="C223" s="8" t="s">
        <v>86</v>
      </c>
      <c r="D223" s="9" t="s">
        <v>1331</v>
      </c>
      <c r="E223" s="8" t="s">
        <v>42</v>
      </c>
      <c r="F223" s="9" t="s">
        <v>274</v>
      </c>
      <c r="G223" s="8" t="s">
        <v>225</v>
      </c>
      <c r="H223" s="8" t="s">
        <v>125</v>
      </c>
      <c r="I223" s="8" t="s">
        <v>114</v>
      </c>
      <c r="J223" s="9" t="s">
        <v>25</v>
      </c>
      <c r="K223" s="8" t="s">
        <v>311</v>
      </c>
      <c r="L223" s="8" t="s">
        <v>276</v>
      </c>
      <c r="M223" s="8" t="s">
        <v>276</v>
      </c>
      <c r="N223" s="9" t="s">
        <v>1171</v>
      </c>
      <c r="O223" s="9" t="s">
        <v>1297</v>
      </c>
      <c r="P223" s="9" t="s">
        <v>239</v>
      </c>
      <c r="Q223" s="52">
        <v>42004</v>
      </c>
      <c r="R223" s="9" t="s">
        <v>276</v>
      </c>
      <c r="S223" s="9" t="s">
        <v>1298</v>
      </c>
      <c r="T223" s="9" t="s">
        <v>1310</v>
      </c>
      <c r="U223" s="51" t="s">
        <v>1174</v>
      </c>
      <c r="V223" s="8" t="s">
        <v>14</v>
      </c>
      <c r="W223" s="9" t="s">
        <v>98</v>
      </c>
      <c r="X223" s="9" t="s">
        <v>207</v>
      </c>
      <c r="Y223" s="13">
        <v>50624</v>
      </c>
      <c r="Z223" s="38">
        <v>101299</v>
      </c>
      <c r="AA223" s="9" t="s">
        <v>276</v>
      </c>
      <c r="AB223" s="9" t="s">
        <v>276</v>
      </c>
      <c r="AC223" s="8">
        <v>1</v>
      </c>
      <c r="AD223" s="9" t="s">
        <v>1311</v>
      </c>
      <c r="AE223" s="8">
        <v>2</v>
      </c>
      <c r="AF223" s="9" t="s">
        <v>1311</v>
      </c>
      <c r="AG223" s="9" t="s">
        <v>1332</v>
      </c>
      <c r="AH223" s="9" t="s">
        <v>1302</v>
      </c>
      <c r="AI223" s="38">
        <v>160</v>
      </c>
      <c r="AJ223" s="38">
        <v>333</v>
      </c>
      <c r="AK223" s="38">
        <v>50624</v>
      </c>
      <c r="AL223" s="38">
        <v>101299</v>
      </c>
      <c r="AM223" s="38" t="s">
        <v>281</v>
      </c>
      <c r="AN223" s="8" t="s">
        <v>276</v>
      </c>
      <c r="AO223" s="14">
        <v>3.1605562579013906</v>
      </c>
      <c r="AP223" s="8" t="s">
        <v>276</v>
      </c>
      <c r="AQ223" s="8" t="s">
        <v>276</v>
      </c>
      <c r="AR223" s="8" t="s">
        <v>276</v>
      </c>
      <c r="AS223" s="14">
        <v>3.28729799899308</v>
      </c>
      <c r="AT223" s="8" t="s">
        <v>276</v>
      </c>
      <c r="AU223" s="8" t="s">
        <v>276</v>
      </c>
      <c r="AV223" s="8" t="s">
        <v>268</v>
      </c>
      <c r="AW223" s="40" t="s">
        <v>276</v>
      </c>
      <c r="AX223" s="53">
        <v>0.96144501011757644</v>
      </c>
      <c r="AY223" s="9" t="s">
        <v>276</v>
      </c>
      <c r="AZ223" s="9" t="s">
        <v>276</v>
      </c>
      <c r="BA223" s="9" t="s">
        <v>276</v>
      </c>
      <c r="BB223" s="9" t="s">
        <v>282</v>
      </c>
      <c r="BC223" s="9" t="s">
        <v>276</v>
      </c>
      <c r="BD223" s="9" t="s">
        <v>276</v>
      </c>
      <c r="BE223" s="9" t="s">
        <v>276</v>
      </c>
      <c r="BF223" s="9" t="s">
        <v>1313</v>
      </c>
      <c r="BG223" s="9"/>
      <c r="BH223" s="9" t="s">
        <v>100</v>
      </c>
      <c r="BI223" s="9" t="s">
        <v>100</v>
      </c>
      <c r="BJ223" s="32"/>
      <c r="BK223" s="32"/>
      <c r="BO223" s="32"/>
      <c r="BP223" s="32"/>
    </row>
    <row r="224" spans="1:68" s="33" customFormat="1" ht="91" hidden="1" x14ac:dyDescent="0.35">
      <c r="A224" s="8">
        <v>2733</v>
      </c>
      <c r="B224" s="8" t="s">
        <v>1169</v>
      </c>
      <c r="C224" s="8" t="s">
        <v>86</v>
      </c>
      <c r="D224" s="9" t="s">
        <v>1333</v>
      </c>
      <c r="E224" s="8" t="s">
        <v>42</v>
      </c>
      <c r="F224" s="9" t="s">
        <v>274</v>
      </c>
      <c r="G224" s="8" t="s">
        <v>225</v>
      </c>
      <c r="H224" s="8" t="s">
        <v>125</v>
      </c>
      <c r="I224" s="8" t="s">
        <v>114</v>
      </c>
      <c r="J224" s="9" t="s">
        <v>25</v>
      </c>
      <c r="K224" s="8" t="s">
        <v>311</v>
      </c>
      <c r="L224" s="8" t="s">
        <v>276</v>
      </c>
      <c r="M224" s="8" t="s">
        <v>276</v>
      </c>
      <c r="N224" s="9" t="s">
        <v>1171</v>
      </c>
      <c r="O224" s="9" t="s">
        <v>1297</v>
      </c>
      <c r="P224" s="9" t="s">
        <v>239</v>
      </c>
      <c r="Q224" s="52">
        <v>42004</v>
      </c>
      <c r="R224" s="9" t="s">
        <v>276</v>
      </c>
      <c r="S224" s="9" t="s">
        <v>1298</v>
      </c>
      <c r="T224" s="9" t="s">
        <v>1310</v>
      </c>
      <c r="U224" s="51" t="s">
        <v>1174</v>
      </c>
      <c r="V224" s="8" t="s">
        <v>14</v>
      </c>
      <c r="W224" s="9" t="s">
        <v>98</v>
      </c>
      <c r="X224" s="9" t="s">
        <v>207</v>
      </c>
      <c r="Y224" s="13">
        <v>50624</v>
      </c>
      <c r="Z224" s="38">
        <v>101299</v>
      </c>
      <c r="AA224" s="9" t="s">
        <v>276</v>
      </c>
      <c r="AB224" s="9" t="s">
        <v>276</v>
      </c>
      <c r="AC224" s="8">
        <v>1</v>
      </c>
      <c r="AD224" s="9" t="s">
        <v>1311</v>
      </c>
      <c r="AE224" s="8">
        <v>2</v>
      </c>
      <c r="AF224" s="9" t="s">
        <v>1311</v>
      </c>
      <c r="AG224" s="9" t="s">
        <v>1332</v>
      </c>
      <c r="AH224" s="9" t="s">
        <v>1188</v>
      </c>
      <c r="AI224" s="38">
        <v>160</v>
      </c>
      <c r="AJ224" s="38">
        <v>333</v>
      </c>
      <c r="AK224" s="38">
        <v>548533</v>
      </c>
      <c r="AL224" s="38">
        <v>1097089</v>
      </c>
      <c r="AM224" s="38" t="s">
        <v>425</v>
      </c>
      <c r="AN224" s="8" t="s">
        <v>276</v>
      </c>
      <c r="AO224" s="14">
        <v>0.29168709995570002</v>
      </c>
      <c r="AP224" s="8" t="s">
        <v>276</v>
      </c>
      <c r="AQ224" s="8" t="s">
        <v>276</v>
      </c>
      <c r="AR224" s="8" t="s">
        <v>276</v>
      </c>
      <c r="AS224" s="14">
        <v>0.30353052487081722</v>
      </c>
      <c r="AT224" s="8" t="s">
        <v>276</v>
      </c>
      <c r="AU224" s="8" t="s">
        <v>276</v>
      </c>
      <c r="AV224" s="8" t="s">
        <v>269</v>
      </c>
      <c r="AW224" s="40" t="s">
        <v>276</v>
      </c>
      <c r="AX224" s="53">
        <v>0.96098110751741439</v>
      </c>
      <c r="AY224" s="9" t="s">
        <v>276</v>
      </c>
      <c r="AZ224" s="9" t="s">
        <v>276</v>
      </c>
      <c r="BA224" s="9" t="s">
        <v>276</v>
      </c>
      <c r="BB224" s="9" t="s">
        <v>282</v>
      </c>
      <c r="BC224" s="9" t="s">
        <v>276</v>
      </c>
      <c r="BD224" s="9" t="s">
        <v>276</v>
      </c>
      <c r="BE224" s="9" t="s">
        <v>276</v>
      </c>
      <c r="BF224" s="9" t="s">
        <v>1315</v>
      </c>
      <c r="BG224" s="9"/>
      <c r="BH224" s="9" t="s">
        <v>100</v>
      </c>
      <c r="BI224" s="9" t="s">
        <v>100</v>
      </c>
      <c r="BJ224" s="32"/>
      <c r="BK224" s="32"/>
      <c r="BO224" s="32"/>
      <c r="BP224" s="32"/>
    </row>
    <row r="225" spans="1:68" s="33" customFormat="1" ht="91" hidden="1" x14ac:dyDescent="0.35">
      <c r="A225" s="8">
        <v>2733</v>
      </c>
      <c r="B225" s="8" t="s">
        <v>1169</v>
      </c>
      <c r="C225" s="8" t="s">
        <v>86</v>
      </c>
      <c r="D225" s="9" t="s">
        <v>1334</v>
      </c>
      <c r="E225" s="8" t="s">
        <v>42</v>
      </c>
      <c r="F225" s="9" t="s">
        <v>274</v>
      </c>
      <c r="G225" s="8" t="s">
        <v>225</v>
      </c>
      <c r="H225" s="8" t="s">
        <v>125</v>
      </c>
      <c r="I225" s="8" t="s">
        <v>114</v>
      </c>
      <c r="J225" s="9" t="s">
        <v>25</v>
      </c>
      <c r="K225" s="8" t="s">
        <v>314</v>
      </c>
      <c r="L225" s="8" t="s">
        <v>276</v>
      </c>
      <c r="M225" s="8" t="s">
        <v>276</v>
      </c>
      <c r="N225" s="9" t="s">
        <v>1171</v>
      </c>
      <c r="O225" s="9" t="s">
        <v>1297</v>
      </c>
      <c r="P225" s="9" t="s">
        <v>239</v>
      </c>
      <c r="Q225" s="52">
        <v>42004</v>
      </c>
      <c r="R225" s="9" t="s">
        <v>276</v>
      </c>
      <c r="S225" s="9" t="s">
        <v>1298</v>
      </c>
      <c r="T225" s="9" t="s">
        <v>1310</v>
      </c>
      <c r="U225" s="51" t="s">
        <v>1174</v>
      </c>
      <c r="V225" s="8" t="s">
        <v>14</v>
      </c>
      <c r="W225" s="9" t="s">
        <v>98</v>
      </c>
      <c r="X225" s="9" t="s">
        <v>207</v>
      </c>
      <c r="Y225" s="13">
        <v>50624</v>
      </c>
      <c r="Z225" s="38">
        <v>101299</v>
      </c>
      <c r="AA225" s="9" t="s">
        <v>276</v>
      </c>
      <c r="AB225" s="9" t="s">
        <v>276</v>
      </c>
      <c r="AC225" s="8">
        <v>1</v>
      </c>
      <c r="AD225" s="9" t="s">
        <v>1311</v>
      </c>
      <c r="AE225" s="8">
        <v>2</v>
      </c>
      <c r="AF225" s="9" t="s">
        <v>1311</v>
      </c>
      <c r="AG225" s="9" t="s">
        <v>1335</v>
      </c>
      <c r="AH225" s="9" t="s">
        <v>1302</v>
      </c>
      <c r="AI225" s="38">
        <v>34</v>
      </c>
      <c r="AJ225" s="38">
        <v>112</v>
      </c>
      <c r="AK225" s="38">
        <v>50624</v>
      </c>
      <c r="AL225" s="38">
        <v>101299</v>
      </c>
      <c r="AM225" s="38" t="s">
        <v>281</v>
      </c>
      <c r="AN225" s="8" t="s">
        <v>276</v>
      </c>
      <c r="AO225" s="14">
        <v>0.67161820480404555</v>
      </c>
      <c r="AP225" s="8" t="s">
        <v>276</v>
      </c>
      <c r="AQ225" s="8" t="s">
        <v>276</v>
      </c>
      <c r="AR225" s="8" t="s">
        <v>276</v>
      </c>
      <c r="AS225" s="14">
        <v>1.1056377654271019</v>
      </c>
      <c r="AT225" s="8" t="s">
        <v>276</v>
      </c>
      <c r="AU225" s="8" t="s">
        <v>276</v>
      </c>
      <c r="AV225" s="8" t="s">
        <v>268</v>
      </c>
      <c r="AW225" s="40" t="s">
        <v>276</v>
      </c>
      <c r="AX225" s="53">
        <v>0.6074486832896876</v>
      </c>
      <c r="AY225" s="9" t="s">
        <v>276</v>
      </c>
      <c r="AZ225" s="9" t="s">
        <v>276</v>
      </c>
      <c r="BA225" s="9" t="s">
        <v>276</v>
      </c>
      <c r="BB225" s="9" t="s">
        <v>282</v>
      </c>
      <c r="BC225" s="9" t="s">
        <v>276</v>
      </c>
      <c r="BD225" s="9" t="s">
        <v>276</v>
      </c>
      <c r="BE225" s="9" t="s">
        <v>276</v>
      </c>
      <c r="BF225" s="9" t="s">
        <v>1313</v>
      </c>
      <c r="BG225" s="9"/>
      <c r="BH225" s="9" t="s">
        <v>100</v>
      </c>
      <c r="BI225" s="9" t="s">
        <v>100</v>
      </c>
      <c r="BJ225" s="32"/>
      <c r="BK225" s="32"/>
      <c r="BO225" s="32"/>
      <c r="BP225" s="32"/>
    </row>
    <row r="226" spans="1:68" s="33" customFormat="1" ht="91" hidden="1" x14ac:dyDescent="0.35">
      <c r="A226" s="8">
        <v>2733</v>
      </c>
      <c r="B226" s="8" t="s">
        <v>1169</v>
      </c>
      <c r="C226" s="8" t="s">
        <v>86</v>
      </c>
      <c r="D226" s="9" t="s">
        <v>1336</v>
      </c>
      <c r="E226" s="8" t="s">
        <v>42</v>
      </c>
      <c r="F226" s="9" t="s">
        <v>274</v>
      </c>
      <c r="G226" s="8" t="s">
        <v>225</v>
      </c>
      <c r="H226" s="8" t="s">
        <v>125</v>
      </c>
      <c r="I226" s="8" t="s">
        <v>114</v>
      </c>
      <c r="J226" s="9" t="s">
        <v>25</v>
      </c>
      <c r="K226" s="8" t="s">
        <v>314</v>
      </c>
      <c r="L226" s="8" t="s">
        <v>276</v>
      </c>
      <c r="M226" s="8" t="s">
        <v>276</v>
      </c>
      <c r="N226" s="9" t="s">
        <v>1171</v>
      </c>
      <c r="O226" s="9" t="s">
        <v>1297</v>
      </c>
      <c r="P226" s="9" t="s">
        <v>239</v>
      </c>
      <c r="Q226" s="52">
        <v>42004</v>
      </c>
      <c r="R226" s="9" t="s">
        <v>276</v>
      </c>
      <c r="S226" s="9" t="s">
        <v>1298</v>
      </c>
      <c r="T226" s="9" t="s">
        <v>1310</v>
      </c>
      <c r="U226" s="51" t="s">
        <v>1174</v>
      </c>
      <c r="V226" s="8" t="s">
        <v>14</v>
      </c>
      <c r="W226" s="9" t="s">
        <v>98</v>
      </c>
      <c r="X226" s="9" t="s">
        <v>207</v>
      </c>
      <c r="Y226" s="13">
        <v>50624</v>
      </c>
      <c r="Z226" s="38">
        <v>101299</v>
      </c>
      <c r="AA226" s="9" t="s">
        <v>276</v>
      </c>
      <c r="AB226" s="9" t="s">
        <v>276</v>
      </c>
      <c r="AC226" s="8">
        <v>1</v>
      </c>
      <c r="AD226" s="9" t="s">
        <v>1311</v>
      </c>
      <c r="AE226" s="8">
        <v>2</v>
      </c>
      <c r="AF226" s="9" t="s">
        <v>1311</v>
      </c>
      <c r="AG226" s="9" t="s">
        <v>1335</v>
      </c>
      <c r="AH226" s="9" t="s">
        <v>1188</v>
      </c>
      <c r="AI226" s="38">
        <v>34</v>
      </c>
      <c r="AJ226" s="38">
        <v>112</v>
      </c>
      <c r="AK226" s="38">
        <v>548533</v>
      </c>
      <c r="AL226" s="38">
        <v>1097089</v>
      </c>
      <c r="AM226" s="38" t="s">
        <v>425</v>
      </c>
      <c r="AN226" s="8" t="s">
        <v>276</v>
      </c>
      <c r="AO226" s="14">
        <v>6.1983508740586252E-2</v>
      </c>
      <c r="AP226" s="8" t="s">
        <v>276</v>
      </c>
      <c r="AQ226" s="8" t="s">
        <v>276</v>
      </c>
      <c r="AR226" s="8" t="s">
        <v>276</v>
      </c>
      <c r="AS226" s="14">
        <v>0.10208834470129588</v>
      </c>
      <c r="AT226" s="8" t="s">
        <v>276</v>
      </c>
      <c r="AU226" s="8" t="s">
        <v>276</v>
      </c>
      <c r="AV226" s="8" t="s">
        <v>269</v>
      </c>
      <c r="AW226" s="40" t="s">
        <v>276</v>
      </c>
      <c r="AX226" s="53">
        <v>0.60715558589911633</v>
      </c>
      <c r="AY226" s="9" t="s">
        <v>276</v>
      </c>
      <c r="AZ226" s="9" t="s">
        <v>276</v>
      </c>
      <c r="BA226" s="9" t="s">
        <v>276</v>
      </c>
      <c r="BB226" s="9" t="s">
        <v>282</v>
      </c>
      <c r="BC226" s="9" t="s">
        <v>276</v>
      </c>
      <c r="BD226" s="9" t="s">
        <v>276</v>
      </c>
      <c r="BE226" s="9" t="s">
        <v>276</v>
      </c>
      <c r="BF226" s="9" t="s">
        <v>1315</v>
      </c>
      <c r="BG226" s="9"/>
      <c r="BH226" s="9" t="s">
        <v>100</v>
      </c>
      <c r="BI226" s="9" t="s">
        <v>100</v>
      </c>
      <c r="BJ226" s="32"/>
      <c r="BK226" s="32"/>
      <c r="BO226" s="32"/>
      <c r="BP226" s="32"/>
    </row>
    <row r="227" spans="1:68" s="33" customFormat="1" ht="78" hidden="1" x14ac:dyDescent="0.35">
      <c r="A227" s="8">
        <v>2733</v>
      </c>
      <c r="B227" s="8" t="s">
        <v>1169</v>
      </c>
      <c r="C227" s="8" t="s">
        <v>86</v>
      </c>
      <c r="D227" s="9" t="s">
        <v>1337</v>
      </c>
      <c r="E227" s="8" t="s">
        <v>42</v>
      </c>
      <c r="F227" s="9" t="s">
        <v>148</v>
      </c>
      <c r="G227" s="8" t="s">
        <v>225</v>
      </c>
      <c r="H227" s="8" t="s">
        <v>125</v>
      </c>
      <c r="I227" s="8" t="s">
        <v>114</v>
      </c>
      <c r="J227" s="9" t="s">
        <v>25</v>
      </c>
      <c r="K227" s="8" t="s">
        <v>300</v>
      </c>
      <c r="L227" s="8" t="s">
        <v>276</v>
      </c>
      <c r="M227" s="8" t="s">
        <v>276</v>
      </c>
      <c r="N227" s="9" t="s">
        <v>1171</v>
      </c>
      <c r="O227" s="9" t="s">
        <v>1297</v>
      </c>
      <c r="P227" s="9" t="s">
        <v>239</v>
      </c>
      <c r="Q227" s="52">
        <v>42004</v>
      </c>
      <c r="R227" s="9" t="s">
        <v>276</v>
      </c>
      <c r="S227" s="9" t="s">
        <v>1299</v>
      </c>
      <c r="T227" s="9" t="s">
        <v>1310</v>
      </c>
      <c r="U227" s="51" t="s">
        <v>1174</v>
      </c>
      <c r="V227" s="8" t="s">
        <v>14</v>
      </c>
      <c r="W227" s="9" t="s">
        <v>98</v>
      </c>
      <c r="X227" s="9" t="s">
        <v>207</v>
      </c>
      <c r="Y227" s="13">
        <v>50623</v>
      </c>
      <c r="Z227" s="38">
        <v>101299</v>
      </c>
      <c r="AA227" s="9" t="s">
        <v>276</v>
      </c>
      <c r="AB227" s="9" t="s">
        <v>276</v>
      </c>
      <c r="AC227" s="8">
        <v>0</v>
      </c>
      <c r="AD227" s="9" t="s">
        <v>1311</v>
      </c>
      <c r="AE227" s="8">
        <v>2</v>
      </c>
      <c r="AF227" s="9" t="s">
        <v>1311</v>
      </c>
      <c r="AG227" s="9" t="s">
        <v>1312</v>
      </c>
      <c r="AH227" s="9" t="s">
        <v>1302</v>
      </c>
      <c r="AI227" s="38">
        <v>99</v>
      </c>
      <c r="AJ227" s="38">
        <v>147</v>
      </c>
      <c r="AK227" s="38">
        <v>50623</v>
      </c>
      <c r="AL227" s="38">
        <v>101299</v>
      </c>
      <c r="AM227" s="38" t="s">
        <v>281</v>
      </c>
      <c r="AN227" s="8" t="s">
        <v>276</v>
      </c>
      <c r="AO227" s="14">
        <v>1.9556328151235605</v>
      </c>
      <c r="AP227" s="8" t="s">
        <v>276</v>
      </c>
      <c r="AQ227" s="8" t="s">
        <v>276</v>
      </c>
      <c r="AR227" s="8" t="s">
        <v>276</v>
      </c>
      <c r="AS227" s="14">
        <v>1.4511495671230712</v>
      </c>
      <c r="AT227" s="8" t="s">
        <v>276</v>
      </c>
      <c r="AU227" s="8" t="s">
        <v>276</v>
      </c>
      <c r="AV227" s="8" t="s">
        <v>268</v>
      </c>
      <c r="AW227" s="40" t="s">
        <v>276</v>
      </c>
      <c r="AX227" s="53">
        <v>1.3476438676136162</v>
      </c>
      <c r="AY227" s="9" t="s">
        <v>276</v>
      </c>
      <c r="AZ227" s="9" t="s">
        <v>276</v>
      </c>
      <c r="BA227" s="9" t="s">
        <v>276</v>
      </c>
      <c r="BB227" s="9" t="s">
        <v>282</v>
      </c>
      <c r="BC227" s="9" t="s">
        <v>276</v>
      </c>
      <c r="BD227" s="9" t="s">
        <v>276</v>
      </c>
      <c r="BE227" s="9" t="s">
        <v>276</v>
      </c>
      <c r="BF227" s="9" t="s">
        <v>1313</v>
      </c>
      <c r="BG227" s="9"/>
      <c r="BH227" s="9" t="s">
        <v>100</v>
      </c>
      <c r="BI227" s="9" t="s">
        <v>100</v>
      </c>
      <c r="BJ227" s="32"/>
      <c r="BK227" s="32"/>
      <c r="BO227" s="32"/>
      <c r="BP227" s="32"/>
    </row>
    <row r="228" spans="1:68" s="33" customFormat="1" ht="78" hidden="1" x14ac:dyDescent="0.35">
      <c r="A228" s="8">
        <v>2733</v>
      </c>
      <c r="B228" s="8" t="s">
        <v>1169</v>
      </c>
      <c r="C228" s="8" t="s">
        <v>86</v>
      </c>
      <c r="D228" s="9" t="s">
        <v>1338</v>
      </c>
      <c r="E228" s="8" t="s">
        <v>42</v>
      </c>
      <c r="F228" s="9" t="s">
        <v>148</v>
      </c>
      <c r="G228" s="8" t="s">
        <v>225</v>
      </c>
      <c r="H228" s="8" t="s">
        <v>125</v>
      </c>
      <c r="I228" s="8" t="s">
        <v>114</v>
      </c>
      <c r="J228" s="9" t="s">
        <v>25</v>
      </c>
      <c r="K228" s="8" t="s">
        <v>300</v>
      </c>
      <c r="L228" s="8" t="s">
        <v>276</v>
      </c>
      <c r="M228" s="8" t="s">
        <v>276</v>
      </c>
      <c r="N228" s="9" t="s">
        <v>1171</v>
      </c>
      <c r="O228" s="9" t="s">
        <v>1297</v>
      </c>
      <c r="P228" s="9" t="s">
        <v>239</v>
      </c>
      <c r="Q228" s="52">
        <v>42004</v>
      </c>
      <c r="R228" s="9" t="s">
        <v>276</v>
      </c>
      <c r="S228" s="9" t="s">
        <v>1299</v>
      </c>
      <c r="T228" s="9" t="s">
        <v>1310</v>
      </c>
      <c r="U228" s="51" t="s">
        <v>1174</v>
      </c>
      <c r="V228" s="8" t="s">
        <v>14</v>
      </c>
      <c r="W228" s="9" t="s">
        <v>98</v>
      </c>
      <c r="X228" s="9" t="s">
        <v>207</v>
      </c>
      <c r="Y228" s="13">
        <v>50623</v>
      </c>
      <c r="Z228" s="38">
        <v>101299</v>
      </c>
      <c r="AA228" s="9" t="s">
        <v>276</v>
      </c>
      <c r="AB228" s="9" t="s">
        <v>276</v>
      </c>
      <c r="AC228" s="8">
        <v>0</v>
      </c>
      <c r="AD228" s="9" t="s">
        <v>1311</v>
      </c>
      <c r="AE228" s="8">
        <v>2</v>
      </c>
      <c r="AF228" s="9" t="s">
        <v>1311</v>
      </c>
      <c r="AG228" s="9" t="s">
        <v>1312</v>
      </c>
      <c r="AH228" s="9" t="s">
        <v>1188</v>
      </c>
      <c r="AI228" s="38">
        <v>99</v>
      </c>
      <c r="AJ228" s="38">
        <v>147</v>
      </c>
      <c r="AK228" s="38">
        <v>548825</v>
      </c>
      <c r="AL228" s="38">
        <v>1097089</v>
      </c>
      <c r="AM228" s="38" t="s">
        <v>425</v>
      </c>
      <c r="AN228" s="8" t="s">
        <v>276</v>
      </c>
      <c r="AO228" s="14">
        <v>0.18038536874231312</v>
      </c>
      <c r="AP228" s="8" t="s">
        <v>276</v>
      </c>
      <c r="AQ228" s="8" t="s">
        <v>276</v>
      </c>
      <c r="AR228" s="8" t="s">
        <v>276</v>
      </c>
      <c r="AS228" s="14">
        <v>0.13399095242045084</v>
      </c>
      <c r="AT228" s="8" t="s">
        <v>276</v>
      </c>
      <c r="AU228" s="8" t="s">
        <v>276</v>
      </c>
      <c r="AV228" s="8" t="s">
        <v>269</v>
      </c>
      <c r="AW228" s="40" t="s">
        <v>276</v>
      </c>
      <c r="AX228" s="53">
        <v>1.3462503660417386</v>
      </c>
      <c r="AY228" s="9" t="s">
        <v>276</v>
      </c>
      <c r="AZ228" s="9" t="s">
        <v>276</v>
      </c>
      <c r="BA228" s="9" t="s">
        <v>276</v>
      </c>
      <c r="BB228" s="9" t="s">
        <v>282</v>
      </c>
      <c r="BC228" s="9" t="s">
        <v>276</v>
      </c>
      <c r="BD228" s="9" t="s">
        <v>276</v>
      </c>
      <c r="BE228" s="9" t="s">
        <v>276</v>
      </c>
      <c r="BF228" s="9" t="s">
        <v>1315</v>
      </c>
      <c r="BG228" s="9"/>
      <c r="BH228" s="9" t="s">
        <v>100</v>
      </c>
      <c r="BI228" s="9" t="s">
        <v>100</v>
      </c>
      <c r="BJ228" s="32"/>
      <c r="BK228" s="32"/>
      <c r="BO228" s="32"/>
      <c r="BP228" s="32"/>
    </row>
    <row r="229" spans="1:68" s="33" customFormat="1" ht="78" hidden="1" x14ac:dyDescent="0.35">
      <c r="A229" s="8">
        <v>2733</v>
      </c>
      <c r="B229" s="8" t="s">
        <v>1169</v>
      </c>
      <c r="C229" s="8" t="s">
        <v>86</v>
      </c>
      <c r="D229" s="9" t="s">
        <v>1339</v>
      </c>
      <c r="E229" s="8" t="s">
        <v>42</v>
      </c>
      <c r="F229" s="9" t="s">
        <v>148</v>
      </c>
      <c r="G229" s="8" t="s">
        <v>225</v>
      </c>
      <c r="H229" s="8" t="s">
        <v>125</v>
      </c>
      <c r="I229" s="8" t="s">
        <v>114</v>
      </c>
      <c r="J229" s="9" t="s">
        <v>25</v>
      </c>
      <c r="K229" s="8" t="s">
        <v>304</v>
      </c>
      <c r="L229" s="8" t="s">
        <v>276</v>
      </c>
      <c r="M229" s="8" t="s">
        <v>276</v>
      </c>
      <c r="N229" s="9" t="s">
        <v>1171</v>
      </c>
      <c r="O229" s="9" t="s">
        <v>1297</v>
      </c>
      <c r="P229" s="9" t="s">
        <v>239</v>
      </c>
      <c r="Q229" s="52">
        <v>42004</v>
      </c>
      <c r="R229" s="9" t="s">
        <v>276</v>
      </c>
      <c r="S229" s="9" t="s">
        <v>1299</v>
      </c>
      <c r="T229" s="9" t="s">
        <v>1310</v>
      </c>
      <c r="U229" s="51" t="s">
        <v>1174</v>
      </c>
      <c r="V229" s="8" t="s">
        <v>14</v>
      </c>
      <c r="W229" s="9" t="s">
        <v>98</v>
      </c>
      <c r="X229" s="9" t="s">
        <v>207</v>
      </c>
      <c r="Y229" s="13">
        <v>50623</v>
      </c>
      <c r="Z229" s="38">
        <v>101299</v>
      </c>
      <c r="AA229" s="9" t="s">
        <v>276</v>
      </c>
      <c r="AB229" s="9" t="s">
        <v>276</v>
      </c>
      <c r="AC229" s="8">
        <v>0</v>
      </c>
      <c r="AD229" s="9" t="s">
        <v>1311</v>
      </c>
      <c r="AE229" s="8">
        <v>2</v>
      </c>
      <c r="AF229" s="9" t="s">
        <v>1311</v>
      </c>
      <c r="AG229" s="9" t="s">
        <v>1317</v>
      </c>
      <c r="AH229" s="9" t="s">
        <v>1302</v>
      </c>
      <c r="AI229" s="38">
        <v>19</v>
      </c>
      <c r="AJ229" s="38">
        <v>50</v>
      </c>
      <c r="AK229" s="38">
        <v>50623</v>
      </c>
      <c r="AL229" s="38">
        <v>101299</v>
      </c>
      <c r="AM229" s="38" t="s">
        <v>281</v>
      </c>
      <c r="AN229" s="8" t="s">
        <v>276</v>
      </c>
      <c r="AO229" s="14">
        <v>0.37532346956916818</v>
      </c>
      <c r="AP229" s="8" t="s">
        <v>276</v>
      </c>
      <c r="AQ229" s="8" t="s">
        <v>276</v>
      </c>
      <c r="AR229" s="8" t="s">
        <v>276</v>
      </c>
      <c r="AS229" s="14">
        <v>0.4935882881370991</v>
      </c>
      <c r="AT229" s="8" t="s">
        <v>276</v>
      </c>
      <c r="AU229" s="8" t="s">
        <v>276</v>
      </c>
      <c r="AV229" s="8" t="s">
        <v>268</v>
      </c>
      <c r="AW229" s="40" t="s">
        <v>276</v>
      </c>
      <c r="AX229" s="53">
        <v>0.76039784287774337</v>
      </c>
      <c r="AY229" s="9" t="s">
        <v>276</v>
      </c>
      <c r="AZ229" s="9" t="s">
        <v>276</v>
      </c>
      <c r="BA229" s="9" t="s">
        <v>276</v>
      </c>
      <c r="BB229" s="9" t="s">
        <v>282</v>
      </c>
      <c r="BC229" s="9" t="s">
        <v>276</v>
      </c>
      <c r="BD229" s="9" t="s">
        <v>276</v>
      </c>
      <c r="BE229" s="9" t="s">
        <v>276</v>
      </c>
      <c r="BF229" s="9" t="s">
        <v>1313</v>
      </c>
      <c r="BG229" s="9"/>
      <c r="BH229" s="9" t="s">
        <v>100</v>
      </c>
      <c r="BI229" s="9" t="s">
        <v>100</v>
      </c>
      <c r="BJ229" s="32"/>
      <c r="BK229" s="32"/>
      <c r="BO229" s="32"/>
      <c r="BP229" s="32"/>
    </row>
    <row r="230" spans="1:68" s="33" customFormat="1" ht="78" hidden="1" x14ac:dyDescent="0.35">
      <c r="A230" s="8">
        <v>2733</v>
      </c>
      <c r="B230" s="8" t="s">
        <v>1169</v>
      </c>
      <c r="C230" s="8" t="s">
        <v>86</v>
      </c>
      <c r="D230" s="9" t="s">
        <v>1340</v>
      </c>
      <c r="E230" s="8" t="s">
        <v>42</v>
      </c>
      <c r="F230" s="9" t="s">
        <v>148</v>
      </c>
      <c r="G230" s="8" t="s">
        <v>225</v>
      </c>
      <c r="H230" s="8" t="s">
        <v>125</v>
      </c>
      <c r="I230" s="8" t="s">
        <v>114</v>
      </c>
      <c r="J230" s="9" t="s">
        <v>25</v>
      </c>
      <c r="K230" s="8" t="s">
        <v>304</v>
      </c>
      <c r="L230" s="8" t="s">
        <v>276</v>
      </c>
      <c r="M230" s="8" t="s">
        <v>276</v>
      </c>
      <c r="N230" s="9" t="s">
        <v>1171</v>
      </c>
      <c r="O230" s="9" t="s">
        <v>1297</v>
      </c>
      <c r="P230" s="9" t="s">
        <v>239</v>
      </c>
      <c r="Q230" s="52">
        <v>42004</v>
      </c>
      <c r="R230" s="9" t="s">
        <v>276</v>
      </c>
      <c r="S230" s="9" t="s">
        <v>1299</v>
      </c>
      <c r="T230" s="9" t="s">
        <v>1310</v>
      </c>
      <c r="U230" s="51" t="s">
        <v>1174</v>
      </c>
      <c r="V230" s="8" t="s">
        <v>14</v>
      </c>
      <c r="W230" s="9" t="s">
        <v>98</v>
      </c>
      <c r="X230" s="9" t="s">
        <v>207</v>
      </c>
      <c r="Y230" s="13">
        <v>50623</v>
      </c>
      <c r="Z230" s="38">
        <v>101299</v>
      </c>
      <c r="AA230" s="9" t="s">
        <v>276</v>
      </c>
      <c r="AB230" s="9" t="s">
        <v>276</v>
      </c>
      <c r="AC230" s="8">
        <v>0</v>
      </c>
      <c r="AD230" s="9" t="s">
        <v>1311</v>
      </c>
      <c r="AE230" s="8">
        <v>2</v>
      </c>
      <c r="AF230" s="9" t="s">
        <v>1311</v>
      </c>
      <c r="AG230" s="9" t="s">
        <v>1317</v>
      </c>
      <c r="AH230" s="9" t="s">
        <v>1188</v>
      </c>
      <c r="AI230" s="38">
        <v>19</v>
      </c>
      <c r="AJ230" s="38">
        <v>50</v>
      </c>
      <c r="AK230" s="38">
        <v>548825</v>
      </c>
      <c r="AL230" s="38">
        <v>1097089</v>
      </c>
      <c r="AM230" s="38" t="s">
        <v>425</v>
      </c>
      <c r="AN230" s="8" t="s">
        <v>276</v>
      </c>
      <c r="AO230" s="14">
        <v>3.4619414203070194E-2</v>
      </c>
      <c r="AP230" s="8" t="s">
        <v>276</v>
      </c>
      <c r="AQ230" s="8" t="s">
        <v>276</v>
      </c>
      <c r="AR230" s="8" t="s">
        <v>276</v>
      </c>
      <c r="AS230" s="14">
        <v>4.5575153884507093E-2</v>
      </c>
      <c r="AT230" s="8" t="s">
        <v>276</v>
      </c>
      <c r="AU230" s="8" t="s">
        <v>276</v>
      </c>
      <c r="AV230" s="8" t="s">
        <v>269</v>
      </c>
      <c r="AW230" s="40" t="s">
        <v>276</v>
      </c>
      <c r="AX230" s="53">
        <v>0.75961157017264147</v>
      </c>
      <c r="AY230" s="9" t="s">
        <v>276</v>
      </c>
      <c r="AZ230" s="9" t="s">
        <v>276</v>
      </c>
      <c r="BA230" s="9" t="s">
        <v>276</v>
      </c>
      <c r="BB230" s="9" t="s">
        <v>282</v>
      </c>
      <c r="BC230" s="9" t="s">
        <v>276</v>
      </c>
      <c r="BD230" s="9" t="s">
        <v>276</v>
      </c>
      <c r="BE230" s="9" t="s">
        <v>276</v>
      </c>
      <c r="BF230" s="9" t="s">
        <v>1315</v>
      </c>
      <c r="BG230" s="9"/>
      <c r="BH230" s="9" t="s">
        <v>100</v>
      </c>
      <c r="BI230" s="9" t="s">
        <v>100</v>
      </c>
      <c r="BJ230" s="32"/>
      <c r="BK230" s="32"/>
      <c r="BO230" s="32"/>
      <c r="BP230" s="32"/>
    </row>
    <row r="231" spans="1:68" s="33" customFormat="1" ht="78" hidden="1" x14ac:dyDescent="0.35">
      <c r="A231" s="8">
        <v>2733</v>
      </c>
      <c r="B231" s="8" t="s">
        <v>1169</v>
      </c>
      <c r="C231" s="8" t="s">
        <v>86</v>
      </c>
      <c r="D231" s="9" t="s">
        <v>11673</v>
      </c>
      <c r="E231" s="8" t="s">
        <v>42</v>
      </c>
      <c r="F231" s="9" t="s">
        <v>148</v>
      </c>
      <c r="G231" s="8" t="s">
        <v>225</v>
      </c>
      <c r="H231" s="8" t="s">
        <v>125</v>
      </c>
      <c r="I231" s="8" t="s">
        <v>114</v>
      </c>
      <c r="J231" s="9" t="s">
        <v>25</v>
      </c>
      <c r="K231" s="8" t="s">
        <v>307</v>
      </c>
      <c r="L231" s="8" t="s">
        <v>276</v>
      </c>
      <c r="M231" s="8" t="s">
        <v>276</v>
      </c>
      <c r="N231" s="9" t="s">
        <v>1171</v>
      </c>
      <c r="O231" s="9" t="s">
        <v>1297</v>
      </c>
      <c r="P231" s="9" t="s">
        <v>239</v>
      </c>
      <c r="Q231" s="52">
        <v>42004</v>
      </c>
      <c r="R231" s="9" t="s">
        <v>276</v>
      </c>
      <c r="S231" s="9" t="s">
        <v>1299</v>
      </c>
      <c r="T231" s="9" t="s">
        <v>1310</v>
      </c>
      <c r="U231" s="51" t="s">
        <v>1174</v>
      </c>
      <c r="V231" s="8" t="s">
        <v>14</v>
      </c>
      <c r="W231" s="9" t="s">
        <v>98</v>
      </c>
      <c r="X231" s="9" t="s">
        <v>207</v>
      </c>
      <c r="Y231" s="13">
        <v>50623</v>
      </c>
      <c r="Z231" s="38">
        <v>101299</v>
      </c>
      <c r="AA231" s="9" t="s">
        <v>276</v>
      </c>
      <c r="AB231" s="9" t="s">
        <v>276</v>
      </c>
      <c r="AC231" s="8">
        <v>0</v>
      </c>
      <c r="AD231" s="9" t="s">
        <v>1311</v>
      </c>
      <c r="AE231" s="8">
        <v>2</v>
      </c>
      <c r="AF231" s="9" t="s">
        <v>1311</v>
      </c>
      <c r="AG231" s="9" t="s">
        <v>11672</v>
      </c>
      <c r="AH231" s="9" t="s">
        <v>1188</v>
      </c>
      <c r="AI231" s="38">
        <f>19+99</f>
        <v>118</v>
      </c>
      <c r="AJ231" s="38">
        <f>50+147</f>
        <v>197</v>
      </c>
      <c r="AK231" s="38">
        <v>548825</v>
      </c>
      <c r="AL231" s="38">
        <v>1097089</v>
      </c>
      <c r="AM231" s="38" t="s">
        <v>425</v>
      </c>
      <c r="AN231" s="8" t="s">
        <v>276</v>
      </c>
      <c r="AO231" s="14">
        <f>AI231*1000/AK231</f>
        <v>0.21500478294538333</v>
      </c>
      <c r="AP231" s="8" t="s">
        <v>276</v>
      </c>
      <c r="AQ231" s="8" t="s">
        <v>276</v>
      </c>
      <c r="AR231" s="8" t="s">
        <v>276</v>
      </c>
      <c r="AS231" s="14">
        <f>AJ231*1000/AL231</f>
        <v>0.17956610630495795</v>
      </c>
      <c r="AT231" s="8" t="s">
        <v>276</v>
      </c>
      <c r="AU231" s="8" t="s">
        <v>276</v>
      </c>
      <c r="AV231" s="8" t="s">
        <v>269</v>
      </c>
      <c r="AW231" s="40" t="s">
        <v>276</v>
      </c>
      <c r="AX231" s="53">
        <f>AO231/AS231</f>
        <v>1.1973572706434905</v>
      </c>
      <c r="AY231" s="9" t="s">
        <v>276</v>
      </c>
      <c r="AZ231" s="9" t="s">
        <v>276</v>
      </c>
      <c r="BA231" s="9" t="s">
        <v>276</v>
      </c>
      <c r="BB231" s="9" t="s">
        <v>282</v>
      </c>
      <c r="BC231" s="9" t="s">
        <v>276</v>
      </c>
      <c r="BD231" s="9" t="s">
        <v>276</v>
      </c>
      <c r="BE231" s="9" t="s">
        <v>276</v>
      </c>
      <c r="BF231" s="9" t="s">
        <v>1315</v>
      </c>
      <c r="BG231" s="9"/>
      <c r="BH231" s="9" t="s">
        <v>100</v>
      </c>
      <c r="BI231" s="9" t="s">
        <v>100</v>
      </c>
      <c r="BJ231" s="32"/>
      <c r="BK231" s="32"/>
      <c r="BO231" s="32"/>
      <c r="BP231" s="32"/>
    </row>
    <row r="232" spans="1:68" s="33" customFormat="1" ht="78" hidden="1" x14ac:dyDescent="0.35">
      <c r="A232" s="8">
        <v>2733</v>
      </c>
      <c r="B232" s="8" t="s">
        <v>1169</v>
      </c>
      <c r="C232" s="8" t="s">
        <v>86</v>
      </c>
      <c r="D232" s="9" t="s">
        <v>1341</v>
      </c>
      <c r="E232" s="8" t="s">
        <v>42</v>
      </c>
      <c r="F232" s="9" t="s">
        <v>148</v>
      </c>
      <c r="G232" s="8" t="s">
        <v>225</v>
      </c>
      <c r="H232" s="8" t="s">
        <v>125</v>
      </c>
      <c r="I232" s="8" t="s">
        <v>114</v>
      </c>
      <c r="J232" s="9" t="s">
        <v>25</v>
      </c>
      <c r="K232" s="8" t="s">
        <v>311</v>
      </c>
      <c r="L232" s="8" t="s">
        <v>276</v>
      </c>
      <c r="M232" s="8" t="s">
        <v>276</v>
      </c>
      <c r="N232" s="9" t="s">
        <v>1171</v>
      </c>
      <c r="O232" s="9" t="s">
        <v>1297</v>
      </c>
      <c r="P232" s="9" t="s">
        <v>239</v>
      </c>
      <c r="Q232" s="52">
        <v>42004</v>
      </c>
      <c r="R232" s="9" t="s">
        <v>276</v>
      </c>
      <c r="S232" s="9" t="s">
        <v>1299</v>
      </c>
      <c r="T232" s="9" t="s">
        <v>1310</v>
      </c>
      <c r="U232" s="51" t="s">
        <v>1174</v>
      </c>
      <c r="V232" s="8" t="s">
        <v>14</v>
      </c>
      <c r="W232" s="9" t="s">
        <v>98</v>
      </c>
      <c r="X232" s="9" t="s">
        <v>207</v>
      </c>
      <c r="Y232" s="13">
        <v>50623</v>
      </c>
      <c r="Z232" s="38">
        <v>101299</v>
      </c>
      <c r="AA232" s="9" t="s">
        <v>276</v>
      </c>
      <c r="AB232" s="9" t="s">
        <v>276</v>
      </c>
      <c r="AC232" s="8">
        <v>0</v>
      </c>
      <c r="AD232" s="9" t="s">
        <v>1311</v>
      </c>
      <c r="AE232" s="8">
        <v>2</v>
      </c>
      <c r="AF232" s="9" t="s">
        <v>1311</v>
      </c>
      <c r="AG232" s="9" t="s">
        <v>1320</v>
      </c>
      <c r="AH232" s="9" t="s">
        <v>1302</v>
      </c>
      <c r="AI232" s="38">
        <v>145</v>
      </c>
      <c r="AJ232" s="38">
        <v>323</v>
      </c>
      <c r="AK232" s="38">
        <v>50623</v>
      </c>
      <c r="AL232" s="38">
        <v>101299</v>
      </c>
      <c r="AM232" s="38" t="s">
        <v>281</v>
      </c>
      <c r="AN232" s="8" t="s">
        <v>276</v>
      </c>
      <c r="AO232" s="14">
        <v>2.8643106888173362</v>
      </c>
      <c r="AP232" s="8" t="s">
        <v>276</v>
      </c>
      <c r="AQ232" s="8" t="s">
        <v>276</v>
      </c>
      <c r="AR232" s="8" t="s">
        <v>276</v>
      </c>
      <c r="AS232" s="14">
        <v>3.1885803413656602</v>
      </c>
      <c r="AT232" s="8" t="s">
        <v>276</v>
      </c>
      <c r="AU232" s="8" t="s">
        <v>276</v>
      </c>
      <c r="AV232" s="8" t="s">
        <v>268</v>
      </c>
      <c r="AW232" s="40" t="s">
        <v>276</v>
      </c>
      <c r="AX232" s="53">
        <v>0.89830281258980593</v>
      </c>
      <c r="AY232" s="9" t="s">
        <v>276</v>
      </c>
      <c r="AZ232" s="9" t="s">
        <v>276</v>
      </c>
      <c r="BA232" s="9" t="s">
        <v>276</v>
      </c>
      <c r="BB232" s="9" t="s">
        <v>282</v>
      </c>
      <c r="BC232" s="9" t="s">
        <v>276</v>
      </c>
      <c r="BD232" s="9" t="s">
        <v>276</v>
      </c>
      <c r="BE232" s="9" t="s">
        <v>276</v>
      </c>
      <c r="BF232" s="9" t="s">
        <v>1313</v>
      </c>
      <c r="BG232" s="9"/>
      <c r="BH232" s="9" t="s">
        <v>100</v>
      </c>
      <c r="BI232" s="9" t="s">
        <v>100</v>
      </c>
      <c r="BJ232" s="32"/>
      <c r="BK232" s="32"/>
      <c r="BO232" s="32"/>
      <c r="BP232" s="32"/>
    </row>
    <row r="233" spans="1:68" s="33" customFormat="1" ht="78" hidden="1" x14ac:dyDescent="0.35">
      <c r="A233" s="8">
        <v>2733</v>
      </c>
      <c r="B233" s="8" t="s">
        <v>1169</v>
      </c>
      <c r="C233" s="8" t="s">
        <v>86</v>
      </c>
      <c r="D233" s="9" t="s">
        <v>1342</v>
      </c>
      <c r="E233" s="8" t="s">
        <v>42</v>
      </c>
      <c r="F233" s="9" t="s">
        <v>148</v>
      </c>
      <c r="G233" s="8" t="s">
        <v>225</v>
      </c>
      <c r="H233" s="8" t="s">
        <v>125</v>
      </c>
      <c r="I233" s="8" t="s">
        <v>114</v>
      </c>
      <c r="J233" s="9" t="s">
        <v>25</v>
      </c>
      <c r="K233" s="8" t="s">
        <v>311</v>
      </c>
      <c r="L233" s="8" t="s">
        <v>276</v>
      </c>
      <c r="M233" s="8" t="s">
        <v>276</v>
      </c>
      <c r="N233" s="9" t="s">
        <v>1171</v>
      </c>
      <c r="O233" s="9" t="s">
        <v>1297</v>
      </c>
      <c r="P233" s="9" t="s">
        <v>239</v>
      </c>
      <c r="Q233" s="52">
        <v>42004</v>
      </c>
      <c r="R233" s="9" t="s">
        <v>276</v>
      </c>
      <c r="S233" s="9" t="s">
        <v>1299</v>
      </c>
      <c r="T233" s="9" t="s">
        <v>1310</v>
      </c>
      <c r="U233" s="51" t="s">
        <v>1174</v>
      </c>
      <c r="V233" s="8" t="s">
        <v>14</v>
      </c>
      <c r="W233" s="9" t="s">
        <v>98</v>
      </c>
      <c r="X233" s="9" t="s">
        <v>207</v>
      </c>
      <c r="Y233" s="13">
        <v>50623</v>
      </c>
      <c r="Z233" s="38">
        <v>101299</v>
      </c>
      <c r="AA233" s="9" t="s">
        <v>276</v>
      </c>
      <c r="AB233" s="9" t="s">
        <v>276</v>
      </c>
      <c r="AC233" s="8">
        <v>0</v>
      </c>
      <c r="AD233" s="9" t="s">
        <v>1311</v>
      </c>
      <c r="AE233" s="8">
        <v>2</v>
      </c>
      <c r="AF233" s="9" t="s">
        <v>1311</v>
      </c>
      <c r="AG233" s="9" t="s">
        <v>1320</v>
      </c>
      <c r="AH233" s="9" t="s">
        <v>1188</v>
      </c>
      <c r="AI233" s="38">
        <v>145</v>
      </c>
      <c r="AJ233" s="38">
        <v>323</v>
      </c>
      <c r="AK233" s="38">
        <v>548825</v>
      </c>
      <c r="AL233" s="38">
        <v>1097089</v>
      </c>
      <c r="AM233" s="38" t="s">
        <v>425</v>
      </c>
      <c r="AN233" s="8" t="s">
        <v>276</v>
      </c>
      <c r="AO233" s="14">
        <v>0.26420079260237783</v>
      </c>
      <c r="AP233" s="8" t="s">
        <v>276</v>
      </c>
      <c r="AQ233" s="8" t="s">
        <v>276</v>
      </c>
      <c r="AR233" s="8" t="s">
        <v>276</v>
      </c>
      <c r="AS233" s="14">
        <v>0.29441549409391582</v>
      </c>
      <c r="AT233" s="8" t="s">
        <v>276</v>
      </c>
      <c r="AU233" s="8" t="s">
        <v>276</v>
      </c>
      <c r="AV233" s="8" t="s">
        <v>269</v>
      </c>
      <c r="AW233" s="40" t="s">
        <v>276</v>
      </c>
      <c r="AX233" s="53">
        <v>0.89737394227662559</v>
      </c>
      <c r="AY233" s="9" t="s">
        <v>276</v>
      </c>
      <c r="AZ233" s="9" t="s">
        <v>276</v>
      </c>
      <c r="BA233" s="9" t="s">
        <v>276</v>
      </c>
      <c r="BB233" s="9" t="s">
        <v>282</v>
      </c>
      <c r="BC233" s="9" t="s">
        <v>276</v>
      </c>
      <c r="BD233" s="9" t="s">
        <v>276</v>
      </c>
      <c r="BE233" s="9" t="s">
        <v>276</v>
      </c>
      <c r="BF233" s="9" t="s">
        <v>1315</v>
      </c>
      <c r="BG233" s="9"/>
      <c r="BH233" s="9" t="s">
        <v>100</v>
      </c>
      <c r="BI233" s="9" t="s">
        <v>100</v>
      </c>
      <c r="BJ233" s="32"/>
      <c r="BK233" s="32"/>
      <c r="BO233" s="32"/>
      <c r="BP233" s="32"/>
    </row>
    <row r="234" spans="1:68" s="33" customFormat="1" ht="78" hidden="1" x14ac:dyDescent="0.35">
      <c r="A234" s="8">
        <v>2733</v>
      </c>
      <c r="B234" s="8" t="s">
        <v>1169</v>
      </c>
      <c r="C234" s="8" t="s">
        <v>86</v>
      </c>
      <c r="D234" s="9" t="s">
        <v>1343</v>
      </c>
      <c r="E234" s="8" t="s">
        <v>42</v>
      </c>
      <c r="F234" s="9" t="s">
        <v>148</v>
      </c>
      <c r="G234" s="8" t="s">
        <v>225</v>
      </c>
      <c r="H234" s="8" t="s">
        <v>125</v>
      </c>
      <c r="I234" s="8" t="s">
        <v>114</v>
      </c>
      <c r="J234" s="9" t="s">
        <v>25</v>
      </c>
      <c r="K234" s="8" t="s">
        <v>314</v>
      </c>
      <c r="L234" s="8" t="s">
        <v>276</v>
      </c>
      <c r="M234" s="8" t="s">
        <v>276</v>
      </c>
      <c r="N234" s="9" t="s">
        <v>1171</v>
      </c>
      <c r="O234" s="9" t="s">
        <v>1297</v>
      </c>
      <c r="P234" s="9" t="s">
        <v>239</v>
      </c>
      <c r="Q234" s="52">
        <v>42004</v>
      </c>
      <c r="R234" s="9" t="s">
        <v>276</v>
      </c>
      <c r="S234" s="9" t="s">
        <v>1299</v>
      </c>
      <c r="T234" s="9" t="s">
        <v>1310</v>
      </c>
      <c r="U234" s="51" t="s">
        <v>1174</v>
      </c>
      <c r="V234" s="8" t="s">
        <v>14</v>
      </c>
      <c r="W234" s="9" t="s">
        <v>98</v>
      </c>
      <c r="X234" s="9" t="s">
        <v>207</v>
      </c>
      <c r="Y234" s="13">
        <v>50623</v>
      </c>
      <c r="Z234" s="38">
        <v>101299</v>
      </c>
      <c r="AA234" s="9" t="s">
        <v>276</v>
      </c>
      <c r="AB234" s="9" t="s">
        <v>276</v>
      </c>
      <c r="AC234" s="8">
        <v>0</v>
      </c>
      <c r="AD234" s="9" t="s">
        <v>1311</v>
      </c>
      <c r="AE234" s="8">
        <v>2</v>
      </c>
      <c r="AF234" s="9" t="s">
        <v>1311</v>
      </c>
      <c r="AG234" s="9" t="s">
        <v>1323</v>
      </c>
      <c r="AH234" s="9" t="s">
        <v>1302</v>
      </c>
      <c r="AI234" s="38">
        <v>51</v>
      </c>
      <c r="AJ234" s="38">
        <v>108</v>
      </c>
      <c r="AK234" s="38">
        <v>50623</v>
      </c>
      <c r="AL234" s="38">
        <v>101299</v>
      </c>
      <c r="AM234" s="38" t="s">
        <v>281</v>
      </c>
      <c r="AN234" s="8" t="s">
        <v>276</v>
      </c>
      <c r="AO234" s="14">
        <v>1.0074472077909251</v>
      </c>
      <c r="AP234" s="8" t="s">
        <v>276</v>
      </c>
      <c r="AQ234" s="8" t="s">
        <v>276</v>
      </c>
      <c r="AR234" s="8" t="s">
        <v>276</v>
      </c>
      <c r="AS234" s="14">
        <v>1.0661507023761341</v>
      </c>
      <c r="AT234" s="8" t="s">
        <v>276</v>
      </c>
      <c r="AU234" s="8" t="s">
        <v>276</v>
      </c>
      <c r="AV234" s="8" t="s">
        <v>268</v>
      </c>
      <c r="AW234" s="40" t="s">
        <v>276</v>
      </c>
      <c r="AX234" s="53">
        <v>0.94493883983345295</v>
      </c>
      <c r="AY234" s="9" t="s">
        <v>276</v>
      </c>
      <c r="AZ234" s="9" t="s">
        <v>276</v>
      </c>
      <c r="BA234" s="9" t="s">
        <v>276</v>
      </c>
      <c r="BB234" s="9" t="s">
        <v>282</v>
      </c>
      <c r="BC234" s="9" t="s">
        <v>276</v>
      </c>
      <c r="BD234" s="9" t="s">
        <v>276</v>
      </c>
      <c r="BE234" s="9" t="s">
        <v>276</v>
      </c>
      <c r="BF234" s="9" t="s">
        <v>1313</v>
      </c>
      <c r="BG234" s="9"/>
      <c r="BH234" s="9" t="s">
        <v>100</v>
      </c>
      <c r="BI234" s="9" t="s">
        <v>100</v>
      </c>
      <c r="BJ234" s="32"/>
      <c r="BK234" s="32"/>
      <c r="BO234" s="32"/>
      <c r="BP234" s="32"/>
    </row>
    <row r="235" spans="1:68" s="33" customFormat="1" ht="78" hidden="1" x14ac:dyDescent="0.35">
      <c r="A235" s="8">
        <v>2733</v>
      </c>
      <c r="B235" s="8" t="s">
        <v>1169</v>
      </c>
      <c r="C235" s="8" t="s">
        <v>86</v>
      </c>
      <c r="D235" s="9" t="s">
        <v>1344</v>
      </c>
      <c r="E235" s="8" t="s">
        <v>42</v>
      </c>
      <c r="F235" s="9" t="s">
        <v>148</v>
      </c>
      <c r="G235" s="8" t="s">
        <v>225</v>
      </c>
      <c r="H235" s="8" t="s">
        <v>125</v>
      </c>
      <c r="I235" s="8" t="s">
        <v>114</v>
      </c>
      <c r="J235" s="9" t="s">
        <v>25</v>
      </c>
      <c r="K235" s="8" t="s">
        <v>314</v>
      </c>
      <c r="L235" s="8" t="s">
        <v>276</v>
      </c>
      <c r="M235" s="8" t="s">
        <v>276</v>
      </c>
      <c r="N235" s="9" t="s">
        <v>1171</v>
      </c>
      <c r="O235" s="9" t="s">
        <v>1297</v>
      </c>
      <c r="P235" s="9" t="s">
        <v>239</v>
      </c>
      <c r="Q235" s="52">
        <v>42004</v>
      </c>
      <c r="R235" s="9" t="s">
        <v>276</v>
      </c>
      <c r="S235" s="9" t="s">
        <v>1299</v>
      </c>
      <c r="T235" s="9" t="s">
        <v>1310</v>
      </c>
      <c r="U235" s="51" t="s">
        <v>1174</v>
      </c>
      <c r="V235" s="8" t="s">
        <v>14</v>
      </c>
      <c r="W235" s="9" t="s">
        <v>98</v>
      </c>
      <c r="X235" s="9" t="s">
        <v>207</v>
      </c>
      <c r="Y235" s="13">
        <v>50623</v>
      </c>
      <c r="Z235" s="38">
        <v>101299</v>
      </c>
      <c r="AA235" s="9" t="s">
        <v>276</v>
      </c>
      <c r="AB235" s="9" t="s">
        <v>276</v>
      </c>
      <c r="AC235" s="8">
        <v>0</v>
      </c>
      <c r="AD235" s="9" t="s">
        <v>1311</v>
      </c>
      <c r="AE235" s="8">
        <v>2</v>
      </c>
      <c r="AF235" s="9" t="s">
        <v>1311</v>
      </c>
      <c r="AG235" s="9" t="s">
        <v>1323</v>
      </c>
      <c r="AH235" s="9" t="s">
        <v>1188</v>
      </c>
      <c r="AI235" s="38">
        <v>51</v>
      </c>
      <c r="AJ235" s="38">
        <v>108</v>
      </c>
      <c r="AK235" s="38">
        <v>548825</v>
      </c>
      <c r="AL235" s="38">
        <v>1097089</v>
      </c>
      <c r="AM235" s="38" t="s">
        <v>425</v>
      </c>
      <c r="AN235" s="8" t="s">
        <v>276</v>
      </c>
      <c r="AO235" s="14">
        <v>9.2925796018767368E-2</v>
      </c>
      <c r="AP235" s="8" t="s">
        <v>276</v>
      </c>
      <c r="AQ235" s="8" t="s">
        <v>276</v>
      </c>
      <c r="AR235" s="8" t="s">
        <v>276</v>
      </c>
      <c r="AS235" s="14">
        <v>9.844233239053532E-2</v>
      </c>
      <c r="AT235" s="8" t="s">
        <v>276</v>
      </c>
      <c r="AU235" s="8" t="s">
        <v>276</v>
      </c>
      <c r="AV235" s="8" t="s">
        <v>269</v>
      </c>
      <c r="AW235" s="40" t="s">
        <v>276</v>
      </c>
      <c r="AX235" s="53">
        <v>0.94396174655956921</v>
      </c>
      <c r="AY235" s="9" t="s">
        <v>276</v>
      </c>
      <c r="AZ235" s="9" t="s">
        <v>276</v>
      </c>
      <c r="BA235" s="9" t="s">
        <v>276</v>
      </c>
      <c r="BB235" s="9" t="s">
        <v>282</v>
      </c>
      <c r="BC235" s="9" t="s">
        <v>276</v>
      </c>
      <c r="BD235" s="9" t="s">
        <v>276</v>
      </c>
      <c r="BE235" s="9" t="s">
        <v>276</v>
      </c>
      <c r="BF235" s="9" t="s">
        <v>1315</v>
      </c>
      <c r="BG235" s="9"/>
      <c r="BH235" s="9" t="s">
        <v>100</v>
      </c>
      <c r="BI235" s="9" t="s">
        <v>100</v>
      </c>
      <c r="BJ235" s="32"/>
      <c r="BK235" s="32"/>
      <c r="BO235" s="32"/>
      <c r="BP235" s="32"/>
    </row>
    <row r="236" spans="1:68" s="33" customFormat="1" ht="91" hidden="1" x14ac:dyDescent="0.35">
      <c r="A236" s="8">
        <v>2733</v>
      </c>
      <c r="B236" s="8" t="s">
        <v>1169</v>
      </c>
      <c r="C236" s="8" t="s">
        <v>86</v>
      </c>
      <c r="D236" s="9" t="s">
        <v>1345</v>
      </c>
      <c r="E236" s="8" t="s">
        <v>42</v>
      </c>
      <c r="F236" s="9" t="s">
        <v>148</v>
      </c>
      <c r="G236" s="8" t="s">
        <v>225</v>
      </c>
      <c r="H236" s="8" t="s">
        <v>125</v>
      </c>
      <c r="I236" s="8" t="s">
        <v>114</v>
      </c>
      <c r="J236" s="9" t="s">
        <v>25</v>
      </c>
      <c r="K236" s="8" t="s">
        <v>300</v>
      </c>
      <c r="L236" s="8" t="s">
        <v>276</v>
      </c>
      <c r="M236" s="8" t="s">
        <v>276</v>
      </c>
      <c r="N236" s="9" t="s">
        <v>1171</v>
      </c>
      <c r="O236" s="9" t="s">
        <v>1297</v>
      </c>
      <c r="P236" s="9" t="s">
        <v>239</v>
      </c>
      <c r="Q236" s="52">
        <v>42004</v>
      </c>
      <c r="R236" s="9" t="s">
        <v>276</v>
      </c>
      <c r="S236" s="9" t="s">
        <v>1299</v>
      </c>
      <c r="T236" s="9" t="s">
        <v>1310</v>
      </c>
      <c r="U236" s="51" t="s">
        <v>1174</v>
      </c>
      <c r="V236" s="8" t="s">
        <v>14</v>
      </c>
      <c r="W236" s="9" t="s">
        <v>98</v>
      </c>
      <c r="X236" s="9" t="s">
        <v>207</v>
      </c>
      <c r="Y236" s="13">
        <v>50623</v>
      </c>
      <c r="Z236" s="38">
        <v>101299</v>
      </c>
      <c r="AA236" s="9" t="s">
        <v>276</v>
      </c>
      <c r="AB236" s="9" t="s">
        <v>276</v>
      </c>
      <c r="AC236" s="8">
        <v>0</v>
      </c>
      <c r="AD236" s="9" t="s">
        <v>1311</v>
      </c>
      <c r="AE236" s="8">
        <v>2</v>
      </c>
      <c r="AF236" s="9" t="s">
        <v>1311</v>
      </c>
      <c r="AG236" s="9" t="s">
        <v>1326</v>
      </c>
      <c r="AH236" s="9" t="s">
        <v>1302</v>
      </c>
      <c r="AI236" s="38">
        <v>99</v>
      </c>
      <c r="AJ236" s="38">
        <v>147</v>
      </c>
      <c r="AK236" s="38">
        <v>50623</v>
      </c>
      <c r="AL236" s="38">
        <v>101299</v>
      </c>
      <c r="AM236" s="38" t="s">
        <v>281</v>
      </c>
      <c r="AN236" s="8" t="s">
        <v>276</v>
      </c>
      <c r="AO236" s="14">
        <v>1.9556328151235605</v>
      </c>
      <c r="AP236" s="8" t="s">
        <v>276</v>
      </c>
      <c r="AQ236" s="8" t="s">
        <v>276</v>
      </c>
      <c r="AR236" s="8" t="s">
        <v>276</v>
      </c>
      <c r="AS236" s="14">
        <v>1.4511495671230712</v>
      </c>
      <c r="AT236" s="8" t="s">
        <v>276</v>
      </c>
      <c r="AU236" s="8" t="s">
        <v>276</v>
      </c>
      <c r="AV236" s="8" t="s">
        <v>268</v>
      </c>
      <c r="AW236" s="40" t="s">
        <v>276</v>
      </c>
      <c r="AX236" s="53">
        <v>1.3476438676136162</v>
      </c>
      <c r="AY236" s="9" t="s">
        <v>276</v>
      </c>
      <c r="AZ236" s="9" t="s">
        <v>276</v>
      </c>
      <c r="BA236" s="9" t="s">
        <v>276</v>
      </c>
      <c r="BB236" s="9" t="s">
        <v>282</v>
      </c>
      <c r="BC236" s="9" t="s">
        <v>276</v>
      </c>
      <c r="BD236" s="9" t="s">
        <v>276</v>
      </c>
      <c r="BE236" s="9" t="s">
        <v>276</v>
      </c>
      <c r="BF236" s="9" t="s">
        <v>1313</v>
      </c>
      <c r="BG236" s="9"/>
      <c r="BH236" s="9" t="s">
        <v>100</v>
      </c>
      <c r="BI236" s="9" t="s">
        <v>100</v>
      </c>
      <c r="BJ236" s="32"/>
      <c r="BK236" s="32"/>
      <c r="BO236" s="32"/>
      <c r="BP236" s="32"/>
    </row>
    <row r="237" spans="1:68" s="33" customFormat="1" ht="91" hidden="1" x14ac:dyDescent="0.35">
      <c r="A237" s="8">
        <v>2733</v>
      </c>
      <c r="B237" s="8" t="s">
        <v>1169</v>
      </c>
      <c r="C237" s="8" t="s">
        <v>86</v>
      </c>
      <c r="D237" s="9" t="s">
        <v>1346</v>
      </c>
      <c r="E237" s="8" t="s">
        <v>42</v>
      </c>
      <c r="F237" s="9" t="s">
        <v>148</v>
      </c>
      <c r="G237" s="8" t="s">
        <v>225</v>
      </c>
      <c r="H237" s="8" t="s">
        <v>125</v>
      </c>
      <c r="I237" s="8" t="s">
        <v>114</v>
      </c>
      <c r="J237" s="9" t="s">
        <v>25</v>
      </c>
      <c r="K237" s="8" t="s">
        <v>300</v>
      </c>
      <c r="L237" s="8" t="s">
        <v>276</v>
      </c>
      <c r="M237" s="8" t="s">
        <v>276</v>
      </c>
      <c r="N237" s="9" t="s">
        <v>1171</v>
      </c>
      <c r="O237" s="9" t="s">
        <v>1297</v>
      </c>
      <c r="P237" s="9" t="s">
        <v>239</v>
      </c>
      <c r="Q237" s="52">
        <v>42004</v>
      </c>
      <c r="R237" s="9" t="s">
        <v>276</v>
      </c>
      <c r="S237" s="9" t="s">
        <v>1299</v>
      </c>
      <c r="T237" s="9" t="s">
        <v>1310</v>
      </c>
      <c r="U237" s="51" t="s">
        <v>1174</v>
      </c>
      <c r="V237" s="8" t="s">
        <v>14</v>
      </c>
      <c r="W237" s="9" t="s">
        <v>98</v>
      </c>
      <c r="X237" s="9" t="s">
        <v>207</v>
      </c>
      <c r="Y237" s="13">
        <v>50623</v>
      </c>
      <c r="Z237" s="38">
        <v>101299</v>
      </c>
      <c r="AA237" s="9" t="s">
        <v>276</v>
      </c>
      <c r="AB237" s="9" t="s">
        <v>276</v>
      </c>
      <c r="AC237" s="8">
        <v>0</v>
      </c>
      <c r="AD237" s="9" t="s">
        <v>1311</v>
      </c>
      <c r="AE237" s="8">
        <v>2</v>
      </c>
      <c r="AF237" s="9" t="s">
        <v>1311</v>
      </c>
      <c r="AG237" s="9" t="s">
        <v>1326</v>
      </c>
      <c r="AH237" s="9" t="s">
        <v>1188</v>
      </c>
      <c r="AI237" s="38">
        <v>99</v>
      </c>
      <c r="AJ237" s="38">
        <v>147</v>
      </c>
      <c r="AK237" s="38">
        <v>548825</v>
      </c>
      <c r="AL237" s="38">
        <v>1097089</v>
      </c>
      <c r="AM237" s="38" t="s">
        <v>425</v>
      </c>
      <c r="AN237" s="8" t="s">
        <v>276</v>
      </c>
      <c r="AO237" s="14">
        <v>0.18038536874231312</v>
      </c>
      <c r="AP237" s="8" t="s">
        <v>276</v>
      </c>
      <c r="AQ237" s="8" t="s">
        <v>276</v>
      </c>
      <c r="AR237" s="8" t="s">
        <v>276</v>
      </c>
      <c r="AS237" s="14">
        <v>0.13399095242045084</v>
      </c>
      <c r="AT237" s="8" t="s">
        <v>276</v>
      </c>
      <c r="AU237" s="8" t="s">
        <v>276</v>
      </c>
      <c r="AV237" s="8" t="s">
        <v>269</v>
      </c>
      <c r="AW237" s="40" t="s">
        <v>276</v>
      </c>
      <c r="AX237" s="53">
        <v>1.3462503660417386</v>
      </c>
      <c r="AY237" s="9" t="s">
        <v>276</v>
      </c>
      <c r="AZ237" s="9" t="s">
        <v>276</v>
      </c>
      <c r="BA237" s="9" t="s">
        <v>276</v>
      </c>
      <c r="BB237" s="9" t="s">
        <v>282</v>
      </c>
      <c r="BC237" s="9" t="s">
        <v>276</v>
      </c>
      <c r="BD237" s="9" t="s">
        <v>276</v>
      </c>
      <c r="BE237" s="9" t="s">
        <v>276</v>
      </c>
      <c r="BF237" s="9" t="s">
        <v>1315</v>
      </c>
      <c r="BG237" s="9"/>
      <c r="BH237" s="9" t="s">
        <v>100</v>
      </c>
      <c r="BI237" s="9" t="s">
        <v>100</v>
      </c>
      <c r="BJ237" s="32"/>
      <c r="BK237" s="32"/>
      <c r="BO237" s="32"/>
      <c r="BP237" s="32"/>
    </row>
    <row r="238" spans="1:68" s="33" customFormat="1" ht="91" hidden="1" x14ac:dyDescent="0.35">
      <c r="A238" s="8">
        <v>2733</v>
      </c>
      <c r="B238" s="8" t="s">
        <v>1169</v>
      </c>
      <c r="C238" s="8" t="s">
        <v>86</v>
      </c>
      <c r="D238" s="9" t="s">
        <v>1347</v>
      </c>
      <c r="E238" s="8" t="s">
        <v>42</v>
      </c>
      <c r="F238" s="9" t="s">
        <v>148</v>
      </c>
      <c r="G238" s="8" t="s">
        <v>225</v>
      </c>
      <c r="H238" s="8" t="s">
        <v>125</v>
      </c>
      <c r="I238" s="8" t="s">
        <v>114</v>
      </c>
      <c r="J238" s="9" t="s">
        <v>25</v>
      </c>
      <c r="K238" s="8" t="s">
        <v>304</v>
      </c>
      <c r="L238" s="8" t="s">
        <v>276</v>
      </c>
      <c r="M238" s="8" t="s">
        <v>276</v>
      </c>
      <c r="N238" s="9" t="s">
        <v>1171</v>
      </c>
      <c r="O238" s="9" t="s">
        <v>1297</v>
      </c>
      <c r="P238" s="9" t="s">
        <v>239</v>
      </c>
      <c r="Q238" s="52">
        <v>42004</v>
      </c>
      <c r="R238" s="9" t="s">
        <v>276</v>
      </c>
      <c r="S238" s="9" t="s">
        <v>1299</v>
      </c>
      <c r="T238" s="9" t="s">
        <v>1310</v>
      </c>
      <c r="U238" s="51" t="s">
        <v>1174</v>
      </c>
      <c r="V238" s="8" t="s">
        <v>14</v>
      </c>
      <c r="W238" s="9" t="s">
        <v>98</v>
      </c>
      <c r="X238" s="9" t="s">
        <v>207</v>
      </c>
      <c r="Y238" s="13">
        <v>50623</v>
      </c>
      <c r="Z238" s="38">
        <v>101299</v>
      </c>
      <c r="AA238" s="9" t="s">
        <v>276</v>
      </c>
      <c r="AB238" s="9" t="s">
        <v>276</v>
      </c>
      <c r="AC238" s="8">
        <v>0</v>
      </c>
      <c r="AD238" s="9" t="s">
        <v>1311</v>
      </c>
      <c r="AE238" s="8">
        <v>2</v>
      </c>
      <c r="AF238" s="9" t="s">
        <v>1311</v>
      </c>
      <c r="AG238" s="9" t="s">
        <v>1329</v>
      </c>
      <c r="AH238" s="9" t="s">
        <v>1302</v>
      </c>
      <c r="AI238" s="38">
        <v>19</v>
      </c>
      <c r="AJ238" s="38">
        <v>51</v>
      </c>
      <c r="AK238" s="38">
        <v>50623</v>
      </c>
      <c r="AL238" s="38">
        <v>101299</v>
      </c>
      <c r="AM238" s="38" t="s">
        <v>281</v>
      </c>
      <c r="AN238" s="8" t="s">
        <v>276</v>
      </c>
      <c r="AO238" s="14">
        <v>0.37532346956916818</v>
      </c>
      <c r="AP238" s="8" t="s">
        <v>276</v>
      </c>
      <c r="AQ238" s="8" t="s">
        <v>276</v>
      </c>
      <c r="AR238" s="8" t="s">
        <v>276</v>
      </c>
      <c r="AS238" s="14">
        <v>0.50346005389984105</v>
      </c>
      <c r="AT238" s="8" t="s">
        <v>276</v>
      </c>
      <c r="AU238" s="8" t="s">
        <v>276</v>
      </c>
      <c r="AV238" s="8" t="s">
        <v>268</v>
      </c>
      <c r="AW238" s="40" t="s">
        <v>276</v>
      </c>
      <c r="AX238" s="53">
        <v>0.74548808125268962</v>
      </c>
      <c r="AY238" s="9" t="s">
        <v>276</v>
      </c>
      <c r="AZ238" s="9" t="s">
        <v>276</v>
      </c>
      <c r="BA238" s="9" t="s">
        <v>276</v>
      </c>
      <c r="BB238" s="9" t="s">
        <v>282</v>
      </c>
      <c r="BC238" s="9" t="s">
        <v>276</v>
      </c>
      <c r="BD238" s="9" t="s">
        <v>276</v>
      </c>
      <c r="BE238" s="9" t="s">
        <v>276</v>
      </c>
      <c r="BF238" s="9" t="s">
        <v>1313</v>
      </c>
      <c r="BG238" s="9"/>
      <c r="BH238" s="9" t="s">
        <v>100</v>
      </c>
      <c r="BI238" s="9" t="s">
        <v>100</v>
      </c>
      <c r="BJ238" s="32"/>
      <c r="BK238" s="32"/>
      <c r="BO238" s="32"/>
      <c r="BP238" s="32"/>
    </row>
    <row r="239" spans="1:68" s="33" customFormat="1" ht="91" hidden="1" x14ac:dyDescent="0.35">
      <c r="A239" s="8">
        <v>2733</v>
      </c>
      <c r="B239" s="8" t="s">
        <v>1169</v>
      </c>
      <c r="C239" s="8" t="s">
        <v>86</v>
      </c>
      <c r="D239" s="9" t="s">
        <v>1348</v>
      </c>
      <c r="E239" s="8" t="s">
        <v>42</v>
      </c>
      <c r="F239" s="9" t="s">
        <v>148</v>
      </c>
      <c r="G239" s="8" t="s">
        <v>225</v>
      </c>
      <c r="H239" s="8" t="s">
        <v>125</v>
      </c>
      <c r="I239" s="8" t="s">
        <v>114</v>
      </c>
      <c r="J239" s="9" t="s">
        <v>25</v>
      </c>
      <c r="K239" s="8" t="s">
        <v>304</v>
      </c>
      <c r="L239" s="8" t="s">
        <v>276</v>
      </c>
      <c r="M239" s="8" t="s">
        <v>276</v>
      </c>
      <c r="N239" s="9" t="s">
        <v>1171</v>
      </c>
      <c r="O239" s="9" t="s">
        <v>1297</v>
      </c>
      <c r="P239" s="9" t="s">
        <v>239</v>
      </c>
      <c r="Q239" s="52">
        <v>42004</v>
      </c>
      <c r="R239" s="9" t="s">
        <v>276</v>
      </c>
      <c r="S239" s="9" t="s">
        <v>1299</v>
      </c>
      <c r="T239" s="9" t="s">
        <v>1310</v>
      </c>
      <c r="U239" s="51" t="s">
        <v>1174</v>
      </c>
      <c r="V239" s="8" t="s">
        <v>14</v>
      </c>
      <c r="W239" s="9" t="s">
        <v>98</v>
      </c>
      <c r="X239" s="9" t="s">
        <v>207</v>
      </c>
      <c r="Y239" s="13">
        <v>50623</v>
      </c>
      <c r="Z239" s="38">
        <v>101299</v>
      </c>
      <c r="AA239" s="9" t="s">
        <v>276</v>
      </c>
      <c r="AB239" s="9" t="s">
        <v>276</v>
      </c>
      <c r="AC239" s="8">
        <v>0</v>
      </c>
      <c r="AD239" s="9" t="s">
        <v>1311</v>
      </c>
      <c r="AE239" s="8">
        <v>2</v>
      </c>
      <c r="AF239" s="9" t="s">
        <v>1311</v>
      </c>
      <c r="AG239" s="9" t="s">
        <v>1329</v>
      </c>
      <c r="AH239" s="9" t="s">
        <v>1188</v>
      </c>
      <c r="AI239" s="38">
        <v>19</v>
      </c>
      <c r="AJ239" s="38">
        <v>51</v>
      </c>
      <c r="AK239" s="38">
        <v>548825</v>
      </c>
      <c r="AL239" s="38">
        <v>1097089</v>
      </c>
      <c r="AM239" s="38" t="s">
        <v>425</v>
      </c>
      <c r="AN239" s="8" t="s">
        <v>276</v>
      </c>
      <c r="AO239" s="14">
        <v>3.4619414203070194E-2</v>
      </c>
      <c r="AP239" s="8" t="s">
        <v>276</v>
      </c>
      <c r="AQ239" s="8" t="s">
        <v>276</v>
      </c>
      <c r="AR239" s="8" t="s">
        <v>276</v>
      </c>
      <c r="AS239" s="14">
        <v>4.6486656962197233E-2</v>
      </c>
      <c r="AT239" s="8" t="s">
        <v>276</v>
      </c>
      <c r="AU239" s="8" t="s">
        <v>276</v>
      </c>
      <c r="AV239" s="8" t="s">
        <v>269</v>
      </c>
      <c r="AW239" s="40" t="s">
        <v>276</v>
      </c>
      <c r="AX239" s="53">
        <v>0.74471722565945242</v>
      </c>
      <c r="AY239" s="9" t="s">
        <v>276</v>
      </c>
      <c r="AZ239" s="9" t="s">
        <v>276</v>
      </c>
      <c r="BA239" s="9" t="s">
        <v>276</v>
      </c>
      <c r="BB239" s="9" t="s">
        <v>282</v>
      </c>
      <c r="BC239" s="9" t="s">
        <v>276</v>
      </c>
      <c r="BD239" s="9" t="s">
        <v>276</v>
      </c>
      <c r="BE239" s="9" t="s">
        <v>276</v>
      </c>
      <c r="BF239" s="9" t="s">
        <v>1315</v>
      </c>
      <c r="BG239" s="9"/>
      <c r="BH239" s="9" t="s">
        <v>100</v>
      </c>
      <c r="BI239" s="9" t="s">
        <v>100</v>
      </c>
      <c r="BJ239" s="32"/>
      <c r="BK239" s="32"/>
      <c r="BO239" s="32"/>
      <c r="BP239" s="32"/>
    </row>
    <row r="240" spans="1:68" s="33" customFormat="1" ht="91" hidden="1" x14ac:dyDescent="0.35">
      <c r="A240" s="8">
        <v>2733</v>
      </c>
      <c r="B240" s="8" t="s">
        <v>1169</v>
      </c>
      <c r="C240" s="8" t="s">
        <v>86</v>
      </c>
      <c r="D240" s="9" t="s">
        <v>1349</v>
      </c>
      <c r="E240" s="8" t="s">
        <v>42</v>
      </c>
      <c r="F240" s="9" t="s">
        <v>148</v>
      </c>
      <c r="G240" s="8" t="s">
        <v>225</v>
      </c>
      <c r="H240" s="8" t="s">
        <v>125</v>
      </c>
      <c r="I240" s="8" t="s">
        <v>114</v>
      </c>
      <c r="J240" s="9" t="s">
        <v>25</v>
      </c>
      <c r="K240" s="8" t="s">
        <v>311</v>
      </c>
      <c r="L240" s="8" t="s">
        <v>276</v>
      </c>
      <c r="M240" s="8" t="s">
        <v>276</v>
      </c>
      <c r="N240" s="9" t="s">
        <v>1171</v>
      </c>
      <c r="O240" s="9" t="s">
        <v>1297</v>
      </c>
      <c r="P240" s="9" t="s">
        <v>239</v>
      </c>
      <c r="Q240" s="52">
        <v>42004</v>
      </c>
      <c r="R240" s="9" t="s">
        <v>276</v>
      </c>
      <c r="S240" s="9" t="s">
        <v>1299</v>
      </c>
      <c r="T240" s="9" t="s">
        <v>1310</v>
      </c>
      <c r="U240" s="51" t="s">
        <v>1174</v>
      </c>
      <c r="V240" s="8" t="s">
        <v>14</v>
      </c>
      <c r="W240" s="9" t="s">
        <v>98</v>
      </c>
      <c r="X240" s="9" t="s">
        <v>207</v>
      </c>
      <c r="Y240" s="13">
        <v>50623</v>
      </c>
      <c r="Z240" s="38">
        <v>101299</v>
      </c>
      <c r="AA240" s="9" t="s">
        <v>276</v>
      </c>
      <c r="AB240" s="9" t="s">
        <v>276</v>
      </c>
      <c r="AC240" s="8">
        <v>0</v>
      </c>
      <c r="AD240" s="9" t="s">
        <v>1311</v>
      </c>
      <c r="AE240" s="8">
        <v>2</v>
      </c>
      <c r="AF240" s="9" t="s">
        <v>1311</v>
      </c>
      <c r="AG240" s="9" t="s">
        <v>1332</v>
      </c>
      <c r="AH240" s="9" t="s">
        <v>1302</v>
      </c>
      <c r="AI240" s="38">
        <v>154</v>
      </c>
      <c r="AJ240" s="38">
        <v>333</v>
      </c>
      <c r="AK240" s="38">
        <v>50623</v>
      </c>
      <c r="AL240" s="38">
        <v>101299</v>
      </c>
      <c r="AM240" s="38" t="s">
        <v>281</v>
      </c>
      <c r="AN240" s="8" t="s">
        <v>276</v>
      </c>
      <c r="AO240" s="14">
        <v>3.0420954901922053</v>
      </c>
      <c r="AP240" s="8" t="s">
        <v>276</v>
      </c>
      <c r="AQ240" s="8" t="s">
        <v>276</v>
      </c>
      <c r="AR240" s="8" t="s">
        <v>276</v>
      </c>
      <c r="AS240" s="14">
        <v>3.28729799899308</v>
      </c>
      <c r="AT240" s="8" t="s">
        <v>276</v>
      </c>
      <c r="AU240" s="8" t="s">
        <v>276</v>
      </c>
      <c r="AV240" s="8" t="s">
        <v>268</v>
      </c>
      <c r="AW240" s="40" t="s">
        <v>276</v>
      </c>
      <c r="AX240" s="53">
        <v>0.92540910228522577</v>
      </c>
      <c r="AY240" s="9" t="s">
        <v>276</v>
      </c>
      <c r="AZ240" s="9" t="s">
        <v>276</v>
      </c>
      <c r="BA240" s="9" t="s">
        <v>276</v>
      </c>
      <c r="BB240" s="9" t="s">
        <v>282</v>
      </c>
      <c r="BC240" s="9" t="s">
        <v>276</v>
      </c>
      <c r="BD240" s="9" t="s">
        <v>276</v>
      </c>
      <c r="BE240" s="9" t="s">
        <v>276</v>
      </c>
      <c r="BF240" s="9" t="s">
        <v>1313</v>
      </c>
      <c r="BG240" s="9"/>
      <c r="BH240" s="9" t="s">
        <v>100</v>
      </c>
      <c r="BI240" s="9" t="s">
        <v>100</v>
      </c>
      <c r="BJ240" s="32"/>
      <c r="BK240" s="32"/>
      <c r="BO240" s="32"/>
      <c r="BP240" s="32"/>
    </row>
    <row r="241" spans="1:68" s="33" customFormat="1" ht="91" hidden="1" x14ac:dyDescent="0.35">
      <c r="A241" s="8">
        <v>2733</v>
      </c>
      <c r="B241" s="8" t="s">
        <v>1169</v>
      </c>
      <c r="C241" s="8" t="s">
        <v>86</v>
      </c>
      <c r="D241" s="9" t="s">
        <v>1350</v>
      </c>
      <c r="E241" s="8" t="s">
        <v>42</v>
      </c>
      <c r="F241" s="9" t="s">
        <v>148</v>
      </c>
      <c r="G241" s="8" t="s">
        <v>225</v>
      </c>
      <c r="H241" s="8" t="s">
        <v>125</v>
      </c>
      <c r="I241" s="8" t="s">
        <v>114</v>
      </c>
      <c r="J241" s="9" t="s">
        <v>25</v>
      </c>
      <c r="K241" s="8" t="s">
        <v>311</v>
      </c>
      <c r="L241" s="8" t="s">
        <v>276</v>
      </c>
      <c r="M241" s="8" t="s">
        <v>276</v>
      </c>
      <c r="N241" s="9" t="s">
        <v>1171</v>
      </c>
      <c r="O241" s="9" t="s">
        <v>1297</v>
      </c>
      <c r="P241" s="9" t="s">
        <v>239</v>
      </c>
      <c r="Q241" s="52">
        <v>42004</v>
      </c>
      <c r="R241" s="9" t="s">
        <v>276</v>
      </c>
      <c r="S241" s="9" t="s">
        <v>1299</v>
      </c>
      <c r="T241" s="9" t="s">
        <v>1310</v>
      </c>
      <c r="U241" s="51" t="s">
        <v>1174</v>
      </c>
      <c r="V241" s="8" t="s">
        <v>14</v>
      </c>
      <c r="W241" s="9" t="s">
        <v>98</v>
      </c>
      <c r="X241" s="9" t="s">
        <v>207</v>
      </c>
      <c r="Y241" s="13">
        <v>50623</v>
      </c>
      <c r="Z241" s="38">
        <v>101299</v>
      </c>
      <c r="AA241" s="9" t="s">
        <v>276</v>
      </c>
      <c r="AB241" s="9" t="s">
        <v>276</v>
      </c>
      <c r="AC241" s="8">
        <v>0</v>
      </c>
      <c r="AD241" s="9" t="s">
        <v>1311</v>
      </c>
      <c r="AE241" s="8">
        <v>2</v>
      </c>
      <c r="AF241" s="9" t="s">
        <v>1311</v>
      </c>
      <c r="AG241" s="9" t="s">
        <v>1332</v>
      </c>
      <c r="AH241" s="9" t="s">
        <v>1188</v>
      </c>
      <c r="AI241" s="38">
        <v>154</v>
      </c>
      <c r="AJ241" s="38">
        <v>333</v>
      </c>
      <c r="AK241" s="38">
        <v>548825</v>
      </c>
      <c r="AL241" s="38">
        <v>1097089</v>
      </c>
      <c r="AM241" s="38" t="s">
        <v>425</v>
      </c>
      <c r="AN241" s="8" t="s">
        <v>276</v>
      </c>
      <c r="AO241" s="14">
        <v>0.28059946248804263</v>
      </c>
      <c r="AP241" s="8" t="s">
        <v>276</v>
      </c>
      <c r="AQ241" s="8" t="s">
        <v>276</v>
      </c>
      <c r="AR241" s="8" t="s">
        <v>276</v>
      </c>
      <c r="AS241" s="14">
        <v>0.30353052487081722</v>
      </c>
      <c r="AT241" s="8" t="s">
        <v>276</v>
      </c>
      <c r="AU241" s="8" t="s">
        <v>276</v>
      </c>
      <c r="AV241" s="8" t="s">
        <v>269</v>
      </c>
      <c r="AW241" s="40" t="s">
        <v>276</v>
      </c>
      <c r="AX241" s="53">
        <v>0.92445220330794053</v>
      </c>
      <c r="AY241" s="9" t="s">
        <v>276</v>
      </c>
      <c r="AZ241" s="9" t="s">
        <v>276</v>
      </c>
      <c r="BA241" s="9" t="s">
        <v>276</v>
      </c>
      <c r="BB241" s="9" t="s">
        <v>282</v>
      </c>
      <c r="BC241" s="9" t="s">
        <v>276</v>
      </c>
      <c r="BD241" s="9" t="s">
        <v>276</v>
      </c>
      <c r="BE241" s="9" t="s">
        <v>276</v>
      </c>
      <c r="BF241" s="9" t="s">
        <v>1315</v>
      </c>
      <c r="BG241" s="9"/>
      <c r="BH241" s="9" t="s">
        <v>100</v>
      </c>
      <c r="BI241" s="9" t="s">
        <v>100</v>
      </c>
      <c r="BJ241" s="32"/>
      <c r="BK241" s="32"/>
      <c r="BO241" s="32"/>
      <c r="BP241" s="32"/>
    </row>
    <row r="242" spans="1:68" s="33" customFormat="1" ht="91" hidden="1" x14ac:dyDescent="0.35">
      <c r="A242" s="8">
        <v>2733</v>
      </c>
      <c r="B242" s="8" t="s">
        <v>1169</v>
      </c>
      <c r="C242" s="8" t="s">
        <v>86</v>
      </c>
      <c r="D242" s="9" t="s">
        <v>1351</v>
      </c>
      <c r="E242" s="8" t="s">
        <v>42</v>
      </c>
      <c r="F242" s="9" t="s">
        <v>148</v>
      </c>
      <c r="G242" s="8" t="s">
        <v>225</v>
      </c>
      <c r="H242" s="8" t="s">
        <v>125</v>
      </c>
      <c r="I242" s="8" t="s">
        <v>114</v>
      </c>
      <c r="J242" s="9" t="s">
        <v>25</v>
      </c>
      <c r="K242" s="8" t="s">
        <v>314</v>
      </c>
      <c r="L242" s="8" t="s">
        <v>276</v>
      </c>
      <c r="M242" s="8" t="s">
        <v>276</v>
      </c>
      <c r="N242" s="9" t="s">
        <v>1171</v>
      </c>
      <c r="O242" s="9" t="s">
        <v>1297</v>
      </c>
      <c r="P242" s="9" t="s">
        <v>239</v>
      </c>
      <c r="Q242" s="52">
        <v>42004</v>
      </c>
      <c r="R242" s="9" t="s">
        <v>276</v>
      </c>
      <c r="S242" s="9" t="s">
        <v>1299</v>
      </c>
      <c r="T242" s="9" t="s">
        <v>1310</v>
      </c>
      <c r="U242" s="51" t="s">
        <v>1174</v>
      </c>
      <c r="V242" s="8" t="s">
        <v>14</v>
      </c>
      <c r="W242" s="9" t="s">
        <v>98</v>
      </c>
      <c r="X242" s="9" t="s">
        <v>207</v>
      </c>
      <c r="Y242" s="13">
        <v>50623</v>
      </c>
      <c r="Z242" s="38">
        <v>101299</v>
      </c>
      <c r="AA242" s="9" t="s">
        <v>276</v>
      </c>
      <c r="AB242" s="9" t="s">
        <v>276</v>
      </c>
      <c r="AC242" s="8">
        <v>0</v>
      </c>
      <c r="AD242" s="9" t="s">
        <v>1311</v>
      </c>
      <c r="AE242" s="8">
        <v>2</v>
      </c>
      <c r="AF242" s="9" t="s">
        <v>1311</v>
      </c>
      <c r="AG242" s="9" t="s">
        <v>1335</v>
      </c>
      <c r="AH242" s="9" t="s">
        <v>1302</v>
      </c>
      <c r="AI242" s="38">
        <v>52</v>
      </c>
      <c r="AJ242" s="38">
        <v>112</v>
      </c>
      <c r="AK242" s="38">
        <v>50623</v>
      </c>
      <c r="AL242" s="38">
        <v>101299</v>
      </c>
      <c r="AM242" s="38" t="s">
        <v>281</v>
      </c>
      <c r="AN242" s="8" t="s">
        <v>276</v>
      </c>
      <c r="AO242" s="14">
        <v>1.027201074610355</v>
      </c>
      <c r="AP242" s="8" t="s">
        <v>276</v>
      </c>
      <c r="AQ242" s="8" t="s">
        <v>276</v>
      </c>
      <c r="AR242" s="8" t="s">
        <v>276</v>
      </c>
      <c r="AS242" s="14">
        <v>1.1056377654271019</v>
      </c>
      <c r="AT242" s="8" t="s">
        <v>276</v>
      </c>
      <c r="AU242" s="8" t="s">
        <v>276</v>
      </c>
      <c r="AV242" s="8" t="s">
        <v>268</v>
      </c>
      <c r="AW242" s="40" t="s">
        <v>276</v>
      </c>
      <c r="AX242" s="40">
        <v>0.92905751479423537</v>
      </c>
      <c r="AY242" s="9" t="s">
        <v>276</v>
      </c>
      <c r="AZ242" s="9" t="s">
        <v>276</v>
      </c>
      <c r="BA242" s="9" t="s">
        <v>276</v>
      </c>
      <c r="BB242" s="9" t="s">
        <v>282</v>
      </c>
      <c r="BC242" s="9" t="s">
        <v>276</v>
      </c>
      <c r="BD242" s="9" t="s">
        <v>276</v>
      </c>
      <c r="BE242" s="9" t="s">
        <v>276</v>
      </c>
      <c r="BF242" s="9" t="s">
        <v>1313</v>
      </c>
      <c r="BG242" s="9"/>
      <c r="BH242" s="9" t="s">
        <v>100</v>
      </c>
      <c r="BI242" s="9" t="s">
        <v>100</v>
      </c>
      <c r="BJ242" s="32"/>
      <c r="BK242" s="32"/>
      <c r="BO242" s="32"/>
      <c r="BP242" s="32"/>
    </row>
    <row r="243" spans="1:68" s="33" customFormat="1" ht="91" hidden="1" x14ac:dyDescent="0.35">
      <c r="A243" s="8">
        <v>2733</v>
      </c>
      <c r="B243" s="8" t="s">
        <v>1169</v>
      </c>
      <c r="C243" s="8" t="s">
        <v>86</v>
      </c>
      <c r="D243" s="9" t="s">
        <v>1352</v>
      </c>
      <c r="E243" s="8" t="s">
        <v>42</v>
      </c>
      <c r="F243" s="9" t="s">
        <v>148</v>
      </c>
      <c r="G243" s="8" t="s">
        <v>225</v>
      </c>
      <c r="H243" s="8" t="s">
        <v>125</v>
      </c>
      <c r="I243" s="8" t="s">
        <v>114</v>
      </c>
      <c r="J243" s="9" t="s">
        <v>25</v>
      </c>
      <c r="K243" s="8" t="s">
        <v>314</v>
      </c>
      <c r="L243" s="8" t="s">
        <v>276</v>
      </c>
      <c r="M243" s="8" t="s">
        <v>276</v>
      </c>
      <c r="N243" s="9" t="s">
        <v>1171</v>
      </c>
      <c r="O243" s="9" t="s">
        <v>1297</v>
      </c>
      <c r="P243" s="9" t="s">
        <v>239</v>
      </c>
      <c r="Q243" s="52">
        <v>42004</v>
      </c>
      <c r="R243" s="9" t="s">
        <v>276</v>
      </c>
      <c r="S243" s="9" t="s">
        <v>1299</v>
      </c>
      <c r="T243" s="9" t="s">
        <v>1310</v>
      </c>
      <c r="U243" s="51" t="s">
        <v>1174</v>
      </c>
      <c r="V243" s="8" t="s">
        <v>14</v>
      </c>
      <c r="W243" s="9" t="s">
        <v>98</v>
      </c>
      <c r="X243" s="9" t="s">
        <v>207</v>
      </c>
      <c r="Y243" s="13">
        <v>50623</v>
      </c>
      <c r="Z243" s="38">
        <v>101299</v>
      </c>
      <c r="AA243" s="9" t="s">
        <v>276</v>
      </c>
      <c r="AB243" s="9" t="s">
        <v>276</v>
      </c>
      <c r="AC243" s="8">
        <v>0</v>
      </c>
      <c r="AD243" s="9" t="s">
        <v>1311</v>
      </c>
      <c r="AE243" s="8">
        <v>2</v>
      </c>
      <c r="AF243" s="9" t="s">
        <v>1311</v>
      </c>
      <c r="AG243" s="9" t="s">
        <v>1335</v>
      </c>
      <c r="AH243" s="9" t="s">
        <v>1188</v>
      </c>
      <c r="AI243" s="38">
        <v>52</v>
      </c>
      <c r="AJ243" s="38">
        <v>112</v>
      </c>
      <c r="AK243" s="38">
        <v>548825</v>
      </c>
      <c r="AL243" s="38">
        <v>1097089</v>
      </c>
      <c r="AM243" s="38" t="s">
        <v>425</v>
      </c>
      <c r="AN243" s="8" t="s">
        <v>276</v>
      </c>
      <c r="AO243" s="14">
        <v>9.4747870450507907E-2</v>
      </c>
      <c r="AP243" s="8" t="s">
        <v>276</v>
      </c>
      <c r="AQ243" s="8" t="s">
        <v>276</v>
      </c>
      <c r="AR243" s="8" t="s">
        <v>276</v>
      </c>
      <c r="AS243" s="14">
        <v>0.10208834470129588</v>
      </c>
      <c r="AT243" s="8" t="s">
        <v>276</v>
      </c>
      <c r="AU243" s="8" t="s">
        <v>276</v>
      </c>
      <c r="AV243" s="8" t="s">
        <v>269</v>
      </c>
      <c r="AW243" s="40" t="s">
        <v>276</v>
      </c>
      <c r="AX243" s="40">
        <v>0.92809684325604713</v>
      </c>
      <c r="AY243" s="9" t="s">
        <v>276</v>
      </c>
      <c r="AZ243" s="9" t="s">
        <v>276</v>
      </c>
      <c r="BA243" s="9" t="s">
        <v>276</v>
      </c>
      <c r="BB243" s="9" t="s">
        <v>282</v>
      </c>
      <c r="BC243" s="9" t="s">
        <v>276</v>
      </c>
      <c r="BD243" s="9" t="s">
        <v>276</v>
      </c>
      <c r="BE243" s="9" t="s">
        <v>276</v>
      </c>
      <c r="BF243" s="9" t="s">
        <v>1315</v>
      </c>
      <c r="BG243" s="9"/>
      <c r="BH243" s="9" t="s">
        <v>100</v>
      </c>
      <c r="BI243" s="9" t="s">
        <v>100</v>
      </c>
      <c r="BJ243" s="32"/>
      <c r="BK243" s="32"/>
      <c r="BO243" s="32"/>
      <c r="BP243" s="32"/>
    </row>
    <row r="244" spans="1:68" s="33" customFormat="1" ht="104" hidden="1" x14ac:dyDescent="0.35">
      <c r="A244" s="8">
        <v>2704</v>
      </c>
      <c r="B244" s="8" t="s">
        <v>1202</v>
      </c>
      <c r="C244" s="8" t="s">
        <v>86</v>
      </c>
      <c r="D244" s="9" t="s">
        <v>1353</v>
      </c>
      <c r="E244" s="8" t="s">
        <v>42</v>
      </c>
      <c r="F244" s="9" t="s">
        <v>274</v>
      </c>
      <c r="G244" s="8" t="s">
        <v>148</v>
      </c>
      <c r="H244" s="8" t="s">
        <v>225</v>
      </c>
      <c r="I244" s="8" t="s">
        <v>98</v>
      </c>
      <c r="J244" s="9" t="s">
        <v>98</v>
      </c>
      <c r="K244" s="8" t="s">
        <v>98</v>
      </c>
      <c r="L244" s="8" t="s">
        <v>98</v>
      </c>
      <c r="M244" s="8" t="s">
        <v>98</v>
      </c>
      <c r="N244" s="10" t="s">
        <v>1203</v>
      </c>
      <c r="O244" s="9" t="s">
        <v>1297</v>
      </c>
      <c r="P244" s="9" t="s">
        <v>238</v>
      </c>
      <c r="Q244" s="52">
        <v>44012</v>
      </c>
      <c r="R244" s="9" t="s">
        <v>276</v>
      </c>
      <c r="S244" s="9" t="s">
        <v>1354</v>
      </c>
      <c r="T244" s="9" t="s">
        <v>1355</v>
      </c>
      <c r="U244" s="51" t="s">
        <v>1174</v>
      </c>
      <c r="V244" s="8" t="s">
        <v>14</v>
      </c>
      <c r="W244" s="9" t="s">
        <v>1300</v>
      </c>
      <c r="X244" s="9" t="s">
        <v>208</v>
      </c>
      <c r="Y244" s="13">
        <v>50625</v>
      </c>
      <c r="Z244" s="9">
        <v>50623</v>
      </c>
      <c r="AA244" s="9" t="s">
        <v>276</v>
      </c>
      <c r="AB244" s="9" t="s">
        <v>276</v>
      </c>
      <c r="AC244" s="8">
        <v>2515</v>
      </c>
      <c r="AD244" s="9" t="s">
        <v>1196</v>
      </c>
      <c r="AE244" s="8">
        <v>2601</v>
      </c>
      <c r="AF244" s="9" t="s">
        <v>1196</v>
      </c>
      <c r="AG244" s="9" t="s">
        <v>1356</v>
      </c>
      <c r="AH244" s="9" t="s">
        <v>1357</v>
      </c>
      <c r="AI244" s="38">
        <v>212</v>
      </c>
      <c r="AJ244" s="38">
        <v>164</v>
      </c>
      <c r="AK244" s="38">
        <v>50625</v>
      </c>
      <c r="AL244" s="38">
        <v>50623</v>
      </c>
      <c r="AM244" s="38" t="s">
        <v>281</v>
      </c>
      <c r="AN244" s="8" t="s">
        <v>276</v>
      </c>
      <c r="AO244" s="31">
        <v>4.1876543209876544</v>
      </c>
      <c r="AP244" s="8" t="s">
        <v>276</v>
      </c>
      <c r="AQ244" s="8" t="s">
        <v>276</v>
      </c>
      <c r="AR244" s="8" t="s">
        <v>276</v>
      </c>
      <c r="AS244" s="14">
        <v>3.239634158386504</v>
      </c>
      <c r="AT244" s="8" t="s">
        <v>276</v>
      </c>
      <c r="AU244" s="8" t="s">
        <v>276</v>
      </c>
      <c r="AV244" s="8" t="s">
        <v>268</v>
      </c>
      <c r="AW244" s="40" t="s">
        <v>276</v>
      </c>
      <c r="AX244" s="40">
        <v>1.2926318578741345</v>
      </c>
      <c r="AY244" s="9" t="s">
        <v>276</v>
      </c>
      <c r="AZ244" s="9" t="s">
        <v>276</v>
      </c>
      <c r="BA244" s="9" t="s">
        <v>276</v>
      </c>
      <c r="BB244" s="9" t="s">
        <v>282</v>
      </c>
      <c r="BC244" s="9" t="s">
        <v>276</v>
      </c>
      <c r="BD244" s="9" t="s">
        <v>276</v>
      </c>
      <c r="BE244" s="9" t="s">
        <v>276</v>
      </c>
      <c r="BF244" s="9" t="s">
        <v>1358</v>
      </c>
      <c r="BG244" s="9" t="s">
        <v>1359</v>
      </c>
      <c r="BH244" s="9" t="s">
        <v>100</v>
      </c>
      <c r="BI244" s="9" t="s">
        <v>100</v>
      </c>
      <c r="BJ244" s="32"/>
      <c r="BK244" s="32"/>
      <c r="BO244" s="32"/>
      <c r="BP244" s="32"/>
    </row>
    <row r="245" spans="1:68" s="33" customFormat="1" ht="104" hidden="1" x14ac:dyDescent="0.35">
      <c r="A245" s="8">
        <v>2704</v>
      </c>
      <c r="B245" s="8" t="s">
        <v>1202</v>
      </c>
      <c r="C245" s="8" t="s">
        <v>86</v>
      </c>
      <c r="D245" s="9" t="s">
        <v>1360</v>
      </c>
      <c r="E245" s="8" t="s">
        <v>42</v>
      </c>
      <c r="F245" s="9" t="s">
        <v>274</v>
      </c>
      <c r="G245" s="8" t="s">
        <v>148</v>
      </c>
      <c r="H245" s="8" t="s">
        <v>225</v>
      </c>
      <c r="I245" s="8" t="s">
        <v>98</v>
      </c>
      <c r="J245" s="9" t="s">
        <v>98</v>
      </c>
      <c r="K245" s="8" t="s">
        <v>98</v>
      </c>
      <c r="L245" s="8" t="s">
        <v>98</v>
      </c>
      <c r="M245" s="8" t="s">
        <v>98</v>
      </c>
      <c r="N245" s="10" t="s">
        <v>1203</v>
      </c>
      <c r="O245" s="9" t="s">
        <v>1297</v>
      </c>
      <c r="P245" s="9" t="s">
        <v>236</v>
      </c>
      <c r="Q245" s="52">
        <v>44012</v>
      </c>
      <c r="R245" s="9" t="s">
        <v>276</v>
      </c>
      <c r="S245" s="9" t="s">
        <v>1354</v>
      </c>
      <c r="T245" s="9" t="s">
        <v>1355</v>
      </c>
      <c r="U245" s="51" t="s">
        <v>1174</v>
      </c>
      <c r="V245" s="8" t="s">
        <v>14</v>
      </c>
      <c r="W245" s="9" t="s">
        <v>1300</v>
      </c>
      <c r="X245" s="9" t="s">
        <v>208</v>
      </c>
      <c r="Y245" s="13">
        <v>50625</v>
      </c>
      <c r="Z245" s="9">
        <v>50623</v>
      </c>
      <c r="AA245" s="9" t="s">
        <v>276</v>
      </c>
      <c r="AB245" s="9" t="s">
        <v>276</v>
      </c>
      <c r="AC245" s="8">
        <v>2515</v>
      </c>
      <c r="AD245" s="9" t="s">
        <v>1196</v>
      </c>
      <c r="AE245" s="8">
        <v>2601</v>
      </c>
      <c r="AF245" s="9" t="s">
        <v>1196</v>
      </c>
      <c r="AG245" s="9" t="s">
        <v>1356</v>
      </c>
      <c r="AH245" s="9" t="s">
        <v>1361</v>
      </c>
      <c r="AI245" s="38">
        <v>212</v>
      </c>
      <c r="AJ245" s="38">
        <v>164</v>
      </c>
      <c r="AK245" s="38">
        <v>522</v>
      </c>
      <c r="AL245" s="38">
        <v>517</v>
      </c>
      <c r="AM245" s="38" t="s">
        <v>292</v>
      </c>
      <c r="AN245" s="8">
        <v>59</v>
      </c>
      <c r="AO245" s="14">
        <v>40.61302681992337</v>
      </c>
      <c r="AP245" s="8" t="s">
        <v>276</v>
      </c>
      <c r="AQ245" s="8" t="s">
        <v>276</v>
      </c>
      <c r="AR245" s="8">
        <v>51</v>
      </c>
      <c r="AS245" s="14">
        <v>31.721470019342359</v>
      </c>
      <c r="AT245" s="8" t="s">
        <v>276</v>
      </c>
      <c r="AU245" s="8" t="s">
        <v>276</v>
      </c>
      <c r="AV245" s="8" t="s">
        <v>268</v>
      </c>
      <c r="AW245" s="40" t="s">
        <v>276</v>
      </c>
      <c r="AX245" s="40">
        <v>1.2803009064573405</v>
      </c>
      <c r="AY245" s="9" t="s">
        <v>276</v>
      </c>
      <c r="AZ245" s="9" t="s">
        <v>276</v>
      </c>
      <c r="BA245" s="9" t="s">
        <v>276</v>
      </c>
      <c r="BB245" s="9" t="s">
        <v>282</v>
      </c>
      <c r="BC245" s="9" t="s">
        <v>276</v>
      </c>
      <c r="BD245" s="9" t="s">
        <v>276</v>
      </c>
      <c r="BE245" s="9" t="s">
        <v>276</v>
      </c>
      <c r="BF245" s="9" t="s">
        <v>1358</v>
      </c>
      <c r="BG245" s="9" t="s">
        <v>1359</v>
      </c>
      <c r="BH245" s="9" t="s">
        <v>100</v>
      </c>
      <c r="BI245" s="9" t="s">
        <v>100</v>
      </c>
      <c r="BJ245" s="32"/>
      <c r="BK245" s="32"/>
      <c r="BO245" s="32"/>
      <c r="BP245" s="32"/>
    </row>
    <row r="246" spans="1:68" s="33" customFormat="1" ht="104" hidden="1" x14ac:dyDescent="0.35">
      <c r="A246" s="8">
        <v>2704</v>
      </c>
      <c r="B246" s="8" t="s">
        <v>1202</v>
      </c>
      <c r="C246" s="8" t="s">
        <v>86</v>
      </c>
      <c r="D246" s="9" t="s">
        <v>1362</v>
      </c>
      <c r="E246" s="8" t="s">
        <v>42</v>
      </c>
      <c r="F246" s="9" t="s">
        <v>274</v>
      </c>
      <c r="G246" s="8" t="s">
        <v>225</v>
      </c>
      <c r="H246" s="8" t="s">
        <v>125</v>
      </c>
      <c r="I246" s="8" t="s">
        <v>114</v>
      </c>
      <c r="J246" s="9" t="s">
        <v>25</v>
      </c>
      <c r="K246" s="8" t="s">
        <v>300</v>
      </c>
      <c r="L246" s="2" t="s">
        <v>317</v>
      </c>
      <c r="M246" s="2" t="s">
        <v>307</v>
      </c>
      <c r="N246" s="10" t="s">
        <v>1203</v>
      </c>
      <c r="O246" s="9" t="s">
        <v>1297</v>
      </c>
      <c r="P246" s="9" t="s">
        <v>239</v>
      </c>
      <c r="Q246" s="52">
        <v>44012</v>
      </c>
      <c r="R246" s="9" t="s">
        <v>276</v>
      </c>
      <c r="S246" s="9" t="s">
        <v>1354</v>
      </c>
      <c r="T246" s="9" t="s">
        <v>1363</v>
      </c>
      <c r="U246" s="51" t="s">
        <v>1174</v>
      </c>
      <c r="V246" s="8" t="s">
        <v>14</v>
      </c>
      <c r="W246" s="9" t="s">
        <v>98</v>
      </c>
      <c r="X246" s="9" t="s">
        <v>207</v>
      </c>
      <c r="Y246" s="13">
        <v>50625</v>
      </c>
      <c r="Z246" s="38">
        <v>101314</v>
      </c>
      <c r="AA246" s="9" t="s">
        <v>276</v>
      </c>
      <c r="AB246" s="9" t="s">
        <v>276</v>
      </c>
      <c r="AC246" s="8">
        <v>5</v>
      </c>
      <c r="AD246" s="9" t="s">
        <v>1311</v>
      </c>
      <c r="AE246" s="8">
        <v>13</v>
      </c>
      <c r="AF246" s="9" t="s">
        <v>1311</v>
      </c>
      <c r="AG246" s="9" t="s">
        <v>1364</v>
      </c>
      <c r="AH246" s="9" t="s">
        <v>1357</v>
      </c>
      <c r="AI246" s="38">
        <v>155</v>
      </c>
      <c r="AJ246" s="38">
        <v>212</v>
      </c>
      <c r="AK246" s="38">
        <v>50625</v>
      </c>
      <c r="AL246" s="38">
        <v>101314</v>
      </c>
      <c r="AM246" s="38" t="s">
        <v>281</v>
      </c>
      <c r="AN246" s="8" t="s">
        <v>276</v>
      </c>
      <c r="AO246" s="14">
        <v>3.0617283950617282</v>
      </c>
      <c r="AP246" s="8" t="s">
        <v>276</v>
      </c>
      <c r="AQ246" s="8" t="s">
        <v>276</v>
      </c>
      <c r="AR246" s="8" t="s">
        <v>276</v>
      </c>
      <c r="AS246" s="14">
        <v>2.0925044909884121</v>
      </c>
      <c r="AT246" s="8" t="s">
        <v>276</v>
      </c>
      <c r="AU246" s="8" t="s">
        <v>276</v>
      </c>
      <c r="AV246" s="8" t="s">
        <v>268</v>
      </c>
      <c r="AW246" s="53">
        <v>1.472</v>
      </c>
      <c r="AX246" s="40">
        <v>1.4631884463079432</v>
      </c>
      <c r="AY246" s="9" t="s">
        <v>276</v>
      </c>
      <c r="AZ246" s="9" t="s">
        <v>276</v>
      </c>
      <c r="BA246" s="9" t="s">
        <v>276</v>
      </c>
      <c r="BB246" s="9" t="s">
        <v>282</v>
      </c>
      <c r="BC246" s="9" t="s">
        <v>276</v>
      </c>
      <c r="BD246" s="9" t="s">
        <v>276</v>
      </c>
      <c r="BE246" s="9" t="s">
        <v>276</v>
      </c>
      <c r="BF246" s="9" t="s">
        <v>1365</v>
      </c>
      <c r="BG246" s="9" t="s">
        <v>1366</v>
      </c>
      <c r="BH246" s="9" t="s">
        <v>100</v>
      </c>
      <c r="BI246" s="9" t="s">
        <v>100</v>
      </c>
      <c r="BJ246" s="32"/>
      <c r="BK246" s="32"/>
      <c r="BO246" s="32"/>
      <c r="BP246" s="32"/>
    </row>
    <row r="247" spans="1:68" s="33" customFormat="1" ht="104" hidden="1" x14ac:dyDescent="0.35">
      <c r="A247" s="8">
        <v>2704</v>
      </c>
      <c r="B247" s="8" t="s">
        <v>1202</v>
      </c>
      <c r="C247" s="8" t="s">
        <v>86</v>
      </c>
      <c r="D247" s="9" t="s">
        <v>1367</v>
      </c>
      <c r="E247" s="8" t="s">
        <v>42</v>
      </c>
      <c r="F247" s="9" t="s">
        <v>274</v>
      </c>
      <c r="G247" s="8" t="s">
        <v>225</v>
      </c>
      <c r="H247" s="8" t="s">
        <v>125</v>
      </c>
      <c r="I247" s="8" t="s">
        <v>114</v>
      </c>
      <c r="J247" s="9" t="s">
        <v>25</v>
      </c>
      <c r="K247" s="8" t="s">
        <v>300</v>
      </c>
      <c r="L247" s="2" t="s">
        <v>317</v>
      </c>
      <c r="M247" s="2" t="s">
        <v>307</v>
      </c>
      <c r="N247" s="10" t="s">
        <v>1203</v>
      </c>
      <c r="O247" s="9" t="s">
        <v>1297</v>
      </c>
      <c r="P247" s="9" t="s">
        <v>239</v>
      </c>
      <c r="Q247" s="52">
        <v>44012</v>
      </c>
      <c r="R247" s="9" t="s">
        <v>276</v>
      </c>
      <c r="S247" s="9" t="s">
        <v>1354</v>
      </c>
      <c r="T247" s="9" t="s">
        <v>1363</v>
      </c>
      <c r="U247" s="51" t="s">
        <v>1174</v>
      </c>
      <c r="V247" s="8" t="s">
        <v>14</v>
      </c>
      <c r="W247" s="9" t="s">
        <v>98</v>
      </c>
      <c r="X247" s="9" t="s">
        <v>207</v>
      </c>
      <c r="Y247" s="13">
        <v>50625</v>
      </c>
      <c r="Z247" s="38">
        <v>101314</v>
      </c>
      <c r="AA247" s="9" t="s">
        <v>276</v>
      </c>
      <c r="AB247" s="9" t="s">
        <v>276</v>
      </c>
      <c r="AC247" s="8">
        <v>5</v>
      </c>
      <c r="AD247" s="9" t="s">
        <v>1311</v>
      </c>
      <c r="AE247" s="8">
        <v>13</v>
      </c>
      <c r="AF247" s="9" t="s">
        <v>1311</v>
      </c>
      <c r="AG247" s="9" t="s">
        <v>1364</v>
      </c>
      <c r="AH247" s="9" t="s">
        <v>1368</v>
      </c>
      <c r="AI247" s="38">
        <v>155</v>
      </c>
      <c r="AJ247" s="38">
        <v>212</v>
      </c>
      <c r="AK247" s="38">
        <v>789129</v>
      </c>
      <c r="AL247" s="38">
        <v>1577517</v>
      </c>
      <c r="AM247" s="38" t="s">
        <v>425</v>
      </c>
      <c r="AN247" s="8" t="s">
        <v>276</v>
      </c>
      <c r="AO247" s="14">
        <v>0.19641908990798715</v>
      </c>
      <c r="AP247" s="8" t="s">
        <v>276</v>
      </c>
      <c r="AQ247" s="8" t="s">
        <v>276</v>
      </c>
      <c r="AR247" s="8" t="s">
        <v>276</v>
      </c>
      <c r="AS247" s="14">
        <v>0.13438840912649436</v>
      </c>
      <c r="AT247" s="8" t="s">
        <v>276</v>
      </c>
      <c r="AU247" s="8" t="s">
        <v>276</v>
      </c>
      <c r="AV247" s="8" t="s">
        <v>269</v>
      </c>
      <c r="AW247" s="40" t="s">
        <v>276</v>
      </c>
      <c r="AX247" s="40">
        <v>1.4615776106338592</v>
      </c>
      <c r="AY247" s="9" t="s">
        <v>276</v>
      </c>
      <c r="AZ247" s="9" t="s">
        <v>276</v>
      </c>
      <c r="BA247" s="9" t="s">
        <v>276</v>
      </c>
      <c r="BB247" s="9" t="s">
        <v>282</v>
      </c>
      <c r="BC247" s="9" t="s">
        <v>276</v>
      </c>
      <c r="BD247" s="9" t="s">
        <v>276</v>
      </c>
      <c r="BE247" s="9" t="s">
        <v>276</v>
      </c>
      <c r="BF247" s="9" t="s">
        <v>1369</v>
      </c>
      <c r="BG247" s="9"/>
      <c r="BH247" s="9" t="s">
        <v>100</v>
      </c>
      <c r="BI247" s="9" t="s">
        <v>100</v>
      </c>
      <c r="BJ247" s="32"/>
      <c r="BK247" s="32"/>
      <c r="BO247" s="32"/>
      <c r="BP247" s="32"/>
    </row>
    <row r="248" spans="1:68" s="33" customFormat="1" ht="104" hidden="1" x14ac:dyDescent="0.35">
      <c r="A248" s="8">
        <v>2704</v>
      </c>
      <c r="B248" s="8" t="s">
        <v>1202</v>
      </c>
      <c r="C248" s="8" t="s">
        <v>86</v>
      </c>
      <c r="D248" s="9" t="s">
        <v>1370</v>
      </c>
      <c r="E248" s="8" t="s">
        <v>42</v>
      </c>
      <c r="F248" s="9" t="s">
        <v>274</v>
      </c>
      <c r="G248" s="8" t="s">
        <v>225</v>
      </c>
      <c r="H248" s="8" t="s">
        <v>125</v>
      </c>
      <c r="I248" s="8" t="s">
        <v>114</v>
      </c>
      <c r="J248" s="9" t="s">
        <v>25</v>
      </c>
      <c r="K248" s="8" t="s">
        <v>304</v>
      </c>
      <c r="L248" s="2" t="s">
        <v>317</v>
      </c>
      <c r="M248" s="2" t="s">
        <v>307</v>
      </c>
      <c r="N248" s="10" t="s">
        <v>1203</v>
      </c>
      <c r="O248" s="9" t="s">
        <v>1297</v>
      </c>
      <c r="P248" s="9" t="s">
        <v>239</v>
      </c>
      <c r="Q248" s="52">
        <v>44012</v>
      </c>
      <c r="R248" s="9" t="s">
        <v>276</v>
      </c>
      <c r="S248" s="9" t="s">
        <v>1354</v>
      </c>
      <c r="T248" s="9" t="s">
        <v>1363</v>
      </c>
      <c r="U248" s="51" t="s">
        <v>1174</v>
      </c>
      <c r="V248" s="8" t="s">
        <v>14</v>
      </c>
      <c r="W248" s="9" t="s">
        <v>98</v>
      </c>
      <c r="X248" s="9" t="s">
        <v>207</v>
      </c>
      <c r="Y248" s="13">
        <v>50625</v>
      </c>
      <c r="Z248" s="38">
        <v>101314</v>
      </c>
      <c r="AA248" s="9" t="s">
        <v>276</v>
      </c>
      <c r="AB248" s="9" t="s">
        <v>276</v>
      </c>
      <c r="AC248" s="8">
        <v>5</v>
      </c>
      <c r="AD248" s="9" t="s">
        <v>1311</v>
      </c>
      <c r="AE248" s="8">
        <v>13</v>
      </c>
      <c r="AF248" s="9" t="s">
        <v>1311</v>
      </c>
      <c r="AG248" s="9" t="s">
        <v>1371</v>
      </c>
      <c r="AH248" s="9" t="s">
        <v>1357</v>
      </c>
      <c r="AI248" s="38">
        <v>42</v>
      </c>
      <c r="AJ248" s="38">
        <v>73</v>
      </c>
      <c r="AK248" s="38">
        <v>50625</v>
      </c>
      <c r="AL248" s="38">
        <v>101314</v>
      </c>
      <c r="AM248" s="38" t="s">
        <v>281</v>
      </c>
      <c r="AN248" s="8" t="s">
        <v>276</v>
      </c>
      <c r="AO248" s="14">
        <v>0.82962962962962961</v>
      </c>
      <c r="AP248" s="8" t="s">
        <v>276</v>
      </c>
      <c r="AQ248" s="8" t="s">
        <v>276</v>
      </c>
      <c r="AR248" s="8" t="s">
        <v>276</v>
      </c>
      <c r="AS248" s="14">
        <v>0.72053220680261365</v>
      </c>
      <c r="AT248" s="8" t="s">
        <v>276</v>
      </c>
      <c r="AU248" s="8" t="s">
        <v>276</v>
      </c>
      <c r="AV248" s="8" t="s">
        <v>268</v>
      </c>
      <c r="AW248" s="40" t="s">
        <v>276</v>
      </c>
      <c r="AX248" s="40">
        <v>1.1514122780314562</v>
      </c>
      <c r="AY248" s="9" t="s">
        <v>276</v>
      </c>
      <c r="AZ248" s="9" t="s">
        <v>276</v>
      </c>
      <c r="BA248" s="9" t="s">
        <v>276</v>
      </c>
      <c r="BB248" s="9" t="s">
        <v>282</v>
      </c>
      <c r="BC248" s="9" t="s">
        <v>276</v>
      </c>
      <c r="BD248" s="9" t="s">
        <v>276</v>
      </c>
      <c r="BE248" s="9" t="s">
        <v>276</v>
      </c>
      <c r="BF248" s="9" t="s">
        <v>298</v>
      </c>
      <c r="BG248" s="9" t="s">
        <v>1372</v>
      </c>
      <c r="BH248" s="9" t="s">
        <v>100</v>
      </c>
      <c r="BI248" s="9" t="s">
        <v>100</v>
      </c>
      <c r="BJ248" s="32"/>
      <c r="BK248" s="32"/>
      <c r="BO248" s="32"/>
      <c r="BP248" s="32"/>
    </row>
    <row r="249" spans="1:68" s="33" customFormat="1" ht="104" hidden="1" x14ac:dyDescent="0.35">
      <c r="A249" s="8">
        <v>2704</v>
      </c>
      <c r="B249" s="8" t="s">
        <v>1202</v>
      </c>
      <c r="C249" s="8" t="s">
        <v>86</v>
      </c>
      <c r="D249" s="9" t="s">
        <v>1373</v>
      </c>
      <c r="E249" s="8" t="s">
        <v>42</v>
      </c>
      <c r="F249" s="9" t="s">
        <v>274</v>
      </c>
      <c r="G249" s="8" t="s">
        <v>225</v>
      </c>
      <c r="H249" s="8" t="s">
        <v>125</v>
      </c>
      <c r="I249" s="8" t="s">
        <v>114</v>
      </c>
      <c r="J249" s="9" t="s">
        <v>25</v>
      </c>
      <c r="K249" s="8" t="s">
        <v>304</v>
      </c>
      <c r="L249" s="2" t="s">
        <v>317</v>
      </c>
      <c r="M249" s="2" t="s">
        <v>307</v>
      </c>
      <c r="N249" s="10" t="s">
        <v>1203</v>
      </c>
      <c r="O249" s="9" t="s">
        <v>1297</v>
      </c>
      <c r="P249" s="9" t="s">
        <v>239</v>
      </c>
      <c r="Q249" s="52">
        <v>44012</v>
      </c>
      <c r="R249" s="9" t="s">
        <v>276</v>
      </c>
      <c r="S249" s="9" t="s">
        <v>1354</v>
      </c>
      <c r="T249" s="9" t="s">
        <v>1363</v>
      </c>
      <c r="U249" s="51" t="s">
        <v>1174</v>
      </c>
      <c r="V249" s="8" t="s">
        <v>14</v>
      </c>
      <c r="W249" s="9" t="s">
        <v>98</v>
      </c>
      <c r="X249" s="9" t="s">
        <v>207</v>
      </c>
      <c r="Y249" s="13">
        <v>50625</v>
      </c>
      <c r="Z249" s="38">
        <v>101314</v>
      </c>
      <c r="AA249" s="9" t="s">
        <v>276</v>
      </c>
      <c r="AB249" s="9" t="s">
        <v>276</v>
      </c>
      <c r="AC249" s="8">
        <v>5</v>
      </c>
      <c r="AD249" s="9" t="s">
        <v>1311</v>
      </c>
      <c r="AE249" s="8">
        <v>13</v>
      </c>
      <c r="AF249" s="9" t="s">
        <v>1311</v>
      </c>
      <c r="AG249" s="9" t="s">
        <v>1371</v>
      </c>
      <c r="AH249" s="9" t="s">
        <v>1368</v>
      </c>
      <c r="AI249" s="38">
        <v>42</v>
      </c>
      <c r="AJ249" s="38">
        <v>73</v>
      </c>
      <c r="AK249" s="38">
        <v>789129</v>
      </c>
      <c r="AL249" s="38">
        <v>1577517</v>
      </c>
      <c r="AM249" s="38" t="s">
        <v>425</v>
      </c>
      <c r="AN249" s="8" t="s">
        <v>276</v>
      </c>
      <c r="AO249" s="14">
        <v>5.3223237265390071E-2</v>
      </c>
      <c r="AP249" s="8" t="s">
        <v>276</v>
      </c>
      <c r="AQ249" s="8" t="s">
        <v>276</v>
      </c>
      <c r="AR249" s="8" t="s">
        <v>276</v>
      </c>
      <c r="AS249" s="14">
        <v>4.6275254086009847E-2</v>
      </c>
      <c r="AT249" s="8" t="s">
        <v>276</v>
      </c>
      <c r="AU249" s="8" t="s">
        <v>276</v>
      </c>
      <c r="AV249" s="8" t="s">
        <v>269</v>
      </c>
      <c r="AW249" s="40" t="s">
        <v>276</v>
      </c>
      <c r="AX249" s="40">
        <v>1.1501446791943335</v>
      </c>
      <c r="AY249" s="9" t="s">
        <v>276</v>
      </c>
      <c r="AZ249" s="9" t="s">
        <v>276</v>
      </c>
      <c r="BA249" s="9" t="s">
        <v>276</v>
      </c>
      <c r="BB249" s="9" t="s">
        <v>282</v>
      </c>
      <c r="BC249" s="9" t="s">
        <v>276</v>
      </c>
      <c r="BD249" s="9" t="s">
        <v>276</v>
      </c>
      <c r="BE249" s="9" t="s">
        <v>276</v>
      </c>
      <c r="BF249" s="9" t="s">
        <v>1369</v>
      </c>
      <c r="BG249" s="9"/>
      <c r="BH249" s="9" t="s">
        <v>100</v>
      </c>
      <c r="BI249" s="9" t="s">
        <v>100</v>
      </c>
      <c r="BJ249" s="32"/>
      <c r="BK249" s="32"/>
      <c r="BO249" s="32"/>
      <c r="BP249" s="32"/>
    </row>
    <row r="250" spans="1:68" s="33" customFormat="1" ht="104" hidden="1" x14ac:dyDescent="0.35">
      <c r="A250" s="8">
        <v>2704</v>
      </c>
      <c r="B250" s="8" t="s">
        <v>1202</v>
      </c>
      <c r="C250" s="8" t="s">
        <v>86</v>
      </c>
      <c r="D250" s="9" t="s">
        <v>11670</v>
      </c>
      <c r="E250" s="8" t="s">
        <v>42</v>
      </c>
      <c r="F250" s="9" t="s">
        <v>274</v>
      </c>
      <c r="G250" s="8" t="s">
        <v>225</v>
      </c>
      <c r="H250" s="8" t="s">
        <v>125</v>
      </c>
      <c r="I250" s="8" t="s">
        <v>114</v>
      </c>
      <c r="J250" s="9" t="s">
        <v>25</v>
      </c>
      <c r="K250" s="8" t="s">
        <v>307</v>
      </c>
      <c r="L250" s="2" t="s">
        <v>317</v>
      </c>
      <c r="M250" s="2" t="s">
        <v>307</v>
      </c>
      <c r="N250" s="10" t="s">
        <v>1203</v>
      </c>
      <c r="O250" s="9" t="s">
        <v>1297</v>
      </c>
      <c r="P250" s="9" t="s">
        <v>239</v>
      </c>
      <c r="Q250" s="52">
        <v>44012</v>
      </c>
      <c r="R250" s="9" t="s">
        <v>276</v>
      </c>
      <c r="S250" s="9" t="s">
        <v>1354</v>
      </c>
      <c r="T250" s="9" t="s">
        <v>1363</v>
      </c>
      <c r="U250" s="51" t="s">
        <v>1174</v>
      </c>
      <c r="V250" s="8" t="s">
        <v>14</v>
      </c>
      <c r="W250" s="9" t="s">
        <v>98</v>
      </c>
      <c r="X250" s="9" t="s">
        <v>207</v>
      </c>
      <c r="Y250" s="13">
        <v>50625</v>
      </c>
      <c r="Z250" s="38">
        <v>101314</v>
      </c>
      <c r="AA250" s="9" t="s">
        <v>276</v>
      </c>
      <c r="AB250" s="9" t="s">
        <v>276</v>
      </c>
      <c r="AC250" s="8">
        <v>5</v>
      </c>
      <c r="AD250" s="9" t="s">
        <v>1311</v>
      </c>
      <c r="AE250" s="8">
        <v>13</v>
      </c>
      <c r="AF250" s="9" t="s">
        <v>1311</v>
      </c>
      <c r="AG250" s="9" t="s">
        <v>1374</v>
      </c>
      <c r="AH250" s="9" t="s">
        <v>1357</v>
      </c>
      <c r="AI250" s="38">
        <v>197</v>
      </c>
      <c r="AJ250" s="38">
        <v>285</v>
      </c>
      <c r="AK250" s="38">
        <v>50625</v>
      </c>
      <c r="AL250" s="38">
        <v>101314</v>
      </c>
      <c r="AM250" s="38" t="s">
        <v>281</v>
      </c>
      <c r="AN250" s="8" t="s">
        <v>276</v>
      </c>
      <c r="AO250" s="14">
        <v>3.8913580246913582</v>
      </c>
      <c r="AP250" s="8" t="s">
        <v>276</v>
      </c>
      <c r="AQ250" s="8" t="s">
        <v>276</v>
      </c>
      <c r="AR250" s="8" t="s">
        <v>276</v>
      </c>
      <c r="AS250" s="14">
        <v>2.8130366977910257</v>
      </c>
      <c r="AT250" s="8" t="s">
        <v>276</v>
      </c>
      <c r="AU250" s="8" t="s">
        <v>276</v>
      </c>
      <c r="AV250" s="8" t="s">
        <v>268</v>
      </c>
      <c r="AW250" s="53">
        <v>1.3919999999999999</v>
      </c>
      <c r="AX250" s="40">
        <v>1.3833299891704571</v>
      </c>
      <c r="AY250" s="9">
        <v>1.161</v>
      </c>
      <c r="AZ250" s="9">
        <v>1.669</v>
      </c>
      <c r="BA250" s="9" t="s">
        <v>276</v>
      </c>
      <c r="BB250" s="9" t="s">
        <v>282</v>
      </c>
      <c r="BC250" s="9" t="s">
        <v>276</v>
      </c>
      <c r="BD250" s="9" t="s">
        <v>276</v>
      </c>
      <c r="BE250" s="9" t="s">
        <v>276</v>
      </c>
      <c r="BF250" s="9" t="s">
        <v>1375</v>
      </c>
      <c r="BG250" s="9" t="s">
        <v>1372</v>
      </c>
      <c r="BH250" s="9" t="s">
        <v>100</v>
      </c>
      <c r="BI250" s="9" t="s">
        <v>100</v>
      </c>
      <c r="BJ250" s="32"/>
      <c r="BK250" s="32"/>
      <c r="BO250" s="32"/>
      <c r="BP250" s="32"/>
    </row>
    <row r="251" spans="1:68" s="33" customFormat="1" ht="104" hidden="1" x14ac:dyDescent="0.35">
      <c r="A251" s="8">
        <v>2704</v>
      </c>
      <c r="B251" s="8" t="s">
        <v>1202</v>
      </c>
      <c r="C251" s="8" t="s">
        <v>86</v>
      </c>
      <c r="D251" s="9" t="s">
        <v>1376</v>
      </c>
      <c r="E251" s="8" t="s">
        <v>42</v>
      </c>
      <c r="F251" s="9" t="s">
        <v>274</v>
      </c>
      <c r="G251" s="8" t="s">
        <v>225</v>
      </c>
      <c r="H251" s="8" t="s">
        <v>125</v>
      </c>
      <c r="I251" s="8" t="s">
        <v>114</v>
      </c>
      <c r="J251" s="9" t="s">
        <v>25</v>
      </c>
      <c r="K251" s="8" t="s">
        <v>307</v>
      </c>
      <c r="L251" s="2" t="s">
        <v>317</v>
      </c>
      <c r="M251" s="2" t="s">
        <v>307</v>
      </c>
      <c r="N251" s="10" t="s">
        <v>1203</v>
      </c>
      <c r="O251" s="9" t="s">
        <v>1297</v>
      </c>
      <c r="P251" s="9" t="s">
        <v>239</v>
      </c>
      <c r="Q251" s="52">
        <v>44012</v>
      </c>
      <c r="R251" s="9" t="s">
        <v>276</v>
      </c>
      <c r="S251" s="9" t="s">
        <v>1354</v>
      </c>
      <c r="T251" s="9" t="s">
        <v>1363</v>
      </c>
      <c r="U251" s="51" t="s">
        <v>1174</v>
      </c>
      <c r="V251" s="8" t="s">
        <v>14</v>
      </c>
      <c r="W251" s="9" t="s">
        <v>98</v>
      </c>
      <c r="X251" s="9" t="s">
        <v>207</v>
      </c>
      <c r="Y251" s="13">
        <v>50625</v>
      </c>
      <c r="Z251" s="38">
        <v>101314</v>
      </c>
      <c r="AA251" s="9" t="s">
        <v>276</v>
      </c>
      <c r="AB251" s="9" t="s">
        <v>276</v>
      </c>
      <c r="AC251" s="8">
        <v>5</v>
      </c>
      <c r="AD251" s="9" t="s">
        <v>1311</v>
      </c>
      <c r="AE251" s="8">
        <v>13</v>
      </c>
      <c r="AF251" s="9" t="s">
        <v>1311</v>
      </c>
      <c r="AG251" s="9" t="s">
        <v>1377</v>
      </c>
      <c r="AH251" s="9" t="s">
        <v>1368</v>
      </c>
      <c r="AI251" s="38">
        <v>197</v>
      </c>
      <c r="AJ251" s="38">
        <v>285</v>
      </c>
      <c r="AK251" s="38">
        <v>789129</v>
      </c>
      <c r="AL251" s="38">
        <v>1577517</v>
      </c>
      <c r="AM251" s="38" t="s">
        <v>425</v>
      </c>
      <c r="AN251" s="8" t="s">
        <v>276</v>
      </c>
      <c r="AO251" s="14">
        <v>0.24964232717337723</v>
      </c>
      <c r="AP251" s="8" t="s">
        <v>276</v>
      </c>
      <c r="AQ251" s="8" t="s">
        <v>276</v>
      </c>
      <c r="AR251" s="8" t="s">
        <v>276</v>
      </c>
      <c r="AS251" s="14">
        <v>0.18066366321250421</v>
      </c>
      <c r="AT251" s="8" t="s">
        <v>276</v>
      </c>
      <c r="AU251" s="8" t="s">
        <v>276</v>
      </c>
      <c r="AV251" s="8" t="s">
        <v>269</v>
      </c>
      <c r="AW251" s="40" t="s">
        <v>276</v>
      </c>
      <c r="AX251" s="40">
        <v>1.3818070703002263</v>
      </c>
      <c r="AY251" s="9" t="s">
        <v>276</v>
      </c>
      <c r="AZ251" s="9" t="s">
        <v>276</v>
      </c>
      <c r="BA251" s="9" t="s">
        <v>276</v>
      </c>
      <c r="BB251" s="9" t="s">
        <v>282</v>
      </c>
      <c r="BC251" s="9" t="s">
        <v>276</v>
      </c>
      <c r="BD251" s="9" t="s">
        <v>276</v>
      </c>
      <c r="BE251" s="9" t="s">
        <v>276</v>
      </c>
      <c r="BF251" s="9" t="s">
        <v>1369</v>
      </c>
      <c r="BG251" s="9"/>
      <c r="BH251" s="9" t="s">
        <v>100</v>
      </c>
      <c r="BI251" s="9" t="s">
        <v>100</v>
      </c>
      <c r="BJ251" s="32"/>
      <c r="BK251" s="32"/>
      <c r="BO251" s="32"/>
      <c r="BP251" s="32"/>
    </row>
    <row r="252" spans="1:68" s="33" customFormat="1" ht="104" hidden="1" x14ac:dyDescent="0.35">
      <c r="A252" s="8">
        <v>2704</v>
      </c>
      <c r="B252" s="8" t="s">
        <v>1202</v>
      </c>
      <c r="C252" s="8" t="s">
        <v>86</v>
      </c>
      <c r="D252" s="9" t="s">
        <v>1378</v>
      </c>
      <c r="E252" s="8" t="s">
        <v>42</v>
      </c>
      <c r="F252" s="9" t="s">
        <v>274</v>
      </c>
      <c r="G252" s="8" t="s">
        <v>225</v>
      </c>
      <c r="H252" s="8" t="s">
        <v>125</v>
      </c>
      <c r="I252" s="8" t="s">
        <v>114</v>
      </c>
      <c r="J252" s="9" t="s">
        <v>25</v>
      </c>
      <c r="K252" s="8" t="s">
        <v>311</v>
      </c>
      <c r="L252" s="2" t="s">
        <v>317</v>
      </c>
      <c r="M252" s="2" t="s">
        <v>307</v>
      </c>
      <c r="N252" s="10" t="s">
        <v>1203</v>
      </c>
      <c r="O252" s="9" t="s">
        <v>1297</v>
      </c>
      <c r="P252" s="9" t="s">
        <v>239</v>
      </c>
      <c r="Q252" s="52">
        <v>44012</v>
      </c>
      <c r="R252" s="9" t="s">
        <v>276</v>
      </c>
      <c r="S252" s="9" t="s">
        <v>1354</v>
      </c>
      <c r="T252" s="9" t="s">
        <v>1363</v>
      </c>
      <c r="U252" s="51" t="s">
        <v>1174</v>
      </c>
      <c r="V252" s="8" t="s">
        <v>14</v>
      </c>
      <c r="W252" s="9" t="s">
        <v>98</v>
      </c>
      <c r="X252" s="9" t="s">
        <v>207</v>
      </c>
      <c r="Y252" s="13">
        <v>50625</v>
      </c>
      <c r="Z252" s="38">
        <v>101314</v>
      </c>
      <c r="AA252" s="9" t="s">
        <v>276</v>
      </c>
      <c r="AB252" s="9" t="s">
        <v>276</v>
      </c>
      <c r="AC252" s="8">
        <v>5</v>
      </c>
      <c r="AD252" s="9" t="s">
        <v>1311</v>
      </c>
      <c r="AE252" s="8">
        <v>13</v>
      </c>
      <c r="AF252" s="9" t="s">
        <v>1311</v>
      </c>
      <c r="AG252" s="9" t="s">
        <v>1379</v>
      </c>
      <c r="AH252" s="9" t="s">
        <v>1357</v>
      </c>
      <c r="AI252" s="38">
        <v>242</v>
      </c>
      <c r="AJ252" s="38">
        <v>510</v>
      </c>
      <c r="AK252" s="38">
        <v>50625</v>
      </c>
      <c r="AL252" s="38">
        <v>101314</v>
      </c>
      <c r="AM252" s="38" t="s">
        <v>281</v>
      </c>
      <c r="AN252" s="8" t="s">
        <v>276</v>
      </c>
      <c r="AO252" s="14">
        <v>4.780246913580247</v>
      </c>
      <c r="AP252" s="8" t="s">
        <v>276</v>
      </c>
      <c r="AQ252" s="8" t="s">
        <v>276</v>
      </c>
      <c r="AR252" s="8" t="s">
        <v>276</v>
      </c>
      <c r="AS252" s="14">
        <v>5.0338551434155203</v>
      </c>
      <c r="AT252" s="8" t="s">
        <v>276</v>
      </c>
      <c r="AU252" s="8" t="s">
        <v>276</v>
      </c>
      <c r="AV252" s="8" t="s">
        <v>268</v>
      </c>
      <c r="AW252" s="40" t="s">
        <v>276</v>
      </c>
      <c r="AX252" s="40">
        <v>0.94961948196562573</v>
      </c>
      <c r="AY252" s="9" t="s">
        <v>276</v>
      </c>
      <c r="AZ252" s="9" t="s">
        <v>276</v>
      </c>
      <c r="BA252" s="9" t="s">
        <v>276</v>
      </c>
      <c r="BB252" s="9" t="s">
        <v>282</v>
      </c>
      <c r="BC252" s="9" t="s">
        <v>276</v>
      </c>
      <c r="BD252" s="9" t="s">
        <v>276</v>
      </c>
      <c r="BE252" s="9" t="s">
        <v>276</v>
      </c>
      <c r="BF252" s="9" t="s">
        <v>298</v>
      </c>
      <c r="BG252" s="9" t="s">
        <v>1372</v>
      </c>
      <c r="BH252" s="9" t="s">
        <v>100</v>
      </c>
      <c r="BI252" s="9" t="s">
        <v>100</v>
      </c>
      <c r="BJ252" s="32"/>
      <c r="BK252" s="32"/>
      <c r="BO252" s="32"/>
      <c r="BP252" s="32"/>
    </row>
    <row r="253" spans="1:68" s="33" customFormat="1" ht="104" hidden="1" x14ac:dyDescent="0.35">
      <c r="A253" s="8">
        <v>2704</v>
      </c>
      <c r="B253" s="8" t="s">
        <v>1202</v>
      </c>
      <c r="C253" s="8" t="s">
        <v>86</v>
      </c>
      <c r="D253" s="9" t="s">
        <v>1380</v>
      </c>
      <c r="E253" s="8" t="s">
        <v>42</v>
      </c>
      <c r="F253" s="9" t="s">
        <v>274</v>
      </c>
      <c r="G253" s="8" t="s">
        <v>225</v>
      </c>
      <c r="H253" s="8" t="s">
        <v>125</v>
      </c>
      <c r="I253" s="8" t="s">
        <v>114</v>
      </c>
      <c r="J253" s="9" t="s">
        <v>25</v>
      </c>
      <c r="K253" s="8" t="s">
        <v>311</v>
      </c>
      <c r="L253" s="2" t="s">
        <v>317</v>
      </c>
      <c r="M253" s="2" t="s">
        <v>307</v>
      </c>
      <c r="N253" s="10" t="s">
        <v>1203</v>
      </c>
      <c r="O253" s="9" t="s">
        <v>1297</v>
      </c>
      <c r="P253" s="9" t="s">
        <v>239</v>
      </c>
      <c r="Q253" s="52">
        <v>44012</v>
      </c>
      <c r="R253" s="9" t="s">
        <v>276</v>
      </c>
      <c r="S253" s="9" t="s">
        <v>1354</v>
      </c>
      <c r="T253" s="9" t="s">
        <v>1363</v>
      </c>
      <c r="U253" s="51" t="s">
        <v>1174</v>
      </c>
      <c r="V253" s="8" t="s">
        <v>14</v>
      </c>
      <c r="W253" s="9" t="s">
        <v>98</v>
      </c>
      <c r="X253" s="9" t="s">
        <v>207</v>
      </c>
      <c r="Y253" s="13">
        <v>50625</v>
      </c>
      <c r="Z253" s="38">
        <v>101314</v>
      </c>
      <c r="AA253" s="9" t="s">
        <v>276</v>
      </c>
      <c r="AB253" s="9" t="s">
        <v>276</v>
      </c>
      <c r="AC253" s="8">
        <v>5</v>
      </c>
      <c r="AD253" s="9" t="s">
        <v>1311</v>
      </c>
      <c r="AE253" s="8">
        <v>13</v>
      </c>
      <c r="AF253" s="9" t="s">
        <v>1311</v>
      </c>
      <c r="AG253" s="9" t="s">
        <v>1379</v>
      </c>
      <c r="AH253" s="9" t="s">
        <v>1368</v>
      </c>
      <c r="AI253" s="38">
        <v>242</v>
      </c>
      <c r="AJ253" s="38">
        <v>510</v>
      </c>
      <c r="AK253" s="38">
        <v>789129</v>
      </c>
      <c r="AL253" s="38">
        <v>1577517</v>
      </c>
      <c r="AM253" s="38" t="s">
        <v>425</v>
      </c>
      <c r="AN253" s="8" t="s">
        <v>276</v>
      </c>
      <c r="AO253" s="14">
        <v>0.30666722424343801</v>
      </c>
      <c r="AP253" s="8" t="s">
        <v>276</v>
      </c>
      <c r="AQ253" s="8" t="s">
        <v>276</v>
      </c>
      <c r="AR253" s="8" t="s">
        <v>276</v>
      </c>
      <c r="AS253" s="14">
        <v>0.32329287101184961</v>
      </c>
      <c r="AT253" s="8" t="s">
        <v>276</v>
      </c>
      <c r="AU253" s="8" t="s">
        <v>276</v>
      </c>
      <c r="AV253" s="8" t="s">
        <v>269</v>
      </c>
      <c r="AW253" s="40" t="s">
        <v>276</v>
      </c>
      <c r="AX253" s="40">
        <v>0.94857403840556009</v>
      </c>
      <c r="AY253" s="9" t="s">
        <v>276</v>
      </c>
      <c r="AZ253" s="9" t="s">
        <v>276</v>
      </c>
      <c r="BA253" s="9" t="s">
        <v>276</v>
      </c>
      <c r="BB253" s="9" t="s">
        <v>282</v>
      </c>
      <c r="BC253" s="9" t="s">
        <v>276</v>
      </c>
      <c r="BD253" s="9" t="s">
        <v>276</v>
      </c>
      <c r="BE253" s="9" t="s">
        <v>276</v>
      </c>
      <c r="BF253" s="9" t="s">
        <v>1369</v>
      </c>
      <c r="BG253" s="9"/>
      <c r="BH253" s="9" t="s">
        <v>100</v>
      </c>
      <c r="BI253" s="9" t="s">
        <v>100</v>
      </c>
      <c r="BJ253" s="32"/>
      <c r="BK253" s="32"/>
      <c r="BO253" s="32"/>
      <c r="BP253" s="32"/>
    </row>
    <row r="254" spans="1:68" s="33" customFormat="1" ht="104" hidden="1" x14ac:dyDescent="0.35">
      <c r="A254" s="8">
        <v>2704</v>
      </c>
      <c r="B254" s="8" t="s">
        <v>1202</v>
      </c>
      <c r="C254" s="8" t="s">
        <v>86</v>
      </c>
      <c r="D254" s="9" t="s">
        <v>1381</v>
      </c>
      <c r="E254" s="8" t="s">
        <v>42</v>
      </c>
      <c r="F254" s="9" t="s">
        <v>274</v>
      </c>
      <c r="G254" s="8" t="s">
        <v>225</v>
      </c>
      <c r="H254" s="8" t="s">
        <v>125</v>
      </c>
      <c r="I254" s="8" t="s">
        <v>114</v>
      </c>
      <c r="J254" s="9" t="s">
        <v>25</v>
      </c>
      <c r="K254" s="8" t="s">
        <v>314</v>
      </c>
      <c r="L254" s="2" t="s">
        <v>317</v>
      </c>
      <c r="M254" s="2" t="s">
        <v>307</v>
      </c>
      <c r="N254" s="10" t="s">
        <v>1203</v>
      </c>
      <c r="O254" s="9" t="s">
        <v>1297</v>
      </c>
      <c r="P254" s="9" t="s">
        <v>239</v>
      </c>
      <c r="Q254" s="52">
        <v>44012</v>
      </c>
      <c r="R254" s="9" t="s">
        <v>276</v>
      </c>
      <c r="S254" s="9" t="s">
        <v>1354</v>
      </c>
      <c r="T254" s="9" t="s">
        <v>1363</v>
      </c>
      <c r="U254" s="51" t="s">
        <v>1174</v>
      </c>
      <c r="V254" s="8" t="s">
        <v>14</v>
      </c>
      <c r="W254" s="9" t="s">
        <v>98</v>
      </c>
      <c r="X254" s="9" t="s">
        <v>207</v>
      </c>
      <c r="Y254" s="13">
        <v>50625</v>
      </c>
      <c r="Z254" s="38">
        <v>101314</v>
      </c>
      <c r="AA254" s="9" t="s">
        <v>276</v>
      </c>
      <c r="AB254" s="9" t="s">
        <v>276</v>
      </c>
      <c r="AC254" s="8">
        <v>5</v>
      </c>
      <c r="AD254" s="9" t="s">
        <v>1311</v>
      </c>
      <c r="AE254" s="8">
        <v>13</v>
      </c>
      <c r="AF254" s="9" t="s">
        <v>1311</v>
      </c>
      <c r="AG254" s="9" t="s">
        <v>1382</v>
      </c>
      <c r="AH254" s="9" t="s">
        <v>1357</v>
      </c>
      <c r="AI254" s="38">
        <v>78</v>
      </c>
      <c r="AJ254" s="38">
        <v>208</v>
      </c>
      <c r="AK254" s="38">
        <v>50625</v>
      </c>
      <c r="AL254" s="38">
        <v>101314</v>
      </c>
      <c r="AM254" s="38" t="s">
        <v>281</v>
      </c>
      <c r="AN254" s="8" t="s">
        <v>276</v>
      </c>
      <c r="AO254" s="14">
        <v>1.5407407407407407</v>
      </c>
      <c r="AP254" s="8" t="s">
        <v>276</v>
      </c>
      <c r="AQ254" s="8" t="s">
        <v>276</v>
      </c>
      <c r="AR254" s="8" t="s">
        <v>276</v>
      </c>
      <c r="AS254" s="14">
        <v>2.0530232741773102</v>
      </c>
      <c r="AT254" s="8" t="s">
        <v>276</v>
      </c>
      <c r="AU254" s="8" t="s">
        <v>276</v>
      </c>
      <c r="AV254" s="8" t="s">
        <v>268</v>
      </c>
      <c r="AW254" s="40">
        <v>0.755</v>
      </c>
      <c r="AX254" s="40">
        <v>0.75047407407407407</v>
      </c>
      <c r="AY254" s="9" t="s">
        <v>276</v>
      </c>
      <c r="AZ254" s="9" t="s">
        <v>276</v>
      </c>
      <c r="BA254" s="9" t="s">
        <v>276</v>
      </c>
      <c r="BB254" s="9" t="s">
        <v>282</v>
      </c>
      <c r="BC254" s="9" t="s">
        <v>276</v>
      </c>
      <c r="BD254" s="9" t="s">
        <v>276</v>
      </c>
      <c r="BE254" s="9" t="s">
        <v>276</v>
      </c>
      <c r="BF254" s="9" t="s">
        <v>1383</v>
      </c>
      <c r="BG254" s="9" t="s">
        <v>1372</v>
      </c>
      <c r="BH254" s="9" t="s">
        <v>100</v>
      </c>
      <c r="BI254" s="9" t="s">
        <v>100</v>
      </c>
      <c r="BJ254" s="32"/>
      <c r="BK254" s="32"/>
      <c r="BO254" s="32"/>
      <c r="BP254" s="32"/>
    </row>
    <row r="255" spans="1:68" s="33" customFormat="1" ht="104" hidden="1" x14ac:dyDescent="0.35">
      <c r="A255" s="8">
        <v>2704</v>
      </c>
      <c r="B255" s="8" t="s">
        <v>1202</v>
      </c>
      <c r="C255" s="8" t="s">
        <v>86</v>
      </c>
      <c r="D255" s="9" t="s">
        <v>1384</v>
      </c>
      <c r="E255" s="8" t="s">
        <v>42</v>
      </c>
      <c r="F255" s="9" t="s">
        <v>274</v>
      </c>
      <c r="G255" s="8" t="s">
        <v>225</v>
      </c>
      <c r="H255" s="8" t="s">
        <v>125</v>
      </c>
      <c r="I255" s="8" t="s">
        <v>114</v>
      </c>
      <c r="J255" s="9" t="s">
        <v>25</v>
      </c>
      <c r="K255" s="8" t="s">
        <v>314</v>
      </c>
      <c r="L255" s="2" t="s">
        <v>317</v>
      </c>
      <c r="M255" s="2" t="s">
        <v>307</v>
      </c>
      <c r="N255" s="10" t="s">
        <v>1203</v>
      </c>
      <c r="O255" s="9" t="s">
        <v>1297</v>
      </c>
      <c r="P255" s="9" t="s">
        <v>239</v>
      </c>
      <c r="Q255" s="52">
        <v>44012</v>
      </c>
      <c r="R255" s="9" t="s">
        <v>276</v>
      </c>
      <c r="S255" s="9" t="s">
        <v>1354</v>
      </c>
      <c r="T255" s="9" t="s">
        <v>1363</v>
      </c>
      <c r="U255" s="51" t="s">
        <v>1174</v>
      </c>
      <c r="V255" s="8" t="s">
        <v>14</v>
      </c>
      <c r="W255" s="9" t="s">
        <v>98</v>
      </c>
      <c r="X255" s="9" t="s">
        <v>207</v>
      </c>
      <c r="Y255" s="13">
        <v>50625</v>
      </c>
      <c r="Z255" s="38">
        <v>101314</v>
      </c>
      <c r="AA255" s="9" t="s">
        <v>276</v>
      </c>
      <c r="AB255" s="9" t="s">
        <v>276</v>
      </c>
      <c r="AC255" s="8">
        <v>5</v>
      </c>
      <c r="AD255" s="9" t="s">
        <v>1311</v>
      </c>
      <c r="AE255" s="8">
        <v>13</v>
      </c>
      <c r="AF255" s="9" t="s">
        <v>1311</v>
      </c>
      <c r="AG255" s="9" t="s">
        <v>1382</v>
      </c>
      <c r="AH255" s="9" t="s">
        <v>1368</v>
      </c>
      <c r="AI255" s="38">
        <v>78</v>
      </c>
      <c r="AJ255" s="38">
        <v>208</v>
      </c>
      <c r="AK255" s="38">
        <v>789129</v>
      </c>
      <c r="AL255" s="38">
        <v>1577517</v>
      </c>
      <c r="AM255" s="38" t="s">
        <v>425</v>
      </c>
      <c r="AN255" s="8" t="s">
        <v>276</v>
      </c>
      <c r="AO255" s="14">
        <v>9.8843154921438706E-2</v>
      </c>
      <c r="AP255" s="8" t="s">
        <v>276</v>
      </c>
      <c r="AQ255" s="8" t="s">
        <v>276</v>
      </c>
      <c r="AR255" s="8" t="s">
        <v>276</v>
      </c>
      <c r="AS255" s="14">
        <v>0.1318527787656171</v>
      </c>
      <c r="AT255" s="8" t="s">
        <v>276</v>
      </c>
      <c r="AU255" s="8" t="s">
        <v>276</v>
      </c>
      <c r="AV255" s="8" t="s">
        <v>269</v>
      </c>
      <c r="AW255" s="40" t="s">
        <v>276</v>
      </c>
      <c r="AX255" s="40">
        <v>0.7496478712605924</v>
      </c>
      <c r="AY255" s="9" t="s">
        <v>276</v>
      </c>
      <c r="AZ255" s="9" t="s">
        <v>276</v>
      </c>
      <c r="BA255" s="9" t="s">
        <v>276</v>
      </c>
      <c r="BB255" s="9" t="s">
        <v>282</v>
      </c>
      <c r="BC255" s="9" t="s">
        <v>276</v>
      </c>
      <c r="BD255" s="9" t="s">
        <v>276</v>
      </c>
      <c r="BE255" s="9" t="s">
        <v>276</v>
      </c>
      <c r="BF255" s="9" t="s">
        <v>1369</v>
      </c>
      <c r="BG255" s="9"/>
      <c r="BH255" s="9" t="s">
        <v>100</v>
      </c>
      <c r="BI255" s="9" t="s">
        <v>100</v>
      </c>
      <c r="BJ255" s="32"/>
      <c r="BK255" s="32"/>
      <c r="BO255" s="32"/>
      <c r="BP255" s="32"/>
    </row>
    <row r="256" spans="1:68" s="33" customFormat="1" ht="104" hidden="1" x14ac:dyDescent="0.35">
      <c r="A256" s="8">
        <v>2704</v>
      </c>
      <c r="B256" s="8" t="s">
        <v>1202</v>
      </c>
      <c r="C256" s="8" t="s">
        <v>86</v>
      </c>
      <c r="D256" s="9" t="s">
        <v>1385</v>
      </c>
      <c r="E256" s="8" t="s">
        <v>42</v>
      </c>
      <c r="F256" s="9" t="s">
        <v>274</v>
      </c>
      <c r="G256" s="8" t="s">
        <v>225</v>
      </c>
      <c r="H256" s="8" t="s">
        <v>125</v>
      </c>
      <c r="I256" s="8" t="s">
        <v>114</v>
      </c>
      <c r="J256" s="9" t="s">
        <v>25</v>
      </c>
      <c r="K256" s="8" t="s">
        <v>317</v>
      </c>
      <c r="L256" s="2" t="s">
        <v>317</v>
      </c>
      <c r="M256" s="2" t="s">
        <v>307</v>
      </c>
      <c r="N256" s="10" t="s">
        <v>1203</v>
      </c>
      <c r="O256" s="9" t="s">
        <v>1297</v>
      </c>
      <c r="P256" s="9" t="s">
        <v>239</v>
      </c>
      <c r="Q256" s="52">
        <v>44012</v>
      </c>
      <c r="R256" s="9" t="s">
        <v>276</v>
      </c>
      <c r="S256" s="9" t="s">
        <v>1354</v>
      </c>
      <c r="T256" s="9" t="s">
        <v>1363</v>
      </c>
      <c r="U256" s="51" t="s">
        <v>1174</v>
      </c>
      <c r="V256" s="8" t="s">
        <v>14</v>
      </c>
      <c r="W256" s="9" t="s">
        <v>98</v>
      </c>
      <c r="X256" s="9" t="s">
        <v>207</v>
      </c>
      <c r="Y256" s="13">
        <v>50625</v>
      </c>
      <c r="Z256" s="38">
        <v>101314</v>
      </c>
      <c r="AA256" s="9" t="s">
        <v>276</v>
      </c>
      <c r="AB256" s="9" t="s">
        <v>276</v>
      </c>
      <c r="AC256" s="8">
        <v>5</v>
      </c>
      <c r="AD256" s="9" t="s">
        <v>1311</v>
      </c>
      <c r="AE256" s="8">
        <v>13</v>
      </c>
      <c r="AF256" s="9" t="s">
        <v>1311</v>
      </c>
      <c r="AG256" s="9" t="s">
        <v>1386</v>
      </c>
      <c r="AH256" s="9" t="s">
        <v>1357</v>
      </c>
      <c r="AI256" s="38">
        <v>320</v>
      </c>
      <c r="AJ256" s="38">
        <v>718</v>
      </c>
      <c r="AK256" s="38">
        <v>50625</v>
      </c>
      <c r="AL256" s="38">
        <v>101314</v>
      </c>
      <c r="AM256" s="38" t="s">
        <v>281</v>
      </c>
      <c r="AN256" s="8" t="s">
        <v>276</v>
      </c>
      <c r="AO256" s="14">
        <v>6.3209876543209873</v>
      </c>
      <c r="AP256" s="8" t="s">
        <v>276</v>
      </c>
      <c r="AQ256" s="8" t="s">
        <v>276</v>
      </c>
      <c r="AR256" s="8" t="s">
        <v>276</v>
      </c>
      <c r="AS256" s="14">
        <v>7.0868784175928301</v>
      </c>
      <c r="AT256" s="8" t="s">
        <v>276</v>
      </c>
      <c r="AU256" s="8" t="s">
        <v>276</v>
      </c>
      <c r="AV256" s="8" t="s">
        <v>268</v>
      </c>
      <c r="AW256" s="40">
        <v>0.89800000000000002</v>
      </c>
      <c r="AX256" s="40">
        <v>0.89192833316138787</v>
      </c>
      <c r="AY256" s="9">
        <v>0.78600000000000003</v>
      </c>
      <c r="AZ256" s="9">
        <v>1.024</v>
      </c>
      <c r="BA256" s="9" t="s">
        <v>276</v>
      </c>
      <c r="BB256" s="9" t="s">
        <v>282</v>
      </c>
      <c r="BC256" s="9" t="s">
        <v>276</v>
      </c>
      <c r="BD256" s="9" t="s">
        <v>276</v>
      </c>
      <c r="BE256" s="9" t="s">
        <v>276</v>
      </c>
      <c r="BF256" s="9" t="s">
        <v>1375</v>
      </c>
      <c r="BG256" s="9" t="s">
        <v>1372</v>
      </c>
      <c r="BH256" s="9" t="s">
        <v>100</v>
      </c>
      <c r="BI256" s="9" t="s">
        <v>100</v>
      </c>
      <c r="BJ256" s="32"/>
      <c r="BK256" s="32"/>
      <c r="BO256" s="32"/>
      <c r="BP256" s="32"/>
    </row>
    <row r="257" spans="1:68" s="33" customFormat="1" ht="79.5" hidden="1" customHeight="1" x14ac:dyDescent="0.35">
      <c r="A257" s="8">
        <v>2704</v>
      </c>
      <c r="B257" s="8" t="s">
        <v>1202</v>
      </c>
      <c r="C257" s="8" t="s">
        <v>86</v>
      </c>
      <c r="D257" s="9" t="s">
        <v>1387</v>
      </c>
      <c r="E257" s="8" t="s">
        <v>42</v>
      </c>
      <c r="F257" s="9" t="s">
        <v>274</v>
      </c>
      <c r="G257" s="8" t="s">
        <v>225</v>
      </c>
      <c r="H257" s="8" t="s">
        <v>125</v>
      </c>
      <c r="I257" s="8" t="s">
        <v>114</v>
      </c>
      <c r="J257" s="9" t="s">
        <v>25</v>
      </c>
      <c r="K257" s="8" t="s">
        <v>317</v>
      </c>
      <c r="L257" s="2" t="s">
        <v>317</v>
      </c>
      <c r="M257" s="2" t="s">
        <v>307</v>
      </c>
      <c r="N257" s="10" t="s">
        <v>1203</v>
      </c>
      <c r="O257" s="9" t="s">
        <v>1297</v>
      </c>
      <c r="P257" s="9" t="s">
        <v>239</v>
      </c>
      <c r="Q257" s="52">
        <v>44012</v>
      </c>
      <c r="R257" s="9" t="s">
        <v>276</v>
      </c>
      <c r="S257" s="9" t="s">
        <v>1354</v>
      </c>
      <c r="T257" s="9" t="s">
        <v>1363</v>
      </c>
      <c r="U257" s="51" t="s">
        <v>1174</v>
      </c>
      <c r="V257" s="8" t="s">
        <v>14</v>
      </c>
      <c r="W257" s="9" t="s">
        <v>98</v>
      </c>
      <c r="X257" s="9" t="s">
        <v>207</v>
      </c>
      <c r="Y257" s="13">
        <v>50625</v>
      </c>
      <c r="Z257" s="38">
        <v>101314</v>
      </c>
      <c r="AA257" s="9" t="s">
        <v>276</v>
      </c>
      <c r="AB257" s="9" t="s">
        <v>276</v>
      </c>
      <c r="AC257" s="8">
        <v>5</v>
      </c>
      <c r="AD257" s="9" t="s">
        <v>1311</v>
      </c>
      <c r="AE257" s="8">
        <v>13</v>
      </c>
      <c r="AF257" s="9" t="s">
        <v>1311</v>
      </c>
      <c r="AG257" s="9" t="s">
        <v>1386</v>
      </c>
      <c r="AH257" s="9" t="s">
        <v>1368</v>
      </c>
      <c r="AI257" s="38">
        <v>320</v>
      </c>
      <c r="AJ257" s="38">
        <v>718</v>
      </c>
      <c r="AK257" s="38">
        <v>789129</v>
      </c>
      <c r="AL257" s="38">
        <v>1577517</v>
      </c>
      <c r="AM257" s="38" t="s">
        <v>425</v>
      </c>
      <c r="AN257" s="8" t="s">
        <v>276</v>
      </c>
      <c r="AO257" s="14">
        <v>0.4055103791648767</v>
      </c>
      <c r="AP257" s="8" t="s">
        <v>276</v>
      </c>
      <c r="AQ257" s="8" t="s">
        <v>276</v>
      </c>
      <c r="AR257" s="8" t="s">
        <v>276</v>
      </c>
      <c r="AS257" s="14">
        <v>0.45514564977746674</v>
      </c>
      <c r="AT257" s="8" t="s">
        <v>276</v>
      </c>
      <c r="AU257" s="8" t="s">
        <v>276</v>
      </c>
      <c r="AV257" s="8" t="s">
        <v>269</v>
      </c>
      <c r="AW257" s="40" t="s">
        <v>276</v>
      </c>
      <c r="AX257" s="40">
        <v>0.89094640224100108</v>
      </c>
      <c r="AY257" s="9" t="s">
        <v>276</v>
      </c>
      <c r="AZ257" s="9" t="s">
        <v>276</v>
      </c>
      <c r="BA257" s="9" t="s">
        <v>276</v>
      </c>
      <c r="BB257" s="9" t="s">
        <v>282</v>
      </c>
      <c r="BC257" s="9" t="s">
        <v>276</v>
      </c>
      <c r="BD257" s="9" t="s">
        <v>276</v>
      </c>
      <c r="BE257" s="9" t="s">
        <v>276</v>
      </c>
      <c r="BF257" s="9" t="s">
        <v>1369</v>
      </c>
      <c r="BG257" s="9"/>
      <c r="BH257" s="9" t="s">
        <v>100</v>
      </c>
      <c r="BI257" s="9" t="s">
        <v>100</v>
      </c>
      <c r="BJ257" s="32"/>
      <c r="BK257" s="32"/>
      <c r="BO257" s="32"/>
      <c r="BP257" s="32"/>
    </row>
    <row r="258" spans="1:68" s="33" customFormat="1" ht="104" hidden="1" x14ac:dyDescent="0.35">
      <c r="A258" s="8">
        <v>2704</v>
      </c>
      <c r="B258" s="8" t="s">
        <v>1202</v>
      </c>
      <c r="C258" s="8" t="s">
        <v>86</v>
      </c>
      <c r="D258" s="9" t="s">
        <v>1388</v>
      </c>
      <c r="E258" s="8" t="s">
        <v>42</v>
      </c>
      <c r="F258" s="9" t="s">
        <v>274</v>
      </c>
      <c r="G258" s="8" t="s">
        <v>225</v>
      </c>
      <c r="H258" s="8" t="s">
        <v>125</v>
      </c>
      <c r="I258" s="8" t="s">
        <v>114</v>
      </c>
      <c r="J258" s="9" t="s">
        <v>25</v>
      </c>
      <c r="K258" s="8" t="s">
        <v>317</v>
      </c>
      <c r="L258" s="2" t="s">
        <v>317</v>
      </c>
      <c r="M258" s="2" t="s">
        <v>307</v>
      </c>
      <c r="N258" s="10" t="s">
        <v>1203</v>
      </c>
      <c r="O258" s="9" t="s">
        <v>1297</v>
      </c>
      <c r="P258" s="524" t="s">
        <v>235</v>
      </c>
      <c r="Q258" s="52">
        <v>44012</v>
      </c>
      <c r="R258" s="9" t="s">
        <v>276</v>
      </c>
      <c r="S258" s="9" t="s">
        <v>1354</v>
      </c>
      <c r="T258" s="9" t="s">
        <v>1363</v>
      </c>
      <c r="U258" s="51" t="s">
        <v>1174</v>
      </c>
      <c r="V258" s="8" t="s">
        <v>14</v>
      </c>
      <c r="W258" s="9" t="s">
        <v>98</v>
      </c>
      <c r="X258" s="9" t="s">
        <v>207</v>
      </c>
      <c r="Y258" s="13" t="s">
        <v>98</v>
      </c>
      <c r="Z258" s="38" t="s">
        <v>98</v>
      </c>
      <c r="AA258" s="9" t="s">
        <v>276</v>
      </c>
      <c r="AB258" s="9" t="s">
        <v>276</v>
      </c>
      <c r="AC258" s="8">
        <v>5</v>
      </c>
      <c r="AD258" s="9" t="s">
        <v>1311</v>
      </c>
      <c r="AE258" s="8">
        <v>13</v>
      </c>
      <c r="AF258" s="9" t="s">
        <v>1311</v>
      </c>
      <c r="AG258" s="9" t="s">
        <v>1386</v>
      </c>
      <c r="AH258" s="9" t="s">
        <v>1389</v>
      </c>
      <c r="AI258" s="38">
        <v>320</v>
      </c>
      <c r="AJ258" s="38">
        <v>718</v>
      </c>
      <c r="AK258" s="38">
        <v>522</v>
      </c>
      <c r="AL258" s="38">
        <v>1016</v>
      </c>
      <c r="AM258" s="38" t="s">
        <v>292</v>
      </c>
      <c r="AN258" s="8">
        <v>61.3</v>
      </c>
      <c r="AO258" s="14">
        <v>61.302681992337163</v>
      </c>
      <c r="AP258" s="8" t="s">
        <v>276</v>
      </c>
      <c r="AQ258" s="8" t="s">
        <v>276</v>
      </c>
      <c r="AR258" s="8">
        <v>70.7</v>
      </c>
      <c r="AS258" s="14">
        <v>70.669291338582681</v>
      </c>
      <c r="AT258" s="8" t="s">
        <v>276</v>
      </c>
      <c r="AU258" s="8" t="s">
        <v>276</v>
      </c>
      <c r="AV258" s="8" t="s">
        <v>268</v>
      </c>
      <c r="AW258" s="40" t="s">
        <v>276</v>
      </c>
      <c r="AX258" s="40">
        <v>0.86745856412555089</v>
      </c>
      <c r="AY258" s="9" t="s">
        <v>276</v>
      </c>
      <c r="AZ258" s="9" t="s">
        <v>276</v>
      </c>
      <c r="BA258" s="9" t="s">
        <v>276</v>
      </c>
      <c r="BB258" s="9" t="s">
        <v>282</v>
      </c>
      <c r="BC258" s="9" t="s">
        <v>276</v>
      </c>
      <c r="BD258" s="9" t="s">
        <v>276</v>
      </c>
      <c r="BE258" s="9" t="s">
        <v>276</v>
      </c>
      <c r="BF258" s="9" t="s">
        <v>298</v>
      </c>
      <c r="BG258" s="9"/>
      <c r="BH258" s="9" t="s">
        <v>100</v>
      </c>
      <c r="BI258" s="9" t="s">
        <v>100</v>
      </c>
      <c r="BJ258" s="32"/>
      <c r="BK258" s="32"/>
      <c r="BO258" s="32"/>
      <c r="BP258" s="32"/>
    </row>
    <row r="259" spans="1:68" s="33" customFormat="1" ht="104" hidden="1" x14ac:dyDescent="0.35">
      <c r="A259" s="8">
        <v>2704</v>
      </c>
      <c r="B259" s="8" t="s">
        <v>1202</v>
      </c>
      <c r="C259" s="8" t="s">
        <v>86</v>
      </c>
      <c r="D259" s="9" t="s">
        <v>1390</v>
      </c>
      <c r="E259" s="8" t="s">
        <v>42</v>
      </c>
      <c r="F259" s="9" t="s">
        <v>148</v>
      </c>
      <c r="G259" s="8" t="s">
        <v>225</v>
      </c>
      <c r="H259" s="8" t="s">
        <v>125</v>
      </c>
      <c r="I259" s="8" t="s">
        <v>114</v>
      </c>
      <c r="J259" s="9" t="s">
        <v>25</v>
      </c>
      <c r="K259" s="8" t="s">
        <v>300</v>
      </c>
      <c r="L259" s="2" t="s">
        <v>317</v>
      </c>
      <c r="M259" s="2" t="s">
        <v>307</v>
      </c>
      <c r="N259" s="10" t="s">
        <v>1203</v>
      </c>
      <c r="O259" s="9" t="s">
        <v>1297</v>
      </c>
      <c r="P259" s="9" t="s">
        <v>239</v>
      </c>
      <c r="Q259" s="52">
        <v>44012</v>
      </c>
      <c r="R259" s="9" t="s">
        <v>276</v>
      </c>
      <c r="S259" s="9" t="s">
        <v>1355</v>
      </c>
      <c r="T259" s="9" t="s">
        <v>1363</v>
      </c>
      <c r="U259" s="51" t="s">
        <v>1174</v>
      </c>
      <c r="V259" s="8" t="s">
        <v>14</v>
      </c>
      <c r="W259" s="9" t="s">
        <v>98</v>
      </c>
      <c r="X259" s="9" t="s">
        <v>207</v>
      </c>
      <c r="Y259" s="13">
        <v>50623</v>
      </c>
      <c r="Z259" s="38">
        <v>101314</v>
      </c>
      <c r="AA259" s="9" t="s">
        <v>276</v>
      </c>
      <c r="AB259" s="9" t="s">
        <v>276</v>
      </c>
      <c r="AC259" s="8">
        <v>2</v>
      </c>
      <c r="AD259" s="9" t="s">
        <v>1311</v>
      </c>
      <c r="AE259" s="8">
        <v>13</v>
      </c>
      <c r="AF259" s="9" t="s">
        <v>1311</v>
      </c>
      <c r="AG259" s="9" t="s">
        <v>1391</v>
      </c>
      <c r="AH259" s="9" t="s">
        <v>1357</v>
      </c>
      <c r="AI259" s="38">
        <v>121</v>
      </c>
      <c r="AJ259" s="38">
        <v>212</v>
      </c>
      <c r="AK259" s="38">
        <v>50623</v>
      </c>
      <c r="AL259" s="38">
        <v>101314</v>
      </c>
      <c r="AM259" s="38" t="s">
        <v>281</v>
      </c>
      <c r="AN259" s="8" t="s">
        <v>276</v>
      </c>
      <c r="AO259" s="14">
        <v>2.3902178851510185</v>
      </c>
      <c r="AP259" s="8" t="s">
        <v>276</v>
      </c>
      <c r="AQ259" s="8" t="s">
        <v>276</v>
      </c>
      <c r="AR259" s="8" t="s">
        <v>276</v>
      </c>
      <c r="AS259" s="14">
        <v>2.0925044909884121</v>
      </c>
      <c r="AT259" s="8" t="s">
        <v>276</v>
      </c>
      <c r="AU259" s="8" t="s">
        <v>276</v>
      </c>
      <c r="AV259" s="8" t="s">
        <v>268</v>
      </c>
      <c r="AW259" s="40" t="s">
        <v>276</v>
      </c>
      <c r="AX259" s="40">
        <v>1.1422761076235393</v>
      </c>
      <c r="AY259" s="9" t="s">
        <v>276</v>
      </c>
      <c r="AZ259" s="9" t="s">
        <v>276</v>
      </c>
      <c r="BA259" s="9" t="s">
        <v>276</v>
      </c>
      <c r="BB259" s="9" t="s">
        <v>282</v>
      </c>
      <c r="BC259" s="9" t="s">
        <v>276</v>
      </c>
      <c r="BD259" s="9" t="s">
        <v>276</v>
      </c>
      <c r="BE259" s="9" t="s">
        <v>276</v>
      </c>
      <c r="BF259" s="9" t="s">
        <v>298</v>
      </c>
      <c r="BG259" s="9"/>
      <c r="BH259" s="9" t="s">
        <v>100</v>
      </c>
      <c r="BI259" s="9" t="s">
        <v>100</v>
      </c>
      <c r="BJ259" s="32"/>
      <c r="BK259" s="32"/>
      <c r="BO259" s="32"/>
      <c r="BP259" s="32"/>
    </row>
    <row r="260" spans="1:68" s="33" customFormat="1" ht="104" hidden="1" x14ac:dyDescent="0.35">
      <c r="A260" s="8">
        <v>2704</v>
      </c>
      <c r="B260" s="8" t="s">
        <v>1202</v>
      </c>
      <c r="C260" s="8" t="s">
        <v>86</v>
      </c>
      <c r="D260" s="9" t="s">
        <v>1392</v>
      </c>
      <c r="E260" s="8" t="s">
        <v>42</v>
      </c>
      <c r="F260" s="9" t="s">
        <v>148</v>
      </c>
      <c r="G260" s="8" t="s">
        <v>225</v>
      </c>
      <c r="H260" s="8" t="s">
        <v>125</v>
      </c>
      <c r="I260" s="8" t="s">
        <v>114</v>
      </c>
      <c r="J260" s="9" t="s">
        <v>25</v>
      </c>
      <c r="K260" s="8" t="s">
        <v>300</v>
      </c>
      <c r="L260" s="2" t="s">
        <v>317</v>
      </c>
      <c r="M260" s="2" t="s">
        <v>307</v>
      </c>
      <c r="N260" s="10" t="s">
        <v>1203</v>
      </c>
      <c r="O260" s="9" t="s">
        <v>1297</v>
      </c>
      <c r="P260" s="9" t="s">
        <v>239</v>
      </c>
      <c r="Q260" s="52">
        <v>44012</v>
      </c>
      <c r="R260" s="9" t="s">
        <v>276</v>
      </c>
      <c r="S260" s="9" t="s">
        <v>1355</v>
      </c>
      <c r="T260" s="9" t="s">
        <v>1363</v>
      </c>
      <c r="U260" s="51" t="s">
        <v>1174</v>
      </c>
      <c r="V260" s="8" t="s">
        <v>14</v>
      </c>
      <c r="W260" s="9" t="s">
        <v>98</v>
      </c>
      <c r="X260" s="9" t="s">
        <v>207</v>
      </c>
      <c r="Y260" s="13">
        <v>50623</v>
      </c>
      <c r="Z260" s="38">
        <v>101314</v>
      </c>
      <c r="AA260" s="9" t="s">
        <v>276</v>
      </c>
      <c r="AB260" s="9" t="s">
        <v>276</v>
      </c>
      <c r="AC260" s="8">
        <v>2</v>
      </c>
      <c r="AD260" s="9" t="s">
        <v>1311</v>
      </c>
      <c r="AE260" s="8">
        <v>13</v>
      </c>
      <c r="AF260" s="9" t="s">
        <v>1311</v>
      </c>
      <c r="AG260" s="9" t="s">
        <v>1393</v>
      </c>
      <c r="AH260" s="9" t="s">
        <v>1368</v>
      </c>
      <c r="AI260" s="38">
        <v>121</v>
      </c>
      <c r="AJ260" s="38">
        <v>212</v>
      </c>
      <c r="AK260" s="38">
        <v>790231</v>
      </c>
      <c r="AL260" s="38">
        <v>1577517</v>
      </c>
      <c r="AM260" s="38" t="s">
        <v>425</v>
      </c>
      <c r="AN260" s="8" t="s">
        <v>276</v>
      </c>
      <c r="AO260" s="14">
        <v>0.15311978396190482</v>
      </c>
      <c r="AP260" s="8" t="s">
        <v>276</v>
      </c>
      <c r="AQ260" s="8" t="s">
        <v>276</v>
      </c>
      <c r="AR260" s="8" t="s">
        <v>276</v>
      </c>
      <c r="AS260" s="14">
        <v>0.13438840912649436</v>
      </c>
      <c r="AT260" s="8" t="s">
        <v>276</v>
      </c>
      <c r="AU260" s="8" t="s">
        <v>276</v>
      </c>
      <c r="AV260" s="8" t="s">
        <v>269</v>
      </c>
      <c r="AW260" s="40" t="s">
        <v>276</v>
      </c>
      <c r="AX260" s="40">
        <v>1.1393823690388312</v>
      </c>
      <c r="AY260" s="9" t="s">
        <v>276</v>
      </c>
      <c r="AZ260" s="9" t="s">
        <v>276</v>
      </c>
      <c r="BA260" s="9" t="s">
        <v>276</v>
      </c>
      <c r="BB260" s="9" t="s">
        <v>282</v>
      </c>
      <c r="BC260" s="9" t="s">
        <v>276</v>
      </c>
      <c r="BD260" s="9" t="s">
        <v>276</v>
      </c>
      <c r="BE260" s="9" t="s">
        <v>276</v>
      </c>
      <c r="BF260" s="9" t="s">
        <v>1369</v>
      </c>
      <c r="BG260" s="9"/>
      <c r="BH260" s="9" t="s">
        <v>100</v>
      </c>
      <c r="BI260" s="9" t="s">
        <v>100</v>
      </c>
      <c r="BJ260" s="32"/>
      <c r="BK260" s="32"/>
      <c r="BO260" s="32"/>
      <c r="BP260" s="32"/>
    </row>
    <row r="261" spans="1:68" s="33" customFormat="1" ht="104" hidden="1" x14ac:dyDescent="0.35">
      <c r="A261" s="8">
        <v>2704</v>
      </c>
      <c r="B261" s="8" t="s">
        <v>1202</v>
      </c>
      <c r="C261" s="8" t="s">
        <v>86</v>
      </c>
      <c r="D261" s="9" t="s">
        <v>1394</v>
      </c>
      <c r="E261" s="8" t="s">
        <v>42</v>
      </c>
      <c r="F261" s="9" t="s">
        <v>148</v>
      </c>
      <c r="G261" s="8" t="s">
        <v>225</v>
      </c>
      <c r="H261" s="8" t="s">
        <v>125</v>
      </c>
      <c r="I261" s="8" t="s">
        <v>114</v>
      </c>
      <c r="J261" s="9" t="s">
        <v>25</v>
      </c>
      <c r="K261" s="8" t="s">
        <v>304</v>
      </c>
      <c r="L261" s="2" t="s">
        <v>317</v>
      </c>
      <c r="M261" s="2" t="s">
        <v>307</v>
      </c>
      <c r="N261" s="10" t="s">
        <v>1203</v>
      </c>
      <c r="O261" s="9" t="s">
        <v>1297</v>
      </c>
      <c r="P261" s="9" t="s">
        <v>239</v>
      </c>
      <c r="Q261" s="52">
        <v>44012</v>
      </c>
      <c r="R261" s="9" t="s">
        <v>276</v>
      </c>
      <c r="S261" s="9" t="s">
        <v>1355</v>
      </c>
      <c r="T261" s="9" t="s">
        <v>1363</v>
      </c>
      <c r="U261" s="51" t="s">
        <v>1174</v>
      </c>
      <c r="V261" s="8" t="s">
        <v>14</v>
      </c>
      <c r="W261" s="9" t="s">
        <v>98</v>
      </c>
      <c r="X261" s="9" t="s">
        <v>207</v>
      </c>
      <c r="Y261" s="13">
        <v>50623</v>
      </c>
      <c r="Z261" s="38">
        <v>101314</v>
      </c>
      <c r="AA261" s="9" t="s">
        <v>276</v>
      </c>
      <c r="AB261" s="9" t="s">
        <v>276</v>
      </c>
      <c r="AC261" s="8">
        <v>2</v>
      </c>
      <c r="AD261" s="9" t="s">
        <v>1311</v>
      </c>
      <c r="AE261" s="8">
        <v>13</v>
      </c>
      <c r="AF261" s="9" t="s">
        <v>1311</v>
      </c>
      <c r="AG261" s="9" t="s">
        <v>1371</v>
      </c>
      <c r="AH261" s="9" t="s">
        <v>1357</v>
      </c>
      <c r="AI261" s="38">
        <v>36</v>
      </c>
      <c r="AJ261" s="38">
        <v>73</v>
      </c>
      <c r="AK261" s="38">
        <v>50623</v>
      </c>
      <c r="AL261" s="38">
        <v>101314</v>
      </c>
      <c r="AM261" s="38" t="s">
        <v>281</v>
      </c>
      <c r="AN261" s="8" t="s">
        <v>276</v>
      </c>
      <c r="AO261" s="14">
        <v>0.71113920549947651</v>
      </c>
      <c r="AP261" s="8" t="s">
        <v>276</v>
      </c>
      <c r="AQ261" s="8" t="s">
        <v>276</v>
      </c>
      <c r="AR261" s="8" t="s">
        <v>276</v>
      </c>
      <c r="AS261" s="14">
        <v>0.72053220680261365</v>
      </c>
      <c r="AT261" s="8" t="s">
        <v>276</v>
      </c>
      <c r="AU261" s="8" t="s">
        <v>276</v>
      </c>
      <c r="AV261" s="8" t="s">
        <v>268</v>
      </c>
      <c r="AW261" s="40" t="s">
        <v>276</v>
      </c>
      <c r="AX261" s="40">
        <v>0.98696380090375291</v>
      </c>
      <c r="AY261" s="9" t="s">
        <v>276</v>
      </c>
      <c r="AZ261" s="9" t="s">
        <v>276</v>
      </c>
      <c r="BA261" s="9" t="s">
        <v>276</v>
      </c>
      <c r="BB261" s="9" t="s">
        <v>282</v>
      </c>
      <c r="BC261" s="9" t="s">
        <v>276</v>
      </c>
      <c r="BD261" s="9" t="s">
        <v>276</v>
      </c>
      <c r="BE261" s="9" t="s">
        <v>276</v>
      </c>
      <c r="BF261" s="9" t="s">
        <v>298</v>
      </c>
      <c r="BG261" s="9"/>
      <c r="BH261" s="9" t="s">
        <v>100</v>
      </c>
      <c r="BI261" s="9" t="s">
        <v>100</v>
      </c>
      <c r="BJ261" s="32"/>
      <c r="BK261" s="32"/>
      <c r="BO261" s="32"/>
      <c r="BP261" s="32"/>
    </row>
    <row r="262" spans="1:68" s="33" customFormat="1" ht="104" hidden="1" x14ac:dyDescent="0.35">
      <c r="A262" s="8">
        <v>2704</v>
      </c>
      <c r="B262" s="8" t="s">
        <v>1202</v>
      </c>
      <c r="C262" s="8" t="s">
        <v>86</v>
      </c>
      <c r="D262" s="9" t="s">
        <v>1395</v>
      </c>
      <c r="E262" s="8" t="s">
        <v>42</v>
      </c>
      <c r="F262" s="9" t="s">
        <v>148</v>
      </c>
      <c r="G262" s="8" t="s">
        <v>225</v>
      </c>
      <c r="H262" s="8" t="s">
        <v>125</v>
      </c>
      <c r="I262" s="8" t="s">
        <v>114</v>
      </c>
      <c r="J262" s="9" t="s">
        <v>25</v>
      </c>
      <c r="K262" s="8" t="s">
        <v>304</v>
      </c>
      <c r="L262" s="2" t="s">
        <v>317</v>
      </c>
      <c r="M262" s="2" t="s">
        <v>307</v>
      </c>
      <c r="N262" s="10" t="s">
        <v>1203</v>
      </c>
      <c r="O262" s="9" t="s">
        <v>1297</v>
      </c>
      <c r="P262" s="9" t="s">
        <v>239</v>
      </c>
      <c r="Q262" s="52">
        <v>44012</v>
      </c>
      <c r="R262" s="9" t="s">
        <v>276</v>
      </c>
      <c r="S262" s="9" t="s">
        <v>1355</v>
      </c>
      <c r="T262" s="9" t="s">
        <v>1363</v>
      </c>
      <c r="U262" s="51" t="s">
        <v>1174</v>
      </c>
      <c r="V262" s="8" t="s">
        <v>14</v>
      </c>
      <c r="W262" s="9" t="s">
        <v>98</v>
      </c>
      <c r="X262" s="9" t="s">
        <v>207</v>
      </c>
      <c r="Y262" s="13">
        <v>50623</v>
      </c>
      <c r="Z262" s="38">
        <v>101314</v>
      </c>
      <c r="AA262" s="9" t="s">
        <v>276</v>
      </c>
      <c r="AB262" s="9" t="s">
        <v>276</v>
      </c>
      <c r="AC262" s="8">
        <v>2</v>
      </c>
      <c r="AD262" s="9" t="s">
        <v>1311</v>
      </c>
      <c r="AE262" s="8">
        <v>13</v>
      </c>
      <c r="AF262" s="9" t="s">
        <v>1311</v>
      </c>
      <c r="AG262" s="9" t="s">
        <v>1371</v>
      </c>
      <c r="AH262" s="9" t="s">
        <v>1368</v>
      </c>
      <c r="AI262" s="38">
        <v>36</v>
      </c>
      <c r="AJ262" s="38">
        <v>73</v>
      </c>
      <c r="AK262" s="38">
        <v>790231</v>
      </c>
      <c r="AL262" s="38">
        <v>1577517</v>
      </c>
      <c r="AM262" s="38" t="s">
        <v>425</v>
      </c>
      <c r="AN262" s="8" t="s">
        <v>276</v>
      </c>
      <c r="AO262" s="14">
        <v>4.5556299360566724E-2</v>
      </c>
      <c r="AP262" s="8" t="s">
        <v>276</v>
      </c>
      <c r="AQ262" s="8" t="s">
        <v>276</v>
      </c>
      <c r="AR262" s="8" t="s">
        <v>276</v>
      </c>
      <c r="AS262" s="14">
        <v>4.6275254086009847E-2</v>
      </c>
      <c r="AT262" s="8" t="s">
        <v>276</v>
      </c>
      <c r="AU262" s="8" t="s">
        <v>276</v>
      </c>
      <c r="AV262" s="8" t="s">
        <v>269</v>
      </c>
      <c r="AW262" s="40" t="s">
        <v>276</v>
      </c>
      <c r="AX262" s="40">
        <v>0.98446351641620744</v>
      </c>
      <c r="AY262" s="9" t="s">
        <v>276</v>
      </c>
      <c r="AZ262" s="9" t="s">
        <v>276</v>
      </c>
      <c r="BA262" s="9" t="s">
        <v>276</v>
      </c>
      <c r="BB262" s="9" t="s">
        <v>282</v>
      </c>
      <c r="BC262" s="9" t="s">
        <v>276</v>
      </c>
      <c r="BD262" s="9" t="s">
        <v>276</v>
      </c>
      <c r="BE262" s="9" t="s">
        <v>276</v>
      </c>
      <c r="BF262" s="9" t="s">
        <v>1369</v>
      </c>
      <c r="BG262" s="9"/>
      <c r="BH262" s="9" t="s">
        <v>100</v>
      </c>
      <c r="BI262" s="9" t="s">
        <v>100</v>
      </c>
      <c r="BJ262" s="32"/>
      <c r="BK262" s="32"/>
      <c r="BO262" s="32"/>
      <c r="BP262" s="32"/>
    </row>
    <row r="263" spans="1:68" s="33" customFormat="1" ht="104" hidden="1" x14ac:dyDescent="0.35">
      <c r="A263" s="8">
        <v>2704</v>
      </c>
      <c r="B263" s="8" t="s">
        <v>1202</v>
      </c>
      <c r="C263" s="8" t="s">
        <v>86</v>
      </c>
      <c r="D263" s="9" t="s">
        <v>1396</v>
      </c>
      <c r="E263" s="8" t="s">
        <v>42</v>
      </c>
      <c r="F263" s="9" t="s">
        <v>148</v>
      </c>
      <c r="G263" s="8" t="s">
        <v>225</v>
      </c>
      <c r="H263" s="8" t="s">
        <v>125</v>
      </c>
      <c r="I263" s="8" t="s">
        <v>114</v>
      </c>
      <c r="J263" s="9" t="s">
        <v>25</v>
      </c>
      <c r="K263" s="8" t="s">
        <v>307</v>
      </c>
      <c r="L263" s="2" t="s">
        <v>317</v>
      </c>
      <c r="M263" s="2" t="s">
        <v>307</v>
      </c>
      <c r="N263" s="10" t="s">
        <v>1203</v>
      </c>
      <c r="O263" s="9" t="s">
        <v>1297</v>
      </c>
      <c r="P263" s="9" t="s">
        <v>239</v>
      </c>
      <c r="Q263" s="52">
        <v>44012</v>
      </c>
      <c r="R263" s="9" t="s">
        <v>276</v>
      </c>
      <c r="S263" s="9" t="s">
        <v>1355</v>
      </c>
      <c r="T263" s="9" t="s">
        <v>1363</v>
      </c>
      <c r="U263" s="51" t="s">
        <v>1174</v>
      </c>
      <c r="V263" s="8" t="s">
        <v>14</v>
      </c>
      <c r="W263" s="9" t="s">
        <v>98</v>
      </c>
      <c r="X263" s="9" t="s">
        <v>207</v>
      </c>
      <c r="Y263" s="13">
        <v>50623</v>
      </c>
      <c r="Z263" s="38">
        <v>101314</v>
      </c>
      <c r="AA263" s="9" t="s">
        <v>276</v>
      </c>
      <c r="AB263" s="9" t="s">
        <v>276</v>
      </c>
      <c r="AC263" s="8">
        <v>2</v>
      </c>
      <c r="AD263" s="9" t="s">
        <v>1311</v>
      </c>
      <c r="AE263" s="8">
        <v>13</v>
      </c>
      <c r="AF263" s="9" t="s">
        <v>1311</v>
      </c>
      <c r="AG263" s="9" t="s">
        <v>1377</v>
      </c>
      <c r="AH263" s="9" t="s">
        <v>1357</v>
      </c>
      <c r="AI263" s="38">
        <v>157</v>
      </c>
      <c r="AJ263" s="38">
        <v>285</v>
      </c>
      <c r="AK263" s="38">
        <v>50623</v>
      </c>
      <c r="AL263" s="38">
        <v>101314</v>
      </c>
      <c r="AM263" s="38" t="s">
        <v>281</v>
      </c>
      <c r="AN263" s="8" t="s">
        <v>276</v>
      </c>
      <c r="AO263" s="14">
        <v>3.1013570906504948</v>
      </c>
      <c r="AP263" s="8" t="s">
        <v>276</v>
      </c>
      <c r="AQ263" s="8" t="s">
        <v>276</v>
      </c>
      <c r="AR263" s="8" t="s">
        <v>276</v>
      </c>
      <c r="AS263" s="14">
        <v>2.8130366977910257</v>
      </c>
      <c r="AT263" s="8" t="s">
        <v>276</v>
      </c>
      <c r="AU263" s="8" t="s">
        <v>276</v>
      </c>
      <c r="AV263" s="8" t="s">
        <v>268</v>
      </c>
      <c r="AW263" s="40" t="s">
        <v>276</v>
      </c>
      <c r="AX263" s="40">
        <v>1.1024943588847869</v>
      </c>
      <c r="AY263" s="9" t="s">
        <v>276</v>
      </c>
      <c r="AZ263" s="9" t="s">
        <v>276</v>
      </c>
      <c r="BA263" s="9" t="s">
        <v>276</v>
      </c>
      <c r="BB263" s="9" t="s">
        <v>282</v>
      </c>
      <c r="BC263" s="9" t="s">
        <v>276</v>
      </c>
      <c r="BD263" s="9" t="s">
        <v>276</v>
      </c>
      <c r="BE263" s="9" t="s">
        <v>276</v>
      </c>
      <c r="BF263" s="9" t="s">
        <v>298</v>
      </c>
      <c r="BG263" s="9"/>
      <c r="BH263" s="9" t="s">
        <v>100</v>
      </c>
      <c r="BI263" s="9" t="s">
        <v>100</v>
      </c>
      <c r="BJ263" s="32"/>
      <c r="BK263" s="32"/>
      <c r="BO263" s="32"/>
      <c r="BP263" s="32"/>
    </row>
    <row r="264" spans="1:68" s="33" customFormat="1" ht="104" hidden="1" x14ac:dyDescent="0.35">
      <c r="A264" s="8">
        <v>2704</v>
      </c>
      <c r="B264" s="8" t="s">
        <v>1202</v>
      </c>
      <c r="C264" s="8" t="s">
        <v>86</v>
      </c>
      <c r="D264" s="9" t="s">
        <v>1397</v>
      </c>
      <c r="E264" s="8" t="s">
        <v>42</v>
      </c>
      <c r="F264" s="9" t="s">
        <v>148</v>
      </c>
      <c r="G264" s="8" t="s">
        <v>225</v>
      </c>
      <c r="H264" s="8" t="s">
        <v>125</v>
      </c>
      <c r="I264" s="8" t="s">
        <v>114</v>
      </c>
      <c r="J264" s="9" t="s">
        <v>25</v>
      </c>
      <c r="K264" s="8" t="s">
        <v>307</v>
      </c>
      <c r="L264" s="2" t="s">
        <v>317</v>
      </c>
      <c r="M264" s="2" t="s">
        <v>307</v>
      </c>
      <c r="N264" s="10" t="s">
        <v>1203</v>
      </c>
      <c r="O264" s="9" t="s">
        <v>1297</v>
      </c>
      <c r="P264" s="9" t="s">
        <v>239</v>
      </c>
      <c r="Q264" s="52">
        <v>44012</v>
      </c>
      <c r="R264" s="9" t="s">
        <v>276</v>
      </c>
      <c r="S264" s="9" t="s">
        <v>1355</v>
      </c>
      <c r="T264" s="9" t="s">
        <v>1363</v>
      </c>
      <c r="U264" s="51" t="s">
        <v>1174</v>
      </c>
      <c r="V264" s="8" t="s">
        <v>14</v>
      </c>
      <c r="W264" s="9" t="s">
        <v>98</v>
      </c>
      <c r="X264" s="9" t="s">
        <v>207</v>
      </c>
      <c r="Y264" s="13">
        <v>50623</v>
      </c>
      <c r="Z264" s="38">
        <v>101314</v>
      </c>
      <c r="AA264" s="9" t="s">
        <v>276</v>
      </c>
      <c r="AB264" s="9" t="s">
        <v>276</v>
      </c>
      <c r="AC264" s="8">
        <v>2</v>
      </c>
      <c r="AD264" s="9" t="s">
        <v>1311</v>
      </c>
      <c r="AE264" s="8">
        <v>13</v>
      </c>
      <c r="AF264" s="9" t="s">
        <v>1311</v>
      </c>
      <c r="AG264" s="9" t="s">
        <v>1374</v>
      </c>
      <c r="AH264" s="9" t="s">
        <v>1368</v>
      </c>
      <c r="AI264" s="38">
        <v>157</v>
      </c>
      <c r="AJ264" s="38">
        <v>285</v>
      </c>
      <c r="AK264" s="38">
        <v>790231</v>
      </c>
      <c r="AL264" s="38">
        <v>1577517</v>
      </c>
      <c r="AM264" s="38" t="s">
        <v>425</v>
      </c>
      <c r="AN264" s="8" t="s">
        <v>276</v>
      </c>
      <c r="AO264" s="14">
        <v>0.19867608332247153</v>
      </c>
      <c r="AP264" s="8" t="s">
        <v>276</v>
      </c>
      <c r="AQ264" s="8" t="s">
        <v>276</v>
      </c>
      <c r="AR264" s="8" t="s">
        <v>276</v>
      </c>
      <c r="AS264" s="14">
        <v>0.18066366321250421</v>
      </c>
      <c r="AT264" s="8" t="s">
        <v>276</v>
      </c>
      <c r="AU264" s="8" t="s">
        <v>276</v>
      </c>
      <c r="AV264" s="8" t="s">
        <v>269</v>
      </c>
      <c r="AW264" s="40" t="s">
        <v>276</v>
      </c>
      <c r="AX264" s="40">
        <v>1.09970139977058</v>
      </c>
      <c r="AY264" s="9" t="s">
        <v>276</v>
      </c>
      <c r="AZ264" s="9" t="s">
        <v>276</v>
      </c>
      <c r="BA264" s="9" t="s">
        <v>276</v>
      </c>
      <c r="BB264" s="9" t="s">
        <v>282</v>
      </c>
      <c r="BC264" s="9" t="s">
        <v>276</v>
      </c>
      <c r="BD264" s="9" t="s">
        <v>276</v>
      </c>
      <c r="BE264" s="9" t="s">
        <v>276</v>
      </c>
      <c r="BF264" s="9" t="s">
        <v>1369</v>
      </c>
      <c r="BG264" s="9"/>
      <c r="BH264" s="9" t="s">
        <v>100</v>
      </c>
      <c r="BI264" s="9" t="s">
        <v>100</v>
      </c>
      <c r="BJ264" s="32"/>
      <c r="BK264" s="32"/>
      <c r="BO264" s="32"/>
      <c r="BP264" s="32"/>
    </row>
    <row r="265" spans="1:68" s="33" customFormat="1" ht="104" hidden="1" x14ac:dyDescent="0.35">
      <c r="A265" s="8">
        <v>2704</v>
      </c>
      <c r="B265" s="8" t="s">
        <v>1202</v>
      </c>
      <c r="C265" s="8" t="s">
        <v>86</v>
      </c>
      <c r="D265" s="9" t="s">
        <v>1398</v>
      </c>
      <c r="E265" s="8" t="s">
        <v>42</v>
      </c>
      <c r="F265" s="9" t="s">
        <v>148</v>
      </c>
      <c r="G265" s="8" t="s">
        <v>225</v>
      </c>
      <c r="H265" s="8" t="s">
        <v>125</v>
      </c>
      <c r="I265" s="8" t="s">
        <v>114</v>
      </c>
      <c r="J265" s="9" t="s">
        <v>25</v>
      </c>
      <c r="K265" s="8" t="s">
        <v>311</v>
      </c>
      <c r="L265" s="2" t="s">
        <v>317</v>
      </c>
      <c r="M265" s="2" t="s">
        <v>307</v>
      </c>
      <c r="N265" s="10" t="s">
        <v>1203</v>
      </c>
      <c r="O265" s="9" t="s">
        <v>1297</v>
      </c>
      <c r="P265" s="9" t="s">
        <v>239</v>
      </c>
      <c r="Q265" s="52">
        <v>44012</v>
      </c>
      <c r="R265" s="9" t="s">
        <v>276</v>
      </c>
      <c r="S265" s="9" t="s">
        <v>1355</v>
      </c>
      <c r="T265" s="9" t="s">
        <v>1363</v>
      </c>
      <c r="U265" s="51" t="s">
        <v>1174</v>
      </c>
      <c r="V265" s="8" t="s">
        <v>14</v>
      </c>
      <c r="W265" s="9" t="s">
        <v>98</v>
      </c>
      <c r="X265" s="9" t="s">
        <v>207</v>
      </c>
      <c r="Y265" s="13">
        <v>50623</v>
      </c>
      <c r="Z265" s="38">
        <v>101314</v>
      </c>
      <c r="AA265" s="9" t="s">
        <v>276</v>
      </c>
      <c r="AB265" s="9" t="s">
        <v>276</v>
      </c>
      <c r="AC265" s="8">
        <v>2</v>
      </c>
      <c r="AD265" s="9" t="s">
        <v>1311</v>
      </c>
      <c r="AE265" s="8">
        <v>13</v>
      </c>
      <c r="AF265" s="9" t="s">
        <v>1311</v>
      </c>
      <c r="AG265" s="9" t="s">
        <v>1379</v>
      </c>
      <c r="AH265" s="9" t="s">
        <v>1357</v>
      </c>
      <c r="AI265" s="38">
        <v>253</v>
      </c>
      <c r="AJ265" s="38">
        <v>510</v>
      </c>
      <c r="AK265" s="38">
        <v>50623</v>
      </c>
      <c r="AL265" s="38">
        <v>101314</v>
      </c>
      <c r="AM265" s="38" t="s">
        <v>281</v>
      </c>
      <c r="AN265" s="8" t="s">
        <v>276</v>
      </c>
      <c r="AO265" s="14">
        <v>4.997728305315766</v>
      </c>
      <c r="AP265" s="8" t="s">
        <v>276</v>
      </c>
      <c r="AQ265" s="8" t="s">
        <v>276</v>
      </c>
      <c r="AR265" s="8" t="s">
        <v>276</v>
      </c>
      <c r="AS265" s="14">
        <v>5.0338551434155203</v>
      </c>
      <c r="AT265" s="8" t="s">
        <v>276</v>
      </c>
      <c r="AU265" s="8" t="s">
        <v>276</v>
      </c>
      <c r="AV265" s="8" t="s">
        <v>268</v>
      </c>
      <c r="AW265" s="40" t="s">
        <v>276</v>
      </c>
      <c r="AX265" s="40">
        <v>0.99282322651914012</v>
      </c>
      <c r="AY265" s="9" t="s">
        <v>276</v>
      </c>
      <c r="AZ265" s="9" t="s">
        <v>276</v>
      </c>
      <c r="BA265" s="9" t="s">
        <v>276</v>
      </c>
      <c r="BB265" s="9" t="s">
        <v>282</v>
      </c>
      <c r="BC265" s="9" t="s">
        <v>276</v>
      </c>
      <c r="BD265" s="9" t="s">
        <v>276</v>
      </c>
      <c r="BE265" s="9" t="s">
        <v>276</v>
      </c>
      <c r="BF265" s="9" t="s">
        <v>298</v>
      </c>
      <c r="BG265" s="9"/>
      <c r="BH265" s="9" t="s">
        <v>100</v>
      </c>
      <c r="BI265" s="9" t="s">
        <v>100</v>
      </c>
      <c r="BJ265" s="32"/>
      <c r="BK265" s="32"/>
      <c r="BO265" s="32"/>
      <c r="BP265" s="32"/>
    </row>
    <row r="266" spans="1:68" s="33" customFormat="1" ht="104" hidden="1" x14ac:dyDescent="0.35">
      <c r="A266" s="8">
        <v>2704</v>
      </c>
      <c r="B266" s="8" t="s">
        <v>1202</v>
      </c>
      <c r="C266" s="8" t="s">
        <v>86</v>
      </c>
      <c r="D266" s="9" t="s">
        <v>1399</v>
      </c>
      <c r="E266" s="8" t="s">
        <v>42</v>
      </c>
      <c r="F266" s="9" t="s">
        <v>148</v>
      </c>
      <c r="G266" s="8" t="s">
        <v>225</v>
      </c>
      <c r="H266" s="8" t="s">
        <v>125</v>
      </c>
      <c r="I266" s="8" t="s">
        <v>114</v>
      </c>
      <c r="J266" s="9" t="s">
        <v>25</v>
      </c>
      <c r="K266" s="8" t="s">
        <v>311</v>
      </c>
      <c r="L266" s="2" t="s">
        <v>317</v>
      </c>
      <c r="M266" s="2" t="s">
        <v>307</v>
      </c>
      <c r="N266" s="10" t="s">
        <v>1203</v>
      </c>
      <c r="O266" s="9" t="s">
        <v>1297</v>
      </c>
      <c r="P266" s="9" t="s">
        <v>239</v>
      </c>
      <c r="Q266" s="52">
        <v>44012</v>
      </c>
      <c r="R266" s="9" t="s">
        <v>276</v>
      </c>
      <c r="S266" s="9" t="s">
        <v>1355</v>
      </c>
      <c r="T266" s="9" t="s">
        <v>1363</v>
      </c>
      <c r="U266" s="51" t="s">
        <v>1174</v>
      </c>
      <c r="V266" s="8" t="s">
        <v>14</v>
      </c>
      <c r="W266" s="9" t="s">
        <v>98</v>
      </c>
      <c r="X266" s="9" t="s">
        <v>207</v>
      </c>
      <c r="Y266" s="13">
        <v>50623</v>
      </c>
      <c r="Z266" s="38">
        <v>101314</v>
      </c>
      <c r="AA266" s="9" t="s">
        <v>276</v>
      </c>
      <c r="AB266" s="9" t="s">
        <v>276</v>
      </c>
      <c r="AC266" s="8">
        <v>2</v>
      </c>
      <c r="AD266" s="9" t="s">
        <v>1311</v>
      </c>
      <c r="AE266" s="8">
        <v>13</v>
      </c>
      <c r="AF266" s="9" t="s">
        <v>1311</v>
      </c>
      <c r="AG266" s="9" t="s">
        <v>1379</v>
      </c>
      <c r="AH266" s="9" t="s">
        <v>1368</v>
      </c>
      <c r="AI266" s="38">
        <v>253</v>
      </c>
      <c r="AJ266" s="38">
        <v>510</v>
      </c>
      <c r="AK266" s="38">
        <v>790231</v>
      </c>
      <c r="AL266" s="38">
        <v>1577517</v>
      </c>
      <c r="AM266" s="38" t="s">
        <v>425</v>
      </c>
      <c r="AN266" s="8" t="s">
        <v>276</v>
      </c>
      <c r="AO266" s="14">
        <v>0.3201595482839828</v>
      </c>
      <c r="AP266" s="8" t="s">
        <v>276</v>
      </c>
      <c r="AQ266" s="8" t="s">
        <v>276</v>
      </c>
      <c r="AR266" s="8" t="s">
        <v>276</v>
      </c>
      <c r="AS266" s="14">
        <v>0.32329287101184961</v>
      </c>
      <c r="AT266" s="8" t="s">
        <v>276</v>
      </c>
      <c r="AU266" s="8" t="s">
        <v>276</v>
      </c>
      <c r="AV266" s="8" t="s">
        <v>269</v>
      </c>
      <c r="AW266" s="40" t="s">
        <v>276</v>
      </c>
      <c r="AX266" s="40">
        <v>0.99030809829471322</v>
      </c>
      <c r="AY266" s="9" t="s">
        <v>276</v>
      </c>
      <c r="AZ266" s="9" t="s">
        <v>276</v>
      </c>
      <c r="BA266" s="9" t="s">
        <v>276</v>
      </c>
      <c r="BB266" s="9" t="s">
        <v>282</v>
      </c>
      <c r="BC266" s="9" t="s">
        <v>276</v>
      </c>
      <c r="BD266" s="9" t="s">
        <v>276</v>
      </c>
      <c r="BE266" s="9" t="s">
        <v>276</v>
      </c>
      <c r="BF266" s="9" t="s">
        <v>1369</v>
      </c>
      <c r="BG266" s="9"/>
      <c r="BH266" s="9" t="s">
        <v>100</v>
      </c>
      <c r="BI266" s="9" t="s">
        <v>100</v>
      </c>
      <c r="BJ266" s="32"/>
      <c r="BK266" s="32"/>
      <c r="BO266" s="32"/>
      <c r="BP266" s="32"/>
    </row>
    <row r="267" spans="1:68" s="33" customFormat="1" ht="104" hidden="1" x14ac:dyDescent="0.35">
      <c r="A267" s="8">
        <v>2704</v>
      </c>
      <c r="B267" s="8" t="s">
        <v>1202</v>
      </c>
      <c r="C267" s="8" t="s">
        <v>86</v>
      </c>
      <c r="D267" s="9" t="s">
        <v>1400</v>
      </c>
      <c r="E267" s="8" t="s">
        <v>42</v>
      </c>
      <c r="F267" s="9" t="s">
        <v>148</v>
      </c>
      <c r="G267" s="8" t="s">
        <v>225</v>
      </c>
      <c r="H267" s="8" t="s">
        <v>125</v>
      </c>
      <c r="I267" s="8" t="s">
        <v>114</v>
      </c>
      <c r="J267" s="9" t="s">
        <v>25</v>
      </c>
      <c r="K267" s="8" t="s">
        <v>314</v>
      </c>
      <c r="L267" s="2" t="s">
        <v>317</v>
      </c>
      <c r="M267" s="2" t="s">
        <v>307</v>
      </c>
      <c r="N267" s="10" t="s">
        <v>1203</v>
      </c>
      <c r="O267" s="9" t="s">
        <v>1297</v>
      </c>
      <c r="P267" s="9" t="s">
        <v>239</v>
      </c>
      <c r="Q267" s="52">
        <v>44012</v>
      </c>
      <c r="R267" s="9" t="s">
        <v>276</v>
      </c>
      <c r="S267" s="9" t="s">
        <v>1355</v>
      </c>
      <c r="T267" s="9" t="s">
        <v>1363</v>
      </c>
      <c r="U267" s="51" t="s">
        <v>1174</v>
      </c>
      <c r="V267" s="8" t="s">
        <v>14</v>
      </c>
      <c r="W267" s="9" t="s">
        <v>98</v>
      </c>
      <c r="X267" s="9" t="s">
        <v>207</v>
      </c>
      <c r="Y267" s="13">
        <v>50623</v>
      </c>
      <c r="Z267" s="38">
        <v>101314</v>
      </c>
      <c r="AA267" s="9" t="s">
        <v>276</v>
      </c>
      <c r="AB267" s="9" t="s">
        <v>276</v>
      </c>
      <c r="AC267" s="8">
        <v>2</v>
      </c>
      <c r="AD267" s="9" t="s">
        <v>1311</v>
      </c>
      <c r="AE267" s="8">
        <v>13</v>
      </c>
      <c r="AF267" s="9" t="s">
        <v>1311</v>
      </c>
      <c r="AG267" s="9" t="s">
        <v>1382</v>
      </c>
      <c r="AH267" s="9" t="s">
        <v>1357</v>
      </c>
      <c r="AI267" s="38">
        <v>105</v>
      </c>
      <c r="AJ267" s="38">
        <v>208</v>
      </c>
      <c r="AK267" s="38">
        <v>50623</v>
      </c>
      <c r="AL267" s="38">
        <v>101314</v>
      </c>
      <c r="AM267" s="38" t="s">
        <v>281</v>
      </c>
      <c r="AN267" s="8" t="s">
        <v>276</v>
      </c>
      <c r="AO267" s="14">
        <v>2.0741560160401398</v>
      </c>
      <c r="AP267" s="8" t="s">
        <v>276</v>
      </c>
      <c r="AQ267" s="8" t="s">
        <v>276</v>
      </c>
      <c r="AR267" s="8" t="s">
        <v>276</v>
      </c>
      <c r="AS267" s="14">
        <v>2.0530232741773102</v>
      </c>
      <c r="AT267" s="8" t="s">
        <v>276</v>
      </c>
      <c r="AU267" s="8" t="s">
        <v>276</v>
      </c>
      <c r="AV267" s="8" t="s">
        <v>268</v>
      </c>
      <c r="AW267" s="40" t="s">
        <v>276</v>
      </c>
      <c r="AX267" s="40">
        <v>1.010293474082167</v>
      </c>
      <c r="AY267" s="9" t="s">
        <v>276</v>
      </c>
      <c r="AZ267" s="9" t="s">
        <v>276</v>
      </c>
      <c r="BA267" s="9" t="s">
        <v>276</v>
      </c>
      <c r="BB267" s="9" t="s">
        <v>282</v>
      </c>
      <c r="BC267" s="9" t="s">
        <v>276</v>
      </c>
      <c r="BD267" s="9" t="s">
        <v>276</v>
      </c>
      <c r="BE267" s="9" t="s">
        <v>276</v>
      </c>
      <c r="BF267" s="9" t="s">
        <v>298</v>
      </c>
      <c r="BG267" s="9"/>
      <c r="BH267" s="9" t="s">
        <v>100</v>
      </c>
      <c r="BI267" s="9" t="s">
        <v>100</v>
      </c>
      <c r="BJ267" s="32"/>
      <c r="BK267" s="32"/>
      <c r="BO267" s="32"/>
      <c r="BP267" s="32"/>
    </row>
    <row r="268" spans="1:68" s="33" customFormat="1" ht="104" hidden="1" x14ac:dyDescent="0.35">
      <c r="A268" s="8">
        <v>2704</v>
      </c>
      <c r="B268" s="8" t="s">
        <v>1202</v>
      </c>
      <c r="C268" s="8" t="s">
        <v>86</v>
      </c>
      <c r="D268" s="9" t="s">
        <v>1401</v>
      </c>
      <c r="E268" s="8" t="s">
        <v>42</v>
      </c>
      <c r="F268" s="9" t="s">
        <v>148</v>
      </c>
      <c r="G268" s="8" t="s">
        <v>225</v>
      </c>
      <c r="H268" s="8" t="s">
        <v>125</v>
      </c>
      <c r="I268" s="8" t="s">
        <v>114</v>
      </c>
      <c r="J268" s="9" t="s">
        <v>25</v>
      </c>
      <c r="K268" s="8" t="s">
        <v>314</v>
      </c>
      <c r="L268" s="2" t="s">
        <v>317</v>
      </c>
      <c r="M268" s="2" t="s">
        <v>307</v>
      </c>
      <c r="N268" s="10" t="s">
        <v>1203</v>
      </c>
      <c r="O268" s="9" t="s">
        <v>1297</v>
      </c>
      <c r="P268" s="9" t="s">
        <v>239</v>
      </c>
      <c r="Q268" s="52">
        <v>44012</v>
      </c>
      <c r="R268" s="9" t="s">
        <v>276</v>
      </c>
      <c r="S268" s="9" t="s">
        <v>1355</v>
      </c>
      <c r="T268" s="9" t="s">
        <v>1363</v>
      </c>
      <c r="U268" s="51" t="s">
        <v>1174</v>
      </c>
      <c r="V268" s="8" t="s">
        <v>14</v>
      </c>
      <c r="W268" s="9" t="s">
        <v>98</v>
      </c>
      <c r="X268" s="9" t="s">
        <v>207</v>
      </c>
      <c r="Y268" s="13">
        <v>50623</v>
      </c>
      <c r="Z268" s="38">
        <v>101314</v>
      </c>
      <c r="AA268" s="9" t="s">
        <v>276</v>
      </c>
      <c r="AB268" s="9" t="s">
        <v>276</v>
      </c>
      <c r="AC268" s="8">
        <v>2</v>
      </c>
      <c r="AD268" s="9" t="s">
        <v>1311</v>
      </c>
      <c r="AE268" s="8">
        <v>13</v>
      </c>
      <c r="AF268" s="9" t="s">
        <v>1311</v>
      </c>
      <c r="AG268" s="9" t="s">
        <v>1382</v>
      </c>
      <c r="AH268" s="9" t="s">
        <v>1368</v>
      </c>
      <c r="AI268" s="38">
        <v>105</v>
      </c>
      <c r="AJ268" s="38">
        <v>208</v>
      </c>
      <c r="AK268" s="38">
        <v>790231</v>
      </c>
      <c r="AL268" s="38">
        <v>1577517</v>
      </c>
      <c r="AM268" s="38" t="s">
        <v>425</v>
      </c>
      <c r="AN268" s="8" t="s">
        <v>276</v>
      </c>
      <c r="AO268" s="14">
        <v>0.13287253980165292</v>
      </c>
      <c r="AP268" s="8" t="s">
        <v>276</v>
      </c>
      <c r="AQ268" s="8" t="s">
        <v>276</v>
      </c>
      <c r="AR268" s="8" t="s">
        <v>276</v>
      </c>
      <c r="AS268" s="14">
        <v>0.1318527787656171</v>
      </c>
      <c r="AT268" s="8" t="s">
        <v>276</v>
      </c>
      <c r="AU268" s="8" t="s">
        <v>276</v>
      </c>
      <c r="AV268" s="8" t="s">
        <v>269</v>
      </c>
      <c r="AW268" s="40" t="s">
        <v>276</v>
      </c>
      <c r="AX268" s="40">
        <v>1.0077340883186736</v>
      </c>
      <c r="AY268" s="9" t="s">
        <v>276</v>
      </c>
      <c r="AZ268" s="9" t="s">
        <v>276</v>
      </c>
      <c r="BA268" s="9" t="s">
        <v>276</v>
      </c>
      <c r="BB268" s="9" t="s">
        <v>282</v>
      </c>
      <c r="BC268" s="9" t="s">
        <v>276</v>
      </c>
      <c r="BD268" s="9" t="s">
        <v>276</v>
      </c>
      <c r="BE268" s="9" t="s">
        <v>276</v>
      </c>
      <c r="BF268" s="9" t="s">
        <v>1369</v>
      </c>
      <c r="BG268" s="9"/>
      <c r="BH268" s="9" t="s">
        <v>100</v>
      </c>
      <c r="BI268" s="9" t="s">
        <v>100</v>
      </c>
      <c r="BJ268" s="32"/>
      <c r="BK268" s="32"/>
      <c r="BO268" s="32"/>
      <c r="BP268" s="32"/>
    </row>
    <row r="269" spans="1:68" s="33" customFormat="1" ht="104" hidden="1" x14ac:dyDescent="0.35">
      <c r="A269" s="8">
        <v>2704</v>
      </c>
      <c r="B269" s="8" t="s">
        <v>1202</v>
      </c>
      <c r="C269" s="8" t="s">
        <v>86</v>
      </c>
      <c r="D269" s="9" t="s">
        <v>1402</v>
      </c>
      <c r="E269" s="8" t="s">
        <v>42</v>
      </c>
      <c r="F269" s="9" t="s">
        <v>148</v>
      </c>
      <c r="G269" s="8" t="s">
        <v>225</v>
      </c>
      <c r="H269" s="8" t="s">
        <v>125</v>
      </c>
      <c r="I269" s="8" t="s">
        <v>114</v>
      </c>
      <c r="J269" s="9" t="s">
        <v>25</v>
      </c>
      <c r="K269" s="8" t="s">
        <v>317</v>
      </c>
      <c r="L269" s="2" t="s">
        <v>317</v>
      </c>
      <c r="M269" s="2" t="s">
        <v>307</v>
      </c>
      <c r="N269" s="10" t="s">
        <v>1203</v>
      </c>
      <c r="O269" s="9" t="s">
        <v>1297</v>
      </c>
      <c r="P269" s="9" t="s">
        <v>239</v>
      </c>
      <c r="Q269" s="52">
        <v>44012</v>
      </c>
      <c r="R269" s="9" t="s">
        <v>276</v>
      </c>
      <c r="S269" s="9" t="s">
        <v>1355</v>
      </c>
      <c r="T269" s="9" t="s">
        <v>1363</v>
      </c>
      <c r="U269" s="51" t="s">
        <v>1174</v>
      </c>
      <c r="V269" s="8" t="s">
        <v>14</v>
      </c>
      <c r="W269" s="9" t="s">
        <v>98</v>
      </c>
      <c r="X269" s="9" t="s">
        <v>207</v>
      </c>
      <c r="Y269" s="13">
        <v>50623</v>
      </c>
      <c r="Z269" s="38">
        <v>101314</v>
      </c>
      <c r="AA269" s="9" t="s">
        <v>276</v>
      </c>
      <c r="AB269" s="9" t="s">
        <v>276</v>
      </c>
      <c r="AC269" s="8">
        <v>2</v>
      </c>
      <c r="AD269" s="9" t="s">
        <v>1311</v>
      </c>
      <c r="AE269" s="8">
        <v>13</v>
      </c>
      <c r="AF269" s="9" t="s">
        <v>1311</v>
      </c>
      <c r="AG269" s="9" t="s">
        <v>1386</v>
      </c>
      <c r="AH269" s="9" t="s">
        <v>1357</v>
      </c>
      <c r="AI269" s="38">
        <v>358</v>
      </c>
      <c r="AJ269" s="38">
        <v>718</v>
      </c>
      <c r="AK269" s="38">
        <v>50623</v>
      </c>
      <c r="AL269" s="38">
        <v>101314</v>
      </c>
      <c r="AM269" s="38" t="s">
        <v>281</v>
      </c>
      <c r="AN269" s="8" t="s">
        <v>276</v>
      </c>
      <c r="AO269" s="14">
        <v>7.0718843213559053</v>
      </c>
      <c r="AP269" s="8" t="s">
        <v>276</v>
      </c>
      <c r="AQ269" s="8" t="s">
        <v>276</v>
      </c>
      <c r="AR269" s="8" t="s">
        <v>276</v>
      </c>
      <c r="AS269" s="14">
        <v>7.0868784175928301</v>
      </c>
      <c r="AT269" s="8" t="s">
        <v>276</v>
      </c>
      <c r="AU269" s="8" t="s">
        <v>276</v>
      </c>
      <c r="AV269" s="8" t="s">
        <v>268</v>
      </c>
      <c r="AW269" s="40" t="s">
        <v>276</v>
      </c>
      <c r="AX269" s="40">
        <v>0.99788424531177189</v>
      </c>
      <c r="AY269" s="9" t="s">
        <v>276</v>
      </c>
      <c r="AZ269" s="9" t="s">
        <v>276</v>
      </c>
      <c r="BA269" s="9" t="s">
        <v>276</v>
      </c>
      <c r="BB269" s="9" t="s">
        <v>282</v>
      </c>
      <c r="BC269" s="9" t="s">
        <v>276</v>
      </c>
      <c r="BD269" s="9" t="s">
        <v>276</v>
      </c>
      <c r="BE269" s="9" t="s">
        <v>276</v>
      </c>
      <c r="BF269" s="9" t="s">
        <v>298</v>
      </c>
      <c r="BG269" s="9"/>
      <c r="BH269" s="9" t="s">
        <v>100</v>
      </c>
      <c r="BI269" s="9" t="s">
        <v>100</v>
      </c>
      <c r="BJ269" s="32"/>
      <c r="BK269" s="32"/>
      <c r="BO269" s="32"/>
      <c r="BP269" s="32"/>
    </row>
    <row r="270" spans="1:68" s="33" customFormat="1" ht="79.5" hidden="1" customHeight="1" x14ac:dyDescent="0.35">
      <c r="A270" s="8">
        <v>2704</v>
      </c>
      <c r="B270" s="8" t="s">
        <v>1202</v>
      </c>
      <c r="C270" s="8" t="s">
        <v>86</v>
      </c>
      <c r="D270" s="9" t="s">
        <v>1403</v>
      </c>
      <c r="E270" s="8" t="s">
        <v>42</v>
      </c>
      <c r="F270" s="9" t="s">
        <v>148</v>
      </c>
      <c r="G270" s="8" t="s">
        <v>225</v>
      </c>
      <c r="H270" s="8" t="s">
        <v>125</v>
      </c>
      <c r="I270" s="8" t="s">
        <v>114</v>
      </c>
      <c r="J270" s="9" t="s">
        <v>25</v>
      </c>
      <c r="K270" s="8" t="s">
        <v>317</v>
      </c>
      <c r="L270" s="2" t="s">
        <v>317</v>
      </c>
      <c r="M270" s="2" t="s">
        <v>307</v>
      </c>
      <c r="N270" s="10" t="s">
        <v>1203</v>
      </c>
      <c r="O270" s="9" t="s">
        <v>1297</v>
      </c>
      <c r="P270" s="9" t="s">
        <v>239</v>
      </c>
      <c r="Q270" s="52">
        <v>44012</v>
      </c>
      <c r="R270" s="9" t="s">
        <v>276</v>
      </c>
      <c r="S270" s="9" t="s">
        <v>1355</v>
      </c>
      <c r="T270" s="9" t="s">
        <v>1363</v>
      </c>
      <c r="U270" s="51" t="s">
        <v>1174</v>
      </c>
      <c r="V270" s="8" t="s">
        <v>14</v>
      </c>
      <c r="W270" s="9" t="s">
        <v>98</v>
      </c>
      <c r="X270" s="9" t="s">
        <v>207</v>
      </c>
      <c r="Y270" s="13">
        <v>50623</v>
      </c>
      <c r="Z270" s="38">
        <v>101314</v>
      </c>
      <c r="AA270" s="9" t="s">
        <v>276</v>
      </c>
      <c r="AB270" s="9" t="s">
        <v>276</v>
      </c>
      <c r="AC270" s="8">
        <v>2</v>
      </c>
      <c r="AD270" s="9" t="s">
        <v>1311</v>
      </c>
      <c r="AE270" s="8">
        <v>13</v>
      </c>
      <c r="AF270" s="9" t="s">
        <v>1311</v>
      </c>
      <c r="AG270" s="9" t="s">
        <v>1386</v>
      </c>
      <c r="AH270" s="9" t="s">
        <v>1368</v>
      </c>
      <c r="AI270" s="38">
        <v>358</v>
      </c>
      <c r="AJ270" s="38">
        <v>718</v>
      </c>
      <c r="AK270" s="38">
        <v>790231</v>
      </c>
      <c r="AL270" s="38">
        <v>1577517</v>
      </c>
      <c r="AM270" s="38" t="s">
        <v>425</v>
      </c>
      <c r="AN270" s="8" t="s">
        <v>276</v>
      </c>
      <c r="AO270" s="14">
        <v>0.45303208808563572</v>
      </c>
      <c r="AP270" s="8" t="s">
        <v>276</v>
      </c>
      <c r="AQ270" s="8" t="s">
        <v>276</v>
      </c>
      <c r="AR270" s="8" t="s">
        <v>276</v>
      </c>
      <c r="AS270" s="14">
        <v>0.45514564977746674</v>
      </c>
      <c r="AT270" s="8" t="s">
        <v>276</v>
      </c>
      <c r="AU270" s="8" t="s">
        <v>276</v>
      </c>
      <c r="AV270" s="8" t="s">
        <v>269</v>
      </c>
      <c r="AW270" s="40" t="s">
        <v>276</v>
      </c>
      <c r="AX270" s="40">
        <v>0.9953562959618214</v>
      </c>
      <c r="AY270" s="9" t="s">
        <v>276</v>
      </c>
      <c r="AZ270" s="9" t="s">
        <v>276</v>
      </c>
      <c r="BA270" s="9" t="s">
        <v>276</v>
      </c>
      <c r="BB270" s="9" t="s">
        <v>282</v>
      </c>
      <c r="BC270" s="9" t="s">
        <v>276</v>
      </c>
      <c r="BD270" s="9" t="s">
        <v>276</v>
      </c>
      <c r="BE270" s="9" t="s">
        <v>276</v>
      </c>
      <c r="BF270" s="9" t="s">
        <v>1369</v>
      </c>
      <c r="BG270" s="9"/>
      <c r="BH270" s="9" t="s">
        <v>100</v>
      </c>
      <c r="BI270" s="9" t="s">
        <v>100</v>
      </c>
      <c r="BJ270" s="32"/>
      <c r="BK270" s="32"/>
      <c r="BO270" s="32"/>
      <c r="BP270" s="32"/>
    </row>
    <row r="271" spans="1:68" s="33" customFormat="1" ht="104" hidden="1" x14ac:dyDescent="0.35">
      <c r="A271" s="8">
        <v>2704</v>
      </c>
      <c r="B271" s="8" t="s">
        <v>1202</v>
      </c>
      <c r="C271" s="8" t="s">
        <v>86</v>
      </c>
      <c r="D271" s="9" t="s">
        <v>1404</v>
      </c>
      <c r="E271" s="8" t="s">
        <v>42</v>
      </c>
      <c r="F271" s="9" t="s">
        <v>148</v>
      </c>
      <c r="G271" s="8" t="s">
        <v>225</v>
      </c>
      <c r="H271" s="8" t="s">
        <v>125</v>
      </c>
      <c r="I271" s="8" t="s">
        <v>114</v>
      </c>
      <c r="J271" s="9" t="s">
        <v>25</v>
      </c>
      <c r="K271" s="8" t="s">
        <v>317</v>
      </c>
      <c r="L271" s="2" t="s">
        <v>317</v>
      </c>
      <c r="M271" s="2" t="s">
        <v>307</v>
      </c>
      <c r="N271" s="10" t="s">
        <v>1203</v>
      </c>
      <c r="O271" s="9" t="s">
        <v>1297</v>
      </c>
      <c r="P271" s="524" t="s">
        <v>235</v>
      </c>
      <c r="Q271" s="52">
        <v>44012</v>
      </c>
      <c r="R271" s="9" t="s">
        <v>276</v>
      </c>
      <c r="S271" s="9" t="s">
        <v>1355</v>
      </c>
      <c r="T271" s="9" t="s">
        <v>1363</v>
      </c>
      <c r="U271" s="51" t="s">
        <v>1174</v>
      </c>
      <c r="V271" s="8" t="s">
        <v>14</v>
      </c>
      <c r="W271" s="9" t="s">
        <v>98</v>
      </c>
      <c r="X271" s="9" t="s">
        <v>207</v>
      </c>
      <c r="Y271" s="13" t="s">
        <v>98</v>
      </c>
      <c r="Z271" s="38" t="s">
        <v>98</v>
      </c>
      <c r="AA271" s="9" t="s">
        <v>276</v>
      </c>
      <c r="AB271" s="9" t="s">
        <v>276</v>
      </c>
      <c r="AC271" s="8">
        <v>2</v>
      </c>
      <c r="AD271" s="9" t="s">
        <v>1311</v>
      </c>
      <c r="AE271" s="8">
        <v>13</v>
      </c>
      <c r="AF271" s="9" t="s">
        <v>1311</v>
      </c>
      <c r="AG271" s="9" t="s">
        <v>1386</v>
      </c>
      <c r="AH271" s="9" t="s">
        <v>1389</v>
      </c>
      <c r="AI271" s="38">
        <v>358</v>
      </c>
      <c r="AJ271" s="38">
        <v>718</v>
      </c>
      <c r="AK271" s="38">
        <v>517</v>
      </c>
      <c r="AL271" s="38">
        <v>1016</v>
      </c>
      <c r="AM271" s="38" t="s">
        <v>292</v>
      </c>
      <c r="AN271" s="8">
        <v>69.2</v>
      </c>
      <c r="AO271" s="14">
        <v>69.245647969052229</v>
      </c>
      <c r="AP271" s="8" t="s">
        <v>276</v>
      </c>
      <c r="AQ271" s="8" t="s">
        <v>276</v>
      </c>
      <c r="AR271" s="8">
        <v>70.7</v>
      </c>
      <c r="AS271" s="14">
        <v>70.669291338582681</v>
      </c>
      <c r="AT271" s="8" t="s">
        <v>276</v>
      </c>
      <c r="AU271" s="8" t="s">
        <v>276</v>
      </c>
      <c r="AV271" s="8" t="s">
        <v>268</v>
      </c>
      <c r="AW271" s="40" t="s">
        <v>276</v>
      </c>
      <c r="AX271" s="40">
        <v>0.97985485148408158</v>
      </c>
      <c r="AY271" s="9" t="s">
        <v>276</v>
      </c>
      <c r="AZ271" s="9" t="s">
        <v>276</v>
      </c>
      <c r="BA271" s="9" t="s">
        <v>276</v>
      </c>
      <c r="BB271" s="9" t="s">
        <v>282</v>
      </c>
      <c r="BC271" s="9" t="s">
        <v>276</v>
      </c>
      <c r="BD271" s="9" t="s">
        <v>276</v>
      </c>
      <c r="BE271" s="9" t="s">
        <v>276</v>
      </c>
      <c r="BF271" s="9" t="s">
        <v>298</v>
      </c>
      <c r="BG271" s="9"/>
      <c r="BH271" s="9" t="s">
        <v>100</v>
      </c>
      <c r="BI271" s="9" t="s">
        <v>100</v>
      </c>
      <c r="BJ271" s="32"/>
      <c r="BK271" s="32"/>
      <c r="BO271" s="32"/>
      <c r="BP271" s="32"/>
    </row>
    <row r="272" spans="1:68" s="33" customFormat="1" ht="65" hidden="1" x14ac:dyDescent="0.35">
      <c r="A272" s="8">
        <v>1128</v>
      </c>
      <c r="B272" s="8" t="s">
        <v>1405</v>
      </c>
      <c r="C272" s="9" t="s">
        <v>1406</v>
      </c>
      <c r="D272" s="9" t="s">
        <v>1498</v>
      </c>
      <c r="E272" s="8" t="s">
        <v>39</v>
      </c>
      <c r="F272" s="8" t="s">
        <v>262</v>
      </c>
      <c r="G272" s="8" t="s">
        <v>225</v>
      </c>
      <c r="H272" s="8" t="s">
        <v>125</v>
      </c>
      <c r="I272" s="8" t="s">
        <v>114</v>
      </c>
      <c r="J272" s="9" t="s">
        <v>25</v>
      </c>
      <c r="K272" s="8" t="s">
        <v>1499</v>
      </c>
      <c r="L272" s="8" t="s">
        <v>1500</v>
      </c>
      <c r="M272" s="8" t="s">
        <v>276</v>
      </c>
      <c r="N272" s="9" t="s">
        <v>1501</v>
      </c>
      <c r="O272" s="9" t="s">
        <v>1502</v>
      </c>
      <c r="P272" s="9" t="s">
        <v>239</v>
      </c>
      <c r="Q272" s="52">
        <v>40178</v>
      </c>
      <c r="R272" s="9">
        <v>13</v>
      </c>
      <c r="S272" s="9" t="s">
        <v>1503</v>
      </c>
      <c r="T272" s="9" t="s">
        <v>1503</v>
      </c>
      <c r="U272" s="9">
        <v>4</v>
      </c>
      <c r="V272" s="8" t="s">
        <v>14</v>
      </c>
      <c r="W272" s="8" t="s">
        <v>98</v>
      </c>
      <c r="X272" s="9" t="s">
        <v>207</v>
      </c>
      <c r="Y272" s="13">
        <v>77445</v>
      </c>
      <c r="Z272" s="38">
        <v>77456</v>
      </c>
      <c r="AA272" s="9" t="s">
        <v>276</v>
      </c>
      <c r="AB272" s="9" t="s">
        <v>276</v>
      </c>
      <c r="AC272" s="8">
        <v>20</v>
      </c>
      <c r="AD272" s="9" t="s">
        <v>1504</v>
      </c>
      <c r="AE272" s="8">
        <v>11</v>
      </c>
      <c r="AF272" s="9" t="s">
        <v>1505</v>
      </c>
      <c r="AG272" s="9" t="s">
        <v>1506</v>
      </c>
      <c r="AH272" s="9" t="s">
        <v>1507</v>
      </c>
      <c r="AI272" s="38">
        <v>462</v>
      </c>
      <c r="AJ272" s="38">
        <v>374</v>
      </c>
      <c r="AK272" s="38">
        <v>844011</v>
      </c>
      <c r="AL272" s="38">
        <v>843762</v>
      </c>
      <c r="AM272" s="38">
        <v>10000</v>
      </c>
      <c r="AN272" s="8" t="s">
        <v>276</v>
      </c>
      <c r="AO272" s="14">
        <f>AI272/AK272*AM272</f>
        <v>5.4738623074817747</v>
      </c>
      <c r="AP272" s="8" t="s">
        <v>276</v>
      </c>
      <c r="AQ272" s="8" t="s">
        <v>276</v>
      </c>
      <c r="AR272" s="8" t="s">
        <v>276</v>
      </c>
      <c r="AS272" s="14">
        <f>AJ272/AL272*AM272</f>
        <v>4.4325295521722952</v>
      </c>
      <c r="AT272" s="8" t="s">
        <v>276</v>
      </c>
      <c r="AU272" s="8" t="s">
        <v>276</v>
      </c>
      <c r="AV272" s="9" t="s">
        <v>269</v>
      </c>
      <c r="AW272" s="40" t="s">
        <v>276</v>
      </c>
      <c r="AX272" s="40">
        <f>AO272/AS272</f>
        <v>1.2349296813597426</v>
      </c>
      <c r="AY272" s="9" t="s">
        <v>276</v>
      </c>
      <c r="AZ272" s="9" t="s">
        <v>276</v>
      </c>
      <c r="BA272" s="9" t="s">
        <v>276</v>
      </c>
      <c r="BB272" s="9" t="s">
        <v>276</v>
      </c>
      <c r="BC272" s="9" t="s">
        <v>98</v>
      </c>
      <c r="BD272" s="9" t="s">
        <v>98</v>
      </c>
      <c r="BE272" s="9" t="s">
        <v>98</v>
      </c>
      <c r="BF272" s="9" t="s">
        <v>1508</v>
      </c>
      <c r="BG272" s="9"/>
      <c r="BH272" s="9" t="s">
        <v>100</v>
      </c>
      <c r="BI272" s="9" t="s">
        <v>100</v>
      </c>
      <c r="BJ272" s="32"/>
      <c r="BK272" s="32"/>
      <c r="BO272" s="32"/>
      <c r="BP272" s="32"/>
    </row>
    <row r="273" spans="1:69" s="33" customFormat="1" ht="65" hidden="1" x14ac:dyDescent="0.35">
      <c r="A273" s="8">
        <v>1128</v>
      </c>
      <c r="B273" s="8" t="s">
        <v>1405</v>
      </c>
      <c r="C273" s="9" t="s">
        <v>1406</v>
      </c>
      <c r="D273" s="9" t="s">
        <v>1509</v>
      </c>
      <c r="E273" s="8" t="s">
        <v>39</v>
      </c>
      <c r="F273" s="8" t="s">
        <v>262</v>
      </c>
      <c r="G273" s="8" t="s">
        <v>225</v>
      </c>
      <c r="H273" s="8" t="s">
        <v>125</v>
      </c>
      <c r="I273" s="8" t="s">
        <v>114</v>
      </c>
      <c r="J273" s="9" t="s">
        <v>25</v>
      </c>
      <c r="K273" s="8" t="s">
        <v>1510</v>
      </c>
      <c r="L273" s="8" t="s">
        <v>1500</v>
      </c>
      <c r="M273" s="8" t="s">
        <v>276</v>
      </c>
      <c r="N273" s="9" t="s">
        <v>1501</v>
      </c>
      <c r="O273" s="9" t="s">
        <v>1502</v>
      </c>
      <c r="P273" s="9" t="s">
        <v>239</v>
      </c>
      <c r="Q273" s="52">
        <v>40178</v>
      </c>
      <c r="R273" s="9">
        <v>13</v>
      </c>
      <c r="S273" s="9" t="s">
        <v>1503</v>
      </c>
      <c r="T273" s="9" t="s">
        <v>1503</v>
      </c>
      <c r="U273" s="9">
        <v>4</v>
      </c>
      <c r="V273" s="8" t="s">
        <v>14</v>
      </c>
      <c r="W273" s="8" t="s">
        <v>98</v>
      </c>
      <c r="X273" s="9" t="s">
        <v>207</v>
      </c>
      <c r="Y273" s="13">
        <v>77445</v>
      </c>
      <c r="Z273" s="38">
        <v>77456</v>
      </c>
      <c r="AA273" s="9" t="s">
        <v>276</v>
      </c>
      <c r="AB273" s="9" t="s">
        <v>276</v>
      </c>
      <c r="AC273" s="8">
        <v>20</v>
      </c>
      <c r="AD273" s="9" t="s">
        <v>1504</v>
      </c>
      <c r="AE273" s="8">
        <v>11</v>
      </c>
      <c r="AF273" s="9" t="s">
        <v>1505</v>
      </c>
      <c r="AG273" s="9" t="s">
        <v>1511</v>
      </c>
      <c r="AH273" s="9" t="s">
        <v>1507</v>
      </c>
      <c r="AI273" s="38">
        <v>112</v>
      </c>
      <c r="AJ273" s="38">
        <v>105</v>
      </c>
      <c r="AK273" s="38">
        <v>844011</v>
      </c>
      <c r="AL273" s="38">
        <v>843762</v>
      </c>
      <c r="AM273" s="38">
        <v>10000</v>
      </c>
      <c r="AN273" s="8" t="s">
        <v>276</v>
      </c>
      <c r="AO273" s="14">
        <f t="shared" ref="AO273:AO274" si="80">AI273/AK273*AM273</f>
        <v>1.3269969230258847</v>
      </c>
      <c r="AP273" s="8" t="s">
        <v>276</v>
      </c>
      <c r="AQ273" s="8" t="s">
        <v>276</v>
      </c>
      <c r="AR273" s="8" t="s">
        <v>276</v>
      </c>
      <c r="AS273" s="14">
        <f t="shared" ref="AS273:AS274" si="81">AJ273/AL273*AM273</f>
        <v>1.2444267459307246</v>
      </c>
      <c r="AT273" s="8" t="s">
        <v>276</v>
      </c>
      <c r="AU273" s="8" t="s">
        <v>276</v>
      </c>
      <c r="AV273" s="9" t="s">
        <v>269</v>
      </c>
      <c r="AW273" s="40" t="s">
        <v>276</v>
      </c>
      <c r="AX273" s="40">
        <f t="shared" ref="AX273:AX274" si="82">AO273/AS273</f>
        <v>1.0663519788249205</v>
      </c>
      <c r="AY273" s="9" t="s">
        <v>276</v>
      </c>
      <c r="AZ273" s="9" t="s">
        <v>276</v>
      </c>
      <c r="BA273" s="9" t="s">
        <v>276</v>
      </c>
      <c r="BB273" s="9" t="s">
        <v>276</v>
      </c>
      <c r="BC273" s="9" t="s">
        <v>98</v>
      </c>
      <c r="BD273" s="9" t="s">
        <v>98</v>
      </c>
      <c r="BE273" s="9" t="s">
        <v>98</v>
      </c>
      <c r="BF273" s="9" t="s">
        <v>1508</v>
      </c>
      <c r="BG273" s="9"/>
      <c r="BH273" s="9" t="s">
        <v>100</v>
      </c>
      <c r="BI273" s="9" t="s">
        <v>100</v>
      </c>
      <c r="BJ273" s="32"/>
      <c r="BK273" s="32"/>
      <c r="BO273" s="32"/>
      <c r="BP273" s="32"/>
    </row>
    <row r="274" spans="1:69" s="33" customFormat="1" ht="65" hidden="1" x14ac:dyDescent="0.35">
      <c r="A274" s="8">
        <v>1128</v>
      </c>
      <c r="B274" s="8" t="s">
        <v>1405</v>
      </c>
      <c r="C274" s="9" t="s">
        <v>1406</v>
      </c>
      <c r="D274" s="9" t="s">
        <v>11645</v>
      </c>
      <c r="E274" s="8" t="s">
        <v>39</v>
      </c>
      <c r="F274" s="8" t="s">
        <v>262</v>
      </c>
      <c r="G274" s="8" t="s">
        <v>225</v>
      </c>
      <c r="H274" s="8" t="s">
        <v>125</v>
      </c>
      <c r="I274" s="8" t="s">
        <v>114</v>
      </c>
      <c r="J274" s="9" t="s">
        <v>25</v>
      </c>
      <c r="K274" s="8" t="s">
        <v>11613</v>
      </c>
      <c r="L274" s="8" t="s">
        <v>1500</v>
      </c>
      <c r="M274" s="8" t="s">
        <v>276</v>
      </c>
      <c r="N274" s="9" t="s">
        <v>1501</v>
      </c>
      <c r="O274" s="9" t="s">
        <v>1502</v>
      </c>
      <c r="P274" s="9" t="s">
        <v>239</v>
      </c>
      <c r="Q274" s="52">
        <v>40178</v>
      </c>
      <c r="R274" s="9">
        <v>13</v>
      </c>
      <c r="S274" s="9" t="s">
        <v>1503</v>
      </c>
      <c r="T274" s="9" t="s">
        <v>1503</v>
      </c>
      <c r="U274" s="9">
        <v>4</v>
      </c>
      <c r="V274" s="8" t="s">
        <v>14</v>
      </c>
      <c r="W274" s="8" t="s">
        <v>98</v>
      </c>
      <c r="X274" s="9" t="s">
        <v>207</v>
      </c>
      <c r="Y274" s="13">
        <v>77445</v>
      </c>
      <c r="Z274" s="38">
        <v>77456</v>
      </c>
      <c r="AA274" s="9" t="s">
        <v>276</v>
      </c>
      <c r="AB274" s="9" t="s">
        <v>276</v>
      </c>
      <c r="AC274" s="8">
        <v>20</v>
      </c>
      <c r="AD274" s="9" t="s">
        <v>1504</v>
      </c>
      <c r="AE274" s="8">
        <v>11</v>
      </c>
      <c r="AF274" s="9" t="s">
        <v>1505</v>
      </c>
      <c r="AG274" s="9" t="s">
        <v>11646</v>
      </c>
      <c r="AH274" s="9" t="s">
        <v>1507</v>
      </c>
      <c r="AI274" s="38">
        <f>112+462</f>
        <v>574</v>
      </c>
      <c r="AJ274" s="38">
        <f>105+374</f>
        <v>479</v>
      </c>
      <c r="AK274" s="38">
        <v>844011</v>
      </c>
      <c r="AL274" s="38">
        <v>843762</v>
      </c>
      <c r="AM274" s="38">
        <v>10000</v>
      </c>
      <c r="AN274" s="8" t="s">
        <v>276</v>
      </c>
      <c r="AO274" s="14">
        <f t="shared" si="80"/>
        <v>6.8008592305076592</v>
      </c>
      <c r="AP274" s="8" t="s">
        <v>276</v>
      </c>
      <c r="AQ274" s="8" t="s">
        <v>276</v>
      </c>
      <c r="AR274" s="8" t="s">
        <v>276</v>
      </c>
      <c r="AS274" s="14">
        <f t="shared" si="81"/>
        <v>5.6769562981030202</v>
      </c>
      <c r="AT274" s="8" t="s">
        <v>276</v>
      </c>
      <c r="AU274" s="8" t="s">
        <v>276</v>
      </c>
      <c r="AV274" s="9" t="s">
        <v>269</v>
      </c>
      <c r="AW274" s="40" t="s">
        <v>276</v>
      </c>
      <c r="AX274" s="40">
        <f t="shared" si="82"/>
        <v>1.1979763227665141</v>
      </c>
      <c r="AY274" s="9" t="s">
        <v>276</v>
      </c>
      <c r="AZ274" s="9" t="s">
        <v>276</v>
      </c>
      <c r="BA274" s="9" t="s">
        <v>276</v>
      </c>
      <c r="BB274" s="9" t="s">
        <v>276</v>
      </c>
      <c r="BC274" s="9" t="s">
        <v>98</v>
      </c>
      <c r="BD274" s="9" t="s">
        <v>98</v>
      </c>
      <c r="BE274" s="9" t="s">
        <v>98</v>
      </c>
      <c r="BF274" s="9" t="s">
        <v>1508</v>
      </c>
      <c r="BG274" s="9"/>
      <c r="BH274" s="9" t="s">
        <v>100</v>
      </c>
      <c r="BI274" s="9" t="s">
        <v>100</v>
      </c>
      <c r="BJ274" s="32"/>
      <c r="BK274" s="32"/>
      <c r="BO274" s="32"/>
      <c r="BP274" s="32"/>
    </row>
    <row r="275" spans="1:69" s="33" customFormat="1" ht="65" hidden="1" x14ac:dyDescent="0.35">
      <c r="A275" s="8">
        <v>1128</v>
      </c>
      <c r="B275" s="8" t="s">
        <v>1405</v>
      </c>
      <c r="C275" s="9" t="s">
        <v>1406</v>
      </c>
      <c r="D275" s="9" t="s">
        <v>11647</v>
      </c>
      <c r="E275" s="8" t="s">
        <v>39</v>
      </c>
      <c r="F275" s="8" t="s">
        <v>262</v>
      </c>
      <c r="G275" s="8" t="s">
        <v>225</v>
      </c>
      <c r="H275" s="8" t="s">
        <v>125</v>
      </c>
      <c r="I275" s="8" t="s">
        <v>114</v>
      </c>
      <c r="J275" s="9" t="s">
        <v>25</v>
      </c>
      <c r="K275" s="8" t="s">
        <v>11648</v>
      </c>
      <c r="L275" s="8" t="s">
        <v>1500</v>
      </c>
      <c r="M275" s="8" t="s">
        <v>276</v>
      </c>
      <c r="N275" s="9" t="s">
        <v>1501</v>
      </c>
      <c r="O275" s="9" t="s">
        <v>1502</v>
      </c>
      <c r="P275" s="9" t="s">
        <v>239</v>
      </c>
      <c r="Q275" s="52">
        <v>40178</v>
      </c>
      <c r="R275" s="9">
        <v>13</v>
      </c>
      <c r="S275" s="9" t="s">
        <v>1503</v>
      </c>
      <c r="T275" s="9" t="s">
        <v>1503</v>
      </c>
      <c r="U275" s="9">
        <v>4</v>
      </c>
      <c r="V275" s="8" t="s">
        <v>14</v>
      </c>
      <c r="W275" s="8" t="s">
        <v>98</v>
      </c>
      <c r="X275" s="9" t="s">
        <v>207</v>
      </c>
      <c r="Y275" s="13">
        <v>77445</v>
      </c>
      <c r="Z275" s="38">
        <v>77456</v>
      </c>
      <c r="AA275" s="9" t="s">
        <v>276</v>
      </c>
      <c r="AB275" s="9" t="s">
        <v>276</v>
      </c>
      <c r="AC275" s="8">
        <v>20</v>
      </c>
      <c r="AD275" s="9" t="s">
        <v>1504</v>
      </c>
      <c r="AE275" s="8">
        <v>11</v>
      </c>
      <c r="AF275" s="9" t="s">
        <v>1505</v>
      </c>
      <c r="AG275" s="9" t="s">
        <v>11649</v>
      </c>
      <c r="AH275" s="9" t="s">
        <v>1507</v>
      </c>
      <c r="AI275" s="38">
        <f>574+78</f>
        <v>652</v>
      </c>
      <c r="AJ275" s="38">
        <f>479+74</f>
        <v>553</v>
      </c>
      <c r="AK275" s="38">
        <v>844011</v>
      </c>
      <c r="AL275" s="38">
        <v>843762</v>
      </c>
      <c r="AM275" s="38">
        <v>10000</v>
      </c>
      <c r="AN275" s="8" t="s">
        <v>276</v>
      </c>
      <c r="AO275" s="14">
        <f t="shared" ref="AO275:AO277" si="83">AI275/AK275*AM275</f>
        <v>7.7250178019006857</v>
      </c>
      <c r="AP275" s="8" t="s">
        <v>276</v>
      </c>
      <c r="AQ275" s="8" t="s">
        <v>276</v>
      </c>
      <c r="AR275" s="8" t="s">
        <v>276</v>
      </c>
      <c r="AS275" s="14">
        <f t="shared" ref="AS275:AS277" si="84">AJ275/AL275*AM275</f>
        <v>6.5539808619018158</v>
      </c>
      <c r="AT275" s="8" t="s">
        <v>276</v>
      </c>
      <c r="AU275" s="8" t="s">
        <v>276</v>
      </c>
      <c r="AV275" s="9" t="s">
        <v>269</v>
      </c>
      <c r="AW275" s="40" t="s">
        <v>276</v>
      </c>
      <c r="AX275" s="40">
        <f t="shared" ref="AX275:AX277" si="85">AO275/AS275</f>
        <v>1.1786756727969849</v>
      </c>
      <c r="AY275" s="9" t="s">
        <v>276</v>
      </c>
      <c r="AZ275" s="9" t="s">
        <v>276</v>
      </c>
      <c r="BA275" s="9" t="s">
        <v>276</v>
      </c>
      <c r="BB275" s="9" t="s">
        <v>276</v>
      </c>
      <c r="BC275" s="9" t="s">
        <v>98</v>
      </c>
      <c r="BD275" s="9" t="s">
        <v>98</v>
      </c>
      <c r="BE275" s="9" t="s">
        <v>98</v>
      </c>
      <c r="BF275" s="9" t="s">
        <v>1508</v>
      </c>
      <c r="BG275" s="9"/>
      <c r="BH275" s="9" t="s">
        <v>100</v>
      </c>
      <c r="BI275" s="9" t="s">
        <v>100</v>
      </c>
      <c r="BJ275" s="32"/>
      <c r="BK275" s="32"/>
      <c r="BO275" s="32"/>
      <c r="BP275" s="32"/>
    </row>
    <row r="276" spans="1:69" s="33" customFormat="1" ht="65" hidden="1" x14ac:dyDescent="0.35">
      <c r="A276" s="8">
        <v>1128</v>
      </c>
      <c r="B276" s="8" t="s">
        <v>1405</v>
      </c>
      <c r="C276" s="9" t="s">
        <v>1406</v>
      </c>
      <c r="D276" s="9" t="s">
        <v>1512</v>
      </c>
      <c r="E276" s="8" t="s">
        <v>39</v>
      </c>
      <c r="F276" s="8" t="s">
        <v>262</v>
      </c>
      <c r="G276" s="8" t="s">
        <v>225</v>
      </c>
      <c r="H276" s="8" t="s">
        <v>125</v>
      </c>
      <c r="I276" s="8" t="s">
        <v>114</v>
      </c>
      <c r="J276" s="9" t="s">
        <v>25</v>
      </c>
      <c r="K276" s="8" t="s">
        <v>1513</v>
      </c>
      <c r="L276" s="8" t="s">
        <v>1500</v>
      </c>
      <c r="M276" s="8" t="s">
        <v>276</v>
      </c>
      <c r="N276" s="9" t="s">
        <v>1501</v>
      </c>
      <c r="O276" s="9" t="s">
        <v>1502</v>
      </c>
      <c r="P276" s="9" t="s">
        <v>239</v>
      </c>
      <c r="Q276" s="52">
        <v>40178</v>
      </c>
      <c r="R276" s="9">
        <v>13</v>
      </c>
      <c r="S276" s="9" t="s">
        <v>1503</v>
      </c>
      <c r="T276" s="9" t="s">
        <v>1503</v>
      </c>
      <c r="U276" s="9">
        <v>4</v>
      </c>
      <c r="V276" s="8" t="s">
        <v>14</v>
      </c>
      <c r="W276" s="8" t="s">
        <v>98</v>
      </c>
      <c r="X276" s="9" t="s">
        <v>207</v>
      </c>
      <c r="Y276" s="13">
        <v>77445</v>
      </c>
      <c r="Z276" s="38">
        <v>77456</v>
      </c>
      <c r="AA276" s="9" t="s">
        <v>276</v>
      </c>
      <c r="AB276" s="9" t="s">
        <v>276</v>
      </c>
      <c r="AC276" s="8">
        <v>20</v>
      </c>
      <c r="AD276" s="9" t="s">
        <v>1504</v>
      </c>
      <c r="AE276" s="8">
        <v>11</v>
      </c>
      <c r="AF276" s="9" t="s">
        <v>1505</v>
      </c>
      <c r="AG276" s="9" t="s">
        <v>1514</v>
      </c>
      <c r="AH276" s="9" t="s">
        <v>1507</v>
      </c>
      <c r="AI276" s="38">
        <v>359</v>
      </c>
      <c r="AJ276" s="38">
        <v>365</v>
      </c>
      <c r="AK276" s="38">
        <v>844011</v>
      </c>
      <c r="AL276" s="38">
        <v>843762</v>
      </c>
      <c r="AM276" s="38">
        <v>10000</v>
      </c>
      <c r="AN276" s="8" t="s">
        <v>276</v>
      </c>
      <c r="AO276" s="14">
        <f t="shared" si="83"/>
        <v>4.2534990657704697</v>
      </c>
      <c r="AP276" s="8" t="s">
        <v>276</v>
      </c>
      <c r="AQ276" s="8" t="s">
        <v>276</v>
      </c>
      <c r="AR276" s="8" t="s">
        <v>276</v>
      </c>
      <c r="AS276" s="14">
        <f t="shared" si="84"/>
        <v>4.3258644025210904</v>
      </c>
      <c r="AT276" s="8" t="s">
        <v>276</v>
      </c>
      <c r="AU276" s="8" t="s">
        <v>276</v>
      </c>
      <c r="AV276" s="9" t="s">
        <v>269</v>
      </c>
      <c r="AW276" s="40" t="s">
        <v>276</v>
      </c>
      <c r="AX276" s="40">
        <f t="shared" si="85"/>
        <v>0.98327147362537615</v>
      </c>
      <c r="AY276" s="9" t="s">
        <v>276</v>
      </c>
      <c r="AZ276" s="9" t="s">
        <v>276</v>
      </c>
      <c r="BA276" s="9" t="s">
        <v>276</v>
      </c>
      <c r="BB276" s="9" t="s">
        <v>276</v>
      </c>
      <c r="BC276" s="9" t="s">
        <v>98</v>
      </c>
      <c r="BD276" s="9" t="s">
        <v>98</v>
      </c>
      <c r="BE276" s="9" t="s">
        <v>98</v>
      </c>
      <c r="BF276" s="9" t="s">
        <v>1508</v>
      </c>
      <c r="BG276" s="9"/>
      <c r="BH276" s="9" t="s">
        <v>100</v>
      </c>
      <c r="BI276" s="9" t="s">
        <v>100</v>
      </c>
      <c r="BJ276" s="32"/>
      <c r="BK276" s="32"/>
      <c r="BO276" s="32"/>
      <c r="BP276" s="32"/>
    </row>
    <row r="277" spans="1:69" s="33" customFormat="1" ht="65" hidden="1" x14ac:dyDescent="0.35">
      <c r="A277" s="8">
        <v>1128</v>
      </c>
      <c r="B277" s="8" t="s">
        <v>1405</v>
      </c>
      <c r="C277" s="9" t="s">
        <v>1406</v>
      </c>
      <c r="D277" s="9" t="s">
        <v>1515</v>
      </c>
      <c r="E277" s="8" t="s">
        <v>39</v>
      </c>
      <c r="F277" s="8" t="s">
        <v>262</v>
      </c>
      <c r="G277" s="8" t="s">
        <v>225</v>
      </c>
      <c r="H277" s="8" t="s">
        <v>125</v>
      </c>
      <c r="I277" s="8" t="s">
        <v>114</v>
      </c>
      <c r="J277" s="9" t="s">
        <v>25</v>
      </c>
      <c r="K277" s="8" t="s">
        <v>1516</v>
      </c>
      <c r="L277" s="8" t="s">
        <v>1500</v>
      </c>
      <c r="M277" s="8" t="s">
        <v>276</v>
      </c>
      <c r="N277" s="9" t="s">
        <v>1501</v>
      </c>
      <c r="O277" s="9" t="s">
        <v>1502</v>
      </c>
      <c r="P277" s="9" t="s">
        <v>239</v>
      </c>
      <c r="Q277" s="52">
        <v>40178</v>
      </c>
      <c r="R277" s="9">
        <v>13</v>
      </c>
      <c r="S277" s="9" t="s">
        <v>1503</v>
      </c>
      <c r="T277" s="9" t="s">
        <v>1503</v>
      </c>
      <c r="U277" s="9">
        <v>4</v>
      </c>
      <c r="V277" s="8" t="s">
        <v>14</v>
      </c>
      <c r="W277" s="8" t="s">
        <v>98</v>
      </c>
      <c r="X277" s="9" t="s">
        <v>207</v>
      </c>
      <c r="Y277" s="13">
        <v>77445</v>
      </c>
      <c r="Z277" s="38">
        <v>77456</v>
      </c>
      <c r="AA277" s="9" t="s">
        <v>276</v>
      </c>
      <c r="AB277" s="9" t="s">
        <v>276</v>
      </c>
      <c r="AC277" s="8">
        <v>20</v>
      </c>
      <c r="AD277" s="9" t="s">
        <v>1504</v>
      </c>
      <c r="AE277" s="8">
        <v>11</v>
      </c>
      <c r="AF277" s="9" t="s">
        <v>1505</v>
      </c>
      <c r="AG277" s="9" t="s">
        <v>1517</v>
      </c>
      <c r="AH277" s="9" t="s">
        <v>1507</v>
      </c>
      <c r="AI277" s="38">
        <v>514</v>
      </c>
      <c r="AJ277" s="38">
        <v>530</v>
      </c>
      <c r="AK277" s="38">
        <v>844011</v>
      </c>
      <c r="AL277" s="38">
        <v>843762</v>
      </c>
      <c r="AM277" s="38">
        <v>10000</v>
      </c>
      <c r="AN277" s="8" t="s">
        <v>276</v>
      </c>
      <c r="AO277" s="14">
        <f t="shared" si="83"/>
        <v>6.0899680217437924</v>
      </c>
      <c r="AP277" s="8" t="s">
        <v>276</v>
      </c>
      <c r="AQ277" s="8" t="s">
        <v>276</v>
      </c>
      <c r="AR277" s="8" t="s">
        <v>276</v>
      </c>
      <c r="AS277" s="14">
        <f t="shared" si="84"/>
        <v>6.2813921461265148</v>
      </c>
      <c r="AT277" s="8" t="s">
        <v>276</v>
      </c>
      <c r="AU277" s="8" t="s">
        <v>276</v>
      </c>
      <c r="AV277" s="9" t="s">
        <v>269</v>
      </c>
      <c r="AW277" s="40" t="s">
        <v>276</v>
      </c>
      <c r="AX277" s="40">
        <f t="shared" si="85"/>
        <v>0.96952520716275192</v>
      </c>
      <c r="AY277" s="9" t="s">
        <v>276</v>
      </c>
      <c r="AZ277" s="9" t="s">
        <v>276</v>
      </c>
      <c r="BA277" s="9" t="s">
        <v>276</v>
      </c>
      <c r="BB277" s="9" t="s">
        <v>276</v>
      </c>
      <c r="BC277" s="9" t="s">
        <v>98</v>
      </c>
      <c r="BD277" s="9" t="s">
        <v>98</v>
      </c>
      <c r="BE277" s="9" t="s">
        <v>98</v>
      </c>
      <c r="BF277" s="9" t="s">
        <v>1508</v>
      </c>
      <c r="BG277" s="9"/>
      <c r="BH277" s="9" t="s">
        <v>100</v>
      </c>
      <c r="BI277" s="9" t="s">
        <v>100</v>
      </c>
      <c r="BJ277" s="32"/>
      <c r="BK277" s="32"/>
      <c r="BO277" s="32"/>
      <c r="BP277" s="32"/>
    </row>
    <row r="278" spans="1:69" s="33" customFormat="1" ht="65" hidden="1" x14ac:dyDescent="0.35">
      <c r="A278" s="8">
        <v>1128</v>
      </c>
      <c r="B278" s="8" t="s">
        <v>1405</v>
      </c>
      <c r="C278" s="9" t="s">
        <v>1406</v>
      </c>
      <c r="D278" s="9" t="s">
        <v>11599</v>
      </c>
      <c r="E278" s="8" t="s">
        <v>39</v>
      </c>
      <c r="F278" s="8" t="s">
        <v>262</v>
      </c>
      <c r="G278" s="8" t="s">
        <v>225</v>
      </c>
      <c r="H278" s="8" t="s">
        <v>125</v>
      </c>
      <c r="I278" s="8" t="s">
        <v>114</v>
      </c>
      <c r="J278" s="9" t="s">
        <v>25</v>
      </c>
      <c r="K278" s="8" t="s">
        <v>1519</v>
      </c>
      <c r="L278" s="8" t="s">
        <v>1500</v>
      </c>
      <c r="M278" s="8" t="s">
        <v>276</v>
      </c>
      <c r="N278" s="9" t="s">
        <v>1501</v>
      </c>
      <c r="O278" s="9" t="s">
        <v>1502</v>
      </c>
      <c r="P278" s="9" t="s">
        <v>239</v>
      </c>
      <c r="Q278" s="52">
        <v>40178</v>
      </c>
      <c r="R278" s="9">
        <v>13</v>
      </c>
      <c r="S278" s="9" t="s">
        <v>1503</v>
      </c>
      <c r="T278" s="9" t="s">
        <v>1503</v>
      </c>
      <c r="U278" s="9">
        <v>4</v>
      </c>
      <c r="V278" s="8" t="s">
        <v>14</v>
      </c>
      <c r="W278" s="8" t="s">
        <v>98</v>
      </c>
      <c r="X278" s="9" t="s">
        <v>207</v>
      </c>
      <c r="Y278" s="13">
        <v>77445</v>
      </c>
      <c r="Z278" s="38">
        <v>77456</v>
      </c>
      <c r="AA278" s="9" t="s">
        <v>276</v>
      </c>
      <c r="AB278" s="9" t="s">
        <v>276</v>
      </c>
      <c r="AC278" s="8">
        <v>20</v>
      </c>
      <c r="AD278" s="9" t="s">
        <v>1504</v>
      </c>
      <c r="AE278" s="8">
        <v>11</v>
      </c>
      <c r="AF278" s="9" t="s">
        <v>1505</v>
      </c>
      <c r="AG278" s="9" t="s">
        <v>11600</v>
      </c>
      <c r="AH278" s="9" t="s">
        <v>1507</v>
      </c>
      <c r="AI278" s="38">
        <f>514+359</f>
        <v>873</v>
      </c>
      <c r="AJ278" s="38">
        <f>530+365</f>
        <v>895</v>
      </c>
      <c r="AK278" s="38">
        <v>844011</v>
      </c>
      <c r="AL278" s="38">
        <v>843762</v>
      </c>
      <c r="AM278" s="38">
        <v>10000</v>
      </c>
      <c r="AN278" s="8" t="s">
        <v>276</v>
      </c>
      <c r="AO278" s="14">
        <f t="shared" ref="AO278" si="86">AI278/AK278*AM278</f>
        <v>10.343467087514263</v>
      </c>
      <c r="AP278" s="8" t="s">
        <v>276</v>
      </c>
      <c r="AQ278" s="8" t="s">
        <v>276</v>
      </c>
      <c r="AR278" s="8" t="s">
        <v>276</v>
      </c>
      <c r="AS278" s="14">
        <f t="shared" ref="AS278" si="87">AJ278/AL278*AM278</f>
        <v>10.607256548647605</v>
      </c>
      <c r="AT278" s="8" t="s">
        <v>276</v>
      </c>
      <c r="AU278" s="8" t="s">
        <v>276</v>
      </c>
      <c r="AV278" s="9" t="s">
        <v>269</v>
      </c>
      <c r="AW278" s="40" t="s">
        <v>276</v>
      </c>
      <c r="AX278" s="40">
        <f t="shared" ref="AX278" si="88">AO278/AS278</f>
        <v>0.97513122644639205</v>
      </c>
      <c r="AY278" s="9" t="s">
        <v>276</v>
      </c>
      <c r="AZ278" s="9" t="s">
        <v>276</v>
      </c>
      <c r="BA278" s="9" t="s">
        <v>276</v>
      </c>
      <c r="BB278" s="9" t="s">
        <v>276</v>
      </c>
      <c r="BC278" s="9" t="s">
        <v>98</v>
      </c>
      <c r="BD278" s="9" t="s">
        <v>98</v>
      </c>
      <c r="BE278" s="9" t="s">
        <v>98</v>
      </c>
      <c r="BF278" s="9" t="s">
        <v>1508</v>
      </c>
      <c r="BG278" s="9"/>
      <c r="BH278" s="9" t="s">
        <v>100</v>
      </c>
      <c r="BI278" s="9" t="s">
        <v>100</v>
      </c>
      <c r="BJ278" s="32"/>
      <c r="BK278" s="32"/>
      <c r="BO278" s="32"/>
      <c r="BP278" s="32"/>
    </row>
    <row r="279" spans="1:69" s="33" customFormat="1" ht="65" hidden="1" x14ac:dyDescent="0.35">
      <c r="A279" s="8">
        <v>1128</v>
      </c>
      <c r="B279" s="8" t="s">
        <v>1405</v>
      </c>
      <c r="C279" s="9" t="s">
        <v>1406</v>
      </c>
      <c r="D279" s="9" t="s">
        <v>1518</v>
      </c>
      <c r="E279" s="8" t="s">
        <v>39</v>
      </c>
      <c r="F279" s="8" t="s">
        <v>262</v>
      </c>
      <c r="G279" s="8" t="s">
        <v>225</v>
      </c>
      <c r="H279" s="8" t="s">
        <v>125</v>
      </c>
      <c r="I279" s="8" t="s">
        <v>114</v>
      </c>
      <c r="J279" s="9" t="s">
        <v>25</v>
      </c>
      <c r="K279" s="8" t="s">
        <v>1519</v>
      </c>
      <c r="L279" s="8" t="s">
        <v>1500</v>
      </c>
      <c r="M279" s="8" t="s">
        <v>276</v>
      </c>
      <c r="N279" s="9" t="s">
        <v>1501</v>
      </c>
      <c r="O279" s="9" t="s">
        <v>1520</v>
      </c>
      <c r="P279" s="9" t="s">
        <v>239</v>
      </c>
      <c r="Q279" s="52" t="s">
        <v>98</v>
      </c>
      <c r="R279" s="9">
        <v>6</v>
      </c>
      <c r="S279" s="9" t="s">
        <v>1521</v>
      </c>
      <c r="T279" s="9" t="s">
        <v>1522</v>
      </c>
      <c r="U279" s="9">
        <v>4</v>
      </c>
      <c r="V279" s="8" t="s">
        <v>14</v>
      </c>
      <c r="W279" s="8" t="s">
        <v>98</v>
      </c>
      <c r="X279" s="9" t="s">
        <v>207</v>
      </c>
      <c r="Y279" s="13">
        <v>77445</v>
      </c>
      <c r="Z279" s="38">
        <v>77456</v>
      </c>
      <c r="AA279" s="9" t="s">
        <v>276</v>
      </c>
      <c r="AB279" s="9" t="s">
        <v>276</v>
      </c>
      <c r="AC279" s="8" t="s">
        <v>276</v>
      </c>
      <c r="AD279" s="9" t="s">
        <v>1523</v>
      </c>
      <c r="AE279" s="8" t="s">
        <v>276</v>
      </c>
      <c r="AF279" s="9" t="s">
        <v>1523</v>
      </c>
      <c r="AG279" s="9" t="s">
        <v>1524</v>
      </c>
      <c r="AH279" s="9" t="s">
        <v>1507</v>
      </c>
      <c r="AI279" s="38" t="s">
        <v>276</v>
      </c>
      <c r="AJ279" s="38" t="s">
        <v>276</v>
      </c>
      <c r="AK279" s="38">
        <v>446481</v>
      </c>
      <c r="AL279" s="38">
        <v>446975</v>
      </c>
      <c r="AM279" s="38">
        <v>10000</v>
      </c>
      <c r="AN279" s="8" t="s">
        <v>276</v>
      </c>
      <c r="AO279" s="14" t="s">
        <v>98</v>
      </c>
      <c r="AP279" s="8" t="s">
        <v>276</v>
      </c>
      <c r="AQ279" s="8" t="s">
        <v>276</v>
      </c>
      <c r="AR279" s="8" t="s">
        <v>276</v>
      </c>
      <c r="AS279" s="14" t="s">
        <v>98</v>
      </c>
      <c r="AT279" s="8" t="s">
        <v>276</v>
      </c>
      <c r="AU279" s="8" t="s">
        <v>276</v>
      </c>
      <c r="AV279" s="9" t="s">
        <v>269</v>
      </c>
      <c r="AW279" s="40">
        <v>0.88</v>
      </c>
      <c r="AX279" s="40" t="s">
        <v>98</v>
      </c>
      <c r="AY279" s="9">
        <v>0.78</v>
      </c>
      <c r="AZ279" s="9">
        <v>0.99</v>
      </c>
      <c r="BA279" s="9" t="s">
        <v>276</v>
      </c>
      <c r="BB279" s="9" t="s">
        <v>276</v>
      </c>
      <c r="BC279" s="9" t="s">
        <v>98</v>
      </c>
      <c r="BD279" s="9" t="s">
        <v>98</v>
      </c>
      <c r="BE279" s="9" t="s">
        <v>98</v>
      </c>
      <c r="BF279" s="9" t="s">
        <v>1525</v>
      </c>
      <c r="BG279" s="9" t="s">
        <v>1526</v>
      </c>
      <c r="BH279" s="9" t="s">
        <v>100</v>
      </c>
      <c r="BI279" s="9" t="s">
        <v>100</v>
      </c>
      <c r="BJ279" s="32"/>
      <c r="BK279" s="32"/>
      <c r="BO279" s="32"/>
      <c r="BP279" s="32"/>
    </row>
    <row r="280" spans="1:69" s="33" customFormat="1" ht="65" hidden="1" x14ac:dyDescent="0.35">
      <c r="A280" s="8">
        <v>1128</v>
      </c>
      <c r="B280" s="8" t="s">
        <v>1405</v>
      </c>
      <c r="C280" s="9" t="s">
        <v>1406</v>
      </c>
      <c r="D280" s="9" t="s">
        <v>1527</v>
      </c>
      <c r="E280" s="8" t="s">
        <v>39</v>
      </c>
      <c r="F280" s="8" t="s">
        <v>262</v>
      </c>
      <c r="G280" s="8" t="s">
        <v>225</v>
      </c>
      <c r="H280" s="8" t="s">
        <v>125</v>
      </c>
      <c r="I280" s="8" t="s">
        <v>114</v>
      </c>
      <c r="J280" s="9" t="s">
        <v>25</v>
      </c>
      <c r="K280" s="8" t="s">
        <v>1519</v>
      </c>
      <c r="L280" s="8" t="s">
        <v>1500</v>
      </c>
      <c r="M280" s="8" t="s">
        <v>276</v>
      </c>
      <c r="N280" s="9" t="s">
        <v>1501</v>
      </c>
      <c r="O280" s="9" t="s">
        <v>1520</v>
      </c>
      <c r="P280" s="9" t="s">
        <v>239</v>
      </c>
      <c r="Q280" s="52" t="s">
        <v>98</v>
      </c>
      <c r="R280" s="9">
        <v>7</v>
      </c>
      <c r="S280" s="9" t="s">
        <v>1528</v>
      </c>
      <c r="T280" s="9" t="s">
        <v>1529</v>
      </c>
      <c r="U280" s="9">
        <v>4</v>
      </c>
      <c r="V280" s="8" t="s">
        <v>14</v>
      </c>
      <c r="W280" s="8" t="s">
        <v>98</v>
      </c>
      <c r="X280" s="9" t="s">
        <v>207</v>
      </c>
      <c r="Y280" s="13">
        <v>77445</v>
      </c>
      <c r="Z280" s="38">
        <v>77456</v>
      </c>
      <c r="AA280" s="9" t="s">
        <v>276</v>
      </c>
      <c r="AB280" s="9" t="s">
        <v>276</v>
      </c>
      <c r="AC280" s="8" t="s">
        <v>276</v>
      </c>
      <c r="AD280" s="9" t="s">
        <v>1523</v>
      </c>
      <c r="AE280" s="8" t="s">
        <v>276</v>
      </c>
      <c r="AF280" s="9" t="s">
        <v>1523</v>
      </c>
      <c r="AG280" s="9" t="s">
        <v>1530</v>
      </c>
      <c r="AH280" s="9" t="s">
        <v>1507</v>
      </c>
      <c r="AI280" s="38" t="s">
        <v>276</v>
      </c>
      <c r="AJ280" s="38" t="s">
        <v>276</v>
      </c>
      <c r="AK280" s="38">
        <v>517521</v>
      </c>
      <c r="AL280" s="38">
        <v>517940</v>
      </c>
      <c r="AM280" s="38">
        <v>10000</v>
      </c>
      <c r="AN280" s="8" t="s">
        <v>276</v>
      </c>
      <c r="AO280" s="14" t="s">
        <v>98</v>
      </c>
      <c r="AP280" s="8" t="s">
        <v>276</v>
      </c>
      <c r="AQ280" s="8" t="s">
        <v>276</v>
      </c>
      <c r="AR280" s="8" t="s">
        <v>276</v>
      </c>
      <c r="AS280" s="14" t="s">
        <v>98</v>
      </c>
      <c r="AT280" s="8" t="s">
        <v>276</v>
      </c>
      <c r="AU280" s="8" t="s">
        <v>276</v>
      </c>
      <c r="AV280" s="9" t="s">
        <v>269</v>
      </c>
      <c r="AW280" s="40">
        <v>0.94</v>
      </c>
      <c r="AX280" s="40" t="s">
        <v>98</v>
      </c>
      <c r="AY280" s="9">
        <v>0.84</v>
      </c>
      <c r="AZ280" s="9">
        <v>1.05</v>
      </c>
      <c r="BA280" s="9" t="s">
        <v>276</v>
      </c>
      <c r="BB280" s="9" t="s">
        <v>276</v>
      </c>
      <c r="BC280" s="9" t="s">
        <v>98</v>
      </c>
      <c r="BD280" s="9" t="s">
        <v>98</v>
      </c>
      <c r="BE280" s="9" t="s">
        <v>98</v>
      </c>
      <c r="BF280" s="9" t="s">
        <v>1525</v>
      </c>
      <c r="BG280" s="9"/>
      <c r="BH280" s="9" t="s">
        <v>100</v>
      </c>
      <c r="BI280" s="9" t="s">
        <v>100</v>
      </c>
      <c r="BJ280" s="32"/>
      <c r="BK280" s="32"/>
      <c r="BO280" s="32"/>
      <c r="BP280" s="32"/>
    </row>
    <row r="281" spans="1:69" s="33" customFormat="1" ht="65" hidden="1" x14ac:dyDescent="0.35">
      <c r="A281" s="8">
        <v>1128</v>
      </c>
      <c r="B281" s="8" t="s">
        <v>1405</v>
      </c>
      <c r="C281" s="9" t="s">
        <v>1406</v>
      </c>
      <c r="D281" s="9" t="s">
        <v>1531</v>
      </c>
      <c r="E281" s="8" t="s">
        <v>39</v>
      </c>
      <c r="F281" s="8" t="s">
        <v>262</v>
      </c>
      <c r="G281" s="8" t="s">
        <v>225</v>
      </c>
      <c r="H281" s="8" t="s">
        <v>125</v>
      </c>
      <c r="I281" s="8" t="s">
        <v>114</v>
      </c>
      <c r="J281" s="9" t="s">
        <v>1532</v>
      </c>
      <c r="K281" s="8" t="s">
        <v>960</v>
      </c>
      <c r="L281" s="8" t="s">
        <v>276</v>
      </c>
      <c r="M281" s="8" t="s">
        <v>276</v>
      </c>
      <c r="N281" s="9" t="s">
        <v>1501</v>
      </c>
      <c r="O281" s="9" t="s">
        <v>1502</v>
      </c>
      <c r="P281" s="9" t="s">
        <v>239</v>
      </c>
      <c r="Q281" s="52">
        <v>40178</v>
      </c>
      <c r="R281" s="9">
        <v>13</v>
      </c>
      <c r="S281" s="9" t="s">
        <v>1503</v>
      </c>
      <c r="T281" s="9" t="s">
        <v>1503</v>
      </c>
      <c r="U281" s="9">
        <v>4</v>
      </c>
      <c r="V281" s="8" t="s">
        <v>14</v>
      </c>
      <c r="W281" s="8" t="s">
        <v>98</v>
      </c>
      <c r="X281" s="9" t="s">
        <v>207</v>
      </c>
      <c r="Y281" s="13">
        <v>77445</v>
      </c>
      <c r="Z281" s="38">
        <v>77456</v>
      </c>
      <c r="AA281" s="9" t="s">
        <v>276</v>
      </c>
      <c r="AB281" s="9" t="s">
        <v>276</v>
      </c>
      <c r="AC281" s="8">
        <v>22</v>
      </c>
      <c r="AD281" s="9" t="s">
        <v>1533</v>
      </c>
      <c r="AE281" s="8">
        <v>23</v>
      </c>
      <c r="AF281" s="9" t="s">
        <v>1534</v>
      </c>
      <c r="AG281" s="9" t="s">
        <v>1535</v>
      </c>
      <c r="AH281" s="9" t="s">
        <v>1507</v>
      </c>
      <c r="AI281" s="38">
        <v>142</v>
      </c>
      <c r="AJ281" s="38">
        <v>145</v>
      </c>
      <c r="AK281" s="38">
        <v>844011</v>
      </c>
      <c r="AL281" s="38">
        <v>843762</v>
      </c>
      <c r="AM281" s="38">
        <v>10000</v>
      </c>
      <c r="AN281" s="8" t="s">
        <v>276</v>
      </c>
      <c r="AO281" s="14">
        <f t="shared" ref="AO281:AO282" si="89">AI281/AK281*AM281</f>
        <v>1.6824425274078181</v>
      </c>
      <c r="AP281" s="8" t="s">
        <v>276</v>
      </c>
      <c r="AQ281" s="8" t="s">
        <v>276</v>
      </c>
      <c r="AR281" s="8" t="s">
        <v>276</v>
      </c>
      <c r="AS281" s="14">
        <f t="shared" ref="AS281:AS282" si="90">AJ281/AL281*AM281</f>
        <v>1.7184940777138575</v>
      </c>
      <c r="AT281" s="8" t="s">
        <v>276</v>
      </c>
      <c r="AU281" s="8" t="s">
        <v>276</v>
      </c>
      <c r="AV281" s="9" t="s">
        <v>269</v>
      </c>
      <c r="AW281" s="40" t="s">
        <v>276</v>
      </c>
      <c r="AX281" s="40">
        <f t="shared" ref="AX281:AX282" si="91">AO281/AS281</f>
        <v>0.97902142883494869</v>
      </c>
      <c r="AY281" s="9" t="s">
        <v>276</v>
      </c>
      <c r="AZ281" s="9" t="s">
        <v>276</v>
      </c>
      <c r="BA281" s="9" t="s">
        <v>276</v>
      </c>
      <c r="BB281" s="9" t="s">
        <v>276</v>
      </c>
      <c r="BC281" s="9" t="s">
        <v>98</v>
      </c>
      <c r="BD281" s="9" t="s">
        <v>98</v>
      </c>
      <c r="BE281" s="9" t="s">
        <v>98</v>
      </c>
      <c r="BF281" s="9" t="s">
        <v>1508</v>
      </c>
      <c r="BG281" s="9"/>
      <c r="BH281" s="9" t="s">
        <v>100</v>
      </c>
      <c r="BI281" s="9" t="s">
        <v>100</v>
      </c>
      <c r="BJ281" s="32"/>
      <c r="BK281" s="32"/>
      <c r="BO281" s="32"/>
      <c r="BP281" s="32"/>
    </row>
    <row r="282" spans="1:69" s="33" customFormat="1" ht="65" hidden="1" x14ac:dyDescent="0.35">
      <c r="A282" s="8">
        <v>1128</v>
      </c>
      <c r="B282" s="8" t="s">
        <v>1405</v>
      </c>
      <c r="C282" s="9" t="s">
        <v>1406</v>
      </c>
      <c r="D282" s="9" t="s">
        <v>1536</v>
      </c>
      <c r="E282" s="8" t="s">
        <v>39</v>
      </c>
      <c r="F282" s="8" t="s">
        <v>262</v>
      </c>
      <c r="G282" s="8" t="s">
        <v>225</v>
      </c>
      <c r="H282" s="8" t="s">
        <v>125</v>
      </c>
      <c r="I282" s="8" t="s">
        <v>114</v>
      </c>
      <c r="J282" s="9" t="s">
        <v>1532</v>
      </c>
      <c r="K282" s="8" t="s">
        <v>957</v>
      </c>
      <c r="L282" s="8" t="s">
        <v>276</v>
      </c>
      <c r="M282" s="8" t="s">
        <v>276</v>
      </c>
      <c r="N282" s="9" t="s">
        <v>1501</v>
      </c>
      <c r="O282" s="9" t="s">
        <v>1502</v>
      </c>
      <c r="P282" s="9" t="s">
        <v>239</v>
      </c>
      <c r="Q282" s="52">
        <v>40178</v>
      </c>
      <c r="R282" s="9">
        <v>13</v>
      </c>
      <c r="S282" s="9" t="s">
        <v>1537</v>
      </c>
      <c r="T282" s="9" t="s">
        <v>1537</v>
      </c>
      <c r="U282" s="9">
        <v>4</v>
      </c>
      <c r="V282" s="8" t="s">
        <v>1538</v>
      </c>
      <c r="W282" s="8" t="s">
        <v>98</v>
      </c>
      <c r="X282" s="9" t="s">
        <v>207</v>
      </c>
      <c r="Y282" s="13">
        <v>77445</v>
      </c>
      <c r="Z282" s="38">
        <v>77456</v>
      </c>
      <c r="AA282" s="9" t="s">
        <v>276</v>
      </c>
      <c r="AB282" s="9" t="s">
        <v>276</v>
      </c>
      <c r="AC282" s="8">
        <v>22</v>
      </c>
      <c r="AD282" s="9" t="s">
        <v>1533</v>
      </c>
      <c r="AE282" s="8">
        <v>23</v>
      </c>
      <c r="AF282" s="9" t="s">
        <v>1534</v>
      </c>
      <c r="AG282" s="9" t="s">
        <v>1539</v>
      </c>
      <c r="AH282" s="9" t="s">
        <v>1507</v>
      </c>
      <c r="AI282" s="38">
        <v>78</v>
      </c>
      <c r="AJ282" s="38">
        <v>74</v>
      </c>
      <c r="AK282" s="38">
        <v>844011</v>
      </c>
      <c r="AL282" s="38">
        <v>843762</v>
      </c>
      <c r="AM282" s="38">
        <v>10000</v>
      </c>
      <c r="AN282" s="8" t="s">
        <v>276</v>
      </c>
      <c r="AO282" s="14">
        <f t="shared" si="89"/>
        <v>0.92415857139302693</v>
      </c>
      <c r="AP282" s="8" t="s">
        <v>276</v>
      </c>
      <c r="AQ282" s="8" t="s">
        <v>276</v>
      </c>
      <c r="AR282" s="8" t="s">
        <v>276</v>
      </c>
      <c r="AS282" s="14">
        <f t="shared" si="90"/>
        <v>0.87702456379879634</v>
      </c>
      <c r="AT282" s="8" t="s">
        <v>276</v>
      </c>
      <c r="AU282" s="8" t="s">
        <v>276</v>
      </c>
      <c r="AV282" s="9" t="s">
        <v>269</v>
      </c>
      <c r="AW282" s="40" t="s">
        <v>276</v>
      </c>
      <c r="AX282" s="40">
        <f t="shared" si="91"/>
        <v>1.0537430871834097</v>
      </c>
      <c r="AY282" s="9" t="s">
        <v>276</v>
      </c>
      <c r="AZ282" s="9" t="s">
        <v>276</v>
      </c>
      <c r="BA282" s="9" t="s">
        <v>276</v>
      </c>
      <c r="BB282" s="9" t="s">
        <v>276</v>
      </c>
      <c r="BC282" s="9" t="s">
        <v>98</v>
      </c>
      <c r="BD282" s="9" t="s">
        <v>98</v>
      </c>
      <c r="BE282" s="9" t="s">
        <v>98</v>
      </c>
      <c r="BF282" s="9" t="s">
        <v>1508</v>
      </c>
      <c r="BG282" s="9"/>
      <c r="BH282" s="9" t="s">
        <v>100</v>
      </c>
      <c r="BI282" s="9" t="s">
        <v>100</v>
      </c>
      <c r="BJ282" s="32"/>
      <c r="BK282" s="32"/>
      <c r="BO282" s="32"/>
      <c r="BP282" s="32"/>
    </row>
    <row r="283" spans="1:69" s="33" customFormat="1" ht="65" hidden="1" x14ac:dyDescent="0.35">
      <c r="A283" s="8">
        <v>1128</v>
      </c>
      <c r="B283" s="8" t="s">
        <v>1405</v>
      </c>
      <c r="C283" s="9" t="s">
        <v>1406</v>
      </c>
      <c r="D283" s="9" t="s">
        <v>1540</v>
      </c>
      <c r="E283" s="8" t="s">
        <v>39</v>
      </c>
      <c r="F283" s="8" t="s">
        <v>262</v>
      </c>
      <c r="G283" s="8" t="s">
        <v>225</v>
      </c>
      <c r="H283" s="8" t="s">
        <v>125</v>
      </c>
      <c r="I283" s="8" t="s">
        <v>114</v>
      </c>
      <c r="J283" s="9" t="s">
        <v>25</v>
      </c>
      <c r="K283" s="8" t="s">
        <v>1513</v>
      </c>
      <c r="L283" s="8" t="s">
        <v>1500</v>
      </c>
      <c r="M283" s="8" t="s">
        <v>276</v>
      </c>
      <c r="N283" s="9" t="s">
        <v>1501</v>
      </c>
      <c r="O283" s="9" t="s">
        <v>1502</v>
      </c>
      <c r="P283" s="9" t="s">
        <v>235</v>
      </c>
      <c r="Q283" s="52">
        <v>40178</v>
      </c>
      <c r="R283" s="9">
        <v>13</v>
      </c>
      <c r="S283" s="9" t="s">
        <v>1503</v>
      </c>
      <c r="T283" s="9" t="s">
        <v>1503</v>
      </c>
      <c r="U283" s="9">
        <v>4</v>
      </c>
      <c r="V283" s="8" t="s">
        <v>14</v>
      </c>
      <c r="W283" s="8" t="s">
        <v>98</v>
      </c>
      <c r="X283" s="9" t="s">
        <v>207</v>
      </c>
      <c r="Y283" s="9" t="s">
        <v>98</v>
      </c>
      <c r="Z283" s="9" t="s">
        <v>98</v>
      </c>
      <c r="AA283" s="9" t="s">
        <v>276</v>
      </c>
      <c r="AB283" s="9" t="s">
        <v>276</v>
      </c>
      <c r="AC283" s="8">
        <v>20</v>
      </c>
      <c r="AD283" s="9" t="s">
        <v>1504</v>
      </c>
      <c r="AE283" s="8">
        <v>11</v>
      </c>
      <c r="AF283" s="9" t="s">
        <v>1505</v>
      </c>
      <c r="AG283" s="9" t="s">
        <v>1514</v>
      </c>
      <c r="AH283" s="9" t="s">
        <v>1541</v>
      </c>
      <c r="AI283" s="38">
        <v>359</v>
      </c>
      <c r="AJ283" s="38">
        <v>365</v>
      </c>
      <c r="AK283" s="38">
        <v>1454</v>
      </c>
      <c r="AL283" s="38">
        <v>1378</v>
      </c>
      <c r="AM283" s="38" t="s">
        <v>292</v>
      </c>
      <c r="AN283" s="8" t="s">
        <v>276</v>
      </c>
      <c r="AO283" s="14">
        <f>AI283/AK283*100</f>
        <v>24.690508940852819</v>
      </c>
      <c r="AP283" s="8" t="s">
        <v>276</v>
      </c>
      <c r="AQ283" s="8" t="s">
        <v>276</v>
      </c>
      <c r="AR283" s="8" t="s">
        <v>276</v>
      </c>
      <c r="AS283" s="14">
        <f>AJ283/AL283*100</f>
        <v>26.487663280116109</v>
      </c>
      <c r="AT283" s="8" t="s">
        <v>276</v>
      </c>
      <c r="AU283" s="8" t="s">
        <v>276</v>
      </c>
      <c r="AV283" s="9" t="s">
        <v>268</v>
      </c>
      <c r="AW283" s="40" t="s">
        <v>276</v>
      </c>
      <c r="AX283" s="40">
        <f>AO283/AS283</f>
        <v>0.93215126905466261</v>
      </c>
      <c r="AY283" s="40" t="s">
        <v>276</v>
      </c>
      <c r="AZ283" s="40" t="s">
        <v>276</v>
      </c>
      <c r="BA283" s="40" t="s">
        <v>276</v>
      </c>
      <c r="BB283" s="9" t="s">
        <v>98</v>
      </c>
      <c r="BC283" s="9" t="s">
        <v>98</v>
      </c>
      <c r="BD283" s="9" t="s">
        <v>98</v>
      </c>
      <c r="BE283" s="9" t="s">
        <v>98</v>
      </c>
      <c r="BF283" s="9" t="s">
        <v>298</v>
      </c>
      <c r="BG283" s="9"/>
      <c r="BH283" s="9" t="s">
        <v>100</v>
      </c>
      <c r="BI283" s="9" t="s">
        <v>100</v>
      </c>
      <c r="BJ283" s="32"/>
      <c r="BK283" s="32"/>
      <c r="BO283" s="32"/>
      <c r="BP283" s="32"/>
    </row>
    <row r="284" spans="1:69" s="33" customFormat="1" ht="65" hidden="1" x14ac:dyDescent="0.35">
      <c r="A284" s="8">
        <v>1128</v>
      </c>
      <c r="B284" s="8" t="s">
        <v>1405</v>
      </c>
      <c r="C284" s="9" t="s">
        <v>1406</v>
      </c>
      <c r="D284" s="9" t="s">
        <v>1542</v>
      </c>
      <c r="E284" s="8" t="s">
        <v>39</v>
      </c>
      <c r="F284" s="8" t="s">
        <v>262</v>
      </c>
      <c r="G284" s="8" t="s">
        <v>225</v>
      </c>
      <c r="H284" s="8" t="s">
        <v>125</v>
      </c>
      <c r="I284" s="8" t="s">
        <v>114</v>
      </c>
      <c r="J284" s="9" t="s">
        <v>25</v>
      </c>
      <c r="K284" s="8" t="s">
        <v>1516</v>
      </c>
      <c r="L284" s="8" t="s">
        <v>1500</v>
      </c>
      <c r="M284" s="8" t="s">
        <v>276</v>
      </c>
      <c r="N284" s="9" t="s">
        <v>1501</v>
      </c>
      <c r="O284" s="9" t="s">
        <v>1502</v>
      </c>
      <c r="P284" s="9" t="s">
        <v>235</v>
      </c>
      <c r="Q284" s="52">
        <v>40178</v>
      </c>
      <c r="R284" s="9">
        <v>13</v>
      </c>
      <c r="S284" s="9" t="s">
        <v>1503</v>
      </c>
      <c r="T284" s="9" t="s">
        <v>1503</v>
      </c>
      <c r="U284" s="9">
        <v>4</v>
      </c>
      <c r="V284" s="8" t="s">
        <v>14</v>
      </c>
      <c r="W284" s="8" t="s">
        <v>98</v>
      </c>
      <c r="X284" s="9" t="s">
        <v>207</v>
      </c>
      <c r="Y284" s="9" t="s">
        <v>98</v>
      </c>
      <c r="Z284" s="9" t="s">
        <v>98</v>
      </c>
      <c r="AA284" s="9" t="s">
        <v>276</v>
      </c>
      <c r="AB284" s="9" t="s">
        <v>276</v>
      </c>
      <c r="AC284" s="8">
        <v>20</v>
      </c>
      <c r="AD284" s="9" t="s">
        <v>1504</v>
      </c>
      <c r="AE284" s="8">
        <v>11</v>
      </c>
      <c r="AF284" s="9" t="s">
        <v>1505</v>
      </c>
      <c r="AG284" s="9" t="s">
        <v>1517</v>
      </c>
      <c r="AH284" s="9" t="s">
        <v>1541</v>
      </c>
      <c r="AI284" s="38">
        <v>514</v>
      </c>
      <c r="AJ284" s="38">
        <v>530</v>
      </c>
      <c r="AK284" s="38">
        <v>1454</v>
      </c>
      <c r="AL284" s="38">
        <v>1378</v>
      </c>
      <c r="AM284" s="38" t="s">
        <v>292</v>
      </c>
      <c r="AN284" s="8" t="s">
        <v>276</v>
      </c>
      <c r="AO284" s="14">
        <f t="shared" ref="AO284:AO285" si="92">AI284/AK284*100</f>
        <v>35.350756533700142</v>
      </c>
      <c r="AP284" s="8" t="s">
        <v>276</v>
      </c>
      <c r="AQ284" s="8" t="s">
        <v>276</v>
      </c>
      <c r="AR284" s="8" t="s">
        <v>276</v>
      </c>
      <c r="AS284" s="14">
        <f t="shared" ref="AS284:AS285" si="93">AJ284/AL284*100</f>
        <v>38.461538461538467</v>
      </c>
      <c r="AT284" s="8" t="s">
        <v>276</v>
      </c>
      <c r="AU284" s="8" t="s">
        <v>276</v>
      </c>
      <c r="AV284" s="9" t="s">
        <v>268</v>
      </c>
      <c r="AW284" s="40" t="s">
        <v>276</v>
      </c>
      <c r="AX284" s="40">
        <f>AO284/AS284</f>
        <v>0.91911966987620353</v>
      </c>
      <c r="AY284" s="40" t="s">
        <v>276</v>
      </c>
      <c r="AZ284" s="40" t="s">
        <v>276</v>
      </c>
      <c r="BA284" s="40" t="s">
        <v>276</v>
      </c>
      <c r="BB284" s="9" t="s">
        <v>98</v>
      </c>
      <c r="BC284" s="9" t="s">
        <v>98</v>
      </c>
      <c r="BD284" s="9" t="s">
        <v>98</v>
      </c>
      <c r="BE284" s="9" t="s">
        <v>98</v>
      </c>
      <c r="BF284" s="9" t="s">
        <v>298</v>
      </c>
      <c r="BG284" s="9"/>
      <c r="BH284" s="9" t="s">
        <v>100</v>
      </c>
      <c r="BI284" s="9" t="s">
        <v>100</v>
      </c>
      <c r="BJ284" s="32"/>
      <c r="BK284" s="32"/>
      <c r="BO284" s="32"/>
      <c r="BP284" s="32"/>
    </row>
    <row r="285" spans="1:69" s="33" customFormat="1" ht="65" hidden="1" x14ac:dyDescent="0.35">
      <c r="A285" s="8">
        <v>1128</v>
      </c>
      <c r="B285" s="8" t="s">
        <v>1405</v>
      </c>
      <c r="C285" s="9" t="s">
        <v>1406</v>
      </c>
      <c r="D285" s="9" t="s">
        <v>1543</v>
      </c>
      <c r="E285" s="8" t="s">
        <v>39</v>
      </c>
      <c r="F285" s="8" t="s">
        <v>262</v>
      </c>
      <c r="G285" s="8" t="s">
        <v>225</v>
      </c>
      <c r="H285" s="8" t="s">
        <v>125</v>
      </c>
      <c r="I285" s="8" t="s">
        <v>114</v>
      </c>
      <c r="J285" s="9" t="s">
        <v>1532</v>
      </c>
      <c r="K285" s="8" t="s">
        <v>960</v>
      </c>
      <c r="L285" s="8" t="s">
        <v>276</v>
      </c>
      <c r="M285" s="8" t="s">
        <v>276</v>
      </c>
      <c r="N285" s="9" t="s">
        <v>1501</v>
      </c>
      <c r="O285" s="9" t="s">
        <v>1502</v>
      </c>
      <c r="P285" s="9" t="s">
        <v>235</v>
      </c>
      <c r="Q285" s="52">
        <v>40178</v>
      </c>
      <c r="R285" s="9">
        <v>13</v>
      </c>
      <c r="S285" s="9" t="s">
        <v>1503</v>
      </c>
      <c r="T285" s="9" t="s">
        <v>1503</v>
      </c>
      <c r="U285" s="9">
        <v>4</v>
      </c>
      <c r="V285" s="8" t="s">
        <v>14</v>
      </c>
      <c r="W285" s="8" t="s">
        <v>98</v>
      </c>
      <c r="X285" s="9" t="s">
        <v>207</v>
      </c>
      <c r="Y285" s="9" t="s">
        <v>98</v>
      </c>
      <c r="Z285" s="9" t="s">
        <v>98</v>
      </c>
      <c r="AA285" s="9" t="s">
        <v>276</v>
      </c>
      <c r="AB285" s="9" t="s">
        <v>276</v>
      </c>
      <c r="AC285" s="8">
        <v>22</v>
      </c>
      <c r="AD285" s="9" t="s">
        <v>1533</v>
      </c>
      <c r="AE285" s="8">
        <v>23</v>
      </c>
      <c r="AF285" s="9" t="s">
        <v>1534</v>
      </c>
      <c r="AG285" s="9" t="s">
        <v>1535</v>
      </c>
      <c r="AH285" s="9" t="s">
        <v>1544</v>
      </c>
      <c r="AI285" s="38">
        <v>142</v>
      </c>
      <c r="AJ285" s="38">
        <v>145</v>
      </c>
      <c r="AK285" s="38">
        <v>229</v>
      </c>
      <c r="AL285" s="38">
        <v>235</v>
      </c>
      <c r="AM285" s="38" t="s">
        <v>292</v>
      </c>
      <c r="AN285" s="8" t="s">
        <v>276</v>
      </c>
      <c r="AO285" s="14">
        <f t="shared" si="92"/>
        <v>62.008733624454152</v>
      </c>
      <c r="AP285" s="8" t="s">
        <v>276</v>
      </c>
      <c r="AQ285" s="8" t="s">
        <v>276</v>
      </c>
      <c r="AR285" s="8" t="s">
        <v>276</v>
      </c>
      <c r="AS285" s="14">
        <f t="shared" si="93"/>
        <v>61.702127659574465</v>
      </c>
      <c r="AT285" s="8" t="s">
        <v>276</v>
      </c>
      <c r="AU285" s="8" t="s">
        <v>276</v>
      </c>
      <c r="AV285" s="9" t="s">
        <v>268</v>
      </c>
      <c r="AW285" s="40" t="s">
        <v>276</v>
      </c>
      <c r="AX285" s="40">
        <f>AO285/AS285</f>
        <v>1.0049691311549467</v>
      </c>
      <c r="AY285" s="40" t="s">
        <v>276</v>
      </c>
      <c r="AZ285" s="40" t="s">
        <v>276</v>
      </c>
      <c r="BA285" s="40" t="s">
        <v>276</v>
      </c>
      <c r="BB285" s="9" t="s">
        <v>98</v>
      </c>
      <c r="BC285" s="9" t="s">
        <v>98</v>
      </c>
      <c r="BD285" s="9" t="s">
        <v>98</v>
      </c>
      <c r="BE285" s="9" t="s">
        <v>98</v>
      </c>
      <c r="BF285" s="9" t="s">
        <v>298</v>
      </c>
      <c r="BG285" s="9"/>
      <c r="BH285" s="9" t="s">
        <v>100</v>
      </c>
      <c r="BI285" s="9" t="s">
        <v>100</v>
      </c>
      <c r="BJ285" s="32"/>
      <c r="BK285" s="32"/>
      <c r="BO285" s="32"/>
      <c r="BP285" s="32"/>
    </row>
    <row r="286" spans="1:69" s="33" customFormat="1" ht="130" x14ac:dyDescent="0.35">
      <c r="A286" s="8">
        <v>1128</v>
      </c>
      <c r="B286" s="8" t="s">
        <v>1405</v>
      </c>
      <c r="C286" s="9" t="s">
        <v>1406</v>
      </c>
      <c r="D286" s="9" t="s">
        <v>1545</v>
      </c>
      <c r="E286" s="8" t="s">
        <v>39</v>
      </c>
      <c r="F286" s="8" t="s">
        <v>262</v>
      </c>
      <c r="G286" s="8" t="s">
        <v>225</v>
      </c>
      <c r="H286" s="8" t="s">
        <v>225</v>
      </c>
      <c r="I286" s="8" t="s">
        <v>98</v>
      </c>
      <c r="J286" s="9" t="s">
        <v>98</v>
      </c>
      <c r="K286" s="8" t="s">
        <v>98</v>
      </c>
      <c r="L286" s="8" t="s">
        <v>276</v>
      </c>
      <c r="M286" s="8" t="s">
        <v>276</v>
      </c>
      <c r="N286" s="9" t="s">
        <v>1546</v>
      </c>
      <c r="O286" s="9" t="s">
        <v>1502</v>
      </c>
      <c r="P286" s="9" t="s">
        <v>236</v>
      </c>
      <c r="Q286" s="52">
        <v>40178</v>
      </c>
      <c r="R286" s="9">
        <v>13</v>
      </c>
      <c r="S286" s="9" t="s">
        <v>1503</v>
      </c>
      <c r="T286" s="9" t="s">
        <v>1547</v>
      </c>
      <c r="U286" s="9">
        <v>4</v>
      </c>
      <c r="V286" s="8" t="s">
        <v>14</v>
      </c>
      <c r="W286" s="8" t="s">
        <v>98</v>
      </c>
      <c r="X286" s="9" t="s">
        <v>209</v>
      </c>
      <c r="Y286" s="9" t="s">
        <v>98</v>
      </c>
      <c r="Z286" s="9" t="s">
        <v>98</v>
      </c>
      <c r="AA286" s="9" t="s">
        <v>276</v>
      </c>
      <c r="AB286" s="9" t="s">
        <v>98</v>
      </c>
      <c r="AC286" s="8" t="s">
        <v>276</v>
      </c>
      <c r="AD286" s="8" t="s">
        <v>276</v>
      </c>
      <c r="AE286" s="9" t="s">
        <v>98</v>
      </c>
      <c r="AF286" s="9" t="s">
        <v>98</v>
      </c>
      <c r="AG286" s="9" t="s">
        <v>1548</v>
      </c>
      <c r="AH286" s="9" t="s">
        <v>1549</v>
      </c>
      <c r="AI286" s="38">
        <v>307</v>
      </c>
      <c r="AJ286" s="38" t="s">
        <v>98</v>
      </c>
      <c r="AK286" s="38">
        <v>1696</v>
      </c>
      <c r="AL286" s="38" t="s">
        <v>98</v>
      </c>
      <c r="AM286" s="38" t="s">
        <v>292</v>
      </c>
      <c r="AN286" s="61">
        <v>0.18</v>
      </c>
      <c r="AO286" s="14">
        <f>AI286/AK286*100</f>
        <v>18.101415094339622</v>
      </c>
      <c r="AP286" s="8" t="s">
        <v>276</v>
      </c>
      <c r="AQ286" s="8" t="s">
        <v>276</v>
      </c>
      <c r="AR286" s="8" t="s">
        <v>98</v>
      </c>
      <c r="AS286" s="14" t="s">
        <v>98</v>
      </c>
      <c r="AT286" s="8" t="s">
        <v>98</v>
      </c>
      <c r="AU286" s="8" t="s">
        <v>98</v>
      </c>
      <c r="AV286" s="9" t="s">
        <v>98</v>
      </c>
      <c r="AW286" s="40" t="s">
        <v>98</v>
      </c>
      <c r="AX286" s="40" t="s">
        <v>98</v>
      </c>
      <c r="AY286" s="40" t="s">
        <v>98</v>
      </c>
      <c r="AZ286" s="40" t="s">
        <v>98</v>
      </c>
      <c r="BA286" s="40" t="s">
        <v>98</v>
      </c>
      <c r="BB286" s="40" t="s">
        <v>98</v>
      </c>
      <c r="BC286" s="40" t="s">
        <v>98</v>
      </c>
      <c r="BD286" s="40" t="s">
        <v>98</v>
      </c>
      <c r="BE286" s="40" t="s">
        <v>98</v>
      </c>
      <c r="BF286" s="9" t="s">
        <v>1550</v>
      </c>
      <c r="BG286" s="9" t="s">
        <v>1551</v>
      </c>
      <c r="BH286" s="9" t="s">
        <v>99</v>
      </c>
      <c r="BI286" s="9" t="s">
        <v>100</v>
      </c>
      <c r="BJ286" s="32"/>
      <c r="BK286" s="32"/>
      <c r="BO286" s="32"/>
      <c r="BP286" s="32"/>
    </row>
    <row r="287" spans="1:69" s="33" customFormat="1" ht="130" hidden="1" x14ac:dyDescent="0.35">
      <c r="A287" s="8">
        <v>1128</v>
      </c>
      <c r="B287" s="8" t="s">
        <v>1405</v>
      </c>
      <c r="C287" s="9" t="s">
        <v>1406</v>
      </c>
      <c r="D287" s="9" t="s">
        <v>1552</v>
      </c>
      <c r="E287" s="8" t="s">
        <v>39</v>
      </c>
      <c r="F287" s="8" t="s">
        <v>262</v>
      </c>
      <c r="G287" s="8" t="s">
        <v>225</v>
      </c>
      <c r="H287" s="8" t="s">
        <v>225</v>
      </c>
      <c r="I287" s="8" t="s">
        <v>98</v>
      </c>
      <c r="J287" s="9" t="s">
        <v>98</v>
      </c>
      <c r="K287" s="8" t="s">
        <v>98</v>
      </c>
      <c r="L287" s="8" t="s">
        <v>276</v>
      </c>
      <c r="M287" s="8" t="s">
        <v>276</v>
      </c>
      <c r="N287" s="9" t="s">
        <v>1553</v>
      </c>
      <c r="O287" s="9" t="s">
        <v>276</v>
      </c>
      <c r="P287" s="9" t="s">
        <v>238</v>
      </c>
      <c r="Q287" s="52" t="s">
        <v>276</v>
      </c>
      <c r="R287" s="9">
        <v>4</v>
      </c>
      <c r="S287" s="9" t="s">
        <v>276</v>
      </c>
      <c r="T287" s="9" t="s">
        <v>98</v>
      </c>
      <c r="U287" s="9">
        <v>4</v>
      </c>
      <c r="V287" s="8" t="s">
        <v>14</v>
      </c>
      <c r="W287" s="8" t="s">
        <v>98</v>
      </c>
      <c r="X287" s="9" t="s">
        <v>209</v>
      </c>
      <c r="Y287" s="13">
        <v>77445</v>
      </c>
      <c r="Z287" s="38" t="s">
        <v>98</v>
      </c>
      <c r="AA287" s="9" t="s">
        <v>276</v>
      </c>
      <c r="AB287" s="9" t="s">
        <v>98</v>
      </c>
      <c r="AC287" s="8" t="s">
        <v>276</v>
      </c>
      <c r="AD287" s="8" t="s">
        <v>276</v>
      </c>
      <c r="AE287" s="9" t="s">
        <v>98</v>
      </c>
      <c r="AF287" s="9" t="s">
        <v>98</v>
      </c>
      <c r="AG287" s="9" t="s">
        <v>1548</v>
      </c>
      <c r="AH287" s="9" t="s">
        <v>1554</v>
      </c>
      <c r="AI287" s="38">
        <v>307</v>
      </c>
      <c r="AJ287" s="38" t="s">
        <v>98</v>
      </c>
      <c r="AK287" s="38">
        <v>77445</v>
      </c>
      <c r="AL287" s="38" t="s">
        <v>98</v>
      </c>
      <c r="AM287" s="38">
        <v>1000</v>
      </c>
      <c r="AN287" s="61" t="s">
        <v>276</v>
      </c>
      <c r="AO287" s="14">
        <f>AI287/AK287*1000</f>
        <v>3.9641035573632903</v>
      </c>
      <c r="AP287" s="8" t="s">
        <v>276</v>
      </c>
      <c r="AQ287" s="8" t="s">
        <v>276</v>
      </c>
      <c r="AR287" s="8" t="s">
        <v>98</v>
      </c>
      <c r="AS287" s="14" t="s">
        <v>98</v>
      </c>
      <c r="AT287" s="8" t="s">
        <v>98</v>
      </c>
      <c r="AU287" s="8" t="s">
        <v>98</v>
      </c>
      <c r="AV287" s="9" t="s">
        <v>98</v>
      </c>
      <c r="AW287" s="40" t="s">
        <v>98</v>
      </c>
      <c r="AX287" s="40" t="s">
        <v>98</v>
      </c>
      <c r="AY287" s="40" t="s">
        <v>98</v>
      </c>
      <c r="AZ287" s="40" t="s">
        <v>98</v>
      </c>
      <c r="BA287" s="40" t="s">
        <v>98</v>
      </c>
      <c r="BB287" s="40" t="s">
        <v>98</v>
      </c>
      <c r="BC287" s="40" t="s">
        <v>98</v>
      </c>
      <c r="BD287" s="40" t="s">
        <v>98</v>
      </c>
      <c r="BE287" s="40" t="s">
        <v>98</v>
      </c>
      <c r="BF287" s="9" t="s">
        <v>1550</v>
      </c>
      <c r="BG287" s="9" t="s">
        <v>1551</v>
      </c>
      <c r="BH287" s="9" t="s">
        <v>100</v>
      </c>
      <c r="BI287" s="9" t="s">
        <v>100</v>
      </c>
      <c r="BJ287" s="32"/>
      <c r="BK287" s="32"/>
      <c r="BO287" s="32"/>
      <c r="BP287" s="32"/>
    </row>
    <row r="288" spans="1:69" s="6" customFormat="1" ht="65" hidden="1" x14ac:dyDescent="0.35">
      <c r="A288" s="8">
        <v>1583</v>
      </c>
      <c r="B288" s="8" t="s">
        <v>1555</v>
      </c>
      <c r="C288" s="9" t="s">
        <v>1556</v>
      </c>
      <c r="D288" s="9" t="s">
        <v>1877</v>
      </c>
      <c r="E288" s="8" t="s">
        <v>43</v>
      </c>
      <c r="F288" s="8" t="s">
        <v>139</v>
      </c>
      <c r="G288" s="8" t="s">
        <v>225</v>
      </c>
      <c r="H288" s="8" t="s">
        <v>125</v>
      </c>
      <c r="I288" s="8" t="s">
        <v>114</v>
      </c>
      <c r="J288" s="9" t="s">
        <v>25</v>
      </c>
      <c r="K288" s="2" t="s">
        <v>1499</v>
      </c>
      <c r="L288" s="2" t="s">
        <v>1699</v>
      </c>
      <c r="M288" s="2" t="s">
        <v>276</v>
      </c>
      <c r="N288" s="10" t="s">
        <v>1700</v>
      </c>
      <c r="O288" s="10" t="s">
        <v>1701</v>
      </c>
      <c r="P288" s="9" t="s">
        <v>239</v>
      </c>
      <c r="Q288" s="36" t="s">
        <v>98</v>
      </c>
      <c r="R288" s="10">
        <v>10</v>
      </c>
      <c r="S288" s="9" t="s">
        <v>1702</v>
      </c>
      <c r="T288" s="9" t="s">
        <v>1702</v>
      </c>
      <c r="U288" s="9">
        <v>6</v>
      </c>
      <c r="V288" s="8" t="s">
        <v>14</v>
      </c>
      <c r="W288" s="2" t="s">
        <v>98</v>
      </c>
      <c r="X288" s="10" t="s">
        <v>207</v>
      </c>
      <c r="Y288" s="13">
        <v>38343</v>
      </c>
      <c r="Z288" s="10">
        <v>38350</v>
      </c>
      <c r="AA288" s="10" t="s">
        <v>276</v>
      </c>
      <c r="AB288" s="10" t="s">
        <v>276</v>
      </c>
      <c r="AC288" s="34">
        <v>15</v>
      </c>
      <c r="AD288" s="9" t="s">
        <v>968</v>
      </c>
      <c r="AE288" s="34">
        <v>34</v>
      </c>
      <c r="AF288" s="9" t="s">
        <v>968</v>
      </c>
      <c r="AG288" s="9" t="s">
        <v>1703</v>
      </c>
      <c r="AH288" s="9" t="s">
        <v>1704</v>
      </c>
      <c r="AI288" s="34">
        <v>18</v>
      </c>
      <c r="AJ288" s="34">
        <v>15</v>
      </c>
      <c r="AK288" s="13">
        <v>38343</v>
      </c>
      <c r="AL288" s="13">
        <v>38350</v>
      </c>
      <c r="AM288" s="38">
        <v>1</v>
      </c>
      <c r="AN288" s="8" t="s">
        <v>276</v>
      </c>
      <c r="AO288" s="66">
        <f>AI288/AK288*AM288</f>
        <v>4.6944683514591975E-4</v>
      </c>
      <c r="AP288" s="8" t="s">
        <v>276</v>
      </c>
      <c r="AQ288" s="8" t="s">
        <v>276</v>
      </c>
      <c r="AR288" s="8" t="s">
        <v>276</v>
      </c>
      <c r="AS288" s="66">
        <f t="shared" ref="AS288:AS297" si="94">AJ288/AL288*AM288</f>
        <v>3.9113428943937417E-4</v>
      </c>
      <c r="AT288" s="8" t="s">
        <v>276</v>
      </c>
      <c r="AU288" s="8" t="s">
        <v>276</v>
      </c>
      <c r="AV288" s="9" t="s">
        <v>268</v>
      </c>
      <c r="AW288" s="35" t="s">
        <v>276</v>
      </c>
      <c r="AX288" s="35">
        <f>AO288/AS288</f>
        <v>1.2002190751897348</v>
      </c>
      <c r="AY288" s="10" t="s">
        <v>276</v>
      </c>
      <c r="AZ288" s="10" t="s">
        <v>276</v>
      </c>
      <c r="BA288" s="10" t="s">
        <v>276</v>
      </c>
      <c r="BB288" s="10" t="s">
        <v>276</v>
      </c>
      <c r="BC288" s="10" t="s">
        <v>98</v>
      </c>
      <c r="BD288" s="10" t="s">
        <v>98</v>
      </c>
      <c r="BE288" s="10" t="s">
        <v>98</v>
      </c>
      <c r="BF288" s="9" t="s">
        <v>298</v>
      </c>
      <c r="BG288" s="9"/>
      <c r="BH288" s="9" t="s">
        <v>100</v>
      </c>
      <c r="BI288" s="9" t="s">
        <v>100</v>
      </c>
      <c r="BJ288" s="32"/>
      <c r="BK288" s="32"/>
      <c r="BL288" s="33"/>
      <c r="BM288" s="33"/>
      <c r="BN288" s="33"/>
      <c r="BO288" s="32"/>
      <c r="BP288" s="32"/>
      <c r="BQ288" s="33"/>
    </row>
    <row r="289" spans="1:69" s="6" customFormat="1" ht="65" hidden="1" x14ac:dyDescent="0.35">
      <c r="A289" s="8">
        <v>1583</v>
      </c>
      <c r="B289" s="8" t="s">
        <v>1555</v>
      </c>
      <c r="C289" s="9" t="s">
        <v>1556</v>
      </c>
      <c r="D289" s="9" t="s">
        <v>1878</v>
      </c>
      <c r="E289" s="8" t="s">
        <v>43</v>
      </c>
      <c r="F289" s="8" t="s">
        <v>139</v>
      </c>
      <c r="G289" s="8" t="s">
        <v>225</v>
      </c>
      <c r="H289" s="8" t="s">
        <v>125</v>
      </c>
      <c r="I289" s="8" t="s">
        <v>114</v>
      </c>
      <c r="J289" s="9" t="s">
        <v>25</v>
      </c>
      <c r="K289" s="2" t="s">
        <v>1510</v>
      </c>
      <c r="L289" s="2" t="s">
        <v>1699</v>
      </c>
      <c r="M289" s="2" t="s">
        <v>276</v>
      </c>
      <c r="N289" s="10" t="s">
        <v>1700</v>
      </c>
      <c r="O289" s="10" t="s">
        <v>1701</v>
      </c>
      <c r="P289" s="9" t="s">
        <v>239</v>
      </c>
      <c r="Q289" s="36" t="s">
        <v>98</v>
      </c>
      <c r="R289" s="10">
        <v>10</v>
      </c>
      <c r="S289" s="9" t="s">
        <v>1702</v>
      </c>
      <c r="T289" s="9" t="s">
        <v>1702</v>
      </c>
      <c r="U289" s="9">
        <v>6</v>
      </c>
      <c r="V289" s="8" t="s">
        <v>14</v>
      </c>
      <c r="W289" s="2" t="s">
        <v>98</v>
      </c>
      <c r="X289" s="10" t="s">
        <v>207</v>
      </c>
      <c r="Y289" s="13">
        <v>38343</v>
      </c>
      <c r="Z289" s="10">
        <v>38350</v>
      </c>
      <c r="AA289" s="10" t="s">
        <v>276</v>
      </c>
      <c r="AB289" s="10" t="s">
        <v>276</v>
      </c>
      <c r="AC289" s="34">
        <v>15</v>
      </c>
      <c r="AD289" s="9" t="s">
        <v>968</v>
      </c>
      <c r="AE289" s="34">
        <v>34</v>
      </c>
      <c r="AF289" s="9" t="s">
        <v>968</v>
      </c>
      <c r="AG289" s="9" t="s">
        <v>1705</v>
      </c>
      <c r="AH289" s="9" t="s">
        <v>1704</v>
      </c>
      <c r="AI289" s="34">
        <v>3297</v>
      </c>
      <c r="AJ289" s="34">
        <v>2790</v>
      </c>
      <c r="AK289" s="13">
        <v>38343</v>
      </c>
      <c r="AL289" s="13">
        <v>38350</v>
      </c>
      <c r="AM289" s="38">
        <v>1</v>
      </c>
      <c r="AN289" s="8" t="s">
        <v>276</v>
      </c>
      <c r="AO289" s="66">
        <f t="shared" ref="AO289:AO297" si="95">AI289/AK289*AM289</f>
        <v>8.5987011970894298E-2</v>
      </c>
      <c r="AP289" s="8" t="s">
        <v>276</v>
      </c>
      <c r="AQ289" s="8" t="s">
        <v>276</v>
      </c>
      <c r="AR289" s="8" t="s">
        <v>276</v>
      </c>
      <c r="AS289" s="66">
        <f t="shared" si="94"/>
        <v>7.2750977835723596E-2</v>
      </c>
      <c r="AT289" s="8" t="s">
        <v>276</v>
      </c>
      <c r="AU289" s="8" t="s">
        <v>276</v>
      </c>
      <c r="AV289" s="9" t="s">
        <v>268</v>
      </c>
      <c r="AW289" s="35" t="s">
        <v>276</v>
      </c>
      <c r="AX289" s="35">
        <f t="shared" ref="AX289:AX297" si="96">AO289/AS289</f>
        <v>1.181936168130393</v>
      </c>
      <c r="AY289" s="10" t="s">
        <v>276</v>
      </c>
      <c r="AZ289" s="10" t="s">
        <v>276</v>
      </c>
      <c r="BA289" s="10" t="s">
        <v>276</v>
      </c>
      <c r="BB289" s="10" t="s">
        <v>276</v>
      </c>
      <c r="BC289" s="10" t="s">
        <v>98</v>
      </c>
      <c r="BD289" s="10" t="s">
        <v>98</v>
      </c>
      <c r="BE289" s="10" t="s">
        <v>98</v>
      </c>
      <c r="BF289" s="9" t="s">
        <v>298</v>
      </c>
      <c r="BG289" s="9"/>
      <c r="BH289" s="9" t="s">
        <v>100</v>
      </c>
      <c r="BI289" s="9" t="s">
        <v>100</v>
      </c>
      <c r="BJ289" s="32"/>
      <c r="BK289" s="32"/>
      <c r="BL289" s="33"/>
      <c r="BM289" s="33"/>
      <c r="BN289" s="33"/>
      <c r="BO289" s="32"/>
      <c r="BP289" s="32"/>
      <c r="BQ289" s="33"/>
    </row>
    <row r="290" spans="1:69" s="6" customFormat="1" ht="65" hidden="1" x14ac:dyDescent="0.35">
      <c r="A290" s="8">
        <v>1583</v>
      </c>
      <c r="B290" s="8" t="s">
        <v>1555</v>
      </c>
      <c r="C290" s="9" t="s">
        <v>1556</v>
      </c>
      <c r="D290" s="9" t="s">
        <v>1879</v>
      </c>
      <c r="E290" s="8" t="s">
        <v>43</v>
      </c>
      <c r="F290" s="8" t="s">
        <v>139</v>
      </c>
      <c r="G290" s="8" t="s">
        <v>225</v>
      </c>
      <c r="H290" s="8" t="s">
        <v>125</v>
      </c>
      <c r="I290" s="8" t="s">
        <v>114</v>
      </c>
      <c r="J290" s="9" t="s">
        <v>25</v>
      </c>
      <c r="K290" s="2" t="s">
        <v>1513</v>
      </c>
      <c r="L290" s="2" t="s">
        <v>1699</v>
      </c>
      <c r="M290" s="2" t="s">
        <v>276</v>
      </c>
      <c r="N290" s="10" t="s">
        <v>1700</v>
      </c>
      <c r="O290" s="10" t="s">
        <v>1701</v>
      </c>
      <c r="P290" s="9" t="s">
        <v>239</v>
      </c>
      <c r="Q290" s="36" t="s">
        <v>98</v>
      </c>
      <c r="R290" s="10">
        <v>10</v>
      </c>
      <c r="S290" s="9" t="s">
        <v>1702</v>
      </c>
      <c r="T290" s="9" t="s">
        <v>1702</v>
      </c>
      <c r="U290" s="9">
        <v>6</v>
      </c>
      <c r="V290" s="8" t="s">
        <v>14</v>
      </c>
      <c r="W290" s="2" t="s">
        <v>98</v>
      </c>
      <c r="X290" s="10" t="s">
        <v>207</v>
      </c>
      <c r="Y290" s="13">
        <v>38343</v>
      </c>
      <c r="Z290" s="10">
        <v>38350</v>
      </c>
      <c r="AA290" s="10" t="s">
        <v>276</v>
      </c>
      <c r="AB290" s="10" t="s">
        <v>276</v>
      </c>
      <c r="AC290" s="34">
        <v>15</v>
      </c>
      <c r="AD290" s="9" t="s">
        <v>968</v>
      </c>
      <c r="AE290" s="34">
        <v>34</v>
      </c>
      <c r="AF290" s="9" t="s">
        <v>968</v>
      </c>
      <c r="AG290" s="9" t="s">
        <v>1706</v>
      </c>
      <c r="AH290" s="9" t="s">
        <v>1704</v>
      </c>
      <c r="AI290" s="34">
        <v>49</v>
      </c>
      <c r="AJ290" s="34">
        <v>56</v>
      </c>
      <c r="AK290" s="13">
        <v>38343</v>
      </c>
      <c r="AL290" s="13">
        <v>38350</v>
      </c>
      <c r="AM290" s="38">
        <v>1</v>
      </c>
      <c r="AN290" s="8" t="s">
        <v>276</v>
      </c>
      <c r="AO290" s="66">
        <f t="shared" si="95"/>
        <v>1.2779386067861148E-3</v>
      </c>
      <c r="AP290" s="8" t="s">
        <v>276</v>
      </c>
      <c r="AQ290" s="8" t="s">
        <v>276</v>
      </c>
      <c r="AR290" s="8" t="s">
        <v>276</v>
      </c>
      <c r="AS290" s="66">
        <f t="shared" si="94"/>
        <v>1.4602346805736635E-3</v>
      </c>
      <c r="AT290" s="8" t="s">
        <v>276</v>
      </c>
      <c r="AU290" s="8" t="s">
        <v>276</v>
      </c>
      <c r="AV290" s="9" t="s">
        <v>268</v>
      </c>
      <c r="AW290" s="35" t="s">
        <v>276</v>
      </c>
      <c r="AX290" s="35">
        <f t="shared" si="96"/>
        <v>0.87515974232584826</v>
      </c>
      <c r="AY290" s="10" t="s">
        <v>276</v>
      </c>
      <c r="AZ290" s="10" t="s">
        <v>276</v>
      </c>
      <c r="BA290" s="10" t="s">
        <v>276</v>
      </c>
      <c r="BB290" s="10" t="s">
        <v>276</v>
      </c>
      <c r="BC290" s="10" t="s">
        <v>98</v>
      </c>
      <c r="BD290" s="10" t="s">
        <v>98</v>
      </c>
      <c r="BE290" s="10" t="s">
        <v>98</v>
      </c>
      <c r="BF290" s="9" t="s">
        <v>298</v>
      </c>
      <c r="BG290" s="9"/>
      <c r="BH290" s="9" t="s">
        <v>100</v>
      </c>
      <c r="BI290" s="9" t="s">
        <v>100</v>
      </c>
      <c r="BJ290" s="32"/>
      <c r="BK290" s="32"/>
      <c r="BL290" s="33"/>
      <c r="BM290" s="33"/>
      <c r="BN290" s="33"/>
      <c r="BO290" s="32"/>
      <c r="BP290" s="32"/>
      <c r="BQ290" s="33"/>
    </row>
    <row r="291" spans="1:69" s="6" customFormat="1" ht="65" hidden="1" x14ac:dyDescent="0.35">
      <c r="A291" s="8">
        <v>1583</v>
      </c>
      <c r="B291" s="8" t="s">
        <v>1555</v>
      </c>
      <c r="C291" s="9" t="s">
        <v>1556</v>
      </c>
      <c r="D291" s="9" t="s">
        <v>1880</v>
      </c>
      <c r="E291" s="8" t="s">
        <v>43</v>
      </c>
      <c r="F291" s="8" t="s">
        <v>139</v>
      </c>
      <c r="G291" s="8" t="s">
        <v>225</v>
      </c>
      <c r="H291" s="8" t="s">
        <v>125</v>
      </c>
      <c r="I291" s="8" t="s">
        <v>114</v>
      </c>
      <c r="J291" s="9" t="s">
        <v>25</v>
      </c>
      <c r="K291" s="2" t="s">
        <v>1516</v>
      </c>
      <c r="L291" s="2" t="s">
        <v>1699</v>
      </c>
      <c r="M291" s="2" t="s">
        <v>276</v>
      </c>
      <c r="N291" s="10" t="s">
        <v>1700</v>
      </c>
      <c r="O291" s="10" t="s">
        <v>1701</v>
      </c>
      <c r="P291" s="9" t="s">
        <v>239</v>
      </c>
      <c r="Q291" s="36" t="s">
        <v>98</v>
      </c>
      <c r="R291" s="10">
        <v>10</v>
      </c>
      <c r="S291" s="9" t="s">
        <v>1702</v>
      </c>
      <c r="T291" s="9" t="s">
        <v>1702</v>
      </c>
      <c r="U291" s="9">
        <v>6</v>
      </c>
      <c r="V291" s="8" t="s">
        <v>14</v>
      </c>
      <c r="W291" s="2" t="s">
        <v>98</v>
      </c>
      <c r="X291" s="10" t="s">
        <v>207</v>
      </c>
      <c r="Y291" s="13">
        <v>38343</v>
      </c>
      <c r="Z291" s="10">
        <v>38350</v>
      </c>
      <c r="AA291" s="10" t="s">
        <v>276</v>
      </c>
      <c r="AB291" s="10" t="s">
        <v>276</v>
      </c>
      <c r="AC291" s="34">
        <v>15</v>
      </c>
      <c r="AD291" s="9" t="s">
        <v>968</v>
      </c>
      <c r="AE291" s="34">
        <v>34</v>
      </c>
      <c r="AF291" s="9" t="s">
        <v>968</v>
      </c>
      <c r="AG291" s="9" t="s">
        <v>1707</v>
      </c>
      <c r="AH291" s="9" t="s">
        <v>1704</v>
      </c>
      <c r="AI291" s="34">
        <v>73</v>
      </c>
      <c r="AJ291" s="34">
        <v>79</v>
      </c>
      <c r="AK291" s="13">
        <v>38343</v>
      </c>
      <c r="AL291" s="13">
        <v>38350</v>
      </c>
      <c r="AM291" s="38">
        <v>1</v>
      </c>
      <c r="AN291" s="8" t="s">
        <v>276</v>
      </c>
      <c r="AO291" s="66">
        <f t="shared" si="95"/>
        <v>1.9038677203140077E-3</v>
      </c>
      <c r="AP291" s="8" t="s">
        <v>276</v>
      </c>
      <c r="AQ291" s="8" t="s">
        <v>276</v>
      </c>
      <c r="AR291" s="8" t="s">
        <v>276</v>
      </c>
      <c r="AS291" s="66">
        <f t="shared" si="94"/>
        <v>2.059973924380704E-3</v>
      </c>
      <c r="AT291" s="8" t="s">
        <v>276</v>
      </c>
      <c r="AU291" s="8" t="s">
        <v>276</v>
      </c>
      <c r="AV291" s="9" t="s">
        <v>268</v>
      </c>
      <c r="AW291" s="35" t="s">
        <v>276</v>
      </c>
      <c r="AX291" s="35">
        <f t="shared" si="96"/>
        <v>0.92421933005116708</v>
      </c>
      <c r="AY291" s="10" t="s">
        <v>276</v>
      </c>
      <c r="AZ291" s="10" t="s">
        <v>276</v>
      </c>
      <c r="BA291" s="10" t="s">
        <v>276</v>
      </c>
      <c r="BB291" s="10" t="s">
        <v>276</v>
      </c>
      <c r="BC291" s="10" t="s">
        <v>98</v>
      </c>
      <c r="BD291" s="10" t="s">
        <v>98</v>
      </c>
      <c r="BE291" s="10" t="s">
        <v>98</v>
      </c>
      <c r="BF291" s="9" t="s">
        <v>298</v>
      </c>
      <c r="BG291" s="9"/>
      <c r="BH291" s="9" t="s">
        <v>100</v>
      </c>
      <c r="BI291" s="9" t="s">
        <v>100</v>
      </c>
      <c r="BJ291" s="32"/>
      <c r="BK291" s="32"/>
      <c r="BL291" s="33"/>
      <c r="BM291" s="33"/>
      <c r="BN291" s="33"/>
      <c r="BO291" s="32"/>
      <c r="BP291" s="32"/>
      <c r="BQ291" s="33"/>
    </row>
    <row r="292" spans="1:69" s="6" customFormat="1" ht="65" hidden="1" x14ac:dyDescent="0.35">
      <c r="A292" s="8">
        <v>1583</v>
      </c>
      <c r="B292" s="8" t="s">
        <v>1555</v>
      </c>
      <c r="C292" s="9" t="s">
        <v>1556</v>
      </c>
      <c r="D292" s="9" t="s">
        <v>1708</v>
      </c>
      <c r="E292" s="8" t="s">
        <v>43</v>
      </c>
      <c r="F292" s="8" t="s">
        <v>139</v>
      </c>
      <c r="G292" s="8" t="s">
        <v>225</v>
      </c>
      <c r="H292" s="8" t="s">
        <v>125</v>
      </c>
      <c r="I292" s="8" t="s">
        <v>114</v>
      </c>
      <c r="J292" s="9" t="s">
        <v>29</v>
      </c>
      <c r="K292" s="67" t="s">
        <v>1709</v>
      </c>
      <c r="L292" s="2" t="s">
        <v>276</v>
      </c>
      <c r="M292" s="2" t="s">
        <v>276</v>
      </c>
      <c r="N292" s="10" t="s">
        <v>1700</v>
      </c>
      <c r="O292" s="10" t="s">
        <v>1701</v>
      </c>
      <c r="P292" s="9" t="s">
        <v>239</v>
      </c>
      <c r="Q292" s="36" t="s">
        <v>98</v>
      </c>
      <c r="R292" s="10">
        <v>10</v>
      </c>
      <c r="S292" s="9" t="s">
        <v>1702</v>
      </c>
      <c r="T292" s="9" t="s">
        <v>1702</v>
      </c>
      <c r="U292" s="9">
        <v>6</v>
      </c>
      <c r="V292" s="8" t="s">
        <v>14</v>
      </c>
      <c r="W292" s="2" t="s">
        <v>98</v>
      </c>
      <c r="X292" s="10" t="s">
        <v>207</v>
      </c>
      <c r="Y292" s="13">
        <v>38343</v>
      </c>
      <c r="Z292" s="10">
        <v>38350</v>
      </c>
      <c r="AA292" s="10" t="s">
        <v>276</v>
      </c>
      <c r="AB292" s="10" t="s">
        <v>276</v>
      </c>
      <c r="AC292" s="34">
        <v>79</v>
      </c>
      <c r="AD292" s="9" t="s">
        <v>1710</v>
      </c>
      <c r="AE292" s="34">
        <v>61</v>
      </c>
      <c r="AF292" s="9" t="s">
        <v>1710</v>
      </c>
      <c r="AG292" s="9" t="s">
        <v>1711</v>
      </c>
      <c r="AH292" s="9" t="s">
        <v>1704</v>
      </c>
      <c r="AI292" s="34">
        <v>289</v>
      </c>
      <c r="AJ292" s="34">
        <v>341</v>
      </c>
      <c r="AK292" s="13">
        <v>38343</v>
      </c>
      <c r="AL292" s="13">
        <v>38350</v>
      </c>
      <c r="AM292" s="38">
        <v>1</v>
      </c>
      <c r="AN292" s="8" t="s">
        <v>276</v>
      </c>
      <c r="AO292" s="66">
        <f t="shared" si="95"/>
        <v>7.5372297420650443E-3</v>
      </c>
      <c r="AP292" s="8" t="s">
        <v>276</v>
      </c>
      <c r="AQ292" s="8" t="s">
        <v>276</v>
      </c>
      <c r="AR292" s="8" t="s">
        <v>276</v>
      </c>
      <c r="AS292" s="66">
        <f t="shared" si="94"/>
        <v>8.8917861799217724E-3</v>
      </c>
      <c r="AT292" s="8" t="s">
        <v>276</v>
      </c>
      <c r="AU292" s="8" t="s">
        <v>276</v>
      </c>
      <c r="AV292" s="9" t="s">
        <v>268</v>
      </c>
      <c r="AW292" s="35" t="s">
        <v>276</v>
      </c>
      <c r="AX292" s="35">
        <f t="shared" si="96"/>
        <v>0.84766205456948529</v>
      </c>
      <c r="AY292" s="10" t="s">
        <v>276</v>
      </c>
      <c r="AZ292" s="10" t="s">
        <v>276</v>
      </c>
      <c r="BA292" s="10" t="s">
        <v>276</v>
      </c>
      <c r="BB292" s="10" t="s">
        <v>276</v>
      </c>
      <c r="BC292" s="10" t="s">
        <v>98</v>
      </c>
      <c r="BD292" s="10" t="s">
        <v>98</v>
      </c>
      <c r="BE292" s="10" t="s">
        <v>98</v>
      </c>
      <c r="BF292" s="9" t="s">
        <v>1712</v>
      </c>
      <c r="BG292" s="9"/>
      <c r="BH292" s="9" t="s">
        <v>100</v>
      </c>
      <c r="BI292" s="9" t="s">
        <v>100</v>
      </c>
      <c r="BJ292" s="32"/>
      <c r="BK292" s="32"/>
      <c r="BL292" s="33"/>
      <c r="BM292" s="33"/>
      <c r="BN292" s="33"/>
      <c r="BO292" s="32"/>
      <c r="BP292" s="32"/>
      <c r="BQ292" s="33"/>
    </row>
    <row r="293" spans="1:69" s="33" customFormat="1" ht="65" hidden="1" x14ac:dyDescent="0.35">
      <c r="A293" s="8">
        <v>1583</v>
      </c>
      <c r="B293" s="8" t="s">
        <v>1555</v>
      </c>
      <c r="C293" s="9" t="s">
        <v>1556</v>
      </c>
      <c r="D293" s="9" t="s">
        <v>1713</v>
      </c>
      <c r="E293" s="8" t="s">
        <v>43</v>
      </c>
      <c r="F293" s="8" t="s">
        <v>139</v>
      </c>
      <c r="G293" s="8" t="s">
        <v>225</v>
      </c>
      <c r="H293" s="8" t="s">
        <v>125</v>
      </c>
      <c r="I293" s="8" t="s">
        <v>114</v>
      </c>
      <c r="J293" s="9" t="s">
        <v>29</v>
      </c>
      <c r="K293" s="42" t="s">
        <v>1183</v>
      </c>
      <c r="L293" s="8" t="s">
        <v>276</v>
      </c>
      <c r="M293" s="8" t="s">
        <v>276</v>
      </c>
      <c r="N293" s="9" t="s">
        <v>1700</v>
      </c>
      <c r="O293" s="9" t="s">
        <v>1701</v>
      </c>
      <c r="P293" s="9" t="s">
        <v>239</v>
      </c>
      <c r="Q293" s="52" t="s">
        <v>98</v>
      </c>
      <c r="R293" s="9">
        <v>10</v>
      </c>
      <c r="S293" s="9" t="s">
        <v>1702</v>
      </c>
      <c r="T293" s="9" t="s">
        <v>1702</v>
      </c>
      <c r="U293" s="9">
        <v>6</v>
      </c>
      <c r="V293" s="8" t="s">
        <v>14</v>
      </c>
      <c r="W293" s="8" t="s">
        <v>98</v>
      </c>
      <c r="X293" s="9" t="s">
        <v>207</v>
      </c>
      <c r="Y293" s="13">
        <v>38343</v>
      </c>
      <c r="Z293" s="9">
        <v>38350</v>
      </c>
      <c r="AA293" s="9" t="s">
        <v>276</v>
      </c>
      <c r="AB293" s="9" t="s">
        <v>276</v>
      </c>
      <c r="AC293" s="38">
        <v>79</v>
      </c>
      <c r="AD293" s="9" t="s">
        <v>1710</v>
      </c>
      <c r="AE293" s="38">
        <v>61</v>
      </c>
      <c r="AF293" s="9" t="s">
        <v>1710</v>
      </c>
      <c r="AG293" s="9" t="s">
        <v>1714</v>
      </c>
      <c r="AH293" s="9" t="s">
        <v>1704</v>
      </c>
      <c r="AI293" s="38">
        <v>815</v>
      </c>
      <c r="AJ293" s="38">
        <v>779</v>
      </c>
      <c r="AK293" s="13">
        <v>38343</v>
      </c>
      <c r="AL293" s="13">
        <v>38350</v>
      </c>
      <c r="AM293" s="38">
        <v>1</v>
      </c>
      <c r="AN293" s="8" t="s">
        <v>276</v>
      </c>
      <c r="AO293" s="66">
        <f t="shared" si="95"/>
        <v>2.1255509480218031E-2</v>
      </c>
      <c r="AP293" s="8" t="s">
        <v>276</v>
      </c>
      <c r="AQ293" s="8" t="s">
        <v>276</v>
      </c>
      <c r="AR293" s="8" t="s">
        <v>276</v>
      </c>
      <c r="AS293" s="66">
        <f t="shared" si="94"/>
        <v>2.0312907431551501E-2</v>
      </c>
      <c r="AT293" s="8" t="s">
        <v>276</v>
      </c>
      <c r="AU293" s="8" t="s">
        <v>276</v>
      </c>
      <c r="AV293" s="9" t="s">
        <v>268</v>
      </c>
      <c r="AW293" s="40" t="s">
        <v>276</v>
      </c>
      <c r="AX293" s="40">
        <f t="shared" si="96"/>
        <v>1.0464040931532239</v>
      </c>
      <c r="AY293" s="9" t="s">
        <v>276</v>
      </c>
      <c r="AZ293" s="9" t="s">
        <v>276</v>
      </c>
      <c r="BA293" s="9" t="s">
        <v>276</v>
      </c>
      <c r="BB293" s="9" t="s">
        <v>276</v>
      </c>
      <c r="BC293" s="9" t="s">
        <v>98</v>
      </c>
      <c r="BD293" s="9" t="s">
        <v>98</v>
      </c>
      <c r="BE293" s="9" t="s">
        <v>98</v>
      </c>
      <c r="BF293" s="9" t="s">
        <v>298</v>
      </c>
      <c r="BG293" s="9"/>
      <c r="BH293" s="9" t="s">
        <v>100</v>
      </c>
      <c r="BI293" s="9" t="s">
        <v>100</v>
      </c>
      <c r="BJ293" s="32"/>
      <c r="BK293" s="32"/>
      <c r="BO293" s="32"/>
      <c r="BP293" s="32"/>
    </row>
    <row r="294" spans="1:69" s="33" customFormat="1" ht="65" hidden="1" x14ac:dyDescent="0.35">
      <c r="A294" s="8">
        <v>1583</v>
      </c>
      <c r="B294" s="8" t="s">
        <v>1555</v>
      </c>
      <c r="C294" s="9" t="s">
        <v>1556</v>
      </c>
      <c r="D294" s="9" t="s">
        <v>1715</v>
      </c>
      <c r="E294" s="8" t="s">
        <v>43</v>
      </c>
      <c r="F294" s="8" t="s">
        <v>139</v>
      </c>
      <c r="G294" s="8" t="s">
        <v>225</v>
      </c>
      <c r="H294" s="8" t="s">
        <v>125</v>
      </c>
      <c r="I294" s="8" t="s">
        <v>114</v>
      </c>
      <c r="J294" s="9" t="s">
        <v>29</v>
      </c>
      <c r="K294" s="42" t="s">
        <v>1716</v>
      </c>
      <c r="L294" s="8" t="s">
        <v>276</v>
      </c>
      <c r="M294" s="8" t="s">
        <v>276</v>
      </c>
      <c r="N294" s="9" t="s">
        <v>1700</v>
      </c>
      <c r="O294" s="9" t="s">
        <v>1701</v>
      </c>
      <c r="P294" s="9" t="s">
        <v>239</v>
      </c>
      <c r="Q294" s="52" t="s">
        <v>98</v>
      </c>
      <c r="R294" s="9">
        <v>10</v>
      </c>
      <c r="S294" s="9" t="s">
        <v>1702</v>
      </c>
      <c r="T294" s="9" t="s">
        <v>1702</v>
      </c>
      <c r="U294" s="9">
        <v>6</v>
      </c>
      <c r="V294" s="8" t="s">
        <v>14</v>
      </c>
      <c r="W294" s="8" t="s">
        <v>98</v>
      </c>
      <c r="X294" s="9" t="s">
        <v>207</v>
      </c>
      <c r="Y294" s="13">
        <v>38343</v>
      </c>
      <c r="Z294" s="9">
        <v>38350</v>
      </c>
      <c r="AA294" s="9" t="s">
        <v>276</v>
      </c>
      <c r="AB294" s="9" t="s">
        <v>276</v>
      </c>
      <c r="AC294" s="38">
        <v>79</v>
      </c>
      <c r="AD294" s="9" t="s">
        <v>1710</v>
      </c>
      <c r="AE294" s="38">
        <v>61</v>
      </c>
      <c r="AF294" s="9" t="s">
        <v>1710</v>
      </c>
      <c r="AG294" s="9" t="s">
        <v>1717</v>
      </c>
      <c r="AH294" s="9" t="s">
        <v>1704</v>
      </c>
      <c r="AI294" s="38">
        <v>2047</v>
      </c>
      <c r="AJ294" s="38">
        <v>1656</v>
      </c>
      <c r="AK294" s="13">
        <v>38343</v>
      </c>
      <c r="AL294" s="13">
        <v>38350</v>
      </c>
      <c r="AM294" s="38">
        <v>1</v>
      </c>
      <c r="AN294" s="8" t="s">
        <v>276</v>
      </c>
      <c r="AO294" s="66">
        <f t="shared" si="95"/>
        <v>5.3386537307983206E-2</v>
      </c>
      <c r="AP294" s="8" t="s">
        <v>276</v>
      </c>
      <c r="AQ294" s="8" t="s">
        <v>276</v>
      </c>
      <c r="AR294" s="8" t="s">
        <v>276</v>
      </c>
      <c r="AS294" s="66">
        <f t="shared" si="94"/>
        <v>4.318122555410691E-2</v>
      </c>
      <c r="AT294" s="8" t="s">
        <v>276</v>
      </c>
      <c r="AU294" s="8" t="s">
        <v>276</v>
      </c>
      <c r="AV294" s="9" t="s">
        <v>268</v>
      </c>
      <c r="AW294" s="40" t="s">
        <v>276</v>
      </c>
      <c r="AX294" s="40">
        <f t="shared" si="96"/>
        <v>1.2363367788412778</v>
      </c>
      <c r="AY294" s="9" t="s">
        <v>276</v>
      </c>
      <c r="AZ294" s="9" t="s">
        <v>276</v>
      </c>
      <c r="BA294" s="9" t="s">
        <v>276</v>
      </c>
      <c r="BB294" s="9" t="s">
        <v>276</v>
      </c>
      <c r="BC294" s="9" t="s">
        <v>98</v>
      </c>
      <c r="BD294" s="9" t="s">
        <v>98</v>
      </c>
      <c r="BE294" s="9" t="s">
        <v>98</v>
      </c>
      <c r="BF294" s="9" t="s">
        <v>298</v>
      </c>
      <c r="BG294" s="9"/>
      <c r="BH294" s="9" t="s">
        <v>100</v>
      </c>
      <c r="BI294" s="9" t="s">
        <v>100</v>
      </c>
      <c r="BJ294" s="32"/>
      <c r="BK294" s="32"/>
      <c r="BO294" s="32"/>
      <c r="BP294" s="32"/>
    </row>
    <row r="295" spans="1:69" s="33" customFormat="1" ht="65" hidden="1" x14ac:dyDescent="0.35">
      <c r="A295" s="8">
        <v>1583</v>
      </c>
      <c r="B295" s="8" t="s">
        <v>1555</v>
      </c>
      <c r="C295" s="9" t="s">
        <v>1556</v>
      </c>
      <c r="D295" s="9" t="s">
        <v>1718</v>
      </c>
      <c r="E295" s="8" t="s">
        <v>43</v>
      </c>
      <c r="F295" s="8" t="s">
        <v>139</v>
      </c>
      <c r="G295" s="8" t="s">
        <v>225</v>
      </c>
      <c r="H295" s="8" t="s">
        <v>125</v>
      </c>
      <c r="I295" s="8" t="s">
        <v>114</v>
      </c>
      <c r="J295" s="9" t="s">
        <v>29</v>
      </c>
      <c r="K295" s="42" t="s">
        <v>1719</v>
      </c>
      <c r="L295" s="8" t="s">
        <v>276</v>
      </c>
      <c r="M295" s="8" t="s">
        <v>276</v>
      </c>
      <c r="N295" s="9" t="s">
        <v>1700</v>
      </c>
      <c r="O295" s="9" t="s">
        <v>1701</v>
      </c>
      <c r="P295" s="9" t="s">
        <v>239</v>
      </c>
      <c r="Q295" s="52" t="s">
        <v>98</v>
      </c>
      <c r="R295" s="9">
        <v>10</v>
      </c>
      <c r="S295" s="9" t="s">
        <v>1702</v>
      </c>
      <c r="T295" s="9" t="s">
        <v>1702</v>
      </c>
      <c r="U295" s="9">
        <v>6</v>
      </c>
      <c r="V295" s="8" t="s">
        <v>14</v>
      </c>
      <c r="W295" s="8" t="s">
        <v>98</v>
      </c>
      <c r="X295" s="9" t="s">
        <v>207</v>
      </c>
      <c r="Y295" s="13">
        <v>38343</v>
      </c>
      <c r="Z295" s="9">
        <v>38350</v>
      </c>
      <c r="AA295" s="9" t="s">
        <v>276</v>
      </c>
      <c r="AB295" s="9" t="s">
        <v>276</v>
      </c>
      <c r="AC295" s="38">
        <v>79</v>
      </c>
      <c r="AD295" s="9" t="s">
        <v>1710</v>
      </c>
      <c r="AE295" s="38">
        <v>61</v>
      </c>
      <c r="AF295" s="9" t="s">
        <v>1710</v>
      </c>
      <c r="AG295" s="9" t="s">
        <v>1720</v>
      </c>
      <c r="AH295" s="9" t="s">
        <v>1704</v>
      </c>
      <c r="AI295" s="38">
        <v>222</v>
      </c>
      <c r="AJ295" s="38">
        <v>137</v>
      </c>
      <c r="AK295" s="13">
        <v>38343</v>
      </c>
      <c r="AL295" s="13">
        <v>38350</v>
      </c>
      <c r="AM295" s="38">
        <v>1</v>
      </c>
      <c r="AN295" s="8" t="s">
        <v>276</v>
      </c>
      <c r="AO295" s="66">
        <f t="shared" ref="AO295:AO296" si="97">AI295/AK295*AM295</f>
        <v>5.7898443001330102E-3</v>
      </c>
      <c r="AP295" s="8" t="s">
        <v>276</v>
      </c>
      <c r="AQ295" s="8" t="s">
        <v>276</v>
      </c>
      <c r="AR295" s="8" t="s">
        <v>276</v>
      </c>
      <c r="AS295" s="66">
        <f t="shared" ref="AS295:AS296" si="98">AJ295/AL295*AM295</f>
        <v>3.5723598435462843E-3</v>
      </c>
      <c r="AT295" s="8" t="s">
        <v>276</v>
      </c>
      <c r="AU295" s="8" t="s">
        <v>276</v>
      </c>
      <c r="AV295" s="9" t="s">
        <v>268</v>
      </c>
      <c r="AW295" s="40" t="s">
        <v>276</v>
      </c>
      <c r="AX295" s="40">
        <f t="shared" ref="AX295:AX296" si="99">AO295/AS295</f>
        <v>1.6207337876649703</v>
      </c>
      <c r="AY295" s="9" t="s">
        <v>276</v>
      </c>
      <c r="AZ295" s="9" t="s">
        <v>276</v>
      </c>
      <c r="BA295" s="9" t="s">
        <v>276</v>
      </c>
      <c r="BB295" s="9" t="s">
        <v>276</v>
      </c>
      <c r="BC295" s="9" t="s">
        <v>98</v>
      </c>
      <c r="BD295" s="9" t="s">
        <v>98</v>
      </c>
      <c r="BE295" s="9" t="s">
        <v>98</v>
      </c>
      <c r="BF295" s="9" t="s">
        <v>298</v>
      </c>
      <c r="BG295" s="9"/>
      <c r="BH295" s="9" t="s">
        <v>100</v>
      </c>
      <c r="BI295" s="9" t="s">
        <v>100</v>
      </c>
      <c r="BJ295" s="32"/>
      <c r="BK295" s="32"/>
      <c r="BO295" s="32"/>
      <c r="BP295" s="32"/>
    </row>
    <row r="296" spans="1:69" s="33" customFormat="1" ht="65" hidden="1" x14ac:dyDescent="0.35">
      <c r="A296" s="8">
        <v>1583</v>
      </c>
      <c r="B296" s="8" t="s">
        <v>1555</v>
      </c>
      <c r="C296" s="9" t="s">
        <v>1556</v>
      </c>
      <c r="D296" s="9" t="s">
        <v>11654</v>
      </c>
      <c r="E296" s="8" t="s">
        <v>43</v>
      </c>
      <c r="F296" s="8" t="s">
        <v>139</v>
      </c>
      <c r="G296" s="8" t="s">
        <v>225</v>
      </c>
      <c r="H296" s="8" t="s">
        <v>125</v>
      </c>
      <c r="I296" s="8" t="s">
        <v>114</v>
      </c>
      <c r="J296" s="9" t="s">
        <v>29</v>
      </c>
      <c r="K296" s="42" t="s">
        <v>1772</v>
      </c>
      <c r="L296" s="8" t="s">
        <v>276</v>
      </c>
      <c r="M296" s="8" t="s">
        <v>276</v>
      </c>
      <c r="N296" s="9" t="s">
        <v>1700</v>
      </c>
      <c r="O296" s="9" t="s">
        <v>1701</v>
      </c>
      <c r="P296" s="9" t="s">
        <v>239</v>
      </c>
      <c r="Q296" s="52" t="s">
        <v>98</v>
      </c>
      <c r="R296" s="9">
        <v>10</v>
      </c>
      <c r="S296" s="9" t="s">
        <v>1702</v>
      </c>
      <c r="T296" s="9" t="s">
        <v>1702</v>
      </c>
      <c r="U296" s="9">
        <v>6</v>
      </c>
      <c r="V296" s="8" t="s">
        <v>14</v>
      </c>
      <c r="W296" s="8" t="s">
        <v>98</v>
      </c>
      <c r="X296" s="9" t="s">
        <v>207</v>
      </c>
      <c r="Y296" s="13">
        <v>38343</v>
      </c>
      <c r="Z296" s="9">
        <v>38350</v>
      </c>
      <c r="AA296" s="9" t="s">
        <v>276</v>
      </c>
      <c r="AB296" s="9" t="s">
        <v>276</v>
      </c>
      <c r="AC296" s="38">
        <v>79</v>
      </c>
      <c r="AD296" s="9" t="s">
        <v>1710</v>
      </c>
      <c r="AE296" s="38">
        <v>61</v>
      </c>
      <c r="AF296" s="9" t="s">
        <v>1710</v>
      </c>
      <c r="AG296" s="9" t="s">
        <v>11655</v>
      </c>
      <c r="AH296" s="9" t="s">
        <v>1704</v>
      </c>
      <c r="AI296" s="38">
        <f>222+2047</f>
        <v>2269</v>
      </c>
      <c r="AJ296" s="38">
        <f>137+1656</f>
        <v>1793</v>
      </c>
      <c r="AK296" s="13">
        <v>38343</v>
      </c>
      <c r="AL296" s="13">
        <v>38350</v>
      </c>
      <c r="AM296" s="38">
        <v>1</v>
      </c>
      <c r="AN296" s="8" t="s">
        <v>276</v>
      </c>
      <c r="AO296" s="66">
        <f t="shared" si="97"/>
        <v>5.9176381608116217E-2</v>
      </c>
      <c r="AP296" s="8" t="s">
        <v>276</v>
      </c>
      <c r="AQ296" s="8" t="s">
        <v>276</v>
      </c>
      <c r="AR296" s="8" t="s">
        <v>276</v>
      </c>
      <c r="AS296" s="66">
        <f t="shared" si="98"/>
        <v>4.6753585397653195E-2</v>
      </c>
      <c r="AT296" s="8" t="s">
        <v>276</v>
      </c>
      <c r="AU296" s="8" t="s">
        <v>276</v>
      </c>
      <c r="AV296" s="9" t="s">
        <v>268</v>
      </c>
      <c r="AW296" s="40" t="s">
        <v>276</v>
      </c>
      <c r="AX296" s="40">
        <f t="shared" si="99"/>
        <v>1.2657078832522348</v>
      </c>
      <c r="AY296" s="9" t="s">
        <v>276</v>
      </c>
      <c r="AZ296" s="9" t="s">
        <v>276</v>
      </c>
      <c r="BA296" s="9" t="s">
        <v>276</v>
      </c>
      <c r="BB296" s="9" t="s">
        <v>276</v>
      </c>
      <c r="BC296" s="9" t="s">
        <v>98</v>
      </c>
      <c r="BD296" s="9" t="s">
        <v>98</v>
      </c>
      <c r="BE296" s="9" t="s">
        <v>98</v>
      </c>
      <c r="BF296" s="9" t="s">
        <v>298</v>
      </c>
      <c r="BG296" s="9"/>
      <c r="BH296" s="9" t="s">
        <v>100</v>
      </c>
      <c r="BI296" s="9" t="s">
        <v>100</v>
      </c>
      <c r="BJ296" s="32"/>
      <c r="BK296" s="32"/>
      <c r="BO296" s="32"/>
      <c r="BP296" s="32"/>
    </row>
    <row r="297" spans="1:69" s="33" customFormat="1" ht="65" hidden="1" x14ac:dyDescent="0.35">
      <c r="A297" s="8">
        <v>1583</v>
      </c>
      <c r="B297" s="8" t="s">
        <v>1555</v>
      </c>
      <c r="C297" s="9" t="s">
        <v>1556</v>
      </c>
      <c r="D297" s="9" t="s">
        <v>11656</v>
      </c>
      <c r="E297" s="8" t="s">
        <v>43</v>
      </c>
      <c r="F297" s="8" t="s">
        <v>139</v>
      </c>
      <c r="G297" s="8" t="s">
        <v>225</v>
      </c>
      <c r="H297" s="8" t="s">
        <v>125</v>
      </c>
      <c r="I297" s="8" t="s">
        <v>114</v>
      </c>
      <c r="J297" s="9" t="s">
        <v>29</v>
      </c>
      <c r="K297" s="800" t="s">
        <v>11657</v>
      </c>
      <c r="L297" s="8" t="s">
        <v>276</v>
      </c>
      <c r="M297" s="8" t="s">
        <v>276</v>
      </c>
      <c r="N297" s="9" t="s">
        <v>1700</v>
      </c>
      <c r="O297" s="9" t="s">
        <v>1701</v>
      </c>
      <c r="P297" s="9" t="s">
        <v>239</v>
      </c>
      <c r="Q297" s="52" t="s">
        <v>98</v>
      </c>
      <c r="R297" s="9">
        <v>10</v>
      </c>
      <c r="S297" s="9" t="s">
        <v>1702</v>
      </c>
      <c r="T297" s="9" t="s">
        <v>1702</v>
      </c>
      <c r="U297" s="9">
        <v>6</v>
      </c>
      <c r="V297" s="8" t="s">
        <v>14</v>
      </c>
      <c r="W297" s="8" t="s">
        <v>98</v>
      </c>
      <c r="X297" s="9" t="s">
        <v>207</v>
      </c>
      <c r="Y297" s="13">
        <v>38343</v>
      </c>
      <c r="Z297" s="9">
        <v>38350</v>
      </c>
      <c r="AA297" s="9" t="s">
        <v>276</v>
      </c>
      <c r="AB297" s="9" t="s">
        <v>276</v>
      </c>
      <c r="AC297" s="38">
        <v>79</v>
      </c>
      <c r="AD297" s="9" t="s">
        <v>1710</v>
      </c>
      <c r="AE297" s="38">
        <v>61</v>
      </c>
      <c r="AF297" s="9" t="s">
        <v>1710</v>
      </c>
      <c r="AG297" s="9" t="s">
        <v>11658</v>
      </c>
      <c r="AH297" s="9" t="s">
        <v>1704</v>
      </c>
      <c r="AI297" s="38">
        <f>2269+815</f>
        <v>3084</v>
      </c>
      <c r="AJ297" s="38">
        <f>1793+779</f>
        <v>2572</v>
      </c>
      <c r="AK297" s="13">
        <v>38343</v>
      </c>
      <c r="AL297" s="13">
        <v>38350</v>
      </c>
      <c r="AM297" s="38">
        <v>1</v>
      </c>
      <c r="AN297" s="8" t="s">
        <v>276</v>
      </c>
      <c r="AO297" s="66">
        <f t="shared" si="95"/>
        <v>8.0431891088334248E-2</v>
      </c>
      <c r="AP297" s="8" t="s">
        <v>276</v>
      </c>
      <c r="AQ297" s="8" t="s">
        <v>276</v>
      </c>
      <c r="AR297" s="8" t="s">
        <v>276</v>
      </c>
      <c r="AS297" s="66">
        <f t="shared" si="94"/>
        <v>6.7066492829204696E-2</v>
      </c>
      <c r="AT297" s="8" t="s">
        <v>276</v>
      </c>
      <c r="AU297" s="8" t="s">
        <v>276</v>
      </c>
      <c r="AV297" s="9" t="s">
        <v>268</v>
      </c>
      <c r="AW297" s="40" t="s">
        <v>276</v>
      </c>
      <c r="AX297" s="40">
        <f t="shared" si="96"/>
        <v>1.1992857788637707</v>
      </c>
      <c r="AY297" s="9" t="s">
        <v>276</v>
      </c>
      <c r="AZ297" s="9" t="s">
        <v>276</v>
      </c>
      <c r="BA297" s="9" t="s">
        <v>276</v>
      </c>
      <c r="BB297" s="9" t="s">
        <v>276</v>
      </c>
      <c r="BC297" s="9" t="s">
        <v>98</v>
      </c>
      <c r="BD297" s="9" t="s">
        <v>98</v>
      </c>
      <c r="BE297" s="9" t="s">
        <v>98</v>
      </c>
      <c r="BF297" s="9" t="s">
        <v>298</v>
      </c>
      <c r="BG297" s="9"/>
      <c r="BH297" s="9" t="s">
        <v>100</v>
      </c>
      <c r="BI297" s="9" t="s">
        <v>100</v>
      </c>
      <c r="BJ297" s="32"/>
      <c r="BK297" s="32"/>
      <c r="BO297" s="32"/>
      <c r="BP297" s="32"/>
    </row>
    <row r="298" spans="1:69" s="6" customFormat="1" ht="65" hidden="1" x14ac:dyDescent="0.35">
      <c r="A298" s="8">
        <v>1583</v>
      </c>
      <c r="B298" s="8" t="s">
        <v>1555</v>
      </c>
      <c r="C298" s="9" t="s">
        <v>1556</v>
      </c>
      <c r="D298" s="9" t="s">
        <v>1721</v>
      </c>
      <c r="E298" s="8" t="s">
        <v>43</v>
      </c>
      <c r="F298" s="8" t="s">
        <v>139</v>
      </c>
      <c r="G298" s="8" t="s">
        <v>225</v>
      </c>
      <c r="H298" s="8" t="s">
        <v>125</v>
      </c>
      <c r="I298" s="8" t="s">
        <v>114</v>
      </c>
      <c r="J298" s="9" t="s">
        <v>25</v>
      </c>
      <c r="K298" s="2" t="s">
        <v>1513</v>
      </c>
      <c r="L298" s="2" t="s">
        <v>1699</v>
      </c>
      <c r="M298" s="2" t="s">
        <v>276</v>
      </c>
      <c r="N298" s="10" t="s">
        <v>1700</v>
      </c>
      <c r="O298" s="10" t="s">
        <v>1701</v>
      </c>
      <c r="P298" s="9" t="s">
        <v>235</v>
      </c>
      <c r="Q298" s="36" t="s">
        <v>98</v>
      </c>
      <c r="R298" s="10">
        <v>10</v>
      </c>
      <c r="S298" s="9" t="s">
        <v>1702</v>
      </c>
      <c r="T298" s="9" t="s">
        <v>1702</v>
      </c>
      <c r="U298" s="9">
        <v>6</v>
      </c>
      <c r="V298" s="8" t="s">
        <v>14</v>
      </c>
      <c r="W298" s="2" t="s">
        <v>98</v>
      </c>
      <c r="X298" s="10" t="s">
        <v>207</v>
      </c>
      <c r="Y298" s="13" t="s">
        <v>98</v>
      </c>
      <c r="Z298" s="13" t="s">
        <v>98</v>
      </c>
      <c r="AA298" s="10" t="s">
        <v>276</v>
      </c>
      <c r="AB298" s="10" t="s">
        <v>276</v>
      </c>
      <c r="AC298" s="34">
        <v>15</v>
      </c>
      <c r="AD298" s="9" t="s">
        <v>968</v>
      </c>
      <c r="AE298" s="34">
        <v>34</v>
      </c>
      <c r="AF298" s="9" t="s">
        <v>968</v>
      </c>
      <c r="AG298" s="9" t="s">
        <v>1722</v>
      </c>
      <c r="AH298" s="9" t="s">
        <v>1723</v>
      </c>
      <c r="AI298" s="34">
        <v>49</v>
      </c>
      <c r="AJ298" s="34">
        <v>56</v>
      </c>
      <c r="AK298" s="34">
        <v>3452</v>
      </c>
      <c r="AL298" s="34">
        <v>2974</v>
      </c>
      <c r="AM298" s="38" t="s">
        <v>292</v>
      </c>
      <c r="AN298" s="8">
        <v>1.4</v>
      </c>
      <c r="AO298" s="66">
        <f>AI298/AK298*100</f>
        <v>1.4194669756662803</v>
      </c>
      <c r="AP298" s="8" t="s">
        <v>276</v>
      </c>
      <c r="AQ298" s="8" t="s">
        <v>276</v>
      </c>
      <c r="AR298" s="8">
        <v>1.9</v>
      </c>
      <c r="AS298" s="14">
        <f>AJ298/AL298*100</f>
        <v>1.8829858776059181</v>
      </c>
      <c r="AT298" s="8" t="s">
        <v>276</v>
      </c>
      <c r="AU298" s="8" t="s">
        <v>276</v>
      </c>
      <c r="AV298" s="9" t="s">
        <v>268</v>
      </c>
      <c r="AW298" s="40" t="s">
        <v>276</v>
      </c>
      <c r="AX298" s="40">
        <f>AO298/AS298</f>
        <v>0.75383835457705672</v>
      </c>
      <c r="AY298" s="40" t="s">
        <v>276</v>
      </c>
      <c r="AZ298" s="40" t="s">
        <v>276</v>
      </c>
      <c r="BA298" s="40" t="s">
        <v>276</v>
      </c>
      <c r="BB298" s="35" t="s">
        <v>98</v>
      </c>
      <c r="BC298" s="35" t="s">
        <v>98</v>
      </c>
      <c r="BD298" s="35" t="s">
        <v>98</v>
      </c>
      <c r="BE298" s="35" t="s">
        <v>98</v>
      </c>
      <c r="BF298" s="9" t="s">
        <v>298</v>
      </c>
      <c r="BG298" s="9"/>
      <c r="BH298" s="9" t="s">
        <v>100</v>
      </c>
      <c r="BI298" s="9" t="s">
        <v>100</v>
      </c>
      <c r="BJ298" s="32"/>
      <c r="BK298" s="32"/>
      <c r="BL298" s="33"/>
      <c r="BM298" s="33"/>
      <c r="BN298" s="33"/>
      <c r="BO298" s="32"/>
      <c r="BP298" s="32"/>
      <c r="BQ298" s="33"/>
    </row>
    <row r="299" spans="1:69" s="6" customFormat="1" ht="65" hidden="1" x14ac:dyDescent="0.35">
      <c r="A299" s="8">
        <v>1583</v>
      </c>
      <c r="B299" s="8" t="s">
        <v>1555</v>
      </c>
      <c r="C299" s="9" t="s">
        <v>1556</v>
      </c>
      <c r="D299" s="9" t="s">
        <v>1724</v>
      </c>
      <c r="E299" s="8" t="s">
        <v>43</v>
      </c>
      <c r="F299" s="8" t="s">
        <v>139</v>
      </c>
      <c r="G299" s="8" t="s">
        <v>225</v>
      </c>
      <c r="H299" s="8" t="s">
        <v>125</v>
      </c>
      <c r="I299" s="8" t="s">
        <v>114</v>
      </c>
      <c r="J299" s="9" t="s">
        <v>25</v>
      </c>
      <c r="K299" s="2" t="s">
        <v>1516</v>
      </c>
      <c r="L299" s="2" t="s">
        <v>1699</v>
      </c>
      <c r="M299" s="2" t="s">
        <v>276</v>
      </c>
      <c r="N299" s="10" t="s">
        <v>1700</v>
      </c>
      <c r="O299" s="10" t="s">
        <v>1701</v>
      </c>
      <c r="P299" s="9" t="s">
        <v>235</v>
      </c>
      <c r="Q299" s="36" t="s">
        <v>98</v>
      </c>
      <c r="R299" s="10">
        <v>10</v>
      </c>
      <c r="S299" s="9" t="s">
        <v>1702</v>
      </c>
      <c r="T299" s="9" t="s">
        <v>1702</v>
      </c>
      <c r="U299" s="9">
        <v>6</v>
      </c>
      <c r="V299" s="8" t="s">
        <v>14</v>
      </c>
      <c r="W299" s="2" t="s">
        <v>98</v>
      </c>
      <c r="X299" s="10" t="s">
        <v>207</v>
      </c>
      <c r="Y299" s="13" t="s">
        <v>98</v>
      </c>
      <c r="Z299" s="13" t="s">
        <v>98</v>
      </c>
      <c r="AA299" s="10" t="s">
        <v>276</v>
      </c>
      <c r="AB299" s="10" t="s">
        <v>276</v>
      </c>
      <c r="AC299" s="34">
        <v>15</v>
      </c>
      <c r="AD299" s="9" t="s">
        <v>968</v>
      </c>
      <c r="AE299" s="34">
        <v>34</v>
      </c>
      <c r="AF299" s="9" t="s">
        <v>968</v>
      </c>
      <c r="AG299" s="9" t="s">
        <v>1725</v>
      </c>
      <c r="AH299" s="9" t="s">
        <v>1723</v>
      </c>
      <c r="AI299" s="34">
        <v>73</v>
      </c>
      <c r="AJ299" s="34">
        <v>79</v>
      </c>
      <c r="AK299" s="34">
        <v>3452</v>
      </c>
      <c r="AL299" s="34">
        <v>2974</v>
      </c>
      <c r="AM299" s="38" t="s">
        <v>292</v>
      </c>
      <c r="AN299" s="8">
        <v>2.1</v>
      </c>
      <c r="AO299" s="14">
        <f>AI299/AK299*100</f>
        <v>2.1147161066048668</v>
      </c>
      <c r="AP299" s="8" t="s">
        <v>276</v>
      </c>
      <c r="AQ299" s="8" t="s">
        <v>276</v>
      </c>
      <c r="AR299" s="8">
        <v>2.7</v>
      </c>
      <c r="AS299" s="14">
        <f>AJ299/AL299*100</f>
        <v>2.65635507733692</v>
      </c>
      <c r="AT299" s="8" t="s">
        <v>276</v>
      </c>
      <c r="AU299" s="8" t="s">
        <v>276</v>
      </c>
      <c r="AV299" s="9" t="s">
        <v>268</v>
      </c>
      <c r="AW299" s="40" t="s">
        <v>276</v>
      </c>
      <c r="AX299" s="40">
        <f>AO299/AS299</f>
        <v>0.79609692418264222</v>
      </c>
      <c r="AY299" s="40" t="s">
        <v>276</v>
      </c>
      <c r="AZ299" s="40" t="s">
        <v>276</v>
      </c>
      <c r="BA299" s="40" t="s">
        <v>276</v>
      </c>
      <c r="BB299" s="35" t="s">
        <v>98</v>
      </c>
      <c r="BC299" s="35" t="s">
        <v>98</v>
      </c>
      <c r="BD299" s="35" t="s">
        <v>98</v>
      </c>
      <c r="BE299" s="35" t="s">
        <v>98</v>
      </c>
      <c r="BF299" s="9" t="s">
        <v>989</v>
      </c>
      <c r="BG299" s="9"/>
      <c r="BH299" s="9" t="s">
        <v>100</v>
      </c>
      <c r="BI299" s="9" t="s">
        <v>100</v>
      </c>
      <c r="BJ299" s="32"/>
      <c r="BK299" s="32"/>
      <c r="BL299" s="33"/>
      <c r="BM299" s="33"/>
      <c r="BN299" s="33"/>
      <c r="BO299" s="32"/>
      <c r="BP299" s="32"/>
      <c r="BQ299" s="33"/>
    </row>
    <row r="300" spans="1:69" s="33" customFormat="1" ht="65" hidden="1" x14ac:dyDescent="0.35">
      <c r="A300" s="8">
        <v>1583</v>
      </c>
      <c r="B300" s="8" t="s">
        <v>1555</v>
      </c>
      <c r="C300" s="9" t="s">
        <v>1556</v>
      </c>
      <c r="D300" s="9" t="s">
        <v>1726</v>
      </c>
      <c r="E300" s="8" t="s">
        <v>43</v>
      </c>
      <c r="F300" s="8" t="s">
        <v>139</v>
      </c>
      <c r="G300" s="8" t="s">
        <v>225</v>
      </c>
      <c r="H300" s="8" t="s">
        <v>125</v>
      </c>
      <c r="I300" s="8" t="s">
        <v>114</v>
      </c>
      <c r="J300" s="9" t="s">
        <v>29</v>
      </c>
      <c r="K300" s="42" t="s">
        <v>1709</v>
      </c>
      <c r="L300" s="8" t="s">
        <v>276</v>
      </c>
      <c r="M300" s="8" t="s">
        <v>276</v>
      </c>
      <c r="N300" s="9" t="s">
        <v>1700</v>
      </c>
      <c r="O300" s="9" t="s">
        <v>1701</v>
      </c>
      <c r="P300" s="9" t="s">
        <v>235</v>
      </c>
      <c r="Q300" s="52" t="s">
        <v>98</v>
      </c>
      <c r="R300" s="9">
        <v>10</v>
      </c>
      <c r="S300" s="9" t="s">
        <v>1702</v>
      </c>
      <c r="T300" s="9" t="s">
        <v>1702</v>
      </c>
      <c r="U300" s="9">
        <v>6</v>
      </c>
      <c r="V300" s="8" t="s">
        <v>14</v>
      </c>
      <c r="W300" s="8" t="s">
        <v>98</v>
      </c>
      <c r="X300" s="9" t="s">
        <v>207</v>
      </c>
      <c r="Y300" s="13" t="s">
        <v>98</v>
      </c>
      <c r="Z300" s="13" t="s">
        <v>98</v>
      </c>
      <c r="AA300" s="9" t="s">
        <v>276</v>
      </c>
      <c r="AB300" s="9" t="s">
        <v>276</v>
      </c>
      <c r="AC300" s="38">
        <v>79</v>
      </c>
      <c r="AD300" s="9" t="s">
        <v>1710</v>
      </c>
      <c r="AE300" s="38">
        <v>61</v>
      </c>
      <c r="AF300" s="9" t="s">
        <v>1710</v>
      </c>
      <c r="AG300" s="9" t="s">
        <v>1711</v>
      </c>
      <c r="AH300" s="9" t="s">
        <v>1727</v>
      </c>
      <c r="AI300" s="38">
        <v>289</v>
      </c>
      <c r="AJ300" s="38">
        <v>341</v>
      </c>
      <c r="AK300" s="38">
        <v>3452</v>
      </c>
      <c r="AL300" s="38">
        <v>2974</v>
      </c>
      <c r="AM300" s="38" t="s">
        <v>292</v>
      </c>
      <c r="AN300" s="8" t="s">
        <v>276</v>
      </c>
      <c r="AO300" s="14">
        <f>AI300*100/AK300</f>
        <v>8.371958285052143</v>
      </c>
      <c r="AP300" s="8" t="s">
        <v>276</v>
      </c>
      <c r="AQ300" s="8" t="s">
        <v>276</v>
      </c>
      <c r="AR300" s="8" t="s">
        <v>276</v>
      </c>
      <c r="AS300" s="14">
        <f>AJ300*100/AL300</f>
        <v>11.466039004707465</v>
      </c>
      <c r="AT300" s="8" t="s">
        <v>276</v>
      </c>
      <c r="AU300" s="8" t="s">
        <v>276</v>
      </c>
      <c r="AV300" s="9" t="s">
        <v>268</v>
      </c>
      <c r="AW300" s="40" t="s">
        <v>276</v>
      </c>
      <c r="AX300" s="40">
        <f t="shared" ref="AX300" si="100">AO300/AS300</f>
        <v>0.73015260820366779</v>
      </c>
      <c r="AY300" s="9" t="s">
        <v>276</v>
      </c>
      <c r="AZ300" s="9" t="s">
        <v>276</v>
      </c>
      <c r="BA300" s="9" t="s">
        <v>276</v>
      </c>
      <c r="BB300" s="9" t="s">
        <v>276</v>
      </c>
      <c r="BC300" s="9" t="s">
        <v>98</v>
      </c>
      <c r="BD300" s="9" t="s">
        <v>98</v>
      </c>
      <c r="BE300" s="9" t="s">
        <v>98</v>
      </c>
      <c r="BF300" s="9" t="s">
        <v>1712</v>
      </c>
      <c r="BG300" s="9"/>
      <c r="BH300" s="9" t="s">
        <v>100</v>
      </c>
      <c r="BI300" s="9" t="s">
        <v>100</v>
      </c>
      <c r="BJ300" s="32"/>
      <c r="BK300" s="32"/>
      <c r="BO300" s="32"/>
      <c r="BP300" s="32"/>
    </row>
    <row r="301" spans="1:69" s="6" customFormat="1" ht="65" x14ac:dyDescent="0.35">
      <c r="A301" s="8">
        <v>1583</v>
      </c>
      <c r="B301" s="8" t="s">
        <v>1555</v>
      </c>
      <c r="C301" s="9" t="s">
        <v>1556</v>
      </c>
      <c r="D301" s="9" t="s">
        <v>1728</v>
      </c>
      <c r="E301" s="8" t="s">
        <v>43</v>
      </c>
      <c r="F301" s="8" t="s">
        <v>139</v>
      </c>
      <c r="G301" s="8" t="s">
        <v>225</v>
      </c>
      <c r="H301" s="8" t="s">
        <v>225</v>
      </c>
      <c r="I301" s="8" t="s">
        <v>98</v>
      </c>
      <c r="J301" s="9" t="s">
        <v>98</v>
      </c>
      <c r="K301" s="2" t="s">
        <v>98</v>
      </c>
      <c r="L301" s="2" t="s">
        <v>98</v>
      </c>
      <c r="M301" s="2" t="s">
        <v>98</v>
      </c>
      <c r="N301" s="10" t="s">
        <v>1700</v>
      </c>
      <c r="O301" s="10" t="s">
        <v>1701</v>
      </c>
      <c r="P301" s="9" t="s">
        <v>236</v>
      </c>
      <c r="Q301" s="36" t="s">
        <v>98</v>
      </c>
      <c r="R301" s="10">
        <v>10</v>
      </c>
      <c r="S301" s="9" t="s">
        <v>1702</v>
      </c>
      <c r="T301" s="9" t="s">
        <v>1702</v>
      </c>
      <c r="U301" s="9">
        <v>6</v>
      </c>
      <c r="V301" s="8" t="s">
        <v>14</v>
      </c>
      <c r="W301" s="2" t="s">
        <v>98</v>
      </c>
      <c r="X301" s="9" t="s">
        <v>209</v>
      </c>
      <c r="Y301" s="13">
        <v>38343</v>
      </c>
      <c r="Z301" s="9" t="s">
        <v>98</v>
      </c>
      <c r="AA301" s="10" t="s">
        <v>276</v>
      </c>
      <c r="AB301" s="10" t="s">
        <v>98</v>
      </c>
      <c r="AC301" s="8" t="s">
        <v>1729</v>
      </c>
      <c r="AD301" s="9" t="s">
        <v>98</v>
      </c>
      <c r="AE301" s="8" t="s">
        <v>98</v>
      </c>
      <c r="AF301" s="9" t="s">
        <v>98</v>
      </c>
      <c r="AG301" s="9" t="s">
        <v>1730</v>
      </c>
      <c r="AH301" s="9" t="s">
        <v>1731</v>
      </c>
      <c r="AI301" s="34">
        <v>2049</v>
      </c>
      <c r="AJ301" s="34" t="s">
        <v>98</v>
      </c>
      <c r="AK301" s="34">
        <v>3452</v>
      </c>
      <c r="AL301" s="34" t="s">
        <v>98</v>
      </c>
      <c r="AM301" s="38" t="s">
        <v>292</v>
      </c>
      <c r="AN301" s="8" t="s">
        <v>276</v>
      </c>
      <c r="AO301" s="14">
        <f>AI301/AK301*100</f>
        <v>59.356894553881808</v>
      </c>
      <c r="AP301" s="8" t="s">
        <v>276</v>
      </c>
      <c r="AQ301" s="8" t="s">
        <v>276</v>
      </c>
      <c r="AR301" s="8" t="s">
        <v>98</v>
      </c>
      <c r="AS301" s="14" t="s">
        <v>98</v>
      </c>
      <c r="AT301" s="8" t="s">
        <v>98</v>
      </c>
      <c r="AU301" s="8" t="s">
        <v>98</v>
      </c>
      <c r="AV301" s="8" t="s">
        <v>98</v>
      </c>
      <c r="AW301" s="8" t="s">
        <v>98</v>
      </c>
      <c r="AX301" s="8" t="s">
        <v>98</v>
      </c>
      <c r="AY301" s="8" t="s">
        <v>98</v>
      </c>
      <c r="AZ301" s="8" t="s">
        <v>98</v>
      </c>
      <c r="BA301" s="8" t="s">
        <v>98</v>
      </c>
      <c r="BB301" s="8" t="s">
        <v>98</v>
      </c>
      <c r="BC301" s="8" t="s">
        <v>98</v>
      </c>
      <c r="BD301" s="8" t="s">
        <v>98</v>
      </c>
      <c r="BE301" s="8" t="s">
        <v>98</v>
      </c>
      <c r="BF301" s="9" t="s">
        <v>298</v>
      </c>
      <c r="BG301" s="9"/>
      <c r="BH301" s="9" t="s">
        <v>99</v>
      </c>
      <c r="BI301" s="9" t="s">
        <v>100</v>
      </c>
      <c r="BJ301" s="32"/>
      <c r="BK301" s="32"/>
      <c r="BL301" s="33"/>
      <c r="BM301" s="33"/>
      <c r="BN301" s="33"/>
      <c r="BO301" s="32"/>
      <c r="BP301" s="32"/>
      <c r="BQ301" s="33"/>
    </row>
    <row r="302" spans="1:69" s="6" customFormat="1" ht="65" hidden="1" x14ac:dyDescent="0.35">
      <c r="A302" s="8">
        <v>1583</v>
      </c>
      <c r="B302" s="8" t="s">
        <v>1555</v>
      </c>
      <c r="C302" s="9" t="s">
        <v>1556</v>
      </c>
      <c r="D302" s="9" t="s">
        <v>1732</v>
      </c>
      <c r="E302" s="8" t="s">
        <v>43</v>
      </c>
      <c r="F302" s="8" t="s">
        <v>139</v>
      </c>
      <c r="G302" s="8" t="s">
        <v>225</v>
      </c>
      <c r="H302" s="8" t="s">
        <v>225</v>
      </c>
      <c r="I302" s="8" t="s">
        <v>98</v>
      </c>
      <c r="J302" s="9" t="s">
        <v>29</v>
      </c>
      <c r="K302" s="67" t="s">
        <v>1709</v>
      </c>
      <c r="L302" s="2" t="s">
        <v>98</v>
      </c>
      <c r="M302" s="2" t="s">
        <v>98</v>
      </c>
      <c r="N302" s="10" t="s">
        <v>1700</v>
      </c>
      <c r="O302" s="10" t="s">
        <v>1701</v>
      </c>
      <c r="P302" s="9" t="s">
        <v>237</v>
      </c>
      <c r="Q302" s="36" t="s">
        <v>98</v>
      </c>
      <c r="R302" s="10">
        <v>10</v>
      </c>
      <c r="S302" s="9" t="s">
        <v>1702</v>
      </c>
      <c r="T302" s="9" t="s">
        <v>1702</v>
      </c>
      <c r="U302" s="9">
        <v>6</v>
      </c>
      <c r="V302" s="8" t="s">
        <v>14</v>
      </c>
      <c r="W302" s="2" t="s">
        <v>98</v>
      </c>
      <c r="X302" s="9" t="s">
        <v>209</v>
      </c>
      <c r="Y302" s="13">
        <v>38343</v>
      </c>
      <c r="Z302" s="9" t="s">
        <v>98</v>
      </c>
      <c r="AA302" s="10" t="s">
        <v>276</v>
      </c>
      <c r="AB302" s="10" t="s">
        <v>98</v>
      </c>
      <c r="AC302" s="34">
        <v>79</v>
      </c>
      <c r="AD302" s="9" t="s">
        <v>1710</v>
      </c>
      <c r="AE302" s="34" t="s">
        <v>98</v>
      </c>
      <c r="AF302" s="9" t="s">
        <v>98</v>
      </c>
      <c r="AG302" s="9" t="s">
        <v>1733</v>
      </c>
      <c r="AH302" s="9" t="s">
        <v>1734</v>
      </c>
      <c r="AI302" s="34">
        <v>153</v>
      </c>
      <c r="AJ302" s="34" t="s">
        <v>98</v>
      </c>
      <c r="AK302" s="34">
        <v>289</v>
      </c>
      <c r="AL302" s="34" t="s">
        <v>98</v>
      </c>
      <c r="AM302" s="38" t="s">
        <v>292</v>
      </c>
      <c r="AN302" s="8" t="s">
        <v>276</v>
      </c>
      <c r="AO302" s="14">
        <f>AI302/AK302*100</f>
        <v>52.941176470588239</v>
      </c>
      <c r="AP302" s="8" t="s">
        <v>276</v>
      </c>
      <c r="AQ302" s="8" t="s">
        <v>276</v>
      </c>
      <c r="AR302" s="8" t="s">
        <v>98</v>
      </c>
      <c r="AS302" s="14" t="s">
        <v>98</v>
      </c>
      <c r="AT302" s="8" t="s">
        <v>98</v>
      </c>
      <c r="AU302" s="8" t="s">
        <v>98</v>
      </c>
      <c r="AV302" s="8" t="s">
        <v>98</v>
      </c>
      <c r="AW302" s="8" t="s">
        <v>98</v>
      </c>
      <c r="AX302" s="8" t="s">
        <v>98</v>
      </c>
      <c r="AY302" s="8" t="s">
        <v>98</v>
      </c>
      <c r="AZ302" s="8" t="s">
        <v>98</v>
      </c>
      <c r="BA302" s="8" t="s">
        <v>98</v>
      </c>
      <c r="BB302" s="8" t="s">
        <v>98</v>
      </c>
      <c r="BC302" s="8" t="s">
        <v>98</v>
      </c>
      <c r="BD302" s="8" t="s">
        <v>98</v>
      </c>
      <c r="BE302" s="8" t="s">
        <v>98</v>
      </c>
      <c r="BF302" s="9" t="s">
        <v>298</v>
      </c>
      <c r="BG302" s="9"/>
      <c r="BH302" s="9" t="s">
        <v>100</v>
      </c>
      <c r="BI302" s="9" t="s">
        <v>100</v>
      </c>
      <c r="BJ302" s="32"/>
      <c r="BK302" s="32"/>
      <c r="BL302" s="33"/>
      <c r="BM302" s="33"/>
      <c r="BN302" s="33"/>
      <c r="BO302" s="32"/>
      <c r="BP302" s="32"/>
      <c r="BQ302" s="33"/>
    </row>
    <row r="303" spans="1:69" s="6" customFormat="1" ht="91" hidden="1" x14ac:dyDescent="0.35">
      <c r="A303" s="8">
        <v>1582</v>
      </c>
      <c r="B303" s="8" t="s">
        <v>1608</v>
      </c>
      <c r="C303" s="9" t="s">
        <v>1556</v>
      </c>
      <c r="D303" s="9" t="s">
        <v>1735</v>
      </c>
      <c r="E303" s="8" t="s">
        <v>43</v>
      </c>
      <c r="F303" s="8" t="s">
        <v>139</v>
      </c>
      <c r="G303" s="8" t="s">
        <v>225</v>
      </c>
      <c r="H303" s="8" t="s">
        <v>125</v>
      </c>
      <c r="I303" s="8" t="s">
        <v>114</v>
      </c>
      <c r="J303" s="9" t="s">
        <v>25</v>
      </c>
      <c r="K303" s="10" t="s">
        <v>300</v>
      </c>
      <c r="L303" s="2" t="s">
        <v>276</v>
      </c>
      <c r="M303" s="2" t="s">
        <v>276</v>
      </c>
      <c r="N303" s="10" t="s">
        <v>1736</v>
      </c>
      <c r="O303" s="10" t="s">
        <v>1737</v>
      </c>
      <c r="P303" s="9" t="s">
        <v>239</v>
      </c>
      <c r="Q303" s="36">
        <v>40178</v>
      </c>
      <c r="R303" s="10">
        <v>13</v>
      </c>
      <c r="S303" s="9" t="s">
        <v>1738</v>
      </c>
      <c r="T303" s="9" t="s">
        <v>1739</v>
      </c>
      <c r="U303" s="9">
        <v>6</v>
      </c>
      <c r="V303" s="8" t="s">
        <v>14</v>
      </c>
      <c r="W303" s="2" t="s">
        <v>98</v>
      </c>
      <c r="X303" s="10" t="s">
        <v>207</v>
      </c>
      <c r="Y303" s="13">
        <v>38340</v>
      </c>
      <c r="Z303" s="10">
        <v>38345</v>
      </c>
      <c r="AA303" s="10" t="s">
        <v>276</v>
      </c>
      <c r="AB303" s="10" t="s">
        <v>276</v>
      </c>
      <c r="AC303" s="34">
        <v>21</v>
      </c>
      <c r="AD303" s="9" t="s">
        <v>1740</v>
      </c>
      <c r="AE303" s="34">
        <v>38</v>
      </c>
      <c r="AF303" s="9" t="s">
        <v>1740</v>
      </c>
      <c r="AG303" s="9" t="s">
        <v>1741</v>
      </c>
      <c r="AH303" s="9" t="s">
        <v>1507</v>
      </c>
      <c r="AI303" s="34">
        <v>19</v>
      </c>
      <c r="AJ303" s="34">
        <v>17</v>
      </c>
      <c r="AK303" s="34">
        <v>392022</v>
      </c>
      <c r="AL303" s="34">
        <v>392977</v>
      </c>
      <c r="AM303" s="38">
        <v>10000</v>
      </c>
      <c r="AN303" s="8" t="s">
        <v>276</v>
      </c>
      <c r="AO303" s="14">
        <f>AI303/AK303*AM303</f>
        <v>0.48466667687017567</v>
      </c>
      <c r="AP303" s="8" t="s">
        <v>276</v>
      </c>
      <c r="AQ303" s="8" t="s">
        <v>276</v>
      </c>
      <c r="AR303" s="8" t="s">
        <v>276</v>
      </c>
      <c r="AS303" s="14">
        <f>AJ303/AL303*AM303</f>
        <v>0.43259529183641793</v>
      </c>
      <c r="AT303" s="8" t="s">
        <v>276</v>
      </c>
      <c r="AU303" s="8" t="s">
        <v>276</v>
      </c>
      <c r="AV303" s="9" t="s">
        <v>269</v>
      </c>
      <c r="AW303" s="35" t="s">
        <v>276</v>
      </c>
      <c r="AX303" s="35">
        <f>AO303/AS303</f>
        <v>1.1203697451553589</v>
      </c>
      <c r="AY303" s="10" t="s">
        <v>276</v>
      </c>
      <c r="AZ303" s="10" t="s">
        <v>276</v>
      </c>
      <c r="BA303" s="10" t="s">
        <v>276</v>
      </c>
      <c r="BB303" s="10" t="s">
        <v>98</v>
      </c>
      <c r="BC303" s="10" t="s">
        <v>98</v>
      </c>
      <c r="BD303" s="10" t="s">
        <v>98</v>
      </c>
      <c r="BE303" s="10" t="s">
        <v>98</v>
      </c>
      <c r="BF303" s="9" t="s">
        <v>1508</v>
      </c>
      <c r="BG303" s="9"/>
      <c r="BH303" s="9" t="s">
        <v>100</v>
      </c>
      <c r="BI303" s="9" t="s">
        <v>100</v>
      </c>
      <c r="BJ303" s="32"/>
      <c r="BK303" s="32"/>
      <c r="BL303" s="33"/>
      <c r="BM303" s="33"/>
      <c r="BN303" s="33"/>
      <c r="BO303" s="32"/>
      <c r="BP303" s="32"/>
      <c r="BQ303" s="33"/>
    </row>
    <row r="304" spans="1:69" s="6" customFormat="1" ht="91" hidden="1" x14ac:dyDescent="0.35">
      <c r="A304" s="8">
        <v>1582</v>
      </c>
      <c r="B304" s="8" t="s">
        <v>1608</v>
      </c>
      <c r="C304" s="9" t="s">
        <v>1556</v>
      </c>
      <c r="D304" s="9" t="s">
        <v>1742</v>
      </c>
      <c r="E304" s="8" t="s">
        <v>43</v>
      </c>
      <c r="F304" s="8" t="s">
        <v>139</v>
      </c>
      <c r="G304" s="8" t="s">
        <v>225</v>
      </c>
      <c r="H304" s="8" t="s">
        <v>125</v>
      </c>
      <c r="I304" s="8" t="s">
        <v>114</v>
      </c>
      <c r="J304" s="9" t="s">
        <v>25</v>
      </c>
      <c r="K304" s="10" t="s">
        <v>1743</v>
      </c>
      <c r="L304" s="2" t="s">
        <v>276</v>
      </c>
      <c r="M304" s="2" t="s">
        <v>276</v>
      </c>
      <c r="N304" s="10" t="s">
        <v>1736</v>
      </c>
      <c r="O304" s="10" t="s">
        <v>1744</v>
      </c>
      <c r="P304" s="9" t="s">
        <v>239</v>
      </c>
      <c r="Q304" s="36">
        <v>40178</v>
      </c>
      <c r="R304" s="10">
        <v>13</v>
      </c>
      <c r="S304" s="9" t="s">
        <v>1738</v>
      </c>
      <c r="T304" s="9" t="s">
        <v>1739</v>
      </c>
      <c r="U304" s="9">
        <v>6</v>
      </c>
      <c r="V304" s="8" t="s">
        <v>14</v>
      </c>
      <c r="W304" s="2" t="s">
        <v>98</v>
      </c>
      <c r="X304" s="10" t="s">
        <v>207</v>
      </c>
      <c r="Y304" s="13">
        <v>38340</v>
      </c>
      <c r="Z304" s="10">
        <v>38345</v>
      </c>
      <c r="AA304" s="10" t="s">
        <v>276</v>
      </c>
      <c r="AB304" s="10" t="s">
        <v>276</v>
      </c>
      <c r="AC304" s="34">
        <v>21</v>
      </c>
      <c r="AD304" s="9" t="s">
        <v>1740</v>
      </c>
      <c r="AE304" s="34">
        <v>38</v>
      </c>
      <c r="AF304" s="9" t="s">
        <v>1740</v>
      </c>
      <c r="AG304" s="9" t="s">
        <v>1745</v>
      </c>
      <c r="AH304" s="9" t="s">
        <v>1507</v>
      </c>
      <c r="AI304" s="34">
        <v>49</v>
      </c>
      <c r="AJ304" s="34">
        <v>50</v>
      </c>
      <c r="AK304" s="34">
        <v>392022</v>
      </c>
      <c r="AL304" s="34">
        <v>392977</v>
      </c>
      <c r="AM304" s="38">
        <v>10000</v>
      </c>
      <c r="AN304" s="8" t="s">
        <v>276</v>
      </c>
      <c r="AO304" s="14">
        <f t="shared" ref="AO304:AO307" si="101">AI304/AK304*AM304</f>
        <v>1.2499298508757162</v>
      </c>
      <c r="AP304" s="8" t="s">
        <v>276</v>
      </c>
      <c r="AQ304" s="8" t="s">
        <v>276</v>
      </c>
      <c r="AR304" s="8" t="s">
        <v>276</v>
      </c>
      <c r="AS304" s="14">
        <f t="shared" ref="AS304:AS319" si="102">AJ304/AL304*AM304</f>
        <v>1.2723390936365233</v>
      </c>
      <c r="AT304" s="8" t="s">
        <v>276</v>
      </c>
      <c r="AU304" s="8" t="s">
        <v>276</v>
      </c>
      <c r="AV304" s="9" t="s">
        <v>269</v>
      </c>
      <c r="AW304" s="35" t="s">
        <v>276</v>
      </c>
      <c r="AX304" s="35">
        <f t="shared" ref="AX304:AX319" si="103">AO304/AS304</f>
        <v>0.98238736601517263</v>
      </c>
      <c r="AY304" s="10" t="s">
        <v>276</v>
      </c>
      <c r="AZ304" s="10" t="s">
        <v>276</v>
      </c>
      <c r="BA304" s="10" t="s">
        <v>276</v>
      </c>
      <c r="BB304" s="10" t="s">
        <v>98</v>
      </c>
      <c r="BC304" s="10" t="s">
        <v>98</v>
      </c>
      <c r="BD304" s="10" t="s">
        <v>98</v>
      </c>
      <c r="BE304" s="10" t="s">
        <v>98</v>
      </c>
      <c r="BF304" s="9" t="s">
        <v>1508</v>
      </c>
      <c r="BG304" s="9"/>
      <c r="BH304" s="9" t="s">
        <v>100</v>
      </c>
      <c r="BI304" s="9" t="s">
        <v>100</v>
      </c>
      <c r="BJ304" s="32"/>
      <c r="BK304" s="32"/>
      <c r="BL304" s="33"/>
      <c r="BM304" s="33"/>
      <c r="BN304" s="33"/>
      <c r="BO304" s="32"/>
      <c r="BP304" s="32"/>
      <c r="BQ304" s="33"/>
    </row>
    <row r="305" spans="1:69" s="6" customFormat="1" ht="91" hidden="1" x14ac:dyDescent="0.35">
      <c r="A305" s="8">
        <v>1582</v>
      </c>
      <c r="B305" s="8" t="s">
        <v>1608</v>
      </c>
      <c r="C305" s="9" t="s">
        <v>1556</v>
      </c>
      <c r="D305" s="9" t="s">
        <v>1746</v>
      </c>
      <c r="E305" s="8" t="s">
        <v>43</v>
      </c>
      <c r="F305" s="8" t="s">
        <v>139</v>
      </c>
      <c r="G305" s="8" t="s">
        <v>225</v>
      </c>
      <c r="H305" s="8" t="s">
        <v>125</v>
      </c>
      <c r="I305" s="8" t="s">
        <v>114</v>
      </c>
      <c r="J305" s="9" t="s">
        <v>25</v>
      </c>
      <c r="K305" s="10" t="s">
        <v>1747</v>
      </c>
      <c r="L305" s="2" t="s">
        <v>276</v>
      </c>
      <c r="M305" s="2" t="s">
        <v>276</v>
      </c>
      <c r="N305" s="10" t="s">
        <v>1736</v>
      </c>
      <c r="O305" s="10" t="s">
        <v>1744</v>
      </c>
      <c r="P305" s="9" t="s">
        <v>239</v>
      </c>
      <c r="Q305" s="36">
        <v>40178</v>
      </c>
      <c r="R305" s="10">
        <v>13</v>
      </c>
      <c r="S305" s="9" t="s">
        <v>1738</v>
      </c>
      <c r="T305" s="9" t="s">
        <v>1739</v>
      </c>
      <c r="U305" s="9">
        <v>6</v>
      </c>
      <c r="V305" s="8" t="s">
        <v>14</v>
      </c>
      <c r="W305" s="2" t="s">
        <v>98</v>
      </c>
      <c r="X305" s="10" t="s">
        <v>207</v>
      </c>
      <c r="Y305" s="13">
        <v>38340</v>
      </c>
      <c r="Z305" s="10">
        <v>38345</v>
      </c>
      <c r="AA305" s="10" t="s">
        <v>276</v>
      </c>
      <c r="AB305" s="10" t="s">
        <v>276</v>
      </c>
      <c r="AC305" s="34">
        <v>21</v>
      </c>
      <c r="AD305" s="9" t="s">
        <v>1740</v>
      </c>
      <c r="AE305" s="34">
        <v>38</v>
      </c>
      <c r="AF305" s="9" t="s">
        <v>1740</v>
      </c>
      <c r="AG305" s="9" t="s">
        <v>1748</v>
      </c>
      <c r="AH305" s="9" t="s">
        <v>1507</v>
      </c>
      <c r="AI305" s="34">
        <v>2530</v>
      </c>
      <c r="AJ305" s="34">
        <v>2265</v>
      </c>
      <c r="AK305" s="34">
        <v>392022</v>
      </c>
      <c r="AL305" s="34">
        <v>392977</v>
      </c>
      <c r="AM305" s="38">
        <v>10000</v>
      </c>
      <c r="AN305" s="8" t="s">
        <v>276</v>
      </c>
      <c r="AO305" s="14">
        <f t="shared" si="101"/>
        <v>64.537194341133912</v>
      </c>
      <c r="AP305" s="8" t="s">
        <v>276</v>
      </c>
      <c r="AQ305" s="8" t="s">
        <v>276</v>
      </c>
      <c r="AR305" s="8" t="s">
        <v>276</v>
      </c>
      <c r="AS305" s="14">
        <f t="shared" si="102"/>
        <v>57.636960941734507</v>
      </c>
      <c r="AT305" s="8" t="s">
        <v>276</v>
      </c>
      <c r="AU305" s="8" t="s">
        <v>276</v>
      </c>
      <c r="AV305" s="9" t="s">
        <v>269</v>
      </c>
      <c r="AW305" s="35" t="s">
        <v>276</v>
      </c>
      <c r="AX305" s="35">
        <f t="shared" si="103"/>
        <v>1.1197188971565466</v>
      </c>
      <c r="AY305" s="10" t="s">
        <v>276</v>
      </c>
      <c r="AZ305" s="10" t="s">
        <v>276</v>
      </c>
      <c r="BA305" s="10" t="s">
        <v>276</v>
      </c>
      <c r="BB305" s="10" t="s">
        <v>98</v>
      </c>
      <c r="BC305" s="10" t="s">
        <v>98</v>
      </c>
      <c r="BD305" s="10" t="s">
        <v>98</v>
      </c>
      <c r="BE305" s="10" t="s">
        <v>98</v>
      </c>
      <c r="BF305" s="9" t="s">
        <v>1508</v>
      </c>
      <c r="BG305" s="9"/>
      <c r="BH305" s="9" t="s">
        <v>100</v>
      </c>
      <c r="BI305" s="9" t="s">
        <v>100</v>
      </c>
      <c r="BJ305" s="32"/>
      <c r="BK305" s="32"/>
      <c r="BL305" s="33"/>
      <c r="BM305" s="33"/>
      <c r="BN305" s="33"/>
      <c r="BO305" s="32"/>
      <c r="BP305" s="32"/>
      <c r="BQ305" s="33"/>
    </row>
    <row r="306" spans="1:69" s="6" customFormat="1" ht="91" hidden="1" x14ac:dyDescent="0.35">
      <c r="A306" s="8">
        <v>1582</v>
      </c>
      <c r="B306" s="8" t="s">
        <v>1608</v>
      </c>
      <c r="C306" s="9" t="s">
        <v>1556</v>
      </c>
      <c r="D306" s="9" t="s">
        <v>1749</v>
      </c>
      <c r="E306" s="8" t="s">
        <v>43</v>
      </c>
      <c r="F306" s="8" t="s">
        <v>139</v>
      </c>
      <c r="G306" s="8" t="s">
        <v>225</v>
      </c>
      <c r="H306" s="8" t="s">
        <v>125</v>
      </c>
      <c r="I306" s="8" t="s">
        <v>114</v>
      </c>
      <c r="J306" s="9" t="s">
        <v>25</v>
      </c>
      <c r="K306" s="10" t="s">
        <v>1750</v>
      </c>
      <c r="L306" s="2" t="s">
        <v>276</v>
      </c>
      <c r="M306" s="2" t="s">
        <v>276</v>
      </c>
      <c r="N306" s="10" t="s">
        <v>1736</v>
      </c>
      <c r="O306" s="10" t="s">
        <v>1744</v>
      </c>
      <c r="P306" s="9" t="s">
        <v>239</v>
      </c>
      <c r="Q306" s="36">
        <v>40178</v>
      </c>
      <c r="R306" s="10">
        <v>13</v>
      </c>
      <c r="S306" s="9" t="s">
        <v>1738</v>
      </c>
      <c r="T306" s="9" t="s">
        <v>1739</v>
      </c>
      <c r="U306" s="9">
        <v>6</v>
      </c>
      <c r="V306" s="8" t="s">
        <v>14</v>
      </c>
      <c r="W306" s="2" t="s">
        <v>98</v>
      </c>
      <c r="X306" s="10" t="s">
        <v>207</v>
      </c>
      <c r="Y306" s="13">
        <v>38340</v>
      </c>
      <c r="Z306" s="10">
        <v>38345</v>
      </c>
      <c r="AA306" s="10" t="s">
        <v>276</v>
      </c>
      <c r="AB306" s="10" t="s">
        <v>276</v>
      </c>
      <c r="AC306" s="34">
        <v>21</v>
      </c>
      <c r="AD306" s="9" t="s">
        <v>1740</v>
      </c>
      <c r="AE306" s="34">
        <v>38</v>
      </c>
      <c r="AF306" s="9" t="s">
        <v>1740</v>
      </c>
      <c r="AG306" s="9" t="s">
        <v>1751</v>
      </c>
      <c r="AH306" s="9" t="s">
        <v>1507</v>
      </c>
      <c r="AI306" s="34">
        <v>1477</v>
      </c>
      <c r="AJ306" s="34">
        <v>1269</v>
      </c>
      <c r="AK306" s="34">
        <v>392022</v>
      </c>
      <c r="AL306" s="34">
        <v>392977</v>
      </c>
      <c r="AM306" s="38">
        <v>10000</v>
      </c>
      <c r="AN306" s="8" t="s">
        <v>276</v>
      </c>
      <c r="AO306" s="14">
        <f t="shared" si="101"/>
        <v>37.676456933539448</v>
      </c>
      <c r="AP306" s="8" t="s">
        <v>276</v>
      </c>
      <c r="AQ306" s="8" t="s">
        <v>276</v>
      </c>
      <c r="AR306" s="8" t="s">
        <v>276</v>
      </c>
      <c r="AS306" s="14">
        <f t="shared" si="102"/>
        <v>32.291966196494961</v>
      </c>
      <c r="AT306" s="8" t="s">
        <v>276</v>
      </c>
      <c r="AU306" s="8" t="s">
        <v>276</v>
      </c>
      <c r="AV306" s="9" t="s">
        <v>269</v>
      </c>
      <c r="AW306" s="35" t="s">
        <v>276</v>
      </c>
      <c r="AX306" s="35">
        <f t="shared" si="103"/>
        <v>1.1667439729213185</v>
      </c>
      <c r="AY306" s="10" t="s">
        <v>276</v>
      </c>
      <c r="AZ306" s="10" t="s">
        <v>276</v>
      </c>
      <c r="BA306" s="10" t="s">
        <v>276</v>
      </c>
      <c r="BB306" s="10" t="s">
        <v>98</v>
      </c>
      <c r="BC306" s="10" t="s">
        <v>98</v>
      </c>
      <c r="BD306" s="10" t="s">
        <v>98</v>
      </c>
      <c r="BE306" s="10" t="s">
        <v>98</v>
      </c>
      <c r="BF306" s="9" t="s">
        <v>1508</v>
      </c>
      <c r="BG306" s="9"/>
      <c r="BH306" s="9" t="s">
        <v>100</v>
      </c>
      <c r="BI306" s="9" t="s">
        <v>100</v>
      </c>
      <c r="BJ306" s="32"/>
      <c r="BK306" s="32"/>
      <c r="BL306" s="33"/>
      <c r="BM306" s="33"/>
      <c r="BN306" s="33"/>
      <c r="BO306" s="32"/>
      <c r="BP306" s="32"/>
      <c r="BQ306" s="33"/>
    </row>
    <row r="307" spans="1:69" s="6" customFormat="1" ht="91" hidden="1" x14ac:dyDescent="0.35">
      <c r="A307" s="8">
        <v>1582</v>
      </c>
      <c r="B307" s="8" t="s">
        <v>1608</v>
      </c>
      <c r="C307" s="9" t="s">
        <v>1556</v>
      </c>
      <c r="D307" s="9" t="s">
        <v>1752</v>
      </c>
      <c r="E307" s="8" t="s">
        <v>43</v>
      </c>
      <c r="F307" s="8" t="s">
        <v>139</v>
      </c>
      <c r="G307" s="8" t="s">
        <v>225</v>
      </c>
      <c r="H307" s="8" t="s">
        <v>125</v>
      </c>
      <c r="I307" s="8" t="s">
        <v>114</v>
      </c>
      <c r="J307" s="9" t="s">
        <v>25</v>
      </c>
      <c r="K307" s="10" t="s">
        <v>311</v>
      </c>
      <c r="L307" s="2" t="s">
        <v>276</v>
      </c>
      <c r="M307" s="2" t="s">
        <v>276</v>
      </c>
      <c r="N307" s="10" t="s">
        <v>1736</v>
      </c>
      <c r="O307" s="10" t="s">
        <v>1744</v>
      </c>
      <c r="P307" s="9" t="s">
        <v>239</v>
      </c>
      <c r="Q307" s="36">
        <v>40178</v>
      </c>
      <c r="R307" s="10">
        <v>13</v>
      </c>
      <c r="S307" s="9" t="s">
        <v>1738</v>
      </c>
      <c r="T307" s="9" t="s">
        <v>1739</v>
      </c>
      <c r="U307" s="9">
        <v>6</v>
      </c>
      <c r="V307" s="8" t="s">
        <v>14</v>
      </c>
      <c r="W307" s="2" t="s">
        <v>98</v>
      </c>
      <c r="X307" s="10" t="s">
        <v>207</v>
      </c>
      <c r="Y307" s="13">
        <v>38340</v>
      </c>
      <c r="Z307" s="10">
        <v>38345</v>
      </c>
      <c r="AA307" s="10" t="s">
        <v>276</v>
      </c>
      <c r="AB307" s="10" t="s">
        <v>276</v>
      </c>
      <c r="AC307" s="34">
        <v>21</v>
      </c>
      <c r="AD307" s="9" t="s">
        <v>1740</v>
      </c>
      <c r="AE307" s="34">
        <v>38</v>
      </c>
      <c r="AF307" s="9" t="s">
        <v>1740</v>
      </c>
      <c r="AG307" s="9" t="s">
        <v>1753</v>
      </c>
      <c r="AH307" s="9" t="s">
        <v>1507</v>
      </c>
      <c r="AI307" s="34">
        <v>58</v>
      </c>
      <c r="AJ307" s="34">
        <v>65</v>
      </c>
      <c r="AK307" s="34">
        <v>392022</v>
      </c>
      <c r="AL307" s="34">
        <v>392977</v>
      </c>
      <c r="AM307" s="38">
        <v>10000</v>
      </c>
      <c r="AN307" s="8" t="s">
        <v>276</v>
      </c>
      <c r="AO307" s="14">
        <f t="shared" si="101"/>
        <v>1.4795088030773782</v>
      </c>
      <c r="AP307" s="8" t="s">
        <v>276</v>
      </c>
      <c r="AQ307" s="8" t="s">
        <v>276</v>
      </c>
      <c r="AR307" s="8" t="s">
        <v>276</v>
      </c>
      <c r="AS307" s="14">
        <f t="shared" si="102"/>
        <v>1.6540408217274802</v>
      </c>
      <c r="AT307" s="8" t="s">
        <v>276</v>
      </c>
      <c r="AU307" s="8" t="s">
        <v>276</v>
      </c>
      <c r="AV307" s="9" t="s">
        <v>269</v>
      </c>
      <c r="AW307" s="35" t="s">
        <v>276</v>
      </c>
      <c r="AX307" s="35">
        <f t="shared" si="103"/>
        <v>0.89448143216452136</v>
      </c>
      <c r="AY307" s="10" t="s">
        <v>276</v>
      </c>
      <c r="AZ307" s="10" t="s">
        <v>276</v>
      </c>
      <c r="BA307" s="10" t="s">
        <v>276</v>
      </c>
      <c r="BB307" s="10" t="s">
        <v>98</v>
      </c>
      <c r="BC307" s="10" t="s">
        <v>98</v>
      </c>
      <c r="BD307" s="10" t="s">
        <v>98</v>
      </c>
      <c r="BE307" s="10" t="s">
        <v>98</v>
      </c>
      <c r="BF307" s="9" t="s">
        <v>1508</v>
      </c>
      <c r="BG307" s="9"/>
      <c r="BH307" s="9" t="s">
        <v>100</v>
      </c>
      <c r="BI307" s="9" t="s">
        <v>100</v>
      </c>
      <c r="BJ307" s="32"/>
      <c r="BK307" s="32"/>
      <c r="BL307" s="33"/>
      <c r="BM307" s="33"/>
      <c r="BN307" s="33"/>
      <c r="BO307" s="32"/>
      <c r="BP307" s="32"/>
      <c r="BQ307" s="33"/>
    </row>
    <row r="308" spans="1:69" s="6" customFormat="1" ht="91" hidden="1" x14ac:dyDescent="0.35">
      <c r="A308" s="8">
        <v>1582</v>
      </c>
      <c r="B308" s="8" t="s">
        <v>1608</v>
      </c>
      <c r="C308" s="9" t="s">
        <v>1556</v>
      </c>
      <c r="D308" s="9" t="s">
        <v>1754</v>
      </c>
      <c r="E308" s="8" t="s">
        <v>43</v>
      </c>
      <c r="F308" s="8" t="s">
        <v>139</v>
      </c>
      <c r="G308" s="8" t="s">
        <v>225</v>
      </c>
      <c r="H308" s="8" t="s">
        <v>125</v>
      </c>
      <c r="I308" s="8" t="s">
        <v>114</v>
      </c>
      <c r="J308" s="9" t="s">
        <v>25</v>
      </c>
      <c r="K308" s="10" t="s">
        <v>314</v>
      </c>
      <c r="L308" s="2" t="s">
        <v>276</v>
      </c>
      <c r="M308" s="2" t="s">
        <v>276</v>
      </c>
      <c r="N308" s="10" t="s">
        <v>1736</v>
      </c>
      <c r="O308" s="10" t="s">
        <v>1744</v>
      </c>
      <c r="P308" s="9" t="s">
        <v>239</v>
      </c>
      <c r="Q308" s="36">
        <v>40178</v>
      </c>
      <c r="R308" s="10">
        <v>13</v>
      </c>
      <c r="S308" s="9" t="s">
        <v>1738</v>
      </c>
      <c r="T308" s="9" t="s">
        <v>1739</v>
      </c>
      <c r="U308" s="9">
        <v>6</v>
      </c>
      <c r="V308" s="8" t="s">
        <v>14</v>
      </c>
      <c r="W308" s="2" t="s">
        <v>98</v>
      </c>
      <c r="X308" s="10" t="s">
        <v>207</v>
      </c>
      <c r="Y308" s="13">
        <v>38340</v>
      </c>
      <c r="Z308" s="10">
        <v>38345</v>
      </c>
      <c r="AA308" s="10" t="s">
        <v>276</v>
      </c>
      <c r="AB308" s="10" t="s">
        <v>276</v>
      </c>
      <c r="AC308" s="34">
        <v>21</v>
      </c>
      <c r="AD308" s="9" t="s">
        <v>1740</v>
      </c>
      <c r="AE308" s="34">
        <v>38</v>
      </c>
      <c r="AF308" s="9" t="s">
        <v>1740</v>
      </c>
      <c r="AG308" s="9" t="s">
        <v>1755</v>
      </c>
      <c r="AH308" s="9" t="s">
        <v>1507</v>
      </c>
      <c r="AI308" s="34">
        <v>96</v>
      </c>
      <c r="AJ308" s="34">
        <v>111</v>
      </c>
      <c r="AK308" s="34">
        <v>392022</v>
      </c>
      <c r="AL308" s="34">
        <v>392977</v>
      </c>
      <c r="AM308" s="38">
        <v>10000</v>
      </c>
      <c r="AN308" s="8" t="s">
        <v>276</v>
      </c>
      <c r="AO308" s="14">
        <f>AI308/AK308*AM308</f>
        <v>2.4488421568177294</v>
      </c>
      <c r="AP308" s="8" t="s">
        <v>276</v>
      </c>
      <c r="AQ308" s="8" t="s">
        <v>276</v>
      </c>
      <c r="AR308" s="8" t="s">
        <v>276</v>
      </c>
      <c r="AS308" s="14">
        <f t="shared" si="102"/>
        <v>2.8245927878730819</v>
      </c>
      <c r="AT308" s="8" t="s">
        <v>276</v>
      </c>
      <c r="AU308" s="8" t="s">
        <v>276</v>
      </c>
      <c r="AV308" s="9" t="s">
        <v>269</v>
      </c>
      <c r="AW308" s="35" t="s">
        <v>276</v>
      </c>
      <c r="AX308" s="35">
        <f t="shared" si="103"/>
        <v>0.8669717515853701</v>
      </c>
      <c r="AY308" s="10" t="s">
        <v>276</v>
      </c>
      <c r="AZ308" s="10" t="s">
        <v>276</v>
      </c>
      <c r="BA308" s="10" t="s">
        <v>276</v>
      </c>
      <c r="BB308" s="10" t="s">
        <v>98</v>
      </c>
      <c r="BC308" s="10" t="s">
        <v>98</v>
      </c>
      <c r="BD308" s="10" t="s">
        <v>98</v>
      </c>
      <c r="BE308" s="10" t="s">
        <v>98</v>
      </c>
      <c r="BF308" s="9" t="s">
        <v>1508</v>
      </c>
      <c r="BG308" s="9"/>
      <c r="BH308" s="9" t="s">
        <v>100</v>
      </c>
      <c r="BI308" s="9" t="s">
        <v>100</v>
      </c>
      <c r="BJ308" s="32"/>
      <c r="BK308" s="32"/>
      <c r="BL308" s="33"/>
      <c r="BM308" s="33"/>
      <c r="BN308" s="33"/>
      <c r="BO308" s="32"/>
      <c r="BP308" s="32"/>
      <c r="BQ308" s="33"/>
    </row>
    <row r="309" spans="1:69" s="6" customFormat="1" ht="91" hidden="1" x14ac:dyDescent="0.35">
      <c r="A309" s="8">
        <v>1582</v>
      </c>
      <c r="B309" s="8" t="s">
        <v>1608</v>
      </c>
      <c r="C309" s="9" t="s">
        <v>1556</v>
      </c>
      <c r="D309" s="9" t="s">
        <v>1756</v>
      </c>
      <c r="E309" s="8" t="s">
        <v>43</v>
      </c>
      <c r="F309" s="8" t="s">
        <v>139</v>
      </c>
      <c r="G309" s="8" t="s">
        <v>225</v>
      </c>
      <c r="H309" s="8" t="s">
        <v>125</v>
      </c>
      <c r="I309" s="8" t="s">
        <v>114</v>
      </c>
      <c r="J309" s="9" t="s">
        <v>29</v>
      </c>
      <c r="K309" s="68" t="s">
        <v>1709</v>
      </c>
      <c r="L309" s="2" t="s">
        <v>276</v>
      </c>
      <c r="M309" s="2" t="s">
        <v>276</v>
      </c>
      <c r="N309" s="10" t="s">
        <v>1757</v>
      </c>
      <c r="O309" s="10" t="s">
        <v>1744</v>
      </c>
      <c r="P309" s="9" t="s">
        <v>239</v>
      </c>
      <c r="Q309" s="36">
        <v>40178</v>
      </c>
      <c r="R309" s="10">
        <v>13</v>
      </c>
      <c r="S309" s="9" t="s">
        <v>1758</v>
      </c>
      <c r="T309" s="9" t="s">
        <v>1739</v>
      </c>
      <c r="U309" s="9">
        <v>6</v>
      </c>
      <c r="V309" s="8" t="s">
        <v>14</v>
      </c>
      <c r="W309" s="2" t="s">
        <v>98</v>
      </c>
      <c r="X309" s="10" t="s">
        <v>207</v>
      </c>
      <c r="Y309" s="13">
        <v>38340</v>
      </c>
      <c r="Z309" s="10">
        <v>38345</v>
      </c>
      <c r="AA309" s="10" t="s">
        <v>276</v>
      </c>
      <c r="AB309" s="10" t="s">
        <v>276</v>
      </c>
      <c r="AC309" s="8" t="s">
        <v>276</v>
      </c>
      <c r="AD309" s="9" t="s">
        <v>1759</v>
      </c>
      <c r="AE309" s="8" t="s">
        <v>276</v>
      </c>
      <c r="AF309" s="9" t="s">
        <v>1759</v>
      </c>
      <c r="AG309" s="9" t="s">
        <v>1760</v>
      </c>
      <c r="AH309" s="9" t="s">
        <v>1507</v>
      </c>
      <c r="AI309" s="34">
        <v>401</v>
      </c>
      <c r="AJ309" s="34">
        <v>454</v>
      </c>
      <c r="AK309" s="34">
        <v>392022</v>
      </c>
      <c r="AL309" s="34">
        <v>392977</v>
      </c>
      <c r="AM309" s="38">
        <v>10000</v>
      </c>
      <c r="AN309" s="8" t="s">
        <v>276</v>
      </c>
      <c r="AO309" s="14">
        <f t="shared" ref="AO309:AO324" si="104">AI309/AK309*AM309</f>
        <v>10.229017759207393</v>
      </c>
      <c r="AP309" s="8" t="s">
        <v>276</v>
      </c>
      <c r="AQ309" s="8" t="s">
        <v>276</v>
      </c>
      <c r="AR309" s="8" t="s">
        <v>276</v>
      </c>
      <c r="AS309" s="14">
        <f t="shared" si="102"/>
        <v>11.552838970219632</v>
      </c>
      <c r="AT309" s="8" t="s">
        <v>276</v>
      </c>
      <c r="AU309" s="8" t="s">
        <v>276</v>
      </c>
      <c r="AV309" s="9" t="s">
        <v>269</v>
      </c>
      <c r="AW309" s="40">
        <v>0.89</v>
      </c>
      <c r="AX309" s="35">
        <f t="shared" si="103"/>
        <v>0.88541161056388618</v>
      </c>
      <c r="AY309" s="10">
        <v>0.77</v>
      </c>
      <c r="AZ309" s="10">
        <v>1.01</v>
      </c>
      <c r="BA309" s="10" t="s">
        <v>276</v>
      </c>
      <c r="BB309" s="10" t="s">
        <v>98</v>
      </c>
      <c r="BC309" s="10" t="s">
        <v>98</v>
      </c>
      <c r="BD309" s="10" t="s">
        <v>98</v>
      </c>
      <c r="BE309" s="10" t="s">
        <v>98</v>
      </c>
      <c r="BF309" s="9" t="s">
        <v>1761</v>
      </c>
      <c r="BG309" s="9"/>
      <c r="BH309" s="9" t="s">
        <v>100</v>
      </c>
      <c r="BI309" s="9" t="s">
        <v>100</v>
      </c>
      <c r="BJ309" s="32"/>
      <c r="BK309" s="32"/>
      <c r="BL309" s="33"/>
      <c r="BM309" s="33"/>
      <c r="BN309" s="33"/>
      <c r="BO309" s="32"/>
      <c r="BP309" s="32"/>
      <c r="BQ309" s="33"/>
    </row>
    <row r="310" spans="1:69" s="33" customFormat="1" ht="91" hidden="1" x14ac:dyDescent="0.35">
      <c r="A310" s="8">
        <v>1582</v>
      </c>
      <c r="B310" s="8" t="s">
        <v>1608</v>
      </c>
      <c r="C310" s="9" t="s">
        <v>1556</v>
      </c>
      <c r="D310" s="9" t="s">
        <v>1762</v>
      </c>
      <c r="E310" s="8" t="s">
        <v>43</v>
      </c>
      <c r="F310" s="8" t="s">
        <v>139</v>
      </c>
      <c r="G310" s="8" t="s">
        <v>225</v>
      </c>
      <c r="H310" s="8" t="s">
        <v>125</v>
      </c>
      <c r="I310" s="8" t="s">
        <v>114</v>
      </c>
      <c r="J310" s="9" t="s">
        <v>29</v>
      </c>
      <c r="K310" s="69" t="s">
        <v>1709</v>
      </c>
      <c r="L310" s="8" t="s">
        <v>276</v>
      </c>
      <c r="M310" s="8" t="s">
        <v>276</v>
      </c>
      <c r="N310" s="9" t="s">
        <v>1757</v>
      </c>
      <c r="O310" s="9" t="s">
        <v>1744</v>
      </c>
      <c r="P310" s="9" t="s">
        <v>235</v>
      </c>
      <c r="Q310" s="52">
        <v>40178</v>
      </c>
      <c r="R310" s="9">
        <v>13</v>
      </c>
      <c r="S310" s="9" t="s">
        <v>1758</v>
      </c>
      <c r="T310" s="9" t="s">
        <v>1739</v>
      </c>
      <c r="U310" s="9">
        <v>6</v>
      </c>
      <c r="V310" s="8" t="s">
        <v>14</v>
      </c>
      <c r="W310" s="8" t="s">
        <v>98</v>
      </c>
      <c r="X310" s="9" t="s">
        <v>207</v>
      </c>
      <c r="Y310" s="13" t="s">
        <v>98</v>
      </c>
      <c r="Z310" s="9" t="s">
        <v>98</v>
      </c>
      <c r="AA310" s="9" t="s">
        <v>276</v>
      </c>
      <c r="AB310" s="9" t="s">
        <v>276</v>
      </c>
      <c r="AC310" s="8" t="s">
        <v>276</v>
      </c>
      <c r="AD310" s="9" t="s">
        <v>1759</v>
      </c>
      <c r="AE310" s="8" t="s">
        <v>276</v>
      </c>
      <c r="AF310" s="9" t="s">
        <v>1759</v>
      </c>
      <c r="AG310" s="9" t="s">
        <v>1760</v>
      </c>
      <c r="AH310" s="9" t="s">
        <v>1763</v>
      </c>
      <c r="AI310" s="38">
        <v>401</v>
      </c>
      <c r="AJ310" s="38">
        <v>454</v>
      </c>
      <c r="AK310" s="38">
        <v>4250</v>
      </c>
      <c r="AL310" s="38">
        <v>3815</v>
      </c>
      <c r="AM310" s="38">
        <v>100</v>
      </c>
      <c r="AN310" s="8" t="s">
        <v>276</v>
      </c>
      <c r="AO310" s="14">
        <f t="shared" si="104"/>
        <v>9.4352941176470591</v>
      </c>
      <c r="AP310" s="8" t="s">
        <v>276</v>
      </c>
      <c r="AQ310" s="8" t="s">
        <v>276</v>
      </c>
      <c r="AR310" s="8" t="s">
        <v>276</v>
      </c>
      <c r="AS310" s="14">
        <f t="shared" si="102"/>
        <v>11.900393184796854</v>
      </c>
      <c r="AT310" s="8" t="s">
        <v>276</v>
      </c>
      <c r="AU310" s="8" t="s">
        <v>276</v>
      </c>
      <c r="AV310" s="9" t="s">
        <v>268</v>
      </c>
      <c r="AW310" s="40" t="s">
        <v>276</v>
      </c>
      <c r="AX310" s="40">
        <f t="shared" si="103"/>
        <v>0.79285566208862401</v>
      </c>
      <c r="AY310" s="40" t="s">
        <v>276</v>
      </c>
      <c r="AZ310" s="40" t="s">
        <v>276</v>
      </c>
      <c r="BA310" s="9" t="s">
        <v>276</v>
      </c>
      <c r="BB310" s="9" t="s">
        <v>98</v>
      </c>
      <c r="BC310" s="9" t="s">
        <v>98</v>
      </c>
      <c r="BD310" s="9" t="s">
        <v>98</v>
      </c>
      <c r="BE310" s="9" t="s">
        <v>98</v>
      </c>
      <c r="BF310" s="9" t="s">
        <v>1764</v>
      </c>
      <c r="BG310" s="9"/>
      <c r="BH310" s="9" t="s">
        <v>100</v>
      </c>
      <c r="BI310" s="9" t="s">
        <v>100</v>
      </c>
      <c r="BJ310" s="32"/>
      <c r="BK310" s="32"/>
      <c r="BO310" s="32"/>
      <c r="BP310" s="32"/>
    </row>
    <row r="311" spans="1:69" s="6" customFormat="1" ht="65" hidden="1" x14ac:dyDescent="0.35">
      <c r="A311" s="8">
        <v>1075</v>
      </c>
      <c r="B311" s="8" t="s">
        <v>1765</v>
      </c>
      <c r="C311" s="9" t="s">
        <v>1556</v>
      </c>
      <c r="D311" s="9" t="s">
        <v>1766</v>
      </c>
      <c r="E311" s="8" t="s">
        <v>43</v>
      </c>
      <c r="F311" s="8" t="s">
        <v>139</v>
      </c>
      <c r="G311" s="8" t="s">
        <v>225</v>
      </c>
      <c r="H311" s="8" t="s">
        <v>125</v>
      </c>
      <c r="I311" s="8" t="s">
        <v>114</v>
      </c>
      <c r="J311" s="9" t="s">
        <v>29</v>
      </c>
      <c r="K311" s="42" t="s">
        <v>1709</v>
      </c>
      <c r="L311" s="2" t="s">
        <v>276</v>
      </c>
      <c r="M311" s="2" t="s">
        <v>276</v>
      </c>
      <c r="N311" s="9" t="s">
        <v>1767</v>
      </c>
      <c r="O311" s="10" t="s">
        <v>1744</v>
      </c>
      <c r="P311" s="9" t="s">
        <v>239</v>
      </c>
      <c r="Q311" s="36">
        <v>40178</v>
      </c>
      <c r="R311" s="10">
        <v>13</v>
      </c>
      <c r="S311" s="9" t="s">
        <v>276</v>
      </c>
      <c r="T311" s="9" t="s">
        <v>276</v>
      </c>
      <c r="U311" s="9">
        <v>6</v>
      </c>
      <c r="V311" s="8" t="s">
        <v>14</v>
      </c>
      <c r="W311" s="2" t="s">
        <v>98</v>
      </c>
      <c r="X311" s="10" t="s">
        <v>207</v>
      </c>
      <c r="Y311" s="13">
        <v>38343</v>
      </c>
      <c r="Z311" s="10">
        <v>38350</v>
      </c>
      <c r="AA311" s="10" t="s">
        <v>276</v>
      </c>
      <c r="AB311" s="10" t="s">
        <v>276</v>
      </c>
      <c r="AC311" s="8">
        <v>69</v>
      </c>
      <c r="AD311" s="9" t="s">
        <v>1759</v>
      </c>
      <c r="AE311" s="8">
        <v>46</v>
      </c>
      <c r="AF311" s="9" t="s">
        <v>1759</v>
      </c>
      <c r="AG311" s="9" t="s">
        <v>1760</v>
      </c>
      <c r="AH311" s="9" t="s">
        <v>1704</v>
      </c>
      <c r="AI311" s="34">
        <v>434</v>
      </c>
      <c r="AJ311" s="34">
        <v>496</v>
      </c>
      <c r="AK311" s="13">
        <v>38343</v>
      </c>
      <c r="AL311" s="10">
        <v>38350</v>
      </c>
      <c r="AM311" s="38">
        <v>1000</v>
      </c>
      <c r="AN311" s="8" t="s">
        <v>276</v>
      </c>
      <c r="AO311" s="14">
        <f t="shared" si="104"/>
        <v>11.31888480296273</v>
      </c>
      <c r="AP311" s="8" t="s">
        <v>276</v>
      </c>
      <c r="AQ311" s="8" t="s">
        <v>276</v>
      </c>
      <c r="AR311" s="8" t="s">
        <v>276</v>
      </c>
      <c r="AS311" s="14">
        <f t="shared" si="102"/>
        <v>12.933507170795307</v>
      </c>
      <c r="AT311" s="8" t="s">
        <v>276</v>
      </c>
      <c r="AU311" s="8" t="s">
        <v>276</v>
      </c>
      <c r="AV311" s="9" t="s">
        <v>268</v>
      </c>
      <c r="AW311" s="8" t="s">
        <v>276</v>
      </c>
      <c r="AX311" s="14">
        <f t="shared" si="103"/>
        <v>0.87515974232584814</v>
      </c>
      <c r="AY311" s="8" t="s">
        <v>276</v>
      </c>
      <c r="AZ311" s="8" t="s">
        <v>276</v>
      </c>
      <c r="BA311" s="8" t="s">
        <v>276</v>
      </c>
      <c r="BB311" s="10" t="s">
        <v>98</v>
      </c>
      <c r="BC311" s="10" t="s">
        <v>98</v>
      </c>
      <c r="BD311" s="10" t="s">
        <v>98</v>
      </c>
      <c r="BE311" s="10" t="s">
        <v>98</v>
      </c>
      <c r="BF311" s="9" t="s">
        <v>1768</v>
      </c>
      <c r="BG311" s="9"/>
      <c r="BH311" s="9" t="s">
        <v>100</v>
      </c>
      <c r="BI311" s="9" t="s">
        <v>100</v>
      </c>
      <c r="BJ311" s="32"/>
      <c r="BK311" s="32"/>
      <c r="BL311" s="33"/>
      <c r="BM311" s="33"/>
      <c r="BN311" s="33"/>
      <c r="BO311" s="32"/>
      <c r="BP311" s="32"/>
      <c r="BQ311" s="33"/>
    </row>
    <row r="312" spans="1:69" s="33" customFormat="1" ht="65" hidden="1" x14ac:dyDescent="0.35">
      <c r="A312" s="8">
        <v>1075</v>
      </c>
      <c r="B312" s="8" t="s">
        <v>1765</v>
      </c>
      <c r="C312" s="9" t="s">
        <v>1556</v>
      </c>
      <c r="D312" s="9" t="s">
        <v>1769</v>
      </c>
      <c r="E312" s="8" t="s">
        <v>43</v>
      </c>
      <c r="F312" s="8" t="s">
        <v>139</v>
      </c>
      <c r="G312" s="8" t="s">
        <v>225</v>
      </c>
      <c r="H312" s="8" t="s">
        <v>125</v>
      </c>
      <c r="I312" s="8" t="s">
        <v>114</v>
      </c>
      <c r="J312" s="9" t="s">
        <v>29</v>
      </c>
      <c r="K312" s="8">
        <v>7</v>
      </c>
      <c r="L312" s="8" t="s">
        <v>276</v>
      </c>
      <c r="M312" s="8" t="s">
        <v>276</v>
      </c>
      <c r="N312" s="9" t="s">
        <v>1767</v>
      </c>
      <c r="O312" s="9" t="s">
        <v>1744</v>
      </c>
      <c r="P312" s="9" t="s">
        <v>239</v>
      </c>
      <c r="Q312" s="52">
        <v>40178</v>
      </c>
      <c r="R312" s="9">
        <v>13</v>
      </c>
      <c r="S312" s="9" t="s">
        <v>276</v>
      </c>
      <c r="T312" s="9" t="s">
        <v>276</v>
      </c>
      <c r="U312" s="9">
        <v>6</v>
      </c>
      <c r="V312" s="8" t="s">
        <v>14</v>
      </c>
      <c r="W312" s="8" t="s">
        <v>98</v>
      </c>
      <c r="X312" s="9" t="s">
        <v>207</v>
      </c>
      <c r="Y312" s="13">
        <v>38343</v>
      </c>
      <c r="Z312" s="9">
        <v>38350</v>
      </c>
      <c r="AA312" s="9" t="s">
        <v>276</v>
      </c>
      <c r="AB312" s="9" t="s">
        <v>276</v>
      </c>
      <c r="AC312" s="8">
        <v>69</v>
      </c>
      <c r="AD312" s="9" t="s">
        <v>1759</v>
      </c>
      <c r="AE312" s="8">
        <v>46</v>
      </c>
      <c r="AF312" s="9" t="s">
        <v>1759</v>
      </c>
      <c r="AG312" s="9" t="s">
        <v>1770</v>
      </c>
      <c r="AH312" s="9" t="s">
        <v>1704</v>
      </c>
      <c r="AI312" s="38">
        <v>1318</v>
      </c>
      <c r="AJ312" s="38">
        <v>1257</v>
      </c>
      <c r="AK312" s="13">
        <v>38343</v>
      </c>
      <c r="AL312" s="9">
        <v>38350</v>
      </c>
      <c r="AM312" s="38">
        <v>1000</v>
      </c>
      <c r="AN312" s="8" t="s">
        <v>276</v>
      </c>
      <c r="AO312" s="14">
        <f t="shared" si="104"/>
        <v>34.37394048457346</v>
      </c>
      <c r="AP312" s="8" t="s">
        <v>276</v>
      </c>
      <c r="AQ312" s="8" t="s">
        <v>276</v>
      </c>
      <c r="AR312" s="8" t="s">
        <v>276</v>
      </c>
      <c r="AS312" s="14">
        <f t="shared" si="102"/>
        <v>32.777053455019555</v>
      </c>
      <c r="AT312" s="8" t="s">
        <v>276</v>
      </c>
      <c r="AU312" s="8" t="s">
        <v>276</v>
      </c>
      <c r="AV312" s="9" t="s">
        <v>268</v>
      </c>
      <c r="AW312" s="8" t="s">
        <v>276</v>
      </c>
      <c r="AX312" s="14">
        <f t="shared" si="103"/>
        <v>1.0487196639486016</v>
      </c>
      <c r="AY312" s="8" t="s">
        <v>276</v>
      </c>
      <c r="AZ312" s="8" t="s">
        <v>276</v>
      </c>
      <c r="BA312" s="8" t="s">
        <v>276</v>
      </c>
      <c r="BB312" s="9" t="s">
        <v>98</v>
      </c>
      <c r="BC312" s="9" t="s">
        <v>98</v>
      </c>
      <c r="BD312" s="9" t="s">
        <v>98</v>
      </c>
      <c r="BE312" s="9" t="s">
        <v>98</v>
      </c>
      <c r="BF312" s="9" t="s">
        <v>1358</v>
      </c>
      <c r="BG312" s="9"/>
      <c r="BH312" s="9" t="s">
        <v>100</v>
      </c>
      <c r="BI312" s="9" t="s">
        <v>100</v>
      </c>
      <c r="BJ312" s="32"/>
      <c r="BK312" s="32"/>
      <c r="BO312" s="32"/>
      <c r="BP312" s="32"/>
    </row>
    <row r="313" spans="1:69" s="33" customFormat="1" ht="65" hidden="1" x14ac:dyDescent="0.35">
      <c r="A313" s="8">
        <v>1075</v>
      </c>
      <c r="B313" s="8" t="s">
        <v>1765</v>
      </c>
      <c r="C313" s="9" t="s">
        <v>1556</v>
      </c>
      <c r="D313" s="9" t="s">
        <v>1771</v>
      </c>
      <c r="E313" s="8" t="s">
        <v>43</v>
      </c>
      <c r="F313" s="8" t="s">
        <v>139</v>
      </c>
      <c r="G313" s="8" t="s">
        <v>225</v>
      </c>
      <c r="H313" s="8" t="s">
        <v>125</v>
      </c>
      <c r="I313" s="8" t="s">
        <v>114</v>
      </c>
      <c r="J313" s="9" t="s">
        <v>29</v>
      </c>
      <c r="K313" s="42" t="s">
        <v>1772</v>
      </c>
      <c r="L313" s="8" t="s">
        <v>276</v>
      </c>
      <c r="M313" s="8" t="s">
        <v>276</v>
      </c>
      <c r="N313" s="9" t="s">
        <v>1767</v>
      </c>
      <c r="O313" s="9" t="s">
        <v>1744</v>
      </c>
      <c r="P313" s="9" t="s">
        <v>239</v>
      </c>
      <c r="Q313" s="52">
        <v>40178</v>
      </c>
      <c r="R313" s="9">
        <v>13</v>
      </c>
      <c r="S313" s="9" t="s">
        <v>276</v>
      </c>
      <c r="T313" s="9" t="s">
        <v>276</v>
      </c>
      <c r="U313" s="9">
        <v>6</v>
      </c>
      <c r="V313" s="8" t="s">
        <v>14</v>
      </c>
      <c r="W313" s="8" t="s">
        <v>98</v>
      </c>
      <c r="X313" s="9" t="s">
        <v>207</v>
      </c>
      <c r="Y313" s="13">
        <v>38343</v>
      </c>
      <c r="Z313" s="9">
        <v>38350</v>
      </c>
      <c r="AA313" s="9" t="s">
        <v>276</v>
      </c>
      <c r="AB313" s="9" t="s">
        <v>276</v>
      </c>
      <c r="AC313" s="8">
        <v>69</v>
      </c>
      <c r="AD313" s="9" t="s">
        <v>1759</v>
      </c>
      <c r="AE313" s="8">
        <v>46</v>
      </c>
      <c r="AF313" s="9" t="s">
        <v>1759</v>
      </c>
      <c r="AG313" s="9" t="s">
        <v>1773</v>
      </c>
      <c r="AH313" s="9" t="s">
        <v>1704</v>
      </c>
      <c r="AI313" s="38">
        <v>2429</v>
      </c>
      <c r="AJ313" s="38">
        <v>2016</v>
      </c>
      <c r="AK313" s="13">
        <v>38343</v>
      </c>
      <c r="AL313" s="9">
        <v>38350</v>
      </c>
      <c r="AM313" s="38">
        <v>1000</v>
      </c>
      <c r="AN313" s="8" t="s">
        <v>276</v>
      </c>
      <c r="AO313" s="14">
        <f t="shared" si="104"/>
        <v>63.349242364968831</v>
      </c>
      <c r="AP313" s="8" t="s">
        <v>276</v>
      </c>
      <c r="AQ313" s="8" t="s">
        <v>276</v>
      </c>
      <c r="AR313" s="8" t="s">
        <v>276</v>
      </c>
      <c r="AS313" s="14">
        <f t="shared" si="102"/>
        <v>52.56844850065189</v>
      </c>
      <c r="AT313" s="8" t="s">
        <v>276</v>
      </c>
      <c r="AU313" s="8" t="s">
        <v>276</v>
      </c>
      <c r="AV313" s="9" t="s">
        <v>268</v>
      </c>
      <c r="AW313" s="8" t="s">
        <v>276</v>
      </c>
      <c r="AX313" s="14">
        <f t="shared" si="103"/>
        <v>1.2050810737582116</v>
      </c>
      <c r="AY313" s="8" t="s">
        <v>276</v>
      </c>
      <c r="AZ313" s="8" t="s">
        <v>276</v>
      </c>
      <c r="BA313" s="8" t="s">
        <v>276</v>
      </c>
      <c r="BB313" s="9" t="s">
        <v>98</v>
      </c>
      <c r="BC313" s="9" t="s">
        <v>98</v>
      </c>
      <c r="BD313" s="9" t="s">
        <v>98</v>
      </c>
      <c r="BE313" s="9" t="s">
        <v>98</v>
      </c>
      <c r="BF313" s="9" t="s">
        <v>1358</v>
      </c>
      <c r="BG313" s="9"/>
      <c r="BH313" s="9" t="s">
        <v>100</v>
      </c>
      <c r="BI313" s="9" t="s">
        <v>100</v>
      </c>
      <c r="BJ313" s="32"/>
      <c r="BK313" s="32"/>
      <c r="BO313" s="32"/>
      <c r="BP313" s="32"/>
    </row>
    <row r="314" spans="1:69" s="33" customFormat="1" ht="65" hidden="1" x14ac:dyDescent="0.35">
      <c r="A314" s="8">
        <v>1075</v>
      </c>
      <c r="B314" s="8" t="s">
        <v>1765</v>
      </c>
      <c r="C314" s="9" t="s">
        <v>1556</v>
      </c>
      <c r="D314" s="9" t="s">
        <v>1774</v>
      </c>
      <c r="E314" s="8" t="s">
        <v>43</v>
      </c>
      <c r="F314" s="8" t="s">
        <v>139</v>
      </c>
      <c r="G314" s="8" t="s">
        <v>225</v>
      </c>
      <c r="H314" s="8" t="s">
        <v>125</v>
      </c>
      <c r="I314" s="8" t="s">
        <v>114</v>
      </c>
      <c r="J314" s="9" t="s">
        <v>29</v>
      </c>
      <c r="K314" s="42" t="s">
        <v>1709</v>
      </c>
      <c r="L314" s="8" t="s">
        <v>276</v>
      </c>
      <c r="M314" s="8" t="s">
        <v>276</v>
      </c>
      <c r="N314" s="9" t="s">
        <v>1775</v>
      </c>
      <c r="O314" s="9" t="s">
        <v>1744</v>
      </c>
      <c r="P314" s="9" t="s">
        <v>235</v>
      </c>
      <c r="Q314" s="52">
        <v>40178</v>
      </c>
      <c r="R314" s="9">
        <v>13</v>
      </c>
      <c r="S314" s="9" t="s">
        <v>276</v>
      </c>
      <c r="T314" s="9" t="s">
        <v>276</v>
      </c>
      <c r="U314" s="9">
        <v>6</v>
      </c>
      <c r="V314" s="8" t="s">
        <v>14</v>
      </c>
      <c r="W314" s="8" t="s">
        <v>98</v>
      </c>
      <c r="X314" s="9" t="s">
        <v>207</v>
      </c>
      <c r="Y314" s="13" t="s">
        <v>98</v>
      </c>
      <c r="Z314" s="9" t="s">
        <v>98</v>
      </c>
      <c r="AA314" s="9" t="s">
        <v>276</v>
      </c>
      <c r="AB314" s="9" t="s">
        <v>276</v>
      </c>
      <c r="AC314" s="8">
        <v>69</v>
      </c>
      <c r="AD314" s="9" t="s">
        <v>1759</v>
      </c>
      <c r="AE314" s="8">
        <v>46</v>
      </c>
      <c r="AF314" s="9" t="s">
        <v>1759</v>
      </c>
      <c r="AG314" s="9" t="s">
        <v>1760</v>
      </c>
      <c r="AH314" s="9" t="s">
        <v>1776</v>
      </c>
      <c r="AI314" s="38">
        <v>434</v>
      </c>
      <c r="AJ314" s="38">
        <v>496</v>
      </c>
      <c r="AK314" s="13">
        <v>4250</v>
      </c>
      <c r="AL314" s="9">
        <v>3815</v>
      </c>
      <c r="AM314" s="38">
        <v>100</v>
      </c>
      <c r="AN314" s="8">
        <v>10.199999999999999</v>
      </c>
      <c r="AO314" s="14">
        <f t="shared" si="104"/>
        <v>10.211764705882354</v>
      </c>
      <c r="AP314" s="8" t="s">
        <v>276</v>
      </c>
      <c r="AQ314" s="8" t="s">
        <v>276</v>
      </c>
      <c r="AR314" s="8">
        <v>13</v>
      </c>
      <c r="AS314" s="14">
        <f t="shared" si="102"/>
        <v>13.001310615989514</v>
      </c>
      <c r="AT314" s="8" t="s">
        <v>276</v>
      </c>
      <c r="AU314" s="8" t="s">
        <v>276</v>
      </c>
      <c r="AV314" s="9" t="s">
        <v>268</v>
      </c>
      <c r="AW314" s="8" t="s">
        <v>276</v>
      </c>
      <c r="AX314" s="14">
        <f t="shared" si="103"/>
        <v>0.78544117647058842</v>
      </c>
      <c r="AY314" s="8" t="s">
        <v>276</v>
      </c>
      <c r="AZ314" s="8" t="s">
        <v>276</v>
      </c>
      <c r="BA314" s="8" t="s">
        <v>276</v>
      </c>
      <c r="BB314" s="9" t="s">
        <v>98</v>
      </c>
      <c r="BC314" s="9" t="s">
        <v>98</v>
      </c>
      <c r="BD314" s="9" t="s">
        <v>98</v>
      </c>
      <c r="BE314" s="9" t="s">
        <v>98</v>
      </c>
      <c r="BF314" s="9" t="s">
        <v>1768</v>
      </c>
      <c r="BG314" s="9"/>
      <c r="BH314" s="9" t="s">
        <v>100</v>
      </c>
      <c r="BI314" s="9" t="s">
        <v>100</v>
      </c>
      <c r="BJ314" s="32"/>
      <c r="BK314" s="32"/>
      <c r="BO314" s="32"/>
      <c r="BP314" s="32"/>
    </row>
    <row r="315" spans="1:69" s="33" customFormat="1" ht="65" hidden="1" x14ac:dyDescent="0.35">
      <c r="A315" s="8">
        <v>1075</v>
      </c>
      <c r="B315" s="8" t="s">
        <v>1765</v>
      </c>
      <c r="C315" s="9" t="s">
        <v>1556</v>
      </c>
      <c r="D315" s="9" t="s">
        <v>1777</v>
      </c>
      <c r="E315" s="8" t="s">
        <v>43</v>
      </c>
      <c r="F315" s="8" t="s">
        <v>139</v>
      </c>
      <c r="G315" s="8" t="s">
        <v>225</v>
      </c>
      <c r="H315" s="8" t="s">
        <v>125</v>
      </c>
      <c r="I315" s="8" t="s">
        <v>114</v>
      </c>
      <c r="J315" s="9" t="s">
        <v>25</v>
      </c>
      <c r="K315" s="69" t="s">
        <v>1778</v>
      </c>
      <c r="L315" s="8" t="s">
        <v>276</v>
      </c>
      <c r="M315" s="8" t="s">
        <v>276</v>
      </c>
      <c r="N315" s="9" t="s">
        <v>1767</v>
      </c>
      <c r="O315" s="9" t="s">
        <v>1744</v>
      </c>
      <c r="P315" s="9" t="s">
        <v>239</v>
      </c>
      <c r="Q315" s="52">
        <v>40178</v>
      </c>
      <c r="R315" s="9">
        <v>13</v>
      </c>
      <c r="S315" s="9" t="s">
        <v>276</v>
      </c>
      <c r="T315" s="9" t="s">
        <v>276</v>
      </c>
      <c r="U315" s="9">
        <v>6</v>
      </c>
      <c r="V315" s="8" t="s">
        <v>14</v>
      </c>
      <c r="W315" s="8" t="s">
        <v>98</v>
      </c>
      <c r="X315" s="9" t="s">
        <v>207</v>
      </c>
      <c r="Y315" s="13">
        <v>38343</v>
      </c>
      <c r="Z315" s="9">
        <v>38350</v>
      </c>
      <c r="AA315" s="9" t="s">
        <v>276</v>
      </c>
      <c r="AB315" s="9" t="s">
        <v>276</v>
      </c>
      <c r="AC315" s="8">
        <v>236</v>
      </c>
      <c r="AD315" s="9" t="s">
        <v>1779</v>
      </c>
      <c r="AE315" s="8">
        <v>314</v>
      </c>
      <c r="AF315" s="9" t="s">
        <v>1779</v>
      </c>
      <c r="AG315" s="9" t="s">
        <v>1780</v>
      </c>
      <c r="AH315" s="9" t="s">
        <v>1704</v>
      </c>
      <c r="AI315" s="38">
        <v>154</v>
      </c>
      <c r="AJ315" s="38">
        <v>176</v>
      </c>
      <c r="AK315" s="13">
        <v>38343</v>
      </c>
      <c r="AL315" s="9">
        <v>38350</v>
      </c>
      <c r="AM315" s="38">
        <v>1000</v>
      </c>
      <c r="AN315" s="8" t="s">
        <v>276</v>
      </c>
      <c r="AO315" s="14">
        <f t="shared" si="104"/>
        <v>4.0163784784706467</v>
      </c>
      <c r="AP315" s="8" t="s">
        <v>276</v>
      </c>
      <c r="AQ315" s="8" t="s">
        <v>276</v>
      </c>
      <c r="AR315" s="8" t="s">
        <v>276</v>
      </c>
      <c r="AS315" s="14">
        <f t="shared" si="102"/>
        <v>4.5893089960886568</v>
      </c>
      <c r="AT315" s="8" t="s">
        <v>276</v>
      </c>
      <c r="AU315" s="8" t="s">
        <v>276</v>
      </c>
      <c r="AV315" s="9" t="s">
        <v>268</v>
      </c>
      <c r="AW315" s="8" t="s">
        <v>276</v>
      </c>
      <c r="AX315" s="14">
        <f t="shared" si="103"/>
        <v>0.87515974232584837</v>
      </c>
      <c r="AY315" s="8" t="s">
        <v>276</v>
      </c>
      <c r="AZ315" s="8" t="s">
        <v>276</v>
      </c>
      <c r="BA315" s="8" t="s">
        <v>276</v>
      </c>
      <c r="BB315" s="9" t="s">
        <v>98</v>
      </c>
      <c r="BC315" s="9" t="s">
        <v>98</v>
      </c>
      <c r="BD315" s="9" t="s">
        <v>98</v>
      </c>
      <c r="BE315" s="9" t="s">
        <v>98</v>
      </c>
      <c r="BF315" s="9" t="s">
        <v>1358</v>
      </c>
      <c r="BG315" s="9"/>
      <c r="BH315" s="9" t="s">
        <v>100</v>
      </c>
      <c r="BI315" s="9" t="s">
        <v>100</v>
      </c>
      <c r="BJ315" s="32"/>
      <c r="BK315" s="32"/>
      <c r="BO315" s="32"/>
      <c r="BP315" s="32"/>
    </row>
    <row r="316" spans="1:69" s="33" customFormat="1" ht="65" hidden="1" x14ac:dyDescent="0.35">
      <c r="A316" s="8">
        <v>1075</v>
      </c>
      <c r="B316" s="8" t="s">
        <v>1765</v>
      </c>
      <c r="C316" s="9" t="s">
        <v>1556</v>
      </c>
      <c r="D316" s="9" t="s">
        <v>1781</v>
      </c>
      <c r="E316" s="8" t="s">
        <v>43</v>
      </c>
      <c r="F316" s="8" t="s">
        <v>139</v>
      </c>
      <c r="G316" s="8" t="s">
        <v>225</v>
      </c>
      <c r="H316" s="8" t="s">
        <v>125</v>
      </c>
      <c r="I316" s="8" t="s">
        <v>114</v>
      </c>
      <c r="J316" s="9" t="s">
        <v>30</v>
      </c>
      <c r="K316" s="69" t="s">
        <v>1782</v>
      </c>
      <c r="L316" s="8" t="s">
        <v>276</v>
      </c>
      <c r="M316" s="8" t="s">
        <v>276</v>
      </c>
      <c r="N316" s="9" t="s">
        <v>1767</v>
      </c>
      <c r="O316" s="9" t="s">
        <v>1744</v>
      </c>
      <c r="P316" s="9" t="s">
        <v>239</v>
      </c>
      <c r="Q316" s="52">
        <v>40178</v>
      </c>
      <c r="R316" s="9">
        <v>13</v>
      </c>
      <c r="S316" s="9" t="s">
        <v>276</v>
      </c>
      <c r="T316" s="9" t="s">
        <v>276</v>
      </c>
      <c r="U316" s="9">
        <v>6</v>
      </c>
      <c r="V316" s="8" t="s">
        <v>14</v>
      </c>
      <c r="W316" s="8" t="s">
        <v>98</v>
      </c>
      <c r="X316" s="9" t="s">
        <v>207</v>
      </c>
      <c r="Y316" s="13">
        <v>38343</v>
      </c>
      <c r="Z316" s="9">
        <v>38350</v>
      </c>
      <c r="AA316" s="9" t="s">
        <v>276</v>
      </c>
      <c r="AB316" s="9" t="s">
        <v>276</v>
      </c>
      <c r="AC316" s="8">
        <v>236</v>
      </c>
      <c r="AD316" s="9" t="s">
        <v>1779</v>
      </c>
      <c r="AE316" s="8">
        <v>314</v>
      </c>
      <c r="AF316" s="9" t="s">
        <v>1779</v>
      </c>
      <c r="AG316" s="9" t="s">
        <v>1783</v>
      </c>
      <c r="AH316" s="9" t="s">
        <v>1704</v>
      </c>
      <c r="AI316" s="38">
        <v>451</v>
      </c>
      <c r="AJ316" s="38">
        <v>498</v>
      </c>
      <c r="AK316" s="13">
        <v>38343</v>
      </c>
      <c r="AL316" s="9">
        <v>38350</v>
      </c>
      <c r="AM316" s="38">
        <v>1000</v>
      </c>
      <c r="AN316" s="8" t="s">
        <v>276</v>
      </c>
      <c r="AO316" s="14">
        <f t="shared" si="104"/>
        <v>11.762251258378322</v>
      </c>
      <c r="AP316" s="8" t="s">
        <v>276</v>
      </c>
      <c r="AQ316" s="8" t="s">
        <v>276</v>
      </c>
      <c r="AR316" s="8" t="s">
        <v>276</v>
      </c>
      <c r="AS316" s="14">
        <f t="shared" si="102"/>
        <v>12.985658409387222</v>
      </c>
      <c r="AT316" s="8" t="s">
        <v>276</v>
      </c>
      <c r="AU316" s="8" t="s">
        <v>276</v>
      </c>
      <c r="AV316" s="9" t="s">
        <v>268</v>
      </c>
      <c r="AW316" s="8" t="s">
        <v>276</v>
      </c>
      <c r="AX316" s="14">
        <f t="shared" si="103"/>
        <v>0.90578782280885284</v>
      </c>
      <c r="AY316" s="8" t="s">
        <v>276</v>
      </c>
      <c r="AZ316" s="8" t="s">
        <v>276</v>
      </c>
      <c r="BA316" s="8" t="s">
        <v>276</v>
      </c>
      <c r="BB316" s="9" t="s">
        <v>98</v>
      </c>
      <c r="BC316" s="9" t="s">
        <v>98</v>
      </c>
      <c r="BD316" s="9" t="s">
        <v>98</v>
      </c>
      <c r="BE316" s="9" t="s">
        <v>98</v>
      </c>
      <c r="BF316" s="9" t="s">
        <v>1358</v>
      </c>
      <c r="BG316" s="9"/>
      <c r="BH316" s="9" t="s">
        <v>100</v>
      </c>
      <c r="BI316" s="9" t="s">
        <v>100</v>
      </c>
      <c r="BJ316" s="32"/>
      <c r="BK316" s="32"/>
      <c r="BO316" s="32"/>
      <c r="BP316" s="32"/>
    </row>
    <row r="317" spans="1:69" s="33" customFormat="1" ht="78" hidden="1" x14ac:dyDescent="0.35">
      <c r="A317" s="8">
        <v>1075</v>
      </c>
      <c r="B317" s="8" t="s">
        <v>1765</v>
      </c>
      <c r="C317" s="9" t="s">
        <v>1556</v>
      </c>
      <c r="D317" s="9" t="s">
        <v>1784</v>
      </c>
      <c r="E317" s="8" t="s">
        <v>43</v>
      </c>
      <c r="F317" s="8" t="s">
        <v>139</v>
      </c>
      <c r="G317" s="8" t="s">
        <v>225</v>
      </c>
      <c r="H317" s="8" t="s">
        <v>125</v>
      </c>
      <c r="I317" s="8" t="s">
        <v>114</v>
      </c>
      <c r="J317" s="9" t="s">
        <v>30</v>
      </c>
      <c r="K317" s="69" t="s">
        <v>1785</v>
      </c>
      <c r="L317" s="8" t="s">
        <v>276</v>
      </c>
      <c r="M317" s="8" t="s">
        <v>276</v>
      </c>
      <c r="N317" s="9" t="s">
        <v>1767</v>
      </c>
      <c r="O317" s="9" t="s">
        <v>1744</v>
      </c>
      <c r="P317" s="9" t="s">
        <v>239</v>
      </c>
      <c r="Q317" s="52">
        <v>40178</v>
      </c>
      <c r="R317" s="9">
        <v>13</v>
      </c>
      <c r="S317" s="9" t="s">
        <v>276</v>
      </c>
      <c r="T317" s="9" t="s">
        <v>276</v>
      </c>
      <c r="U317" s="9">
        <v>6</v>
      </c>
      <c r="V317" s="8" t="s">
        <v>14</v>
      </c>
      <c r="W317" s="8" t="s">
        <v>98</v>
      </c>
      <c r="X317" s="9" t="s">
        <v>207</v>
      </c>
      <c r="Y317" s="13">
        <v>38343</v>
      </c>
      <c r="Z317" s="9">
        <v>38350</v>
      </c>
      <c r="AA317" s="9" t="s">
        <v>276</v>
      </c>
      <c r="AB317" s="9" t="s">
        <v>276</v>
      </c>
      <c r="AC317" s="8">
        <v>236</v>
      </c>
      <c r="AD317" s="9" t="s">
        <v>1779</v>
      </c>
      <c r="AE317" s="8">
        <v>314</v>
      </c>
      <c r="AF317" s="9" t="s">
        <v>1779</v>
      </c>
      <c r="AG317" s="9" t="s">
        <v>1786</v>
      </c>
      <c r="AH317" s="9" t="s">
        <v>1704</v>
      </c>
      <c r="AI317" s="38">
        <v>1457</v>
      </c>
      <c r="AJ317" s="38">
        <v>1353</v>
      </c>
      <c r="AK317" s="13">
        <v>38343</v>
      </c>
      <c r="AL317" s="9">
        <v>38350</v>
      </c>
      <c r="AM317" s="38">
        <v>1000</v>
      </c>
      <c r="AN317" s="8" t="s">
        <v>276</v>
      </c>
      <c r="AO317" s="14">
        <f t="shared" si="104"/>
        <v>37.999113267089172</v>
      </c>
      <c r="AP317" s="8" t="s">
        <v>276</v>
      </c>
      <c r="AQ317" s="8" t="s">
        <v>276</v>
      </c>
      <c r="AR317" s="8" t="s">
        <v>276</v>
      </c>
      <c r="AS317" s="14">
        <f t="shared" si="102"/>
        <v>35.280312907431558</v>
      </c>
      <c r="AT317" s="8" t="s">
        <v>276</v>
      </c>
      <c r="AU317" s="8" t="s">
        <v>276</v>
      </c>
      <c r="AV317" s="9" t="s">
        <v>268</v>
      </c>
      <c r="AW317" s="8" t="s">
        <v>276</v>
      </c>
      <c r="AX317" s="14">
        <f t="shared" si="103"/>
        <v>1.0770628187678266</v>
      </c>
      <c r="AY317" s="8" t="s">
        <v>276</v>
      </c>
      <c r="AZ317" s="8" t="s">
        <v>276</v>
      </c>
      <c r="BA317" s="8" t="s">
        <v>276</v>
      </c>
      <c r="BB317" s="9" t="s">
        <v>98</v>
      </c>
      <c r="BC317" s="9" t="s">
        <v>98</v>
      </c>
      <c r="BD317" s="9" t="s">
        <v>98</v>
      </c>
      <c r="BE317" s="9" t="s">
        <v>98</v>
      </c>
      <c r="BF317" s="9" t="s">
        <v>1358</v>
      </c>
      <c r="BG317" s="9"/>
      <c r="BH317" s="9" t="s">
        <v>100</v>
      </c>
      <c r="BI317" s="9" t="s">
        <v>100</v>
      </c>
      <c r="BJ317" s="32"/>
      <c r="BK317" s="32"/>
      <c r="BO317" s="32"/>
      <c r="BP317" s="32"/>
    </row>
    <row r="318" spans="1:69" s="33" customFormat="1" ht="78" hidden="1" x14ac:dyDescent="0.35">
      <c r="A318" s="8">
        <v>1075</v>
      </c>
      <c r="B318" s="8" t="s">
        <v>1765</v>
      </c>
      <c r="C318" s="9" t="s">
        <v>1556</v>
      </c>
      <c r="D318" s="9" t="s">
        <v>1787</v>
      </c>
      <c r="E318" s="8" t="s">
        <v>43</v>
      </c>
      <c r="F318" s="8" t="s">
        <v>139</v>
      </c>
      <c r="G318" s="8" t="s">
        <v>225</v>
      </c>
      <c r="H318" s="8" t="s">
        <v>125</v>
      </c>
      <c r="I318" s="8" t="s">
        <v>114</v>
      </c>
      <c r="J318" s="9" t="s">
        <v>30</v>
      </c>
      <c r="K318" s="69" t="s">
        <v>1788</v>
      </c>
      <c r="L318" s="8" t="s">
        <v>276</v>
      </c>
      <c r="M318" s="8" t="s">
        <v>276</v>
      </c>
      <c r="N318" s="9" t="s">
        <v>1767</v>
      </c>
      <c r="O318" s="9" t="s">
        <v>1744</v>
      </c>
      <c r="P318" s="9" t="s">
        <v>239</v>
      </c>
      <c r="Q318" s="52">
        <v>40178</v>
      </c>
      <c r="R318" s="9">
        <v>13</v>
      </c>
      <c r="S318" s="9" t="s">
        <v>276</v>
      </c>
      <c r="T318" s="9" t="s">
        <v>276</v>
      </c>
      <c r="U318" s="9">
        <v>6</v>
      </c>
      <c r="V318" s="8" t="s">
        <v>14</v>
      </c>
      <c r="W318" s="8" t="s">
        <v>98</v>
      </c>
      <c r="X318" s="9" t="s">
        <v>207</v>
      </c>
      <c r="Y318" s="13">
        <v>38343</v>
      </c>
      <c r="Z318" s="9">
        <v>38350</v>
      </c>
      <c r="AA318" s="9" t="s">
        <v>276</v>
      </c>
      <c r="AB318" s="9" t="s">
        <v>276</v>
      </c>
      <c r="AC318" s="8">
        <v>236</v>
      </c>
      <c r="AD318" s="9" t="s">
        <v>1779</v>
      </c>
      <c r="AE318" s="8">
        <v>314</v>
      </c>
      <c r="AF318" s="9" t="s">
        <v>1779</v>
      </c>
      <c r="AG318" s="9" t="s">
        <v>1789</v>
      </c>
      <c r="AH318" s="9" t="s">
        <v>1704</v>
      </c>
      <c r="AI318" s="38">
        <v>1952</v>
      </c>
      <c r="AJ318" s="38">
        <v>1474</v>
      </c>
      <c r="AK318" s="13">
        <v>38343</v>
      </c>
      <c r="AL318" s="9">
        <v>38350</v>
      </c>
      <c r="AM318" s="38">
        <v>1000</v>
      </c>
      <c r="AN318" s="8" t="s">
        <v>276</v>
      </c>
      <c r="AO318" s="14">
        <f t="shared" si="104"/>
        <v>50.908901233601966</v>
      </c>
      <c r="AP318" s="8" t="s">
        <v>276</v>
      </c>
      <c r="AQ318" s="8" t="s">
        <v>276</v>
      </c>
      <c r="AR318" s="8" t="s">
        <v>276</v>
      </c>
      <c r="AS318" s="14">
        <f t="shared" si="102"/>
        <v>38.435462842242501</v>
      </c>
      <c r="AT318" s="8" t="s">
        <v>276</v>
      </c>
      <c r="AU318" s="8" t="s">
        <v>276</v>
      </c>
      <c r="AV318" s="9" t="s">
        <v>268</v>
      </c>
      <c r="AW318" s="8" t="s">
        <v>276</v>
      </c>
      <c r="AX318" s="14">
        <f t="shared" si="103"/>
        <v>1.3245294181198342</v>
      </c>
      <c r="AY318" s="8" t="s">
        <v>276</v>
      </c>
      <c r="AZ318" s="8" t="s">
        <v>276</v>
      </c>
      <c r="BA318" s="8" t="s">
        <v>276</v>
      </c>
      <c r="BB318" s="9" t="s">
        <v>98</v>
      </c>
      <c r="BC318" s="9" t="s">
        <v>98</v>
      </c>
      <c r="BD318" s="9" t="s">
        <v>98</v>
      </c>
      <c r="BE318" s="9" t="s">
        <v>98</v>
      </c>
      <c r="BF318" s="9" t="s">
        <v>1358</v>
      </c>
      <c r="BG318" s="9"/>
      <c r="BH318" s="9" t="s">
        <v>100</v>
      </c>
      <c r="BI318" s="9" t="s">
        <v>100</v>
      </c>
      <c r="BJ318" s="32"/>
      <c r="BK318" s="32"/>
      <c r="BO318" s="32"/>
      <c r="BP318" s="32"/>
    </row>
    <row r="319" spans="1:69" s="33" customFormat="1" ht="65" hidden="1" x14ac:dyDescent="0.35">
      <c r="A319" s="8">
        <v>1075</v>
      </c>
      <c r="B319" s="8" t="s">
        <v>1765</v>
      </c>
      <c r="C319" s="9" t="s">
        <v>1556</v>
      </c>
      <c r="D319" s="9" t="s">
        <v>1790</v>
      </c>
      <c r="E319" s="8" t="s">
        <v>43</v>
      </c>
      <c r="F319" s="8" t="s">
        <v>139</v>
      </c>
      <c r="G319" s="8" t="s">
        <v>225</v>
      </c>
      <c r="H319" s="8" t="s">
        <v>125</v>
      </c>
      <c r="I319" s="8" t="s">
        <v>114</v>
      </c>
      <c r="J319" s="9" t="s">
        <v>25</v>
      </c>
      <c r="K319" s="42" t="s">
        <v>1699</v>
      </c>
      <c r="L319" s="8" t="s">
        <v>276</v>
      </c>
      <c r="M319" s="8" t="s">
        <v>276</v>
      </c>
      <c r="N319" s="9" t="s">
        <v>1775</v>
      </c>
      <c r="O319" s="9" t="s">
        <v>1744</v>
      </c>
      <c r="P319" s="9" t="s">
        <v>235</v>
      </c>
      <c r="Q319" s="52">
        <v>40178</v>
      </c>
      <c r="R319" s="9">
        <v>13</v>
      </c>
      <c r="S319" s="9" t="s">
        <v>276</v>
      </c>
      <c r="T319" s="9" t="s">
        <v>276</v>
      </c>
      <c r="U319" s="9">
        <v>6</v>
      </c>
      <c r="V319" s="8" t="s">
        <v>14</v>
      </c>
      <c r="W319" s="8" t="s">
        <v>98</v>
      </c>
      <c r="X319" s="9" t="s">
        <v>207</v>
      </c>
      <c r="Y319" s="13" t="s">
        <v>98</v>
      </c>
      <c r="Z319" s="9" t="s">
        <v>98</v>
      </c>
      <c r="AA319" s="9" t="s">
        <v>276</v>
      </c>
      <c r="AB319" s="9" t="s">
        <v>276</v>
      </c>
      <c r="AC319" s="8">
        <v>236</v>
      </c>
      <c r="AD319" s="9" t="s">
        <v>1779</v>
      </c>
      <c r="AE319" s="8">
        <v>314</v>
      </c>
      <c r="AF319" s="9" t="s">
        <v>1779</v>
      </c>
      <c r="AG319" s="9" t="s">
        <v>1791</v>
      </c>
      <c r="AH319" s="9" t="s">
        <v>1776</v>
      </c>
      <c r="AI319" s="38">
        <v>154</v>
      </c>
      <c r="AJ319" s="38">
        <v>176</v>
      </c>
      <c r="AK319" s="13">
        <v>4250</v>
      </c>
      <c r="AL319" s="9">
        <v>3815</v>
      </c>
      <c r="AM319" s="38">
        <v>100</v>
      </c>
      <c r="AN319" s="8">
        <v>3.6</v>
      </c>
      <c r="AO319" s="14">
        <f t="shared" si="104"/>
        <v>3.6235294117647059</v>
      </c>
      <c r="AP319" s="8" t="s">
        <v>276</v>
      </c>
      <c r="AQ319" s="8" t="s">
        <v>276</v>
      </c>
      <c r="AR319" s="8">
        <v>4.5999999999999996</v>
      </c>
      <c r="AS319" s="14">
        <f t="shared" si="102"/>
        <v>4.6133682830930534</v>
      </c>
      <c r="AT319" s="8" t="s">
        <v>276</v>
      </c>
      <c r="AU319" s="8" t="s">
        <v>276</v>
      </c>
      <c r="AV319" s="9" t="s">
        <v>268</v>
      </c>
      <c r="AW319" s="8" t="s">
        <v>276</v>
      </c>
      <c r="AX319" s="14">
        <f t="shared" si="103"/>
        <v>0.78544117647058831</v>
      </c>
      <c r="AY319" s="8" t="s">
        <v>276</v>
      </c>
      <c r="AZ319" s="8" t="s">
        <v>276</v>
      </c>
      <c r="BA319" s="8" t="s">
        <v>276</v>
      </c>
      <c r="BB319" s="9" t="s">
        <v>98</v>
      </c>
      <c r="BC319" s="9" t="s">
        <v>98</v>
      </c>
      <c r="BD319" s="9" t="s">
        <v>98</v>
      </c>
      <c r="BE319" s="9" t="s">
        <v>98</v>
      </c>
      <c r="BF319" s="9" t="s">
        <v>1358</v>
      </c>
      <c r="BG319" s="9"/>
      <c r="BH319" s="9" t="s">
        <v>100</v>
      </c>
      <c r="BI319" s="9" t="s">
        <v>100</v>
      </c>
      <c r="BJ319" s="32"/>
      <c r="BK319" s="32"/>
      <c r="BO319" s="32"/>
      <c r="BP319" s="32"/>
    </row>
    <row r="320" spans="1:69" s="33" customFormat="1" ht="104" hidden="1" x14ac:dyDescent="0.35">
      <c r="A320" s="8">
        <v>1075</v>
      </c>
      <c r="B320" s="8" t="s">
        <v>1765</v>
      </c>
      <c r="C320" s="9" t="s">
        <v>1556</v>
      </c>
      <c r="D320" s="9" t="s">
        <v>1792</v>
      </c>
      <c r="E320" s="8" t="s">
        <v>43</v>
      </c>
      <c r="F320" s="8" t="s">
        <v>139</v>
      </c>
      <c r="G320" s="8" t="s">
        <v>225</v>
      </c>
      <c r="H320" s="8" t="s">
        <v>225</v>
      </c>
      <c r="I320" s="8" t="s">
        <v>98</v>
      </c>
      <c r="J320" s="9" t="s">
        <v>98</v>
      </c>
      <c r="K320" s="69" t="s">
        <v>98</v>
      </c>
      <c r="L320" s="8" t="s">
        <v>98</v>
      </c>
      <c r="M320" s="8" t="s">
        <v>98</v>
      </c>
      <c r="N320" s="9" t="s">
        <v>1793</v>
      </c>
      <c r="O320" s="9" t="s">
        <v>1744</v>
      </c>
      <c r="P320" s="9" t="s">
        <v>238</v>
      </c>
      <c r="Q320" s="52" t="s">
        <v>276</v>
      </c>
      <c r="R320" s="52" t="s">
        <v>276</v>
      </c>
      <c r="S320" s="52" t="s">
        <v>276</v>
      </c>
      <c r="T320" s="9" t="s">
        <v>98</v>
      </c>
      <c r="U320" s="9">
        <v>6</v>
      </c>
      <c r="V320" s="8" t="s">
        <v>14</v>
      </c>
      <c r="W320" s="8" t="s">
        <v>98</v>
      </c>
      <c r="X320" s="9" t="s">
        <v>209</v>
      </c>
      <c r="Y320" s="13">
        <v>38343</v>
      </c>
      <c r="Z320" s="9" t="s">
        <v>98</v>
      </c>
      <c r="AA320" s="9" t="s">
        <v>276</v>
      </c>
      <c r="AB320" s="9" t="s">
        <v>98</v>
      </c>
      <c r="AC320" s="8" t="s">
        <v>1729</v>
      </c>
      <c r="AD320" s="9" t="s">
        <v>98</v>
      </c>
      <c r="AE320" s="8" t="s">
        <v>98</v>
      </c>
      <c r="AF320" s="9" t="s">
        <v>98</v>
      </c>
      <c r="AG320" s="9" t="s">
        <v>1794</v>
      </c>
      <c r="AH320" s="9" t="s">
        <v>1704</v>
      </c>
      <c r="AI320" s="38">
        <v>2050</v>
      </c>
      <c r="AJ320" s="38" t="s">
        <v>98</v>
      </c>
      <c r="AK320" s="13">
        <v>38343</v>
      </c>
      <c r="AL320" s="9" t="s">
        <v>98</v>
      </c>
      <c r="AM320" s="38">
        <v>100</v>
      </c>
      <c r="AN320" s="8" t="s">
        <v>276</v>
      </c>
      <c r="AO320" s="31">
        <f t="shared" si="104"/>
        <v>5.3464778447174188</v>
      </c>
      <c r="AP320" s="8" t="s">
        <v>276</v>
      </c>
      <c r="AQ320" s="8" t="s">
        <v>276</v>
      </c>
      <c r="AR320" s="8" t="s">
        <v>98</v>
      </c>
      <c r="AS320" s="8" t="s">
        <v>98</v>
      </c>
      <c r="AT320" s="8" t="s">
        <v>98</v>
      </c>
      <c r="AU320" s="8" t="s">
        <v>98</v>
      </c>
      <c r="AV320" s="8" t="s">
        <v>98</v>
      </c>
      <c r="AW320" s="8" t="s">
        <v>98</v>
      </c>
      <c r="AX320" s="8" t="s">
        <v>98</v>
      </c>
      <c r="AY320" s="8" t="s">
        <v>98</v>
      </c>
      <c r="AZ320" s="8" t="s">
        <v>98</v>
      </c>
      <c r="BA320" s="8" t="s">
        <v>98</v>
      </c>
      <c r="BB320" s="9" t="s">
        <v>98</v>
      </c>
      <c r="BC320" s="9" t="s">
        <v>98</v>
      </c>
      <c r="BD320" s="9" t="s">
        <v>98</v>
      </c>
      <c r="BE320" s="9" t="s">
        <v>98</v>
      </c>
      <c r="BF320" s="9" t="s">
        <v>1358</v>
      </c>
      <c r="BG320" s="9"/>
      <c r="BH320" s="9" t="s">
        <v>100</v>
      </c>
      <c r="BI320" s="9" t="s">
        <v>100</v>
      </c>
      <c r="BJ320" s="32"/>
      <c r="BK320" s="32"/>
      <c r="BO320" s="32"/>
      <c r="BP320" s="32"/>
    </row>
    <row r="321" spans="1:69" s="33" customFormat="1" ht="104" hidden="1" x14ac:dyDescent="0.35">
      <c r="A321" s="8">
        <v>1075</v>
      </c>
      <c r="B321" s="8" t="s">
        <v>1765</v>
      </c>
      <c r="C321" s="9" t="s">
        <v>1556</v>
      </c>
      <c r="D321" s="9" t="s">
        <v>1795</v>
      </c>
      <c r="E321" s="8" t="s">
        <v>43</v>
      </c>
      <c r="F321" s="8" t="s">
        <v>139</v>
      </c>
      <c r="G321" s="8" t="s">
        <v>225</v>
      </c>
      <c r="H321" s="8" t="s">
        <v>225</v>
      </c>
      <c r="I321" s="8" t="s">
        <v>98</v>
      </c>
      <c r="J321" s="9" t="s">
        <v>98</v>
      </c>
      <c r="K321" s="69" t="s">
        <v>98</v>
      </c>
      <c r="L321" s="8" t="s">
        <v>98</v>
      </c>
      <c r="M321" s="8" t="s">
        <v>98</v>
      </c>
      <c r="N321" s="9" t="s">
        <v>1793</v>
      </c>
      <c r="O321" s="9" t="s">
        <v>1744</v>
      </c>
      <c r="P321" s="9" t="s">
        <v>236</v>
      </c>
      <c r="Q321" s="52">
        <v>40178</v>
      </c>
      <c r="R321" s="9">
        <v>13</v>
      </c>
      <c r="S321" s="52" t="s">
        <v>276</v>
      </c>
      <c r="T321" s="9" t="s">
        <v>98</v>
      </c>
      <c r="U321" s="9">
        <v>6</v>
      </c>
      <c r="V321" s="8" t="s">
        <v>14</v>
      </c>
      <c r="W321" s="8" t="s">
        <v>98</v>
      </c>
      <c r="X321" s="9" t="s">
        <v>209</v>
      </c>
      <c r="Y321" s="13" t="s">
        <v>98</v>
      </c>
      <c r="Z321" s="9" t="s">
        <v>98</v>
      </c>
      <c r="AA321" s="9" t="s">
        <v>276</v>
      </c>
      <c r="AB321" s="9" t="s">
        <v>98</v>
      </c>
      <c r="AC321" s="8" t="s">
        <v>1729</v>
      </c>
      <c r="AD321" s="9" t="s">
        <v>98</v>
      </c>
      <c r="AE321" s="8" t="s">
        <v>98</v>
      </c>
      <c r="AF321" s="9" t="s">
        <v>98</v>
      </c>
      <c r="AG321" s="9" t="s">
        <v>1794</v>
      </c>
      <c r="AH321" s="9" t="s">
        <v>1776</v>
      </c>
      <c r="AI321" s="38">
        <v>2050</v>
      </c>
      <c r="AJ321" s="38" t="s">
        <v>98</v>
      </c>
      <c r="AK321" s="13">
        <v>4250</v>
      </c>
      <c r="AL321" s="9" t="s">
        <v>98</v>
      </c>
      <c r="AM321" s="38">
        <v>100</v>
      </c>
      <c r="AN321" s="8" t="s">
        <v>276</v>
      </c>
      <c r="AO321" s="14">
        <f t="shared" si="104"/>
        <v>48.235294117647058</v>
      </c>
      <c r="AP321" s="8" t="s">
        <v>276</v>
      </c>
      <c r="AQ321" s="8" t="s">
        <v>276</v>
      </c>
      <c r="AR321" s="8" t="s">
        <v>98</v>
      </c>
      <c r="AS321" s="8" t="s">
        <v>98</v>
      </c>
      <c r="AT321" s="8" t="s">
        <v>98</v>
      </c>
      <c r="AU321" s="8" t="s">
        <v>98</v>
      </c>
      <c r="AV321" s="8" t="s">
        <v>98</v>
      </c>
      <c r="AW321" s="8" t="s">
        <v>98</v>
      </c>
      <c r="AX321" s="8" t="s">
        <v>98</v>
      </c>
      <c r="AY321" s="8" t="s">
        <v>98</v>
      </c>
      <c r="AZ321" s="8" t="s">
        <v>98</v>
      </c>
      <c r="BA321" s="8" t="s">
        <v>98</v>
      </c>
      <c r="BB321" s="9" t="s">
        <v>98</v>
      </c>
      <c r="BC321" s="9" t="s">
        <v>98</v>
      </c>
      <c r="BD321" s="9" t="s">
        <v>98</v>
      </c>
      <c r="BE321" s="9" t="s">
        <v>98</v>
      </c>
      <c r="BF321" s="9" t="s">
        <v>1358</v>
      </c>
      <c r="BG321" s="9"/>
      <c r="BH321" s="9" t="s">
        <v>100</v>
      </c>
      <c r="BI321" s="9" t="s">
        <v>100</v>
      </c>
      <c r="BJ321" s="32"/>
      <c r="BK321" s="32"/>
      <c r="BO321" s="32"/>
      <c r="BP321" s="32"/>
    </row>
    <row r="322" spans="1:69" s="33" customFormat="1" ht="81" hidden="1" customHeight="1" x14ac:dyDescent="0.35">
      <c r="A322" s="8">
        <v>1486</v>
      </c>
      <c r="B322" s="8" t="s">
        <v>1676</v>
      </c>
      <c r="C322" s="9" t="s">
        <v>1556</v>
      </c>
      <c r="D322" s="9" t="s">
        <v>1796</v>
      </c>
      <c r="E322" s="8" t="s">
        <v>43</v>
      </c>
      <c r="F322" s="8" t="s">
        <v>139</v>
      </c>
      <c r="G322" s="8" t="s">
        <v>225</v>
      </c>
      <c r="H322" s="8" t="s">
        <v>125</v>
      </c>
      <c r="I322" s="8" t="s">
        <v>114</v>
      </c>
      <c r="J322" s="9" t="s">
        <v>104</v>
      </c>
      <c r="K322" s="9" t="s">
        <v>1797</v>
      </c>
      <c r="L322" s="9" t="s">
        <v>1798</v>
      </c>
      <c r="M322" s="9" t="s">
        <v>1799</v>
      </c>
      <c r="N322" s="9" t="s">
        <v>1800</v>
      </c>
      <c r="O322" s="9" t="s">
        <v>1801</v>
      </c>
      <c r="P322" s="32" t="s">
        <v>239</v>
      </c>
      <c r="Q322" s="52">
        <v>40056</v>
      </c>
      <c r="R322" s="9" t="s">
        <v>276</v>
      </c>
      <c r="S322" s="9" t="s">
        <v>276</v>
      </c>
      <c r="T322" s="9" t="s">
        <v>276</v>
      </c>
      <c r="U322" s="9" t="s">
        <v>276</v>
      </c>
      <c r="V322" s="8" t="s">
        <v>14</v>
      </c>
      <c r="W322" s="9" t="s">
        <v>1802</v>
      </c>
      <c r="X322" s="9" t="s">
        <v>207</v>
      </c>
      <c r="Y322" s="38">
        <f>13266+24019</f>
        <v>37285</v>
      </c>
      <c r="Z322" s="38">
        <f>12909+23184</f>
        <v>36093</v>
      </c>
      <c r="AA322" s="9" t="s">
        <v>276</v>
      </c>
      <c r="AB322" s="9" t="s">
        <v>276</v>
      </c>
      <c r="AC322" s="8" t="s">
        <v>276</v>
      </c>
      <c r="AD322" s="9" t="s">
        <v>276</v>
      </c>
      <c r="AE322" s="8" t="s">
        <v>276</v>
      </c>
      <c r="AF322" s="9" t="s">
        <v>276</v>
      </c>
      <c r="AG322" s="9" t="s">
        <v>1803</v>
      </c>
      <c r="AH322" s="9" t="s">
        <v>1804</v>
      </c>
      <c r="AI322" s="38">
        <f>816+1464</f>
        <v>2280</v>
      </c>
      <c r="AJ322" s="38">
        <f>670+1091</f>
        <v>1761</v>
      </c>
      <c r="AK322" s="38">
        <f>13266+24019</f>
        <v>37285</v>
      </c>
      <c r="AL322" s="38">
        <f>12909+23184</f>
        <v>36093</v>
      </c>
      <c r="AM322" s="38">
        <v>10000</v>
      </c>
      <c r="AN322" s="8" t="s">
        <v>276</v>
      </c>
      <c r="AO322" s="14">
        <f t="shared" si="104"/>
        <v>611.50596754727098</v>
      </c>
      <c r="AP322" s="8" t="s">
        <v>276</v>
      </c>
      <c r="AQ322" s="8" t="s">
        <v>276</v>
      </c>
      <c r="AR322" s="8" t="s">
        <v>276</v>
      </c>
      <c r="AS322" s="14">
        <f>AJ322/AL322*AM322</f>
        <v>487.90624220763033</v>
      </c>
      <c r="AT322" s="8" t="s">
        <v>276</v>
      </c>
      <c r="AU322" s="8" t="s">
        <v>276</v>
      </c>
      <c r="AV322" s="9" t="s">
        <v>268</v>
      </c>
      <c r="AW322" s="40" t="s">
        <v>276</v>
      </c>
      <c r="AX322" s="40">
        <f>AO322/AS322</f>
        <v>1.2533267965180948</v>
      </c>
      <c r="AY322" s="40" t="s">
        <v>276</v>
      </c>
      <c r="AZ322" s="40" t="s">
        <v>276</v>
      </c>
      <c r="BA322" s="40" t="s">
        <v>276</v>
      </c>
      <c r="BB322" s="9" t="s">
        <v>98</v>
      </c>
      <c r="BC322" s="9" t="s">
        <v>98</v>
      </c>
      <c r="BD322" s="9" t="s">
        <v>98</v>
      </c>
      <c r="BE322" s="9" t="s">
        <v>98</v>
      </c>
      <c r="BF322" s="9" t="s">
        <v>1805</v>
      </c>
      <c r="BG322" s="9"/>
      <c r="BH322" s="9" t="s">
        <v>100</v>
      </c>
      <c r="BI322" s="9" t="s">
        <v>100</v>
      </c>
      <c r="BJ322" s="32"/>
      <c r="BK322" s="32"/>
      <c r="BO322" s="32"/>
      <c r="BP322" s="32"/>
    </row>
    <row r="323" spans="1:69" s="33" customFormat="1" ht="65" hidden="1" x14ac:dyDescent="0.35">
      <c r="A323" s="8">
        <v>1486</v>
      </c>
      <c r="B323" s="8" t="s">
        <v>1676</v>
      </c>
      <c r="C323" s="9" t="s">
        <v>1556</v>
      </c>
      <c r="D323" s="9" t="s">
        <v>1806</v>
      </c>
      <c r="E323" s="8" t="s">
        <v>43</v>
      </c>
      <c r="F323" s="8" t="s">
        <v>139</v>
      </c>
      <c r="G323" s="8" t="s">
        <v>225</v>
      </c>
      <c r="H323" s="8" t="s">
        <v>125</v>
      </c>
      <c r="I323" s="8" t="s">
        <v>114</v>
      </c>
      <c r="J323" s="9" t="s">
        <v>103</v>
      </c>
      <c r="K323" s="9" t="s">
        <v>1807</v>
      </c>
      <c r="L323" s="9" t="s">
        <v>1798</v>
      </c>
      <c r="M323" s="9" t="s">
        <v>1799</v>
      </c>
      <c r="N323" s="9" t="s">
        <v>1800</v>
      </c>
      <c r="O323" s="9" t="s">
        <v>1801</v>
      </c>
      <c r="P323" s="32" t="s">
        <v>239</v>
      </c>
      <c r="Q323" s="52">
        <v>40056</v>
      </c>
      <c r="R323" s="9" t="s">
        <v>276</v>
      </c>
      <c r="S323" s="9" t="s">
        <v>276</v>
      </c>
      <c r="T323" s="9" t="s">
        <v>276</v>
      </c>
      <c r="U323" s="9" t="s">
        <v>276</v>
      </c>
      <c r="V323" s="8" t="s">
        <v>14</v>
      </c>
      <c r="W323" s="9" t="s">
        <v>1802</v>
      </c>
      <c r="X323" s="9" t="s">
        <v>207</v>
      </c>
      <c r="Y323" s="38">
        <f>13266+24019</f>
        <v>37285</v>
      </c>
      <c r="Z323" s="38">
        <f>12909+23184</f>
        <v>36093</v>
      </c>
      <c r="AA323" s="9" t="s">
        <v>276</v>
      </c>
      <c r="AB323" s="9" t="s">
        <v>276</v>
      </c>
      <c r="AC323" s="8" t="s">
        <v>276</v>
      </c>
      <c r="AD323" s="9" t="s">
        <v>276</v>
      </c>
      <c r="AE323" s="8" t="s">
        <v>276</v>
      </c>
      <c r="AF323" s="9" t="s">
        <v>276</v>
      </c>
      <c r="AG323" s="9" t="s">
        <v>1808</v>
      </c>
      <c r="AH323" s="9" t="s">
        <v>1804</v>
      </c>
      <c r="AI323" s="38">
        <f>378+732</f>
        <v>1110</v>
      </c>
      <c r="AJ323" s="38">
        <f>407+687</f>
        <v>1094</v>
      </c>
      <c r="AK323" s="38">
        <f>13266+24019</f>
        <v>37285</v>
      </c>
      <c r="AL323" s="38">
        <f>12909+23184</f>
        <v>36093</v>
      </c>
      <c r="AM323" s="38">
        <v>10000</v>
      </c>
      <c r="AN323" s="8" t="s">
        <v>276</v>
      </c>
      <c r="AO323" s="14">
        <f t="shared" si="104"/>
        <v>297.70685262169775</v>
      </c>
      <c r="AP323" s="8" t="s">
        <v>276</v>
      </c>
      <c r="AQ323" s="8" t="s">
        <v>276</v>
      </c>
      <c r="AR323" s="8" t="s">
        <v>276</v>
      </c>
      <c r="AS323" s="14">
        <f t="shared" ref="AS323:AS324" si="105">AJ323/AL323*AM323</f>
        <v>303.10586540326381</v>
      </c>
      <c r="AT323" s="8" t="s">
        <v>276</v>
      </c>
      <c r="AU323" s="8" t="s">
        <v>276</v>
      </c>
      <c r="AV323" s="9" t="s">
        <v>268</v>
      </c>
      <c r="AW323" s="40" t="s">
        <v>276</v>
      </c>
      <c r="AX323" s="40">
        <f t="shared" ref="AX323:AX324" si="106">AO323/AS323</f>
        <v>0.98218769942184059</v>
      </c>
      <c r="AY323" s="40" t="s">
        <v>276</v>
      </c>
      <c r="AZ323" s="40" t="s">
        <v>276</v>
      </c>
      <c r="BA323" s="40" t="s">
        <v>276</v>
      </c>
      <c r="BB323" s="9" t="s">
        <v>98</v>
      </c>
      <c r="BC323" s="9" t="s">
        <v>98</v>
      </c>
      <c r="BD323" s="9" t="s">
        <v>98</v>
      </c>
      <c r="BE323" s="9" t="s">
        <v>98</v>
      </c>
      <c r="BF323" s="9" t="s">
        <v>1805</v>
      </c>
      <c r="BG323" s="9"/>
      <c r="BH323" s="9" t="s">
        <v>100</v>
      </c>
      <c r="BI323" s="9" t="s">
        <v>100</v>
      </c>
      <c r="BJ323" s="32"/>
      <c r="BK323" s="32"/>
      <c r="BO323" s="32"/>
      <c r="BP323" s="32"/>
    </row>
    <row r="324" spans="1:69" s="33" customFormat="1" ht="65" hidden="1" x14ac:dyDescent="0.35">
      <c r="A324" s="8">
        <v>1486</v>
      </c>
      <c r="B324" s="8" t="s">
        <v>1676</v>
      </c>
      <c r="C324" s="9" t="s">
        <v>1556</v>
      </c>
      <c r="D324" s="9" t="s">
        <v>1809</v>
      </c>
      <c r="E324" s="8" t="s">
        <v>43</v>
      </c>
      <c r="F324" s="8" t="s">
        <v>139</v>
      </c>
      <c r="G324" s="8" t="s">
        <v>225</v>
      </c>
      <c r="H324" s="8" t="s">
        <v>125</v>
      </c>
      <c r="I324" s="8" t="s">
        <v>114</v>
      </c>
      <c r="J324" s="9" t="s">
        <v>103</v>
      </c>
      <c r="K324" s="9" t="s">
        <v>1807</v>
      </c>
      <c r="L324" s="9" t="s">
        <v>1798</v>
      </c>
      <c r="M324" s="9" t="s">
        <v>1799</v>
      </c>
      <c r="N324" s="9" t="s">
        <v>1810</v>
      </c>
      <c r="O324" s="9" t="s">
        <v>1801</v>
      </c>
      <c r="P324" s="32" t="s">
        <v>235</v>
      </c>
      <c r="Q324" s="52">
        <v>40056</v>
      </c>
      <c r="R324" s="9" t="s">
        <v>276</v>
      </c>
      <c r="S324" s="9" t="s">
        <v>276</v>
      </c>
      <c r="T324" s="9" t="s">
        <v>276</v>
      </c>
      <c r="U324" s="9" t="s">
        <v>276</v>
      </c>
      <c r="V324" s="8" t="s">
        <v>14</v>
      </c>
      <c r="W324" s="9" t="s">
        <v>1680</v>
      </c>
      <c r="X324" s="9" t="s">
        <v>207</v>
      </c>
      <c r="Y324" s="38">
        <f>13266+24019</f>
        <v>37285</v>
      </c>
      <c r="Z324" s="38">
        <f>12909+23184</f>
        <v>36093</v>
      </c>
      <c r="AA324" s="9" t="s">
        <v>276</v>
      </c>
      <c r="AB324" s="9" t="s">
        <v>276</v>
      </c>
      <c r="AC324" s="8" t="s">
        <v>276</v>
      </c>
      <c r="AD324" s="9" t="s">
        <v>276</v>
      </c>
      <c r="AE324" s="8" t="s">
        <v>276</v>
      </c>
      <c r="AF324" s="9" t="s">
        <v>276</v>
      </c>
      <c r="AG324" s="9" t="s">
        <v>1811</v>
      </c>
      <c r="AH324" s="9" t="s">
        <v>1804</v>
      </c>
      <c r="AI324" s="38">
        <f>378+732</f>
        <v>1110</v>
      </c>
      <c r="AJ324" s="38">
        <f>407+687</f>
        <v>1094</v>
      </c>
      <c r="AK324" s="38">
        <f>1100+2280</f>
        <v>3380</v>
      </c>
      <c r="AL324" s="38">
        <f>1094+1761</f>
        <v>2855</v>
      </c>
      <c r="AM324" s="38">
        <v>100</v>
      </c>
      <c r="AN324" s="8">
        <f>100-67</f>
        <v>33</v>
      </c>
      <c r="AO324" s="14">
        <f t="shared" si="104"/>
        <v>32.840236686390533</v>
      </c>
      <c r="AP324" s="8" t="s">
        <v>276</v>
      </c>
      <c r="AQ324" s="8" t="s">
        <v>276</v>
      </c>
      <c r="AR324" s="8">
        <f>100-61</f>
        <v>39</v>
      </c>
      <c r="AS324" s="14">
        <f t="shared" si="105"/>
        <v>38.318739054290717</v>
      </c>
      <c r="AT324" s="8" t="s">
        <v>276</v>
      </c>
      <c r="AU324" s="8" t="s">
        <v>276</v>
      </c>
      <c r="AV324" s="9" t="s">
        <v>268</v>
      </c>
      <c r="AW324" s="40" t="s">
        <v>276</v>
      </c>
      <c r="AX324" s="40">
        <f t="shared" si="106"/>
        <v>0.85702811462198336</v>
      </c>
      <c r="AY324" s="40" t="s">
        <v>276</v>
      </c>
      <c r="AZ324" s="40" t="s">
        <v>276</v>
      </c>
      <c r="BA324" s="40" t="s">
        <v>276</v>
      </c>
      <c r="BB324" s="9" t="s">
        <v>98</v>
      </c>
      <c r="BC324" s="9" t="s">
        <v>98</v>
      </c>
      <c r="BD324" s="9" t="s">
        <v>98</v>
      </c>
      <c r="BE324" s="9" t="s">
        <v>98</v>
      </c>
      <c r="BF324" s="9" t="s">
        <v>1812</v>
      </c>
      <c r="BG324" s="9"/>
      <c r="BH324" s="9" t="s">
        <v>100</v>
      </c>
      <c r="BI324" s="9" t="s">
        <v>100</v>
      </c>
      <c r="BJ324" s="32"/>
      <c r="BK324" s="32"/>
      <c r="BO324" s="32"/>
      <c r="BP324" s="32"/>
    </row>
    <row r="325" spans="1:69" s="6" customFormat="1" ht="39" hidden="1" x14ac:dyDescent="0.35">
      <c r="A325" s="8">
        <v>1053</v>
      </c>
      <c r="B325" s="8" t="s">
        <v>1482</v>
      </c>
      <c r="C325" s="9" t="s">
        <v>1556</v>
      </c>
      <c r="D325" s="9" t="s">
        <v>1813</v>
      </c>
      <c r="E325" s="8" t="s">
        <v>43</v>
      </c>
      <c r="F325" s="8" t="s">
        <v>139</v>
      </c>
      <c r="G325" s="8" t="s">
        <v>225</v>
      </c>
      <c r="H325" s="8" t="s">
        <v>125</v>
      </c>
      <c r="I325" s="8" t="s">
        <v>114</v>
      </c>
      <c r="J325" s="9" t="s">
        <v>1814</v>
      </c>
      <c r="K325" s="10" t="s">
        <v>1814</v>
      </c>
      <c r="L325" s="2" t="s">
        <v>276</v>
      </c>
      <c r="M325" s="2" t="s">
        <v>276</v>
      </c>
      <c r="N325" s="10" t="s">
        <v>1815</v>
      </c>
      <c r="O325" s="10" t="s">
        <v>276</v>
      </c>
      <c r="P325" s="9" t="s">
        <v>239</v>
      </c>
      <c r="Q325" s="36">
        <v>42004</v>
      </c>
      <c r="R325" s="10" t="s">
        <v>276</v>
      </c>
      <c r="S325" s="9" t="s">
        <v>1816</v>
      </c>
      <c r="T325" s="9" t="s">
        <v>1817</v>
      </c>
      <c r="U325" s="9">
        <v>6</v>
      </c>
      <c r="V325" s="8" t="s">
        <v>14</v>
      </c>
      <c r="W325" s="2" t="s">
        <v>98</v>
      </c>
      <c r="X325" s="10" t="s">
        <v>207</v>
      </c>
      <c r="Y325" s="13">
        <v>38340</v>
      </c>
      <c r="Z325" s="10">
        <v>38343</v>
      </c>
      <c r="AA325" s="10" t="s">
        <v>276</v>
      </c>
      <c r="AB325" s="10" t="s">
        <v>276</v>
      </c>
      <c r="AC325" s="8" t="s">
        <v>276</v>
      </c>
      <c r="AD325" s="9" t="s">
        <v>1818</v>
      </c>
      <c r="AE325" s="8" t="s">
        <v>276</v>
      </c>
      <c r="AF325" s="9" t="s">
        <v>1818</v>
      </c>
      <c r="AG325" s="9" t="s">
        <v>1819</v>
      </c>
      <c r="AH325" s="9" t="s">
        <v>1507</v>
      </c>
      <c r="AI325" s="34">
        <v>134</v>
      </c>
      <c r="AJ325" s="34">
        <v>158</v>
      </c>
      <c r="AK325" s="34" t="s">
        <v>276</v>
      </c>
      <c r="AL325" s="34" t="s">
        <v>276</v>
      </c>
      <c r="AM325" s="38">
        <v>10000</v>
      </c>
      <c r="AN325" s="8">
        <v>2.6</v>
      </c>
      <c r="AO325" s="14" t="s">
        <v>98</v>
      </c>
      <c r="AP325" s="8" t="s">
        <v>276</v>
      </c>
      <c r="AQ325" s="8" t="s">
        <v>276</v>
      </c>
      <c r="AR325" s="43">
        <v>3</v>
      </c>
      <c r="AS325" s="14" t="s">
        <v>276</v>
      </c>
      <c r="AT325" s="8" t="s">
        <v>276</v>
      </c>
      <c r="AU325" s="8" t="s">
        <v>276</v>
      </c>
      <c r="AV325" s="9" t="s">
        <v>269</v>
      </c>
      <c r="AW325" s="35">
        <v>0.85</v>
      </c>
      <c r="AX325" s="35">
        <f>AN325/AR325</f>
        <v>0.8666666666666667</v>
      </c>
      <c r="AY325" s="10">
        <v>0.67</v>
      </c>
      <c r="AZ325" s="10">
        <v>1.06</v>
      </c>
      <c r="BA325" s="10">
        <v>0.15</v>
      </c>
      <c r="BB325" s="10" t="s">
        <v>98</v>
      </c>
      <c r="BC325" s="10" t="s">
        <v>98</v>
      </c>
      <c r="BD325" s="10" t="s">
        <v>98</v>
      </c>
      <c r="BE325" s="10" t="s">
        <v>98</v>
      </c>
      <c r="BF325" s="9" t="s">
        <v>1820</v>
      </c>
      <c r="BG325" s="9"/>
      <c r="BH325" s="9" t="s">
        <v>100</v>
      </c>
      <c r="BI325" s="9" t="s">
        <v>100</v>
      </c>
      <c r="BJ325" s="32"/>
      <c r="BK325" s="32"/>
      <c r="BL325" s="33"/>
      <c r="BM325" s="33"/>
      <c r="BN325" s="33"/>
      <c r="BO325" s="32"/>
      <c r="BP325" s="32"/>
      <c r="BQ325" s="33"/>
    </row>
    <row r="326" spans="1:69" s="6" customFormat="1" ht="39" hidden="1" x14ac:dyDescent="0.35">
      <c r="A326" s="8">
        <v>1053</v>
      </c>
      <c r="B326" s="8" t="s">
        <v>1482</v>
      </c>
      <c r="C326" s="9" t="s">
        <v>1556</v>
      </c>
      <c r="D326" s="10" t="s">
        <v>1821</v>
      </c>
      <c r="E326" s="8" t="s">
        <v>43</v>
      </c>
      <c r="F326" s="8" t="s">
        <v>139</v>
      </c>
      <c r="G326" s="8" t="s">
        <v>225</v>
      </c>
      <c r="H326" s="8" t="s">
        <v>125</v>
      </c>
      <c r="I326" s="8" t="s">
        <v>114</v>
      </c>
      <c r="J326" s="9" t="s">
        <v>1814</v>
      </c>
      <c r="K326" s="10" t="s">
        <v>1814</v>
      </c>
      <c r="L326" s="2" t="s">
        <v>276</v>
      </c>
      <c r="M326" s="2" t="s">
        <v>276</v>
      </c>
      <c r="N326" s="10" t="s">
        <v>1815</v>
      </c>
      <c r="O326" s="10" t="s">
        <v>276</v>
      </c>
      <c r="P326" s="9" t="s">
        <v>235</v>
      </c>
      <c r="Q326" s="36">
        <v>42004</v>
      </c>
      <c r="R326" s="10" t="s">
        <v>276</v>
      </c>
      <c r="S326" s="9" t="s">
        <v>1816</v>
      </c>
      <c r="T326" s="9" t="s">
        <v>1817</v>
      </c>
      <c r="U326" s="9">
        <v>6</v>
      </c>
      <c r="V326" s="8" t="s">
        <v>14</v>
      </c>
      <c r="W326" s="2" t="s">
        <v>98</v>
      </c>
      <c r="X326" s="10" t="s">
        <v>207</v>
      </c>
      <c r="Y326" s="13" t="s">
        <v>98</v>
      </c>
      <c r="Z326" s="10" t="s">
        <v>98</v>
      </c>
      <c r="AA326" s="10" t="s">
        <v>276</v>
      </c>
      <c r="AB326" s="10" t="s">
        <v>276</v>
      </c>
      <c r="AC326" s="8" t="s">
        <v>276</v>
      </c>
      <c r="AD326" s="9" t="s">
        <v>1818</v>
      </c>
      <c r="AE326" s="8" t="s">
        <v>276</v>
      </c>
      <c r="AF326" s="9" t="s">
        <v>1818</v>
      </c>
      <c r="AG326" s="9" t="s">
        <v>1819</v>
      </c>
      <c r="AH326" s="9" t="s">
        <v>1822</v>
      </c>
      <c r="AI326" s="34">
        <v>134</v>
      </c>
      <c r="AJ326" s="34">
        <v>158</v>
      </c>
      <c r="AK326" s="34">
        <v>5574</v>
      </c>
      <c r="AL326" s="34">
        <v>5287</v>
      </c>
      <c r="AM326" s="38" t="s">
        <v>292</v>
      </c>
      <c r="AN326" s="8" t="s">
        <v>276</v>
      </c>
      <c r="AO326" s="14">
        <f>AI326/AK326*100</f>
        <v>2.4040186580552567</v>
      </c>
      <c r="AP326" s="8" t="s">
        <v>276</v>
      </c>
      <c r="AQ326" s="8" t="s">
        <v>276</v>
      </c>
      <c r="AR326" s="8" t="s">
        <v>276</v>
      </c>
      <c r="AS326" s="14">
        <f>AJ326/AL326*100</f>
        <v>2.9884622659353131</v>
      </c>
      <c r="AT326" s="8" t="s">
        <v>276</v>
      </c>
      <c r="AU326" s="8" t="s">
        <v>276</v>
      </c>
      <c r="AV326" s="9" t="s">
        <v>269</v>
      </c>
      <c r="AW326" s="8" t="s">
        <v>276</v>
      </c>
      <c r="AX326" s="14">
        <f>AO326/AS326</f>
        <v>0.80443333197076849</v>
      </c>
      <c r="AY326" s="8" t="s">
        <v>276</v>
      </c>
      <c r="AZ326" s="8" t="s">
        <v>276</v>
      </c>
      <c r="BA326" s="8" t="s">
        <v>276</v>
      </c>
      <c r="BB326" s="9" t="s">
        <v>98</v>
      </c>
      <c r="BC326" s="9" t="s">
        <v>98</v>
      </c>
      <c r="BD326" s="9" t="s">
        <v>98</v>
      </c>
      <c r="BE326" s="9" t="s">
        <v>98</v>
      </c>
      <c r="BF326" s="9" t="s">
        <v>298</v>
      </c>
      <c r="BG326" s="9"/>
      <c r="BH326" s="9" t="s">
        <v>100</v>
      </c>
      <c r="BI326" s="9" t="s">
        <v>100</v>
      </c>
      <c r="BJ326" s="32"/>
      <c r="BK326" s="32"/>
      <c r="BL326" s="33"/>
      <c r="BM326" s="33"/>
      <c r="BN326" s="33"/>
      <c r="BO326" s="32"/>
      <c r="BP326" s="32"/>
      <c r="BQ326" s="33"/>
    </row>
    <row r="327" spans="1:69" s="6" customFormat="1" ht="52" hidden="1" x14ac:dyDescent="0.35">
      <c r="A327" s="8">
        <v>1053</v>
      </c>
      <c r="B327" s="8" t="s">
        <v>1482</v>
      </c>
      <c r="C327" s="9" t="s">
        <v>1556</v>
      </c>
      <c r="D327" s="9" t="s">
        <v>1823</v>
      </c>
      <c r="E327" s="8" t="s">
        <v>43</v>
      </c>
      <c r="F327" s="8" t="s">
        <v>139</v>
      </c>
      <c r="G327" s="8" t="s">
        <v>225</v>
      </c>
      <c r="H327" s="8" t="s">
        <v>125</v>
      </c>
      <c r="I327" s="8" t="s">
        <v>114</v>
      </c>
      <c r="J327" s="9" t="s">
        <v>29</v>
      </c>
      <c r="K327" s="2" t="s">
        <v>1824</v>
      </c>
      <c r="L327" s="2" t="s">
        <v>276</v>
      </c>
      <c r="M327" s="2" t="s">
        <v>276</v>
      </c>
      <c r="N327" s="10" t="s">
        <v>1815</v>
      </c>
      <c r="O327" s="10" t="s">
        <v>276</v>
      </c>
      <c r="P327" s="9" t="s">
        <v>239</v>
      </c>
      <c r="Q327" s="36">
        <v>42004</v>
      </c>
      <c r="R327" s="10" t="s">
        <v>276</v>
      </c>
      <c r="S327" s="9" t="s">
        <v>1816</v>
      </c>
      <c r="T327" s="9" t="s">
        <v>1817</v>
      </c>
      <c r="U327" s="9">
        <v>6</v>
      </c>
      <c r="V327" s="8" t="s">
        <v>14</v>
      </c>
      <c r="W327" s="2" t="s">
        <v>98</v>
      </c>
      <c r="X327" s="10" t="s">
        <v>207</v>
      </c>
      <c r="Y327" s="13">
        <v>38340</v>
      </c>
      <c r="Z327" s="10">
        <v>38343</v>
      </c>
      <c r="AA327" s="10" t="s">
        <v>276</v>
      </c>
      <c r="AB327" s="10" t="s">
        <v>276</v>
      </c>
      <c r="AC327" s="8" t="s">
        <v>276</v>
      </c>
      <c r="AD327" s="9" t="s">
        <v>1759</v>
      </c>
      <c r="AE327" s="8" t="s">
        <v>276</v>
      </c>
      <c r="AF327" s="9" t="s">
        <v>1759</v>
      </c>
      <c r="AG327" s="9" t="s">
        <v>1825</v>
      </c>
      <c r="AH327" s="9" t="s">
        <v>1507</v>
      </c>
      <c r="AI327" s="34">
        <v>630</v>
      </c>
      <c r="AJ327" s="34">
        <v>708</v>
      </c>
      <c r="AK327" s="34" t="s">
        <v>276</v>
      </c>
      <c r="AL327" s="34" t="s">
        <v>276</v>
      </c>
      <c r="AM327" s="38">
        <v>10000</v>
      </c>
      <c r="AN327" s="43">
        <v>12</v>
      </c>
      <c r="AO327" s="14" t="s">
        <v>98</v>
      </c>
      <c r="AP327" s="8" t="s">
        <v>276</v>
      </c>
      <c r="AQ327" s="8" t="s">
        <v>276</v>
      </c>
      <c r="AR327" s="8">
        <v>13.6</v>
      </c>
      <c r="AS327" s="14" t="s">
        <v>98</v>
      </c>
      <c r="AT327" s="8" t="s">
        <v>276</v>
      </c>
      <c r="AU327" s="8" t="s">
        <v>276</v>
      </c>
      <c r="AV327" s="9" t="s">
        <v>269</v>
      </c>
      <c r="AW327" s="35">
        <v>0.89</v>
      </c>
      <c r="AX327" s="35">
        <f t="shared" ref="AX327" si="107">AN327/AR327</f>
        <v>0.88235294117647056</v>
      </c>
      <c r="AY327" s="35">
        <v>0.8</v>
      </c>
      <c r="AZ327" s="10">
        <v>0.99</v>
      </c>
      <c r="BA327" s="10">
        <v>0.03</v>
      </c>
      <c r="BB327" s="9" t="s">
        <v>98</v>
      </c>
      <c r="BC327" s="9" t="s">
        <v>98</v>
      </c>
      <c r="BD327" s="9" t="s">
        <v>98</v>
      </c>
      <c r="BE327" s="9" t="s">
        <v>98</v>
      </c>
      <c r="BF327" s="9" t="s">
        <v>1826</v>
      </c>
      <c r="BG327" s="9"/>
      <c r="BH327" s="9" t="s">
        <v>100</v>
      </c>
      <c r="BI327" s="9" t="s">
        <v>100</v>
      </c>
      <c r="BJ327" s="32"/>
      <c r="BK327" s="32"/>
      <c r="BL327" s="33"/>
      <c r="BM327" s="33"/>
      <c r="BN327" s="33"/>
      <c r="BO327" s="32"/>
      <c r="BP327" s="32"/>
      <c r="BQ327" s="33"/>
    </row>
    <row r="328" spans="1:69" s="6" customFormat="1" ht="52" hidden="1" x14ac:dyDescent="0.35">
      <c r="A328" s="8">
        <v>1053</v>
      </c>
      <c r="B328" s="8" t="s">
        <v>1482</v>
      </c>
      <c r="C328" s="9" t="s">
        <v>1556</v>
      </c>
      <c r="D328" s="9" t="s">
        <v>1827</v>
      </c>
      <c r="E328" s="8" t="s">
        <v>43</v>
      </c>
      <c r="F328" s="8" t="s">
        <v>139</v>
      </c>
      <c r="G328" s="8" t="s">
        <v>225</v>
      </c>
      <c r="H328" s="8" t="s">
        <v>125</v>
      </c>
      <c r="I328" s="8" t="s">
        <v>114</v>
      </c>
      <c r="J328" s="9" t="s">
        <v>29</v>
      </c>
      <c r="K328" s="10" t="s">
        <v>1828</v>
      </c>
      <c r="L328" s="2" t="s">
        <v>276</v>
      </c>
      <c r="M328" s="2" t="s">
        <v>276</v>
      </c>
      <c r="N328" s="10" t="s">
        <v>1815</v>
      </c>
      <c r="O328" s="10" t="s">
        <v>276</v>
      </c>
      <c r="P328" s="9" t="s">
        <v>239</v>
      </c>
      <c r="Q328" s="36">
        <v>42004</v>
      </c>
      <c r="R328" s="10" t="s">
        <v>276</v>
      </c>
      <c r="S328" s="9" t="s">
        <v>1816</v>
      </c>
      <c r="T328" s="9" t="s">
        <v>1817</v>
      </c>
      <c r="U328" s="9">
        <v>6</v>
      </c>
      <c r="V328" s="8" t="s">
        <v>14</v>
      </c>
      <c r="W328" s="2" t="s">
        <v>98</v>
      </c>
      <c r="X328" s="10" t="s">
        <v>207</v>
      </c>
      <c r="Y328" s="13">
        <v>38340</v>
      </c>
      <c r="Z328" s="10">
        <v>38343</v>
      </c>
      <c r="AA328" s="10" t="s">
        <v>276</v>
      </c>
      <c r="AB328" s="10" t="s">
        <v>276</v>
      </c>
      <c r="AC328" s="8" t="s">
        <v>276</v>
      </c>
      <c r="AD328" s="9" t="s">
        <v>1759</v>
      </c>
      <c r="AE328" s="8" t="s">
        <v>276</v>
      </c>
      <c r="AF328" s="9" t="s">
        <v>1759</v>
      </c>
      <c r="AG328" s="9" t="s">
        <v>1829</v>
      </c>
      <c r="AH328" s="9" t="s">
        <v>1507</v>
      </c>
      <c r="AI328" s="34">
        <v>654</v>
      </c>
      <c r="AJ328" s="34">
        <v>749</v>
      </c>
      <c r="AK328" s="34" t="s">
        <v>276</v>
      </c>
      <c r="AL328" s="34" t="s">
        <v>276</v>
      </c>
      <c r="AM328" s="38">
        <v>10000</v>
      </c>
      <c r="AN328" s="8">
        <v>12.5</v>
      </c>
      <c r="AO328" s="14" t="s">
        <v>98</v>
      </c>
      <c r="AP328" s="8" t="s">
        <v>276</v>
      </c>
      <c r="AQ328" s="8" t="s">
        <v>276</v>
      </c>
      <c r="AR328" s="8">
        <v>14.3</v>
      </c>
      <c r="AS328" s="14" t="s">
        <v>98</v>
      </c>
      <c r="AT328" s="8" t="s">
        <v>276</v>
      </c>
      <c r="AU328" s="8" t="s">
        <v>276</v>
      </c>
      <c r="AV328" s="9" t="s">
        <v>269</v>
      </c>
      <c r="AW328" s="35">
        <v>0.87</v>
      </c>
      <c r="AX328" s="35">
        <f>AN328/AR328</f>
        <v>0.87412587412587406</v>
      </c>
      <c r="AY328" s="10">
        <v>0.78</v>
      </c>
      <c r="AZ328" s="10">
        <v>0.97</v>
      </c>
      <c r="BA328" s="10">
        <v>0.01</v>
      </c>
      <c r="BB328" s="9" t="s">
        <v>98</v>
      </c>
      <c r="BC328" s="9" t="s">
        <v>98</v>
      </c>
      <c r="BD328" s="9" t="s">
        <v>98</v>
      </c>
      <c r="BE328" s="9" t="s">
        <v>98</v>
      </c>
      <c r="BF328" s="9" t="s">
        <v>1830</v>
      </c>
      <c r="BG328" s="9"/>
      <c r="BH328" s="9" t="s">
        <v>100</v>
      </c>
      <c r="BI328" s="9" t="s">
        <v>100</v>
      </c>
      <c r="BJ328" s="32"/>
      <c r="BK328" s="32"/>
      <c r="BL328" s="33"/>
      <c r="BM328" s="33"/>
      <c r="BN328" s="33"/>
      <c r="BO328" s="32"/>
      <c r="BP328" s="32"/>
      <c r="BQ328" s="33"/>
    </row>
    <row r="329" spans="1:69" s="33" customFormat="1" ht="52" hidden="1" x14ac:dyDescent="0.35">
      <c r="A329" s="8">
        <v>1053</v>
      </c>
      <c r="B329" s="8" t="s">
        <v>1482</v>
      </c>
      <c r="C329" s="9" t="s">
        <v>1556</v>
      </c>
      <c r="D329" s="9" t="s">
        <v>1831</v>
      </c>
      <c r="E329" s="8" t="s">
        <v>43</v>
      </c>
      <c r="F329" s="8" t="s">
        <v>139</v>
      </c>
      <c r="G329" s="8" t="s">
        <v>225</v>
      </c>
      <c r="H329" s="8" t="s">
        <v>125</v>
      </c>
      <c r="I329" s="8" t="s">
        <v>114</v>
      </c>
      <c r="J329" s="9" t="s">
        <v>29</v>
      </c>
      <c r="K329" s="8" t="s">
        <v>1832</v>
      </c>
      <c r="L329" s="8" t="s">
        <v>276</v>
      </c>
      <c r="M329" s="8" t="s">
        <v>276</v>
      </c>
      <c r="N329" s="9" t="s">
        <v>1815</v>
      </c>
      <c r="O329" s="9" t="s">
        <v>276</v>
      </c>
      <c r="P329" s="9" t="s">
        <v>239</v>
      </c>
      <c r="Q329" s="52">
        <v>42004</v>
      </c>
      <c r="R329" s="9" t="s">
        <v>276</v>
      </c>
      <c r="S329" s="9" t="s">
        <v>1816</v>
      </c>
      <c r="T329" s="9" t="s">
        <v>1817</v>
      </c>
      <c r="U329" s="9">
        <v>6</v>
      </c>
      <c r="V329" s="8" t="s">
        <v>14</v>
      </c>
      <c r="W329" s="8" t="s">
        <v>98</v>
      </c>
      <c r="X329" s="9" t="s">
        <v>207</v>
      </c>
      <c r="Y329" s="13">
        <v>38340</v>
      </c>
      <c r="Z329" s="9">
        <v>38343</v>
      </c>
      <c r="AA329" s="9" t="s">
        <v>276</v>
      </c>
      <c r="AB329" s="9" t="s">
        <v>276</v>
      </c>
      <c r="AC329" s="8" t="s">
        <v>276</v>
      </c>
      <c r="AD329" s="9" t="s">
        <v>1759</v>
      </c>
      <c r="AE329" s="8" t="s">
        <v>276</v>
      </c>
      <c r="AF329" s="9" t="s">
        <v>1759</v>
      </c>
      <c r="AG329" s="9" t="s">
        <v>1833</v>
      </c>
      <c r="AH329" s="9" t="s">
        <v>1507</v>
      </c>
      <c r="AI329" s="38">
        <v>1510</v>
      </c>
      <c r="AJ329" s="38">
        <v>1511</v>
      </c>
      <c r="AK329" s="38" t="s">
        <v>276</v>
      </c>
      <c r="AL329" s="38" t="s">
        <v>276</v>
      </c>
      <c r="AM329" s="38">
        <v>10000</v>
      </c>
      <c r="AN329" s="43">
        <v>28.8</v>
      </c>
      <c r="AO329" s="14" t="s">
        <v>98</v>
      </c>
      <c r="AP329" s="8" t="s">
        <v>276</v>
      </c>
      <c r="AQ329" s="8" t="s">
        <v>276</v>
      </c>
      <c r="AR329" s="8">
        <v>28.9</v>
      </c>
      <c r="AS329" s="14" t="s">
        <v>98</v>
      </c>
      <c r="AT329" s="8" t="s">
        <v>276</v>
      </c>
      <c r="AU329" s="8" t="s">
        <v>276</v>
      </c>
      <c r="AV329" s="9" t="s">
        <v>269</v>
      </c>
      <c r="AW329" s="40">
        <v>1</v>
      </c>
      <c r="AX329" s="40">
        <f t="shared" ref="AX329:AX330" si="108">AN329/AR329</f>
        <v>0.99653979238754331</v>
      </c>
      <c r="AY329" s="40">
        <v>0.93</v>
      </c>
      <c r="AZ329" s="9">
        <v>1.07</v>
      </c>
      <c r="BA329" s="9">
        <v>0.92</v>
      </c>
      <c r="BB329" s="9" t="s">
        <v>98</v>
      </c>
      <c r="BC329" s="9" t="s">
        <v>98</v>
      </c>
      <c r="BD329" s="9" t="s">
        <v>98</v>
      </c>
      <c r="BE329" s="9" t="s">
        <v>98</v>
      </c>
      <c r="BF329" s="9" t="s">
        <v>1834</v>
      </c>
      <c r="BG329" s="9"/>
      <c r="BH329" s="9" t="s">
        <v>100</v>
      </c>
      <c r="BI329" s="9" t="s">
        <v>100</v>
      </c>
      <c r="BJ329" s="32"/>
      <c r="BK329" s="32"/>
      <c r="BO329" s="32"/>
      <c r="BP329" s="32"/>
    </row>
    <row r="330" spans="1:69" s="33" customFormat="1" ht="39" hidden="1" x14ac:dyDescent="0.35">
      <c r="A330" s="8">
        <v>1053</v>
      </c>
      <c r="B330" s="8" t="s">
        <v>1482</v>
      </c>
      <c r="C330" s="9" t="s">
        <v>1556</v>
      </c>
      <c r="D330" s="9" t="s">
        <v>1835</v>
      </c>
      <c r="E330" s="8" t="s">
        <v>43</v>
      </c>
      <c r="F330" s="8" t="s">
        <v>139</v>
      </c>
      <c r="G330" s="8" t="s">
        <v>225</v>
      </c>
      <c r="H330" s="8" t="s">
        <v>125</v>
      </c>
      <c r="I330" s="8" t="s">
        <v>114</v>
      </c>
      <c r="J330" s="9" t="s">
        <v>29</v>
      </c>
      <c r="K330" s="8" t="s">
        <v>1836</v>
      </c>
      <c r="L330" s="8" t="s">
        <v>276</v>
      </c>
      <c r="M330" s="8" t="s">
        <v>276</v>
      </c>
      <c r="N330" s="9" t="s">
        <v>1815</v>
      </c>
      <c r="O330" s="9" t="s">
        <v>276</v>
      </c>
      <c r="P330" s="9" t="s">
        <v>239</v>
      </c>
      <c r="Q330" s="52">
        <v>42004</v>
      </c>
      <c r="R330" s="9" t="s">
        <v>276</v>
      </c>
      <c r="S330" s="9" t="s">
        <v>1816</v>
      </c>
      <c r="T330" s="9" t="s">
        <v>1817</v>
      </c>
      <c r="U330" s="9">
        <v>6</v>
      </c>
      <c r="V330" s="8" t="s">
        <v>14</v>
      </c>
      <c r="W330" s="8" t="s">
        <v>98</v>
      </c>
      <c r="X330" s="9" t="s">
        <v>207</v>
      </c>
      <c r="Y330" s="13">
        <v>38340</v>
      </c>
      <c r="Z330" s="9">
        <v>38343</v>
      </c>
      <c r="AA330" s="9" t="s">
        <v>276</v>
      </c>
      <c r="AB330" s="9" t="s">
        <v>276</v>
      </c>
      <c r="AC330" s="8" t="s">
        <v>276</v>
      </c>
      <c r="AD330" s="9" t="s">
        <v>1759</v>
      </c>
      <c r="AE330" s="8" t="s">
        <v>276</v>
      </c>
      <c r="AF330" s="9" t="s">
        <v>1759</v>
      </c>
      <c r="AG330" s="9" t="s">
        <v>1837</v>
      </c>
      <c r="AH330" s="9" t="s">
        <v>1507</v>
      </c>
      <c r="AI330" s="38">
        <v>3095</v>
      </c>
      <c r="AJ330" s="38">
        <v>2648</v>
      </c>
      <c r="AK330" s="38" t="s">
        <v>276</v>
      </c>
      <c r="AL330" s="38" t="s">
        <v>276</v>
      </c>
      <c r="AM330" s="38">
        <v>10000</v>
      </c>
      <c r="AN330" s="43">
        <v>59</v>
      </c>
      <c r="AO330" s="14" t="s">
        <v>98</v>
      </c>
      <c r="AP330" s="8" t="s">
        <v>276</v>
      </c>
      <c r="AQ330" s="8" t="s">
        <v>276</v>
      </c>
      <c r="AR330" s="8">
        <v>50.6</v>
      </c>
      <c r="AS330" s="14" t="s">
        <v>98</v>
      </c>
      <c r="AT330" s="8" t="s">
        <v>276</v>
      </c>
      <c r="AU330" s="8" t="s">
        <v>276</v>
      </c>
      <c r="AV330" s="9" t="s">
        <v>269</v>
      </c>
      <c r="AW330" s="40">
        <v>1.17</v>
      </c>
      <c r="AX330" s="40">
        <f t="shared" si="108"/>
        <v>1.1660079051383399</v>
      </c>
      <c r="AY330" s="40">
        <v>1.1100000000000001</v>
      </c>
      <c r="AZ330" s="9">
        <v>1.23</v>
      </c>
      <c r="BA330" s="9" t="s">
        <v>431</v>
      </c>
      <c r="BB330" s="9" t="s">
        <v>98</v>
      </c>
      <c r="BC330" s="9" t="s">
        <v>98</v>
      </c>
      <c r="BD330" s="9" t="s">
        <v>98</v>
      </c>
      <c r="BE330" s="9" t="s">
        <v>98</v>
      </c>
      <c r="BF330" s="9" t="s">
        <v>1838</v>
      </c>
      <c r="BG330" s="9"/>
      <c r="BH330" s="9" t="s">
        <v>100</v>
      </c>
      <c r="BI330" s="9" t="s">
        <v>100</v>
      </c>
      <c r="BJ330" s="32"/>
      <c r="BK330" s="32"/>
      <c r="BO330" s="32"/>
      <c r="BP330" s="32"/>
    </row>
    <row r="331" spans="1:69" s="33" customFormat="1" ht="52" hidden="1" x14ac:dyDescent="0.35">
      <c r="A331" s="8">
        <v>1053</v>
      </c>
      <c r="B331" s="8" t="s">
        <v>1482</v>
      </c>
      <c r="C331" s="9" t="s">
        <v>1556</v>
      </c>
      <c r="D331" s="9" t="s">
        <v>1839</v>
      </c>
      <c r="E331" s="8" t="s">
        <v>43</v>
      </c>
      <c r="F331" s="8" t="s">
        <v>139</v>
      </c>
      <c r="G331" s="8" t="s">
        <v>225</v>
      </c>
      <c r="H331" s="8" t="s">
        <v>125</v>
      </c>
      <c r="I331" s="8" t="s">
        <v>114</v>
      </c>
      <c r="J331" s="9" t="s">
        <v>29</v>
      </c>
      <c r="K331" s="9" t="s">
        <v>1840</v>
      </c>
      <c r="L331" s="8" t="s">
        <v>276</v>
      </c>
      <c r="M331" s="8" t="s">
        <v>276</v>
      </c>
      <c r="N331" s="9" t="s">
        <v>1815</v>
      </c>
      <c r="O331" s="9" t="s">
        <v>276</v>
      </c>
      <c r="P331" s="9" t="s">
        <v>235</v>
      </c>
      <c r="Q331" s="52">
        <v>42004</v>
      </c>
      <c r="R331" s="9" t="s">
        <v>276</v>
      </c>
      <c r="S331" s="9" t="s">
        <v>1816</v>
      </c>
      <c r="T331" s="9" t="s">
        <v>1817</v>
      </c>
      <c r="U331" s="9">
        <v>6</v>
      </c>
      <c r="V331" s="8" t="s">
        <v>14</v>
      </c>
      <c r="W331" s="8" t="s">
        <v>98</v>
      </c>
      <c r="X331" s="9" t="s">
        <v>207</v>
      </c>
      <c r="Y331" s="13">
        <v>38340</v>
      </c>
      <c r="Z331" s="9">
        <v>38343</v>
      </c>
      <c r="AA331" s="9" t="s">
        <v>276</v>
      </c>
      <c r="AB331" s="9" t="s">
        <v>276</v>
      </c>
      <c r="AC331" s="8" t="s">
        <v>276</v>
      </c>
      <c r="AD331" s="9" t="s">
        <v>1759</v>
      </c>
      <c r="AE331" s="8" t="s">
        <v>276</v>
      </c>
      <c r="AF331" s="9" t="s">
        <v>1759</v>
      </c>
      <c r="AG331" s="9" t="s">
        <v>1841</v>
      </c>
      <c r="AH331" s="9" t="s">
        <v>1842</v>
      </c>
      <c r="AI331" s="38">
        <v>630</v>
      </c>
      <c r="AJ331" s="38">
        <v>708</v>
      </c>
      <c r="AK331" s="38">
        <v>5574</v>
      </c>
      <c r="AL331" s="38">
        <v>5287</v>
      </c>
      <c r="AM331" s="38" t="s">
        <v>292</v>
      </c>
      <c r="AN331" s="8" t="s">
        <v>276</v>
      </c>
      <c r="AO331" s="14">
        <f>AI331/AK331*100</f>
        <v>11.302475780409042</v>
      </c>
      <c r="AP331" s="8" t="s">
        <v>276</v>
      </c>
      <c r="AQ331" s="33" t="s">
        <v>276</v>
      </c>
      <c r="AR331" s="8" t="s">
        <v>276</v>
      </c>
      <c r="AS331" s="14">
        <f>AJ331/AL331*100</f>
        <v>13.391337242292414</v>
      </c>
      <c r="AT331" s="8" t="s">
        <v>276</v>
      </c>
      <c r="AU331" s="14" t="s">
        <v>276</v>
      </c>
      <c r="AV331" s="8" t="s">
        <v>268</v>
      </c>
      <c r="AW331" s="14" t="s">
        <v>276</v>
      </c>
      <c r="AX331" s="31">
        <f>AO331/AS331</f>
        <v>0.84401397529692956</v>
      </c>
      <c r="AY331" s="14" t="s">
        <v>276</v>
      </c>
      <c r="AZ331" s="8" t="s">
        <v>276</v>
      </c>
      <c r="BA331" s="14" t="s">
        <v>276</v>
      </c>
      <c r="BB331" s="14" t="s">
        <v>98</v>
      </c>
      <c r="BC331" s="14" t="s">
        <v>98</v>
      </c>
      <c r="BD331" s="14" t="s">
        <v>98</v>
      </c>
      <c r="BE331" s="14" t="s">
        <v>98</v>
      </c>
      <c r="BF331" s="9" t="s">
        <v>1843</v>
      </c>
      <c r="BG331" s="9"/>
      <c r="BH331" s="9" t="s">
        <v>100</v>
      </c>
      <c r="BI331" s="9" t="s">
        <v>100</v>
      </c>
      <c r="BJ331" s="32"/>
      <c r="BK331" s="32"/>
      <c r="BO331" s="32"/>
      <c r="BP331" s="32"/>
    </row>
    <row r="332" spans="1:69" s="33" customFormat="1" ht="78" hidden="1" x14ac:dyDescent="0.35">
      <c r="A332" s="8">
        <v>1053</v>
      </c>
      <c r="B332" s="8" t="s">
        <v>1482</v>
      </c>
      <c r="C332" s="9" t="s">
        <v>1556</v>
      </c>
      <c r="D332" s="9" t="s">
        <v>1844</v>
      </c>
      <c r="E332" s="8" t="s">
        <v>43</v>
      </c>
      <c r="F332" s="8" t="s">
        <v>139</v>
      </c>
      <c r="G332" s="8" t="s">
        <v>225</v>
      </c>
      <c r="H332" s="8" t="s">
        <v>125</v>
      </c>
      <c r="I332" s="8" t="s">
        <v>114</v>
      </c>
      <c r="J332" s="9" t="s">
        <v>29</v>
      </c>
      <c r="K332" s="9" t="s">
        <v>1828</v>
      </c>
      <c r="L332" s="8" t="s">
        <v>276</v>
      </c>
      <c r="M332" s="8" t="s">
        <v>276</v>
      </c>
      <c r="N332" s="9" t="s">
        <v>1815</v>
      </c>
      <c r="O332" s="9" t="s">
        <v>276</v>
      </c>
      <c r="P332" s="9" t="s">
        <v>235</v>
      </c>
      <c r="Q332" s="52">
        <v>42004</v>
      </c>
      <c r="R332" s="9" t="s">
        <v>276</v>
      </c>
      <c r="S332" s="9" t="s">
        <v>1816</v>
      </c>
      <c r="T332" s="9" t="s">
        <v>1817</v>
      </c>
      <c r="U332" s="9">
        <v>6</v>
      </c>
      <c r="V332" s="8" t="s">
        <v>14</v>
      </c>
      <c r="W332" s="8" t="s">
        <v>98</v>
      </c>
      <c r="X332" s="9" t="s">
        <v>207</v>
      </c>
      <c r="Y332" s="13">
        <v>38340</v>
      </c>
      <c r="Z332" s="9">
        <v>38343</v>
      </c>
      <c r="AA332" s="9" t="s">
        <v>276</v>
      </c>
      <c r="AB332" s="9" t="s">
        <v>276</v>
      </c>
      <c r="AC332" s="8" t="s">
        <v>276</v>
      </c>
      <c r="AD332" s="9" t="s">
        <v>1759</v>
      </c>
      <c r="AE332" s="8" t="s">
        <v>276</v>
      </c>
      <c r="AF332" s="9" t="s">
        <v>1759</v>
      </c>
      <c r="AG332" s="9" t="s">
        <v>1845</v>
      </c>
      <c r="AH332" s="9" t="s">
        <v>1842</v>
      </c>
      <c r="AI332" s="38">
        <v>654</v>
      </c>
      <c r="AJ332" s="38">
        <v>749</v>
      </c>
      <c r="AK332" s="38">
        <v>5574</v>
      </c>
      <c r="AL332" s="38">
        <v>5287</v>
      </c>
      <c r="AM332" s="38" t="s">
        <v>292</v>
      </c>
      <c r="AN332" s="8" t="s">
        <v>276</v>
      </c>
      <c r="AO332" s="14">
        <f>AI332/AK332*100</f>
        <v>11.733046286329387</v>
      </c>
      <c r="AP332" s="8" t="s">
        <v>276</v>
      </c>
      <c r="AQ332" s="33" t="s">
        <v>276</v>
      </c>
      <c r="AR332" s="8" t="s">
        <v>276</v>
      </c>
      <c r="AS332" s="14">
        <f>AJ332/AL332*100</f>
        <v>14.16682428598449</v>
      </c>
      <c r="AT332" s="8" t="s">
        <v>276</v>
      </c>
      <c r="AU332" s="14" t="s">
        <v>276</v>
      </c>
      <c r="AV332" s="8" t="s">
        <v>268</v>
      </c>
      <c r="AW332" s="14" t="s">
        <v>276</v>
      </c>
      <c r="AX332" s="31">
        <f>AO332/AS332</f>
        <v>0.82820581730071385</v>
      </c>
      <c r="AY332" s="14" t="s">
        <v>276</v>
      </c>
      <c r="AZ332" s="8" t="s">
        <v>276</v>
      </c>
      <c r="BA332" s="14" t="s">
        <v>276</v>
      </c>
      <c r="BB332" s="14" t="s">
        <v>98</v>
      </c>
      <c r="BC332" s="14" t="s">
        <v>98</v>
      </c>
      <c r="BD332" s="14" t="s">
        <v>98</v>
      </c>
      <c r="BE332" s="14" t="s">
        <v>98</v>
      </c>
      <c r="BF332" s="9" t="s">
        <v>1843</v>
      </c>
      <c r="BG332" s="9"/>
      <c r="BH332" s="9" t="s">
        <v>100</v>
      </c>
      <c r="BI332" s="9" t="s">
        <v>100</v>
      </c>
      <c r="BJ332" s="32"/>
      <c r="BK332" s="32"/>
      <c r="BO332" s="32"/>
      <c r="BP332" s="32"/>
    </row>
    <row r="333" spans="1:69" s="6" customFormat="1" ht="52" hidden="1" x14ac:dyDescent="0.35">
      <c r="A333" s="8">
        <v>1053</v>
      </c>
      <c r="B333" s="8" t="s">
        <v>1482</v>
      </c>
      <c r="C333" s="9" t="s">
        <v>1556</v>
      </c>
      <c r="D333" s="9" t="s">
        <v>1846</v>
      </c>
      <c r="E333" s="8" t="s">
        <v>43</v>
      </c>
      <c r="F333" s="8" t="s">
        <v>139</v>
      </c>
      <c r="G333" s="8" t="s">
        <v>225</v>
      </c>
      <c r="H333" s="8" t="s">
        <v>225</v>
      </c>
      <c r="I333" s="8" t="s">
        <v>114</v>
      </c>
      <c r="J333" s="9" t="s">
        <v>98</v>
      </c>
      <c r="K333" s="9" t="s">
        <v>98</v>
      </c>
      <c r="L333" s="9" t="s">
        <v>98</v>
      </c>
      <c r="M333" s="9" t="s">
        <v>98</v>
      </c>
      <c r="N333" s="9" t="s">
        <v>1847</v>
      </c>
      <c r="O333" s="10" t="s">
        <v>276</v>
      </c>
      <c r="P333" s="9" t="s">
        <v>236</v>
      </c>
      <c r="Q333" s="52" t="s">
        <v>276</v>
      </c>
      <c r="R333" s="9" t="s">
        <v>1848</v>
      </c>
      <c r="S333" s="52" t="s">
        <v>276</v>
      </c>
      <c r="T333" s="52" t="s">
        <v>276</v>
      </c>
      <c r="U333" s="9">
        <v>6</v>
      </c>
      <c r="V333" s="8" t="s">
        <v>14</v>
      </c>
      <c r="W333" s="2" t="s">
        <v>98</v>
      </c>
      <c r="X333" s="10" t="s">
        <v>207</v>
      </c>
      <c r="Y333" s="13" t="s">
        <v>98</v>
      </c>
      <c r="Z333" s="10" t="s">
        <v>98</v>
      </c>
      <c r="AA333" s="10" t="s">
        <v>276</v>
      </c>
      <c r="AB333" s="10" t="s">
        <v>276</v>
      </c>
      <c r="AC333" s="8" t="s">
        <v>276</v>
      </c>
      <c r="AD333" s="9" t="s">
        <v>1849</v>
      </c>
      <c r="AE333" s="8" t="s">
        <v>276</v>
      </c>
      <c r="AF333" s="9" t="s">
        <v>1850</v>
      </c>
      <c r="AG333" s="9" t="s">
        <v>1851</v>
      </c>
      <c r="AH333" s="9" t="s">
        <v>1852</v>
      </c>
      <c r="AI333" s="34" t="s">
        <v>276</v>
      </c>
      <c r="AJ333" s="34" t="s">
        <v>276</v>
      </c>
      <c r="AK333" s="34" t="s">
        <v>276</v>
      </c>
      <c r="AL333" s="34" t="s">
        <v>276</v>
      </c>
      <c r="AM333" s="38" t="s">
        <v>292</v>
      </c>
      <c r="AN333" s="8">
        <v>80</v>
      </c>
      <c r="AO333" s="14" t="s">
        <v>98</v>
      </c>
      <c r="AP333" s="8" t="s">
        <v>98</v>
      </c>
      <c r="AQ333" s="14" t="s">
        <v>98</v>
      </c>
      <c r="AR333" s="8" t="s">
        <v>98</v>
      </c>
      <c r="AS333" s="14" t="s">
        <v>98</v>
      </c>
      <c r="AT333" s="8" t="s">
        <v>98</v>
      </c>
      <c r="AU333" s="14" t="s">
        <v>98</v>
      </c>
      <c r="AV333" s="8" t="s">
        <v>98</v>
      </c>
      <c r="AW333" s="14" t="s">
        <v>98</v>
      </c>
      <c r="AX333" s="8" t="s">
        <v>98</v>
      </c>
      <c r="AY333" s="14" t="s">
        <v>98</v>
      </c>
      <c r="AZ333" s="8" t="s">
        <v>98</v>
      </c>
      <c r="BA333" s="14" t="s">
        <v>98</v>
      </c>
      <c r="BB333" s="14" t="s">
        <v>98</v>
      </c>
      <c r="BC333" s="14" t="s">
        <v>98</v>
      </c>
      <c r="BD333" s="14" t="s">
        <v>98</v>
      </c>
      <c r="BE333" s="14" t="s">
        <v>98</v>
      </c>
      <c r="BF333" s="9" t="s">
        <v>1421</v>
      </c>
      <c r="BG333" s="9"/>
      <c r="BH333" s="9" t="s">
        <v>100</v>
      </c>
      <c r="BI333" s="9" t="s">
        <v>100</v>
      </c>
      <c r="BJ333" s="32"/>
      <c r="BK333" s="32"/>
      <c r="BL333" s="33"/>
      <c r="BM333" s="33"/>
      <c r="BN333" s="33"/>
      <c r="BO333" s="32"/>
      <c r="BP333" s="32"/>
      <c r="BQ333" s="33"/>
    </row>
    <row r="334" spans="1:69" s="6" customFormat="1" ht="143" hidden="1" x14ac:dyDescent="0.35">
      <c r="A334" s="8">
        <v>1054</v>
      </c>
      <c r="B334" s="8" t="s">
        <v>1482</v>
      </c>
      <c r="C334" s="9" t="s">
        <v>1556</v>
      </c>
      <c r="D334" s="9" t="s">
        <v>1853</v>
      </c>
      <c r="E334" s="8" t="s">
        <v>43</v>
      </c>
      <c r="F334" s="8" t="s">
        <v>139</v>
      </c>
      <c r="G334" s="8" t="s">
        <v>225</v>
      </c>
      <c r="H334" s="8" t="s">
        <v>125</v>
      </c>
      <c r="I334" s="8" t="s">
        <v>114</v>
      </c>
      <c r="J334" s="9" t="s">
        <v>1814</v>
      </c>
      <c r="K334" s="10" t="s">
        <v>1854</v>
      </c>
      <c r="L334" s="2" t="s">
        <v>276</v>
      </c>
      <c r="M334" s="2" t="s">
        <v>276</v>
      </c>
      <c r="N334" s="10" t="s">
        <v>1855</v>
      </c>
      <c r="O334" s="10" t="s">
        <v>1856</v>
      </c>
      <c r="P334" s="9" t="s">
        <v>239</v>
      </c>
      <c r="Q334" s="36">
        <v>40543</v>
      </c>
      <c r="R334" s="10" t="s">
        <v>276</v>
      </c>
      <c r="S334" s="9" t="s">
        <v>1857</v>
      </c>
      <c r="T334" s="9" t="s">
        <v>1858</v>
      </c>
      <c r="U334" s="9" t="s">
        <v>276</v>
      </c>
      <c r="V334" s="8" t="s">
        <v>14</v>
      </c>
      <c r="W334" s="2" t="s">
        <v>98</v>
      </c>
      <c r="X334" s="10" t="s">
        <v>207</v>
      </c>
      <c r="Y334" s="13">
        <v>38340</v>
      </c>
      <c r="Z334" s="10">
        <v>38343</v>
      </c>
      <c r="AA334" s="10" t="s">
        <v>276</v>
      </c>
      <c r="AB334" s="10" t="s">
        <v>276</v>
      </c>
      <c r="AC334" s="8" t="s">
        <v>276</v>
      </c>
      <c r="AD334" s="9" t="s">
        <v>1859</v>
      </c>
      <c r="AE334" s="8" t="s">
        <v>276</v>
      </c>
      <c r="AF334" s="9" t="s">
        <v>1859</v>
      </c>
      <c r="AG334" s="9" t="s">
        <v>1860</v>
      </c>
      <c r="AH334" s="9" t="s">
        <v>1507</v>
      </c>
      <c r="AI334" s="34">
        <v>115</v>
      </c>
      <c r="AJ334" s="34">
        <v>126</v>
      </c>
      <c r="AK334" s="34">
        <v>466079</v>
      </c>
      <c r="AL334" s="34">
        <v>463950</v>
      </c>
      <c r="AM334" s="38">
        <v>10000</v>
      </c>
      <c r="AN334" s="8">
        <v>2.4700000000000002</v>
      </c>
      <c r="AO334" s="14">
        <f>AI334/AK334*AM334</f>
        <v>2.4673928668745</v>
      </c>
      <c r="AP334" s="8" t="s">
        <v>276</v>
      </c>
      <c r="AQ334" s="8" t="s">
        <v>276</v>
      </c>
      <c r="AR334" s="8">
        <v>2.72</v>
      </c>
      <c r="AS334" s="14">
        <f>AJ334/AL334*AM334</f>
        <v>2.7158098933074681</v>
      </c>
      <c r="AT334" s="8" t="s">
        <v>276</v>
      </c>
      <c r="AU334" s="8" t="s">
        <v>276</v>
      </c>
      <c r="AV334" s="9" t="s">
        <v>269</v>
      </c>
      <c r="AW334" s="35">
        <v>0.91</v>
      </c>
      <c r="AX334" s="35">
        <f t="shared" ref="AX334:AX339" si="109">AO334/AS334</f>
        <v>0.90852930205271776</v>
      </c>
      <c r="AY334" s="35">
        <v>0.7</v>
      </c>
      <c r="AZ334" s="10">
        <v>1.17</v>
      </c>
      <c r="BA334" s="9" t="s">
        <v>691</v>
      </c>
      <c r="BB334" s="10" t="s">
        <v>98</v>
      </c>
      <c r="BC334" s="10" t="s">
        <v>98</v>
      </c>
      <c r="BD334" s="10" t="s">
        <v>98</v>
      </c>
      <c r="BE334" s="10" t="s">
        <v>98</v>
      </c>
      <c r="BF334" s="9" t="s">
        <v>1861</v>
      </c>
      <c r="BG334" s="9" t="s">
        <v>1862</v>
      </c>
      <c r="BH334" s="9" t="s">
        <v>100</v>
      </c>
      <c r="BI334" s="9" t="s">
        <v>100</v>
      </c>
      <c r="BJ334" s="32"/>
      <c r="BK334" s="32"/>
      <c r="BL334" s="33"/>
      <c r="BM334" s="33"/>
      <c r="BN334" s="33"/>
      <c r="BO334" s="32"/>
      <c r="BP334" s="32"/>
      <c r="BQ334" s="33"/>
    </row>
    <row r="335" spans="1:69" s="33" customFormat="1" ht="143" hidden="1" x14ac:dyDescent="0.35">
      <c r="A335" s="8">
        <v>1054</v>
      </c>
      <c r="B335" s="8" t="s">
        <v>1482</v>
      </c>
      <c r="C335" s="9" t="s">
        <v>1556</v>
      </c>
      <c r="D335" s="9" t="s">
        <v>1863</v>
      </c>
      <c r="E335" s="8" t="s">
        <v>43</v>
      </c>
      <c r="F335" s="8" t="s">
        <v>139</v>
      </c>
      <c r="G335" s="8" t="s">
        <v>225</v>
      </c>
      <c r="H335" s="8" t="s">
        <v>125</v>
      </c>
      <c r="I335" s="8" t="s">
        <v>114</v>
      </c>
      <c r="J335" s="9" t="s">
        <v>1814</v>
      </c>
      <c r="K335" s="9" t="s">
        <v>1854</v>
      </c>
      <c r="L335" s="8" t="s">
        <v>276</v>
      </c>
      <c r="M335" s="8" t="s">
        <v>276</v>
      </c>
      <c r="N335" s="9" t="s">
        <v>1864</v>
      </c>
      <c r="O335" s="9" t="s">
        <v>1856</v>
      </c>
      <c r="P335" s="9" t="s">
        <v>235</v>
      </c>
      <c r="Q335" s="52">
        <v>40543</v>
      </c>
      <c r="R335" s="9" t="s">
        <v>276</v>
      </c>
      <c r="S335" s="9" t="s">
        <v>1857</v>
      </c>
      <c r="T335" s="9" t="s">
        <v>1858</v>
      </c>
      <c r="U335" s="9" t="s">
        <v>276</v>
      </c>
      <c r="V335" s="8" t="s">
        <v>14</v>
      </c>
      <c r="W335" s="8" t="s">
        <v>98</v>
      </c>
      <c r="X335" s="9" t="s">
        <v>207</v>
      </c>
      <c r="Y335" s="13">
        <v>38340</v>
      </c>
      <c r="Z335" s="9">
        <v>38343</v>
      </c>
      <c r="AA335" s="9" t="s">
        <v>276</v>
      </c>
      <c r="AB335" s="9" t="s">
        <v>276</v>
      </c>
      <c r="AC335" s="8" t="s">
        <v>276</v>
      </c>
      <c r="AD335" s="9" t="s">
        <v>1859</v>
      </c>
      <c r="AE335" s="8" t="s">
        <v>276</v>
      </c>
      <c r="AF335" s="9" t="s">
        <v>1859</v>
      </c>
      <c r="AG335" s="9" t="s">
        <v>1865</v>
      </c>
      <c r="AH335" s="9" t="s">
        <v>1866</v>
      </c>
      <c r="AI335" s="38">
        <v>115</v>
      </c>
      <c r="AJ335" s="38">
        <v>126</v>
      </c>
      <c r="AK335" s="38">
        <v>4974</v>
      </c>
      <c r="AL335" s="38">
        <v>4699</v>
      </c>
      <c r="AM335" s="38" t="s">
        <v>292</v>
      </c>
      <c r="AN335" s="8" t="s">
        <v>276</v>
      </c>
      <c r="AO335" s="14">
        <f>AI335/AK335*100</f>
        <v>2.3120225170888622</v>
      </c>
      <c r="AP335" s="8" t="s">
        <v>276</v>
      </c>
      <c r="AQ335" s="8" t="s">
        <v>276</v>
      </c>
      <c r="AR335" s="8" t="s">
        <v>276</v>
      </c>
      <c r="AS335" s="14">
        <f>AJ335/AL335*100</f>
        <v>2.6814215790593741</v>
      </c>
      <c r="AT335" s="8" t="s">
        <v>276</v>
      </c>
      <c r="AU335" s="8" t="s">
        <v>276</v>
      </c>
      <c r="AV335" s="9" t="s">
        <v>268</v>
      </c>
      <c r="AW335" s="40" t="s">
        <v>276</v>
      </c>
      <c r="AX335" s="40">
        <f t="shared" si="109"/>
        <v>0.86223760379369563</v>
      </c>
      <c r="AY335" s="40" t="s">
        <v>276</v>
      </c>
      <c r="AZ335" s="40" t="s">
        <v>276</v>
      </c>
      <c r="BA335" s="40" t="s">
        <v>276</v>
      </c>
      <c r="BB335" s="9" t="s">
        <v>98</v>
      </c>
      <c r="BC335" s="9" t="s">
        <v>98</v>
      </c>
      <c r="BD335" s="9" t="s">
        <v>98</v>
      </c>
      <c r="BE335" s="9" t="s">
        <v>98</v>
      </c>
      <c r="BF335" s="9" t="s">
        <v>1867</v>
      </c>
      <c r="BG335" s="9" t="s">
        <v>1862</v>
      </c>
      <c r="BH335" s="9" t="s">
        <v>100</v>
      </c>
      <c r="BI335" s="9" t="s">
        <v>100</v>
      </c>
      <c r="BJ335" s="32"/>
      <c r="BK335" s="32"/>
      <c r="BO335" s="32"/>
      <c r="BP335" s="32"/>
    </row>
    <row r="336" spans="1:69" s="33" customFormat="1" ht="143" hidden="1" x14ac:dyDescent="0.35">
      <c r="A336" s="8">
        <v>1054</v>
      </c>
      <c r="B336" s="8" t="s">
        <v>1482</v>
      </c>
      <c r="C336" s="9" t="s">
        <v>1556</v>
      </c>
      <c r="D336" s="9" t="s">
        <v>1868</v>
      </c>
      <c r="E336" s="8" t="s">
        <v>43</v>
      </c>
      <c r="F336" s="8" t="s">
        <v>139</v>
      </c>
      <c r="G336" s="8" t="s">
        <v>225</v>
      </c>
      <c r="H336" s="8" t="s">
        <v>125</v>
      </c>
      <c r="I336" s="8" t="s">
        <v>114</v>
      </c>
      <c r="J336" s="9" t="s">
        <v>29</v>
      </c>
      <c r="K336" s="70" t="s">
        <v>1709</v>
      </c>
      <c r="L336" s="8" t="s">
        <v>276</v>
      </c>
      <c r="M336" s="8" t="s">
        <v>276</v>
      </c>
      <c r="N336" s="9" t="s">
        <v>1864</v>
      </c>
      <c r="O336" s="9" t="s">
        <v>1856</v>
      </c>
      <c r="P336" s="9" t="s">
        <v>239</v>
      </c>
      <c r="Q336" s="52">
        <v>40543</v>
      </c>
      <c r="R336" s="9" t="s">
        <v>276</v>
      </c>
      <c r="S336" s="9" t="s">
        <v>276</v>
      </c>
      <c r="T336" s="9" t="s">
        <v>276</v>
      </c>
      <c r="U336" s="9" t="s">
        <v>276</v>
      </c>
      <c r="V336" s="8" t="s">
        <v>14</v>
      </c>
      <c r="W336" s="8" t="s">
        <v>98</v>
      </c>
      <c r="X336" s="9" t="s">
        <v>207</v>
      </c>
      <c r="Y336" s="13">
        <v>38340</v>
      </c>
      <c r="Z336" s="9">
        <v>38343</v>
      </c>
      <c r="AA336" s="9" t="s">
        <v>276</v>
      </c>
      <c r="AB336" s="9" t="s">
        <v>276</v>
      </c>
      <c r="AC336" s="8">
        <v>293</v>
      </c>
      <c r="AD336" s="9" t="s">
        <v>1710</v>
      </c>
      <c r="AE336" s="8">
        <v>377</v>
      </c>
      <c r="AF336" s="9" t="s">
        <v>1710</v>
      </c>
      <c r="AG336" s="9" t="s">
        <v>1869</v>
      </c>
      <c r="AH336" s="9" t="s">
        <v>1704</v>
      </c>
      <c r="AI336" s="38">
        <v>499</v>
      </c>
      <c r="AJ336" s="38">
        <v>571</v>
      </c>
      <c r="AK336" s="38">
        <v>38340</v>
      </c>
      <c r="AL336" s="38">
        <v>38343</v>
      </c>
      <c r="AM336" s="38">
        <v>1000</v>
      </c>
      <c r="AN336" s="8" t="s">
        <v>276</v>
      </c>
      <c r="AO336" s="14">
        <f>AI336*AM336/AK336</f>
        <v>13.015127803860198</v>
      </c>
      <c r="AP336" s="8" t="s">
        <v>276</v>
      </c>
      <c r="AQ336" s="8" t="s">
        <v>276</v>
      </c>
      <c r="AR336" s="8" t="s">
        <v>276</v>
      </c>
      <c r="AS336" s="14">
        <f>AJ336*AM336/AL336</f>
        <v>14.891896826017787</v>
      </c>
      <c r="AT336" s="8" t="s">
        <v>276</v>
      </c>
      <c r="AU336" s="8" t="s">
        <v>276</v>
      </c>
      <c r="AV336" s="9" t="s">
        <v>268</v>
      </c>
      <c r="AW336" s="40" t="s">
        <v>276</v>
      </c>
      <c r="AX336" s="40">
        <f t="shared" si="109"/>
        <v>0.87397380977830397</v>
      </c>
      <c r="AY336" s="9" t="s">
        <v>276</v>
      </c>
      <c r="AZ336" s="9" t="s">
        <v>276</v>
      </c>
      <c r="BA336" s="9" t="s">
        <v>276</v>
      </c>
      <c r="BB336" s="9" t="s">
        <v>98</v>
      </c>
      <c r="BC336" s="9" t="s">
        <v>98</v>
      </c>
      <c r="BD336" s="9" t="s">
        <v>98</v>
      </c>
      <c r="BE336" s="9" t="s">
        <v>98</v>
      </c>
      <c r="BF336" s="9" t="s">
        <v>1358</v>
      </c>
      <c r="BG336" s="9"/>
      <c r="BH336" s="9" t="s">
        <v>100</v>
      </c>
      <c r="BI336" s="9" t="s">
        <v>100</v>
      </c>
      <c r="BJ336" s="32"/>
      <c r="BK336" s="32"/>
      <c r="BO336" s="32"/>
      <c r="BP336" s="32"/>
    </row>
    <row r="337" spans="1:68" s="33" customFormat="1" ht="143" hidden="1" x14ac:dyDescent="0.35">
      <c r="A337" s="8">
        <v>1054</v>
      </c>
      <c r="B337" s="8" t="s">
        <v>1482</v>
      </c>
      <c r="C337" s="9" t="s">
        <v>1556</v>
      </c>
      <c r="D337" s="9" t="s">
        <v>1870</v>
      </c>
      <c r="E337" s="8" t="s">
        <v>43</v>
      </c>
      <c r="F337" s="8" t="s">
        <v>139</v>
      </c>
      <c r="G337" s="8" t="s">
        <v>225</v>
      </c>
      <c r="H337" s="8" t="s">
        <v>125</v>
      </c>
      <c r="I337" s="8" t="s">
        <v>114</v>
      </c>
      <c r="J337" s="9" t="s">
        <v>29</v>
      </c>
      <c r="K337" s="42">
        <v>7</v>
      </c>
      <c r="L337" s="8" t="s">
        <v>276</v>
      </c>
      <c r="M337" s="8" t="s">
        <v>276</v>
      </c>
      <c r="N337" s="9" t="s">
        <v>1864</v>
      </c>
      <c r="O337" s="9" t="s">
        <v>1856</v>
      </c>
      <c r="P337" s="9" t="s">
        <v>239</v>
      </c>
      <c r="Q337" s="52">
        <v>40543</v>
      </c>
      <c r="R337" s="9" t="s">
        <v>276</v>
      </c>
      <c r="S337" s="9" t="s">
        <v>276</v>
      </c>
      <c r="T337" s="9" t="s">
        <v>276</v>
      </c>
      <c r="U337" s="9" t="s">
        <v>276</v>
      </c>
      <c r="V337" s="8" t="s">
        <v>14</v>
      </c>
      <c r="W337" s="8" t="s">
        <v>98</v>
      </c>
      <c r="X337" s="9" t="s">
        <v>207</v>
      </c>
      <c r="Y337" s="13">
        <v>38340</v>
      </c>
      <c r="Z337" s="9">
        <v>38343</v>
      </c>
      <c r="AA337" s="9" t="s">
        <v>276</v>
      </c>
      <c r="AB337" s="9" t="s">
        <v>276</v>
      </c>
      <c r="AC337" s="8">
        <v>293</v>
      </c>
      <c r="AD337" s="9" t="s">
        <v>1710</v>
      </c>
      <c r="AE337" s="8">
        <v>377</v>
      </c>
      <c r="AF337" s="9" t="s">
        <v>1710</v>
      </c>
      <c r="AG337" s="9" t="s">
        <v>1871</v>
      </c>
      <c r="AH337" s="9" t="s">
        <v>1704</v>
      </c>
      <c r="AI337" s="38">
        <v>798</v>
      </c>
      <c r="AJ337" s="38">
        <v>807</v>
      </c>
      <c r="AK337" s="38">
        <v>38340</v>
      </c>
      <c r="AL337" s="38">
        <v>38343</v>
      </c>
      <c r="AM337" s="38">
        <v>1000</v>
      </c>
      <c r="AN337" s="8" t="s">
        <v>276</v>
      </c>
      <c r="AO337" s="14">
        <f>AI337*AM337/AK337</f>
        <v>20.813771517996869</v>
      </c>
      <c r="AP337" s="8" t="s">
        <v>276</v>
      </c>
      <c r="AQ337" s="8" t="s">
        <v>276</v>
      </c>
      <c r="AR337" s="8" t="s">
        <v>276</v>
      </c>
      <c r="AS337" s="14">
        <f>AJ337*AM337/AL337</f>
        <v>21.0468664423754</v>
      </c>
      <c r="AT337" s="8" t="s">
        <v>276</v>
      </c>
      <c r="AU337" s="8" t="s">
        <v>276</v>
      </c>
      <c r="AV337" s="9" t="s">
        <v>268</v>
      </c>
      <c r="AW337" s="40" t="s">
        <v>276</v>
      </c>
      <c r="AX337" s="40">
        <f t="shared" si="109"/>
        <v>0.98892495825843119</v>
      </c>
      <c r="AY337" s="9" t="s">
        <v>276</v>
      </c>
      <c r="AZ337" s="9" t="s">
        <v>276</v>
      </c>
      <c r="BA337" s="9" t="s">
        <v>276</v>
      </c>
      <c r="BB337" s="9" t="s">
        <v>98</v>
      </c>
      <c r="BC337" s="9" t="s">
        <v>98</v>
      </c>
      <c r="BD337" s="9" t="s">
        <v>98</v>
      </c>
      <c r="BE337" s="9" t="s">
        <v>98</v>
      </c>
      <c r="BF337" s="9" t="s">
        <v>1358</v>
      </c>
      <c r="BG337" s="9"/>
      <c r="BH337" s="9" t="s">
        <v>100</v>
      </c>
      <c r="BI337" s="9" t="s">
        <v>100</v>
      </c>
      <c r="BJ337" s="32"/>
      <c r="BK337" s="32"/>
      <c r="BO337" s="32"/>
      <c r="BP337" s="32"/>
    </row>
    <row r="338" spans="1:68" s="33" customFormat="1" ht="143" hidden="1" x14ac:dyDescent="0.35">
      <c r="A338" s="8">
        <v>1054</v>
      </c>
      <c r="B338" s="8" t="s">
        <v>1482</v>
      </c>
      <c r="C338" s="9" t="s">
        <v>1556</v>
      </c>
      <c r="D338" s="9" t="s">
        <v>1872</v>
      </c>
      <c r="E338" s="8" t="s">
        <v>43</v>
      </c>
      <c r="F338" s="8" t="s">
        <v>139</v>
      </c>
      <c r="G338" s="8" t="s">
        <v>225</v>
      </c>
      <c r="H338" s="8" t="s">
        <v>125</v>
      </c>
      <c r="I338" s="8" t="s">
        <v>114</v>
      </c>
      <c r="J338" s="9" t="s">
        <v>29</v>
      </c>
      <c r="K338" s="42" t="s">
        <v>1772</v>
      </c>
      <c r="L338" s="8" t="s">
        <v>276</v>
      </c>
      <c r="M338" s="8" t="s">
        <v>276</v>
      </c>
      <c r="N338" s="9" t="s">
        <v>1864</v>
      </c>
      <c r="O338" s="9" t="s">
        <v>1856</v>
      </c>
      <c r="P338" s="9" t="s">
        <v>239</v>
      </c>
      <c r="Q338" s="52">
        <v>40543</v>
      </c>
      <c r="R338" s="9" t="s">
        <v>276</v>
      </c>
      <c r="S338" s="9" t="s">
        <v>276</v>
      </c>
      <c r="T338" s="9" t="s">
        <v>276</v>
      </c>
      <c r="U338" s="9" t="s">
        <v>276</v>
      </c>
      <c r="V338" s="8" t="s">
        <v>14</v>
      </c>
      <c r="W338" s="8" t="s">
        <v>98</v>
      </c>
      <c r="X338" s="9" t="s">
        <v>207</v>
      </c>
      <c r="Y338" s="13">
        <v>38340</v>
      </c>
      <c r="Z338" s="9">
        <v>38343</v>
      </c>
      <c r="AA338" s="9" t="s">
        <v>276</v>
      </c>
      <c r="AB338" s="9" t="s">
        <v>276</v>
      </c>
      <c r="AC338" s="8">
        <v>293</v>
      </c>
      <c r="AD338" s="9" t="s">
        <v>1710</v>
      </c>
      <c r="AE338" s="8">
        <v>377</v>
      </c>
      <c r="AF338" s="9" t="s">
        <v>1710</v>
      </c>
      <c r="AG338" s="9" t="s">
        <v>1873</v>
      </c>
      <c r="AH338" s="9" t="s">
        <v>1704</v>
      </c>
      <c r="AI338" s="38">
        <v>2116</v>
      </c>
      <c r="AJ338" s="38">
        <v>1700</v>
      </c>
      <c r="AK338" s="38">
        <v>38340</v>
      </c>
      <c r="AL338" s="38">
        <v>38343</v>
      </c>
      <c r="AM338" s="38">
        <v>1000</v>
      </c>
      <c r="AN338" s="8" t="s">
        <v>276</v>
      </c>
      <c r="AO338" s="14">
        <f>AI338*AM338/AK338</f>
        <v>55.190401669274905</v>
      </c>
      <c r="AP338" s="8" t="s">
        <v>276</v>
      </c>
      <c r="AQ338" s="8" t="s">
        <v>276</v>
      </c>
      <c r="AR338" s="8" t="s">
        <v>276</v>
      </c>
      <c r="AS338" s="14">
        <f>AJ338*AM338/AL338</f>
        <v>44.336645541559086</v>
      </c>
      <c r="AT338" s="8" t="s">
        <v>276</v>
      </c>
      <c r="AU338" s="8" t="s">
        <v>276</v>
      </c>
      <c r="AV338" s="9" t="s">
        <v>268</v>
      </c>
      <c r="AW338" s="40" t="s">
        <v>276</v>
      </c>
      <c r="AX338" s="40">
        <f t="shared" si="109"/>
        <v>1.2448032771794162</v>
      </c>
      <c r="AY338" s="9" t="s">
        <v>276</v>
      </c>
      <c r="AZ338" s="9" t="s">
        <v>276</v>
      </c>
      <c r="BA338" s="9" t="s">
        <v>276</v>
      </c>
      <c r="BB338" s="9" t="s">
        <v>98</v>
      </c>
      <c r="BC338" s="9" t="s">
        <v>98</v>
      </c>
      <c r="BD338" s="9" t="s">
        <v>98</v>
      </c>
      <c r="BE338" s="9" t="s">
        <v>98</v>
      </c>
      <c r="BF338" s="9" t="s">
        <v>1358</v>
      </c>
      <c r="BG338" s="9"/>
      <c r="BH338" s="9" t="s">
        <v>100</v>
      </c>
      <c r="BI338" s="9" t="s">
        <v>100</v>
      </c>
      <c r="BJ338" s="32"/>
      <c r="BK338" s="32"/>
      <c r="BO338" s="32"/>
      <c r="BP338" s="32"/>
    </row>
    <row r="339" spans="1:68" s="33" customFormat="1" ht="143" hidden="1" x14ac:dyDescent="0.35">
      <c r="A339" s="8">
        <v>1054</v>
      </c>
      <c r="B339" s="8" t="s">
        <v>1482</v>
      </c>
      <c r="C339" s="9" t="s">
        <v>1556</v>
      </c>
      <c r="D339" s="9" t="s">
        <v>1874</v>
      </c>
      <c r="E339" s="8" t="s">
        <v>43</v>
      </c>
      <c r="F339" s="8" t="s">
        <v>139</v>
      </c>
      <c r="G339" s="8" t="s">
        <v>225</v>
      </c>
      <c r="H339" s="8" t="s">
        <v>125</v>
      </c>
      <c r="I339" s="8" t="s">
        <v>114</v>
      </c>
      <c r="J339" s="9" t="s">
        <v>29</v>
      </c>
      <c r="K339" s="70" t="s">
        <v>1709</v>
      </c>
      <c r="L339" s="8" t="s">
        <v>276</v>
      </c>
      <c r="M339" s="8" t="s">
        <v>276</v>
      </c>
      <c r="N339" s="9" t="s">
        <v>1864</v>
      </c>
      <c r="O339" s="9" t="s">
        <v>1856</v>
      </c>
      <c r="P339" s="9" t="s">
        <v>235</v>
      </c>
      <c r="Q339" s="52">
        <v>40543</v>
      </c>
      <c r="R339" s="9" t="s">
        <v>276</v>
      </c>
      <c r="S339" s="9" t="s">
        <v>276</v>
      </c>
      <c r="T339" s="9" t="s">
        <v>276</v>
      </c>
      <c r="U339" s="9" t="s">
        <v>276</v>
      </c>
      <c r="V339" s="8" t="s">
        <v>14</v>
      </c>
      <c r="W339" s="8" t="s">
        <v>98</v>
      </c>
      <c r="X339" s="9" t="s">
        <v>207</v>
      </c>
      <c r="Y339" s="13" t="s">
        <v>98</v>
      </c>
      <c r="Z339" s="9" t="s">
        <v>98</v>
      </c>
      <c r="AA339" s="9" t="s">
        <v>276</v>
      </c>
      <c r="AB339" s="9" t="s">
        <v>276</v>
      </c>
      <c r="AC339" s="8">
        <v>293</v>
      </c>
      <c r="AD339" s="9" t="s">
        <v>1710</v>
      </c>
      <c r="AE339" s="8">
        <v>377</v>
      </c>
      <c r="AF339" s="9" t="s">
        <v>1710</v>
      </c>
      <c r="AG339" s="9" t="s">
        <v>1875</v>
      </c>
      <c r="AH339" s="9" t="s">
        <v>1876</v>
      </c>
      <c r="AI339" s="38">
        <v>499</v>
      </c>
      <c r="AJ339" s="38">
        <v>571</v>
      </c>
      <c r="AK339" s="38">
        <v>4974</v>
      </c>
      <c r="AL339" s="38">
        <v>4699</v>
      </c>
      <c r="AM339" s="38" t="s">
        <v>292</v>
      </c>
      <c r="AN339" s="8" t="s">
        <v>276</v>
      </c>
      <c r="AO339" s="14">
        <f>AI339*100/AK339</f>
        <v>10.032167269802976</v>
      </c>
      <c r="AP339" s="8" t="s">
        <v>276</v>
      </c>
      <c r="AQ339" s="8" t="s">
        <v>276</v>
      </c>
      <c r="AR339" s="8" t="s">
        <v>276</v>
      </c>
      <c r="AS339" s="14">
        <f>AJ339*100/AL339</f>
        <v>12.151521600340498</v>
      </c>
      <c r="AT339" s="8" t="s">
        <v>276</v>
      </c>
      <c r="AU339" s="8" t="s">
        <v>276</v>
      </c>
      <c r="AV339" s="9" t="s">
        <v>268</v>
      </c>
      <c r="AW339" s="40" t="s">
        <v>276</v>
      </c>
      <c r="AX339" s="40">
        <f t="shared" si="109"/>
        <v>0.82558938705436402</v>
      </c>
      <c r="AY339" s="9" t="s">
        <v>276</v>
      </c>
      <c r="AZ339" s="9" t="s">
        <v>276</v>
      </c>
      <c r="BA339" s="9" t="s">
        <v>276</v>
      </c>
      <c r="BB339" s="9" t="s">
        <v>98</v>
      </c>
      <c r="BC339" s="9" t="s">
        <v>98</v>
      </c>
      <c r="BD339" s="9" t="s">
        <v>98</v>
      </c>
      <c r="BE339" s="9" t="s">
        <v>98</v>
      </c>
      <c r="BF339" s="9" t="s">
        <v>1358</v>
      </c>
      <c r="BG339" s="9"/>
      <c r="BH339" s="9" t="s">
        <v>100</v>
      </c>
      <c r="BI339" s="9" t="s">
        <v>100</v>
      </c>
      <c r="BJ339" s="32"/>
      <c r="BK339" s="32"/>
      <c r="BO339" s="32"/>
      <c r="BP339" s="32"/>
    </row>
    <row r="340" spans="1:68" s="33" customFormat="1" ht="65" hidden="1" x14ac:dyDescent="0.35">
      <c r="A340" s="8">
        <v>1519</v>
      </c>
      <c r="B340" s="8" t="s">
        <v>1881</v>
      </c>
      <c r="C340" s="9" t="s">
        <v>1882</v>
      </c>
      <c r="D340" s="9" t="s">
        <v>1975</v>
      </c>
      <c r="E340" s="8" t="s">
        <v>42</v>
      </c>
      <c r="F340" s="9" t="s">
        <v>140</v>
      </c>
      <c r="G340" s="8" t="s">
        <v>225</v>
      </c>
      <c r="H340" s="8" t="s">
        <v>125</v>
      </c>
      <c r="I340" s="8" t="s">
        <v>114</v>
      </c>
      <c r="J340" s="9" t="s">
        <v>25</v>
      </c>
      <c r="K340" s="8" t="s">
        <v>300</v>
      </c>
      <c r="L340" s="8" t="s">
        <v>1976</v>
      </c>
      <c r="M340" s="8" t="s">
        <v>276</v>
      </c>
      <c r="N340" s="9" t="s">
        <v>1977</v>
      </c>
      <c r="O340" s="9" t="s">
        <v>1978</v>
      </c>
      <c r="P340" s="9" t="s">
        <v>239</v>
      </c>
      <c r="Q340" s="52">
        <v>40237</v>
      </c>
      <c r="R340" s="51" t="s">
        <v>1886</v>
      </c>
      <c r="S340" s="9" t="s">
        <v>1979</v>
      </c>
      <c r="T340" s="9" t="s">
        <v>1980</v>
      </c>
      <c r="U340" s="51" t="s">
        <v>1889</v>
      </c>
      <c r="V340" s="8" t="s">
        <v>14</v>
      </c>
      <c r="W340" s="8" t="s">
        <v>1896</v>
      </c>
      <c r="X340" s="9" t="s">
        <v>207</v>
      </c>
      <c r="Y340" s="13">
        <v>34253</v>
      </c>
      <c r="Z340" s="9">
        <v>34304</v>
      </c>
      <c r="AA340" s="9" t="s">
        <v>276</v>
      </c>
      <c r="AB340" s="9" t="s">
        <v>276</v>
      </c>
      <c r="AC340" s="8">
        <v>2</v>
      </c>
      <c r="AD340" s="8" t="s">
        <v>968</v>
      </c>
      <c r="AE340" s="8">
        <v>1</v>
      </c>
      <c r="AF340" s="8" t="s">
        <v>968</v>
      </c>
      <c r="AG340" s="9" t="s">
        <v>1981</v>
      </c>
      <c r="AH340" s="9" t="s">
        <v>1487</v>
      </c>
      <c r="AI340" s="38">
        <v>32</v>
      </c>
      <c r="AJ340" s="38">
        <v>18</v>
      </c>
      <c r="AK340" s="38">
        <v>371833</v>
      </c>
      <c r="AL340" s="38">
        <v>374976</v>
      </c>
      <c r="AM340" s="38">
        <v>10000</v>
      </c>
      <c r="AN340" s="8" t="s">
        <v>276</v>
      </c>
      <c r="AO340" s="14">
        <f>(AI340/AK340)*AM340</f>
        <v>0.86060139901514932</v>
      </c>
      <c r="AP340" s="8" t="s">
        <v>276</v>
      </c>
      <c r="AQ340" s="8" t="s">
        <v>276</v>
      </c>
      <c r="AR340" s="8" t="s">
        <v>276</v>
      </c>
      <c r="AS340" s="14">
        <f>(AJ340/AL340)*AM340</f>
        <v>0.48003072196620583</v>
      </c>
      <c r="AT340" s="8" t="s">
        <v>276</v>
      </c>
      <c r="AU340" s="8" t="s">
        <v>276</v>
      </c>
      <c r="AV340" s="8" t="s">
        <v>269</v>
      </c>
      <c r="AW340" s="40" t="s">
        <v>276</v>
      </c>
      <c r="AX340" s="40">
        <f>AO340/AS340</f>
        <v>1.7928048344283591</v>
      </c>
      <c r="AY340" s="9" t="s">
        <v>276</v>
      </c>
      <c r="AZ340" s="9" t="s">
        <v>276</v>
      </c>
      <c r="BA340" s="9" t="s">
        <v>98</v>
      </c>
      <c r="BB340" s="9" t="s">
        <v>276</v>
      </c>
      <c r="BC340" s="9" t="s">
        <v>276</v>
      </c>
      <c r="BD340" s="9" t="s">
        <v>276</v>
      </c>
      <c r="BE340" s="9"/>
      <c r="BF340" s="9" t="s">
        <v>1982</v>
      </c>
      <c r="BG340" s="9"/>
      <c r="BH340" s="9" t="s">
        <v>100</v>
      </c>
      <c r="BI340" s="9" t="s">
        <v>100</v>
      </c>
      <c r="BJ340" s="32"/>
      <c r="BK340" s="32"/>
      <c r="BO340" s="32"/>
      <c r="BP340" s="32"/>
    </row>
    <row r="341" spans="1:68" s="33" customFormat="1" ht="65" hidden="1" x14ac:dyDescent="0.35">
      <c r="A341" s="8">
        <v>1519</v>
      </c>
      <c r="B341" s="8" t="s">
        <v>1881</v>
      </c>
      <c r="C341" s="9" t="s">
        <v>1882</v>
      </c>
      <c r="D341" s="9" t="s">
        <v>1983</v>
      </c>
      <c r="E341" s="8" t="s">
        <v>42</v>
      </c>
      <c r="F341" s="9" t="s">
        <v>140</v>
      </c>
      <c r="G341" s="8" t="s">
        <v>225</v>
      </c>
      <c r="H341" s="8" t="s">
        <v>125</v>
      </c>
      <c r="I341" s="8" t="s">
        <v>114</v>
      </c>
      <c r="J341" s="9" t="s">
        <v>25</v>
      </c>
      <c r="K341" s="2" t="s">
        <v>300</v>
      </c>
      <c r="L341" s="2" t="s">
        <v>1976</v>
      </c>
      <c r="M341" s="2" t="s">
        <v>276</v>
      </c>
      <c r="N341" s="9" t="s">
        <v>1977</v>
      </c>
      <c r="O341" s="9" t="s">
        <v>1984</v>
      </c>
      <c r="P341" s="9" t="s">
        <v>239</v>
      </c>
      <c r="Q341" s="52" t="s">
        <v>98</v>
      </c>
      <c r="R341" s="51" t="s">
        <v>1916</v>
      </c>
      <c r="S341" s="9" t="s">
        <v>1985</v>
      </c>
      <c r="T341" s="9" t="s">
        <v>1986</v>
      </c>
      <c r="U341" s="51" t="s">
        <v>1889</v>
      </c>
      <c r="V341" s="8" t="s">
        <v>14</v>
      </c>
      <c r="W341" s="2" t="s">
        <v>1896</v>
      </c>
      <c r="X341" s="9" t="s">
        <v>207</v>
      </c>
      <c r="Y341" s="13">
        <v>34253</v>
      </c>
      <c r="Z341" s="10">
        <v>34304</v>
      </c>
      <c r="AA341" s="9" t="s">
        <v>276</v>
      </c>
      <c r="AB341" s="9" t="s">
        <v>276</v>
      </c>
      <c r="AC341" s="8">
        <v>1</v>
      </c>
      <c r="AD341" s="8" t="s">
        <v>968</v>
      </c>
      <c r="AE341" s="8">
        <v>0</v>
      </c>
      <c r="AF341" s="8" t="s">
        <v>968</v>
      </c>
      <c r="AG341" s="9" t="s">
        <v>1987</v>
      </c>
      <c r="AH341" s="9" t="s">
        <v>1487</v>
      </c>
      <c r="AI341" s="38">
        <v>19</v>
      </c>
      <c r="AJ341" s="38">
        <v>13</v>
      </c>
      <c r="AK341" s="38">
        <v>166273</v>
      </c>
      <c r="AL341" s="38">
        <v>167380</v>
      </c>
      <c r="AM341" s="38">
        <v>10000</v>
      </c>
      <c r="AN341" s="8" t="s">
        <v>276</v>
      </c>
      <c r="AO341" s="14">
        <f>(AI341/AK341)*AM341</f>
        <v>1.1426990551683074</v>
      </c>
      <c r="AP341" s="8" t="s">
        <v>276</v>
      </c>
      <c r="AQ341" s="8" t="s">
        <v>276</v>
      </c>
      <c r="AR341" s="8" t="s">
        <v>276</v>
      </c>
      <c r="AS341" s="14">
        <f>(AJ341/AL341)*AM341</f>
        <v>0.77667582745847763</v>
      </c>
      <c r="AT341" s="8" t="s">
        <v>276</v>
      </c>
      <c r="AU341" s="8" t="s">
        <v>276</v>
      </c>
      <c r="AV341" s="8" t="s">
        <v>269</v>
      </c>
      <c r="AW341" s="40" t="s">
        <v>276</v>
      </c>
      <c r="AX341" s="40">
        <f>AO341/AS341</f>
        <v>1.4712689834928563</v>
      </c>
      <c r="AY341" s="9" t="s">
        <v>276</v>
      </c>
      <c r="AZ341" s="9" t="s">
        <v>276</v>
      </c>
      <c r="BA341" s="9" t="s">
        <v>98</v>
      </c>
      <c r="BB341" s="10" t="s">
        <v>276</v>
      </c>
      <c r="BC341" s="10" t="s">
        <v>276</v>
      </c>
      <c r="BD341" s="10" t="s">
        <v>276</v>
      </c>
      <c r="BE341" s="9"/>
      <c r="BF341" s="9" t="s">
        <v>1988</v>
      </c>
      <c r="BG341" s="9"/>
      <c r="BH341" s="9" t="s">
        <v>100</v>
      </c>
      <c r="BI341" s="9" t="s">
        <v>100</v>
      </c>
      <c r="BJ341" s="32"/>
      <c r="BK341" s="32"/>
      <c r="BO341" s="32"/>
      <c r="BP341" s="32"/>
    </row>
    <row r="342" spans="1:68" s="33" customFormat="1" ht="65" hidden="1" x14ac:dyDescent="0.35">
      <c r="A342" s="8">
        <v>1519</v>
      </c>
      <c r="B342" s="8" t="s">
        <v>1881</v>
      </c>
      <c r="C342" s="9" t="s">
        <v>1882</v>
      </c>
      <c r="D342" s="9" t="s">
        <v>1989</v>
      </c>
      <c r="E342" s="8" t="s">
        <v>42</v>
      </c>
      <c r="F342" s="9" t="s">
        <v>140</v>
      </c>
      <c r="G342" s="8" t="s">
        <v>225</v>
      </c>
      <c r="H342" s="8" t="s">
        <v>125</v>
      </c>
      <c r="I342" s="8" t="s">
        <v>114</v>
      </c>
      <c r="J342" s="9" t="s">
        <v>25</v>
      </c>
      <c r="K342" s="8" t="s">
        <v>304</v>
      </c>
      <c r="L342" s="8" t="s">
        <v>1976</v>
      </c>
      <c r="M342" s="8" t="s">
        <v>276</v>
      </c>
      <c r="N342" s="9" t="s">
        <v>1977</v>
      </c>
      <c r="O342" s="9" t="s">
        <v>1978</v>
      </c>
      <c r="P342" s="9" t="s">
        <v>239</v>
      </c>
      <c r="Q342" s="52">
        <v>40237</v>
      </c>
      <c r="R342" s="51" t="s">
        <v>1886</v>
      </c>
      <c r="S342" s="9" t="s">
        <v>1990</v>
      </c>
      <c r="T342" s="9" t="s">
        <v>1991</v>
      </c>
      <c r="U342" s="51" t="s">
        <v>1889</v>
      </c>
      <c r="V342" s="8" t="s">
        <v>14</v>
      </c>
      <c r="W342" s="8" t="s">
        <v>1896</v>
      </c>
      <c r="X342" s="9" t="s">
        <v>207</v>
      </c>
      <c r="Y342" s="13">
        <v>34253</v>
      </c>
      <c r="Z342" s="9">
        <v>34304</v>
      </c>
      <c r="AA342" s="9" t="s">
        <v>276</v>
      </c>
      <c r="AB342" s="9" t="s">
        <v>276</v>
      </c>
      <c r="AC342" s="8">
        <v>2</v>
      </c>
      <c r="AD342" s="8" t="s">
        <v>968</v>
      </c>
      <c r="AE342" s="8">
        <v>1</v>
      </c>
      <c r="AF342" s="8" t="s">
        <v>968</v>
      </c>
      <c r="AG342" s="9" t="s">
        <v>1992</v>
      </c>
      <c r="AH342" s="9" t="s">
        <v>1487</v>
      </c>
      <c r="AI342" s="38">
        <v>15</v>
      </c>
      <c r="AJ342" s="38">
        <v>20</v>
      </c>
      <c r="AK342" s="38">
        <v>371833</v>
      </c>
      <c r="AL342" s="38">
        <v>374976</v>
      </c>
      <c r="AM342" s="38">
        <v>10000</v>
      </c>
      <c r="AN342" s="8" t="s">
        <v>276</v>
      </c>
      <c r="AO342" s="14">
        <f t="shared" ref="AO342" si="110">(AI342/AK342)*AM342</f>
        <v>0.4034069057883512</v>
      </c>
      <c r="AP342" s="8" t="s">
        <v>276</v>
      </c>
      <c r="AQ342" s="8" t="s">
        <v>276</v>
      </c>
      <c r="AR342" s="8" t="s">
        <v>276</v>
      </c>
      <c r="AS342" s="14">
        <f t="shared" ref="AS342" si="111">(AJ342/AL342)*AM342</f>
        <v>0.53336746885133979</v>
      </c>
      <c r="AT342" s="8" t="s">
        <v>276</v>
      </c>
      <c r="AU342" s="8" t="s">
        <v>276</v>
      </c>
      <c r="AV342" s="8" t="s">
        <v>269</v>
      </c>
      <c r="AW342" s="40" t="s">
        <v>276</v>
      </c>
      <c r="AX342" s="40">
        <f t="shared" ref="AX342" si="112">AO342/AS342</f>
        <v>0.75633953952446398</v>
      </c>
      <c r="AY342" s="9" t="s">
        <v>276</v>
      </c>
      <c r="AZ342" s="9" t="s">
        <v>276</v>
      </c>
      <c r="BA342" s="9" t="s">
        <v>98</v>
      </c>
      <c r="BB342" s="9" t="s">
        <v>276</v>
      </c>
      <c r="BC342" s="9" t="s">
        <v>276</v>
      </c>
      <c r="BD342" s="9" t="s">
        <v>276</v>
      </c>
      <c r="BE342" s="9"/>
      <c r="BF342" s="9" t="s">
        <v>1982</v>
      </c>
      <c r="BG342" s="9"/>
      <c r="BH342" s="9" t="s">
        <v>100</v>
      </c>
      <c r="BI342" s="9" t="s">
        <v>100</v>
      </c>
      <c r="BJ342" s="32"/>
      <c r="BK342" s="32"/>
      <c r="BO342" s="32"/>
      <c r="BP342" s="32"/>
    </row>
    <row r="343" spans="1:68" s="33" customFormat="1" ht="65" hidden="1" x14ac:dyDescent="0.35">
      <c r="A343" s="8">
        <v>1519</v>
      </c>
      <c r="B343" s="8" t="s">
        <v>1881</v>
      </c>
      <c r="C343" s="9" t="s">
        <v>1882</v>
      </c>
      <c r="D343" s="9" t="s">
        <v>11650</v>
      </c>
      <c r="E343" s="8" t="s">
        <v>42</v>
      </c>
      <c r="F343" s="9" t="s">
        <v>140</v>
      </c>
      <c r="G343" s="8" t="s">
        <v>225</v>
      </c>
      <c r="H343" s="8" t="s">
        <v>125</v>
      </c>
      <c r="I343" s="8" t="s">
        <v>114</v>
      </c>
      <c r="J343" s="9" t="s">
        <v>25</v>
      </c>
      <c r="K343" s="8" t="s">
        <v>307</v>
      </c>
      <c r="L343" s="8" t="s">
        <v>1976</v>
      </c>
      <c r="M343" s="8" t="s">
        <v>276</v>
      </c>
      <c r="N343" s="9" t="s">
        <v>1977</v>
      </c>
      <c r="O343" s="9" t="s">
        <v>1978</v>
      </c>
      <c r="P343" s="9" t="s">
        <v>239</v>
      </c>
      <c r="Q343" s="52">
        <v>40237</v>
      </c>
      <c r="R343" s="51" t="s">
        <v>1886</v>
      </c>
      <c r="S343" s="9" t="s">
        <v>1990</v>
      </c>
      <c r="T343" s="9" t="s">
        <v>1991</v>
      </c>
      <c r="U343" s="51" t="s">
        <v>1889</v>
      </c>
      <c r="V343" s="8" t="s">
        <v>14</v>
      </c>
      <c r="W343" s="8" t="s">
        <v>1896</v>
      </c>
      <c r="X343" s="9" t="s">
        <v>207</v>
      </c>
      <c r="Y343" s="13">
        <v>34253</v>
      </c>
      <c r="Z343" s="9">
        <v>34304</v>
      </c>
      <c r="AA343" s="9" t="s">
        <v>276</v>
      </c>
      <c r="AB343" s="9" t="s">
        <v>276</v>
      </c>
      <c r="AC343" s="8">
        <v>2</v>
      </c>
      <c r="AD343" s="8" t="s">
        <v>968</v>
      </c>
      <c r="AE343" s="8">
        <v>1</v>
      </c>
      <c r="AF343" s="8" t="s">
        <v>968</v>
      </c>
      <c r="AG343" s="9" t="s">
        <v>11651</v>
      </c>
      <c r="AH343" s="9" t="s">
        <v>1487</v>
      </c>
      <c r="AI343" s="38">
        <f>15+32</f>
        <v>47</v>
      </c>
      <c r="AJ343" s="38">
        <f>20+18</f>
        <v>38</v>
      </c>
      <c r="AK343" s="38">
        <v>371833</v>
      </c>
      <c r="AL343" s="38">
        <v>374976</v>
      </c>
      <c r="AM343" s="38">
        <v>10000</v>
      </c>
      <c r="AN343" s="8" t="s">
        <v>276</v>
      </c>
      <c r="AO343" s="14">
        <f t="shared" ref="AO343:AO350" si="113">(AI343/AK343)*AM343</f>
        <v>1.2640083048035005</v>
      </c>
      <c r="AP343" s="8" t="s">
        <v>276</v>
      </c>
      <c r="AQ343" s="8" t="s">
        <v>276</v>
      </c>
      <c r="AR343" s="8" t="s">
        <v>276</v>
      </c>
      <c r="AS343" s="14">
        <f t="shared" ref="AS343:AS350" si="114">(AJ343/AL343)*AM343</f>
        <v>1.0133981908175458</v>
      </c>
      <c r="AT343" s="8" t="s">
        <v>276</v>
      </c>
      <c r="AU343" s="8" t="s">
        <v>276</v>
      </c>
      <c r="AV343" s="8" t="s">
        <v>269</v>
      </c>
      <c r="AW343" s="40" t="s">
        <v>276</v>
      </c>
      <c r="AX343" s="40">
        <f t="shared" ref="AX343:AX354" si="115">AO343/AS343</f>
        <v>1.2472967844789404</v>
      </c>
      <c r="AY343" s="9" t="s">
        <v>276</v>
      </c>
      <c r="AZ343" s="9" t="s">
        <v>276</v>
      </c>
      <c r="BA343" s="9" t="s">
        <v>98</v>
      </c>
      <c r="BB343" s="9" t="s">
        <v>276</v>
      </c>
      <c r="BC343" s="9" t="s">
        <v>276</v>
      </c>
      <c r="BD343" s="9" t="s">
        <v>276</v>
      </c>
      <c r="BE343" s="9"/>
      <c r="BF343" s="9" t="s">
        <v>1982</v>
      </c>
      <c r="BG343" s="9"/>
      <c r="BH343" s="9" t="s">
        <v>100</v>
      </c>
      <c r="BI343" s="9" t="s">
        <v>100</v>
      </c>
      <c r="BJ343" s="32"/>
      <c r="BK343" s="32"/>
      <c r="BO343" s="32"/>
      <c r="BP343" s="32"/>
    </row>
    <row r="344" spans="1:68" s="33" customFormat="1" ht="65" hidden="1" x14ac:dyDescent="0.35">
      <c r="A344" s="8">
        <v>1519</v>
      </c>
      <c r="B344" s="8" t="s">
        <v>1881</v>
      </c>
      <c r="C344" s="9" t="s">
        <v>1882</v>
      </c>
      <c r="D344" s="9" t="s">
        <v>1993</v>
      </c>
      <c r="E344" s="8" t="s">
        <v>42</v>
      </c>
      <c r="F344" s="9" t="s">
        <v>140</v>
      </c>
      <c r="G344" s="8" t="s">
        <v>225</v>
      </c>
      <c r="H344" s="8" t="s">
        <v>125</v>
      </c>
      <c r="I344" s="8" t="s">
        <v>114</v>
      </c>
      <c r="J344" s="9" t="s">
        <v>25</v>
      </c>
      <c r="K344" s="2" t="s">
        <v>304</v>
      </c>
      <c r="L344" s="2" t="s">
        <v>1976</v>
      </c>
      <c r="M344" s="2" t="s">
        <v>276</v>
      </c>
      <c r="N344" s="9" t="s">
        <v>1977</v>
      </c>
      <c r="O344" s="9" t="s">
        <v>1984</v>
      </c>
      <c r="P344" s="9" t="s">
        <v>239</v>
      </c>
      <c r="Q344" s="52" t="s">
        <v>98</v>
      </c>
      <c r="R344" s="51" t="s">
        <v>1916</v>
      </c>
      <c r="S344" s="9" t="s">
        <v>1985</v>
      </c>
      <c r="T344" s="9" t="s">
        <v>1986</v>
      </c>
      <c r="U344" s="51" t="s">
        <v>1889</v>
      </c>
      <c r="V344" s="8" t="s">
        <v>14</v>
      </c>
      <c r="W344" s="2" t="s">
        <v>1896</v>
      </c>
      <c r="X344" s="9" t="s">
        <v>207</v>
      </c>
      <c r="Y344" s="13">
        <v>34253</v>
      </c>
      <c r="Z344" s="10">
        <v>34304</v>
      </c>
      <c r="AA344" s="9" t="s">
        <v>276</v>
      </c>
      <c r="AB344" s="9" t="s">
        <v>276</v>
      </c>
      <c r="AC344" s="8">
        <v>1</v>
      </c>
      <c r="AD344" s="8" t="s">
        <v>968</v>
      </c>
      <c r="AE344" s="8">
        <v>0</v>
      </c>
      <c r="AF344" s="8" t="s">
        <v>968</v>
      </c>
      <c r="AG344" s="9" t="s">
        <v>1994</v>
      </c>
      <c r="AH344" s="9" t="s">
        <v>1487</v>
      </c>
      <c r="AI344" s="34">
        <v>11</v>
      </c>
      <c r="AJ344" s="34">
        <v>13</v>
      </c>
      <c r="AK344" s="34">
        <v>166273</v>
      </c>
      <c r="AL344" s="34">
        <v>167380</v>
      </c>
      <c r="AM344" s="38">
        <v>10000</v>
      </c>
      <c r="AN344" s="8" t="s">
        <v>276</v>
      </c>
      <c r="AO344" s="14">
        <f t="shared" si="113"/>
        <v>0.66156261088691493</v>
      </c>
      <c r="AP344" s="8" t="s">
        <v>276</v>
      </c>
      <c r="AQ344" s="8" t="s">
        <v>276</v>
      </c>
      <c r="AR344" s="8" t="s">
        <v>276</v>
      </c>
      <c r="AS344" s="14">
        <f t="shared" si="114"/>
        <v>0.77667582745847763</v>
      </c>
      <c r="AT344" s="8" t="s">
        <v>276</v>
      </c>
      <c r="AU344" s="8" t="s">
        <v>276</v>
      </c>
      <c r="AV344" s="8" t="s">
        <v>269</v>
      </c>
      <c r="AW344" s="40" t="s">
        <v>276</v>
      </c>
      <c r="AX344" s="40">
        <f t="shared" si="115"/>
        <v>0.85178730623270638</v>
      </c>
      <c r="AY344" s="9" t="s">
        <v>276</v>
      </c>
      <c r="AZ344" s="9" t="s">
        <v>276</v>
      </c>
      <c r="BA344" s="9" t="s">
        <v>98</v>
      </c>
      <c r="BB344" s="10" t="s">
        <v>276</v>
      </c>
      <c r="BC344" s="10" t="s">
        <v>276</v>
      </c>
      <c r="BD344" s="10" t="s">
        <v>276</v>
      </c>
      <c r="BE344" s="9"/>
      <c r="BF344" s="9" t="s">
        <v>1982</v>
      </c>
      <c r="BG344" s="9"/>
      <c r="BH344" s="9" t="s">
        <v>100</v>
      </c>
      <c r="BI344" s="9" t="s">
        <v>100</v>
      </c>
      <c r="BJ344" s="32"/>
      <c r="BK344" s="32"/>
      <c r="BO344" s="32"/>
      <c r="BP344" s="32"/>
    </row>
    <row r="345" spans="1:68" s="33" customFormat="1" ht="65" hidden="1" x14ac:dyDescent="0.35">
      <c r="A345" s="8">
        <v>1519</v>
      </c>
      <c r="B345" s="8" t="s">
        <v>1881</v>
      </c>
      <c r="C345" s="9" t="s">
        <v>1882</v>
      </c>
      <c r="D345" s="9" t="s">
        <v>1995</v>
      </c>
      <c r="E345" s="8" t="s">
        <v>42</v>
      </c>
      <c r="F345" s="9" t="s">
        <v>140</v>
      </c>
      <c r="G345" s="8" t="s">
        <v>225</v>
      </c>
      <c r="H345" s="8" t="s">
        <v>125</v>
      </c>
      <c r="I345" s="8" t="s">
        <v>114</v>
      </c>
      <c r="J345" s="9" t="s">
        <v>25</v>
      </c>
      <c r="K345" s="8" t="s">
        <v>311</v>
      </c>
      <c r="L345" s="8" t="s">
        <v>1976</v>
      </c>
      <c r="M345" s="8" t="s">
        <v>276</v>
      </c>
      <c r="N345" s="9" t="s">
        <v>1977</v>
      </c>
      <c r="O345" s="9" t="s">
        <v>1978</v>
      </c>
      <c r="P345" s="9" t="s">
        <v>239</v>
      </c>
      <c r="Q345" s="52">
        <v>40237</v>
      </c>
      <c r="R345" s="51" t="s">
        <v>1886</v>
      </c>
      <c r="S345" s="9" t="s">
        <v>1979</v>
      </c>
      <c r="T345" s="9" t="s">
        <v>1980</v>
      </c>
      <c r="U345" s="51" t="s">
        <v>1889</v>
      </c>
      <c r="V345" s="8" t="s">
        <v>14</v>
      </c>
      <c r="W345" s="8" t="s">
        <v>1896</v>
      </c>
      <c r="X345" s="9" t="s">
        <v>207</v>
      </c>
      <c r="Y345" s="13">
        <v>34253</v>
      </c>
      <c r="Z345" s="9">
        <v>34304</v>
      </c>
      <c r="AA345" s="9" t="s">
        <v>276</v>
      </c>
      <c r="AB345" s="9" t="s">
        <v>276</v>
      </c>
      <c r="AC345" s="8">
        <v>2</v>
      </c>
      <c r="AD345" s="8" t="s">
        <v>968</v>
      </c>
      <c r="AE345" s="8">
        <v>1</v>
      </c>
      <c r="AF345" s="8" t="s">
        <v>968</v>
      </c>
      <c r="AG345" s="9" t="s">
        <v>1996</v>
      </c>
      <c r="AH345" s="9" t="s">
        <v>1487</v>
      </c>
      <c r="AI345" s="38">
        <v>120</v>
      </c>
      <c r="AJ345" s="38">
        <v>83</v>
      </c>
      <c r="AK345" s="38">
        <v>371833</v>
      </c>
      <c r="AL345" s="38">
        <v>374976</v>
      </c>
      <c r="AM345" s="38">
        <v>10000</v>
      </c>
      <c r="AN345" s="8" t="s">
        <v>276</v>
      </c>
      <c r="AO345" s="14">
        <f t="shared" si="113"/>
        <v>3.2272552463068096</v>
      </c>
      <c r="AP345" s="8" t="s">
        <v>276</v>
      </c>
      <c r="AQ345" s="8" t="s">
        <v>276</v>
      </c>
      <c r="AR345" s="8" t="s">
        <v>276</v>
      </c>
      <c r="AS345" s="14">
        <f t="shared" si="114"/>
        <v>2.2134749957330602</v>
      </c>
      <c r="AT345" s="8" t="s">
        <v>276</v>
      </c>
      <c r="AU345" s="8" t="s">
        <v>276</v>
      </c>
      <c r="AV345" s="8" t="s">
        <v>269</v>
      </c>
      <c r="AW345" s="40" t="s">
        <v>276</v>
      </c>
      <c r="AX345" s="40">
        <f t="shared" si="115"/>
        <v>1.4580039316134243</v>
      </c>
      <c r="AY345" s="9" t="s">
        <v>276</v>
      </c>
      <c r="AZ345" s="9" t="s">
        <v>276</v>
      </c>
      <c r="BA345" s="9" t="s">
        <v>98</v>
      </c>
      <c r="BB345" s="9" t="s">
        <v>276</v>
      </c>
      <c r="BC345" s="9" t="s">
        <v>276</v>
      </c>
      <c r="BD345" s="9" t="s">
        <v>276</v>
      </c>
      <c r="BE345" s="9"/>
      <c r="BF345" s="9" t="s">
        <v>1982</v>
      </c>
      <c r="BG345" s="9"/>
      <c r="BH345" s="9" t="s">
        <v>100</v>
      </c>
      <c r="BI345" s="9" t="s">
        <v>100</v>
      </c>
      <c r="BJ345" s="32"/>
      <c r="BK345" s="32"/>
      <c r="BO345" s="32"/>
      <c r="BP345" s="32"/>
    </row>
    <row r="346" spans="1:68" s="79" customFormat="1" ht="65" hidden="1" x14ac:dyDescent="0.35">
      <c r="A346" s="72">
        <v>1519</v>
      </c>
      <c r="B346" s="72" t="s">
        <v>1881</v>
      </c>
      <c r="C346" s="73" t="s">
        <v>1882</v>
      </c>
      <c r="D346" s="73" t="s">
        <v>1997</v>
      </c>
      <c r="E346" s="72" t="s">
        <v>42</v>
      </c>
      <c r="F346" s="73" t="s">
        <v>140</v>
      </c>
      <c r="G346" s="72" t="s">
        <v>225</v>
      </c>
      <c r="H346" s="72" t="s">
        <v>125</v>
      </c>
      <c r="I346" s="72" t="s">
        <v>114</v>
      </c>
      <c r="J346" s="73" t="s">
        <v>25</v>
      </c>
      <c r="K346" s="264" t="s">
        <v>311</v>
      </c>
      <c r="L346" s="264" t="s">
        <v>1976</v>
      </c>
      <c r="M346" s="264" t="s">
        <v>276</v>
      </c>
      <c r="N346" s="73" t="s">
        <v>1977</v>
      </c>
      <c r="O346" s="73" t="s">
        <v>1984</v>
      </c>
      <c r="P346" s="73" t="s">
        <v>239</v>
      </c>
      <c r="Q346" s="77" t="s">
        <v>98</v>
      </c>
      <c r="R346" s="89" t="s">
        <v>1916</v>
      </c>
      <c r="S346" s="73" t="s">
        <v>1985</v>
      </c>
      <c r="T346" s="73" t="s">
        <v>1986</v>
      </c>
      <c r="U346" s="89" t="s">
        <v>1889</v>
      </c>
      <c r="V346" s="72" t="s">
        <v>14</v>
      </c>
      <c r="W346" s="264" t="s">
        <v>1896</v>
      </c>
      <c r="X346" s="73" t="s">
        <v>207</v>
      </c>
      <c r="Y346" s="74">
        <v>34253</v>
      </c>
      <c r="Z346" s="265">
        <v>34304</v>
      </c>
      <c r="AA346" s="73" t="s">
        <v>276</v>
      </c>
      <c r="AB346" s="73" t="s">
        <v>276</v>
      </c>
      <c r="AC346" s="72">
        <v>1</v>
      </c>
      <c r="AD346" s="72" t="s">
        <v>968</v>
      </c>
      <c r="AE346" s="72">
        <v>0</v>
      </c>
      <c r="AF346" s="72" t="s">
        <v>968</v>
      </c>
      <c r="AG346" s="73" t="s">
        <v>1998</v>
      </c>
      <c r="AH346" s="73" t="s">
        <v>1487</v>
      </c>
      <c r="AI346" s="267">
        <v>75</v>
      </c>
      <c r="AJ346" s="267">
        <v>46</v>
      </c>
      <c r="AK346" s="267">
        <v>166273</v>
      </c>
      <c r="AL346" s="267">
        <v>167380</v>
      </c>
      <c r="AM346" s="75">
        <v>10000</v>
      </c>
      <c r="AN346" s="72" t="s">
        <v>276</v>
      </c>
      <c r="AO346" s="76">
        <f t="shared" si="113"/>
        <v>4.5106541651380558</v>
      </c>
      <c r="AP346" s="72" t="s">
        <v>276</v>
      </c>
      <c r="AQ346" s="72" t="s">
        <v>276</v>
      </c>
      <c r="AR346" s="72" t="s">
        <v>276</v>
      </c>
      <c r="AS346" s="76">
        <f t="shared" si="114"/>
        <v>2.7482375433146133</v>
      </c>
      <c r="AT346" s="72" t="s">
        <v>276</v>
      </c>
      <c r="AU346" s="72" t="s">
        <v>276</v>
      </c>
      <c r="AV346" s="72" t="s">
        <v>269</v>
      </c>
      <c r="AW346" s="83" t="s">
        <v>276</v>
      </c>
      <c r="AX346" s="83">
        <f t="shared" si="115"/>
        <v>1.6412897699147997</v>
      </c>
      <c r="AY346" s="73" t="s">
        <v>276</v>
      </c>
      <c r="AZ346" s="73" t="s">
        <v>276</v>
      </c>
      <c r="BA346" s="73" t="s">
        <v>98</v>
      </c>
      <c r="BB346" s="265" t="s">
        <v>276</v>
      </c>
      <c r="BC346" s="265" t="s">
        <v>276</v>
      </c>
      <c r="BD346" s="265" t="s">
        <v>276</v>
      </c>
      <c r="BE346" s="73"/>
      <c r="BF346" s="73" t="s">
        <v>1982</v>
      </c>
      <c r="BG346" s="73"/>
      <c r="BH346" s="9" t="s">
        <v>100</v>
      </c>
      <c r="BI346" s="9" t="s">
        <v>100</v>
      </c>
      <c r="BJ346" s="78"/>
      <c r="BK346" s="78"/>
      <c r="BO346" s="78"/>
      <c r="BP346" s="78"/>
    </row>
    <row r="347" spans="1:68" s="33" customFormat="1" ht="65" hidden="1" x14ac:dyDescent="0.35">
      <c r="A347" s="8">
        <v>1519</v>
      </c>
      <c r="B347" s="8" t="s">
        <v>1881</v>
      </c>
      <c r="C347" s="9" t="s">
        <v>1882</v>
      </c>
      <c r="D347" s="9" t="s">
        <v>1999</v>
      </c>
      <c r="E347" s="8" t="s">
        <v>42</v>
      </c>
      <c r="F347" s="9" t="s">
        <v>140</v>
      </c>
      <c r="G347" s="8" t="s">
        <v>225</v>
      </c>
      <c r="H347" s="8" t="s">
        <v>125</v>
      </c>
      <c r="I347" s="8" t="s">
        <v>114</v>
      </c>
      <c r="J347" s="9" t="s">
        <v>25</v>
      </c>
      <c r="K347" s="8" t="s">
        <v>314</v>
      </c>
      <c r="L347" s="8" t="s">
        <v>1976</v>
      </c>
      <c r="M347" s="8" t="s">
        <v>276</v>
      </c>
      <c r="N347" s="9" t="s">
        <v>1977</v>
      </c>
      <c r="O347" s="9" t="s">
        <v>1978</v>
      </c>
      <c r="P347" s="9" t="s">
        <v>239</v>
      </c>
      <c r="Q347" s="52">
        <v>40237</v>
      </c>
      <c r="R347" s="51" t="s">
        <v>1886</v>
      </c>
      <c r="S347" s="9" t="s">
        <v>2000</v>
      </c>
      <c r="T347" s="9" t="s">
        <v>1991</v>
      </c>
      <c r="U347" s="51" t="s">
        <v>1889</v>
      </c>
      <c r="V347" s="8" t="s">
        <v>14</v>
      </c>
      <c r="W347" s="8" t="s">
        <v>1896</v>
      </c>
      <c r="X347" s="9" t="s">
        <v>207</v>
      </c>
      <c r="Y347" s="13">
        <v>34253</v>
      </c>
      <c r="Z347" s="9">
        <v>34304</v>
      </c>
      <c r="AA347" s="9" t="s">
        <v>276</v>
      </c>
      <c r="AB347" s="9" t="s">
        <v>276</v>
      </c>
      <c r="AC347" s="8">
        <v>2</v>
      </c>
      <c r="AD347" s="8" t="s">
        <v>968</v>
      </c>
      <c r="AE347" s="8">
        <v>1</v>
      </c>
      <c r="AF347" s="8" t="s">
        <v>968</v>
      </c>
      <c r="AG347" s="9" t="s">
        <v>2001</v>
      </c>
      <c r="AH347" s="9" t="s">
        <v>1487</v>
      </c>
      <c r="AI347" s="38">
        <v>43</v>
      </c>
      <c r="AJ347" s="38">
        <v>54</v>
      </c>
      <c r="AK347" s="38">
        <v>371833</v>
      </c>
      <c r="AL347" s="38">
        <v>374976</v>
      </c>
      <c r="AM347" s="38">
        <v>10000</v>
      </c>
      <c r="AN347" s="8" t="s">
        <v>276</v>
      </c>
      <c r="AO347" s="14">
        <f t="shared" ref="AO347" si="116">(AI347/AK347)*AM347</f>
        <v>1.1564331299266069</v>
      </c>
      <c r="AP347" s="8" t="s">
        <v>276</v>
      </c>
      <c r="AQ347" s="8" t="s">
        <v>276</v>
      </c>
      <c r="AR347" s="8" t="s">
        <v>276</v>
      </c>
      <c r="AS347" s="14">
        <f t="shared" ref="AS347" si="117">(AJ347/AL347)*AM347</f>
        <v>1.4400921658986174</v>
      </c>
      <c r="AT347" s="8" t="s">
        <v>276</v>
      </c>
      <c r="AU347" s="8" t="s">
        <v>276</v>
      </c>
      <c r="AV347" s="8" t="s">
        <v>269</v>
      </c>
      <c r="AW347" s="40" t="s">
        <v>276</v>
      </c>
      <c r="AX347" s="40">
        <f t="shared" ref="AX347" si="118">AO347/AS347</f>
        <v>0.8030271654210358</v>
      </c>
      <c r="AY347" s="9" t="s">
        <v>276</v>
      </c>
      <c r="AZ347" s="9" t="s">
        <v>276</v>
      </c>
      <c r="BA347" s="9" t="s">
        <v>2002</v>
      </c>
      <c r="BB347" s="9" t="s">
        <v>276</v>
      </c>
      <c r="BC347" s="9" t="s">
        <v>276</v>
      </c>
      <c r="BD347" s="9" t="s">
        <v>276</v>
      </c>
      <c r="BE347" s="9"/>
      <c r="BF347" s="9" t="s">
        <v>2003</v>
      </c>
      <c r="BG347" s="9"/>
      <c r="BH347" s="9" t="s">
        <v>100</v>
      </c>
      <c r="BI347" s="9" t="s">
        <v>100</v>
      </c>
      <c r="BJ347" s="32"/>
      <c r="BK347" s="32"/>
      <c r="BO347" s="32"/>
      <c r="BP347" s="32"/>
    </row>
    <row r="348" spans="1:68" s="33" customFormat="1" ht="65" hidden="1" x14ac:dyDescent="0.35">
      <c r="A348" s="8">
        <v>1519</v>
      </c>
      <c r="B348" s="8" t="s">
        <v>1881</v>
      </c>
      <c r="C348" s="9" t="s">
        <v>1882</v>
      </c>
      <c r="D348" s="9" t="s">
        <v>11603</v>
      </c>
      <c r="E348" s="8" t="s">
        <v>42</v>
      </c>
      <c r="F348" s="9" t="s">
        <v>140</v>
      </c>
      <c r="G348" s="8" t="s">
        <v>225</v>
      </c>
      <c r="H348" s="8" t="s">
        <v>125</v>
      </c>
      <c r="I348" s="8" t="s">
        <v>114</v>
      </c>
      <c r="J348" s="9" t="s">
        <v>25</v>
      </c>
      <c r="K348" s="8" t="s">
        <v>317</v>
      </c>
      <c r="L348" s="8" t="s">
        <v>1976</v>
      </c>
      <c r="M348" s="8" t="s">
        <v>276</v>
      </c>
      <c r="N348" s="9" t="s">
        <v>1977</v>
      </c>
      <c r="O348" s="9" t="s">
        <v>1978</v>
      </c>
      <c r="P348" s="9" t="s">
        <v>239</v>
      </c>
      <c r="Q348" s="52">
        <v>40237</v>
      </c>
      <c r="R348" s="51" t="s">
        <v>1886</v>
      </c>
      <c r="S348" s="9" t="s">
        <v>2000</v>
      </c>
      <c r="T348" s="9" t="s">
        <v>1991</v>
      </c>
      <c r="U348" s="51" t="s">
        <v>1889</v>
      </c>
      <c r="V348" s="8" t="s">
        <v>14</v>
      </c>
      <c r="W348" s="8" t="s">
        <v>1896</v>
      </c>
      <c r="X348" s="9" t="s">
        <v>207</v>
      </c>
      <c r="Y348" s="13">
        <v>34253</v>
      </c>
      <c r="Z348" s="9">
        <v>34304</v>
      </c>
      <c r="AA348" s="9" t="s">
        <v>276</v>
      </c>
      <c r="AB348" s="9" t="s">
        <v>276</v>
      </c>
      <c r="AC348" s="8">
        <v>2</v>
      </c>
      <c r="AD348" s="8" t="s">
        <v>968</v>
      </c>
      <c r="AE348" s="8">
        <v>1</v>
      </c>
      <c r="AF348" s="8" t="s">
        <v>968</v>
      </c>
      <c r="AG348" s="9" t="s">
        <v>11604</v>
      </c>
      <c r="AH348" s="9" t="s">
        <v>1487</v>
      </c>
      <c r="AI348" s="38">
        <f>43+120</f>
        <v>163</v>
      </c>
      <c r="AJ348" s="38">
        <f>54+83</f>
        <v>137</v>
      </c>
      <c r="AK348" s="38">
        <v>371833</v>
      </c>
      <c r="AL348" s="38">
        <v>374976</v>
      </c>
      <c r="AM348" s="38">
        <v>10000</v>
      </c>
      <c r="AN348" s="8" t="s">
        <v>276</v>
      </c>
      <c r="AO348" s="14">
        <f t="shared" si="113"/>
        <v>4.3836883762334171</v>
      </c>
      <c r="AP348" s="8" t="s">
        <v>276</v>
      </c>
      <c r="AQ348" s="8" t="s">
        <v>276</v>
      </c>
      <c r="AR348" s="8" t="s">
        <v>276</v>
      </c>
      <c r="AS348" s="14">
        <f t="shared" si="114"/>
        <v>3.6535671616316776</v>
      </c>
      <c r="AT348" s="8" t="s">
        <v>276</v>
      </c>
      <c r="AU348" s="8" t="s">
        <v>276</v>
      </c>
      <c r="AV348" s="8" t="s">
        <v>269</v>
      </c>
      <c r="AW348" s="40" t="s">
        <v>276</v>
      </c>
      <c r="AX348" s="40">
        <f t="shared" si="115"/>
        <v>1.1998379069828482</v>
      </c>
      <c r="AY348" s="9" t="s">
        <v>276</v>
      </c>
      <c r="AZ348" s="9" t="s">
        <v>276</v>
      </c>
      <c r="BA348" s="9" t="s">
        <v>2002</v>
      </c>
      <c r="BB348" s="9" t="s">
        <v>276</v>
      </c>
      <c r="BC348" s="9" t="s">
        <v>276</v>
      </c>
      <c r="BD348" s="9" t="s">
        <v>276</v>
      </c>
      <c r="BE348" s="9"/>
      <c r="BF348" s="9" t="s">
        <v>2003</v>
      </c>
      <c r="BG348" s="9"/>
      <c r="BH348" s="9" t="s">
        <v>100</v>
      </c>
      <c r="BI348" s="9" t="s">
        <v>100</v>
      </c>
      <c r="BJ348" s="32"/>
      <c r="BK348" s="32"/>
      <c r="BO348" s="32"/>
      <c r="BP348" s="32"/>
    </row>
    <row r="349" spans="1:68" s="79" customFormat="1" ht="65" hidden="1" x14ac:dyDescent="0.35">
      <c r="A349" s="72">
        <v>1519</v>
      </c>
      <c r="B349" s="72" t="s">
        <v>1881</v>
      </c>
      <c r="C349" s="73" t="s">
        <v>1882</v>
      </c>
      <c r="D349" s="73" t="s">
        <v>2004</v>
      </c>
      <c r="E349" s="72" t="s">
        <v>42</v>
      </c>
      <c r="F349" s="73" t="s">
        <v>140</v>
      </c>
      <c r="G349" s="72" t="s">
        <v>225</v>
      </c>
      <c r="H349" s="72" t="s">
        <v>125</v>
      </c>
      <c r="I349" s="72" t="s">
        <v>114</v>
      </c>
      <c r="J349" s="73" t="s">
        <v>25</v>
      </c>
      <c r="K349" s="72" t="s">
        <v>314</v>
      </c>
      <c r="L349" s="264" t="s">
        <v>1976</v>
      </c>
      <c r="M349" s="264" t="s">
        <v>276</v>
      </c>
      <c r="N349" s="73" t="s">
        <v>1977</v>
      </c>
      <c r="O349" s="73" t="s">
        <v>1984</v>
      </c>
      <c r="P349" s="73" t="s">
        <v>239</v>
      </c>
      <c r="Q349" s="77" t="s">
        <v>98</v>
      </c>
      <c r="R349" s="89" t="s">
        <v>1916</v>
      </c>
      <c r="S349" s="73" t="s">
        <v>1985</v>
      </c>
      <c r="T349" s="73" t="s">
        <v>1986</v>
      </c>
      <c r="U349" s="89" t="s">
        <v>1889</v>
      </c>
      <c r="V349" s="72" t="s">
        <v>14</v>
      </c>
      <c r="W349" s="264" t="s">
        <v>1896</v>
      </c>
      <c r="X349" s="73" t="s">
        <v>207</v>
      </c>
      <c r="Y349" s="74">
        <v>34253</v>
      </c>
      <c r="Z349" s="265">
        <v>34304</v>
      </c>
      <c r="AA349" s="73" t="s">
        <v>276</v>
      </c>
      <c r="AB349" s="73" t="s">
        <v>276</v>
      </c>
      <c r="AC349" s="72">
        <v>1</v>
      </c>
      <c r="AD349" s="72" t="s">
        <v>968</v>
      </c>
      <c r="AE349" s="72">
        <v>0</v>
      </c>
      <c r="AF349" s="72" t="s">
        <v>968</v>
      </c>
      <c r="AG349" s="73" t="s">
        <v>2005</v>
      </c>
      <c r="AH349" s="73" t="s">
        <v>1487</v>
      </c>
      <c r="AI349" s="267">
        <v>20</v>
      </c>
      <c r="AJ349" s="267">
        <v>27</v>
      </c>
      <c r="AK349" s="267">
        <v>166273</v>
      </c>
      <c r="AL349" s="267">
        <v>167380</v>
      </c>
      <c r="AM349" s="75">
        <v>10000</v>
      </c>
      <c r="AN349" s="72" t="s">
        <v>276</v>
      </c>
      <c r="AO349" s="76">
        <f t="shared" ref="AO349" si="119">(AI349/AK349)*AM349</f>
        <v>1.2028411107034818</v>
      </c>
      <c r="AP349" s="72" t="s">
        <v>276</v>
      </c>
      <c r="AQ349" s="72" t="s">
        <v>276</v>
      </c>
      <c r="AR349" s="72" t="s">
        <v>276</v>
      </c>
      <c r="AS349" s="76">
        <f t="shared" ref="AS349" si="120">(AJ349/AL349)*AM349</f>
        <v>1.6130959493368382</v>
      </c>
      <c r="AT349" s="72" t="s">
        <v>276</v>
      </c>
      <c r="AU349" s="72" t="s">
        <v>276</v>
      </c>
      <c r="AV349" s="72" t="s">
        <v>269</v>
      </c>
      <c r="AW349" s="83" t="s">
        <v>276</v>
      </c>
      <c r="AX349" s="83">
        <f t="shared" ref="AX349" si="121">AO349/AS349</f>
        <v>0.7456723892946252</v>
      </c>
      <c r="AY349" s="73" t="s">
        <v>276</v>
      </c>
      <c r="AZ349" s="73" t="s">
        <v>276</v>
      </c>
      <c r="BA349" s="73" t="s">
        <v>98</v>
      </c>
      <c r="BB349" s="265" t="s">
        <v>276</v>
      </c>
      <c r="BC349" s="265" t="s">
        <v>276</v>
      </c>
      <c r="BD349" s="265" t="s">
        <v>276</v>
      </c>
      <c r="BE349" s="73"/>
      <c r="BF349" s="73" t="s">
        <v>1982</v>
      </c>
      <c r="BG349" s="73"/>
      <c r="BH349" s="9" t="s">
        <v>100</v>
      </c>
      <c r="BI349" s="9" t="s">
        <v>100</v>
      </c>
      <c r="BJ349" s="78"/>
      <c r="BK349" s="78"/>
      <c r="BO349" s="78"/>
      <c r="BP349" s="78"/>
    </row>
    <row r="350" spans="1:68" s="79" customFormat="1" ht="65" hidden="1" x14ac:dyDescent="0.35">
      <c r="A350" s="72">
        <v>1519</v>
      </c>
      <c r="B350" s="72" t="s">
        <v>1881</v>
      </c>
      <c r="C350" s="73" t="s">
        <v>1882</v>
      </c>
      <c r="D350" s="73" t="s">
        <v>11601</v>
      </c>
      <c r="E350" s="72" t="s">
        <v>42</v>
      </c>
      <c r="F350" s="73" t="s">
        <v>140</v>
      </c>
      <c r="G350" s="72" t="s">
        <v>225</v>
      </c>
      <c r="H350" s="72" t="s">
        <v>125</v>
      </c>
      <c r="I350" s="72" t="s">
        <v>114</v>
      </c>
      <c r="J350" s="73" t="s">
        <v>25</v>
      </c>
      <c r="K350" s="72" t="s">
        <v>317</v>
      </c>
      <c r="L350" s="264" t="s">
        <v>1976</v>
      </c>
      <c r="M350" s="264" t="s">
        <v>276</v>
      </c>
      <c r="N350" s="73" t="s">
        <v>1977</v>
      </c>
      <c r="O350" s="73" t="s">
        <v>1984</v>
      </c>
      <c r="P350" s="73" t="s">
        <v>239</v>
      </c>
      <c r="Q350" s="77" t="s">
        <v>98</v>
      </c>
      <c r="R350" s="89" t="s">
        <v>1916</v>
      </c>
      <c r="S350" s="73" t="s">
        <v>1985</v>
      </c>
      <c r="T350" s="73" t="s">
        <v>1986</v>
      </c>
      <c r="U350" s="89" t="s">
        <v>1889</v>
      </c>
      <c r="V350" s="72" t="s">
        <v>14</v>
      </c>
      <c r="W350" s="264" t="s">
        <v>1896</v>
      </c>
      <c r="X350" s="73" t="s">
        <v>207</v>
      </c>
      <c r="Y350" s="74">
        <v>34253</v>
      </c>
      <c r="Z350" s="265">
        <v>34304</v>
      </c>
      <c r="AA350" s="73" t="s">
        <v>276</v>
      </c>
      <c r="AB350" s="73" t="s">
        <v>276</v>
      </c>
      <c r="AC350" s="72">
        <v>1</v>
      </c>
      <c r="AD350" s="72" t="s">
        <v>968</v>
      </c>
      <c r="AE350" s="72">
        <v>0</v>
      </c>
      <c r="AF350" s="72" t="s">
        <v>968</v>
      </c>
      <c r="AG350" s="73" t="s">
        <v>11602</v>
      </c>
      <c r="AH350" s="73" t="s">
        <v>1487</v>
      </c>
      <c r="AI350" s="267">
        <f>20+75</f>
        <v>95</v>
      </c>
      <c r="AJ350" s="267">
        <f>27+46</f>
        <v>73</v>
      </c>
      <c r="AK350" s="267">
        <v>166273</v>
      </c>
      <c r="AL350" s="267">
        <v>167380</v>
      </c>
      <c r="AM350" s="75">
        <v>10000</v>
      </c>
      <c r="AN350" s="72" t="s">
        <v>276</v>
      </c>
      <c r="AO350" s="76">
        <f t="shared" si="113"/>
        <v>5.7134952758415372</v>
      </c>
      <c r="AP350" s="72" t="s">
        <v>276</v>
      </c>
      <c r="AQ350" s="72" t="s">
        <v>276</v>
      </c>
      <c r="AR350" s="72" t="s">
        <v>276</v>
      </c>
      <c r="AS350" s="76">
        <f t="shared" si="114"/>
        <v>4.3613334926514522</v>
      </c>
      <c r="AT350" s="72" t="s">
        <v>276</v>
      </c>
      <c r="AU350" s="72" t="s">
        <v>276</v>
      </c>
      <c r="AV350" s="72" t="s">
        <v>269</v>
      </c>
      <c r="AW350" s="83" t="s">
        <v>276</v>
      </c>
      <c r="AX350" s="83">
        <f t="shared" si="115"/>
        <v>1.3100340263977486</v>
      </c>
      <c r="AY350" s="73" t="s">
        <v>276</v>
      </c>
      <c r="AZ350" s="73" t="s">
        <v>276</v>
      </c>
      <c r="BA350" s="73" t="s">
        <v>98</v>
      </c>
      <c r="BB350" s="265" t="s">
        <v>276</v>
      </c>
      <c r="BC350" s="265" t="s">
        <v>276</v>
      </c>
      <c r="BD350" s="265" t="s">
        <v>276</v>
      </c>
      <c r="BE350" s="73"/>
      <c r="BF350" s="73" t="s">
        <v>1982</v>
      </c>
      <c r="BG350" s="73"/>
      <c r="BH350" s="9" t="s">
        <v>100</v>
      </c>
      <c r="BI350" s="9" t="s">
        <v>100</v>
      </c>
      <c r="BJ350" s="78"/>
      <c r="BK350" s="78"/>
      <c r="BO350" s="78"/>
      <c r="BP350" s="78"/>
    </row>
    <row r="351" spans="1:68" s="33" customFormat="1" ht="65" hidden="1" x14ac:dyDescent="0.35">
      <c r="A351" s="8">
        <v>1519</v>
      </c>
      <c r="B351" s="8" t="s">
        <v>1881</v>
      </c>
      <c r="C351" s="9" t="s">
        <v>1882</v>
      </c>
      <c r="D351" s="9" t="s">
        <v>2006</v>
      </c>
      <c r="E351" s="8" t="s">
        <v>42</v>
      </c>
      <c r="F351" s="9" t="s">
        <v>140</v>
      </c>
      <c r="G351" s="8" t="s">
        <v>225</v>
      </c>
      <c r="H351" s="8" t="s">
        <v>125</v>
      </c>
      <c r="I351" s="8" t="s">
        <v>114</v>
      </c>
      <c r="J351" s="9" t="s">
        <v>25</v>
      </c>
      <c r="K351" s="8" t="s">
        <v>311</v>
      </c>
      <c r="L351" s="8" t="s">
        <v>1976</v>
      </c>
      <c r="M351" s="8" t="s">
        <v>276</v>
      </c>
      <c r="N351" s="9" t="s">
        <v>1977</v>
      </c>
      <c r="O351" s="9" t="s">
        <v>1978</v>
      </c>
      <c r="P351" s="9" t="s">
        <v>235</v>
      </c>
      <c r="Q351" s="52">
        <v>40237</v>
      </c>
      <c r="R351" s="51" t="s">
        <v>1886</v>
      </c>
      <c r="S351" s="9" t="s">
        <v>2007</v>
      </c>
      <c r="T351" s="9" t="s">
        <v>2007</v>
      </c>
      <c r="U351" s="51" t="s">
        <v>1889</v>
      </c>
      <c r="V351" s="8" t="s">
        <v>14</v>
      </c>
      <c r="W351" s="8" t="s">
        <v>1896</v>
      </c>
      <c r="X351" s="9" t="s">
        <v>207</v>
      </c>
      <c r="Y351" s="13" t="s">
        <v>98</v>
      </c>
      <c r="Z351" s="9" t="s">
        <v>98</v>
      </c>
      <c r="AA351" s="9" t="s">
        <v>276</v>
      </c>
      <c r="AB351" s="9" t="s">
        <v>276</v>
      </c>
      <c r="AC351" s="8">
        <v>2</v>
      </c>
      <c r="AD351" s="8" t="s">
        <v>968</v>
      </c>
      <c r="AE351" s="8">
        <v>1</v>
      </c>
      <c r="AF351" s="8" t="s">
        <v>968</v>
      </c>
      <c r="AG351" s="9" t="s">
        <v>1996</v>
      </c>
      <c r="AH351" s="9" t="s">
        <v>2008</v>
      </c>
      <c r="AI351" s="38">
        <v>120</v>
      </c>
      <c r="AJ351" s="38">
        <v>83</v>
      </c>
      <c r="AK351" s="38">
        <v>212</v>
      </c>
      <c r="AL351" s="38">
        <v>176</v>
      </c>
      <c r="AM351" s="38" t="s">
        <v>292</v>
      </c>
      <c r="AN351" s="8" t="s">
        <v>276</v>
      </c>
      <c r="AO351" s="14">
        <f>(AI351/AK351)*100</f>
        <v>56.60377358490566</v>
      </c>
      <c r="AP351" s="8" t="s">
        <v>276</v>
      </c>
      <c r="AQ351" s="8" t="s">
        <v>276</v>
      </c>
      <c r="AR351" s="8" t="s">
        <v>276</v>
      </c>
      <c r="AS351" s="14">
        <f>(AJ351/AL351)*100</f>
        <v>47.159090909090914</v>
      </c>
      <c r="AT351" s="8" t="s">
        <v>276</v>
      </c>
      <c r="AU351" s="8" t="s">
        <v>276</v>
      </c>
      <c r="AV351" s="8" t="s">
        <v>268</v>
      </c>
      <c r="AW351" s="40" t="s">
        <v>276</v>
      </c>
      <c r="AX351" s="40">
        <f t="shared" si="115"/>
        <v>1.2002727892702887</v>
      </c>
      <c r="AY351" s="40" t="s">
        <v>276</v>
      </c>
      <c r="AZ351" s="40" t="s">
        <v>276</v>
      </c>
      <c r="BA351" s="40" t="s">
        <v>276</v>
      </c>
      <c r="BB351" s="40" t="s">
        <v>98</v>
      </c>
      <c r="BC351" s="40" t="s">
        <v>98</v>
      </c>
      <c r="BD351" s="40" t="s">
        <v>98</v>
      </c>
      <c r="BE351" s="9"/>
      <c r="BF351" s="9" t="s">
        <v>426</v>
      </c>
      <c r="BG351" s="9"/>
      <c r="BH351" s="9" t="s">
        <v>100</v>
      </c>
      <c r="BI351" s="9" t="s">
        <v>100</v>
      </c>
      <c r="BJ351" s="32"/>
      <c r="BK351" s="32"/>
      <c r="BO351" s="32"/>
      <c r="BP351" s="32"/>
    </row>
    <row r="352" spans="1:68" s="33" customFormat="1" ht="65" hidden="1" x14ac:dyDescent="0.35">
      <c r="A352" s="8">
        <v>1519</v>
      </c>
      <c r="B352" s="8" t="s">
        <v>1881</v>
      </c>
      <c r="C352" s="9" t="s">
        <v>1882</v>
      </c>
      <c r="D352" s="9" t="s">
        <v>2009</v>
      </c>
      <c r="E352" s="8" t="s">
        <v>42</v>
      </c>
      <c r="F352" s="9" t="s">
        <v>140</v>
      </c>
      <c r="G352" s="8" t="s">
        <v>225</v>
      </c>
      <c r="H352" s="8" t="s">
        <v>125</v>
      </c>
      <c r="I352" s="8" t="s">
        <v>114</v>
      </c>
      <c r="J352" s="9" t="s">
        <v>25</v>
      </c>
      <c r="K352" s="2" t="s">
        <v>311</v>
      </c>
      <c r="L352" s="2" t="s">
        <v>1976</v>
      </c>
      <c r="M352" s="2" t="s">
        <v>276</v>
      </c>
      <c r="N352" s="9" t="s">
        <v>1977</v>
      </c>
      <c r="O352" s="9" t="s">
        <v>1984</v>
      </c>
      <c r="P352" s="9" t="s">
        <v>235</v>
      </c>
      <c r="Q352" s="52" t="s">
        <v>98</v>
      </c>
      <c r="R352" s="51" t="s">
        <v>1916</v>
      </c>
      <c r="S352" s="9" t="s">
        <v>1985</v>
      </c>
      <c r="T352" s="9" t="s">
        <v>1986</v>
      </c>
      <c r="U352" s="51" t="s">
        <v>1889</v>
      </c>
      <c r="V352" s="8" t="s">
        <v>14</v>
      </c>
      <c r="W352" s="2" t="s">
        <v>1896</v>
      </c>
      <c r="X352" s="9" t="s">
        <v>207</v>
      </c>
      <c r="Y352" s="13" t="s">
        <v>98</v>
      </c>
      <c r="Z352" s="10" t="s">
        <v>98</v>
      </c>
      <c r="AA352" s="9" t="s">
        <v>276</v>
      </c>
      <c r="AB352" s="9" t="s">
        <v>276</v>
      </c>
      <c r="AC352" s="8">
        <v>1</v>
      </c>
      <c r="AD352" s="8" t="s">
        <v>968</v>
      </c>
      <c r="AE352" s="8">
        <v>0</v>
      </c>
      <c r="AF352" s="8" t="s">
        <v>968</v>
      </c>
      <c r="AG352" s="9" t="s">
        <v>1998</v>
      </c>
      <c r="AH352" s="9" t="s">
        <v>2010</v>
      </c>
      <c r="AI352" s="34">
        <v>75</v>
      </c>
      <c r="AJ352" s="38">
        <v>46</v>
      </c>
      <c r="AK352" s="34">
        <v>126</v>
      </c>
      <c r="AL352" s="34">
        <v>99</v>
      </c>
      <c r="AM352" s="38" t="s">
        <v>292</v>
      </c>
      <c r="AN352" s="8" t="s">
        <v>276</v>
      </c>
      <c r="AO352" s="14">
        <f t="shared" ref="AO352:AO356" si="122">(AI352/AK352)*100</f>
        <v>59.523809523809526</v>
      </c>
      <c r="AP352" s="8" t="s">
        <v>276</v>
      </c>
      <c r="AQ352" s="8" t="s">
        <v>276</v>
      </c>
      <c r="AR352" s="8" t="s">
        <v>276</v>
      </c>
      <c r="AS352" s="14">
        <f t="shared" ref="AS352:AS354" si="123">(AJ352/AL352)*100</f>
        <v>46.464646464646464</v>
      </c>
      <c r="AT352" s="8" t="s">
        <v>276</v>
      </c>
      <c r="AU352" s="8" t="s">
        <v>276</v>
      </c>
      <c r="AV352" s="8" t="s">
        <v>268</v>
      </c>
      <c r="AW352" s="40" t="s">
        <v>276</v>
      </c>
      <c r="AX352" s="40">
        <f t="shared" si="115"/>
        <v>1.2810559006211182</v>
      </c>
      <c r="AY352" s="40" t="s">
        <v>276</v>
      </c>
      <c r="AZ352" s="40" t="s">
        <v>276</v>
      </c>
      <c r="BA352" s="40" t="s">
        <v>276</v>
      </c>
      <c r="BB352" s="35" t="s">
        <v>98</v>
      </c>
      <c r="BC352" s="35" t="s">
        <v>98</v>
      </c>
      <c r="BD352" s="35" t="s">
        <v>98</v>
      </c>
      <c r="BE352" s="9"/>
      <c r="BF352" s="9" t="s">
        <v>426</v>
      </c>
      <c r="BG352" s="9"/>
      <c r="BH352" s="9" t="s">
        <v>100</v>
      </c>
      <c r="BI352" s="9" t="s">
        <v>100</v>
      </c>
      <c r="BJ352" s="32"/>
      <c r="BK352" s="32"/>
      <c r="BO352" s="32"/>
      <c r="BP352" s="32"/>
    </row>
    <row r="353" spans="1:68" s="33" customFormat="1" ht="65" hidden="1" x14ac:dyDescent="0.35">
      <c r="A353" s="8">
        <v>1519</v>
      </c>
      <c r="B353" s="8" t="s">
        <v>1881</v>
      </c>
      <c r="C353" s="9" t="s">
        <v>1882</v>
      </c>
      <c r="D353" s="9" t="s">
        <v>2011</v>
      </c>
      <c r="E353" s="8" t="s">
        <v>42</v>
      </c>
      <c r="F353" s="9" t="s">
        <v>140</v>
      </c>
      <c r="G353" s="8" t="s">
        <v>225</v>
      </c>
      <c r="H353" s="8" t="s">
        <v>125</v>
      </c>
      <c r="I353" s="8" t="s">
        <v>114</v>
      </c>
      <c r="J353" s="9" t="s">
        <v>25</v>
      </c>
      <c r="K353" s="8" t="s">
        <v>314</v>
      </c>
      <c r="L353" s="8" t="s">
        <v>1976</v>
      </c>
      <c r="M353" s="8" t="s">
        <v>276</v>
      </c>
      <c r="N353" s="9" t="s">
        <v>1977</v>
      </c>
      <c r="O353" s="9" t="s">
        <v>1978</v>
      </c>
      <c r="P353" s="9" t="s">
        <v>235</v>
      </c>
      <c r="Q353" s="52">
        <v>40237</v>
      </c>
      <c r="R353" s="51" t="s">
        <v>1886</v>
      </c>
      <c r="S353" s="9" t="s">
        <v>2007</v>
      </c>
      <c r="T353" s="9" t="s">
        <v>2007</v>
      </c>
      <c r="U353" s="51" t="s">
        <v>1889</v>
      </c>
      <c r="V353" s="8" t="s">
        <v>14</v>
      </c>
      <c r="W353" s="8" t="s">
        <v>1896</v>
      </c>
      <c r="X353" s="9" t="s">
        <v>207</v>
      </c>
      <c r="Y353" s="13" t="s">
        <v>98</v>
      </c>
      <c r="Z353" s="9" t="s">
        <v>98</v>
      </c>
      <c r="AA353" s="9" t="s">
        <v>276</v>
      </c>
      <c r="AB353" s="9" t="s">
        <v>276</v>
      </c>
      <c r="AC353" s="8">
        <v>2</v>
      </c>
      <c r="AD353" s="8" t="s">
        <v>968</v>
      </c>
      <c r="AE353" s="8">
        <v>1</v>
      </c>
      <c r="AF353" s="8" t="s">
        <v>968</v>
      </c>
      <c r="AG353" s="9" t="s">
        <v>2001</v>
      </c>
      <c r="AH353" s="9" t="s">
        <v>2008</v>
      </c>
      <c r="AI353" s="38">
        <v>43</v>
      </c>
      <c r="AJ353" s="38">
        <v>54</v>
      </c>
      <c r="AK353" s="38">
        <v>212</v>
      </c>
      <c r="AL353" s="38">
        <v>176</v>
      </c>
      <c r="AM353" s="38" t="s">
        <v>292</v>
      </c>
      <c r="AN353" s="8" t="s">
        <v>276</v>
      </c>
      <c r="AO353" s="14">
        <f t="shared" si="122"/>
        <v>20.283018867924529</v>
      </c>
      <c r="AP353" s="8" t="s">
        <v>276</v>
      </c>
      <c r="AQ353" s="8" t="s">
        <v>276</v>
      </c>
      <c r="AR353" s="8" t="s">
        <v>276</v>
      </c>
      <c r="AS353" s="14">
        <f t="shared" si="123"/>
        <v>30.681818181818183</v>
      </c>
      <c r="AT353" s="8" t="s">
        <v>276</v>
      </c>
      <c r="AU353" s="8" t="s">
        <v>276</v>
      </c>
      <c r="AV353" s="8" t="s">
        <v>268</v>
      </c>
      <c r="AW353" s="40" t="s">
        <v>276</v>
      </c>
      <c r="AX353" s="40">
        <f t="shared" si="115"/>
        <v>0.66107617051013279</v>
      </c>
      <c r="AY353" s="40" t="s">
        <v>276</v>
      </c>
      <c r="AZ353" s="40" t="s">
        <v>276</v>
      </c>
      <c r="BA353" s="40" t="s">
        <v>276</v>
      </c>
      <c r="BB353" s="40" t="s">
        <v>98</v>
      </c>
      <c r="BC353" s="40" t="s">
        <v>98</v>
      </c>
      <c r="BD353" s="40" t="s">
        <v>98</v>
      </c>
      <c r="BF353" s="9" t="s">
        <v>426</v>
      </c>
      <c r="BG353" s="9"/>
      <c r="BH353" s="9" t="s">
        <v>100</v>
      </c>
      <c r="BI353" s="9" t="s">
        <v>100</v>
      </c>
      <c r="BJ353" s="32"/>
      <c r="BK353" s="32"/>
      <c r="BO353" s="32"/>
      <c r="BP353" s="32"/>
    </row>
    <row r="354" spans="1:68" s="33" customFormat="1" ht="65" hidden="1" x14ac:dyDescent="0.35">
      <c r="A354" s="8">
        <v>1519</v>
      </c>
      <c r="B354" s="8" t="s">
        <v>1881</v>
      </c>
      <c r="C354" s="9" t="s">
        <v>1882</v>
      </c>
      <c r="D354" s="9" t="s">
        <v>2012</v>
      </c>
      <c r="E354" s="8" t="s">
        <v>42</v>
      </c>
      <c r="F354" s="9" t="s">
        <v>140</v>
      </c>
      <c r="G354" s="8" t="s">
        <v>225</v>
      </c>
      <c r="H354" s="8" t="s">
        <v>125</v>
      </c>
      <c r="I354" s="8" t="s">
        <v>114</v>
      </c>
      <c r="J354" s="9" t="s">
        <v>25</v>
      </c>
      <c r="K354" s="2" t="s">
        <v>314</v>
      </c>
      <c r="L354" s="2" t="s">
        <v>1976</v>
      </c>
      <c r="M354" s="2" t="s">
        <v>276</v>
      </c>
      <c r="N354" s="9" t="s">
        <v>1977</v>
      </c>
      <c r="O354" s="9" t="s">
        <v>1984</v>
      </c>
      <c r="P354" s="9" t="s">
        <v>235</v>
      </c>
      <c r="Q354" s="52" t="s">
        <v>98</v>
      </c>
      <c r="R354" s="51" t="s">
        <v>1916</v>
      </c>
      <c r="S354" s="9" t="s">
        <v>1985</v>
      </c>
      <c r="T354" s="9" t="s">
        <v>1986</v>
      </c>
      <c r="U354" s="51" t="s">
        <v>1889</v>
      </c>
      <c r="V354" s="8" t="s">
        <v>14</v>
      </c>
      <c r="W354" s="2" t="s">
        <v>1896</v>
      </c>
      <c r="X354" s="9" t="s">
        <v>207</v>
      </c>
      <c r="Y354" s="13" t="s">
        <v>98</v>
      </c>
      <c r="Z354" s="10" t="s">
        <v>98</v>
      </c>
      <c r="AA354" s="9" t="s">
        <v>276</v>
      </c>
      <c r="AB354" s="9" t="s">
        <v>276</v>
      </c>
      <c r="AC354" s="8">
        <v>1</v>
      </c>
      <c r="AD354" s="8" t="s">
        <v>968</v>
      </c>
      <c r="AE354" s="8">
        <v>0</v>
      </c>
      <c r="AF354" s="8" t="s">
        <v>968</v>
      </c>
      <c r="AG354" s="9" t="s">
        <v>2005</v>
      </c>
      <c r="AH354" s="9" t="s">
        <v>2010</v>
      </c>
      <c r="AI354" s="34">
        <v>20</v>
      </c>
      <c r="AJ354" s="34">
        <v>27</v>
      </c>
      <c r="AK354" s="34">
        <v>126</v>
      </c>
      <c r="AL354" s="34">
        <v>99</v>
      </c>
      <c r="AM354" s="38" t="s">
        <v>292</v>
      </c>
      <c r="AN354" s="8" t="s">
        <v>276</v>
      </c>
      <c r="AO354" s="14">
        <f t="shared" si="122"/>
        <v>15.873015873015872</v>
      </c>
      <c r="AP354" s="8" t="s">
        <v>276</v>
      </c>
      <c r="AQ354" s="8" t="s">
        <v>276</v>
      </c>
      <c r="AR354" s="8" t="s">
        <v>276</v>
      </c>
      <c r="AS354" s="14">
        <f t="shared" si="123"/>
        <v>27.27272727272727</v>
      </c>
      <c r="AT354" s="8" t="s">
        <v>276</v>
      </c>
      <c r="AU354" s="8" t="s">
        <v>276</v>
      </c>
      <c r="AV354" s="8" t="s">
        <v>268</v>
      </c>
      <c r="AW354" s="40" t="s">
        <v>276</v>
      </c>
      <c r="AX354" s="40">
        <f t="shared" si="115"/>
        <v>0.58201058201058198</v>
      </c>
      <c r="AY354" s="40" t="s">
        <v>276</v>
      </c>
      <c r="AZ354" s="40" t="s">
        <v>276</v>
      </c>
      <c r="BA354" s="40" t="s">
        <v>276</v>
      </c>
      <c r="BB354" s="35" t="s">
        <v>98</v>
      </c>
      <c r="BC354" s="35" t="s">
        <v>98</v>
      </c>
      <c r="BD354" s="35" t="s">
        <v>98</v>
      </c>
      <c r="BF354" s="9" t="s">
        <v>426</v>
      </c>
      <c r="BG354" s="9"/>
      <c r="BH354" s="9" t="s">
        <v>100</v>
      </c>
      <c r="BI354" s="9" t="s">
        <v>100</v>
      </c>
      <c r="BJ354" s="32"/>
      <c r="BK354" s="32"/>
      <c r="BO354" s="32"/>
      <c r="BP354" s="32"/>
    </row>
    <row r="355" spans="1:68" s="33" customFormat="1" ht="130" x14ac:dyDescent="0.35">
      <c r="A355" s="8">
        <v>1519</v>
      </c>
      <c r="B355" s="8" t="s">
        <v>1881</v>
      </c>
      <c r="C355" s="9" t="s">
        <v>1882</v>
      </c>
      <c r="D355" s="9" t="s">
        <v>2013</v>
      </c>
      <c r="E355" s="8" t="s">
        <v>42</v>
      </c>
      <c r="F355" s="9" t="s">
        <v>140</v>
      </c>
      <c r="G355" s="8" t="s">
        <v>225</v>
      </c>
      <c r="H355" s="8" t="s">
        <v>125</v>
      </c>
      <c r="I355" s="8" t="s">
        <v>114</v>
      </c>
      <c r="J355" s="9" t="s">
        <v>98</v>
      </c>
      <c r="K355" s="8" t="s">
        <v>98</v>
      </c>
      <c r="L355" s="8" t="s">
        <v>98</v>
      </c>
      <c r="M355" s="8" t="s">
        <v>98</v>
      </c>
      <c r="N355" s="9" t="s">
        <v>1977</v>
      </c>
      <c r="O355" s="9" t="s">
        <v>1978</v>
      </c>
      <c r="P355" s="9" t="s">
        <v>236</v>
      </c>
      <c r="Q355" s="52">
        <v>40237</v>
      </c>
      <c r="R355" s="51" t="s">
        <v>1886</v>
      </c>
      <c r="S355" s="9" t="s">
        <v>2007</v>
      </c>
      <c r="T355" s="9" t="s">
        <v>98</v>
      </c>
      <c r="U355" s="51" t="s">
        <v>1889</v>
      </c>
      <c r="V355" s="8" t="s">
        <v>14</v>
      </c>
      <c r="W355" s="8" t="s">
        <v>1896</v>
      </c>
      <c r="X355" s="9" t="s">
        <v>209</v>
      </c>
      <c r="Y355" s="13" t="s">
        <v>98</v>
      </c>
      <c r="Z355" s="9" t="s">
        <v>98</v>
      </c>
      <c r="AA355" s="9" t="s">
        <v>276</v>
      </c>
      <c r="AB355" s="9" t="s">
        <v>98</v>
      </c>
      <c r="AC355" s="8" t="s">
        <v>276</v>
      </c>
      <c r="AD355" s="8" t="s">
        <v>276</v>
      </c>
      <c r="AE355" s="9" t="s">
        <v>98</v>
      </c>
      <c r="AF355" s="9" t="s">
        <v>98</v>
      </c>
      <c r="AG355" s="9" t="s">
        <v>2014</v>
      </c>
      <c r="AH355" s="9" t="s">
        <v>2015</v>
      </c>
      <c r="AI355" s="38">
        <v>73</v>
      </c>
      <c r="AJ355" s="38" t="s">
        <v>98</v>
      </c>
      <c r="AK355" s="38">
        <v>212</v>
      </c>
      <c r="AL355" s="38" t="s">
        <v>98</v>
      </c>
      <c r="AM355" s="38" t="s">
        <v>292</v>
      </c>
      <c r="AN355" s="8" t="s">
        <v>276</v>
      </c>
      <c r="AO355" s="14">
        <f t="shared" si="122"/>
        <v>34.433962264150942</v>
      </c>
      <c r="AP355" s="8" t="s">
        <v>276</v>
      </c>
      <c r="AQ355" s="8" t="s">
        <v>276</v>
      </c>
      <c r="AR355" s="8" t="s">
        <v>98</v>
      </c>
      <c r="AS355" s="8" t="s">
        <v>98</v>
      </c>
      <c r="AT355" s="8" t="s">
        <v>98</v>
      </c>
      <c r="AU355" s="8" t="s">
        <v>98</v>
      </c>
      <c r="AV355" s="9" t="s">
        <v>98</v>
      </c>
      <c r="AW355" s="40" t="s">
        <v>98</v>
      </c>
      <c r="AX355" s="40" t="s">
        <v>98</v>
      </c>
      <c r="AY355" s="40" t="s">
        <v>98</v>
      </c>
      <c r="AZ355" s="40" t="s">
        <v>98</v>
      </c>
      <c r="BA355" s="40" t="s">
        <v>98</v>
      </c>
      <c r="BB355" s="40" t="s">
        <v>98</v>
      </c>
      <c r="BC355" s="40" t="s">
        <v>98</v>
      </c>
      <c r="BD355" s="40" t="s">
        <v>98</v>
      </c>
      <c r="BF355" s="9" t="s">
        <v>2016</v>
      </c>
      <c r="BG355" s="9" t="s">
        <v>2017</v>
      </c>
      <c r="BH355" s="9" t="s">
        <v>99</v>
      </c>
      <c r="BI355" s="9" t="s">
        <v>100</v>
      </c>
      <c r="BJ355" s="32"/>
      <c r="BK355" s="32"/>
      <c r="BO355" s="32"/>
      <c r="BP355" s="32"/>
    </row>
    <row r="356" spans="1:68" s="33" customFormat="1" ht="130" hidden="1" x14ac:dyDescent="0.35">
      <c r="A356" s="8">
        <v>1519</v>
      </c>
      <c r="B356" s="8" t="s">
        <v>1881</v>
      </c>
      <c r="C356" s="9" t="s">
        <v>1882</v>
      </c>
      <c r="D356" s="9" t="s">
        <v>2018</v>
      </c>
      <c r="E356" s="8" t="s">
        <v>42</v>
      </c>
      <c r="F356" s="9" t="s">
        <v>140</v>
      </c>
      <c r="G356" s="8" t="s">
        <v>225</v>
      </c>
      <c r="H356" s="8" t="s">
        <v>125</v>
      </c>
      <c r="I356" s="8" t="s">
        <v>114</v>
      </c>
      <c r="J356" s="9" t="s">
        <v>98</v>
      </c>
      <c r="K356" s="8" t="s">
        <v>98</v>
      </c>
      <c r="L356" s="8" t="s">
        <v>98</v>
      </c>
      <c r="M356" s="8" t="s">
        <v>98</v>
      </c>
      <c r="N356" s="9" t="s">
        <v>1977</v>
      </c>
      <c r="O356" s="9" t="s">
        <v>2019</v>
      </c>
      <c r="P356" s="9" t="s">
        <v>238</v>
      </c>
      <c r="Q356" s="52" t="s">
        <v>98</v>
      </c>
      <c r="R356" s="51" t="s">
        <v>2020</v>
      </c>
      <c r="S356" s="9" t="s">
        <v>276</v>
      </c>
      <c r="T356" s="9" t="s">
        <v>98</v>
      </c>
      <c r="U356" s="51" t="s">
        <v>1889</v>
      </c>
      <c r="V356" s="8" t="s">
        <v>14</v>
      </c>
      <c r="W356" s="8" t="s">
        <v>1896</v>
      </c>
      <c r="X356" s="9" t="s">
        <v>209</v>
      </c>
      <c r="Y356" s="13">
        <v>34253</v>
      </c>
      <c r="Z356" s="13" t="s">
        <v>98</v>
      </c>
      <c r="AA356" s="9" t="s">
        <v>276</v>
      </c>
      <c r="AB356" s="9" t="s">
        <v>98</v>
      </c>
      <c r="AC356" s="8" t="s">
        <v>276</v>
      </c>
      <c r="AD356" s="8" t="s">
        <v>276</v>
      </c>
      <c r="AE356" s="9" t="s">
        <v>98</v>
      </c>
      <c r="AF356" s="9" t="s">
        <v>98</v>
      </c>
      <c r="AG356" s="9" t="s">
        <v>2021</v>
      </c>
      <c r="AH356" s="9" t="s">
        <v>1176</v>
      </c>
      <c r="AI356" s="38">
        <f>20+53</f>
        <v>73</v>
      </c>
      <c r="AJ356" s="38" t="s">
        <v>98</v>
      </c>
      <c r="AK356" s="13">
        <v>34253</v>
      </c>
      <c r="AL356" s="38" t="s">
        <v>98</v>
      </c>
      <c r="AM356" s="38" t="s">
        <v>292</v>
      </c>
      <c r="AN356" s="8" t="s">
        <v>276</v>
      </c>
      <c r="AO356" s="31">
        <f t="shared" si="122"/>
        <v>0.21312001868449476</v>
      </c>
      <c r="AP356" s="8" t="s">
        <v>276</v>
      </c>
      <c r="AQ356" s="8" t="s">
        <v>276</v>
      </c>
      <c r="AR356" s="8" t="s">
        <v>98</v>
      </c>
      <c r="AS356" s="8" t="s">
        <v>98</v>
      </c>
      <c r="AT356" s="8" t="s">
        <v>98</v>
      </c>
      <c r="AU356" s="8" t="s">
        <v>98</v>
      </c>
      <c r="AV356" s="9" t="s">
        <v>98</v>
      </c>
      <c r="AW356" s="40" t="s">
        <v>98</v>
      </c>
      <c r="AX356" s="40" t="s">
        <v>98</v>
      </c>
      <c r="AY356" s="40" t="s">
        <v>98</v>
      </c>
      <c r="AZ356" s="40" t="s">
        <v>98</v>
      </c>
      <c r="BA356" s="40" t="s">
        <v>98</v>
      </c>
      <c r="BB356" s="40" t="s">
        <v>98</v>
      </c>
      <c r="BC356" s="40" t="s">
        <v>98</v>
      </c>
      <c r="BD356" s="40" t="s">
        <v>98</v>
      </c>
      <c r="BF356" s="9" t="s">
        <v>2022</v>
      </c>
      <c r="BG356" s="9" t="s">
        <v>2017</v>
      </c>
      <c r="BH356" s="9" t="s">
        <v>100</v>
      </c>
      <c r="BI356" s="9" t="s">
        <v>100</v>
      </c>
      <c r="BJ356" s="32"/>
      <c r="BK356" s="32"/>
      <c r="BO356" s="32"/>
      <c r="BP356" s="32"/>
    </row>
    <row r="357" spans="1:68" s="33" customFormat="1" ht="117" hidden="1" x14ac:dyDescent="0.35">
      <c r="A357" s="8">
        <v>915</v>
      </c>
      <c r="B357" s="8" t="s">
        <v>2023</v>
      </c>
      <c r="C357" s="9" t="s">
        <v>1882</v>
      </c>
      <c r="D357" s="9" t="s">
        <v>2024</v>
      </c>
      <c r="E357" s="8" t="s">
        <v>42</v>
      </c>
      <c r="F357" s="9" t="s">
        <v>140</v>
      </c>
      <c r="G357" s="8" t="s">
        <v>225</v>
      </c>
      <c r="H357" s="8" t="s">
        <v>225</v>
      </c>
      <c r="I357" s="8" t="s">
        <v>114</v>
      </c>
      <c r="J357" s="9" t="s">
        <v>98</v>
      </c>
      <c r="K357" s="8" t="s">
        <v>98</v>
      </c>
      <c r="L357" s="8" t="s">
        <v>98</v>
      </c>
      <c r="M357" s="8" t="s">
        <v>98</v>
      </c>
      <c r="N357" s="9" t="s">
        <v>1977</v>
      </c>
      <c r="O357" s="9" t="s">
        <v>1978</v>
      </c>
      <c r="P357" s="9" t="s">
        <v>237</v>
      </c>
      <c r="Q357" s="52">
        <v>40237</v>
      </c>
      <c r="R357" s="9">
        <v>13</v>
      </c>
      <c r="S357" s="9" t="s">
        <v>276</v>
      </c>
      <c r="T357" s="9" t="s">
        <v>276</v>
      </c>
      <c r="U357" s="51" t="s">
        <v>1889</v>
      </c>
      <c r="V357" s="8" t="s">
        <v>14</v>
      </c>
      <c r="W357" s="8" t="s">
        <v>98</v>
      </c>
      <c r="X357" s="9" t="s">
        <v>209</v>
      </c>
      <c r="Y357" s="13">
        <v>34252</v>
      </c>
      <c r="Z357" s="9" t="s">
        <v>98</v>
      </c>
      <c r="AA357" s="9" t="s">
        <v>276</v>
      </c>
      <c r="AB357" s="9" t="s">
        <v>98</v>
      </c>
      <c r="AC357" s="8">
        <v>39</v>
      </c>
      <c r="AD357" s="9" t="s">
        <v>2025</v>
      </c>
      <c r="AE357" s="8" t="s">
        <v>98</v>
      </c>
      <c r="AF357" s="8" t="s">
        <v>98</v>
      </c>
      <c r="AG357" s="9" t="s">
        <v>2026</v>
      </c>
      <c r="AH357" s="9" t="s">
        <v>2027</v>
      </c>
      <c r="AI357" s="38">
        <v>46</v>
      </c>
      <c r="AJ357" s="38" t="s">
        <v>98</v>
      </c>
      <c r="AK357" s="38">
        <v>159</v>
      </c>
      <c r="AL357" s="38" t="s">
        <v>98</v>
      </c>
      <c r="AM357" s="38" t="s">
        <v>292</v>
      </c>
      <c r="AN357" s="8">
        <v>28.9</v>
      </c>
      <c r="AO357" s="14">
        <f>AI357/AK357*100</f>
        <v>28.930817610062892</v>
      </c>
      <c r="AP357" s="8" t="s">
        <v>276</v>
      </c>
      <c r="AQ357" s="8" t="s">
        <v>276</v>
      </c>
      <c r="AR357" s="8" t="s">
        <v>98</v>
      </c>
      <c r="AS357" s="14" t="s">
        <v>98</v>
      </c>
      <c r="AT357" s="8" t="s">
        <v>98</v>
      </c>
      <c r="AU357" s="8" t="s">
        <v>98</v>
      </c>
      <c r="AV357" s="9" t="s">
        <v>98</v>
      </c>
      <c r="AW357" s="40" t="s">
        <v>98</v>
      </c>
      <c r="AX357" s="40" t="s">
        <v>98</v>
      </c>
      <c r="AY357" s="40" t="s">
        <v>98</v>
      </c>
      <c r="AZ357" s="40" t="s">
        <v>98</v>
      </c>
      <c r="BA357" s="40" t="s">
        <v>98</v>
      </c>
      <c r="BB357" s="40" t="s">
        <v>98</v>
      </c>
      <c r="BC357" s="40" t="s">
        <v>98</v>
      </c>
      <c r="BD357" s="40" t="s">
        <v>98</v>
      </c>
      <c r="BE357" s="40" t="s">
        <v>98</v>
      </c>
      <c r="BF357" s="9" t="s">
        <v>298</v>
      </c>
      <c r="BG357" s="9" t="s">
        <v>2028</v>
      </c>
      <c r="BH357" s="9" t="s">
        <v>100</v>
      </c>
      <c r="BI357" s="9" t="s">
        <v>100</v>
      </c>
      <c r="BJ357" s="32"/>
      <c r="BK357" s="32"/>
      <c r="BO357" s="32"/>
      <c r="BP357" s="32"/>
    </row>
    <row r="358" spans="1:68" s="33" customFormat="1" ht="91" hidden="1" x14ac:dyDescent="0.35">
      <c r="A358" s="8">
        <v>915</v>
      </c>
      <c r="B358" s="8" t="s">
        <v>2023</v>
      </c>
      <c r="C358" s="9" t="s">
        <v>1882</v>
      </c>
      <c r="D358" s="9" t="s">
        <v>2029</v>
      </c>
      <c r="E358" s="8" t="s">
        <v>42</v>
      </c>
      <c r="F358" s="9" t="s">
        <v>140</v>
      </c>
      <c r="G358" s="8" t="s">
        <v>225</v>
      </c>
      <c r="H358" s="8" t="s">
        <v>125</v>
      </c>
      <c r="I358" s="8" t="s">
        <v>114</v>
      </c>
      <c r="J358" s="9" t="s">
        <v>25</v>
      </c>
      <c r="K358" s="8" t="s">
        <v>2030</v>
      </c>
      <c r="L358" s="8" t="s">
        <v>317</v>
      </c>
      <c r="M358" s="8" t="s">
        <v>307</v>
      </c>
      <c r="N358" s="9" t="s">
        <v>1977</v>
      </c>
      <c r="O358" s="9" t="s">
        <v>1978</v>
      </c>
      <c r="P358" s="9" t="s">
        <v>239</v>
      </c>
      <c r="Q358" s="52">
        <v>40479</v>
      </c>
      <c r="R358" s="9">
        <v>13</v>
      </c>
      <c r="S358" s="9" t="s">
        <v>276</v>
      </c>
      <c r="T358" s="9" t="s">
        <v>276</v>
      </c>
      <c r="U358" s="51" t="s">
        <v>1889</v>
      </c>
      <c r="V358" s="8" t="s">
        <v>14</v>
      </c>
      <c r="W358" s="8" t="s">
        <v>98</v>
      </c>
      <c r="X358" s="9" t="s">
        <v>207</v>
      </c>
      <c r="Y358" s="13">
        <v>34252</v>
      </c>
      <c r="Z358" s="9">
        <v>34305</v>
      </c>
      <c r="AA358" s="9" t="s">
        <v>276</v>
      </c>
      <c r="AB358" s="9" t="s">
        <v>276</v>
      </c>
      <c r="AC358" s="8">
        <f>39+4</f>
        <v>43</v>
      </c>
      <c r="AD358" s="9" t="s">
        <v>2031</v>
      </c>
      <c r="AE358" s="8">
        <v>44</v>
      </c>
      <c r="AF358" s="9" t="s">
        <v>2032</v>
      </c>
      <c r="AG358" s="9" t="s">
        <v>2033</v>
      </c>
      <c r="AH358" s="9" t="s">
        <v>2034</v>
      </c>
      <c r="AI358" s="38">
        <v>22</v>
      </c>
      <c r="AJ358" s="38">
        <v>21</v>
      </c>
      <c r="AK358" s="13">
        <v>34252</v>
      </c>
      <c r="AL358" s="9">
        <v>34305</v>
      </c>
      <c r="AM358" s="38">
        <v>10000</v>
      </c>
      <c r="AN358" s="8" t="s">
        <v>276</v>
      </c>
      <c r="AO358" s="14">
        <f>AI358/AK358*10000</f>
        <v>6.4229825995562306</v>
      </c>
      <c r="AP358" s="8" t="s">
        <v>276</v>
      </c>
      <c r="AQ358" s="8" t="s">
        <v>276</v>
      </c>
      <c r="AR358" s="8" t="s">
        <v>276</v>
      </c>
      <c r="AS358" s="14">
        <f>AJ358/AL358*10000</f>
        <v>6.1215566243987753</v>
      </c>
      <c r="AT358" s="8" t="s">
        <v>276</v>
      </c>
      <c r="AU358" s="8" t="s">
        <v>276</v>
      </c>
      <c r="AV358" s="9" t="s">
        <v>268</v>
      </c>
      <c r="AW358" s="40" t="s">
        <v>276</v>
      </c>
      <c r="AX358" s="40">
        <f>AO358/AS358</f>
        <v>1.04924008608465</v>
      </c>
      <c r="AY358" s="40" t="s">
        <v>276</v>
      </c>
      <c r="AZ358" s="40" t="s">
        <v>276</v>
      </c>
      <c r="BA358" s="40" t="s">
        <v>276</v>
      </c>
      <c r="BB358" s="40" t="s">
        <v>282</v>
      </c>
      <c r="BC358" s="40" t="s">
        <v>98</v>
      </c>
      <c r="BD358" s="40" t="s">
        <v>98</v>
      </c>
      <c r="BE358" s="40" t="s">
        <v>98</v>
      </c>
      <c r="BF358" s="9" t="s">
        <v>2035</v>
      </c>
      <c r="BG358" s="9" t="s">
        <v>2028</v>
      </c>
      <c r="BH358" s="9" t="s">
        <v>100</v>
      </c>
      <c r="BI358" s="9" t="s">
        <v>100</v>
      </c>
      <c r="BJ358" s="32"/>
      <c r="BK358" s="32"/>
      <c r="BO358" s="32"/>
      <c r="BP358" s="32"/>
    </row>
    <row r="359" spans="1:68" s="33" customFormat="1" ht="39" hidden="1" x14ac:dyDescent="0.35">
      <c r="A359" s="8">
        <v>9925</v>
      </c>
      <c r="B359" s="8" t="s">
        <v>2037</v>
      </c>
      <c r="C359" s="8" t="s">
        <v>78</v>
      </c>
      <c r="D359" s="9" t="s">
        <v>2069</v>
      </c>
      <c r="E359" s="8" t="s">
        <v>39</v>
      </c>
      <c r="F359" s="8" t="s">
        <v>143</v>
      </c>
      <c r="G359" s="8" t="s">
        <v>225</v>
      </c>
      <c r="H359" s="8" t="s">
        <v>125</v>
      </c>
      <c r="I359" s="8" t="s">
        <v>114</v>
      </c>
      <c r="J359" s="9" t="s">
        <v>98</v>
      </c>
      <c r="K359" s="9" t="s">
        <v>98</v>
      </c>
      <c r="L359" s="9" t="s">
        <v>98</v>
      </c>
      <c r="M359" s="8" t="s">
        <v>98</v>
      </c>
      <c r="N359" s="9" t="s">
        <v>2070</v>
      </c>
      <c r="O359" s="9" t="s">
        <v>276</v>
      </c>
      <c r="P359" s="9" t="s">
        <v>238</v>
      </c>
      <c r="Q359" s="52">
        <v>43830</v>
      </c>
      <c r="R359" s="9" t="s">
        <v>276</v>
      </c>
      <c r="S359" s="9" t="s">
        <v>2071</v>
      </c>
      <c r="T359" s="9" t="s">
        <v>98</v>
      </c>
      <c r="U359" s="9">
        <v>1</v>
      </c>
      <c r="V359" s="8" t="s">
        <v>14</v>
      </c>
      <c r="W359" s="8" t="s">
        <v>98</v>
      </c>
      <c r="X359" s="9" t="s">
        <v>209</v>
      </c>
      <c r="Y359" s="13">
        <v>1987</v>
      </c>
      <c r="Z359" s="9" t="s">
        <v>98</v>
      </c>
      <c r="AA359" s="9" t="s">
        <v>276</v>
      </c>
      <c r="AB359" s="9" t="s">
        <v>98</v>
      </c>
      <c r="AC359" s="8">
        <v>0</v>
      </c>
      <c r="AD359" s="9" t="s">
        <v>98</v>
      </c>
      <c r="AE359" s="8" t="s">
        <v>98</v>
      </c>
      <c r="AF359" s="8" t="s">
        <v>98</v>
      </c>
      <c r="AG359" s="9" t="s">
        <v>2072</v>
      </c>
      <c r="AH359" s="9" t="s">
        <v>2046</v>
      </c>
      <c r="AI359" s="38">
        <v>42</v>
      </c>
      <c r="AJ359" s="38" t="s">
        <v>98</v>
      </c>
      <c r="AK359" s="38">
        <v>1987</v>
      </c>
      <c r="AL359" s="38" t="s">
        <v>98</v>
      </c>
      <c r="AM359" s="38" t="s">
        <v>2047</v>
      </c>
      <c r="AN359" s="8" t="s">
        <v>276</v>
      </c>
      <c r="AO359" s="14">
        <f>AI359*1000/AK359</f>
        <v>21.137393054856567</v>
      </c>
      <c r="AP359" s="8" t="s">
        <v>276</v>
      </c>
      <c r="AQ359" s="8" t="s">
        <v>276</v>
      </c>
      <c r="AR359" s="8" t="s">
        <v>98</v>
      </c>
      <c r="AS359" s="8" t="s">
        <v>98</v>
      </c>
      <c r="AT359" s="8" t="s">
        <v>98</v>
      </c>
      <c r="AU359" s="8" t="s">
        <v>98</v>
      </c>
      <c r="AV359" s="8" t="s">
        <v>98</v>
      </c>
      <c r="AW359" s="8" t="s">
        <v>98</v>
      </c>
      <c r="AX359" s="8" t="s">
        <v>98</v>
      </c>
      <c r="AY359" s="8" t="s">
        <v>98</v>
      </c>
      <c r="AZ359" s="8" t="s">
        <v>98</v>
      </c>
      <c r="BA359" s="8" t="s">
        <v>98</v>
      </c>
      <c r="BB359" s="8" t="s">
        <v>98</v>
      </c>
      <c r="BC359" s="8" t="s">
        <v>98</v>
      </c>
      <c r="BD359" s="8" t="s">
        <v>98</v>
      </c>
      <c r="BE359" s="8" t="s">
        <v>98</v>
      </c>
      <c r="BF359" s="9" t="s">
        <v>2073</v>
      </c>
      <c r="BG359" s="9" t="s">
        <v>2074</v>
      </c>
      <c r="BH359" s="9" t="s">
        <v>100</v>
      </c>
      <c r="BI359" s="9" t="s">
        <v>100</v>
      </c>
      <c r="BJ359" s="32"/>
      <c r="BK359" s="32"/>
      <c r="BO359" s="32"/>
      <c r="BP359" s="32"/>
    </row>
    <row r="360" spans="1:68" s="33" customFormat="1" ht="52" x14ac:dyDescent="0.35">
      <c r="A360" s="8">
        <v>9925</v>
      </c>
      <c r="B360" s="8" t="s">
        <v>2037</v>
      </c>
      <c r="C360" s="8" t="s">
        <v>78</v>
      </c>
      <c r="D360" s="9" t="s">
        <v>2075</v>
      </c>
      <c r="E360" s="8" t="s">
        <v>39</v>
      </c>
      <c r="F360" s="8" t="s">
        <v>143</v>
      </c>
      <c r="G360" s="8" t="s">
        <v>225</v>
      </c>
      <c r="H360" s="8" t="s">
        <v>125</v>
      </c>
      <c r="I360" s="8" t="s">
        <v>114</v>
      </c>
      <c r="J360" s="9" t="s">
        <v>98</v>
      </c>
      <c r="K360" s="9" t="s">
        <v>98</v>
      </c>
      <c r="L360" s="9" t="s">
        <v>98</v>
      </c>
      <c r="M360" s="8" t="s">
        <v>98</v>
      </c>
      <c r="N360" s="9" t="s">
        <v>2070</v>
      </c>
      <c r="O360" s="9" t="s">
        <v>276</v>
      </c>
      <c r="P360" s="9" t="s">
        <v>236</v>
      </c>
      <c r="Q360" s="52">
        <v>43830</v>
      </c>
      <c r="R360" s="9" t="s">
        <v>276</v>
      </c>
      <c r="S360" s="9" t="s">
        <v>2071</v>
      </c>
      <c r="T360" s="9" t="s">
        <v>98</v>
      </c>
      <c r="U360" s="9">
        <v>1</v>
      </c>
      <c r="V360" s="8" t="s">
        <v>14</v>
      </c>
      <c r="W360" s="8" t="s">
        <v>98</v>
      </c>
      <c r="X360" s="9" t="s">
        <v>209</v>
      </c>
      <c r="Y360" s="13" t="s">
        <v>98</v>
      </c>
      <c r="Z360" s="9" t="s">
        <v>98</v>
      </c>
      <c r="AA360" s="9" t="s">
        <v>276</v>
      </c>
      <c r="AB360" s="9" t="s">
        <v>98</v>
      </c>
      <c r="AC360" s="8">
        <v>0</v>
      </c>
      <c r="AD360" s="9" t="s">
        <v>98</v>
      </c>
      <c r="AE360" s="8" t="s">
        <v>98</v>
      </c>
      <c r="AF360" s="8" t="s">
        <v>98</v>
      </c>
      <c r="AG360" s="9" t="s">
        <v>2072</v>
      </c>
      <c r="AH360" s="9" t="s">
        <v>2076</v>
      </c>
      <c r="AI360" s="38">
        <v>42</v>
      </c>
      <c r="AJ360" s="38" t="s">
        <v>98</v>
      </c>
      <c r="AK360" s="38">
        <v>86</v>
      </c>
      <c r="AL360" s="38" t="s">
        <v>98</v>
      </c>
      <c r="AM360" s="38" t="s">
        <v>292</v>
      </c>
      <c r="AN360" s="8" t="s">
        <v>276</v>
      </c>
      <c r="AO360" s="14">
        <f>AI360*100/AK360</f>
        <v>48.837209302325583</v>
      </c>
      <c r="AP360" s="8" t="s">
        <v>276</v>
      </c>
      <c r="AQ360" s="8" t="s">
        <v>276</v>
      </c>
      <c r="AR360" s="8" t="s">
        <v>98</v>
      </c>
      <c r="AS360" s="8" t="s">
        <v>98</v>
      </c>
      <c r="AT360" s="8" t="s">
        <v>98</v>
      </c>
      <c r="AU360" s="8" t="s">
        <v>98</v>
      </c>
      <c r="AV360" s="8" t="s">
        <v>98</v>
      </c>
      <c r="AW360" s="8" t="s">
        <v>98</v>
      </c>
      <c r="AX360" s="8" t="s">
        <v>98</v>
      </c>
      <c r="AY360" s="8" t="s">
        <v>98</v>
      </c>
      <c r="AZ360" s="8" t="s">
        <v>98</v>
      </c>
      <c r="BA360" s="8" t="s">
        <v>98</v>
      </c>
      <c r="BB360" s="8" t="s">
        <v>98</v>
      </c>
      <c r="BC360" s="8" t="s">
        <v>98</v>
      </c>
      <c r="BD360" s="8" t="s">
        <v>98</v>
      </c>
      <c r="BE360" s="8" t="s">
        <v>98</v>
      </c>
      <c r="BF360" s="9" t="s">
        <v>2077</v>
      </c>
      <c r="BG360" s="9" t="s">
        <v>276</v>
      </c>
      <c r="BH360" s="9" t="s">
        <v>99</v>
      </c>
      <c r="BI360" s="9" t="s">
        <v>100</v>
      </c>
      <c r="BJ360" s="32"/>
      <c r="BK360" s="32"/>
      <c r="BO360" s="32"/>
      <c r="BP360" s="32"/>
    </row>
    <row r="361" spans="1:68" s="79" customFormat="1" ht="52" hidden="1" x14ac:dyDescent="0.35">
      <c r="A361" s="72">
        <v>9925</v>
      </c>
      <c r="B361" s="72" t="s">
        <v>2037</v>
      </c>
      <c r="C361" s="72" t="s">
        <v>78</v>
      </c>
      <c r="D361" s="73" t="s">
        <v>2078</v>
      </c>
      <c r="E361" s="72" t="s">
        <v>39</v>
      </c>
      <c r="F361" s="72" t="s">
        <v>143</v>
      </c>
      <c r="G361" s="72" t="s">
        <v>225</v>
      </c>
      <c r="H361" s="72" t="s">
        <v>125</v>
      </c>
      <c r="I361" s="72" t="s">
        <v>114</v>
      </c>
      <c r="J361" s="73" t="s">
        <v>25</v>
      </c>
      <c r="K361" s="73" t="s">
        <v>930</v>
      </c>
      <c r="L361" s="73" t="s">
        <v>317</v>
      </c>
      <c r="M361" s="72" t="s">
        <v>301</v>
      </c>
      <c r="N361" s="73" t="s">
        <v>2070</v>
      </c>
      <c r="O361" s="73" t="s">
        <v>276</v>
      </c>
      <c r="P361" s="73" t="s">
        <v>239</v>
      </c>
      <c r="Q361" s="77">
        <v>43830</v>
      </c>
      <c r="R361" s="73" t="s">
        <v>276</v>
      </c>
      <c r="S361" s="73" t="s">
        <v>2071</v>
      </c>
      <c r="T361" s="73" t="s">
        <v>2071</v>
      </c>
      <c r="U361" s="73">
        <v>1</v>
      </c>
      <c r="V361" s="72" t="s">
        <v>14</v>
      </c>
      <c r="W361" s="72" t="s">
        <v>98</v>
      </c>
      <c r="X361" s="73" t="s">
        <v>207</v>
      </c>
      <c r="Y361" s="74">
        <v>1987</v>
      </c>
      <c r="Z361" s="73">
        <v>1981</v>
      </c>
      <c r="AA361" s="73" t="s">
        <v>276</v>
      </c>
      <c r="AB361" s="73" t="s">
        <v>276</v>
      </c>
      <c r="AC361" s="72">
        <v>16</v>
      </c>
      <c r="AD361" s="73" t="s">
        <v>2079</v>
      </c>
      <c r="AE361" s="72">
        <v>20</v>
      </c>
      <c r="AF361" s="73" t="s">
        <v>2079</v>
      </c>
      <c r="AG361" s="73" t="s">
        <v>2080</v>
      </c>
      <c r="AH361" s="73" t="s">
        <v>2046</v>
      </c>
      <c r="AI361" s="75">
        <v>37</v>
      </c>
      <c r="AJ361" s="75">
        <v>8</v>
      </c>
      <c r="AK361" s="75">
        <v>1987</v>
      </c>
      <c r="AL361" s="75">
        <v>1981</v>
      </c>
      <c r="AM361" s="75" t="s">
        <v>2047</v>
      </c>
      <c r="AN361" s="72" t="s">
        <v>276</v>
      </c>
      <c r="AO361" s="76">
        <f t="shared" ref="AO361:AO389" si="124">AI361*1000/AK361</f>
        <v>18.621036738802214</v>
      </c>
      <c r="AP361" s="72" t="s">
        <v>276</v>
      </c>
      <c r="AQ361" s="72" t="s">
        <v>276</v>
      </c>
      <c r="AR361" s="72" t="s">
        <v>276</v>
      </c>
      <c r="AS361" s="76">
        <f>AJ361*1000/AL361</f>
        <v>4.0383644623927308</v>
      </c>
      <c r="AT361" s="72" t="s">
        <v>276</v>
      </c>
      <c r="AU361" s="72" t="s">
        <v>276</v>
      </c>
      <c r="AV361" s="72" t="s">
        <v>268</v>
      </c>
      <c r="AW361" s="72" t="s">
        <v>276</v>
      </c>
      <c r="AX361" s="76">
        <f>AO361/AS361</f>
        <v>4.6110342224458982</v>
      </c>
      <c r="AY361" s="72" t="s">
        <v>276</v>
      </c>
      <c r="AZ361" s="72" t="s">
        <v>276</v>
      </c>
      <c r="BA361" s="72" t="s">
        <v>276</v>
      </c>
      <c r="BB361" s="72" t="s">
        <v>282</v>
      </c>
      <c r="BC361" s="72" t="s">
        <v>276</v>
      </c>
      <c r="BD361" s="72" t="s">
        <v>276</v>
      </c>
      <c r="BE361" s="72" t="s">
        <v>276</v>
      </c>
      <c r="BF361" s="73" t="s">
        <v>298</v>
      </c>
      <c r="BG361" s="73" t="s">
        <v>2044</v>
      </c>
      <c r="BH361" s="9" t="s">
        <v>100</v>
      </c>
      <c r="BI361" s="9" t="s">
        <v>100</v>
      </c>
      <c r="BJ361" s="78"/>
      <c r="BK361" s="78"/>
      <c r="BO361" s="78"/>
      <c r="BP361" s="78"/>
    </row>
    <row r="362" spans="1:68" s="79" customFormat="1" ht="52" hidden="1" x14ac:dyDescent="0.35">
      <c r="A362" s="72">
        <v>9925</v>
      </c>
      <c r="B362" s="72" t="s">
        <v>2037</v>
      </c>
      <c r="C362" s="72" t="s">
        <v>78</v>
      </c>
      <c r="D362" s="73" t="s">
        <v>2081</v>
      </c>
      <c r="E362" s="72" t="s">
        <v>39</v>
      </c>
      <c r="F362" s="72" t="s">
        <v>143</v>
      </c>
      <c r="G362" s="72" t="s">
        <v>225</v>
      </c>
      <c r="H362" s="72" t="s">
        <v>125</v>
      </c>
      <c r="I362" s="72" t="s">
        <v>114</v>
      </c>
      <c r="J362" s="73" t="s">
        <v>25</v>
      </c>
      <c r="K362" s="73" t="s">
        <v>934</v>
      </c>
      <c r="L362" s="73" t="s">
        <v>317</v>
      </c>
      <c r="M362" s="72" t="s">
        <v>301</v>
      </c>
      <c r="N362" s="73" t="s">
        <v>2070</v>
      </c>
      <c r="O362" s="73" t="s">
        <v>276</v>
      </c>
      <c r="P362" s="73" t="s">
        <v>239</v>
      </c>
      <c r="Q362" s="77">
        <v>43830</v>
      </c>
      <c r="R362" s="73" t="s">
        <v>276</v>
      </c>
      <c r="S362" s="73" t="s">
        <v>2071</v>
      </c>
      <c r="T362" s="73" t="s">
        <v>2071</v>
      </c>
      <c r="U362" s="73">
        <v>1</v>
      </c>
      <c r="V362" s="72" t="s">
        <v>14</v>
      </c>
      <c r="W362" s="72" t="s">
        <v>98</v>
      </c>
      <c r="X362" s="73" t="s">
        <v>207</v>
      </c>
      <c r="Y362" s="74">
        <v>1987</v>
      </c>
      <c r="Z362" s="73">
        <v>1981</v>
      </c>
      <c r="AA362" s="73" t="s">
        <v>276</v>
      </c>
      <c r="AB362" s="73" t="s">
        <v>276</v>
      </c>
      <c r="AC362" s="72">
        <v>16</v>
      </c>
      <c r="AD362" s="73" t="s">
        <v>2079</v>
      </c>
      <c r="AE362" s="72">
        <v>20</v>
      </c>
      <c r="AF362" s="73" t="s">
        <v>2079</v>
      </c>
      <c r="AG362" s="73" t="s">
        <v>2082</v>
      </c>
      <c r="AH362" s="73" t="s">
        <v>2046</v>
      </c>
      <c r="AI362" s="75">
        <v>8</v>
      </c>
      <c r="AJ362" s="75">
        <v>4</v>
      </c>
      <c r="AK362" s="75">
        <v>1987</v>
      </c>
      <c r="AL362" s="75">
        <v>1981</v>
      </c>
      <c r="AM362" s="75" t="s">
        <v>2047</v>
      </c>
      <c r="AN362" s="72" t="s">
        <v>276</v>
      </c>
      <c r="AO362" s="76">
        <f t="shared" si="124"/>
        <v>4.0261701056869654</v>
      </c>
      <c r="AP362" s="72" t="s">
        <v>276</v>
      </c>
      <c r="AQ362" s="72" t="s">
        <v>276</v>
      </c>
      <c r="AR362" s="72" t="s">
        <v>276</v>
      </c>
      <c r="AS362" s="76">
        <f t="shared" ref="AS362:AS374" si="125">AJ362*1000/AL362</f>
        <v>2.0191822311963654</v>
      </c>
      <c r="AT362" s="72" t="s">
        <v>276</v>
      </c>
      <c r="AU362" s="72" t="s">
        <v>276</v>
      </c>
      <c r="AV362" s="72" t="s">
        <v>268</v>
      </c>
      <c r="AW362" s="72" t="s">
        <v>276</v>
      </c>
      <c r="AX362" s="76">
        <f t="shared" ref="AX362:AX389" si="126">AO362/AS362</f>
        <v>1.9939607448414698</v>
      </c>
      <c r="AY362" s="72" t="s">
        <v>276</v>
      </c>
      <c r="AZ362" s="72" t="s">
        <v>276</v>
      </c>
      <c r="BA362" s="72" t="s">
        <v>276</v>
      </c>
      <c r="BB362" s="72" t="s">
        <v>282</v>
      </c>
      <c r="BC362" s="72" t="s">
        <v>276</v>
      </c>
      <c r="BD362" s="72" t="s">
        <v>276</v>
      </c>
      <c r="BE362" s="72" t="s">
        <v>276</v>
      </c>
      <c r="BF362" s="73" t="s">
        <v>298</v>
      </c>
      <c r="BG362" s="73" t="s">
        <v>2044</v>
      </c>
      <c r="BH362" s="9" t="s">
        <v>100</v>
      </c>
      <c r="BI362" s="9" t="s">
        <v>100</v>
      </c>
      <c r="BJ362" s="78"/>
      <c r="BK362" s="78"/>
      <c r="BO362" s="78"/>
      <c r="BP362" s="78"/>
    </row>
    <row r="363" spans="1:68" s="79" customFormat="1" ht="52" hidden="1" x14ac:dyDescent="0.35">
      <c r="A363" s="72">
        <v>9925</v>
      </c>
      <c r="B363" s="72" t="s">
        <v>2037</v>
      </c>
      <c r="C363" s="72" t="s">
        <v>78</v>
      </c>
      <c r="D363" s="73" t="s">
        <v>2083</v>
      </c>
      <c r="E363" s="72" t="s">
        <v>39</v>
      </c>
      <c r="F363" s="72" t="s">
        <v>143</v>
      </c>
      <c r="G363" s="72" t="s">
        <v>225</v>
      </c>
      <c r="H363" s="72" t="s">
        <v>125</v>
      </c>
      <c r="I363" s="72" t="s">
        <v>114</v>
      </c>
      <c r="J363" s="73" t="s">
        <v>25</v>
      </c>
      <c r="K363" s="73" t="s">
        <v>300</v>
      </c>
      <c r="L363" s="73" t="s">
        <v>317</v>
      </c>
      <c r="M363" s="72" t="s">
        <v>301</v>
      </c>
      <c r="N363" s="73" t="s">
        <v>2070</v>
      </c>
      <c r="O363" s="73" t="s">
        <v>276</v>
      </c>
      <c r="P363" s="73" t="s">
        <v>239</v>
      </c>
      <c r="Q363" s="77">
        <v>43830</v>
      </c>
      <c r="R363" s="73" t="s">
        <v>276</v>
      </c>
      <c r="S363" s="73" t="s">
        <v>2071</v>
      </c>
      <c r="T363" s="73" t="s">
        <v>2071</v>
      </c>
      <c r="U363" s="73">
        <v>1</v>
      </c>
      <c r="V363" s="72" t="s">
        <v>14</v>
      </c>
      <c r="W363" s="72" t="s">
        <v>98</v>
      </c>
      <c r="X363" s="73" t="s">
        <v>207</v>
      </c>
      <c r="Y363" s="74">
        <v>1987</v>
      </c>
      <c r="Z363" s="73">
        <v>1981</v>
      </c>
      <c r="AA363" s="73" t="s">
        <v>276</v>
      </c>
      <c r="AB363" s="73" t="s">
        <v>276</v>
      </c>
      <c r="AC363" s="72">
        <v>16</v>
      </c>
      <c r="AD363" s="73" t="s">
        <v>2079</v>
      </c>
      <c r="AE363" s="72">
        <v>20</v>
      </c>
      <c r="AF363" s="73" t="s">
        <v>2079</v>
      </c>
      <c r="AG363" s="73" t="s">
        <v>2084</v>
      </c>
      <c r="AH363" s="73" t="s">
        <v>2046</v>
      </c>
      <c r="AI363" s="75">
        <f>37+8</f>
        <v>45</v>
      </c>
      <c r="AJ363" s="75">
        <f>8+4</f>
        <v>12</v>
      </c>
      <c r="AK363" s="75">
        <v>1987</v>
      </c>
      <c r="AL363" s="75">
        <v>1981</v>
      </c>
      <c r="AM363" s="75" t="s">
        <v>2047</v>
      </c>
      <c r="AN363" s="72" t="s">
        <v>276</v>
      </c>
      <c r="AO363" s="76">
        <f t="shared" si="124"/>
        <v>22.64720684448918</v>
      </c>
      <c r="AP363" s="72" t="s">
        <v>276</v>
      </c>
      <c r="AQ363" s="72" t="s">
        <v>276</v>
      </c>
      <c r="AR363" s="72" t="s">
        <v>276</v>
      </c>
      <c r="AS363" s="76">
        <f t="shared" si="125"/>
        <v>6.0575466935890967</v>
      </c>
      <c r="AT363" s="72" t="s">
        <v>276</v>
      </c>
      <c r="AU363" s="72" t="s">
        <v>276</v>
      </c>
      <c r="AV363" s="72" t="s">
        <v>268</v>
      </c>
      <c r="AW363" s="72" t="s">
        <v>276</v>
      </c>
      <c r="AX363" s="76">
        <f t="shared" si="126"/>
        <v>3.7386763965777554</v>
      </c>
      <c r="AY363" s="72" t="s">
        <v>276</v>
      </c>
      <c r="AZ363" s="72" t="s">
        <v>276</v>
      </c>
      <c r="BA363" s="72" t="s">
        <v>276</v>
      </c>
      <c r="BB363" s="72" t="s">
        <v>282</v>
      </c>
      <c r="BC363" s="72" t="s">
        <v>276</v>
      </c>
      <c r="BD363" s="72" t="s">
        <v>276</v>
      </c>
      <c r="BE363" s="72" t="s">
        <v>276</v>
      </c>
      <c r="BF363" s="73" t="s">
        <v>298</v>
      </c>
      <c r="BG363" s="73" t="s">
        <v>2044</v>
      </c>
      <c r="BH363" s="9" t="s">
        <v>100</v>
      </c>
      <c r="BI363" s="9" t="s">
        <v>100</v>
      </c>
      <c r="BJ363" s="78"/>
      <c r="BK363" s="78"/>
      <c r="BO363" s="78"/>
      <c r="BP363" s="78"/>
    </row>
    <row r="364" spans="1:68" s="33" customFormat="1" ht="52" hidden="1" x14ac:dyDescent="0.35">
      <c r="A364" s="8">
        <v>9925</v>
      </c>
      <c r="B364" s="8" t="s">
        <v>2037</v>
      </c>
      <c r="C364" s="8" t="s">
        <v>78</v>
      </c>
      <c r="D364" s="9" t="s">
        <v>2085</v>
      </c>
      <c r="E364" s="8" t="s">
        <v>39</v>
      </c>
      <c r="F364" s="8" t="s">
        <v>143</v>
      </c>
      <c r="G364" s="8" t="s">
        <v>225</v>
      </c>
      <c r="H364" s="8" t="s">
        <v>125</v>
      </c>
      <c r="I364" s="8" t="s">
        <v>114</v>
      </c>
      <c r="J364" s="9" t="s">
        <v>25</v>
      </c>
      <c r="K364" s="9" t="s">
        <v>930</v>
      </c>
      <c r="L364" s="9" t="s">
        <v>317</v>
      </c>
      <c r="M364" s="8" t="s">
        <v>301</v>
      </c>
      <c r="N364" s="9" t="s">
        <v>2070</v>
      </c>
      <c r="O364" s="9" t="s">
        <v>276</v>
      </c>
      <c r="P364" s="9" t="s">
        <v>239</v>
      </c>
      <c r="Q364" s="52">
        <v>43830</v>
      </c>
      <c r="R364" s="9" t="s">
        <v>276</v>
      </c>
      <c r="S364" s="9" t="s">
        <v>2071</v>
      </c>
      <c r="T364" s="9" t="s">
        <v>2071</v>
      </c>
      <c r="U364" s="9">
        <v>1</v>
      </c>
      <c r="V364" s="8" t="s">
        <v>14</v>
      </c>
      <c r="W364" s="8" t="s">
        <v>98</v>
      </c>
      <c r="X364" s="9" t="s">
        <v>207</v>
      </c>
      <c r="Y364" s="80">
        <v>1987</v>
      </c>
      <c r="Z364" s="9">
        <v>1981</v>
      </c>
      <c r="AA364" s="9" t="s">
        <v>276</v>
      </c>
      <c r="AB364" s="9" t="s">
        <v>276</v>
      </c>
      <c r="AC364" s="8">
        <v>16</v>
      </c>
      <c r="AD364" s="9" t="s">
        <v>2079</v>
      </c>
      <c r="AE364" s="8">
        <v>20</v>
      </c>
      <c r="AF364" s="9" t="s">
        <v>2079</v>
      </c>
      <c r="AG364" s="9" t="s">
        <v>2080</v>
      </c>
      <c r="AH364" s="9" t="s">
        <v>2086</v>
      </c>
      <c r="AI364" s="38">
        <v>37</v>
      </c>
      <c r="AJ364" s="38">
        <v>8</v>
      </c>
      <c r="AK364" s="81">
        <v>13493.8</v>
      </c>
      <c r="AL364" s="81">
        <v>13539.1</v>
      </c>
      <c r="AM364" s="38" t="s">
        <v>425</v>
      </c>
      <c r="AN364" s="8" t="s">
        <v>276</v>
      </c>
      <c r="AO364" s="14">
        <f t="shared" si="124"/>
        <v>2.7420000296432439</v>
      </c>
      <c r="AP364" s="8" t="s">
        <v>276</v>
      </c>
      <c r="AQ364" s="8" t="s">
        <v>276</v>
      </c>
      <c r="AR364" s="8" t="s">
        <v>276</v>
      </c>
      <c r="AS364" s="14">
        <f>AJ364*1000/AL364</f>
        <v>0.59088122548766164</v>
      </c>
      <c r="AT364" s="8" t="s">
        <v>276</v>
      </c>
      <c r="AU364" s="8" t="s">
        <v>276</v>
      </c>
      <c r="AV364" s="8" t="s">
        <v>269</v>
      </c>
      <c r="AW364" s="8" t="s">
        <v>276</v>
      </c>
      <c r="AX364" s="14">
        <f>AO364/AS364</f>
        <v>4.6405265751678559</v>
      </c>
      <c r="AY364" s="8" t="s">
        <v>276</v>
      </c>
      <c r="AZ364" s="8" t="s">
        <v>276</v>
      </c>
      <c r="BA364" s="8" t="s">
        <v>276</v>
      </c>
      <c r="BB364" s="8" t="s">
        <v>282</v>
      </c>
      <c r="BC364" s="8" t="s">
        <v>276</v>
      </c>
      <c r="BD364" s="8" t="s">
        <v>276</v>
      </c>
      <c r="BE364" s="8" t="s">
        <v>276</v>
      </c>
      <c r="BF364" s="9" t="s">
        <v>298</v>
      </c>
      <c r="BG364" s="9" t="s">
        <v>2044</v>
      </c>
      <c r="BH364" s="9" t="s">
        <v>100</v>
      </c>
      <c r="BI364" s="9" t="s">
        <v>100</v>
      </c>
      <c r="BJ364" s="32"/>
      <c r="BK364" s="32"/>
      <c r="BO364" s="32"/>
      <c r="BP364" s="32"/>
    </row>
    <row r="365" spans="1:68" s="33" customFormat="1" ht="52" hidden="1" x14ac:dyDescent="0.35">
      <c r="A365" s="8">
        <v>9925</v>
      </c>
      <c r="B365" s="8" t="s">
        <v>2037</v>
      </c>
      <c r="C365" s="8" t="s">
        <v>78</v>
      </c>
      <c r="D365" s="9" t="s">
        <v>2087</v>
      </c>
      <c r="E365" s="8" t="s">
        <v>39</v>
      </c>
      <c r="F365" s="8" t="s">
        <v>143</v>
      </c>
      <c r="G365" s="8" t="s">
        <v>225</v>
      </c>
      <c r="H365" s="8" t="s">
        <v>125</v>
      </c>
      <c r="I365" s="8" t="s">
        <v>114</v>
      </c>
      <c r="J365" s="9" t="s">
        <v>25</v>
      </c>
      <c r="K365" s="9" t="s">
        <v>934</v>
      </c>
      <c r="L365" s="9" t="s">
        <v>317</v>
      </c>
      <c r="M365" s="8" t="s">
        <v>301</v>
      </c>
      <c r="N365" s="9" t="s">
        <v>2070</v>
      </c>
      <c r="O365" s="9" t="s">
        <v>276</v>
      </c>
      <c r="P365" s="9" t="s">
        <v>239</v>
      </c>
      <c r="Q365" s="52">
        <v>43830</v>
      </c>
      <c r="R365" s="9" t="s">
        <v>276</v>
      </c>
      <c r="S365" s="9" t="s">
        <v>2071</v>
      </c>
      <c r="T365" s="9" t="s">
        <v>2071</v>
      </c>
      <c r="U365" s="9">
        <v>1</v>
      </c>
      <c r="V365" s="8" t="s">
        <v>14</v>
      </c>
      <c r="W365" s="8" t="s">
        <v>98</v>
      </c>
      <c r="X365" s="9" t="s">
        <v>207</v>
      </c>
      <c r="Y365" s="80">
        <v>1987</v>
      </c>
      <c r="Z365" s="9">
        <v>1981</v>
      </c>
      <c r="AA365" s="9" t="s">
        <v>276</v>
      </c>
      <c r="AB365" s="9" t="s">
        <v>276</v>
      </c>
      <c r="AC365" s="8">
        <v>16</v>
      </c>
      <c r="AD365" s="9" t="s">
        <v>2079</v>
      </c>
      <c r="AE365" s="8">
        <v>20</v>
      </c>
      <c r="AF365" s="9" t="s">
        <v>2079</v>
      </c>
      <c r="AG365" s="9" t="s">
        <v>2082</v>
      </c>
      <c r="AH365" s="9" t="s">
        <v>2086</v>
      </c>
      <c r="AI365" s="38">
        <v>8</v>
      </c>
      <c r="AJ365" s="38">
        <v>4</v>
      </c>
      <c r="AK365" s="81">
        <v>13493.8</v>
      </c>
      <c r="AL365" s="81">
        <v>13539.1</v>
      </c>
      <c r="AM365" s="38" t="s">
        <v>425</v>
      </c>
      <c r="AN365" s="8" t="s">
        <v>276</v>
      </c>
      <c r="AO365" s="14">
        <f t="shared" si="124"/>
        <v>0.59286487127421483</v>
      </c>
      <c r="AP365" s="8" t="s">
        <v>276</v>
      </c>
      <c r="AQ365" s="8" t="s">
        <v>276</v>
      </c>
      <c r="AR365" s="8" t="s">
        <v>276</v>
      </c>
      <c r="AS365" s="14">
        <f t="shared" ref="AS365:AS366" si="127">AJ365*1000/AL365</f>
        <v>0.29544061274383082</v>
      </c>
      <c r="AT365" s="8" t="s">
        <v>276</v>
      </c>
      <c r="AU365" s="8" t="s">
        <v>276</v>
      </c>
      <c r="AV365" s="8" t="s">
        <v>269</v>
      </c>
      <c r="AW365" s="8" t="s">
        <v>276</v>
      </c>
      <c r="AX365" s="14">
        <f t="shared" ref="AX365:AX366" si="128">AO365/AS365</f>
        <v>2.0067141946671807</v>
      </c>
      <c r="AY365" s="8" t="s">
        <v>276</v>
      </c>
      <c r="AZ365" s="8" t="s">
        <v>276</v>
      </c>
      <c r="BA365" s="8" t="s">
        <v>276</v>
      </c>
      <c r="BB365" s="8" t="s">
        <v>282</v>
      </c>
      <c r="BC365" s="8" t="s">
        <v>276</v>
      </c>
      <c r="BD365" s="8" t="s">
        <v>276</v>
      </c>
      <c r="BE365" s="8" t="s">
        <v>276</v>
      </c>
      <c r="BF365" s="9" t="s">
        <v>298</v>
      </c>
      <c r="BG365" s="9" t="s">
        <v>2044</v>
      </c>
      <c r="BH365" s="9" t="s">
        <v>100</v>
      </c>
      <c r="BI365" s="9" t="s">
        <v>100</v>
      </c>
      <c r="BJ365" s="32"/>
      <c r="BK365" s="32"/>
      <c r="BO365" s="32"/>
      <c r="BP365" s="32"/>
    </row>
    <row r="366" spans="1:68" s="33" customFormat="1" ht="52" hidden="1" x14ac:dyDescent="0.35">
      <c r="A366" s="8">
        <v>9925</v>
      </c>
      <c r="B366" s="8" t="s">
        <v>2037</v>
      </c>
      <c r="C366" s="8" t="s">
        <v>78</v>
      </c>
      <c r="D366" s="9" t="s">
        <v>2088</v>
      </c>
      <c r="E366" s="8" t="s">
        <v>39</v>
      </c>
      <c r="F366" s="8" t="s">
        <v>143</v>
      </c>
      <c r="G366" s="8" t="s">
        <v>225</v>
      </c>
      <c r="H366" s="8" t="s">
        <v>125</v>
      </c>
      <c r="I366" s="8" t="s">
        <v>114</v>
      </c>
      <c r="J366" s="9" t="s">
        <v>25</v>
      </c>
      <c r="K366" s="9" t="s">
        <v>300</v>
      </c>
      <c r="L366" s="9" t="s">
        <v>317</v>
      </c>
      <c r="M366" s="8" t="s">
        <v>301</v>
      </c>
      <c r="N366" s="9" t="s">
        <v>2070</v>
      </c>
      <c r="O366" s="9" t="s">
        <v>276</v>
      </c>
      <c r="P366" s="9" t="s">
        <v>239</v>
      </c>
      <c r="Q366" s="52">
        <v>43830</v>
      </c>
      <c r="R366" s="9" t="s">
        <v>276</v>
      </c>
      <c r="S366" s="9" t="s">
        <v>2071</v>
      </c>
      <c r="T366" s="9" t="s">
        <v>2071</v>
      </c>
      <c r="U366" s="9">
        <v>1</v>
      </c>
      <c r="V366" s="8" t="s">
        <v>14</v>
      </c>
      <c r="W366" s="8" t="s">
        <v>98</v>
      </c>
      <c r="X366" s="9" t="s">
        <v>207</v>
      </c>
      <c r="Y366" s="80">
        <v>1987</v>
      </c>
      <c r="Z366" s="9">
        <v>1981</v>
      </c>
      <c r="AA366" s="9" t="s">
        <v>276</v>
      </c>
      <c r="AB366" s="9" t="s">
        <v>276</v>
      </c>
      <c r="AC366" s="8">
        <v>16</v>
      </c>
      <c r="AD366" s="9" t="s">
        <v>2079</v>
      </c>
      <c r="AE366" s="8">
        <v>20</v>
      </c>
      <c r="AF366" s="9" t="s">
        <v>2079</v>
      </c>
      <c r="AG366" s="9" t="s">
        <v>2084</v>
      </c>
      <c r="AH366" s="9" t="s">
        <v>2086</v>
      </c>
      <c r="AI366" s="38">
        <f>37+8</f>
        <v>45</v>
      </c>
      <c r="AJ366" s="38">
        <f>8+4</f>
        <v>12</v>
      </c>
      <c r="AK366" s="81">
        <v>13493.8</v>
      </c>
      <c r="AL366" s="81">
        <v>13539.1</v>
      </c>
      <c r="AM366" s="38" t="s">
        <v>425</v>
      </c>
      <c r="AN366" s="8" t="s">
        <v>276</v>
      </c>
      <c r="AO366" s="14">
        <f t="shared" si="124"/>
        <v>3.3348649009174585</v>
      </c>
      <c r="AP366" s="8" t="s">
        <v>276</v>
      </c>
      <c r="AQ366" s="8" t="s">
        <v>276</v>
      </c>
      <c r="AR366" s="8" t="s">
        <v>276</v>
      </c>
      <c r="AS366" s="14">
        <f t="shared" si="127"/>
        <v>0.88632183823149246</v>
      </c>
      <c r="AT366" s="8" t="s">
        <v>276</v>
      </c>
      <c r="AU366" s="8" t="s">
        <v>276</v>
      </c>
      <c r="AV366" s="8" t="s">
        <v>269</v>
      </c>
      <c r="AW366" s="8" t="s">
        <v>276</v>
      </c>
      <c r="AX366" s="14">
        <f t="shared" si="128"/>
        <v>3.7625891150009636</v>
      </c>
      <c r="AY366" s="8" t="s">
        <v>276</v>
      </c>
      <c r="AZ366" s="8" t="s">
        <v>276</v>
      </c>
      <c r="BA366" s="8" t="s">
        <v>276</v>
      </c>
      <c r="BB366" s="8" t="s">
        <v>282</v>
      </c>
      <c r="BC366" s="8" t="s">
        <v>276</v>
      </c>
      <c r="BD366" s="8" t="s">
        <v>276</v>
      </c>
      <c r="BE366" s="8" t="s">
        <v>276</v>
      </c>
      <c r="BF366" s="9" t="s">
        <v>298</v>
      </c>
      <c r="BG366" s="9" t="s">
        <v>2044</v>
      </c>
      <c r="BH366" s="9" t="s">
        <v>100</v>
      </c>
      <c r="BI366" s="9" t="s">
        <v>100</v>
      </c>
      <c r="BJ366" s="32"/>
      <c r="BK366" s="32"/>
      <c r="BO366" s="32"/>
      <c r="BP366" s="32"/>
    </row>
    <row r="367" spans="1:68" s="79" customFormat="1" ht="52" hidden="1" x14ac:dyDescent="0.35">
      <c r="A367" s="72">
        <v>9925</v>
      </c>
      <c r="B367" s="72" t="s">
        <v>2037</v>
      </c>
      <c r="C367" s="72" t="s">
        <v>78</v>
      </c>
      <c r="D367" s="73" t="s">
        <v>2089</v>
      </c>
      <c r="E367" s="72" t="s">
        <v>39</v>
      </c>
      <c r="F367" s="72" t="s">
        <v>143</v>
      </c>
      <c r="G367" s="72" t="s">
        <v>225</v>
      </c>
      <c r="H367" s="72" t="s">
        <v>125</v>
      </c>
      <c r="I367" s="72" t="s">
        <v>114</v>
      </c>
      <c r="J367" s="73" t="s">
        <v>25</v>
      </c>
      <c r="K367" s="73" t="s">
        <v>939</v>
      </c>
      <c r="L367" s="73" t="s">
        <v>317</v>
      </c>
      <c r="M367" s="72" t="s">
        <v>301</v>
      </c>
      <c r="N367" s="73" t="s">
        <v>2070</v>
      </c>
      <c r="O367" s="73" t="s">
        <v>276</v>
      </c>
      <c r="P367" s="73" t="s">
        <v>239</v>
      </c>
      <c r="Q367" s="77">
        <v>43830</v>
      </c>
      <c r="R367" s="73" t="s">
        <v>276</v>
      </c>
      <c r="S367" s="73" t="s">
        <v>2071</v>
      </c>
      <c r="T367" s="73" t="s">
        <v>2071</v>
      </c>
      <c r="U367" s="73">
        <v>1</v>
      </c>
      <c r="V367" s="72" t="s">
        <v>14</v>
      </c>
      <c r="W367" s="72" t="s">
        <v>98</v>
      </c>
      <c r="X367" s="73" t="s">
        <v>207</v>
      </c>
      <c r="Y367" s="74">
        <v>1987</v>
      </c>
      <c r="Z367" s="73">
        <v>1981</v>
      </c>
      <c r="AA367" s="73" t="s">
        <v>276</v>
      </c>
      <c r="AB367" s="73" t="s">
        <v>276</v>
      </c>
      <c r="AC367" s="72">
        <v>16</v>
      </c>
      <c r="AD367" s="73" t="s">
        <v>2079</v>
      </c>
      <c r="AE367" s="72">
        <v>20</v>
      </c>
      <c r="AF367" s="73" t="s">
        <v>2079</v>
      </c>
      <c r="AG367" s="73" t="s">
        <v>2090</v>
      </c>
      <c r="AH367" s="73" t="s">
        <v>2046</v>
      </c>
      <c r="AI367" s="75">
        <v>7</v>
      </c>
      <c r="AJ367" s="75">
        <v>4</v>
      </c>
      <c r="AK367" s="75">
        <v>1987</v>
      </c>
      <c r="AL367" s="75">
        <v>1981</v>
      </c>
      <c r="AM367" s="75" t="s">
        <v>2047</v>
      </c>
      <c r="AN367" s="72" t="s">
        <v>276</v>
      </c>
      <c r="AO367" s="76">
        <f t="shared" si="124"/>
        <v>3.5228988424760947</v>
      </c>
      <c r="AP367" s="72" t="s">
        <v>276</v>
      </c>
      <c r="AQ367" s="72" t="s">
        <v>276</v>
      </c>
      <c r="AR367" s="72" t="s">
        <v>276</v>
      </c>
      <c r="AS367" s="76">
        <f t="shared" si="125"/>
        <v>2.0191822311963654</v>
      </c>
      <c r="AT367" s="72" t="s">
        <v>276</v>
      </c>
      <c r="AU367" s="72" t="s">
        <v>276</v>
      </c>
      <c r="AV367" s="72" t="s">
        <v>268</v>
      </c>
      <c r="AW367" s="72" t="s">
        <v>276</v>
      </c>
      <c r="AX367" s="76">
        <f t="shared" si="126"/>
        <v>1.7447156517362861</v>
      </c>
      <c r="AY367" s="72" t="s">
        <v>276</v>
      </c>
      <c r="AZ367" s="72" t="s">
        <v>276</v>
      </c>
      <c r="BA367" s="72" t="s">
        <v>276</v>
      </c>
      <c r="BB367" s="72" t="s">
        <v>282</v>
      </c>
      <c r="BC367" s="72" t="s">
        <v>276</v>
      </c>
      <c r="BD367" s="72" t="s">
        <v>276</v>
      </c>
      <c r="BE367" s="72" t="s">
        <v>276</v>
      </c>
      <c r="BF367" s="73" t="s">
        <v>298</v>
      </c>
      <c r="BG367" s="73" t="s">
        <v>2044</v>
      </c>
      <c r="BH367" s="9" t="s">
        <v>100</v>
      </c>
      <c r="BI367" s="9" t="s">
        <v>100</v>
      </c>
      <c r="BJ367" s="78"/>
      <c r="BK367" s="78"/>
      <c r="BO367" s="78"/>
      <c r="BP367" s="78"/>
    </row>
    <row r="368" spans="1:68" s="79" customFormat="1" ht="52" hidden="1" x14ac:dyDescent="0.35">
      <c r="A368" s="72">
        <v>9925</v>
      </c>
      <c r="B368" s="72" t="s">
        <v>2037</v>
      </c>
      <c r="C368" s="72" t="s">
        <v>78</v>
      </c>
      <c r="D368" s="73" t="s">
        <v>2091</v>
      </c>
      <c r="E368" s="72" t="s">
        <v>39</v>
      </c>
      <c r="F368" s="72" t="s">
        <v>143</v>
      </c>
      <c r="G368" s="72" t="s">
        <v>225</v>
      </c>
      <c r="H368" s="72" t="s">
        <v>125</v>
      </c>
      <c r="I368" s="72" t="s">
        <v>114</v>
      </c>
      <c r="J368" s="73" t="s">
        <v>25</v>
      </c>
      <c r="K368" s="73" t="s">
        <v>942</v>
      </c>
      <c r="L368" s="73" t="s">
        <v>317</v>
      </c>
      <c r="M368" s="72" t="s">
        <v>301</v>
      </c>
      <c r="N368" s="73" t="s">
        <v>2070</v>
      </c>
      <c r="O368" s="73" t="s">
        <v>276</v>
      </c>
      <c r="P368" s="73" t="s">
        <v>239</v>
      </c>
      <c r="Q368" s="77">
        <v>43830</v>
      </c>
      <c r="R368" s="73" t="s">
        <v>276</v>
      </c>
      <c r="S368" s="73" t="s">
        <v>2071</v>
      </c>
      <c r="T368" s="73" t="s">
        <v>2071</v>
      </c>
      <c r="U368" s="73">
        <v>1</v>
      </c>
      <c r="V368" s="72" t="s">
        <v>14</v>
      </c>
      <c r="W368" s="72" t="s">
        <v>98</v>
      </c>
      <c r="X368" s="73" t="s">
        <v>207</v>
      </c>
      <c r="Y368" s="74">
        <v>1987</v>
      </c>
      <c r="Z368" s="73">
        <v>1981</v>
      </c>
      <c r="AA368" s="73" t="s">
        <v>276</v>
      </c>
      <c r="AB368" s="73" t="s">
        <v>276</v>
      </c>
      <c r="AC368" s="72">
        <v>16</v>
      </c>
      <c r="AD368" s="73" t="s">
        <v>2079</v>
      </c>
      <c r="AE368" s="72">
        <v>20</v>
      </c>
      <c r="AF368" s="73" t="s">
        <v>2079</v>
      </c>
      <c r="AG368" s="73" t="s">
        <v>2092</v>
      </c>
      <c r="AH368" s="73" t="s">
        <v>2046</v>
      </c>
      <c r="AI368" s="75">
        <v>2</v>
      </c>
      <c r="AJ368" s="75">
        <v>2</v>
      </c>
      <c r="AK368" s="75">
        <v>1987</v>
      </c>
      <c r="AL368" s="75">
        <v>1981</v>
      </c>
      <c r="AM368" s="75" t="s">
        <v>2047</v>
      </c>
      <c r="AN368" s="72" t="s">
        <v>276</v>
      </c>
      <c r="AO368" s="76">
        <f t="shared" si="124"/>
        <v>1.0065425264217414</v>
      </c>
      <c r="AP368" s="72" t="s">
        <v>276</v>
      </c>
      <c r="AQ368" s="72" t="s">
        <v>276</v>
      </c>
      <c r="AR368" s="72" t="s">
        <v>276</v>
      </c>
      <c r="AS368" s="76">
        <f t="shared" si="125"/>
        <v>1.0095911155981827</v>
      </c>
      <c r="AT368" s="72" t="s">
        <v>276</v>
      </c>
      <c r="AU368" s="72" t="s">
        <v>276</v>
      </c>
      <c r="AV368" s="72" t="s">
        <v>268</v>
      </c>
      <c r="AW368" s="72" t="s">
        <v>276</v>
      </c>
      <c r="AX368" s="76">
        <f t="shared" si="126"/>
        <v>0.99698037242073489</v>
      </c>
      <c r="AY368" s="72" t="s">
        <v>276</v>
      </c>
      <c r="AZ368" s="72" t="s">
        <v>276</v>
      </c>
      <c r="BA368" s="72" t="s">
        <v>276</v>
      </c>
      <c r="BB368" s="72" t="s">
        <v>282</v>
      </c>
      <c r="BC368" s="72" t="s">
        <v>276</v>
      </c>
      <c r="BD368" s="72" t="s">
        <v>276</v>
      </c>
      <c r="BE368" s="72" t="s">
        <v>276</v>
      </c>
      <c r="BF368" s="73" t="s">
        <v>298</v>
      </c>
      <c r="BG368" s="73" t="s">
        <v>2044</v>
      </c>
      <c r="BH368" s="9" t="s">
        <v>100</v>
      </c>
      <c r="BI368" s="9" t="s">
        <v>100</v>
      </c>
      <c r="BJ368" s="78"/>
      <c r="BK368" s="78"/>
      <c r="BO368" s="78"/>
      <c r="BP368" s="78"/>
    </row>
    <row r="369" spans="1:68" s="79" customFormat="1" ht="52" hidden="1" x14ac:dyDescent="0.35">
      <c r="A369" s="72">
        <v>9925</v>
      </c>
      <c r="B369" s="72" t="s">
        <v>2037</v>
      </c>
      <c r="C369" s="72" t="s">
        <v>78</v>
      </c>
      <c r="D369" s="73" t="s">
        <v>2093</v>
      </c>
      <c r="E369" s="72" t="s">
        <v>39</v>
      </c>
      <c r="F369" s="72" t="s">
        <v>143</v>
      </c>
      <c r="G369" s="72" t="s">
        <v>225</v>
      </c>
      <c r="H369" s="72" t="s">
        <v>125</v>
      </c>
      <c r="I369" s="72" t="s">
        <v>114</v>
      </c>
      <c r="J369" s="73" t="s">
        <v>25</v>
      </c>
      <c r="K369" s="73" t="s">
        <v>304</v>
      </c>
      <c r="L369" s="73" t="s">
        <v>317</v>
      </c>
      <c r="M369" s="72" t="s">
        <v>301</v>
      </c>
      <c r="N369" s="73" t="s">
        <v>2070</v>
      </c>
      <c r="O369" s="73" t="s">
        <v>276</v>
      </c>
      <c r="P369" s="73" t="s">
        <v>239</v>
      </c>
      <c r="Q369" s="77">
        <v>43830</v>
      </c>
      <c r="R369" s="73" t="s">
        <v>276</v>
      </c>
      <c r="S369" s="73" t="s">
        <v>2071</v>
      </c>
      <c r="T369" s="73" t="s">
        <v>2071</v>
      </c>
      <c r="U369" s="73">
        <v>1</v>
      </c>
      <c r="V369" s="72" t="s">
        <v>14</v>
      </c>
      <c r="W369" s="72" t="s">
        <v>98</v>
      </c>
      <c r="X369" s="73" t="s">
        <v>207</v>
      </c>
      <c r="Y369" s="74">
        <v>1987</v>
      </c>
      <c r="Z369" s="73">
        <v>1981</v>
      </c>
      <c r="AA369" s="73" t="s">
        <v>276</v>
      </c>
      <c r="AB369" s="73" t="s">
        <v>276</v>
      </c>
      <c r="AC369" s="72">
        <v>16</v>
      </c>
      <c r="AD369" s="73" t="s">
        <v>2079</v>
      </c>
      <c r="AE369" s="72">
        <v>20</v>
      </c>
      <c r="AF369" s="73" t="s">
        <v>2079</v>
      </c>
      <c r="AG369" s="73" t="s">
        <v>2094</v>
      </c>
      <c r="AH369" s="73" t="s">
        <v>2046</v>
      </c>
      <c r="AI369" s="75">
        <v>9</v>
      </c>
      <c r="AJ369" s="75">
        <v>6</v>
      </c>
      <c r="AK369" s="75">
        <v>1987</v>
      </c>
      <c r="AL369" s="75">
        <v>1981</v>
      </c>
      <c r="AM369" s="75" t="s">
        <v>2047</v>
      </c>
      <c r="AN369" s="72" t="s">
        <v>276</v>
      </c>
      <c r="AO369" s="76">
        <f t="shared" si="124"/>
        <v>4.5294413688978361</v>
      </c>
      <c r="AP369" s="72" t="s">
        <v>276</v>
      </c>
      <c r="AQ369" s="72" t="s">
        <v>276</v>
      </c>
      <c r="AR369" s="72" t="s">
        <v>276</v>
      </c>
      <c r="AS369" s="76">
        <f t="shared" si="125"/>
        <v>3.0287733467945483</v>
      </c>
      <c r="AT369" s="72" t="s">
        <v>276</v>
      </c>
      <c r="AU369" s="72" t="s">
        <v>276</v>
      </c>
      <c r="AV369" s="72" t="s">
        <v>268</v>
      </c>
      <c r="AW369" s="72" t="s">
        <v>276</v>
      </c>
      <c r="AX369" s="76">
        <f t="shared" si="126"/>
        <v>1.4954705586311021</v>
      </c>
      <c r="AY369" s="72" t="s">
        <v>276</v>
      </c>
      <c r="AZ369" s="72" t="s">
        <v>276</v>
      </c>
      <c r="BA369" s="72" t="s">
        <v>276</v>
      </c>
      <c r="BB369" s="72" t="s">
        <v>282</v>
      </c>
      <c r="BC369" s="72" t="s">
        <v>276</v>
      </c>
      <c r="BD369" s="72" t="s">
        <v>276</v>
      </c>
      <c r="BE369" s="72" t="s">
        <v>276</v>
      </c>
      <c r="BF369" s="73" t="s">
        <v>298</v>
      </c>
      <c r="BG369" s="73" t="s">
        <v>2044</v>
      </c>
      <c r="BH369" s="9" t="s">
        <v>100</v>
      </c>
      <c r="BI369" s="9" t="s">
        <v>100</v>
      </c>
      <c r="BJ369" s="78"/>
      <c r="BK369" s="78"/>
      <c r="BO369" s="78"/>
      <c r="BP369" s="78"/>
    </row>
    <row r="370" spans="1:68" s="33" customFormat="1" ht="52" hidden="1" x14ac:dyDescent="0.35">
      <c r="A370" s="8">
        <v>9925</v>
      </c>
      <c r="B370" s="8" t="s">
        <v>2037</v>
      </c>
      <c r="C370" s="8" t="s">
        <v>78</v>
      </c>
      <c r="D370" s="9" t="s">
        <v>2095</v>
      </c>
      <c r="E370" s="8" t="s">
        <v>39</v>
      </c>
      <c r="F370" s="8" t="s">
        <v>143</v>
      </c>
      <c r="G370" s="8" t="s">
        <v>225</v>
      </c>
      <c r="H370" s="8" t="s">
        <v>125</v>
      </c>
      <c r="I370" s="8" t="s">
        <v>114</v>
      </c>
      <c r="J370" s="9" t="s">
        <v>25</v>
      </c>
      <c r="K370" s="9" t="s">
        <v>939</v>
      </c>
      <c r="L370" s="9" t="s">
        <v>317</v>
      </c>
      <c r="M370" s="8" t="s">
        <v>301</v>
      </c>
      <c r="N370" s="9" t="s">
        <v>2070</v>
      </c>
      <c r="O370" s="9" t="s">
        <v>276</v>
      </c>
      <c r="P370" s="9" t="s">
        <v>239</v>
      </c>
      <c r="Q370" s="52">
        <v>43830</v>
      </c>
      <c r="R370" s="9" t="s">
        <v>276</v>
      </c>
      <c r="S370" s="9" t="s">
        <v>2071</v>
      </c>
      <c r="T370" s="9" t="s">
        <v>2071</v>
      </c>
      <c r="U370" s="9">
        <v>1</v>
      </c>
      <c r="V370" s="8" t="s">
        <v>14</v>
      </c>
      <c r="W370" s="8" t="s">
        <v>98</v>
      </c>
      <c r="X370" s="9" t="s">
        <v>207</v>
      </c>
      <c r="Y370" s="13">
        <v>1987</v>
      </c>
      <c r="Z370" s="9">
        <v>1981</v>
      </c>
      <c r="AA370" s="9" t="s">
        <v>276</v>
      </c>
      <c r="AB370" s="9" t="s">
        <v>276</v>
      </c>
      <c r="AC370" s="8">
        <v>16</v>
      </c>
      <c r="AD370" s="9" t="s">
        <v>2079</v>
      </c>
      <c r="AE370" s="8">
        <v>20</v>
      </c>
      <c r="AF370" s="9" t="s">
        <v>2079</v>
      </c>
      <c r="AG370" s="9" t="s">
        <v>2090</v>
      </c>
      <c r="AH370" s="9" t="s">
        <v>2086</v>
      </c>
      <c r="AI370" s="38">
        <v>7</v>
      </c>
      <c r="AJ370" s="38">
        <v>4</v>
      </c>
      <c r="AK370" s="81">
        <v>13493.8</v>
      </c>
      <c r="AL370" s="81">
        <v>13539.1</v>
      </c>
      <c r="AM370" s="38" t="s">
        <v>425</v>
      </c>
      <c r="AN370" s="8" t="s">
        <v>276</v>
      </c>
      <c r="AO370" s="14">
        <f t="shared" si="124"/>
        <v>0.51875676236493795</v>
      </c>
      <c r="AP370" s="8" t="s">
        <v>276</v>
      </c>
      <c r="AQ370" s="8" t="s">
        <v>276</v>
      </c>
      <c r="AR370" s="8" t="s">
        <v>276</v>
      </c>
      <c r="AS370" s="14">
        <f>AJ370*1000/AL370</f>
        <v>0.29544061274383082</v>
      </c>
      <c r="AT370" s="8" t="s">
        <v>276</v>
      </c>
      <c r="AU370" s="8" t="s">
        <v>276</v>
      </c>
      <c r="AV370" s="8" t="s">
        <v>269</v>
      </c>
      <c r="AW370" s="8" t="s">
        <v>276</v>
      </c>
      <c r="AX370" s="14">
        <f>AO370/AS370</f>
        <v>1.7558749203337829</v>
      </c>
      <c r="AY370" s="8" t="s">
        <v>276</v>
      </c>
      <c r="AZ370" s="8" t="s">
        <v>276</v>
      </c>
      <c r="BA370" s="8" t="s">
        <v>276</v>
      </c>
      <c r="BB370" s="8" t="s">
        <v>282</v>
      </c>
      <c r="BC370" s="8" t="s">
        <v>276</v>
      </c>
      <c r="BD370" s="8" t="s">
        <v>276</v>
      </c>
      <c r="BE370" s="8" t="s">
        <v>276</v>
      </c>
      <c r="BF370" s="9" t="s">
        <v>298</v>
      </c>
      <c r="BG370" s="9" t="s">
        <v>2044</v>
      </c>
      <c r="BH370" s="9" t="s">
        <v>100</v>
      </c>
      <c r="BI370" s="9" t="s">
        <v>100</v>
      </c>
      <c r="BJ370" s="32"/>
      <c r="BK370" s="32"/>
      <c r="BO370" s="32"/>
      <c r="BP370" s="32"/>
    </row>
    <row r="371" spans="1:68" s="33" customFormat="1" ht="52" hidden="1" x14ac:dyDescent="0.35">
      <c r="A371" s="8">
        <v>9925</v>
      </c>
      <c r="B371" s="8" t="s">
        <v>2037</v>
      </c>
      <c r="C371" s="8" t="s">
        <v>78</v>
      </c>
      <c r="D371" s="9" t="s">
        <v>2096</v>
      </c>
      <c r="E371" s="8" t="s">
        <v>39</v>
      </c>
      <c r="F371" s="8" t="s">
        <v>143</v>
      </c>
      <c r="G371" s="8" t="s">
        <v>225</v>
      </c>
      <c r="H371" s="8" t="s">
        <v>125</v>
      </c>
      <c r="I371" s="8" t="s">
        <v>114</v>
      </c>
      <c r="J371" s="9" t="s">
        <v>25</v>
      </c>
      <c r="K371" s="9" t="s">
        <v>942</v>
      </c>
      <c r="L371" s="9" t="s">
        <v>317</v>
      </c>
      <c r="M371" s="8" t="s">
        <v>301</v>
      </c>
      <c r="N371" s="9" t="s">
        <v>2070</v>
      </c>
      <c r="O371" s="9" t="s">
        <v>276</v>
      </c>
      <c r="P371" s="9" t="s">
        <v>239</v>
      </c>
      <c r="Q371" s="52">
        <v>43830</v>
      </c>
      <c r="R371" s="9" t="s">
        <v>276</v>
      </c>
      <c r="S371" s="9" t="s">
        <v>2071</v>
      </c>
      <c r="T371" s="9" t="s">
        <v>2071</v>
      </c>
      <c r="U371" s="9">
        <v>1</v>
      </c>
      <c r="V371" s="8" t="s">
        <v>14</v>
      </c>
      <c r="W371" s="8" t="s">
        <v>98</v>
      </c>
      <c r="X371" s="9" t="s">
        <v>207</v>
      </c>
      <c r="Y371" s="13">
        <v>1987</v>
      </c>
      <c r="Z371" s="9">
        <v>1981</v>
      </c>
      <c r="AA371" s="9" t="s">
        <v>276</v>
      </c>
      <c r="AB371" s="9" t="s">
        <v>276</v>
      </c>
      <c r="AC371" s="8">
        <v>16</v>
      </c>
      <c r="AD371" s="9" t="s">
        <v>2079</v>
      </c>
      <c r="AE371" s="8">
        <v>20</v>
      </c>
      <c r="AF371" s="9" t="s">
        <v>2079</v>
      </c>
      <c r="AG371" s="9" t="s">
        <v>2092</v>
      </c>
      <c r="AH371" s="9" t="s">
        <v>2086</v>
      </c>
      <c r="AI371" s="38">
        <v>2</v>
      </c>
      <c r="AJ371" s="38">
        <v>2</v>
      </c>
      <c r="AK371" s="81">
        <v>13493.8</v>
      </c>
      <c r="AL371" s="81">
        <v>13539.1</v>
      </c>
      <c r="AM371" s="38" t="s">
        <v>425</v>
      </c>
      <c r="AN371" s="8" t="s">
        <v>276</v>
      </c>
      <c r="AO371" s="14">
        <f t="shared" si="124"/>
        <v>0.14821621781855371</v>
      </c>
      <c r="AP371" s="8" t="s">
        <v>276</v>
      </c>
      <c r="AQ371" s="8" t="s">
        <v>276</v>
      </c>
      <c r="AR371" s="8" t="s">
        <v>276</v>
      </c>
      <c r="AS371" s="14">
        <f t="shared" ref="AS371:AS372" si="129">AJ371*1000/AL371</f>
        <v>0.14772030637191541</v>
      </c>
      <c r="AT371" s="8" t="s">
        <v>276</v>
      </c>
      <c r="AU371" s="8" t="s">
        <v>276</v>
      </c>
      <c r="AV371" s="8" t="s">
        <v>269</v>
      </c>
      <c r="AW371" s="8" t="s">
        <v>276</v>
      </c>
      <c r="AX371" s="14">
        <f t="shared" ref="AX371:AX372" si="130">AO371/AS371</f>
        <v>1.0033570973335904</v>
      </c>
      <c r="AY371" s="8" t="s">
        <v>276</v>
      </c>
      <c r="AZ371" s="8" t="s">
        <v>276</v>
      </c>
      <c r="BA371" s="8" t="s">
        <v>276</v>
      </c>
      <c r="BB371" s="8" t="s">
        <v>282</v>
      </c>
      <c r="BC371" s="8" t="s">
        <v>276</v>
      </c>
      <c r="BD371" s="8" t="s">
        <v>276</v>
      </c>
      <c r="BE371" s="8" t="s">
        <v>276</v>
      </c>
      <c r="BF371" s="9" t="s">
        <v>298</v>
      </c>
      <c r="BG371" s="9" t="s">
        <v>2044</v>
      </c>
      <c r="BH371" s="9" t="s">
        <v>100</v>
      </c>
      <c r="BI371" s="9" t="s">
        <v>100</v>
      </c>
      <c r="BJ371" s="32"/>
      <c r="BK371" s="32"/>
      <c r="BO371" s="32"/>
      <c r="BP371" s="32"/>
    </row>
    <row r="372" spans="1:68" s="33" customFormat="1" ht="52" hidden="1" x14ac:dyDescent="0.35">
      <c r="A372" s="8">
        <v>9925</v>
      </c>
      <c r="B372" s="8" t="s">
        <v>2037</v>
      </c>
      <c r="C372" s="8" t="s">
        <v>78</v>
      </c>
      <c r="D372" s="9" t="s">
        <v>2097</v>
      </c>
      <c r="E372" s="8" t="s">
        <v>39</v>
      </c>
      <c r="F372" s="8" t="s">
        <v>143</v>
      </c>
      <c r="G372" s="8" t="s">
        <v>225</v>
      </c>
      <c r="H372" s="8" t="s">
        <v>125</v>
      </c>
      <c r="I372" s="8" t="s">
        <v>114</v>
      </c>
      <c r="J372" s="9" t="s">
        <v>25</v>
      </c>
      <c r="K372" s="9" t="s">
        <v>304</v>
      </c>
      <c r="L372" s="9" t="s">
        <v>317</v>
      </c>
      <c r="M372" s="8" t="s">
        <v>301</v>
      </c>
      <c r="N372" s="9" t="s">
        <v>2070</v>
      </c>
      <c r="O372" s="9" t="s">
        <v>276</v>
      </c>
      <c r="P372" s="9" t="s">
        <v>239</v>
      </c>
      <c r="Q372" s="52">
        <v>43830</v>
      </c>
      <c r="R372" s="9" t="s">
        <v>276</v>
      </c>
      <c r="S372" s="9" t="s">
        <v>2071</v>
      </c>
      <c r="T372" s="9" t="s">
        <v>2071</v>
      </c>
      <c r="U372" s="9">
        <v>1</v>
      </c>
      <c r="V372" s="8" t="s">
        <v>14</v>
      </c>
      <c r="W372" s="8" t="s">
        <v>98</v>
      </c>
      <c r="X372" s="9" t="s">
        <v>207</v>
      </c>
      <c r="Y372" s="13">
        <v>1987</v>
      </c>
      <c r="Z372" s="9">
        <v>1981</v>
      </c>
      <c r="AA372" s="9" t="s">
        <v>276</v>
      </c>
      <c r="AB372" s="9" t="s">
        <v>276</v>
      </c>
      <c r="AC372" s="8">
        <v>16</v>
      </c>
      <c r="AD372" s="9" t="s">
        <v>2079</v>
      </c>
      <c r="AE372" s="8">
        <v>20</v>
      </c>
      <c r="AF372" s="9" t="s">
        <v>2079</v>
      </c>
      <c r="AG372" s="9" t="s">
        <v>2094</v>
      </c>
      <c r="AH372" s="9" t="s">
        <v>2086</v>
      </c>
      <c r="AI372" s="38">
        <v>9</v>
      </c>
      <c r="AJ372" s="38">
        <v>6</v>
      </c>
      <c r="AK372" s="81">
        <v>13493.8</v>
      </c>
      <c r="AL372" s="81">
        <v>13539.1</v>
      </c>
      <c r="AM372" s="38" t="s">
        <v>425</v>
      </c>
      <c r="AN372" s="8" t="s">
        <v>276</v>
      </c>
      <c r="AO372" s="14">
        <f t="shared" si="124"/>
        <v>0.66697298018349171</v>
      </c>
      <c r="AP372" s="8" t="s">
        <v>276</v>
      </c>
      <c r="AQ372" s="8" t="s">
        <v>276</v>
      </c>
      <c r="AR372" s="8" t="s">
        <v>276</v>
      </c>
      <c r="AS372" s="14">
        <f t="shared" si="129"/>
        <v>0.44316091911574623</v>
      </c>
      <c r="AT372" s="8" t="s">
        <v>276</v>
      </c>
      <c r="AU372" s="8" t="s">
        <v>276</v>
      </c>
      <c r="AV372" s="8" t="s">
        <v>269</v>
      </c>
      <c r="AW372" s="8" t="s">
        <v>276</v>
      </c>
      <c r="AX372" s="14">
        <f t="shared" si="130"/>
        <v>1.5050356460003855</v>
      </c>
      <c r="AY372" s="8" t="s">
        <v>276</v>
      </c>
      <c r="AZ372" s="8" t="s">
        <v>276</v>
      </c>
      <c r="BA372" s="8" t="s">
        <v>276</v>
      </c>
      <c r="BB372" s="8" t="s">
        <v>282</v>
      </c>
      <c r="BC372" s="8" t="s">
        <v>276</v>
      </c>
      <c r="BD372" s="8" t="s">
        <v>276</v>
      </c>
      <c r="BE372" s="8" t="s">
        <v>276</v>
      </c>
      <c r="BF372" s="9" t="s">
        <v>298</v>
      </c>
      <c r="BG372" s="9" t="s">
        <v>2044</v>
      </c>
      <c r="BH372" s="9" t="s">
        <v>100</v>
      </c>
      <c r="BI372" s="9" t="s">
        <v>100</v>
      </c>
      <c r="BJ372" s="32"/>
      <c r="BK372" s="32"/>
      <c r="BO372" s="32"/>
      <c r="BP372" s="32"/>
    </row>
    <row r="373" spans="1:68" s="79" customFormat="1" ht="52" hidden="1" x14ac:dyDescent="0.35">
      <c r="A373" s="72">
        <v>9925</v>
      </c>
      <c r="B373" s="72" t="s">
        <v>2037</v>
      </c>
      <c r="C373" s="72" t="s">
        <v>78</v>
      </c>
      <c r="D373" s="73" t="s">
        <v>2098</v>
      </c>
      <c r="E373" s="72" t="s">
        <v>39</v>
      </c>
      <c r="F373" s="72" t="s">
        <v>143</v>
      </c>
      <c r="G373" s="72" t="s">
        <v>225</v>
      </c>
      <c r="H373" s="72" t="s">
        <v>125</v>
      </c>
      <c r="I373" s="72" t="s">
        <v>114</v>
      </c>
      <c r="J373" s="73" t="s">
        <v>25</v>
      </c>
      <c r="K373" s="73" t="s">
        <v>947</v>
      </c>
      <c r="L373" s="73" t="s">
        <v>317</v>
      </c>
      <c r="M373" s="72" t="s">
        <v>301</v>
      </c>
      <c r="N373" s="73" t="s">
        <v>2070</v>
      </c>
      <c r="O373" s="73" t="s">
        <v>276</v>
      </c>
      <c r="P373" s="73" t="s">
        <v>239</v>
      </c>
      <c r="Q373" s="77">
        <v>43830</v>
      </c>
      <c r="R373" s="73" t="s">
        <v>276</v>
      </c>
      <c r="S373" s="73" t="s">
        <v>2071</v>
      </c>
      <c r="T373" s="73" t="s">
        <v>2071</v>
      </c>
      <c r="U373" s="73">
        <v>1</v>
      </c>
      <c r="V373" s="72" t="s">
        <v>14</v>
      </c>
      <c r="W373" s="72" t="s">
        <v>98</v>
      </c>
      <c r="X373" s="73" t="s">
        <v>207</v>
      </c>
      <c r="Y373" s="74">
        <v>1987</v>
      </c>
      <c r="Z373" s="73">
        <v>1981</v>
      </c>
      <c r="AA373" s="73" t="s">
        <v>276</v>
      </c>
      <c r="AB373" s="73" t="s">
        <v>276</v>
      </c>
      <c r="AC373" s="72">
        <v>16</v>
      </c>
      <c r="AD373" s="73" t="s">
        <v>2079</v>
      </c>
      <c r="AE373" s="72">
        <v>20</v>
      </c>
      <c r="AF373" s="73" t="s">
        <v>2079</v>
      </c>
      <c r="AG373" s="73" t="s">
        <v>2099</v>
      </c>
      <c r="AH373" s="73" t="s">
        <v>2046</v>
      </c>
      <c r="AI373" s="75">
        <v>7</v>
      </c>
      <c r="AJ373" s="75">
        <v>4</v>
      </c>
      <c r="AK373" s="75">
        <v>1987</v>
      </c>
      <c r="AL373" s="75">
        <v>1981</v>
      </c>
      <c r="AM373" s="75" t="s">
        <v>2047</v>
      </c>
      <c r="AN373" s="72" t="s">
        <v>276</v>
      </c>
      <c r="AO373" s="76">
        <f t="shared" si="124"/>
        <v>3.5228988424760947</v>
      </c>
      <c r="AP373" s="72" t="s">
        <v>276</v>
      </c>
      <c r="AQ373" s="72" t="s">
        <v>276</v>
      </c>
      <c r="AR373" s="72" t="s">
        <v>276</v>
      </c>
      <c r="AS373" s="76">
        <f t="shared" si="125"/>
        <v>2.0191822311963654</v>
      </c>
      <c r="AT373" s="72" t="s">
        <v>276</v>
      </c>
      <c r="AU373" s="72" t="s">
        <v>276</v>
      </c>
      <c r="AV373" s="72" t="s">
        <v>268</v>
      </c>
      <c r="AW373" s="72" t="s">
        <v>276</v>
      </c>
      <c r="AX373" s="76">
        <f t="shared" si="126"/>
        <v>1.7447156517362861</v>
      </c>
      <c r="AY373" s="72" t="s">
        <v>276</v>
      </c>
      <c r="AZ373" s="72" t="s">
        <v>276</v>
      </c>
      <c r="BA373" s="72" t="s">
        <v>276</v>
      </c>
      <c r="BB373" s="72" t="s">
        <v>282</v>
      </c>
      <c r="BC373" s="72" t="s">
        <v>276</v>
      </c>
      <c r="BD373" s="72" t="s">
        <v>276</v>
      </c>
      <c r="BE373" s="72" t="s">
        <v>276</v>
      </c>
      <c r="BF373" s="73" t="s">
        <v>298</v>
      </c>
      <c r="BG373" s="73" t="s">
        <v>2044</v>
      </c>
      <c r="BH373" s="9" t="s">
        <v>100</v>
      </c>
      <c r="BI373" s="9" t="s">
        <v>100</v>
      </c>
      <c r="BJ373" s="78"/>
      <c r="BK373" s="78"/>
      <c r="BO373" s="78"/>
      <c r="BP373" s="78"/>
    </row>
    <row r="374" spans="1:68" s="79" customFormat="1" ht="52" hidden="1" x14ac:dyDescent="0.35">
      <c r="A374" s="72">
        <v>9925</v>
      </c>
      <c r="B374" s="72" t="s">
        <v>2037</v>
      </c>
      <c r="C374" s="72" t="s">
        <v>78</v>
      </c>
      <c r="D374" s="73" t="s">
        <v>2100</v>
      </c>
      <c r="E374" s="72" t="s">
        <v>39</v>
      </c>
      <c r="F374" s="72" t="s">
        <v>143</v>
      </c>
      <c r="G374" s="72" t="s">
        <v>225</v>
      </c>
      <c r="H374" s="72" t="s">
        <v>125</v>
      </c>
      <c r="I374" s="72" t="s">
        <v>114</v>
      </c>
      <c r="J374" s="73" t="s">
        <v>25</v>
      </c>
      <c r="K374" s="73" t="s">
        <v>950</v>
      </c>
      <c r="L374" s="73" t="s">
        <v>317</v>
      </c>
      <c r="M374" s="72" t="s">
        <v>301</v>
      </c>
      <c r="N374" s="73" t="s">
        <v>2070</v>
      </c>
      <c r="O374" s="73" t="s">
        <v>276</v>
      </c>
      <c r="P374" s="73" t="s">
        <v>239</v>
      </c>
      <c r="Q374" s="77">
        <v>43830</v>
      </c>
      <c r="R374" s="73" t="s">
        <v>276</v>
      </c>
      <c r="S374" s="73" t="s">
        <v>2071</v>
      </c>
      <c r="T374" s="73" t="s">
        <v>2071</v>
      </c>
      <c r="U374" s="73">
        <v>1</v>
      </c>
      <c r="V374" s="72" t="s">
        <v>14</v>
      </c>
      <c r="W374" s="72" t="s">
        <v>98</v>
      </c>
      <c r="X374" s="73" t="s">
        <v>207</v>
      </c>
      <c r="Y374" s="74">
        <v>1987</v>
      </c>
      <c r="Z374" s="73">
        <v>1981</v>
      </c>
      <c r="AA374" s="73" t="s">
        <v>276</v>
      </c>
      <c r="AB374" s="73" t="s">
        <v>276</v>
      </c>
      <c r="AC374" s="72">
        <v>16</v>
      </c>
      <c r="AD374" s="73" t="s">
        <v>2079</v>
      </c>
      <c r="AE374" s="72">
        <v>20</v>
      </c>
      <c r="AF374" s="73" t="s">
        <v>2079</v>
      </c>
      <c r="AG374" s="73" t="s">
        <v>2101</v>
      </c>
      <c r="AH374" s="73" t="s">
        <v>2046</v>
      </c>
      <c r="AI374" s="75">
        <v>2</v>
      </c>
      <c r="AJ374" s="75">
        <v>6</v>
      </c>
      <c r="AK374" s="75">
        <v>1987</v>
      </c>
      <c r="AL374" s="75">
        <v>1981</v>
      </c>
      <c r="AM374" s="75" t="s">
        <v>2047</v>
      </c>
      <c r="AN374" s="72" t="s">
        <v>276</v>
      </c>
      <c r="AO374" s="76">
        <f t="shared" si="124"/>
        <v>1.0065425264217414</v>
      </c>
      <c r="AP374" s="72" t="s">
        <v>276</v>
      </c>
      <c r="AQ374" s="72" t="s">
        <v>276</v>
      </c>
      <c r="AR374" s="72" t="s">
        <v>276</v>
      </c>
      <c r="AS374" s="76">
        <f t="shared" si="125"/>
        <v>3.0287733467945483</v>
      </c>
      <c r="AT374" s="72" t="s">
        <v>276</v>
      </c>
      <c r="AU374" s="72" t="s">
        <v>276</v>
      </c>
      <c r="AV374" s="72" t="s">
        <v>268</v>
      </c>
      <c r="AW374" s="72" t="s">
        <v>276</v>
      </c>
      <c r="AX374" s="76">
        <f t="shared" si="126"/>
        <v>0.33232679080691158</v>
      </c>
      <c r="AY374" s="72" t="s">
        <v>276</v>
      </c>
      <c r="AZ374" s="72" t="s">
        <v>276</v>
      </c>
      <c r="BA374" s="72" t="s">
        <v>276</v>
      </c>
      <c r="BB374" s="72" t="s">
        <v>282</v>
      </c>
      <c r="BC374" s="72" t="s">
        <v>276</v>
      </c>
      <c r="BD374" s="72" t="s">
        <v>276</v>
      </c>
      <c r="BE374" s="72" t="s">
        <v>276</v>
      </c>
      <c r="BF374" s="73" t="s">
        <v>298</v>
      </c>
      <c r="BG374" s="73" t="s">
        <v>2044</v>
      </c>
      <c r="BH374" s="9" t="s">
        <v>100</v>
      </c>
      <c r="BI374" s="9" t="s">
        <v>100</v>
      </c>
      <c r="BJ374" s="78"/>
      <c r="BK374" s="78"/>
      <c r="BO374" s="78"/>
      <c r="BP374" s="78"/>
    </row>
    <row r="375" spans="1:68" s="79" customFormat="1" ht="52" hidden="1" x14ac:dyDescent="0.35">
      <c r="A375" s="72">
        <v>9925</v>
      </c>
      <c r="B375" s="72" t="s">
        <v>2037</v>
      </c>
      <c r="C375" s="72" t="s">
        <v>78</v>
      </c>
      <c r="D375" s="73" t="s">
        <v>2102</v>
      </c>
      <c r="E375" s="72" t="s">
        <v>39</v>
      </c>
      <c r="F375" s="72" t="s">
        <v>143</v>
      </c>
      <c r="G375" s="72" t="s">
        <v>225</v>
      </c>
      <c r="H375" s="72" t="s">
        <v>125</v>
      </c>
      <c r="I375" s="72" t="s">
        <v>114</v>
      </c>
      <c r="J375" s="73" t="s">
        <v>25</v>
      </c>
      <c r="K375" s="73" t="s">
        <v>311</v>
      </c>
      <c r="L375" s="73" t="s">
        <v>317</v>
      </c>
      <c r="M375" s="72" t="s">
        <v>301</v>
      </c>
      <c r="N375" s="73" t="s">
        <v>2070</v>
      </c>
      <c r="O375" s="73" t="s">
        <v>276</v>
      </c>
      <c r="P375" s="73" t="s">
        <v>239</v>
      </c>
      <c r="Q375" s="77">
        <v>43830</v>
      </c>
      <c r="R375" s="73" t="s">
        <v>276</v>
      </c>
      <c r="S375" s="73" t="s">
        <v>2071</v>
      </c>
      <c r="T375" s="73" t="s">
        <v>2071</v>
      </c>
      <c r="U375" s="73">
        <v>1</v>
      </c>
      <c r="V375" s="72" t="s">
        <v>14</v>
      </c>
      <c r="W375" s="72" t="s">
        <v>98</v>
      </c>
      <c r="X375" s="73" t="s">
        <v>207</v>
      </c>
      <c r="Y375" s="74">
        <v>1987</v>
      </c>
      <c r="Z375" s="73">
        <v>1981</v>
      </c>
      <c r="AA375" s="73" t="s">
        <v>276</v>
      </c>
      <c r="AB375" s="73" t="s">
        <v>276</v>
      </c>
      <c r="AC375" s="72">
        <v>16</v>
      </c>
      <c r="AD375" s="73" t="s">
        <v>2079</v>
      </c>
      <c r="AE375" s="72">
        <v>20</v>
      </c>
      <c r="AF375" s="73" t="s">
        <v>2079</v>
      </c>
      <c r="AG375" s="73" t="s">
        <v>2103</v>
      </c>
      <c r="AH375" s="73" t="s">
        <v>2046</v>
      </c>
      <c r="AI375" s="75">
        <v>9</v>
      </c>
      <c r="AJ375" s="75">
        <v>10</v>
      </c>
      <c r="AK375" s="75">
        <v>1987</v>
      </c>
      <c r="AL375" s="75">
        <v>1981</v>
      </c>
      <c r="AM375" s="75" t="s">
        <v>2047</v>
      </c>
      <c r="AN375" s="72" t="s">
        <v>276</v>
      </c>
      <c r="AO375" s="76">
        <f t="shared" si="124"/>
        <v>4.5294413688978361</v>
      </c>
      <c r="AP375" s="72" t="s">
        <v>276</v>
      </c>
      <c r="AQ375" s="72" t="s">
        <v>276</v>
      </c>
      <c r="AR375" s="72" t="s">
        <v>276</v>
      </c>
      <c r="AS375" s="76">
        <f>AJ375*1000/AL375</f>
        <v>5.0479555779909138</v>
      </c>
      <c r="AT375" s="72" t="s">
        <v>276</v>
      </c>
      <c r="AU375" s="72" t="s">
        <v>276</v>
      </c>
      <c r="AV375" s="72" t="s">
        <v>268</v>
      </c>
      <c r="AW375" s="72" t="s">
        <v>276</v>
      </c>
      <c r="AX375" s="76">
        <f t="shared" si="126"/>
        <v>0.89728233517866129</v>
      </c>
      <c r="AY375" s="72" t="s">
        <v>276</v>
      </c>
      <c r="AZ375" s="72" t="s">
        <v>276</v>
      </c>
      <c r="BA375" s="72" t="s">
        <v>276</v>
      </c>
      <c r="BB375" s="72" t="s">
        <v>282</v>
      </c>
      <c r="BC375" s="72" t="s">
        <v>276</v>
      </c>
      <c r="BD375" s="72" t="s">
        <v>276</v>
      </c>
      <c r="BE375" s="72" t="s">
        <v>276</v>
      </c>
      <c r="BF375" s="73" t="s">
        <v>298</v>
      </c>
      <c r="BG375" s="73" t="s">
        <v>2044</v>
      </c>
      <c r="BH375" s="9" t="s">
        <v>100</v>
      </c>
      <c r="BI375" s="9" t="s">
        <v>100</v>
      </c>
      <c r="BJ375" s="78"/>
      <c r="BK375" s="78"/>
      <c r="BO375" s="78"/>
      <c r="BP375" s="78"/>
    </row>
    <row r="376" spans="1:68" s="33" customFormat="1" ht="52" hidden="1" x14ac:dyDescent="0.35">
      <c r="A376" s="8">
        <v>9925</v>
      </c>
      <c r="B376" s="8" t="s">
        <v>2037</v>
      </c>
      <c r="C376" s="8" t="s">
        <v>78</v>
      </c>
      <c r="D376" s="9" t="s">
        <v>2104</v>
      </c>
      <c r="E376" s="8" t="s">
        <v>39</v>
      </c>
      <c r="F376" s="8" t="s">
        <v>143</v>
      </c>
      <c r="G376" s="8" t="s">
        <v>225</v>
      </c>
      <c r="H376" s="8" t="s">
        <v>125</v>
      </c>
      <c r="I376" s="8" t="s">
        <v>114</v>
      </c>
      <c r="J376" s="9" t="s">
        <v>25</v>
      </c>
      <c r="K376" s="9" t="s">
        <v>947</v>
      </c>
      <c r="L376" s="9" t="s">
        <v>317</v>
      </c>
      <c r="M376" s="8" t="s">
        <v>301</v>
      </c>
      <c r="N376" s="9" t="s">
        <v>2070</v>
      </c>
      <c r="O376" s="9" t="s">
        <v>276</v>
      </c>
      <c r="P376" s="9" t="s">
        <v>239</v>
      </c>
      <c r="Q376" s="52">
        <v>43830</v>
      </c>
      <c r="R376" s="9" t="s">
        <v>276</v>
      </c>
      <c r="S376" s="9" t="s">
        <v>2071</v>
      </c>
      <c r="T376" s="9" t="s">
        <v>2071</v>
      </c>
      <c r="U376" s="9">
        <v>1</v>
      </c>
      <c r="V376" s="8" t="s">
        <v>14</v>
      </c>
      <c r="W376" s="8" t="s">
        <v>98</v>
      </c>
      <c r="X376" s="9" t="s">
        <v>207</v>
      </c>
      <c r="Y376" s="13">
        <v>1987</v>
      </c>
      <c r="Z376" s="9">
        <v>1981</v>
      </c>
      <c r="AA376" s="9" t="s">
        <v>276</v>
      </c>
      <c r="AB376" s="9" t="s">
        <v>276</v>
      </c>
      <c r="AC376" s="8">
        <v>16</v>
      </c>
      <c r="AD376" s="9" t="s">
        <v>2079</v>
      </c>
      <c r="AE376" s="8">
        <v>20</v>
      </c>
      <c r="AF376" s="9" t="s">
        <v>2079</v>
      </c>
      <c r="AG376" s="9" t="s">
        <v>2099</v>
      </c>
      <c r="AH376" s="9" t="s">
        <v>2086</v>
      </c>
      <c r="AI376" s="38">
        <v>7</v>
      </c>
      <c r="AJ376" s="38">
        <v>4</v>
      </c>
      <c r="AK376" s="81">
        <v>13493.8</v>
      </c>
      <c r="AL376" s="81">
        <v>13539.1</v>
      </c>
      <c r="AM376" s="38" t="s">
        <v>425</v>
      </c>
      <c r="AN376" s="8" t="s">
        <v>276</v>
      </c>
      <c r="AO376" s="14">
        <f t="shared" si="124"/>
        <v>0.51875676236493795</v>
      </c>
      <c r="AP376" s="8" t="s">
        <v>276</v>
      </c>
      <c r="AQ376" s="8" t="s">
        <v>276</v>
      </c>
      <c r="AR376" s="8" t="s">
        <v>276</v>
      </c>
      <c r="AS376" s="14">
        <f>AJ376*1000/AL376</f>
        <v>0.29544061274383082</v>
      </c>
      <c r="AT376" s="8" t="s">
        <v>276</v>
      </c>
      <c r="AU376" s="8" t="s">
        <v>276</v>
      </c>
      <c r="AV376" s="8" t="s">
        <v>269</v>
      </c>
      <c r="AW376" s="8" t="s">
        <v>276</v>
      </c>
      <c r="AX376" s="14">
        <f>AO376/AS376</f>
        <v>1.7558749203337829</v>
      </c>
      <c r="AY376" s="8" t="s">
        <v>276</v>
      </c>
      <c r="AZ376" s="8" t="s">
        <v>276</v>
      </c>
      <c r="BA376" s="8" t="s">
        <v>276</v>
      </c>
      <c r="BB376" s="8" t="s">
        <v>282</v>
      </c>
      <c r="BC376" s="8" t="s">
        <v>276</v>
      </c>
      <c r="BD376" s="8" t="s">
        <v>276</v>
      </c>
      <c r="BE376" s="8" t="s">
        <v>276</v>
      </c>
      <c r="BF376" s="9" t="s">
        <v>298</v>
      </c>
      <c r="BG376" s="9" t="s">
        <v>2044</v>
      </c>
      <c r="BH376" s="9" t="s">
        <v>100</v>
      </c>
      <c r="BI376" s="9" t="s">
        <v>100</v>
      </c>
      <c r="BJ376" s="32"/>
      <c r="BK376" s="32"/>
      <c r="BO376" s="32"/>
      <c r="BP376" s="32"/>
    </row>
    <row r="377" spans="1:68" s="33" customFormat="1" ht="52" hidden="1" x14ac:dyDescent="0.35">
      <c r="A377" s="8">
        <v>9925</v>
      </c>
      <c r="B377" s="8" t="s">
        <v>2037</v>
      </c>
      <c r="C377" s="8" t="s">
        <v>78</v>
      </c>
      <c r="D377" s="9" t="s">
        <v>2105</v>
      </c>
      <c r="E377" s="8" t="s">
        <v>39</v>
      </c>
      <c r="F377" s="8" t="s">
        <v>143</v>
      </c>
      <c r="G377" s="8" t="s">
        <v>225</v>
      </c>
      <c r="H377" s="8" t="s">
        <v>125</v>
      </c>
      <c r="I377" s="8" t="s">
        <v>114</v>
      </c>
      <c r="J377" s="9" t="s">
        <v>25</v>
      </c>
      <c r="K377" s="9" t="s">
        <v>950</v>
      </c>
      <c r="L377" s="9" t="s">
        <v>317</v>
      </c>
      <c r="M377" s="8" t="s">
        <v>301</v>
      </c>
      <c r="N377" s="9" t="s">
        <v>2070</v>
      </c>
      <c r="O377" s="9" t="s">
        <v>276</v>
      </c>
      <c r="P377" s="9" t="s">
        <v>239</v>
      </c>
      <c r="Q377" s="52">
        <v>43830</v>
      </c>
      <c r="R377" s="9" t="s">
        <v>276</v>
      </c>
      <c r="S377" s="9" t="s">
        <v>2071</v>
      </c>
      <c r="T377" s="9" t="s">
        <v>2071</v>
      </c>
      <c r="U377" s="9">
        <v>1</v>
      </c>
      <c r="V377" s="8" t="s">
        <v>14</v>
      </c>
      <c r="W377" s="8" t="s">
        <v>98</v>
      </c>
      <c r="X377" s="9" t="s">
        <v>207</v>
      </c>
      <c r="Y377" s="13">
        <v>1987</v>
      </c>
      <c r="Z377" s="9">
        <v>1981</v>
      </c>
      <c r="AA377" s="9" t="s">
        <v>276</v>
      </c>
      <c r="AB377" s="9" t="s">
        <v>276</v>
      </c>
      <c r="AC377" s="8">
        <v>16</v>
      </c>
      <c r="AD377" s="9" t="s">
        <v>2079</v>
      </c>
      <c r="AE377" s="8">
        <v>20</v>
      </c>
      <c r="AF377" s="9" t="s">
        <v>2079</v>
      </c>
      <c r="AG377" s="9" t="s">
        <v>2101</v>
      </c>
      <c r="AH377" s="9" t="s">
        <v>2086</v>
      </c>
      <c r="AI377" s="38">
        <v>2</v>
      </c>
      <c r="AJ377" s="38">
        <v>6</v>
      </c>
      <c r="AK377" s="81">
        <v>13493.8</v>
      </c>
      <c r="AL377" s="81">
        <v>13539.1</v>
      </c>
      <c r="AM377" s="38" t="s">
        <v>425</v>
      </c>
      <c r="AN377" s="8" t="s">
        <v>276</v>
      </c>
      <c r="AO377" s="14">
        <f t="shared" si="124"/>
        <v>0.14821621781855371</v>
      </c>
      <c r="AP377" s="8" t="s">
        <v>276</v>
      </c>
      <c r="AQ377" s="8" t="s">
        <v>276</v>
      </c>
      <c r="AR377" s="8" t="s">
        <v>276</v>
      </c>
      <c r="AS377" s="14">
        <f t="shared" ref="AS377:AS378" si="131">AJ377*1000/AL377</f>
        <v>0.44316091911574623</v>
      </c>
      <c r="AT377" s="8" t="s">
        <v>276</v>
      </c>
      <c r="AU377" s="8" t="s">
        <v>276</v>
      </c>
      <c r="AV377" s="8" t="s">
        <v>269</v>
      </c>
      <c r="AW377" s="8" t="s">
        <v>276</v>
      </c>
      <c r="AX377" s="14">
        <f t="shared" ref="AX377:AX378" si="132">AO377/AS377</f>
        <v>0.33445236577786341</v>
      </c>
      <c r="AY377" s="8" t="s">
        <v>276</v>
      </c>
      <c r="AZ377" s="8" t="s">
        <v>276</v>
      </c>
      <c r="BA377" s="8" t="s">
        <v>276</v>
      </c>
      <c r="BB377" s="8" t="s">
        <v>282</v>
      </c>
      <c r="BC377" s="8" t="s">
        <v>276</v>
      </c>
      <c r="BD377" s="8" t="s">
        <v>276</v>
      </c>
      <c r="BE377" s="8" t="s">
        <v>276</v>
      </c>
      <c r="BF377" s="9" t="s">
        <v>298</v>
      </c>
      <c r="BG377" s="9" t="s">
        <v>2044</v>
      </c>
      <c r="BH377" s="9" t="s">
        <v>100</v>
      </c>
      <c r="BI377" s="9" t="s">
        <v>100</v>
      </c>
      <c r="BJ377" s="32"/>
      <c r="BK377" s="32"/>
      <c r="BO377" s="32"/>
      <c r="BP377" s="32"/>
    </row>
    <row r="378" spans="1:68" s="33" customFormat="1" ht="52" hidden="1" x14ac:dyDescent="0.35">
      <c r="A378" s="8">
        <v>9925</v>
      </c>
      <c r="B378" s="8" t="s">
        <v>2037</v>
      </c>
      <c r="C378" s="8" t="s">
        <v>78</v>
      </c>
      <c r="D378" s="9" t="s">
        <v>2106</v>
      </c>
      <c r="E378" s="8" t="s">
        <v>39</v>
      </c>
      <c r="F378" s="8" t="s">
        <v>143</v>
      </c>
      <c r="G378" s="8" t="s">
        <v>225</v>
      </c>
      <c r="H378" s="8" t="s">
        <v>125</v>
      </c>
      <c r="I378" s="8" t="s">
        <v>114</v>
      </c>
      <c r="J378" s="9" t="s">
        <v>25</v>
      </c>
      <c r="K378" s="9" t="s">
        <v>311</v>
      </c>
      <c r="L378" s="9" t="s">
        <v>317</v>
      </c>
      <c r="M378" s="8" t="s">
        <v>301</v>
      </c>
      <c r="N378" s="9" t="s">
        <v>2070</v>
      </c>
      <c r="O378" s="9" t="s">
        <v>276</v>
      </c>
      <c r="P378" s="9" t="s">
        <v>239</v>
      </c>
      <c r="Q378" s="52">
        <v>43830</v>
      </c>
      <c r="R378" s="9" t="s">
        <v>276</v>
      </c>
      <c r="S378" s="9" t="s">
        <v>2071</v>
      </c>
      <c r="T378" s="9" t="s">
        <v>2071</v>
      </c>
      <c r="U378" s="9">
        <v>1</v>
      </c>
      <c r="V378" s="8" t="s">
        <v>14</v>
      </c>
      <c r="W378" s="8" t="s">
        <v>98</v>
      </c>
      <c r="X378" s="9" t="s">
        <v>207</v>
      </c>
      <c r="Y378" s="13">
        <v>1987</v>
      </c>
      <c r="Z378" s="9">
        <v>1981</v>
      </c>
      <c r="AA378" s="9" t="s">
        <v>276</v>
      </c>
      <c r="AB378" s="9" t="s">
        <v>276</v>
      </c>
      <c r="AC378" s="8">
        <v>16</v>
      </c>
      <c r="AD378" s="9" t="s">
        <v>2079</v>
      </c>
      <c r="AE378" s="8">
        <v>20</v>
      </c>
      <c r="AF378" s="9" t="s">
        <v>2079</v>
      </c>
      <c r="AG378" s="9" t="s">
        <v>2107</v>
      </c>
      <c r="AH378" s="9" t="s">
        <v>2086</v>
      </c>
      <c r="AI378" s="38">
        <v>9</v>
      </c>
      <c r="AJ378" s="38">
        <v>10</v>
      </c>
      <c r="AK378" s="81">
        <v>13493.8</v>
      </c>
      <c r="AL378" s="81">
        <v>13539.1</v>
      </c>
      <c r="AM378" s="38" t="s">
        <v>425</v>
      </c>
      <c r="AN378" s="8" t="s">
        <v>276</v>
      </c>
      <c r="AO378" s="14">
        <f t="shared" si="124"/>
        <v>0.66697298018349171</v>
      </c>
      <c r="AP378" s="8" t="s">
        <v>276</v>
      </c>
      <c r="AQ378" s="8" t="s">
        <v>276</v>
      </c>
      <c r="AR378" s="8" t="s">
        <v>276</v>
      </c>
      <c r="AS378" s="14">
        <f t="shared" si="131"/>
        <v>0.73860153185957711</v>
      </c>
      <c r="AT378" s="8" t="s">
        <v>276</v>
      </c>
      <c r="AU378" s="8" t="s">
        <v>276</v>
      </c>
      <c r="AV378" s="8" t="s">
        <v>269</v>
      </c>
      <c r="AW378" s="8" t="s">
        <v>276</v>
      </c>
      <c r="AX378" s="14">
        <f t="shared" si="132"/>
        <v>0.90302138760023121</v>
      </c>
      <c r="AY378" s="8" t="s">
        <v>276</v>
      </c>
      <c r="AZ378" s="8" t="s">
        <v>276</v>
      </c>
      <c r="BA378" s="8" t="s">
        <v>276</v>
      </c>
      <c r="BB378" s="8" t="s">
        <v>282</v>
      </c>
      <c r="BC378" s="8" t="s">
        <v>276</v>
      </c>
      <c r="BD378" s="8" t="s">
        <v>276</v>
      </c>
      <c r="BE378" s="8" t="s">
        <v>276</v>
      </c>
      <c r="BF378" s="9" t="s">
        <v>298</v>
      </c>
      <c r="BG378" s="9" t="s">
        <v>2044</v>
      </c>
      <c r="BH378" s="9" t="s">
        <v>100</v>
      </c>
      <c r="BI378" s="9" t="s">
        <v>100</v>
      </c>
      <c r="BJ378" s="32"/>
      <c r="BK378" s="32"/>
      <c r="BO378" s="32"/>
      <c r="BP378" s="32"/>
    </row>
    <row r="379" spans="1:68" s="79" customFormat="1" ht="52" hidden="1" x14ac:dyDescent="0.35">
      <c r="A379" s="72">
        <v>9925</v>
      </c>
      <c r="B379" s="72" t="s">
        <v>2037</v>
      </c>
      <c r="C379" s="72" t="s">
        <v>78</v>
      </c>
      <c r="D379" s="73" t="s">
        <v>2108</v>
      </c>
      <c r="E379" s="72" t="s">
        <v>39</v>
      </c>
      <c r="F379" s="72" t="s">
        <v>143</v>
      </c>
      <c r="G379" s="72" t="s">
        <v>225</v>
      </c>
      <c r="H379" s="72" t="s">
        <v>125</v>
      </c>
      <c r="I379" s="72" t="s">
        <v>114</v>
      </c>
      <c r="J379" s="73" t="s">
        <v>25</v>
      </c>
      <c r="K379" s="73" t="s">
        <v>314</v>
      </c>
      <c r="L379" s="73" t="s">
        <v>317</v>
      </c>
      <c r="M379" s="72" t="s">
        <v>301</v>
      </c>
      <c r="N379" s="73" t="s">
        <v>2070</v>
      </c>
      <c r="O379" s="73" t="s">
        <v>276</v>
      </c>
      <c r="P379" s="73" t="s">
        <v>239</v>
      </c>
      <c r="Q379" s="77">
        <v>43830</v>
      </c>
      <c r="R379" s="73" t="s">
        <v>276</v>
      </c>
      <c r="S379" s="73" t="s">
        <v>2071</v>
      </c>
      <c r="T379" s="73" t="s">
        <v>2071</v>
      </c>
      <c r="U379" s="73">
        <v>1</v>
      </c>
      <c r="V379" s="72" t="s">
        <v>14</v>
      </c>
      <c r="W379" s="72" t="s">
        <v>98</v>
      </c>
      <c r="X379" s="73" t="s">
        <v>207</v>
      </c>
      <c r="Y379" s="74">
        <v>1987</v>
      </c>
      <c r="Z379" s="73">
        <v>1981</v>
      </c>
      <c r="AA379" s="73" t="s">
        <v>276</v>
      </c>
      <c r="AB379" s="73" t="s">
        <v>276</v>
      </c>
      <c r="AC379" s="72">
        <v>16</v>
      </c>
      <c r="AD379" s="73" t="s">
        <v>2079</v>
      </c>
      <c r="AE379" s="72">
        <v>20</v>
      </c>
      <c r="AF379" s="73" t="s">
        <v>2079</v>
      </c>
      <c r="AG379" s="73" t="s">
        <v>2109</v>
      </c>
      <c r="AH379" s="73" t="s">
        <v>2046</v>
      </c>
      <c r="AI379" s="75">
        <v>7</v>
      </c>
      <c r="AJ379" s="75">
        <v>27</v>
      </c>
      <c r="AK379" s="75">
        <v>1987</v>
      </c>
      <c r="AL379" s="75">
        <v>1981</v>
      </c>
      <c r="AM379" s="75" t="s">
        <v>2047</v>
      </c>
      <c r="AN379" s="72" t="s">
        <v>276</v>
      </c>
      <c r="AO379" s="76">
        <f t="shared" si="124"/>
        <v>3.5228988424760947</v>
      </c>
      <c r="AP379" s="72" t="s">
        <v>276</v>
      </c>
      <c r="AQ379" s="72" t="s">
        <v>276</v>
      </c>
      <c r="AR379" s="72" t="s">
        <v>276</v>
      </c>
      <c r="AS379" s="76">
        <f>AJ379*1000/AL379</f>
        <v>13.629480060575467</v>
      </c>
      <c r="AT379" s="72" t="s">
        <v>276</v>
      </c>
      <c r="AU379" s="72" t="s">
        <v>276</v>
      </c>
      <c r="AV379" s="72" t="s">
        <v>268</v>
      </c>
      <c r="AW379" s="72" t="s">
        <v>276</v>
      </c>
      <c r="AX379" s="76">
        <f t="shared" si="126"/>
        <v>0.2584763928498201</v>
      </c>
      <c r="AY379" s="72" t="s">
        <v>276</v>
      </c>
      <c r="AZ379" s="72" t="s">
        <v>276</v>
      </c>
      <c r="BA379" s="72" t="s">
        <v>276</v>
      </c>
      <c r="BB379" s="72" t="s">
        <v>282</v>
      </c>
      <c r="BC379" s="72" t="s">
        <v>276</v>
      </c>
      <c r="BD379" s="72" t="s">
        <v>276</v>
      </c>
      <c r="BE379" s="72" t="s">
        <v>276</v>
      </c>
      <c r="BF379" s="73" t="s">
        <v>298</v>
      </c>
      <c r="BG379" s="73" t="s">
        <v>2044</v>
      </c>
      <c r="BH379" s="9" t="s">
        <v>100</v>
      </c>
      <c r="BI379" s="9" t="s">
        <v>100</v>
      </c>
      <c r="BJ379" s="78"/>
      <c r="BK379" s="78"/>
      <c r="BO379" s="78"/>
      <c r="BP379" s="78"/>
    </row>
    <row r="380" spans="1:68" s="79" customFormat="1" ht="52" hidden="1" x14ac:dyDescent="0.35">
      <c r="A380" s="72">
        <v>9925</v>
      </c>
      <c r="B380" s="72" t="s">
        <v>2037</v>
      </c>
      <c r="C380" s="72" t="s">
        <v>78</v>
      </c>
      <c r="D380" s="73" t="s">
        <v>2110</v>
      </c>
      <c r="E380" s="72" t="s">
        <v>39</v>
      </c>
      <c r="F380" s="72" t="s">
        <v>143</v>
      </c>
      <c r="G380" s="72" t="s">
        <v>225</v>
      </c>
      <c r="H380" s="72" t="s">
        <v>125</v>
      </c>
      <c r="I380" s="72" t="s">
        <v>114</v>
      </c>
      <c r="J380" s="73" t="s">
        <v>25</v>
      </c>
      <c r="K380" s="73" t="s">
        <v>314</v>
      </c>
      <c r="L380" s="73" t="s">
        <v>317</v>
      </c>
      <c r="M380" s="72" t="s">
        <v>301</v>
      </c>
      <c r="N380" s="73" t="s">
        <v>2070</v>
      </c>
      <c r="O380" s="73" t="s">
        <v>276</v>
      </c>
      <c r="P380" s="73" t="s">
        <v>239</v>
      </c>
      <c r="Q380" s="77">
        <v>43830</v>
      </c>
      <c r="R380" s="73" t="s">
        <v>276</v>
      </c>
      <c r="S380" s="73" t="s">
        <v>2071</v>
      </c>
      <c r="T380" s="73" t="s">
        <v>2071</v>
      </c>
      <c r="U380" s="73">
        <v>1</v>
      </c>
      <c r="V380" s="72" t="s">
        <v>14</v>
      </c>
      <c r="W380" s="72" t="s">
        <v>98</v>
      </c>
      <c r="X380" s="73" t="s">
        <v>207</v>
      </c>
      <c r="Y380" s="74">
        <v>1987</v>
      </c>
      <c r="Z380" s="73">
        <v>1981</v>
      </c>
      <c r="AA380" s="73" t="s">
        <v>276</v>
      </c>
      <c r="AB380" s="73" t="s">
        <v>276</v>
      </c>
      <c r="AC380" s="72">
        <v>16</v>
      </c>
      <c r="AD380" s="73" t="s">
        <v>2079</v>
      </c>
      <c r="AE380" s="72">
        <v>20</v>
      </c>
      <c r="AF380" s="73" t="s">
        <v>2079</v>
      </c>
      <c r="AG380" s="73" t="s">
        <v>2109</v>
      </c>
      <c r="AH380" s="73" t="s">
        <v>2086</v>
      </c>
      <c r="AI380" s="75">
        <v>7</v>
      </c>
      <c r="AJ380" s="75">
        <v>27</v>
      </c>
      <c r="AK380" s="82">
        <v>13493.8</v>
      </c>
      <c r="AL380" s="82">
        <v>13539.1</v>
      </c>
      <c r="AM380" s="75" t="s">
        <v>425</v>
      </c>
      <c r="AN380" s="72" t="s">
        <v>276</v>
      </c>
      <c r="AO380" s="76">
        <f t="shared" si="124"/>
        <v>0.51875676236493795</v>
      </c>
      <c r="AP380" s="72" t="s">
        <v>276</v>
      </c>
      <c r="AQ380" s="72" t="s">
        <v>276</v>
      </c>
      <c r="AR380" s="72" t="s">
        <v>276</v>
      </c>
      <c r="AS380" s="76">
        <f t="shared" ref="AS380" si="133">AJ380*1000/AL380</f>
        <v>1.9942241360208581</v>
      </c>
      <c r="AT380" s="72" t="s">
        <v>276</v>
      </c>
      <c r="AU380" s="72" t="s">
        <v>276</v>
      </c>
      <c r="AV380" s="72" t="s">
        <v>268</v>
      </c>
      <c r="AW380" s="72" t="s">
        <v>276</v>
      </c>
      <c r="AX380" s="76">
        <f t="shared" si="126"/>
        <v>0.2601296178272271</v>
      </c>
      <c r="AY380" s="72" t="s">
        <v>276</v>
      </c>
      <c r="AZ380" s="72" t="s">
        <v>276</v>
      </c>
      <c r="BA380" s="72" t="s">
        <v>276</v>
      </c>
      <c r="BB380" s="72" t="s">
        <v>282</v>
      </c>
      <c r="BC380" s="72" t="s">
        <v>276</v>
      </c>
      <c r="BD380" s="72" t="s">
        <v>276</v>
      </c>
      <c r="BE380" s="72" t="s">
        <v>276</v>
      </c>
      <c r="BF380" s="73" t="s">
        <v>298</v>
      </c>
      <c r="BG380" s="73" t="s">
        <v>2044</v>
      </c>
      <c r="BH380" s="9" t="s">
        <v>100</v>
      </c>
      <c r="BI380" s="9" t="s">
        <v>100</v>
      </c>
      <c r="BJ380" s="78"/>
      <c r="BK380" s="78"/>
      <c r="BO380" s="78"/>
      <c r="BP380" s="78"/>
    </row>
    <row r="381" spans="1:68" s="33" customFormat="1" ht="52" hidden="1" x14ac:dyDescent="0.35">
      <c r="A381" s="8">
        <v>9925</v>
      </c>
      <c r="B381" s="8" t="s">
        <v>2037</v>
      </c>
      <c r="C381" s="8" t="s">
        <v>78</v>
      </c>
      <c r="D381" s="9" t="s">
        <v>2111</v>
      </c>
      <c r="E381" s="8" t="s">
        <v>39</v>
      </c>
      <c r="F381" s="8" t="s">
        <v>143</v>
      </c>
      <c r="G381" s="8" t="s">
        <v>225</v>
      </c>
      <c r="H381" s="8" t="s">
        <v>125</v>
      </c>
      <c r="I381" s="8" t="s">
        <v>114</v>
      </c>
      <c r="J381" s="9" t="s">
        <v>25</v>
      </c>
      <c r="K381" s="9" t="s">
        <v>317</v>
      </c>
      <c r="L381" s="9" t="s">
        <v>317</v>
      </c>
      <c r="M381" s="8" t="s">
        <v>301</v>
      </c>
      <c r="N381" s="9" t="s">
        <v>2070</v>
      </c>
      <c r="O381" s="9" t="s">
        <v>276</v>
      </c>
      <c r="P381" s="9" t="s">
        <v>239</v>
      </c>
      <c r="Q381" s="52">
        <v>43830</v>
      </c>
      <c r="R381" s="9" t="s">
        <v>276</v>
      </c>
      <c r="S381" s="9" t="s">
        <v>2071</v>
      </c>
      <c r="T381" s="9" t="s">
        <v>2071</v>
      </c>
      <c r="U381" s="9">
        <v>1</v>
      </c>
      <c r="V381" s="8" t="s">
        <v>14</v>
      </c>
      <c r="W381" s="8" t="s">
        <v>98</v>
      </c>
      <c r="X381" s="9" t="s">
        <v>207</v>
      </c>
      <c r="Y381" s="13">
        <v>1987</v>
      </c>
      <c r="Z381" s="9">
        <v>1981</v>
      </c>
      <c r="AA381" s="38">
        <f>Y381-1805-AI381</f>
        <v>166</v>
      </c>
      <c r="AB381" s="38">
        <f>Z381-1774-AJ381</f>
        <v>170</v>
      </c>
      <c r="AC381" s="8">
        <v>16</v>
      </c>
      <c r="AD381" s="9" t="s">
        <v>2079</v>
      </c>
      <c r="AE381" s="8">
        <v>20</v>
      </c>
      <c r="AF381" s="9" t="s">
        <v>2079</v>
      </c>
      <c r="AG381" s="9" t="s">
        <v>2112</v>
      </c>
      <c r="AH381" s="9" t="s">
        <v>2046</v>
      </c>
      <c r="AI381" s="38">
        <f>9+7</f>
        <v>16</v>
      </c>
      <c r="AJ381" s="38">
        <f>10+27</f>
        <v>37</v>
      </c>
      <c r="AK381" s="38">
        <v>1987</v>
      </c>
      <c r="AL381" s="38">
        <v>1981</v>
      </c>
      <c r="AM381" s="38" t="s">
        <v>2047</v>
      </c>
      <c r="AN381" s="8" t="s">
        <v>276</v>
      </c>
      <c r="AO381" s="14">
        <f t="shared" si="124"/>
        <v>8.0523402113739309</v>
      </c>
      <c r="AP381" s="8" t="s">
        <v>276</v>
      </c>
      <c r="AQ381" s="8" t="s">
        <v>276</v>
      </c>
      <c r="AR381" s="8" t="s">
        <v>276</v>
      </c>
      <c r="AS381" s="14">
        <f>AJ381*1000/AL381</f>
        <v>18.677435638566379</v>
      </c>
      <c r="AT381" s="8" t="s">
        <v>276</v>
      </c>
      <c r="AU381" s="8" t="s">
        <v>276</v>
      </c>
      <c r="AV381" s="8" t="s">
        <v>268</v>
      </c>
      <c r="AW381" s="8" t="s">
        <v>276</v>
      </c>
      <c r="AX381" s="14">
        <f t="shared" si="126"/>
        <v>0.43112664753329077</v>
      </c>
      <c r="AY381" s="8" t="s">
        <v>276</v>
      </c>
      <c r="AZ381" s="8" t="s">
        <v>276</v>
      </c>
      <c r="BA381" s="8" t="s">
        <v>276</v>
      </c>
      <c r="BB381" s="8" t="s">
        <v>282</v>
      </c>
      <c r="BC381" s="8" t="s">
        <v>276</v>
      </c>
      <c r="BD381" s="8" t="s">
        <v>276</v>
      </c>
      <c r="BE381" s="8" t="s">
        <v>276</v>
      </c>
      <c r="BF381" s="9" t="s">
        <v>298</v>
      </c>
      <c r="BG381" s="9" t="s">
        <v>2044</v>
      </c>
      <c r="BH381" s="9" t="s">
        <v>100</v>
      </c>
      <c r="BI381" s="9" t="s">
        <v>100</v>
      </c>
      <c r="BJ381" s="32"/>
      <c r="BK381" s="32"/>
      <c r="BO381" s="32"/>
      <c r="BP381" s="32"/>
    </row>
    <row r="382" spans="1:68" s="33" customFormat="1" ht="52" hidden="1" x14ac:dyDescent="0.35">
      <c r="A382" s="8">
        <v>9925</v>
      </c>
      <c r="B382" s="8" t="s">
        <v>2037</v>
      </c>
      <c r="C382" s="8" t="s">
        <v>78</v>
      </c>
      <c r="D382" s="9" t="s">
        <v>2113</v>
      </c>
      <c r="E382" s="8" t="s">
        <v>39</v>
      </c>
      <c r="F382" s="8" t="s">
        <v>143</v>
      </c>
      <c r="G382" s="8" t="s">
        <v>225</v>
      </c>
      <c r="H382" s="8" t="s">
        <v>125</v>
      </c>
      <c r="I382" s="8" t="s">
        <v>114</v>
      </c>
      <c r="J382" s="9" t="s">
        <v>25</v>
      </c>
      <c r="K382" s="9" t="s">
        <v>317</v>
      </c>
      <c r="L382" s="9" t="s">
        <v>317</v>
      </c>
      <c r="M382" s="8" t="s">
        <v>301</v>
      </c>
      <c r="N382" s="9" t="s">
        <v>2070</v>
      </c>
      <c r="O382" s="9" t="s">
        <v>276</v>
      </c>
      <c r="P382" s="9" t="s">
        <v>239</v>
      </c>
      <c r="Q382" s="52">
        <v>43830</v>
      </c>
      <c r="R382" s="9" t="s">
        <v>276</v>
      </c>
      <c r="S382" s="9" t="s">
        <v>2071</v>
      </c>
      <c r="T382" s="9" t="s">
        <v>2071</v>
      </c>
      <c r="U382" s="9">
        <v>1</v>
      </c>
      <c r="V382" s="8" t="s">
        <v>14</v>
      </c>
      <c r="W382" s="8" t="s">
        <v>98</v>
      </c>
      <c r="X382" s="9" t="s">
        <v>207</v>
      </c>
      <c r="Y382" s="13">
        <v>1987</v>
      </c>
      <c r="Z382" s="9">
        <v>1981</v>
      </c>
      <c r="AA382" s="38">
        <f>Y382-1805-AI382</f>
        <v>166</v>
      </c>
      <c r="AB382" s="38">
        <f>Z382-1774-AJ382</f>
        <v>170</v>
      </c>
      <c r="AC382" s="8">
        <v>16</v>
      </c>
      <c r="AD382" s="9" t="s">
        <v>2079</v>
      </c>
      <c r="AE382" s="8">
        <v>20</v>
      </c>
      <c r="AF382" s="9" t="s">
        <v>2079</v>
      </c>
      <c r="AG382" s="9" t="s">
        <v>2109</v>
      </c>
      <c r="AH382" s="9" t="s">
        <v>2086</v>
      </c>
      <c r="AI382" s="38">
        <v>16</v>
      </c>
      <c r="AJ382" s="38">
        <v>37</v>
      </c>
      <c r="AK382" s="81">
        <v>13493.8</v>
      </c>
      <c r="AL382" s="81">
        <v>13539.1</v>
      </c>
      <c r="AM382" s="38" t="s">
        <v>425</v>
      </c>
      <c r="AN382" s="8" t="s">
        <v>276</v>
      </c>
      <c r="AO382" s="14">
        <f t="shared" si="124"/>
        <v>1.1857297425484297</v>
      </c>
      <c r="AP382" s="8" t="s">
        <v>276</v>
      </c>
      <c r="AQ382" s="8" t="s">
        <v>276</v>
      </c>
      <c r="AR382" s="8" t="s">
        <v>276</v>
      </c>
      <c r="AS382" s="14">
        <f t="shared" ref="AS382:AS389" si="134">AJ382*1000/AL382</f>
        <v>2.732825667880435</v>
      </c>
      <c r="AT382" s="8" t="s">
        <v>276</v>
      </c>
      <c r="AU382" s="8" t="s">
        <v>276</v>
      </c>
      <c r="AV382" s="8" t="s">
        <v>269</v>
      </c>
      <c r="AW382" s="8">
        <v>0.43</v>
      </c>
      <c r="AX382" s="14">
        <f t="shared" si="126"/>
        <v>0.43388415019830934</v>
      </c>
      <c r="AY382" s="8">
        <v>0.24</v>
      </c>
      <c r="AZ382" s="8">
        <v>0.77</v>
      </c>
      <c r="BA382" s="8">
        <v>5.0000000000000001E-3</v>
      </c>
      <c r="BB382" s="8" t="s">
        <v>282</v>
      </c>
      <c r="BC382" s="8" t="s">
        <v>276</v>
      </c>
      <c r="BD382" s="8" t="s">
        <v>276</v>
      </c>
      <c r="BE382" s="8" t="s">
        <v>276</v>
      </c>
      <c r="BF382" s="9" t="s">
        <v>2114</v>
      </c>
      <c r="BG382" s="9" t="s">
        <v>2044</v>
      </c>
      <c r="BH382" s="9" t="s">
        <v>100</v>
      </c>
      <c r="BI382" s="9" t="s">
        <v>100</v>
      </c>
      <c r="BJ382" s="32"/>
      <c r="BK382" s="32"/>
      <c r="BO382" s="32"/>
      <c r="BP382" s="32"/>
    </row>
    <row r="383" spans="1:68" s="79" customFormat="1" ht="52" hidden="1" x14ac:dyDescent="0.35">
      <c r="A383" s="72">
        <v>9925</v>
      </c>
      <c r="B383" s="72" t="s">
        <v>2037</v>
      </c>
      <c r="C383" s="72" t="s">
        <v>78</v>
      </c>
      <c r="D383" s="73" t="s">
        <v>2115</v>
      </c>
      <c r="E383" s="72" t="s">
        <v>39</v>
      </c>
      <c r="F383" s="72" t="s">
        <v>143</v>
      </c>
      <c r="G383" s="72" t="s">
        <v>225</v>
      </c>
      <c r="H383" s="72" t="s">
        <v>125</v>
      </c>
      <c r="I383" s="72" t="s">
        <v>114</v>
      </c>
      <c r="J383" s="73" t="s">
        <v>25</v>
      </c>
      <c r="K383" s="73" t="s">
        <v>317</v>
      </c>
      <c r="L383" s="73" t="s">
        <v>317</v>
      </c>
      <c r="M383" s="72" t="s">
        <v>301</v>
      </c>
      <c r="N383" s="73" t="s">
        <v>2070</v>
      </c>
      <c r="O383" s="73" t="s">
        <v>276</v>
      </c>
      <c r="P383" s="73" t="s">
        <v>239</v>
      </c>
      <c r="Q383" s="77" t="s">
        <v>276</v>
      </c>
      <c r="R383" s="73" t="s">
        <v>705</v>
      </c>
      <c r="S383" s="73" t="s">
        <v>276</v>
      </c>
      <c r="T383" s="73" t="s">
        <v>276</v>
      </c>
      <c r="U383" s="73">
        <v>1</v>
      </c>
      <c r="V383" s="72" t="s">
        <v>14</v>
      </c>
      <c r="W383" s="72" t="s">
        <v>98</v>
      </c>
      <c r="X383" s="73" t="s">
        <v>207</v>
      </c>
      <c r="Y383" s="74">
        <v>1987</v>
      </c>
      <c r="Z383" s="73">
        <v>1981</v>
      </c>
      <c r="AA383" s="75">
        <f>Y383-1965-AI383</f>
        <v>16</v>
      </c>
      <c r="AB383" s="75">
        <f>Z383-1956-AJ383</f>
        <v>13</v>
      </c>
      <c r="AC383" s="72">
        <v>16</v>
      </c>
      <c r="AD383" s="73" t="s">
        <v>2079</v>
      </c>
      <c r="AE383" s="72">
        <v>20</v>
      </c>
      <c r="AF383" s="73" t="s">
        <v>2079</v>
      </c>
      <c r="AG383" s="73" t="s">
        <v>2116</v>
      </c>
      <c r="AH383" s="73" t="s">
        <v>2046</v>
      </c>
      <c r="AI383" s="75">
        <v>6</v>
      </c>
      <c r="AJ383" s="75">
        <v>12</v>
      </c>
      <c r="AK383" s="75">
        <v>1987</v>
      </c>
      <c r="AL383" s="75">
        <v>1981</v>
      </c>
      <c r="AM383" s="75" t="s">
        <v>2047</v>
      </c>
      <c r="AN383" s="72" t="s">
        <v>276</v>
      </c>
      <c r="AO383" s="76">
        <f t="shared" si="124"/>
        <v>3.0196275792652241</v>
      </c>
      <c r="AP383" s="72" t="s">
        <v>276</v>
      </c>
      <c r="AQ383" s="72" t="s">
        <v>276</v>
      </c>
      <c r="AR383" s="72" t="s">
        <v>276</v>
      </c>
      <c r="AS383" s="76">
        <f t="shared" si="134"/>
        <v>6.0575466935890967</v>
      </c>
      <c r="AT383" s="72" t="s">
        <v>276</v>
      </c>
      <c r="AU383" s="72" t="s">
        <v>276</v>
      </c>
      <c r="AV383" s="72" t="s">
        <v>268</v>
      </c>
      <c r="AW383" s="72" t="s">
        <v>276</v>
      </c>
      <c r="AX383" s="76">
        <f t="shared" si="126"/>
        <v>0.49849018621036739</v>
      </c>
      <c r="AY383" s="72" t="s">
        <v>276</v>
      </c>
      <c r="AZ383" s="72" t="s">
        <v>276</v>
      </c>
      <c r="BA383" s="72" t="s">
        <v>276</v>
      </c>
      <c r="BB383" s="72" t="s">
        <v>282</v>
      </c>
      <c r="BC383" s="72" t="s">
        <v>276</v>
      </c>
      <c r="BD383" s="72" t="s">
        <v>276</v>
      </c>
      <c r="BE383" s="72" t="s">
        <v>276</v>
      </c>
      <c r="BF383" s="73" t="s">
        <v>768</v>
      </c>
      <c r="BG383" s="73" t="s">
        <v>2044</v>
      </c>
      <c r="BH383" s="9" t="s">
        <v>100</v>
      </c>
      <c r="BI383" s="9" t="s">
        <v>100</v>
      </c>
      <c r="BJ383" s="78"/>
      <c r="BK383" s="78"/>
      <c r="BO383" s="78"/>
      <c r="BP383" s="78"/>
    </row>
    <row r="384" spans="1:68" s="79" customFormat="1" ht="52" hidden="1" x14ac:dyDescent="0.35">
      <c r="A384" s="72">
        <v>9925</v>
      </c>
      <c r="B384" s="72" t="s">
        <v>2037</v>
      </c>
      <c r="C384" s="72" t="s">
        <v>78</v>
      </c>
      <c r="D384" s="73" t="s">
        <v>2117</v>
      </c>
      <c r="E384" s="72" t="s">
        <v>39</v>
      </c>
      <c r="F384" s="72" t="s">
        <v>143</v>
      </c>
      <c r="G384" s="72" t="s">
        <v>225</v>
      </c>
      <c r="H384" s="72" t="s">
        <v>125</v>
      </c>
      <c r="I384" s="72" t="s">
        <v>114</v>
      </c>
      <c r="J384" s="73" t="s">
        <v>25</v>
      </c>
      <c r="K384" s="73" t="s">
        <v>317</v>
      </c>
      <c r="L384" s="73" t="s">
        <v>317</v>
      </c>
      <c r="M384" s="72" t="s">
        <v>301</v>
      </c>
      <c r="N384" s="73" t="s">
        <v>2070</v>
      </c>
      <c r="O384" s="73" t="s">
        <v>276</v>
      </c>
      <c r="P384" s="73" t="s">
        <v>239</v>
      </c>
      <c r="Q384" s="77" t="s">
        <v>276</v>
      </c>
      <c r="R384" s="73" t="s">
        <v>710</v>
      </c>
      <c r="S384" s="73" t="s">
        <v>276</v>
      </c>
      <c r="T384" s="73" t="s">
        <v>276</v>
      </c>
      <c r="U384" s="73">
        <v>1</v>
      </c>
      <c r="V384" s="72" t="s">
        <v>14</v>
      </c>
      <c r="W384" s="72" t="s">
        <v>98</v>
      </c>
      <c r="X384" s="73" t="s">
        <v>207</v>
      </c>
      <c r="Y384" s="74">
        <v>1987</v>
      </c>
      <c r="Z384" s="73">
        <v>1981</v>
      </c>
      <c r="AA384" s="75">
        <f>Y384-1943-AI384</f>
        <v>34</v>
      </c>
      <c r="AB384" s="75">
        <f>Z384-1924-AJ384</f>
        <v>42</v>
      </c>
      <c r="AC384" s="72">
        <v>16</v>
      </c>
      <c r="AD384" s="73" t="s">
        <v>2079</v>
      </c>
      <c r="AE384" s="72">
        <v>20</v>
      </c>
      <c r="AF384" s="73" t="s">
        <v>2079</v>
      </c>
      <c r="AG384" s="73" t="s">
        <v>2118</v>
      </c>
      <c r="AH384" s="73" t="s">
        <v>2046</v>
      </c>
      <c r="AI384" s="75">
        <f>6+4</f>
        <v>10</v>
      </c>
      <c r="AJ384" s="75">
        <f>12+3</f>
        <v>15</v>
      </c>
      <c r="AK384" s="75">
        <v>1987</v>
      </c>
      <c r="AL384" s="75">
        <v>1981</v>
      </c>
      <c r="AM384" s="75" t="s">
        <v>2047</v>
      </c>
      <c r="AN384" s="72" t="s">
        <v>276</v>
      </c>
      <c r="AO384" s="76">
        <f t="shared" si="124"/>
        <v>5.0327126321087068</v>
      </c>
      <c r="AP384" s="72" t="s">
        <v>276</v>
      </c>
      <c r="AQ384" s="72" t="s">
        <v>276</v>
      </c>
      <c r="AR384" s="72" t="s">
        <v>276</v>
      </c>
      <c r="AS384" s="76">
        <f t="shared" si="134"/>
        <v>7.5719333669863707</v>
      </c>
      <c r="AT384" s="72" t="s">
        <v>276</v>
      </c>
      <c r="AU384" s="72" t="s">
        <v>276</v>
      </c>
      <c r="AV384" s="72" t="s">
        <v>268</v>
      </c>
      <c r="AW384" s="72" t="s">
        <v>276</v>
      </c>
      <c r="AX384" s="76">
        <f t="shared" si="126"/>
        <v>0.66465358161382315</v>
      </c>
      <c r="AY384" s="72" t="s">
        <v>276</v>
      </c>
      <c r="AZ384" s="72" t="s">
        <v>276</v>
      </c>
      <c r="BA384" s="72" t="s">
        <v>276</v>
      </c>
      <c r="BB384" s="72" t="s">
        <v>282</v>
      </c>
      <c r="BC384" s="72" t="s">
        <v>276</v>
      </c>
      <c r="BD384" s="72" t="s">
        <v>276</v>
      </c>
      <c r="BE384" s="72" t="s">
        <v>276</v>
      </c>
      <c r="BF384" s="73" t="s">
        <v>768</v>
      </c>
      <c r="BG384" s="73" t="s">
        <v>2044</v>
      </c>
      <c r="BH384" s="9" t="s">
        <v>100</v>
      </c>
      <c r="BI384" s="9" t="s">
        <v>100</v>
      </c>
      <c r="BJ384" s="78"/>
      <c r="BK384" s="78"/>
      <c r="BO384" s="78"/>
      <c r="BP384" s="78"/>
    </row>
    <row r="385" spans="1:68" s="79" customFormat="1" ht="52" hidden="1" x14ac:dyDescent="0.35">
      <c r="A385" s="72">
        <v>9925</v>
      </c>
      <c r="B385" s="72" t="s">
        <v>2037</v>
      </c>
      <c r="C385" s="72" t="s">
        <v>78</v>
      </c>
      <c r="D385" s="73" t="s">
        <v>2119</v>
      </c>
      <c r="E385" s="72" t="s">
        <v>39</v>
      </c>
      <c r="F385" s="72" t="s">
        <v>143</v>
      </c>
      <c r="G385" s="72" t="s">
        <v>225</v>
      </c>
      <c r="H385" s="72" t="s">
        <v>125</v>
      </c>
      <c r="I385" s="72" t="s">
        <v>114</v>
      </c>
      <c r="J385" s="73" t="s">
        <v>25</v>
      </c>
      <c r="K385" s="73" t="s">
        <v>317</v>
      </c>
      <c r="L385" s="73" t="s">
        <v>317</v>
      </c>
      <c r="M385" s="72" t="s">
        <v>301</v>
      </c>
      <c r="N385" s="73" t="s">
        <v>2070</v>
      </c>
      <c r="O385" s="73" t="s">
        <v>276</v>
      </c>
      <c r="P385" s="73" t="s">
        <v>239</v>
      </c>
      <c r="Q385" s="77" t="s">
        <v>276</v>
      </c>
      <c r="R385" s="73" t="s">
        <v>686</v>
      </c>
      <c r="S385" s="73" t="s">
        <v>276</v>
      </c>
      <c r="T385" s="73" t="s">
        <v>276</v>
      </c>
      <c r="U385" s="73">
        <v>1</v>
      </c>
      <c r="V385" s="72" t="s">
        <v>14</v>
      </c>
      <c r="W385" s="72" t="s">
        <v>98</v>
      </c>
      <c r="X385" s="73" t="s">
        <v>207</v>
      </c>
      <c r="Y385" s="74">
        <v>1987</v>
      </c>
      <c r="Z385" s="73">
        <v>1981</v>
      </c>
      <c r="AA385" s="75">
        <f>Y385-1909-AI385</f>
        <v>67</v>
      </c>
      <c r="AB385" s="75">
        <f>Z385-1890-AJ385</f>
        <v>68</v>
      </c>
      <c r="AC385" s="72">
        <v>16</v>
      </c>
      <c r="AD385" s="73" t="s">
        <v>2079</v>
      </c>
      <c r="AE385" s="72">
        <v>20</v>
      </c>
      <c r="AF385" s="73" t="s">
        <v>2079</v>
      </c>
      <c r="AG385" s="73" t="s">
        <v>2120</v>
      </c>
      <c r="AH385" s="73" t="s">
        <v>2046</v>
      </c>
      <c r="AI385" s="75">
        <f>6+4+1</f>
        <v>11</v>
      </c>
      <c r="AJ385" s="75">
        <f>12+3+8</f>
        <v>23</v>
      </c>
      <c r="AK385" s="75">
        <v>1987</v>
      </c>
      <c r="AL385" s="75">
        <v>1981</v>
      </c>
      <c r="AM385" s="75" t="s">
        <v>2047</v>
      </c>
      <c r="AN385" s="72" t="s">
        <v>276</v>
      </c>
      <c r="AO385" s="76">
        <f t="shared" si="124"/>
        <v>5.5359838953195775</v>
      </c>
      <c r="AP385" s="72" t="s">
        <v>276</v>
      </c>
      <c r="AQ385" s="72" t="s">
        <v>276</v>
      </c>
      <c r="AR385" s="72" t="s">
        <v>276</v>
      </c>
      <c r="AS385" s="76">
        <f t="shared" si="134"/>
        <v>11.610297829379101</v>
      </c>
      <c r="AT385" s="72" t="s">
        <v>276</v>
      </c>
      <c r="AU385" s="72" t="s">
        <v>276</v>
      </c>
      <c r="AV385" s="72" t="s">
        <v>268</v>
      </c>
      <c r="AW385" s="72" t="s">
        <v>276</v>
      </c>
      <c r="AX385" s="76">
        <f t="shared" si="126"/>
        <v>0.47681669985339492</v>
      </c>
      <c r="AY385" s="72" t="s">
        <v>276</v>
      </c>
      <c r="AZ385" s="72" t="s">
        <v>276</v>
      </c>
      <c r="BA385" s="72" t="s">
        <v>276</v>
      </c>
      <c r="BB385" s="72" t="s">
        <v>282</v>
      </c>
      <c r="BC385" s="72" t="s">
        <v>276</v>
      </c>
      <c r="BD385" s="72" t="s">
        <v>276</v>
      </c>
      <c r="BE385" s="72" t="s">
        <v>276</v>
      </c>
      <c r="BF385" s="73" t="s">
        <v>768</v>
      </c>
      <c r="BG385" s="73" t="s">
        <v>2044</v>
      </c>
      <c r="BH385" s="9" t="s">
        <v>100</v>
      </c>
      <c r="BI385" s="9" t="s">
        <v>100</v>
      </c>
      <c r="BJ385" s="78"/>
      <c r="BK385" s="78"/>
      <c r="BO385" s="78"/>
      <c r="BP385" s="78"/>
    </row>
    <row r="386" spans="1:68" s="79" customFormat="1" ht="52" hidden="1" x14ac:dyDescent="0.35">
      <c r="A386" s="72">
        <v>9925</v>
      </c>
      <c r="B386" s="72" t="s">
        <v>2037</v>
      </c>
      <c r="C386" s="72" t="s">
        <v>78</v>
      </c>
      <c r="D386" s="73" t="s">
        <v>2121</v>
      </c>
      <c r="E386" s="72" t="s">
        <v>39</v>
      </c>
      <c r="F386" s="72" t="s">
        <v>143</v>
      </c>
      <c r="G386" s="72" t="s">
        <v>225</v>
      </c>
      <c r="H386" s="72" t="s">
        <v>125</v>
      </c>
      <c r="I386" s="72" t="s">
        <v>114</v>
      </c>
      <c r="J386" s="73" t="s">
        <v>25</v>
      </c>
      <c r="K386" s="73" t="s">
        <v>317</v>
      </c>
      <c r="L386" s="73" t="s">
        <v>317</v>
      </c>
      <c r="M386" s="72" t="s">
        <v>301</v>
      </c>
      <c r="N386" s="73" t="s">
        <v>2070</v>
      </c>
      <c r="O386" s="73" t="s">
        <v>276</v>
      </c>
      <c r="P386" s="73" t="s">
        <v>239</v>
      </c>
      <c r="Q386" s="77" t="s">
        <v>276</v>
      </c>
      <c r="R386" s="73" t="s">
        <v>721</v>
      </c>
      <c r="S386" s="73" t="s">
        <v>276</v>
      </c>
      <c r="T386" s="73" t="s">
        <v>276</v>
      </c>
      <c r="U386" s="73">
        <v>1</v>
      </c>
      <c r="V386" s="72" t="s">
        <v>14</v>
      </c>
      <c r="W386" s="72" t="s">
        <v>98</v>
      </c>
      <c r="X386" s="73" t="s">
        <v>207</v>
      </c>
      <c r="Y386" s="74">
        <v>1987</v>
      </c>
      <c r="Z386" s="73">
        <v>1981</v>
      </c>
      <c r="AA386" s="75">
        <f>Y386-1871-AI386</f>
        <v>104</v>
      </c>
      <c r="AB386" s="75">
        <f>Z386-1849-AJ386</f>
        <v>105</v>
      </c>
      <c r="AC386" s="72">
        <v>16</v>
      </c>
      <c r="AD386" s="73" t="s">
        <v>2079</v>
      </c>
      <c r="AE386" s="72">
        <v>20</v>
      </c>
      <c r="AF386" s="73" t="s">
        <v>2079</v>
      </c>
      <c r="AG386" s="73" t="s">
        <v>2122</v>
      </c>
      <c r="AH386" s="73" t="s">
        <v>2046</v>
      </c>
      <c r="AI386" s="75">
        <f>6+4+1+1</f>
        <v>12</v>
      </c>
      <c r="AJ386" s="75">
        <f>12+3+8+4</f>
        <v>27</v>
      </c>
      <c r="AK386" s="75">
        <v>1987</v>
      </c>
      <c r="AL386" s="75">
        <v>1981</v>
      </c>
      <c r="AM386" s="75" t="s">
        <v>2047</v>
      </c>
      <c r="AN386" s="72" t="s">
        <v>276</v>
      </c>
      <c r="AO386" s="76">
        <f t="shared" si="124"/>
        <v>6.0392551585304481</v>
      </c>
      <c r="AP386" s="72" t="s">
        <v>276</v>
      </c>
      <c r="AQ386" s="72" t="s">
        <v>276</v>
      </c>
      <c r="AR386" s="72" t="s">
        <v>276</v>
      </c>
      <c r="AS386" s="76">
        <f t="shared" si="134"/>
        <v>13.629480060575467</v>
      </c>
      <c r="AT386" s="72" t="s">
        <v>276</v>
      </c>
      <c r="AU386" s="72" t="s">
        <v>276</v>
      </c>
      <c r="AV386" s="72" t="s">
        <v>268</v>
      </c>
      <c r="AW386" s="72" t="s">
        <v>276</v>
      </c>
      <c r="AX386" s="76">
        <f t="shared" si="126"/>
        <v>0.44310238774254879</v>
      </c>
      <c r="AY386" s="72" t="s">
        <v>276</v>
      </c>
      <c r="AZ386" s="72" t="s">
        <v>276</v>
      </c>
      <c r="BA386" s="72" t="s">
        <v>276</v>
      </c>
      <c r="BB386" s="72" t="s">
        <v>282</v>
      </c>
      <c r="BC386" s="72" t="s">
        <v>276</v>
      </c>
      <c r="BD386" s="72" t="s">
        <v>276</v>
      </c>
      <c r="BE386" s="72" t="s">
        <v>276</v>
      </c>
      <c r="BF386" s="73" t="s">
        <v>768</v>
      </c>
      <c r="BG386" s="73" t="s">
        <v>2044</v>
      </c>
      <c r="BH386" s="9" t="s">
        <v>100</v>
      </c>
      <c r="BI386" s="9" t="s">
        <v>100</v>
      </c>
      <c r="BJ386" s="78"/>
      <c r="BK386" s="78"/>
      <c r="BO386" s="78"/>
      <c r="BP386" s="78"/>
    </row>
    <row r="387" spans="1:68" s="797" customFormat="1" ht="52" hidden="1" x14ac:dyDescent="0.35">
      <c r="A387" s="789">
        <v>9925</v>
      </c>
      <c r="B387" s="789" t="s">
        <v>2037</v>
      </c>
      <c r="C387" s="789" t="s">
        <v>78</v>
      </c>
      <c r="D387" s="790" t="s">
        <v>11549</v>
      </c>
      <c r="E387" s="789" t="s">
        <v>39</v>
      </c>
      <c r="F387" s="789" t="s">
        <v>143</v>
      </c>
      <c r="G387" s="789" t="s">
        <v>225</v>
      </c>
      <c r="H387" s="789" t="s">
        <v>125</v>
      </c>
      <c r="I387" s="789" t="s">
        <v>114</v>
      </c>
      <c r="J387" s="790" t="s">
        <v>25</v>
      </c>
      <c r="K387" s="790" t="s">
        <v>317</v>
      </c>
      <c r="L387" s="790" t="s">
        <v>317</v>
      </c>
      <c r="M387" s="789" t="s">
        <v>301</v>
      </c>
      <c r="N387" s="790" t="s">
        <v>2070</v>
      </c>
      <c r="O387" s="790" t="s">
        <v>276</v>
      </c>
      <c r="P387" s="790" t="s">
        <v>235</v>
      </c>
      <c r="Q387" s="791" t="s">
        <v>276</v>
      </c>
      <c r="R387" s="790" t="s">
        <v>721</v>
      </c>
      <c r="S387" s="790" t="s">
        <v>276</v>
      </c>
      <c r="T387" s="790" t="s">
        <v>276</v>
      </c>
      <c r="U387" s="790">
        <v>1</v>
      </c>
      <c r="V387" s="789" t="s">
        <v>14</v>
      </c>
      <c r="W387" s="789" t="s">
        <v>98</v>
      </c>
      <c r="X387" s="790" t="s">
        <v>207</v>
      </c>
      <c r="Y387" s="792" t="s">
        <v>98</v>
      </c>
      <c r="Z387" s="790" t="s">
        <v>98</v>
      </c>
      <c r="AA387" s="793">
        <v>104</v>
      </c>
      <c r="AB387" s="793">
        <v>105</v>
      </c>
      <c r="AC387" s="789">
        <v>16</v>
      </c>
      <c r="AD387" s="790" t="s">
        <v>2079</v>
      </c>
      <c r="AE387" s="789">
        <v>20</v>
      </c>
      <c r="AF387" s="790" t="s">
        <v>2079</v>
      </c>
      <c r="AG387" s="790" t="s">
        <v>2122</v>
      </c>
      <c r="AH387" s="790" t="s">
        <v>11554</v>
      </c>
      <c r="AI387" s="793">
        <f>6+4+1+1</f>
        <v>12</v>
      </c>
      <c r="AJ387" s="793">
        <f>12+3+8+4</f>
        <v>27</v>
      </c>
      <c r="AK387" s="793">
        <v>60</v>
      </c>
      <c r="AL387" s="793">
        <v>44</v>
      </c>
      <c r="AM387" s="793" t="s">
        <v>292</v>
      </c>
      <c r="AN387" s="789" t="s">
        <v>276</v>
      </c>
      <c r="AO387" s="794">
        <f>AI387*100/AK387</f>
        <v>20</v>
      </c>
      <c r="AP387" s="789" t="s">
        <v>276</v>
      </c>
      <c r="AQ387" s="789" t="s">
        <v>276</v>
      </c>
      <c r="AR387" s="789" t="s">
        <v>276</v>
      </c>
      <c r="AS387" s="794">
        <f>AJ387*100/AL387</f>
        <v>61.363636363636367</v>
      </c>
      <c r="AT387" s="789" t="s">
        <v>276</v>
      </c>
      <c r="AU387" s="789" t="s">
        <v>276</v>
      </c>
      <c r="AV387" s="789" t="s">
        <v>268</v>
      </c>
      <c r="AW387" s="789" t="s">
        <v>276</v>
      </c>
      <c r="AX387" s="794">
        <f t="shared" ref="AX387" si="135">AO387/AS387</f>
        <v>0.3259259259259259</v>
      </c>
      <c r="AY387" s="789" t="s">
        <v>276</v>
      </c>
      <c r="AZ387" s="789" t="s">
        <v>276</v>
      </c>
      <c r="BA387" s="789" t="s">
        <v>276</v>
      </c>
      <c r="BB387" s="789" t="s">
        <v>282</v>
      </c>
      <c r="BC387" s="789" t="s">
        <v>276</v>
      </c>
      <c r="BD387" s="789" t="s">
        <v>276</v>
      </c>
      <c r="BE387" s="789" t="s">
        <v>276</v>
      </c>
      <c r="BF387" s="790" t="s">
        <v>11550</v>
      </c>
      <c r="BG387" s="790" t="s">
        <v>2044</v>
      </c>
      <c r="BH387" s="9" t="s">
        <v>100</v>
      </c>
      <c r="BI387" s="9" t="s">
        <v>100</v>
      </c>
      <c r="BJ387" s="796"/>
      <c r="BK387" s="796"/>
      <c r="BO387" s="796"/>
      <c r="BP387" s="796"/>
    </row>
    <row r="388" spans="1:68" s="79" customFormat="1" ht="52" hidden="1" x14ac:dyDescent="0.35">
      <c r="A388" s="72">
        <v>9925</v>
      </c>
      <c r="B388" s="72" t="s">
        <v>2037</v>
      </c>
      <c r="C388" s="72" t="s">
        <v>78</v>
      </c>
      <c r="D388" s="73" t="s">
        <v>2123</v>
      </c>
      <c r="E388" s="72" t="s">
        <v>39</v>
      </c>
      <c r="F388" s="72" t="s">
        <v>143</v>
      </c>
      <c r="G388" s="72" t="s">
        <v>225</v>
      </c>
      <c r="H388" s="72" t="s">
        <v>125</v>
      </c>
      <c r="I388" s="72" t="s">
        <v>114</v>
      </c>
      <c r="J388" s="73" t="s">
        <v>25</v>
      </c>
      <c r="K388" s="73" t="s">
        <v>317</v>
      </c>
      <c r="L388" s="73" t="s">
        <v>317</v>
      </c>
      <c r="M388" s="72" t="s">
        <v>301</v>
      </c>
      <c r="N388" s="73" t="s">
        <v>2070</v>
      </c>
      <c r="O388" s="73" t="s">
        <v>276</v>
      </c>
      <c r="P388" s="73" t="s">
        <v>239</v>
      </c>
      <c r="Q388" s="77" t="s">
        <v>276</v>
      </c>
      <c r="R388" s="73" t="s">
        <v>728</v>
      </c>
      <c r="S388" s="73" t="s">
        <v>276</v>
      </c>
      <c r="T388" s="73" t="s">
        <v>276</v>
      </c>
      <c r="U388" s="73">
        <v>1</v>
      </c>
      <c r="V388" s="72" t="s">
        <v>14</v>
      </c>
      <c r="W388" s="72" t="s">
        <v>98</v>
      </c>
      <c r="X388" s="73" t="s">
        <v>207</v>
      </c>
      <c r="Y388" s="74">
        <v>1987</v>
      </c>
      <c r="Z388" s="73">
        <v>1981</v>
      </c>
      <c r="AA388" s="75">
        <f>Y388-1836-AI388</f>
        <v>137</v>
      </c>
      <c r="AB388" s="75">
        <f>Z388-1808-AJ388</f>
        <v>140</v>
      </c>
      <c r="AC388" s="72">
        <v>16</v>
      </c>
      <c r="AD388" s="73" t="s">
        <v>2079</v>
      </c>
      <c r="AE388" s="72">
        <v>20</v>
      </c>
      <c r="AF388" s="73" t="s">
        <v>2079</v>
      </c>
      <c r="AG388" s="73" t="s">
        <v>2124</v>
      </c>
      <c r="AH388" s="73" t="s">
        <v>2046</v>
      </c>
      <c r="AI388" s="75">
        <f>6+4+1+1+2</f>
        <v>14</v>
      </c>
      <c r="AJ388" s="75">
        <f>12+3+8+4+6</f>
        <v>33</v>
      </c>
      <c r="AK388" s="75">
        <v>1987</v>
      </c>
      <c r="AL388" s="75">
        <v>1981</v>
      </c>
      <c r="AM388" s="75" t="s">
        <v>2047</v>
      </c>
      <c r="AN388" s="72" t="s">
        <v>276</v>
      </c>
      <c r="AO388" s="76">
        <f t="shared" si="124"/>
        <v>7.0457976849521895</v>
      </c>
      <c r="AP388" s="72" t="s">
        <v>276</v>
      </c>
      <c r="AQ388" s="72" t="s">
        <v>276</v>
      </c>
      <c r="AR388" s="72" t="s">
        <v>276</v>
      </c>
      <c r="AS388" s="76">
        <f t="shared" si="134"/>
        <v>16.658253407370015</v>
      </c>
      <c r="AT388" s="72" t="s">
        <v>276</v>
      </c>
      <c r="AU388" s="72" t="s">
        <v>276</v>
      </c>
      <c r="AV388" s="72" t="s">
        <v>268</v>
      </c>
      <c r="AW388" s="72" t="s">
        <v>276</v>
      </c>
      <c r="AX388" s="76">
        <f t="shared" si="126"/>
        <v>0.42296137011788748</v>
      </c>
      <c r="AY388" s="72" t="s">
        <v>276</v>
      </c>
      <c r="AZ388" s="72" t="s">
        <v>276</v>
      </c>
      <c r="BA388" s="72" t="s">
        <v>276</v>
      </c>
      <c r="BB388" s="72" t="s">
        <v>282</v>
      </c>
      <c r="BC388" s="72" t="s">
        <v>276</v>
      </c>
      <c r="BD388" s="72" t="s">
        <v>276</v>
      </c>
      <c r="BE388" s="72" t="s">
        <v>276</v>
      </c>
      <c r="BF388" s="73" t="s">
        <v>768</v>
      </c>
      <c r="BG388" s="73" t="s">
        <v>2044</v>
      </c>
      <c r="BH388" s="9" t="s">
        <v>100</v>
      </c>
      <c r="BI388" s="9" t="s">
        <v>100</v>
      </c>
      <c r="BJ388" s="78"/>
      <c r="BK388" s="78"/>
      <c r="BO388" s="78"/>
      <c r="BP388" s="78"/>
    </row>
    <row r="389" spans="1:68" s="79" customFormat="1" ht="52" hidden="1" x14ac:dyDescent="0.35">
      <c r="A389" s="72">
        <v>9925</v>
      </c>
      <c r="B389" s="72" t="s">
        <v>2037</v>
      </c>
      <c r="C389" s="72" t="s">
        <v>78</v>
      </c>
      <c r="D389" s="73" t="s">
        <v>2125</v>
      </c>
      <c r="E389" s="72" t="s">
        <v>39</v>
      </c>
      <c r="F389" s="72" t="s">
        <v>143</v>
      </c>
      <c r="G389" s="72" t="s">
        <v>225</v>
      </c>
      <c r="H389" s="72" t="s">
        <v>125</v>
      </c>
      <c r="I389" s="72" t="s">
        <v>114</v>
      </c>
      <c r="J389" s="73" t="s">
        <v>25</v>
      </c>
      <c r="K389" s="73" t="s">
        <v>317</v>
      </c>
      <c r="L389" s="73" t="s">
        <v>317</v>
      </c>
      <c r="M389" s="72" t="s">
        <v>301</v>
      </c>
      <c r="N389" s="73" t="s">
        <v>2070</v>
      </c>
      <c r="O389" s="73" t="s">
        <v>276</v>
      </c>
      <c r="P389" s="73" t="s">
        <v>239</v>
      </c>
      <c r="Q389" s="77" t="s">
        <v>276</v>
      </c>
      <c r="R389" s="73" t="s">
        <v>733</v>
      </c>
      <c r="S389" s="73" t="s">
        <v>276</v>
      </c>
      <c r="T389" s="73" t="s">
        <v>276</v>
      </c>
      <c r="U389" s="73">
        <v>1</v>
      </c>
      <c r="V389" s="72" t="s">
        <v>14</v>
      </c>
      <c r="W389" s="72" t="s">
        <v>98</v>
      </c>
      <c r="X389" s="73" t="s">
        <v>207</v>
      </c>
      <c r="Y389" s="74">
        <v>1987</v>
      </c>
      <c r="Z389" s="73">
        <v>1981</v>
      </c>
      <c r="AA389" s="75">
        <f>Y389-1805-AI389</f>
        <v>166</v>
      </c>
      <c r="AB389" s="75">
        <f>Z389-1774-AJ389</f>
        <v>170</v>
      </c>
      <c r="AC389" s="72">
        <v>16</v>
      </c>
      <c r="AD389" s="73" t="s">
        <v>2079</v>
      </c>
      <c r="AE389" s="72">
        <v>20</v>
      </c>
      <c r="AF389" s="73" t="s">
        <v>2079</v>
      </c>
      <c r="AG389" s="73" t="s">
        <v>2126</v>
      </c>
      <c r="AH389" s="73" t="s">
        <v>2046</v>
      </c>
      <c r="AI389" s="75">
        <f>6+4+1+1+2+2</f>
        <v>16</v>
      </c>
      <c r="AJ389" s="75">
        <f>12+3+8+4+6+4</f>
        <v>37</v>
      </c>
      <c r="AK389" s="75">
        <v>1987</v>
      </c>
      <c r="AL389" s="75">
        <v>1981</v>
      </c>
      <c r="AM389" s="75" t="s">
        <v>2047</v>
      </c>
      <c r="AN389" s="72" t="s">
        <v>276</v>
      </c>
      <c r="AO389" s="76">
        <f t="shared" si="124"/>
        <v>8.0523402113739309</v>
      </c>
      <c r="AP389" s="72" t="s">
        <v>276</v>
      </c>
      <c r="AQ389" s="72" t="s">
        <v>276</v>
      </c>
      <c r="AR389" s="72" t="s">
        <v>276</v>
      </c>
      <c r="AS389" s="76">
        <f t="shared" si="134"/>
        <v>18.677435638566379</v>
      </c>
      <c r="AT389" s="72" t="s">
        <v>276</v>
      </c>
      <c r="AU389" s="72" t="s">
        <v>276</v>
      </c>
      <c r="AV389" s="72" t="s">
        <v>268</v>
      </c>
      <c r="AW389" s="72" t="s">
        <v>276</v>
      </c>
      <c r="AX389" s="76">
        <f t="shared" si="126"/>
        <v>0.43112664753329077</v>
      </c>
      <c r="AY389" s="72" t="s">
        <v>276</v>
      </c>
      <c r="AZ389" s="72" t="s">
        <v>276</v>
      </c>
      <c r="BA389" s="72" t="s">
        <v>276</v>
      </c>
      <c r="BB389" s="72" t="s">
        <v>282</v>
      </c>
      <c r="BC389" s="72" t="s">
        <v>276</v>
      </c>
      <c r="BD389" s="72" t="s">
        <v>276</v>
      </c>
      <c r="BE389" s="72" t="s">
        <v>276</v>
      </c>
      <c r="BF389" s="73" t="s">
        <v>768</v>
      </c>
      <c r="BG389" s="73" t="s">
        <v>2044</v>
      </c>
      <c r="BH389" s="9" t="s">
        <v>100</v>
      </c>
      <c r="BI389" s="9" t="s">
        <v>100</v>
      </c>
      <c r="BJ389" s="78"/>
      <c r="BK389" s="78"/>
      <c r="BO389" s="78"/>
      <c r="BP389" s="78"/>
    </row>
    <row r="390" spans="1:68" s="33" customFormat="1" ht="52" hidden="1" x14ac:dyDescent="0.35">
      <c r="A390" s="8">
        <v>9925</v>
      </c>
      <c r="B390" s="8" t="s">
        <v>2037</v>
      </c>
      <c r="C390" s="8" t="s">
        <v>78</v>
      </c>
      <c r="D390" s="9" t="s">
        <v>2127</v>
      </c>
      <c r="E390" s="8" t="s">
        <v>39</v>
      </c>
      <c r="F390" s="8" t="s">
        <v>143</v>
      </c>
      <c r="G390" s="8" t="s">
        <v>225</v>
      </c>
      <c r="H390" s="8" t="s">
        <v>125</v>
      </c>
      <c r="I390" s="8" t="s">
        <v>114</v>
      </c>
      <c r="J390" s="9" t="s">
        <v>25</v>
      </c>
      <c r="K390" s="9" t="s">
        <v>317</v>
      </c>
      <c r="L390" s="9" t="s">
        <v>317</v>
      </c>
      <c r="M390" s="8" t="s">
        <v>301</v>
      </c>
      <c r="N390" s="9" t="s">
        <v>2070</v>
      </c>
      <c r="O390" s="9" t="s">
        <v>276</v>
      </c>
      <c r="P390" s="9" t="s">
        <v>235</v>
      </c>
      <c r="Q390" s="52">
        <v>43830</v>
      </c>
      <c r="R390" s="9" t="s">
        <v>276</v>
      </c>
      <c r="S390" s="9" t="s">
        <v>2071</v>
      </c>
      <c r="T390" s="9" t="s">
        <v>2071</v>
      </c>
      <c r="U390" s="9">
        <v>1</v>
      </c>
      <c r="V390" s="8" t="s">
        <v>14</v>
      </c>
      <c r="W390" s="8" t="s">
        <v>98</v>
      </c>
      <c r="X390" s="9" t="s">
        <v>207</v>
      </c>
      <c r="Y390" s="13" t="s">
        <v>98</v>
      </c>
      <c r="Z390" s="9" t="s">
        <v>98</v>
      </c>
      <c r="AA390" s="9" t="s">
        <v>276</v>
      </c>
      <c r="AB390" s="9" t="s">
        <v>276</v>
      </c>
      <c r="AC390" s="8">
        <v>16</v>
      </c>
      <c r="AD390" s="9" t="s">
        <v>2079</v>
      </c>
      <c r="AE390" s="8">
        <v>20</v>
      </c>
      <c r="AF390" s="9" t="s">
        <v>2079</v>
      </c>
      <c r="AG390" s="9" t="s">
        <v>2112</v>
      </c>
      <c r="AH390" s="9" t="s">
        <v>2128</v>
      </c>
      <c r="AI390" s="38">
        <f>9+7</f>
        <v>16</v>
      </c>
      <c r="AJ390" s="38">
        <f>10+27</f>
        <v>37</v>
      </c>
      <c r="AK390" s="38">
        <v>86</v>
      </c>
      <c r="AL390" s="38">
        <v>75</v>
      </c>
      <c r="AM390" s="38" t="s">
        <v>292</v>
      </c>
      <c r="AN390" s="8" t="s">
        <v>276</v>
      </c>
      <c r="AO390" s="14">
        <f>AI390*100/AK390</f>
        <v>18.604651162790699</v>
      </c>
      <c r="AP390" s="8" t="s">
        <v>276</v>
      </c>
      <c r="AQ390" s="8" t="s">
        <v>276</v>
      </c>
      <c r="AR390" s="8" t="s">
        <v>276</v>
      </c>
      <c r="AS390" s="14">
        <f>AJ390*100/AL390</f>
        <v>49.333333333333336</v>
      </c>
      <c r="AT390" s="8" t="s">
        <v>276</v>
      </c>
      <c r="AU390" s="8" t="s">
        <v>276</v>
      </c>
      <c r="AV390" s="8" t="s">
        <v>268</v>
      </c>
      <c r="AW390" s="8" t="s">
        <v>276</v>
      </c>
      <c r="AX390" s="14">
        <f>AO390/AS390</f>
        <v>0.37712130735386551</v>
      </c>
      <c r="AY390" s="8" t="s">
        <v>276</v>
      </c>
      <c r="AZ390" s="8" t="s">
        <v>276</v>
      </c>
      <c r="BA390" s="8" t="s">
        <v>276</v>
      </c>
      <c r="BB390" s="8" t="s">
        <v>282</v>
      </c>
      <c r="BC390" s="8" t="s">
        <v>276</v>
      </c>
      <c r="BD390" s="8" t="s">
        <v>276</v>
      </c>
      <c r="BE390" s="8" t="s">
        <v>276</v>
      </c>
      <c r="BF390" s="9" t="s">
        <v>298</v>
      </c>
      <c r="BG390" s="9" t="s">
        <v>2044</v>
      </c>
      <c r="BH390" s="9" t="s">
        <v>100</v>
      </c>
      <c r="BI390" s="9" t="s">
        <v>100</v>
      </c>
      <c r="BJ390" s="32"/>
      <c r="BK390" s="32"/>
      <c r="BO390" s="32"/>
      <c r="BP390" s="32"/>
    </row>
    <row r="391" spans="1:68" s="79" customFormat="1" ht="52" hidden="1" x14ac:dyDescent="0.35">
      <c r="A391" s="72">
        <v>9925</v>
      </c>
      <c r="B391" s="72" t="s">
        <v>2037</v>
      </c>
      <c r="C391" s="72" t="s">
        <v>78</v>
      </c>
      <c r="D391" s="73" t="s">
        <v>2129</v>
      </c>
      <c r="E391" s="72" t="s">
        <v>39</v>
      </c>
      <c r="F391" s="72" t="s">
        <v>143</v>
      </c>
      <c r="G391" s="72" t="s">
        <v>225</v>
      </c>
      <c r="H391" s="72" t="s">
        <v>125</v>
      </c>
      <c r="I391" s="72" t="s">
        <v>114</v>
      </c>
      <c r="J391" s="73" t="s">
        <v>25</v>
      </c>
      <c r="K391" s="73" t="s">
        <v>307</v>
      </c>
      <c r="L391" s="73" t="s">
        <v>317</v>
      </c>
      <c r="M391" s="72" t="s">
        <v>301</v>
      </c>
      <c r="N391" s="73" t="s">
        <v>2070</v>
      </c>
      <c r="O391" s="73" t="s">
        <v>276</v>
      </c>
      <c r="P391" s="73" t="s">
        <v>239</v>
      </c>
      <c r="Q391" s="77">
        <v>43830</v>
      </c>
      <c r="R391" s="73" t="s">
        <v>276</v>
      </c>
      <c r="S391" s="73" t="s">
        <v>2071</v>
      </c>
      <c r="T391" s="73" t="s">
        <v>2071</v>
      </c>
      <c r="U391" s="73">
        <v>1</v>
      </c>
      <c r="V391" s="72" t="s">
        <v>14</v>
      </c>
      <c r="W391" s="72" t="s">
        <v>98</v>
      </c>
      <c r="X391" s="73" t="s">
        <v>207</v>
      </c>
      <c r="Y391" s="74">
        <v>1987</v>
      </c>
      <c r="Z391" s="73">
        <v>1981</v>
      </c>
      <c r="AA391" s="73" t="s">
        <v>276</v>
      </c>
      <c r="AB391" s="73" t="s">
        <v>276</v>
      </c>
      <c r="AC391" s="72">
        <v>16</v>
      </c>
      <c r="AD391" s="73" t="s">
        <v>2079</v>
      </c>
      <c r="AE391" s="72">
        <v>20</v>
      </c>
      <c r="AF391" s="73" t="s">
        <v>2079</v>
      </c>
      <c r="AG391" s="73" t="s">
        <v>2130</v>
      </c>
      <c r="AH391" s="73" t="s">
        <v>2046</v>
      </c>
      <c r="AI391" s="75">
        <f>45+9</f>
        <v>54</v>
      </c>
      <c r="AJ391" s="75">
        <f>12+6</f>
        <v>18</v>
      </c>
      <c r="AK391" s="75">
        <v>1987</v>
      </c>
      <c r="AL391" s="75">
        <v>1981</v>
      </c>
      <c r="AM391" s="75" t="s">
        <v>2047</v>
      </c>
      <c r="AN391" s="72" t="s">
        <v>276</v>
      </c>
      <c r="AO391" s="76">
        <f>AI391*1000/AK391</f>
        <v>27.176648213387015</v>
      </c>
      <c r="AP391" s="72" t="s">
        <v>276</v>
      </c>
      <c r="AQ391" s="72" t="s">
        <v>276</v>
      </c>
      <c r="AR391" s="72" t="s">
        <v>276</v>
      </c>
      <c r="AS391" s="76">
        <f t="shared" ref="AS391:AS392" si="136">AJ391*1000/AL391</f>
        <v>9.0863200403836455</v>
      </c>
      <c r="AT391" s="72" t="s">
        <v>276</v>
      </c>
      <c r="AU391" s="72" t="s">
        <v>276</v>
      </c>
      <c r="AV391" s="72" t="s">
        <v>268</v>
      </c>
      <c r="AW391" s="72" t="s">
        <v>276</v>
      </c>
      <c r="AX391" s="76">
        <f>AO391/AS391</f>
        <v>2.9909411172622038</v>
      </c>
      <c r="AY391" s="72" t="s">
        <v>276</v>
      </c>
      <c r="AZ391" s="72" t="s">
        <v>276</v>
      </c>
      <c r="BA391" s="72" t="s">
        <v>431</v>
      </c>
      <c r="BB391" s="72" t="s">
        <v>282</v>
      </c>
      <c r="BC391" s="72" t="s">
        <v>276</v>
      </c>
      <c r="BD391" s="72" t="s">
        <v>276</v>
      </c>
      <c r="BE391" s="72" t="s">
        <v>276</v>
      </c>
      <c r="BF391" s="73" t="s">
        <v>2131</v>
      </c>
      <c r="BG391" s="73" t="s">
        <v>2044</v>
      </c>
      <c r="BH391" s="9" t="s">
        <v>100</v>
      </c>
      <c r="BI391" s="9" t="s">
        <v>100</v>
      </c>
      <c r="BJ391" s="78"/>
      <c r="BK391" s="78"/>
      <c r="BO391" s="78"/>
      <c r="BP391" s="78"/>
    </row>
    <row r="392" spans="1:68" s="79" customFormat="1" ht="52" hidden="1" x14ac:dyDescent="0.35">
      <c r="A392" s="72">
        <v>9925</v>
      </c>
      <c r="B392" s="72" t="s">
        <v>2037</v>
      </c>
      <c r="C392" s="72" t="s">
        <v>78</v>
      </c>
      <c r="D392" s="73" t="s">
        <v>2132</v>
      </c>
      <c r="E392" s="72" t="s">
        <v>39</v>
      </c>
      <c r="F392" s="72" t="s">
        <v>143</v>
      </c>
      <c r="G392" s="72" t="s">
        <v>225</v>
      </c>
      <c r="H392" s="72" t="s">
        <v>125</v>
      </c>
      <c r="I392" s="72" t="s">
        <v>114</v>
      </c>
      <c r="J392" s="73" t="s">
        <v>25</v>
      </c>
      <c r="K392" s="73" t="s">
        <v>307</v>
      </c>
      <c r="L392" s="73" t="s">
        <v>317</v>
      </c>
      <c r="M392" s="72" t="s">
        <v>301</v>
      </c>
      <c r="N392" s="73" t="s">
        <v>2070</v>
      </c>
      <c r="O392" s="73" t="s">
        <v>276</v>
      </c>
      <c r="P392" s="73" t="s">
        <v>239</v>
      </c>
      <c r="Q392" s="77">
        <v>43830</v>
      </c>
      <c r="R392" s="73" t="s">
        <v>276</v>
      </c>
      <c r="S392" s="73" t="s">
        <v>2071</v>
      </c>
      <c r="T392" s="73" t="s">
        <v>2071</v>
      </c>
      <c r="U392" s="73">
        <v>1</v>
      </c>
      <c r="V392" s="72" t="s">
        <v>14</v>
      </c>
      <c r="W392" s="72" t="s">
        <v>98</v>
      </c>
      <c r="X392" s="73" t="s">
        <v>207</v>
      </c>
      <c r="Y392" s="74">
        <v>1987</v>
      </c>
      <c r="Z392" s="73">
        <v>1981</v>
      </c>
      <c r="AA392" s="73" t="s">
        <v>276</v>
      </c>
      <c r="AB392" s="73" t="s">
        <v>276</v>
      </c>
      <c r="AC392" s="72">
        <v>16</v>
      </c>
      <c r="AD392" s="73" t="s">
        <v>2079</v>
      </c>
      <c r="AE392" s="72">
        <v>20</v>
      </c>
      <c r="AF392" s="73" t="s">
        <v>2079</v>
      </c>
      <c r="AG392" s="73" t="s">
        <v>2133</v>
      </c>
      <c r="AH392" s="73" t="s">
        <v>2086</v>
      </c>
      <c r="AI392" s="75">
        <f>45+9</f>
        <v>54</v>
      </c>
      <c r="AJ392" s="75">
        <f>12+6</f>
        <v>18</v>
      </c>
      <c r="AK392" s="82">
        <v>13493.8</v>
      </c>
      <c r="AL392" s="82">
        <v>13539.1</v>
      </c>
      <c r="AM392" s="75" t="s">
        <v>425</v>
      </c>
      <c r="AN392" s="72" t="s">
        <v>276</v>
      </c>
      <c r="AO392" s="76">
        <f>AI392*1000/AK392</f>
        <v>4.0018378811009505</v>
      </c>
      <c r="AP392" s="72" t="s">
        <v>276</v>
      </c>
      <c r="AQ392" s="72" t="s">
        <v>276</v>
      </c>
      <c r="AR392" s="72" t="s">
        <v>276</v>
      </c>
      <c r="AS392" s="76">
        <f t="shared" si="136"/>
        <v>1.3294827573472388</v>
      </c>
      <c r="AT392" s="72" t="s">
        <v>276</v>
      </c>
      <c r="AU392" s="72" t="s">
        <v>276</v>
      </c>
      <c r="AV392" s="72" t="s">
        <v>269</v>
      </c>
      <c r="AW392" s="72" t="s">
        <v>276</v>
      </c>
      <c r="AX392" s="76">
        <f>AO392/AS392</f>
        <v>3.0100712920007711</v>
      </c>
      <c r="AY392" s="72" t="s">
        <v>276</v>
      </c>
      <c r="AZ392" s="72" t="s">
        <v>276</v>
      </c>
      <c r="BA392" s="72" t="s">
        <v>276</v>
      </c>
      <c r="BB392" s="72" t="s">
        <v>282</v>
      </c>
      <c r="BC392" s="72" t="s">
        <v>276</v>
      </c>
      <c r="BD392" s="72" t="s">
        <v>276</v>
      </c>
      <c r="BE392" s="72" t="s">
        <v>276</v>
      </c>
      <c r="BF392" s="73" t="s">
        <v>2131</v>
      </c>
      <c r="BG392" s="73" t="s">
        <v>2044</v>
      </c>
      <c r="BH392" s="9" t="s">
        <v>100</v>
      </c>
      <c r="BI392" s="9" t="s">
        <v>100</v>
      </c>
      <c r="BJ392" s="78"/>
      <c r="BK392" s="78"/>
      <c r="BO392" s="78"/>
      <c r="BP392" s="78"/>
    </row>
    <row r="393" spans="1:68" s="33" customFormat="1" ht="78" hidden="1" x14ac:dyDescent="0.35">
      <c r="A393" s="8">
        <v>2627</v>
      </c>
      <c r="B393" s="8" t="s">
        <v>2134</v>
      </c>
      <c r="C393" s="8" t="s">
        <v>68</v>
      </c>
      <c r="D393" s="9" t="s">
        <v>2150</v>
      </c>
      <c r="E393" s="8" t="s">
        <v>38</v>
      </c>
      <c r="F393" s="9" t="s">
        <v>2136</v>
      </c>
      <c r="G393" s="8" t="s">
        <v>225</v>
      </c>
      <c r="H393" s="8" t="s">
        <v>225</v>
      </c>
      <c r="I393" s="8" t="s">
        <v>98</v>
      </c>
      <c r="J393" s="9" t="s">
        <v>98</v>
      </c>
      <c r="K393" s="8" t="s">
        <v>98</v>
      </c>
      <c r="L393" s="8" t="s">
        <v>98</v>
      </c>
      <c r="M393" s="8" t="s">
        <v>98</v>
      </c>
      <c r="N393" s="9" t="s">
        <v>2151</v>
      </c>
      <c r="O393" s="9" t="s">
        <v>276</v>
      </c>
      <c r="P393" s="9" t="s">
        <v>238</v>
      </c>
      <c r="Q393" s="52">
        <v>35064</v>
      </c>
      <c r="R393" s="9" t="s">
        <v>276</v>
      </c>
      <c r="S393" s="9" t="s">
        <v>2140</v>
      </c>
      <c r="T393" s="9" t="s">
        <v>98</v>
      </c>
      <c r="U393" s="9" t="s">
        <v>2152</v>
      </c>
      <c r="V393" s="8" t="s">
        <v>14</v>
      </c>
      <c r="W393" s="8" t="s">
        <v>98</v>
      </c>
      <c r="X393" s="9" t="s">
        <v>209</v>
      </c>
      <c r="Y393" s="13">
        <v>3712</v>
      </c>
      <c r="Z393" s="9" t="s">
        <v>98</v>
      </c>
      <c r="AA393" s="9" t="s">
        <v>276</v>
      </c>
      <c r="AB393" s="9" t="s">
        <v>98</v>
      </c>
      <c r="AC393" s="8">
        <v>0</v>
      </c>
      <c r="AD393" s="8" t="s">
        <v>98</v>
      </c>
      <c r="AE393" s="8" t="s">
        <v>98</v>
      </c>
      <c r="AF393" s="8" t="s">
        <v>98</v>
      </c>
      <c r="AG393" s="9" t="s">
        <v>2153</v>
      </c>
      <c r="AH393" s="9" t="s">
        <v>689</v>
      </c>
      <c r="AI393" s="38">
        <v>142</v>
      </c>
      <c r="AJ393" s="38" t="s">
        <v>98</v>
      </c>
      <c r="AK393" s="13">
        <v>3712</v>
      </c>
      <c r="AL393" s="38" t="s">
        <v>98</v>
      </c>
      <c r="AM393" s="38" t="s">
        <v>690</v>
      </c>
      <c r="AN393" s="14" t="s">
        <v>276</v>
      </c>
      <c r="AO393" s="14">
        <f>AI393*1000/AK393</f>
        <v>38.254310344827587</v>
      </c>
      <c r="AP393" s="8" t="s">
        <v>276</v>
      </c>
      <c r="AQ393" s="8" t="s">
        <v>276</v>
      </c>
      <c r="AR393" s="8" t="s">
        <v>98</v>
      </c>
      <c r="AS393" s="14" t="s">
        <v>98</v>
      </c>
      <c r="AT393" s="8" t="s">
        <v>98</v>
      </c>
      <c r="AU393" s="8" t="s">
        <v>98</v>
      </c>
      <c r="AV393" s="9" t="s">
        <v>98</v>
      </c>
      <c r="AW393" s="40" t="s">
        <v>98</v>
      </c>
      <c r="AX393" s="40" t="s">
        <v>98</v>
      </c>
      <c r="AY393" s="9" t="s">
        <v>98</v>
      </c>
      <c r="AZ393" s="9" t="s">
        <v>98</v>
      </c>
      <c r="BA393" s="9" t="s">
        <v>98</v>
      </c>
      <c r="BB393" s="9" t="s">
        <v>98</v>
      </c>
      <c r="BC393" s="9" t="s">
        <v>98</v>
      </c>
      <c r="BD393" s="9" t="s">
        <v>98</v>
      </c>
      <c r="BE393" s="9" t="s">
        <v>98</v>
      </c>
      <c r="BF393" s="9" t="s">
        <v>2154</v>
      </c>
      <c r="BG393" s="9"/>
      <c r="BH393" s="9" t="s">
        <v>100</v>
      </c>
      <c r="BI393" s="9" t="s">
        <v>100</v>
      </c>
      <c r="BJ393" s="32"/>
      <c r="BK393" s="32"/>
      <c r="BO393" s="32"/>
      <c r="BP393" s="32"/>
    </row>
    <row r="394" spans="1:68" s="33" customFormat="1" ht="78" hidden="1" x14ac:dyDescent="0.35">
      <c r="A394" s="8">
        <v>2627</v>
      </c>
      <c r="B394" s="8" t="s">
        <v>2134</v>
      </c>
      <c r="C394" s="8" t="s">
        <v>68</v>
      </c>
      <c r="D394" s="9" t="s">
        <v>2155</v>
      </c>
      <c r="E394" s="8" t="s">
        <v>38</v>
      </c>
      <c r="F394" s="9" t="s">
        <v>2136</v>
      </c>
      <c r="G394" s="8" t="s">
        <v>225</v>
      </c>
      <c r="H394" s="8" t="s">
        <v>225</v>
      </c>
      <c r="I394" s="8" t="s">
        <v>98</v>
      </c>
      <c r="J394" s="9" t="s">
        <v>98</v>
      </c>
      <c r="K394" s="8" t="s">
        <v>98</v>
      </c>
      <c r="L394" s="8" t="s">
        <v>98</v>
      </c>
      <c r="M394" s="8" t="s">
        <v>98</v>
      </c>
      <c r="N394" s="9" t="s">
        <v>2151</v>
      </c>
      <c r="O394" s="9" t="s">
        <v>276</v>
      </c>
      <c r="P394" s="9" t="s">
        <v>236</v>
      </c>
      <c r="Q394" s="52">
        <v>35064</v>
      </c>
      <c r="R394" s="9" t="s">
        <v>276</v>
      </c>
      <c r="S394" s="9" t="s">
        <v>2140</v>
      </c>
      <c r="T394" s="9" t="s">
        <v>98</v>
      </c>
      <c r="U394" s="9" t="s">
        <v>2152</v>
      </c>
      <c r="V394" s="8" t="s">
        <v>14</v>
      </c>
      <c r="W394" s="8" t="s">
        <v>98</v>
      </c>
      <c r="X394" s="9" t="s">
        <v>209</v>
      </c>
      <c r="Y394" s="13">
        <v>3712</v>
      </c>
      <c r="Z394" s="9" t="s">
        <v>98</v>
      </c>
      <c r="AA394" s="9" t="s">
        <v>276</v>
      </c>
      <c r="AB394" s="9" t="s">
        <v>98</v>
      </c>
      <c r="AC394" s="8">
        <v>0</v>
      </c>
      <c r="AD394" s="8" t="s">
        <v>98</v>
      </c>
      <c r="AE394" s="8" t="s">
        <v>98</v>
      </c>
      <c r="AF394" s="8" t="s">
        <v>98</v>
      </c>
      <c r="AG394" s="9" t="s">
        <v>2153</v>
      </c>
      <c r="AH394" s="9" t="s">
        <v>2156</v>
      </c>
      <c r="AI394" s="38">
        <v>142</v>
      </c>
      <c r="AJ394" s="38" t="s">
        <v>98</v>
      </c>
      <c r="AK394" s="13">
        <v>257</v>
      </c>
      <c r="AL394" s="38" t="s">
        <v>98</v>
      </c>
      <c r="AM394" s="38" t="s">
        <v>292</v>
      </c>
      <c r="AN394" s="14">
        <v>55.3</v>
      </c>
      <c r="AO394" s="14">
        <f>AI394*100/AK394</f>
        <v>55.252918287937746</v>
      </c>
      <c r="AP394" s="8" t="s">
        <v>276</v>
      </c>
      <c r="AQ394" s="8" t="s">
        <v>276</v>
      </c>
      <c r="AR394" s="8" t="s">
        <v>98</v>
      </c>
      <c r="AS394" s="14" t="s">
        <v>98</v>
      </c>
      <c r="AT394" s="8" t="s">
        <v>98</v>
      </c>
      <c r="AU394" s="8" t="s">
        <v>98</v>
      </c>
      <c r="AV394" s="9" t="s">
        <v>98</v>
      </c>
      <c r="AW394" s="40" t="s">
        <v>98</v>
      </c>
      <c r="AX394" s="40" t="s">
        <v>98</v>
      </c>
      <c r="AY394" s="9" t="s">
        <v>98</v>
      </c>
      <c r="AZ394" s="9" t="s">
        <v>98</v>
      </c>
      <c r="BA394" s="9" t="s">
        <v>98</v>
      </c>
      <c r="BB394" s="9" t="s">
        <v>98</v>
      </c>
      <c r="BC394" s="9" t="s">
        <v>98</v>
      </c>
      <c r="BD394" s="9" t="s">
        <v>98</v>
      </c>
      <c r="BE394" s="9" t="s">
        <v>98</v>
      </c>
      <c r="BF394" s="9" t="s">
        <v>2154</v>
      </c>
      <c r="BG394" s="9"/>
      <c r="BH394" s="9" t="s">
        <v>100</v>
      </c>
      <c r="BI394" s="9" t="s">
        <v>100</v>
      </c>
      <c r="BJ394" s="32"/>
      <c r="BK394" s="32"/>
      <c r="BO394" s="32"/>
      <c r="BP394" s="32"/>
    </row>
    <row r="395" spans="1:68" s="33" customFormat="1" ht="104.5" hidden="1" customHeight="1" x14ac:dyDescent="0.35">
      <c r="A395" s="8">
        <v>2627</v>
      </c>
      <c r="B395" s="8" t="s">
        <v>2134</v>
      </c>
      <c r="C395" s="8" t="s">
        <v>68</v>
      </c>
      <c r="D395" s="9" t="s">
        <v>2157</v>
      </c>
      <c r="E395" s="8" t="s">
        <v>38</v>
      </c>
      <c r="F395" s="9" t="s">
        <v>2136</v>
      </c>
      <c r="G395" s="8" t="s">
        <v>2137</v>
      </c>
      <c r="H395" s="8" t="s">
        <v>225</v>
      </c>
      <c r="I395" s="8" t="s">
        <v>98</v>
      </c>
      <c r="J395" s="9" t="s">
        <v>25</v>
      </c>
      <c r="K395" s="8" t="s">
        <v>300</v>
      </c>
      <c r="L395" s="9" t="s">
        <v>2158</v>
      </c>
      <c r="M395" s="9" t="s">
        <v>2159</v>
      </c>
      <c r="N395" s="9" t="s">
        <v>2151</v>
      </c>
      <c r="O395" s="9" t="s">
        <v>276</v>
      </c>
      <c r="P395" s="9" t="s">
        <v>239</v>
      </c>
      <c r="Q395" s="52">
        <v>35064</v>
      </c>
      <c r="R395" s="9" t="s">
        <v>276</v>
      </c>
      <c r="S395" s="9" t="s">
        <v>2140</v>
      </c>
      <c r="T395" s="9" t="s">
        <v>2141</v>
      </c>
      <c r="U395" s="9" t="s">
        <v>2160</v>
      </c>
      <c r="V395" s="8" t="s">
        <v>14</v>
      </c>
      <c r="W395" s="8" t="s">
        <v>98</v>
      </c>
      <c r="X395" s="9" t="s">
        <v>208</v>
      </c>
      <c r="Y395" s="13">
        <v>3712</v>
      </c>
      <c r="Z395" s="9">
        <v>1869</v>
      </c>
      <c r="AA395" s="9" t="s">
        <v>276</v>
      </c>
      <c r="AB395" s="9" t="s">
        <v>276</v>
      </c>
      <c r="AC395" s="8">
        <v>0</v>
      </c>
      <c r="AD395" s="8" t="s">
        <v>98</v>
      </c>
      <c r="AE395" s="8">
        <v>0</v>
      </c>
      <c r="AF395" s="8" t="s">
        <v>98</v>
      </c>
      <c r="AG395" s="9" t="s">
        <v>2161</v>
      </c>
      <c r="AH395" s="9" t="s">
        <v>689</v>
      </c>
      <c r="AI395" s="38">
        <v>76</v>
      </c>
      <c r="AJ395" s="38">
        <v>7</v>
      </c>
      <c r="AK395" s="13">
        <v>3712</v>
      </c>
      <c r="AL395" s="9">
        <v>1869</v>
      </c>
      <c r="AM395" s="38" t="s">
        <v>690</v>
      </c>
      <c r="AN395" s="14" t="s">
        <v>276</v>
      </c>
      <c r="AO395" s="14">
        <f>AI395*1000/AK395</f>
        <v>20.474137931034484</v>
      </c>
      <c r="AP395" s="8" t="s">
        <v>276</v>
      </c>
      <c r="AQ395" s="8" t="s">
        <v>276</v>
      </c>
      <c r="AR395" s="8" t="s">
        <v>276</v>
      </c>
      <c r="AS395" s="14">
        <f>AJ395*1000/AL395</f>
        <v>3.7453183520599249</v>
      </c>
      <c r="AT395" s="8" t="s">
        <v>276</v>
      </c>
      <c r="AU395" s="8" t="s">
        <v>276</v>
      </c>
      <c r="AV395" s="9" t="s">
        <v>268</v>
      </c>
      <c r="AW395" s="40" t="s">
        <v>276</v>
      </c>
      <c r="AX395" s="40">
        <f t="shared" ref="AX395:AX401" si="137">AO395/AS395</f>
        <v>5.4665948275862073</v>
      </c>
      <c r="AY395" s="9" t="s">
        <v>276</v>
      </c>
      <c r="AZ395" s="9" t="s">
        <v>276</v>
      </c>
      <c r="BA395" s="9" t="s">
        <v>276</v>
      </c>
      <c r="BB395" s="9" t="s">
        <v>282</v>
      </c>
      <c r="BC395" s="9" t="s">
        <v>276</v>
      </c>
      <c r="BD395" s="9" t="s">
        <v>276</v>
      </c>
      <c r="BE395" s="9" t="s">
        <v>276</v>
      </c>
      <c r="BF395" s="9" t="s">
        <v>1029</v>
      </c>
      <c r="BG395" s="9"/>
      <c r="BH395" s="9" t="s">
        <v>100</v>
      </c>
      <c r="BI395" s="9" t="s">
        <v>100</v>
      </c>
      <c r="BJ395" s="32"/>
      <c r="BK395" s="32"/>
      <c r="BO395" s="32"/>
      <c r="BP395" s="32"/>
    </row>
    <row r="396" spans="1:68" s="33" customFormat="1" ht="104.5" hidden="1" customHeight="1" x14ac:dyDescent="0.35">
      <c r="A396" s="8">
        <v>2627</v>
      </c>
      <c r="B396" s="8" t="s">
        <v>2134</v>
      </c>
      <c r="C396" s="8" t="s">
        <v>68</v>
      </c>
      <c r="D396" s="9" t="s">
        <v>2162</v>
      </c>
      <c r="E396" s="8" t="s">
        <v>38</v>
      </c>
      <c r="F396" s="9" t="s">
        <v>2136</v>
      </c>
      <c r="G396" s="8" t="s">
        <v>2137</v>
      </c>
      <c r="H396" s="8" t="s">
        <v>225</v>
      </c>
      <c r="I396" s="8" t="s">
        <v>98</v>
      </c>
      <c r="J396" s="9" t="s">
        <v>25</v>
      </c>
      <c r="K396" s="8" t="s">
        <v>300</v>
      </c>
      <c r="L396" s="9" t="s">
        <v>2158</v>
      </c>
      <c r="M396" s="9" t="s">
        <v>2159</v>
      </c>
      <c r="N396" s="9" t="s">
        <v>2151</v>
      </c>
      <c r="O396" s="9" t="s">
        <v>276</v>
      </c>
      <c r="P396" s="9" t="s">
        <v>239</v>
      </c>
      <c r="Q396" s="52">
        <v>35064</v>
      </c>
      <c r="R396" s="9" t="s">
        <v>276</v>
      </c>
      <c r="S396" s="9" t="s">
        <v>2140</v>
      </c>
      <c r="T396" s="9" t="s">
        <v>2141</v>
      </c>
      <c r="U396" s="9" t="s">
        <v>2160</v>
      </c>
      <c r="V396" s="8" t="s">
        <v>14</v>
      </c>
      <c r="W396" s="8" t="s">
        <v>98</v>
      </c>
      <c r="X396" s="9" t="s">
        <v>208</v>
      </c>
      <c r="Y396" s="13">
        <v>3712</v>
      </c>
      <c r="Z396" s="9">
        <v>1869</v>
      </c>
      <c r="AA396" s="9" t="s">
        <v>276</v>
      </c>
      <c r="AB396" s="9" t="s">
        <v>276</v>
      </c>
      <c r="AC396" s="8">
        <v>0</v>
      </c>
      <c r="AD396" s="8" t="s">
        <v>98</v>
      </c>
      <c r="AE396" s="8">
        <v>0</v>
      </c>
      <c r="AF396" s="8" t="s">
        <v>98</v>
      </c>
      <c r="AG396" s="9" t="s">
        <v>2161</v>
      </c>
      <c r="AH396" s="9" t="s">
        <v>2163</v>
      </c>
      <c r="AI396" s="38">
        <v>76</v>
      </c>
      <c r="AJ396" s="38">
        <v>7</v>
      </c>
      <c r="AK396" s="71">
        <v>19155.400000000001</v>
      </c>
      <c r="AL396" s="71">
        <v>9785.5</v>
      </c>
      <c r="AM396" s="38" t="s">
        <v>1019</v>
      </c>
      <c r="AN396" s="14" t="s">
        <v>276</v>
      </c>
      <c r="AO396" s="14">
        <f>AI396*100000/AK396</f>
        <v>396.75496204725556</v>
      </c>
      <c r="AP396" s="8" t="s">
        <v>276</v>
      </c>
      <c r="AQ396" s="8" t="s">
        <v>276</v>
      </c>
      <c r="AR396" s="8" t="s">
        <v>276</v>
      </c>
      <c r="AS396" s="14">
        <f>AJ396*100000/AL396</f>
        <v>71.534413162332015</v>
      </c>
      <c r="AT396" s="8" t="s">
        <v>276</v>
      </c>
      <c r="AU396" s="8" t="s">
        <v>276</v>
      </c>
      <c r="AV396" s="9" t="s">
        <v>269</v>
      </c>
      <c r="AW396" s="40" t="s">
        <v>276</v>
      </c>
      <c r="AX396" s="40">
        <f t="shared" si="137"/>
        <v>5.5463509730191713</v>
      </c>
      <c r="AY396" s="9" t="s">
        <v>276</v>
      </c>
      <c r="AZ396" s="9" t="s">
        <v>276</v>
      </c>
      <c r="BA396" s="9" t="s">
        <v>276</v>
      </c>
      <c r="BB396" s="9" t="s">
        <v>282</v>
      </c>
      <c r="BC396" s="9" t="s">
        <v>276</v>
      </c>
      <c r="BD396" s="9" t="s">
        <v>276</v>
      </c>
      <c r="BE396" s="9" t="s">
        <v>276</v>
      </c>
      <c r="BF396" s="9" t="s">
        <v>1029</v>
      </c>
      <c r="BG396" s="9"/>
      <c r="BH396" s="9" t="s">
        <v>100</v>
      </c>
      <c r="BI396" s="9" t="s">
        <v>100</v>
      </c>
      <c r="BJ396" s="32"/>
      <c r="BK396" s="32"/>
      <c r="BO396" s="32"/>
      <c r="BP396" s="32"/>
    </row>
    <row r="397" spans="1:68" s="33" customFormat="1" ht="104.5" hidden="1" customHeight="1" x14ac:dyDescent="0.35">
      <c r="A397" s="8">
        <v>2627</v>
      </c>
      <c r="B397" s="8" t="s">
        <v>2134</v>
      </c>
      <c r="C397" s="8" t="s">
        <v>68</v>
      </c>
      <c r="D397" s="9" t="s">
        <v>2164</v>
      </c>
      <c r="E397" s="8" t="s">
        <v>38</v>
      </c>
      <c r="F397" s="9" t="s">
        <v>2136</v>
      </c>
      <c r="G397" s="8" t="s">
        <v>2137</v>
      </c>
      <c r="H397" s="8" t="s">
        <v>225</v>
      </c>
      <c r="I397" s="8" t="s">
        <v>98</v>
      </c>
      <c r="J397" s="9" t="s">
        <v>25</v>
      </c>
      <c r="K397" s="8" t="s">
        <v>304</v>
      </c>
      <c r="L397" s="9" t="s">
        <v>2158</v>
      </c>
      <c r="M397" s="9" t="s">
        <v>2159</v>
      </c>
      <c r="N397" s="9" t="s">
        <v>2151</v>
      </c>
      <c r="O397" s="9" t="s">
        <v>276</v>
      </c>
      <c r="P397" s="9" t="s">
        <v>239</v>
      </c>
      <c r="Q397" s="52">
        <v>35064</v>
      </c>
      <c r="R397" s="9" t="s">
        <v>276</v>
      </c>
      <c r="S397" s="9" t="s">
        <v>2140</v>
      </c>
      <c r="T397" s="9" t="s">
        <v>2141</v>
      </c>
      <c r="U397" s="9" t="s">
        <v>2160</v>
      </c>
      <c r="V397" s="8" t="s">
        <v>14</v>
      </c>
      <c r="W397" s="8" t="s">
        <v>98</v>
      </c>
      <c r="X397" s="9" t="s">
        <v>208</v>
      </c>
      <c r="Y397" s="13">
        <v>3712</v>
      </c>
      <c r="Z397" s="9">
        <v>1869</v>
      </c>
      <c r="AA397" s="9" t="s">
        <v>276</v>
      </c>
      <c r="AB397" s="9" t="s">
        <v>276</v>
      </c>
      <c r="AC397" s="8">
        <v>0</v>
      </c>
      <c r="AD397" s="8" t="s">
        <v>98</v>
      </c>
      <c r="AE397" s="8">
        <v>0</v>
      </c>
      <c r="AF397" s="8" t="s">
        <v>98</v>
      </c>
      <c r="AG397" s="9" t="s">
        <v>2165</v>
      </c>
      <c r="AH397" s="9" t="s">
        <v>689</v>
      </c>
      <c r="AI397" s="38">
        <v>130</v>
      </c>
      <c r="AJ397" s="38">
        <v>62</v>
      </c>
      <c r="AK397" s="13">
        <v>3712</v>
      </c>
      <c r="AL397" s="9">
        <v>1869</v>
      </c>
      <c r="AM397" s="38" t="s">
        <v>690</v>
      </c>
      <c r="AN397" s="14" t="s">
        <v>276</v>
      </c>
      <c r="AO397" s="14">
        <f>AI397*1000/AK397</f>
        <v>35.021551724137929</v>
      </c>
      <c r="AP397" s="8" t="s">
        <v>276</v>
      </c>
      <c r="AQ397" s="8" t="s">
        <v>276</v>
      </c>
      <c r="AR397" s="8" t="s">
        <v>276</v>
      </c>
      <c r="AS397" s="14">
        <f>AJ397*1000/AL397</f>
        <v>33.172819689673624</v>
      </c>
      <c r="AT397" s="8" t="s">
        <v>276</v>
      </c>
      <c r="AU397" s="8" t="s">
        <v>276</v>
      </c>
      <c r="AV397" s="9" t="s">
        <v>268</v>
      </c>
      <c r="AW397" s="40" t="s">
        <v>276</v>
      </c>
      <c r="AX397" s="40">
        <f t="shared" si="137"/>
        <v>1.0557303253615127</v>
      </c>
      <c r="AY397" s="9" t="s">
        <v>276</v>
      </c>
      <c r="AZ397" s="9" t="s">
        <v>276</v>
      </c>
      <c r="BA397" s="9" t="s">
        <v>276</v>
      </c>
      <c r="BB397" s="9" t="s">
        <v>282</v>
      </c>
      <c r="BC397" s="9" t="s">
        <v>276</v>
      </c>
      <c r="BD397" s="9" t="s">
        <v>276</v>
      </c>
      <c r="BE397" s="9" t="s">
        <v>276</v>
      </c>
      <c r="BF397" s="9" t="s">
        <v>1029</v>
      </c>
      <c r="BG397" s="9"/>
      <c r="BH397" s="9" t="s">
        <v>100</v>
      </c>
      <c r="BI397" s="9" t="s">
        <v>100</v>
      </c>
      <c r="BJ397" s="32"/>
      <c r="BK397" s="32"/>
      <c r="BO397" s="32"/>
      <c r="BP397" s="32"/>
    </row>
    <row r="398" spans="1:68" s="33" customFormat="1" ht="104.5" hidden="1" customHeight="1" x14ac:dyDescent="0.35">
      <c r="A398" s="8">
        <v>2627</v>
      </c>
      <c r="B398" s="8" t="s">
        <v>2134</v>
      </c>
      <c r="C398" s="8" t="s">
        <v>68</v>
      </c>
      <c r="D398" s="9" t="s">
        <v>2166</v>
      </c>
      <c r="E398" s="8" t="s">
        <v>38</v>
      </c>
      <c r="F398" s="9" t="s">
        <v>2136</v>
      </c>
      <c r="G398" s="8" t="s">
        <v>2137</v>
      </c>
      <c r="H398" s="8" t="s">
        <v>225</v>
      </c>
      <c r="I398" s="8" t="s">
        <v>98</v>
      </c>
      <c r="J398" s="9" t="s">
        <v>25</v>
      </c>
      <c r="K398" s="8" t="s">
        <v>304</v>
      </c>
      <c r="L398" s="9" t="s">
        <v>2158</v>
      </c>
      <c r="M398" s="9" t="s">
        <v>2159</v>
      </c>
      <c r="N398" s="9" t="s">
        <v>2151</v>
      </c>
      <c r="O398" s="9" t="s">
        <v>276</v>
      </c>
      <c r="P398" s="9" t="s">
        <v>239</v>
      </c>
      <c r="Q398" s="52">
        <v>35064</v>
      </c>
      <c r="R398" s="9" t="s">
        <v>276</v>
      </c>
      <c r="S398" s="9" t="s">
        <v>2140</v>
      </c>
      <c r="T398" s="9" t="s">
        <v>2141</v>
      </c>
      <c r="U398" s="9" t="s">
        <v>2160</v>
      </c>
      <c r="V398" s="8" t="s">
        <v>14</v>
      </c>
      <c r="W398" s="8" t="s">
        <v>98</v>
      </c>
      <c r="X398" s="9" t="s">
        <v>208</v>
      </c>
      <c r="Y398" s="13">
        <v>3712</v>
      </c>
      <c r="Z398" s="9">
        <v>1869</v>
      </c>
      <c r="AA398" s="9" t="s">
        <v>276</v>
      </c>
      <c r="AB398" s="9" t="s">
        <v>276</v>
      </c>
      <c r="AC398" s="8">
        <v>0</v>
      </c>
      <c r="AD398" s="8" t="s">
        <v>98</v>
      </c>
      <c r="AE398" s="8">
        <v>0</v>
      </c>
      <c r="AF398" s="8" t="s">
        <v>98</v>
      </c>
      <c r="AG398" s="9" t="s">
        <v>2165</v>
      </c>
      <c r="AH398" s="9" t="s">
        <v>2163</v>
      </c>
      <c r="AI398" s="38">
        <v>130</v>
      </c>
      <c r="AJ398" s="38">
        <v>62</v>
      </c>
      <c r="AK398" s="71">
        <v>19155.400000000001</v>
      </c>
      <c r="AL398" s="71">
        <v>9785.5</v>
      </c>
      <c r="AM398" s="38" t="s">
        <v>1019</v>
      </c>
      <c r="AN398" s="14" t="s">
        <v>276</v>
      </c>
      <c r="AO398" s="14">
        <f>AI398*100000/AK398</f>
        <v>678.65980350188454</v>
      </c>
      <c r="AP398" s="8" t="s">
        <v>276</v>
      </c>
      <c r="AQ398" s="8" t="s">
        <v>276</v>
      </c>
      <c r="AR398" s="8" t="s">
        <v>276</v>
      </c>
      <c r="AS398" s="14">
        <f>AJ398*100000/AL398</f>
        <v>633.59051658065505</v>
      </c>
      <c r="AT398" s="8" t="s">
        <v>276</v>
      </c>
      <c r="AU398" s="8" t="s">
        <v>276</v>
      </c>
      <c r="AV398" s="9" t="s">
        <v>269</v>
      </c>
      <c r="AW398" s="40" t="s">
        <v>276</v>
      </c>
      <c r="AX398" s="40">
        <f t="shared" si="137"/>
        <v>1.0711331463173694</v>
      </c>
      <c r="AY398" s="9" t="s">
        <v>276</v>
      </c>
      <c r="AZ398" s="9" t="s">
        <v>276</v>
      </c>
      <c r="BA398" s="9" t="s">
        <v>276</v>
      </c>
      <c r="BB398" s="9" t="s">
        <v>282</v>
      </c>
      <c r="BC398" s="9" t="s">
        <v>276</v>
      </c>
      <c r="BD398" s="9" t="s">
        <v>276</v>
      </c>
      <c r="BE398" s="9" t="s">
        <v>276</v>
      </c>
      <c r="BF398" s="9" t="s">
        <v>1029</v>
      </c>
      <c r="BG398" s="9"/>
      <c r="BH398" s="9" t="s">
        <v>100</v>
      </c>
      <c r="BI398" s="9" t="s">
        <v>100</v>
      </c>
      <c r="BJ398" s="32"/>
      <c r="BK398" s="32"/>
      <c r="BO398" s="32"/>
      <c r="BP398" s="32"/>
    </row>
    <row r="399" spans="1:68" s="33" customFormat="1" ht="104.5" hidden="1" customHeight="1" x14ac:dyDescent="0.35">
      <c r="A399" s="8">
        <v>2627</v>
      </c>
      <c r="B399" s="8" t="s">
        <v>2134</v>
      </c>
      <c r="C399" s="8" t="s">
        <v>68</v>
      </c>
      <c r="D399" s="9" t="s">
        <v>2167</v>
      </c>
      <c r="E399" s="8" t="s">
        <v>38</v>
      </c>
      <c r="F399" s="9" t="s">
        <v>2136</v>
      </c>
      <c r="G399" s="8" t="s">
        <v>2137</v>
      </c>
      <c r="H399" s="8" t="s">
        <v>225</v>
      </c>
      <c r="I399" s="8" t="s">
        <v>98</v>
      </c>
      <c r="J399" s="9" t="s">
        <v>25</v>
      </c>
      <c r="K399" s="8" t="s">
        <v>311</v>
      </c>
      <c r="L399" s="9" t="s">
        <v>2158</v>
      </c>
      <c r="M399" s="9" t="s">
        <v>2159</v>
      </c>
      <c r="N399" s="9" t="s">
        <v>2151</v>
      </c>
      <c r="O399" s="9" t="s">
        <v>276</v>
      </c>
      <c r="P399" s="9" t="s">
        <v>239</v>
      </c>
      <c r="Q399" s="52">
        <v>35064</v>
      </c>
      <c r="R399" s="9" t="s">
        <v>276</v>
      </c>
      <c r="S399" s="9" t="s">
        <v>2140</v>
      </c>
      <c r="T399" s="9" t="s">
        <v>2141</v>
      </c>
      <c r="U399" s="9" t="s">
        <v>2160</v>
      </c>
      <c r="V399" s="8" t="s">
        <v>14</v>
      </c>
      <c r="W399" s="8" t="s">
        <v>98</v>
      </c>
      <c r="X399" s="9" t="s">
        <v>208</v>
      </c>
      <c r="Y399" s="13">
        <v>3712</v>
      </c>
      <c r="Z399" s="9">
        <v>1869</v>
      </c>
      <c r="AA399" s="9" t="s">
        <v>276</v>
      </c>
      <c r="AB399" s="9" t="s">
        <v>276</v>
      </c>
      <c r="AC399" s="8">
        <v>0</v>
      </c>
      <c r="AD399" s="8" t="s">
        <v>98</v>
      </c>
      <c r="AE399" s="8">
        <v>0</v>
      </c>
      <c r="AF399" s="8" t="s">
        <v>98</v>
      </c>
      <c r="AG399" s="9" t="s">
        <v>2168</v>
      </c>
      <c r="AH399" s="9" t="s">
        <v>689</v>
      </c>
      <c r="AI399" s="38">
        <v>51</v>
      </c>
      <c r="AJ399" s="38">
        <v>48</v>
      </c>
      <c r="AK399" s="13">
        <v>3712</v>
      </c>
      <c r="AL399" s="9">
        <v>1869</v>
      </c>
      <c r="AM399" s="38" t="s">
        <v>690</v>
      </c>
      <c r="AN399" s="14" t="s">
        <v>276</v>
      </c>
      <c r="AO399" s="14">
        <f>AI399*1000/AK399</f>
        <v>13.739224137931034</v>
      </c>
      <c r="AP399" s="8" t="s">
        <v>276</v>
      </c>
      <c r="AQ399" s="8" t="s">
        <v>276</v>
      </c>
      <c r="AR399" s="8" t="s">
        <v>276</v>
      </c>
      <c r="AS399" s="14">
        <f>AJ399*1000/AL399</f>
        <v>25.682182985553773</v>
      </c>
      <c r="AT399" s="8" t="s">
        <v>276</v>
      </c>
      <c r="AU399" s="8" t="s">
        <v>276</v>
      </c>
      <c r="AV399" s="9" t="s">
        <v>268</v>
      </c>
      <c r="AW399" s="40" t="s">
        <v>276</v>
      </c>
      <c r="AX399" s="40">
        <f t="shared" si="137"/>
        <v>0.53497103987068961</v>
      </c>
      <c r="AY399" s="9" t="s">
        <v>276</v>
      </c>
      <c r="AZ399" s="9" t="s">
        <v>276</v>
      </c>
      <c r="BA399" s="9" t="s">
        <v>276</v>
      </c>
      <c r="BB399" s="9" t="s">
        <v>282</v>
      </c>
      <c r="BC399" s="9" t="s">
        <v>276</v>
      </c>
      <c r="BD399" s="9" t="s">
        <v>276</v>
      </c>
      <c r="BE399" s="9" t="s">
        <v>276</v>
      </c>
      <c r="BF399" s="9" t="s">
        <v>1029</v>
      </c>
      <c r="BG399" s="9"/>
      <c r="BH399" s="9" t="s">
        <v>100</v>
      </c>
      <c r="BI399" s="9" t="s">
        <v>100</v>
      </c>
      <c r="BJ399" s="32"/>
      <c r="BK399" s="32"/>
      <c r="BO399" s="32"/>
      <c r="BP399" s="32"/>
    </row>
    <row r="400" spans="1:68" s="33" customFormat="1" ht="104.5" hidden="1" customHeight="1" x14ac:dyDescent="0.35">
      <c r="A400" s="8">
        <v>2627</v>
      </c>
      <c r="B400" s="8" t="s">
        <v>2134</v>
      </c>
      <c r="C400" s="8" t="s">
        <v>68</v>
      </c>
      <c r="D400" s="9" t="s">
        <v>2169</v>
      </c>
      <c r="E400" s="8" t="s">
        <v>38</v>
      </c>
      <c r="F400" s="9" t="s">
        <v>2136</v>
      </c>
      <c r="G400" s="8" t="s">
        <v>2137</v>
      </c>
      <c r="H400" s="8" t="s">
        <v>225</v>
      </c>
      <c r="I400" s="8" t="s">
        <v>98</v>
      </c>
      <c r="J400" s="9" t="s">
        <v>25</v>
      </c>
      <c r="K400" s="8" t="s">
        <v>311</v>
      </c>
      <c r="L400" s="9" t="s">
        <v>2158</v>
      </c>
      <c r="M400" s="9" t="s">
        <v>2159</v>
      </c>
      <c r="N400" s="9" t="s">
        <v>2151</v>
      </c>
      <c r="O400" s="9" t="s">
        <v>276</v>
      </c>
      <c r="P400" s="9" t="s">
        <v>239</v>
      </c>
      <c r="Q400" s="52">
        <v>35064</v>
      </c>
      <c r="R400" s="9" t="s">
        <v>276</v>
      </c>
      <c r="S400" s="9" t="s">
        <v>2140</v>
      </c>
      <c r="T400" s="9" t="s">
        <v>2141</v>
      </c>
      <c r="U400" s="9" t="s">
        <v>2160</v>
      </c>
      <c r="V400" s="8" t="s">
        <v>14</v>
      </c>
      <c r="W400" s="8" t="s">
        <v>98</v>
      </c>
      <c r="X400" s="9" t="s">
        <v>208</v>
      </c>
      <c r="Y400" s="13">
        <v>3712</v>
      </c>
      <c r="Z400" s="9">
        <v>1869</v>
      </c>
      <c r="AA400" s="9" t="s">
        <v>276</v>
      </c>
      <c r="AB400" s="9" t="s">
        <v>276</v>
      </c>
      <c r="AC400" s="8">
        <v>0</v>
      </c>
      <c r="AD400" s="8" t="s">
        <v>98</v>
      </c>
      <c r="AE400" s="8">
        <v>0</v>
      </c>
      <c r="AF400" s="8" t="s">
        <v>98</v>
      </c>
      <c r="AG400" s="9" t="s">
        <v>2168</v>
      </c>
      <c r="AH400" s="9" t="s">
        <v>2163</v>
      </c>
      <c r="AI400" s="38">
        <v>51</v>
      </c>
      <c r="AJ400" s="38">
        <v>48</v>
      </c>
      <c r="AK400" s="71">
        <v>19155.400000000001</v>
      </c>
      <c r="AL400" s="71">
        <v>9785.5</v>
      </c>
      <c r="AM400" s="38" t="s">
        <v>1019</v>
      </c>
      <c r="AN400" s="14" t="s">
        <v>276</v>
      </c>
      <c r="AO400" s="14">
        <f>AI400*100000/AK400</f>
        <v>266.24346137381622</v>
      </c>
      <c r="AP400" s="8" t="s">
        <v>276</v>
      </c>
      <c r="AQ400" s="8" t="s">
        <v>276</v>
      </c>
      <c r="AR400" s="8" t="s">
        <v>276</v>
      </c>
      <c r="AS400" s="14">
        <f>AJ400*100000/AL400</f>
        <v>490.52169025599102</v>
      </c>
      <c r="AT400" s="8" t="s">
        <v>276</v>
      </c>
      <c r="AU400" s="8" t="s">
        <v>276</v>
      </c>
      <c r="AV400" s="9" t="s">
        <v>269</v>
      </c>
      <c r="AW400" s="40" t="s">
        <v>276</v>
      </c>
      <c r="AX400" s="40">
        <f t="shared" si="137"/>
        <v>0.54277612318197466</v>
      </c>
      <c r="AY400" s="9" t="s">
        <v>276</v>
      </c>
      <c r="AZ400" s="9" t="s">
        <v>276</v>
      </c>
      <c r="BA400" s="9" t="s">
        <v>276</v>
      </c>
      <c r="BB400" s="9" t="s">
        <v>282</v>
      </c>
      <c r="BC400" s="9" t="s">
        <v>276</v>
      </c>
      <c r="BD400" s="9" t="s">
        <v>276</v>
      </c>
      <c r="BE400" s="9" t="s">
        <v>276</v>
      </c>
      <c r="BF400" s="9" t="s">
        <v>1029</v>
      </c>
      <c r="BG400" s="9"/>
      <c r="BH400" s="9" t="s">
        <v>100</v>
      </c>
      <c r="BI400" s="9" t="s">
        <v>100</v>
      </c>
      <c r="BJ400" s="32"/>
      <c r="BK400" s="32"/>
      <c r="BO400" s="32"/>
      <c r="BP400" s="32"/>
    </row>
    <row r="401" spans="1:68" s="33" customFormat="1" ht="104.5" hidden="1" customHeight="1" x14ac:dyDescent="0.35">
      <c r="A401" s="8">
        <v>2627</v>
      </c>
      <c r="B401" s="8" t="s">
        <v>2134</v>
      </c>
      <c r="C401" s="8" t="s">
        <v>68</v>
      </c>
      <c r="D401" s="9" t="s">
        <v>2170</v>
      </c>
      <c r="E401" s="8" t="s">
        <v>38</v>
      </c>
      <c r="F401" s="9" t="s">
        <v>2136</v>
      </c>
      <c r="G401" s="8" t="s">
        <v>2137</v>
      </c>
      <c r="H401" s="8" t="s">
        <v>225</v>
      </c>
      <c r="I401" s="8" t="s">
        <v>98</v>
      </c>
      <c r="J401" s="9" t="s">
        <v>25</v>
      </c>
      <c r="K401" s="8" t="s">
        <v>311</v>
      </c>
      <c r="L401" s="9" t="s">
        <v>2158</v>
      </c>
      <c r="M401" s="9" t="s">
        <v>2159</v>
      </c>
      <c r="N401" s="9" t="s">
        <v>2151</v>
      </c>
      <c r="O401" s="9" t="s">
        <v>276</v>
      </c>
      <c r="P401" s="9" t="s">
        <v>235</v>
      </c>
      <c r="Q401" s="52">
        <v>35064</v>
      </c>
      <c r="R401" s="9" t="s">
        <v>276</v>
      </c>
      <c r="S401" s="9" t="s">
        <v>2140</v>
      </c>
      <c r="T401" s="9" t="s">
        <v>2141</v>
      </c>
      <c r="U401" s="9" t="s">
        <v>2160</v>
      </c>
      <c r="V401" s="8" t="s">
        <v>14</v>
      </c>
      <c r="W401" s="8" t="s">
        <v>98</v>
      </c>
      <c r="X401" s="9" t="s">
        <v>208</v>
      </c>
      <c r="Y401" s="13" t="s">
        <v>98</v>
      </c>
      <c r="Z401" s="9" t="s">
        <v>98</v>
      </c>
      <c r="AA401" s="9" t="s">
        <v>276</v>
      </c>
      <c r="AB401" s="9" t="s">
        <v>276</v>
      </c>
      <c r="AC401" s="8">
        <v>0</v>
      </c>
      <c r="AD401" s="8" t="s">
        <v>98</v>
      </c>
      <c r="AE401" s="8">
        <v>0</v>
      </c>
      <c r="AF401" s="8" t="s">
        <v>98</v>
      </c>
      <c r="AG401" s="9" t="s">
        <v>2171</v>
      </c>
      <c r="AH401" s="9" t="s">
        <v>2172</v>
      </c>
      <c r="AI401" s="38">
        <v>51</v>
      </c>
      <c r="AJ401" s="38">
        <v>48</v>
      </c>
      <c r="AK401" s="13">
        <v>257</v>
      </c>
      <c r="AL401" s="9">
        <v>117</v>
      </c>
      <c r="AM401" s="38" t="s">
        <v>292</v>
      </c>
      <c r="AN401" s="14">
        <v>19.8</v>
      </c>
      <c r="AO401" s="14">
        <f>AI401*100/AK401</f>
        <v>19.844357976653697</v>
      </c>
      <c r="AP401" s="8" t="s">
        <v>276</v>
      </c>
      <c r="AQ401" s="8" t="s">
        <v>276</v>
      </c>
      <c r="AR401" s="8">
        <v>41</v>
      </c>
      <c r="AS401" s="14">
        <f>AJ401*100/AL401</f>
        <v>41.025641025641029</v>
      </c>
      <c r="AT401" s="8" t="s">
        <v>276</v>
      </c>
      <c r="AU401" s="8" t="s">
        <v>276</v>
      </c>
      <c r="AV401" s="9" t="s">
        <v>268</v>
      </c>
      <c r="AW401" s="40" t="s">
        <v>276</v>
      </c>
      <c r="AX401" s="40">
        <f t="shared" si="137"/>
        <v>0.4837062256809338</v>
      </c>
      <c r="AY401" s="9" t="s">
        <v>276</v>
      </c>
      <c r="AZ401" s="9" t="s">
        <v>276</v>
      </c>
      <c r="BA401" s="9" t="s">
        <v>276</v>
      </c>
      <c r="BB401" s="9" t="s">
        <v>282</v>
      </c>
      <c r="BC401" s="9" t="s">
        <v>276</v>
      </c>
      <c r="BD401" s="9" t="s">
        <v>276</v>
      </c>
      <c r="BE401" s="9" t="s">
        <v>276</v>
      </c>
      <c r="BF401" s="9" t="s">
        <v>2173</v>
      </c>
      <c r="BG401" s="9"/>
      <c r="BH401" s="9" t="s">
        <v>100</v>
      </c>
      <c r="BI401" s="9" t="s">
        <v>100</v>
      </c>
      <c r="BJ401" s="32"/>
      <c r="BK401" s="32"/>
      <c r="BO401" s="32"/>
      <c r="BP401" s="32"/>
    </row>
    <row r="402" spans="1:68" s="33" customFormat="1" ht="52" hidden="1" x14ac:dyDescent="0.35">
      <c r="A402" s="8">
        <v>11139</v>
      </c>
      <c r="B402" s="9" t="s">
        <v>2174</v>
      </c>
      <c r="C402" s="8" t="s">
        <v>2175</v>
      </c>
      <c r="D402" s="9" t="s">
        <v>2193</v>
      </c>
      <c r="E402" s="8" t="s">
        <v>36</v>
      </c>
      <c r="F402" s="8" t="s">
        <v>135</v>
      </c>
      <c r="G402" s="8" t="s">
        <v>225</v>
      </c>
      <c r="H402" s="8" t="s">
        <v>225</v>
      </c>
      <c r="I402" s="8" t="s">
        <v>98</v>
      </c>
      <c r="J402" s="9" t="s">
        <v>98</v>
      </c>
      <c r="K402" s="8" t="s">
        <v>98</v>
      </c>
      <c r="L402" s="8" t="s">
        <v>98</v>
      </c>
      <c r="M402" s="8" t="s">
        <v>98</v>
      </c>
      <c r="N402" s="9" t="s">
        <v>2194</v>
      </c>
      <c r="O402" s="9" t="s">
        <v>2195</v>
      </c>
      <c r="P402" s="9" t="s">
        <v>238</v>
      </c>
      <c r="Q402" s="52" t="s">
        <v>276</v>
      </c>
      <c r="R402" s="9" t="s">
        <v>2196</v>
      </c>
      <c r="S402" s="9" t="s">
        <v>276</v>
      </c>
      <c r="T402" s="9" t="s">
        <v>276</v>
      </c>
      <c r="U402" s="9">
        <v>1</v>
      </c>
      <c r="V402" s="9" t="s">
        <v>261</v>
      </c>
      <c r="W402" s="9" t="s">
        <v>2179</v>
      </c>
      <c r="X402" s="9" t="s">
        <v>209</v>
      </c>
      <c r="Y402" s="13">
        <v>28220</v>
      </c>
      <c r="Z402" s="9" t="s">
        <v>98</v>
      </c>
      <c r="AA402" s="9">
        <v>0</v>
      </c>
      <c r="AB402" s="9" t="s">
        <v>98</v>
      </c>
      <c r="AC402" s="8">
        <v>0</v>
      </c>
      <c r="AD402" s="8" t="s">
        <v>98</v>
      </c>
      <c r="AE402" s="8" t="s">
        <v>98</v>
      </c>
      <c r="AF402" s="8" t="s">
        <v>98</v>
      </c>
      <c r="AG402" s="9" t="s">
        <v>2197</v>
      </c>
      <c r="AH402" s="9" t="s">
        <v>2046</v>
      </c>
      <c r="AI402" s="38">
        <v>62</v>
      </c>
      <c r="AJ402" s="38" t="s">
        <v>98</v>
      </c>
      <c r="AK402" s="13">
        <v>28220</v>
      </c>
      <c r="AL402" s="38" t="s">
        <v>98</v>
      </c>
      <c r="AM402" s="38" t="s">
        <v>292</v>
      </c>
      <c r="AN402" s="8" t="s">
        <v>276</v>
      </c>
      <c r="AO402" s="66">
        <f>AI402*100/AK402</f>
        <v>0.21970233876683204</v>
      </c>
      <c r="AP402" s="8" t="s">
        <v>276</v>
      </c>
      <c r="AQ402" s="8" t="s">
        <v>276</v>
      </c>
      <c r="AR402" s="8" t="s">
        <v>98</v>
      </c>
      <c r="AS402" s="8" t="s">
        <v>98</v>
      </c>
      <c r="AT402" s="8" t="s">
        <v>98</v>
      </c>
      <c r="AU402" s="8" t="s">
        <v>98</v>
      </c>
      <c r="AV402" s="8" t="s">
        <v>98</v>
      </c>
      <c r="AW402" s="8" t="s">
        <v>98</v>
      </c>
      <c r="AX402" s="8" t="s">
        <v>98</v>
      </c>
      <c r="AY402" s="8" t="s">
        <v>98</v>
      </c>
      <c r="AZ402" s="8" t="s">
        <v>98</v>
      </c>
      <c r="BA402" s="8" t="s">
        <v>98</v>
      </c>
      <c r="BB402" s="8" t="s">
        <v>98</v>
      </c>
      <c r="BC402" s="8" t="s">
        <v>98</v>
      </c>
      <c r="BD402" s="8" t="s">
        <v>98</v>
      </c>
      <c r="BE402" s="8" t="s">
        <v>98</v>
      </c>
      <c r="BF402" s="9" t="s">
        <v>2198</v>
      </c>
      <c r="BG402" s="9" t="s">
        <v>2199</v>
      </c>
      <c r="BH402" s="9" t="s">
        <v>100</v>
      </c>
      <c r="BI402" s="9" t="s">
        <v>100</v>
      </c>
      <c r="BJ402" s="32"/>
      <c r="BK402" s="32"/>
      <c r="BO402" s="32"/>
      <c r="BP402" s="32"/>
    </row>
    <row r="403" spans="1:68" s="33" customFormat="1" ht="52" hidden="1" x14ac:dyDescent="0.35">
      <c r="A403" s="8">
        <v>11139</v>
      </c>
      <c r="B403" s="9" t="s">
        <v>2174</v>
      </c>
      <c r="C403" s="8" t="s">
        <v>2175</v>
      </c>
      <c r="D403" s="9" t="s">
        <v>2200</v>
      </c>
      <c r="E403" s="8" t="s">
        <v>36</v>
      </c>
      <c r="F403" s="8" t="s">
        <v>135</v>
      </c>
      <c r="G403" s="8" t="s">
        <v>225</v>
      </c>
      <c r="H403" s="8" t="s">
        <v>225</v>
      </c>
      <c r="I403" s="8" t="s">
        <v>98</v>
      </c>
      <c r="J403" s="9" t="s">
        <v>98</v>
      </c>
      <c r="K403" s="8" t="s">
        <v>98</v>
      </c>
      <c r="L403" s="8" t="s">
        <v>98</v>
      </c>
      <c r="M403" s="8" t="s">
        <v>98</v>
      </c>
      <c r="N403" s="9" t="s">
        <v>2194</v>
      </c>
      <c r="O403" s="9" t="s">
        <v>2195</v>
      </c>
      <c r="P403" s="9" t="s">
        <v>238</v>
      </c>
      <c r="Q403" s="52" t="s">
        <v>276</v>
      </c>
      <c r="R403" s="9" t="s">
        <v>2196</v>
      </c>
      <c r="S403" s="9" t="s">
        <v>276</v>
      </c>
      <c r="T403" s="9" t="s">
        <v>276</v>
      </c>
      <c r="U403" s="9">
        <v>1</v>
      </c>
      <c r="V403" s="9" t="s">
        <v>261</v>
      </c>
      <c r="W403" s="9" t="s">
        <v>2179</v>
      </c>
      <c r="X403" s="9" t="s">
        <v>209</v>
      </c>
      <c r="Y403" s="13">
        <v>28220</v>
      </c>
      <c r="Z403" s="9" t="s">
        <v>98</v>
      </c>
      <c r="AA403" s="9">
        <v>0</v>
      </c>
      <c r="AB403" s="9" t="s">
        <v>98</v>
      </c>
      <c r="AC403" s="8">
        <v>0</v>
      </c>
      <c r="AD403" s="8" t="s">
        <v>98</v>
      </c>
      <c r="AE403" s="8" t="s">
        <v>98</v>
      </c>
      <c r="AF403" s="8" t="s">
        <v>98</v>
      </c>
      <c r="AG403" s="9" t="s">
        <v>2201</v>
      </c>
      <c r="AH403" s="9" t="s">
        <v>2046</v>
      </c>
      <c r="AI403" s="38">
        <v>3634</v>
      </c>
      <c r="AJ403" s="38" t="s">
        <v>98</v>
      </c>
      <c r="AK403" s="13">
        <v>28220</v>
      </c>
      <c r="AL403" s="38" t="s">
        <v>98</v>
      </c>
      <c r="AM403" s="38" t="s">
        <v>292</v>
      </c>
      <c r="AN403" s="8" t="s">
        <v>276</v>
      </c>
      <c r="AO403" s="66">
        <f t="shared" ref="AO403" si="138">AI403*100/AK403</f>
        <v>12.877391920623671</v>
      </c>
      <c r="AP403" s="8" t="s">
        <v>276</v>
      </c>
      <c r="AQ403" s="8" t="s">
        <v>276</v>
      </c>
      <c r="AR403" s="8" t="s">
        <v>98</v>
      </c>
      <c r="AS403" s="8" t="s">
        <v>98</v>
      </c>
      <c r="AT403" s="8" t="s">
        <v>98</v>
      </c>
      <c r="AU403" s="8" t="s">
        <v>98</v>
      </c>
      <c r="AV403" s="8" t="s">
        <v>98</v>
      </c>
      <c r="AW403" s="8" t="s">
        <v>98</v>
      </c>
      <c r="AX403" s="8" t="s">
        <v>98</v>
      </c>
      <c r="AY403" s="8" t="s">
        <v>98</v>
      </c>
      <c r="AZ403" s="8" t="s">
        <v>98</v>
      </c>
      <c r="BA403" s="8" t="s">
        <v>98</v>
      </c>
      <c r="BB403" s="8" t="s">
        <v>98</v>
      </c>
      <c r="BC403" s="8" t="s">
        <v>98</v>
      </c>
      <c r="BD403" s="8" t="s">
        <v>98</v>
      </c>
      <c r="BE403" s="8" t="s">
        <v>98</v>
      </c>
      <c r="BF403" s="9" t="s">
        <v>2202</v>
      </c>
      <c r="BG403" s="9" t="s">
        <v>2199</v>
      </c>
      <c r="BH403" s="9" t="s">
        <v>100</v>
      </c>
      <c r="BI403" s="9" t="s">
        <v>100</v>
      </c>
      <c r="BJ403" s="32"/>
      <c r="BK403" s="32"/>
      <c r="BO403" s="32"/>
      <c r="BP403" s="32"/>
    </row>
    <row r="404" spans="1:68" s="33" customFormat="1" ht="52" hidden="1" x14ac:dyDescent="0.35">
      <c r="A404" s="8">
        <v>11139</v>
      </c>
      <c r="B404" s="9" t="s">
        <v>2174</v>
      </c>
      <c r="C404" s="8" t="s">
        <v>2175</v>
      </c>
      <c r="D404" s="9" t="s">
        <v>11679</v>
      </c>
      <c r="E404" s="8" t="s">
        <v>36</v>
      </c>
      <c r="F404" s="8" t="s">
        <v>135</v>
      </c>
      <c r="G404" s="8" t="s">
        <v>225</v>
      </c>
      <c r="H404" s="8" t="s">
        <v>225</v>
      </c>
      <c r="I404" s="8" t="s">
        <v>98</v>
      </c>
      <c r="J404" s="9" t="s">
        <v>98</v>
      </c>
      <c r="K404" s="8" t="s">
        <v>98</v>
      </c>
      <c r="L404" s="8" t="s">
        <v>98</v>
      </c>
      <c r="M404" s="8" t="s">
        <v>98</v>
      </c>
      <c r="N404" s="9" t="s">
        <v>2194</v>
      </c>
      <c r="O404" s="9" t="s">
        <v>2195</v>
      </c>
      <c r="P404" s="9" t="s">
        <v>238</v>
      </c>
      <c r="Q404" s="52" t="s">
        <v>276</v>
      </c>
      <c r="R404" s="9" t="s">
        <v>2196</v>
      </c>
      <c r="S404" s="9" t="s">
        <v>276</v>
      </c>
      <c r="T404" s="9" t="s">
        <v>276</v>
      </c>
      <c r="U404" s="9">
        <v>1</v>
      </c>
      <c r="V404" s="9" t="s">
        <v>261</v>
      </c>
      <c r="W404" s="9" t="s">
        <v>2179</v>
      </c>
      <c r="X404" s="9" t="s">
        <v>209</v>
      </c>
      <c r="Y404" s="13">
        <v>28220</v>
      </c>
      <c r="Z404" s="9" t="s">
        <v>98</v>
      </c>
      <c r="AA404" s="9">
        <v>0</v>
      </c>
      <c r="AB404" s="9" t="s">
        <v>98</v>
      </c>
      <c r="AC404" s="8">
        <v>0</v>
      </c>
      <c r="AD404" s="8" t="s">
        <v>98</v>
      </c>
      <c r="AE404" s="8" t="s">
        <v>98</v>
      </c>
      <c r="AF404" s="8" t="s">
        <v>98</v>
      </c>
      <c r="AG404" s="9" t="s">
        <v>11680</v>
      </c>
      <c r="AH404" s="9" t="s">
        <v>2046</v>
      </c>
      <c r="AI404" s="38">
        <f>3634+62</f>
        <v>3696</v>
      </c>
      <c r="AJ404" s="38" t="s">
        <v>98</v>
      </c>
      <c r="AK404" s="13">
        <v>28220</v>
      </c>
      <c r="AL404" s="38" t="s">
        <v>98</v>
      </c>
      <c r="AM404" s="38" t="s">
        <v>292</v>
      </c>
      <c r="AN404" s="8" t="s">
        <v>276</v>
      </c>
      <c r="AO404" s="66">
        <f t="shared" ref="AO404:AO412" si="139">AI404*100/AK404</f>
        <v>13.097094259390504</v>
      </c>
      <c r="AP404" s="8" t="s">
        <v>276</v>
      </c>
      <c r="AQ404" s="8" t="s">
        <v>276</v>
      </c>
      <c r="AR404" s="8" t="s">
        <v>98</v>
      </c>
      <c r="AS404" s="8" t="s">
        <v>98</v>
      </c>
      <c r="AT404" s="8" t="s">
        <v>98</v>
      </c>
      <c r="AU404" s="8" t="s">
        <v>98</v>
      </c>
      <c r="AV404" s="8" t="s">
        <v>98</v>
      </c>
      <c r="AW404" s="8" t="s">
        <v>98</v>
      </c>
      <c r="AX404" s="8" t="s">
        <v>98</v>
      </c>
      <c r="AY404" s="8" t="s">
        <v>98</v>
      </c>
      <c r="AZ404" s="8" t="s">
        <v>98</v>
      </c>
      <c r="BA404" s="8" t="s">
        <v>98</v>
      </c>
      <c r="BB404" s="8" t="s">
        <v>98</v>
      </c>
      <c r="BC404" s="8" t="s">
        <v>98</v>
      </c>
      <c r="BD404" s="8" t="s">
        <v>98</v>
      </c>
      <c r="BE404" s="8" t="s">
        <v>98</v>
      </c>
      <c r="BF404" s="9" t="s">
        <v>2202</v>
      </c>
      <c r="BG404" s="9" t="s">
        <v>2199</v>
      </c>
      <c r="BH404" s="9" t="s">
        <v>100</v>
      </c>
      <c r="BI404" s="9" t="s">
        <v>100</v>
      </c>
      <c r="BJ404" s="32"/>
      <c r="BK404" s="32"/>
      <c r="BO404" s="32"/>
      <c r="BP404" s="32"/>
    </row>
    <row r="405" spans="1:68" s="33" customFormat="1" ht="65" x14ac:dyDescent="0.35">
      <c r="A405" s="8">
        <v>11139</v>
      </c>
      <c r="B405" s="9" t="s">
        <v>2174</v>
      </c>
      <c r="C405" s="8" t="s">
        <v>2175</v>
      </c>
      <c r="D405" s="9" t="s">
        <v>2203</v>
      </c>
      <c r="E405" s="8" t="s">
        <v>36</v>
      </c>
      <c r="F405" s="8" t="s">
        <v>135</v>
      </c>
      <c r="G405" s="8" t="s">
        <v>225</v>
      </c>
      <c r="H405" s="8" t="s">
        <v>225</v>
      </c>
      <c r="I405" s="8" t="s">
        <v>98</v>
      </c>
      <c r="J405" s="9" t="s">
        <v>98</v>
      </c>
      <c r="K405" s="8" t="s">
        <v>98</v>
      </c>
      <c r="L405" s="8" t="s">
        <v>98</v>
      </c>
      <c r="M405" s="8" t="s">
        <v>98</v>
      </c>
      <c r="N405" s="9" t="s">
        <v>2194</v>
      </c>
      <c r="O405" s="9" t="s">
        <v>2195</v>
      </c>
      <c r="P405" s="9" t="s">
        <v>236</v>
      </c>
      <c r="Q405" s="52" t="s">
        <v>276</v>
      </c>
      <c r="R405" s="9" t="s">
        <v>2180</v>
      </c>
      <c r="S405" s="9" t="s">
        <v>2181</v>
      </c>
      <c r="T405" s="9" t="s">
        <v>2181</v>
      </c>
      <c r="U405" s="9">
        <v>1</v>
      </c>
      <c r="V405" s="9" t="s">
        <v>261</v>
      </c>
      <c r="W405" s="9" t="s">
        <v>2179</v>
      </c>
      <c r="X405" s="9" t="s">
        <v>209</v>
      </c>
      <c r="Y405" s="13" t="s">
        <v>98</v>
      </c>
      <c r="Z405" s="9" t="s">
        <v>98</v>
      </c>
      <c r="AA405" s="9" t="s">
        <v>276</v>
      </c>
      <c r="AB405" s="9" t="s">
        <v>276</v>
      </c>
      <c r="AC405" s="9">
        <v>0</v>
      </c>
      <c r="AD405" s="8" t="s">
        <v>276</v>
      </c>
      <c r="AE405" s="8">
        <v>0</v>
      </c>
      <c r="AF405" s="8" t="s">
        <v>276</v>
      </c>
      <c r="AG405" s="9" t="s">
        <v>2197</v>
      </c>
      <c r="AH405" s="9" t="s">
        <v>2204</v>
      </c>
      <c r="AI405" s="38">
        <v>62</v>
      </c>
      <c r="AJ405" s="38" t="s">
        <v>98</v>
      </c>
      <c r="AK405" s="13">
        <v>259</v>
      </c>
      <c r="AL405" s="38" t="s">
        <v>98</v>
      </c>
      <c r="AM405" s="38" t="s">
        <v>292</v>
      </c>
      <c r="AN405" s="8" t="s">
        <v>276</v>
      </c>
      <c r="AO405" s="14">
        <f t="shared" si="139"/>
        <v>23.938223938223938</v>
      </c>
      <c r="AP405" s="8" t="s">
        <v>276</v>
      </c>
      <c r="AQ405" s="8" t="s">
        <v>276</v>
      </c>
      <c r="AR405" s="8" t="s">
        <v>98</v>
      </c>
      <c r="AS405" s="8" t="s">
        <v>98</v>
      </c>
      <c r="AT405" s="8" t="s">
        <v>98</v>
      </c>
      <c r="AU405" s="8" t="s">
        <v>98</v>
      </c>
      <c r="AV405" s="8" t="s">
        <v>98</v>
      </c>
      <c r="AW405" s="8" t="s">
        <v>98</v>
      </c>
      <c r="AX405" s="8" t="s">
        <v>98</v>
      </c>
      <c r="AY405" s="8" t="s">
        <v>98</v>
      </c>
      <c r="AZ405" s="8" t="s">
        <v>98</v>
      </c>
      <c r="BA405" s="8" t="s">
        <v>98</v>
      </c>
      <c r="BB405" s="8" t="s">
        <v>98</v>
      </c>
      <c r="BC405" s="8" t="s">
        <v>98</v>
      </c>
      <c r="BD405" s="8" t="s">
        <v>98</v>
      </c>
      <c r="BE405" s="8" t="s">
        <v>98</v>
      </c>
      <c r="BF405" s="9" t="s">
        <v>2205</v>
      </c>
      <c r="BG405" s="9" t="s">
        <v>2199</v>
      </c>
      <c r="BH405" s="9" t="s">
        <v>99</v>
      </c>
      <c r="BI405" s="9" t="s">
        <v>100</v>
      </c>
      <c r="BJ405" s="32"/>
      <c r="BK405" s="32"/>
      <c r="BO405" s="32"/>
      <c r="BP405" s="32"/>
    </row>
    <row r="406" spans="1:68" s="79" customFormat="1" ht="52" hidden="1" x14ac:dyDescent="0.35">
      <c r="A406" s="72">
        <v>11139</v>
      </c>
      <c r="B406" s="73" t="s">
        <v>2174</v>
      </c>
      <c r="C406" s="72" t="s">
        <v>2175</v>
      </c>
      <c r="D406" s="73" t="s">
        <v>2206</v>
      </c>
      <c r="E406" s="72" t="s">
        <v>36</v>
      </c>
      <c r="F406" s="72" t="s">
        <v>135</v>
      </c>
      <c r="G406" s="72" t="s">
        <v>225</v>
      </c>
      <c r="H406" s="72" t="s">
        <v>125</v>
      </c>
      <c r="I406" s="72" t="s">
        <v>114</v>
      </c>
      <c r="J406" s="73" t="s">
        <v>28</v>
      </c>
      <c r="K406" s="72" t="s">
        <v>2207</v>
      </c>
      <c r="L406" s="72" t="s">
        <v>2208</v>
      </c>
      <c r="M406" s="72" t="s">
        <v>2209</v>
      </c>
      <c r="N406" s="72" t="s">
        <v>2210</v>
      </c>
      <c r="O406" s="73" t="s">
        <v>2195</v>
      </c>
      <c r="P406" s="73" t="s">
        <v>239</v>
      </c>
      <c r="Q406" s="77" t="s">
        <v>276</v>
      </c>
      <c r="R406" s="73" t="s">
        <v>2180</v>
      </c>
      <c r="S406" s="73" t="s">
        <v>2181</v>
      </c>
      <c r="T406" s="73" t="s">
        <v>2181</v>
      </c>
      <c r="U406" s="73">
        <v>1</v>
      </c>
      <c r="V406" s="73" t="s">
        <v>261</v>
      </c>
      <c r="W406" s="73" t="s">
        <v>2179</v>
      </c>
      <c r="X406" s="73" t="s">
        <v>207</v>
      </c>
      <c r="Y406" s="74">
        <v>28220</v>
      </c>
      <c r="Z406" s="75">
        <v>56365</v>
      </c>
      <c r="AA406" s="73" t="s">
        <v>276</v>
      </c>
      <c r="AB406" s="73" t="s">
        <v>276</v>
      </c>
      <c r="AC406" s="72" t="s">
        <v>276</v>
      </c>
      <c r="AD406" s="72" t="s">
        <v>276</v>
      </c>
      <c r="AE406" s="72">
        <v>38</v>
      </c>
      <c r="AF406" s="72">
        <v>94</v>
      </c>
      <c r="AG406" s="73" t="s">
        <v>2211</v>
      </c>
      <c r="AH406" s="73" t="s">
        <v>2046</v>
      </c>
      <c r="AI406" s="75">
        <v>39</v>
      </c>
      <c r="AJ406" s="75">
        <v>78</v>
      </c>
      <c r="AK406" s="74">
        <v>28220</v>
      </c>
      <c r="AL406" s="75">
        <v>56365</v>
      </c>
      <c r="AM406" s="75" t="s">
        <v>292</v>
      </c>
      <c r="AN406" s="72">
        <v>0.14000000000000001</v>
      </c>
      <c r="AO406" s="76">
        <f t="shared" si="139"/>
        <v>0.13819985825655565</v>
      </c>
      <c r="AP406" s="72" t="s">
        <v>276</v>
      </c>
      <c r="AQ406" s="72" t="s">
        <v>276</v>
      </c>
      <c r="AR406" s="72">
        <v>0.14000000000000001</v>
      </c>
      <c r="AS406" s="76">
        <f t="shared" ref="AS406:AS412" si="140">AJ406*100/AL406</f>
        <v>0.13838374878027143</v>
      </c>
      <c r="AT406" s="72" t="s">
        <v>276</v>
      </c>
      <c r="AU406" s="72" t="s">
        <v>276</v>
      </c>
      <c r="AV406" s="72" t="s">
        <v>268</v>
      </c>
      <c r="AW406" s="83" t="s">
        <v>276</v>
      </c>
      <c r="AX406" s="83">
        <f t="shared" ref="AX406:AX412" si="141">AO406/AS406</f>
        <v>0.99867115520907179</v>
      </c>
      <c r="AY406" s="72" t="s">
        <v>276</v>
      </c>
      <c r="AZ406" s="72" t="s">
        <v>276</v>
      </c>
      <c r="BA406" s="72" t="s">
        <v>276</v>
      </c>
      <c r="BB406" s="73" t="s">
        <v>282</v>
      </c>
      <c r="BC406" s="72" t="s">
        <v>276</v>
      </c>
      <c r="BD406" s="72" t="s">
        <v>276</v>
      </c>
      <c r="BE406" s="72" t="s">
        <v>276</v>
      </c>
      <c r="BF406" s="73" t="s">
        <v>2212</v>
      </c>
      <c r="BG406" s="73" t="s">
        <v>2199</v>
      </c>
      <c r="BH406" s="9" t="s">
        <v>100</v>
      </c>
      <c r="BI406" s="9" t="s">
        <v>100</v>
      </c>
      <c r="BJ406" s="78"/>
      <c r="BK406" s="78"/>
      <c r="BO406" s="78"/>
      <c r="BP406" s="78"/>
    </row>
    <row r="407" spans="1:68" s="79" customFormat="1" ht="52" hidden="1" x14ac:dyDescent="0.35">
      <c r="A407" s="72">
        <v>11139</v>
      </c>
      <c r="B407" s="73" t="s">
        <v>2174</v>
      </c>
      <c r="C407" s="72" t="s">
        <v>2175</v>
      </c>
      <c r="D407" s="73" t="s">
        <v>2213</v>
      </c>
      <c r="E407" s="72" t="s">
        <v>36</v>
      </c>
      <c r="F407" s="72" t="s">
        <v>135</v>
      </c>
      <c r="G407" s="72" t="s">
        <v>225</v>
      </c>
      <c r="H407" s="72" t="s">
        <v>125</v>
      </c>
      <c r="I407" s="72" t="s">
        <v>114</v>
      </c>
      <c r="J407" s="73" t="s">
        <v>28</v>
      </c>
      <c r="K407" s="72" t="s">
        <v>2214</v>
      </c>
      <c r="L407" s="72" t="s">
        <v>2208</v>
      </c>
      <c r="M407" s="72" t="s">
        <v>2209</v>
      </c>
      <c r="N407" s="72" t="s">
        <v>2210</v>
      </c>
      <c r="O407" s="73" t="s">
        <v>2195</v>
      </c>
      <c r="P407" s="73" t="s">
        <v>239</v>
      </c>
      <c r="Q407" s="77" t="s">
        <v>276</v>
      </c>
      <c r="R407" s="73" t="s">
        <v>2180</v>
      </c>
      <c r="S407" s="73" t="s">
        <v>2181</v>
      </c>
      <c r="T407" s="73" t="s">
        <v>2181</v>
      </c>
      <c r="U407" s="73">
        <v>1</v>
      </c>
      <c r="V407" s="73" t="s">
        <v>261</v>
      </c>
      <c r="W407" s="73" t="s">
        <v>2179</v>
      </c>
      <c r="X407" s="73" t="s">
        <v>207</v>
      </c>
      <c r="Y407" s="74">
        <v>28220</v>
      </c>
      <c r="Z407" s="75">
        <v>56365</v>
      </c>
      <c r="AA407" s="73" t="s">
        <v>276</v>
      </c>
      <c r="AB407" s="73" t="s">
        <v>276</v>
      </c>
      <c r="AC407" s="72" t="s">
        <v>276</v>
      </c>
      <c r="AD407" s="72" t="s">
        <v>276</v>
      </c>
      <c r="AE407" s="72">
        <v>38</v>
      </c>
      <c r="AF407" s="72">
        <v>94</v>
      </c>
      <c r="AG407" s="73" t="s">
        <v>2215</v>
      </c>
      <c r="AH407" s="73" t="s">
        <v>2046</v>
      </c>
      <c r="AI407" s="75">
        <v>69</v>
      </c>
      <c r="AJ407" s="75">
        <v>169</v>
      </c>
      <c r="AK407" s="74">
        <v>28220</v>
      </c>
      <c r="AL407" s="75">
        <v>56365</v>
      </c>
      <c r="AM407" s="75" t="s">
        <v>292</v>
      </c>
      <c r="AN407" s="72">
        <v>0.24</v>
      </c>
      <c r="AO407" s="76">
        <f t="shared" si="139"/>
        <v>0.24450744153082921</v>
      </c>
      <c r="AP407" s="72" t="s">
        <v>276</v>
      </c>
      <c r="AQ407" s="72" t="s">
        <v>276</v>
      </c>
      <c r="AR407" s="72">
        <v>0.3</v>
      </c>
      <c r="AS407" s="76">
        <f t="shared" si="140"/>
        <v>0.29983145569058811</v>
      </c>
      <c r="AT407" s="72" t="s">
        <v>276</v>
      </c>
      <c r="AU407" s="72" t="s">
        <v>276</v>
      </c>
      <c r="AV407" s="72" t="s">
        <v>268</v>
      </c>
      <c r="AW407" s="83" t="s">
        <v>276</v>
      </c>
      <c r="AX407" s="83">
        <f t="shared" si="141"/>
        <v>0.81548295514113545</v>
      </c>
      <c r="AY407" s="72" t="s">
        <v>276</v>
      </c>
      <c r="AZ407" s="72" t="s">
        <v>276</v>
      </c>
      <c r="BA407" s="72" t="s">
        <v>276</v>
      </c>
      <c r="BB407" s="73" t="s">
        <v>282</v>
      </c>
      <c r="BC407" s="72" t="s">
        <v>276</v>
      </c>
      <c r="BD407" s="72" t="s">
        <v>276</v>
      </c>
      <c r="BE407" s="72" t="s">
        <v>276</v>
      </c>
      <c r="BF407" s="73" t="s">
        <v>2212</v>
      </c>
      <c r="BG407" s="73" t="s">
        <v>2199</v>
      </c>
      <c r="BH407" s="9" t="s">
        <v>100</v>
      </c>
      <c r="BI407" s="9" t="s">
        <v>100</v>
      </c>
      <c r="BJ407" s="78"/>
      <c r="BK407" s="78"/>
      <c r="BO407" s="78"/>
      <c r="BP407" s="78"/>
    </row>
    <row r="408" spans="1:68" s="79" customFormat="1" ht="65" hidden="1" x14ac:dyDescent="0.35">
      <c r="A408" s="72">
        <v>11139</v>
      </c>
      <c r="B408" s="73" t="s">
        <v>2174</v>
      </c>
      <c r="C408" s="72" t="s">
        <v>2175</v>
      </c>
      <c r="D408" s="73" t="s">
        <v>2216</v>
      </c>
      <c r="E408" s="72" t="s">
        <v>36</v>
      </c>
      <c r="F408" s="72" t="s">
        <v>135</v>
      </c>
      <c r="G408" s="72" t="s">
        <v>225</v>
      </c>
      <c r="H408" s="72" t="s">
        <v>125</v>
      </c>
      <c r="I408" s="72" t="s">
        <v>114</v>
      </c>
      <c r="J408" s="73" t="s">
        <v>28</v>
      </c>
      <c r="K408" s="72" t="s">
        <v>2217</v>
      </c>
      <c r="L408" s="72" t="s">
        <v>2208</v>
      </c>
      <c r="M408" s="72" t="s">
        <v>2209</v>
      </c>
      <c r="N408" s="72" t="s">
        <v>2210</v>
      </c>
      <c r="O408" s="73" t="s">
        <v>2195</v>
      </c>
      <c r="P408" s="73" t="s">
        <v>239</v>
      </c>
      <c r="Q408" s="77" t="s">
        <v>276</v>
      </c>
      <c r="R408" s="73" t="s">
        <v>2180</v>
      </c>
      <c r="S408" s="73" t="s">
        <v>2181</v>
      </c>
      <c r="T408" s="73" t="s">
        <v>2181</v>
      </c>
      <c r="U408" s="73">
        <v>1</v>
      </c>
      <c r="V408" s="73" t="s">
        <v>261</v>
      </c>
      <c r="W408" s="73" t="s">
        <v>2179</v>
      </c>
      <c r="X408" s="73" t="s">
        <v>207</v>
      </c>
      <c r="Y408" s="74">
        <v>28220</v>
      </c>
      <c r="Z408" s="75">
        <v>56365</v>
      </c>
      <c r="AA408" s="73" t="s">
        <v>276</v>
      </c>
      <c r="AB408" s="73" t="s">
        <v>276</v>
      </c>
      <c r="AC408" s="72" t="s">
        <v>276</v>
      </c>
      <c r="AD408" s="72" t="s">
        <v>276</v>
      </c>
      <c r="AE408" s="72">
        <v>38</v>
      </c>
      <c r="AF408" s="72">
        <v>94</v>
      </c>
      <c r="AG408" s="73" t="s">
        <v>2218</v>
      </c>
      <c r="AH408" s="73" t="s">
        <v>2046</v>
      </c>
      <c r="AI408" s="75">
        <f>39+69</f>
        <v>108</v>
      </c>
      <c r="AJ408" s="75">
        <f>78+169</f>
        <v>247</v>
      </c>
      <c r="AK408" s="74">
        <v>28220</v>
      </c>
      <c r="AL408" s="75">
        <v>56365</v>
      </c>
      <c r="AM408" s="75" t="s">
        <v>292</v>
      </c>
      <c r="AN408" s="72">
        <v>0.38</v>
      </c>
      <c r="AO408" s="76">
        <f t="shared" si="139"/>
        <v>0.38270729978738482</v>
      </c>
      <c r="AP408" s="72" t="s">
        <v>276</v>
      </c>
      <c r="AQ408" s="72" t="s">
        <v>276</v>
      </c>
      <c r="AR408" s="72">
        <v>0.44</v>
      </c>
      <c r="AS408" s="76">
        <f t="shared" si="140"/>
        <v>0.4382152044708596</v>
      </c>
      <c r="AT408" s="72" t="s">
        <v>276</v>
      </c>
      <c r="AU408" s="72" t="s">
        <v>276</v>
      </c>
      <c r="AV408" s="72" t="s">
        <v>268</v>
      </c>
      <c r="AW408" s="83" t="s">
        <v>276</v>
      </c>
      <c r="AX408" s="83">
        <f t="shared" si="141"/>
        <v>0.87333186042574673</v>
      </c>
      <c r="AY408" s="72" t="s">
        <v>276</v>
      </c>
      <c r="AZ408" s="72" t="s">
        <v>276</v>
      </c>
      <c r="BA408" s="72" t="s">
        <v>276</v>
      </c>
      <c r="BB408" s="73" t="s">
        <v>282</v>
      </c>
      <c r="BC408" s="72" t="s">
        <v>276</v>
      </c>
      <c r="BD408" s="72" t="s">
        <v>276</v>
      </c>
      <c r="BE408" s="72" t="s">
        <v>276</v>
      </c>
      <c r="BF408" s="73" t="s">
        <v>2219</v>
      </c>
      <c r="BG408" s="73" t="s">
        <v>2199</v>
      </c>
      <c r="BH408" s="9" t="s">
        <v>100</v>
      </c>
      <c r="BI408" s="9" t="s">
        <v>100</v>
      </c>
      <c r="BJ408" s="78"/>
      <c r="BK408" s="78"/>
      <c r="BO408" s="78"/>
      <c r="BP408" s="78"/>
    </row>
    <row r="409" spans="1:68" s="79" customFormat="1" ht="52" hidden="1" x14ac:dyDescent="0.35">
      <c r="A409" s="72">
        <v>11139</v>
      </c>
      <c r="B409" s="73" t="s">
        <v>2174</v>
      </c>
      <c r="C409" s="72" t="s">
        <v>2175</v>
      </c>
      <c r="D409" s="73" t="s">
        <v>2220</v>
      </c>
      <c r="E409" s="72" t="s">
        <v>36</v>
      </c>
      <c r="F409" s="72" t="s">
        <v>135</v>
      </c>
      <c r="G409" s="72" t="s">
        <v>225</v>
      </c>
      <c r="H409" s="72" t="s">
        <v>125</v>
      </c>
      <c r="I409" s="72" t="s">
        <v>114</v>
      </c>
      <c r="J409" s="73" t="s">
        <v>28</v>
      </c>
      <c r="K409" s="72" t="s">
        <v>2221</v>
      </c>
      <c r="L409" s="72" t="s">
        <v>2208</v>
      </c>
      <c r="M409" s="72" t="s">
        <v>2209</v>
      </c>
      <c r="N409" s="72" t="s">
        <v>2210</v>
      </c>
      <c r="O409" s="73" t="s">
        <v>2195</v>
      </c>
      <c r="P409" s="73" t="s">
        <v>239</v>
      </c>
      <c r="Q409" s="77" t="s">
        <v>276</v>
      </c>
      <c r="R409" s="73" t="s">
        <v>2180</v>
      </c>
      <c r="S409" s="73" t="s">
        <v>2181</v>
      </c>
      <c r="T409" s="73" t="s">
        <v>2181</v>
      </c>
      <c r="U409" s="73">
        <v>1</v>
      </c>
      <c r="V409" s="73" t="s">
        <v>261</v>
      </c>
      <c r="W409" s="73" t="s">
        <v>2179</v>
      </c>
      <c r="X409" s="73" t="s">
        <v>207</v>
      </c>
      <c r="Y409" s="74">
        <v>28220</v>
      </c>
      <c r="Z409" s="75">
        <v>56365</v>
      </c>
      <c r="AA409" s="73" t="s">
        <v>276</v>
      </c>
      <c r="AB409" s="73" t="s">
        <v>276</v>
      </c>
      <c r="AC409" s="72" t="s">
        <v>276</v>
      </c>
      <c r="AD409" s="72" t="s">
        <v>276</v>
      </c>
      <c r="AE409" s="72">
        <v>38</v>
      </c>
      <c r="AF409" s="72">
        <v>94</v>
      </c>
      <c r="AG409" s="73" t="s">
        <v>2222</v>
      </c>
      <c r="AH409" s="73" t="s">
        <v>2046</v>
      </c>
      <c r="AI409" s="75">
        <v>66</v>
      </c>
      <c r="AJ409" s="75">
        <v>174</v>
      </c>
      <c r="AK409" s="74">
        <v>28220</v>
      </c>
      <c r="AL409" s="75">
        <v>56365</v>
      </c>
      <c r="AM409" s="75" t="s">
        <v>292</v>
      </c>
      <c r="AN409" s="72">
        <v>0.23</v>
      </c>
      <c r="AO409" s="76">
        <f t="shared" si="139"/>
        <v>0.23387668320340185</v>
      </c>
      <c r="AP409" s="72" t="s">
        <v>276</v>
      </c>
      <c r="AQ409" s="72" t="s">
        <v>276</v>
      </c>
      <c r="AR409" s="72">
        <v>0.31</v>
      </c>
      <c r="AS409" s="76">
        <f t="shared" si="140"/>
        <v>0.30870220881752863</v>
      </c>
      <c r="AT409" s="72" t="s">
        <v>276</v>
      </c>
      <c r="AU409" s="72" t="s">
        <v>276</v>
      </c>
      <c r="AV409" s="72" t="s">
        <v>268</v>
      </c>
      <c r="AW409" s="83" t="s">
        <v>276</v>
      </c>
      <c r="AX409" s="83">
        <f t="shared" si="141"/>
        <v>0.7576126005034336</v>
      </c>
      <c r="AY409" s="72" t="s">
        <v>276</v>
      </c>
      <c r="AZ409" s="72" t="s">
        <v>276</v>
      </c>
      <c r="BA409" s="72" t="s">
        <v>276</v>
      </c>
      <c r="BB409" s="73" t="s">
        <v>282</v>
      </c>
      <c r="BC409" s="72" t="s">
        <v>276</v>
      </c>
      <c r="BD409" s="72" t="s">
        <v>276</v>
      </c>
      <c r="BE409" s="72" t="s">
        <v>276</v>
      </c>
      <c r="BF409" s="73" t="s">
        <v>2212</v>
      </c>
      <c r="BG409" s="73" t="s">
        <v>2199</v>
      </c>
      <c r="BH409" s="9" t="s">
        <v>100</v>
      </c>
      <c r="BI409" s="9" t="s">
        <v>100</v>
      </c>
      <c r="BJ409" s="78"/>
      <c r="BK409" s="78"/>
      <c r="BO409" s="78"/>
      <c r="BP409" s="78"/>
    </row>
    <row r="410" spans="1:68" s="79" customFormat="1" ht="52" hidden="1" x14ac:dyDescent="0.35">
      <c r="A410" s="72">
        <v>11139</v>
      </c>
      <c r="B410" s="73" t="s">
        <v>2174</v>
      </c>
      <c r="C410" s="72" t="s">
        <v>2175</v>
      </c>
      <c r="D410" s="73" t="s">
        <v>2223</v>
      </c>
      <c r="E410" s="72" t="s">
        <v>36</v>
      </c>
      <c r="F410" s="72" t="s">
        <v>135</v>
      </c>
      <c r="G410" s="72" t="s">
        <v>225</v>
      </c>
      <c r="H410" s="72" t="s">
        <v>125</v>
      </c>
      <c r="I410" s="72" t="s">
        <v>114</v>
      </c>
      <c r="J410" s="73" t="s">
        <v>28</v>
      </c>
      <c r="K410" s="72" t="s">
        <v>2224</v>
      </c>
      <c r="L410" s="72" t="s">
        <v>2208</v>
      </c>
      <c r="M410" s="72" t="s">
        <v>2209</v>
      </c>
      <c r="N410" s="72" t="s">
        <v>2210</v>
      </c>
      <c r="O410" s="73" t="s">
        <v>2195</v>
      </c>
      <c r="P410" s="73" t="s">
        <v>239</v>
      </c>
      <c r="Q410" s="77" t="s">
        <v>276</v>
      </c>
      <c r="R410" s="73" t="s">
        <v>2180</v>
      </c>
      <c r="S410" s="73" t="s">
        <v>2181</v>
      </c>
      <c r="T410" s="73" t="s">
        <v>2181</v>
      </c>
      <c r="U410" s="73">
        <v>1</v>
      </c>
      <c r="V410" s="73" t="s">
        <v>261</v>
      </c>
      <c r="W410" s="73" t="s">
        <v>2179</v>
      </c>
      <c r="X410" s="73" t="s">
        <v>207</v>
      </c>
      <c r="Y410" s="74">
        <v>28220</v>
      </c>
      <c r="Z410" s="75">
        <v>56365</v>
      </c>
      <c r="AA410" s="73" t="s">
        <v>276</v>
      </c>
      <c r="AB410" s="73" t="s">
        <v>276</v>
      </c>
      <c r="AC410" s="72" t="s">
        <v>276</v>
      </c>
      <c r="AD410" s="72" t="s">
        <v>276</v>
      </c>
      <c r="AE410" s="72">
        <v>38</v>
      </c>
      <c r="AF410" s="72">
        <v>94</v>
      </c>
      <c r="AG410" s="73" t="s">
        <v>2225</v>
      </c>
      <c r="AH410" s="73" t="s">
        <v>2046</v>
      </c>
      <c r="AI410" s="75">
        <v>47</v>
      </c>
      <c r="AJ410" s="75">
        <v>107</v>
      </c>
      <c r="AK410" s="74">
        <v>28220</v>
      </c>
      <c r="AL410" s="75">
        <v>56365</v>
      </c>
      <c r="AM410" s="75" t="s">
        <v>292</v>
      </c>
      <c r="AN410" s="72">
        <v>0.17</v>
      </c>
      <c r="AO410" s="76">
        <f t="shared" si="139"/>
        <v>0.16654854712969525</v>
      </c>
      <c r="AP410" s="72" t="s">
        <v>276</v>
      </c>
      <c r="AQ410" s="72" t="s">
        <v>276</v>
      </c>
      <c r="AR410" s="72">
        <v>0.19</v>
      </c>
      <c r="AS410" s="76">
        <f t="shared" si="140"/>
        <v>0.18983411691652621</v>
      </c>
      <c r="AT410" s="72" t="s">
        <v>276</v>
      </c>
      <c r="AU410" s="72" t="s">
        <v>276</v>
      </c>
      <c r="AV410" s="72" t="s">
        <v>268</v>
      </c>
      <c r="AW410" s="83" t="s">
        <v>276</v>
      </c>
      <c r="AX410" s="83">
        <f t="shared" si="141"/>
        <v>0.87733727653881055</v>
      </c>
      <c r="AY410" s="72" t="s">
        <v>276</v>
      </c>
      <c r="AZ410" s="72" t="s">
        <v>276</v>
      </c>
      <c r="BA410" s="72" t="s">
        <v>276</v>
      </c>
      <c r="BB410" s="73" t="s">
        <v>282</v>
      </c>
      <c r="BC410" s="72" t="s">
        <v>276</v>
      </c>
      <c r="BD410" s="72" t="s">
        <v>276</v>
      </c>
      <c r="BE410" s="72" t="s">
        <v>276</v>
      </c>
      <c r="BF410" s="73" t="s">
        <v>2212</v>
      </c>
      <c r="BG410" s="73" t="s">
        <v>2199</v>
      </c>
      <c r="BH410" s="9" t="s">
        <v>100</v>
      </c>
      <c r="BI410" s="9" t="s">
        <v>100</v>
      </c>
      <c r="BJ410" s="78"/>
      <c r="BK410" s="78"/>
      <c r="BO410" s="78"/>
      <c r="BP410" s="78"/>
    </row>
    <row r="411" spans="1:68" s="79" customFormat="1" ht="52" hidden="1" x14ac:dyDescent="0.35">
      <c r="A411" s="72">
        <v>11139</v>
      </c>
      <c r="B411" s="73" t="s">
        <v>2174</v>
      </c>
      <c r="C411" s="72" t="s">
        <v>2175</v>
      </c>
      <c r="D411" s="73" t="s">
        <v>2226</v>
      </c>
      <c r="E411" s="72" t="s">
        <v>36</v>
      </c>
      <c r="F411" s="72" t="s">
        <v>135</v>
      </c>
      <c r="G411" s="72" t="s">
        <v>225</v>
      </c>
      <c r="H411" s="72" t="s">
        <v>125</v>
      </c>
      <c r="I411" s="72" t="s">
        <v>114</v>
      </c>
      <c r="J411" s="73" t="s">
        <v>28</v>
      </c>
      <c r="K411" s="72" t="s">
        <v>2227</v>
      </c>
      <c r="L411" s="72" t="s">
        <v>2208</v>
      </c>
      <c r="M411" s="72" t="s">
        <v>2209</v>
      </c>
      <c r="N411" s="72" t="s">
        <v>2210</v>
      </c>
      <c r="O411" s="73" t="s">
        <v>2195</v>
      </c>
      <c r="P411" s="73" t="s">
        <v>239</v>
      </c>
      <c r="Q411" s="77" t="s">
        <v>276</v>
      </c>
      <c r="R411" s="73" t="s">
        <v>2180</v>
      </c>
      <c r="S411" s="73" t="s">
        <v>2181</v>
      </c>
      <c r="T411" s="73" t="s">
        <v>2181</v>
      </c>
      <c r="U411" s="73">
        <v>1</v>
      </c>
      <c r="V411" s="73" t="s">
        <v>261</v>
      </c>
      <c r="W411" s="73" t="s">
        <v>2179</v>
      </c>
      <c r="X411" s="73" t="s">
        <v>207</v>
      </c>
      <c r="Y411" s="74">
        <v>28220</v>
      </c>
      <c r="Z411" s="75">
        <v>56365</v>
      </c>
      <c r="AA411" s="73" t="s">
        <v>276</v>
      </c>
      <c r="AB411" s="73" t="s">
        <v>276</v>
      </c>
      <c r="AC411" s="72" t="s">
        <v>276</v>
      </c>
      <c r="AD411" s="72" t="s">
        <v>276</v>
      </c>
      <c r="AE411" s="72">
        <v>38</v>
      </c>
      <c r="AF411" s="72">
        <v>94</v>
      </c>
      <c r="AG411" s="73" t="s">
        <v>2222</v>
      </c>
      <c r="AH411" s="73" t="s">
        <v>2046</v>
      </c>
      <c r="AI411" s="75">
        <f>66+47</f>
        <v>113</v>
      </c>
      <c r="AJ411" s="75">
        <f>174+107</f>
        <v>281</v>
      </c>
      <c r="AK411" s="74">
        <v>28220</v>
      </c>
      <c r="AL411" s="75">
        <v>56365</v>
      </c>
      <c r="AM411" s="75" t="s">
        <v>292</v>
      </c>
      <c r="AN411" s="72">
        <v>0.4</v>
      </c>
      <c r="AO411" s="76">
        <f t="shared" si="139"/>
        <v>0.40042523033309707</v>
      </c>
      <c r="AP411" s="72" t="s">
        <v>276</v>
      </c>
      <c r="AQ411" s="72" t="s">
        <v>276</v>
      </c>
      <c r="AR411" s="72">
        <v>0.5</v>
      </c>
      <c r="AS411" s="76">
        <f t="shared" si="140"/>
        <v>0.49853632573405482</v>
      </c>
      <c r="AT411" s="72" t="s">
        <v>276</v>
      </c>
      <c r="AU411" s="72" t="s">
        <v>276</v>
      </c>
      <c r="AV411" s="72" t="s">
        <v>268</v>
      </c>
      <c r="AW411" s="83" t="s">
        <v>276</v>
      </c>
      <c r="AX411" s="83">
        <f t="shared" si="141"/>
        <v>0.80320171201868384</v>
      </c>
      <c r="AY411" s="72" t="s">
        <v>276</v>
      </c>
      <c r="AZ411" s="72" t="s">
        <v>276</v>
      </c>
      <c r="BA411" s="72" t="s">
        <v>276</v>
      </c>
      <c r="BB411" s="73" t="s">
        <v>282</v>
      </c>
      <c r="BC411" s="72" t="s">
        <v>276</v>
      </c>
      <c r="BD411" s="72" t="s">
        <v>276</v>
      </c>
      <c r="BE411" s="72" t="s">
        <v>276</v>
      </c>
      <c r="BF411" s="73" t="s">
        <v>2228</v>
      </c>
      <c r="BG411" s="73" t="s">
        <v>2199</v>
      </c>
      <c r="BH411" s="9" t="s">
        <v>100</v>
      </c>
      <c r="BI411" s="9" t="s">
        <v>100</v>
      </c>
      <c r="BJ411" s="78"/>
      <c r="BK411" s="78"/>
      <c r="BO411" s="78"/>
      <c r="BP411" s="78"/>
    </row>
    <row r="412" spans="1:68" s="79" customFormat="1" ht="65" hidden="1" x14ac:dyDescent="0.35">
      <c r="A412" s="72">
        <v>11139</v>
      </c>
      <c r="B412" s="73" t="s">
        <v>2174</v>
      </c>
      <c r="C412" s="72" t="s">
        <v>2175</v>
      </c>
      <c r="D412" s="73" t="s">
        <v>2229</v>
      </c>
      <c r="E412" s="72" t="s">
        <v>36</v>
      </c>
      <c r="F412" s="72" t="s">
        <v>135</v>
      </c>
      <c r="G412" s="72" t="s">
        <v>225</v>
      </c>
      <c r="H412" s="72" t="s">
        <v>125</v>
      </c>
      <c r="I412" s="72" t="s">
        <v>114</v>
      </c>
      <c r="J412" s="73" t="s">
        <v>28</v>
      </c>
      <c r="K412" s="72" t="s">
        <v>2227</v>
      </c>
      <c r="L412" s="72" t="s">
        <v>2208</v>
      </c>
      <c r="M412" s="72" t="s">
        <v>2209</v>
      </c>
      <c r="N412" s="72" t="s">
        <v>2210</v>
      </c>
      <c r="O412" s="73" t="s">
        <v>2195</v>
      </c>
      <c r="P412" s="73" t="s">
        <v>235</v>
      </c>
      <c r="Q412" s="77" t="s">
        <v>276</v>
      </c>
      <c r="R412" s="73" t="s">
        <v>2180</v>
      </c>
      <c r="S412" s="73" t="s">
        <v>2181</v>
      </c>
      <c r="T412" s="73" t="s">
        <v>2181</v>
      </c>
      <c r="U412" s="73">
        <v>1</v>
      </c>
      <c r="V412" s="73" t="s">
        <v>261</v>
      </c>
      <c r="W412" s="73" t="s">
        <v>2179</v>
      </c>
      <c r="X412" s="73" t="s">
        <v>207</v>
      </c>
      <c r="Y412" s="74" t="s">
        <v>98</v>
      </c>
      <c r="Z412" s="75" t="s">
        <v>98</v>
      </c>
      <c r="AA412" s="73" t="s">
        <v>276</v>
      </c>
      <c r="AB412" s="73" t="s">
        <v>276</v>
      </c>
      <c r="AC412" s="72" t="s">
        <v>276</v>
      </c>
      <c r="AD412" s="72" t="s">
        <v>276</v>
      </c>
      <c r="AE412" s="72">
        <v>38</v>
      </c>
      <c r="AF412" s="72">
        <v>94</v>
      </c>
      <c r="AG412" s="73" t="s">
        <v>2222</v>
      </c>
      <c r="AH412" s="73" t="s">
        <v>2204</v>
      </c>
      <c r="AI412" s="75">
        <f>66+47</f>
        <v>113</v>
      </c>
      <c r="AJ412" s="75">
        <f>174+107</f>
        <v>281</v>
      </c>
      <c r="AK412" s="74">
        <v>259</v>
      </c>
      <c r="AL412" s="75">
        <v>622</v>
      </c>
      <c r="AM412" s="75" t="s">
        <v>292</v>
      </c>
      <c r="AN412" s="72" t="s">
        <v>276</v>
      </c>
      <c r="AO412" s="76">
        <f t="shared" si="139"/>
        <v>43.62934362934363</v>
      </c>
      <c r="AP412" s="72" t="s">
        <v>276</v>
      </c>
      <c r="AQ412" s="72" t="s">
        <v>276</v>
      </c>
      <c r="AR412" s="72" t="s">
        <v>276</v>
      </c>
      <c r="AS412" s="76">
        <f t="shared" si="140"/>
        <v>45.176848874598072</v>
      </c>
      <c r="AT412" s="72" t="s">
        <v>276</v>
      </c>
      <c r="AU412" s="72" t="s">
        <v>276</v>
      </c>
      <c r="AV412" s="72" t="s">
        <v>268</v>
      </c>
      <c r="AW412" s="83" t="s">
        <v>276</v>
      </c>
      <c r="AX412" s="83">
        <f t="shared" si="141"/>
        <v>0.96574561343244614</v>
      </c>
      <c r="AY412" s="72" t="s">
        <v>276</v>
      </c>
      <c r="AZ412" s="72" t="s">
        <v>276</v>
      </c>
      <c r="BA412" s="72" t="s">
        <v>276</v>
      </c>
      <c r="BB412" s="73" t="s">
        <v>282</v>
      </c>
      <c r="BC412" s="72" t="s">
        <v>276</v>
      </c>
      <c r="BD412" s="72" t="s">
        <v>276</v>
      </c>
      <c r="BE412" s="72" t="s">
        <v>276</v>
      </c>
      <c r="BF412" s="73" t="s">
        <v>2212</v>
      </c>
      <c r="BG412" s="73" t="s">
        <v>2199</v>
      </c>
      <c r="BH412" s="9" t="s">
        <v>100</v>
      </c>
      <c r="BI412" s="9" t="s">
        <v>100</v>
      </c>
      <c r="BJ412" s="78"/>
      <c r="BK412" s="78"/>
      <c r="BO412" s="78"/>
      <c r="BP412" s="78"/>
    </row>
    <row r="413" spans="1:68" s="33" customFormat="1" ht="65" hidden="1" x14ac:dyDescent="0.35">
      <c r="A413" s="8">
        <v>490</v>
      </c>
      <c r="B413" s="9" t="s">
        <v>2230</v>
      </c>
      <c r="C413" s="8" t="s">
        <v>71</v>
      </c>
      <c r="D413" s="9" t="s">
        <v>2290</v>
      </c>
      <c r="E413" s="8" t="s">
        <v>39</v>
      </c>
      <c r="F413" s="8" t="s">
        <v>143</v>
      </c>
      <c r="G413" s="8" t="s">
        <v>225</v>
      </c>
      <c r="H413" s="8" t="s">
        <v>225</v>
      </c>
      <c r="I413" s="8" t="s">
        <v>114</v>
      </c>
      <c r="J413" s="9" t="s">
        <v>98</v>
      </c>
      <c r="K413" s="8" t="s">
        <v>98</v>
      </c>
      <c r="L413" s="8" t="s">
        <v>98</v>
      </c>
      <c r="M413" s="8" t="s">
        <v>98</v>
      </c>
      <c r="N413" s="8" t="s">
        <v>2291</v>
      </c>
      <c r="O413" s="9" t="s">
        <v>2292</v>
      </c>
      <c r="P413" s="9" t="s">
        <v>238</v>
      </c>
      <c r="Q413" s="52">
        <v>42369</v>
      </c>
      <c r="R413" s="9" t="s">
        <v>2293</v>
      </c>
      <c r="S413" s="9" t="s">
        <v>276</v>
      </c>
      <c r="T413" s="9" t="s">
        <v>98</v>
      </c>
      <c r="U413" s="9">
        <v>4</v>
      </c>
      <c r="V413" s="8" t="s">
        <v>16</v>
      </c>
      <c r="W413" s="8" t="s">
        <v>170</v>
      </c>
      <c r="X413" s="9" t="s">
        <v>209</v>
      </c>
      <c r="Y413" s="13">
        <v>6583</v>
      </c>
      <c r="Z413" s="9" t="s">
        <v>98</v>
      </c>
      <c r="AA413" s="9" t="s">
        <v>276</v>
      </c>
      <c r="AB413" s="9" t="s">
        <v>98</v>
      </c>
      <c r="AC413" s="8" t="s">
        <v>276</v>
      </c>
      <c r="AD413" s="8" t="s">
        <v>276</v>
      </c>
      <c r="AE413" s="8" t="s">
        <v>98</v>
      </c>
      <c r="AF413" s="8" t="s">
        <v>98</v>
      </c>
      <c r="AG413" s="9" t="s">
        <v>2294</v>
      </c>
      <c r="AH413" s="9" t="s">
        <v>689</v>
      </c>
      <c r="AI413" s="38">
        <v>203</v>
      </c>
      <c r="AJ413" s="38" t="s">
        <v>98</v>
      </c>
      <c r="AK413" s="38">
        <v>6583</v>
      </c>
      <c r="AL413" s="38" t="s">
        <v>98</v>
      </c>
      <c r="AM413" s="38" t="s">
        <v>690</v>
      </c>
      <c r="AN413" s="8" t="s">
        <v>276</v>
      </c>
      <c r="AO413" s="14">
        <f>AI413*1000/AK413</f>
        <v>30.837004405286343</v>
      </c>
      <c r="AP413" s="8" t="s">
        <v>276</v>
      </c>
      <c r="AQ413" s="8" t="s">
        <v>276</v>
      </c>
      <c r="AR413" s="8" t="s">
        <v>98</v>
      </c>
      <c r="AS413" s="8" t="s">
        <v>98</v>
      </c>
      <c r="AT413" s="8" t="s">
        <v>98</v>
      </c>
      <c r="AU413" s="8" t="s">
        <v>98</v>
      </c>
      <c r="AV413" s="8" t="s">
        <v>98</v>
      </c>
      <c r="AW413" s="8" t="s">
        <v>98</v>
      </c>
      <c r="AX413" s="8" t="s">
        <v>98</v>
      </c>
      <c r="AY413" s="8" t="s">
        <v>98</v>
      </c>
      <c r="AZ413" s="8" t="s">
        <v>98</v>
      </c>
      <c r="BA413" s="8" t="s">
        <v>98</v>
      </c>
      <c r="BB413" s="8" t="s">
        <v>98</v>
      </c>
      <c r="BC413" s="8" t="s">
        <v>98</v>
      </c>
      <c r="BD413" s="8" t="s">
        <v>98</v>
      </c>
      <c r="BE413" s="8" t="s">
        <v>98</v>
      </c>
      <c r="BF413" s="9" t="s">
        <v>2295</v>
      </c>
      <c r="BG413" s="9" t="s">
        <v>2240</v>
      </c>
      <c r="BH413" s="9" t="s">
        <v>100</v>
      </c>
      <c r="BI413" s="9" t="s">
        <v>100</v>
      </c>
      <c r="BJ413" s="32"/>
      <c r="BK413" s="32"/>
      <c r="BO413" s="32"/>
      <c r="BP413" s="32"/>
    </row>
    <row r="414" spans="1:68" s="33" customFormat="1" ht="65" x14ac:dyDescent="0.35">
      <c r="A414" s="8">
        <v>490</v>
      </c>
      <c r="B414" s="9" t="s">
        <v>2230</v>
      </c>
      <c r="C414" s="8" t="s">
        <v>71</v>
      </c>
      <c r="D414" s="9" t="s">
        <v>11669</v>
      </c>
      <c r="E414" s="8" t="s">
        <v>39</v>
      </c>
      <c r="F414" s="8" t="s">
        <v>143</v>
      </c>
      <c r="G414" s="8" t="s">
        <v>225</v>
      </c>
      <c r="H414" s="8" t="s">
        <v>225</v>
      </c>
      <c r="I414" s="8" t="s">
        <v>114</v>
      </c>
      <c r="J414" s="9" t="s">
        <v>98</v>
      </c>
      <c r="K414" s="8" t="s">
        <v>98</v>
      </c>
      <c r="L414" s="8" t="s">
        <v>98</v>
      </c>
      <c r="M414" s="8" t="s">
        <v>98</v>
      </c>
      <c r="N414" s="8" t="s">
        <v>2291</v>
      </c>
      <c r="O414" s="9" t="s">
        <v>2292</v>
      </c>
      <c r="P414" s="9" t="s">
        <v>236</v>
      </c>
      <c r="Q414" s="52">
        <v>42369</v>
      </c>
      <c r="R414" s="9" t="s">
        <v>766</v>
      </c>
      <c r="S414" s="38" t="s">
        <v>2234</v>
      </c>
      <c r="T414" s="9" t="s">
        <v>98</v>
      </c>
      <c r="U414" s="9">
        <v>4</v>
      </c>
      <c r="V414" s="8" t="s">
        <v>16</v>
      </c>
      <c r="W414" s="8" t="s">
        <v>170</v>
      </c>
      <c r="X414" s="9" t="s">
        <v>209</v>
      </c>
      <c r="Y414" s="13" t="s">
        <v>98</v>
      </c>
      <c r="Z414" s="9" t="s">
        <v>98</v>
      </c>
      <c r="AA414" s="9" t="s">
        <v>276</v>
      </c>
      <c r="AB414" s="9" t="s">
        <v>98</v>
      </c>
      <c r="AC414" s="8" t="s">
        <v>276</v>
      </c>
      <c r="AD414" s="8" t="s">
        <v>276</v>
      </c>
      <c r="AE414" s="8" t="s">
        <v>98</v>
      </c>
      <c r="AF414" s="8" t="s">
        <v>98</v>
      </c>
      <c r="AG414" s="9" t="s">
        <v>2294</v>
      </c>
      <c r="AH414" s="9" t="s">
        <v>2296</v>
      </c>
      <c r="AI414" s="38">
        <v>203</v>
      </c>
      <c r="AJ414" s="38" t="s">
        <v>98</v>
      </c>
      <c r="AK414" s="38">
        <v>344</v>
      </c>
      <c r="AL414" s="38" t="s">
        <v>98</v>
      </c>
      <c r="AM414" s="38" t="s">
        <v>292</v>
      </c>
      <c r="AN414" s="43">
        <v>59</v>
      </c>
      <c r="AO414" s="14">
        <f>AI414*100/AK414</f>
        <v>59.011627906976742</v>
      </c>
      <c r="AP414" s="8" t="s">
        <v>276</v>
      </c>
      <c r="AQ414" s="8" t="s">
        <v>276</v>
      </c>
      <c r="AR414" s="8" t="s">
        <v>98</v>
      </c>
      <c r="AS414" s="8" t="s">
        <v>98</v>
      </c>
      <c r="AT414" s="8" t="s">
        <v>98</v>
      </c>
      <c r="AU414" s="8" t="s">
        <v>98</v>
      </c>
      <c r="AV414" s="8" t="s">
        <v>98</v>
      </c>
      <c r="AW414" s="8" t="s">
        <v>98</v>
      </c>
      <c r="AX414" s="8" t="s">
        <v>98</v>
      </c>
      <c r="AY414" s="8" t="s">
        <v>98</v>
      </c>
      <c r="AZ414" s="8" t="s">
        <v>98</v>
      </c>
      <c r="BA414" s="8" t="s">
        <v>98</v>
      </c>
      <c r="BB414" s="8" t="s">
        <v>98</v>
      </c>
      <c r="BC414" s="8" t="s">
        <v>98</v>
      </c>
      <c r="BD414" s="8" t="s">
        <v>98</v>
      </c>
      <c r="BE414" s="8" t="s">
        <v>98</v>
      </c>
      <c r="BF414" s="9" t="s">
        <v>2297</v>
      </c>
      <c r="BG414" s="9" t="s">
        <v>2240</v>
      </c>
      <c r="BH414" s="9" t="s">
        <v>99</v>
      </c>
      <c r="BI414" s="9" t="s">
        <v>100</v>
      </c>
      <c r="BJ414" s="32"/>
      <c r="BK414" s="32"/>
      <c r="BO414" s="32"/>
      <c r="BP414" s="32"/>
    </row>
    <row r="415" spans="1:68" s="79" customFormat="1" ht="65" hidden="1" x14ac:dyDescent="0.35">
      <c r="A415" s="72">
        <v>490</v>
      </c>
      <c r="B415" s="73" t="s">
        <v>2230</v>
      </c>
      <c r="C415" s="72" t="s">
        <v>71</v>
      </c>
      <c r="D415" s="73" t="s">
        <v>2298</v>
      </c>
      <c r="E415" s="72" t="s">
        <v>39</v>
      </c>
      <c r="F415" s="72" t="s">
        <v>143</v>
      </c>
      <c r="G415" s="72" t="s">
        <v>225</v>
      </c>
      <c r="H415" s="72" t="s">
        <v>125</v>
      </c>
      <c r="I415" s="72" t="s">
        <v>114</v>
      </c>
      <c r="J415" s="73" t="s">
        <v>25</v>
      </c>
      <c r="K415" s="72" t="s">
        <v>930</v>
      </c>
      <c r="L415" s="72" t="s">
        <v>2299</v>
      </c>
      <c r="M415" s="72" t="s">
        <v>98</v>
      </c>
      <c r="N415" s="72" t="s">
        <v>2291</v>
      </c>
      <c r="O415" s="73" t="s">
        <v>2292</v>
      </c>
      <c r="P415" s="73" t="s">
        <v>239</v>
      </c>
      <c r="Q415" s="77">
        <v>42369</v>
      </c>
      <c r="R415" s="73" t="s">
        <v>766</v>
      </c>
      <c r="S415" s="75" t="s">
        <v>2234</v>
      </c>
      <c r="T415" s="75" t="s">
        <v>2235</v>
      </c>
      <c r="U415" s="73">
        <v>4</v>
      </c>
      <c r="V415" s="72" t="s">
        <v>16</v>
      </c>
      <c r="W415" s="72" t="s">
        <v>170</v>
      </c>
      <c r="X415" s="73" t="s">
        <v>207</v>
      </c>
      <c r="Y415" s="74">
        <v>6583</v>
      </c>
      <c r="Z415" s="75">
        <v>6599</v>
      </c>
      <c r="AA415" s="73" t="s">
        <v>276</v>
      </c>
      <c r="AB415" s="73" t="s">
        <v>276</v>
      </c>
      <c r="AC415" s="72">
        <v>23</v>
      </c>
      <c r="AD415" s="72" t="s">
        <v>968</v>
      </c>
      <c r="AE415" s="72">
        <v>17</v>
      </c>
      <c r="AF415" s="72" t="s">
        <v>968</v>
      </c>
      <c r="AG415" s="73" t="s">
        <v>2300</v>
      </c>
      <c r="AH415" s="73" t="s">
        <v>689</v>
      </c>
      <c r="AI415" s="75">
        <v>105</v>
      </c>
      <c r="AJ415" s="75">
        <v>21</v>
      </c>
      <c r="AK415" s="74">
        <v>6583</v>
      </c>
      <c r="AL415" s="75">
        <v>6599</v>
      </c>
      <c r="AM415" s="75" t="s">
        <v>690</v>
      </c>
      <c r="AN415" s="72" t="s">
        <v>276</v>
      </c>
      <c r="AO415" s="76">
        <f t="shared" ref="AO415:AO426" si="142">AI415*1000/AK415</f>
        <v>15.950174692389488</v>
      </c>
      <c r="AP415" s="72" t="s">
        <v>276</v>
      </c>
      <c r="AQ415" s="72" t="s">
        <v>276</v>
      </c>
      <c r="AR415" s="72" t="s">
        <v>276</v>
      </c>
      <c r="AS415" s="76">
        <f t="shared" ref="AS415:AS426" si="143">AJ415*1000/AL415</f>
        <v>3.1823003485376571</v>
      </c>
      <c r="AT415" s="72" t="s">
        <v>276</v>
      </c>
      <c r="AU415" s="72" t="s">
        <v>276</v>
      </c>
      <c r="AV415" s="72" t="s">
        <v>268</v>
      </c>
      <c r="AW415" s="72" t="s">
        <v>276</v>
      </c>
      <c r="AX415" s="76">
        <f t="shared" ref="AX415:AX437" si="144">AO415/AS415</f>
        <v>5.012152514051345</v>
      </c>
      <c r="AY415" s="72" t="s">
        <v>276</v>
      </c>
      <c r="AZ415" s="72" t="s">
        <v>276</v>
      </c>
      <c r="BA415" s="72" t="s">
        <v>276</v>
      </c>
      <c r="BB415" s="72" t="s">
        <v>276</v>
      </c>
      <c r="BC415" s="72" t="s">
        <v>276</v>
      </c>
      <c r="BD415" s="72" t="s">
        <v>276</v>
      </c>
      <c r="BE415" s="72" t="s">
        <v>276</v>
      </c>
      <c r="BF415" s="73" t="s">
        <v>426</v>
      </c>
      <c r="BG415" s="73" t="s">
        <v>2240</v>
      </c>
      <c r="BH415" s="9" t="s">
        <v>100</v>
      </c>
      <c r="BI415" s="9" t="s">
        <v>100</v>
      </c>
      <c r="BJ415" s="78"/>
      <c r="BK415" s="78"/>
      <c r="BO415" s="78"/>
      <c r="BP415" s="78"/>
    </row>
    <row r="416" spans="1:68" s="79" customFormat="1" ht="65" hidden="1" x14ac:dyDescent="0.35">
      <c r="A416" s="72">
        <v>490</v>
      </c>
      <c r="B416" s="73" t="s">
        <v>2230</v>
      </c>
      <c r="C416" s="72" t="s">
        <v>71</v>
      </c>
      <c r="D416" s="73" t="s">
        <v>2301</v>
      </c>
      <c r="E416" s="72" t="s">
        <v>39</v>
      </c>
      <c r="F416" s="72" t="s">
        <v>143</v>
      </c>
      <c r="G416" s="72" t="s">
        <v>225</v>
      </c>
      <c r="H416" s="72" t="s">
        <v>125</v>
      </c>
      <c r="I416" s="72" t="s">
        <v>114</v>
      </c>
      <c r="J416" s="73" t="s">
        <v>25</v>
      </c>
      <c r="K416" s="72" t="s">
        <v>934</v>
      </c>
      <c r="L416" s="72" t="s">
        <v>2299</v>
      </c>
      <c r="M416" s="72" t="s">
        <v>98</v>
      </c>
      <c r="N416" s="72" t="s">
        <v>2291</v>
      </c>
      <c r="O416" s="73" t="s">
        <v>2292</v>
      </c>
      <c r="P416" s="73" t="s">
        <v>239</v>
      </c>
      <c r="Q416" s="77">
        <v>42369</v>
      </c>
      <c r="R416" s="73" t="s">
        <v>766</v>
      </c>
      <c r="S416" s="75" t="s">
        <v>2234</v>
      </c>
      <c r="T416" s="75" t="s">
        <v>2235</v>
      </c>
      <c r="U416" s="73">
        <v>4</v>
      </c>
      <c r="V416" s="72" t="s">
        <v>16</v>
      </c>
      <c r="W416" s="72" t="s">
        <v>170</v>
      </c>
      <c r="X416" s="73" t="s">
        <v>207</v>
      </c>
      <c r="Y416" s="74">
        <v>6583</v>
      </c>
      <c r="Z416" s="75">
        <v>6599</v>
      </c>
      <c r="AA416" s="73" t="s">
        <v>276</v>
      </c>
      <c r="AB416" s="73" t="s">
        <v>276</v>
      </c>
      <c r="AC416" s="72">
        <v>23</v>
      </c>
      <c r="AD416" s="72" t="s">
        <v>968</v>
      </c>
      <c r="AE416" s="72">
        <v>17</v>
      </c>
      <c r="AF416" s="72" t="s">
        <v>968</v>
      </c>
      <c r="AG416" s="73" t="s">
        <v>2302</v>
      </c>
      <c r="AH416" s="73" t="s">
        <v>689</v>
      </c>
      <c r="AI416" s="75">
        <v>34</v>
      </c>
      <c r="AJ416" s="75">
        <v>20</v>
      </c>
      <c r="AK416" s="74">
        <v>6583</v>
      </c>
      <c r="AL416" s="75">
        <v>6599</v>
      </c>
      <c r="AM416" s="75" t="s">
        <v>690</v>
      </c>
      <c r="AN416" s="72" t="s">
        <v>276</v>
      </c>
      <c r="AO416" s="76">
        <f t="shared" si="142"/>
        <v>5.1648184718213583</v>
      </c>
      <c r="AP416" s="72" t="s">
        <v>276</v>
      </c>
      <c r="AQ416" s="72" t="s">
        <v>276</v>
      </c>
      <c r="AR416" s="72" t="s">
        <v>276</v>
      </c>
      <c r="AS416" s="76">
        <f t="shared" si="143"/>
        <v>3.0307622367025306</v>
      </c>
      <c r="AT416" s="72" t="s">
        <v>276</v>
      </c>
      <c r="AU416" s="72" t="s">
        <v>276</v>
      </c>
      <c r="AV416" s="72" t="s">
        <v>268</v>
      </c>
      <c r="AW416" s="72" t="s">
        <v>276</v>
      </c>
      <c r="AX416" s="76">
        <f t="shared" si="144"/>
        <v>1.7041318547774571</v>
      </c>
      <c r="AY416" s="72" t="s">
        <v>276</v>
      </c>
      <c r="AZ416" s="72" t="s">
        <v>276</v>
      </c>
      <c r="BA416" s="72" t="s">
        <v>276</v>
      </c>
      <c r="BB416" s="72" t="s">
        <v>276</v>
      </c>
      <c r="BC416" s="72" t="s">
        <v>276</v>
      </c>
      <c r="BD416" s="72" t="s">
        <v>276</v>
      </c>
      <c r="BE416" s="72" t="s">
        <v>276</v>
      </c>
      <c r="BF416" s="73" t="s">
        <v>426</v>
      </c>
      <c r="BG416" s="73" t="s">
        <v>2240</v>
      </c>
      <c r="BH416" s="9" t="s">
        <v>100</v>
      </c>
      <c r="BI416" s="9" t="s">
        <v>100</v>
      </c>
      <c r="BJ416" s="78"/>
      <c r="BK416" s="78"/>
      <c r="BO416" s="78"/>
      <c r="BP416" s="78"/>
    </row>
    <row r="417" spans="1:68" s="79" customFormat="1" ht="65" hidden="1" x14ac:dyDescent="0.35">
      <c r="A417" s="72">
        <v>490</v>
      </c>
      <c r="B417" s="73" t="s">
        <v>2230</v>
      </c>
      <c r="C417" s="72" t="s">
        <v>71</v>
      </c>
      <c r="D417" s="73" t="s">
        <v>2303</v>
      </c>
      <c r="E417" s="72" t="s">
        <v>39</v>
      </c>
      <c r="F417" s="72" t="s">
        <v>143</v>
      </c>
      <c r="G417" s="72" t="s">
        <v>225</v>
      </c>
      <c r="H417" s="72" t="s">
        <v>125</v>
      </c>
      <c r="I417" s="72" t="s">
        <v>114</v>
      </c>
      <c r="J417" s="73" t="s">
        <v>25</v>
      </c>
      <c r="K417" s="72" t="s">
        <v>300</v>
      </c>
      <c r="L417" s="72" t="s">
        <v>2299</v>
      </c>
      <c r="M417" s="72" t="s">
        <v>98</v>
      </c>
      <c r="N417" s="72" t="s">
        <v>2291</v>
      </c>
      <c r="O417" s="73" t="s">
        <v>2292</v>
      </c>
      <c r="P417" s="73" t="s">
        <v>239</v>
      </c>
      <c r="Q417" s="77">
        <v>42369</v>
      </c>
      <c r="R417" s="73" t="s">
        <v>766</v>
      </c>
      <c r="S417" s="75" t="s">
        <v>2234</v>
      </c>
      <c r="T417" s="75" t="s">
        <v>2235</v>
      </c>
      <c r="U417" s="73">
        <v>4</v>
      </c>
      <c r="V417" s="72" t="s">
        <v>16</v>
      </c>
      <c r="W417" s="72" t="s">
        <v>170</v>
      </c>
      <c r="X417" s="73" t="s">
        <v>207</v>
      </c>
      <c r="Y417" s="74">
        <v>6583</v>
      </c>
      <c r="Z417" s="75">
        <v>6599</v>
      </c>
      <c r="AA417" s="73" t="s">
        <v>276</v>
      </c>
      <c r="AB417" s="73" t="s">
        <v>276</v>
      </c>
      <c r="AC417" s="72">
        <v>23</v>
      </c>
      <c r="AD417" s="72" t="s">
        <v>968</v>
      </c>
      <c r="AE417" s="72">
        <v>17</v>
      </c>
      <c r="AF417" s="72" t="s">
        <v>968</v>
      </c>
      <c r="AG417" s="73" t="s">
        <v>2304</v>
      </c>
      <c r="AH417" s="73" t="s">
        <v>689</v>
      </c>
      <c r="AI417" s="75">
        <f>105+34</f>
        <v>139</v>
      </c>
      <c r="AJ417" s="75">
        <f>21+20</f>
        <v>41</v>
      </c>
      <c r="AK417" s="74">
        <v>6583</v>
      </c>
      <c r="AL417" s="75">
        <v>6599</v>
      </c>
      <c r="AM417" s="75" t="s">
        <v>690</v>
      </c>
      <c r="AN417" s="72" t="s">
        <v>276</v>
      </c>
      <c r="AO417" s="76">
        <f t="shared" si="142"/>
        <v>21.114993164210848</v>
      </c>
      <c r="AP417" s="72" t="s">
        <v>276</v>
      </c>
      <c r="AQ417" s="72" t="s">
        <v>276</v>
      </c>
      <c r="AR417" s="72" t="s">
        <v>276</v>
      </c>
      <c r="AS417" s="76">
        <f t="shared" si="143"/>
        <v>6.2130625852401877</v>
      </c>
      <c r="AT417" s="72" t="s">
        <v>276</v>
      </c>
      <c r="AU417" s="72" t="s">
        <v>276</v>
      </c>
      <c r="AV417" s="72" t="s">
        <v>268</v>
      </c>
      <c r="AW417" s="72" t="s">
        <v>276</v>
      </c>
      <c r="AX417" s="76">
        <f t="shared" si="144"/>
        <v>3.3984838997713998</v>
      </c>
      <c r="AY417" s="72" t="s">
        <v>276</v>
      </c>
      <c r="AZ417" s="72" t="s">
        <v>276</v>
      </c>
      <c r="BA417" s="72" t="s">
        <v>276</v>
      </c>
      <c r="BB417" s="72" t="s">
        <v>276</v>
      </c>
      <c r="BC417" s="72" t="s">
        <v>276</v>
      </c>
      <c r="BD417" s="72" t="s">
        <v>276</v>
      </c>
      <c r="BE417" s="72" t="s">
        <v>276</v>
      </c>
      <c r="BF417" s="73" t="s">
        <v>426</v>
      </c>
      <c r="BG417" s="73" t="s">
        <v>2240</v>
      </c>
      <c r="BH417" s="9" t="s">
        <v>100</v>
      </c>
      <c r="BI417" s="9" t="s">
        <v>100</v>
      </c>
      <c r="BJ417" s="78"/>
      <c r="BK417" s="78"/>
      <c r="BO417" s="78"/>
      <c r="BP417" s="78"/>
    </row>
    <row r="418" spans="1:68" s="33" customFormat="1" ht="65" hidden="1" x14ac:dyDescent="0.35">
      <c r="A418" s="8">
        <v>490</v>
      </c>
      <c r="B418" s="9" t="s">
        <v>2230</v>
      </c>
      <c r="C418" s="8" t="s">
        <v>71</v>
      </c>
      <c r="D418" s="9" t="s">
        <v>2305</v>
      </c>
      <c r="E418" s="8" t="s">
        <v>39</v>
      </c>
      <c r="F418" s="8" t="s">
        <v>143</v>
      </c>
      <c r="G418" s="8" t="s">
        <v>225</v>
      </c>
      <c r="H418" s="8" t="s">
        <v>125</v>
      </c>
      <c r="I418" s="8" t="s">
        <v>114</v>
      </c>
      <c r="J418" s="9" t="s">
        <v>25</v>
      </c>
      <c r="K418" s="8" t="s">
        <v>939</v>
      </c>
      <c r="L418" s="8" t="s">
        <v>2299</v>
      </c>
      <c r="M418" s="8" t="s">
        <v>98</v>
      </c>
      <c r="N418" s="8" t="s">
        <v>2291</v>
      </c>
      <c r="O418" s="9" t="s">
        <v>2292</v>
      </c>
      <c r="P418" s="9" t="s">
        <v>239</v>
      </c>
      <c r="Q418" s="52">
        <v>42369</v>
      </c>
      <c r="R418" s="9" t="s">
        <v>766</v>
      </c>
      <c r="S418" s="38" t="s">
        <v>2234</v>
      </c>
      <c r="T418" s="38" t="s">
        <v>2235</v>
      </c>
      <c r="U418" s="9">
        <v>4</v>
      </c>
      <c r="V418" s="8" t="s">
        <v>16</v>
      </c>
      <c r="W418" s="8" t="s">
        <v>170</v>
      </c>
      <c r="X418" s="9" t="s">
        <v>207</v>
      </c>
      <c r="Y418" s="13">
        <v>6583</v>
      </c>
      <c r="Z418" s="38">
        <v>6599</v>
      </c>
      <c r="AA418" s="9" t="s">
        <v>276</v>
      </c>
      <c r="AB418" s="9" t="s">
        <v>276</v>
      </c>
      <c r="AC418" s="8">
        <v>23</v>
      </c>
      <c r="AD418" s="8" t="s">
        <v>968</v>
      </c>
      <c r="AE418" s="8">
        <v>17</v>
      </c>
      <c r="AF418" s="8" t="s">
        <v>968</v>
      </c>
      <c r="AG418" s="9" t="s">
        <v>2306</v>
      </c>
      <c r="AH418" s="9" t="s">
        <v>689</v>
      </c>
      <c r="AI418" s="38">
        <v>12</v>
      </c>
      <c r="AJ418" s="38">
        <v>13</v>
      </c>
      <c r="AK418" s="13">
        <v>6583</v>
      </c>
      <c r="AL418" s="38">
        <v>6599</v>
      </c>
      <c r="AM418" s="38" t="s">
        <v>690</v>
      </c>
      <c r="AN418" s="8" t="s">
        <v>276</v>
      </c>
      <c r="AO418" s="14">
        <f t="shared" si="142"/>
        <v>1.8228771077016557</v>
      </c>
      <c r="AP418" s="8" t="s">
        <v>276</v>
      </c>
      <c r="AQ418" s="8" t="s">
        <v>276</v>
      </c>
      <c r="AR418" s="8" t="s">
        <v>276</v>
      </c>
      <c r="AS418" s="14">
        <f t="shared" si="143"/>
        <v>1.9699954538566449</v>
      </c>
      <c r="AT418" s="8" t="s">
        <v>276</v>
      </c>
      <c r="AU418" s="8" t="s">
        <v>276</v>
      </c>
      <c r="AV418" s="8" t="s">
        <v>268</v>
      </c>
      <c r="AW418" s="8" t="s">
        <v>276</v>
      </c>
      <c r="AX418" s="14">
        <f t="shared" si="144"/>
        <v>0.92532046413255586</v>
      </c>
      <c r="AY418" s="8" t="s">
        <v>276</v>
      </c>
      <c r="AZ418" s="8" t="s">
        <v>276</v>
      </c>
      <c r="BA418" s="8" t="s">
        <v>276</v>
      </c>
      <c r="BB418" s="8" t="s">
        <v>276</v>
      </c>
      <c r="BC418" s="8" t="s">
        <v>276</v>
      </c>
      <c r="BD418" s="8" t="s">
        <v>276</v>
      </c>
      <c r="BE418" s="8" t="s">
        <v>276</v>
      </c>
      <c r="BF418" s="9" t="s">
        <v>426</v>
      </c>
      <c r="BG418" s="9" t="s">
        <v>2240</v>
      </c>
      <c r="BH418" s="9" t="s">
        <v>100</v>
      </c>
      <c r="BI418" s="9" t="s">
        <v>100</v>
      </c>
      <c r="BJ418" s="32"/>
      <c r="BK418" s="32"/>
      <c r="BO418" s="32"/>
      <c r="BP418" s="32"/>
    </row>
    <row r="419" spans="1:68" s="33" customFormat="1" ht="65" hidden="1" x14ac:dyDescent="0.35">
      <c r="A419" s="8">
        <v>490</v>
      </c>
      <c r="B419" s="9" t="s">
        <v>2230</v>
      </c>
      <c r="C419" s="8" t="s">
        <v>71</v>
      </c>
      <c r="D419" s="9" t="s">
        <v>2307</v>
      </c>
      <c r="E419" s="8" t="s">
        <v>39</v>
      </c>
      <c r="F419" s="8" t="s">
        <v>143</v>
      </c>
      <c r="G419" s="8" t="s">
        <v>225</v>
      </c>
      <c r="H419" s="8" t="s">
        <v>125</v>
      </c>
      <c r="I419" s="8" t="s">
        <v>114</v>
      </c>
      <c r="J419" s="9" t="s">
        <v>25</v>
      </c>
      <c r="K419" s="8" t="s">
        <v>942</v>
      </c>
      <c r="L419" s="8" t="s">
        <v>2299</v>
      </c>
      <c r="M419" s="8" t="s">
        <v>98</v>
      </c>
      <c r="N419" s="8" t="s">
        <v>2291</v>
      </c>
      <c r="O419" s="9" t="s">
        <v>2292</v>
      </c>
      <c r="P419" s="9" t="s">
        <v>239</v>
      </c>
      <c r="Q419" s="52">
        <v>42369</v>
      </c>
      <c r="R419" s="9" t="s">
        <v>766</v>
      </c>
      <c r="S419" s="38" t="s">
        <v>2234</v>
      </c>
      <c r="T419" s="38" t="s">
        <v>2235</v>
      </c>
      <c r="U419" s="9">
        <v>4</v>
      </c>
      <c r="V419" s="8" t="s">
        <v>16</v>
      </c>
      <c r="W419" s="8" t="s">
        <v>170</v>
      </c>
      <c r="X419" s="9" t="s">
        <v>207</v>
      </c>
      <c r="Y419" s="13">
        <v>6583</v>
      </c>
      <c r="Z419" s="38">
        <v>6599</v>
      </c>
      <c r="AA419" s="9" t="s">
        <v>276</v>
      </c>
      <c r="AB419" s="9" t="s">
        <v>276</v>
      </c>
      <c r="AC419" s="8">
        <v>23</v>
      </c>
      <c r="AD419" s="8" t="s">
        <v>968</v>
      </c>
      <c r="AE419" s="8">
        <v>17</v>
      </c>
      <c r="AF419" s="8" t="s">
        <v>968</v>
      </c>
      <c r="AG419" s="9" t="s">
        <v>2308</v>
      </c>
      <c r="AH419" s="9" t="s">
        <v>689</v>
      </c>
      <c r="AI419" s="38">
        <v>17</v>
      </c>
      <c r="AJ419" s="38">
        <v>17</v>
      </c>
      <c r="AK419" s="13">
        <v>6583</v>
      </c>
      <c r="AL419" s="38">
        <v>6599</v>
      </c>
      <c r="AM419" s="38" t="s">
        <v>690</v>
      </c>
      <c r="AN419" s="8" t="s">
        <v>276</v>
      </c>
      <c r="AO419" s="14">
        <f t="shared" si="142"/>
        <v>2.5824092359106792</v>
      </c>
      <c r="AP419" s="8" t="s">
        <v>276</v>
      </c>
      <c r="AQ419" s="8" t="s">
        <v>276</v>
      </c>
      <c r="AR419" s="8" t="s">
        <v>276</v>
      </c>
      <c r="AS419" s="14">
        <f t="shared" si="143"/>
        <v>2.5761479011971509</v>
      </c>
      <c r="AT419" s="8" t="s">
        <v>276</v>
      </c>
      <c r="AU419" s="8" t="s">
        <v>276</v>
      </c>
      <c r="AV419" s="8" t="s">
        <v>268</v>
      </c>
      <c r="AW419" s="8" t="s">
        <v>276</v>
      </c>
      <c r="AX419" s="14">
        <f t="shared" si="144"/>
        <v>1.0024305028102689</v>
      </c>
      <c r="AY419" s="8" t="s">
        <v>276</v>
      </c>
      <c r="AZ419" s="8" t="s">
        <v>276</v>
      </c>
      <c r="BA419" s="8" t="s">
        <v>276</v>
      </c>
      <c r="BB419" s="8" t="s">
        <v>276</v>
      </c>
      <c r="BC419" s="8" t="s">
        <v>276</v>
      </c>
      <c r="BD419" s="8" t="s">
        <v>276</v>
      </c>
      <c r="BE419" s="8" t="s">
        <v>276</v>
      </c>
      <c r="BF419" s="9" t="s">
        <v>426</v>
      </c>
      <c r="BG419" s="9" t="s">
        <v>2240</v>
      </c>
      <c r="BH419" s="9" t="s">
        <v>100</v>
      </c>
      <c r="BI419" s="9" t="s">
        <v>100</v>
      </c>
      <c r="BJ419" s="32"/>
      <c r="BK419" s="32"/>
      <c r="BO419" s="32"/>
      <c r="BP419" s="32"/>
    </row>
    <row r="420" spans="1:68" s="33" customFormat="1" ht="65" hidden="1" x14ac:dyDescent="0.35">
      <c r="A420" s="8">
        <v>490</v>
      </c>
      <c r="B420" s="9" t="s">
        <v>2230</v>
      </c>
      <c r="C420" s="8" t="s">
        <v>71</v>
      </c>
      <c r="D420" s="9" t="s">
        <v>2309</v>
      </c>
      <c r="E420" s="8" t="s">
        <v>39</v>
      </c>
      <c r="F420" s="8" t="s">
        <v>143</v>
      </c>
      <c r="G420" s="8" t="s">
        <v>225</v>
      </c>
      <c r="H420" s="8" t="s">
        <v>125</v>
      </c>
      <c r="I420" s="8" t="s">
        <v>114</v>
      </c>
      <c r="J420" s="9" t="s">
        <v>25</v>
      </c>
      <c r="K420" s="8" t="s">
        <v>304</v>
      </c>
      <c r="L420" s="8" t="s">
        <v>2299</v>
      </c>
      <c r="M420" s="8" t="s">
        <v>98</v>
      </c>
      <c r="N420" s="8" t="s">
        <v>2291</v>
      </c>
      <c r="O420" s="9" t="s">
        <v>2292</v>
      </c>
      <c r="P420" s="9" t="s">
        <v>239</v>
      </c>
      <c r="Q420" s="52">
        <v>42369</v>
      </c>
      <c r="R420" s="9" t="s">
        <v>766</v>
      </c>
      <c r="S420" s="38" t="s">
        <v>2234</v>
      </c>
      <c r="T420" s="38" t="s">
        <v>2235</v>
      </c>
      <c r="U420" s="9">
        <v>4</v>
      </c>
      <c r="V420" s="8" t="s">
        <v>16</v>
      </c>
      <c r="W420" s="8" t="s">
        <v>170</v>
      </c>
      <c r="X420" s="9" t="s">
        <v>207</v>
      </c>
      <c r="Y420" s="13">
        <v>6583</v>
      </c>
      <c r="Z420" s="38">
        <v>6599</v>
      </c>
      <c r="AA420" s="9" t="s">
        <v>276</v>
      </c>
      <c r="AB420" s="9" t="s">
        <v>276</v>
      </c>
      <c r="AC420" s="8">
        <v>23</v>
      </c>
      <c r="AD420" s="8" t="s">
        <v>968</v>
      </c>
      <c r="AE420" s="8">
        <v>17</v>
      </c>
      <c r="AF420" s="8" t="s">
        <v>968</v>
      </c>
      <c r="AG420" s="9" t="s">
        <v>2310</v>
      </c>
      <c r="AH420" s="9" t="s">
        <v>689</v>
      </c>
      <c r="AI420" s="38">
        <f>12+17</f>
        <v>29</v>
      </c>
      <c r="AJ420" s="38">
        <f>13+17</f>
        <v>30</v>
      </c>
      <c r="AK420" s="13">
        <v>6583</v>
      </c>
      <c r="AL420" s="38">
        <v>6599</v>
      </c>
      <c r="AM420" s="38" t="s">
        <v>690</v>
      </c>
      <c r="AN420" s="8" t="s">
        <v>276</v>
      </c>
      <c r="AO420" s="14">
        <f t="shared" ref="AO420" si="145">AI420*1000/AK420</f>
        <v>4.4052863436123344</v>
      </c>
      <c r="AP420" s="8" t="s">
        <v>276</v>
      </c>
      <c r="AQ420" s="8" t="s">
        <v>276</v>
      </c>
      <c r="AR420" s="8" t="s">
        <v>276</v>
      </c>
      <c r="AS420" s="14">
        <f t="shared" ref="AS420" si="146">AJ420*1000/AL420</f>
        <v>4.546143355053796</v>
      </c>
      <c r="AT420" s="8" t="s">
        <v>276</v>
      </c>
      <c r="AU420" s="8" t="s">
        <v>276</v>
      </c>
      <c r="AV420" s="8" t="s">
        <v>268</v>
      </c>
      <c r="AW420" s="8" t="s">
        <v>276</v>
      </c>
      <c r="AX420" s="14">
        <f t="shared" ref="AX420" si="147">AO420/AS420</f>
        <v>0.96901615271659314</v>
      </c>
      <c r="AY420" s="8" t="s">
        <v>276</v>
      </c>
      <c r="AZ420" s="8" t="s">
        <v>276</v>
      </c>
      <c r="BA420" s="8" t="s">
        <v>276</v>
      </c>
      <c r="BB420" s="8" t="s">
        <v>276</v>
      </c>
      <c r="BC420" s="8" t="s">
        <v>276</v>
      </c>
      <c r="BD420" s="8" t="s">
        <v>276</v>
      </c>
      <c r="BE420" s="8" t="s">
        <v>276</v>
      </c>
      <c r="BF420" s="9" t="s">
        <v>426</v>
      </c>
      <c r="BG420" s="9" t="s">
        <v>2240</v>
      </c>
      <c r="BH420" s="9" t="s">
        <v>100</v>
      </c>
      <c r="BI420" s="9" t="s">
        <v>100</v>
      </c>
      <c r="BJ420" s="32"/>
      <c r="BK420" s="32"/>
      <c r="BO420" s="32"/>
      <c r="BP420" s="32"/>
    </row>
    <row r="421" spans="1:68" s="33" customFormat="1" ht="65" hidden="1" x14ac:dyDescent="0.35">
      <c r="A421" s="8">
        <v>490</v>
      </c>
      <c r="B421" s="9" t="s">
        <v>2230</v>
      </c>
      <c r="C421" s="8" t="s">
        <v>71</v>
      </c>
      <c r="D421" s="9" t="s">
        <v>11641</v>
      </c>
      <c r="E421" s="8" t="s">
        <v>39</v>
      </c>
      <c r="F421" s="8" t="s">
        <v>143</v>
      </c>
      <c r="G421" s="8" t="s">
        <v>225</v>
      </c>
      <c r="H421" s="8" t="s">
        <v>125</v>
      </c>
      <c r="I421" s="8" t="s">
        <v>114</v>
      </c>
      <c r="J421" s="9" t="s">
        <v>25</v>
      </c>
      <c r="K421" s="8" t="s">
        <v>304</v>
      </c>
      <c r="L421" s="8" t="s">
        <v>2299</v>
      </c>
      <c r="M421" s="8" t="s">
        <v>98</v>
      </c>
      <c r="N421" s="8" t="s">
        <v>2291</v>
      </c>
      <c r="O421" s="9" t="s">
        <v>2292</v>
      </c>
      <c r="P421" s="9" t="s">
        <v>239</v>
      </c>
      <c r="Q421" s="52">
        <v>42369</v>
      </c>
      <c r="R421" s="9" t="s">
        <v>766</v>
      </c>
      <c r="S421" s="38" t="s">
        <v>2234</v>
      </c>
      <c r="T421" s="38" t="s">
        <v>2235</v>
      </c>
      <c r="U421" s="9">
        <v>4</v>
      </c>
      <c r="V421" s="8" t="s">
        <v>16</v>
      </c>
      <c r="W421" s="8" t="s">
        <v>170</v>
      </c>
      <c r="X421" s="9" t="s">
        <v>207</v>
      </c>
      <c r="Y421" s="13">
        <v>6583</v>
      </c>
      <c r="Z421" s="38">
        <v>6599</v>
      </c>
      <c r="AA421" s="9" t="s">
        <v>276</v>
      </c>
      <c r="AB421" s="9" t="s">
        <v>276</v>
      </c>
      <c r="AC421" s="8">
        <v>23</v>
      </c>
      <c r="AD421" s="8" t="s">
        <v>968</v>
      </c>
      <c r="AE421" s="8">
        <v>17</v>
      </c>
      <c r="AF421" s="8" t="s">
        <v>968</v>
      </c>
      <c r="AG421" s="9" t="s">
        <v>11642</v>
      </c>
      <c r="AH421" s="9" t="s">
        <v>689</v>
      </c>
      <c r="AI421" s="38">
        <f>29+139</f>
        <v>168</v>
      </c>
      <c r="AJ421" s="38">
        <f>30+41</f>
        <v>71</v>
      </c>
      <c r="AK421" s="13">
        <v>6583</v>
      </c>
      <c r="AL421" s="38">
        <v>6599</v>
      </c>
      <c r="AM421" s="38" t="s">
        <v>690</v>
      </c>
      <c r="AN421" s="8" t="s">
        <v>276</v>
      </c>
      <c r="AO421" s="14">
        <f t="shared" si="142"/>
        <v>25.520279507823179</v>
      </c>
      <c r="AP421" s="8" t="s">
        <v>276</v>
      </c>
      <c r="AQ421" s="8" t="s">
        <v>276</v>
      </c>
      <c r="AR421" s="8" t="s">
        <v>276</v>
      </c>
      <c r="AS421" s="14">
        <f t="shared" si="143"/>
        <v>10.759205940293985</v>
      </c>
      <c r="AT421" s="8" t="s">
        <v>276</v>
      </c>
      <c r="AU421" s="8" t="s">
        <v>276</v>
      </c>
      <c r="AV421" s="8" t="s">
        <v>268</v>
      </c>
      <c r="AW421" s="8" t="s">
        <v>276</v>
      </c>
      <c r="AX421" s="14">
        <f t="shared" si="144"/>
        <v>2.3719482320017629</v>
      </c>
      <c r="AY421" s="8" t="s">
        <v>276</v>
      </c>
      <c r="AZ421" s="8" t="s">
        <v>276</v>
      </c>
      <c r="BA421" s="8" t="s">
        <v>276</v>
      </c>
      <c r="BB421" s="8" t="s">
        <v>276</v>
      </c>
      <c r="BC421" s="8" t="s">
        <v>276</v>
      </c>
      <c r="BD421" s="8" t="s">
        <v>276</v>
      </c>
      <c r="BE421" s="8" t="s">
        <v>276</v>
      </c>
      <c r="BF421" s="9" t="s">
        <v>426</v>
      </c>
      <c r="BG421" s="9" t="s">
        <v>2240</v>
      </c>
      <c r="BH421" s="9" t="s">
        <v>100</v>
      </c>
      <c r="BI421" s="9" t="s">
        <v>100</v>
      </c>
      <c r="BJ421" s="32"/>
      <c r="BK421" s="32"/>
      <c r="BO421" s="32"/>
      <c r="BP421" s="32"/>
    </row>
    <row r="422" spans="1:68" s="79" customFormat="1" ht="65" hidden="1" x14ac:dyDescent="0.35">
      <c r="A422" s="72">
        <v>490</v>
      </c>
      <c r="B422" s="73" t="s">
        <v>2230</v>
      </c>
      <c r="C422" s="72" t="s">
        <v>71</v>
      </c>
      <c r="D422" s="73" t="s">
        <v>2311</v>
      </c>
      <c r="E422" s="72" t="s">
        <v>39</v>
      </c>
      <c r="F422" s="72" t="s">
        <v>143</v>
      </c>
      <c r="G422" s="72" t="s">
        <v>225</v>
      </c>
      <c r="H422" s="72" t="s">
        <v>125</v>
      </c>
      <c r="I422" s="72" t="s">
        <v>114</v>
      </c>
      <c r="J422" s="73" t="s">
        <v>25</v>
      </c>
      <c r="K422" s="72" t="s">
        <v>947</v>
      </c>
      <c r="L422" s="72" t="s">
        <v>2299</v>
      </c>
      <c r="M422" s="72" t="s">
        <v>98</v>
      </c>
      <c r="N422" s="72" t="s">
        <v>2291</v>
      </c>
      <c r="O422" s="73" t="s">
        <v>2292</v>
      </c>
      <c r="P422" s="73" t="s">
        <v>239</v>
      </c>
      <c r="Q422" s="77">
        <v>42369</v>
      </c>
      <c r="R422" s="73" t="s">
        <v>766</v>
      </c>
      <c r="S422" s="75" t="s">
        <v>2234</v>
      </c>
      <c r="T422" s="75" t="s">
        <v>2235</v>
      </c>
      <c r="U422" s="73">
        <v>4</v>
      </c>
      <c r="V422" s="72" t="s">
        <v>16</v>
      </c>
      <c r="W422" s="72" t="s">
        <v>170</v>
      </c>
      <c r="X422" s="73" t="s">
        <v>207</v>
      </c>
      <c r="Y422" s="74">
        <v>6583</v>
      </c>
      <c r="Z422" s="75">
        <v>6599</v>
      </c>
      <c r="AA422" s="73" t="s">
        <v>276</v>
      </c>
      <c r="AB422" s="73" t="s">
        <v>276</v>
      </c>
      <c r="AC422" s="72">
        <v>23</v>
      </c>
      <c r="AD422" s="72" t="s">
        <v>968</v>
      </c>
      <c r="AE422" s="72">
        <v>17</v>
      </c>
      <c r="AF422" s="72" t="s">
        <v>968</v>
      </c>
      <c r="AG422" s="73" t="s">
        <v>2312</v>
      </c>
      <c r="AH422" s="73" t="s">
        <v>689</v>
      </c>
      <c r="AI422" s="75">
        <v>34</v>
      </c>
      <c r="AJ422" s="75">
        <v>43</v>
      </c>
      <c r="AK422" s="74">
        <v>6583</v>
      </c>
      <c r="AL422" s="75">
        <v>6599</v>
      </c>
      <c r="AM422" s="75" t="s">
        <v>690</v>
      </c>
      <c r="AN422" s="72" t="s">
        <v>276</v>
      </c>
      <c r="AO422" s="76">
        <f t="shared" si="142"/>
        <v>5.1648184718213583</v>
      </c>
      <c r="AP422" s="72" t="s">
        <v>276</v>
      </c>
      <c r="AQ422" s="72" t="s">
        <v>276</v>
      </c>
      <c r="AR422" s="72" t="s">
        <v>276</v>
      </c>
      <c r="AS422" s="76">
        <f t="shared" si="143"/>
        <v>6.5161388089104406</v>
      </c>
      <c r="AT422" s="72" t="s">
        <v>276</v>
      </c>
      <c r="AU422" s="72" t="s">
        <v>276</v>
      </c>
      <c r="AV422" s="72" t="s">
        <v>268</v>
      </c>
      <c r="AW422" s="72" t="s">
        <v>276</v>
      </c>
      <c r="AX422" s="76">
        <f t="shared" si="144"/>
        <v>0.7926194673383522</v>
      </c>
      <c r="AY422" s="72" t="s">
        <v>276</v>
      </c>
      <c r="AZ422" s="72" t="s">
        <v>276</v>
      </c>
      <c r="BA422" s="72" t="s">
        <v>276</v>
      </c>
      <c r="BB422" s="72" t="s">
        <v>276</v>
      </c>
      <c r="BC422" s="72" t="s">
        <v>276</v>
      </c>
      <c r="BD422" s="72" t="s">
        <v>276</v>
      </c>
      <c r="BE422" s="72" t="s">
        <v>276</v>
      </c>
      <c r="BF422" s="73" t="s">
        <v>426</v>
      </c>
      <c r="BG422" s="73" t="s">
        <v>2240</v>
      </c>
      <c r="BH422" s="9" t="s">
        <v>100</v>
      </c>
      <c r="BI422" s="9" t="s">
        <v>100</v>
      </c>
      <c r="BJ422" s="78"/>
      <c r="BK422" s="78"/>
      <c r="BO422" s="78"/>
      <c r="BP422" s="78"/>
    </row>
    <row r="423" spans="1:68" s="79" customFormat="1" ht="65" hidden="1" x14ac:dyDescent="0.35">
      <c r="A423" s="72">
        <v>490</v>
      </c>
      <c r="B423" s="73" t="s">
        <v>2230</v>
      </c>
      <c r="C423" s="72" t="s">
        <v>71</v>
      </c>
      <c r="D423" s="73" t="s">
        <v>2313</v>
      </c>
      <c r="E423" s="72" t="s">
        <v>39</v>
      </c>
      <c r="F423" s="72" t="s">
        <v>143</v>
      </c>
      <c r="G423" s="72" t="s">
        <v>225</v>
      </c>
      <c r="H423" s="72" t="s">
        <v>125</v>
      </c>
      <c r="I423" s="72" t="s">
        <v>114</v>
      </c>
      <c r="J423" s="73" t="s">
        <v>25</v>
      </c>
      <c r="K423" s="72" t="s">
        <v>950</v>
      </c>
      <c r="L423" s="72" t="s">
        <v>2299</v>
      </c>
      <c r="M423" s="72" t="s">
        <v>98</v>
      </c>
      <c r="N423" s="72" t="s">
        <v>2291</v>
      </c>
      <c r="O423" s="73" t="s">
        <v>2292</v>
      </c>
      <c r="P423" s="73" t="s">
        <v>239</v>
      </c>
      <c r="Q423" s="77">
        <v>42369</v>
      </c>
      <c r="R423" s="73" t="s">
        <v>766</v>
      </c>
      <c r="S423" s="75" t="s">
        <v>2234</v>
      </c>
      <c r="T423" s="75" t="s">
        <v>2235</v>
      </c>
      <c r="U423" s="73">
        <v>4</v>
      </c>
      <c r="V423" s="72" t="s">
        <v>16</v>
      </c>
      <c r="W423" s="72" t="s">
        <v>170</v>
      </c>
      <c r="X423" s="73" t="s">
        <v>207</v>
      </c>
      <c r="Y423" s="74">
        <v>6583</v>
      </c>
      <c r="Z423" s="75">
        <v>6599</v>
      </c>
      <c r="AA423" s="73" t="s">
        <v>276</v>
      </c>
      <c r="AB423" s="73" t="s">
        <v>276</v>
      </c>
      <c r="AC423" s="72">
        <v>23</v>
      </c>
      <c r="AD423" s="72" t="s">
        <v>968</v>
      </c>
      <c r="AE423" s="72">
        <v>17</v>
      </c>
      <c r="AF423" s="72" t="s">
        <v>968</v>
      </c>
      <c r="AG423" s="73" t="s">
        <v>2314</v>
      </c>
      <c r="AH423" s="73" t="s">
        <v>689</v>
      </c>
      <c r="AI423" s="75">
        <v>27</v>
      </c>
      <c r="AJ423" s="75">
        <v>34</v>
      </c>
      <c r="AK423" s="74">
        <v>6583</v>
      </c>
      <c r="AL423" s="75">
        <v>6599</v>
      </c>
      <c r="AM423" s="75" t="s">
        <v>690</v>
      </c>
      <c r="AN423" s="72" t="s">
        <v>276</v>
      </c>
      <c r="AO423" s="76">
        <f t="shared" si="142"/>
        <v>4.1014734923287257</v>
      </c>
      <c r="AP423" s="72" t="s">
        <v>276</v>
      </c>
      <c r="AQ423" s="72" t="s">
        <v>276</v>
      </c>
      <c r="AR423" s="72" t="s">
        <v>276</v>
      </c>
      <c r="AS423" s="76">
        <f t="shared" si="143"/>
        <v>5.1522958023943017</v>
      </c>
      <c r="AT423" s="72" t="s">
        <v>276</v>
      </c>
      <c r="AU423" s="72" t="s">
        <v>276</v>
      </c>
      <c r="AV423" s="72" t="s">
        <v>268</v>
      </c>
      <c r="AW423" s="72" t="s">
        <v>276</v>
      </c>
      <c r="AX423" s="76">
        <f t="shared" si="144"/>
        <v>0.79604775223168422</v>
      </c>
      <c r="AY423" s="72" t="s">
        <v>276</v>
      </c>
      <c r="AZ423" s="72" t="s">
        <v>276</v>
      </c>
      <c r="BA423" s="72" t="s">
        <v>276</v>
      </c>
      <c r="BB423" s="72" t="s">
        <v>276</v>
      </c>
      <c r="BC423" s="72" t="s">
        <v>276</v>
      </c>
      <c r="BD423" s="72" t="s">
        <v>276</v>
      </c>
      <c r="BE423" s="72" t="s">
        <v>276</v>
      </c>
      <c r="BF423" s="73" t="s">
        <v>426</v>
      </c>
      <c r="BG423" s="73" t="s">
        <v>2240</v>
      </c>
      <c r="BH423" s="9" t="s">
        <v>100</v>
      </c>
      <c r="BI423" s="9" t="s">
        <v>100</v>
      </c>
      <c r="BJ423" s="78"/>
      <c r="BK423" s="78"/>
      <c r="BO423" s="78"/>
      <c r="BP423" s="78"/>
    </row>
    <row r="424" spans="1:68" s="79" customFormat="1" ht="65" hidden="1" x14ac:dyDescent="0.35">
      <c r="A424" s="72">
        <v>490</v>
      </c>
      <c r="B424" s="73" t="s">
        <v>2230</v>
      </c>
      <c r="C424" s="72" t="s">
        <v>71</v>
      </c>
      <c r="D424" s="73" t="s">
        <v>2315</v>
      </c>
      <c r="E424" s="72" t="s">
        <v>39</v>
      </c>
      <c r="F424" s="72" t="s">
        <v>143</v>
      </c>
      <c r="G424" s="72" t="s">
        <v>225</v>
      </c>
      <c r="H424" s="72" t="s">
        <v>125</v>
      </c>
      <c r="I424" s="72" t="s">
        <v>114</v>
      </c>
      <c r="J424" s="73" t="s">
        <v>25</v>
      </c>
      <c r="K424" s="72" t="s">
        <v>311</v>
      </c>
      <c r="L424" s="72" t="s">
        <v>2299</v>
      </c>
      <c r="M424" s="72" t="s">
        <v>98</v>
      </c>
      <c r="N424" s="72" t="s">
        <v>2291</v>
      </c>
      <c r="O424" s="73" t="s">
        <v>2292</v>
      </c>
      <c r="P424" s="73" t="s">
        <v>239</v>
      </c>
      <c r="Q424" s="77">
        <v>42369</v>
      </c>
      <c r="R424" s="73" t="s">
        <v>766</v>
      </c>
      <c r="S424" s="75" t="s">
        <v>2234</v>
      </c>
      <c r="T424" s="75" t="s">
        <v>2235</v>
      </c>
      <c r="U424" s="73">
        <v>4</v>
      </c>
      <c r="V424" s="72" t="s">
        <v>16</v>
      </c>
      <c r="W424" s="72" t="s">
        <v>170</v>
      </c>
      <c r="X424" s="73" t="s">
        <v>207</v>
      </c>
      <c r="Y424" s="74">
        <v>6583</v>
      </c>
      <c r="Z424" s="75">
        <v>6599</v>
      </c>
      <c r="AA424" s="73" t="s">
        <v>276</v>
      </c>
      <c r="AB424" s="73" t="s">
        <v>276</v>
      </c>
      <c r="AC424" s="72">
        <v>23</v>
      </c>
      <c r="AD424" s="72" t="s">
        <v>968</v>
      </c>
      <c r="AE424" s="72">
        <v>17</v>
      </c>
      <c r="AF424" s="72" t="s">
        <v>968</v>
      </c>
      <c r="AG424" s="73" t="s">
        <v>2316</v>
      </c>
      <c r="AH424" s="73" t="s">
        <v>689</v>
      </c>
      <c r="AI424" s="75">
        <f>34+27</f>
        <v>61</v>
      </c>
      <c r="AJ424" s="75">
        <f>43+34</f>
        <v>77</v>
      </c>
      <c r="AK424" s="74">
        <v>6583</v>
      </c>
      <c r="AL424" s="75">
        <v>6599</v>
      </c>
      <c r="AM424" s="75" t="s">
        <v>690</v>
      </c>
      <c r="AN424" s="72" t="s">
        <v>276</v>
      </c>
      <c r="AO424" s="76">
        <f t="shared" si="142"/>
        <v>9.2662919641500832</v>
      </c>
      <c r="AP424" s="72" t="s">
        <v>276</v>
      </c>
      <c r="AQ424" s="72" t="s">
        <v>276</v>
      </c>
      <c r="AR424" s="72" t="s">
        <v>276</v>
      </c>
      <c r="AS424" s="76">
        <f t="shared" si="143"/>
        <v>11.668434611304743</v>
      </c>
      <c r="AT424" s="72" t="s">
        <v>276</v>
      </c>
      <c r="AU424" s="72" t="s">
        <v>276</v>
      </c>
      <c r="AV424" s="72" t="s">
        <v>268</v>
      </c>
      <c r="AW424" s="72" t="s">
        <v>276</v>
      </c>
      <c r="AX424" s="76">
        <f t="shared" si="144"/>
        <v>0.79413325547307012</v>
      </c>
      <c r="AY424" s="72" t="s">
        <v>276</v>
      </c>
      <c r="AZ424" s="72" t="s">
        <v>276</v>
      </c>
      <c r="BA424" s="72" t="s">
        <v>276</v>
      </c>
      <c r="BB424" s="72" t="s">
        <v>276</v>
      </c>
      <c r="BC424" s="72" t="s">
        <v>276</v>
      </c>
      <c r="BD424" s="72" t="s">
        <v>276</v>
      </c>
      <c r="BE424" s="72" t="s">
        <v>276</v>
      </c>
      <c r="BF424" s="73" t="s">
        <v>426</v>
      </c>
      <c r="BG424" s="73" t="s">
        <v>2240</v>
      </c>
      <c r="BH424" s="9" t="s">
        <v>100</v>
      </c>
      <c r="BI424" s="9" t="s">
        <v>100</v>
      </c>
      <c r="BJ424" s="78"/>
      <c r="BK424" s="78"/>
      <c r="BO424" s="78"/>
      <c r="BP424" s="78"/>
    </row>
    <row r="425" spans="1:68" s="33" customFormat="1" ht="65" hidden="1" x14ac:dyDescent="0.35">
      <c r="A425" s="8">
        <v>490</v>
      </c>
      <c r="B425" s="9" t="s">
        <v>2230</v>
      </c>
      <c r="C425" s="8" t="s">
        <v>71</v>
      </c>
      <c r="D425" s="9" t="s">
        <v>2317</v>
      </c>
      <c r="E425" s="8" t="s">
        <v>39</v>
      </c>
      <c r="F425" s="8" t="s">
        <v>143</v>
      </c>
      <c r="G425" s="8" t="s">
        <v>225</v>
      </c>
      <c r="H425" s="8" t="s">
        <v>125</v>
      </c>
      <c r="I425" s="8" t="s">
        <v>114</v>
      </c>
      <c r="J425" s="9" t="s">
        <v>25</v>
      </c>
      <c r="K425" s="8" t="s">
        <v>314</v>
      </c>
      <c r="L425" s="8" t="s">
        <v>2299</v>
      </c>
      <c r="M425" s="8" t="s">
        <v>98</v>
      </c>
      <c r="N425" s="8" t="s">
        <v>2291</v>
      </c>
      <c r="O425" s="9" t="s">
        <v>2292</v>
      </c>
      <c r="P425" s="9" t="s">
        <v>239</v>
      </c>
      <c r="Q425" s="52">
        <v>42369</v>
      </c>
      <c r="R425" s="9" t="s">
        <v>766</v>
      </c>
      <c r="S425" s="38" t="s">
        <v>2234</v>
      </c>
      <c r="T425" s="38" t="s">
        <v>2235</v>
      </c>
      <c r="U425" s="9">
        <v>4</v>
      </c>
      <c r="V425" s="8" t="s">
        <v>16</v>
      </c>
      <c r="W425" s="8" t="s">
        <v>170</v>
      </c>
      <c r="X425" s="9" t="s">
        <v>207</v>
      </c>
      <c r="Y425" s="13">
        <v>6583</v>
      </c>
      <c r="Z425" s="38">
        <v>6599</v>
      </c>
      <c r="AA425" s="9" t="s">
        <v>276</v>
      </c>
      <c r="AB425" s="9" t="s">
        <v>276</v>
      </c>
      <c r="AC425" s="8">
        <v>23</v>
      </c>
      <c r="AD425" s="8" t="s">
        <v>968</v>
      </c>
      <c r="AE425" s="8">
        <v>17</v>
      </c>
      <c r="AF425" s="8" t="s">
        <v>968</v>
      </c>
      <c r="AG425" s="9" t="s">
        <v>2318</v>
      </c>
      <c r="AH425" s="9" t="s">
        <v>689</v>
      </c>
      <c r="AI425" s="38">
        <v>92</v>
      </c>
      <c r="AJ425" s="38">
        <v>139</v>
      </c>
      <c r="AK425" s="13">
        <v>6583</v>
      </c>
      <c r="AL425" s="38">
        <v>6599</v>
      </c>
      <c r="AM425" s="38" t="s">
        <v>690</v>
      </c>
      <c r="AN425" s="8" t="s">
        <v>276</v>
      </c>
      <c r="AO425" s="14">
        <f t="shared" si="142"/>
        <v>13.975391159046028</v>
      </c>
      <c r="AP425" s="8" t="s">
        <v>276</v>
      </c>
      <c r="AQ425" s="8" t="s">
        <v>276</v>
      </c>
      <c r="AR425" s="8" t="s">
        <v>276</v>
      </c>
      <c r="AS425" s="14">
        <f t="shared" si="143"/>
        <v>21.06379754508259</v>
      </c>
      <c r="AT425" s="8" t="s">
        <v>276</v>
      </c>
      <c r="AU425" s="8" t="s">
        <v>276</v>
      </c>
      <c r="AV425" s="8" t="s">
        <v>268</v>
      </c>
      <c r="AW425" s="8" t="s">
        <v>276</v>
      </c>
      <c r="AX425" s="14">
        <f t="shared" si="144"/>
        <v>0.66347918171614917</v>
      </c>
      <c r="AY425" s="8" t="s">
        <v>276</v>
      </c>
      <c r="AZ425" s="8" t="s">
        <v>276</v>
      </c>
      <c r="BA425" s="8" t="s">
        <v>276</v>
      </c>
      <c r="BB425" s="8" t="s">
        <v>276</v>
      </c>
      <c r="BC425" s="8" t="s">
        <v>276</v>
      </c>
      <c r="BD425" s="8" t="s">
        <v>276</v>
      </c>
      <c r="BE425" s="8" t="s">
        <v>276</v>
      </c>
      <c r="BF425" s="9" t="s">
        <v>426</v>
      </c>
      <c r="BG425" s="9" t="s">
        <v>2240</v>
      </c>
      <c r="BH425" s="9" t="s">
        <v>100</v>
      </c>
      <c r="BI425" s="9" t="s">
        <v>100</v>
      </c>
      <c r="BJ425" s="32"/>
      <c r="BK425" s="32"/>
      <c r="BO425" s="32"/>
      <c r="BP425" s="32"/>
    </row>
    <row r="426" spans="1:68" s="79" customFormat="1" ht="65" hidden="1" x14ac:dyDescent="0.35">
      <c r="A426" s="72">
        <v>490</v>
      </c>
      <c r="B426" s="73" t="s">
        <v>2230</v>
      </c>
      <c r="C426" s="72" t="s">
        <v>71</v>
      </c>
      <c r="D426" s="73" t="s">
        <v>2319</v>
      </c>
      <c r="E426" s="72" t="s">
        <v>39</v>
      </c>
      <c r="F426" s="72" t="s">
        <v>143</v>
      </c>
      <c r="G426" s="72" t="s">
        <v>225</v>
      </c>
      <c r="H426" s="72" t="s">
        <v>125</v>
      </c>
      <c r="I426" s="72" t="s">
        <v>114</v>
      </c>
      <c r="J426" s="73" t="s">
        <v>25</v>
      </c>
      <c r="K426" s="72" t="s">
        <v>317</v>
      </c>
      <c r="L426" s="72" t="s">
        <v>2299</v>
      </c>
      <c r="M426" s="72" t="s">
        <v>98</v>
      </c>
      <c r="N426" s="72" t="s">
        <v>2291</v>
      </c>
      <c r="O426" s="73" t="s">
        <v>2292</v>
      </c>
      <c r="P426" s="73" t="s">
        <v>239</v>
      </c>
      <c r="Q426" s="77">
        <v>42369</v>
      </c>
      <c r="R426" s="73" t="s">
        <v>766</v>
      </c>
      <c r="S426" s="75" t="s">
        <v>2234</v>
      </c>
      <c r="T426" s="75" t="s">
        <v>2235</v>
      </c>
      <c r="U426" s="73">
        <v>4</v>
      </c>
      <c r="V426" s="72" t="s">
        <v>16</v>
      </c>
      <c r="W426" s="72" t="s">
        <v>170</v>
      </c>
      <c r="X426" s="73" t="s">
        <v>207</v>
      </c>
      <c r="Y426" s="74">
        <v>6583</v>
      </c>
      <c r="Z426" s="75">
        <v>6599</v>
      </c>
      <c r="AA426" s="73" t="s">
        <v>276</v>
      </c>
      <c r="AB426" s="73" t="s">
        <v>276</v>
      </c>
      <c r="AC426" s="72">
        <v>23</v>
      </c>
      <c r="AD426" s="72" t="s">
        <v>968</v>
      </c>
      <c r="AE426" s="72">
        <v>17</v>
      </c>
      <c r="AF426" s="72" t="s">
        <v>968</v>
      </c>
      <c r="AG426" s="73" t="s">
        <v>2320</v>
      </c>
      <c r="AH426" s="73" t="s">
        <v>689</v>
      </c>
      <c r="AI426" s="75">
        <f>92+61</f>
        <v>153</v>
      </c>
      <c r="AJ426" s="75">
        <f>139+77</f>
        <v>216</v>
      </c>
      <c r="AK426" s="74">
        <v>6583</v>
      </c>
      <c r="AL426" s="75">
        <v>6599</v>
      </c>
      <c r="AM426" s="75" t="s">
        <v>690</v>
      </c>
      <c r="AN426" s="72" t="s">
        <v>276</v>
      </c>
      <c r="AO426" s="76">
        <f t="shared" si="142"/>
        <v>23.241683123196111</v>
      </c>
      <c r="AP426" s="72" t="s">
        <v>276</v>
      </c>
      <c r="AQ426" s="72" t="s">
        <v>276</v>
      </c>
      <c r="AR426" s="72" t="s">
        <v>276</v>
      </c>
      <c r="AS426" s="76">
        <f t="shared" si="143"/>
        <v>32.732232156387333</v>
      </c>
      <c r="AT426" s="72" t="s">
        <v>276</v>
      </c>
      <c r="AU426" s="72" t="s">
        <v>276</v>
      </c>
      <c r="AV426" s="72" t="s">
        <v>268</v>
      </c>
      <c r="AW426" s="72" t="s">
        <v>276</v>
      </c>
      <c r="AX426" s="76">
        <f t="shared" si="144"/>
        <v>0.71005493949060705</v>
      </c>
      <c r="AY426" s="72" t="s">
        <v>276</v>
      </c>
      <c r="AZ426" s="72" t="s">
        <v>276</v>
      </c>
      <c r="BA426" s="72" t="s">
        <v>276</v>
      </c>
      <c r="BB426" s="72" t="s">
        <v>276</v>
      </c>
      <c r="BC426" s="72" t="s">
        <v>276</v>
      </c>
      <c r="BD426" s="72" t="s">
        <v>276</v>
      </c>
      <c r="BE426" s="72" t="s">
        <v>276</v>
      </c>
      <c r="BF426" s="73" t="s">
        <v>426</v>
      </c>
      <c r="BG426" s="73" t="s">
        <v>2240</v>
      </c>
      <c r="BH426" s="9" t="s">
        <v>100</v>
      </c>
      <c r="BI426" s="9" t="s">
        <v>100</v>
      </c>
      <c r="BJ426" s="78"/>
      <c r="BK426" s="78"/>
      <c r="BO426" s="78"/>
      <c r="BP426" s="78"/>
    </row>
    <row r="427" spans="1:68" s="79" customFormat="1" ht="65" hidden="1" x14ac:dyDescent="0.35">
      <c r="A427" s="72">
        <v>490</v>
      </c>
      <c r="B427" s="73" t="s">
        <v>2230</v>
      </c>
      <c r="C427" s="72" t="s">
        <v>71</v>
      </c>
      <c r="D427" s="73" t="s">
        <v>2321</v>
      </c>
      <c r="E427" s="72" t="s">
        <v>39</v>
      </c>
      <c r="F427" s="72" t="s">
        <v>143</v>
      </c>
      <c r="G427" s="72" t="s">
        <v>225</v>
      </c>
      <c r="H427" s="72" t="s">
        <v>125</v>
      </c>
      <c r="I427" s="72" t="s">
        <v>114</v>
      </c>
      <c r="J427" s="73" t="s">
        <v>25</v>
      </c>
      <c r="K427" s="72" t="s">
        <v>317</v>
      </c>
      <c r="L427" s="72" t="s">
        <v>2299</v>
      </c>
      <c r="M427" s="72" t="s">
        <v>98</v>
      </c>
      <c r="N427" s="72" t="s">
        <v>2291</v>
      </c>
      <c r="O427" s="73" t="s">
        <v>2292</v>
      </c>
      <c r="P427" s="73" t="s">
        <v>235</v>
      </c>
      <c r="Q427" s="77">
        <v>42369</v>
      </c>
      <c r="R427" s="73" t="s">
        <v>766</v>
      </c>
      <c r="S427" s="75" t="s">
        <v>2234</v>
      </c>
      <c r="T427" s="75" t="s">
        <v>2235</v>
      </c>
      <c r="U427" s="73">
        <v>4</v>
      </c>
      <c r="V427" s="72" t="s">
        <v>16</v>
      </c>
      <c r="W427" s="72" t="s">
        <v>170</v>
      </c>
      <c r="X427" s="73" t="s">
        <v>207</v>
      </c>
      <c r="Y427" s="74" t="s">
        <v>98</v>
      </c>
      <c r="Z427" s="75" t="s">
        <v>98</v>
      </c>
      <c r="AA427" s="73" t="s">
        <v>276</v>
      </c>
      <c r="AB427" s="73" t="s">
        <v>276</v>
      </c>
      <c r="AC427" s="72">
        <v>23</v>
      </c>
      <c r="AD427" s="72" t="s">
        <v>968</v>
      </c>
      <c r="AE427" s="72">
        <v>17</v>
      </c>
      <c r="AF427" s="72" t="s">
        <v>968</v>
      </c>
      <c r="AG427" s="73" t="s">
        <v>2320</v>
      </c>
      <c r="AH427" s="73" t="s">
        <v>2322</v>
      </c>
      <c r="AI427" s="75">
        <f>92+61</f>
        <v>153</v>
      </c>
      <c r="AJ427" s="75">
        <f>139+77</f>
        <v>216</v>
      </c>
      <c r="AK427" s="74">
        <v>344</v>
      </c>
      <c r="AL427" s="75">
        <v>304</v>
      </c>
      <c r="AM427" s="75" t="s">
        <v>292</v>
      </c>
      <c r="AN427" s="72" t="s">
        <v>276</v>
      </c>
      <c r="AO427" s="76">
        <f>AI427*100/AK427</f>
        <v>44.47674418604651</v>
      </c>
      <c r="AP427" s="72" t="s">
        <v>276</v>
      </c>
      <c r="AQ427" s="72" t="s">
        <v>276</v>
      </c>
      <c r="AR427" s="72" t="s">
        <v>276</v>
      </c>
      <c r="AS427" s="76">
        <f>AJ427*100/AL427</f>
        <v>71.05263157894737</v>
      </c>
      <c r="AT427" s="72" t="s">
        <v>276</v>
      </c>
      <c r="AU427" s="72" t="s">
        <v>276</v>
      </c>
      <c r="AV427" s="72" t="s">
        <v>268</v>
      </c>
      <c r="AW427" s="72" t="s">
        <v>276</v>
      </c>
      <c r="AX427" s="76">
        <f t="shared" si="144"/>
        <v>0.62596899224806202</v>
      </c>
      <c r="AY427" s="72" t="s">
        <v>276</v>
      </c>
      <c r="AZ427" s="72" t="s">
        <v>276</v>
      </c>
      <c r="BA427" s="72" t="s">
        <v>276</v>
      </c>
      <c r="BB427" s="72" t="s">
        <v>276</v>
      </c>
      <c r="BC427" s="72" t="s">
        <v>276</v>
      </c>
      <c r="BD427" s="72" t="s">
        <v>276</v>
      </c>
      <c r="BE427" s="72" t="s">
        <v>276</v>
      </c>
      <c r="BF427" s="73" t="s">
        <v>426</v>
      </c>
      <c r="BG427" s="73" t="s">
        <v>2240</v>
      </c>
      <c r="BH427" s="9" t="s">
        <v>100</v>
      </c>
      <c r="BI427" s="9" t="s">
        <v>100</v>
      </c>
      <c r="BJ427" s="78"/>
      <c r="BK427" s="78"/>
      <c r="BO427" s="78"/>
      <c r="BP427" s="78"/>
    </row>
    <row r="428" spans="1:68" s="33" customFormat="1" ht="78" hidden="1" x14ac:dyDescent="0.35">
      <c r="A428" s="8">
        <v>2584</v>
      </c>
      <c r="B428" s="8" t="s">
        <v>2323</v>
      </c>
      <c r="C428" s="9" t="s">
        <v>67</v>
      </c>
      <c r="D428" s="9" t="s">
        <v>2344</v>
      </c>
      <c r="E428" s="8" t="s">
        <v>37</v>
      </c>
      <c r="F428" s="8" t="s">
        <v>2325</v>
      </c>
      <c r="G428" s="8" t="s">
        <v>129</v>
      </c>
      <c r="H428" s="8" t="s">
        <v>225</v>
      </c>
      <c r="I428" s="8" t="s">
        <v>98</v>
      </c>
      <c r="J428" s="9" t="s">
        <v>32</v>
      </c>
      <c r="K428" s="8" t="s">
        <v>2345</v>
      </c>
      <c r="L428" s="8" t="s">
        <v>276</v>
      </c>
      <c r="M428" s="8" t="s">
        <v>2346</v>
      </c>
      <c r="N428" s="9" t="s">
        <v>2326</v>
      </c>
      <c r="O428" s="9" t="s">
        <v>2347</v>
      </c>
      <c r="P428" s="9" t="s">
        <v>239</v>
      </c>
      <c r="Q428" s="51" t="s">
        <v>2348</v>
      </c>
      <c r="R428" s="9" t="s">
        <v>2328</v>
      </c>
      <c r="S428" s="38" t="s">
        <v>2329</v>
      </c>
      <c r="T428" s="9" t="s">
        <v>2330</v>
      </c>
      <c r="U428" s="51" t="s">
        <v>2331</v>
      </c>
      <c r="V428" s="8" t="s">
        <v>14</v>
      </c>
      <c r="W428" s="9" t="s">
        <v>98</v>
      </c>
      <c r="X428" s="9" t="s">
        <v>208</v>
      </c>
      <c r="Y428" s="13">
        <v>169159</v>
      </c>
      <c r="Z428" s="38">
        <v>334232</v>
      </c>
      <c r="AA428" s="38" t="s">
        <v>2332</v>
      </c>
      <c r="AB428" s="9" t="s">
        <v>2333</v>
      </c>
      <c r="AC428" s="8">
        <v>0</v>
      </c>
      <c r="AD428" s="8" t="s">
        <v>98</v>
      </c>
      <c r="AE428" s="8">
        <v>0</v>
      </c>
      <c r="AF428" s="8" t="s">
        <v>98</v>
      </c>
      <c r="AG428" s="9" t="s">
        <v>2349</v>
      </c>
      <c r="AH428" s="9" t="s">
        <v>1176</v>
      </c>
      <c r="AI428" s="38">
        <v>83</v>
      </c>
      <c r="AJ428" s="38">
        <v>165</v>
      </c>
      <c r="AK428" s="13">
        <v>169159</v>
      </c>
      <c r="AL428" s="38">
        <v>334232</v>
      </c>
      <c r="AM428" s="38" t="s">
        <v>281</v>
      </c>
      <c r="AN428" s="8" t="s">
        <v>276</v>
      </c>
      <c r="AO428" s="14">
        <f>AI428*1000/AK428</f>
        <v>0.49066263101578989</v>
      </c>
      <c r="AP428" s="8" t="s">
        <v>276</v>
      </c>
      <c r="AQ428" s="8" t="s">
        <v>276</v>
      </c>
      <c r="AR428" s="8" t="s">
        <v>276</v>
      </c>
      <c r="AS428" s="14">
        <f>AJ428*1000/AL428</f>
        <v>0.49366906819215395</v>
      </c>
      <c r="AT428" s="8" t="s">
        <v>276</v>
      </c>
      <c r="AU428" s="8" t="s">
        <v>276</v>
      </c>
      <c r="AV428" s="8" t="s">
        <v>268</v>
      </c>
      <c r="AW428" s="40" t="s">
        <v>276</v>
      </c>
      <c r="AX428" s="40">
        <f t="shared" si="144"/>
        <v>0.99391001508890597</v>
      </c>
      <c r="AY428" s="9" t="s">
        <v>276</v>
      </c>
      <c r="AZ428" s="9" t="s">
        <v>276</v>
      </c>
      <c r="BA428" s="9" t="s">
        <v>276</v>
      </c>
      <c r="BB428" s="9" t="s">
        <v>282</v>
      </c>
      <c r="BC428" s="9" t="s">
        <v>276</v>
      </c>
      <c r="BD428" s="9" t="s">
        <v>276</v>
      </c>
      <c r="BE428" s="9" t="s">
        <v>276</v>
      </c>
      <c r="BF428" s="9" t="s">
        <v>2350</v>
      </c>
      <c r="BG428" s="9"/>
      <c r="BH428" s="9" t="s">
        <v>100</v>
      </c>
      <c r="BI428" s="9" t="s">
        <v>100</v>
      </c>
      <c r="BJ428" s="32"/>
      <c r="BK428" s="32"/>
      <c r="BO428" s="32"/>
      <c r="BP428" s="32"/>
    </row>
    <row r="429" spans="1:68" s="33" customFormat="1" ht="104" hidden="1" x14ac:dyDescent="0.35">
      <c r="A429" s="8">
        <v>2584</v>
      </c>
      <c r="B429" s="8" t="s">
        <v>2323</v>
      </c>
      <c r="C429" s="9" t="s">
        <v>67</v>
      </c>
      <c r="D429" s="9" t="s">
        <v>2351</v>
      </c>
      <c r="E429" s="8" t="s">
        <v>37</v>
      </c>
      <c r="F429" s="8" t="s">
        <v>2325</v>
      </c>
      <c r="G429" s="8" t="s">
        <v>129</v>
      </c>
      <c r="H429" s="8" t="s">
        <v>225</v>
      </c>
      <c r="I429" s="8" t="s">
        <v>98</v>
      </c>
      <c r="J429" s="9" t="s">
        <v>32</v>
      </c>
      <c r="K429" s="8" t="s">
        <v>2345</v>
      </c>
      <c r="L429" s="8" t="s">
        <v>276</v>
      </c>
      <c r="M429" s="8" t="s">
        <v>2346</v>
      </c>
      <c r="N429" s="9" t="s">
        <v>2326</v>
      </c>
      <c r="O429" s="9" t="s">
        <v>2347</v>
      </c>
      <c r="P429" s="9" t="s">
        <v>239</v>
      </c>
      <c r="Q429" s="51" t="s">
        <v>2348</v>
      </c>
      <c r="R429" s="9" t="s">
        <v>2328</v>
      </c>
      <c r="S429" s="38" t="s">
        <v>2329</v>
      </c>
      <c r="T429" s="9" t="s">
        <v>2330</v>
      </c>
      <c r="U429" s="51" t="s">
        <v>2331</v>
      </c>
      <c r="V429" s="8" t="s">
        <v>14</v>
      </c>
      <c r="W429" s="9" t="s">
        <v>98</v>
      </c>
      <c r="X429" s="9" t="s">
        <v>208</v>
      </c>
      <c r="Y429" s="13">
        <v>169159</v>
      </c>
      <c r="Z429" s="38">
        <v>334232</v>
      </c>
      <c r="AA429" s="38" t="s">
        <v>2332</v>
      </c>
      <c r="AB429" s="9" t="s">
        <v>2333</v>
      </c>
      <c r="AC429" s="8">
        <v>0</v>
      </c>
      <c r="AD429" s="8" t="s">
        <v>98</v>
      </c>
      <c r="AE429" s="8">
        <v>0</v>
      </c>
      <c r="AF429" s="8" t="s">
        <v>98</v>
      </c>
      <c r="AG429" s="9" t="s">
        <v>2349</v>
      </c>
      <c r="AH429" s="9" t="s">
        <v>2352</v>
      </c>
      <c r="AI429" s="38">
        <v>83</v>
      </c>
      <c r="AJ429" s="38">
        <v>165</v>
      </c>
      <c r="AK429" s="13">
        <v>1066203</v>
      </c>
      <c r="AL429" s="38">
        <v>2110600</v>
      </c>
      <c r="AM429" s="38" t="s">
        <v>1019</v>
      </c>
      <c r="AN429" s="8" t="s">
        <v>276</v>
      </c>
      <c r="AO429" s="14">
        <f>AI429*100000/AK429</f>
        <v>7.7846338830410344</v>
      </c>
      <c r="AP429" s="8" t="s">
        <v>276</v>
      </c>
      <c r="AQ429" s="8" t="s">
        <v>276</v>
      </c>
      <c r="AR429" s="8" t="s">
        <v>276</v>
      </c>
      <c r="AS429" s="14">
        <f>AJ429*100000/AL429</f>
        <v>7.8176821756846397</v>
      </c>
      <c r="AT429" s="8" t="s">
        <v>276</v>
      </c>
      <c r="AU429" s="8" t="s">
        <v>276</v>
      </c>
      <c r="AV429" s="8" t="s">
        <v>269</v>
      </c>
      <c r="AW429" s="40">
        <v>1</v>
      </c>
      <c r="AX429" s="40">
        <f t="shared" si="144"/>
        <v>0.99577262263917621</v>
      </c>
      <c r="AY429" s="9">
        <v>0.76</v>
      </c>
      <c r="AZ429" s="9">
        <v>1.29</v>
      </c>
      <c r="BA429" s="9" t="s">
        <v>691</v>
      </c>
      <c r="BB429" s="9" t="s">
        <v>282</v>
      </c>
      <c r="BC429" s="9" t="s">
        <v>276</v>
      </c>
      <c r="BD429" s="9" t="s">
        <v>276</v>
      </c>
      <c r="BE429" s="9" t="s">
        <v>276</v>
      </c>
      <c r="BF429" s="9" t="s">
        <v>2353</v>
      </c>
      <c r="BG429" s="9"/>
      <c r="BH429" s="9" t="s">
        <v>100</v>
      </c>
      <c r="BI429" s="9" t="s">
        <v>100</v>
      </c>
      <c r="BJ429" s="32"/>
      <c r="BK429" s="32"/>
      <c r="BO429" s="32"/>
      <c r="BP429" s="32"/>
    </row>
    <row r="430" spans="1:68" s="33" customFormat="1" ht="104" hidden="1" x14ac:dyDescent="0.35">
      <c r="A430" s="8">
        <v>2584</v>
      </c>
      <c r="B430" s="8" t="s">
        <v>2323</v>
      </c>
      <c r="C430" s="9" t="s">
        <v>67</v>
      </c>
      <c r="D430" s="9" t="s">
        <v>2354</v>
      </c>
      <c r="E430" s="8" t="s">
        <v>37</v>
      </c>
      <c r="F430" s="8" t="s">
        <v>2325</v>
      </c>
      <c r="G430" s="8" t="s">
        <v>129</v>
      </c>
      <c r="H430" s="8" t="s">
        <v>225</v>
      </c>
      <c r="I430" s="8" t="s">
        <v>98</v>
      </c>
      <c r="J430" s="9" t="s">
        <v>32</v>
      </c>
      <c r="K430" s="8" t="s">
        <v>2345</v>
      </c>
      <c r="L430" s="8" t="s">
        <v>276</v>
      </c>
      <c r="M430" s="8" t="s">
        <v>2346</v>
      </c>
      <c r="N430" s="9" t="s">
        <v>2326</v>
      </c>
      <c r="O430" s="9" t="s">
        <v>2347</v>
      </c>
      <c r="P430" s="9" t="s">
        <v>235</v>
      </c>
      <c r="Q430" s="51" t="s">
        <v>2348</v>
      </c>
      <c r="R430" s="9" t="s">
        <v>2328</v>
      </c>
      <c r="S430" s="38" t="s">
        <v>2329</v>
      </c>
      <c r="T430" s="9" t="s">
        <v>2330</v>
      </c>
      <c r="U430" s="51" t="s">
        <v>2331</v>
      </c>
      <c r="V430" s="8" t="s">
        <v>14</v>
      </c>
      <c r="W430" s="9" t="s">
        <v>98</v>
      </c>
      <c r="X430" s="9" t="s">
        <v>208</v>
      </c>
      <c r="Y430" s="13" t="s">
        <v>98</v>
      </c>
      <c r="Z430" s="38" t="s">
        <v>98</v>
      </c>
      <c r="AA430" s="38" t="s">
        <v>2332</v>
      </c>
      <c r="AB430" s="9" t="s">
        <v>2333</v>
      </c>
      <c r="AC430" s="8">
        <v>0</v>
      </c>
      <c r="AD430" s="8" t="s">
        <v>98</v>
      </c>
      <c r="AE430" s="8">
        <v>0</v>
      </c>
      <c r="AF430" s="8" t="s">
        <v>98</v>
      </c>
      <c r="AG430" s="9" t="s">
        <v>2349</v>
      </c>
      <c r="AH430" s="9" t="s">
        <v>2355</v>
      </c>
      <c r="AI430" s="38">
        <v>83</v>
      </c>
      <c r="AJ430" s="38">
        <v>165</v>
      </c>
      <c r="AK430" s="13">
        <v>503</v>
      </c>
      <c r="AL430" s="38">
        <v>1021</v>
      </c>
      <c r="AM430" s="38" t="s">
        <v>292</v>
      </c>
      <c r="AN430" s="8" t="s">
        <v>276</v>
      </c>
      <c r="AO430" s="14">
        <f>AI430*100/AK430</f>
        <v>16.50099403578529</v>
      </c>
      <c r="AP430" s="8" t="s">
        <v>276</v>
      </c>
      <c r="AQ430" s="8" t="s">
        <v>276</v>
      </c>
      <c r="AR430" s="8" t="s">
        <v>276</v>
      </c>
      <c r="AS430" s="14">
        <f>AJ430*100/AL430</f>
        <v>16.160626836434869</v>
      </c>
      <c r="AT430" s="8" t="s">
        <v>276</v>
      </c>
      <c r="AU430" s="8" t="s">
        <v>276</v>
      </c>
      <c r="AV430" s="8" t="s">
        <v>268</v>
      </c>
      <c r="AW430" s="40" t="s">
        <v>276</v>
      </c>
      <c r="AX430" s="40">
        <f t="shared" si="144"/>
        <v>1.0210615097295017</v>
      </c>
      <c r="AY430" s="9" t="s">
        <v>276</v>
      </c>
      <c r="AZ430" s="9" t="s">
        <v>276</v>
      </c>
      <c r="BA430" s="9" t="s">
        <v>276</v>
      </c>
      <c r="BB430" s="9" t="s">
        <v>282</v>
      </c>
      <c r="BC430" s="9" t="s">
        <v>276</v>
      </c>
      <c r="BD430" s="9" t="s">
        <v>276</v>
      </c>
      <c r="BE430" s="9" t="s">
        <v>276</v>
      </c>
      <c r="BF430" s="9" t="s">
        <v>2353</v>
      </c>
      <c r="BG430" s="9"/>
      <c r="BH430" s="9" t="s">
        <v>100</v>
      </c>
      <c r="BI430" s="9" t="s">
        <v>100</v>
      </c>
      <c r="BJ430" s="32"/>
      <c r="BK430" s="32"/>
      <c r="BO430" s="32"/>
      <c r="BP430" s="32"/>
    </row>
    <row r="431" spans="1:68" s="33" customFormat="1" ht="78" hidden="1" x14ac:dyDescent="0.35">
      <c r="A431" s="8">
        <v>2584</v>
      </c>
      <c r="B431" s="8" t="s">
        <v>2323</v>
      </c>
      <c r="C431" s="9" t="s">
        <v>67</v>
      </c>
      <c r="D431" s="9" t="s">
        <v>2356</v>
      </c>
      <c r="E431" s="8" t="s">
        <v>37</v>
      </c>
      <c r="F431" s="8" t="s">
        <v>2325</v>
      </c>
      <c r="G431" s="8" t="s">
        <v>129</v>
      </c>
      <c r="H431" s="8" t="s">
        <v>225</v>
      </c>
      <c r="I431" s="8" t="s">
        <v>98</v>
      </c>
      <c r="J431" s="9" t="s">
        <v>32</v>
      </c>
      <c r="K431" s="9" t="s">
        <v>2357</v>
      </c>
      <c r="L431" s="8" t="s">
        <v>276</v>
      </c>
      <c r="M431" s="8" t="s">
        <v>2346</v>
      </c>
      <c r="N431" s="9" t="s">
        <v>2326</v>
      </c>
      <c r="O431" s="9" t="s">
        <v>2347</v>
      </c>
      <c r="P431" s="9" t="s">
        <v>239</v>
      </c>
      <c r="Q431" s="51" t="s">
        <v>2348</v>
      </c>
      <c r="R431" s="9" t="s">
        <v>2328</v>
      </c>
      <c r="S431" s="38" t="s">
        <v>2329</v>
      </c>
      <c r="T431" s="9" t="s">
        <v>2330</v>
      </c>
      <c r="U431" s="51" t="s">
        <v>2331</v>
      </c>
      <c r="V431" s="8" t="s">
        <v>14</v>
      </c>
      <c r="W431" s="9" t="s">
        <v>98</v>
      </c>
      <c r="X431" s="9" t="s">
        <v>208</v>
      </c>
      <c r="Y431" s="13">
        <v>169159</v>
      </c>
      <c r="Z431" s="38">
        <v>334232</v>
      </c>
      <c r="AA431" s="38" t="s">
        <v>2332</v>
      </c>
      <c r="AB431" s="9" t="s">
        <v>2333</v>
      </c>
      <c r="AC431" s="8">
        <v>0</v>
      </c>
      <c r="AD431" s="8" t="s">
        <v>98</v>
      </c>
      <c r="AE431" s="8">
        <v>0</v>
      </c>
      <c r="AF431" s="8" t="s">
        <v>98</v>
      </c>
      <c r="AG431" s="9" t="s">
        <v>2358</v>
      </c>
      <c r="AH431" s="9" t="s">
        <v>1176</v>
      </c>
      <c r="AI431" s="38">
        <v>420</v>
      </c>
      <c r="AJ431" s="38">
        <v>856</v>
      </c>
      <c r="AK431" s="13">
        <v>169159</v>
      </c>
      <c r="AL431" s="38">
        <v>334232</v>
      </c>
      <c r="AM431" s="38" t="s">
        <v>281</v>
      </c>
      <c r="AN431" s="8" t="s">
        <v>276</v>
      </c>
      <c r="AO431" s="14">
        <f>AI431*1000/AK431</f>
        <v>2.4828711448991778</v>
      </c>
      <c r="AP431" s="8" t="s">
        <v>276</v>
      </c>
      <c r="AQ431" s="8" t="s">
        <v>276</v>
      </c>
      <c r="AR431" s="8" t="s">
        <v>276</v>
      </c>
      <c r="AS431" s="14">
        <f>AJ431*1000/AL431</f>
        <v>2.5610952871059625</v>
      </c>
      <c r="AT431" s="8" t="s">
        <v>276</v>
      </c>
      <c r="AU431" s="8" t="s">
        <v>276</v>
      </c>
      <c r="AV431" s="8" t="s">
        <v>268</v>
      </c>
      <c r="AW431" s="40" t="s">
        <v>276</v>
      </c>
      <c r="AX431" s="40">
        <f t="shared" si="144"/>
        <v>0.96945676226862376</v>
      </c>
      <c r="AY431" s="9" t="s">
        <v>276</v>
      </c>
      <c r="AZ431" s="9" t="s">
        <v>276</v>
      </c>
      <c r="BA431" s="9" t="s">
        <v>276</v>
      </c>
      <c r="BB431" s="9" t="s">
        <v>282</v>
      </c>
      <c r="BC431" s="9" t="s">
        <v>276</v>
      </c>
      <c r="BD431" s="9" t="s">
        <v>276</v>
      </c>
      <c r="BE431" s="9" t="s">
        <v>276</v>
      </c>
      <c r="BF431" s="9" t="s">
        <v>2359</v>
      </c>
      <c r="BG431" s="9"/>
      <c r="BH431" s="9" t="s">
        <v>100</v>
      </c>
      <c r="BI431" s="9" t="s">
        <v>100</v>
      </c>
      <c r="BJ431" s="32"/>
      <c r="BK431" s="32"/>
      <c r="BO431" s="32"/>
      <c r="BP431" s="32"/>
    </row>
    <row r="432" spans="1:68" s="33" customFormat="1" ht="78" hidden="1" x14ac:dyDescent="0.35">
      <c r="A432" s="8">
        <v>2584</v>
      </c>
      <c r="B432" s="8" t="s">
        <v>2323</v>
      </c>
      <c r="C432" s="9" t="s">
        <v>67</v>
      </c>
      <c r="D432" s="9" t="s">
        <v>2360</v>
      </c>
      <c r="E432" s="8" t="s">
        <v>37</v>
      </c>
      <c r="F432" s="8" t="s">
        <v>2325</v>
      </c>
      <c r="G432" s="8" t="s">
        <v>129</v>
      </c>
      <c r="H432" s="8" t="s">
        <v>225</v>
      </c>
      <c r="I432" s="8" t="s">
        <v>98</v>
      </c>
      <c r="J432" s="9" t="s">
        <v>32</v>
      </c>
      <c r="K432" s="9" t="s">
        <v>2357</v>
      </c>
      <c r="L432" s="8" t="s">
        <v>276</v>
      </c>
      <c r="M432" s="8" t="s">
        <v>2346</v>
      </c>
      <c r="N432" s="9" t="s">
        <v>2326</v>
      </c>
      <c r="O432" s="9" t="s">
        <v>2347</v>
      </c>
      <c r="P432" s="9" t="s">
        <v>239</v>
      </c>
      <c r="Q432" s="51" t="s">
        <v>2348</v>
      </c>
      <c r="R432" s="9" t="s">
        <v>2328</v>
      </c>
      <c r="S432" s="38" t="s">
        <v>2329</v>
      </c>
      <c r="T432" s="9" t="s">
        <v>2330</v>
      </c>
      <c r="U432" s="51" t="s">
        <v>2331</v>
      </c>
      <c r="V432" s="8" t="s">
        <v>14</v>
      </c>
      <c r="W432" s="9" t="s">
        <v>98</v>
      </c>
      <c r="X432" s="9" t="s">
        <v>208</v>
      </c>
      <c r="Y432" s="13">
        <v>169159</v>
      </c>
      <c r="Z432" s="38">
        <v>334232</v>
      </c>
      <c r="AA432" s="38" t="s">
        <v>2332</v>
      </c>
      <c r="AB432" s="9" t="s">
        <v>2333</v>
      </c>
      <c r="AC432" s="8">
        <v>0</v>
      </c>
      <c r="AD432" s="8" t="s">
        <v>98</v>
      </c>
      <c r="AE432" s="8">
        <v>0</v>
      </c>
      <c r="AF432" s="8" t="s">
        <v>98</v>
      </c>
      <c r="AG432" s="9" t="s">
        <v>2358</v>
      </c>
      <c r="AH432" s="9" t="s">
        <v>2352</v>
      </c>
      <c r="AI432" s="38">
        <v>420</v>
      </c>
      <c r="AJ432" s="38">
        <v>856</v>
      </c>
      <c r="AK432" s="13">
        <v>1066203</v>
      </c>
      <c r="AL432" s="38">
        <v>2110600</v>
      </c>
      <c r="AM432" s="38" t="s">
        <v>1019</v>
      </c>
      <c r="AN432" s="8" t="s">
        <v>276</v>
      </c>
      <c r="AO432" s="14">
        <f>AI432*100000/AK432</f>
        <v>39.392123263581141</v>
      </c>
      <c r="AP432" s="8" t="s">
        <v>276</v>
      </c>
      <c r="AQ432" s="8" t="s">
        <v>276</v>
      </c>
      <c r="AR432" s="8" t="s">
        <v>276</v>
      </c>
      <c r="AS432" s="14">
        <f>AJ432*100000/AL432</f>
        <v>40.557187529612435</v>
      </c>
      <c r="AT432" s="8" t="s">
        <v>276</v>
      </c>
      <c r="AU432" s="8" t="s">
        <v>276</v>
      </c>
      <c r="AV432" s="8" t="s">
        <v>269</v>
      </c>
      <c r="AW432" s="40">
        <v>0.97</v>
      </c>
      <c r="AX432" s="40">
        <f t="shared" si="144"/>
        <v>0.9712735439265695</v>
      </c>
      <c r="AY432" s="9">
        <v>0.86</v>
      </c>
      <c r="AZ432" s="9">
        <v>1.0900000000000001</v>
      </c>
      <c r="BA432" s="9" t="s">
        <v>691</v>
      </c>
      <c r="BB432" s="9" t="s">
        <v>282</v>
      </c>
      <c r="BC432" s="9" t="s">
        <v>276</v>
      </c>
      <c r="BD432" s="9" t="s">
        <v>276</v>
      </c>
      <c r="BE432" s="9" t="s">
        <v>276</v>
      </c>
      <c r="BF432" s="9" t="s">
        <v>2361</v>
      </c>
      <c r="BG432" s="9"/>
      <c r="BH432" s="9" t="s">
        <v>100</v>
      </c>
      <c r="BI432" s="9" t="s">
        <v>100</v>
      </c>
      <c r="BJ432" s="32"/>
      <c r="BK432" s="32"/>
      <c r="BO432" s="32"/>
      <c r="BP432" s="32"/>
    </row>
    <row r="433" spans="1:68" s="33" customFormat="1" ht="52" hidden="1" x14ac:dyDescent="0.35">
      <c r="A433" s="8">
        <v>2556</v>
      </c>
      <c r="B433" s="8" t="s">
        <v>2362</v>
      </c>
      <c r="C433" s="9" t="s">
        <v>95</v>
      </c>
      <c r="D433" s="9" t="s">
        <v>2438</v>
      </c>
      <c r="E433" s="8" t="s">
        <v>37</v>
      </c>
      <c r="F433" s="8" t="s">
        <v>136</v>
      </c>
      <c r="G433" s="8" t="s">
        <v>225</v>
      </c>
      <c r="H433" s="8" t="s">
        <v>125</v>
      </c>
      <c r="I433" s="8" t="s">
        <v>114</v>
      </c>
      <c r="J433" s="9" t="s">
        <v>25</v>
      </c>
      <c r="K433" s="9" t="s">
        <v>2439</v>
      </c>
      <c r="L433" s="90" t="s">
        <v>2440</v>
      </c>
      <c r="M433" s="8" t="s">
        <v>2439</v>
      </c>
      <c r="N433" s="9" t="s">
        <v>2364</v>
      </c>
      <c r="O433" s="9" t="s">
        <v>2365</v>
      </c>
      <c r="P433" s="9" t="s">
        <v>239</v>
      </c>
      <c r="Q433" s="52">
        <v>40908</v>
      </c>
      <c r="R433" s="9" t="s">
        <v>2367</v>
      </c>
      <c r="S433" s="9" t="s">
        <v>2441</v>
      </c>
      <c r="T433" s="9" t="s">
        <v>2442</v>
      </c>
      <c r="U433" s="9">
        <v>4</v>
      </c>
      <c r="V433" s="8" t="s">
        <v>14</v>
      </c>
      <c r="W433" s="8" t="s">
        <v>98</v>
      </c>
      <c r="X433" s="9" t="s">
        <v>207</v>
      </c>
      <c r="Y433" s="13">
        <v>75360</v>
      </c>
      <c r="Z433" s="9">
        <v>76178</v>
      </c>
      <c r="AA433" s="9" t="s">
        <v>276</v>
      </c>
      <c r="AB433" s="9" t="s">
        <v>276</v>
      </c>
      <c r="AC433" s="8">
        <v>23</v>
      </c>
      <c r="AD433" s="9" t="s">
        <v>2443</v>
      </c>
      <c r="AE433" s="8">
        <v>36</v>
      </c>
      <c r="AF433" s="9" t="s">
        <v>2443</v>
      </c>
      <c r="AG433" s="9" t="s">
        <v>2444</v>
      </c>
      <c r="AH433" s="9" t="s">
        <v>280</v>
      </c>
      <c r="AI433" s="38">
        <v>50</v>
      </c>
      <c r="AJ433" s="38">
        <v>25</v>
      </c>
      <c r="AK433" s="38">
        <v>75360</v>
      </c>
      <c r="AL433" s="38">
        <v>76178</v>
      </c>
      <c r="AM433" s="38" t="s">
        <v>281</v>
      </c>
      <c r="AN433" s="8" t="s">
        <v>276</v>
      </c>
      <c r="AO433" s="14">
        <f>AI433*1000/AK433</f>
        <v>0.66348195329087045</v>
      </c>
      <c r="AP433" s="8" t="s">
        <v>276</v>
      </c>
      <c r="AQ433" s="8" t="s">
        <v>276</v>
      </c>
      <c r="AR433" s="8" t="s">
        <v>276</v>
      </c>
      <c r="AS433" s="14">
        <f>AJ433*1000/AL433</f>
        <v>0.32817873926855523</v>
      </c>
      <c r="AT433" s="8" t="s">
        <v>276</v>
      </c>
      <c r="AU433" s="8" t="s">
        <v>276</v>
      </c>
      <c r="AV433" s="9" t="s">
        <v>268</v>
      </c>
      <c r="AW433" s="40" t="s">
        <v>276</v>
      </c>
      <c r="AX433" s="40">
        <f t="shared" si="144"/>
        <v>2.0217091295116774</v>
      </c>
      <c r="AY433" s="9" t="s">
        <v>276</v>
      </c>
      <c r="AZ433" s="9" t="s">
        <v>276</v>
      </c>
      <c r="BA433" s="9" t="s">
        <v>276</v>
      </c>
      <c r="BB433" s="9" t="s">
        <v>282</v>
      </c>
      <c r="BC433" s="9" t="s">
        <v>276</v>
      </c>
      <c r="BD433" s="9" t="s">
        <v>276</v>
      </c>
      <c r="BE433" s="9" t="s">
        <v>276</v>
      </c>
      <c r="BF433" s="9" t="s">
        <v>426</v>
      </c>
      <c r="BG433" s="9" t="s">
        <v>2445</v>
      </c>
      <c r="BH433" s="9" t="s">
        <v>100</v>
      </c>
      <c r="BI433" s="9" t="s">
        <v>100</v>
      </c>
      <c r="BJ433" s="32"/>
      <c r="BK433" s="32"/>
      <c r="BO433" s="32"/>
      <c r="BP433" s="32"/>
    </row>
    <row r="434" spans="1:68" s="33" customFormat="1" ht="52" hidden="1" x14ac:dyDescent="0.35">
      <c r="A434" s="8">
        <v>2556</v>
      </c>
      <c r="B434" s="8" t="s">
        <v>2362</v>
      </c>
      <c r="C434" s="9" t="s">
        <v>95</v>
      </c>
      <c r="D434" s="9" t="s">
        <v>2446</v>
      </c>
      <c r="E434" s="8" t="s">
        <v>37</v>
      </c>
      <c r="F434" s="8" t="s">
        <v>136</v>
      </c>
      <c r="G434" s="8" t="s">
        <v>225</v>
      </c>
      <c r="H434" s="8" t="s">
        <v>125</v>
      </c>
      <c r="I434" s="8" t="s">
        <v>114</v>
      </c>
      <c r="J434" s="9" t="s">
        <v>25</v>
      </c>
      <c r="K434" s="9" t="s">
        <v>2439</v>
      </c>
      <c r="L434" s="90" t="s">
        <v>2440</v>
      </c>
      <c r="M434" s="8" t="s">
        <v>2439</v>
      </c>
      <c r="N434" s="9" t="s">
        <v>2364</v>
      </c>
      <c r="O434" s="9" t="s">
        <v>2365</v>
      </c>
      <c r="P434" s="9" t="s">
        <v>239</v>
      </c>
      <c r="Q434" s="52">
        <v>40908</v>
      </c>
      <c r="R434" s="9" t="s">
        <v>2367</v>
      </c>
      <c r="S434" s="9" t="s">
        <v>2441</v>
      </c>
      <c r="T434" s="9" t="s">
        <v>2442</v>
      </c>
      <c r="U434" s="9">
        <v>4</v>
      </c>
      <c r="V434" s="8" t="s">
        <v>14</v>
      </c>
      <c r="W434" s="8" t="s">
        <v>98</v>
      </c>
      <c r="X434" s="9" t="s">
        <v>207</v>
      </c>
      <c r="Y434" s="13">
        <v>75360</v>
      </c>
      <c r="Z434" s="9">
        <v>76178</v>
      </c>
      <c r="AA434" s="9" t="s">
        <v>276</v>
      </c>
      <c r="AB434" s="9" t="s">
        <v>276</v>
      </c>
      <c r="AC434" s="8">
        <v>23</v>
      </c>
      <c r="AD434" s="9" t="s">
        <v>2443</v>
      </c>
      <c r="AE434" s="8">
        <v>36</v>
      </c>
      <c r="AF434" s="9" t="s">
        <v>2443</v>
      </c>
      <c r="AG434" s="9" t="s">
        <v>2444</v>
      </c>
      <c r="AH434" s="9" t="s">
        <v>2373</v>
      </c>
      <c r="AI434" s="38">
        <v>50</v>
      </c>
      <c r="AJ434" s="38">
        <v>25</v>
      </c>
      <c r="AK434" s="81">
        <v>602152.30000000005</v>
      </c>
      <c r="AL434" s="81">
        <v>603811.80000000005</v>
      </c>
      <c r="AM434" s="38" t="s">
        <v>1019</v>
      </c>
      <c r="AN434" s="8" t="s">
        <v>276</v>
      </c>
      <c r="AO434" s="14">
        <f>AI434*100000/AK434</f>
        <v>8.303547125868322</v>
      </c>
      <c r="AP434" s="8" t="s">
        <v>276</v>
      </c>
      <c r="AQ434" s="8" t="s">
        <v>276</v>
      </c>
      <c r="AR434" s="8" t="s">
        <v>276</v>
      </c>
      <c r="AS434" s="14">
        <f>AJ434*100000/AL434</f>
        <v>4.1403629409031089</v>
      </c>
      <c r="AT434" s="8" t="s">
        <v>276</v>
      </c>
      <c r="AU434" s="8" t="s">
        <v>276</v>
      </c>
      <c r="AV434" s="9" t="s">
        <v>269</v>
      </c>
      <c r="AW434" s="40" t="s">
        <v>276</v>
      </c>
      <c r="AX434" s="40">
        <f t="shared" si="144"/>
        <v>2.0055118945821513</v>
      </c>
      <c r="AY434" s="9" t="s">
        <v>276</v>
      </c>
      <c r="AZ434" s="9" t="s">
        <v>276</v>
      </c>
      <c r="BA434" s="9" t="s">
        <v>276</v>
      </c>
      <c r="BB434" s="9" t="s">
        <v>282</v>
      </c>
      <c r="BC434" s="9" t="s">
        <v>276</v>
      </c>
      <c r="BD434" s="9" t="s">
        <v>276</v>
      </c>
      <c r="BE434" s="9" t="s">
        <v>276</v>
      </c>
      <c r="BF434" s="9" t="s">
        <v>2447</v>
      </c>
      <c r="BG434" s="9" t="s">
        <v>2445</v>
      </c>
      <c r="BH434" s="9" t="s">
        <v>100</v>
      </c>
      <c r="BI434" s="9" t="s">
        <v>100</v>
      </c>
      <c r="BJ434" s="32"/>
      <c r="BK434" s="32"/>
      <c r="BO434" s="32"/>
      <c r="BP434" s="32"/>
    </row>
    <row r="435" spans="1:68" s="33" customFormat="1" ht="52" hidden="1" x14ac:dyDescent="0.35">
      <c r="A435" s="8">
        <v>2556</v>
      </c>
      <c r="B435" s="8" t="s">
        <v>2362</v>
      </c>
      <c r="C435" s="9" t="s">
        <v>95</v>
      </c>
      <c r="D435" s="9" t="s">
        <v>2448</v>
      </c>
      <c r="E435" s="8" t="s">
        <v>37</v>
      </c>
      <c r="F435" s="8" t="s">
        <v>136</v>
      </c>
      <c r="G435" s="8" t="s">
        <v>225</v>
      </c>
      <c r="H435" s="8" t="s">
        <v>125</v>
      </c>
      <c r="I435" s="8" t="s">
        <v>114</v>
      </c>
      <c r="J435" s="9" t="s">
        <v>25</v>
      </c>
      <c r="K435" s="90" t="s">
        <v>2440</v>
      </c>
      <c r="L435" s="90" t="s">
        <v>2440</v>
      </c>
      <c r="M435" s="8" t="s">
        <v>2439</v>
      </c>
      <c r="N435" s="9" t="s">
        <v>2364</v>
      </c>
      <c r="O435" s="9" t="s">
        <v>2365</v>
      </c>
      <c r="P435" s="9" t="s">
        <v>239</v>
      </c>
      <c r="Q435" s="52">
        <v>40908</v>
      </c>
      <c r="R435" s="9" t="s">
        <v>2367</v>
      </c>
      <c r="S435" s="9" t="s">
        <v>2441</v>
      </c>
      <c r="T435" s="9" t="s">
        <v>2442</v>
      </c>
      <c r="U435" s="9">
        <v>4</v>
      </c>
      <c r="V435" s="8" t="s">
        <v>14</v>
      </c>
      <c r="W435" s="8" t="s">
        <v>98</v>
      </c>
      <c r="X435" s="9" t="s">
        <v>207</v>
      </c>
      <c r="Y435" s="13">
        <v>75360</v>
      </c>
      <c r="Z435" s="9">
        <v>76178</v>
      </c>
      <c r="AA435" s="9" t="s">
        <v>276</v>
      </c>
      <c r="AB435" s="9" t="s">
        <v>276</v>
      </c>
      <c r="AC435" s="8">
        <v>23</v>
      </c>
      <c r="AD435" s="9" t="s">
        <v>2443</v>
      </c>
      <c r="AE435" s="8">
        <v>36</v>
      </c>
      <c r="AF435" s="9" t="s">
        <v>2443</v>
      </c>
      <c r="AG435" s="9" t="s">
        <v>2449</v>
      </c>
      <c r="AH435" s="9" t="s">
        <v>280</v>
      </c>
      <c r="AI435" s="38">
        <v>88</v>
      </c>
      <c r="AJ435" s="38">
        <v>105</v>
      </c>
      <c r="AK435" s="38">
        <v>75360</v>
      </c>
      <c r="AL435" s="38">
        <v>76178</v>
      </c>
      <c r="AM435" s="38" t="s">
        <v>281</v>
      </c>
      <c r="AN435" s="8" t="s">
        <v>276</v>
      </c>
      <c r="AO435" s="14">
        <f>AI435*1000/AK435</f>
        <v>1.167728237791932</v>
      </c>
      <c r="AP435" s="8" t="s">
        <v>276</v>
      </c>
      <c r="AQ435" s="8" t="s">
        <v>276</v>
      </c>
      <c r="AR435" s="8" t="s">
        <v>276</v>
      </c>
      <c r="AS435" s="14">
        <f>AJ435*1000/AL435</f>
        <v>1.378350704927932</v>
      </c>
      <c r="AT435" s="8" t="s">
        <v>276</v>
      </c>
      <c r="AU435" s="8" t="s">
        <v>276</v>
      </c>
      <c r="AV435" s="9" t="s">
        <v>268</v>
      </c>
      <c r="AW435" s="40" t="s">
        <v>276</v>
      </c>
      <c r="AX435" s="40">
        <f t="shared" si="144"/>
        <v>0.84719239712870276</v>
      </c>
      <c r="AY435" s="9" t="s">
        <v>276</v>
      </c>
      <c r="AZ435" s="9" t="s">
        <v>276</v>
      </c>
      <c r="BA435" s="9" t="s">
        <v>276</v>
      </c>
      <c r="BB435" s="9" t="s">
        <v>282</v>
      </c>
      <c r="BC435" s="9" t="s">
        <v>276</v>
      </c>
      <c r="BD435" s="9" t="s">
        <v>276</v>
      </c>
      <c r="BE435" s="9" t="s">
        <v>276</v>
      </c>
      <c r="BF435" s="9" t="s">
        <v>426</v>
      </c>
      <c r="BG435" s="9" t="s">
        <v>2445</v>
      </c>
      <c r="BH435" s="9" t="s">
        <v>100</v>
      </c>
      <c r="BI435" s="9" t="s">
        <v>100</v>
      </c>
      <c r="BJ435" s="32"/>
      <c r="BK435" s="32"/>
      <c r="BO435" s="32"/>
      <c r="BP435" s="32"/>
    </row>
    <row r="436" spans="1:68" s="33" customFormat="1" ht="52" hidden="1" x14ac:dyDescent="0.35">
      <c r="A436" s="8">
        <v>2556</v>
      </c>
      <c r="B436" s="8" t="s">
        <v>2362</v>
      </c>
      <c r="C436" s="9" t="s">
        <v>95</v>
      </c>
      <c r="D436" s="9" t="s">
        <v>2450</v>
      </c>
      <c r="E436" s="8" t="s">
        <v>37</v>
      </c>
      <c r="F436" s="8" t="s">
        <v>136</v>
      </c>
      <c r="G436" s="8" t="s">
        <v>225</v>
      </c>
      <c r="H436" s="8" t="s">
        <v>125</v>
      </c>
      <c r="I436" s="8" t="s">
        <v>114</v>
      </c>
      <c r="J436" s="9" t="s">
        <v>25</v>
      </c>
      <c r="K436" s="90" t="s">
        <v>2440</v>
      </c>
      <c r="L436" s="90" t="s">
        <v>2440</v>
      </c>
      <c r="M436" s="8" t="s">
        <v>2439</v>
      </c>
      <c r="N436" s="9" t="s">
        <v>2364</v>
      </c>
      <c r="O436" s="9" t="s">
        <v>2365</v>
      </c>
      <c r="P436" s="9" t="s">
        <v>239</v>
      </c>
      <c r="Q436" s="52">
        <v>40908</v>
      </c>
      <c r="R436" s="9" t="s">
        <v>2367</v>
      </c>
      <c r="S436" s="9" t="s">
        <v>2441</v>
      </c>
      <c r="T436" s="9" t="s">
        <v>2442</v>
      </c>
      <c r="U436" s="9">
        <v>4</v>
      </c>
      <c r="V436" s="8" t="s">
        <v>14</v>
      </c>
      <c r="W436" s="8" t="s">
        <v>98</v>
      </c>
      <c r="X436" s="9" t="s">
        <v>207</v>
      </c>
      <c r="Y436" s="13">
        <v>75360</v>
      </c>
      <c r="Z436" s="9">
        <v>76178</v>
      </c>
      <c r="AA436" s="9" t="s">
        <v>276</v>
      </c>
      <c r="AB436" s="9" t="s">
        <v>276</v>
      </c>
      <c r="AC436" s="8">
        <v>23</v>
      </c>
      <c r="AD436" s="9" t="s">
        <v>2443</v>
      </c>
      <c r="AE436" s="8">
        <v>36</v>
      </c>
      <c r="AF436" s="9" t="s">
        <v>2443</v>
      </c>
      <c r="AG436" s="9" t="s">
        <v>2449</v>
      </c>
      <c r="AH436" s="9" t="s">
        <v>2373</v>
      </c>
      <c r="AI436" s="38">
        <v>88</v>
      </c>
      <c r="AJ436" s="38">
        <v>105</v>
      </c>
      <c r="AK436" s="81">
        <v>602152.30000000005</v>
      </c>
      <c r="AL436" s="81">
        <v>603811.80000000005</v>
      </c>
      <c r="AM436" s="38" t="s">
        <v>1019</v>
      </c>
      <c r="AN436" s="8" t="s">
        <v>276</v>
      </c>
      <c r="AO436" s="14">
        <f>AI436*100000/AK436</f>
        <v>14.614242941528246</v>
      </c>
      <c r="AP436" s="8" t="s">
        <v>276</v>
      </c>
      <c r="AQ436" s="8" t="s">
        <v>276</v>
      </c>
      <c r="AR436" s="8" t="s">
        <v>276</v>
      </c>
      <c r="AS436" s="14">
        <f>AJ436*100000/AL436</f>
        <v>17.389524351793057</v>
      </c>
      <c r="AT436" s="8" t="s">
        <v>276</v>
      </c>
      <c r="AU436" s="8" t="s">
        <v>276</v>
      </c>
      <c r="AV436" s="9" t="s">
        <v>269</v>
      </c>
      <c r="AW436" s="40" t="s">
        <v>276</v>
      </c>
      <c r="AX436" s="40">
        <f t="shared" si="144"/>
        <v>0.84040498439633016</v>
      </c>
      <c r="AY436" s="9" t="s">
        <v>276</v>
      </c>
      <c r="AZ436" s="9" t="s">
        <v>276</v>
      </c>
      <c r="BA436" s="9" t="s">
        <v>276</v>
      </c>
      <c r="BB436" s="9" t="s">
        <v>282</v>
      </c>
      <c r="BC436" s="9" t="s">
        <v>276</v>
      </c>
      <c r="BD436" s="9" t="s">
        <v>276</v>
      </c>
      <c r="BE436" s="9" t="s">
        <v>276</v>
      </c>
      <c r="BF436" s="9" t="s">
        <v>2447</v>
      </c>
      <c r="BG436" s="9" t="s">
        <v>2445</v>
      </c>
      <c r="BH436" s="9" t="s">
        <v>100</v>
      </c>
      <c r="BI436" s="9" t="s">
        <v>100</v>
      </c>
      <c r="BJ436" s="32"/>
      <c r="BK436" s="32"/>
      <c r="BO436" s="32"/>
      <c r="BP436" s="32"/>
    </row>
    <row r="437" spans="1:68" s="33" customFormat="1" ht="65" hidden="1" x14ac:dyDescent="0.35">
      <c r="A437" s="8">
        <v>2556</v>
      </c>
      <c r="B437" s="8" t="s">
        <v>2362</v>
      </c>
      <c r="C437" s="9" t="s">
        <v>95</v>
      </c>
      <c r="D437" s="9" t="s">
        <v>2451</v>
      </c>
      <c r="E437" s="8" t="s">
        <v>37</v>
      </c>
      <c r="F437" s="8" t="s">
        <v>136</v>
      </c>
      <c r="G437" s="8" t="s">
        <v>225</v>
      </c>
      <c r="H437" s="8" t="s">
        <v>125</v>
      </c>
      <c r="I437" s="8" t="s">
        <v>114</v>
      </c>
      <c r="J437" s="9" t="s">
        <v>25</v>
      </c>
      <c r="K437" s="90" t="s">
        <v>2440</v>
      </c>
      <c r="L437" s="90" t="s">
        <v>2440</v>
      </c>
      <c r="M437" s="8" t="s">
        <v>2439</v>
      </c>
      <c r="N437" s="9" t="s">
        <v>2364</v>
      </c>
      <c r="O437" s="9" t="s">
        <v>2365</v>
      </c>
      <c r="P437" s="9" t="s">
        <v>235</v>
      </c>
      <c r="Q437" s="52">
        <v>40908</v>
      </c>
      <c r="R437" s="9" t="s">
        <v>2367</v>
      </c>
      <c r="S437" s="9" t="s">
        <v>2441</v>
      </c>
      <c r="T437" s="9" t="s">
        <v>2442</v>
      </c>
      <c r="U437" s="9">
        <v>4</v>
      </c>
      <c r="V437" s="8" t="s">
        <v>14</v>
      </c>
      <c r="W437" s="8" t="s">
        <v>98</v>
      </c>
      <c r="X437" s="9" t="s">
        <v>207</v>
      </c>
      <c r="Y437" s="13" t="s">
        <v>98</v>
      </c>
      <c r="Z437" s="9" t="s">
        <v>98</v>
      </c>
      <c r="AA437" s="9" t="s">
        <v>276</v>
      </c>
      <c r="AB437" s="9" t="s">
        <v>276</v>
      </c>
      <c r="AC437" s="8">
        <v>23</v>
      </c>
      <c r="AD437" s="9" t="s">
        <v>2443</v>
      </c>
      <c r="AE437" s="8">
        <v>36</v>
      </c>
      <c r="AF437" s="9" t="s">
        <v>2443</v>
      </c>
      <c r="AG437" s="9" t="s">
        <v>2449</v>
      </c>
      <c r="AH437" s="9" t="s">
        <v>2452</v>
      </c>
      <c r="AI437" s="38">
        <v>88</v>
      </c>
      <c r="AJ437" s="38">
        <v>105</v>
      </c>
      <c r="AK437" s="38">
        <v>161</v>
      </c>
      <c r="AL437" s="38">
        <v>166</v>
      </c>
      <c r="AM437" s="38" t="s">
        <v>292</v>
      </c>
      <c r="AN437" s="8" t="s">
        <v>276</v>
      </c>
      <c r="AO437" s="14">
        <f>AI437*100/AK437</f>
        <v>54.658385093167702</v>
      </c>
      <c r="AP437" s="8" t="s">
        <v>276</v>
      </c>
      <c r="AQ437" s="8" t="s">
        <v>276</v>
      </c>
      <c r="AR437" s="8" t="s">
        <v>276</v>
      </c>
      <c r="AS437" s="14">
        <f>AJ437*100/AL437</f>
        <v>63.253012048192772</v>
      </c>
      <c r="AT437" s="8" t="s">
        <v>276</v>
      </c>
      <c r="AU437" s="8" t="s">
        <v>276</v>
      </c>
      <c r="AV437" s="9" t="s">
        <v>268</v>
      </c>
      <c r="AW437" s="40" t="s">
        <v>276</v>
      </c>
      <c r="AX437" s="40">
        <f t="shared" si="144"/>
        <v>0.864123040520556</v>
      </c>
      <c r="AY437" s="9" t="s">
        <v>276</v>
      </c>
      <c r="AZ437" s="9" t="s">
        <v>276</v>
      </c>
      <c r="BA437" s="9" t="s">
        <v>276</v>
      </c>
      <c r="BB437" s="9" t="s">
        <v>282</v>
      </c>
      <c r="BC437" s="9" t="s">
        <v>276</v>
      </c>
      <c r="BD437" s="9" t="s">
        <v>276</v>
      </c>
      <c r="BE437" s="9" t="s">
        <v>276</v>
      </c>
      <c r="BF437" s="9" t="s">
        <v>426</v>
      </c>
      <c r="BG437" s="9" t="s">
        <v>2445</v>
      </c>
      <c r="BH437" s="9" t="s">
        <v>100</v>
      </c>
      <c r="BI437" s="9" t="s">
        <v>100</v>
      </c>
      <c r="BJ437" s="32"/>
      <c r="BK437" s="32"/>
      <c r="BO437" s="32"/>
      <c r="BP437" s="32"/>
    </row>
    <row r="438" spans="1:68" s="33" customFormat="1" ht="65" hidden="1" x14ac:dyDescent="0.35">
      <c r="A438" s="8">
        <v>2566</v>
      </c>
      <c r="B438" s="8" t="s">
        <v>2383</v>
      </c>
      <c r="C438" s="9" t="s">
        <v>95</v>
      </c>
      <c r="D438" s="9" t="s">
        <v>2453</v>
      </c>
      <c r="E438" s="8" t="s">
        <v>35</v>
      </c>
      <c r="F438" s="9" t="s">
        <v>130</v>
      </c>
      <c r="G438" s="8" t="s">
        <v>225</v>
      </c>
      <c r="H438" s="8" t="s">
        <v>225</v>
      </c>
      <c r="I438" s="8" t="s">
        <v>114</v>
      </c>
      <c r="J438" s="9" t="s">
        <v>98</v>
      </c>
      <c r="K438" s="8" t="s">
        <v>98</v>
      </c>
      <c r="L438" s="8" t="s">
        <v>98</v>
      </c>
      <c r="M438" s="8" t="s">
        <v>98</v>
      </c>
      <c r="N438" s="9" t="s">
        <v>2454</v>
      </c>
      <c r="O438" s="9" t="s">
        <v>276</v>
      </c>
      <c r="P438" s="9" t="s">
        <v>238</v>
      </c>
      <c r="Q438" s="51" t="s">
        <v>276</v>
      </c>
      <c r="R438" s="9" t="s">
        <v>733</v>
      </c>
      <c r="S438" s="9" t="s">
        <v>276</v>
      </c>
      <c r="T438" s="9" t="s">
        <v>98</v>
      </c>
      <c r="U438" s="9">
        <v>4</v>
      </c>
      <c r="V438" s="8" t="s">
        <v>14</v>
      </c>
      <c r="W438" s="8" t="s">
        <v>98</v>
      </c>
      <c r="X438" s="9" t="s">
        <v>209</v>
      </c>
      <c r="Y438" s="13">
        <v>75360</v>
      </c>
      <c r="Z438" s="9" t="s">
        <v>98</v>
      </c>
      <c r="AA438" s="9" t="s">
        <v>276</v>
      </c>
      <c r="AB438" s="9" t="s">
        <v>98</v>
      </c>
      <c r="AC438" s="8" t="s">
        <v>276</v>
      </c>
      <c r="AD438" s="8" t="s">
        <v>276</v>
      </c>
      <c r="AE438" s="8" t="s">
        <v>98</v>
      </c>
      <c r="AF438" s="8" t="s">
        <v>98</v>
      </c>
      <c r="AG438" s="9" t="s">
        <v>2455</v>
      </c>
      <c r="AH438" s="9" t="s">
        <v>280</v>
      </c>
      <c r="AI438" s="38">
        <v>113</v>
      </c>
      <c r="AJ438" s="38" t="s">
        <v>98</v>
      </c>
      <c r="AK438" s="13">
        <v>75360</v>
      </c>
      <c r="AL438" s="38" t="s">
        <v>98</v>
      </c>
      <c r="AM438" s="38" t="s">
        <v>281</v>
      </c>
      <c r="AN438" s="8" t="s">
        <v>276</v>
      </c>
      <c r="AO438" s="14">
        <f>AI438*1000/AK438</f>
        <v>1.4994692144373674</v>
      </c>
      <c r="AP438" s="8" t="s">
        <v>276</v>
      </c>
      <c r="AQ438" s="8" t="s">
        <v>276</v>
      </c>
      <c r="AR438" s="8" t="s">
        <v>98</v>
      </c>
      <c r="AS438" s="8" t="s">
        <v>98</v>
      </c>
      <c r="AT438" s="8" t="s">
        <v>98</v>
      </c>
      <c r="AU438" s="8" t="s">
        <v>98</v>
      </c>
      <c r="AV438" s="8" t="s">
        <v>98</v>
      </c>
      <c r="AW438" s="8" t="s">
        <v>98</v>
      </c>
      <c r="AX438" s="8" t="s">
        <v>98</v>
      </c>
      <c r="AY438" s="8" t="s">
        <v>98</v>
      </c>
      <c r="AZ438" s="8" t="s">
        <v>98</v>
      </c>
      <c r="BA438" s="8" t="s">
        <v>98</v>
      </c>
      <c r="BB438" s="8" t="s">
        <v>98</v>
      </c>
      <c r="BC438" s="8" t="s">
        <v>98</v>
      </c>
      <c r="BD438" s="8" t="s">
        <v>98</v>
      </c>
      <c r="BE438" s="8" t="s">
        <v>98</v>
      </c>
      <c r="BF438" s="9" t="s">
        <v>2456</v>
      </c>
      <c r="BG438" s="9" t="s">
        <v>2457</v>
      </c>
      <c r="BH438" s="9" t="s">
        <v>100</v>
      </c>
      <c r="BI438" s="9" t="s">
        <v>100</v>
      </c>
      <c r="BJ438" s="32"/>
      <c r="BK438" s="32"/>
      <c r="BO438" s="32"/>
      <c r="BP438" s="32"/>
    </row>
    <row r="439" spans="1:68" s="33" customFormat="1" ht="65" x14ac:dyDescent="0.35">
      <c r="A439" s="8">
        <v>2566</v>
      </c>
      <c r="B439" s="8" t="s">
        <v>2383</v>
      </c>
      <c r="C439" s="9" t="s">
        <v>95</v>
      </c>
      <c r="D439" s="9" t="s">
        <v>2458</v>
      </c>
      <c r="E439" s="8" t="s">
        <v>35</v>
      </c>
      <c r="F439" s="9" t="s">
        <v>130</v>
      </c>
      <c r="G439" s="8" t="s">
        <v>225</v>
      </c>
      <c r="H439" s="8" t="s">
        <v>225</v>
      </c>
      <c r="I439" s="8" t="s">
        <v>114</v>
      </c>
      <c r="J439" s="9" t="s">
        <v>98</v>
      </c>
      <c r="K439" s="8" t="s">
        <v>98</v>
      </c>
      <c r="L439" s="8" t="s">
        <v>98</v>
      </c>
      <c r="M439" s="8" t="s">
        <v>98</v>
      </c>
      <c r="N439" s="9" t="s">
        <v>2454</v>
      </c>
      <c r="O439" s="9" t="s">
        <v>276</v>
      </c>
      <c r="P439" s="9" t="s">
        <v>236</v>
      </c>
      <c r="Q439" s="51" t="s">
        <v>276</v>
      </c>
      <c r="R439" s="9" t="s">
        <v>733</v>
      </c>
      <c r="S439" s="9" t="s">
        <v>276</v>
      </c>
      <c r="T439" s="9" t="s">
        <v>98</v>
      </c>
      <c r="U439" s="9">
        <v>4</v>
      </c>
      <c r="V439" s="8" t="s">
        <v>14</v>
      </c>
      <c r="W439" s="8" t="s">
        <v>98</v>
      </c>
      <c r="X439" s="9" t="s">
        <v>209</v>
      </c>
      <c r="Y439" s="13">
        <v>75360</v>
      </c>
      <c r="Z439" s="9" t="s">
        <v>98</v>
      </c>
      <c r="AA439" s="9" t="s">
        <v>276</v>
      </c>
      <c r="AB439" s="9" t="s">
        <v>98</v>
      </c>
      <c r="AC439" s="8" t="s">
        <v>276</v>
      </c>
      <c r="AD439" s="8" t="s">
        <v>276</v>
      </c>
      <c r="AE439" s="8" t="s">
        <v>98</v>
      </c>
      <c r="AF439" s="8" t="s">
        <v>98</v>
      </c>
      <c r="AG439" s="9" t="s">
        <v>2455</v>
      </c>
      <c r="AH439" s="9" t="s">
        <v>2459</v>
      </c>
      <c r="AI439" s="38">
        <v>113</v>
      </c>
      <c r="AJ439" s="38" t="s">
        <v>98</v>
      </c>
      <c r="AK439" s="13">
        <v>198</v>
      </c>
      <c r="AL439" s="38" t="s">
        <v>98</v>
      </c>
      <c r="AM439" s="38" t="s">
        <v>292</v>
      </c>
      <c r="AN439" s="8" t="s">
        <v>276</v>
      </c>
      <c r="AO439" s="14">
        <f>AI439*100/AK439</f>
        <v>57.070707070707073</v>
      </c>
      <c r="AP439" s="8" t="s">
        <v>276</v>
      </c>
      <c r="AQ439" s="8" t="s">
        <v>276</v>
      </c>
      <c r="AR439" s="8" t="s">
        <v>98</v>
      </c>
      <c r="AS439" s="8" t="s">
        <v>98</v>
      </c>
      <c r="AT439" s="8" t="s">
        <v>98</v>
      </c>
      <c r="AU439" s="8" t="s">
        <v>98</v>
      </c>
      <c r="AV439" s="9" t="s">
        <v>98</v>
      </c>
      <c r="AW439" s="8" t="s">
        <v>98</v>
      </c>
      <c r="AX439" s="8" t="s">
        <v>98</v>
      </c>
      <c r="AY439" s="8" t="s">
        <v>98</v>
      </c>
      <c r="AZ439" s="8" t="s">
        <v>98</v>
      </c>
      <c r="BA439" s="8" t="s">
        <v>98</v>
      </c>
      <c r="BB439" s="8" t="s">
        <v>98</v>
      </c>
      <c r="BC439" s="8" t="s">
        <v>98</v>
      </c>
      <c r="BD439" s="8" t="s">
        <v>98</v>
      </c>
      <c r="BE439" s="8" t="s">
        <v>98</v>
      </c>
      <c r="BF439" s="9" t="s">
        <v>2456</v>
      </c>
      <c r="BG439" s="9" t="s">
        <v>2457</v>
      </c>
      <c r="BH439" s="9" t="s">
        <v>99</v>
      </c>
      <c r="BI439" s="9" t="s">
        <v>99</v>
      </c>
      <c r="BJ439" s="32"/>
      <c r="BK439" s="32"/>
      <c r="BO439" s="32"/>
      <c r="BP439" s="32"/>
    </row>
    <row r="440" spans="1:68" s="33" customFormat="1" ht="65" hidden="1" x14ac:dyDescent="0.35">
      <c r="A440" s="8">
        <v>2566</v>
      </c>
      <c r="B440" s="8" t="s">
        <v>2383</v>
      </c>
      <c r="C440" s="9" t="s">
        <v>95</v>
      </c>
      <c r="D440" s="9" t="s">
        <v>2460</v>
      </c>
      <c r="E440" s="8" t="s">
        <v>35</v>
      </c>
      <c r="F440" s="9" t="s">
        <v>130</v>
      </c>
      <c r="G440" s="8" t="s">
        <v>225</v>
      </c>
      <c r="H440" s="8" t="s">
        <v>125</v>
      </c>
      <c r="I440" s="8" t="s">
        <v>114</v>
      </c>
      <c r="J440" s="9" t="s">
        <v>25</v>
      </c>
      <c r="K440" s="8" t="s">
        <v>307</v>
      </c>
      <c r="L440" s="8" t="s">
        <v>317</v>
      </c>
      <c r="M440" s="8" t="s">
        <v>307</v>
      </c>
      <c r="N440" s="9" t="s">
        <v>2454</v>
      </c>
      <c r="O440" s="9" t="s">
        <v>276</v>
      </c>
      <c r="P440" s="9" t="s">
        <v>239</v>
      </c>
      <c r="Q440" s="51" t="s">
        <v>2387</v>
      </c>
      <c r="R440" s="9" t="s">
        <v>2388</v>
      </c>
      <c r="S440" s="9" t="s">
        <v>2389</v>
      </c>
      <c r="T440" s="9" t="s">
        <v>2389</v>
      </c>
      <c r="U440" s="9">
        <v>4</v>
      </c>
      <c r="V440" s="8" t="s">
        <v>14</v>
      </c>
      <c r="W440" s="8" t="s">
        <v>98</v>
      </c>
      <c r="X440" s="9" t="s">
        <v>207</v>
      </c>
      <c r="Y440" s="13">
        <v>75360</v>
      </c>
      <c r="Z440" s="9">
        <v>76178</v>
      </c>
      <c r="AA440" s="9" t="s">
        <v>276</v>
      </c>
      <c r="AB440" s="9" t="s">
        <v>276</v>
      </c>
      <c r="AC440" s="8">
        <v>41</v>
      </c>
      <c r="AD440" s="8" t="s">
        <v>2461</v>
      </c>
      <c r="AE440" s="8">
        <v>73</v>
      </c>
      <c r="AF440" s="8" t="s">
        <v>2461</v>
      </c>
      <c r="AG440" s="9" t="s">
        <v>2462</v>
      </c>
      <c r="AH440" s="9" t="s">
        <v>280</v>
      </c>
      <c r="AI440" s="38">
        <v>379</v>
      </c>
      <c r="AJ440" s="38">
        <v>311</v>
      </c>
      <c r="AK440" s="13">
        <v>75360</v>
      </c>
      <c r="AL440" s="38">
        <v>76178</v>
      </c>
      <c r="AM440" s="38" t="s">
        <v>281</v>
      </c>
      <c r="AN440" s="8" t="s">
        <v>276</v>
      </c>
      <c r="AO440" s="14">
        <f>AI440*1000/AK440</f>
        <v>5.0291932059447984</v>
      </c>
      <c r="AP440" s="8" t="s">
        <v>276</v>
      </c>
      <c r="AQ440" s="8" t="s">
        <v>276</v>
      </c>
      <c r="AR440" s="8" t="s">
        <v>276</v>
      </c>
      <c r="AS440" s="14">
        <f>AJ440*1000/AL440</f>
        <v>4.0825435165008273</v>
      </c>
      <c r="AT440" s="8" t="s">
        <v>276</v>
      </c>
      <c r="AU440" s="8" t="s">
        <v>276</v>
      </c>
      <c r="AV440" s="9" t="s">
        <v>268</v>
      </c>
      <c r="AW440" s="8" t="s">
        <v>276</v>
      </c>
      <c r="AX440" s="14">
        <f t="shared" ref="AX440:AX450" si="148">AO440/AS440</f>
        <v>1.2318774277892695</v>
      </c>
      <c r="AY440" s="8" t="s">
        <v>276</v>
      </c>
      <c r="AZ440" s="8" t="s">
        <v>276</v>
      </c>
      <c r="BA440" s="8" t="s">
        <v>276</v>
      </c>
      <c r="BB440" s="8" t="s">
        <v>282</v>
      </c>
      <c r="BC440" s="8" t="s">
        <v>276</v>
      </c>
      <c r="BD440" s="8" t="s">
        <v>276</v>
      </c>
      <c r="BE440" s="8" t="s">
        <v>276</v>
      </c>
      <c r="BF440" s="9" t="s">
        <v>298</v>
      </c>
      <c r="BG440" s="9" t="s">
        <v>2463</v>
      </c>
      <c r="BH440" s="9" t="s">
        <v>100</v>
      </c>
      <c r="BI440" s="9" t="s">
        <v>100</v>
      </c>
      <c r="BJ440" s="32"/>
      <c r="BK440" s="32"/>
      <c r="BO440" s="32"/>
      <c r="BP440" s="32"/>
    </row>
    <row r="441" spans="1:68" s="33" customFormat="1" ht="65" hidden="1" x14ac:dyDescent="0.35">
      <c r="A441" s="8">
        <v>2566</v>
      </c>
      <c r="B441" s="8" t="s">
        <v>2383</v>
      </c>
      <c r="C441" s="9" t="s">
        <v>95</v>
      </c>
      <c r="D441" s="9" t="s">
        <v>2464</v>
      </c>
      <c r="E441" s="8" t="s">
        <v>35</v>
      </c>
      <c r="F441" s="9" t="s">
        <v>130</v>
      </c>
      <c r="G441" s="8" t="s">
        <v>225</v>
      </c>
      <c r="H441" s="8" t="s">
        <v>125</v>
      </c>
      <c r="I441" s="8" t="s">
        <v>114</v>
      </c>
      <c r="J441" s="9" t="s">
        <v>25</v>
      </c>
      <c r="K441" s="8" t="s">
        <v>317</v>
      </c>
      <c r="L441" s="8" t="s">
        <v>317</v>
      </c>
      <c r="M441" s="8" t="s">
        <v>307</v>
      </c>
      <c r="N441" s="9" t="s">
        <v>2454</v>
      </c>
      <c r="O441" s="9" t="s">
        <v>276</v>
      </c>
      <c r="P441" s="9" t="s">
        <v>239</v>
      </c>
      <c r="Q441" s="51" t="s">
        <v>2387</v>
      </c>
      <c r="R441" s="9" t="s">
        <v>2388</v>
      </c>
      <c r="S441" s="9" t="s">
        <v>2389</v>
      </c>
      <c r="T441" s="9" t="s">
        <v>2389</v>
      </c>
      <c r="U441" s="9">
        <v>4</v>
      </c>
      <c r="V441" s="8" t="s">
        <v>14</v>
      </c>
      <c r="W441" s="8" t="s">
        <v>98</v>
      </c>
      <c r="X441" s="9" t="s">
        <v>207</v>
      </c>
      <c r="Y441" s="13">
        <v>75360</v>
      </c>
      <c r="Z441" s="9">
        <v>76178</v>
      </c>
      <c r="AA441" s="9" t="s">
        <v>276</v>
      </c>
      <c r="AB441" s="9" t="s">
        <v>276</v>
      </c>
      <c r="AC441" s="8">
        <v>41</v>
      </c>
      <c r="AD441" s="8" t="s">
        <v>2461</v>
      </c>
      <c r="AE441" s="8">
        <v>73</v>
      </c>
      <c r="AF441" s="8" t="s">
        <v>2461</v>
      </c>
      <c r="AG441" s="9" t="s">
        <v>2465</v>
      </c>
      <c r="AH441" s="9" t="s">
        <v>280</v>
      </c>
      <c r="AI441" s="38">
        <v>220</v>
      </c>
      <c r="AJ441" s="38">
        <v>271</v>
      </c>
      <c r="AK441" s="13">
        <v>75360</v>
      </c>
      <c r="AL441" s="38">
        <v>76178</v>
      </c>
      <c r="AM441" s="38" t="s">
        <v>281</v>
      </c>
      <c r="AN441" s="8" t="s">
        <v>276</v>
      </c>
      <c r="AO441" s="14">
        <f>AI441*1000/AK441</f>
        <v>2.9193205944798302</v>
      </c>
      <c r="AP441" s="8" t="s">
        <v>276</v>
      </c>
      <c r="AQ441" s="8" t="s">
        <v>276</v>
      </c>
      <c r="AR441" s="8" t="s">
        <v>276</v>
      </c>
      <c r="AS441" s="14">
        <f>AJ441*1000/AL441</f>
        <v>3.5574575336711387</v>
      </c>
      <c r="AT441" s="8" t="s">
        <v>276</v>
      </c>
      <c r="AU441" s="8" t="s">
        <v>276</v>
      </c>
      <c r="AV441" s="9" t="s">
        <v>268</v>
      </c>
      <c r="AW441" s="8" t="s">
        <v>276</v>
      </c>
      <c r="AX441" s="14">
        <f t="shared" si="148"/>
        <v>0.82061994186820852</v>
      </c>
      <c r="AY441" s="8" t="s">
        <v>276</v>
      </c>
      <c r="AZ441" s="8" t="s">
        <v>276</v>
      </c>
      <c r="BA441" s="8" t="s">
        <v>276</v>
      </c>
      <c r="BB441" s="8" t="s">
        <v>282</v>
      </c>
      <c r="BC441" s="8" t="s">
        <v>276</v>
      </c>
      <c r="BD441" s="8" t="s">
        <v>276</v>
      </c>
      <c r="BE441" s="8" t="s">
        <v>276</v>
      </c>
      <c r="BF441" s="9" t="s">
        <v>298</v>
      </c>
      <c r="BG441" s="9" t="s">
        <v>2463</v>
      </c>
      <c r="BH441" s="9" t="s">
        <v>100</v>
      </c>
      <c r="BI441" s="9" t="s">
        <v>100</v>
      </c>
      <c r="BJ441" s="32"/>
      <c r="BK441" s="32"/>
      <c r="BO441" s="32"/>
      <c r="BP441" s="32"/>
    </row>
    <row r="442" spans="1:68" s="33" customFormat="1" ht="52" hidden="1" x14ac:dyDescent="0.35">
      <c r="A442" s="8">
        <v>2566</v>
      </c>
      <c r="B442" s="8" t="s">
        <v>2383</v>
      </c>
      <c r="C442" s="9" t="s">
        <v>95</v>
      </c>
      <c r="D442" s="9" t="s">
        <v>2466</v>
      </c>
      <c r="E442" s="8" t="s">
        <v>35</v>
      </c>
      <c r="F442" s="9" t="s">
        <v>130</v>
      </c>
      <c r="G442" s="8" t="s">
        <v>225</v>
      </c>
      <c r="H442" s="8" t="s">
        <v>125</v>
      </c>
      <c r="I442" s="8" t="s">
        <v>114</v>
      </c>
      <c r="J442" s="9" t="s">
        <v>25</v>
      </c>
      <c r="K442" s="8" t="s">
        <v>317</v>
      </c>
      <c r="L442" s="8" t="s">
        <v>317</v>
      </c>
      <c r="M442" s="8" t="s">
        <v>307</v>
      </c>
      <c r="N442" s="9" t="s">
        <v>2454</v>
      </c>
      <c r="O442" s="9" t="s">
        <v>276</v>
      </c>
      <c r="P442" s="9" t="s">
        <v>235</v>
      </c>
      <c r="Q442" s="51" t="s">
        <v>2387</v>
      </c>
      <c r="R442" s="9" t="s">
        <v>2388</v>
      </c>
      <c r="S442" s="9" t="s">
        <v>2389</v>
      </c>
      <c r="T442" s="9" t="s">
        <v>2389</v>
      </c>
      <c r="U442" s="9">
        <v>4</v>
      </c>
      <c r="V442" s="8" t="s">
        <v>14</v>
      </c>
      <c r="W442" s="8" t="s">
        <v>98</v>
      </c>
      <c r="X442" s="9" t="s">
        <v>207</v>
      </c>
      <c r="Y442" s="13" t="s">
        <v>98</v>
      </c>
      <c r="Z442" s="9" t="s">
        <v>98</v>
      </c>
      <c r="AA442" s="9" t="s">
        <v>276</v>
      </c>
      <c r="AB442" s="9" t="s">
        <v>276</v>
      </c>
      <c r="AC442" s="8">
        <v>41</v>
      </c>
      <c r="AD442" s="8" t="s">
        <v>2461</v>
      </c>
      <c r="AE442" s="8">
        <v>73</v>
      </c>
      <c r="AF442" s="8" t="s">
        <v>2461</v>
      </c>
      <c r="AG442" s="9" t="s">
        <v>2465</v>
      </c>
      <c r="AH442" s="9" t="s">
        <v>2467</v>
      </c>
      <c r="AI442" s="38">
        <v>220</v>
      </c>
      <c r="AJ442" s="38">
        <v>271</v>
      </c>
      <c r="AK442" s="13">
        <v>640</v>
      </c>
      <c r="AL442" s="38">
        <v>655</v>
      </c>
      <c r="AM442" s="38" t="s">
        <v>292</v>
      </c>
      <c r="AN442" s="8" t="s">
        <v>276</v>
      </c>
      <c r="AO442" s="14">
        <f>AI442*100/AK442</f>
        <v>34.375</v>
      </c>
      <c r="AP442" s="8" t="s">
        <v>276</v>
      </c>
      <c r="AQ442" s="8" t="s">
        <v>276</v>
      </c>
      <c r="AR442" s="8" t="s">
        <v>276</v>
      </c>
      <c r="AS442" s="14">
        <f>AJ442*100/AL442</f>
        <v>41.374045801526719</v>
      </c>
      <c r="AT442" s="8" t="s">
        <v>276</v>
      </c>
      <c r="AU442" s="8" t="s">
        <v>276</v>
      </c>
      <c r="AV442" s="9" t="s">
        <v>268</v>
      </c>
      <c r="AW442" s="8" t="s">
        <v>276</v>
      </c>
      <c r="AX442" s="14">
        <f t="shared" si="148"/>
        <v>0.83083487084870844</v>
      </c>
      <c r="AY442" s="8" t="s">
        <v>276</v>
      </c>
      <c r="AZ442" s="8" t="s">
        <v>276</v>
      </c>
      <c r="BA442" s="8" t="s">
        <v>276</v>
      </c>
      <c r="BB442" s="8" t="s">
        <v>282</v>
      </c>
      <c r="BC442" s="8" t="s">
        <v>276</v>
      </c>
      <c r="BD442" s="8" t="s">
        <v>276</v>
      </c>
      <c r="BE442" s="8" t="s">
        <v>276</v>
      </c>
      <c r="BF442" s="9" t="s">
        <v>298</v>
      </c>
      <c r="BG442" s="9" t="s">
        <v>2468</v>
      </c>
      <c r="BH442" s="9" t="s">
        <v>100</v>
      </c>
      <c r="BI442" s="9" t="s">
        <v>100</v>
      </c>
      <c r="BJ442" s="32"/>
      <c r="BK442" s="32"/>
      <c r="BO442" s="32"/>
      <c r="BP442" s="32"/>
    </row>
    <row r="443" spans="1:68" s="33" customFormat="1" ht="65" hidden="1" x14ac:dyDescent="0.35">
      <c r="A443" s="8">
        <v>2566</v>
      </c>
      <c r="B443" s="8" t="s">
        <v>2383</v>
      </c>
      <c r="C443" s="9" t="s">
        <v>95</v>
      </c>
      <c r="D443" s="9" t="s">
        <v>2469</v>
      </c>
      <c r="E443" s="8" t="s">
        <v>35</v>
      </c>
      <c r="F443" s="9" t="s">
        <v>130</v>
      </c>
      <c r="G443" s="8" t="s">
        <v>225</v>
      </c>
      <c r="H443" s="8" t="s">
        <v>125</v>
      </c>
      <c r="I443" s="8" t="s">
        <v>114</v>
      </c>
      <c r="J443" s="9" t="s">
        <v>25</v>
      </c>
      <c r="K443" s="8" t="s">
        <v>307</v>
      </c>
      <c r="L443" s="8" t="s">
        <v>317</v>
      </c>
      <c r="M443" s="8" t="s">
        <v>307</v>
      </c>
      <c r="N443" s="9" t="s">
        <v>2454</v>
      </c>
      <c r="O443" s="9" t="s">
        <v>276</v>
      </c>
      <c r="P443" s="9" t="s">
        <v>239</v>
      </c>
      <c r="Q443" s="51" t="s">
        <v>2387</v>
      </c>
      <c r="R443" s="9" t="s">
        <v>2388</v>
      </c>
      <c r="S443" s="9" t="s">
        <v>2389</v>
      </c>
      <c r="T443" s="9" t="s">
        <v>2389</v>
      </c>
      <c r="U443" s="9">
        <v>4</v>
      </c>
      <c r="V443" s="8" t="s">
        <v>14</v>
      </c>
      <c r="W443" s="8" t="s">
        <v>98</v>
      </c>
      <c r="X443" s="9" t="s">
        <v>207</v>
      </c>
      <c r="Y443" s="13">
        <v>75360</v>
      </c>
      <c r="Z443" s="9">
        <v>76178</v>
      </c>
      <c r="AA443" s="9" t="s">
        <v>276</v>
      </c>
      <c r="AB443" s="9" t="s">
        <v>276</v>
      </c>
      <c r="AC443" s="8">
        <v>41</v>
      </c>
      <c r="AD443" s="8" t="s">
        <v>2461</v>
      </c>
      <c r="AE443" s="8">
        <v>73</v>
      </c>
      <c r="AF443" s="8" t="s">
        <v>2461</v>
      </c>
      <c r="AG443" s="9" t="s">
        <v>2462</v>
      </c>
      <c r="AH443" s="9" t="s">
        <v>2394</v>
      </c>
      <c r="AI443" s="38">
        <v>379</v>
      </c>
      <c r="AJ443" s="38">
        <v>311</v>
      </c>
      <c r="AK443" s="13">
        <v>1019761</v>
      </c>
      <c r="AL443" s="38">
        <v>1016616</v>
      </c>
      <c r="AM443" s="38" t="s">
        <v>1019</v>
      </c>
      <c r="AN443" s="8" t="s">
        <v>276</v>
      </c>
      <c r="AO443" s="14">
        <f>AI443*100000/AK443</f>
        <v>37.165571148533822</v>
      </c>
      <c r="AP443" s="8" t="s">
        <v>276</v>
      </c>
      <c r="AQ443" s="8" t="s">
        <v>276</v>
      </c>
      <c r="AR443" s="8" t="s">
        <v>276</v>
      </c>
      <c r="AS443" s="14">
        <f>AJ443*100000/AL443</f>
        <v>30.591688503820517</v>
      </c>
      <c r="AT443" s="8" t="s">
        <v>276</v>
      </c>
      <c r="AU443" s="8" t="s">
        <v>276</v>
      </c>
      <c r="AV443" s="9" t="s">
        <v>269</v>
      </c>
      <c r="AW443" s="8" t="s">
        <v>276</v>
      </c>
      <c r="AX443" s="14">
        <f t="shared" si="148"/>
        <v>1.2148911343645614</v>
      </c>
      <c r="AY443" s="8" t="s">
        <v>276</v>
      </c>
      <c r="AZ443" s="8" t="s">
        <v>276</v>
      </c>
      <c r="BA443" s="8" t="s">
        <v>276</v>
      </c>
      <c r="BB443" s="8" t="s">
        <v>282</v>
      </c>
      <c r="BC443" s="8" t="s">
        <v>276</v>
      </c>
      <c r="BD443" s="8" t="s">
        <v>276</v>
      </c>
      <c r="BE443" s="8" t="s">
        <v>276</v>
      </c>
      <c r="BF443" s="9" t="s">
        <v>298</v>
      </c>
      <c r="BG443" s="9" t="s">
        <v>2463</v>
      </c>
      <c r="BH443" s="9" t="s">
        <v>100</v>
      </c>
      <c r="BI443" s="9" t="s">
        <v>100</v>
      </c>
      <c r="BJ443" s="32"/>
      <c r="BK443" s="32"/>
      <c r="BO443" s="32"/>
      <c r="BP443" s="32"/>
    </row>
    <row r="444" spans="1:68" s="33" customFormat="1" ht="65" hidden="1" x14ac:dyDescent="0.35">
      <c r="A444" s="8">
        <v>2566</v>
      </c>
      <c r="B444" s="8" t="s">
        <v>2383</v>
      </c>
      <c r="C444" s="9" t="s">
        <v>95</v>
      </c>
      <c r="D444" s="9" t="s">
        <v>2470</v>
      </c>
      <c r="E444" s="8" t="s">
        <v>35</v>
      </c>
      <c r="F444" s="9" t="s">
        <v>130</v>
      </c>
      <c r="G444" s="8" t="s">
        <v>225</v>
      </c>
      <c r="H444" s="8" t="s">
        <v>125</v>
      </c>
      <c r="I444" s="8" t="s">
        <v>114</v>
      </c>
      <c r="J444" s="9" t="s">
        <v>25</v>
      </c>
      <c r="K444" s="8" t="s">
        <v>317</v>
      </c>
      <c r="L444" s="8" t="s">
        <v>317</v>
      </c>
      <c r="M444" s="8" t="s">
        <v>307</v>
      </c>
      <c r="N444" s="9" t="s">
        <v>2454</v>
      </c>
      <c r="O444" s="9" t="s">
        <v>276</v>
      </c>
      <c r="P444" s="9" t="s">
        <v>239</v>
      </c>
      <c r="Q444" s="51" t="s">
        <v>2387</v>
      </c>
      <c r="R444" s="9" t="s">
        <v>2388</v>
      </c>
      <c r="S444" s="9" t="s">
        <v>2389</v>
      </c>
      <c r="T444" s="9" t="s">
        <v>2389</v>
      </c>
      <c r="U444" s="9">
        <v>4</v>
      </c>
      <c r="V444" s="8" t="s">
        <v>14</v>
      </c>
      <c r="W444" s="8" t="s">
        <v>98</v>
      </c>
      <c r="X444" s="9" t="s">
        <v>207</v>
      </c>
      <c r="Y444" s="13">
        <v>75360</v>
      </c>
      <c r="Z444" s="9">
        <v>76178</v>
      </c>
      <c r="AA444" s="9" t="s">
        <v>276</v>
      </c>
      <c r="AB444" s="9" t="s">
        <v>276</v>
      </c>
      <c r="AC444" s="8">
        <v>41</v>
      </c>
      <c r="AD444" s="8" t="s">
        <v>2461</v>
      </c>
      <c r="AE444" s="8">
        <v>73</v>
      </c>
      <c r="AF444" s="8" t="s">
        <v>2461</v>
      </c>
      <c r="AG444" s="9" t="s">
        <v>2465</v>
      </c>
      <c r="AH444" s="9" t="s">
        <v>2394</v>
      </c>
      <c r="AI444" s="38">
        <v>220</v>
      </c>
      <c r="AJ444" s="38">
        <v>271</v>
      </c>
      <c r="AK444" s="13">
        <v>1019761</v>
      </c>
      <c r="AL444" s="38">
        <v>1016616</v>
      </c>
      <c r="AM444" s="38" t="s">
        <v>1019</v>
      </c>
      <c r="AN444" s="8" t="s">
        <v>276</v>
      </c>
      <c r="AO444" s="14">
        <f>AI444*100000/AK444</f>
        <v>21.573682460890346</v>
      </c>
      <c r="AP444" s="8" t="s">
        <v>276</v>
      </c>
      <c r="AQ444" s="8" t="s">
        <v>276</v>
      </c>
      <c r="AR444" s="8" t="s">
        <v>276</v>
      </c>
      <c r="AS444" s="14">
        <f>AJ444*100000/AL444</f>
        <v>26.657066188216593</v>
      </c>
      <c r="AT444" s="8" t="s">
        <v>276</v>
      </c>
      <c r="AU444" s="8" t="s">
        <v>276</v>
      </c>
      <c r="AV444" s="9" t="s">
        <v>269</v>
      </c>
      <c r="AW444" s="8" t="s">
        <v>276</v>
      </c>
      <c r="AX444" s="14">
        <f t="shared" si="148"/>
        <v>0.80930445640813653</v>
      </c>
      <c r="AY444" s="8" t="s">
        <v>276</v>
      </c>
      <c r="AZ444" s="8" t="s">
        <v>276</v>
      </c>
      <c r="BA444" s="8" t="s">
        <v>276</v>
      </c>
      <c r="BB444" s="8" t="s">
        <v>282</v>
      </c>
      <c r="BC444" s="8" t="s">
        <v>276</v>
      </c>
      <c r="BD444" s="8" t="s">
        <v>276</v>
      </c>
      <c r="BE444" s="8" t="s">
        <v>276</v>
      </c>
      <c r="BF444" s="9" t="s">
        <v>298</v>
      </c>
      <c r="BG444" s="9" t="s">
        <v>2463</v>
      </c>
      <c r="BH444" s="9" t="s">
        <v>100</v>
      </c>
      <c r="BI444" s="9" t="s">
        <v>100</v>
      </c>
      <c r="BJ444" s="32"/>
      <c r="BK444" s="32"/>
      <c r="BO444" s="32"/>
      <c r="BP444" s="32"/>
    </row>
    <row r="445" spans="1:68" s="33" customFormat="1" ht="65" hidden="1" x14ac:dyDescent="0.35">
      <c r="A445" s="8">
        <v>2566</v>
      </c>
      <c r="B445" s="8" t="s">
        <v>2383</v>
      </c>
      <c r="C445" s="9" t="s">
        <v>95</v>
      </c>
      <c r="D445" s="9" t="s">
        <v>2471</v>
      </c>
      <c r="E445" s="8" t="s">
        <v>35</v>
      </c>
      <c r="F445" s="9" t="s">
        <v>130</v>
      </c>
      <c r="G445" s="8" t="s">
        <v>225</v>
      </c>
      <c r="H445" s="8" t="s">
        <v>125</v>
      </c>
      <c r="I445" s="8" t="s">
        <v>114</v>
      </c>
      <c r="J445" s="9" t="s">
        <v>25</v>
      </c>
      <c r="K445" s="8" t="s">
        <v>307</v>
      </c>
      <c r="L445" s="8" t="s">
        <v>317</v>
      </c>
      <c r="M445" s="8" t="s">
        <v>307</v>
      </c>
      <c r="N445" s="9" t="s">
        <v>2454</v>
      </c>
      <c r="O445" s="9" t="s">
        <v>276</v>
      </c>
      <c r="P445" s="9" t="s">
        <v>239</v>
      </c>
      <c r="Q445" s="51" t="s">
        <v>2387</v>
      </c>
      <c r="R445" s="9" t="s">
        <v>2388</v>
      </c>
      <c r="S445" s="9" t="s">
        <v>276</v>
      </c>
      <c r="T445" s="9" t="s">
        <v>276</v>
      </c>
      <c r="U445" s="9">
        <v>4</v>
      </c>
      <c r="V445" s="8" t="s">
        <v>15</v>
      </c>
      <c r="W445" s="8" t="s">
        <v>2398</v>
      </c>
      <c r="X445" s="9" t="s">
        <v>207</v>
      </c>
      <c r="Y445" s="13">
        <v>54212</v>
      </c>
      <c r="Z445" s="9">
        <v>54188</v>
      </c>
      <c r="AA445" s="9" t="s">
        <v>276</v>
      </c>
      <c r="AB445" s="9" t="s">
        <v>276</v>
      </c>
      <c r="AC445" s="8">
        <v>6</v>
      </c>
      <c r="AD445" s="8" t="s">
        <v>2461</v>
      </c>
      <c r="AE445" s="8">
        <v>12</v>
      </c>
      <c r="AF445" s="8" t="s">
        <v>2461</v>
      </c>
      <c r="AG445" s="9" t="s">
        <v>2472</v>
      </c>
      <c r="AH445" s="9" t="s">
        <v>280</v>
      </c>
      <c r="AI445" s="38">
        <v>271</v>
      </c>
      <c r="AJ445" s="38">
        <v>206</v>
      </c>
      <c r="AK445" s="13">
        <v>54212</v>
      </c>
      <c r="AL445" s="9">
        <v>54188</v>
      </c>
      <c r="AM445" s="38" t="s">
        <v>281</v>
      </c>
      <c r="AN445" s="8" t="s">
        <v>276</v>
      </c>
      <c r="AO445" s="14">
        <f>AI445*1000/AK445</f>
        <v>4.9988932339703389</v>
      </c>
      <c r="AP445" s="8" t="s">
        <v>276</v>
      </c>
      <c r="AQ445" s="8" t="s">
        <v>276</v>
      </c>
      <c r="AR445" s="8" t="s">
        <v>276</v>
      </c>
      <c r="AS445" s="14">
        <f>AJ445*1000/AL445</f>
        <v>3.8015796855392336</v>
      </c>
      <c r="AT445" s="8" t="s">
        <v>276</v>
      </c>
      <c r="AU445" s="8" t="s">
        <v>276</v>
      </c>
      <c r="AV445" s="9" t="s">
        <v>268</v>
      </c>
      <c r="AW445" s="8" t="s">
        <v>276</v>
      </c>
      <c r="AX445" s="14">
        <f t="shared" si="148"/>
        <v>1.3149515852542948</v>
      </c>
      <c r="AY445" s="8" t="s">
        <v>276</v>
      </c>
      <c r="AZ445" s="8" t="s">
        <v>276</v>
      </c>
      <c r="BA445" s="8" t="s">
        <v>276</v>
      </c>
      <c r="BB445" s="8" t="s">
        <v>282</v>
      </c>
      <c r="BC445" s="8" t="s">
        <v>276</v>
      </c>
      <c r="BD445" s="8" t="s">
        <v>276</v>
      </c>
      <c r="BE445" s="8" t="s">
        <v>276</v>
      </c>
      <c r="BF445" s="9" t="s">
        <v>2473</v>
      </c>
      <c r="BG445" s="9" t="s">
        <v>2474</v>
      </c>
      <c r="BH445" s="9" t="s">
        <v>100</v>
      </c>
      <c r="BI445" s="9" t="s">
        <v>100</v>
      </c>
      <c r="BJ445" s="32"/>
      <c r="BK445" s="32"/>
      <c r="BO445" s="32"/>
      <c r="BP445" s="32"/>
    </row>
    <row r="446" spans="1:68" s="33" customFormat="1" ht="65" hidden="1" x14ac:dyDescent="0.35">
      <c r="A446" s="8">
        <v>2566</v>
      </c>
      <c r="B446" s="8" t="s">
        <v>2383</v>
      </c>
      <c r="C446" s="9" t="s">
        <v>95</v>
      </c>
      <c r="D446" s="9" t="s">
        <v>2475</v>
      </c>
      <c r="E446" s="8" t="s">
        <v>35</v>
      </c>
      <c r="F446" s="9" t="s">
        <v>130</v>
      </c>
      <c r="G446" s="8" t="s">
        <v>225</v>
      </c>
      <c r="H446" s="8" t="s">
        <v>125</v>
      </c>
      <c r="I446" s="8" t="s">
        <v>114</v>
      </c>
      <c r="J446" s="9" t="s">
        <v>25</v>
      </c>
      <c r="K446" s="8" t="s">
        <v>317</v>
      </c>
      <c r="L446" s="8" t="s">
        <v>317</v>
      </c>
      <c r="M446" s="8" t="s">
        <v>307</v>
      </c>
      <c r="N446" s="9" t="s">
        <v>2454</v>
      </c>
      <c r="O446" s="9" t="s">
        <v>276</v>
      </c>
      <c r="P446" s="9" t="s">
        <v>239</v>
      </c>
      <c r="Q446" s="51" t="s">
        <v>2387</v>
      </c>
      <c r="R446" s="9" t="s">
        <v>2388</v>
      </c>
      <c r="S446" s="9" t="s">
        <v>276</v>
      </c>
      <c r="T446" s="9" t="s">
        <v>276</v>
      </c>
      <c r="U446" s="9">
        <v>4</v>
      </c>
      <c r="V446" s="8" t="s">
        <v>15</v>
      </c>
      <c r="W446" s="8" t="s">
        <v>2398</v>
      </c>
      <c r="X446" s="9" t="s">
        <v>207</v>
      </c>
      <c r="Y446" s="13">
        <v>54212</v>
      </c>
      <c r="Z446" s="9">
        <v>54188</v>
      </c>
      <c r="AA446" s="9" t="s">
        <v>276</v>
      </c>
      <c r="AB446" s="9" t="s">
        <v>276</v>
      </c>
      <c r="AC446" s="8">
        <v>6</v>
      </c>
      <c r="AD446" s="8" t="s">
        <v>2461</v>
      </c>
      <c r="AE446" s="8">
        <v>12</v>
      </c>
      <c r="AF446" s="8" t="s">
        <v>2461</v>
      </c>
      <c r="AG446" s="9" t="s">
        <v>2476</v>
      </c>
      <c r="AH446" s="9" t="s">
        <v>280</v>
      </c>
      <c r="AI446" s="38">
        <v>161</v>
      </c>
      <c r="AJ446" s="38">
        <v>183</v>
      </c>
      <c r="AK446" s="13">
        <v>54212</v>
      </c>
      <c r="AL446" s="9">
        <v>54188</v>
      </c>
      <c r="AM446" s="38" t="s">
        <v>281</v>
      </c>
      <c r="AN446" s="8" t="s">
        <v>276</v>
      </c>
      <c r="AO446" s="14">
        <f>AI446*1000/AK446</f>
        <v>2.9698221795912345</v>
      </c>
      <c r="AP446" s="8" t="s">
        <v>276</v>
      </c>
      <c r="AQ446" s="8" t="s">
        <v>276</v>
      </c>
      <c r="AR446" s="8" t="s">
        <v>276</v>
      </c>
      <c r="AS446" s="14">
        <f>AJ446*1000/AL446</f>
        <v>3.3771314682217466</v>
      </c>
      <c r="AT446" s="8" t="s">
        <v>276</v>
      </c>
      <c r="AU446" s="8" t="s">
        <v>276</v>
      </c>
      <c r="AV446" s="9" t="s">
        <v>268</v>
      </c>
      <c r="AW446" s="8" t="s">
        <v>276</v>
      </c>
      <c r="AX446" s="14">
        <f t="shared" si="148"/>
        <v>0.87939193588901532</v>
      </c>
      <c r="AY446" s="8" t="s">
        <v>276</v>
      </c>
      <c r="AZ446" s="8" t="s">
        <v>276</v>
      </c>
      <c r="BA446" s="8" t="s">
        <v>276</v>
      </c>
      <c r="BB446" s="8" t="s">
        <v>282</v>
      </c>
      <c r="BC446" s="8" t="s">
        <v>276</v>
      </c>
      <c r="BD446" s="8" t="s">
        <v>276</v>
      </c>
      <c r="BE446" s="8" t="s">
        <v>276</v>
      </c>
      <c r="BF446" s="9" t="s">
        <v>2473</v>
      </c>
      <c r="BG446" s="9" t="s">
        <v>2474</v>
      </c>
      <c r="BH446" s="9" t="s">
        <v>100</v>
      </c>
      <c r="BI446" s="9" t="s">
        <v>100</v>
      </c>
      <c r="BJ446" s="32"/>
      <c r="BK446" s="32"/>
      <c r="BO446" s="32"/>
      <c r="BP446" s="32"/>
    </row>
    <row r="447" spans="1:68" s="33" customFormat="1" ht="65" hidden="1" x14ac:dyDescent="0.35">
      <c r="A447" s="8">
        <v>2566</v>
      </c>
      <c r="B447" s="8" t="s">
        <v>2383</v>
      </c>
      <c r="C447" s="9" t="s">
        <v>95</v>
      </c>
      <c r="D447" s="9" t="s">
        <v>2477</v>
      </c>
      <c r="E447" s="8" t="s">
        <v>35</v>
      </c>
      <c r="F447" s="9" t="s">
        <v>130</v>
      </c>
      <c r="G447" s="8" t="s">
        <v>225</v>
      </c>
      <c r="H447" s="8" t="s">
        <v>125</v>
      </c>
      <c r="I447" s="8" t="s">
        <v>114</v>
      </c>
      <c r="J447" s="9" t="s">
        <v>25</v>
      </c>
      <c r="K447" s="8" t="s">
        <v>317</v>
      </c>
      <c r="L447" s="8" t="s">
        <v>317</v>
      </c>
      <c r="M447" s="8" t="s">
        <v>307</v>
      </c>
      <c r="N447" s="9" t="s">
        <v>2454</v>
      </c>
      <c r="O447" s="9" t="s">
        <v>276</v>
      </c>
      <c r="P447" s="524" t="s">
        <v>235</v>
      </c>
      <c r="Q447" s="51" t="s">
        <v>2387</v>
      </c>
      <c r="R447" s="9" t="s">
        <v>2388</v>
      </c>
      <c r="S447" s="9" t="s">
        <v>276</v>
      </c>
      <c r="T447" s="9" t="s">
        <v>276</v>
      </c>
      <c r="U447" s="9">
        <v>4</v>
      </c>
      <c r="V447" s="8" t="s">
        <v>15</v>
      </c>
      <c r="W447" s="8" t="s">
        <v>2398</v>
      </c>
      <c r="X447" s="9" t="s">
        <v>207</v>
      </c>
      <c r="Y447" s="13" t="s">
        <v>98</v>
      </c>
      <c r="Z447" s="9" t="s">
        <v>98</v>
      </c>
      <c r="AA447" s="9" t="s">
        <v>276</v>
      </c>
      <c r="AB447" s="9" t="s">
        <v>276</v>
      </c>
      <c r="AC447" s="8">
        <v>6</v>
      </c>
      <c r="AD447" s="8" t="s">
        <v>2461</v>
      </c>
      <c r="AE447" s="8">
        <v>12</v>
      </c>
      <c r="AF447" s="8" t="s">
        <v>2461</v>
      </c>
      <c r="AG447" s="9" t="s">
        <v>2478</v>
      </c>
      <c r="AH447" s="9" t="s">
        <v>2479</v>
      </c>
      <c r="AI447" s="38">
        <v>161</v>
      </c>
      <c r="AJ447" s="38">
        <v>183</v>
      </c>
      <c r="AK447" s="13">
        <v>438</v>
      </c>
      <c r="AL447" s="38">
        <v>401</v>
      </c>
      <c r="AM447" s="38" t="s">
        <v>292</v>
      </c>
      <c r="AN447" s="8" t="s">
        <v>276</v>
      </c>
      <c r="AO447" s="14">
        <f>AI447*100/AK447</f>
        <v>36.757990867579906</v>
      </c>
      <c r="AP447" s="8" t="s">
        <v>276</v>
      </c>
      <c r="AQ447" s="8" t="s">
        <v>276</v>
      </c>
      <c r="AR447" s="8" t="s">
        <v>276</v>
      </c>
      <c r="AS447" s="14">
        <f>AJ447*100/AL447</f>
        <v>45.635910224438902</v>
      </c>
      <c r="AT447" s="8" t="s">
        <v>276</v>
      </c>
      <c r="AU447" s="8" t="s">
        <v>276</v>
      </c>
      <c r="AV447" s="9" t="s">
        <v>268</v>
      </c>
      <c r="AW447" s="8" t="s">
        <v>276</v>
      </c>
      <c r="AX447" s="14">
        <f t="shared" si="148"/>
        <v>0.80546198567757066</v>
      </c>
      <c r="AY447" s="8" t="s">
        <v>276</v>
      </c>
      <c r="AZ447" s="8" t="s">
        <v>276</v>
      </c>
      <c r="BA447" s="8" t="s">
        <v>276</v>
      </c>
      <c r="BB447" s="8" t="s">
        <v>282</v>
      </c>
      <c r="BC447" s="8" t="s">
        <v>276</v>
      </c>
      <c r="BD447" s="8" t="s">
        <v>276</v>
      </c>
      <c r="BE447" s="8" t="s">
        <v>276</v>
      </c>
      <c r="BF447" s="9" t="s">
        <v>2473</v>
      </c>
      <c r="BG447" s="9" t="s">
        <v>2474</v>
      </c>
      <c r="BH447" s="9" t="s">
        <v>100</v>
      </c>
      <c r="BI447" s="9" t="s">
        <v>100</v>
      </c>
      <c r="BJ447" s="32"/>
      <c r="BK447" s="32"/>
      <c r="BO447" s="32"/>
      <c r="BP447" s="32"/>
    </row>
    <row r="448" spans="1:68" s="33" customFormat="1" ht="65" hidden="1" x14ac:dyDescent="0.35">
      <c r="A448" s="8">
        <v>2566</v>
      </c>
      <c r="B448" s="8" t="s">
        <v>2383</v>
      </c>
      <c r="C448" s="9" t="s">
        <v>95</v>
      </c>
      <c r="D448" s="9" t="s">
        <v>2480</v>
      </c>
      <c r="E448" s="8" t="s">
        <v>35</v>
      </c>
      <c r="F448" s="9" t="s">
        <v>130</v>
      </c>
      <c r="G448" s="8" t="s">
        <v>225</v>
      </c>
      <c r="H448" s="8" t="s">
        <v>125</v>
      </c>
      <c r="I448" s="8" t="s">
        <v>114</v>
      </c>
      <c r="J448" s="9" t="s">
        <v>25</v>
      </c>
      <c r="K448" s="8" t="s">
        <v>307</v>
      </c>
      <c r="L448" s="8" t="s">
        <v>317</v>
      </c>
      <c r="M448" s="8" t="s">
        <v>307</v>
      </c>
      <c r="N448" s="9" t="s">
        <v>2454</v>
      </c>
      <c r="O448" s="9" t="s">
        <v>276</v>
      </c>
      <c r="P448" s="9" t="s">
        <v>239</v>
      </c>
      <c r="Q448" s="51" t="s">
        <v>2387</v>
      </c>
      <c r="R448" s="9" t="s">
        <v>2388</v>
      </c>
      <c r="S448" s="9" t="s">
        <v>276</v>
      </c>
      <c r="T448" s="9" t="s">
        <v>276</v>
      </c>
      <c r="U448" s="9">
        <v>4</v>
      </c>
      <c r="V448" s="8" t="s">
        <v>15</v>
      </c>
      <c r="W448" s="8" t="s">
        <v>2410</v>
      </c>
      <c r="X448" s="9" t="s">
        <v>207</v>
      </c>
      <c r="Y448" s="13">
        <v>20965</v>
      </c>
      <c r="Z448" s="9">
        <v>21909</v>
      </c>
      <c r="AA448" s="9" t="s">
        <v>276</v>
      </c>
      <c r="AB448" s="9" t="s">
        <v>276</v>
      </c>
      <c r="AC448" s="8">
        <v>35</v>
      </c>
      <c r="AD448" s="8" t="s">
        <v>2461</v>
      </c>
      <c r="AE448" s="8">
        <v>61</v>
      </c>
      <c r="AF448" s="8" t="s">
        <v>2461</v>
      </c>
      <c r="AG448" s="9" t="s">
        <v>2472</v>
      </c>
      <c r="AH448" s="9" t="s">
        <v>280</v>
      </c>
      <c r="AI448" s="38">
        <v>108</v>
      </c>
      <c r="AJ448" s="38">
        <v>105</v>
      </c>
      <c r="AK448" s="13">
        <v>20965</v>
      </c>
      <c r="AL448" s="9">
        <v>21909</v>
      </c>
      <c r="AM448" s="38" t="s">
        <v>281</v>
      </c>
      <c r="AN448" s="8" t="s">
        <v>276</v>
      </c>
      <c r="AO448" s="14">
        <f>AI448*1000/AK448</f>
        <v>5.1514428809921293</v>
      </c>
      <c r="AP448" s="8" t="s">
        <v>276</v>
      </c>
      <c r="AQ448" s="8" t="s">
        <v>276</v>
      </c>
      <c r="AR448" s="8" t="s">
        <v>276</v>
      </c>
      <c r="AS448" s="14">
        <f>AJ448*1000/AL448</f>
        <v>4.7925510064357111</v>
      </c>
      <c r="AT448" s="8" t="s">
        <v>276</v>
      </c>
      <c r="AU448" s="8" t="s">
        <v>276</v>
      </c>
      <c r="AV448" s="9" t="s">
        <v>268</v>
      </c>
      <c r="AW448" s="8" t="s">
        <v>276</v>
      </c>
      <c r="AX448" s="14">
        <f t="shared" si="148"/>
        <v>1.0748853531395863</v>
      </c>
      <c r="AY448" s="8" t="s">
        <v>276</v>
      </c>
      <c r="AZ448" s="8" t="s">
        <v>276</v>
      </c>
      <c r="BA448" s="8" t="s">
        <v>276</v>
      </c>
      <c r="BB448" s="8" t="s">
        <v>282</v>
      </c>
      <c r="BC448" s="8" t="s">
        <v>276</v>
      </c>
      <c r="BD448" s="8" t="s">
        <v>276</v>
      </c>
      <c r="BE448" s="8" t="s">
        <v>276</v>
      </c>
      <c r="BF448" s="9" t="s">
        <v>2473</v>
      </c>
      <c r="BG448" s="9" t="s">
        <v>2474</v>
      </c>
      <c r="BH448" s="9" t="s">
        <v>100</v>
      </c>
      <c r="BI448" s="9" t="s">
        <v>100</v>
      </c>
      <c r="BJ448" s="32"/>
      <c r="BK448" s="32"/>
      <c r="BO448" s="32"/>
      <c r="BP448" s="32"/>
    </row>
    <row r="449" spans="1:68" s="33" customFormat="1" ht="65" hidden="1" x14ac:dyDescent="0.35">
      <c r="A449" s="8">
        <v>2566</v>
      </c>
      <c r="B449" s="8" t="s">
        <v>2383</v>
      </c>
      <c r="C449" s="9" t="s">
        <v>95</v>
      </c>
      <c r="D449" s="9" t="s">
        <v>2481</v>
      </c>
      <c r="E449" s="8" t="s">
        <v>35</v>
      </c>
      <c r="F449" s="9" t="s">
        <v>130</v>
      </c>
      <c r="G449" s="8" t="s">
        <v>225</v>
      </c>
      <c r="H449" s="8" t="s">
        <v>125</v>
      </c>
      <c r="I449" s="8" t="s">
        <v>114</v>
      </c>
      <c r="J449" s="9" t="s">
        <v>25</v>
      </c>
      <c r="K449" s="8" t="s">
        <v>317</v>
      </c>
      <c r="L449" s="8" t="s">
        <v>317</v>
      </c>
      <c r="M449" s="8" t="s">
        <v>307</v>
      </c>
      <c r="N449" s="9" t="s">
        <v>2454</v>
      </c>
      <c r="O449" s="9" t="s">
        <v>276</v>
      </c>
      <c r="P449" s="9" t="s">
        <v>239</v>
      </c>
      <c r="Q449" s="51" t="s">
        <v>2387</v>
      </c>
      <c r="R449" s="9" t="s">
        <v>2388</v>
      </c>
      <c r="S449" s="9" t="s">
        <v>276</v>
      </c>
      <c r="T449" s="9" t="s">
        <v>276</v>
      </c>
      <c r="U449" s="9">
        <v>4</v>
      </c>
      <c r="V449" s="8" t="s">
        <v>15</v>
      </c>
      <c r="W449" s="8" t="s">
        <v>2410</v>
      </c>
      <c r="X449" s="9" t="s">
        <v>207</v>
      </c>
      <c r="Y449" s="13">
        <v>20965</v>
      </c>
      <c r="Z449" s="9">
        <v>21909</v>
      </c>
      <c r="AA449" s="9" t="s">
        <v>276</v>
      </c>
      <c r="AB449" s="9" t="s">
        <v>276</v>
      </c>
      <c r="AC449" s="8">
        <v>35</v>
      </c>
      <c r="AD449" s="8" t="s">
        <v>2461</v>
      </c>
      <c r="AE449" s="8">
        <v>61</v>
      </c>
      <c r="AF449" s="8" t="s">
        <v>2461</v>
      </c>
      <c r="AG449" s="9" t="s">
        <v>2476</v>
      </c>
      <c r="AH449" s="9" t="s">
        <v>280</v>
      </c>
      <c r="AI449" s="38">
        <v>59</v>
      </c>
      <c r="AJ449" s="38">
        <v>88</v>
      </c>
      <c r="AK449" s="13">
        <v>20965</v>
      </c>
      <c r="AL449" s="9">
        <v>21909</v>
      </c>
      <c r="AM449" s="38" t="s">
        <v>281</v>
      </c>
      <c r="AN449" s="8" t="s">
        <v>276</v>
      </c>
      <c r="AO449" s="14">
        <f>AI449*1000/AK449</f>
        <v>2.8142141664679228</v>
      </c>
      <c r="AP449" s="8" t="s">
        <v>276</v>
      </c>
      <c r="AQ449" s="8" t="s">
        <v>276</v>
      </c>
      <c r="AR449" s="8" t="s">
        <v>276</v>
      </c>
      <c r="AS449" s="14">
        <f>AJ449*1000/AL449</f>
        <v>4.0166141768223103</v>
      </c>
      <c r="AT449" s="8" t="s">
        <v>276</v>
      </c>
      <c r="AU449" s="8" t="s">
        <v>276</v>
      </c>
      <c r="AV449" s="9" t="s">
        <v>268</v>
      </c>
      <c r="AW449" s="8" t="s">
        <v>276</v>
      </c>
      <c r="AX449" s="14">
        <f t="shared" si="148"/>
        <v>0.70064338833120143</v>
      </c>
      <c r="AY449" s="8" t="s">
        <v>276</v>
      </c>
      <c r="AZ449" s="8" t="s">
        <v>276</v>
      </c>
      <c r="BA449" s="8" t="s">
        <v>276</v>
      </c>
      <c r="BB449" s="8" t="s">
        <v>282</v>
      </c>
      <c r="BC449" s="8" t="s">
        <v>276</v>
      </c>
      <c r="BD449" s="8" t="s">
        <v>276</v>
      </c>
      <c r="BE449" s="8" t="s">
        <v>276</v>
      </c>
      <c r="BF449" s="9" t="s">
        <v>2473</v>
      </c>
      <c r="BG449" s="9" t="s">
        <v>2474</v>
      </c>
      <c r="BH449" s="9" t="s">
        <v>100</v>
      </c>
      <c r="BI449" s="9" t="s">
        <v>100</v>
      </c>
      <c r="BJ449" s="32"/>
      <c r="BK449" s="32"/>
      <c r="BO449" s="32"/>
      <c r="BP449" s="32"/>
    </row>
    <row r="450" spans="1:68" s="33" customFormat="1" ht="65" hidden="1" x14ac:dyDescent="0.35">
      <c r="A450" s="8">
        <v>2566</v>
      </c>
      <c r="B450" s="8" t="s">
        <v>2383</v>
      </c>
      <c r="C450" s="9" t="s">
        <v>95</v>
      </c>
      <c r="D450" s="9" t="s">
        <v>2482</v>
      </c>
      <c r="E450" s="8" t="s">
        <v>35</v>
      </c>
      <c r="F450" s="9" t="s">
        <v>130</v>
      </c>
      <c r="G450" s="8" t="s">
        <v>225</v>
      </c>
      <c r="H450" s="8" t="s">
        <v>125</v>
      </c>
      <c r="I450" s="8" t="s">
        <v>114</v>
      </c>
      <c r="J450" s="9" t="s">
        <v>25</v>
      </c>
      <c r="K450" s="8" t="s">
        <v>317</v>
      </c>
      <c r="L450" s="8" t="s">
        <v>317</v>
      </c>
      <c r="M450" s="8" t="s">
        <v>307</v>
      </c>
      <c r="N450" s="9" t="s">
        <v>2454</v>
      </c>
      <c r="O450" s="9" t="s">
        <v>276</v>
      </c>
      <c r="P450" s="9" t="s">
        <v>235</v>
      </c>
      <c r="Q450" s="51" t="s">
        <v>2387</v>
      </c>
      <c r="R450" s="9" t="s">
        <v>2388</v>
      </c>
      <c r="S450" s="9" t="s">
        <v>276</v>
      </c>
      <c r="T450" s="9" t="s">
        <v>276</v>
      </c>
      <c r="U450" s="9">
        <v>4</v>
      </c>
      <c r="V450" s="8" t="s">
        <v>15</v>
      </c>
      <c r="W450" s="8" t="s">
        <v>2410</v>
      </c>
      <c r="X450" s="9" t="s">
        <v>207</v>
      </c>
      <c r="Y450" s="13" t="s">
        <v>98</v>
      </c>
      <c r="Z450" s="9" t="s">
        <v>98</v>
      </c>
      <c r="AA450" s="9" t="s">
        <v>276</v>
      </c>
      <c r="AB450" s="9" t="s">
        <v>276</v>
      </c>
      <c r="AC450" s="8">
        <v>35</v>
      </c>
      <c r="AD450" s="8" t="s">
        <v>2461</v>
      </c>
      <c r="AE450" s="8">
        <v>61</v>
      </c>
      <c r="AF450" s="8" t="s">
        <v>2461</v>
      </c>
      <c r="AG450" s="9" t="s">
        <v>2478</v>
      </c>
      <c r="AH450" s="9" t="s">
        <v>2479</v>
      </c>
      <c r="AI450" s="38">
        <v>59</v>
      </c>
      <c r="AJ450" s="38">
        <v>88</v>
      </c>
      <c r="AK450" s="13">
        <v>202</v>
      </c>
      <c r="AL450" s="38">
        <v>254</v>
      </c>
      <c r="AM450" s="38" t="s">
        <v>292</v>
      </c>
      <c r="AN450" s="8" t="s">
        <v>276</v>
      </c>
      <c r="AO450" s="14">
        <f>AI450*100/AK450</f>
        <v>29.207920792079207</v>
      </c>
      <c r="AP450" s="8" t="s">
        <v>276</v>
      </c>
      <c r="AQ450" s="8" t="s">
        <v>276</v>
      </c>
      <c r="AR450" s="8" t="s">
        <v>276</v>
      </c>
      <c r="AS450" s="14">
        <f>AJ450*100/AL450</f>
        <v>34.645669291338585</v>
      </c>
      <c r="AT450" s="8" t="s">
        <v>276</v>
      </c>
      <c r="AU450" s="8" t="s">
        <v>276</v>
      </c>
      <c r="AV450" s="9" t="s">
        <v>268</v>
      </c>
      <c r="AW450" s="8" t="s">
        <v>276</v>
      </c>
      <c r="AX450" s="14">
        <f t="shared" si="148"/>
        <v>0.843046804680468</v>
      </c>
      <c r="AY450" s="8" t="s">
        <v>276</v>
      </c>
      <c r="AZ450" s="8" t="s">
        <v>276</v>
      </c>
      <c r="BA450" s="8" t="s">
        <v>276</v>
      </c>
      <c r="BB450" s="8" t="s">
        <v>282</v>
      </c>
      <c r="BC450" s="8" t="s">
        <v>276</v>
      </c>
      <c r="BD450" s="8" t="s">
        <v>276</v>
      </c>
      <c r="BE450" s="8" t="s">
        <v>276</v>
      </c>
      <c r="BF450" s="9" t="s">
        <v>2473</v>
      </c>
      <c r="BG450" s="9" t="s">
        <v>2474</v>
      </c>
      <c r="BH450" s="9" t="s">
        <v>100</v>
      </c>
      <c r="BI450" s="9" t="s">
        <v>100</v>
      </c>
      <c r="BJ450" s="32"/>
      <c r="BK450" s="32"/>
      <c r="BO450" s="32"/>
      <c r="BP450" s="32"/>
    </row>
    <row r="451" spans="1:68" s="33" customFormat="1" ht="65" hidden="1" x14ac:dyDescent="0.35">
      <c r="A451" s="8">
        <v>5969</v>
      </c>
      <c r="B451" s="8" t="s">
        <v>2508</v>
      </c>
      <c r="C451" s="9" t="s">
        <v>2484</v>
      </c>
      <c r="D451" s="9" t="s">
        <v>2509</v>
      </c>
      <c r="E451" s="8" t="s">
        <v>37</v>
      </c>
      <c r="F451" s="8" t="s">
        <v>136</v>
      </c>
      <c r="G451" s="8" t="s">
        <v>225</v>
      </c>
      <c r="H451" s="8" t="s">
        <v>225</v>
      </c>
      <c r="I451" s="8" t="s">
        <v>98</v>
      </c>
      <c r="J451" s="9" t="s">
        <v>98</v>
      </c>
      <c r="K451" s="8" t="s">
        <v>98</v>
      </c>
      <c r="L451" s="8" t="s">
        <v>98</v>
      </c>
      <c r="M451" s="8" t="s">
        <v>98</v>
      </c>
      <c r="N451" s="8" t="s">
        <v>276</v>
      </c>
      <c r="O451" s="9" t="s">
        <v>276</v>
      </c>
      <c r="P451" s="9" t="s">
        <v>238</v>
      </c>
      <c r="Q451" s="51" t="s">
        <v>2510</v>
      </c>
      <c r="R451" s="9" t="s">
        <v>276</v>
      </c>
      <c r="S451" s="9" t="s">
        <v>276</v>
      </c>
      <c r="T451" s="9" t="s">
        <v>276</v>
      </c>
      <c r="U451" s="9">
        <v>1</v>
      </c>
      <c r="V451" s="8" t="s">
        <v>14</v>
      </c>
      <c r="W451" s="8" t="s">
        <v>98</v>
      </c>
      <c r="X451" s="9" t="s">
        <v>209</v>
      </c>
      <c r="Y451" s="13">
        <v>36874</v>
      </c>
      <c r="Z451" s="9" t="s">
        <v>98</v>
      </c>
      <c r="AA451" s="9" t="s">
        <v>276</v>
      </c>
      <c r="AB451" s="9" t="s">
        <v>276</v>
      </c>
      <c r="AC451" s="8">
        <v>0</v>
      </c>
      <c r="AD451" s="8" t="s">
        <v>98</v>
      </c>
      <c r="AE451" s="8">
        <v>0</v>
      </c>
      <c r="AF451" s="8" t="s">
        <v>98</v>
      </c>
      <c r="AG451" s="9" t="s">
        <v>2511</v>
      </c>
      <c r="AH451" s="9" t="s">
        <v>280</v>
      </c>
      <c r="AI451" s="38">
        <v>84</v>
      </c>
      <c r="AJ451" s="38" t="s">
        <v>98</v>
      </c>
      <c r="AK451" s="13">
        <v>36874</v>
      </c>
      <c r="AL451" s="38" t="s">
        <v>98</v>
      </c>
      <c r="AM451" s="38" t="s">
        <v>292</v>
      </c>
      <c r="AN451" s="8" t="s">
        <v>276</v>
      </c>
      <c r="AO451" s="14">
        <f t="shared" ref="AO451:AO477" si="149">AI451*100/AK451</f>
        <v>0.22780278787221347</v>
      </c>
      <c r="AP451" s="8" t="s">
        <v>276</v>
      </c>
      <c r="AQ451" s="8" t="s">
        <v>276</v>
      </c>
      <c r="AR451" s="8" t="s">
        <v>98</v>
      </c>
      <c r="AS451" s="8" t="s">
        <v>98</v>
      </c>
      <c r="AT451" s="8" t="s">
        <v>98</v>
      </c>
      <c r="AU451" s="8" t="s">
        <v>98</v>
      </c>
      <c r="AV451" s="8" t="s">
        <v>98</v>
      </c>
      <c r="AW451" s="8" t="s">
        <v>98</v>
      </c>
      <c r="AX451" s="8" t="s">
        <v>98</v>
      </c>
      <c r="AY451" s="8" t="s">
        <v>98</v>
      </c>
      <c r="AZ451" s="8" t="s">
        <v>98</v>
      </c>
      <c r="BA451" s="8" t="s">
        <v>98</v>
      </c>
      <c r="BB451" s="8" t="s">
        <v>98</v>
      </c>
      <c r="BC451" s="8" t="s">
        <v>98</v>
      </c>
      <c r="BD451" s="8" t="s">
        <v>98</v>
      </c>
      <c r="BE451" s="8" t="s">
        <v>98</v>
      </c>
      <c r="BF451" s="9" t="s">
        <v>2512</v>
      </c>
      <c r="BG451" s="9"/>
      <c r="BH451" s="9" t="s">
        <v>100</v>
      </c>
      <c r="BI451" s="9" t="s">
        <v>100</v>
      </c>
      <c r="BJ451" s="32"/>
      <c r="BK451" s="32"/>
      <c r="BO451" s="32"/>
      <c r="BP451" s="32"/>
    </row>
    <row r="452" spans="1:68" s="33" customFormat="1" ht="52" hidden="1" x14ac:dyDescent="0.35">
      <c r="A452" s="8">
        <v>5969</v>
      </c>
      <c r="B452" s="8" t="s">
        <v>2508</v>
      </c>
      <c r="C452" s="9" t="s">
        <v>2484</v>
      </c>
      <c r="D452" s="9" t="s">
        <v>2513</v>
      </c>
      <c r="E452" s="8" t="s">
        <v>37</v>
      </c>
      <c r="F452" s="8" t="s">
        <v>136</v>
      </c>
      <c r="G452" s="8" t="s">
        <v>225</v>
      </c>
      <c r="H452" s="8" t="s">
        <v>225</v>
      </c>
      <c r="I452" s="8" t="s">
        <v>98</v>
      </c>
      <c r="J452" s="9" t="s">
        <v>98</v>
      </c>
      <c r="K452" s="8" t="s">
        <v>98</v>
      </c>
      <c r="L452" s="8" t="s">
        <v>98</v>
      </c>
      <c r="M452" s="8" t="s">
        <v>98</v>
      </c>
      <c r="N452" s="8" t="s">
        <v>276</v>
      </c>
      <c r="O452" s="9" t="s">
        <v>276</v>
      </c>
      <c r="P452" s="9" t="s">
        <v>236</v>
      </c>
      <c r="Q452" s="51" t="s">
        <v>2510</v>
      </c>
      <c r="R452" s="9" t="s">
        <v>276</v>
      </c>
      <c r="S452" s="9" t="s">
        <v>276</v>
      </c>
      <c r="T452" s="9" t="s">
        <v>276</v>
      </c>
      <c r="U452" s="9">
        <v>1</v>
      </c>
      <c r="V452" s="8" t="s">
        <v>14</v>
      </c>
      <c r="W452" s="8" t="s">
        <v>98</v>
      </c>
      <c r="X452" s="9" t="s">
        <v>209</v>
      </c>
      <c r="Y452" s="13" t="s">
        <v>98</v>
      </c>
      <c r="Z452" s="9" t="s">
        <v>98</v>
      </c>
      <c r="AA452" s="9" t="s">
        <v>276</v>
      </c>
      <c r="AB452" s="9" t="s">
        <v>276</v>
      </c>
      <c r="AC452" s="8">
        <v>0</v>
      </c>
      <c r="AD452" s="8" t="s">
        <v>98</v>
      </c>
      <c r="AE452" s="8">
        <v>0</v>
      </c>
      <c r="AF452" s="8" t="s">
        <v>98</v>
      </c>
      <c r="AG452" s="9" t="s">
        <v>2514</v>
      </c>
      <c r="AH452" s="9" t="s">
        <v>2515</v>
      </c>
      <c r="AI452" s="38">
        <v>84</v>
      </c>
      <c r="AJ452" s="38" t="s">
        <v>98</v>
      </c>
      <c r="AK452" s="13">
        <v>112</v>
      </c>
      <c r="AL452" s="38" t="s">
        <v>98</v>
      </c>
      <c r="AM452" s="38" t="s">
        <v>292</v>
      </c>
      <c r="AN452" s="8" t="s">
        <v>276</v>
      </c>
      <c r="AO452" s="14">
        <f t="shared" si="149"/>
        <v>75</v>
      </c>
      <c r="AP452" s="8" t="s">
        <v>276</v>
      </c>
      <c r="AQ452" s="8" t="s">
        <v>276</v>
      </c>
      <c r="AR452" s="8" t="s">
        <v>98</v>
      </c>
      <c r="AS452" s="8" t="s">
        <v>98</v>
      </c>
      <c r="AT452" s="8" t="s">
        <v>98</v>
      </c>
      <c r="AU452" s="8" t="s">
        <v>98</v>
      </c>
      <c r="AV452" s="8" t="s">
        <v>98</v>
      </c>
      <c r="AW452" s="8" t="s">
        <v>98</v>
      </c>
      <c r="AX452" s="8" t="s">
        <v>98</v>
      </c>
      <c r="AY452" s="8" t="s">
        <v>98</v>
      </c>
      <c r="AZ452" s="8" t="s">
        <v>98</v>
      </c>
      <c r="BA452" s="8" t="s">
        <v>98</v>
      </c>
      <c r="BB452" s="8" t="s">
        <v>98</v>
      </c>
      <c r="BC452" s="8" t="s">
        <v>98</v>
      </c>
      <c r="BD452" s="8" t="s">
        <v>98</v>
      </c>
      <c r="BE452" s="8" t="s">
        <v>98</v>
      </c>
      <c r="BF452" s="9" t="s">
        <v>2512</v>
      </c>
      <c r="BG452" s="9"/>
      <c r="BH452" s="9" t="s">
        <v>100</v>
      </c>
      <c r="BI452" s="9" t="s">
        <v>100</v>
      </c>
      <c r="BJ452" s="32"/>
      <c r="BK452" s="32"/>
      <c r="BO452" s="32"/>
      <c r="BP452" s="32"/>
    </row>
    <row r="453" spans="1:68" s="33" customFormat="1" ht="78" hidden="1" x14ac:dyDescent="0.35">
      <c r="A453" s="8">
        <v>5969</v>
      </c>
      <c r="B453" s="8" t="s">
        <v>2508</v>
      </c>
      <c r="C453" s="9" t="s">
        <v>2484</v>
      </c>
      <c r="D453" s="9" t="s">
        <v>2516</v>
      </c>
      <c r="E453" s="8" t="s">
        <v>37</v>
      </c>
      <c r="F453" s="8" t="s">
        <v>136</v>
      </c>
      <c r="G453" s="8" t="s">
        <v>225</v>
      </c>
      <c r="H453" s="8" t="s">
        <v>225</v>
      </c>
      <c r="I453" s="8" t="s">
        <v>98</v>
      </c>
      <c r="J453" s="9" t="s">
        <v>98</v>
      </c>
      <c r="K453" s="8" t="s">
        <v>98</v>
      </c>
      <c r="L453" s="8" t="s">
        <v>98</v>
      </c>
      <c r="M453" s="8" t="s">
        <v>98</v>
      </c>
      <c r="N453" s="8" t="s">
        <v>276</v>
      </c>
      <c r="O453" s="9" t="s">
        <v>276</v>
      </c>
      <c r="P453" s="9" t="s">
        <v>238</v>
      </c>
      <c r="Q453" s="51" t="s">
        <v>2510</v>
      </c>
      <c r="R453" s="9" t="s">
        <v>276</v>
      </c>
      <c r="S453" s="9" t="s">
        <v>276</v>
      </c>
      <c r="T453" s="9" t="s">
        <v>276</v>
      </c>
      <c r="U453" s="9">
        <v>1</v>
      </c>
      <c r="V453" s="8" t="s">
        <v>14</v>
      </c>
      <c r="W453" s="8" t="s">
        <v>98</v>
      </c>
      <c r="X453" s="9" t="s">
        <v>209</v>
      </c>
      <c r="Y453" s="13">
        <v>36874</v>
      </c>
      <c r="Z453" s="9" t="s">
        <v>98</v>
      </c>
      <c r="AA453" s="9" t="s">
        <v>276</v>
      </c>
      <c r="AB453" s="9" t="s">
        <v>276</v>
      </c>
      <c r="AC453" s="8">
        <v>0</v>
      </c>
      <c r="AD453" s="8" t="s">
        <v>98</v>
      </c>
      <c r="AE453" s="8">
        <v>0</v>
      </c>
      <c r="AF453" s="8" t="s">
        <v>98</v>
      </c>
      <c r="AG453" s="9" t="s">
        <v>2517</v>
      </c>
      <c r="AH453" s="9" t="s">
        <v>280</v>
      </c>
      <c r="AI453" s="38">
        <v>278</v>
      </c>
      <c r="AJ453" s="38" t="s">
        <v>98</v>
      </c>
      <c r="AK453" s="13">
        <v>36874</v>
      </c>
      <c r="AL453" s="38" t="s">
        <v>98</v>
      </c>
      <c r="AM453" s="38" t="s">
        <v>292</v>
      </c>
      <c r="AN453" s="8" t="s">
        <v>276</v>
      </c>
      <c r="AO453" s="31">
        <f t="shared" si="149"/>
        <v>0.75391875033899225</v>
      </c>
      <c r="AP453" s="8" t="s">
        <v>276</v>
      </c>
      <c r="AQ453" s="8" t="s">
        <v>276</v>
      </c>
      <c r="AR453" s="8" t="s">
        <v>98</v>
      </c>
      <c r="AS453" s="8" t="s">
        <v>98</v>
      </c>
      <c r="AT453" s="8" t="s">
        <v>98</v>
      </c>
      <c r="AU453" s="8" t="s">
        <v>98</v>
      </c>
      <c r="AV453" s="8" t="s">
        <v>98</v>
      </c>
      <c r="AW453" s="8" t="s">
        <v>98</v>
      </c>
      <c r="AX453" s="8" t="s">
        <v>98</v>
      </c>
      <c r="AY453" s="8" t="s">
        <v>98</v>
      </c>
      <c r="AZ453" s="8" t="s">
        <v>98</v>
      </c>
      <c r="BA453" s="8" t="s">
        <v>98</v>
      </c>
      <c r="BB453" s="8" t="s">
        <v>98</v>
      </c>
      <c r="BC453" s="8" t="s">
        <v>98</v>
      </c>
      <c r="BD453" s="8" t="s">
        <v>98</v>
      </c>
      <c r="BE453" s="8" t="s">
        <v>98</v>
      </c>
      <c r="BF453" s="9" t="s">
        <v>2518</v>
      </c>
      <c r="BG453" s="9"/>
      <c r="BH453" s="9" t="s">
        <v>100</v>
      </c>
      <c r="BI453" s="9" t="s">
        <v>100</v>
      </c>
      <c r="BJ453" s="32"/>
      <c r="BK453" s="32"/>
      <c r="BO453" s="32"/>
      <c r="BP453" s="32"/>
    </row>
    <row r="454" spans="1:68" s="33" customFormat="1" ht="78" hidden="1" x14ac:dyDescent="0.35">
      <c r="A454" s="8">
        <v>5969</v>
      </c>
      <c r="B454" s="8" t="s">
        <v>2508</v>
      </c>
      <c r="C454" s="9" t="s">
        <v>2484</v>
      </c>
      <c r="D454" s="9" t="s">
        <v>2519</v>
      </c>
      <c r="E454" s="8" t="s">
        <v>37</v>
      </c>
      <c r="F454" s="8" t="s">
        <v>136</v>
      </c>
      <c r="G454" s="8" t="s">
        <v>225</v>
      </c>
      <c r="H454" s="8" t="s">
        <v>225</v>
      </c>
      <c r="I454" s="8" t="s">
        <v>98</v>
      </c>
      <c r="J454" s="9" t="s">
        <v>98</v>
      </c>
      <c r="K454" s="8" t="s">
        <v>98</v>
      </c>
      <c r="L454" s="8" t="s">
        <v>98</v>
      </c>
      <c r="M454" s="8" t="s">
        <v>98</v>
      </c>
      <c r="N454" s="8" t="s">
        <v>276</v>
      </c>
      <c r="O454" s="9" t="s">
        <v>276</v>
      </c>
      <c r="P454" s="9" t="s">
        <v>236</v>
      </c>
      <c r="Q454" s="51" t="s">
        <v>2510</v>
      </c>
      <c r="R454" s="9" t="s">
        <v>276</v>
      </c>
      <c r="S454" s="9" t="s">
        <v>276</v>
      </c>
      <c r="T454" s="9" t="s">
        <v>276</v>
      </c>
      <c r="U454" s="9">
        <v>1</v>
      </c>
      <c r="V454" s="8" t="s">
        <v>14</v>
      </c>
      <c r="W454" s="8" t="s">
        <v>98</v>
      </c>
      <c r="X454" s="9" t="s">
        <v>209</v>
      </c>
      <c r="Y454" s="13" t="s">
        <v>98</v>
      </c>
      <c r="Z454" s="9" t="s">
        <v>98</v>
      </c>
      <c r="AA454" s="9" t="s">
        <v>276</v>
      </c>
      <c r="AB454" s="9" t="s">
        <v>276</v>
      </c>
      <c r="AC454" s="8">
        <v>0</v>
      </c>
      <c r="AD454" s="8" t="s">
        <v>98</v>
      </c>
      <c r="AE454" s="8">
        <v>0</v>
      </c>
      <c r="AF454" s="8" t="s">
        <v>98</v>
      </c>
      <c r="AG454" s="9" t="s">
        <v>2517</v>
      </c>
      <c r="AH454" s="9" t="s">
        <v>2520</v>
      </c>
      <c r="AI454" s="38">
        <v>278</v>
      </c>
      <c r="AJ454" s="38" t="s">
        <v>98</v>
      </c>
      <c r="AK454" s="13">
        <f>278+28</f>
        <v>306</v>
      </c>
      <c r="AL454" s="38" t="s">
        <v>98</v>
      </c>
      <c r="AM454" s="38" t="s">
        <v>292</v>
      </c>
      <c r="AN454" s="8" t="s">
        <v>276</v>
      </c>
      <c r="AO454" s="14">
        <f t="shared" si="149"/>
        <v>90.849673202614383</v>
      </c>
      <c r="AP454" s="8" t="s">
        <v>276</v>
      </c>
      <c r="AQ454" s="8" t="s">
        <v>276</v>
      </c>
      <c r="AR454" s="8" t="s">
        <v>98</v>
      </c>
      <c r="AS454" s="8" t="s">
        <v>98</v>
      </c>
      <c r="AT454" s="8" t="s">
        <v>98</v>
      </c>
      <c r="AU454" s="8" t="s">
        <v>98</v>
      </c>
      <c r="AV454" s="8" t="s">
        <v>98</v>
      </c>
      <c r="AW454" s="8" t="s">
        <v>98</v>
      </c>
      <c r="AX454" s="8" t="s">
        <v>98</v>
      </c>
      <c r="AY454" s="8" t="s">
        <v>98</v>
      </c>
      <c r="AZ454" s="8" t="s">
        <v>98</v>
      </c>
      <c r="BA454" s="8" t="s">
        <v>98</v>
      </c>
      <c r="BB454" s="8" t="s">
        <v>98</v>
      </c>
      <c r="BC454" s="8" t="s">
        <v>98</v>
      </c>
      <c r="BD454" s="8" t="s">
        <v>98</v>
      </c>
      <c r="BE454" s="8" t="s">
        <v>98</v>
      </c>
      <c r="BF454" s="9" t="s">
        <v>2518</v>
      </c>
      <c r="BG454" s="9"/>
      <c r="BH454" s="9" t="s">
        <v>100</v>
      </c>
      <c r="BI454" s="9" t="s">
        <v>100</v>
      </c>
      <c r="BJ454" s="32"/>
      <c r="BK454" s="32"/>
      <c r="BO454" s="32"/>
      <c r="BP454" s="32"/>
    </row>
    <row r="455" spans="1:68" s="33" customFormat="1" ht="78" hidden="1" x14ac:dyDescent="0.35">
      <c r="A455" s="8">
        <v>5969</v>
      </c>
      <c r="B455" s="8" t="s">
        <v>2508</v>
      </c>
      <c r="C455" s="9" t="s">
        <v>2484</v>
      </c>
      <c r="D455" s="9" t="s">
        <v>2521</v>
      </c>
      <c r="E455" s="8" t="s">
        <v>37</v>
      </c>
      <c r="F455" s="8" t="s">
        <v>136</v>
      </c>
      <c r="G455" s="8" t="s">
        <v>225</v>
      </c>
      <c r="H455" s="8" t="s">
        <v>225</v>
      </c>
      <c r="I455" s="8" t="s">
        <v>98</v>
      </c>
      <c r="J455" s="9" t="s">
        <v>98</v>
      </c>
      <c r="K455" s="8" t="s">
        <v>98</v>
      </c>
      <c r="L455" s="8" t="s">
        <v>98</v>
      </c>
      <c r="M455" s="8" t="s">
        <v>98</v>
      </c>
      <c r="N455" s="8" t="s">
        <v>276</v>
      </c>
      <c r="O455" s="9" t="s">
        <v>276</v>
      </c>
      <c r="P455" s="9" t="s">
        <v>238</v>
      </c>
      <c r="Q455" s="51" t="s">
        <v>2510</v>
      </c>
      <c r="R455" s="9" t="s">
        <v>276</v>
      </c>
      <c r="S455" s="9" t="s">
        <v>276</v>
      </c>
      <c r="T455" s="9" t="s">
        <v>276</v>
      </c>
      <c r="U455" s="9">
        <v>1</v>
      </c>
      <c r="V455" s="8" t="s">
        <v>14</v>
      </c>
      <c r="W455" s="8" t="s">
        <v>98</v>
      </c>
      <c r="X455" s="9" t="s">
        <v>209</v>
      </c>
      <c r="Y455" s="13">
        <v>36874</v>
      </c>
      <c r="Z455" s="9" t="s">
        <v>98</v>
      </c>
      <c r="AA455" s="9" t="s">
        <v>276</v>
      </c>
      <c r="AB455" s="9" t="s">
        <v>276</v>
      </c>
      <c r="AC455" s="8">
        <v>0</v>
      </c>
      <c r="AD455" s="8" t="s">
        <v>98</v>
      </c>
      <c r="AE455" s="8">
        <v>0</v>
      </c>
      <c r="AF455" s="8" t="s">
        <v>98</v>
      </c>
      <c r="AG455" s="9" t="s">
        <v>2522</v>
      </c>
      <c r="AH455" s="9" t="s">
        <v>280</v>
      </c>
      <c r="AI455" s="38">
        <v>194</v>
      </c>
      <c r="AJ455" s="38" t="s">
        <v>98</v>
      </c>
      <c r="AK455" s="13">
        <v>36874</v>
      </c>
      <c r="AL455" s="38" t="s">
        <v>98</v>
      </c>
      <c r="AM455" s="38" t="s">
        <v>292</v>
      </c>
      <c r="AN455" s="8" t="s">
        <v>276</v>
      </c>
      <c r="AO455" s="31">
        <f t="shared" si="149"/>
        <v>0.52611596246677872</v>
      </c>
      <c r="AP455" s="8" t="s">
        <v>276</v>
      </c>
      <c r="AQ455" s="8" t="s">
        <v>276</v>
      </c>
      <c r="AR455" s="8" t="s">
        <v>98</v>
      </c>
      <c r="AS455" s="8" t="s">
        <v>98</v>
      </c>
      <c r="AT455" s="8" t="s">
        <v>98</v>
      </c>
      <c r="AU455" s="8" t="s">
        <v>98</v>
      </c>
      <c r="AV455" s="8" t="s">
        <v>98</v>
      </c>
      <c r="AW455" s="8" t="s">
        <v>98</v>
      </c>
      <c r="AX455" s="8" t="s">
        <v>98</v>
      </c>
      <c r="AY455" s="8" t="s">
        <v>98</v>
      </c>
      <c r="AZ455" s="8" t="s">
        <v>98</v>
      </c>
      <c r="BA455" s="8" t="s">
        <v>98</v>
      </c>
      <c r="BB455" s="8" t="s">
        <v>98</v>
      </c>
      <c r="BC455" s="8" t="s">
        <v>98</v>
      </c>
      <c r="BD455" s="8" t="s">
        <v>98</v>
      </c>
      <c r="BE455" s="8" t="s">
        <v>98</v>
      </c>
      <c r="BF455" s="9" t="s">
        <v>2518</v>
      </c>
      <c r="BG455" s="9"/>
      <c r="BH455" s="9" t="s">
        <v>100</v>
      </c>
      <c r="BI455" s="9" t="s">
        <v>100</v>
      </c>
      <c r="BJ455" s="32"/>
      <c r="BK455" s="32"/>
      <c r="BO455" s="32"/>
      <c r="BP455" s="32"/>
    </row>
    <row r="456" spans="1:68" s="33" customFormat="1" ht="78" hidden="1" x14ac:dyDescent="0.35">
      <c r="A456" s="8">
        <v>5969</v>
      </c>
      <c r="B456" s="8" t="s">
        <v>2508</v>
      </c>
      <c r="C456" s="9" t="s">
        <v>2484</v>
      </c>
      <c r="D456" s="9" t="s">
        <v>2523</v>
      </c>
      <c r="E456" s="8" t="s">
        <v>37</v>
      </c>
      <c r="F456" s="8" t="s">
        <v>136</v>
      </c>
      <c r="G456" s="8" t="s">
        <v>225</v>
      </c>
      <c r="H456" s="8" t="s">
        <v>225</v>
      </c>
      <c r="I456" s="8" t="s">
        <v>98</v>
      </c>
      <c r="J456" s="9" t="s">
        <v>98</v>
      </c>
      <c r="K456" s="8" t="s">
        <v>98</v>
      </c>
      <c r="L456" s="8" t="s">
        <v>98</v>
      </c>
      <c r="M456" s="8" t="s">
        <v>98</v>
      </c>
      <c r="N456" s="8" t="s">
        <v>276</v>
      </c>
      <c r="O456" s="9" t="s">
        <v>276</v>
      </c>
      <c r="P456" s="9" t="s">
        <v>236</v>
      </c>
      <c r="Q456" s="51" t="s">
        <v>2510</v>
      </c>
      <c r="R456" s="9" t="s">
        <v>276</v>
      </c>
      <c r="S456" s="9" t="s">
        <v>276</v>
      </c>
      <c r="T456" s="9" t="s">
        <v>276</v>
      </c>
      <c r="U456" s="9">
        <v>1</v>
      </c>
      <c r="V456" s="8" t="s">
        <v>14</v>
      </c>
      <c r="W456" s="8" t="s">
        <v>98</v>
      </c>
      <c r="X456" s="9" t="s">
        <v>209</v>
      </c>
      <c r="Y456" s="13" t="s">
        <v>98</v>
      </c>
      <c r="Z456" s="9" t="s">
        <v>98</v>
      </c>
      <c r="AA456" s="9" t="s">
        <v>276</v>
      </c>
      <c r="AB456" s="9" t="s">
        <v>276</v>
      </c>
      <c r="AC456" s="8">
        <v>0</v>
      </c>
      <c r="AD456" s="8" t="s">
        <v>98</v>
      </c>
      <c r="AE456" s="8">
        <v>0</v>
      </c>
      <c r="AF456" s="8" t="s">
        <v>98</v>
      </c>
      <c r="AG456" s="9" t="s">
        <v>2524</v>
      </c>
      <c r="AH456" s="9" t="s">
        <v>2525</v>
      </c>
      <c r="AI456" s="38">
        <v>194</v>
      </c>
      <c r="AJ456" s="38" t="s">
        <v>98</v>
      </c>
      <c r="AK456" s="13">
        <v>194</v>
      </c>
      <c r="AL456" s="38" t="s">
        <v>98</v>
      </c>
      <c r="AM456" s="38" t="s">
        <v>292</v>
      </c>
      <c r="AN456" s="8" t="s">
        <v>276</v>
      </c>
      <c r="AO456" s="14">
        <f t="shared" si="149"/>
        <v>100</v>
      </c>
      <c r="AP456" s="8" t="s">
        <v>276</v>
      </c>
      <c r="AQ456" s="8" t="s">
        <v>276</v>
      </c>
      <c r="AR456" s="8" t="s">
        <v>98</v>
      </c>
      <c r="AS456" s="8" t="s">
        <v>98</v>
      </c>
      <c r="AT456" s="8" t="s">
        <v>98</v>
      </c>
      <c r="AU456" s="8" t="s">
        <v>98</v>
      </c>
      <c r="AV456" s="8" t="s">
        <v>98</v>
      </c>
      <c r="AW456" s="8" t="s">
        <v>98</v>
      </c>
      <c r="AX456" s="8" t="s">
        <v>98</v>
      </c>
      <c r="AY456" s="8" t="s">
        <v>98</v>
      </c>
      <c r="AZ456" s="8" t="s">
        <v>98</v>
      </c>
      <c r="BA456" s="8" t="s">
        <v>98</v>
      </c>
      <c r="BB456" s="8" t="s">
        <v>98</v>
      </c>
      <c r="BC456" s="8" t="s">
        <v>98</v>
      </c>
      <c r="BD456" s="8" t="s">
        <v>98</v>
      </c>
      <c r="BE456" s="8" t="s">
        <v>98</v>
      </c>
      <c r="BF456" s="9" t="s">
        <v>2518</v>
      </c>
      <c r="BG456" s="9"/>
      <c r="BH456" s="9" t="s">
        <v>100</v>
      </c>
      <c r="BI456" s="9" t="s">
        <v>100</v>
      </c>
      <c r="BJ456" s="32"/>
      <c r="BK456" s="32"/>
      <c r="BO456" s="32"/>
      <c r="BP456" s="32"/>
    </row>
    <row r="457" spans="1:68" s="33" customFormat="1" ht="65" hidden="1" x14ac:dyDescent="0.35">
      <c r="A457" s="8">
        <v>5969</v>
      </c>
      <c r="B457" s="8" t="s">
        <v>2508</v>
      </c>
      <c r="C457" s="9" t="s">
        <v>2484</v>
      </c>
      <c r="D457" s="9" t="s">
        <v>2526</v>
      </c>
      <c r="E457" s="8" t="s">
        <v>37</v>
      </c>
      <c r="F457" s="9" t="s">
        <v>129</v>
      </c>
      <c r="G457" s="8" t="s">
        <v>225</v>
      </c>
      <c r="H457" s="8" t="s">
        <v>225</v>
      </c>
      <c r="I457" s="8" t="s">
        <v>98</v>
      </c>
      <c r="J457" s="9" t="s">
        <v>98</v>
      </c>
      <c r="K457" s="8" t="s">
        <v>98</v>
      </c>
      <c r="L457" s="8" t="s">
        <v>98</v>
      </c>
      <c r="M457" s="8" t="s">
        <v>98</v>
      </c>
      <c r="N457" s="8" t="s">
        <v>276</v>
      </c>
      <c r="O457" s="9" t="s">
        <v>276</v>
      </c>
      <c r="P457" s="9" t="s">
        <v>238</v>
      </c>
      <c r="Q457" s="51" t="s">
        <v>2510</v>
      </c>
      <c r="R457" s="9" t="s">
        <v>276</v>
      </c>
      <c r="S457" s="9" t="s">
        <v>276</v>
      </c>
      <c r="T457" s="9" t="s">
        <v>276</v>
      </c>
      <c r="U457" s="9">
        <v>1</v>
      </c>
      <c r="V457" s="8" t="s">
        <v>14</v>
      </c>
      <c r="W457" s="8" t="s">
        <v>98</v>
      </c>
      <c r="X457" s="9" t="s">
        <v>209</v>
      </c>
      <c r="Y457" s="13">
        <v>35193</v>
      </c>
      <c r="Z457" s="9" t="s">
        <v>98</v>
      </c>
      <c r="AA457" s="9" t="s">
        <v>276</v>
      </c>
      <c r="AB457" s="9" t="s">
        <v>276</v>
      </c>
      <c r="AC457" s="8">
        <v>0</v>
      </c>
      <c r="AD457" s="8" t="s">
        <v>98</v>
      </c>
      <c r="AE457" s="8">
        <v>0</v>
      </c>
      <c r="AF457" s="8" t="s">
        <v>98</v>
      </c>
      <c r="AG457" s="9" t="s">
        <v>2514</v>
      </c>
      <c r="AH457" s="9" t="s">
        <v>280</v>
      </c>
      <c r="AI457" s="38">
        <v>81</v>
      </c>
      <c r="AJ457" s="38" t="s">
        <v>98</v>
      </c>
      <c r="AK457" s="13">
        <v>35193</v>
      </c>
      <c r="AL457" s="38" t="s">
        <v>98</v>
      </c>
      <c r="AM457" s="38" t="s">
        <v>292</v>
      </c>
      <c r="AN457" s="8" t="s">
        <v>276</v>
      </c>
      <c r="AO457" s="31">
        <f t="shared" si="149"/>
        <v>0.23015940670019605</v>
      </c>
      <c r="AP457" s="8" t="s">
        <v>276</v>
      </c>
      <c r="AQ457" s="8" t="s">
        <v>276</v>
      </c>
      <c r="AR457" s="8" t="s">
        <v>98</v>
      </c>
      <c r="AS457" s="8" t="s">
        <v>98</v>
      </c>
      <c r="AT457" s="8" t="s">
        <v>98</v>
      </c>
      <c r="AU457" s="8" t="s">
        <v>98</v>
      </c>
      <c r="AV457" s="8" t="s">
        <v>98</v>
      </c>
      <c r="AW457" s="8" t="s">
        <v>98</v>
      </c>
      <c r="AX457" s="8" t="s">
        <v>98</v>
      </c>
      <c r="AY457" s="8" t="s">
        <v>98</v>
      </c>
      <c r="AZ457" s="8" t="s">
        <v>98</v>
      </c>
      <c r="BA457" s="8" t="s">
        <v>98</v>
      </c>
      <c r="BB457" s="8" t="s">
        <v>98</v>
      </c>
      <c r="BC457" s="8" t="s">
        <v>98</v>
      </c>
      <c r="BD457" s="8" t="s">
        <v>98</v>
      </c>
      <c r="BE457" s="8" t="s">
        <v>98</v>
      </c>
      <c r="BF457" s="9" t="s">
        <v>2527</v>
      </c>
      <c r="BG457" s="9"/>
      <c r="BH457" s="9" t="s">
        <v>100</v>
      </c>
      <c r="BI457" s="9" t="s">
        <v>100</v>
      </c>
      <c r="BJ457" s="32"/>
      <c r="BK457" s="32"/>
      <c r="BO457" s="32"/>
      <c r="BP457" s="32"/>
    </row>
    <row r="458" spans="1:68" s="33" customFormat="1" ht="52" hidden="1" x14ac:dyDescent="0.35">
      <c r="A458" s="8">
        <v>5969</v>
      </c>
      <c r="B458" s="8" t="s">
        <v>2508</v>
      </c>
      <c r="C458" s="9" t="s">
        <v>2484</v>
      </c>
      <c r="D458" s="9" t="s">
        <v>2528</v>
      </c>
      <c r="E458" s="8" t="s">
        <v>37</v>
      </c>
      <c r="F458" s="9" t="s">
        <v>129</v>
      </c>
      <c r="G458" s="8" t="s">
        <v>225</v>
      </c>
      <c r="H458" s="8" t="s">
        <v>225</v>
      </c>
      <c r="I458" s="8" t="s">
        <v>98</v>
      </c>
      <c r="J458" s="9" t="s">
        <v>98</v>
      </c>
      <c r="K458" s="8" t="s">
        <v>98</v>
      </c>
      <c r="L458" s="8" t="s">
        <v>98</v>
      </c>
      <c r="M458" s="8" t="s">
        <v>98</v>
      </c>
      <c r="N458" s="8" t="s">
        <v>276</v>
      </c>
      <c r="O458" s="9" t="s">
        <v>276</v>
      </c>
      <c r="P458" s="9" t="s">
        <v>236</v>
      </c>
      <c r="Q458" s="51" t="s">
        <v>2510</v>
      </c>
      <c r="R458" s="9" t="s">
        <v>276</v>
      </c>
      <c r="S458" s="9" t="s">
        <v>276</v>
      </c>
      <c r="T458" s="9" t="s">
        <v>276</v>
      </c>
      <c r="U458" s="9">
        <v>1</v>
      </c>
      <c r="V458" s="8" t="s">
        <v>14</v>
      </c>
      <c r="W458" s="8" t="s">
        <v>98</v>
      </c>
      <c r="X458" s="9" t="s">
        <v>209</v>
      </c>
      <c r="Y458" s="13" t="s">
        <v>98</v>
      </c>
      <c r="Z458" s="9" t="s">
        <v>98</v>
      </c>
      <c r="AA458" s="9" t="s">
        <v>276</v>
      </c>
      <c r="AB458" s="9" t="s">
        <v>276</v>
      </c>
      <c r="AC458" s="8">
        <v>0</v>
      </c>
      <c r="AD458" s="8" t="s">
        <v>98</v>
      </c>
      <c r="AE458" s="8">
        <v>0</v>
      </c>
      <c r="AF458" s="8" t="s">
        <v>98</v>
      </c>
      <c r="AG458" s="9" t="s">
        <v>2514</v>
      </c>
      <c r="AH458" s="9" t="s">
        <v>2529</v>
      </c>
      <c r="AI458" s="38">
        <v>81</v>
      </c>
      <c r="AJ458" s="38" t="s">
        <v>98</v>
      </c>
      <c r="AK458" s="13">
        <v>123</v>
      </c>
      <c r="AL458" s="38" t="s">
        <v>98</v>
      </c>
      <c r="AM458" s="38" t="s">
        <v>292</v>
      </c>
      <c r="AN458" s="8" t="s">
        <v>276</v>
      </c>
      <c r="AO458" s="14">
        <f t="shared" si="149"/>
        <v>65.853658536585371</v>
      </c>
      <c r="AP458" s="8" t="s">
        <v>276</v>
      </c>
      <c r="AQ458" s="8" t="s">
        <v>276</v>
      </c>
      <c r="AR458" s="8" t="s">
        <v>98</v>
      </c>
      <c r="AS458" s="8" t="s">
        <v>98</v>
      </c>
      <c r="AT458" s="8" t="s">
        <v>98</v>
      </c>
      <c r="AU458" s="8" t="s">
        <v>98</v>
      </c>
      <c r="AV458" s="8" t="s">
        <v>98</v>
      </c>
      <c r="AW458" s="8" t="s">
        <v>98</v>
      </c>
      <c r="AX458" s="8" t="s">
        <v>98</v>
      </c>
      <c r="AY458" s="8" t="s">
        <v>98</v>
      </c>
      <c r="AZ458" s="8" t="s">
        <v>98</v>
      </c>
      <c r="BA458" s="8" t="s">
        <v>98</v>
      </c>
      <c r="BB458" s="8" t="s">
        <v>98</v>
      </c>
      <c r="BC458" s="8" t="s">
        <v>98</v>
      </c>
      <c r="BD458" s="8" t="s">
        <v>98</v>
      </c>
      <c r="BE458" s="8" t="s">
        <v>98</v>
      </c>
      <c r="BF458" s="9" t="s">
        <v>2527</v>
      </c>
      <c r="BG458" s="9"/>
      <c r="BH458" s="9" t="s">
        <v>100</v>
      </c>
      <c r="BI458" s="9" t="s">
        <v>100</v>
      </c>
      <c r="BJ458" s="32"/>
      <c r="BK458" s="32"/>
      <c r="BO458" s="32"/>
      <c r="BP458" s="32"/>
    </row>
    <row r="459" spans="1:68" s="33" customFormat="1" ht="78" hidden="1" x14ac:dyDescent="0.35">
      <c r="A459" s="8">
        <v>5969</v>
      </c>
      <c r="B459" s="8" t="s">
        <v>2508</v>
      </c>
      <c r="C459" s="9" t="s">
        <v>2484</v>
      </c>
      <c r="D459" s="9" t="s">
        <v>2530</v>
      </c>
      <c r="E459" s="8" t="s">
        <v>37</v>
      </c>
      <c r="F459" s="9" t="s">
        <v>129</v>
      </c>
      <c r="G459" s="8" t="s">
        <v>225</v>
      </c>
      <c r="H459" s="8" t="s">
        <v>225</v>
      </c>
      <c r="I459" s="8" t="s">
        <v>98</v>
      </c>
      <c r="J459" s="9" t="s">
        <v>98</v>
      </c>
      <c r="K459" s="8" t="s">
        <v>98</v>
      </c>
      <c r="L459" s="8" t="s">
        <v>98</v>
      </c>
      <c r="M459" s="8" t="s">
        <v>98</v>
      </c>
      <c r="N459" s="8" t="s">
        <v>276</v>
      </c>
      <c r="O459" s="9" t="s">
        <v>276</v>
      </c>
      <c r="P459" s="9" t="s">
        <v>238</v>
      </c>
      <c r="Q459" s="51" t="s">
        <v>2510</v>
      </c>
      <c r="R459" s="9" t="s">
        <v>276</v>
      </c>
      <c r="S459" s="9" t="s">
        <v>276</v>
      </c>
      <c r="T459" s="9" t="s">
        <v>276</v>
      </c>
      <c r="U459" s="9">
        <v>1</v>
      </c>
      <c r="V459" s="8" t="s">
        <v>14</v>
      </c>
      <c r="W459" s="8" t="s">
        <v>98</v>
      </c>
      <c r="X459" s="9" t="s">
        <v>209</v>
      </c>
      <c r="Y459" s="13">
        <v>35193</v>
      </c>
      <c r="Z459" s="9" t="s">
        <v>98</v>
      </c>
      <c r="AA459" s="9" t="s">
        <v>276</v>
      </c>
      <c r="AB459" s="9" t="s">
        <v>276</v>
      </c>
      <c r="AC459" s="8">
        <v>0</v>
      </c>
      <c r="AD459" s="8" t="s">
        <v>98</v>
      </c>
      <c r="AE459" s="8">
        <v>0</v>
      </c>
      <c r="AF459" s="8" t="s">
        <v>98</v>
      </c>
      <c r="AG459" s="9" t="s">
        <v>2531</v>
      </c>
      <c r="AH459" s="9" t="s">
        <v>280</v>
      </c>
      <c r="AI459" s="38">
        <v>340</v>
      </c>
      <c r="AJ459" s="38" t="s">
        <v>98</v>
      </c>
      <c r="AK459" s="13">
        <v>35193</v>
      </c>
      <c r="AL459" s="38" t="s">
        <v>98</v>
      </c>
      <c r="AM459" s="38" t="s">
        <v>292</v>
      </c>
      <c r="AN459" s="8" t="s">
        <v>276</v>
      </c>
      <c r="AO459" s="31">
        <f t="shared" si="149"/>
        <v>0.96610121330946497</v>
      </c>
      <c r="AP459" s="8" t="s">
        <v>276</v>
      </c>
      <c r="AQ459" s="8" t="s">
        <v>276</v>
      </c>
      <c r="AR459" s="8" t="s">
        <v>98</v>
      </c>
      <c r="AS459" s="8" t="s">
        <v>98</v>
      </c>
      <c r="AT459" s="8" t="s">
        <v>98</v>
      </c>
      <c r="AU459" s="8" t="s">
        <v>98</v>
      </c>
      <c r="AV459" s="8" t="s">
        <v>98</v>
      </c>
      <c r="AW459" s="8" t="s">
        <v>98</v>
      </c>
      <c r="AX459" s="8" t="s">
        <v>98</v>
      </c>
      <c r="AY459" s="8" t="s">
        <v>98</v>
      </c>
      <c r="AZ459" s="8" t="s">
        <v>98</v>
      </c>
      <c r="BA459" s="8" t="s">
        <v>98</v>
      </c>
      <c r="BB459" s="8" t="s">
        <v>98</v>
      </c>
      <c r="BC459" s="8" t="s">
        <v>98</v>
      </c>
      <c r="BD459" s="8" t="s">
        <v>98</v>
      </c>
      <c r="BE459" s="8" t="s">
        <v>98</v>
      </c>
      <c r="BF459" s="9" t="s">
        <v>2518</v>
      </c>
      <c r="BG459" s="9"/>
      <c r="BH459" s="9" t="s">
        <v>100</v>
      </c>
      <c r="BI459" s="9" t="s">
        <v>100</v>
      </c>
      <c r="BJ459" s="32"/>
      <c r="BK459" s="32"/>
      <c r="BO459" s="32"/>
      <c r="BP459" s="32"/>
    </row>
    <row r="460" spans="1:68" s="33" customFormat="1" ht="78" hidden="1" x14ac:dyDescent="0.35">
      <c r="A460" s="8">
        <v>5969</v>
      </c>
      <c r="B460" s="8" t="s">
        <v>2508</v>
      </c>
      <c r="C460" s="9" t="s">
        <v>2484</v>
      </c>
      <c r="D460" s="9" t="s">
        <v>2532</v>
      </c>
      <c r="E460" s="8" t="s">
        <v>37</v>
      </c>
      <c r="F460" s="9" t="s">
        <v>129</v>
      </c>
      <c r="G460" s="8" t="s">
        <v>225</v>
      </c>
      <c r="H460" s="8" t="s">
        <v>225</v>
      </c>
      <c r="I460" s="8" t="s">
        <v>98</v>
      </c>
      <c r="J460" s="9" t="s">
        <v>98</v>
      </c>
      <c r="K460" s="8" t="s">
        <v>98</v>
      </c>
      <c r="L460" s="8" t="s">
        <v>98</v>
      </c>
      <c r="M460" s="8" t="s">
        <v>98</v>
      </c>
      <c r="N460" s="8" t="s">
        <v>276</v>
      </c>
      <c r="O460" s="9" t="s">
        <v>276</v>
      </c>
      <c r="P460" s="9" t="s">
        <v>236</v>
      </c>
      <c r="Q460" s="51" t="s">
        <v>2510</v>
      </c>
      <c r="R460" s="9" t="s">
        <v>276</v>
      </c>
      <c r="S460" s="9" t="s">
        <v>276</v>
      </c>
      <c r="T460" s="9" t="s">
        <v>276</v>
      </c>
      <c r="U460" s="9">
        <v>1</v>
      </c>
      <c r="V460" s="8" t="s">
        <v>14</v>
      </c>
      <c r="W460" s="8" t="s">
        <v>98</v>
      </c>
      <c r="X460" s="9" t="s">
        <v>209</v>
      </c>
      <c r="Y460" s="13" t="s">
        <v>98</v>
      </c>
      <c r="Z460" s="9" t="s">
        <v>98</v>
      </c>
      <c r="AA460" s="9" t="s">
        <v>276</v>
      </c>
      <c r="AB460" s="9" t="s">
        <v>276</v>
      </c>
      <c r="AC460" s="8">
        <v>0</v>
      </c>
      <c r="AD460" s="8" t="s">
        <v>98</v>
      </c>
      <c r="AE460" s="8">
        <v>0</v>
      </c>
      <c r="AF460" s="8" t="s">
        <v>98</v>
      </c>
      <c r="AG460" s="9" t="s">
        <v>2531</v>
      </c>
      <c r="AH460" s="9" t="s">
        <v>2533</v>
      </c>
      <c r="AI460" s="38">
        <v>340</v>
      </c>
      <c r="AJ460" s="38" t="s">
        <v>98</v>
      </c>
      <c r="AK460" s="13">
        <f>340+42</f>
        <v>382</v>
      </c>
      <c r="AL460" s="38" t="s">
        <v>98</v>
      </c>
      <c r="AM460" s="38" t="s">
        <v>292</v>
      </c>
      <c r="AN460" s="8" t="s">
        <v>276</v>
      </c>
      <c r="AO460" s="14">
        <f t="shared" si="149"/>
        <v>89.005235602094245</v>
      </c>
      <c r="AP460" s="8" t="s">
        <v>276</v>
      </c>
      <c r="AQ460" s="8" t="s">
        <v>276</v>
      </c>
      <c r="AR460" s="8" t="s">
        <v>98</v>
      </c>
      <c r="AS460" s="8" t="s">
        <v>98</v>
      </c>
      <c r="AT460" s="8" t="s">
        <v>98</v>
      </c>
      <c r="AU460" s="8" t="s">
        <v>98</v>
      </c>
      <c r="AV460" s="8" t="s">
        <v>98</v>
      </c>
      <c r="AW460" s="8" t="s">
        <v>98</v>
      </c>
      <c r="AX460" s="8" t="s">
        <v>98</v>
      </c>
      <c r="AY460" s="8" t="s">
        <v>98</v>
      </c>
      <c r="AZ460" s="8" t="s">
        <v>98</v>
      </c>
      <c r="BA460" s="8" t="s">
        <v>98</v>
      </c>
      <c r="BB460" s="8" t="s">
        <v>98</v>
      </c>
      <c r="BC460" s="8" t="s">
        <v>98</v>
      </c>
      <c r="BD460" s="8" t="s">
        <v>98</v>
      </c>
      <c r="BE460" s="8" t="s">
        <v>98</v>
      </c>
      <c r="BF460" s="9" t="s">
        <v>2518</v>
      </c>
      <c r="BG460" s="9"/>
      <c r="BH460" s="9" t="s">
        <v>100</v>
      </c>
      <c r="BI460" s="9" t="s">
        <v>100</v>
      </c>
      <c r="BJ460" s="32"/>
      <c r="BK460" s="32"/>
      <c r="BO460" s="32"/>
      <c r="BP460" s="32"/>
    </row>
    <row r="461" spans="1:68" s="33" customFormat="1" ht="78" hidden="1" x14ac:dyDescent="0.35">
      <c r="A461" s="8">
        <v>5969</v>
      </c>
      <c r="B461" s="8" t="s">
        <v>2508</v>
      </c>
      <c r="C461" s="9" t="s">
        <v>2484</v>
      </c>
      <c r="D461" s="9" t="s">
        <v>2534</v>
      </c>
      <c r="E461" s="8" t="s">
        <v>37</v>
      </c>
      <c r="F461" s="9" t="s">
        <v>129</v>
      </c>
      <c r="G461" s="8" t="s">
        <v>225</v>
      </c>
      <c r="H461" s="8" t="s">
        <v>225</v>
      </c>
      <c r="I461" s="8" t="s">
        <v>98</v>
      </c>
      <c r="J461" s="9" t="s">
        <v>98</v>
      </c>
      <c r="K461" s="8" t="s">
        <v>98</v>
      </c>
      <c r="L461" s="8" t="s">
        <v>98</v>
      </c>
      <c r="M461" s="8" t="s">
        <v>98</v>
      </c>
      <c r="N461" s="8" t="s">
        <v>276</v>
      </c>
      <c r="O461" s="9" t="s">
        <v>276</v>
      </c>
      <c r="P461" s="9" t="s">
        <v>238</v>
      </c>
      <c r="Q461" s="51" t="s">
        <v>2510</v>
      </c>
      <c r="R461" s="9" t="s">
        <v>276</v>
      </c>
      <c r="S461" s="9" t="s">
        <v>276</v>
      </c>
      <c r="T461" s="9" t="s">
        <v>276</v>
      </c>
      <c r="U461" s="9">
        <v>1</v>
      </c>
      <c r="V461" s="8" t="s">
        <v>14</v>
      </c>
      <c r="W461" s="8" t="s">
        <v>98</v>
      </c>
      <c r="X461" s="9" t="s">
        <v>209</v>
      </c>
      <c r="Y461" s="13">
        <v>35193</v>
      </c>
      <c r="Z461" s="9" t="s">
        <v>98</v>
      </c>
      <c r="AA461" s="9" t="s">
        <v>276</v>
      </c>
      <c r="AB461" s="9" t="s">
        <v>276</v>
      </c>
      <c r="AC461" s="8">
        <v>0</v>
      </c>
      <c r="AD461" s="8" t="s">
        <v>98</v>
      </c>
      <c r="AE461" s="8">
        <v>0</v>
      </c>
      <c r="AF461" s="8" t="s">
        <v>98</v>
      </c>
      <c r="AG461" s="9" t="s">
        <v>2535</v>
      </c>
      <c r="AH461" s="9" t="s">
        <v>280</v>
      </c>
      <c r="AI461" s="38">
        <v>259</v>
      </c>
      <c r="AJ461" s="38" t="s">
        <v>98</v>
      </c>
      <c r="AK461" s="13">
        <v>35193</v>
      </c>
      <c r="AL461" s="38" t="s">
        <v>98</v>
      </c>
      <c r="AM461" s="38" t="s">
        <v>292</v>
      </c>
      <c r="AN461" s="8" t="s">
        <v>276</v>
      </c>
      <c r="AO461" s="66">
        <f t="shared" si="149"/>
        <v>0.73594180660926889</v>
      </c>
      <c r="AP461" s="8" t="s">
        <v>276</v>
      </c>
      <c r="AQ461" s="8" t="s">
        <v>276</v>
      </c>
      <c r="AR461" s="8" t="s">
        <v>98</v>
      </c>
      <c r="AS461" s="8" t="s">
        <v>98</v>
      </c>
      <c r="AT461" s="8" t="s">
        <v>98</v>
      </c>
      <c r="AU461" s="8" t="s">
        <v>98</v>
      </c>
      <c r="AV461" s="8" t="s">
        <v>98</v>
      </c>
      <c r="AW461" s="8" t="s">
        <v>98</v>
      </c>
      <c r="AX461" s="8" t="s">
        <v>98</v>
      </c>
      <c r="AY461" s="8" t="s">
        <v>98</v>
      </c>
      <c r="AZ461" s="8" t="s">
        <v>98</v>
      </c>
      <c r="BA461" s="8" t="s">
        <v>98</v>
      </c>
      <c r="BB461" s="8" t="s">
        <v>98</v>
      </c>
      <c r="BC461" s="8" t="s">
        <v>98</v>
      </c>
      <c r="BD461" s="8" t="s">
        <v>98</v>
      </c>
      <c r="BE461" s="8" t="s">
        <v>98</v>
      </c>
      <c r="BF461" s="9" t="s">
        <v>2518</v>
      </c>
      <c r="BG461" s="9"/>
      <c r="BH461" s="9" t="s">
        <v>100</v>
      </c>
      <c r="BI461" s="9" t="s">
        <v>100</v>
      </c>
      <c r="BJ461" s="32"/>
      <c r="BK461" s="32"/>
      <c r="BO461" s="32"/>
      <c r="BP461" s="32"/>
    </row>
    <row r="462" spans="1:68" s="33" customFormat="1" ht="78" hidden="1" x14ac:dyDescent="0.35">
      <c r="A462" s="8">
        <v>5969</v>
      </c>
      <c r="B462" s="8" t="s">
        <v>2508</v>
      </c>
      <c r="C462" s="9" t="s">
        <v>2484</v>
      </c>
      <c r="D462" s="9" t="s">
        <v>2536</v>
      </c>
      <c r="E462" s="8" t="s">
        <v>37</v>
      </c>
      <c r="F462" s="9" t="s">
        <v>129</v>
      </c>
      <c r="G462" s="8" t="s">
        <v>225</v>
      </c>
      <c r="H462" s="8" t="s">
        <v>225</v>
      </c>
      <c r="I462" s="8" t="s">
        <v>98</v>
      </c>
      <c r="J462" s="9" t="s">
        <v>98</v>
      </c>
      <c r="K462" s="8" t="s">
        <v>98</v>
      </c>
      <c r="L462" s="8" t="s">
        <v>98</v>
      </c>
      <c r="M462" s="8" t="s">
        <v>98</v>
      </c>
      <c r="N462" s="8" t="s">
        <v>276</v>
      </c>
      <c r="O462" s="9" t="s">
        <v>276</v>
      </c>
      <c r="P462" s="9" t="s">
        <v>236</v>
      </c>
      <c r="Q462" s="51" t="s">
        <v>2510</v>
      </c>
      <c r="R462" s="9" t="s">
        <v>276</v>
      </c>
      <c r="S462" s="9" t="s">
        <v>276</v>
      </c>
      <c r="T462" s="9" t="s">
        <v>276</v>
      </c>
      <c r="U462" s="9">
        <v>1</v>
      </c>
      <c r="V462" s="8" t="s">
        <v>14</v>
      </c>
      <c r="W462" s="8" t="s">
        <v>98</v>
      </c>
      <c r="X462" s="9" t="s">
        <v>209</v>
      </c>
      <c r="Y462" s="13" t="s">
        <v>98</v>
      </c>
      <c r="Z462" s="9" t="s">
        <v>98</v>
      </c>
      <c r="AA462" s="9" t="s">
        <v>276</v>
      </c>
      <c r="AB462" s="9" t="s">
        <v>276</v>
      </c>
      <c r="AC462" s="8">
        <v>0</v>
      </c>
      <c r="AD462" s="8" t="s">
        <v>98</v>
      </c>
      <c r="AE462" s="8">
        <v>0</v>
      </c>
      <c r="AF462" s="8" t="s">
        <v>98</v>
      </c>
      <c r="AG462" s="9" t="s">
        <v>2537</v>
      </c>
      <c r="AH462" s="9" t="s">
        <v>2525</v>
      </c>
      <c r="AI462" s="38">
        <v>259</v>
      </c>
      <c r="AJ462" s="38" t="s">
        <v>98</v>
      </c>
      <c r="AK462" s="13">
        <v>259</v>
      </c>
      <c r="AL462" s="38" t="s">
        <v>98</v>
      </c>
      <c r="AM462" s="38" t="s">
        <v>292</v>
      </c>
      <c r="AN462" s="8" t="s">
        <v>276</v>
      </c>
      <c r="AO462" s="14">
        <f t="shared" si="149"/>
        <v>100</v>
      </c>
      <c r="AP462" s="8" t="s">
        <v>276</v>
      </c>
      <c r="AQ462" s="8" t="s">
        <v>276</v>
      </c>
      <c r="AR462" s="8" t="s">
        <v>98</v>
      </c>
      <c r="AS462" s="8" t="s">
        <v>98</v>
      </c>
      <c r="AT462" s="8" t="s">
        <v>98</v>
      </c>
      <c r="AU462" s="8" t="s">
        <v>98</v>
      </c>
      <c r="AV462" s="8" t="s">
        <v>98</v>
      </c>
      <c r="AW462" s="8" t="s">
        <v>98</v>
      </c>
      <c r="AX462" s="8" t="s">
        <v>98</v>
      </c>
      <c r="AY462" s="8" t="s">
        <v>98</v>
      </c>
      <c r="AZ462" s="8" t="s">
        <v>98</v>
      </c>
      <c r="BA462" s="8" t="s">
        <v>98</v>
      </c>
      <c r="BB462" s="8" t="s">
        <v>98</v>
      </c>
      <c r="BC462" s="8" t="s">
        <v>98</v>
      </c>
      <c r="BD462" s="8" t="s">
        <v>98</v>
      </c>
      <c r="BE462" s="8" t="s">
        <v>98</v>
      </c>
      <c r="BF462" s="9" t="s">
        <v>2518</v>
      </c>
      <c r="BG462" s="9"/>
      <c r="BH462" s="9" t="s">
        <v>100</v>
      </c>
      <c r="BI462" s="9" t="s">
        <v>100</v>
      </c>
      <c r="BJ462" s="32"/>
      <c r="BK462" s="32"/>
      <c r="BO462" s="32"/>
      <c r="BP462" s="32"/>
    </row>
    <row r="463" spans="1:68" s="33" customFormat="1" ht="65" hidden="1" x14ac:dyDescent="0.35">
      <c r="A463" s="8">
        <v>5969</v>
      </c>
      <c r="B463" s="8" t="s">
        <v>2508</v>
      </c>
      <c r="C463" s="9" t="s">
        <v>2484</v>
      </c>
      <c r="D463" s="9" t="s">
        <v>2538</v>
      </c>
      <c r="E463" s="8" t="s">
        <v>37</v>
      </c>
      <c r="F463" s="8" t="s">
        <v>2502</v>
      </c>
      <c r="G463" s="8" t="s">
        <v>225</v>
      </c>
      <c r="H463" s="8" t="s">
        <v>225</v>
      </c>
      <c r="I463" s="8" t="s">
        <v>98</v>
      </c>
      <c r="J463" s="9" t="s">
        <v>98</v>
      </c>
      <c r="K463" s="8" t="s">
        <v>98</v>
      </c>
      <c r="L463" s="8" t="s">
        <v>98</v>
      </c>
      <c r="M463" s="8" t="s">
        <v>98</v>
      </c>
      <c r="N463" s="8" t="s">
        <v>276</v>
      </c>
      <c r="O463" s="9" t="s">
        <v>276</v>
      </c>
      <c r="P463" s="9" t="s">
        <v>238</v>
      </c>
      <c r="Q463" s="51" t="s">
        <v>2510</v>
      </c>
      <c r="R463" s="9" t="s">
        <v>276</v>
      </c>
      <c r="S463" s="9" t="s">
        <v>276</v>
      </c>
      <c r="T463" s="9" t="s">
        <v>276</v>
      </c>
      <c r="U463" s="9">
        <v>1</v>
      </c>
      <c r="V463" s="8" t="s">
        <v>14</v>
      </c>
      <c r="W463" s="8" t="s">
        <v>98</v>
      </c>
      <c r="X463" s="9" t="s">
        <v>209</v>
      </c>
      <c r="Y463" s="13">
        <v>36938</v>
      </c>
      <c r="Z463" s="9" t="s">
        <v>98</v>
      </c>
      <c r="AA463" s="9" t="s">
        <v>276</v>
      </c>
      <c r="AB463" s="9" t="s">
        <v>276</v>
      </c>
      <c r="AC463" s="8">
        <v>0</v>
      </c>
      <c r="AD463" s="8" t="s">
        <v>98</v>
      </c>
      <c r="AE463" s="8">
        <v>0</v>
      </c>
      <c r="AF463" s="8" t="s">
        <v>98</v>
      </c>
      <c r="AG463" s="9" t="s">
        <v>2511</v>
      </c>
      <c r="AH463" s="9" t="s">
        <v>280</v>
      </c>
      <c r="AI463" s="38">
        <v>63</v>
      </c>
      <c r="AJ463" s="38" t="s">
        <v>98</v>
      </c>
      <c r="AK463" s="13">
        <v>36938</v>
      </c>
      <c r="AL463" s="38" t="s">
        <v>98</v>
      </c>
      <c r="AM463" s="38" t="s">
        <v>292</v>
      </c>
      <c r="AN463" s="8" t="s">
        <v>276</v>
      </c>
      <c r="AO463" s="66">
        <f t="shared" si="149"/>
        <v>0.17055606692295197</v>
      </c>
      <c r="AP463" s="8" t="s">
        <v>276</v>
      </c>
      <c r="AQ463" s="8" t="s">
        <v>276</v>
      </c>
      <c r="AR463" s="8" t="s">
        <v>98</v>
      </c>
      <c r="AS463" s="8" t="s">
        <v>98</v>
      </c>
      <c r="AT463" s="8" t="s">
        <v>98</v>
      </c>
      <c r="AU463" s="8" t="s">
        <v>98</v>
      </c>
      <c r="AV463" s="8" t="s">
        <v>98</v>
      </c>
      <c r="AW463" s="8" t="s">
        <v>98</v>
      </c>
      <c r="AX463" s="8" t="s">
        <v>98</v>
      </c>
      <c r="AY463" s="8" t="s">
        <v>98</v>
      </c>
      <c r="AZ463" s="8" t="s">
        <v>98</v>
      </c>
      <c r="BA463" s="8" t="s">
        <v>98</v>
      </c>
      <c r="BB463" s="8" t="s">
        <v>98</v>
      </c>
      <c r="BC463" s="8" t="s">
        <v>98</v>
      </c>
      <c r="BD463" s="8" t="s">
        <v>98</v>
      </c>
      <c r="BE463" s="8" t="s">
        <v>98</v>
      </c>
      <c r="BF463" s="9" t="s">
        <v>2539</v>
      </c>
      <c r="BG463" s="9"/>
      <c r="BH463" s="9" t="s">
        <v>100</v>
      </c>
      <c r="BI463" s="9" t="s">
        <v>100</v>
      </c>
      <c r="BJ463" s="32"/>
      <c r="BK463" s="32"/>
      <c r="BO463" s="32"/>
      <c r="BP463" s="32"/>
    </row>
    <row r="464" spans="1:68" s="33" customFormat="1" ht="52" hidden="1" x14ac:dyDescent="0.35">
      <c r="A464" s="8">
        <v>5969</v>
      </c>
      <c r="B464" s="8" t="s">
        <v>2508</v>
      </c>
      <c r="C464" s="9" t="s">
        <v>2484</v>
      </c>
      <c r="D464" s="9" t="s">
        <v>2540</v>
      </c>
      <c r="E464" s="8" t="s">
        <v>37</v>
      </c>
      <c r="F464" s="8" t="s">
        <v>2502</v>
      </c>
      <c r="G464" s="8" t="s">
        <v>225</v>
      </c>
      <c r="H464" s="8" t="s">
        <v>225</v>
      </c>
      <c r="I464" s="8" t="s">
        <v>98</v>
      </c>
      <c r="J464" s="9" t="s">
        <v>98</v>
      </c>
      <c r="K464" s="8" t="s">
        <v>98</v>
      </c>
      <c r="L464" s="8" t="s">
        <v>98</v>
      </c>
      <c r="M464" s="8" t="s">
        <v>98</v>
      </c>
      <c r="N464" s="8" t="s">
        <v>276</v>
      </c>
      <c r="O464" s="9" t="s">
        <v>276</v>
      </c>
      <c r="P464" s="9" t="s">
        <v>236</v>
      </c>
      <c r="Q464" s="51" t="s">
        <v>2510</v>
      </c>
      <c r="R464" s="9" t="s">
        <v>276</v>
      </c>
      <c r="S464" s="9" t="s">
        <v>276</v>
      </c>
      <c r="T464" s="9" t="s">
        <v>276</v>
      </c>
      <c r="U464" s="9">
        <v>1</v>
      </c>
      <c r="V464" s="8" t="s">
        <v>14</v>
      </c>
      <c r="W464" s="8" t="s">
        <v>98</v>
      </c>
      <c r="X464" s="9" t="s">
        <v>209</v>
      </c>
      <c r="Y464" s="13" t="s">
        <v>98</v>
      </c>
      <c r="Z464" s="9" t="s">
        <v>98</v>
      </c>
      <c r="AA464" s="9" t="s">
        <v>276</v>
      </c>
      <c r="AB464" s="9" t="s">
        <v>276</v>
      </c>
      <c r="AC464" s="8">
        <v>0</v>
      </c>
      <c r="AD464" s="8" t="s">
        <v>98</v>
      </c>
      <c r="AE464" s="8">
        <v>0</v>
      </c>
      <c r="AF464" s="8" t="s">
        <v>98</v>
      </c>
      <c r="AG464" s="9" t="s">
        <v>2514</v>
      </c>
      <c r="AH464" s="9" t="s">
        <v>2515</v>
      </c>
      <c r="AI464" s="38">
        <v>63</v>
      </c>
      <c r="AJ464" s="38" t="s">
        <v>98</v>
      </c>
      <c r="AK464" s="13">
        <v>91</v>
      </c>
      <c r="AL464" s="38" t="s">
        <v>98</v>
      </c>
      <c r="AM464" s="38" t="s">
        <v>292</v>
      </c>
      <c r="AN464" s="8" t="s">
        <v>276</v>
      </c>
      <c r="AO464" s="14">
        <f t="shared" si="149"/>
        <v>69.230769230769226</v>
      </c>
      <c r="AP464" s="8" t="s">
        <v>276</v>
      </c>
      <c r="AQ464" s="8" t="s">
        <v>276</v>
      </c>
      <c r="AR464" s="8" t="s">
        <v>98</v>
      </c>
      <c r="AS464" s="8" t="s">
        <v>98</v>
      </c>
      <c r="AT464" s="8" t="s">
        <v>98</v>
      </c>
      <c r="AU464" s="8" t="s">
        <v>98</v>
      </c>
      <c r="AV464" s="8" t="s">
        <v>98</v>
      </c>
      <c r="AW464" s="8" t="s">
        <v>98</v>
      </c>
      <c r="AX464" s="8" t="s">
        <v>98</v>
      </c>
      <c r="AY464" s="8" t="s">
        <v>98</v>
      </c>
      <c r="AZ464" s="8" t="s">
        <v>98</v>
      </c>
      <c r="BA464" s="8" t="s">
        <v>98</v>
      </c>
      <c r="BB464" s="8" t="s">
        <v>98</v>
      </c>
      <c r="BC464" s="8" t="s">
        <v>98</v>
      </c>
      <c r="BD464" s="8" t="s">
        <v>98</v>
      </c>
      <c r="BE464" s="8" t="s">
        <v>98</v>
      </c>
      <c r="BF464" s="9" t="s">
        <v>2539</v>
      </c>
      <c r="BG464" s="9"/>
      <c r="BH464" s="9" t="s">
        <v>100</v>
      </c>
      <c r="BI464" s="9" t="s">
        <v>100</v>
      </c>
      <c r="BJ464" s="32"/>
      <c r="BK464" s="32"/>
      <c r="BO464" s="32"/>
      <c r="BP464" s="32"/>
    </row>
    <row r="465" spans="1:68" s="33" customFormat="1" ht="78" hidden="1" x14ac:dyDescent="0.35">
      <c r="A465" s="8">
        <v>5969</v>
      </c>
      <c r="B465" s="8" t="s">
        <v>2508</v>
      </c>
      <c r="C465" s="9" t="s">
        <v>2484</v>
      </c>
      <c r="D465" s="9" t="s">
        <v>2541</v>
      </c>
      <c r="E465" s="8" t="s">
        <v>37</v>
      </c>
      <c r="F465" s="8" t="s">
        <v>2502</v>
      </c>
      <c r="G465" s="8" t="s">
        <v>225</v>
      </c>
      <c r="H465" s="8" t="s">
        <v>225</v>
      </c>
      <c r="I465" s="8" t="s">
        <v>98</v>
      </c>
      <c r="J465" s="9" t="s">
        <v>98</v>
      </c>
      <c r="K465" s="8" t="s">
        <v>98</v>
      </c>
      <c r="L465" s="8" t="s">
        <v>98</v>
      </c>
      <c r="M465" s="8" t="s">
        <v>98</v>
      </c>
      <c r="N465" s="8" t="s">
        <v>276</v>
      </c>
      <c r="O465" s="9" t="s">
        <v>276</v>
      </c>
      <c r="P465" s="9" t="s">
        <v>238</v>
      </c>
      <c r="Q465" s="51" t="s">
        <v>2510</v>
      </c>
      <c r="R465" s="9" t="s">
        <v>276</v>
      </c>
      <c r="S465" s="9" t="s">
        <v>276</v>
      </c>
      <c r="T465" s="9" t="s">
        <v>276</v>
      </c>
      <c r="U465" s="9">
        <v>1</v>
      </c>
      <c r="V465" s="8" t="s">
        <v>14</v>
      </c>
      <c r="W465" s="8" t="s">
        <v>98</v>
      </c>
      <c r="X465" s="9" t="s">
        <v>209</v>
      </c>
      <c r="Y465" s="13">
        <v>36938</v>
      </c>
      <c r="Z465" s="9" t="s">
        <v>98</v>
      </c>
      <c r="AA465" s="9" t="s">
        <v>276</v>
      </c>
      <c r="AB465" s="9" t="s">
        <v>276</v>
      </c>
      <c r="AC465" s="8">
        <v>0</v>
      </c>
      <c r="AD465" s="8" t="s">
        <v>98</v>
      </c>
      <c r="AE465" s="8">
        <v>0</v>
      </c>
      <c r="AF465" s="8" t="s">
        <v>98</v>
      </c>
      <c r="AG465" s="9" t="s">
        <v>2531</v>
      </c>
      <c r="AH465" s="9" t="s">
        <v>280</v>
      </c>
      <c r="AI465" s="38">
        <v>306</v>
      </c>
      <c r="AJ465" s="38" t="s">
        <v>98</v>
      </c>
      <c r="AK465" s="13">
        <v>36938</v>
      </c>
      <c r="AL465" s="38" t="s">
        <v>98</v>
      </c>
      <c r="AM465" s="38" t="s">
        <v>292</v>
      </c>
      <c r="AN465" s="8" t="s">
        <v>276</v>
      </c>
      <c r="AO465" s="66">
        <f t="shared" si="149"/>
        <v>0.82841518219719534</v>
      </c>
      <c r="AP465" s="8" t="s">
        <v>276</v>
      </c>
      <c r="AQ465" s="8" t="s">
        <v>276</v>
      </c>
      <c r="AR465" s="8" t="s">
        <v>98</v>
      </c>
      <c r="AS465" s="8" t="s">
        <v>98</v>
      </c>
      <c r="AT465" s="8" t="s">
        <v>98</v>
      </c>
      <c r="AU465" s="8" t="s">
        <v>98</v>
      </c>
      <c r="AV465" s="8" t="s">
        <v>98</v>
      </c>
      <c r="AW465" s="8" t="s">
        <v>98</v>
      </c>
      <c r="AX465" s="8" t="s">
        <v>98</v>
      </c>
      <c r="AY465" s="8" t="s">
        <v>98</v>
      </c>
      <c r="AZ465" s="8" t="s">
        <v>98</v>
      </c>
      <c r="BA465" s="8" t="s">
        <v>98</v>
      </c>
      <c r="BB465" s="8" t="s">
        <v>98</v>
      </c>
      <c r="BC465" s="8" t="s">
        <v>98</v>
      </c>
      <c r="BD465" s="8" t="s">
        <v>98</v>
      </c>
      <c r="BE465" s="8" t="s">
        <v>98</v>
      </c>
      <c r="BF465" s="9" t="s">
        <v>2518</v>
      </c>
      <c r="BG465" s="9"/>
      <c r="BH465" s="9" t="s">
        <v>100</v>
      </c>
      <c r="BI465" s="9" t="s">
        <v>100</v>
      </c>
      <c r="BJ465" s="32"/>
      <c r="BK465" s="32"/>
      <c r="BO465" s="32"/>
      <c r="BP465" s="32"/>
    </row>
    <row r="466" spans="1:68" s="33" customFormat="1" ht="78" hidden="1" x14ac:dyDescent="0.35">
      <c r="A466" s="8">
        <v>5969</v>
      </c>
      <c r="B466" s="8" t="s">
        <v>2508</v>
      </c>
      <c r="C466" s="9" t="s">
        <v>2484</v>
      </c>
      <c r="D466" s="9" t="s">
        <v>2542</v>
      </c>
      <c r="E466" s="8" t="s">
        <v>37</v>
      </c>
      <c r="F466" s="8" t="s">
        <v>2502</v>
      </c>
      <c r="G466" s="8" t="s">
        <v>225</v>
      </c>
      <c r="H466" s="8" t="s">
        <v>225</v>
      </c>
      <c r="I466" s="8" t="s">
        <v>98</v>
      </c>
      <c r="J466" s="9" t="s">
        <v>98</v>
      </c>
      <c r="K466" s="8" t="s">
        <v>98</v>
      </c>
      <c r="L466" s="8" t="s">
        <v>98</v>
      </c>
      <c r="M466" s="8" t="s">
        <v>98</v>
      </c>
      <c r="N466" s="8" t="s">
        <v>276</v>
      </c>
      <c r="O466" s="9" t="s">
        <v>276</v>
      </c>
      <c r="P466" s="9" t="s">
        <v>236</v>
      </c>
      <c r="Q466" s="51" t="s">
        <v>2510</v>
      </c>
      <c r="R466" s="9" t="s">
        <v>276</v>
      </c>
      <c r="S466" s="9" t="s">
        <v>276</v>
      </c>
      <c r="T466" s="9" t="s">
        <v>276</v>
      </c>
      <c r="U466" s="9">
        <v>1</v>
      </c>
      <c r="V466" s="8" t="s">
        <v>14</v>
      </c>
      <c r="W466" s="8" t="s">
        <v>98</v>
      </c>
      <c r="X466" s="9" t="s">
        <v>209</v>
      </c>
      <c r="Y466" s="13" t="s">
        <v>98</v>
      </c>
      <c r="Z466" s="9" t="s">
        <v>98</v>
      </c>
      <c r="AA466" s="9" t="s">
        <v>276</v>
      </c>
      <c r="AB466" s="9" t="s">
        <v>276</v>
      </c>
      <c r="AC466" s="8">
        <v>0</v>
      </c>
      <c r="AD466" s="8" t="s">
        <v>98</v>
      </c>
      <c r="AE466" s="8">
        <v>0</v>
      </c>
      <c r="AF466" s="8" t="s">
        <v>98</v>
      </c>
      <c r="AG466" s="9" t="s">
        <v>2543</v>
      </c>
      <c r="AH466" s="9" t="s">
        <v>2544</v>
      </c>
      <c r="AI466" s="38">
        <v>306</v>
      </c>
      <c r="AJ466" s="38" t="s">
        <v>98</v>
      </c>
      <c r="AK466" s="13">
        <f>306+28</f>
        <v>334</v>
      </c>
      <c r="AL466" s="38" t="s">
        <v>98</v>
      </c>
      <c r="AM466" s="38" t="s">
        <v>292</v>
      </c>
      <c r="AN466" s="8" t="s">
        <v>276</v>
      </c>
      <c r="AO466" s="14">
        <f t="shared" si="149"/>
        <v>91.616766467065872</v>
      </c>
      <c r="AP466" s="8" t="s">
        <v>276</v>
      </c>
      <c r="AQ466" s="8" t="s">
        <v>276</v>
      </c>
      <c r="AR466" s="8" t="s">
        <v>98</v>
      </c>
      <c r="AS466" s="8" t="s">
        <v>98</v>
      </c>
      <c r="AT466" s="8" t="s">
        <v>98</v>
      </c>
      <c r="AU466" s="8" t="s">
        <v>98</v>
      </c>
      <c r="AV466" s="8" t="s">
        <v>98</v>
      </c>
      <c r="AW466" s="8" t="s">
        <v>98</v>
      </c>
      <c r="AX466" s="8" t="s">
        <v>98</v>
      </c>
      <c r="AY466" s="8" t="s">
        <v>98</v>
      </c>
      <c r="AZ466" s="8" t="s">
        <v>98</v>
      </c>
      <c r="BA466" s="8" t="s">
        <v>98</v>
      </c>
      <c r="BB466" s="8" t="s">
        <v>98</v>
      </c>
      <c r="BC466" s="8" t="s">
        <v>98</v>
      </c>
      <c r="BD466" s="8" t="s">
        <v>98</v>
      </c>
      <c r="BE466" s="8" t="s">
        <v>98</v>
      </c>
      <c r="BF466" s="9" t="s">
        <v>2518</v>
      </c>
      <c r="BG466" s="9"/>
      <c r="BH466" s="9" t="s">
        <v>100</v>
      </c>
      <c r="BI466" s="9" t="s">
        <v>100</v>
      </c>
      <c r="BJ466" s="32"/>
      <c r="BK466" s="32"/>
      <c r="BO466" s="32"/>
      <c r="BP466" s="32"/>
    </row>
    <row r="467" spans="1:68" s="33" customFormat="1" ht="78" hidden="1" x14ac:dyDescent="0.35">
      <c r="A467" s="8">
        <v>5969</v>
      </c>
      <c r="B467" s="8" t="s">
        <v>2508</v>
      </c>
      <c r="C467" s="9" t="s">
        <v>2484</v>
      </c>
      <c r="D467" s="9" t="s">
        <v>2545</v>
      </c>
      <c r="E467" s="8" t="s">
        <v>37</v>
      </c>
      <c r="F467" s="8" t="s">
        <v>2502</v>
      </c>
      <c r="G467" s="8" t="s">
        <v>225</v>
      </c>
      <c r="H467" s="8" t="s">
        <v>225</v>
      </c>
      <c r="I467" s="8" t="s">
        <v>98</v>
      </c>
      <c r="J467" s="9" t="s">
        <v>98</v>
      </c>
      <c r="K467" s="8" t="s">
        <v>98</v>
      </c>
      <c r="L467" s="8" t="s">
        <v>98</v>
      </c>
      <c r="M467" s="8" t="s">
        <v>98</v>
      </c>
      <c r="N467" s="8" t="s">
        <v>276</v>
      </c>
      <c r="O467" s="9" t="s">
        <v>276</v>
      </c>
      <c r="P467" s="9" t="s">
        <v>238</v>
      </c>
      <c r="Q467" s="51" t="s">
        <v>2510</v>
      </c>
      <c r="R467" s="9" t="s">
        <v>276</v>
      </c>
      <c r="S467" s="9" t="s">
        <v>276</v>
      </c>
      <c r="T467" s="9" t="s">
        <v>276</v>
      </c>
      <c r="U467" s="9">
        <v>1</v>
      </c>
      <c r="V467" s="8" t="s">
        <v>14</v>
      </c>
      <c r="W467" s="8" t="s">
        <v>98</v>
      </c>
      <c r="X467" s="9" t="s">
        <v>209</v>
      </c>
      <c r="Y467" s="13">
        <v>36938</v>
      </c>
      <c r="Z467" s="9" t="s">
        <v>98</v>
      </c>
      <c r="AA467" s="9" t="s">
        <v>276</v>
      </c>
      <c r="AB467" s="9" t="s">
        <v>276</v>
      </c>
      <c r="AC467" s="8">
        <v>0</v>
      </c>
      <c r="AD467" s="8" t="s">
        <v>98</v>
      </c>
      <c r="AE467" s="8">
        <v>0</v>
      </c>
      <c r="AF467" s="8" t="s">
        <v>98</v>
      </c>
      <c r="AG467" s="9" t="s">
        <v>2535</v>
      </c>
      <c r="AH467" s="9" t="s">
        <v>280</v>
      </c>
      <c r="AI467" s="38">
        <v>243</v>
      </c>
      <c r="AJ467" s="38" t="s">
        <v>98</v>
      </c>
      <c r="AK467" s="13">
        <v>36938</v>
      </c>
      <c r="AL467" s="38" t="s">
        <v>98</v>
      </c>
      <c r="AM467" s="38" t="s">
        <v>292</v>
      </c>
      <c r="AN467" s="8" t="s">
        <v>276</v>
      </c>
      <c r="AO467" s="66">
        <f t="shared" si="149"/>
        <v>0.65785911527424334</v>
      </c>
      <c r="AP467" s="8" t="s">
        <v>276</v>
      </c>
      <c r="AQ467" s="8" t="s">
        <v>276</v>
      </c>
      <c r="AR467" s="8" t="s">
        <v>98</v>
      </c>
      <c r="AS467" s="8" t="s">
        <v>98</v>
      </c>
      <c r="AT467" s="8" t="s">
        <v>98</v>
      </c>
      <c r="AU467" s="8" t="s">
        <v>98</v>
      </c>
      <c r="AV467" s="8" t="s">
        <v>98</v>
      </c>
      <c r="AW467" s="8" t="s">
        <v>98</v>
      </c>
      <c r="AX467" s="8" t="s">
        <v>98</v>
      </c>
      <c r="AY467" s="8" t="s">
        <v>98</v>
      </c>
      <c r="AZ467" s="8" t="s">
        <v>98</v>
      </c>
      <c r="BA467" s="8" t="s">
        <v>98</v>
      </c>
      <c r="BB467" s="8" t="s">
        <v>98</v>
      </c>
      <c r="BC467" s="8" t="s">
        <v>98</v>
      </c>
      <c r="BD467" s="8" t="s">
        <v>98</v>
      </c>
      <c r="BE467" s="8" t="s">
        <v>98</v>
      </c>
      <c r="BF467" s="9" t="s">
        <v>2518</v>
      </c>
      <c r="BG467" s="9"/>
      <c r="BH467" s="9" t="s">
        <v>100</v>
      </c>
      <c r="BI467" s="9" t="s">
        <v>100</v>
      </c>
      <c r="BJ467" s="32"/>
      <c r="BK467" s="32"/>
      <c r="BO467" s="32"/>
      <c r="BP467" s="32"/>
    </row>
    <row r="468" spans="1:68" s="33" customFormat="1" ht="78" hidden="1" x14ac:dyDescent="0.35">
      <c r="A468" s="8">
        <v>5969</v>
      </c>
      <c r="B468" s="8" t="s">
        <v>2508</v>
      </c>
      <c r="C468" s="9" t="s">
        <v>2484</v>
      </c>
      <c r="D468" s="9" t="s">
        <v>2546</v>
      </c>
      <c r="E468" s="8" t="s">
        <v>37</v>
      </c>
      <c r="F468" s="8" t="s">
        <v>2502</v>
      </c>
      <c r="G468" s="8" t="s">
        <v>225</v>
      </c>
      <c r="H468" s="8" t="s">
        <v>225</v>
      </c>
      <c r="I468" s="8" t="s">
        <v>98</v>
      </c>
      <c r="J468" s="9" t="s">
        <v>98</v>
      </c>
      <c r="K468" s="8" t="s">
        <v>98</v>
      </c>
      <c r="L468" s="8" t="s">
        <v>98</v>
      </c>
      <c r="M468" s="8" t="s">
        <v>98</v>
      </c>
      <c r="N468" s="8" t="s">
        <v>276</v>
      </c>
      <c r="O468" s="9" t="s">
        <v>276</v>
      </c>
      <c r="P468" s="9" t="s">
        <v>236</v>
      </c>
      <c r="Q468" s="51" t="s">
        <v>2510</v>
      </c>
      <c r="R468" s="9" t="s">
        <v>276</v>
      </c>
      <c r="S468" s="9" t="s">
        <v>276</v>
      </c>
      <c r="T468" s="9" t="s">
        <v>276</v>
      </c>
      <c r="U468" s="9">
        <v>1</v>
      </c>
      <c r="V468" s="8" t="s">
        <v>14</v>
      </c>
      <c r="W468" s="8" t="s">
        <v>98</v>
      </c>
      <c r="X468" s="9" t="s">
        <v>209</v>
      </c>
      <c r="Y468" s="13" t="s">
        <v>98</v>
      </c>
      <c r="Z468" s="9" t="s">
        <v>98</v>
      </c>
      <c r="AA468" s="9" t="s">
        <v>276</v>
      </c>
      <c r="AB468" s="9" t="s">
        <v>276</v>
      </c>
      <c r="AC468" s="8">
        <v>0</v>
      </c>
      <c r="AD468" s="8" t="s">
        <v>98</v>
      </c>
      <c r="AE468" s="8">
        <v>0</v>
      </c>
      <c r="AF468" s="8" t="s">
        <v>98</v>
      </c>
      <c r="AG468" s="9" t="s">
        <v>2524</v>
      </c>
      <c r="AH468" s="9" t="s">
        <v>2547</v>
      </c>
      <c r="AI468" s="38">
        <v>243</v>
      </c>
      <c r="AJ468" s="38" t="s">
        <v>98</v>
      </c>
      <c r="AK468" s="13">
        <v>243</v>
      </c>
      <c r="AL468" s="38" t="s">
        <v>98</v>
      </c>
      <c r="AM468" s="38" t="s">
        <v>292</v>
      </c>
      <c r="AN468" s="8" t="s">
        <v>276</v>
      </c>
      <c r="AO468" s="14">
        <f t="shared" si="149"/>
        <v>100</v>
      </c>
      <c r="AP468" s="8" t="s">
        <v>276</v>
      </c>
      <c r="AQ468" s="8" t="s">
        <v>276</v>
      </c>
      <c r="AR468" s="8" t="s">
        <v>98</v>
      </c>
      <c r="AS468" s="8" t="s">
        <v>98</v>
      </c>
      <c r="AT468" s="8" t="s">
        <v>98</v>
      </c>
      <c r="AU468" s="8" t="s">
        <v>98</v>
      </c>
      <c r="AV468" s="8" t="s">
        <v>98</v>
      </c>
      <c r="AW468" s="8" t="s">
        <v>98</v>
      </c>
      <c r="AX468" s="8" t="s">
        <v>98</v>
      </c>
      <c r="AY468" s="8" t="s">
        <v>98</v>
      </c>
      <c r="AZ468" s="8" t="s">
        <v>98</v>
      </c>
      <c r="BA468" s="8" t="s">
        <v>98</v>
      </c>
      <c r="BB468" s="8" t="s">
        <v>98</v>
      </c>
      <c r="BC468" s="8" t="s">
        <v>98</v>
      </c>
      <c r="BD468" s="8" t="s">
        <v>98</v>
      </c>
      <c r="BE468" s="8" t="s">
        <v>98</v>
      </c>
      <c r="BF468" s="9" t="s">
        <v>2518</v>
      </c>
      <c r="BG468" s="9"/>
      <c r="BH468" s="9" t="s">
        <v>100</v>
      </c>
      <c r="BI468" s="9" t="s">
        <v>100</v>
      </c>
      <c r="BJ468" s="32"/>
      <c r="BK468" s="32"/>
      <c r="BO468" s="32"/>
      <c r="BP468" s="32"/>
    </row>
    <row r="469" spans="1:68" s="33" customFormat="1" ht="78" hidden="1" x14ac:dyDescent="0.35">
      <c r="A469" s="8">
        <v>5969</v>
      </c>
      <c r="B469" s="8" t="s">
        <v>2508</v>
      </c>
      <c r="C469" s="9" t="s">
        <v>2484</v>
      </c>
      <c r="D469" s="9" t="s">
        <v>2548</v>
      </c>
      <c r="E469" s="8" t="s">
        <v>37</v>
      </c>
      <c r="F469" s="9" t="s">
        <v>136</v>
      </c>
      <c r="G469" s="8" t="s">
        <v>225</v>
      </c>
      <c r="H469" s="8" t="s">
        <v>125</v>
      </c>
      <c r="I469" s="8" t="s">
        <v>114</v>
      </c>
      <c r="J469" s="9" t="s">
        <v>32</v>
      </c>
      <c r="K469" s="8" t="s">
        <v>2345</v>
      </c>
      <c r="L469" s="8" t="s">
        <v>276</v>
      </c>
      <c r="M469" s="8" t="s">
        <v>276</v>
      </c>
      <c r="N469" s="8" t="s">
        <v>276</v>
      </c>
      <c r="O469" s="9" t="s">
        <v>276</v>
      </c>
      <c r="P469" s="9" t="s">
        <v>239</v>
      </c>
      <c r="Q469" s="51" t="s">
        <v>2510</v>
      </c>
      <c r="R469" s="9" t="s">
        <v>276</v>
      </c>
      <c r="S469" s="9" t="s">
        <v>276</v>
      </c>
      <c r="T469" s="9" t="s">
        <v>276</v>
      </c>
      <c r="U469" s="9">
        <v>1</v>
      </c>
      <c r="V469" s="8" t="s">
        <v>14</v>
      </c>
      <c r="W469" s="8" t="s">
        <v>98</v>
      </c>
      <c r="X469" s="9" t="s">
        <v>207</v>
      </c>
      <c r="Y469" s="13">
        <v>36874</v>
      </c>
      <c r="Z469" s="38">
        <v>33696</v>
      </c>
      <c r="AA469" s="9" t="s">
        <v>276</v>
      </c>
      <c r="AB469" s="9" t="s">
        <v>276</v>
      </c>
      <c r="AC469" s="8">
        <v>0</v>
      </c>
      <c r="AD469" s="8" t="s">
        <v>98</v>
      </c>
      <c r="AE469" s="8">
        <v>0</v>
      </c>
      <c r="AF469" s="8" t="s">
        <v>98</v>
      </c>
      <c r="AG469" s="9" t="s">
        <v>2549</v>
      </c>
      <c r="AH469" s="9" t="s">
        <v>280</v>
      </c>
      <c r="AI469" s="38">
        <v>112</v>
      </c>
      <c r="AJ469" s="38">
        <v>61</v>
      </c>
      <c r="AK469" s="13">
        <v>36874</v>
      </c>
      <c r="AL469" s="38">
        <v>33696</v>
      </c>
      <c r="AM469" s="38" t="s">
        <v>292</v>
      </c>
      <c r="AN469" s="8">
        <v>0.3</v>
      </c>
      <c r="AO469" s="14">
        <f t="shared" si="149"/>
        <v>0.30373705049628463</v>
      </c>
      <c r="AP469" s="43" t="s">
        <v>276</v>
      </c>
      <c r="AQ469" s="43" t="s">
        <v>276</v>
      </c>
      <c r="AR469" s="8" t="s">
        <v>276</v>
      </c>
      <c r="AS469" s="14">
        <f t="shared" ref="AS469:AS477" si="150">AJ469*100/AL469</f>
        <v>0.1810303893637227</v>
      </c>
      <c r="AT469" s="8" t="s">
        <v>276</v>
      </c>
      <c r="AU469" s="8" t="s">
        <v>276</v>
      </c>
      <c r="AV469" s="8" t="s">
        <v>268</v>
      </c>
      <c r="AW469" s="8" t="s">
        <v>276</v>
      </c>
      <c r="AX469" s="14">
        <f t="shared" ref="AX469:AX477" si="151">AO469/AS469</f>
        <v>1.6778235497578371</v>
      </c>
      <c r="AY469" s="8" t="s">
        <v>276</v>
      </c>
      <c r="AZ469" s="8" t="s">
        <v>276</v>
      </c>
      <c r="BA469" s="8" t="s">
        <v>276</v>
      </c>
      <c r="BB469" s="8" t="s">
        <v>282</v>
      </c>
      <c r="BC469" s="8" t="s">
        <v>276</v>
      </c>
      <c r="BD469" s="8" t="s">
        <v>276</v>
      </c>
      <c r="BE469" s="8" t="s">
        <v>276</v>
      </c>
      <c r="BF469" s="9" t="s">
        <v>2550</v>
      </c>
      <c r="BG469" s="9" t="s">
        <v>2551</v>
      </c>
      <c r="BH469" s="9" t="s">
        <v>100</v>
      </c>
      <c r="BI469" s="9" t="s">
        <v>100</v>
      </c>
      <c r="BJ469" s="32"/>
      <c r="BK469" s="32"/>
      <c r="BO469" s="32"/>
      <c r="BP469" s="32"/>
    </row>
    <row r="470" spans="1:68" s="33" customFormat="1" ht="78" hidden="1" x14ac:dyDescent="0.35">
      <c r="A470" s="8">
        <v>5969</v>
      </c>
      <c r="B470" s="8" t="s">
        <v>2508</v>
      </c>
      <c r="C470" s="9" t="s">
        <v>2484</v>
      </c>
      <c r="D470" s="9" t="s">
        <v>2552</v>
      </c>
      <c r="E470" s="8" t="s">
        <v>37</v>
      </c>
      <c r="F470" s="9" t="s">
        <v>129</v>
      </c>
      <c r="G470" s="8" t="s">
        <v>225</v>
      </c>
      <c r="H470" s="8" t="s">
        <v>125</v>
      </c>
      <c r="I470" s="8" t="s">
        <v>114</v>
      </c>
      <c r="J470" s="9" t="s">
        <v>32</v>
      </c>
      <c r="K470" s="8" t="s">
        <v>2345</v>
      </c>
      <c r="L470" s="8" t="s">
        <v>276</v>
      </c>
      <c r="M470" s="8" t="s">
        <v>276</v>
      </c>
      <c r="N470" s="8" t="s">
        <v>276</v>
      </c>
      <c r="O470" s="9" t="s">
        <v>276</v>
      </c>
      <c r="P470" s="9" t="s">
        <v>239</v>
      </c>
      <c r="Q470" s="51" t="s">
        <v>2510</v>
      </c>
      <c r="R470" s="9" t="s">
        <v>276</v>
      </c>
      <c r="S470" s="9" t="s">
        <v>276</v>
      </c>
      <c r="T470" s="9" t="s">
        <v>276</v>
      </c>
      <c r="U470" s="9">
        <v>1</v>
      </c>
      <c r="V470" s="8" t="s">
        <v>14</v>
      </c>
      <c r="W470" s="8" t="s">
        <v>98</v>
      </c>
      <c r="X470" s="9" t="s">
        <v>207</v>
      </c>
      <c r="Y470" s="13">
        <v>35193</v>
      </c>
      <c r="Z470" s="38">
        <v>33696</v>
      </c>
      <c r="AA470" s="9" t="s">
        <v>276</v>
      </c>
      <c r="AB470" s="9" t="s">
        <v>276</v>
      </c>
      <c r="AC470" s="8">
        <v>0</v>
      </c>
      <c r="AD470" s="8" t="s">
        <v>98</v>
      </c>
      <c r="AE470" s="8">
        <v>0</v>
      </c>
      <c r="AF470" s="8" t="s">
        <v>98</v>
      </c>
      <c r="AG470" s="9" t="s">
        <v>2549</v>
      </c>
      <c r="AH470" s="9" t="s">
        <v>280</v>
      </c>
      <c r="AI470" s="38">
        <v>123</v>
      </c>
      <c r="AJ470" s="38">
        <v>61</v>
      </c>
      <c r="AK470" s="13">
        <v>35193</v>
      </c>
      <c r="AL470" s="38">
        <v>33696</v>
      </c>
      <c r="AM470" s="38" t="s">
        <v>292</v>
      </c>
      <c r="AN470" s="8">
        <v>0.3</v>
      </c>
      <c r="AO470" s="14">
        <f t="shared" si="149"/>
        <v>0.34950132128548289</v>
      </c>
      <c r="AP470" s="43" t="s">
        <v>276</v>
      </c>
      <c r="AQ470" s="43" t="s">
        <v>276</v>
      </c>
      <c r="AR470" s="8" t="s">
        <v>276</v>
      </c>
      <c r="AS470" s="14">
        <f t="shared" si="150"/>
        <v>0.1810303893637227</v>
      </c>
      <c r="AT470" s="8" t="s">
        <v>276</v>
      </c>
      <c r="AU470" s="8" t="s">
        <v>276</v>
      </c>
      <c r="AV470" s="8" t="s">
        <v>268</v>
      </c>
      <c r="AW470" s="8" t="s">
        <v>276</v>
      </c>
      <c r="AX470" s="14">
        <f t="shared" si="151"/>
        <v>1.9306223806615788</v>
      </c>
      <c r="AY470" s="8" t="s">
        <v>276</v>
      </c>
      <c r="AZ470" s="8" t="s">
        <v>276</v>
      </c>
      <c r="BA470" s="8" t="s">
        <v>276</v>
      </c>
      <c r="BB470" s="8" t="s">
        <v>282</v>
      </c>
      <c r="BC470" s="8" t="s">
        <v>276</v>
      </c>
      <c r="BD470" s="8" t="s">
        <v>276</v>
      </c>
      <c r="BE470" s="8" t="s">
        <v>276</v>
      </c>
      <c r="BF470" s="9" t="s">
        <v>2550</v>
      </c>
      <c r="BG470" s="9" t="s">
        <v>2551</v>
      </c>
      <c r="BH470" s="9" t="s">
        <v>100</v>
      </c>
      <c r="BI470" s="9" t="s">
        <v>100</v>
      </c>
      <c r="BJ470" s="32"/>
      <c r="BK470" s="32"/>
      <c r="BO470" s="32"/>
      <c r="BP470" s="32"/>
    </row>
    <row r="471" spans="1:68" s="33" customFormat="1" ht="78" hidden="1" x14ac:dyDescent="0.35">
      <c r="A471" s="8">
        <v>5969</v>
      </c>
      <c r="B471" s="8" t="s">
        <v>2508</v>
      </c>
      <c r="C471" s="9" t="s">
        <v>2484</v>
      </c>
      <c r="D471" s="9" t="s">
        <v>2553</v>
      </c>
      <c r="E471" s="8" t="s">
        <v>37</v>
      </c>
      <c r="F471" s="9" t="s">
        <v>2502</v>
      </c>
      <c r="G471" s="8" t="s">
        <v>225</v>
      </c>
      <c r="H471" s="8" t="s">
        <v>125</v>
      </c>
      <c r="I471" s="8" t="s">
        <v>114</v>
      </c>
      <c r="J471" s="9" t="s">
        <v>32</v>
      </c>
      <c r="K471" s="8" t="s">
        <v>2345</v>
      </c>
      <c r="L471" s="8" t="s">
        <v>276</v>
      </c>
      <c r="M471" s="8" t="s">
        <v>276</v>
      </c>
      <c r="N471" s="8" t="s">
        <v>276</v>
      </c>
      <c r="O471" s="9" t="s">
        <v>276</v>
      </c>
      <c r="P471" s="9" t="s">
        <v>239</v>
      </c>
      <c r="Q471" s="51" t="s">
        <v>2510</v>
      </c>
      <c r="R471" s="9" t="s">
        <v>276</v>
      </c>
      <c r="S471" s="9" t="s">
        <v>276</v>
      </c>
      <c r="T471" s="9" t="s">
        <v>276</v>
      </c>
      <c r="U471" s="9">
        <v>1</v>
      </c>
      <c r="V471" s="8" t="s">
        <v>14</v>
      </c>
      <c r="W471" s="8" t="s">
        <v>98</v>
      </c>
      <c r="X471" s="9" t="s">
        <v>207</v>
      </c>
      <c r="Y471" s="13">
        <v>36938</v>
      </c>
      <c r="Z471" s="38">
        <v>33696</v>
      </c>
      <c r="AA471" s="9" t="s">
        <v>276</v>
      </c>
      <c r="AB471" s="9" t="s">
        <v>276</v>
      </c>
      <c r="AC471" s="8">
        <v>0</v>
      </c>
      <c r="AD471" s="8" t="s">
        <v>98</v>
      </c>
      <c r="AE471" s="8">
        <v>0</v>
      </c>
      <c r="AF471" s="8" t="s">
        <v>98</v>
      </c>
      <c r="AG471" s="9" t="s">
        <v>2549</v>
      </c>
      <c r="AH471" s="9" t="s">
        <v>280</v>
      </c>
      <c r="AI471" s="38">
        <v>91</v>
      </c>
      <c r="AJ471" s="38">
        <v>61</v>
      </c>
      <c r="AK471" s="13">
        <v>36938</v>
      </c>
      <c r="AL471" s="38">
        <v>33696</v>
      </c>
      <c r="AM471" s="38" t="s">
        <v>292</v>
      </c>
      <c r="AN471" s="8">
        <v>0.2</v>
      </c>
      <c r="AO471" s="14">
        <f t="shared" si="149"/>
        <v>0.24635876333315285</v>
      </c>
      <c r="AP471" s="43" t="s">
        <v>276</v>
      </c>
      <c r="AQ471" s="43" t="s">
        <v>276</v>
      </c>
      <c r="AR471" s="8" t="s">
        <v>276</v>
      </c>
      <c r="AS471" s="14">
        <f t="shared" si="150"/>
        <v>0.1810303893637227</v>
      </c>
      <c r="AT471" s="8" t="s">
        <v>276</v>
      </c>
      <c r="AU471" s="8" t="s">
        <v>276</v>
      </c>
      <c r="AV471" s="8" t="s">
        <v>268</v>
      </c>
      <c r="AW471" s="8" t="s">
        <v>276</v>
      </c>
      <c r="AX471" s="14">
        <f t="shared" si="151"/>
        <v>1.3608696539793308</v>
      </c>
      <c r="AY471" s="8" t="s">
        <v>276</v>
      </c>
      <c r="AZ471" s="8" t="s">
        <v>276</v>
      </c>
      <c r="BA471" s="8" t="s">
        <v>276</v>
      </c>
      <c r="BB471" s="8" t="s">
        <v>282</v>
      </c>
      <c r="BC471" s="8" t="s">
        <v>276</v>
      </c>
      <c r="BD471" s="8" t="s">
        <v>276</v>
      </c>
      <c r="BE471" s="8" t="s">
        <v>276</v>
      </c>
      <c r="BF471" s="9" t="s">
        <v>2550</v>
      </c>
      <c r="BG471" s="9" t="s">
        <v>2551</v>
      </c>
      <c r="BH471" s="9" t="s">
        <v>100</v>
      </c>
      <c r="BI471" s="9" t="s">
        <v>100</v>
      </c>
      <c r="BJ471" s="32"/>
      <c r="BK471" s="32"/>
      <c r="BO471" s="32"/>
      <c r="BP471" s="32"/>
    </row>
    <row r="472" spans="1:68" s="33" customFormat="1" ht="78" hidden="1" x14ac:dyDescent="0.35">
      <c r="A472" s="8">
        <v>5969</v>
      </c>
      <c r="B472" s="8" t="s">
        <v>2508</v>
      </c>
      <c r="C472" s="9" t="s">
        <v>2484</v>
      </c>
      <c r="D472" s="9" t="s">
        <v>2554</v>
      </c>
      <c r="E472" s="8" t="s">
        <v>37</v>
      </c>
      <c r="F472" s="9" t="s">
        <v>136</v>
      </c>
      <c r="G472" s="8" t="s">
        <v>129</v>
      </c>
      <c r="H472" s="8" t="s">
        <v>225</v>
      </c>
      <c r="I472" s="8" t="s">
        <v>98</v>
      </c>
      <c r="J472" s="9" t="s">
        <v>32</v>
      </c>
      <c r="K472" s="8" t="s">
        <v>2345</v>
      </c>
      <c r="L472" s="8" t="s">
        <v>276</v>
      </c>
      <c r="M472" s="8" t="s">
        <v>276</v>
      </c>
      <c r="N472" s="8" t="s">
        <v>276</v>
      </c>
      <c r="O472" s="9" t="s">
        <v>276</v>
      </c>
      <c r="P472" s="9" t="s">
        <v>239</v>
      </c>
      <c r="Q472" s="51" t="s">
        <v>2510</v>
      </c>
      <c r="R472" s="9" t="s">
        <v>276</v>
      </c>
      <c r="S472" s="9" t="s">
        <v>276</v>
      </c>
      <c r="T472" s="9" t="s">
        <v>276</v>
      </c>
      <c r="U472" s="9">
        <v>1</v>
      </c>
      <c r="V472" s="8" t="s">
        <v>14</v>
      </c>
      <c r="W472" s="8" t="s">
        <v>98</v>
      </c>
      <c r="X472" s="9" t="s">
        <v>208</v>
      </c>
      <c r="Y472" s="13">
        <v>36874</v>
      </c>
      <c r="Z472" s="13">
        <v>35193</v>
      </c>
      <c r="AA472" s="9" t="s">
        <v>276</v>
      </c>
      <c r="AB472" s="9" t="s">
        <v>276</v>
      </c>
      <c r="AC472" s="8">
        <v>0</v>
      </c>
      <c r="AD472" s="8" t="s">
        <v>98</v>
      </c>
      <c r="AE472" s="8">
        <v>0</v>
      </c>
      <c r="AF472" s="8" t="s">
        <v>98</v>
      </c>
      <c r="AG472" s="9" t="s">
        <v>2549</v>
      </c>
      <c r="AH472" s="9" t="s">
        <v>280</v>
      </c>
      <c r="AI472" s="38">
        <v>112</v>
      </c>
      <c r="AJ472" s="38">
        <v>123</v>
      </c>
      <c r="AK472" s="13">
        <v>36874</v>
      </c>
      <c r="AL472" s="13">
        <v>35193</v>
      </c>
      <c r="AM472" s="38" t="s">
        <v>292</v>
      </c>
      <c r="AN472" s="8">
        <v>0.3</v>
      </c>
      <c r="AO472" s="14">
        <f t="shared" si="149"/>
        <v>0.30373705049628463</v>
      </c>
      <c r="AP472" s="43" t="s">
        <v>276</v>
      </c>
      <c r="AQ472" s="43" t="s">
        <v>276</v>
      </c>
      <c r="AR472" s="8">
        <v>0.3</v>
      </c>
      <c r="AS472" s="14">
        <f t="shared" si="150"/>
        <v>0.34950132128548289</v>
      </c>
      <c r="AT472" s="43" t="s">
        <v>276</v>
      </c>
      <c r="AU472" s="43" t="s">
        <v>276</v>
      </c>
      <c r="AV472" s="8" t="s">
        <v>268</v>
      </c>
      <c r="AW472" s="8" t="s">
        <v>276</v>
      </c>
      <c r="AX472" s="14">
        <f t="shared" si="151"/>
        <v>0.86905837545656472</v>
      </c>
      <c r="AY472" s="8" t="s">
        <v>276</v>
      </c>
      <c r="AZ472" s="8" t="s">
        <v>276</v>
      </c>
      <c r="BA472" s="8" t="s">
        <v>276</v>
      </c>
      <c r="BB472" s="8" t="s">
        <v>282</v>
      </c>
      <c r="BC472" s="8" t="s">
        <v>276</v>
      </c>
      <c r="BD472" s="8" t="s">
        <v>276</v>
      </c>
      <c r="BE472" s="8" t="s">
        <v>276</v>
      </c>
      <c r="BF472" s="9" t="s">
        <v>2550</v>
      </c>
      <c r="BG472" s="9" t="s">
        <v>2551</v>
      </c>
      <c r="BH472" s="9" t="s">
        <v>100</v>
      </c>
      <c r="BI472" s="9" t="s">
        <v>100</v>
      </c>
      <c r="BJ472" s="32"/>
      <c r="BK472" s="32"/>
      <c r="BO472" s="32"/>
      <c r="BP472" s="32"/>
    </row>
    <row r="473" spans="1:68" s="33" customFormat="1" ht="78" hidden="1" x14ac:dyDescent="0.35">
      <c r="A473" s="8">
        <v>5969</v>
      </c>
      <c r="B473" s="8" t="s">
        <v>2508</v>
      </c>
      <c r="C473" s="9" t="s">
        <v>2484</v>
      </c>
      <c r="D473" s="9" t="s">
        <v>2555</v>
      </c>
      <c r="E473" s="8" t="s">
        <v>37</v>
      </c>
      <c r="F473" s="9" t="s">
        <v>136</v>
      </c>
      <c r="G473" s="8" t="s">
        <v>2502</v>
      </c>
      <c r="H473" s="8" t="s">
        <v>225</v>
      </c>
      <c r="I473" s="8" t="s">
        <v>98</v>
      </c>
      <c r="J473" s="9" t="s">
        <v>32</v>
      </c>
      <c r="K473" s="8" t="s">
        <v>2345</v>
      </c>
      <c r="L473" s="8" t="s">
        <v>276</v>
      </c>
      <c r="M473" s="8" t="s">
        <v>276</v>
      </c>
      <c r="N473" s="8" t="s">
        <v>276</v>
      </c>
      <c r="O473" s="9" t="s">
        <v>276</v>
      </c>
      <c r="P473" s="9" t="s">
        <v>239</v>
      </c>
      <c r="Q473" s="51" t="s">
        <v>2510</v>
      </c>
      <c r="R473" s="9" t="s">
        <v>276</v>
      </c>
      <c r="S473" s="9" t="s">
        <v>276</v>
      </c>
      <c r="T473" s="9" t="s">
        <v>276</v>
      </c>
      <c r="U473" s="9">
        <v>1</v>
      </c>
      <c r="V473" s="8" t="s">
        <v>14</v>
      </c>
      <c r="W473" s="8" t="s">
        <v>98</v>
      </c>
      <c r="X473" s="9" t="s">
        <v>208</v>
      </c>
      <c r="Y473" s="13">
        <v>36874</v>
      </c>
      <c r="Z473" s="13">
        <v>36938</v>
      </c>
      <c r="AA473" s="9" t="s">
        <v>276</v>
      </c>
      <c r="AB473" s="9" t="s">
        <v>276</v>
      </c>
      <c r="AC473" s="8">
        <v>0</v>
      </c>
      <c r="AD473" s="8" t="s">
        <v>98</v>
      </c>
      <c r="AE473" s="8">
        <v>0</v>
      </c>
      <c r="AF473" s="8" t="s">
        <v>98</v>
      </c>
      <c r="AG473" s="9" t="s">
        <v>2556</v>
      </c>
      <c r="AH473" s="9" t="s">
        <v>280</v>
      </c>
      <c r="AI473" s="38">
        <v>112</v>
      </c>
      <c r="AJ473" s="38">
        <v>91</v>
      </c>
      <c r="AK473" s="13">
        <v>36874</v>
      </c>
      <c r="AL473" s="13">
        <v>36938</v>
      </c>
      <c r="AM473" s="38" t="s">
        <v>292</v>
      </c>
      <c r="AN473" s="8">
        <v>0.3</v>
      </c>
      <c r="AO473" s="14">
        <f t="shared" si="149"/>
        <v>0.30373705049628463</v>
      </c>
      <c r="AP473" s="43" t="s">
        <v>276</v>
      </c>
      <c r="AQ473" s="43" t="s">
        <v>276</v>
      </c>
      <c r="AR473" s="8">
        <v>0.2</v>
      </c>
      <c r="AS473" s="14">
        <f t="shared" si="150"/>
        <v>0.24635876333315285</v>
      </c>
      <c r="AT473" s="43" t="s">
        <v>276</v>
      </c>
      <c r="AU473" s="43" t="s">
        <v>276</v>
      </c>
      <c r="AV473" s="8" t="s">
        <v>268</v>
      </c>
      <c r="AW473" s="8" t="s">
        <v>276</v>
      </c>
      <c r="AX473" s="14">
        <f t="shared" si="151"/>
        <v>1.2329054034320617</v>
      </c>
      <c r="AY473" s="8" t="s">
        <v>276</v>
      </c>
      <c r="AZ473" s="8" t="s">
        <v>276</v>
      </c>
      <c r="BA473" s="8" t="s">
        <v>276</v>
      </c>
      <c r="BB473" s="8" t="s">
        <v>282</v>
      </c>
      <c r="BC473" s="8" t="s">
        <v>276</v>
      </c>
      <c r="BD473" s="8" t="s">
        <v>276</v>
      </c>
      <c r="BE473" s="8" t="s">
        <v>276</v>
      </c>
      <c r="BF473" s="9" t="s">
        <v>2550</v>
      </c>
      <c r="BG473" s="9" t="s">
        <v>2551</v>
      </c>
      <c r="BH473" s="9" t="s">
        <v>100</v>
      </c>
      <c r="BI473" s="9" t="s">
        <v>100</v>
      </c>
      <c r="BJ473" s="32"/>
      <c r="BK473" s="32"/>
      <c r="BO473" s="32"/>
      <c r="BP473" s="32"/>
    </row>
    <row r="474" spans="1:68" s="33" customFormat="1" ht="78" hidden="1" x14ac:dyDescent="0.35">
      <c r="A474" s="8">
        <v>5969</v>
      </c>
      <c r="B474" s="8" t="s">
        <v>2508</v>
      </c>
      <c r="C474" s="9" t="s">
        <v>2484</v>
      </c>
      <c r="D474" s="9" t="s">
        <v>2557</v>
      </c>
      <c r="E474" s="8" t="s">
        <v>37</v>
      </c>
      <c r="F474" s="9" t="s">
        <v>129</v>
      </c>
      <c r="G474" s="8" t="s">
        <v>2502</v>
      </c>
      <c r="H474" s="8" t="s">
        <v>225</v>
      </c>
      <c r="I474" s="8" t="s">
        <v>98</v>
      </c>
      <c r="J474" s="9" t="s">
        <v>32</v>
      </c>
      <c r="K474" s="8" t="s">
        <v>2345</v>
      </c>
      <c r="L474" s="8" t="s">
        <v>276</v>
      </c>
      <c r="M474" s="8" t="s">
        <v>276</v>
      </c>
      <c r="N474" s="8" t="s">
        <v>276</v>
      </c>
      <c r="O474" s="9" t="s">
        <v>276</v>
      </c>
      <c r="P474" s="9" t="s">
        <v>239</v>
      </c>
      <c r="Q474" s="51" t="s">
        <v>2510</v>
      </c>
      <c r="R474" s="9" t="s">
        <v>276</v>
      </c>
      <c r="S474" s="9" t="s">
        <v>276</v>
      </c>
      <c r="T474" s="9" t="s">
        <v>276</v>
      </c>
      <c r="U474" s="9">
        <v>1</v>
      </c>
      <c r="V474" s="8" t="s">
        <v>14</v>
      </c>
      <c r="W474" s="8" t="s">
        <v>98</v>
      </c>
      <c r="X474" s="9" t="s">
        <v>208</v>
      </c>
      <c r="Y474" s="13">
        <v>35193</v>
      </c>
      <c r="Z474" s="13">
        <v>36938</v>
      </c>
      <c r="AA474" s="9" t="s">
        <v>276</v>
      </c>
      <c r="AB474" s="9" t="s">
        <v>276</v>
      </c>
      <c r="AC474" s="8">
        <v>0</v>
      </c>
      <c r="AD474" s="8" t="s">
        <v>98</v>
      </c>
      <c r="AE474" s="8">
        <v>0</v>
      </c>
      <c r="AF474" s="8" t="s">
        <v>98</v>
      </c>
      <c r="AG474" s="9" t="s">
        <v>2556</v>
      </c>
      <c r="AH474" s="9" t="s">
        <v>280</v>
      </c>
      <c r="AI474" s="38">
        <v>123</v>
      </c>
      <c r="AJ474" s="38">
        <v>91</v>
      </c>
      <c r="AK474" s="13">
        <v>35193</v>
      </c>
      <c r="AL474" s="13">
        <v>36938</v>
      </c>
      <c r="AM474" s="38" t="s">
        <v>292</v>
      </c>
      <c r="AN474" s="8">
        <v>0.3</v>
      </c>
      <c r="AO474" s="14">
        <f t="shared" si="149"/>
        <v>0.34950132128548289</v>
      </c>
      <c r="AP474" s="43" t="s">
        <v>276</v>
      </c>
      <c r="AQ474" s="43" t="s">
        <v>276</v>
      </c>
      <c r="AR474" s="8">
        <v>0.2</v>
      </c>
      <c r="AS474" s="14">
        <f t="shared" si="150"/>
        <v>0.24635876333315285</v>
      </c>
      <c r="AT474" s="43" t="s">
        <v>276</v>
      </c>
      <c r="AU474" s="43" t="s">
        <v>276</v>
      </c>
      <c r="AV474" s="8" t="s">
        <v>268</v>
      </c>
      <c r="AW474" s="8" t="s">
        <v>276</v>
      </c>
      <c r="AX474" s="14">
        <f t="shared" si="151"/>
        <v>1.4186681105102381</v>
      </c>
      <c r="AY474" s="8" t="s">
        <v>276</v>
      </c>
      <c r="AZ474" s="8" t="s">
        <v>276</v>
      </c>
      <c r="BA474" s="8" t="s">
        <v>276</v>
      </c>
      <c r="BB474" s="8" t="s">
        <v>282</v>
      </c>
      <c r="BC474" s="8" t="s">
        <v>276</v>
      </c>
      <c r="BD474" s="8" t="s">
        <v>276</v>
      </c>
      <c r="BE474" s="8" t="s">
        <v>276</v>
      </c>
      <c r="BF474" s="9" t="s">
        <v>2550</v>
      </c>
      <c r="BG474" s="9" t="s">
        <v>2551</v>
      </c>
      <c r="BH474" s="9" t="s">
        <v>100</v>
      </c>
      <c r="BI474" s="9" t="s">
        <v>100</v>
      </c>
      <c r="BJ474" s="32"/>
      <c r="BK474" s="32"/>
      <c r="BO474" s="32"/>
      <c r="BP474" s="32"/>
    </row>
    <row r="475" spans="1:68" s="33" customFormat="1" ht="78" hidden="1" x14ac:dyDescent="0.35">
      <c r="A475" s="8">
        <v>5969</v>
      </c>
      <c r="B475" s="8" t="s">
        <v>2508</v>
      </c>
      <c r="C475" s="9" t="s">
        <v>2484</v>
      </c>
      <c r="D475" s="9" t="s">
        <v>2558</v>
      </c>
      <c r="E475" s="8" t="s">
        <v>37</v>
      </c>
      <c r="F475" s="9" t="s">
        <v>136</v>
      </c>
      <c r="G475" s="8" t="s">
        <v>225</v>
      </c>
      <c r="H475" s="8" t="s">
        <v>125</v>
      </c>
      <c r="I475" s="8" t="s">
        <v>114</v>
      </c>
      <c r="J475" s="9" t="s">
        <v>27</v>
      </c>
      <c r="K475" s="9" t="s">
        <v>2559</v>
      </c>
      <c r="L475" s="8" t="s">
        <v>276</v>
      </c>
      <c r="M475" s="8" t="s">
        <v>276</v>
      </c>
      <c r="N475" s="8" t="s">
        <v>276</v>
      </c>
      <c r="O475" s="9" t="s">
        <v>276</v>
      </c>
      <c r="P475" s="9" t="s">
        <v>239</v>
      </c>
      <c r="Q475" s="51" t="s">
        <v>2510</v>
      </c>
      <c r="R475" s="9" t="s">
        <v>276</v>
      </c>
      <c r="S475" s="9" t="s">
        <v>276</v>
      </c>
      <c r="T475" s="9" t="s">
        <v>276</v>
      </c>
      <c r="U475" s="9">
        <v>1</v>
      </c>
      <c r="V475" s="8" t="s">
        <v>14</v>
      </c>
      <c r="W475" s="8" t="s">
        <v>98</v>
      </c>
      <c r="X475" s="9" t="s">
        <v>207</v>
      </c>
      <c r="Y475" s="13">
        <v>36874</v>
      </c>
      <c r="Z475" s="38">
        <v>33696</v>
      </c>
      <c r="AA475" s="9" t="s">
        <v>276</v>
      </c>
      <c r="AB475" s="9" t="s">
        <v>276</v>
      </c>
      <c r="AC475" s="8">
        <v>0</v>
      </c>
      <c r="AD475" s="8" t="s">
        <v>98</v>
      </c>
      <c r="AE475" s="8">
        <v>0</v>
      </c>
      <c r="AF475" s="8" t="s">
        <v>98</v>
      </c>
      <c r="AG475" s="9" t="s">
        <v>2560</v>
      </c>
      <c r="AH475" s="9" t="s">
        <v>280</v>
      </c>
      <c r="AI475" s="38">
        <v>194</v>
      </c>
      <c r="AJ475" s="38">
        <v>15</v>
      </c>
      <c r="AK475" s="13">
        <v>36874</v>
      </c>
      <c r="AL475" s="38">
        <v>33696</v>
      </c>
      <c r="AM475" s="38" t="s">
        <v>292</v>
      </c>
      <c r="AN475" s="8">
        <v>0.3</v>
      </c>
      <c r="AO475" s="14">
        <f t="shared" si="149"/>
        <v>0.52611596246677872</v>
      </c>
      <c r="AP475" s="43" t="s">
        <v>276</v>
      </c>
      <c r="AQ475" s="43" t="s">
        <v>276</v>
      </c>
      <c r="AR475" s="8" t="s">
        <v>276</v>
      </c>
      <c r="AS475" s="14">
        <f t="shared" si="150"/>
        <v>4.4515669515669515E-2</v>
      </c>
      <c r="AT475" s="8" t="s">
        <v>276</v>
      </c>
      <c r="AU475" s="8" t="s">
        <v>276</v>
      </c>
      <c r="AV475" s="8" t="s">
        <v>268</v>
      </c>
      <c r="AW475" s="8" t="s">
        <v>276</v>
      </c>
      <c r="AX475" s="14">
        <f t="shared" si="151"/>
        <v>11.818668980853717</v>
      </c>
      <c r="AY475" s="8" t="s">
        <v>276</v>
      </c>
      <c r="AZ475" s="8" t="s">
        <v>276</v>
      </c>
      <c r="BA475" s="8" t="s">
        <v>276</v>
      </c>
      <c r="BB475" s="8" t="s">
        <v>282</v>
      </c>
      <c r="BC475" s="8" t="s">
        <v>276</v>
      </c>
      <c r="BD475" s="8" t="s">
        <v>276</v>
      </c>
      <c r="BE475" s="8" t="s">
        <v>276</v>
      </c>
      <c r="BF475" s="9" t="s">
        <v>2550</v>
      </c>
      <c r="BG475" s="9" t="s">
        <v>2551</v>
      </c>
      <c r="BH475" s="9" t="s">
        <v>100</v>
      </c>
      <c r="BI475" s="9" t="s">
        <v>100</v>
      </c>
      <c r="BJ475" s="32"/>
      <c r="BK475" s="32"/>
      <c r="BO475" s="32"/>
      <c r="BP475" s="32"/>
    </row>
    <row r="476" spans="1:68" s="33" customFormat="1" ht="78" hidden="1" x14ac:dyDescent="0.35">
      <c r="A476" s="8">
        <v>5969</v>
      </c>
      <c r="B476" s="8" t="s">
        <v>2508</v>
      </c>
      <c r="C476" s="9" t="s">
        <v>2484</v>
      </c>
      <c r="D476" s="9" t="s">
        <v>2561</v>
      </c>
      <c r="E476" s="8" t="s">
        <v>37</v>
      </c>
      <c r="F476" s="9" t="s">
        <v>129</v>
      </c>
      <c r="G476" s="8" t="s">
        <v>225</v>
      </c>
      <c r="H476" s="8" t="s">
        <v>125</v>
      </c>
      <c r="I476" s="8" t="s">
        <v>114</v>
      </c>
      <c r="J476" s="9" t="s">
        <v>27</v>
      </c>
      <c r="K476" s="9" t="s">
        <v>2559</v>
      </c>
      <c r="L476" s="8" t="s">
        <v>276</v>
      </c>
      <c r="M476" s="8" t="s">
        <v>276</v>
      </c>
      <c r="N476" s="8" t="s">
        <v>276</v>
      </c>
      <c r="O476" s="9" t="s">
        <v>276</v>
      </c>
      <c r="P476" s="9" t="s">
        <v>239</v>
      </c>
      <c r="Q476" s="51" t="s">
        <v>2510</v>
      </c>
      <c r="R476" s="9" t="s">
        <v>276</v>
      </c>
      <c r="S476" s="9" t="s">
        <v>276</v>
      </c>
      <c r="T476" s="9" t="s">
        <v>276</v>
      </c>
      <c r="U476" s="9">
        <v>1</v>
      </c>
      <c r="V476" s="8" t="s">
        <v>14</v>
      </c>
      <c r="W476" s="8" t="s">
        <v>98</v>
      </c>
      <c r="X476" s="9" t="s">
        <v>207</v>
      </c>
      <c r="Y476" s="13">
        <v>35193</v>
      </c>
      <c r="Z476" s="38">
        <v>33696</v>
      </c>
      <c r="AA476" s="9" t="s">
        <v>276</v>
      </c>
      <c r="AB476" s="9" t="s">
        <v>276</v>
      </c>
      <c r="AC476" s="8">
        <v>0</v>
      </c>
      <c r="AD476" s="8" t="s">
        <v>98</v>
      </c>
      <c r="AE476" s="8">
        <v>0</v>
      </c>
      <c r="AF476" s="8" t="s">
        <v>98</v>
      </c>
      <c r="AG476" s="9" t="s">
        <v>2560</v>
      </c>
      <c r="AH476" s="9" t="s">
        <v>280</v>
      </c>
      <c r="AI476" s="38">
        <v>259</v>
      </c>
      <c r="AJ476" s="38">
        <v>15</v>
      </c>
      <c r="AK476" s="13">
        <v>35193</v>
      </c>
      <c r="AL476" s="38">
        <v>33696</v>
      </c>
      <c r="AM476" s="38" t="s">
        <v>292</v>
      </c>
      <c r="AN476" s="8">
        <v>0.3</v>
      </c>
      <c r="AO476" s="14">
        <f t="shared" si="149"/>
        <v>0.73594180660926889</v>
      </c>
      <c r="AP476" s="43" t="s">
        <v>276</v>
      </c>
      <c r="AQ476" s="43" t="s">
        <v>276</v>
      </c>
      <c r="AR476" s="8" t="s">
        <v>276</v>
      </c>
      <c r="AS476" s="14">
        <f t="shared" si="150"/>
        <v>4.4515669515669515E-2</v>
      </c>
      <c r="AT476" s="8" t="s">
        <v>276</v>
      </c>
      <c r="AU476" s="8" t="s">
        <v>276</v>
      </c>
      <c r="AV476" s="8" t="s">
        <v>268</v>
      </c>
      <c r="AW476" s="8" t="s">
        <v>276</v>
      </c>
      <c r="AX476" s="14">
        <f t="shared" si="151"/>
        <v>16.532196743670617</v>
      </c>
      <c r="AY476" s="8" t="s">
        <v>276</v>
      </c>
      <c r="AZ476" s="8" t="s">
        <v>276</v>
      </c>
      <c r="BA476" s="8" t="s">
        <v>276</v>
      </c>
      <c r="BB476" s="8" t="s">
        <v>282</v>
      </c>
      <c r="BC476" s="8" t="s">
        <v>276</v>
      </c>
      <c r="BD476" s="8" t="s">
        <v>276</v>
      </c>
      <c r="BE476" s="8" t="s">
        <v>276</v>
      </c>
      <c r="BF476" s="9" t="s">
        <v>2550</v>
      </c>
      <c r="BG476" s="9" t="s">
        <v>2551</v>
      </c>
      <c r="BH476" s="9" t="s">
        <v>100</v>
      </c>
      <c r="BI476" s="9" t="s">
        <v>100</v>
      </c>
      <c r="BJ476" s="32"/>
      <c r="BK476" s="32"/>
      <c r="BO476" s="32"/>
      <c r="BP476" s="32"/>
    </row>
    <row r="477" spans="1:68" s="33" customFormat="1" ht="78" hidden="1" x14ac:dyDescent="0.35">
      <c r="A477" s="8">
        <v>5969</v>
      </c>
      <c r="B477" s="8" t="s">
        <v>2508</v>
      </c>
      <c r="C477" s="9" t="s">
        <v>2484</v>
      </c>
      <c r="D477" s="9" t="s">
        <v>2562</v>
      </c>
      <c r="E477" s="8" t="s">
        <v>37</v>
      </c>
      <c r="F477" s="9" t="s">
        <v>2502</v>
      </c>
      <c r="G477" s="8" t="s">
        <v>225</v>
      </c>
      <c r="H477" s="8" t="s">
        <v>125</v>
      </c>
      <c r="I477" s="8" t="s">
        <v>114</v>
      </c>
      <c r="J477" s="9" t="s">
        <v>27</v>
      </c>
      <c r="K477" s="9" t="s">
        <v>2559</v>
      </c>
      <c r="L477" s="8" t="s">
        <v>276</v>
      </c>
      <c r="M477" s="8" t="s">
        <v>276</v>
      </c>
      <c r="N477" s="8" t="s">
        <v>276</v>
      </c>
      <c r="O477" s="9" t="s">
        <v>276</v>
      </c>
      <c r="P477" s="9" t="s">
        <v>239</v>
      </c>
      <c r="Q477" s="51" t="s">
        <v>2510</v>
      </c>
      <c r="R477" s="9" t="s">
        <v>276</v>
      </c>
      <c r="S477" s="9" t="s">
        <v>276</v>
      </c>
      <c r="T477" s="9" t="s">
        <v>276</v>
      </c>
      <c r="U477" s="9">
        <v>1</v>
      </c>
      <c r="V477" s="8" t="s">
        <v>14</v>
      </c>
      <c r="W477" s="8" t="s">
        <v>98</v>
      </c>
      <c r="X477" s="9" t="s">
        <v>207</v>
      </c>
      <c r="Y477" s="13">
        <v>36938</v>
      </c>
      <c r="Z477" s="38">
        <v>33696</v>
      </c>
      <c r="AA477" s="9" t="s">
        <v>276</v>
      </c>
      <c r="AB477" s="9" t="s">
        <v>276</v>
      </c>
      <c r="AC477" s="8">
        <v>0</v>
      </c>
      <c r="AD477" s="8" t="s">
        <v>98</v>
      </c>
      <c r="AE477" s="8">
        <v>0</v>
      </c>
      <c r="AF477" s="8" t="s">
        <v>98</v>
      </c>
      <c r="AG477" s="9" t="s">
        <v>2560</v>
      </c>
      <c r="AH477" s="9" t="s">
        <v>280</v>
      </c>
      <c r="AI477" s="38">
        <v>243</v>
      </c>
      <c r="AJ477" s="38">
        <v>15</v>
      </c>
      <c r="AK477" s="13">
        <v>36938</v>
      </c>
      <c r="AL477" s="38">
        <v>33696</v>
      </c>
      <c r="AM477" s="38" t="s">
        <v>292</v>
      </c>
      <c r="AN477" s="8">
        <v>0.2</v>
      </c>
      <c r="AO477" s="14">
        <f t="shared" si="149"/>
        <v>0.65785911527424334</v>
      </c>
      <c r="AP477" s="43" t="s">
        <v>276</v>
      </c>
      <c r="AQ477" s="43" t="s">
        <v>276</v>
      </c>
      <c r="AR477" s="8" t="s">
        <v>276</v>
      </c>
      <c r="AS477" s="14">
        <f t="shared" si="150"/>
        <v>4.4515669515669515E-2</v>
      </c>
      <c r="AT477" s="8" t="s">
        <v>276</v>
      </c>
      <c r="AU477" s="8" t="s">
        <v>276</v>
      </c>
      <c r="AV477" s="8" t="s">
        <v>268</v>
      </c>
      <c r="AW477" s="8" t="s">
        <v>276</v>
      </c>
      <c r="AX477" s="14">
        <f t="shared" si="151"/>
        <v>14.778147165520602</v>
      </c>
      <c r="AY477" s="8" t="s">
        <v>276</v>
      </c>
      <c r="AZ477" s="8" t="s">
        <v>276</v>
      </c>
      <c r="BA477" s="8" t="s">
        <v>276</v>
      </c>
      <c r="BB477" s="8" t="s">
        <v>282</v>
      </c>
      <c r="BC477" s="8" t="s">
        <v>276</v>
      </c>
      <c r="BD477" s="8" t="s">
        <v>276</v>
      </c>
      <c r="BE477" s="8" t="s">
        <v>276</v>
      </c>
      <c r="BF477" s="9" t="s">
        <v>2550</v>
      </c>
      <c r="BG477" s="9" t="s">
        <v>2551</v>
      </c>
      <c r="BH477" s="9" t="s">
        <v>100</v>
      </c>
      <c r="BI477" s="9" t="s">
        <v>100</v>
      </c>
      <c r="BJ477" s="32"/>
      <c r="BK477" s="32"/>
      <c r="BO477" s="32"/>
      <c r="BP477" s="32"/>
    </row>
    <row r="478" spans="1:68" s="33" customFormat="1" ht="65" hidden="1" x14ac:dyDescent="0.35">
      <c r="A478" s="8">
        <v>5969</v>
      </c>
      <c r="B478" s="8" t="s">
        <v>2508</v>
      </c>
      <c r="C478" s="9" t="s">
        <v>2484</v>
      </c>
      <c r="D478" s="9" t="s">
        <v>2563</v>
      </c>
      <c r="E478" s="8" t="s">
        <v>37</v>
      </c>
      <c r="F478" s="9" t="s">
        <v>136</v>
      </c>
      <c r="G478" s="8" t="s">
        <v>129</v>
      </c>
      <c r="H478" s="8" t="s">
        <v>225</v>
      </c>
      <c r="I478" s="8" t="s">
        <v>98</v>
      </c>
      <c r="J478" s="9" t="s">
        <v>27</v>
      </c>
      <c r="K478" s="9" t="s">
        <v>2559</v>
      </c>
      <c r="L478" s="8" t="s">
        <v>276</v>
      </c>
      <c r="M478" s="8" t="s">
        <v>276</v>
      </c>
      <c r="N478" s="8" t="s">
        <v>276</v>
      </c>
      <c r="O478" s="9" t="s">
        <v>276</v>
      </c>
      <c r="P478" s="9" t="s">
        <v>239</v>
      </c>
      <c r="Q478" s="51" t="s">
        <v>2510</v>
      </c>
      <c r="R478" s="9" t="s">
        <v>276</v>
      </c>
      <c r="S478" s="9" t="s">
        <v>276</v>
      </c>
      <c r="T478" s="9" t="s">
        <v>276</v>
      </c>
      <c r="U478" s="9">
        <v>1</v>
      </c>
      <c r="V478" s="8" t="s">
        <v>14</v>
      </c>
      <c r="W478" s="8" t="s">
        <v>98</v>
      </c>
      <c r="X478" s="9" t="s">
        <v>208</v>
      </c>
      <c r="Y478" s="13">
        <v>36874</v>
      </c>
      <c r="Z478" s="13">
        <v>35193</v>
      </c>
      <c r="AA478" s="9" t="s">
        <v>276</v>
      </c>
      <c r="AB478" s="9" t="s">
        <v>276</v>
      </c>
      <c r="AC478" s="8">
        <v>0</v>
      </c>
      <c r="AD478" s="8" t="s">
        <v>98</v>
      </c>
      <c r="AE478" s="8">
        <v>0</v>
      </c>
      <c r="AF478" s="8" t="s">
        <v>98</v>
      </c>
      <c r="AG478" s="9" t="s">
        <v>2560</v>
      </c>
      <c r="AH478" s="9" t="s">
        <v>280</v>
      </c>
      <c r="AI478" s="38">
        <v>194</v>
      </c>
      <c r="AJ478" s="38">
        <v>259</v>
      </c>
      <c r="AK478" s="13">
        <v>36874</v>
      </c>
      <c r="AL478" s="13">
        <v>35193</v>
      </c>
      <c r="AM478" s="38" t="s">
        <v>292</v>
      </c>
      <c r="AN478" s="8">
        <v>0.7</v>
      </c>
      <c r="AO478" s="91">
        <f>AI478*100/AK478</f>
        <v>0.52611596246677872</v>
      </c>
      <c r="AP478" s="43" t="s">
        <v>276</v>
      </c>
      <c r="AQ478" s="43" t="s">
        <v>276</v>
      </c>
      <c r="AR478" s="43">
        <v>1</v>
      </c>
      <c r="AS478" s="91">
        <f>AJ478*100/AL478</f>
        <v>0.73594180660926889</v>
      </c>
      <c r="AT478" s="43" t="s">
        <v>276</v>
      </c>
      <c r="AU478" s="43" t="s">
        <v>276</v>
      </c>
      <c r="AV478" s="8" t="s">
        <v>268</v>
      </c>
      <c r="AW478" s="8" t="s">
        <v>276</v>
      </c>
      <c r="AX478" s="14">
        <f t="shared" ref="AX478:AX480" si="152">AN478/AR478</f>
        <v>0.7</v>
      </c>
      <c r="AY478" s="8" t="s">
        <v>276</v>
      </c>
      <c r="AZ478" s="8" t="s">
        <v>276</v>
      </c>
      <c r="BA478" s="8" t="s">
        <v>276</v>
      </c>
      <c r="BB478" s="8" t="s">
        <v>282</v>
      </c>
      <c r="BC478" s="8" t="s">
        <v>276</v>
      </c>
      <c r="BD478" s="8" t="s">
        <v>276</v>
      </c>
      <c r="BE478" s="8" t="s">
        <v>276</v>
      </c>
      <c r="BF478" s="9" t="s">
        <v>2564</v>
      </c>
      <c r="BG478" s="9" t="s">
        <v>2551</v>
      </c>
      <c r="BH478" s="9" t="s">
        <v>100</v>
      </c>
      <c r="BI478" s="9" t="s">
        <v>100</v>
      </c>
      <c r="BJ478" s="32"/>
      <c r="BK478" s="32"/>
      <c r="BO478" s="32"/>
      <c r="BP478" s="32"/>
    </row>
    <row r="479" spans="1:68" s="33" customFormat="1" ht="52" hidden="1" x14ac:dyDescent="0.35">
      <c r="A479" s="8">
        <v>5969</v>
      </c>
      <c r="B479" s="8" t="s">
        <v>2508</v>
      </c>
      <c r="C479" s="9" t="s">
        <v>2484</v>
      </c>
      <c r="D479" s="9" t="s">
        <v>2565</v>
      </c>
      <c r="E479" s="8" t="s">
        <v>37</v>
      </c>
      <c r="F479" s="9" t="s">
        <v>136</v>
      </c>
      <c r="G479" s="8" t="s">
        <v>2502</v>
      </c>
      <c r="H479" s="8" t="s">
        <v>225</v>
      </c>
      <c r="I479" s="8" t="s">
        <v>98</v>
      </c>
      <c r="J479" s="9" t="s">
        <v>27</v>
      </c>
      <c r="K479" s="9" t="s">
        <v>2559</v>
      </c>
      <c r="L479" s="8" t="s">
        <v>276</v>
      </c>
      <c r="M479" s="8" t="s">
        <v>276</v>
      </c>
      <c r="N479" s="8" t="s">
        <v>276</v>
      </c>
      <c r="O479" s="9" t="s">
        <v>276</v>
      </c>
      <c r="P479" s="9" t="s">
        <v>239</v>
      </c>
      <c r="Q479" s="51" t="s">
        <v>2510</v>
      </c>
      <c r="R479" s="9" t="s">
        <v>276</v>
      </c>
      <c r="S479" s="9" t="s">
        <v>276</v>
      </c>
      <c r="T479" s="9" t="s">
        <v>276</v>
      </c>
      <c r="U479" s="9">
        <v>1</v>
      </c>
      <c r="V479" s="8" t="s">
        <v>14</v>
      </c>
      <c r="W479" s="8" t="s">
        <v>98</v>
      </c>
      <c r="X479" s="9" t="s">
        <v>208</v>
      </c>
      <c r="Y479" s="13">
        <v>36874</v>
      </c>
      <c r="Z479" s="13">
        <v>36938</v>
      </c>
      <c r="AA479" s="9" t="s">
        <v>276</v>
      </c>
      <c r="AB479" s="9" t="s">
        <v>276</v>
      </c>
      <c r="AC479" s="8">
        <v>0</v>
      </c>
      <c r="AD479" s="8" t="s">
        <v>98</v>
      </c>
      <c r="AE479" s="8">
        <v>0</v>
      </c>
      <c r="AF479" s="8" t="s">
        <v>98</v>
      </c>
      <c r="AG479" s="9" t="s">
        <v>2560</v>
      </c>
      <c r="AH479" s="9" t="s">
        <v>280</v>
      </c>
      <c r="AI479" s="38">
        <v>194</v>
      </c>
      <c r="AJ479" s="38">
        <v>243</v>
      </c>
      <c r="AK479" s="13">
        <v>36874</v>
      </c>
      <c r="AL479" s="13">
        <v>36938</v>
      </c>
      <c r="AM479" s="38" t="s">
        <v>292</v>
      </c>
      <c r="AN479" s="8">
        <v>0.7</v>
      </c>
      <c r="AO479" s="91">
        <f t="shared" ref="AO479:AO489" si="153">AI479*100/AK479</f>
        <v>0.52611596246677872</v>
      </c>
      <c r="AP479" s="43" t="s">
        <v>276</v>
      </c>
      <c r="AQ479" s="43" t="s">
        <v>276</v>
      </c>
      <c r="AR479" s="43">
        <v>0.9</v>
      </c>
      <c r="AS479" s="91">
        <f>AJ479*100/AL479</f>
        <v>0.65785911527424334</v>
      </c>
      <c r="AT479" s="43" t="s">
        <v>276</v>
      </c>
      <c r="AU479" s="43" t="s">
        <v>276</v>
      </c>
      <c r="AV479" s="8" t="s">
        <v>268</v>
      </c>
      <c r="AW479" s="8" t="s">
        <v>276</v>
      </c>
      <c r="AX479" s="14">
        <f t="shared" si="152"/>
        <v>0.77777777777777768</v>
      </c>
      <c r="AY479" s="8" t="s">
        <v>276</v>
      </c>
      <c r="AZ479" s="8" t="s">
        <v>276</v>
      </c>
      <c r="BA479" s="8" t="s">
        <v>276</v>
      </c>
      <c r="BB479" s="8" t="s">
        <v>282</v>
      </c>
      <c r="BC479" s="8" t="s">
        <v>276</v>
      </c>
      <c r="BD479" s="8" t="s">
        <v>276</v>
      </c>
      <c r="BE479" s="8" t="s">
        <v>276</v>
      </c>
      <c r="BF479" s="9" t="s">
        <v>2564</v>
      </c>
      <c r="BG479" s="9" t="s">
        <v>2551</v>
      </c>
      <c r="BH479" s="9" t="s">
        <v>100</v>
      </c>
      <c r="BI479" s="9" t="s">
        <v>100</v>
      </c>
      <c r="BJ479" s="32"/>
      <c r="BK479" s="32"/>
      <c r="BO479" s="32"/>
      <c r="BP479" s="32"/>
    </row>
    <row r="480" spans="1:68" s="33" customFormat="1" ht="65" hidden="1" x14ac:dyDescent="0.35">
      <c r="A480" s="8">
        <v>5969</v>
      </c>
      <c r="B480" s="8" t="s">
        <v>2508</v>
      </c>
      <c r="C480" s="9" t="s">
        <v>2484</v>
      </c>
      <c r="D480" s="9" t="s">
        <v>2566</v>
      </c>
      <c r="E480" s="8" t="s">
        <v>37</v>
      </c>
      <c r="F480" s="9" t="s">
        <v>129</v>
      </c>
      <c r="G480" s="8" t="s">
        <v>2502</v>
      </c>
      <c r="H480" s="8" t="s">
        <v>225</v>
      </c>
      <c r="I480" s="8" t="s">
        <v>98</v>
      </c>
      <c r="J480" s="9" t="s">
        <v>27</v>
      </c>
      <c r="K480" s="9" t="s">
        <v>2559</v>
      </c>
      <c r="L480" s="8" t="s">
        <v>276</v>
      </c>
      <c r="M480" s="8" t="s">
        <v>276</v>
      </c>
      <c r="N480" s="8" t="s">
        <v>276</v>
      </c>
      <c r="O480" s="9" t="s">
        <v>276</v>
      </c>
      <c r="P480" s="9" t="s">
        <v>239</v>
      </c>
      <c r="Q480" s="51" t="s">
        <v>2510</v>
      </c>
      <c r="R480" s="9" t="s">
        <v>276</v>
      </c>
      <c r="S480" s="9" t="s">
        <v>276</v>
      </c>
      <c r="T480" s="9" t="s">
        <v>276</v>
      </c>
      <c r="U480" s="9">
        <v>1</v>
      </c>
      <c r="V480" s="8" t="s">
        <v>14</v>
      </c>
      <c r="W480" s="8" t="s">
        <v>98</v>
      </c>
      <c r="X480" s="9" t="s">
        <v>208</v>
      </c>
      <c r="Y480" s="13">
        <v>35193</v>
      </c>
      <c r="Z480" s="13">
        <v>36938</v>
      </c>
      <c r="AA480" s="9" t="s">
        <v>276</v>
      </c>
      <c r="AB480" s="9" t="s">
        <v>276</v>
      </c>
      <c r="AC480" s="8">
        <v>0</v>
      </c>
      <c r="AD480" s="8" t="s">
        <v>98</v>
      </c>
      <c r="AE480" s="8">
        <v>0</v>
      </c>
      <c r="AF480" s="8" t="s">
        <v>98</v>
      </c>
      <c r="AG480" s="9" t="s">
        <v>2560</v>
      </c>
      <c r="AH480" s="9" t="s">
        <v>280</v>
      </c>
      <c r="AI480" s="38">
        <v>259</v>
      </c>
      <c r="AJ480" s="38">
        <v>243</v>
      </c>
      <c r="AK480" s="13">
        <v>35193</v>
      </c>
      <c r="AL480" s="13">
        <v>36938</v>
      </c>
      <c r="AM480" s="38" t="s">
        <v>292</v>
      </c>
      <c r="AN480" s="43">
        <v>1</v>
      </c>
      <c r="AO480" s="91">
        <f t="shared" si="153"/>
        <v>0.73594180660926889</v>
      </c>
      <c r="AP480" s="43" t="s">
        <v>276</v>
      </c>
      <c r="AQ480" s="43" t="s">
        <v>276</v>
      </c>
      <c r="AR480" s="8">
        <v>0.9</v>
      </c>
      <c r="AS480" s="91">
        <f>AJ480*100/AL480</f>
        <v>0.65785911527424334</v>
      </c>
      <c r="AT480" s="43" t="s">
        <v>276</v>
      </c>
      <c r="AU480" s="43" t="s">
        <v>276</v>
      </c>
      <c r="AV480" s="8" t="s">
        <v>268</v>
      </c>
      <c r="AW480" s="8" t="s">
        <v>276</v>
      </c>
      <c r="AX480" s="14">
        <f t="shared" si="152"/>
        <v>1.1111111111111112</v>
      </c>
      <c r="AY480" s="8" t="s">
        <v>276</v>
      </c>
      <c r="AZ480" s="8" t="s">
        <v>276</v>
      </c>
      <c r="BA480" s="8" t="s">
        <v>276</v>
      </c>
      <c r="BB480" s="8" t="s">
        <v>282</v>
      </c>
      <c r="BC480" s="8" t="s">
        <v>276</v>
      </c>
      <c r="BD480" s="8" t="s">
        <v>276</v>
      </c>
      <c r="BE480" s="8" t="s">
        <v>276</v>
      </c>
      <c r="BF480" s="9" t="s">
        <v>2564</v>
      </c>
      <c r="BG480" s="9" t="s">
        <v>2551</v>
      </c>
      <c r="BH480" s="9" t="s">
        <v>100</v>
      </c>
      <c r="BI480" s="9" t="s">
        <v>100</v>
      </c>
      <c r="BJ480" s="32"/>
      <c r="BK480" s="32"/>
      <c r="BO480" s="32"/>
      <c r="BP480" s="32"/>
    </row>
    <row r="481" spans="1:68" s="33" customFormat="1" ht="91" hidden="1" x14ac:dyDescent="0.35">
      <c r="A481" s="8">
        <v>2612</v>
      </c>
      <c r="B481" s="8" t="s">
        <v>2483</v>
      </c>
      <c r="C481" s="9" t="s">
        <v>2484</v>
      </c>
      <c r="D481" s="9" t="s">
        <v>2521</v>
      </c>
      <c r="E481" s="8" t="s">
        <v>37</v>
      </c>
      <c r="F481" s="8" t="s">
        <v>136</v>
      </c>
      <c r="G481" s="8" t="s">
        <v>225</v>
      </c>
      <c r="H481" s="8" t="s">
        <v>225</v>
      </c>
      <c r="I481" s="8" t="s">
        <v>98</v>
      </c>
      <c r="J481" s="8" t="s">
        <v>98</v>
      </c>
      <c r="K481" s="8" t="s">
        <v>98</v>
      </c>
      <c r="L481" s="8" t="s">
        <v>2567</v>
      </c>
      <c r="M481" s="8" t="s">
        <v>98</v>
      </c>
      <c r="N481" s="9" t="s">
        <v>2568</v>
      </c>
      <c r="O481" s="9" t="s">
        <v>2568</v>
      </c>
      <c r="P481" s="9" t="s">
        <v>238</v>
      </c>
      <c r="Q481" s="52" t="s">
        <v>276</v>
      </c>
      <c r="R481" s="9" t="s">
        <v>2569</v>
      </c>
      <c r="S481" s="9" t="s">
        <v>276</v>
      </c>
      <c r="T481" s="9" t="s">
        <v>276</v>
      </c>
      <c r="U481" s="9">
        <v>1</v>
      </c>
      <c r="V481" s="8" t="s">
        <v>14</v>
      </c>
      <c r="W481" s="8" t="s">
        <v>98</v>
      </c>
      <c r="X481" s="9" t="s">
        <v>209</v>
      </c>
      <c r="Y481" s="13">
        <v>34074</v>
      </c>
      <c r="Z481" s="9" t="s">
        <v>98</v>
      </c>
      <c r="AA481" s="9" t="s">
        <v>276</v>
      </c>
      <c r="AB481" s="9" t="s">
        <v>276</v>
      </c>
      <c r="AC481" s="8">
        <v>0</v>
      </c>
      <c r="AD481" s="8" t="s">
        <v>98</v>
      </c>
      <c r="AE481" s="8">
        <v>0</v>
      </c>
      <c r="AF481" s="8" t="s">
        <v>98</v>
      </c>
      <c r="AG481" s="9" t="s">
        <v>2570</v>
      </c>
      <c r="AH481" s="9" t="s">
        <v>1176</v>
      </c>
      <c r="AI481" s="38">
        <v>195</v>
      </c>
      <c r="AJ481" s="38" t="s">
        <v>98</v>
      </c>
      <c r="AK481" s="13">
        <v>34074</v>
      </c>
      <c r="AL481" s="38" t="s">
        <v>98</v>
      </c>
      <c r="AM481" s="38" t="s">
        <v>292</v>
      </c>
      <c r="AN481" s="8" t="s">
        <v>276</v>
      </c>
      <c r="AO481" s="66">
        <f t="shared" si="153"/>
        <v>0.57228385279098437</v>
      </c>
      <c r="AP481" s="8" t="s">
        <v>276</v>
      </c>
      <c r="AQ481" s="8" t="s">
        <v>276</v>
      </c>
      <c r="AR481" s="8" t="s">
        <v>98</v>
      </c>
      <c r="AS481" s="8" t="s">
        <v>98</v>
      </c>
      <c r="AT481" s="8" t="s">
        <v>98</v>
      </c>
      <c r="AU481" s="8" t="s">
        <v>98</v>
      </c>
      <c r="AV481" s="8" t="s">
        <v>98</v>
      </c>
      <c r="AW481" s="8" t="s">
        <v>98</v>
      </c>
      <c r="AX481" s="8" t="s">
        <v>98</v>
      </c>
      <c r="AY481" s="8" t="s">
        <v>98</v>
      </c>
      <c r="AZ481" s="8" t="s">
        <v>98</v>
      </c>
      <c r="BA481" s="8" t="s">
        <v>98</v>
      </c>
      <c r="BB481" s="8" t="s">
        <v>98</v>
      </c>
      <c r="BC481" s="8" t="s">
        <v>98</v>
      </c>
      <c r="BD481" s="8" t="s">
        <v>98</v>
      </c>
      <c r="BE481" s="8" t="s">
        <v>98</v>
      </c>
      <c r="BF481" s="9" t="s">
        <v>2571</v>
      </c>
      <c r="BG481" s="9" t="s">
        <v>2572</v>
      </c>
      <c r="BH481" s="9" t="s">
        <v>100</v>
      </c>
      <c r="BI481" s="9" t="s">
        <v>100</v>
      </c>
      <c r="BJ481" s="32"/>
      <c r="BK481" s="32"/>
      <c r="BO481" s="32"/>
      <c r="BP481" s="32"/>
    </row>
    <row r="482" spans="1:68" s="33" customFormat="1" ht="91" hidden="1" x14ac:dyDescent="0.35">
      <c r="A482" s="8">
        <v>2612</v>
      </c>
      <c r="B482" s="8" t="s">
        <v>2483</v>
      </c>
      <c r="C482" s="9" t="s">
        <v>2484</v>
      </c>
      <c r="D482" s="9" t="s">
        <v>2573</v>
      </c>
      <c r="E482" s="8" t="s">
        <v>37</v>
      </c>
      <c r="F482" s="9" t="s">
        <v>129</v>
      </c>
      <c r="G482" s="8" t="s">
        <v>225</v>
      </c>
      <c r="H482" s="8" t="s">
        <v>225</v>
      </c>
      <c r="I482" s="8" t="s">
        <v>98</v>
      </c>
      <c r="J482" s="8" t="s">
        <v>98</v>
      </c>
      <c r="K482" s="8" t="s">
        <v>98</v>
      </c>
      <c r="L482" s="8" t="s">
        <v>2567</v>
      </c>
      <c r="M482" s="8" t="s">
        <v>98</v>
      </c>
      <c r="N482" s="9" t="s">
        <v>2568</v>
      </c>
      <c r="O482" s="9" t="s">
        <v>2568</v>
      </c>
      <c r="P482" s="9" t="s">
        <v>238</v>
      </c>
      <c r="Q482" s="52" t="s">
        <v>276</v>
      </c>
      <c r="R482" s="9" t="s">
        <v>2569</v>
      </c>
      <c r="S482" s="9" t="s">
        <v>276</v>
      </c>
      <c r="T482" s="9" t="s">
        <v>276</v>
      </c>
      <c r="U482" s="9">
        <v>1</v>
      </c>
      <c r="V482" s="8" t="s">
        <v>14</v>
      </c>
      <c r="W482" s="8" t="s">
        <v>98</v>
      </c>
      <c r="X482" s="9" t="s">
        <v>209</v>
      </c>
      <c r="Y482" s="13">
        <v>32058</v>
      </c>
      <c r="Z482" s="9" t="s">
        <v>98</v>
      </c>
      <c r="AA482" s="9" t="s">
        <v>276</v>
      </c>
      <c r="AB482" s="9" t="s">
        <v>276</v>
      </c>
      <c r="AC482" s="8">
        <v>0</v>
      </c>
      <c r="AD482" s="8" t="s">
        <v>98</v>
      </c>
      <c r="AE482" s="8">
        <v>0</v>
      </c>
      <c r="AF482" s="8" t="s">
        <v>98</v>
      </c>
      <c r="AG482" s="9" t="s">
        <v>2570</v>
      </c>
      <c r="AH482" s="9" t="s">
        <v>1176</v>
      </c>
      <c r="AI482" s="38">
        <v>262</v>
      </c>
      <c r="AJ482" s="38" t="s">
        <v>98</v>
      </c>
      <c r="AK482" s="13">
        <v>32058</v>
      </c>
      <c r="AL482" s="38" t="s">
        <v>98</v>
      </c>
      <c r="AM482" s="38" t="s">
        <v>292</v>
      </c>
      <c r="AN482" s="8" t="s">
        <v>276</v>
      </c>
      <c r="AO482" s="66">
        <f t="shared" si="153"/>
        <v>0.81726870048037936</v>
      </c>
      <c r="AP482" s="8" t="s">
        <v>276</v>
      </c>
      <c r="AQ482" s="8" t="s">
        <v>276</v>
      </c>
      <c r="AR482" s="8" t="s">
        <v>98</v>
      </c>
      <c r="AS482" s="8" t="s">
        <v>98</v>
      </c>
      <c r="AT482" s="8" t="s">
        <v>98</v>
      </c>
      <c r="AU482" s="8" t="s">
        <v>98</v>
      </c>
      <c r="AV482" s="8" t="s">
        <v>98</v>
      </c>
      <c r="AW482" s="8" t="s">
        <v>98</v>
      </c>
      <c r="AX482" s="8" t="s">
        <v>98</v>
      </c>
      <c r="AY482" s="8" t="s">
        <v>98</v>
      </c>
      <c r="AZ482" s="8" t="s">
        <v>98</v>
      </c>
      <c r="BA482" s="8" t="s">
        <v>98</v>
      </c>
      <c r="BB482" s="8" t="s">
        <v>98</v>
      </c>
      <c r="BC482" s="8" t="s">
        <v>98</v>
      </c>
      <c r="BD482" s="8" t="s">
        <v>98</v>
      </c>
      <c r="BE482" s="8" t="s">
        <v>98</v>
      </c>
      <c r="BF482" s="9" t="s">
        <v>2571</v>
      </c>
      <c r="BG482" s="9" t="s">
        <v>2572</v>
      </c>
      <c r="BH482" s="9" t="s">
        <v>100</v>
      </c>
      <c r="BI482" s="9" t="s">
        <v>100</v>
      </c>
      <c r="BJ482" s="32"/>
      <c r="BK482" s="32"/>
      <c r="BO482" s="32"/>
      <c r="BP482" s="32"/>
    </row>
    <row r="483" spans="1:68" s="33" customFormat="1" ht="91" hidden="1" x14ac:dyDescent="0.35">
      <c r="A483" s="8">
        <v>2612</v>
      </c>
      <c r="B483" s="8" t="s">
        <v>2483</v>
      </c>
      <c r="C483" s="9" t="s">
        <v>2484</v>
      </c>
      <c r="D483" s="9" t="s">
        <v>2574</v>
      </c>
      <c r="E483" s="8" t="s">
        <v>37</v>
      </c>
      <c r="F483" s="9" t="s">
        <v>2502</v>
      </c>
      <c r="G483" s="8" t="s">
        <v>225</v>
      </c>
      <c r="H483" s="8" t="s">
        <v>225</v>
      </c>
      <c r="I483" s="8" t="s">
        <v>98</v>
      </c>
      <c r="J483" s="8" t="s">
        <v>98</v>
      </c>
      <c r="K483" s="8" t="s">
        <v>98</v>
      </c>
      <c r="L483" s="8" t="s">
        <v>2567</v>
      </c>
      <c r="M483" s="8" t="s">
        <v>98</v>
      </c>
      <c r="N483" s="9" t="s">
        <v>2568</v>
      </c>
      <c r="O483" s="9" t="s">
        <v>2568</v>
      </c>
      <c r="P483" s="9" t="s">
        <v>238</v>
      </c>
      <c r="Q483" s="52" t="s">
        <v>276</v>
      </c>
      <c r="R483" s="9" t="s">
        <v>2569</v>
      </c>
      <c r="S483" s="9" t="s">
        <v>276</v>
      </c>
      <c r="T483" s="9" t="s">
        <v>276</v>
      </c>
      <c r="U483" s="9">
        <v>1</v>
      </c>
      <c r="V483" s="8" t="s">
        <v>14</v>
      </c>
      <c r="W483" s="8" t="s">
        <v>98</v>
      </c>
      <c r="X483" s="9" t="s">
        <v>209</v>
      </c>
      <c r="Y483" s="13">
        <v>34126</v>
      </c>
      <c r="Z483" s="9" t="s">
        <v>98</v>
      </c>
      <c r="AA483" s="9" t="s">
        <v>276</v>
      </c>
      <c r="AB483" s="9" t="s">
        <v>276</v>
      </c>
      <c r="AC483" s="8">
        <v>0</v>
      </c>
      <c r="AD483" s="8" t="s">
        <v>98</v>
      </c>
      <c r="AE483" s="8">
        <v>0</v>
      </c>
      <c r="AF483" s="8" t="s">
        <v>98</v>
      </c>
      <c r="AG483" s="9" t="s">
        <v>2570</v>
      </c>
      <c r="AH483" s="9" t="s">
        <v>1176</v>
      </c>
      <c r="AI483" s="38">
        <v>245</v>
      </c>
      <c r="AJ483" s="38" t="s">
        <v>98</v>
      </c>
      <c r="AK483" s="13">
        <v>34126</v>
      </c>
      <c r="AL483" s="38" t="s">
        <v>98</v>
      </c>
      <c r="AM483" s="38" t="s">
        <v>292</v>
      </c>
      <c r="AN483" s="8" t="s">
        <v>276</v>
      </c>
      <c r="AO483" s="66">
        <f t="shared" si="153"/>
        <v>0.71792767977495164</v>
      </c>
      <c r="AP483" s="8" t="s">
        <v>276</v>
      </c>
      <c r="AQ483" s="8" t="s">
        <v>276</v>
      </c>
      <c r="AR483" s="8" t="s">
        <v>98</v>
      </c>
      <c r="AS483" s="8" t="s">
        <v>98</v>
      </c>
      <c r="AT483" s="8" t="s">
        <v>98</v>
      </c>
      <c r="AU483" s="8" t="s">
        <v>98</v>
      </c>
      <c r="AV483" s="8" t="s">
        <v>98</v>
      </c>
      <c r="AW483" s="8" t="s">
        <v>98</v>
      </c>
      <c r="AX483" s="8" t="s">
        <v>98</v>
      </c>
      <c r="AY483" s="8" t="s">
        <v>98</v>
      </c>
      <c r="AZ483" s="8" t="s">
        <v>98</v>
      </c>
      <c r="BA483" s="8" t="s">
        <v>98</v>
      </c>
      <c r="BB483" s="8" t="s">
        <v>98</v>
      </c>
      <c r="BC483" s="8" t="s">
        <v>98</v>
      </c>
      <c r="BD483" s="8" t="s">
        <v>98</v>
      </c>
      <c r="BE483" s="8" t="s">
        <v>98</v>
      </c>
      <c r="BF483" s="9" t="s">
        <v>2571</v>
      </c>
      <c r="BG483" s="9" t="s">
        <v>2572</v>
      </c>
      <c r="BH483" s="9" t="s">
        <v>100</v>
      </c>
      <c r="BI483" s="9" t="s">
        <v>100</v>
      </c>
      <c r="BJ483" s="32"/>
      <c r="BK483" s="32"/>
      <c r="BO483" s="32"/>
      <c r="BP483" s="32"/>
    </row>
    <row r="484" spans="1:68" s="33" customFormat="1" ht="65" hidden="1" x14ac:dyDescent="0.35">
      <c r="A484" s="8">
        <v>2612</v>
      </c>
      <c r="B484" s="8" t="s">
        <v>2483</v>
      </c>
      <c r="C484" s="9" t="s">
        <v>2484</v>
      </c>
      <c r="D484" s="9" t="s">
        <v>2509</v>
      </c>
      <c r="E484" s="8" t="s">
        <v>37</v>
      </c>
      <c r="F484" s="8" t="s">
        <v>136</v>
      </c>
      <c r="G484" s="8" t="s">
        <v>225</v>
      </c>
      <c r="H484" s="8" t="s">
        <v>225</v>
      </c>
      <c r="I484" s="8" t="s">
        <v>98</v>
      </c>
      <c r="J484" s="8" t="s">
        <v>98</v>
      </c>
      <c r="K484" s="8" t="s">
        <v>98</v>
      </c>
      <c r="L484" s="8" t="s">
        <v>2567</v>
      </c>
      <c r="M484" s="8" t="s">
        <v>98</v>
      </c>
      <c r="N484" s="9" t="s">
        <v>2568</v>
      </c>
      <c r="O484" s="9" t="s">
        <v>2568</v>
      </c>
      <c r="P484" s="9" t="s">
        <v>238</v>
      </c>
      <c r="Q484" s="52" t="s">
        <v>276</v>
      </c>
      <c r="R484" s="9" t="s">
        <v>2569</v>
      </c>
      <c r="S484" s="9" t="s">
        <v>276</v>
      </c>
      <c r="T484" s="9" t="s">
        <v>276</v>
      </c>
      <c r="U484" s="9">
        <v>1</v>
      </c>
      <c r="V484" s="8" t="s">
        <v>14</v>
      </c>
      <c r="W484" s="8" t="s">
        <v>98</v>
      </c>
      <c r="X484" s="9" t="s">
        <v>209</v>
      </c>
      <c r="Y484" s="13">
        <v>34074</v>
      </c>
      <c r="Z484" s="9" t="s">
        <v>98</v>
      </c>
      <c r="AA484" s="9" t="s">
        <v>276</v>
      </c>
      <c r="AB484" s="9" t="s">
        <v>276</v>
      </c>
      <c r="AC484" s="8">
        <v>0</v>
      </c>
      <c r="AD484" s="8" t="s">
        <v>98</v>
      </c>
      <c r="AE484" s="8">
        <v>0</v>
      </c>
      <c r="AF484" s="8" t="s">
        <v>98</v>
      </c>
      <c r="AG484" s="9" t="s">
        <v>2575</v>
      </c>
      <c r="AH484" s="9" t="s">
        <v>1176</v>
      </c>
      <c r="AI484" s="38">
        <v>82</v>
      </c>
      <c r="AJ484" s="38" t="s">
        <v>98</v>
      </c>
      <c r="AK484" s="13">
        <v>34074</v>
      </c>
      <c r="AL484" s="38" t="s">
        <v>98</v>
      </c>
      <c r="AM484" s="38" t="s">
        <v>292</v>
      </c>
      <c r="AN484" s="8" t="s">
        <v>276</v>
      </c>
      <c r="AO484" s="66">
        <f t="shared" si="153"/>
        <v>0.24065269707108058</v>
      </c>
      <c r="AP484" s="8" t="s">
        <v>276</v>
      </c>
      <c r="AQ484" s="8" t="s">
        <v>276</v>
      </c>
      <c r="AR484" s="8" t="s">
        <v>98</v>
      </c>
      <c r="AS484" s="8" t="s">
        <v>98</v>
      </c>
      <c r="AT484" s="8" t="s">
        <v>98</v>
      </c>
      <c r="AU484" s="8" t="s">
        <v>98</v>
      </c>
      <c r="AV484" s="8" t="s">
        <v>98</v>
      </c>
      <c r="AW484" s="8" t="s">
        <v>98</v>
      </c>
      <c r="AX484" s="8" t="s">
        <v>98</v>
      </c>
      <c r="AY484" s="8" t="s">
        <v>98</v>
      </c>
      <c r="AZ484" s="8" t="s">
        <v>98</v>
      </c>
      <c r="BA484" s="8" t="s">
        <v>98</v>
      </c>
      <c r="BB484" s="8" t="s">
        <v>98</v>
      </c>
      <c r="BC484" s="8" t="s">
        <v>98</v>
      </c>
      <c r="BD484" s="8" t="s">
        <v>98</v>
      </c>
      <c r="BE484" s="8" t="s">
        <v>98</v>
      </c>
      <c r="BF484" s="9" t="s">
        <v>2576</v>
      </c>
      <c r="BG484" s="9" t="s">
        <v>2572</v>
      </c>
      <c r="BH484" s="9" t="s">
        <v>100</v>
      </c>
      <c r="BI484" s="9" t="s">
        <v>100</v>
      </c>
      <c r="BJ484" s="32"/>
      <c r="BK484" s="32"/>
      <c r="BO484" s="32"/>
      <c r="BP484" s="32"/>
    </row>
    <row r="485" spans="1:68" s="33" customFormat="1" ht="65" hidden="1" x14ac:dyDescent="0.35">
      <c r="A485" s="8">
        <v>2612</v>
      </c>
      <c r="B485" s="8" t="s">
        <v>2483</v>
      </c>
      <c r="C485" s="9" t="s">
        <v>2484</v>
      </c>
      <c r="D485" s="9" t="s">
        <v>2577</v>
      </c>
      <c r="E485" s="8" t="s">
        <v>37</v>
      </c>
      <c r="F485" s="9" t="s">
        <v>129</v>
      </c>
      <c r="G485" s="8" t="s">
        <v>225</v>
      </c>
      <c r="H485" s="8" t="s">
        <v>225</v>
      </c>
      <c r="I485" s="8" t="s">
        <v>98</v>
      </c>
      <c r="J485" s="8" t="s">
        <v>98</v>
      </c>
      <c r="K485" s="8" t="s">
        <v>98</v>
      </c>
      <c r="L485" s="8" t="s">
        <v>2567</v>
      </c>
      <c r="M485" s="8" t="s">
        <v>98</v>
      </c>
      <c r="N485" s="9" t="s">
        <v>2568</v>
      </c>
      <c r="O485" s="9" t="s">
        <v>2568</v>
      </c>
      <c r="P485" s="9" t="s">
        <v>238</v>
      </c>
      <c r="Q485" s="52" t="s">
        <v>276</v>
      </c>
      <c r="R485" s="9" t="s">
        <v>2569</v>
      </c>
      <c r="S485" s="9" t="s">
        <v>276</v>
      </c>
      <c r="T485" s="9" t="s">
        <v>276</v>
      </c>
      <c r="U485" s="9">
        <v>1</v>
      </c>
      <c r="V485" s="8" t="s">
        <v>14</v>
      </c>
      <c r="W485" s="8" t="s">
        <v>98</v>
      </c>
      <c r="X485" s="9" t="s">
        <v>209</v>
      </c>
      <c r="Y485" s="13">
        <v>32058</v>
      </c>
      <c r="Z485" s="9" t="s">
        <v>98</v>
      </c>
      <c r="AA485" s="9" t="s">
        <v>276</v>
      </c>
      <c r="AB485" s="9" t="s">
        <v>276</v>
      </c>
      <c r="AC485" s="8">
        <v>0</v>
      </c>
      <c r="AD485" s="8" t="s">
        <v>98</v>
      </c>
      <c r="AE485" s="8">
        <v>0</v>
      </c>
      <c r="AF485" s="8" t="s">
        <v>98</v>
      </c>
      <c r="AG485" s="9" t="s">
        <v>2575</v>
      </c>
      <c r="AH485" s="9" t="s">
        <v>1176</v>
      </c>
      <c r="AI485" s="38">
        <v>83</v>
      </c>
      <c r="AJ485" s="38" t="s">
        <v>98</v>
      </c>
      <c r="AK485" s="13">
        <v>32058</v>
      </c>
      <c r="AL485" s="38" t="s">
        <v>98</v>
      </c>
      <c r="AM485" s="38" t="s">
        <v>292</v>
      </c>
      <c r="AN485" s="8" t="s">
        <v>276</v>
      </c>
      <c r="AO485" s="66">
        <f t="shared" si="153"/>
        <v>0.25890573335828809</v>
      </c>
      <c r="AP485" s="8" t="s">
        <v>276</v>
      </c>
      <c r="AQ485" s="8" t="s">
        <v>276</v>
      </c>
      <c r="AR485" s="8" t="s">
        <v>98</v>
      </c>
      <c r="AS485" s="8" t="s">
        <v>98</v>
      </c>
      <c r="AT485" s="8" t="s">
        <v>98</v>
      </c>
      <c r="AU485" s="8" t="s">
        <v>98</v>
      </c>
      <c r="AV485" s="8" t="s">
        <v>98</v>
      </c>
      <c r="AW485" s="8" t="s">
        <v>98</v>
      </c>
      <c r="AX485" s="8" t="s">
        <v>98</v>
      </c>
      <c r="AY485" s="8" t="s">
        <v>98</v>
      </c>
      <c r="AZ485" s="8" t="s">
        <v>98</v>
      </c>
      <c r="BA485" s="8" t="s">
        <v>98</v>
      </c>
      <c r="BB485" s="8" t="s">
        <v>98</v>
      </c>
      <c r="BC485" s="8" t="s">
        <v>98</v>
      </c>
      <c r="BD485" s="8" t="s">
        <v>98</v>
      </c>
      <c r="BE485" s="8" t="s">
        <v>98</v>
      </c>
      <c r="BF485" s="9" t="s">
        <v>2576</v>
      </c>
      <c r="BG485" s="9" t="s">
        <v>2572</v>
      </c>
      <c r="BH485" s="9" t="s">
        <v>100</v>
      </c>
      <c r="BI485" s="9" t="s">
        <v>100</v>
      </c>
      <c r="BJ485" s="32"/>
      <c r="BK485" s="32"/>
      <c r="BO485" s="32"/>
      <c r="BP485" s="32"/>
    </row>
    <row r="486" spans="1:68" s="33" customFormat="1" ht="65" hidden="1" x14ac:dyDescent="0.35">
      <c r="A486" s="8">
        <v>2612</v>
      </c>
      <c r="B486" s="8" t="s">
        <v>2483</v>
      </c>
      <c r="C486" s="9" t="s">
        <v>2484</v>
      </c>
      <c r="D486" s="9" t="s">
        <v>2578</v>
      </c>
      <c r="E486" s="8" t="s">
        <v>37</v>
      </c>
      <c r="F486" s="9" t="s">
        <v>2502</v>
      </c>
      <c r="G486" s="8" t="s">
        <v>225</v>
      </c>
      <c r="H486" s="8" t="s">
        <v>225</v>
      </c>
      <c r="I486" s="8" t="s">
        <v>98</v>
      </c>
      <c r="J486" s="8" t="s">
        <v>98</v>
      </c>
      <c r="K486" s="8" t="s">
        <v>98</v>
      </c>
      <c r="L486" s="8" t="s">
        <v>2567</v>
      </c>
      <c r="M486" s="8" t="s">
        <v>98</v>
      </c>
      <c r="N486" s="9" t="s">
        <v>2568</v>
      </c>
      <c r="O486" s="9" t="s">
        <v>2568</v>
      </c>
      <c r="P486" s="9" t="s">
        <v>238</v>
      </c>
      <c r="Q486" s="52" t="s">
        <v>276</v>
      </c>
      <c r="R486" s="9" t="s">
        <v>2569</v>
      </c>
      <c r="S486" s="9" t="s">
        <v>276</v>
      </c>
      <c r="T486" s="9" t="s">
        <v>276</v>
      </c>
      <c r="U486" s="9">
        <v>1</v>
      </c>
      <c r="V486" s="8" t="s">
        <v>14</v>
      </c>
      <c r="W486" s="8" t="s">
        <v>98</v>
      </c>
      <c r="X486" s="9" t="s">
        <v>209</v>
      </c>
      <c r="Y486" s="13">
        <v>34126</v>
      </c>
      <c r="Z486" s="9" t="s">
        <v>98</v>
      </c>
      <c r="AA486" s="9" t="s">
        <v>276</v>
      </c>
      <c r="AB486" s="9" t="s">
        <v>276</v>
      </c>
      <c r="AC486" s="8">
        <v>0</v>
      </c>
      <c r="AD486" s="8" t="s">
        <v>98</v>
      </c>
      <c r="AE486" s="8">
        <v>0</v>
      </c>
      <c r="AF486" s="8" t="s">
        <v>98</v>
      </c>
      <c r="AG486" s="9" t="s">
        <v>2575</v>
      </c>
      <c r="AH486" s="9" t="s">
        <v>1176</v>
      </c>
      <c r="AI486" s="38">
        <v>73</v>
      </c>
      <c r="AJ486" s="38" t="s">
        <v>98</v>
      </c>
      <c r="AK486" s="13">
        <v>34126</v>
      </c>
      <c r="AL486" s="38" t="s">
        <v>98</v>
      </c>
      <c r="AM486" s="38" t="s">
        <v>292</v>
      </c>
      <c r="AN486" s="8" t="s">
        <v>276</v>
      </c>
      <c r="AO486" s="66">
        <f t="shared" si="153"/>
        <v>0.21391314540233253</v>
      </c>
      <c r="AP486" s="8" t="s">
        <v>276</v>
      </c>
      <c r="AQ486" s="8" t="s">
        <v>276</v>
      </c>
      <c r="AR486" s="8" t="s">
        <v>98</v>
      </c>
      <c r="AS486" s="8" t="s">
        <v>98</v>
      </c>
      <c r="AT486" s="8" t="s">
        <v>98</v>
      </c>
      <c r="AU486" s="8" t="s">
        <v>98</v>
      </c>
      <c r="AV486" s="8" t="s">
        <v>98</v>
      </c>
      <c r="AW486" s="8" t="s">
        <v>98</v>
      </c>
      <c r="AX486" s="8" t="s">
        <v>98</v>
      </c>
      <c r="AY486" s="8" t="s">
        <v>98</v>
      </c>
      <c r="AZ486" s="8" t="s">
        <v>98</v>
      </c>
      <c r="BA486" s="8" t="s">
        <v>98</v>
      </c>
      <c r="BB486" s="8" t="s">
        <v>98</v>
      </c>
      <c r="BC486" s="8" t="s">
        <v>98</v>
      </c>
      <c r="BD486" s="8" t="s">
        <v>98</v>
      </c>
      <c r="BE486" s="8" t="s">
        <v>98</v>
      </c>
      <c r="BF486" s="9" t="s">
        <v>2576</v>
      </c>
      <c r="BG486" s="9" t="s">
        <v>2572</v>
      </c>
      <c r="BH486" s="9" t="s">
        <v>100</v>
      </c>
      <c r="BI486" s="9" t="s">
        <v>100</v>
      </c>
      <c r="BJ486" s="32"/>
      <c r="BK486" s="32"/>
      <c r="BO486" s="32"/>
      <c r="BP486" s="32"/>
    </row>
    <row r="487" spans="1:68" s="33" customFormat="1" ht="65" x14ac:dyDescent="0.35">
      <c r="A487" s="8">
        <v>2612</v>
      </c>
      <c r="B487" s="8" t="s">
        <v>2483</v>
      </c>
      <c r="C487" s="9" t="s">
        <v>2484</v>
      </c>
      <c r="D487" s="9" t="s">
        <v>11662</v>
      </c>
      <c r="E487" s="8" t="s">
        <v>37</v>
      </c>
      <c r="F487" s="8" t="s">
        <v>136</v>
      </c>
      <c r="G487" s="8" t="s">
        <v>225</v>
      </c>
      <c r="H487" s="8" t="s">
        <v>225</v>
      </c>
      <c r="I487" s="8" t="s">
        <v>98</v>
      </c>
      <c r="J487" s="8" t="s">
        <v>98</v>
      </c>
      <c r="K487" s="8" t="s">
        <v>98</v>
      </c>
      <c r="L487" s="8" t="s">
        <v>2567</v>
      </c>
      <c r="M487" s="8" t="s">
        <v>98</v>
      </c>
      <c r="N487" s="9" t="s">
        <v>2568</v>
      </c>
      <c r="O487" s="9" t="s">
        <v>2568</v>
      </c>
      <c r="P487" s="524" t="s">
        <v>236</v>
      </c>
      <c r="Q487" s="52">
        <v>39447</v>
      </c>
      <c r="R487" s="9" t="s">
        <v>278</v>
      </c>
      <c r="S487" s="9" t="s">
        <v>276</v>
      </c>
      <c r="T487" s="9" t="s">
        <v>276</v>
      </c>
      <c r="U487" s="9">
        <v>1</v>
      </c>
      <c r="V487" s="8" t="s">
        <v>14</v>
      </c>
      <c r="W487" s="8" t="s">
        <v>98</v>
      </c>
      <c r="X487" s="9" t="s">
        <v>209</v>
      </c>
      <c r="Y487" s="13" t="s">
        <v>98</v>
      </c>
      <c r="Z487" s="9" t="s">
        <v>98</v>
      </c>
      <c r="AA487" s="9" t="s">
        <v>276</v>
      </c>
      <c r="AB487" s="9" t="s">
        <v>276</v>
      </c>
      <c r="AC487" s="8">
        <v>0</v>
      </c>
      <c r="AD487" s="8" t="s">
        <v>98</v>
      </c>
      <c r="AE487" s="8">
        <v>0</v>
      </c>
      <c r="AF487" s="8" t="s">
        <v>98</v>
      </c>
      <c r="AG487" s="9" t="s">
        <v>2575</v>
      </c>
      <c r="AH487" s="9" t="s">
        <v>2579</v>
      </c>
      <c r="AI487" s="38">
        <v>82</v>
      </c>
      <c r="AJ487" s="38" t="s">
        <v>98</v>
      </c>
      <c r="AK487" s="13">
        <v>157</v>
      </c>
      <c r="AL487" s="38" t="s">
        <v>98</v>
      </c>
      <c r="AM487" s="38" t="s">
        <v>292</v>
      </c>
      <c r="AN487" s="8" t="s">
        <v>276</v>
      </c>
      <c r="AO487" s="14">
        <f t="shared" si="153"/>
        <v>52.229299363057322</v>
      </c>
      <c r="AP487" s="8" t="s">
        <v>276</v>
      </c>
      <c r="AQ487" s="8" t="s">
        <v>276</v>
      </c>
      <c r="AR487" s="8" t="s">
        <v>98</v>
      </c>
      <c r="AS487" s="8" t="s">
        <v>98</v>
      </c>
      <c r="AT487" s="8" t="s">
        <v>98</v>
      </c>
      <c r="AU487" s="8" t="s">
        <v>98</v>
      </c>
      <c r="AV487" s="8" t="s">
        <v>98</v>
      </c>
      <c r="AW487" s="8" t="s">
        <v>98</v>
      </c>
      <c r="AX487" s="8" t="s">
        <v>98</v>
      </c>
      <c r="AY487" s="8" t="s">
        <v>98</v>
      </c>
      <c r="AZ487" s="8" t="s">
        <v>98</v>
      </c>
      <c r="BA487" s="8" t="s">
        <v>98</v>
      </c>
      <c r="BB487" s="8" t="s">
        <v>98</v>
      </c>
      <c r="BC487" s="8" t="s">
        <v>98</v>
      </c>
      <c r="BD487" s="8" t="s">
        <v>98</v>
      </c>
      <c r="BE487" s="8" t="s">
        <v>98</v>
      </c>
      <c r="BF487" s="9" t="s">
        <v>2576</v>
      </c>
      <c r="BG487" s="9"/>
      <c r="BH487" s="9" t="s">
        <v>99</v>
      </c>
      <c r="BI487" s="9" t="s">
        <v>100</v>
      </c>
      <c r="BJ487" s="32"/>
      <c r="BK487" s="32"/>
      <c r="BO487" s="32"/>
      <c r="BP487" s="32"/>
    </row>
    <row r="488" spans="1:68" s="33" customFormat="1" ht="65" x14ac:dyDescent="0.35">
      <c r="A488" s="8">
        <v>2612</v>
      </c>
      <c r="B488" s="8" t="s">
        <v>2483</v>
      </c>
      <c r="C488" s="9" t="s">
        <v>2484</v>
      </c>
      <c r="D488" s="9" t="s">
        <v>11661</v>
      </c>
      <c r="E488" s="8" t="s">
        <v>37</v>
      </c>
      <c r="F488" s="9" t="s">
        <v>129</v>
      </c>
      <c r="G488" s="8" t="s">
        <v>225</v>
      </c>
      <c r="H488" s="8" t="s">
        <v>225</v>
      </c>
      <c r="I488" s="8" t="s">
        <v>98</v>
      </c>
      <c r="J488" s="8" t="s">
        <v>98</v>
      </c>
      <c r="K488" s="8" t="s">
        <v>98</v>
      </c>
      <c r="L488" s="8" t="s">
        <v>2567</v>
      </c>
      <c r="M488" s="8" t="s">
        <v>98</v>
      </c>
      <c r="N488" s="9" t="s">
        <v>2568</v>
      </c>
      <c r="O488" s="9" t="s">
        <v>2568</v>
      </c>
      <c r="P488" s="524" t="s">
        <v>236</v>
      </c>
      <c r="Q488" s="52">
        <v>39447</v>
      </c>
      <c r="R488" s="9" t="s">
        <v>278</v>
      </c>
      <c r="S488" s="9" t="s">
        <v>276</v>
      </c>
      <c r="T488" s="9" t="s">
        <v>276</v>
      </c>
      <c r="U488" s="9">
        <v>1</v>
      </c>
      <c r="V488" s="8" t="s">
        <v>14</v>
      </c>
      <c r="W488" s="8" t="s">
        <v>98</v>
      </c>
      <c r="X488" s="9" t="s">
        <v>209</v>
      </c>
      <c r="Y488" s="13" t="s">
        <v>98</v>
      </c>
      <c r="Z488" s="9" t="s">
        <v>98</v>
      </c>
      <c r="AA488" s="9" t="s">
        <v>276</v>
      </c>
      <c r="AB488" s="9" t="s">
        <v>276</v>
      </c>
      <c r="AC488" s="8">
        <v>0</v>
      </c>
      <c r="AD488" s="8" t="s">
        <v>98</v>
      </c>
      <c r="AE488" s="8">
        <v>0</v>
      </c>
      <c r="AF488" s="8" t="s">
        <v>98</v>
      </c>
      <c r="AG488" s="9" t="s">
        <v>2575</v>
      </c>
      <c r="AH488" s="9" t="s">
        <v>2579</v>
      </c>
      <c r="AI488" s="38">
        <v>83</v>
      </c>
      <c r="AJ488" s="38" t="s">
        <v>98</v>
      </c>
      <c r="AK488" s="13">
        <v>152</v>
      </c>
      <c r="AL488" s="38" t="s">
        <v>98</v>
      </c>
      <c r="AM488" s="38" t="s">
        <v>292</v>
      </c>
      <c r="AN488" s="8" t="s">
        <v>276</v>
      </c>
      <c r="AO488" s="14">
        <f t="shared" si="153"/>
        <v>54.60526315789474</v>
      </c>
      <c r="AP488" s="8" t="s">
        <v>276</v>
      </c>
      <c r="AQ488" s="8" t="s">
        <v>276</v>
      </c>
      <c r="AR488" s="8" t="s">
        <v>98</v>
      </c>
      <c r="AS488" s="8" t="s">
        <v>98</v>
      </c>
      <c r="AT488" s="8" t="s">
        <v>98</v>
      </c>
      <c r="AU488" s="8" t="s">
        <v>98</v>
      </c>
      <c r="AV488" s="8" t="s">
        <v>98</v>
      </c>
      <c r="AW488" s="8" t="s">
        <v>98</v>
      </c>
      <c r="AX488" s="8" t="s">
        <v>98</v>
      </c>
      <c r="AY488" s="8" t="s">
        <v>98</v>
      </c>
      <c r="AZ488" s="8" t="s">
        <v>98</v>
      </c>
      <c r="BA488" s="8" t="s">
        <v>98</v>
      </c>
      <c r="BB488" s="8" t="s">
        <v>98</v>
      </c>
      <c r="BC488" s="8" t="s">
        <v>98</v>
      </c>
      <c r="BD488" s="8" t="s">
        <v>98</v>
      </c>
      <c r="BE488" s="8" t="s">
        <v>98</v>
      </c>
      <c r="BF488" s="9" t="s">
        <v>2576</v>
      </c>
      <c r="BG488" s="9"/>
      <c r="BH488" s="9" t="s">
        <v>99</v>
      </c>
      <c r="BI488" s="9" t="s">
        <v>100</v>
      </c>
      <c r="BJ488" s="32"/>
      <c r="BK488" s="32"/>
      <c r="BO488" s="32"/>
      <c r="BP488" s="32"/>
    </row>
    <row r="489" spans="1:68" s="33" customFormat="1" ht="65" x14ac:dyDescent="0.35">
      <c r="A489" s="8">
        <v>2612</v>
      </c>
      <c r="B489" s="8" t="s">
        <v>2483</v>
      </c>
      <c r="C489" s="9" t="s">
        <v>2484</v>
      </c>
      <c r="D489" s="9" t="s">
        <v>11663</v>
      </c>
      <c r="E489" s="8" t="s">
        <v>37</v>
      </c>
      <c r="F489" s="9" t="s">
        <v>2502</v>
      </c>
      <c r="G489" s="8" t="s">
        <v>225</v>
      </c>
      <c r="H489" s="8" t="s">
        <v>225</v>
      </c>
      <c r="I489" s="8" t="s">
        <v>98</v>
      </c>
      <c r="J489" s="8" t="s">
        <v>98</v>
      </c>
      <c r="K489" s="8" t="s">
        <v>98</v>
      </c>
      <c r="L489" s="8" t="s">
        <v>2567</v>
      </c>
      <c r="M489" s="8" t="s">
        <v>98</v>
      </c>
      <c r="N489" s="9" t="s">
        <v>2568</v>
      </c>
      <c r="O489" s="9" t="s">
        <v>2568</v>
      </c>
      <c r="P489" s="524" t="s">
        <v>236</v>
      </c>
      <c r="Q489" s="52">
        <v>39447</v>
      </c>
      <c r="R489" s="9" t="s">
        <v>278</v>
      </c>
      <c r="S489" s="9" t="s">
        <v>276</v>
      </c>
      <c r="T489" s="9" t="s">
        <v>276</v>
      </c>
      <c r="U489" s="9">
        <v>1</v>
      </c>
      <c r="V489" s="8" t="s">
        <v>14</v>
      </c>
      <c r="W489" s="8" t="s">
        <v>98</v>
      </c>
      <c r="X489" s="9" t="s">
        <v>209</v>
      </c>
      <c r="Y489" s="13" t="s">
        <v>98</v>
      </c>
      <c r="Z489" s="9" t="s">
        <v>98</v>
      </c>
      <c r="AA489" s="9" t="s">
        <v>276</v>
      </c>
      <c r="AB489" s="9" t="s">
        <v>276</v>
      </c>
      <c r="AC489" s="8">
        <v>0</v>
      </c>
      <c r="AD489" s="8" t="s">
        <v>98</v>
      </c>
      <c r="AE489" s="8">
        <v>0</v>
      </c>
      <c r="AF489" s="8" t="s">
        <v>98</v>
      </c>
      <c r="AG489" s="9" t="s">
        <v>2575</v>
      </c>
      <c r="AH489" s="9" t="s">
        <v>2579</v>
      </c>
      <c r="AI489" s="38">
        <v>73</v>
      </c>
      <c r="AJ489" s="38" t="s">
        <v>98</v>
      </c>
      <c r="AK489" s="13">
        <v>127</v>
      </c>
      <c r="AL489" s="38" t="s">
        <v>98</v>
      </c>
      <c r="AM489" s="38" t="s">
        <v>292</v>
      </c>
      <c r="AN489" s="8" t="s">
        <v>276</v>
      </c>
      <c r="AO489" s="14">
        <f t="shared" si="153"/>
        <v>57.480314960629919</v>
      </c>
      <c r="AP489" s="8" t="s">
        <v>276</v>
      </c>
      <c r="AQ489" s="8" t="s">
        <v>276</v>
      </c>
      <c r="AR489" s="8" t="s">
        <v>98</v>
      </c>
      <c r="AS489" s="8" t="s">
        <v>98</v>
      </c>
      <c r="AT489" s="8" t="s">
        <v>98</v>
      </c>
      <c r="AU489" s="8" t="s">
        <v>98</v>
      </c>
      <c r="AV489" s="8" t="s">
        <v>98</v>
      </c>
      <c r="AW489" s="8" t="s">
        <v>98</v>
      </c>
      <c r="AX489" s="8" t="s">
        <v>98</v>
      </c>
      <c r="AY489" s="8" t="s">
        <v>98</v>
      </c>
      <c r="AZ489" s="8" t="s">
        <v>98</v>
      </c>
      <c r="BA489" s="8" t="s">
        <v>98</v>
      </c>
      <c r="BB489" s="8" t="s">
        <v>98</v>
      </c>
      <c r="BC489" s="8" t="s">
        <v>98</v>
      </c>
      <c r="BD489" s="8" t="s">
        <v>98</v>
      </c>
      <c r="BE489" s="8" t="s">
        <v>98</v>
      </c>
      <c r="BF489" s="9" t="s">
        <v>2576</v>
      </c>
      <c r="BG489" s="9"/>
      <c r="BH489" s="9" t="s">
        <v>99</v>
      </c>
      <c r="BI489" s="9" t="s">
        <v>100</v>
      </c>
      <c r="BJ489" s="32"/>
      <c r="BK489" s="32"/>
      <c r="BO489" s="32"/>
      <c r="BP489" s="32"/>
    </row>
    <row r="490" spans="1:68" s="33" customFormat="1" ht="65" hidden="1" x14ac:dyDescent="0.35">
      <c r="A490" s="8">
        <v>2612</v>
      </c>
      <c r="B490" s="8" t="s">
        <v>2483</v>
      </c>
      <c r="C490" s="9" t="s">
        <v>2484</v>
      </c>
      <c r="D490" s="9" t="s">
        <v>2580</v>
      </c>
      <c r="E490" s="8" t="s">
        <v>37</v>
      </c>
      <c r="F490" s="8" t="s">
        <v>136</v>
      </c>
      <c r="G490" s="8" t="s">
        <v>225</v>
      </c>
      <c r="H490" s="8" t="s">
        <v>125</v>
      </c>
      <c r="I490" s="8" t="s">
        <v>114</v>
      </c>
      <c r="J490" s="9" t="s">
        <v>25</v>
      </c>
      <c r="K490" s="8" t="s">
        <v>930</v>
      </c>
      <c r="L490" s="8" t="s">
        <v>2567</v>
      </c>
      <c r="M490" s="8" t="s">
        <v>98</v>
      </c>
      <c r="N490" s="9" t="s">
        <v>2568</v>
      </c>
      <c r="O490" s="9" t="s">
        <v>2568</v>
      </c>
      <c r="P490" s="9" t="s">
        <v>239</v>
      </c>
      <c r="Q490" s="52">
        <v>39447</v>
      </c>
      <c r="R490" s="9" t="s">
        <v>278</v>
      </c>
      <c r="S490" s="13" t="s">
        <v>2581</v>
      </c>
      <c r="T490" s="38" t="s">
        <v>2582</v>
      </c>
      <c r="U490" s="9">
        <v>1</v>
      </c>
      <c r="V490" s="8" t="s">
        <v>14</v>
      </c>
      <c r="W490" s="8" t="s">
        <v>98</v>
      </c>
      <c r="X490" s="9" t="s">
        <v>207</v>
      </c>
      <c r="Y490" s="13">
        <v>34074</v>
      </c>
      <c r="Z490" s="38">
        <v>31488</v>
      </c>
      <c r="AA490" s="9" t="s">
        <v>276</v>
      </c>
      <c r="AB490" s="9" t="s">
        <v>276</v>
      </c>
      <c r="AC490" s="8">
        <v>5</v>
      </c>
      <c r="AD490" s="8" t="s">
        <v>968</v>
      </c>
      <c r="AE490" s="8">
        <v>3</v>
      </c>
      <c r="AF490" s="8" t="s">
        <v>968</v>
      </c>
      <c r="AG490" s="9" t="s">
        <v>2583</v>
      </c>
      <c r="AH490" s="9" t="s">
        <v>2584</v>
      </c>
      <c r="AI490" s="38">
        <v>35</v>
      </c>
      <c r="AJ490" s="38">
        <v>7</v>
      </c>
      <c r="AK490" s="13">
        <v>267326</v>
      </c>
      <c r="AL490" s="38">
        <v>247895</v>
      </c>
      <c r="AM490" s="38" t="s">
        <v>1019</v>
      </c>
      <c r="AN490" s="8" t="s">
        <v>276</v>
      </c>
      <c r="AO490" s="14">
        <f>AI490*100000/AK490</f>
        <v>13.092628476092861</v>
      </c>
      <c r="AP490" s="8" t="s">
        <v>276</v>
      </c>
      <c r="AQ490" s="8" t="s">
        <v>276</v>
      </c>
      <c r="AR490" s="8" t="s">
        <v>276</v>
      </c>
      <c r="AS490" s="14">
        <f>AJ490*100000/AL490</f>
        <v>2.8237761955666714</v>
      </c>
      <c r="AT490" s="8" t="s">
        <v>276</v>
      </c>
      <c r="AU490" s="8" t="s">
        <v>276</v>
      </c>
      <c r="AV490" s="8" t="s">
        <v>269</v>
      </c>
      <c r="AW490" s="8" t="s">
        <v>276</v>
      </c>
      <c r="AX490" s="14">
        <f t="shared" ref="AX490:AX495" si="154">AO490/AS490</f>
        <v>4.6365673372586285</v>
      </c>
      <c r="AY490" s="8" t="s">
        <v>276</v>
      </c>
      <c r="AZ490" s="8" t="s">
        <v>276</v>
      </c>
      <c r="BA490" s="8" t="s">
        <v>276</v>
      </c>
      <c r="BB490" s="8" t="s">
        <v>282</v>
      </c>
      <c r="BC490" s="8" t="s">
        <v>276</v>
      </c>
      <c r="BD490" s="8" t="s">
        <v>276</v>
      </c>
      <c r="BE490" s="8" t="s">
        <v>276</v>
      </c>
      <c r="BF490" s="9" t="s">
        <v>2447</v>
      </c>
      <c r="BG490" s="9"/>
      <c r="BH490" s="9" t="s">
        <v>100</v>
      </c>
      <c r="BI490" s="9" t="s">
        <v>100</v>
      </c>
      <c r="BJ490" s="32"/>
      <c r="BK490" s="32"/>
      <c r="BO490" s="32"/>
      <c r="BP490" s="32"/>
    </row>
    <row r="491" spans="1:68" s="33" customFormat="1" ht="65" hidden="1" x14ac:dyDescent="0.35">
      <c r="A491" s="8">
        <v>2612</v>
      </c>
      <c r="B491" s="8" t="s">
        <v>2483</v>
      </c>
      <c r="C491" s="9" t="s">
        <v>2484</v>
      </c>
      <c r="D491" s="9" t="s">
        <v>2585</v>
      </c>
      <c r="E491" s="8" t="s">
        <v>37</v>
      </c>
      <c r="F491" s="8" t="s">
        <v>136</v>
      </c>
      <c r="G491" s="8" t="s">
        <v>225</v>
      </c>
      <c r="H491" s="8" t="s">
        <v>125</v>
      </c>
      <c r="I491" s="8" t="s">
        <v>114</v>
      </c>
      <c r="J491" s="9" t="s">
        <v>25</v>
      </c>
      <c r="K491" s="8" t="s">
        <v>930</v>
      </c>
      <c r="L491" s="8" t="s">
        <v>2567</v>
      </c>
      <c r="M491" s="8" t="s">
        <v>98</v>
      </c>
      <c r="N491" s="9" t="s">
        <v>2568</v>
      </c>
      <c r="O491" s="9" t="s">
        <v>2568</v>
      </c>
      <c r="P491" s="9" t="s">
        <v>239</v>
      </c>
      <c r="Q491" s="52">
        <v>39447</v>
      </c>
      <c r="R491" s="9" t="s">
        <v>278</v>
      </c>
      <c r="S491" s="13" t="s">
        <v>2581</v>
      </c>
      <c r="T491" s="38" t="s">
        <v>2582</v>
      </c>
      <c r="U491" s="9">
        <v>1</v>
      </c>
      <c r="V491" s="8" t="s">
        <v>14</v>
      </c>
      <c r="W491" s="8" t="s">
        <v>98</v>
      </c>
      <c r="X491" s="9" t="s">
        <v>207</v>
      </c>
      <c r="Y491" s="13">
        <v>34074</v>
      </c>
      <c r="Z491" s="38">
        <v>31488</v>
      </c>
      <c r="AA491" s="9" t="s">
        <v>276</v>
      </c>
      <c r="AB491" s="9" t="s">
        <v>276</v>
      </c>
      <c r="AC491" s="8">
        <v>5</v>
      </c>
      <c r="AD491" s="8" t="s">
        <v>968</v>
      </c>
      <c r="AE491" s="8">
        <v>3</v>
      </c>
      <c r="AF491" s="8" t="s">
        <v>968</v>
      </c>
      <c r="AG491" s="9" t="s">
        <v>2583</v>
      </c>
      <c r="AH491" s="9" t="s">
        <v>1176</v>
      </c>
      <c r="AI491" s="38">
        <v>35</v>
      </c>
      <c r="AJ491" s="38">
        <v>7</v>
      </c>
      <c r="AK491" s="13">
        <v>34074</v>
      </c>
      <c r="AL491" s="38">
        <v>31488</v>
      </c>
      <c r="AM491" s="38" t="s">
        <v>281</v>
      </c>
      <c r="AN491" s="8" t="s">
        <v>276</v>
      </c>
      <c r="AO491" s="14">
        <f>AI491*1000/AK491</f>
        <v>1.0271761460351001</v>
      </c>
      <c r="AP491" s="8" t="s">
        <v>276</v>
      </c>
      <c r="AQ491" s="8" t="s">
        <v>276</v>
      </c>
      <c r="AR491" s="8" t="s">
        <v>276</v>
      </c>
      <c r="AS491" s="14">
        <f>AJ491*1000/AL491</f>
        <v>0.2223069105691057</v>
      </c>
      <c r="AT491" s="8" t="s">
        <v>276</v>
      </c>
      <c r="AU491" s="8" t="s">
        <v>276</v>
      </c>
      <c r="AV491" s="8" t="s">
        <v>268</v>
      </c>
      <c r="AW491" s="8" t="s">
        <v>276</v>
      </c>
      <c r="AX491" s="14">
        <f t="shared" si="154"/>
        <v>4.620531783764747</v>
      </c>
      <c r="AY491" s="8" t="s">
        <v>276</v>
      </c>
      <c r="AZ491" s="8" t="s">
        <v>276</v>
      </c>
      <c r="BA491" s="8" t="s">
        <v>276</v>
      </c>
      <c r="BB491" s="8" t="s">
        <v>282</v>
      </c>
      <c r="BC491" s="8" t="s">
        <v>276</v>
      </c>
      <c r="BD491" s="8" t="s">
        <v>276</v>
      </c>
      <c r="BE491" s="8" t="s">
        <v>276</v>
      </c>
      <c r="BF491" s="9" t="s">
        <v>426</v>
      </c>
      <c r="BG491" s="9"/>
      <c r="BH491" s="9" t="s">
        <v>100</v>
      </c>
      <c r="BI491" s="9" t="s">
        <v>100</v>
      </c>
      <c r="BJ491" s="32"/>
      <c r="BK491" s="32"/>
      <c r="BO491" s="32"/>
      <c r="BP491" s="32"/>
    </row>
    <row r="492" spans="1:68" s="33" customFormat="1" ht="65" hidden="1" x14ac:dyDescent="0.35">
      <c r="A492" s="8">
        <v>2612</v>
      </c>
      <c r="B492" s="8" t="s">
        <v>2483</v>
      </c>
      <c r="C492" s="9" t="s">
        <v>2484</v>
      </c>
      <c r="D492" s="9" t="s">
        <v>2586</v>
      </c>
      <c r="E492" s="8" t="s">
        <v>37</v>
      </c>
      <c r="F492" s="8" t="s">
        <v>136</v>
      </c>
      <c r="G492" s="8" t="s">
        <v>225</v>
      </c>
      <c r="H492" s="8" t="s">
        <v>125</v>
      </c>
      <c r="I492" s="8" t="s">
        <v>114</v>
      </c>
      <c r="J492" s="9" t="s">
        <v>25</v>
      </c>
      <c r="K492" s="8" t="s">
        <v>934</v>
      </c>
      <c r="L492" s="8" t="s">
        <v>2567</v>
      </c>
      <c r="M492" s="8" t="s">
        <v>98</v>
      </c>
      <c r="N492" s="9" t="s">
        <v>2568</v>
      </c>
      <c r="O492" s="9" t="s">
        <v>2568</v>
      </c>
      <c r="P492" s="9" t="s">
        <v>239</v>
      </c>
      <c r="Q492" s="52">
        <v>39447</v>
      </c>
      <c r="R492" s="9" t="s">
        <v>278</v>
      </c>
      <c r="S492" s="13" t="s">
        <v>2581</v>
      </c>
      <c r="T492" s="38" t="s">
        <v>2582</v>
      </c>
      <c r="U492" s="9">
        <v>1</v>
      </c>
      <c r="V492" s="8" t="s">
        <v>14</v>
      </c>
      <c r="W492" s="8" t="s">
        <v>98</v>
      </c>
      <c r="X492" s="9" t="s">
        <v>207</v>
      </c>
      <c r="Y492" s="13">
        <v>34074</v>
      </c>
      <c r="Z492" s="38">
        <v>31488</v>
      </c>
      <c r="AA492" s="9" t="s">
        <v>276</v>
      </c>
      <c r="AB492" s="9" t="s">
        <v>276</v>
      </c>
      <c r="AC492" s="8">
        <v>5</v>
      </c>
      <c r="AD492" s="8" t="s">
        <v>968</v>
      </c>
      <c r="AE492" s="8">
        <v>3</v>
      </c>
      <c r="AF492" s="8" t="s">
        <v>968</v>
      </c>
      <c r="AG492" s="9" t="s">
        <v>2583</v>
      </c>
      <c r="AH492" s="9" t="s">
        <v>2584</v>
      </c>
      <c r="AI492" s="38">
        <v>31</v>
      </c>
      <c r="AJ492" s="38">
        <v>26</v>
      </c>
      <c r="AK492" s="13">
        <v>267326</v>
      </c>
      <c r="AL492" s="38">
        <v>247895</v>
      </c>
      <c r="AM492" s="38" t="s">
        <v>1019</v>
      </c>
      <c r="AN492" s="8" t="s">
        <v>276</v>
      </c>
      <c r="AO492" s="14">
        <f>AI492*100000/AK492</f>
        <v>11.596328078825104</v>
      </c>
      <c r="AP492" s="8" t="s">
        <v>276</v>
      </c>
      <c r="AQ492" s="8" t="s">
        <v>276</v>
      </c>
      <c r="AR492" s="8" t="s">
        <v>276</v>
      </c>
      <c r="AS492" s="14">
        <f>AJ492*100000/AL492</f>
        <v>10.488311583533351</v>
      </c>
      <c r="AT492" s="8" t="s">
        <v>276</v>
      </c>
      <c r="AU492" s="8" t="s">
        <v>276</v>
      </c>
      <c r="AV492" s="8" t="s">
        <v>269</v>
      </c>
      <c r="AW492" s="8" t="s">
        <v>276</v>
      </c>
      <c r="AX492" s="14">
        <f t="shared" si="154"/>
        <v>1.1056429804232113</v>
      </c>
      <c r="AY492" s="8" t="s">
        <v>276</v>
      </c>
      <c r="AZ492" s="8" t="s">
        <v>276</v>
      </c>
      <c r="BA492" s="8" t="s">
        <v>276</v>
      </c>
      <c r="BB492" s="8" t="s">
        <v>282</v>
      </c>
      <c r="BC492" s="8" t="s">
        <v>276</v>
      </c>
      <c r="BD492" s="8" t="s">
        <v>276</v>
      </c>
      <c r="BE492" s="8" t="s">
        <v>276</v>
      </c>
      <c r="BF492" s="9" t="s">
        <v>2447</v>
      </c>
      <c r="BG492" s="9"/>
      <c r="BH492" s="9" t="s">
        <v>100</v>
      </c>
      <c r="BI492" s="9" t="s">
        <v>100</v>
      </c>
      <c r="BJ492" s="32"/>
      <c r="BK492" s="32"/>
      <c r="BO492" s="32"/>
      <c r="BP492" s="32"/>
    </row>
    <row r="493" spans="1:68" s="33" customFormat="1" ht="65" hidden="1" x14ac:dyDescent="0.35">
      <c r="A493" s="8">
        <v>2612</v>
      </c>
      <c r="B493" s="8" t="s">
        <v>2483</v>
      </c>
      <c r="C493" s="9" t="s">
        <v>2484</v>
      </c>
      <c r="D493" s="9" t="s">
        <v>2587</v>
      </c>
      <c r="E493" s="8" t="s">
        <v>37</v>
      </c>
      <c r="F493" s="8" t="s">
        <v>136</v>
      </c>
      <c r="G493" s="8" t="s">
        <v>225</v>
      </c>
      <c r="H493" s="8" t="s">
        <v>125</v>
      </c>
      <c r="I493" s="8" t="s">
        <v>114</v>
      </c>
      <c r="J493" s="9" t="s">
        <v>25</v>
      </c>
      <c r="K493" s="8" t="s">
        <v>934</v>
      </c>
      <c r="L493" s="8" t="s">
        <v>2567</v>
      </c>
      <c r="M493" s="8" t="s">
        <v>98</v>
      </c>
      <c r="N493" s="9" t="s">
        <v>2568</v>
      </c>
      <c r="O493" s="9" t="s">
        <v>2568</v>
      </c>
      <c r="P493" s="9" t="s">
        <v>239</v>
      </c>
      <c r="Q493" s="52">
        <v>39447</v>
      </c>
      <c r="R493" s="9" t="s">
        <v>278</v>
      </c>
      <c r="S493" s="13" t="s">
        <v>2581</v>
      </c>
      <c r="T493" s="38" t="s">
        <v>2582</v>
      </c>
      <c r="U493" s="9">
        <v>1</v>
      </c>
      <c r="V493" s="8" t="s">
        <v>14</v>
      </c>
      <c r="W493" s="8" t="s">
        <v>98</v>
      </c>
      <c r="X493" s="9" t="s">
        <v>207</v>
      </c>
      <c r="Y493" s="13">
        <v>34074</v>
      </c>
      <c r="Z493" s="38">
        <v>31488</v>
      </c>
      <c r="AA493" s="9" t="s">
        <v>276</v>
      </c>
      <c r="AB493" s="9" t="s">
        <v>276</v>
      </c>
      <c r="AC493" s="8">
        <v>5</v>
      </c>
      <c r="AD493" s="8" t="s">
        <v>968</v>
      </c>
      <c r="AE493" s="8">
        <v>3</v>
      </c>
      <c r="AF493" s="8" t="s">
        <v>968</v>
      </c>
      <c r="AG493" s="9" t="s">
        <v>2583</v>
      </c>
      <c r="AH493" s="9" t="s">
        <v>1176</v>
      </c>
      <c r="AI493" s="38">
        <v>31</v>
      </c>
      <c r="AJ493" s="38">
        <v>26</v>
      </c>
      <c r="AK493" s="13">
        <v>34074</v>
      </c>
      <c r="AL493" s="38">
        <v>31488</v>
      </c>
      <c r="AM493" s="38" t="s">
        <v>281</v>
      </c>
      <c r="AN493" s="8" t="s">
        <v>276</v>
      </c>
      <c r="AO493" s="14">
        <f>AI493*1000/AK493</f>
        <v>0.90978458648823146</v>
      </c>
      <c r="AP493" s="8" t="s">
        <v>276</v>
      </c>
      <c r="AQ493" s="8" t="s">
        <v>276</v>
      </c>
      <c r="AR493" s="8" t="s">
        <v>276</v>
      </c>
      <c r="AS493" s="14">
        <f>AJ493*1000/AL493</f>
        <v>0.82571138211382111</v>
      </c>
      <c r="AT493" s="8" t="s">
        <v>276</v>
      </c>
      <c r="AU493" s="8" t="s">
        <v>276</v>
      </c>
      <c r="AV493" s="8" t="s">
        <v>268</v>
      </c>
      <c r="AW493" s="8" t="s">
        <v>276</v>
      </c>
      <c r="AX493" s="14">
        <f t="shared" si="154"/>
        <v>1.1018191176669783</v>
      </c>
      <c r="AY493" s="8" t="s">
        <v>276</v>
      </c>
      <c r="AZ493" s="8" t="s">
        <v>276</v>
      </c>
      <c r="BA493" s="8" t="s">
        <v>276</v>
      </c>
      <c r="BB493" s="8" t="s">
        <v>282</v>
      </c>
      <c r="BC493" s="8" t="s">
        <v>276</v>
      </c>
      <c r="BD493" s="8" t="s">
        <v>276</v>
      </c>
      <c r="BE493" s="8" t="s">
        <v>276</v>
      </c>
      <c r="BF493" s="9" t="s">
        <v>426</v>
      </c>
      <c r="BG493" s="9"/>
      <c r="BH493" s="9" t="s">
        <v>100</v>
      </c>
      <c r="BI493" s="9" t="s">
        <v>100</v>
      </c>
      <c r="BJ493" s="32"/>
      <c r="BK493" s="32"/>
      <c r="BO493" s="32"/>
      <c r="BP493" s="32"/>
    </row>
    <row r="494" spans="1:68" s="33" customFormat="1" ht="65" hidden="1" x14ac:dyDescent="0.35">
      <c r="A494" s="8">
        <v>2612</v>
      </c>
      <c r="B494" s="8" t="s">
        <v>2483</v>
      </c>
      <c r="C494" s="9" t="s">
        <v>2484</v>
      </c>
      <c r="D494" s="9" t="s">
        <v>2588</v>
      </c>
      <c r="E494" s="8" t="s">
        <v>37</v>
      </c>
      <c r="F494" s="8" t="s">
        <v>136</v>
      </c>
      <c r="G494" s="8" t="s">
        <v>225</v>
      </c>
      <c r="H494" s="8" t="s">
        <v>125</v>
      </c>
      <c r="I494" s="8" t="s">
        <v>114</v>
      </c>
      <c r="J494" s="9" t="s">
        <v>25</v>
      </c>
      <c r="K494" s="8" t="s">
        <v>300</v>
      </c>
      <c r="L494" s="8" t="s">
        <v>2567</v>
      </c>
      <c r="M494" s="8" t="s">
        <v>98</v>
      </c>
      <c r="N494" s="9" t="s">
        <v>2568</v>
      </c>
      <c r="O494" s="9" t="s">
        <v>2568</v>
      </c>
      <c r="P494" s="9" t="s">
        <v>239</v>
      </c>
      <c r="Q494" s="52">
        <v>39447</v>
      </c>
      <c r="R494" s="9" t="s">
        <v>278</v>
      </c>
      <c r="S494" s="13" t="s">
        <v>2581</v>
      </c>
      <c r="T494" s="38" t="s">
        <v>2582</v>
      </c>
      <c r="U494" s="9">
        <v>1</v>
      </c>
      <c r="V494" s="8" t="s">
        <v>14</v>
      </c>
      <c r="W494" s="8" t="s">
        <v>98</v>
      </c>
      <c r="X494" s="9" t="s">
        <v>207</v>
      </c>
      <c r="Y494" s="13">
        <v>34074</v>
      </c>
      <c r="Z494" s="38">
        <v>31488</v>
      </c>
      <c r="AA494" s="9" t="s">
        <v>276</v>
      </c>
      <c r="AB494" s="9" t="s">
        <v>276</v>
      </c>
      <c r="AC494" s="8">
        <v>5</v>
      </c>
      <c r="AD494" s="8" t="s">
        <v>968</v>
      </c>
      <c r="AE494" s="8">
        <v>3</v>
      </c>
      <c r="AF494" s="8" t="s">
        <v>968</v>
      </c>
      <c r="AG494" s="9" t="s">
        <v>2589</v>
      </c>
      <c r="AH494" s="9" t="s">
        <v>2584</v>
      </c>
      <c r="AI494" s="38">
        <f>35+31</f>
        <v>66</v>
      </c>
      <c r="AJ494" s="38">
        <f>7+26</f>
        <v>33</v>
      </c>
      <c r="AK494" s="13">
        <v>267326</v>
      </c>
      <c r="AL494" s="38">
        <v>247895</v>
      </c>
      <c r="AM494" s="38" t="s">
        <v>1019</v>
      </c>
      <c r="AN494" s="8" t="s">
        <v>276</v>
      </c>
      <c r="AO494" s="14">
        <f>AI494*100000/AK494</f>
        <v>24.688956554917965</v>
      </c>
      <c r="AP494" s="8" t="s">
        <v>276</v>
      </c>
      <c r="AQ494" s="8" t="s">
        <v>276</v>
      </c>
      <c r="AR494" s="8" t="s">
        <v>276</v>
      </c>
      <c r="AS494" s="14">
        <f>AJ494*100000/AL494</f>
        <v>13.312087779100022</v>
      </c>
      <c r="AT494" s="8" t="s">
        <v>276</v>
      </c>
      <c r="AU494" s="8" t="s">
        <v>276</v>
      </c>
      <c r="AV494" s="8" t="s">
        <v>269</v>
      </c>
      <c r="AW494" s="8" t="s">
        <v>276</v>
      </c>
      <c r="AX494" s="14">
        <f t="shared" si="154"/>
        <v>1.8546269349034512</v>
      </c>
      <c r="AY494" s="8" t="s">
        <v>276</v>
      </c>
      <c r="AZ494" s="8" t="s">
        <v>276</v>
      </c>
      <c r="BA494" s="8" t="s">
        <v>276</v>
      </c>
      <c r="BB494" s="8" t="s">
        <v>282</v>
      </c>
      <c r="BC494" s="8" t="s">
        <v>276</v>
      </c>
      <c r="BD494" s="8" t="s">
        <v>276</v>
      </c>
      <c r="BE494" s="8" t="s">
        <v>276</v>
      </c>
      <c r="BF494" s="9" t="s">
        <v>2447</v>
      </c>
      <c r="BG494" s="9"/>
      <c r="BH494" s="9" t="s">
        <v>100</v>
      </c>
      <c r="BI494" s="9" t="s">
        <v>100</v>
      </c>
      <c r="BJ494" s="32"/>
      <c r="BK494" s="32"/>
      <c r="BO494" s="32"/>
      <c r="BP494" s="32"/>
    </row>
    <row r="495" spans="1:68" s="33" customFormat="1" ht="78" hidden="1" x14ac:dyDescent="0.35">
      <c r="A495" s="8">
        <v>2612</v>
      </c>
      <c r="B495" s="8" t="s">
        <v>2483</v>
      </c>
      <c r="C495" s="9" t="s">
        <v>2484</v>
      </c>
      <c r="D495" s="9" t="s">
        <v>2590</v>
      </c>
      <c r="E495" s="8" t="s">
        <v>37</v>
      </c>
      <c r="F495" s="8" t="s">
        <v>136</v>
      </c>
      <c r="G495" s="8" t="s">
        <v>225</v>
      </c>
      <c r="H495" s="8" t="s">
        <v>125</v>
      </c>
      <c r="I495" s="8" t="s">
        <v>114</v>
      </c>
      <c r="J495" s="9" t="s">
        <v>25</v>
      </c>
      <c r="K495" s="8" t="s">
        <v>300</v>
      </c>
      <c r="L495" s="8" t="s">
        <v>2567</v>
      </c>
      <c r="M495" s="8" t="s">
        <v>98</v>
      </c>
      <c r="N495" s="9" t="s">
        <v>2568</v>
      </c>
      <c r="O495" s="9" t="s">
        <v>2568</v>
      </c>
      <c r="P495" s="9" t="s">
        <v>239</v>
      </c>
      <c r="Q495" s="52">
        <v>39447</v>
      </c>
      <c r="R495" s="9" t="s">
        <v>278</v>
      </c>
      <c r="S495" s="13" t="s">
        <v>2581</v>
      </c>
      <c r="T495" s="38" t="s">
        <v>2582</v>
      </c>
      <c r="U495" s="9">
        <v>1</v>
      </c>
      <c r="V495" s="8" t="s">
        <v>14</v>
      </c>
      <c r="W495" s="8" t="s">
        <v>98</v>
      </c>
      <c r="X495" s="9" t="s">
        <v>207</v>
      </c>
      <c r="Y495" s="13">
        <v>34074</v>
      </c>
      <c r="Z495" s="38">
        <v>31488</v>
      </c>
      <c r="AA495" s="9" t="s">
        <v>276</v>
      </c>
      <c r="AB495" s="9" t="s">
        <v>276</v>
      </c>
      <c r="AC495" s="8">
        <v>5</v>
      </c>
      <c r="AD495" s="8" t="s">
        <v>968</v>
      </c>
      <c r="AE495" s="8">
        <v>3</v>
      </c>
      <c r="AF495" s="8" t="s">
        <v>968</v>
      </c>
      <c r="AG495" s="9" t="s">
        <v>2589</v>
      </c>
      <c r="AH495" s="9" t="s">
        <v>1176</v>
      </c>
      <c r="AI495" s="38">
        <f>35+31</f>
        <v>66</v>
      </c>
      <c r="AJ495" s="38">
        <f>7+26</f>
        <v>33</v>
      </c>
      <c r="AK495" s="13">
        <v>34074</v>
      </c>
      <c r="AL495" s="38">
        <v>31488</v>
      </c>
      <c r="AM495" s="38" t="s">
        <v>281</v>
      </c>
      <c r="AN495" s="8" t="s">
        <v>276</v>
      </c>
      <c r="AO495" s="14">
        <f>AI495*1000/AK495</f>
        <v>1.9369607325233316</v>
      </c>
      <c r="AP495" s="8" t="s">
        <v>276</v>
      </c>
      <c r="AQ495" s="8" t="s">
        <v>276</v>
      </c>
      <c r="AR495" s="8" t="s">
        <v>276</v>
      </c>
      <c r="AS495" s="14">
        <f>AJ495*1000/AL495</f>
        <v>1.0480182926829269</v>
      </c>
      <c r="AT495" s="8" t="s">
        <v>276</v>
      </c>
      <c r="AU495" s="8" t="s">
        <v>276</v>
      </c>
      <c r="AV495" s="8" t="s">
        <v>268</v>
      </c>
      <c r="AW495" s="8" t="s">
        <v>276</v>
      </c>
      <c r="AX495" s="14">
        <f t="shared" si="154"/>
        <v>1.8482127135058988</v>
      </c>
      <c r="AY495" s="8" t="s">
        <v>276</v>
      </c>
      <c r="AZ495" s="8" t="s">
        <v>276</v>
      </c>
      <c r="BA495" s="8" t="s">
        <v>276</v>
      </c>
      <c r="BB495" s="8" t="s">
        <v>282</v>
      </c>
      <c r="BC495" s="8" t="s">
        <v>276</v>
      </c>
      <c r="BD495" s="8" t="s">
        <v>276</v>
      </c>
      <c r="BE495" s="8" t="s">
        <v>276</v>
      </c>
      <c r="BF495" s="9" t="s">
        <v>426</v>
      </c>
      <c r="BG495" s="9"/>
      <c r="BH495" s="9" t="s">
        <v>100</v>
      </c>
      <c r="BI495" s="9" t="s">
        <v>100</v>
      </c>
      <c r="BJ495" s="32"/>
      <c r="BK495" s="32"/>
      <c r="BO495" s="32"/>
      <c r="BP495" s="32"/>
    </row>
    <row r="496" spans="1:68" s="33" customFormat="1" ht="65" hidden="1" x14ac:dyDescent="0.35">
      <c r="A496" s="8">
        <v>2612</v>
      </c>
      <c r="B496" s="8" t="s">
        <v>2483</v>
      </c>
      <c r="C496" s="9" t="s">
        <v>2484</v>
      </c>
      <c r="D496" s="9" t="s">
        <v>2591</v>
      </c>
      <c r="E496" s="8" t="s">
        <v>37</v>
      </c>
      <c r="F496" s="8" t="s">
        <v>136</v>
      </c>
      <c r="G496" s="8" t="s">
        <v>225</v>
      </c>
      <c r="H496" s="8" t="s">
        <v>125</v>
      </c>
      <c r="I496" s="8" t="s">
        <v>114</v>
      </c>
      <c r="J496" s="9" t="s">
        <v>25</v>
      </c>
      <c r="K496" s="8" t="s">
        <v>2567</v>
      </c>
      <c r="L496" s="8" t="s">
        <v>2567</v>
      </c>
      <c r="M496" s="8" t="s">
        <v>98</v>
      </c>
      <c r="N496" s="9" t="s">
        <v>2568</v>
      </c>
      <c r="O496" s="9" t="s">
        <v>2568</v>
      </c>
      <c r="P496" s="9" t="s">
        <v>239</v>
      </c>
      <c r="Q496" s="52">
        <v>39447</v>
      </c>
      <c r="R496" s="9" t="s">
        <v>278</v>
      </c>
      <c r="S496" s="13" t="s">
        <v>2581</v>
      </c>
      <c r="T496" s="38" t="s">
        <v>2582</v>
      </c>
      <c r="U496" s="9">
        <v>1</v>
      </c>
      <c r="V496" s="8" t="s">
        <v>14</v>
      </c>
      <c r="W496" s="8" t="s">
        <v>98</v>
      </c>
      <c r="X496" s="9" t="s">
        <v>207</v>
      </c>
      <c r="Y496" s="13">
        <v>34074</v>
      </c>
      <c r="Z496" s="38">
        <v>31488</v>
      </c>
      <c r="AA496" s="9" t="s">
        <v>276</v>
      </c>
      <c r="AB496" s="9" t="s">
        <v>276</v>
      </c>
      <c r="AC496" s="8">
        <v>5</v>
      </c>
      <c r="AD496" s="8" t="s">
        <v>968</v>
      </c>
      <c r="AE496" s="8">
        <v>3</v>
      </c>
      <c r="AF496" s="8" t="s">
        <v>968</v>
      </c>
      <c r="AG496" s="9" t="s">
        <v>2592</v>
      </c>
      <c r="AH496" s="9" t="s">
        <v>2584</v>
      </c>
      <c r="AI496" s="38">
        <v>86</v>
      </c>
      <c r="AJ496" s="38">
        <v>82</v>
      </c>
      <c r="AK496" s="13">
        <v>267326</v>
      </c>
      <c r="AL496" s="38">
        <v>247895</v>
      </c>
      <c r="AM496" s="38" t="s">
        <v>1019</v>
      </c>
      <c r="AN496" s="8">
        <v>32.200000000000003</v>
      </c>
      <c r="AO496" s="14">
        <f>AI496*100000/AK496</f>
        <v>32.170458541256743</v>
      </c>
      <c r="AP496" s="8" t="s">
        <v>276</v>
      </c>
      <c r="AQ496" s="8" t="s">
        <v>276</v>
      </c>
      <c r="AR496" s="8">
        <v>33.1</v>
      </c>
      <c r="AS496" s="14">
        <f>AJ496*100000/AL496</f>
        <v>33.07852114806672</v>
      </c>
      <c r="AT496" s="8" t="s">
        <v>276</v>
      </c>
      <c r="AU496" s="8" t="s">
        <v>276</v>
      </c>
      <c r="AV496" s="8" t="s">
        <v>270</v>
      </c>
      <c r="AW496" s="8" t="s">
        <v>276</v>
      </c>
      <c r="AX496" s="8" t="s">
        <v>276</v>
      </c>
      <c r="AY496" s="8" t="s">
        <v>276</v>
      </c>
      <c r="AZ496" s="8" t="s">
        <v>276</v>
      </c>
      <c r="BA496" s="8" t="s">
        <v>276</v>
      </c>
      <c r="BB496" s="8" t="s">
        <v>2593</v>
      </c>
      <c r="BC496" s="8">
        <v>1.04</v>
      </c>
      <c r="BD496" s="8">
        <v>0.72</v>
      </c>
      <c r="BE496" s="8">
        <v>1.49</v>
      </c>
      <c r="BF496" s="9" t="s">
        <v>2447</v>
      </c>
      <c r="BG496" s="9"/>
      <c r="BH496" s="9" t="s">
        <v>100</v>
      </c>
      <c r="BI496" s="9" t="s">
        <v>100</v>
      </c>
      <c r="BJ496" s="32"/>
      <c r="BK496" s="32"/>
      <c r="BO496" s="32"/>
      <c r="BP496" s="32"/>
    </row>
    <row r="497" spans="1:68" s="33" customFormat="1" ht="65" hidden="1" x14ac:dyDescent="0.35">
      <c r="A497" s="8">
        <v>2612</v>
      </c>
      <c r="B497" s="8" t="s">
        <v>2483</v>
      </c>
      <c r="C497" s="9" t="s">
        <v>2484</v>
      </c>
      <c r="D497" s="9" t="s">
        <v>2594</v>
      </c>
      <c r="E497" s="8" t="s">
        <v>37</v>
      </c>
      <c r="F497" s="8" t="s">
        <v>136</v>
      </c>
      <c r="G497" s="8" t="s">
        <v>225</v>
      </c>
      <c r="H497" s="8" t="s">
        <v>125</v>
      </c>
      <c r="I497" s="8" t="s">
        <v>114</v>
      </c>
      <c r="J497" s="9" t="s">
        <v>25</v>
      </c>
      <c r="K497" s="8" t="s">
        <v>2567</v>
      </c>
      <c r="L497" s="8" t="s">
        <v>2567</v>
      </c>
      <c r="M497" s="8" t="s">
        <v>98</v>
      </c>
      <c r="N497" s="9" t="s">
        <v>2568</v>
      </c>
      <c r="O497" s="9" t="s">
        <v>2568</v>
      </c>
      <c r="P497" s="9" t="s">
        <v>239</v>
      </c>
      <c r="Q497" s="52">
        <v>39447</v>
      </c>
      <c r="R497" s="9" t="s">
        <v>278</v>
      </c>
      <c r="S497" s="13" t="s">
        <v>2581</v>
      </c>
      <c r="T497" s="38" t="s">
        <v>2582</v>
      </c>
      <c r="U497" s="9">
        <v>1</v>
      </c>
      <c r="V497" s="8" t="s">
        <v>14</v>
      </c>
      <c r="W497" s="8" t="s">
        <v>98</v>
      </c>
      <c r="X497" s="9" t="s">
        <v>207</v>
      </c>
      <c r="Y497" s="13">
        <v>34074</v>
      </c>
      <c r="Z497" s="38">
        <v>31488</v>
      </c>
      <c r="AA497" s="9" t="s">
        <v>276</v>
      </c>
      <c r="AB497" s="9" t="s">
        <v>276</v>
      </c>
      <c r="AC497" s="8">
        <v>5</v>
      </c>
      <c r="AD497" s="8" t="s">
        <v>968</v>
      </c>
      <c r="AE497" s="8">
        <v>3</v>
      </c>
      <c r="AF497" s="8" t="s">
        <v>968</v>
      </c>
      <c r="AG497" s="9" t="s">
        <v>2592</v>
      </c>
      <c r="AH497" s="9" t="s">
        <v>2584</v>
      </c>
      <c r="AI497" s="38">
        <v>86</v>
      </c>
      <c r="AJ497" s="38">
        <v>82</v>
      </c>
      <c r="AK497" s="13">
        <v>267326</v>
      </c>
      <c r="AL497" s="38">
        <v>247895</v>
      </c>
      <c r="AM497" s="38" t="s">
        <v>1019</v>
      </c>
      <c r="AN497" s="8">
        <v>32.200000000000003</v>
      </c>
      <c r="AO497" s="14">
        <f>AI497*100000/AK497</f>
        <v>32.170458541256743</v>
      </c>
      <c r="AP497" s="8" t="s">
        <v>276</v>
      </c>
      <c r="AQ497" s="8" t="s">
        <v>276</v>
      </c>
      <c r="AR497" s="8">
        <v>33.1</v>
      </c>
      <c r="AS497" s="14">
        <f>AJ497*100000/AL497</f>
        <v>33.07852114806672</v>
      </c>
      <c r="AT497" s="8" t="s">
        <v>276</v>
      </c>
      <c r="AU497" s="8" t="s">
        <v>276</v>
      </c>
      <c r="AV497" s="8" t="s">
        <v>269</v>
      </c>
      <c r="AW497" s="8" t="s">
        <v>276</v>
      </c>
      <c r="AX497" s="14">
        <f t="shared" ref="AX497:AX505" si="155">AO497/AS497</f>
        <v>0.97254827074205374</v>
      </c>
      <c r="AY497" s="8" t="s">
        <v>276</v>
      </c>
      <c r="AZ497" s="8" t="s">
        <v>276</v>
      </c>
      <c r="BA497" s="8" t="s">
        <v>276</v>
      </c>
      <c r="BB497" s="8" t="s">
        <v>282</v>
      </c>
      <c r="BC497" s="8" t="s">
        <v>276</v>
      </c>
      <c r="BD497" s="8" t="s">
        <v>276</v>
      </c>
      <c r="BE497" s="8" t="s">
        <v>276</v>
      </c>
      <c r="BF497" s="9" t="s">
        <v>2447</v>
      </c>
      <c r="BG497" s="9"/>
      <c r="BH497" s="9" t="s">
        <v>100</v>
      </c>
      <c r="BI497" s="9" t="s">
        <v>100</v>
      </c>
      <c r="BJ497" s="32"/>
      <c r="BK497" s="32"/>
      <c r="BO497" s="32"/>
      <c r="BP497" s="32"/>
    </row>
    <row r="498" spans="1:68" s="33" customFormat="1" ht="65" hidden="1" x14ac:dyDescent="0.35">
      <c r="A498" s="8">
        <v>2612</v>
      </c>
      <c r="B498" s="8" t="s">
        <v>2483</v>
      </c>
      <c r="C498" s="9" t="s">
        <v>2484</v>
      </c>
      <c r="D498" s="9" t="s">
        <v>2595</v>
      </c>
      <c r="E498" s="8" t="s">
        <v>37</v>
      </c>
      <c r="F498" s="8" t="s">
        <v>136</v>
      </c>
      <c r="G498" s="8" t="s">
        <v>225</v>
      </c>
      <c r="H498" s="8" t="s">
        <v>125</v>
      </c>
      <c r="I498" s="8" t="s">
        <v>114</v>
      </c>
      <c r="J498" s="9" t="s">
        <v>25</v>
      </c>
      <c r="K498" s="8" t="s">
        <v>2567</v>
      </c>
      <c r="L498" s="8" t="s">
        <v>2567</v>
      </c>
      <c r="M498" s="8" t="s">
        <v>98</v>
      </c>
      <c r="N498" s="9" t="s">
        <v>2568</v>
      </c>
      <c r="O498" s="9" t="s">
        <v>2568</v>
      </c>
      <c r="P498" s="9" t="s">
        <v>239</v>
      </c>
      <c r="Q498" s="52">
        <v>39447</v>
      </c>
      <c r="R498" s="9" t="s">
        <v>278</v>
      </c>
      <c r="S498" s="13" t="s">
        <v>2581</v>
      </c>
      <c r="T498" s="38" t="s">
        <v>2582</v>
      </c>
      <c r="U498" s="9">
        <v>1</v>
      </c>
      <c r="V498" s="8" t="s">
        <v>14</v>
      </c>
      <c r="W498" s="8" t="s">
        <v>98</v>
      </c>
      <c r="X498" s="9" t="s">
        <v>207</v>
      </c>
      <c r="Y498" s="13">
        <v>34074</v>
      </c>
      <c r="Z498" s="38">
        <v>31488</v>
      </c>
      <c r="AA498" s="9" t="s">
        <v>276</v>
      </c>
      <c r="AB498" s="9" t="s">
        <v>276</v>
      </c>
      <c r="AC498" s="8">
        <v>5</v>
      </c>
      <c r="AD498" s="8" t="s">
        <v>968</v>
      </c>
      <c r="AE498" s="8">
        <v>3</v>
      </c>
      <c r="AF498" s="8" t="s">
        <v>968</v>
      </c>
      <c r="AG498" s="9" t="s">
        <v>2592</v>
      </c>
      <c r="AH498" s="9" t="s">
        <v>1176</v>
      </c>
      <c r="AI498" s="38">
        <v>86</v>
      </c>
      <c r="AJ498" s="38">
        <v>82</v>
      </c>
      <c r="AK498" s="13">
        <v>34074</v>
      </c>
      <c r="AL498" s="38">
        <v>31488</v>
      </c>
      <c r="AM498" s="38" t="s">
        <v>281</v>
      </c>
      <c r="AN498" s="8" t="s">
        <v>276</v>
      </c>
      <c r="AO498" s="14">
        <f>AI498*1000/AK498</f>
        <v>2.5239185302576743</v>
      </c>
      <c r="AP498" s="8" t="s">
        <v>276</v>
      </c>
      <c r="AQ498" s="8" t="s">
        <v>276</v>
      </c>
      <c r="AR498" s="8" t="s">
        <v>276</v>
      </c>
      <c r="AS498" s="14">
        <f>AJ498*1000/AL498</f>
        <v>2.6041666666666665</v>
      </c>
      <c r="AT498" s="8" t="s">
        <v>276</v>
      </c>
      <c r="AU498" s="8" t="s">
        <v>276</v>
      </c>
      <c r="AV498" s="8" t="s">
        <v>268</v>
      </c>
      <c r="AW498" s="8" t="s">
        <v>276</v>
      </c>
      <c r="AX498" s="14">
        <f t="shared" si="155"/>
        <v>0.96918471561894703</v>
      </c>
      <c r="AY498" s="8" t="s">
        <v>276</v>
      </c>
      <c r="AZ498" s="8" t="s">
        <v>276</v>
      </c>
      <c r="BA498" s="8" t="s">
        <v>276</v>
      </c>
      <c r="BB498" s="8" t="s">
        <v>282</v>
      </c>
      <c r="BC498" s="8" t="s">
        <v>276</v>
      </c>
      <c r="BD498" s="8" t="s">
        <v>276</v>
      </c>
      <c r="BE498" s="8" t="s">
        <v>276</v>
      </c>
      <c r="BF498" s="9" t="s">
        <v>2596</v>
      </c>
      <c r="BG498" s="9"/>
      <c r="BH498" s="9" t="s">
        <v>100</v>
      </c>
      <c r="BI498" s="9" t="s">
        <v>100</v>
      </c>
      <c r="BJ498" s="32"/>
      <c r="BK498" s="32"/>
      <c r="BO498" s="32"/>
      <c r="BP498" s="32"/>
    </row>
    <row r="499" spans="1:68" s="33" customFormat="1" ht="65" hidden="1" x14ac:dyDescent="0.35">
      <c r="A499" s="8">
        <v>2612</v>
      </c>
      <c r="B499" s="8" t="s">
        <v>2483</v>
      </c>
      <c r="C499" s="9" t="s">
        <v>2484</v>
      </c>
      <c r="D499" s="9" t="s">
        <v>2597</v>
      </c>
      <c r="E499" s="8" t="s">
        <v>37</v>
      </c>
      <c r="F499" s="8" t="s">
        <v>136</v>
      </c>
      <c r="G499" s="8" t="s">
        <v>225</v>
      </c>
      <c r="H499" s="8" t="s">
        <v>125</v>
      </c>
      <c r="I499" s="8" t="s">
        <v>114</v>
      </c>
      <c r="J499" s="9" t="s">
        <v>25</v>
      </c>
      <c r="K499" s="8" t="s">
        <v>2567</v>
      </c>
      <c r="L499" s="8" t="s">
        <v>2567</v>
      </c>
      <c r="M499" s="8" t="s">
        <v>98</v>
      </c>
      <c r="N499" s="9" t="s">
        <v>2568</v>
      </c>
      <c r="O499" s="9" t="s">
        <v>2568</v>
      </c>
      <c r="P499" s="9" t="s">
        <v>235</v>
      </c>
      <c r="Q499" s="52">
        <v>39447</v>
      </c>
      <c r="R499" s="9" t="s">
        <v>278</v>
      </c>
      <c r="S499" s="13" t="s">
        <v>2581</v>
      </c>
      <c r="T499" s="38" t="s">
        <v>2582</v>
      </c>
      <c r="U499" s="9">
        <v>1</v>
      </c>
      <c r="V499" s="8" t="s">
        <v>14</v>
      </c>
      <c r="W499" s="8" t="s">
        <v>98</v>
      </c>
      <c r="X499" s="9" t="s">
        <v>207</v>
      </c>
      <c r="Y499" s="13" t="s">
        <v>98</v>
      </c>
      <c r="Z499" s="38" t="s">
        <v>98</v>
      </c>
      <c r="AA499" s="9" t="s">
        <v>276</v>
      </c>
      <c r="AB499" s="9" t="s">
        <v>276</v>
      </c>
      <c r="AC499" s="8">
        <v>5</v>
      </c>
      <c r="AD499" s="8" t="s">
        <v>968</v>
      </c>
      <c r="AE499" s="8">
        <v>3</v>
      </c>
      <c r="AF499" s="8" t="s">
        <v>968</v>
      </c>
      <c r="AG499" s="9" t="s">
        <v>2592</v>
      </c>
      <c r="AH499" s="9" t="s">
        <v>2598</v>
      </c>
      <c r="AI499" s="38">
        <v>86</v>
      </c>
      <c r="AJ499" s="38">
        <v>82</v>
      </c>
      <c r="AK499" s="13">
        <v>157</v>
      </c>
      <c r="AL499" s="38">
        <v>118</v>
      </c>
      <c r="AM499" s="38" t="s">
        <v>292</v>
      </c>
      <c r="AN499" s="8">
        <v>54.8</v>
      </c>
      <c r="AO499" s="14">
        <f>AI499*100/AK499</f>
        <v>54.777070063694268</v>
      </c>
      <c r="AP499" s="8" t="s">
        <v>276</v>
      </c>
      <c r="AQ499" s="8" t="s">
        <v>276</v>
      </c>
      <c r="AR499" s="8">
        <v>69.5</v>
      </c>
      <c r="AS499" s="14">
        <f>AJ499*100/AL499</f>
        <v>69.491525423728817</v>
      </c>
      <c r="AT499" s="8" t="s">
        <v>276</v>
      </c>
      <c r="AU499" s="8" t="s">
        <v>276</v>
      </c>
      <c r="AV499" s="8" t="s">
        <v>268</v>
      </c>
      <c r="AW499" s="8" t="s">
        <v>276</v>
      </c>
      <c r="AX499" s="14">
        <f t="shared" si="155"/>
        <v>0.78825539847755166</v>
      </c>
      <c r="AY499" s="8" t="s">
        <v>276</v>
      </c>
      <c r="AZ499" s="8" t="s">
        <v>276</v>
      </c>
      <c r="BA499" s="8" t="s">
        <v>276</v>
      </c>
      <c r="BB499" s="8" t="s">
        <v>282</v>
      </c>
      <c r="BC499" s="8" t="s">
        <v>276</v>
      </c>
      <c r="BD499" s="8" t="s">
        <v>276</v>
      </c>
      <c r="BE499" s="8" t="s">
        <v>276</v>
      </c>
      <c r="BF499" s="9" t="s">
        <v>2447</v>
      </c>
      <c r="BG499" s="9"/>
      <c r="BH499" s="9" t="s">
        <v>100</v>
      </c>
      <c r="BI499" s="9" t="s">
        <v>100</v>
      </c>
      <c r="BJ499" s="32"/>
      <c r="BK499" s="32"/>
      <c r="BO499" s="32"/>
      <c r="BP499" s="32"/>
    </row>
    <row r="500" spans="1:68" s="33" customFormat="1" ht="65" hidden="1" x14ac:dyDescent="0.35">
      <c r="A500" s="8">
        <v>2612</v>
      </c>
      <c r="B500" s="8" t="s">
        <v>2483</v>
      </c>
      <c r="C500" s="9" t="s">
        <v>2484</v>
      </c>
      <c r="D500" s="9" t="s">
        <v>2599</v>
      </c>
      <c r="E500" s="8" t="s">
        <v>37</v>
      </c>
      <c r="F500" s="9" t="s">
        <v>129</v>
      </c>
      <c r="G500" s="8" t="s">
        <v>225</v>
      </c>
      <c r="H500" s="8" t="s">
        <v>125</v>
      </c>
      <c r="I500" s="8" t="s">
        <v>114</v>
      </c>
      <c r="J500" s="9" t="s">
        <v>25</v>
      </c>
      <c r="K500" s="8" t="s">
        <v>930</v>
      </c>
      <c r="L500" s="8" t="s">
        <v>2567</v>
      </c>
      <c r="M500" s="8" t="s">
        <v>98</v>
      </c>
      <c r="N500" s="9" t="s">
        <v>2568</v>
      </c>
      <c r="O500" s="9" t="s">
        <v>2568</v>
      </c>
      <c r="P500" s="9" t="s">
        <v>239</v>
      </c>
      <c r="Q500" s="52">
        <v>39447</v>
      </c>
      <c r="R500" s="9" t="s">
        <v>278</v>
      </c>
      <c r="S500" s="38" t="s">
        <v>2600</v>
      </c>
      <c r="T500" s="38" t="s">
        <v>2582</v>
      </c>
      <c r="U500" s="9">
        <v>1</v>
      </c>
      <c r="V500" s="8" t="s">
        <v>14</v>
      </c>
      <c r="W500" s="8" t="s">
        <v>98</v>
      </c>
      <c r="X500" s="9" t="s">
        <v>207</v>
      </c>
      <c r="Y500" s="13">
        <v>32058</v>
      </c>
      <c r="Z500" s="38">
        <v>31488</v>
      </c>
      <c r="AA500" s="9" t="s">
        <v>276</v>
      </c>
      <c r="AB500" s="9" t="s">
        <v>276</v>
      </c>
      <c r="AC500" s="8">
        <v>5</v>
      </c>
      <c r="AD500" s="8" t="s">
        <v>968</v>
      </c>
      <c r="AE500" s="8">
        <v>3</v>
      </c>
      <c r="AF500" s="8" t="s">
        <v>968</v>
      </c>
      <c r="AG500" s="9" t="s">
        <v>2583</v>
      </c>
      <c r="AH500" s="9" t="s">
        <v>2584</v>
      </c>
      <c r="AI500" s="38">
        <v>60</v>
      </c>
      <c r="AJ500" s="38">
        <v>7</v>
      </c>
      <c r="AK500" s="13">
        <v>250523</v>
      </c>
      <c r="AL500" s="38">
        <v>247895</v>
      </c>
      <c r="AM500" s="38" t="s">
        <v>1019</v>
      </c>
      <c r="AN500" s="8" t="s">
        <v>276</v>
      </c>
      <c r="AO500" s="14">
        <f>AI500*100000/AK500</f>
        <v>23.949896815861219</v>
      </c>
      <c r="AP500" s="8" t="s">
        <v>276</v>
      </c>
      <c r="AQ500" s="8" t="s">
        <v>276</v>
      </c>
      <c r="AR500" s="8" t="s">
        <v>276</v>
      </c>
      <c r="AS500" s="14">
        <f>AJ500*100000/AL500</f>
        <v>2.8237761955666714</v>
      </c>
      <c r="AT500" s="8" t="s">
        <v>276</v>
      </c>
      <c r="AU500" s="8" t="s">
        <v>276</v>
      </c>
      <c r="AV500" s="8" t="s">
        <v>269</v>
      </c>
      <c r="AW500" s="8" t="s">
        <v>276</v>
      </c>
      <c r="AX500" s="14">
        <f t="shared" si="155"/>
        <v>8.4815138159541679</v>
      </c>
      <c r="AY500" s="8" t="s">
        <v>276</v>
      </c>
      <c r="AZ500" s="8" t="s">
        <v>276</v>
      </c>
      <c r="BA500" s="8" t="s">
        <v>276</v>
      </c>
      <c r="BB500" s="8" t="s">
        <v>282</v>
      </c>
      <c r="BC500" s="8" t="s">
        <v>276</v>
      </c>
      <c r="BD500" s="8" t="s">
        <v>276</v>
      </c>
      <c r="BE500" s="8" t="s">
        <v>276</v>
      </c>
      <c r="BF500" s="9" t="s">
        <v>2447</v>
      </c>
      <c r="BG500" s="9"/>
      <c r="BH500" s="9" t="s">
        <v>100</v>
      </c>
      <c r="BI500" s="9" t="s">
        <v>100</v>
      </c>
      <c r="BJ500" s="32"/>
      <c r="BK500" s="32"/>
      <c r="BO500" s="32"/>
      <c r="BP500" s="32"/>
    </row>
    <row r="501" spans="1:68" s="33" customFormat="1" ht="65" hidden="1" x14ac:dyDescent="0.35">
      <c r="A501" s="8">
        <v>2612</v>
      </c>
      <c r="B501" s="8" t="s">
        <v>2483</v>
      </c>
      <c r="C501" s="9" t="s">
        <v>2484</v>
      </c>
      <c r="D501" s="9" t="s">
        <v>2601</v>
      </c>
      <c r="E501" s="8" t="s">
        <v>37</v>
      </c>
      <c r="F501" s="9" t="s">
        <v>129</v>
      </c>
      <c r="G501" s="8" t="s">
        <v>225</v>
      </c>
      <c r="H501" s="8" t="s">
        <v>125</v>
      </c>
      <c r="I501" s="8" t="s">
        <v>114</v>
      </c>
      <c r="J501" s="9" t="s">
        <v>25</v>
      </c>
      <c r="K501" s="8" t="s">
        <v>930</v>
      </c>
      <c r="L501" s="8" t="s">
        <v>2567</v>
      </c>
      <c r="M501" s="8" t="s">
        <v>98</v>
      </c>
      <c r="N501" s="9" t="s">
        <v>2568</v>
      </c>
      <c r="O501" s="9" t="s">
        <v>2568</v>
      </c>
      <c r="P501" s="9" t="s">
        <v>239</v>
      </c>
      <c r="Q501" s="52">
        <v>39447</v>
      </c>
      <c r="R501" s="9" t="s">
        <v>278</v>
      </c>
      <c r="S501" s="38" t="s">
        <v>2600</v>
      </c>
      <c r="T501" s="38" t="s">
        <v>2582</v>
      </c>
      <c r="U501" s="9">
        <v>1</v>
      </c>
      <c r="V501" s="8" t="s">
        <v>14</v>
      </c>
      <c r="W501" s="8" t="s">
        <v>98</v>
      </c>
      <c r="X501" s="9" t="s">
        <v>207</v>
      </c>
      <c r="Y501" s="13">
        <v>32058</v>
      </c>
      <c r="Z501" s="38">
        <v>31488</v>
      </c>
      <c r="AA501" s="9" t="s">
        <v>276</v>
      </c>
      <c r="AB501" s="9" t="s">
        <v>276</v>
      </c>
      <c r="AC501" s="8">
        <v>5</v>
      </c>
      <c r="AD501" s="8" t="s">
        <v>968</v>
      </c>
      <c r="AE501" s="8">
        <v>3</v>
      </c>
      <c r="AF501" s="8" t="s">
        <v>968</v>
      </c>
      <c r="AG501" s="9" t="s">
        <v>2583</v>
      </c>
      <c r="AH501" s="9" t="s">
        <v>1176</v>
      </c>
      <c r="AI501" s="38">
        <v>60</v>
      </c>
      <c r="AJ501" s="38">
        <v>7</v>
      </c>
      <c r="AK501" s="13">
        <v>32058</v>
      </c>
      <c r="AL501" s="38">
        <v>31488</v>
      </c>
      <c r="AM501" s="38" t="s">
        <v>281</v>
      </c>
      <c r="AN501" s="8" t="s">
        <v>276</v>
      </c>
      <c r="AO501" s="14">
        <f>AI501*1000/AK501</f>
        <v>1.8716077110237694</v>
      </c>
      <c r="AP501" s="8" t="s">
        <v>276</v>
      </c>
      <c r="AQ501" s="8" t="s">
        <v>276</v>
      </c>
      <c r="AR501" s="8" t="s">
        <v>276</v>
      </c>
      <c r="AS501" s="14">
        <f>AJ501*1000/AL501</f>
        <v>0.2223069105691057</v>
      </c>
      <c r="AT501" s="8" t="s">
        <v>276</v>
      </c>
      <c r="AU501" s="8" t="s">
        <v>276</v>
      </c>
      <c r="AV501" s="8" t="s">
        <v>268</v>
      </c>
      <c r="AW501" s="8" t="s">
        <v>276</v>
      </c>
      <c r="AX501" s="14">
        <f t="shared" si="155"/>
        <v>8.4190262292452065</v>
      </c>
      <c r="AY501" s="8" t="s">
        <v>276</v>
      </c>
      <c r="AZ501" s="8" t="s">
        <v>276</v>
      </c>
      <c r="BA501" s="8" t="s">
        <v>276</v>
      </c>
      <c r="BB501" s="8" t="s">
        <v>282</v>
      </c>
      <c r="BC501" s="8" t="s">
        <v>276</v>
      </c>
      <c r="BD501" s="8" t="s">
        <v>276</v>
      </c>
      <c r="BE501" s="8" t="s">
        <v>276</v>
      </c>
      <c r="BF501" s="9" t="s">
        <v>426</v>
      </c>
      <c r="BG501" s="9"/>
      <c r="BH501" s="9" t="s">
        <v>100</v>
      </c>
      <c r="BI501" s="9" t="s">
        <v>100</v>
      </c>
      <c r="BJ501" s="32"/>
      <c r="BK501" s="32"/>
      <c r="BO501" s="32"/>
      <c r="BP501" s="32"/>
    </row>
    <row r="502" spans="1:68" s="33" customFormat="1" ht="65" hidden="1" x14ac:dyDescent="0.35">
      <c r="A502" s="8">
        <v>2612</v>
      </c>
      <c r="B502" s="8" t="s">
        <v>2483</v>
      </c>
      <c r="C502" s="9" t="s">
        <v>2484</v>
      </c>
      <c r="D502" s="9" t="s">
        <v>2602</v>
      </c>
      <c r="E502" s="8" t="s">
        <v>37</v>
      </c>
      <c r="F502" s="9" t="s">
        <v>129</v>
      </c>
      <c r="G502" s="8" t="s">
        <v>225</v>
      </c>
      <c r="H502" s="8" t="s">
        <v>125</v>
      </c>
      <c r="I502" s="8" t="s">
        <v>114</v>
      </c>
      <c r="J502" s="9" t="s">
        <v>25</v>
      </c>
      <c r="K502" s="8" t="s">
        <v>934</v>
      </c>
      <c r="L502" s="8" t="s">
        <v>2567</v>
      </c>
      <c r="M502" s="8" t="s">
        <v>98</v>
      </c>
      <c r="N502" s="9" t="s">
        <v>2568</v>
      </c>
      <c r="O502" s="9" t="s">
        <v>2568</v>
      </c>
      <c r="P502" s="9" t="s">
        <v>239</v>
      </c>
      <c r="Q502" s="52">
        <v>39447</v>
      </c>
      <c r="R502" s="9" t="s">
        <v>278</v>
      </c>
      <c r="S502" s="38" t="s">
        <v>2600</v>
      </c>
      <c r="T502" s="38" t="s">
        <v>2582</v>
      </c>
      <c r="U502" s="9">
        <v>1</v>
      </c>
      <c r="V502" s="8" t="s">
        <v>14</v>
      </c>
      <c r="W502" s="8" t="s">
        <v>98</v>
      </c>
      <c r="X502" s="9" t="s">
        <v>207</v>
      </c>
      <c r="Y502" s="13">
        <v>32058</v>
      </c>
      <c r="Z502" s="38">
        <v>31488</v>
      </c>
      <c r="AA502" s="9" t="s">
        <v>276</v>
      </c>
      <c r="AB502" s="9" t="s">
        <v>276</v>
      </c>
      <c r="AC502" s="8">
        <v>5</v>
      </c>
      <c r="AD502" s="8" t="s">
        <v>968</v>
      </c>
      <c r="AE502" s="8">
        <v>3</v>
      </c>
      <c r="AF502" s="8" t="s">
        <v>968</v>
      </c>
      <c r="AG502" s="9" t="s">
        <v>2583</v>
      </c>
      <c r="AH502" s="9" t="s">
        <v>2584</v>
      </c>
      <c r="AI502" s="38">
        <v>29</v>
      </c>
      <c r="AJ502" s="38">
        <v>26</v>
      </c>
      <c r="AK502" s="13">
        <v>250523</v>
      </c>
      <c r="AL502" s="38">
        <v>247895</v>
      </c>
      <c r="AM502" s="38" t="s">
        <v>1019</v>
      </c>
      <c r="AN502" s="8" t="s">
        <v>276</v>
      </c>
      <c r="AO502" s="14">
        <f>AI502*100000/AK502</f>
        <v>11.575783460999588</v>
      </c>
      <c r="AP502" s="8" t="s">
        <v>276</v>
      </c>
      <c r="AQ502" s="8" t="s">
        <v>276</v>
      </c>
      <c r="AR502" s="8" t="s">
        <v>276</v>
      </c>
      <c r="AS502" s="14">
        <f>AJ502*100000/AL502</f>
        <v>10.488311583533351</v>
      </c>
      <c r="AT502" s="8" t="s">
        <v>276</v>
      </c>
      <c r="AU502" s="8" t="s">
        <v>276</v>
      </c>
      <c r="AV502" s="8" t="s">
        <v>269</v>
      </c>
      <c r="AW502" s="8" t="s">
        <v>276</v>
      </c>
      <c r="AX502" s="14">
        <f t="shared" si="155"/>
        <v>1.1036841696401896</v>
      </c>
      <c r="AY502" s="8" t="s">
        <v>276</v>
      </c>
      <c r="AZ502" s="8" t="s">
        <v>276</v>
      </c>
      <c r="BA502" s="8" t="s">
        <v>276</v>
      </c>
      <c r="BB502" s="8" t="s">
        <v>282</v>
      </c>
      <c r="BC502" s="8" t="s">
        <v>276</v>
      </c>
      <c r="BD502" s="8" t="s">
        <v>276</v>
      </c>
      <c r="BE502" s="8" t="s">
        <v>276</v>
      </c>
      <c r="BF502" s="9" t="s">
        <v>2447</v>
      </c>
      <c r="BG502" s="9"/>
      <c r="BH502" s="9" t="s">
        <v>100</v>
      </c>
      <c r="BI502" s="9" t="s">
        <v>100</v>
      </c>
      <c r="BJ502" s="32"/>
      <c r="BK502" s="32"/>
      <c r="BO502" s="32"/>
      <c r="BP502" s="32"/>
    </row>
    <row r="503" spans="1:68" s="33" customFormat="1" ht="65" hidden="1" x14ac:dyDescent="0.35">
      <c r="A503" s="8">
        <v>2612</v>
      </c>
      <c r="B503" s="8" t="s">
        <v>2483</v>
      </c>
      <c r="C503" s="9" t="s">
        <v>2484</v>
      </c>
      <c r="D503" s="9" t="s">
        <v>2603</v>
      </c>
      <c r="E503" s="8" t="s">
        <v>37</v>
      </c>
      <c r="F503" s="9" t="s">
        <v>129</v>
      </c>
      <c r="G503" s="8" t="s">
        <v>225</v>
      </c>
      <c r="H503" s="8" t="s">
        <v>125</v>
      </c>
      <c r="I503" s="8" t="s">
        <v>114</v>
      </c>
      <c r="J503" s="9" t="s">
        <v>25</v>
      </c>
      <c r="K503" s="8" t="s">
        <v>934</v>
      </c>
      <c r="L503" s="8" t="s">
        <v>2567</v>
      </c>
      <c r="M503" s="8" t="s">
        <v>98</v>
      </c>
      <c r="N503" s="9" t="s">
        <v>2568</v>
      </c>
      <c r="O503" s="9" t="s">
        <v>2568</v>
      </c>
      <c r="P503" s="9" t="s">
        <v>239</v>
      </c>
      <c r="Q503" s="52">
        <v>39447</v>
      </c>
      <c r="R503" s="9" t="s">
        <v>278</v>
      </c>
      <c r="S503" s="38" t="s">
        <v>2600</v>
      </c>
      <c r="T503" s="38" t="s">
        <v>2582</v>
      </c>
      <c r="U503" s="9">
        <v>1</v>
      </c>
      <c r="V503" s="8" t="s">
        <v>14</v>
      </c>
      <c r="W503" s="8" t="s">
        <v>98</v>
      </c>
      <c r="X503" s="9" t="s">
        <v>207</v>
      </c>
      <c r="Y503" s="13">
        <v>32058</v>
      </c>
      <c r="Z503" s="38">
        <v>31488</v>
      </c>
      <c r="AA503" s="9" t="s">
        <v>276</v>
      </c>
      <c r="AB503" s="9" t="s">
        <v>276</v>
      </c>
      <c r="AC503" s="8">
        <v>5</v>
      </c>
      <c r="AD503" s="8" t="s">
        <v>968</v>
      </c>
      <c r="AE503" s="8">
        <v>3</v>
      </c>
      <c r="AF503" s="8" t="s">
        <v>968</v>
      </c>
      <c r="AG503" s="9" t="s">
        <v>2583</v>
      </c>
      <c r="AH503" s="9" t="s">
        <v>1176</v>
      </c>
      <c r="AI503" s="38">
        <v>29</v>
      </c>
      <c r="AJ503" s="38">
        <v>26</v>
      </c>
      <c r="AK503" s="13">
        <v>32058</v>
      </c>
      <c r="AL503" s="38">
        <v>31488</v>
      </c>
      <c r="AM503" s="38" t="s">
        <v>281</v>
      </c>
      <c r="AN503" s="8" t="s">
        <v>276</v>
      </c>
      <c r="AO503" s="14">
        <f>AI503*1000/AK503</f>
        <v>0.90461039366148854</v>
      </c>
      <c r="AP503" s="8" t="s">
        <v>276</v>
      </c>
      <c r="AQ503" s="8" t="s">
        <v>276</v>
      </c>
      <c r="AR503" s="8" t="s">
        <v>276</v>
      </c>
      <c r="AS503" s="14">
        <f>AJ503*1000/AL503</f>
        <v>0.82571138211382111</v>
      </c>
      <c r="AT503" s="8" t="s">
        <v>276</v>
      </c>
      <c r="AU503" s="8" t="s">
        <v>276</v>
      </c>
      <c r="AV503" s="8" t="s">
        <v>268</v>
      </c>
      <c r="AW503" s="8" t="s">
        <v>276</v>
      </c>
      <c r="AX503" s="14">
        <f t="shared" si="155"/>
        <v>1.0955527721389597</v>
      </c>
      <c r="AY503" s="8" t="s">
        <v>276</v>
      </c>
      <c r="AZ503" s="8" t="s">
        <v>276</v>
      </c>
      <c r="BA503" s="8" t="s">
        <v>276</v>
      </c>
      <c r="BB503" s="8" t="s">
        <v>282</v>
      </c>
      <c r="BC503" s="8" t="s">
        <v>276</v>
      </c>
      <c r="BD503" s="8" t="s">
        <v>276</v>
      </c>
      <c r="BE503" s="8" t="s">
        <v>276</v>
      </c>
      <c r="BF503" s="9" t="s">
        <v>426</v>
      </c>
      <c r="BG503" s="9"/>
      <c r="BH503" s="9" t="s">
        <v>100</v>
      </c>
      <c r="BI503" s="9" t="s">
        <v>100</v>
      </c>
      <c r="BJ503" s="32"/>
      <c r="BK503" s="32"/>
      <c r="BO503" s="32"/>
      <c r="BP503" s="32"/>
    </row>
    <row r="504" spans="1:68" s="33" customFormat="1" ht="65" hidden="1" x14ac:dyDescent="0.35">
      <c r="A504" s="8">
        <v>2612</v>
      </c>
      <c r="B504" s="8" t="s">
        <v>2483</v>
      </c>
      <c r="C504" s="9" t="s">
        <v>2484</v>
      </c>
      <c r="D504" s="9" t="s">
        <v>2604</v>
      </c>
      <c r="E504" s="8" t="s">
        <v>37</v>
      </c>
      <c r="F504" s="9" t="s">
        <v>129</v>
      </c>
      <c r="G504" s="8" t="s">
        <v>225</v>
      </c>
      <c r="H504" s="8" t="s">
        <v>125</v>
      </c>
      <c r="I504" s="8" t="s">
        <v>114</v>
      </c>
      <c r="J504" s="9" t="s">
        <v>25</v>
      </c>
      <c r="K504" s="8" t="s">
        <v>300</v>
      </c>
      <c r="L504" s="8" t="s">
        <v>2567</v>
      </c>
      <c r="M504" s="8" t="s">
        <v>98</v>
      </c>
      <c r="N504" s="9" t="s">
        <v>2568</v>
      </c>
      <c r="O504" s="9" t="s">
        <v>2568</v>
      </c>
      <c r="P504" s="9" t="s">
        <v>239</v>
      </c>
      <c r="Q504" s="52">
        <v>39447</v>
      </c>
      <c r="R504" s="9" t="s">
        <v>278</v>
      </c>
      <c r="S504" s="38" t="s">
        <v>2600</v>
      </c>
      <c r="T504" s="38" t="s">
        <v>2582</v>
      </c>
      <c r="U504" s="9">
        <v>1</v>
      </c>
      <c r="V504" s="8" t="s">
        <v>14</v>
      </c>
      <c r="W504" s="8" t="s">
        <v>98</v>
      </c>
      <c r="X504" s="9" t="s">
        <v>207</v>
      </c>
      <c r="Y504" s="13">
        <v>32058</v>
      </c>
      <c r="Z504" s="38">
        <v>31488</v>
      </c>
      <c r="AA504" s="9" t="s">
        <v>276</v>
      </c>
      <c r="AB504" s="9" t="s">
        <v>276</v>
      </c>
      <c r="AC504" s="8">
        <v>5</v>
      </c>
      <c r="AD504" s="8" t="s">
        <v>968</v>
      </c>
      <c r="AE504" s="8">
        <v>3</v>
      </c>
      <c r="AF504" s="8" t="s">
        <v>968</v>
      </c>
      <c r="AG504" s="9" t="s">
        <v>2589</v>
      </c>
      <c r="AH504" s="9" t="s">
        <v>2584</v>
      </c>
      <c r="AI504" s="38">
        <f>60+29</f>
        <v>89</v>
      </c>
      <c r="AJ504" s="38">
        <f>7+26</f>
        <v>33</v>
      </c>
      <c r="AK504" s="13">
        <v>250523</v>
      </c>
      <c r="AL504" s="38">
        <v>247895</v>
      </c>
      <c r="AM504" s="38" t="s">
        <v>1019</v>
      </c>
      <c r="AN504" s="8" t="s">
        <v>276</v>
      </c>
      <c r="AO504" s="14">
        <f>AI504*100000/AK504</f>
        <v>35.525680276860804</v>
      </c>
      <c r="AP504" s="8" t="s">
        <v>276</v>
      </c>
      <c r="AQ504" s="8" t="s">
        <v>276</v>
      </c>
      <c r="AR504" s="8" t="s">
        <v>276</v>
      </c>
      <c r="AS504" s="14">
        <f>AJ504*100000/AL504</f>
        <v>13.312087779100022</v>
      </c>
      <c r="AT504" s="8" t="s">
        <v>276</v>
      </c>
      <c r="AU504" s="8" t="s">
        <v>276</v>
      </c>
      <c r="AV504" s="8" t="s">
        <v>269</v>
      </c>
      <c r="AW504" s="8" t="s">
        <v>276</v>
      </c>
      <c r="AX504" s="14">
        <f t="shared" si="155"/>
        <v>2.6686783370401241</v>
      </c>
      <c r="AY504" s="8" t="s">
        <v>276</v>
      </c>
      <c r="AZ504" s="8" t="s">
        <v>276</v>
      </c>
      <c r="BA504" s="8" t="s">
        <v>276</v>
      </c>
      <c r="BB504" s="8" t="s">
        <v>282</v>
      </c>
      <c r="BC504" s="8" t="s">
        <v>276</v>
      </c>
      <c r="BD504" s="8" t="s">
        <v>276</v>
      </c>
      <c r="BE504" s="8" t="s">
        <v>276</v>
      </c>
      <c r="BF504" s="9" t="s">
        <v>2447</v>
      </c>
      <c r="BG504" s="9"/>
      <c r="BH504" s="9" t="s">
        <v>100</v>
      </c>
      <c r="BI504" s="9" t="s">
        <v>100</v>
      </c>
      <c r="BJ504" s="32"/>
      <c r="BK504" s="32"/>
      <c r="BO504" s="32"/>
      <c r="BP504" s="32"/>
    </row>
    <row r="505" spans="1:68" s="33" customFormat="1" ht="78" hidden="1" x14ac:dyDescent="0.35">
      <c r="A505" s="8">
        <v>2612</v>
      </c>
      <c r="B505" s="8" t="s">
        <v>2483</v>
      </c>
      <c r="C505" s="9" t="s">
        <v>2484</v>
      </c>
      <c r="D505" s="9" t="s">
        <v>2605</v>
      </c>
      <c r="E505" s="8" t="s">
        <v>37</v>
      </c>
      <c r="F505" s="9" t="s">
        <v>129</v>
      </c>
      <c r="G505" s="8" t="s">
        <v>225</v>
      </c>
      <c r="H505" s="8" t="s">
        <v>125</v>
      </c>
      <c r="I505" s="8" t="s">
        <v>114</v>
      </c>
      <c r="J505" s="9" t="s">
        <v>25</v>
      </c>
      <c r="K505" s="8" t="s">
        <v>300</v>
      </c>
      <c r="L505" s="8" t="s">
        <v>2567</v>
      </c>
      <c r="M505" s="8" t="s">
        <v>98</v>
      </c>
      <c r="N505" s="9" t="s">
        <v>2568</v>
      </c>
      <c r="O505" s="9" t="s">
        <v>2568</v>
      </c>
      <c r="P505" s="9" t="s">
        <v>239</v>
      </c>
      <c r="Q505" s="52">
        <v>39447</v>
      </c>
      <c r="R505" s="9" t="s">
        <v>278</v>
      </c>
      <c r="S505" s="38" t="s">
        <v>2600</v>
      </c>
      <c r="T505" s="38" t="s">
        <v>2582</v>
      </c>
      <c r="U505" s="9">
        <v>1</v>
      </c>
      <c r="V505" s="8" t="s">
        <v>14</v>
      </c>
      <c r="W505" s="8" t="s">
        <v>98</v>
      </c>
      <c r="X505" s="9" t="s">
        <v>207</v>
      </c>
      <c r="Y505" s="13">
        <v>32058</v>
      </c>
      <c r="Z505" s="38">
        <v>31488</v>
      </c>
      <c r="AA505" s="9" t="s">
        <v>276</v>
      </c>
      <c r="AB505" s="9" t="s">
        <v>276</v>
      </c>
      <c r="AC505" s="8">
        <v>5</v>
      </c>
      <c r="AD505" s="8" t="s">
        <v>968</v>
      </c>
      <c r="AE505" s="8">
        <v>3</v>
      </c>
      <c r="AF505" s="8" t="s">
        <v>968</v>
      </c>
      <c r="AG505" s="9" t="s">
        <v>2589</v>
      </c>
      <c r="AH505" s="9" t="s">
        <v>1176</v>
      </c>
      <c r="AI505" s="38">
        <f>60+29</f>
        <v>89</v>
      </c>
      <c r="AJ505" s="38">
        <f>7+26</f>
        <v>33</v>
      </c>
      <c r="AK505" s="13">
        <v>32058</v>
      </c>
      <c r="AL505" s="38">
        <v>31488</v>
      </c>
      <c r="AM505" s="38" t="s">
        <v>281</v>
      </c>
      <c r="AN505" s="8" t="s">
        <v>276</v>
      </c>
      <c r="AO505" s="14">
        <f>AI505*1000/AK505</f>
        <v>2.7762181046852579</v>
      </c>
      <c r="AP505" s="8" t="s">
        <v>276</v>
      </c>
      <c r="AQ505" s="8" t="s">
        <v>276</v>
      </c>
      <c r="AR505" s="8" t="s">
        <v>276</v>
      </c>
      <c r="AS505" s="14">
        <f>AJ505*1000/AL505</f>
        <v>1.0480182926829269</v>
      </c>
      <c r="AT505" s="8" t="s">
        <v>276</v>
      </c>
      <c r="AU505" s="8" t="s">
        <v>276</v>
      </c>
      <c r="AV505" s="8" t="s">
        <v>268</v>
      </c>
      <c r="AW505" s="8" t="s">
        <v>276</v>
      </c>
      <c r="AX505" s="14">
        <f t="shared" si="155"/>
        <v>2.6490168387978605</v>
      </c>
      <c r="AY505" s="8" t="s">
        <v>276</v>
      </c>
      <c r="AZ505" s="8" t="s">
        <v>276</v>
      </c>
      <c r="BA505" s="8" t="s">
        <v>276</v>
      </c>
      <c r="BB505" s="8" t="s">
        <v>282</v>
      </c>
      <c r="BC505" s="8" t="s">
        <v>276</v>
      </c>
      <c r="BD505" s="8" t="s">
        <v>276</v>
      </c>
      <c r="BE505" s="8" t="s">
        <v>276</v>
      </c>
      <c r="BF505" s="9" t="s">
        <v>426</v>
      </c>
      <c r="BG505" s="9"/>
      <c r="BH505" s="9" t="s">
        <v>100</v>
      </c>
      <c r="BI505" s="9" t="s">
        <v>100</v>
      </c>
      <c r="BJ505" s="32"/>
      <c r="BK505" s="32"/>
      <c r="BO505" s="32"/>
      <c r="BP505" s="32"/>
    </row>
    <row r="506" spans="1:68" s="33" customFormat="1" ht="65" hidden="1" x14ac:dyDescent="0.35">
      <c r="A506" s="8">
        <v>2612</v>
      </c>
      <c r="B506" s="8" t="s">
        <v>2483</v>
      </c>
      <c r="C506" s="9" t="s">
        <v>2484</v>
      </c>
      <c r="D506" s="9" t="s">
        <v>2606</v>
      </c>
      <c r="E506" s="8" t="s">
        <v>37</v>
      </c>
      <c r="F506" s="9" t="s">
        <v>129</v>
      </c>
      <c r="G506" s="8" t="s">
        <v>225</v>
      </c>
      <c r="H506" s="8" t="s">
        <v>125</v>
      </c>
      <c r="I506" s="8" t="s">
        <v>114</v>
      </c>
      <c r="J506" s="9" t="s">
        <v>25</v>
      </c>
      <c r="K506" s="8" t="s">
        <v>2567</v>
      </c>
      <c r="L506" s="8" t="s">
        <v>2567</v>
      </c>
      <c r="M506" s="8" t="s">
        <v>98</v>
      </c>
      <c r="N506" s="9" t="s">
        <v>2568</v>
      </c>
      <c r="O506" s="9" t="s">
        <v>2568</v>
      </c>
      <c r="P506" s="9" t="s">
        <v>239</v>
      </c>
      <c r="Q506" s="52">
        <v>39447</v>
      </c>
      <c r="R506" s="9" t="s">
        <v>278</v>
      </c>
      <c r="S506" s="38" t="s">
        <v>2600</v>
      </c>
      <c r="T506" s="38" t="s">
        <v>2582</v>
      </c>
      <c r="U506" s="9">
        <v>1</v>
      </c>
      <c r="V506" s="8" t="s">
        <v>14</v>
      </c>
      <c r="W506" s="8" t="s">
        <v>98</v>
      </c>
      <c r="X506" s="9" t="s">
        <v>207</v>
      </c>
      <c r="Y506" s="13">
        <v>32058</v>
      </c>
      <c r="Z506" s="38">
        <v>31488</v>
      </c>
      <c r="AA506" s="9" t="s">
        <v>276</v>
      </c>
      <c r="AB506" s="9" t="s">
        <v>276</v>
      </c>
      <c r="AC506" s="8">
        <v>5</v>
      </c>
      <c r="AD506" s="8" t="s">
        <v>968</v>
      </c>
      <c r="AE506" s="8">
        <v>3</v>
      </c>
      <c r="AF506" s="8" t="s">
        <v>968</v>
      </c>
      <c r="AG506" s="9" t="s">
        <v>2592</v>
      </c>
      <c r="AH506" s="9" t="s">
        <v>2584</v>
      </c>
      <c r="AI506" s="38">
        <v>58</v>
      </c>
      <c r="AJ506" s="38">
        <v>82</v>
      </c>
      <c r="AK506" s="13">
        <v>250523</v>
      </c>
      <c r="AL506" s="38">
        <v>247895</v>
      </c>
      <c r="AM506" s="38" t="s">
        <v>1019</v>
      </c>
      <c r="AN506" s="8">
        <v>23.2</v>
      </c>
      <c r="AO506" s="14">
        <f>AI506*100000/AK506</f>
        <v>23.151566921999176</v>
      </c>
      <c r="AP506" s="8" t="s">
        <v>276</v>
      </c>
      <c r="AQ506" s="8" t="s">
        <v>276</v>
      </c>
      <c r="AR506" s="8">
        <v>33.1</v>
      </c>
      <c r="AS506" s="14">
        <f>AJ506*100000/AL506</f>
        <v>33.07852114806672</v>
      </c>
      <c r="AT506" s="8" t="s">
        <v>276</v>
      </c>
      <c r="AU506" s="8" t="s">
        <v>276</v>
      </c>
      <c r="AV506" s="8" t="s">
        <v>270</v>
      </c>
      <c r="AW506" s="8" t="s">
        <v>276</v>
      </c>
      <c r="AX506" s="8" t="s">
        <v>276</v>
      </c>
      <c r="AY506" s="8" t="s">
        <v>276</v>
      </c>
      <c r="AZ506" s="8" t="s">
        <v>276</v>
      </c>
      <c r="BA506" s="8" t="s">
        <v>276</v>
      </c>
      <c r="BB506" s="8" t="s">
        <v>2593</v>
      </c>
      <c r="BC506" s="8">
        <v>0.75</v>
      </c>
      <c r="BD506" s="8">
        <v>0.51</v>
      </c>
      <c r="BE506" s="8">
        <v>1.1000000000000001</v>
      </c>
      <c r="BF506" s="9" t="s">
        <v>2447</v>
      </c>
      <c r="BG506" s="9"/>
      <c r="BH506" s="9" t="s">
        <v>100</v>
      </c>
      <c r="BI506" s="9" t="s">
        <v>100</v>
      </c>
      <c r="BJ506" s="32"/>
      <c r="BK506" s="32"/>
      <c r="BO506" s="32"/>
      <c r="BP506" s="32"/>
    </row>
    <row r="507" spans="1:68" s="33" customFormat="1" ht="65" hidden="1" x14ac:dyDescent="0.35">
      <c r="A507" s="8">
        <v>2612</v>
      </c>
      <c r="B507" s="8" t="s">
        <v>2483</v>
      </c>
      <c r="C507" s="9" t="s">
        <v>2484</v>
      </c>
      <c r="D507" s="9" t="s">
        <v>2607</v>
      </c>
      <c r="E507" s="8" t="s">
        <v>37</v>
      </c>
      <c r="F507" s="9" t="s">
        <v>129</v>
      </c>
      <c r="G507" s="8" t="s">
        <v>225</v>
      </c>
      <c r="H507" s="8" t="s">
        <v>125</v>
      </c>
      <c r="I507" s="8" t="s">
        <v>114</v>
      </c>
      <c r="J507" s="9" t="s">
        <v>25</v>
      </c>
      <c r="K507" s="8" t="s">
        <v>2567</v>
      </c>
      <c r="L507" s="8" t="s">
        <v>2567</v>
      </c>
      <c r="M507" s="8" t="s">
        <v>98</v>
      </c>
      <c r="N507" s="9" t="s">
        <v>2568</v>
      </c>
      <c r="O507" s="9" t="s">
        <v>2568</v>
      </c>
      <c r="P507" s="9" t="s">
        <v>239</v>
      </c>
      <c r="Q507" s="52">
        <v>39447</v>
      </c>
      <c r="R507" s="9" t="s">
        <v>278</v>
      </c>
      <c r="S507" s="38" t="s">
        <v>2600</v>
      </c>
      <c r="T507" s="38" t="s">
        <v>2582</v>
      </c>
      <c r="U507" s="9">
        <v>1</v>
      </c>
      <c r="V507" s="8" t="s">
        <v>14</v>
      </c>
      <c r="W507" s="8" t="s">
        <v>98</v>
      </c>
      <c r="X507" s="9" t="s">
        <v>207</v>
      </c>
      <c r="Y507" s="13">
        <v>32058</v>
      </c>
      <c r="Z507" s="38">
        <v>31488</v>
      </c>
      <c r="AA507" s="9" t="s">
        <v>276</v>
      </c>
      <c r="AB507" s="9" t="s">
        <v>276</v>
      </c>
      <c r="AC507" s="8">
        <v>5</v>
      </c>
      <c r="AD507" s="8" t="s">
        <v>968</v>
      </c>
      <c r="AE507" s="8">
        <v>3</v>
      </c>
      <c r="AF507" s="8" t="s">
        <v>968</v>
      </c>
      <c r="AG507" s="9" t="s">
        <v>2592</v>
      </c>
      <c r="AH507" s="9" t="s">
        <v>2584</v>
      </c>
      <c r="AI507" s="38">
        <v>58</v>
      </c>
      <c r="AJ507" s="38">
        <v>82</v>
      </c>
      <c r="AK507" s="13">
        <v>250523</v>
      </c>
      <c r="AL507" s="38">
        <v>247895</v>
      </c>
      <c r="AM507" s="38" t="s">
        <v>1019</v>
      </c>
      <c r="AN507" s="8">
        <v>23.2</v>
      </c>
      <c r="AO507" s="14">
        <f>AI507*100000/AK507</f>
        <v>23.151566921999176</v>
      </c>
      <c r="AP507" s="8" t="s">
        <v>276</v>
      </c>
      <c r="AQ507" s="8" t="s">
        <v>276</v>
      </c>
      <c r="AR507" s="8">
        <v>33.1</v>
      </c>
      <c r="AS507" s="14">
        <f>AJ507*100000/AL507</f>
        <v>33.07852114806672</v>
      </c>
      <c r="AT507" s="8" t="s">
        <v>276</v>
      </c>
      <c r="AU507" s="8" t="s">
        <v>276</v>
      </c>
      <c r="AV507" s="8" t="s">
        <v>269</v>
      </c>
      <c r="AW507" s="8" t="s">
        <v>276</v>
      </c>
      <c r="AX507" s="14">
        <f t="shared" ref="AX507:AX515" si="156">AO507/AS507</f>
        <v>0.69989727830841297</v>
      </c>
      <c r="AY507" s="8" t="s">
        <v>276</v>
      </c>
      <c r="AZ507" s="8" t="s">
        <v>276</v>
      </c>
      <c r="BA507" s="8" t="s">
        <v>276</v>
      </c>
      <c r="BB507" s="8" t="s">
        <v>282</v>
      </c>
      <c r="BC507" s="8" t="s">
        <v>276</v>
      </c>
      <c r="BD507" s="8" t="s">
        <v>276</v>
      </c>
      <c r="BE507" s="8" t="s">
        <v>276</v>
      </c>
      <c r="BF507" s="9" t="s">
        <v>2447</v>
      </c>
      <c r="BG507" s="9"/>
      <c r="BH507" s="9" t="s">
        <v>100</v>
      </c>
      <c r="BI507" s="9" t="s">
        <v>100</v>
      </c>
      <c r="BJ507" s="32"/>
      <c r="BK507" s="32"/>
      <c r="BO507" s="32"/>
      <c r="BP507" s="32"/>
    </row>
    <row r="508" spans="1:68" s="33" customFormat="1" ht="65" hidden="1" x14ac:dyDescent="0.35">
      <c r="A508" s="8">
        <v>2612</v>
      </c>
      <c r="B508" s="8" t="s">
        <v>2483</v>
      </c>
      <c r="C508" s="9" t="s">
        <v>2484</v>
      </c>
      <c r="D508" s="9" t="s">
        <v>2608</v>
      </c>
      <c r="E508" s="8" t="s">
        <v>37</v>
      </c>
      <c r="F508" s="9" t="s">
        <v>129</v>
      </c>
      <c r="G508" s="8" t="s">
        <v>225</v>
      </c>
      <c r="H508" s="8" t="s">
        <v>125</v>
      </c>
      <c r="I508" s="8" t="s">
        <v>114</v>
      </c>
      <c r="J508" s="9" t="s">
        <v>25</v>
      </c>
      <c r="K508" s="8" t="s">
        <v>2567</v>
      </c>
      <c r="L508" s="8" t="s">
        <v>2567</v>
      </c>
      <c r="M508" s="8" t="s">
        <v>98</v>
      </c>
      <c r="N508" s="9" t="s">
        <v>2568</v>
      </c>
      <c r="O508" s="9" t="s">
        <v>2568</v>
      </c>
      <c r="P508" s="9" t="s">
        <v>239</v>
      </c>
      <c r="Q508" s="52">
        <v>39447</v>
      </c>
      <c r="R508" s="9" t="s">
        <v>278</v>
      </c>
      <c r="S508" s="38" t="s">
        <v>2600</v>
      </c>
      <c r="T508" s="38" t="s">
        <v>2582</v>
      </c>
      <c r="U508" s="9">
        <v>1</v>
      </c>
      <c r="V508" s="8" t="s">
        <v>14</v>
      </c>
      <c r="W508" s="8" t="s">
        <v>98</v>
      </c>
      <c r="X508" s="9" t="s">
        <v>207</v>
      </c>
      <c r="Y508" s="13">
        <v>32058</v>
      </c>
      <c r="Z508" s="38">
        <v>31488</v>
      </c>
      <c r="AA508" s="9" t="s">
        <v>276</v>
      </c>
      <c r="AB508" s="9" t="s">
        <v>276</v>
      </c>
      <c r="AC508" s="8">
        <v>5</v>
      </c>
      <c r="AD508" s="8" t="s">
        <v>968</v>
      </c>
      <c r="AE508" s="8">
        <v>3</v>
      </c>
      <c r="AF508" s="8" t="s">
        <v>968</v>
      </c>
      <c r="AG508" s="9" t="s">
        <v>2592</v>
      </c>
      <c r="AH508" s="9" t="s">
        <v>1176</v>
      </c>
      <c r="AI508" s="38">
        <v>58</v>
      </c>
      <c r="AJ508" s="38">
        <v>82</v>
      </c>
      <c r="AK508" s="13">
        <v>32058</v>
      </c>
      <c r="AL508" s="38">
        <v>31488</v>
      </c>
      <c r="AM508" s="38" t="s">
        <v>281</v>
      </c>
      <c r="AN508" s="8" t="s">
        <v>276</v>
      </c>
      <c r="AO508" s="14">
        <f>AI508*1000/AK508</f>
        <v>1.8092207873229771</v>
      </c>
      <c r="AP508" s="8" t="s">
        <v>276</v>
      </c>
      <c r="AQ508" s="8" t="s">
        <v>276</v>
      </c>
      <c r="AR508" s="8" t="s">
        <v>276</v>
      </c>
      <c r="AS508" s="14">
        <f>AJ508*1000/AL508</f>
        <v>2.6041666666666665</v>
      </c>
      <c r="AT508" s="8" t="s">
        <v>276</v>
      </c>
      <c r="AU508" s="8" t="s">
        <v>276</v>
      </c>
      <c r="AV508" s="8" t="s">
        <v>268</v>
      </c>
      <c r="AW508" s="8" t="s">
        <v>276</v>
      </c>
      <c r="AX508" s="14">
        <f t="shared" si="156"/>
        <v>0.69474078233202319</v>
      </c>
      <c r="AY508" s="8" t="s">
        <v>276</v>
      </c>
      <c r="AZ508" s="8" t="s">
        <v>276</v>
      </c>
      <c r="BA508" s="8" t="s">
        <v>276</v>
      </c>
      <c r="BB508" s="8" t="s">
        <v>282</v>
      </c>
      <c r="BC508" s="8" t="s">
        <v>276</v>
      </c>
      <c r="BD508" s="8" t="s">
        <v>276</v>
      </c>
      <c r="BE508" s="8" t="s">
        <v>276</v>
      </c>
      <c r="BF508" s="9" t="s">
        <v>2596</v>
      </c>
      <c r="BG508" s="9"/>
      <c r="BH508" s="9" t="s">
        <v>100</v>
      </c>
      <c r="BI508" s="9" t="s">
        <v>100</v>
      </c>
      <c r="BJ508" s="32"/>
      <c r="BK508" s="32"/>
      <c r="BO508" s="32"/>
      <c r="BP508" s="32"/>
    </row>
    <row r="509" spans="1:68" s="33" customFormat="1" ht="65" hidden="1" x14ac:dyDescent="0.35">
      <c r="A509" s="8">
        <v>2612</v>
      </c>
      <c r="B509" s="8" t="s">
        <v>2483</v>
      </c>
      <c r="C509" s="9" t="s">
        <v>2484</v>
      </c>
      <c r="D509" s="9" t="s">
        <v>2609</v>
      </c>
      <c r="E509" s="8" t="s">
        <v>37</v>
      </c>
      <c r="F509" s="9" t="s">
        <v>129</v>
      </c>
      <c r="G509" s="8" t="s">
        <v>225</v>
      </c>
      <c r="H509" s="8" t="s">
        <v>125</v>
      </c>
      <c r="I509" s="8" t="s">
        <v>114</v>
      </c>
      <c r="J509" s="9" t="s">
        <v>25</v>
      </c>
      <c r="K509" s="8" t="s">
        <v>2567</v>
      </c>
      <c r="L509" s="8" t="s">
        <v>2567</v>
      </c>
      <c r="M509" s="8" t="s">
        <v>98</v>
      </c>
      <c r="N509" s="9" t="s">
        <v>2568</v>
      </c>
      <c r="O509" s="9" t="s">
        <v>2568</v>
      </c>
      <c r="P509" s="9" t="s">
        <v>235</v>
      </c>
      <c r="Q509" s="52">
        <v>39447</v>
      </c>
      <c r="R509" s="9" t="s">
        <v>278</v>
      </c>
      <c r="S509" s="38" t="s">
        <v>2600</v>
      </c>
      <c r="T509" s="38" t="s">
        <v>2582</v>
      </c>
      <c r="U509" s="9">
        <v>1</v>
      </c>
      <c r="V509" s="8" t="s">
        <v>14</v>
      </c>
      <c r="W509" s="8" t="s">
        <v>98</v>
      </c>
      <c r="X509" s="9" t="s">
        <v>207</v>
      </c>
      <c r="Y509" s="13" t="s">
        <v>98</v>
      </c>
      <c r="Z509" s="38" t="s">
        <v>98</v>
      </c>
      <c r="AA509" s="9" t="s">
        <v>276</v>
      </c>
      <c r="AB509" s="9" t="s">
        <v>276</v>
      </c>
      <c r="AC509" s="8">
        <v>5</v>
      </c>
      <c r="AD509" s="8" t="s">
        <v>968</v>
      </c>
      <c r="AE509" s="8">
        <v>3</v>
      </c>
      <c r="AF509" s="8" t="s">
        <v>968</v>
      </c>
      <c r="AG509" s="9" t="s">
        <v>2592</v>
      </c>
      <c r="AH509" s="9" t="s">
        <v>2598</v>
      </c>
      <c r="AI509" s="38">
        <v>58</v>
      </c>
      <c r="AJ509" s="38">
        <v>82</v>
      </c>
      <c r="AK509" s="13">
        <v>152</v>
      </c>
      <c r="AL509" s="38">
        <v>118</v>
      </c>
      <c r="AM509" s="38" t="s">
        <v>292</v>
      </c>
      <c r="AN509" s="8">
        <v>38.200000000000003</v>
      </c>
      <c r="AO509" s="14">
        <f>AI509*100/AK509</f>
        <v>38.157894736842103</v>
      </c>
      <c r="AP509" s="8" t="s">
        <v>276</v>
      </c>
      <c r="AQ509" s="8" t="s">
        <v>276</v>
      </c>
      <c r="AR509" s="8">
        <v>69.5</v>
      </c>
      <c r="AS509" s="14">
        <f>AJ509*100/AL509</f>
        <v>69.491525423728817</v>
      </c>
      <c r="AT509" s="8" t="s">
        <v>276</v>
      </c>
      <c r="AU509" s="8" t="s">
        <v>276</v>
      </c>
      <c r="AV509" s="8" t="s">
        <v>268</v>
      </c>
      <c r="AW509" s="8" t="s">
        <v>276</v>
      </c>
      <c r="AX509" s="14">
        <f t="shared" si="156"/>
        <v>0.54910141206675223</v>
      </c>
      <c r="AY509" s="8" t="s">
        <v>276</v>
      </c>
      <c r="AZ509" s="8" t="s">
        <v>276</v>
      </c>
      <c r="BA509" s="8" t="s">
        <v>276</v>
      </c>
      <c r="BB509" s="8" t="s">
        <v>282</v>
      </c>
      <c r="BC509" s="8" t="s">
        <v>276</v>
      </c>
      <c r="BD509" s="8" t="s">
        <v>276</v>
      </c>
      <c r="BE509" s="8" t="s">
        <v>276</v>
      </c>
      <c r="BF509" s="9" t="s">
        <v>2447</v>
      </c>
      <c r="BG509" s="9"/>
      <c r="BH509" s="9" t="s">
        <v>100</v>
      </c>
      <c r="BI509" s="9" t="s">
        <v>100</v>
      </c>
      <c r="BJ509" s="32"/>
      <c r="BK509" s="32"/>
      <c r="BO509" s="32"/>
      <c r="BP509" s="32"/>
    </row>
    <row r="510" spans="1:68" s="33" customFormat="1" ht="65" hidden="1" x14ac:dyDescent="0.35">
      <c r="A510" s="8">
        <v>2612</v>
      </c>
      <c r="B510" s="8" t="s">
        <v>2483</v>
      </c>
      <c r="C510" s="9" t="s">
        <v>2484</v>
      </c>
      <c r="D510" s="9" t="s">
        <v>2610</v>
      </c>
      <c r="E510" s="8" t="s">
        <v>37</v>
      </c>
      <c r="F510" s="8" t="s">
        <v>2502</v>
      </c>
      <c r="G510" s="8" t="s">
        <v>225</v>
      </c>
      <c r="H510" s="8" t="s">
        <v>125</v>
      </c>
      <c r="I510" s="8" t="s">
        <v>114</v>
      </c>
      <c r="J510" s="9" t="s">
        <v>25</v>
      </c>
      <c r="K510" s="8" t="s">
        <v>930</v>
      </c>
      <c r="L510" s="8" t="s">
        <v>2567</v>
      </c>
      <c r="M510" s="8" t="s">
        <v>98</v>
      </c>
      <c r="N510" s="9" t="s">
        <v>2568</v>
      </c>
      <c r="O510" s="9" t="s">
        <v>2568</v>
      </c>
      <c r="P510" s="9" t="s">
        <v>239</v>
      </c>
      <c r="Q510" s="52">
        <v>39447</v>
      </c>
      <c r="R510" s="9" t="s">
        <v>278</v>
      </c>
      <c r="S510" s="13" t="s">
        <v>2611</v>
      </c>
      <c r="T510" s="38" t="s">
        <v>2582</v>
      </c>
      <c r="U510" s="9">
        <v>1</v>
      </c>
      <c r="V510" s="8" t="s">
        <v>14</v>
      </c>
      <c r="W510" s="8" t="s">
        <v>98</v>
      </c>
      <c r="X510" s="9" t="s">
        <v>207</v>
      </c>
      <c r="Y510" s="13">
        <v>34126</v>
      </c>
      <c r="Z510" s="38">
        <v>31488</v>
      </c>
      <c r="AA510" s="9" t="s">
        <v>276</v>
      </c>
      <c r="AB510" s="9" t="s">
        <v>276</v>
      </c>
      <c r="AC510" s="8">
        <v>8</v>
      </c>
      <c r="AD510" s="8" t="s">
        <v>968</v>
      </c>
      <c r="AE510" s="8">
        <v>3</v>
      </c>
      <c r="AF510" s="8" t="s">
        <v>968</v>
      </c>
      <c r="AG510" s="9" t="s">
        <v>2583</v>
      </c>
      <c r="AH510" s="9" t="s">
        <v>2584</v>
      </c>
      <c r="AI510" s="38">
        <v>47</v>
      </c>
      <c r="AJ510" s="38">
        <v>7</v>
      </c>
      <c r="AK510" s="13">
        <v>268185</v>
      </c>
      <c r="AL510" s="38">
        <v>247895</v>
      </c>
      <c r="AM510" s="38" t="s">
        <v>1019</v>
      </c>
      <c r="AN510" s="8" t="s">
        <v>276</v>
      </c>
      <c r="AO510" s="14">
        <f>AI510*100000/AK510</f>
        <v>17.525215802524375</v>
      </c>
      <c r="AP510" s="8" t="s">
        <v>276</v>
      </c>
      <c r="AQ510" s="8" t="s">
        <v>276</v>
      </c>
      <c r="AR510" s="8" t="s">
        <v>276</v>
      </c>
      <c r="AS510" s="14">
        <f>AJ510*100000/AL510</f>
        <v>2.8237761955666714</v>
      </c>
      <c r="AT510" s="8" t="s">
        <v>276</v>
      </c>
      <c r="AU510" s="8" t="s">
        <v>276</v>
      </c>
      <c r="AV510" s="8" t="s">
        <v>269</v>
      </c>
      <c r="AW510" s="8" t="s">
        <v>276</v>
      </c>
      <c r="AX510" s="14">
        <f t="shared" si="156"/>
        <v>6.2063048162382568</v>
      </c>
      <c r="AY510" s="8" t="s">
        <v>276</v>
      </c>
      <c r="AZ510" s="8" t="s">
        <v>276</v>
      </c>
      <c r="BA510" s="8" t="s">
        <v>276</v>
      </c>
      <c r="BB510" s="8" t="s">
        <v>282</v>
      </c>
      <c r="BC510" s="8" t="s">
        <v>276</v>
      </c>
      <c r="BD510" s="8" t="s">
        <v>276</v>
      </c>
      <c r="BE510" s="8" t="s">
        <v>276</v>
      </c>
      <c r="BF510" s="9" t="s">
        <v>2447</v>
      </c>
      <c r="BG510" s="9"/>
      <c r="BH510" s="9" t="s">
        <v>100</v>
      </c>
      <c r="BI510" s="9" t="s">
        <v>100</v>
      </c>
      <c r="BJ510" s="32"/>
      <c r="BK510" s="32"/>
      <c r="BO510" s="32"/>
      <c r="BP510" s="32"/>
    </row>
    <row r="511" spans="1:68" s="33" customFormat="1" ht="65" hidden="1" x14ac:dyDescent="0.35">
      <c r="A511" s="8">
        <v>2612</v>
      </c>
      <c r="B511" s="8" t="s">
        <v>2483</v>
      </c>
      <c r="C511" s="9" t="s">
        <v>2484</v>
      </c>
      <c r="D511" s="9" t="s">
        <v>2612</v>
      </c>
      <c r="E511" s="8" t="s">
        <v>37</v>
      </c>
      <c r="F511" s="8" t="s">
        <v>2502</v>
      </c>
      <c r="G511" s="8" t="s">
        <v>225</v>
      </c>
      <c r="H511" s="8" t="s">
        <v>125</v>
      </c>
      <c r="I511" s="8" t="s">
        <v>114</v>
      </c>
      <c r="J511" s="9" t="s">
        <v>25</v>
      </c>
      <c r="K511" s="8" t="s">
        <v>930</v>
      </c>
      <c r="L511" s="8" t="s">
        <v>2567</v>
      </c>
      <c r="M511" s="8" t="s">
        <v>98</v>
      </c>
      <c r="N511" s="9" t="s">
        <v>2568</v>
      </c>
      <c r="O511" s="9" t="s">
        <v>2568</v>
      </c>
      <c r="P511" s="9" t="s">
        <v>239</v>
      </c>
      <c r="Q511" s="52">
        <v>39447</v>
      </c>
      <c r="R511" s="9" t="s">
        <v>278</v>
      </c>
      <c r="S511" s="13" t="s">
        <v>2611</v>
      </c>
      <c r="T511" s="38" t="s">
        <v>2582</v>
      </c>
      <c r="U511" s="9">
        <v>1</v>
      </c>
      <c r="V511" s="8" t="s">
        <v>14</v>
      </c>
      <c r="W511" s="8" t="s">
        <v>98</v>
      </c>
      <c r="X511" s="9" t="s">
        <v>207</v>
      </c>
      <c r="Y511" s="13">
        <v>34126</v>
      </c>
      <c r="Z511" s="38">
        <v>31488</v>
      </c>
      <c r="AA511" s="9" t="s">
        <v>276</v>
      </c>
      <c r="AB511" s="9" t="s">
        <v>276</v>
      </c>
      <c r="AC511" s="8">
        <v>8</v>
      </c>
      <c r="AD511" s="8" t="s">
        <v>968</v>
      </c>
      <c r="AE511" s="8">
        <v>3</v>
      </c>
      <c r="AF511" s="8" t="s">
        <v>968</v>
      </c>
      <c r="AG511" s="9" t="s">
        <v>2583</v>
      </c>
      <c r="AH511" s="9" t="s">
        <v>1176</v>
      </c>
      <c r="AI511" s="38">
        <v>47</v>
      </c>
      <c r="AJ511" s="38">
        <v>7</v>
      </c>
      <c r="AK511" s="13">
        <v>34126</v>
      </c>
      <c r="AL511" s="38">
        <v>31488</v>
      </c>
      <c r="AM511" s="38" t="s">
        <v>281</v>
      </c>
      <c r="AN511" s="8" t="s">
        <v>276</v>
      </c>
      <c r="AO511" s="14">
        <f>AI511*1000/AK511</f>
        <v>1.3772490183437849</v>
      </c>
      <c r="AP511" s="8" t="s">
        <v>276</v>
      </c>
      <c r="AQ511" s="8" t="s">
        <v>276</v>
      </c>
      <c r="AR511" s="8" t="s">
        <v>276</v>
      </c>
      <c r="AS511" s="14">
        <f>AJ511*1000/AL511</f>
        <v>0.2223069105691057</v>
      </c>
      <c r="AT511" s="8" t="s">
        <v>276</v>
      </c>
      <c r="AU511" s="8" t="s">
        <v>276</v>
      </c>
      <c r="AV511" s="8" t="s">
        <v>268</v>
      </c>
      <c r="AW511" s="8" t="s">
        <v>276</v>
      </c>
      <c r="AX511" s="14">
        <f t="shared" si="156"/>
        <v>6.1952595842298708</v>
      </c>
      <c r="AY511" s="8" t="s">
        <v>276</v>
      </c>
      <c r="AZ511" s="8" t="s">
        <v>276</v>
      </c>
      <c r="BA511" s="8" t="s">
        <v>276</v>
      </c>
      <c r="BB511" s="8" t="s">
        <v>282</v>
      </c>
      <c r="BC511" s="8" t="s">
        <v>276</v>
      </c>
      <c r="BD511" s="8" t="s">
        <v>276</v>
      </c>
      <c r="BE511" s="8" t="s">
        <v>276</v>
      </c>
      <c r="BF511" s="9" t="s">
        <v>426</v>
      </c>
      <c r="BG511" s="9"/>
      <c r="BH511" s="9" t="s">
        <v>100</v>
      </c>
      <c r="BI511" s="9" t="s">
        <v>100</v>
      </c>
      <c r="BJ511" s="32"/>
      <c r="BK511" s="32"/>
      <c r="BO511" s="32"/>
      <c r="BP511" s="32"/>
    </row>
    <row r="512" spans="1:68" s="33" customFormat="1" ht="65" hidden="1" x14ac:dyDescent="0.35">
      <c r="A512" s="8">
        <v>2612</v>
      </c>
      <c r="B512" s="8" t="s">
        <v>2483</v>
      </c>
      <c r="C512" s="9" t="s">
        <v>2484</v>
      </c>
      <c r="D512" s="9" t="s">
        <v>2613</v>
      </c>
      <c r="E512" s="8" t="s">
        <v>37</v>
      </c>
      <c r="F512" s="8" t="s">
        <v>2502</v>
      </c>
      <c r="G512" s="8" t="s">
        <v>225</v>
      </c>
      <c r="H512" s="8" t="s">
        <v>125</v>
      </c>
      <c r="I512" s="8" t="s">
        <v>114</v>
      </c>
      <c r="J512" s="9" t="s">
        <v>25</v>
      </c>
      <c r="K512" s="8" t="s">
        <v>934</v>
      </c>
      <c r="L512" s="8" t="s">
        <v>2567</v>
      </c>
      <c r="M512" s="8" t="s">
        <v>98</v>
      </c>
      <c r="N512" s="9" t="s">
        <v>2568</v>
      </c>
      <c r="O512" s="9" t="s">
        <v>2568</v>
      </c>
      <c r="P512" s="9" t="s">
        <v>239</v>
      </c>
      <c r="Q512" s="52">
        <v>39447</v>
      </c>
      <c r="R512" s="9" t="s">
        <v>278</v>
      </c>
      <c r="S512" s="13" t="s">
        <v>2611</v>
      </c>
      <c r="T512" s="38" t="s">
        <v>2582</v>
      </c>
      <c r="U512" s="9">
        <v>1</v>
      </c>
      <c r="V512" s="8" t="s">
        <v>14</v>
      </c>
      <c r="W512" s="8" t="s">
        <v>98</v>
      </c>
      <c r="X512" s="9" t="s">
        <v>207</v>
      </c>
      <c r="Y512" s="13">
        <v>34126</v>
      </c>
      <c r="Z512" s="38">
        <v>31488</v>
      </c>
      <c r="AA512" s="9" t="s">
        <v>276</v>
      </c>
      <c r="AB512" s="9" t="s">
        <v>276</v>
      </c>
      <c r="AC512" s="8">
        <v>8</v>
      </c>
      <c r="AD512" s="8" t="s">
        <v>968</v>
      </c>
      <c r="AE512" s="8">
        <v>3</v>
      </c>
      <c r="AF512" s="8" t="s">
        <v>968</v>
      </c>
      <c r="AG512" s="9" t="s">
        <v>2583</v>
      </c>
      <c r="AH512" s="9" t="s">
        <v>2584</v>
      </c>
      <c r="AI512" s="38">
        <v>33</v>
      </c>
      <c r="AJ512" s="38">
        <v>26</v>
      </c>
      <c r="AK512" s="13">
        <v>268185</v>
      </c>
      <c r="AL512" s="38">
        <v>247895</v>
      </c>
      <c r="AM512" s="38" t="s">
        <v>1019</v>
      </c>
      <c r="AN512" s="8" t="s">
        <v>276</v>
      </c>
      <c r="AO512" s="14">
        <f>AI512*100000/AK512</f>
        <v>12.304938754963924</v>
      </c>
      <c r="AP512" s="8" t="s">
        <v>276</v>
      </c>
      <c r="AQ512" s="8" t="s">
        <v>276</v>
      </c>
      <c r="AR512" s="8" t="s">
        <v>276</v>
      </c>
      <c r="AS512" s="14">
        <f>AJ512*100000/AL512</f>
        <v>10.488311583533351</v>
      </c>
      <c r="AT512" s="8" t="s">
        <v>276</v>
      </c>
      <c r="AU512" s="8" t="s">
        <v>276</v>
      </c>
      <c r="AV512" s="8" t="s">
        <v>269</v>
      </c>
      <c r="AW512" s="8" t="s">
        <v>276</v>
      </c>
      <c r="AX512" s="14">
        <f t="shared" si="156"/>
        <v>1.1732049202545316</v>
      </c>
      <c r="AY512" s="8" t="s">
        <v>276</v>
      </c>
      <c r="AZ512" s="8" t="s">
        <v>276</v>
      </c>
      <c r="BA512" s="8" t="s">
        <v>276</v>
      </c>
      <c r="BB512" s="8" t="s">
        <v>282</v>
      </c>
      <c r="BC512" s="8" t="s">
        <v>276</v>
      </c>
      <c r="BD512" s="8" t="s">
        <v>276</v>
      </c>
      <c r="BE512" s="8" t="s">
        <v>276</v>
      </c>
      <c r="BF512" s="9" t="s">
        <v>2447</v>
      </c>
      <c r="BG512" s="9"/>
      <c r="BH512" s="9" t="s">
        <v>100</v>
      </c>
      <c r="BI512" s="9" t="s">
        <v>100</v>
      </c>
      <c r="BJ512" s="32"/>
      <c r="BK512" s="32"/>
      <c r="BO512" s="32"/>
      <c r="BP512" s="32"/>
    </row>
    <row r="513" spans="1:68" s="33" customFormat="1" ht="65" hidden="1" x14ac:dyDescent="0.35">
      <c r="A513" s="8">
        <v>2612</v>
      </c>
      <c r="B513" s="8" t="s">
        <v>2483</v>
      </c>
      <c r="C513" s="9" t="s">
        <v>2484</v>
      </c>
      <c r="D513" s="9" t="s">
        <v>2614</v>
      </c>
      <c r="E513" s="8" t="s">
        <v>37</v>
      </c>
      <c r="F513" s="8" t="s">
        <v>2502</v>
      </c>
      <c r="G513" s="8" t="s">
        <v>225</v>
      </c>
      <c r="H513" s="8" t="s">
        <v>125</v>
      </c>
      <c r="I513" s="8" t="s">
        <v>114</v>
      </c>
      <c r="J513" s="9" t="s">
        <v>25</v>
      </c>
      <c r="K513" s="8" t="s">
        <v>934</v>
      </c>
      <c r="L513" s="8" t="s">
        <v>2567</v>
      </c>
      <c r="M513" s="8" t="s">
        <v>98</v>
      </c>
      <c r="N513" s="9" t="s">
        <v>2568</v>
      </c>
      <c r="O513" s="9" t="s">
        <v>2568</v>
      </c>
      <c r="P513" s="9" t="s">
        <v>239</v>
      </c>
      <c r="Q513" s="52">
        <v>39447</v>
      </c>
      <c r="R513" s="9" t="s">
        <v>278</v>
      </c>
      <c r="S513" s="13" t="s">
        <v>2611</v>
      </c>
      <c r="T513" s="38" t="s">
        <v>2582</v>
      </c>
      <c r="U513" s="9">
        <v>1</v>
      </c>
      <c r="V513" s="8" t="s">
        <v>14</v>
      </c>
      <c r="W513" s="8" t="s">
        <v>98</v>
      </c>
      <c r="X513" s="9" t="s">
        <v>207</v>
      </c>
      <c r="Y513" s="13">
        <v>34126</v>
      </c>
      <c r="Z513" s="38">
        <v>31488</v>
      </c>
      <c r="AA513" s="9" t="s">
        <v>276</v>
      </c>
      <c r="AB513" s="9" t="s">
        <v>276</v>
      </c>
      <c r="AC513" s="8">
        <v>8</v>
      </c>
      <c r="AD513" s="8" t="s">
        <v>968</v>
      </c>
      <c r="AE513" s="8">
        <v>3</v>
      </c>
      <c r="AF513" s="8" t="s">
        <v>968</v>
      </c>
      <c r="AG513" s="9" t="s">
        <v>2583</v>
      </c>
      <c r="AH513" s="9" t="s">
        <v>1176</v>
      </c>
      <c r="AI513" s="38">
        <v>33</v>
      </c>
      <c r="AJ513" s="38">
        <v>26</v>
      </c>
      <c r="AK513" s="13">
        <v>34126</v>
      </c>
      <c r="AL513" s="38">
        <v>31488</v>
      </c>
      <c r="AM513" s="38" t="s">
        <v>281</v>
      </c>
      <c r="AN513" s="8" t="s">
        <v>276</v>
      </c>
      <c r="AO513" s="14">
        <f>AI513*1000/AK513</f>
        <v>0.96700462990095526</v>
      </c>
      <c r="AP513" s="8" t="s">
        <v>276</v>
      </c>
      <c r="AQ513" s="8" t="s">
        <v>276</v>
      </c>
      <c r="AR513" s="8" t="s">
        <v>276</v>
      </c>
      <c r="AS513" s="14">
        <f>AJ513*1000/AL513</f>
        <v>0.82571138211382111</v>
      </c>
      <c r="AT513" s="8" t="s">
        <v>276</v>
      </c>
      <c r="AU513" s="8" t="s">
        <v>276</v>
      </c>
      <c r="AV513" s="8" t="s">
        <v>268</v>
      </c>
      <c r="AW513" s="8" t="s">
        <v>276</v>
      </c>
      <c r="AX513" s="14">
        <f t="shared" si="156"/>
        <v>1.1711169917815878</v>
      </c>
      <c r="AY513" s="8" t="s">
        <v>276</v>
      </c>
      <c r="AZ513" s="8" t="s">
        <v>276</v>
      </c>
      <c r="BA513" s="8" t="s">
        <v>276</v>
      </c>
      <c r="BB513" s="8" t="s">
        <v>282</v>
      </c>
      <c r="BC513" s="8" t="s">
        <v>276</v>
      </c>
      <c r="BD513" s="8" t="s">
        <v>276</v>
      </c>
      <c r="BE513" s="8" t="s">
        <v>276</v>
      </c>
      <c r="BF513" s="9" t="s">
        <v>426</v>
      </c>
      <c r="BG513" s="9"/>
      <c r="BH513" s="9" t="s">
        <v>100</v>
      </c>
      <c r="BI513" s="9" t="s">
        <v>100</v>
      </c>
      <c r="BJ513" s="32"/>
      <c r="BK513" s="32"/>
      <c r="BO513" s="32"/>
      <c r="BP513" s="32"/>
    </row>
    <row r="514" spans="1:68" s="33" customFormat="1" ht="65" hidden="1" x14ac:dyDescent="0.35">
      <c r="A514" s="8">
        <v>2612</v>
      </c>
      <c r="B514" s="8" t="s">
        <v>2483</v>
      </c>
      <c r="C514" s="9" t="s">
        <v>2484</v>
      </c>
      <c r="D514" s="9" t="s">
        <v>2615</v>
      </c>
      <c r="E514" s="8" t="s">
        <v>37</v>
      </c>
      <c r="F514" s="8" t="s">
        <v>2502</v>
      </c>
      <c r="G514" s="8" t="s">
        <v>225</v>
      </c>
      <c r="H514" s="8" t="s">
        <v>125</v>
      </c>
      <c r="I514" s="8" t="s">
        <v>114</v>
      </c>
      <c r="J514" s="9" t="s">
        <v>25</v>
      </c>
      <c r="K514" s="8" t="s">
        <v>300</v>
      </c>
      <c r="L514" s="8" t="s">
        <v>2567</v>
      </c>
      <c r="M514" s="8" t="s">
        <v>98</v>
      </c>
      <c r="N514" s="9" t="s">
        <v>2568</v>
      </c>
      <c r="O514" s="9" t="s">
        <v>2568</v>
      </c>
      <c r="P514" s="9" t="s">
        <v>239</v>
      </c>
      <c r="Q514" s="52">
        <v>39447</v>
      </c>
      <c r="R514" s="9" t="s">
        <v>278</v>
      </c>
      <c r="S514" s="13" t="s">
        <v>2611</v>
      </c>
      <c r="T514" s="38" t="s">
        <v>2582</v>
      </c>
      <c r="U514" s="9">
        <v>1</v>
      </c>
      <c r="V514" s="8" t="s">
        <v>14</v>
      </c>
      <c r="W514" s="8" t="s">
        <v>98</v>
      </c>
      <c r="X514" s="9" t="s">
        <v>207</v>
      </c>
      <c r="Y514" s="13">
        <v>34126</v>
      </c>
      <c r="Z514" s="38">
        <v>31488</v>
      </c>
      <c r="AA514" s="9" t="s">
        <v>276</v>
      </c>
      <c r="AB514" s="9" t="s">
        <v>276</v>
      </c>
      <c r="AC514" s="8">
        <v>8</v>
      </c>
      <c r="AD514" s="8" t="s">
        <v>968</v>
      </c>
      <c r="AE514" s="8">
        <v>3</v>
      </c>
      <c r="AF514" s="8" t="s">
        <v>968</v>
      </c>
      <c r="AG514" s="9" t="s">
        <v>2589</v>
      </c>
      <c r="AH514" s="9" t="s">
        <v>2584</v>
      </c>
      <c r="AI514" s="38">
        <f>47+33</f>
        <v>80</v>
      </c>
      <c r="AJ514" s="38">
        <f>7+26</f>
        <v>33</v>
      </c>
      <c r="AK514" s="13">
        <v>268185</v>
      </c>
      <c r="AL514" s="38">
        <v>247895</v>
      </c>
      <c r="AM514" s="38" t="s">
        <v>1019</v>
      </c>
      <c r="AN514" s="8" t="s">
        <v>276</v>
      </c>
      <c r="AO514" s="14">
        <f>AI514*100000/AK514</f>
        <v>29.830154557488299</v>
      </c>
      <c r="AP514" s="8" t="s">
        <v>276</v>
      </c>
      <c r="AQ514" s="8" t="s">
        <v>276</v>
      </c>
      <c r="AR514" s="8" t="s">
        <v>276</v>
      </c>
      <c r="AS514" s="14">
        <f>AJ514*100000/AL514</f>
        <v>13.312087779100022</v>
      </c>
      <c r="AT514" s="8" t="s">
        <v>276</v>
      </c>
      <c r="AU514" s="8" t="s">
        <v>276</v>
      </c>
      <c r="AV514" s="8" t="s">
        <v>269</v>
      </c>
      <c r="AW514" s="8" t="s">
        <v>276</v>
      </c>
      <c r="AX514" s="14">
        <f t="shared" si="156"/>
        <v>2.2408321709177459</v>
      </c>
      <c r="AY514" s="8" t="s">
        <v>276</v>
      </c>
      <c r="AZ514" s="8" t="s">
        <v>276</v>
      </c>
      <c r="BA514" s="8" t="s">
        <v>276</v>
      </c>
      <c r="BB514" s="8" t="s">
        <v>282</v>
      </c>
      <c r="BC514" s="8" t="s">
        <v>276</v>
      </c>
      <c r="BD514" s="8" t="s">
        <v>276</v>
      </c>
      <c r="BE514" s="8" t="s">
        <v>276</v>
      </c>
      <c r="BF514" s="9" t="s">
        <v>2447</v>
      </c>
      <c r="BG514" s="9"/>
      <c r="BH514" s="9" t="s">
        <v>100</v>
      </c>
      <c r="BI514" s="9" t="s">
        <v>100</v>
      </c>
      <c r="BJ514" s="32"/>
      <c r="BK514" s="32"/>
      <c r="BO514" s="32"/>
      <c r="BP514" s="32"/>
    </row>
    <row r="515" spans="1:68" s="33" customFormat="1" ht="78" hidden="1" x14ac:dyDescent="0.35">
      <c r="A515" s="8">
        <v>2612</v>
      </c>
      <c r="B515" s="8" t="s">
        <v>2483</v>
      </c>
      <c r="C515" s="9" t="s">
        <v>2484</v>
      </c>
      <c r="D515" s="9" t="s">
        <v>2616</v>
      </c>
      <c r="E515" s="8" t="s">
        <v>37</v>
      </c>
      <c r="F515" s="8" t="s">
        <v>2502</v>
      </c>
      <c r="G515" s="8" t="s">
        <v>225</v>
      </c>
      <c r="H515" s="8" t="s">
        <v>125</v>
      </c>
      <c r="I515" s="8" t="s">
        <v>114</v>
      </c>
      <c r="J515" s="9" t="s">
        <v>25</v>
      </c>
      <c r="K515" s="8" t="s">
        <v>300</v>
      </c>
      <c r="L515" s="8" t="s">
        <v>2567</v>
      </c>
      <c r="M515" s="8" t="s">
        <v>98</v>
      </c>
      <c r="N515" s="9" t="s">
        <v>2568</v>
      </c>
      <c r="O515" s="9" t="s">
        <v>2568</v>
      </c>
      <c r="P515" s="9" t="s">
        <v>239</v>
      </c>
      <c r="Q515" s="52">
        <v>39447</v>
      </c>
      <c r="R515" s="9" t="s">
        <v>278</v>
      </c>
      <c r="S515" s="13" t="s">
        <v>2611</v>
      </c>
      <c r="T515" s="38" t="s">
        <v>2582</v>
      </c>
      <c r="U515" s="9">
        <v>1</v>
      </c>
      <c r="V515" s="8" t="s">
        <v>14</v>
      </c>
      <c r="W515" s="8" t="s">
        <v>98</v>
      </c>
      <c r="X515" s="9" t="s">
        <v>207</v>
      </c>
      <c r="Y515" s="13">
        <v>34126</v>
      </c>
      <c r="Z515" s="38">
        <v>31488</v>
      </c>
      <c r="AA515" s="9" t="s">
        <v>276</v>
      </c>
      <c r="AB515" s="9" t="s">
        <v>276</v>
      </c>
      <c r="AC515" s="8">
        <v>8</v>
      </c>
      <c r="AD515" s="8" t="s">
        <v>968</v>
      </c>
      <c r="AE515" s="8">
        <v>3</v>
      </c>
      <c r="AF515" s="8" t="s">
        <v>968</v>
      </c>
      <c r="AG515" s="9" t="s">
        <v>2589</v>
      </c>
      <c r="AH515" s="9" t="s">
        <v>1176</v>
      </c>
      <c r="AI515" s="38">
        <f>47+33</f>
        <v>80</v>
      </c>
      <c r="AJ515" s="38">
        <f>7+26</f>
        <v>33</v>
      </c>
      <c r="AK515" s="13">
        <v>34126</v>
      </c>
      <c r="AL515" s="38">
        <v>31488</v>
      </c>
      <c r="AM515" s="38" t="s">
        <v>281</v>
      </c>
      <c r="AN515" s="8" t="s">
        <v>276</v>
      </c>
      <c r="AO515" s="14">
        <f>AI515*1000/AK515</f>
        <v>2.3442536482447403</v>
      </c>
      <c r="AP515" s="8" t="s">
        <v>276</v>
      </c>
      <c r="AQ515" s="8" t="s">
        <v>276</v>
      </c>
      <c r="AR515" s="8" t="s">
        <v>276</v>
      </c>
      <c r="AS515" s="14">
        <f>AJ515*1000/AL515</f>
        <v>1.0480182926829269</v>
      </c>
      <c r="AT515" s="8" t="s">
        <v>276</v>
      </c>
      <c r="AU515" s="8" t="s">
        <v>276</v>
      </c>
      <c r="AV515" s="8" t="s">
        <v>268</v>
      </c>
      <c r="AW515" s="8" t="s">
        <v>276</v>
      </c>
      <c r="AX515" s="14">
        <f t="shared" si="156"/>
        <v>2.2368442083615268</v>
      </c>
      <c r="AY515" s="8" t="s">
        <v>276</v>
      </c>
      <c r="AZ515" s="8" t="s">
        <v>276</v>
      </c>
      <c r="BA515" s="8" t="s">
        <v>276</v>
      </c>
      <c r="BB515" s="8" t="s">
        <v>282</v>
      </c>
      <c r="BC515" s="8" t="s">
        <v>276</v>
      </c>
      <c r="BD515" s="8" t="s">
        <v>276</v>
      </c>
      <c r="BE515" s="8" t="s">
        <v>276</v>
      </c>
      <c r="BF515" s="9" t="s">
        <v>426</v>
      </c>
      <c r="BG515" s="9"/>
      <c r="BH515" s="9" t="s">
        <v>100</v>
      </c>
      <c r="BI515" s="9" t="s">
        <v>100</v>
      </c>
      <c r="BJ515" s="32"/>
      <c r="BK515" s="32"/>
      <c r="BO515" s="32"/>
      <c r="BP515" s="32"/>
    </row>
    <row r="516" spans="1:68" s="33" customFormat="1" ht="104" hidden="1" x14ac:dyDescent="0.35">
      <c r="A516" s="8">
        <v>2612</v>
      </c>
      <c r="B516" s="8" t="s">
        <v>2483</v>
      </c>
      <c r="C516" s="9" t="s">
        <v>2484</v>
      </c>
      <c r="D516" s="9" t="s">
        <v>2617</v>
      </c>
      <c r="E516" s="8" t="s">
        <v>37</v>
      </c>
      <c r="F516" s="8" t="s">
        <v>2502</v>
      </c>
      <c r="G516" s="8" t="s">
        <v>225</v>
      </c>
      <c r="H516" s="8" t="s">
        <v>125</v>
      </c>
      <c r="I516" s="8" t="s">
        <v>114</v>
      </c>
      <c r="J516" s="9" t="s">
        <v>25</v>
      </c>
      <c r="K516" s="8" t="s">
        <v>2567</v>
      </c>
      <c r="L516" s="8" t="s">
        <v>2567</v>
      </c>
      <c r="M516" s="8" t="s">
        <v>98</v>
      </c>
      <c r="N516" s="9" t="s">
        <v>2568</v>
      </c>
      <c r="O516" s="9" t="s">
        <v>2568</v>
      </c>
      <c r="P516" s="9" t="s">
        <v>239</v>
      </c>
      <c r="Q516" s="52">
        <v>39447</v>
      </c>
      <c r="R516" s="9" t="s">
        <v>278</v>
      </c>
      <c r="S516" s="13" t="s">
        <v>2611</v>
      </c>
      <c r="T516" s="38" t="s">
        <v>2582</v>
      </c>
      <c r="U516" s="9">
        <v>1</v>
      </c>
      <c r="V516" s="8" t="s">
        <v>14</v>
      </c>
      <c r="W516" s="8" t="s">
        <v>98</v>
      </c>
      <c r="X516" s="9" t="s">
        <v>207</v>
      </c>
      <c r="Y516" s="13">
        <v>34126</v>
      </c>
      <c r="Z516" s="38">
        <v>31488</v>
      </c>
      <c r="AA516" s="9" t="s">
        <v>276</v>
      </c>
      <c r="AB516" s="9" t="s">
        <v>276</v>
      </c>
      <c r="AC516" s="8">
        <v>8</v>
      </c>
      <c r="AD516" s="8" t="s">
        <v>968</v>
      </c>
      <c r="AE516" s="8">
        <v>3</v>
      </c>
      <c r="AF516" s="8" t="s">
        <v>968</v>
      </c>
      <c r="AG516" s="9" t="s">
        <v>2592</v>
      </c>
      <c r="AH516" s="9" t="s">
        <v>2584</v>
      </c>
      <c r="AI516" s="38">
        <v>39</v>
      </c>
      <c r="AJ516" s="38">
        <v>82</v>
      </c>
      <c r="AK516" s="13">
        <v>268185</v>
      </c>
      <c r="AL516" s="38">
        <v>247895</v>
      </c>
      <c r="AM516" s="38" t="s">
        <v>1019</v>
      </c>
      <c r="AN516" s="8">
        <v>14.5</v>
      </c>
      <c r="AO516" s="14">
        <f>AI516*100000/AK516</f>
        <v>14.542200346775546</v>
      </c>
      <c r="AP516" s="8" t="s">
        <v>276</v>
      </c>
      <c r="AQ516" s="8" t="s">
        <v>276</v>
      </c>
      <c r="AR516" s="8">
        <v>33.1</v>
      </c>
      <c r="AS516" s="14">
        <f>AJ516*100000/AL516</f>
        <v>33.07852114806672</v>
      </c>
      <c r="AT516" s="8" t="s">
        <v>276</v>
      </c>
      <c r="AU516" s="8" t="s">
        <v>276</v>
      </c>
      <c r="AV516" s="8" t="s">
        <v>270</v>
      </c>
      <c r="AW516" s="8" t="s">
        <v>276</v>
      </c>
      <c r="AX516" s="8" t="s">
        <v>276</v>
      </c>
      <c r="AY516" s="8" t="s">
        <v>276</v>
      </c>
      <c r="AZ516" s="8" t="s">
        <v>276</v>
      </c>
      <c r="BA516" s="8" t="s">
        <v>276</v>
      </c>
      <c r="BB516" s="8" t="s">
        <v>2593</v>
      </c>
      <c r="BC516" s="8">
        <v>0.47</v>
      </c>
      <c r="BD516" s="8">
        <v>0.32</v>
      </c>
      <c r="BE516" s="8">
        <v>0.69</v>
      </c>
      <c r="BF516" s="9" t="s">
        <v>2618</v>
      </c>
      <c r="BG516" s="9"/>
      <c r="BH516" s="9" t="s">
        <v>100</v>
      </c>
      <c r="BI516" s="9" t="s">
        <v>100</v>
      </c>
      <c r="BJ516" s="32"/>
      <c r="BK516" s="32"/>
      <c r="BO516" s="32"/>
      <c r="BP516" s="32"/>
    </row>
    <row r="517" spans="1:68" s="33" customFormat="1" ht="65" hidden="1" x14ac:dyDescent="0.35">
      <c r="A517" s="8">
        <v>2612</v>
      </c>
      <c r="B517" s="8" t="s">
        <v>2483</v>
      </c>
      <c r="C517" s="9" t="s">
        <v>2484</v>
      </c>
      <c r="D517" s="9" t="s">
        <v>2619</v>
      </c>
      <c r="E517" s="8" t="s">
        <v>37</v>
      </c>
      <c r="F517" s="8" t="s">
        <v>2502</v>
      </c>
      <c r="G517" s="8" t="s">
        <v>225</v>
      </c>
      <c r="H517" s="8" t="s">
        <v>125</v>
      </c>
      <c r="I517" s="8" t="s">
        <v>114</v>
      </c>
      <c r="J517" s="9" t="s">
        <v>25</v>
      </c>
      <c r="K517" s="8" t="s">
        <v>2567</v>
      </c>
      <c r="L517" s="8" t="s">
        <v>2567</v>
      </c>
      <c r="M517" s="8" t="s">
        <v>98</v>
      </c>
      <c r="N517" s="9" t="s">
        <v>2568</v>
      </c>
      <c r="O517" s="9" t="s">
        <v>2568</v>
      </c>
      <c r="P517" s="9" t="s">
        <v>239</v>
      </c>
      <c r="Q517" s="52">
        <v>39447</v>
      </c>
      <c r="R517" s="9" t="s">
        <v>278</v>
      </c>
      <c r="S517" s="13" t="s">
        <v>2611</v>
      </c>
      <c r="T517" s="38" t="s">
        <v>2582</v>
      </c>
      <c r="U517" s="9">
        <v>1</v>
      </c>
      <c r="V517" s="8" t="s">
        <v>14</v>
      </c>
      <c r="W517" s="8" t="s">
        <v>98</v>
      </c>
      <c r="X517" s="9" t="s">
        <v>207</v>
      </c>
      <c r="Y517" s="13">
        <v>34126</v>
      </c>
      <c r="Z517" s="38">
        <v>31488</v>
      </c>
      <c r="AA517" s="9" t="s">
        <v>276</v>
      </c>
      <c r="AB517" s="9" t="s">
        <v>276</v>
      </c>
      <c r="AC517" s="8">
        <v>8</v>
      </c>
      <c r="AD517" s="8" t="s">
        <v>968</v>
      </c>
      <c r="AE517" s="8">
        <v>3</v>
      </c>
      <c r="AF517" s="8" t="s">
        <v>968</v>
      </c>
      <c r="AG517" s="9" t="s">
        <v>2592</v>
      </c>
      <c r="AH517" s="9" t="s">
        <v>2584</v>
      </c>
      <c r="AI517" s="38">
        <v>39</v>
      </c>
      <c r="AJ517" s="38">
        <v>82</v>
      </c>
      <c r="AK517" s="13">
        <v>268185</v>
      </c>
      <c r="AL517" s="38">
        <v>247895</v>
      </c>
      <c r="AM517" s="38" t="s">
        <v>1019</v>
      </c>
      <c r="AN517" s="8">
        <v>14.5</v>
      </c>
      <c r="AO517" s="14">
        <f>AI517*100000/AK517</f>
        <v>14.542200346775546</v>
      </c>
      <c r="AP517" s="8" t="s">
        <v>276</v>
      </c>
      <c r="AQ517" s="8" t="s">
        <v>276</v>
      </c>
      <c r="AR517" s="8">
        <v>33.1</v>
      </c>
      <c r="AS517" s="14">
        <f>AJ517*100000/AL517</f>
        <v>33.07852114806672</v>
      </c>
      <c r="AT517" s="8" t="s">
        <v>276</v>
      </c>
      <c r="AU517" s="8" t="s">
        <v>276</v>
      </c>
      <c r="AV517" s="8" t="s">
        <v>269</v>
      </c>
      <c r="AW517" s="8" t="s">
        <v>276</v>
      </c>
      <c r="AX517" s="14">
        <f>AO517/AS517</f>
        <v>0.43962667743462491</v>
      </c>
      <c r="AY517" s="8" t="s">
        <v>276</v>
      </c>
      <c r="AZ517" s="8" t="s">
        <v>276</v>
      </c>
      <c r="BA517" s="8" t="s">
        <v>276</v>
      </c>
      <c r="BB517" s="8" t="s">
        <v>282</v>
      </c>
      <c r="BC517" s="8" t="s">
        <v>276</v>
      </c>
      <c r="BD517" s="8" t="s">
        <v>276</v>
      </c>
      <c r="BE517" s="8" t="s">
        <v>276</v>
      </c>
      <c r="BF517" s="9" t="s">
        <v>2447</v>
      </c>
      <c r="BG517" s="9"/>
      <c r="BH517" s="9" t="s">
        <v>100</v>
      </c>
      <c r="BI517" s="9" t="s">
        <v>100</v>
      </c>
      <c r="BJ517" s="32"/>
      <c r="BK517" s="32"/>
      <c r="BO517" s="32"/>
      <c r="BP517" s="32"/>
    </row>
    <row r="518" spans="1:68" s="33" customFormat="1" ht="65" hidden="1" x14ac:dyDescent="0.35">
      <c r="A518" s="8">
        <v>2612</v>
      </c>
      <c r="B518" s="8" t="s">
        <v>2483</v>
      </c>
      <c r="C518" s="9" t="s">
        <v>2484</v>
      </c>
      <c r="D518" s="9" t="s">
        <v>2620</v>
      </c>
      <c r="E518" s="8" t="s">
        <v>37</v>
      </c>
      <c r="F518" s="8" t="s">
        <v>2502</v>
      </c>
      <c r="G518" s="8" t="s">
        <v>225</v>
      </c>
      <c r="H518" s="8" t="s">
        <v>125</v>
      </c>
      <c r="I518" s="8" t="s">
        <v>114</v>
      </c>
      <c r="J518" s="9" t="s">
        <v>25</v>
      </c>
      <c r="K518" s="8" t="s">
        <v>2567</v>
      </c>
      <c r="L518" s="8" t="s">
        <v>2567</v>
      </c>
      <c r="M518" s="8" t="s">
        <v>98</v>
      </c>
      <c r="N518" s="9" t="s">
        <v>2568</v>
      </c>
      <c r="O518" s="9" t="s">
        <v>2568</v>
      </c>
      <c r="P518" s="9" t="s">
        <v>239</v>
      </c>
      <c r="Q518" s="52">
        <v>39447</v>
      </c>
      <c r="R518" s="9" t="s">
        <v>278</v>
      </c>
      <c r="S518" s="13" t="s">
        <v>2611</v>
      </c>
      <c r="T518" s="38" t="s">
        <v>2582</v>
      </c>
      <c r="U518" s="9">
        <v>1</v>
      </c>
      <c r="V518" s="8" t="s">
        <v>14</v>
      </c>
      <c r="W518" s="8" t="s">
        <v>98</v>
      </c>
      <c r="X518" s="9" t="s">
        <v>207</v>
      </c>
      <c r="Y518" s="13">
        <v>34126</v>
      </c>
      <c r="Z518" s="38">
        <v>31488</v>
      </c>
      <c r="AA518" s="9" t="s">
        <v>276</v>
      </c>
      <c r="AB518" s="9" t="s">
        <v>276</v>
      </c>
      <c r="AC518" s="8">
        <v>8</v>
      </c>
      <c r="AD518" s="8" t="s">
        <v>968</v>
      </c>
      <c r="AE518" s="8">
        <v>3</v>
      </c>
      <c r="AF518" s="8" t="s">
        <v>968</v>
      </c>
      <c r="AG518" s="9" t="s">
        <v>2592</v>
      </c>
      <c r="AH518" s="9" t="s">
        <v>1176</v>
      </c>
      <c r="AI518" s="38">
        <v>39</v>
      </c>
      <c r="AJ518" s="38">
        <v>82</v>
      </c>
      <c r="AK518" s="13">
        <v>34126</v>
      </c>
      <c r="AL518" s="38">
        <v>31488</v>
      </c>
      <c r="AM518" s="38" t="s">
        <v>281</v>
      </c>
      <c r="AN518" s="8" t="s">
        <v>276</v>
      </c>
      <c r="AO518" s="14">
        <f>AI518*1000/AK518</f>
        <v>1.1428236535193108</v>
      </c>
      <c r="AP518" s="8" t="s">
        <v>276</v>
      </c>
      <c r="AQ518" s="8" t="s">
        <v>276</v>
      </c>
      <c r="AR518" s="8" t="s">
        <v>276</v>
      </c>
      <c r="AS518" s="14">
        <f>AJ518*1000/AL518</f>
        <v>2.6041666666666665</v>
      </c>
      <c r="AT518" s="8" t="s">
        <v>276</v>
      </c>
      <c r="AU518" s="8" t="s">
        <v>276</v>
      </c>
      <c r="AV518" s="8" t="s">
        <v>268</v>
      </c>
      <c r="AW518" s="8" t="s">
        <v>276</v>
      </c>
      <c r="AX518" s="14">
        <f>AO518/AS518</f>
        <v>0.43884428295141537</v>
      </c>
      <c r="AY518" s="8" t="s">
        <v>276</v>
      </c>
      <c r="AZ518" s="8" t="s">
        <v>276</v>
      </c>
      <c r="BA518" s="8" t="s">
        <v>276</v>
      </c>
      <c r="BB518" s="8" t="s">
        <v>282</v>
      </c>
      <c r="BC518" s="8" t="s">
        <v>276</v>
      </c>
      <c r="BD518" s="8" t="s">
        <v>276</v>
      </c>
      <c r="BE518" s="8" t="s">
        <v>276</v>
      </c>
      <c r="BF518" s="9" t="s">
        <v>2596</v>
      </c>
      <c r="BG518" s="9"/>
      <c r="BH518" s="9" t="s">
        <v>100</v>
      </c>
      <c r="BI518" s="9" t="s">
        <v>100</v>
      </c>
      <c r="BJ518" s="32"/>
      <c r="BK518" s="32"/>
      <c r="BO518" s="32"/>
      <c r="BP518" s="32"/>
    </row>
    <row r="519" spans="1:68" s="33" customFormat="1" ht="65" hidden="1" x14ac:dyDescent="0.35">
      <c r="A519" s="8">
        <v>2612</v>
      </c>
      <c r="B519" s="8" t="s">
        <v>2483</v>
      </c>
      <c r="C519" s="9" t="s">
        <v>2484</v>
      </c>
      <c r="D519" s="9" t="s">
        <v>2621</v>
      </c>
      <c r="E519" s="8" t="s">
        <v>37</v>
      </c>
      <c r="F519" s="8" t="s">
        <v>2502</v>
      </c>
      <c r="G519" s="8" t="s">
        <v>225</v>
      </c>
      <c r="H519" s="8" t="s">
        <v>125</v>
      </c>
      <c r="I519" s="8" t="s">
        <v>114</v>
      </c>
      <c r="J519" s="9" t="s">
        <v>25</v>
      </c>
      <c r="K519" s="8" t="s">
        <v>2567</v>
      </c>
      <c r="L519" s="8" t="s">
        <v>2567</v>
      </c>
      <c r="M519" s="8" t="s">
        <v>98</v>
      </c>
      <c r="N519" s="9" t="s">
        <v>2568</v>
      </c>
      <c r="O519" s="9" t="s">
        <v>2568</v>
      </c>
      <c r="P519" s="9" t="s">
        <v>235</v>
      </c>
      <c r="Q519" s="52">
        <v>39447</v>
      </c>
      <c r="R519" s="9" t="s">
        <v>278</v>
      </c>
      <c r="S519" s="13" t="s">
        <v>2611</v>
      </c>
      <c r="T519" s="38" t="s">
        <v>2582</v>
      </c>
      <c r="U519" s="9">
        <v>1</v>
      </c>
      <c r="V519" s="8" t="s">
        <v>14</v>
      </c>
      <c r="W519" s="8" t="s">
        <v>98</v>
      </c>
      <c r="X519" s="9" t="s">
        <v>207</v>
      </c>
      <c r="Y519" s="13" t="s">
        <v>98</v>
      </c>
      <c r="Z519" s="38" t="s">
        <v>98</v>
      </c>
      <c r="AA519" s="9" t="s">
        <v>276</v>
      </c>
      <c r="AB519" s="9" t="s">
        <v>276</v>
      </c>
      <c r="AC519" s="8">
        <v>8</v>
      </c>
      <c r="AD519" s="8" t="s">
        <v>968</v>
      </c>
      <c r="AE519" s="8">
        <v>3</v>
      </c>
      <c r="AF519" s="8" t="s">
        <v>968</v>
      </c>
      <c r="AG519" s="9" t="s">
        <v>2592</v>
      </c>
      <c r="AH519" s="9" t="s">
        <v>2598</v>
      </c>
      <c r="AI519" s="38">
        <v>39</v>
      </c>
      <c r="AJ519" s="38">
        <v>82</v>
      </c>
      <c r="AK519" s="13">
        <v>127</v>
      </c>
      <c r="AL519" s="38">
        <v>118</v>
      </c>
      <c r="AM519" s="38" t="s">
        <v>292</v>
      </c>
      <c r="AN519" s="8">
        <v>30.7</v>
      </c>
      <c r="AO519" s="14">
        <f t="shared" ref="AO519:AO533" si="157">AI519*100/AK519</f>
        <v>30.708661417322833</v>
      </c>
      <c r="AP519" s="8" t="s">
        <v>276</v>
      </c>
      <c r="AQ519" s="8" t="s">
        <v>276</v>
      </c>
      <c r="AR519" s="8">
        <v>69.5</v>
      </c>
      <c r="AS519" s="14">
        <f>AJ519*100/AL519</f>
        <v>69.491525423728817</v>
      </c>
      <c r="AT519" s="8" t="s">
        <v>276</v>
      </c>
      <c r="AU519" s="8" t="s">
        <v>276</v>
      </c>
      <c r="AV519" s="8" t="s">
        <v>268</v>
      </c>
      <c r="AW519" s="8" t="s">
        <v>276</v>
      </c>
      <c r="AX519" s="14">
        <f>AO519/AS519</f>
        <v>0.44190512771269441</v>
      </c>
      <c r="AY519" s="8" t="s">
        <v>276</v>
      </c>
      <c r="AZ519" s="8" t="s">
        <v>276</v>
      </c>
      <c r="BA519" s="8" t="s">
        <v>276</v>
      </c>
      <c r="BB519" s="8" t="s">
        <v>282</v>
      </c>
      <c r="BC519" s="8" t="s">
        <v>276</v>
      </c>
      <c r="BD519" s="8" t="s">
        <v>276</v>
      </c>
      <c r="BE519" s="8" t="s">
        <v>276</v>
      </c>
      <c r="BF519" s="9" t="s">
        <v>2447</v>
      </c>
      <c r="BG519" s="9"/>
      <c r="BH519" s="9" t="s">
        <v>100</v>
      </c>
      <c r="BI519" s="9" t="s">
        <v>100</v>
      </c>
      <c r="BJ519" s="32"/>
      <c r="BK519" s="32"/>
      <c r="BO519" s="32"/>
      <c r="BP519" s="32"/>
    </row>
    <row r="520" spans="1:68" s="33" customFormat="1" ht="78" hidden="1" x14ac:dyDescent="0.35">
      <c r="A520" s="8">
        <v>11021</v>
      </c>
      <c r="B520" s="8" t="s">
        <v>2622</v>
      </c>
      <c r="C520" s="8" t="s">
        <v>93</v>
      </c>
      <c r="D520" s="9" t="s">
        <v>2630</v>
      </c>
      <c r="E520" s="8" t="s">
        <v>96</v>
      </c>
      <c r="F520" s="9" t="s">
        <v>2624</v>
      </c>
      <c r="G520" s="8" t="s">
        <v>225</v>
      </c>
      <c r="H520" s="8" t="s">
        <v>225</v>
      </c>
      <c r="I520" s="8" t="s">
        <v>114</v>
      </c>
      <c r="J520" s="9" t="s">
        <v>98</v>
      </c>
      <c r="K520" s="8" t="s">
        <v>98</v>
      </c>
      <c r="L520" s="8" t="s">
        <v>98</v>
      </c>
      <c r="M520" s="9" t="s">
        <v>98</v>
      </c>
      <c r="N520" s="9" t="s">
        <v>2626</v>
      </c>
      <c r="O520" s="9" t="s">
        <v>276</v>
      </c>
      <c r="P520" s="9" t="s">
        <v>238</v>
      </c>
      <c r="Q520" s="52" t="s">
        <v>276</v>
      </c>
      <c r="R520" s="9" t="s">
        <v>276</v>
      </c>
      <c r="S520" s="9" t="s">
        <v>276</v>
      </c>
      <c r="T520" s="9" t="s">
        <v>98</v>
      </c>
      <c r="U520" s="9">
        <v>1</v>
      </c>
      <c r="V520" s="8" t="s">
        <v>14</v>
      </c>
      <c r="W520" s="8" t="s">
        <v>98</v>
      </c>
      <c r="X520" s="9" t="s">
        <v>209</v>
      </c>
      <c r="Y520" s="13">
        <v>99</v>
      </c>
      <c r="Z520" s="9" t="s">
        <v>98</v>
      </c>
      <c r="AA520" s="9" t="s">
        <v>276</v>
      </c>
      <c r="AB520" s="9" t="s">
        <v>98</v>
      </c>
      <c r="AC520" s="8">
        <v>0</v>
      </c>
      <c r="AD520" s="8" t="s">
        <v>98</v>
      </c>
      <c r="AE520" s="8" t="s">
        <v>98</v>
      </c>
      <c r="AF520" s="8" t="s">
        <v>98</v>
      </c>
      <c r="AG520" s="9" t="s">
        <v>2631</v>
      </c>
      <c r="AH520" s="9" t="s">
        <v>866</v>
      </c>
      <c r="AI520" s="38">
        <v>13</v>
      </c>
      <c r="AJ520" s="38" t="s">
        <v>98</v>
      </c>
      <c r="AK520" s="38">
        <v>99</v>
      </c>
      <c r="AL520" s="38" t="s">
        <v>98</v>
      </c>
      <c r="AM520" s="38" t="s">
        <v>292</v>
      </c>
      <c r="AN520" s="8">
        <v>13.1</v>
      </c>
      <c r="AO520" s="31">
        <f t="shared" si="157"/>
        <v>13.131313131313131</v>
      </c>
      <c r="AP520" s="8" t="s">
        <v>276</v>
      </c>
      <c r="AQ520" s="8" t="s">
        <v>276</v>
      </c>
      <c r="AR520" s="8" t="s">
        <v>98</v>
      </c>
      <c r="AS520" s="8" t="s">
        <v>98</v>
      </c>
      <c r="AT520" s="8" t="s">
        <v>98</v>
      </c>
      <c r="AU520" s="8" t="s">
        <v>98</v>
      </c>
      <c r="AV520" s="8" t="s">
        <v>98</v>
      </c>
      <c r="AW520" s="8" t="s">
        <v>98</v>
      </c>
      <c r="AX520" s="8" t="s">
        <v>98</v>
      </c>
      <c r="AY520" s="8" t="s">
        <v>98</v>
      </c>
      <c r="AZ520" s="8" t="s">
        <v>98</v>
      </c>
      <c r="BA520" s="8" t="s">
        <v>98</v>
      </c>
      <c r="BB520" s="8" t="s">
        <v>98</v>
      </c>
      <c r="BC520" s="8" t="s">
        <v>98</v>
      </c>
      <c r="BD520" s="8" t="s">
        <v>98</v>
      </c>
      <c r="BE520" s="8" t="s">
        <v>98</v>
      </c>
      <c r="BF520" s="9" t="s">
        <v>2632</v>
      </c>
      <c r="BG520" s="9" t="s">
        <v>2633</v>
      </c>
      <c r="BH520" s="9" t="s">
        <v>100</v>
      </c>
      <c r="BI520" s="9" t="s">
        <v>100</v>
      </c>
      <c r="BJ520" s="32"/>
      <c r="BK520" s="32"/>
      <c r="BO520" s="32"/>
      <c r="BP520" s="32"/>
    </row>
    <row r="521" spans="1:68" s="33" customFormat="1" ht="78" x14ac:dyDescent="0.35">
      <c r="A521" s="8">
        <v>11021</v>
      </c>
      <c r="B521" s="8" t="s">
        <v>2622</v>
      </c>
      <c r="C521" s="8" t="s">
        <v>93</v>
      </c>
      <c r="D521" s="9" t="s">
        <v>2634</v>
      </c>
      <c r="E521" s="8" t="s">
        <v>96</v>
      </c>
      <c r="F521" s="9" t="s">
        <v>2624</v>
      </c>
      <c r="G521" s="8" t="s">
        <v>225</v>
      </c>
      <c r="H521" s="8" t="s">
        <v>225</v>
      </c>
      <c r="I521" s="8" t="s">
        <v>114</v>
      </c>
      <c r="J521" s="9" t="s">
        <v>98</v>
      </c>
      <c r="K521" s="8" t="s">
        <v>98</v>
      </c>
      <c r="L521" s="8" t="s">
        <v>98</v>
      </c>
      <c r="M521" s="9" t="s">
        <v>98</v>
      </c>
      <c r="N521" s="9" t="s">
        <v>2626</v>
      </c>
      <c r="O521" s="9" t="s">
        <v>276</v>
      </c>
      <c r="P521" s="9" t="s">
        <v>236</v>
      </c>
      <c r="Q521" s="52" t="s">
        <v>276</v>
      </c>
      <c r="R521" s="9" t="s">
        <v>2627</v>
      </c>
      <c r="S521" s="9" t="s">
        <v>276</v>
      </c>
      <c r="T521" s="9" t="s">
        <v>98</v>
      </c>
      <c r="U521" s="9">
        <v>1</v>
      </c>
      <c r="V521" s="8" t="s">
        <v>14</v>
      </c>
      <c r="W521" s="8" t="s">
        <v>98</v>
      </c>
      <c r="X521" s="9" t="s">
        <v>209</v>
      </c>
      <c r="Y521" s="13" t="s">
        <v>98</v>
      </c>
      <c r="Z521" s="9" t="s">
        <v>98</v>
      </c>
      <c r="AA521" s="9" t="s">
        <v>276</v>
      </c>
      <c r="AB521" s="9" t="s">
        <v>98</v>
      </c>
      <c r="AC521" s="8">
        <v>0</v>
      </c>
      <c r="AD521" s="8" t="s">
        <v>98</v>
      </c>
      <c r="AE521" s="8" t="s">
        <v>98</v>
      </c>
      <c r="AF521" s="8" t="s">
        <v>98</v>
      </c>
      <c r="AG521" s="9" t="s">
        <v>2631</v>
      </c>
      <c r="AH521" s="9" t="s">
        <v>2635</v>
      </c>
      <c r="AI521" s="38">
        <v>13</v>
      </c>
      <c r="AJ521" s="38" t="s">
        <v>98</v>
      </c>
      <c r="AK521" s="38">
        <v>14</v>
      </c>
      <c r="AL521" s="38" t="s">
        <v>98</v>
      </c>
      <c r="AM521" s="38" t="s">
        <v>292</v>
      </c>
      <c r="AN521" s="8">
        <v>93</v>
      </c>
      <c r="AO521" s="14">
        <f t="shared" si="157"/>
        <v>92.857142857142861</v>
      </c>
      <c r="AP521" s="8">
        <v>66</v>
      </c>
      <c r="AQ521" s="8">
        <v>100</v>
      </c>
      <c r="AR521" s="8" t="s">
        <v>98</v>
      </c>
      <c r="AS521" s="8" t="s">
        <v>98</v>
      </c>
      <c r="AT521" s="8" t="s">
        <v>98</v>
      </c>
      <c r="AU521" s="8" t="s">
        <v>98</v>
      </c>
      <c r="AV521" s="8" t="s">
        <v>98</v>
      </c>
      <c r="AW521" s="8" t="s">
        <v>98</v>
      </c>
      <c r="AX521" s="8" t="s">
        <v>98</v>
      </c>
      <c r="AY521" s="8" t="s">
        <v>98</v>
      </c>
      <c r="AZ521" s="8" t="s">
        <v>98</v>
      </c>
      <c r="BA521" s="8" t="s">
        <v>98</v>
      </c>
      <c r="BB521" s="8" t="s">
        <v>98</v>
      </c>
      <c r="BC521" s="8" t="s">
        <v>98</v>
      </c>
      <c r="BD521" s="8" t="s">
        <v>98</v>
      </c>
      <c r="BE521" s="8" t="s">
        <v>98</v>
      </c>
      <c r="BF521" s="9" t="s">
        <v>2636</v>
      </c>
      <c r="BG521" s="9" t="s">
        <v>2637</v>
      </c>
      <c r="BH521" s="9" t="s">
        <v>99</v>
      </c>
      <c r="BI521" s="9" t="s">
        <v>100</v>
      </c>
      <c r="BJ521" s="32"/>
      <c r="BK521" s="32"/>
      <c r="BO521" s="32"/>
      <c r="BP521" s="32"/>
    </row>
    <row r="522" spans="1:68" s="79" customFormat="1" ht="78" hidden="1" x14ac:dyDescent="0.35">
      <c r="A522" s="72">
        <v>11021</v>
      </c>
      <c r="B522" s="72" t="s">
        <v>2622</v>
      </c>
      <c r="C522" s="72" t="s">
        <v>93</v>
      </c>
      <c r="D522" s="73" t="s">
        <v>2638</v>
      </c>
      <c r="E522" s="72" t="s">
        <v>96</v>
      </c>
      <c r="F522" s="73" t="s">
        <v>2624</v>
      </c>
      <c r="G522" s="72" t="s">
        <v>225</v>
      </c>
      <c r="H522" s="73" t="s">
        <v>2625</v>
      </c>
      <c r="I522" s="72" t="s">
        <v>114</v>
      </c>
      <c r="J522" s="73" t="s">
        <v>26</v>
      </c>
      <c r="K522" s="73" t="s">
        <v>2639</v>
      </c>
      <c r="L522" s="72" t="s">
        <v>276</v>
      </c>
      <c r="M522" s="73" t="s">
        <v>2640</v>
      </c>
      <c r="N522" s="73" t="s">
        <v>2626</v>
      </c>
      <c r="O522" s="73" t="s">
        <v>276</v>
      </c>
      <c r="P522" s="73" t="s">
        <v>239</v>
      </c>
      <c r="Q522" s="77" t="s">
        <v>276</v>
      </c>
      <c r="R522" s="73" t="s">
        <v>2627</v>
      </c>
      <c r="S522" s="73" t="s">
        <v>276</v>
      </c>
      <c r="T522" s="73" t="s">
        <v>276</v>
      </c>
      <c r="U522" s="73">
        <v>1</v>
      </c>
      <c r="V522" s="72" t="s">
        <v>14</v>
      </c>
      <c r="W522" s="72" t="s">
        <v>98</v>
      </c>
      <c r="X522" s="73" t="s">
        <v>207</v>
      </c>
      <c r="Y522" s="74">
        <v>99</v>
      </c>
      <c r="Z522" s="73">
        <v>102</v>
      </c>
      <c r="AA522" s="73" t="s">
        <v>276</v>
      </c>
      <c r="AB522" s="73" t="s">
        <v>276</v>
      </c>
      <c r="AC522" s="72">
        <v>0</v>
      </c>
      <c r="AD522" s="72" t="s">
        <v>98</v>
      </c>
      <c r="AE522" s="72">
        <v>0</v>
      </c>
      <c r="AF522" s="72" t="s">
        <v>98</v>
      </c>
      <c r="AG522" s="73" t="s">
        <v>2641</v>
      </c>
      <c r="AH522" s="73" t="s">
        <v>866</v>
      </c>
      <c r="AI522" s="75">
        <v>9</v>
      </c>
      <c r="AJ522" s="75">
        <v>2</v>
      </c>
      <c r="AK522" s="75">
        <v>99</v>
      </c>
      <c r="AL522" s="75">
        <v>102</v>
      </c>
      <c r="AM522" s="75" t="s">
        <v>292</v>
      </c>
      <c r="AN522" s="72" t="s">
        <v>276</v>
      </c>
      <c r="AO522" s="76">
        <f t="shared" si="157"/>
        <v>9.0909090909090917</v>
      </c>
      <c r="AP522" s="72" t="s">
        <v>276</v>
      </c>
      <c r="AQ522" s="72" t="s">
        <v>276</v>
      </c>
      <c r="AR522" s="72" t="s">
        <v>276</v>
      </c>
      <c r="AS522" s="76">
        <f>AJ522*100/AL522</f>
        <v>1.9607843137254901</v>
      </c>
      <c r="AT522" s="72" t="s">
        <v>276</v>
      </c>
      <c r="AU522" s="72" t="s">
        <v>276</v>
      </c>
      <c r="AV522" s="72" t="s">
        <v>268</v>
      </c>
      <c r="AW522" s="83" t="s">
        <v>276</v>
      </c>
      <c r="AX522" s="83">
        <f>AO522/AS522</f>
        <v>4.6363636363636367</v>
      </c>
      <c r="AY522" s="73" t="s">
        <v>276</v>
      </c>
      <c r="AZ522" s="73" t="s">
        <v>276</v>
      </c>
      <c r="BA522" s="73" t="s">
        <v>276</v>
      </c>
      <c r="BB522" s="73" t="s">
        <v>282</v>
      </c>
      <c r="BC522" s="73" t="s">
        <v>276</v>
      </c>
      <c r="BD522" s="73" t="s">
        <v>276</v>
      </c>
      <c r="BE522" s="73" t="s">
        <v>276</v>
      </c>
      <c r="BF522" s="73" t="s">
        <v>2642</v>
      </c>
      <c r="BG522" s="73" t="s">
        <v>2643</v>
      </c>
      <c r="BH522" s="9" t="s">
        <v>100</v>
      </c>
      <c r="BI522" s="9" t="s">
        <v>100</v>
      </c>
      <c r="BJ522" s="78"/>
      <c r="BK522" s="78"/>
      <c r="BO522" s="78"/>
      <c r="BP522" s="78"/>
    </row>
    <row r="523" spans="1:68" s="79" customFormat="1" ht="78" hidden="1" x14ac:dyDescent="0.35">
      <c r="A523" s="72">
        <v>11021</v>
      </c>
      <c r="B523" s="72" t="s">
        <v>2622</v>
      </c>
      <c r="C523" s="72" t="s">
        <v>93</v>
      </c>
      <c r="D523" s="73" t="s">
        <v>2644</v>
      </c>
      <c r="E523" s="72" t="s">
        <v>96</v>
      </c>
      <c r="F523" s="73" t="s">
        <v>2624</v>
      </c>
      <c r="G523" s="72" t="s">
        <v>225</v>
      </c>
      <c r="H523" s="73" t="s">
        <v>2625</v>
      </c>
      <c r="I523" s="72" t="s">
        <v>114</v>
      </c>
      <c r="J523" s="73" t="s">
        <v>26</v>
      </c>
      <c r="K523" s="73" t="s">
        <v>2645</v>
      </c>
      <c r="L523" s="72" t="s">
        <v>276</v>
      </c>
      <c r="M523" s="73" t="s">
        <v>2640</v>
      </c>
      <c r="N523" s="73" t="s">
        <v>2626</v>
      </c>
      <c r="O523" s="73" t="s">
        <v>276</v>
      </c>
      <c r="P523" s="73" t="s">
        <v>239</v>
      </c>
      <c r="Q523" s="77" t="s">
        <v>276</v>
      </c>
      <c r="R523" s="73" t="s">
        <v>2627</v>
      </c>
      <c r="S523" s="73" t="s">
        <v>276</v>
      </c>
      <c r="T523" s="73" t="s">
        <v>276</v>
      </c>
      <c r="U523" s="73">
        <v>1</v>
      </c>
      <c r="V523" s="72" t="s">
        <v>14</v>
      </c>
      <c r="W523" s="72" t="s">
        <v>98</v>
      </c>
      <c r="X523" s="73" t="s">
        <v>207</v>
      </c>
      <c r="Y523" s="74">
        <v>99</v>
      </c>
      <c r="Z523" s="73">
        <v>102</v>
      </c>
      <c r="AA523" s="73" t="s">
        <v>276</v>
      </c>
      <c r="AB523" s="73" t="s">
        <v>276</v>
      </c>
      <c r="AC523" s="72">
        <v>0</v>
      </c>
      <c r="AD523" s="72" t="s">
        <v>98</v>
      </c>
      <c r="AE523" s="72">
        <v>0</v>
      </c>
      <c r="AF523" s="72" t="s">
        <v>98</v>
      </c>
      <c r="AG523" s="73" t="s">
        <v>2646</v>
      </c>
      <c r="AH523" s="73" t="s">
        <v>866</v>
      </c>
      <c r="AI523" s="75">
        <v>5</v>
      </c>
      <c r="AJ523" s="75">
        <v>8</v>
      </c>
      <c r="AK523" s="75">
        <v>99</v>
      </c>
      <c r="AL523" s="75">
        <v>102</v>
      </c>
      <c r="AM523" s="75" t="s">
        <v>292</v>
      </c>
      <c r="AN523" s="72" t="s">
        <v>276</v>
      </c>
      <c r="AO523" s="76">
        <f t="shared" si="157"/>
        <v>5.0505050505050502</v>
      </c>
      <c r="AP523" s="72" t="s">
        <v>276</v>
      </c>
      <c r="AQ523" s="72" t="s">
        <v>276</v>
      </c>
      <c r="AR523" s="72" t="s">
        <v>276</v>
      </c>
      <c r="AS523" s="76">
        <f>AJ523*100/AL523</f>
        <v>7.8431372549019605</v>
      </c>
      <c r="AT523" s="72" t="s">
        <v>276</v>
      </c>
      <c r="AU523" s="72" t="s">
        <v>276</v>
      </c>
      <c r="AV523" s="72" t="s">
        <v>268</v>
      </c>
      <c r="AW523" s="83" t="s">
        <v>276</v>
      </c>
      <c r="AX523" s="83">
        <f>AO523/AS523</f>
        <v>0.64393939393939392</v>
      </c>
      <c r="AY523" s="73" t="s">
        <v>276</v>
      </c>
      <c r="AZ523" s="73" t="s">
        <v>276</v>
      </c>
      <c r="BA523" s="73" t="s">
        <v>276</v>
      </c>
      <c r="BB523" s="73" t="s">
        <v>282</v>
      </c>
      <c r="BC523" s="73" t="s">
        <v>276</v>
      </c>
      <c r="BD523" s="73" t="s">
        <v>276</v>
      </c>
      <c r="BE523" s="73" t="s">
        <v>276</v>
      </c>
      <c r="BF523" s="73" t="s">
        <v>566</v>
      </c>
      <c r="BG523" s="73" t="s">
        <v>2647</v>
      </c>
      <c r="BH523" s="9" t="s">
        <v>100</v>
      </c>
      <c r="BI523" s="9" t="s">
        <v>100</v>
      </c>
      <c r="BJ523" s="78"/>
      <c r="BK523" s="78"/>
      <c r="BO523" s="78"/>
      <c r="BP523" s="78"/>
    </row>
    <row r="524" spans="1:68" s="33" customFormat="1" ht="78" hidden="1" x14ac:dyDescent="0.35">
      <c r="A524" s="8">
        <v>11021</v>
      </c>
      <c r="B524" s="8" t="s">
        <v>2622</v>
      </c>
      <c r="C524" s="8" t="s">
        <v>93</v>
      </c>
      <c r="D524" s="9" t="s">
        <v>2648</v>
      </c>
      <c r="E524" s="8" t="s">
        <v>96</v>
      </c>
      <c r="F524" s="9" t="s">
        <v>2624</v>
      </c>
      <c r="G524" s="8" t="s">
        <v>225</v>
      </c>
      <c r="H524" s="9" t="s">
        <v>2625</v>
      </c>
      <c r="I524" s="8" t="s">
        <v>114</v>
      </c>
      <c r="J524" s="9" t="s">
        <v>26</v>
      </c>
      <c r="K524" s="9" t="s">
        <v>2649</v>
      </c>
      <c r="L524" s="8" t="s">
        <v>276</v>
      </c>
      <c r="M524" s="9" t="s">
        <v>2640</v>
      </c>
      <c r="N524" s="9" t="s">
        <v>2626</v>
      </c>
      <c r="O524" s="9" t="s">
        <v>276</v>
      </c>
      <c r="P524" s="9" t="s">
        <v>239</v>
      </c>
      <c r="Q524" s="52" t="s">
        <v>276</v>
      </c>
      <c r="R524" s="9" t="s">
        <v>2627</v>
      </c>
      <c r="S524" s="9" t="s">
        <v>276</v>
      </c>
      <c r="T524" s="9" t="s">
        <v>276</v>
      </c>
      <c r="U524" s="9">
        <v>1</v>
      </c>
      <c r="V524" s="8" t="s">
        <v>14</v>
      </c>
      <c r="W524" s="8" t="s">
        <v>98</v>
      </c>
      <c r="X524" s="9" t="s">
        <v>207</v>
      </c>
      <c r="Y524" s="13">
        <v>99</v>
      </c>
      <c r="Z524" s="9">
        <v>102</v>
      </c>
      <c r="AA524" s="9" t="s">
        <v>276</v>
      </c>
      <c r="AB524" s="9" t="s">
        <v>276</v>
      </c>
      <c r="AC524" s="8">
        <v>0</v>
      </c>
      <c r="AD524" s="8" t="s">
        <v>98</v>
      </c>
      <c r="AE524" s="8">
        <v>0</v>
      </c>
      <c r="AF524" s="8" t="s">
        <v>98</v>
      </c>
      <c r="AG524" s="9" t="s">
        <v>2650</v>
      </c>
      <c r="AH524" s="9" t="s">
        <v>866</v>
      </c>
      <c r="AI524" s="38">
        <v>1</v>
      </c>
      <c r="AJ524" s="38">
        <v>4</v>
      </c>
      <c r="AK524" s="38">
        <v>99</v>
      </c>
      <c r="AL524" s="38">
        <v>102</v>
      </c>
      <c r="AM524" s="38" t="s">
        <v>292</v>
      </c>
      <c r="AN524" s="8" t="s">
        <v>276</v>
      </c>
      <c r="AO524" s="14">
        <f t="shared" si="157"/>
        <v>1.0101010101010102</v>
      </c>
      <c r="AP524" s="8" t="s">
        <v>276</v>
      </c>
      <c r="AQ524" s="8" t="s">
        <v>276</v>
      </c>
      <c r="AR524" s="8" t="s">
        <v>276</v>
      </c>
      <c r="AS524" s="14">
        <f>AJ524*100/AL524</f>
        <v>3.9215686274509802</v>
      </c>
      <c r="AT524" s="8" t="s">
        <v>276</v>
      </c>
      <c r="AU524" s="8" t="s">
        <v>276</v>
      </c>
      <c r="AV524" s="8" t="s">
        <v>268</v>
      </c>
      <c r="AW524" s="40" t="s">
        <v>276</v>
      </c>
      <c r="AX524" s="40">
        <f>AO524/AS524</f>
        <v>0.25757575757575762</v>
      </c>
      <c r="AY524" s="9" t="s">
        <v>276</v>
      </c>
      <c r="AZ524" s="9" t="s">
        <v>276</v>
      </c>
      <c r="BA524" s="9" t="s">
        <v>276</v>
      </c>
      <c r="BB524" s="9" t="s">
        <v>282</v>
      </c>
      <c r="BC524" s="9" t="s">
        <v>276</v>
      </c>
      <c r="BD524" s="9" t="s">
        <v>276</v>
      </c>
      <c r="BE524" s="9" t="s">
        <v>276</v>
      </c>
      <c r="BF524" s="9" t="s">
        <v>2651</v>
      </c>
      <c r="BG524" s="9" t="s">
        <v>2652</v>
      </c>
      <c r="BH524" s="9" t="s">
        <v>100</v>
      </c>
      <c r="BI524" s="9" t="s">
        <v>100</v>
      </c>
      <c r="BJ524" s="32"/>
      <c r="BK524" s="32"/>
      <c r="BO524" s="32"/>
      <c r="BP524" s="32"/>
    </row>
    <row r="525" spans="1:68" s="33" customFormat="1" ht="52" hidden="1" x14ac:dyDescent="0.35">
      <c r="A525" s="8">
        <v>11136</v>
      </c>
      <c r="B525" s="8" t="s">
        <v>2653</v>
      </c>
      <c r="C525" s="8" t="s">
        <v>2654</v>
      </c>
      <c r="D525" s="9" t="s">
        <v>2665</v>
      </c>
      <c r="E525" s="8" t="s">
        <v>96</v>
      </c>
      <c r="F525" s="8" t="s">
        <v>144</v>
      </c>
      <c r="G525" s="9" t="s">
        <v>225</v>
      </c>
      <c r="H525" s="9" t="s">
        <v>2656</v>
      </c>
      <c r="I525" s="8" t="s">
        <v>98</v>
      </c>
      <c r="J525" s="9" t="s">
        <v>98</v>
      </c>
      <c r="K525" s="8" t="s">
        <v>98</v>
      </c>
      <c r="L525" s="8" t="s">
        <v>98</v>
      </c>
      <c r="M525" s="8" t="s">
        <v>98</v>
      </c>
      <c r="N525" s="9" t="s">
        <v>2657</v>
      </c>
      <c r="O525" s="9" t="s">
        <v>276</v>
      </c>
      <c r="P525" s="9" t="s">
        <v>238</v>
      </c>
      <c r="Q525" s="52" t="s">
        <v>276</v>
      </c>
      <c r="R525" s="9" t="s">
        <v>2666</v>
      </c>
      <c r="S525" s="9" t="s">
        <v>276</v>
      </c>
      <c r="T525" s="9" t="s">
        <v>276</v>
      </c>
      <c r="U525" s="9">
        <v>1</v>
      </c>
      <c r="V525" s="8" t="s">
        <v>14</v>
      </c>
      <c r="W525" s="8" t="s">
        <v>98</v>
      </c>
      <c r="X525" s="9" t="s">
        <v>209</v>
      </c>
      <c r="Y525" s="13">
        <v>98</v>
      </c>
      <c r="Z525" s="9" t="s">
        <v>98</v>
      </c>
      <c r="AA525" s="9">
        <v>0</v>
      </c>
      <c r="AB525" s="9">
        <v>0</v>
      </c>
      <c r="AC525" s="8">
        <v>0</v>
      </c>
      <c r="AD525" s="8" t="s">
        <v>98</v>
      </c>
      <c r="AE525" s="9" t="s">
        <v>98</v>
      </c>
      <c r="AF525" s="8" t="s">
        <v>98</v>
      </c>
      <c r="AG525" s="9" t="s">
        <v>2667</v>
      </c>
      <c r="AH525" s="9" t="s">
        <v>866</v>
      </c>
      <c r="AI525" s="38">
        <v>10</v>
      </c>
      <c r="AJ525" s="38" t="s">
        <v>98</v>
      </c>
      <c r="AK525" s="38">
        <v>98</v>
      </c>
      <c r="AL525" s="38" t="s">
        <v>98</v>
      </c>
      <c r="AM525" s="38" t="s">
        <v>292</v>
      </c>
      <c r="AN525" s="8">
        <v>10.199999999999999</v>
      </c>
      <c r="AO525" s="31">
        <f t="shared" si="157"/>
        <v>10.204081632653061</v>
      </c>
      <c r="AP525" s="8" t="s">
        <v>276</v>
      </c>
      <c r="AQ525" s="8" t="s">
        <v>276</v>
      </c>
      <c r="AR525" s="8" t="s">
        <v>98</v>
      </c>
      <c r="AS525" s="8" t="s">
        <v>98</v>
      </c>
      <c r="AT525" s="8" t="s">
        <v>98</v>
      </c>
      <c r="AU525" s="8" t="s">
        <v>98</v>
      </c>
      <c r="AV525" s="8" t="s">
        <v>98</v>
      </c>
      <c r="AW525" s="8" t="s">
        <v>98</v>
      </c>
      <c r="AX525" s="8" t="s">
        <v>98</v>
      </c>
      <c r="AY525" s="8" t="s">
        <v>98</v>
      </c>
      <c r="AZ525" s="8" t="s">
        <v>98</v>
      </c>
      <c r="BA525" s="8" t="s">
        <v>98</v>
      </c>
      <c r="BB525" s="8" t="s">
        <v>98</v>
      </c>
      <c r="BC525" s="8" t="s">
        <v>98</v>
      </c>
      <c r="BD525" s="8" t="s">
        <v>98</v>
      </c>
      <c r="BE525" s="8" t="s">
        <v>98</v>
      </c>
      <c r="BF525" s="9" t="s">
        <v>2668</v>
      </c>
      <c r="BG525" s="9" t="s">
        <v>2669</v>
      </c>
      <c r="BH525" s="9" t="s">
        <v>100</v>
      </c>
      <c r="BI525" s="9" t="s">
        <v>100</v>
      </c>
      <c r="BJ525" s="32"/>
      <c r="BK525" s="32"/>
      <c r="BO525" s="32"/>
      <c r="BP525" s="32"/>
    </row>
    <row r="526" spans="1:68" s="33" customFormat="1" ht="117" x14ac:dyDescent="0.35">
      <c r="A526" s="8">
        <v>11136</v>
      </c>
      <c r="B526" s="8" t="s">
        <v>2653</v>
      </c>
      <c r="C526" s="8" t="s">
        <v>2654</v>
      </c>
      <c r="D526" s="9" t="s">
        <v>2670</v>
      </c>
      <c r="E526" s="8" t="s">
        <v>96</v>
      </c>
      <c r="F526" s="8" t="s">
        <v>144</v>
      </c>
      <c r="G526" s="9" t="s">
        <v>225</v>
      </c>
      <c r="H526" s="9" t="s">
        <v>2656</v>
      </c>
      <c r="I526" s="8" t="s">
        <v>98</v>
      </c>
      <c r="J526" s="9" t="s">
        <v>98</v>
      </c>
      <c r="K526" s="8" t="s">
        <v>98</v>
      </c>
      <c r="L526" s="8" t="s">
        <v>98</v>
      </c>
      <c r="M526" s="8" t="s">
        <v>98</v>
      </c>
      <c r="N526" s="9" t="s">
        <v>2657</v>
      </c>
      <c r="O526" s="9" t="s">
        <v>276</v>
      </c>
      <c r="P526" s="9" t="s">
        <v>236</v>
      </c>
      <c r="Q526" s="52" t="s">
        <v>276</v>
      </c>
      <c r="R526" s="9" t="s">
        <v>2627</v>
      </c>
      <c r="S526" s="9" t="s">
        <v>2659</v>
      </c>
      <c r="T526" s="9" t="s">
        <v>2660</v>
      </c>
      <c r="U526" s="9">
        <v>1</v>
      </c>
      <c r="V526" s="8" t="s">
        <v>14</v>
      </c>
      <c r="W526" s="8" t="s">
        <v>98</v>
      </c>
      <c r="X526" s="9" t="s">
        <v>209</v>
      </c>
      <c r="Y526" s="13">
        <v>98</v>
      </c>
      <c r="Z526" s="9" t="s">
        <v>98</v>
      </c>
      <c r="AA526" s="9">
        <v>5</v>
      </c>
      <c r="AB526" s="9" t="s">
        <v>98</v>
      </c>
      <c r="AC526" s="8">
        <v>0</v>
      </c>
      <c r="AD526" s="8" t="s">
        <v>98</v>
      </c>
      <c r="AE526" s="9" t="s">
        <v>98</v>
      </c>
      <c r="AF526" s="8" t="s">
        <v>98</v>
      </c>
      <c r="AG526" s="9" t="s">
        <v>2667</v>
      </c>
      <c r="AH526" s="9" t="s">
        <v>2671</v>
      </c>
      <c r="AI526" s="38">
        <v>10</v>
      </c>
      <c r="AJ526" s="38" t="s">
        <v>98</v>
      </c>
      <c r="AK526" s="38">
        <v>12</v>
      </c>
      <c r="AL526" s="38" t="s">
        <v>98</v>
      </c>
      <c r="AM526" s="38" t="s">
        <v>292</v>
      </c>
      <c r="AN526" s="8">
        <v>83</v>
      </c>
      <c r="AO526" s="14">
        <f t="shared" si="157"/>
        <v>83.333333333333329</v>
      </c>
      <c r="AP526" s="8">
        <v>52</v>
      </c>
      <c r="AQ526" s="8">
        <v>97</v>
      </c>
      <c r="AR526" s="8" t="s">
        <v>98</v>
      </c>
      <c r="AS526" s="8" t="s">
        <v>98</v>
      </c>
      <c r="AT526" s="8" t="s">
        <v>98</v>
      </c>
      <c r="AU526" s="8" t="s">
        <v>98</v>
      </c>
      <c r="AV526" s="8" t="s">
        <v>98</v>
      </c>
      <c r="AW526" s="8" t="s">
        <v>98</v>
      </c>
      <c r="AX526" s="8" t="s">
        <v>98</v>
      </c>
      <c r="AY526" s="8" t="s">
        <v>98</v>
      </c>
      <c r="AZ526" s="8" t="s">
        <v>98</v>
      </c>
      <c r="BA526" s="8" t="s">
        <v>98</v>
      </c>
      <c r="BB526" s="8" t="s">
        <v>98</v>
      </c>
      <c r="BC526" s="8" t="s">
        <v>98</v>
      </c>
      <c r="BD526" s="8" t="s">
        <v>98</v>
      </c>
      <c r="BE526" s="8" t="s">
        <v>98</v>
      </c>
      <c r="BF526" s="9" t="s">
        <v>2672</v>
      </c>
      <c r="BG526" s="9" t="s">
        <v>2669</v>
      </c>
      <c r="BH526" s="9" t="s">
        <v>99</v>
      </c>
      <c r="BI526" s="9" t="s">
        <v>100</v>
      </c>
      <c r="BJ526" s="32"/>
      <c r="BK526" s="32"/>
      <c r="BO526" s="32"/>
      <c r="BP526" s="32"/>
    </row>
    <row r="527" spans="1:68" s="33" customFormat="1" ht="65" hidden="1" x14ac:dyDescent="0.35">
      <c r="A527" s="8">
        <v>11136</v>
      </c>
      <c r="B527" s="8" t="s">
        <v>2653</v>
      </c>
      <c r="C527" s="8" t="s">
        <v>2654</v>
      </c>
      <c r="D527" s="9" t="s">
        <v>2673</v>
      </c>
      <c r="E527" s="8" t="s">
        <v>96</v>
      </c>
      <c r="F527" s="8" t="s">
        <v>144</v>
      </c>
      <c r="G527" s="9" t="s">
        <v>225</v>
      </c>
      <c r="H527" s="9" t="s">
        <v>2656</v>
      </c>
      <c r="I527" s="8" t="s">
        <v>98</v>
      </c>
      <c r="J527" s="9" t="s">
        <v>25</v>
      </c>
      <c r="K527" s="8" t="s">
        <v>300</v>
      </c>
      <c r="L527" s="8" t="s">
        <v>2674</v>
      </c>
      <c r="M527" s="8" t="s">
        <v>276</v>
      </c>
      <c r="N527" s="9" t="s">
        <v>2657</v>
      </c>
      <c r="O527" s="9" t="s">
        <v>2675</v>
      </c>
      <c r="P527" s="9" t="s">
        <v>239</v>
      </c>
      <c r="Q527" s="52" t="s">
        <v>276</v>
      </c>
      <c r="R527" s="9" t="s">
        <v>2627</v>
      </c>
      <c r="S527" s="9" t="s">
        <v>2659</v>
      </c>
      <c r="T527" s="9" t="s">
        <v>2660</v>
      </c>
      <c r="U527" s="9">
        <v>1</v>
      </c>
      <c r="V527" s="8" t="s">
        <v>14</v>
      </c>
      <c r="W527" s="8" t="s">
        <v>98</v>
      </c>
      <c r="X527" s="9" t="s">
        <v>207</v>
      </c>
      <c r="Y527" s="13">
        <v>98</v>
      </c>
      <c r="Z527" s="9">
        <v>97</v>
      </c>
      <c r="AA527" s="9">
        <v>5</v>
      </c>
      <c r="AB527" s="9">
        <v>8</v>
      </c>
      <c r="AC527" s="8">
        <v>0</v>
      </c>
      <c r="AD527" s="8" t="s">
        <v>98</v>
      </c>
      <c r="AE527" s="8">
        <v>0</v>
      </c>
      <c r="AF527" s="8" t="s">
        <v>98</v>
      </c>
      <c r="AG527" s="9" t="s">
        <v>2676</v>
      </c>
      <c r="AH527" s="9" t="s">
        <v>866</v>
      </c>
      <c r="AI527" s="38">
        <v>1</v>
      </c>
      <c r="AJ527" s="38">
        <v>1</v>
      </c>
      <c r="AK527" s="38">
        <v>98</v>
      </c>
      <c r="AL527" s="38">
        <v>97</v>
      </c>
      <c r="AM527" s="38" t="s">
        <v>292</v>
      </c>
      <c r="AN527" s="8" t="s">
        <v>276</v>
      </c>
      <c r="AO527" s="14">
        <f t="shared" si="157"/>
        <v>1.0204081632653061</v>
      </c>
      <c r="AP527" s="8" t="s">
        <v>276</v>
      </c>
      <c r="AQ527" s="8" t="s">
        <v>276</v>
      </c>
      <c r="AR527" s="8" t="s">
        <v>276</v>
      </c>
      <c r="AS527" s="14">
        <f t="shared" ref="AS527:AS533" si="158">AJ527*100/AL527</f>
        <v>1.0309278350515463</v>
      </c>
      <c r="AT527" s="8" t="s">
        <v>276</v>
      </c>
      <c r="AU527" s="8" t="s">
        <v>276</v>
      </c>
      <c r="AV527" s="8" t="s">
        <v>268</v>
      </c>
      <c r="AW527" s="40" t="s">
        <v>276</v>
      </c>
      <c r="AX527" s="40">
        <f t="shared" ref="AX527:AX554" si="159">AO527/AS527</f>
        <v>0.98979591836734704</v>
      </c>
      <c r="AY527" s="9" t="s">
        <v>276</v>
      </c>
      <c r="AZ527" s="9" t="s">
        <v>276</v>
      </c>
      <c r="BA527" s="9" t="s">
        <v>276</v>
      </c>
      <c r="BB527" s="9" t="s">
        <v>282</v>
      </c>
      <c r="BC527" s="9" t="s">
        <v>276</v>
      </c>
      <c r="BD527" s="9" t="s">
        <v>276</v>
      </c>
      <c r="BE527" s="9" t="s">
        <v>276</v>
      </c>
      <c r="BF527" s="9" t="s">
        <v>2677</v>
      </c>
      <c r="BG527" s="9" t="s">
        <v>2678</v>
      </c>
      <c r="BH527" s="9" t="s">
        <v>100</v>
      </c>
      <c r="BI527" s="9" t="s">
        <v>100</v>
      </c>
      <c r="BJ527" s="32"/>
      <c r="BK527" s="32"/>
      <c r="BO527" s="32"/>
      <c r="BP527" s="32"/>
    </row>
    <row r="528" spans="1:68" s="33" customFormat="1" ht="65" hidden="1" x14ac:dyDescent="0.35">
      <c r="A528" s="8">
        <v>11136</v>
      </c>
      <c r="B528" s="8" t="s">
        <v>2653</v>
      </c>
      <c r="C528" s="8" t="s">
        <v>2654</v>
      </c>
      <c r="D528" s="9" t="s">
        <v>2679</v>
      </c>
      <c r="E528" s="8" t="s">
        <v>96</v>
      </c>
      <c r="F528" s="8" t="s">
        <v>144</v>
      </c>
      <c r="G528" s="9" t="s">
        <v>225</v>
      </c>
      <c r="H528" s="9" t="s">
        <v>2656</v>
      </c>
      <c r="I528" s="8" t="s">
        <v>98</v>
      </c>
      <c r="J528" s="9" t="s">
        <v>25</v>
      </c>
      <c r="K528" s="8" t="s">
        <v>304</v>
      </c>
      <c r="L528" s="8" t="s">
        <v>2674</v>
      </c>
      <c r="M528" s="8" t="s">
        <v>276</v>
      </c>
      <c r="N528" s="9" t="s">
        <v>2657</v>
      </c>
      <c r="O528" s="9" t="s">
        <v>2675</v>
      </c>
      <c r="P528" s="9" t="s">
        <v>239</v>
      </c>
      <c r="Q528" s="52" t="s">
        <v>276</v>
      </c>
      <c r="R528" s="9" t="s">
        <v>2627</v>
      </c>
      <c r="S528" s="9" t="s">
        <v>2659</v>
      </c>
      <c r="T528" s="9" t="s">
        <v>2660</v>
      </c>
      <c r="U528" s="9">
        <v>1</v>
      </c>
      <c r="V528" s="8" t="s">
        <v>14</v>
      </c>
      <c r="W528" s="8" t="s">
        <v>98</v>
      </c>
      <c r="X528" s="9" t="s">
        <v>207</v>
      </c>
      <c r="Y528" s="13">
        <v>98</v>
      </c>
      <c r="Z528" s="9">
        <v>97</v>
      </c>
      <c r="AA528" s="9">
        <v>5</v>
      </c>
      <c r="AB528" s="9">
        <v>8</v>
      </c>
      <c r="AC528" s="8">
        <v>0</v>
      </c>
      <c r="AD528" s="8" t="s">
        <v>98</v>
      </c>
      <c r="AE528" s="8">
        <v>0</v>
      </c>
      <c r="AF528" s="8" t="s">
        <v>98</v>
      </c>
      <c r="AG528" s="9" t="s">
        <v>2680</v>
      </c>
      <c r="AH528" s="9" t="s">
        <v>866</v>
      </c>
      <c r="AI528" s="38">
        <v>2</v>
      </c>
      <c r="AJ528" s="38">
        <v>1</v>
      </c>
      <c r="AK528" s="38">
        <v>98</v>
      </c>
      <c r="AL528" s="38">
        <v>97</v>
      </c>
      <c r="AM528" s="38" t="s">
        <v>292</v>
      </c>
      <c r="AN528" s="8" t="s">
        <v>276</v>
      </c>
      <c r="AO528" s="14">
        <f t="shared" si="157"/>
        <v>2.0408163265306123</v>
      </c>
      <c r="AP528" s="8" t="s">
        <v>276</v>
      </c>
      <c r="AQ528" s="8" t="s">
        <v>276</v>
      </c>
      <c r="AR528" s="8" t="s">
        <v>276</v>
      </c>
      <c r="AS528" s="14">
        <f t="shared" si="158"/>
        <v>1.0309278350515463</v>
      </c>
      <c r="AT528" s="8" t="s">
        <v>276</v>
      </c>
      <c r="AU528" s="8" t="s">
        <v>276</v>
      </c>
      <c r="AV528" s="8" t="s">
        <v>268</v>
      </c>
      <c r="AW528" s="40" t="s">
        <v>276</v>
      </c>
      <c r="AX528" s="40">
        <f t="shared" si="159"/>
        <v>1.9795918367346941</v>
      </c>
      <c r="AY528" s="9" t="s">
        <v>276</v>
      </c>
      <c r="AZ528" s="9" t="s">
        <v>276</v>
      </c>
      <c r="BA528" s="9" t="s">
        <v>276</v>
      </c>
      <c r="BB528" s="9" t="s">
        <v>282</v>
      </c>
      <c r="BC528" s="9" t="s">
        <v>276</v>
      </c>
      <c r="BD528" s="9" t="s">
        <v>276</v>
      </c>
      <c r="BE528" s="9" t="s">
        <v>276</v>
      </c>
      <c r="BF528" s="9" t="s">
        <v>426</v>
      </c>
      <c r="BG528" s="9" t="s">
        <v>2681</v>
      </c>
      <c r="BH528" s="9" t="s">
        <v>100</v>
      </c>
      <c r="BI528" s="9" t="s">
        <v>100</v>
      </c>
      <c r="BJ528" s="32"/>
      <c r="BK528" s="32"/>
      <c r="BO528" s="32"/>
      <c r="BP528" s="32"/>
    </row>
    <row r="529" spans="1:69" s="33" customFormat="1" ht="65" hidden="1" x14ac:dyDescent="0.35">
      <c r="A529" s="8">
        <v>11136</v>
      </c>
      <c r="B529" s="8" t="s">
        <v>2653</v>
      </c>
      <c r="C529" s="8" t="s">
        <v>2654</v>
      </c>
      <c r="D529" s="9" t="s">
        <v>11659</v>
      </c>
      <c r="E529" s="8" t="s">
        <v>96</v>
      </c>
      <c r="F529" s="8" t="s">
        <v>144</v>
      </c>
      <c r="G529" s="9" t="s">
        <v>225</v>
      </c>
      <c r="H529" s="9" t="s">
        <v>2656</v>
      </c>
      <c r="I529" s="8" t="s">
        <v>98</v>
      </c>
      <c r="J529" s="9" t="s">
        <v>25</v>
      </c>
      <c r="K529" s="8" t="s">
        <v>307</v>
      </c>
      <c r="L529" s="8" t="s">
        <v>2674</v>
      </c>
      <c r="M529" s="8" t="s">
        <v>276</v>
      </c>
      <c r="N529" s="9" t="s">
        <v>2657</v>
      </c>
      <c r="O529" s="9" t="s">
        <v>2675</v>
      </c>
      <c r="P529" s="9" t="s">
        <v>239</v>
      </c>
      <c r="Q529" s="52" t="s">
        <v>276</v>
      </c>
      <c r="R529" s="9" t="s">
        <v>2627</v>
      </c>
      <c r="S529" s="9" t="s">
        <v>2659</v>
      </c>
      <c r="T529" s="9" t="s">
        <v>2660</v>
      </c>
      <c r="U529" s="9">
        <v>1</v>
      </c>
      <c r="V529" s="8" t="s">
        <v>14</v>
      </c>
      <c r="W529" s="8" t="s">
        <v>98</v>
      </c>
      <c r="X529" s="9" t="s">
        <v>207</v>
      </c>
      <c r="Y529" s="13">
        <v>98</v>
      </c>
      <c r="Z529" s="9">
        <v>97</v>
      </c>
      <c r="AA529" s="9">
        <v>5</v>
      </c>
      <c r="AB529" s="9">
        <v>8</v>
      </c>
      <c r="AC529" s="8">
        <v>0</v>
      </c>
      <c r="AD529" s="8" t="s">
        <v>98</v>
      </c>
      <c r="AE529" s="8">
        <v>0</v>
      </c>
      <c r="AF529" s="8" t="s">
        <v>98</v>
      </c>
      <c r="AG529" s="9" t="s">
        <v>2680</v>
      </c>
      <c r="AH529" s="9" t="s">
        <v>866</v>
      </c>
      <c r="AI529" s="38">
        <f>1+2</f>
        <v>3</v>
      </c>
      <c r="AJ529" s="38">
        <f>1+1</f>
        <v>2</v>
      </c>
      <c r="AK529" s="38">
        <v>98</v>
      </c>
      <c r="AL529" s="38">
        <v>97</v>
      </c>
      <c r="AM529" s="38" t="s">
        <v>292</v>
      </c>
      <c r="AN529" s="8" t="s">
        <v>276</v>
      </c>
      <c r="AO529" s="14">
        <f t="shared" ref="AO529" si="160">AI529*100/AK529</f>
        <v>3.0612244897959182</v>
      </c>
      <c r="AP529" s="8" t="s">
        <v>276</v>
      </c>
      <c r="AQ529" s="8" t="s">
        <v>276</v>
      </c>
      <c r="AR529" s="8" t="s">
        <v>276</v>
      </c>
      <c r="AS529" s="14">
        <f t="shared" ref="AS529" si="161">AJ529*100/AL529</f>
        <v>2.0618556701030926</v>
      </c>
      <c r="AT529" s="8" t="s">
        <v>276</v>
      </c>
      <c r="AU529" s="8" t="s">
        <v>276</v>
      </c>
      <c r="AV529" s="8" t="s">
        <v>268</v>
      </c>
      <c r="AW529" s="40" t="s">
        <v>276</v>
      </c>
      <c r="AX529" s="40">
        <f t="shared" ref="AX529" si="162">AO529/AS529</f>
        <v>1.4846938775510206</v>
      </c>
      <c r="AY529" s="9" t="s">
        <v>276</v>
      </c>
      <c r="AZ529" s="9" t="s">
        <v>276</v>
      </c>
      <c r="BA529" s="9" t="s">
        <v>276</v>
      </c>
      <c r="BB529" s="9" t="s">
        <v>282</v>
      </c>
      <c r="BC529" s="9" t="s">
        <v>276</v>
      </c>
      <c r="BD529" s="9" t="s">
        <v>276</v>
      </c>
      <c r="BE529" s="9" t="s">
        <v>276</v>
      </c>
      <c r="BF529" s="9" t="s">
        <v>426</v>
      </c>
      <c r="BG529" s="9" t="s">
        <v>2681</v>
      </c>
      <c r="BH529" s="9" t="s">
        <v>100</v>
      </c>
      <c r="BI529" s="9" t="s">
        <v>100</v>
      </c>
      <c r="BJ529" s="32"/>
      <c r="BK529" s="32"/>
      <c r="BO529" s="32"/>
      <c r="BP529" s="32"/>
    </row>
    <row r="530" spans="1:69" s="33" customFormat="1" ht="65" hidden="1" x14ac:dyDescent="0.35">
      <c r="A530" s="8">
        <v>11136</v>
      </c>
      <c r="B530" s="8" t="s">
        <v>2653</v>
      </c>
      <c r="C530" s="8" t="s">
        <v>2654</v>
      </c>
      <c r="D530" s="9" t="s">
        <v>2682</v>
      </c>
      <c r="E530" s="8" t="s">
        <v>96</v>
      </c>
      <c r="F530" s="8" t="s">
        <v>144</v>
      </c>
      <c r="G530" s="9" t="s">
        <v>225</v>
      </c>
      <c r="H530" s="9" t="s">
        <v>2656</v>
      </c>
      <c r="I530" s="8" t="s">
        <v>98</v>
      </c>
      <c r="J530" s="9" t="s">
        <v>25</v>
      </c>
      <c r="K530" s="8" t="s">
        <v>311</v>
      </c>
      <c r="L530" s="8" t="s">
        <v>2674</v>
      </c>
      <c r="M530" s="8" t="s">
        <v>276</v>
      </c>
      <c r="N530" s="9" t="s">
        <v>2657</v>
      </c>
      <c r="O530" s="9" t="s">
        <v>2675</v>
      </c>
      <c r="P530" s="9" t="s">
        <v>239</v>
      </c>
      <c r="Q530" s="52" t="s">
        <v>276</v>
      </c>
      <c r="R530" s="9" t="s">
        <v>2627</v>
      </c>
      <c r="S530" s="9" t="s">
        <v>2659</v>
      </c>
      <c r="T530" s="9" t="s">
        <v>2660</v>
      </c>
      <c r="U530" s="9">
        <v>1</v>
      </c>
      <c r="V530" s="8" t="s">
        <v>14</v>
      </c>
      <c r="W530" s="8" t="s">
        <v>98</v>
      </c>
      <c r="X530" s="9" t="s">
        <v>207</v>
      </c>
      <c r="Y530" s="13">
        <v>98</v>
      </c>
      <c r="Z530" s="9">
        <v>97</v>
      </c>
      <c r="AA530" s="9">
        <v>5</v>
      </c>
      <c r="AB530" s="9">
        <v>8</v>
      </c>
      <c r="AC530" s="8">
        <v>0</v>
      </c>
      <c r="AD530" s="8" t="s">
        <v>98</v>
      </c>
      <c r="AE530" s="8">
        <v>0</v>
      </c>
      <c r="AF530" s="8" t="s">
        <v>98</v>
      </c>
      <c r="AG530" s="9" t="s">
        <v>2683</v>
      </c>
      <c r="AH530" s="9" t="s">
        <v>866</v>
      </c>
      <c r="AI530" s="38">
        <v>6</v>
      </c>
      <c r="AJ530" s="38">
        <v>4</v>
      </c>
      <c r="AK530" s="38">
        <v>98</v>
      </c>
      <c r="AL530" s="38">
        <v>97</v>
      </c>
      <c r="AM530" s="38" t="s">
        <v>292</v>
      </c>
      <c r="AN530" s="8" t="s">
        <v>276</v>
      </c>
      <c r="AO530" s="14">
        <f t="shared" si="157"/>
        <v>6.1224489795918364</v>
      </c>
      <c r="AP530" s="8" t="s">
        <v>276</v>
      </c>
      <c r="AQ530" s="8" t="s">
        <v>276</v>
      </c>
      <c r="AR530" s="8" t="s">
        <v>276</v>
      </c>
      <c r="AS530" s="14">
        <f t="shared" si="158"/>
        <v>4.1237113402061851</v>
      </c>
      <c r="AT530" s="8" t="s">
        <v>276</v>
      </c>
      <c r="AU530" s="8" t="s">
        <v>276</v>
      </c>
      <c r="AV530" s="8" t="s">
        <v>268</v>
      </c>
      <c r="AW530" s="40" t="s">
        <v>276</v>
      </c>
      <c r="AX530" s="40">
        <f t="shared" si="159"/>
        <v>1.4846938775510206</v>
      </c>
      <c r="AY530" s="9" t="s">
        <v>276</v>
      </c>
      <c r="AZ530" s="9" t="s">
        <v>276</v>
      </c>
      <c r="BA530" s="9" t="s">
        <v>276</v>
      </c>
      <c r="BB530" s="9" t="s">
        <v>282</v>
      </c>
      <c r="BC530" s="9" t="s">
        <v>276</v>
      </c>
      <c r="BD530" s="9" t="s">
        <v>276</v>
      </c>
      <c r="BE530" s="9" t="s">
        <v>276</v>
      </c>
      <c r="BF530" s="9" t="s">
        <v>426</v>
      </c>
      <c r="BG530" s="9" t="s">
        <v>2684</v>
      </c>
      <c r="BH530" s="9" t="s">
        <v>100</v>
      </c>
      <c r="BI530" s="9" t="s">
        <v>100</v>
      </c>
      <c r="BJ530" s="32"/>
      <c r="BK530" s="32"/>
      <c r="BO530" s="32"/>
      <c r="BP530" s="32"/>
    </row>
    <row r="531" spans="1:69" s="33" customFormat="1" ht="65" hidden="1" x14ac:dyDescent="0.35">
      <c r="A531" s="8">
        <v>11136</v>
      </c>
      <c r="B531" s="8" t="s">
        <v>2653</v>
      </c>
      <c r="C531" s="8" t="s">
        <v>2654</v>
      </c>
      <c r="D531" s="9" t="s">
        <v>2685</v>
      </c>
      <c r="E531" s="8" t="s">
        <v>96</v>
      </c>
      <c r="F531" s="8" t="s">
        <v>144</v>
      </c>
      <c r="G531" s="9" t="s">
        <v>225</v>
      </c>
      <c r="H531" s="9" t="s">
        <v>2656</v>
      </c>
      <c r="I531" s="8" t="s">
        <v>98</v>
      </c>
      <c r="J531" s="9" t="s">
        <v>25</v>
      </c>
      <c r="K531" s="8" t="s">
        <v>314</v>
      </c>
      <c r="L531" s="8" t="s">
        <v>2674</v>
      </c>
      <c r="M531" s="8" t="s">
        <v>276</v>
      </c>
      <c r="N531" s="9" t="s">
        <v>2657</v>
      </c>
      <c r="O531" s="9" t="s">
        <v>2675</v>
      </c>
      <c r="P531" s="9" t="s">
        <v>239</v>
      </c>
      <c r="Q531" s="52" t="s">
        <v>276</v>
      </c>
      <c r="R531" s="9" t="s">
        <v>2627</v>
      </c>
      <c r="S531" s="9" t="s">
        <v>2659</v>
      </c>
      <c r="T531" s="9" t="s">
        <v>2660</v>
      </c>
      <c r="U531" s="9">
        <v>1</v>
      </c>
      <c r="V531" s="8" t="s">
        <v>14</v>
      </c>
      <c r="W531" s="8" t="s">
        <v>98</v>
      </c>
      <c r="X531" s="9" t="s">
        <v>207</v>
      </c>
      <c r="Y531" s="13">
        <v>98</v>
      </c>
      <c r="Z531" s="9">
        <v>97</v>
      </c>
      <c r="AA531" s="9">
        <v>5</v>
      </c>
      <c r="AB531" s="9">
        <v>8</v>
      </c>
      <c r="AC531" s="8">
        <v>0</v>
      </c>
      <c r="AD531" s="8" t="s">
        <v>98</v>
      </c>
      <c r="AE531" s="8">
        <v>0</v>
      </c>
      <c r="AF531" s="8" t="s">
        <v>98</v>
      </c>
      <c r="AG531" s="9" t="s">
        <v>2686</v>
      </c>
      <c r="AH531" s="9" t="s">
        <v>866</v>
      </c>
      <c r="AI531" s="38">
        <v>3</v>
      </c>
      <c r="AJ531" s="38">
        <v>4</v>
      </c>
      <c r="AK531" s="38">
        <v>98</v>
      </c>
      <c r="AL531" s="38">
        <v>97</v>
      </c>
      <c r="AM531" s="38" t="s">
        <v>292</v>
      </c>
      <c r="AN531" s="8" t="s">
        <v>276</v>
      </c>
      <c r="AO531" s="14">
        <f t="shared" ref="AO531" si="163">AI531*100/AK531</f>
        <v>3.0612244897959182</v>
      </c>
      <c r="AP531" s="8" t="s">
        <v>276</v>
      </c>
      <c r="AQ531" s="8" t="s">
        <v>276</v>
      </c>
      <c r="AR531" s="8" t="s">
        <v>276</v>
      </c>
      <c r="AS531" s="14">
        <f t="shared" ref="AS531" si="164">AJ531*100/AL531</f>
        <v>4.1237113402061851</v>
      </c>
      <c r="AT531" s="8" t="s">
        <v>276</v>
      </c>
      <c r="AU531" s="8" t="s">
        <v>276</v>
      </c>
      <c r="AV531" s="8" t="s">
        <v>268</v>
      </c>
      <c r="AW531" s="40" t="s">
        <v>276</v>
      </c>
      <c r="AX531" s="40">
        <f t="shared" ref="AX531" si="165">AO531/AS531</f>
        <v>0.74234693877551028</v>
      </c>
      <c r="AY531" s="9" t="s">
        <v>276</v>
      </c>
      <c r="AZ531" s="9" t="s">
        <v>276</v>
      </c>
      <c r="BA531" s="9" t="s">
        <v>276</v>
      </c>
      <c r="BB531" s="9" t="s">
        <v>282</v>
      </c>
      <c r="BC531" s="9" t="s">
        <v>276</v>
      </c>
      <c r="BD531" s="9" t="s">
        <v>276</v>
      </c>
      <c r="BE531" s="9" t="s">
        <v>276</v>
      </c>
      <c r="BF531" s="9" t="s">
        <v>426</v>
      </c>
      <c r="BG531" s="9" t="s">
        <v>2687</v>
      </c>
      <c r="BH531" s="9" t="s">
        <v>100</v>
      </c>
      <c r="BI531" s="9" t="s">
        <v>100</v>
      </c>
      <c r="BJ531" s="32"/>
      <c r="BK531" s="32"/>
      <c r="BO531" s="32"/>
      <c r="BP531" s="32"/>
    </row>
    <row r="532" spans="1:69" s="33" customFormat="1" ht="65" hidden="1" x14ac:dyDescent="0.35">
      <c r="A532" s="8">
        <v>11136</v>
      </c>
      <c r="B532" s="8" t="s">
        <v>2653</v>
      </c>
      <c r="C532" s="8" t="s">
        <v>2654</v>
      </c>
      <c r="D532" s="9" t="s">
        <v>11605</v>
      </c>
      <c r="E532" s="8" t="s">
        <v>96</v>
      </c>
      <c r="F532" s="8" t="s">
        <v>144</v>
      </c>
      <c r="G532" s="9" t="s">
        <v>225</v>
      </c>
      <c r="H532" s="9" t="s">
        <v>2656</v>
      </c>
      <c r="I532" s="8" t="s">
        <v>98</v>
      </c>
      <c r="J532" s="9" t="s">
        <v>25</v>
      </c>
      <c r="K532" s="8" t="s">
        <v>317</v>
      </c>
      <c r="L532" s="8" t="s">
        <v>2674</v>
      </c>
      <c r="M532" s="8" t="s">
        <v>276</v>
      </c>
      <c r="N532" s="9" t="s">
        <v>2657</v>
      </c>
      <c r="O532" s="9" t="s">
        <v>2675</v>
      </c>
      <c r="P532" s="9" t="s">
        <v>239</v>
      </c>
      <c r="Q532" s="52" t="s">
        <v>276</v>
      </c>
      <c r="R532" s="9" t="s">
        <v>2627</v>
      </c>
      <c r="S532" s="9" t="s">
        <v>2659</v>
      </c>
      <c r="T532" s="9" t="s">
        <v>2660</v>
      </c>
      <c r="U532" s="9">
        <v>1</v>
      </c>
      <c r="V532" s="8" t="s">
        <v>14</v>
      </c>
      <c r="W532" s="8" t="s">
        <v>98</v>
      </c>
      <c r="X532" s="9" t="s">
        <v>207</v>
      </c>
      <c r="Y532" s="13">
        <v>98</v>
      </c>
      <c r="Z532" s="9">
        <v>97</v>
      </c>
      <c r="AA532" s="9">
        <v>5</v>
      </c>
      <c r="AB532" s="9">
        <v>8</v>
      </c>
      <c r="AC532" s="8">
        <v>0</v>
      </c>
      <c r="AD532" s="8" t="s">
        <v>98</v>
      </c>
      <c r="AE532" s="8">
        <v>0</v>
      </c>
      <c r="AF532" s="8" t="s">
        <v>98</v>
      </c>
      <c r="AG532" s="9" t="s">
        <v>2686</v>
      </c>
      <c r="AH532" s="9" t="s">
        <v>866</v>
      </c>
      <c r="AI532" s="38">
        <f>3+6</f>
        <v>9</v>
      </c>
      <c r="AJ532" s="38">
        <f>4+4</f>
        <v>8</v>
      </c>
      <c r="AK532" s="38">
        <v>98</v>
      </c>
      <c r="AL532" s="38">
        <v>97</v>
      </c>
      <c r="AM532" s="38" t="s">
        <v>292</v>
      </c>
      <c r="AN532" s="8" t="s">
        <v>276</v>
      </c>
      <c r="AO532" s="14">
        <f t="shared" si="157"/>
        <v>9.183673469387756</v>
      </c>
      <c r="AP532" s="8" t="s">
        <v>276</v>
      </c>
      <c r="AQ532" s="8" t="s">
        <v>276</v>
      </c>
      <c r="AR532" s="8" t="s">
        <v>276</v>
      </c>
      <c r="AS532" s="14">
        <f t="shared" si="158"/>
        <v>8.2474226804123703</v>
      </c>
      <c r="AT532" s="8" t="s">
        <v>276</v>
      </c>
      <c r="AU532" s="8" t="s">
        <v>276</v>
      </c>
      <c r="AV532" s="8" t="s">
        <v>268</v>
      </c>
      <c r="AW532" s="40" t="s">
        <v>276</v>
      </c>
      <c r="AX532" s="40">
        <f t="shared" si="159"/>
        <v>1.1135204081632655</v>
      </c>
      <c r="AY532" s="9" t="s">
        <v>276</v>
      </c>
      <c r="AZ532" s="9" t="s">
        <v>276</v>
      </c>
      <c r="BA532" s="9" t="s">
        <v>276</v>
      </c>
      <c r="BB532" s="9" t="s">
        <v>282</v>
      </c>
      <c r="BC532" s="9" t="s">
        <v>276</v>
      </c>
      <c r="BD532" s="9" t="s">
        <v>276</v>
      </c>
      <c r="BE532" s="9" t="s">
        <v>276</v>
      </c>
      <c r="BF532" s="9" t="s">
        <v>426</v>
      </c>
      <c r="BG532" s="9" t="s">
        <v>2687</v>
      </c>
      <c r="BH532" s="9" t="s">
        <v>100</v>
      </c>
      <c r="BI532" s="9" t="s">
        <v>100</v>
      </c>
      <c r="BJ532" s="32"/>
      <c r="BK532" s="32"/>
      <c r="BO532" s="32"/>
      <c r="BP532" s="32"/>
    </row>
    <row r="533" spans="1:69" s="33" customFormat="1" ht="52" hidden="1" x14ac:dyDescent="0.35">
      <c r="A533" s="8">
        <v>11136</v>
      </c>
      <c r="B533" s="8" t="s">
        <v>2653</v>
      </c>
      <c r="C533" s="8" t="s">
        <v>2654</v>
      </c>
      <c r="D533" s="9" t="s">
        <v>2688</v>
      </c>
      <c r="E533" s="8" t="s">
        <v>96</v>
      </c>
      <c r="F533" s="8" t="s">
        <v>144</v>
      </c>
      <c r="G533" s="9" t="s">
        <v>225</v>
      </c>
      <c r="H533" s="9" t="s">
        <v>2656</v>
      </c>
      <c r="I533" s="8" t="s">
        <v>98</v>
      </c>
      <c r="J533" s="9" t="s">
        <v>25</v>
      </c>
      <c r="K533" s="8" t="s">
        <v>314</v>
      </c>
      <c r="L533" s="8" t="s">
        <v>276</v>
      </c>
      <c r="M533" s="8" t="s">
        <v>2674</v>
      </c>
      <c r="N533" s="9" t="s">
        <v>2657</v>
      </c>
      <c r="O533" s="9" t="s">
        <v>2675</v>
      </c>
      <c r="P533" s="9" t="s">
        <v>235</v>
      </c>
      <c r="Q533" s="52" t="s">
        <v>276</v>
      </c>
      <c r="R533" s="9" t="s">
        <v>2627</v>
      </c>
      <c r="S533" s="9" t="s">
        <v>2659</v>
      </c>
      <c r="T533" s="9" t="s">
        <v>2660</v>
      </c>
      <c r="U533" s="9">
        <v>1</v>
      </c>
      <c r="V533" s="8" t="s">
        <v>14</v>
      </c>
      <c r="W533" s="8" t="s">
        <v>98</v>
      </c>
      <c r="X533" s="9" t="s">
        <v>207</v>
      </c>
      <c r="Y533" s="13" t="s">
        <v>98</v>
      </c>
      <c r="Z533" s="9" t="s">
        <v>98</v>
      </c>
      <c r="AA533" s="9">
        <v>5</v>
      </c>
      <c r="AB533" s="9">
        <v>8</v>
      </c>
      <c r="AC533" s="8">
        <v>0</v>
      </c>
      <c r="AD533" s="8" t="s">
        <v>98</v>
      </c>
      <c r="AE533" s="8">
        <v>0</v>
      </c>
      <c r="AF533" s="8" t="s">
        <v>98</v>
      </c>
      <c r="AG533" s="9" t="s">
        <v>2686</v>
      </c>
      <c r="AH533" s="9" t="s">
        <v>2671</v>
      </c>
      <c r="AI533" s="38">
        <v>3</v>
      </c>
      <c r="AJ533" s="38">
        <v>4</v>
      </c>
      <c r="AK533" s="38">
        <v>12</v>
      </c>
      <c r="AL533" s="38">
        <v>10</v>
      </c>
      <c r="AM533" s="38" t="s">
        <v>292</v>
      </c>
      <c r="AN533" s="8" t="s">
        <v>276</v>
      </c>
      <c r="AO533" s="14">
        <f t="shared" si="157"/>
        <v>25</v>
      </c>
      <c r="AP533" s="8" t="s">
        <v>276</v>
      </c>
      <c r="AQ533" s="8" t="s">
        <v>276</v>
      </c>
      <c r="AR533" s="8" t="s">
        <v>276</v>
      </c>
      <c r="AS533" s="14">
        <f t="shared" si="158"/>
        <v>40</v>
      </c>
      <c r="AT533" s="8" t="s">
        <v>276</v>
      </c>
      <c r="AU533" s="8" t="s">
        <v>276</v>
      </c>
      <c r="AV533" s="8" t="s">
        <v>268</v>
      </c>
      <c r="AW533" s="40" t="s">
        <v>276</v>
      </c>
      <c r="AX533" s="40">
        <f t="shared" si="159"/>
        <v>0.625</v>
      </c>
      <c r="AY533" s="9" t="s">
        <v>276</v>
      </c>
      <c r="AZ533" s="9" t="s">
        <v>276</v>
      </c>
      <c r="BA533" s="9" t="s">
        <v>276</v>
      </c>
      <c r="BB533" s="9" t="s">
        <v>282</v>
      </c>
      <c r="BC533" s="9" t="s">
        <v>276</v>
      </c>
      <c r="BD533" s="9" t="s">
        <v>276</v>
      </c>
      <c r="BE533" s="9" t="s">
        <v>276</v>
      </c>
      <c r="BF533" s="9" t="s">
        <v>426</v>
      </c>
      <c r="BG533" s="9"/>
      <c r="BH533" s="9" t="s">
        <v>100</v>
      </c>
      <c r="BI533" s="9" t="s">
        <v>100</v>
      </c>
      <c r="BJ533" s="32"/>
      <c r="BK533" s="32"/>
      <c r="BO533" s="32"/>
      <c r="BP533" s="32"/>
    </row>
    <row r="534" spans="1:69" s="6" customFormat="1" ht="65" hidden="1" x14ac:dyDescent="0.35">
      <c r="A534" s="8">
        <v>2639</v>
      </c>
      <c r="B534" s="8" t="s">
        <v>2689</v>
      </c>
      <c r="C534" s="8" t="s">
        <v>84</v>
      </c>
      <c r="D534" s="9" t="s">
        <v>2711</v>
      </c>
      <c r="E534" s="9" t="s">
        <v>40</v>
      </c>
      <c r="F534" s="9" t="s">
        <v>2691</v>
      </c>
      <c r="G534" s="8" t="s">
        <v>225</v>
      </c>
      <c r="H534" s="8" t="s">
        <v>125</v>
      </c>
      <c r="I534" s="8" t="s">
        <v>114</v>
      </c>
      <c r="J534" s="9" t="s">
        <v>25</v>
      </c>
      <c r="K534" s="2" t="s">
        <v>300</v>
      </c>
      <c r="L534" s="2" t="s">
        <v>276</v>
      </c>
      <c r="M534" s="2" t="s">
        <v>2712</v>
      </c>
      <c r="N534" s="10" t="s">
        <v>2713</v>
      </c>
      <c r="O534" s="10" t="s">
        <v>2714</v>
      </c>
      <c r="P534" s="9" t="s">
        <v>239</v>
      </c>
      <c r="Q534" s="36">
        <v>42004</v>
      </c>
      <c r="R534" s="10" t="s">
        <v>98</v>
      </c>
      <c r="S534" s="9" t="s">
        <v>2715</v>
      </c>
      <c r="T534" s="9" t="s">
        <v>2716</v>
      </c>
      <c r="U534" s="9" t="s">
        <v>276</v>
      </c>
      <c r="V534" s="9" t="s">
        <v>261</v>
      </c>
      <c r="W534" s="12" t="s">
        <v>2694</v>
      </c>
      <c r="X534" s="12" t="s">
        <v>207</v>
      </c>
      <c r="Y534" s="13">
        <v>70296</v>
      </c>
      <c r="Z534" s="38">
        <v>50636</v>
      </c>
      <c r="AA534" s="8">
        <f t="shared" ref="AA534:AA554" si="166">238+1273</f>
        <v>1511</v>
      </c>
      <c r="AB534" s="8">
        <v>1553</v>
      </c>
      <c r="AC534" s="8">
        <v>7</v>
      </c>
      <c r="AD534" s="8" t="s">
        <v>968</v>
      </c>
      <c r="AE534" s="8">
        <v>7</v>
      </c>
      <c r="AF534" s="8" t="s">
        <v>968</v>
      </c>
      <c r="AG534" s="9" t="s">
        <v>2717</v>
      </c>
      <c r="AH534" s="9" t="s">
        <v>2718</v>
      </c>
      <c r="AI534" s="34">
        <v>19</v>
      </c>
      <c r="AJ534" s="34">
        <v>7</v>
      </c>
      <c r="AK534" s="34">
        <f t="shared" ref="AK534:AL539" si="167">Y534</f>
        <v>70296</v>
      </c>
      <c r="AL534" s="34">
        <f t="shared" si="167"/>
        <v>50636</v>
      </c>
      <c r="AM534" s="38" t="s">
        <v>2047</v>
      </c>
      <c r="AN534" s="8" t="s">
        <v>276</v>
      </c>
      <c r="AO534" s="14">
        <f t="shared" ref="AO534:AO539" si="168">AI534*1000/AK534</f>
        <v>0.27028564925458065</v>
      </c>
      <c r="AP534" s="8" t="s">
        <v>276</v>
      </c>
      <c r="AQ534" s="8" t="s">
        <v>276</v>
      </c>
      <c r="AR534" s="8" t="s">
        <v>276</v>
      </c>
      <c r="AS534" s="14">
        <f t="shared" ref="AS534:AS539" si="169">AJ534*1000/AL534</f>
        <v>0.13824156726439688</v>
      </c>
      <c r="AT534" s="8" t="s">
        <v>276</v>
      </c>
      <c r="AU534" s="8" t="s">
        <v>276</v>
      </c>
      <c r="AV534" s="9" t="s">
        <v>268</v>
      </c>
      <c r="AW534" s="35" t="s">
        <v>276</v>
      </c>
      <c r="AX534" s="35">
        <f t="shared" si="159"/>
        <v>1.9551691622364207</v>
      </c>
      <c r="AY534" s="10" t="s">
        <v>276</v>
      </c>
      <c r="AZ534" s="10" t="s">
        <v>276</v>
      </c>
      <c r="BA534" s="10" t="s">
        <v>276</v>
      </c>
      <c r="BB534" s="10" t="s">
        <v>98</v>
      </c>
      <c r="BC534" s="10" t="s">
        <v>276</v>
      </c>
      <c r="BD534" s="10" t="s">
        <v>276</v>
      </c>
      <c r="BE534" s="10" t="s">
        <v>276</v>
      </c>
      <c r="BF534" s="9" t="s">
        <v>2719</v>
      </c>
      <c r="BG534" s="9"/>
      <c r="BH534" s="9" t="s">
        <v>100</v>
      </c>
      <c r="BI534" s="9" t="s">
        <v>100</v>
      </c>
      <c r="BJ534" s="32"/>
      <c r="BK534" s="32"/>
      <c r="BL534" s="33"/>
      <c r="BM534" s="33"/>
      <c r="BN534" s="33"/>
      <c r="BO534" s="32"/>
      <c r="BP534" s="32"/>
      <c r="BQ534" s="33"/>
    </row>
    <row r="535" spans="1:69" s="6" customFormat="1" ht="65" hidden="1" x14ac:dyDescent="0.35">
      <c r="A535" s="8">
        <v>2639</v>
      </c>
      <c r="B535" s="8" t="s">
        <v>2689</v>
      </c>
      <c r="C535" s="8" t="s">
        <v>84</v>
      </c>
      <c r="D535" s="9" t="s">
        <v>2720</v>
      </c>
      <c r="E535" s="9" t="s">
        <v>40</v>
      </c>
      <c r="F535" s="9" t="s">
        <v>2691</v>
      </c>
      <c r="G535" s="8" t="s">
        <v>225</v>
      </c>
      <c r="H535" s="8" t="s">
        <v>125</v>
      </c>
      <c r="I535" s="8" t="s">
        <v>114</v>
      </c>
      <c r="J535" s="9" t="s">
        <v>25</v>
      </c>
      <c r="K535" s="2" t="s">
        <v>304</v>
      </c>
      <c r="L535" s="2" t="s">
        <v>276</v>
      </c>
      <c r="M535" s="2" t="s">
        <v>2712</v>
      </c>
      <c r="N535" s="10" t="s">
        <v>2713</v>
      </c>
      <c r="O535" s="10" t="s">
        <v>2714</v>
      </c>
      <c r="P535" s="9" t="s">
        <v>239</v>
      </c>
      <c r="Q535" s="36">
        <v>42004</v>
      </c>
      <c r="R535" s="10" t="s">
        <v>98</v>
      </c>
      <c r="S535" s="9" t="s">
        <v>2715</v>
      </c>
      <c r="T535" s="9" t="s">
        <v>2716</v>
      </c>
      <c r="U535" s="9" t="s">
        <v>276</v>
      </c>
      <c r="V535" s="9" t="s">
        <v>261</v>
      </c>
      <c r="W535" s="12" t="s">
        <v>2694</v>
      </c>
      <c r="X535" s="12" t="s">
        <v>207</v>
      </c>
      <c r="Y535" s="13">
        <v>70296</v>
      </c>
      <c r="Z535" s="38">
        <v>50636</v>
      </c>
      <c r="AA535" s="8">
        <f t="shared" si="166"/>
        <v>1511</v>
      </c>
      <c r="AB535" s="8">
        <v>1553</v>
      </c>
      <c r="AC535" s="8">
        <v>7</v>
      </c>
      <c r="AD535" s="8" t="s">
        <v>968</v>
      </c>
      <c r="AE535" s="8">
        <v>7</v>
      </c>
      <c r="AF535" s="8" t="s">
        <v>968</v>
      </c>
      <c r="AG535" s="9" t="s">
        <v>2721</v>
      </c>
      <c r="AH535" s="9" t="s">
        <v>2718</v>
      </c>
      <c r="AI535" s="34">
        <v>48</v>
      </c>
      <c r="AJ535" s="34">
        <v>12</v>
      </c>
      <c r="AK535" s="34">
        <f t="shared" si="167"/>
        <v>70296</v>
      </c>
      <c r="AL535" s="34">
        <f t="shared" si="167"/>
        <v>50636</v>
      </c>
      <c r="AM535" s="38" t="s">
        <v>2047</v>
      </c>
      <c r="AN535" s="8" t="s">
        <v>276</v>
      </c>
      <c r="AO535" s="14">
        <f t="shared" si="168"/>
        <v>0.68282690337999319</v>
      </c>
      <c r="AP535" s="8" t="s">
        <v>276</v>
      </c>
      <c r="AQ535" s="8" t="s">
        <v>276</v>
      </c>
      <c r="AR535" s="8" t="s">
        <v>276</v>
      </c>
      <c r="AS535" s="14">
        <f t="shared" si="169"/>
        <v>0.23698554388182322</v>
      </c>
      <c r="AT535" s="8" t="s">
        <v>276</v>
      </c>
      <c r="AU535" s="8" t="s">
        <v>276</v>
      </c>
      <c r="AV535" s="9" t="s">
        <v>268</v>
      </c>
      <c r="AW535" s="35" t="s">
        <v>276</v>
      </c>
      <c r="AX535" s="35">
        <f t="shared" si="159"/>
        <v>2.8813019232957777</v>
      </c>
      <c r="AY535" s="10" t="s">
        <v>276</v>
      </c>
      <c r="AZ535" s="10" t="s">
        <v>276</v>
      </c>
      <c r="BA535" s="10" t="s">
        <v>276</v>
      </c>
      <c r="BB535" s="10" t="s">
        <v>98</v>
      </c>
      <c r="BC535" s="10" t="s">
        <v>276</v>
      </c>
      <c r="BD535" s="10" t="s">
        <v>276</v>
      </c>
      <c r="BE535" s="10" t="s">
        <v>276</v>
      </c>
      <c r="BF535" s="9" t="s">
        <v>2719</v>
      </c>
      <c r="BG535" s="9"/>
      <c r="BH535" s="9" t="s">
        <v>100</v>
      </c>
      <c r="BI535" s="9" t="s">
        <v>100</v>
      </c>
      <c r="BJ535" s="32"/>
      <c r="BK535" s="32"/>
      <c r="BL535" s="33"/>
      <c r="BM535" s="33"/>
      <c r="BN535" s="33"/>
      <c r="BO535" s="32"/>
      <c r="BP535" s="32"/>
      <c r="BQ535" s="33"/>
    </row>
    <row r="536" spans="1:69" s="6" customFormat="1" ht="65" hidden="1" x14ac:dyDescent="0.35">
      <c r="A536" s="8">
        <v>2639</v>
      </c>
      <c r="B536" s="8" t="s">
        <v>2689</v>
      </c>
      <c r="C536" s="8" t="s">
        <v>84</v>
      </c>
      <c r="D536" s="9" t="s">
        <v>2722</v>
      </c>
      <c r="E536" s="9" t="s">
        <v>40</v>
      </c>
      <c r="F536" s="9" t="s">
        <v>2691</v>
      </c>
      <c r="G536" s="8" t="s">
        <v>225</v>
      </c>
      <c r="H536" s="8" t="s">
        <v>125</v>
      </c>
      <c r="I536" s="8" t="s">
        <v>114</v>
      </c>
      <c r="J536" s="9" t="s">
        <v>25</v>
      </c>
      <c r="K536" s="2" t="s">
        <v>2723</v>
      </c>
      <c r="L536" s="2" t="s">
        <v>276</v>
      </c>
      <c r="M536" s="2" t="s">
        <v>2712</v>
      </c>
      <c r="N536" s="10" t="s">
        <v>2713</v>
      </c>
      <c r="O536" s="10" t="s">
        <v>2714</v>
      </c>
      <c r="P536" s="9" t="s">
        <v>239</v>
      </c>
      <c r="Q536" s="36">
        <v>42004</v>
      </c>
      <c r="R536" s="10" t="s">
        <v>98</v>
      </c>
      <c r="S536" s="9" t="s">
        <v>2715</v>
      </c>
      <c r="T536" s="9" t="s">
        <v>2716</v>
      </c>
      <c r="U536" s="9" t="s">
        <v>276</v>
      </c>
      <c r="V536" s="9" t="s">
        <v>261</v>
      </c>
      <c r="W536" s="12" t="s">
        <v>2694</v>
      </c>
      <c r="X536" s="12" t="s">
        <v>207</v>
      </c>
      <c r="Y536" s="13">
        <v>70296</v>
      </c>
      <c r="Z536" s="38">
        <v>50636</v>
      </c>
      <c r="AA536" s="8">
        <f t="shared" si="166"/>
        <v>1511</v>
      </c>
      <c r="AB536" s="8">
        <v>1553</v>
      </c>
      <c r="AC536" s="8">
        <v>7</v>
      </c>
      <c r="AD536" s="8" t="s">
        <v>968</v>
      </c>
      <c r="AE536" s="8">
        <v>7</v>
      </c>
      <c r="AF536" s="8" t="s">
        <v>968</v>
      </c>
      <c r="AG536" s="9" t="s">
        <v>2724</v>
      </c>
      <c r="AH536" s="9" t="s">
        <v>2718</v>
      </c>
      <c r="AI536" s="34">
        <f>AI534+AI535</f>
        <v>67</v>
      </c>
      <c r="AJ536" s="34">
        <f>AJ534+AJ535</f>
        <v>19</v>
      </c>
      <c r="AK536" s="34">
        <f t="shared" si="167"/>
        <v>70296</v>
      </c>
      <c r="AL536" s="34">
        <f t="shared" si="167"/>
        <v>50636</v>
      </c>
      <c r="AM536" s="38" t="s">
        <v>2047</v>
      </c>
      <c r="AN536" s="8" t="s">
        <v>276</v>
      </c>
      <c r="AO536" s="14">
        <f t="shared" si="168"/>
        <v>0.95311255263457384</v>
      </c>
      <c r="AP536" s="8" t="s">
        <v>276</v>
      </c>
      <c r="AQ536" s="8" t="s">
        <v>276</v>
      </c>
      <c r="AR536" s="8" t="s">
        <v>276</v>
      </c>
      <c r="AS536" s="14">
        <f t="shared" si="169"/>
        <v>0.37522711114622009</v>
      </c>
      <c r="AT536" s="8" t="s">
        <v>276</v>
      </c>
      <c r="AU536" s="8" t="s">
        <v>276</v>
      </c>
      <c r="AV536" s="9" t="s">
        <v>268</v>
      </c>
      <c r="AW536" s="35" t="s">
        <v>276</v>
      </c>
      <c r="AX536" s="35">
        <f t="shared" si="159"/>
        <v>2.5400951165896988</v>
      </c>
      <c r="AY536" s="10" t="s">
        <v>276</v>
      </c>
      <c r="AZ536" s="10" t="s">
        <v>276</v>
      </c>
      <c r="BA536" s="10" t="s">
        <v>276</v>
      </c>
      <c r="BB536" s="10" t="s">
        <v>98</v>
      </c>
      <c r="BC536" s="10" t="s">
        <v>276</v>
      </c>
      <c r="BD536" s="10" t="s">
        <v>276</v>
      </c>
      <c r="BE536" s="10" t="s">
        <v>276</v>
      </c>
      <c r="BF536" s="9" t="s">
        <v>2719</v>
      </c>
      <c r="BG536" s="9"/>
      <c r="BH536" s="9" t="s">
        <v>100</v>
      </c>
      <c r="BI536" s="9" t="s">
        <v>100</v>
      </c>
      <c r="BJ536" s="32"/>
      <c r="BK536" s="32"/>
      <c r="BL536" s="33"/>
      <c r="BM536" s="33"/>
      <c r="BN536" s="33"/>
      <c r="BO536" s="32"/>
      <c r="BP536" s="32"/>
      <c r="BQ536" s="33"/>
    </row>
    <row r="537" spans="1:69" s="6" customFormat="1" ht="65" hidden="1" x14ac:dyDescent="0.35">
      <c r="A537" s="8">
        <v>2639</v>
      </c>
      <c r="B537" s="8" t="s">
        <v>2689</v>
      </c>
      <c r="C537" s="8" t="s">
        <v>84</v>
      </c>
      <c r="D537" s="9" t="s">
        <v>2725</v>
      </c>
      <c r="E537" s="9" t="s">
        <v>40</v>
      </c>
      <c r="F537" s="9" t="s">
        <v>2691</v>
      </c>
      <c r="G537" s="8" t="s">
        <v>225</v>
      </c>
      <c r="H537" s="8" t="s">
        <v>125</v>
      </c>
      <c r="I537" s="8" t="s">
        <v>114</v>
      </c>
      <c r="J537" s="9" t="s">
        <v>25</v>
      </c>
      <c r="K537" s="2" t="s">
        <v>311</v>
      </c>
      <c r="L537" s="2" t="s">
        <v>276</v>
      </c>
      <c r="M537" s="2" t="s">
        <v>2712</v>
      </c>
      <c r="N537" s="10" t="s">
        <v>2713</v>
      </c>
      <c r="O537" s="10" t="s">
        <v>2714</v>
      </c>
      <c r="P537" s="9" t="s">
        <v>239</v>
      </c>
      <c r="Q537" s="36">
        <v>42004</v>
      </c>
      <c r="R537" s="10" t="s">
        <v>98</v>
      </c>
      <c r="S537" s="9" t="s">
        <v>2715</v>
      </c>
      <c r="T537" s="9" t="s">
        <v>2716</v>
      </c>
      <c r="U537" s="9" t="s">
        <v>276</v>
      </c>
      <c r="V537" s="9" t="s">
        <v>261</v>
      </c>
      <c r="W537" s="12" t="s">
        <v>2694</v>
      </c>
      <c r="X537" s="12" t="s">
        <v>207</v>
      </c>
      <c r="Y537" s="13">
        <v>70296</v>
      </c>
      <c r="Z537" s="38">
        <v>50636</v>
      </c>
      <c r="AA537" s="8">
        <f t="shared" si="166"/>
        <v>1511</v>
      </c>
      <c r="AB537" s="8">
        <v>1553</v>
      </c>
      <c r="AC537" s="8">
        <v>7</v>
      </c>
      <c r="AD537" s="8" t="s">
        <v>968</v>
      </c>
      <c r="AE537" s="8">
        <v>7</v>
      </c>
      <c r="AF537" s="8" t="s">
        <v>968</v>
      </c>
      <c r="AG537" s="9" t="s">
        <v>2726</v>
      </c>
      <c r="AH537" s="9" t="s">
        <v>2718</v>
      </c>
      <c r="AI537" s="34">
        <v>52</v>
      </c>
      <c r="AJ537" s="34">
        <v>51</v>
      </c>
      <c r="AK537" s="34">
        <f t="shared" si="167"/>
        <v>70296</v>
      </c>
      <c r="AL537" s="34">
        <f t="shared" si="167"/>
        <v>50636</v>
      </c>
      <c r="AM537" s="38" t="s">
        <v>2047</v>
      </c>
      <c r="AN537" s="8" t="s">
        <v>276</v>
      </c>
      <c r="AO537" s="14">
        <f t="shared" si="168"/>
        <v>0.7397291453283259</v>
      </c>
      <c r="AP537" s="8" t="s">
        <v>276</v>
      </c>
      <c r="AQ537" s="8" t="s">
        <v>276</v>
      </c>
      <c r="AR537" s="8" t="s">
        <v>276</v>
      </c>
      <c r="AS537" s="14">
        <f t="shared" si="169"/>
        <v>1.0071885614977487</v>
      </c>
      <c r="AT537" s="8" t="s">
        <v>276</v>
      </c>
      <c r="AU537" s="8" t="s">
        <v>276</v>
      </c>
      <c r="AV537" s="9" t="s">
        <v>268</v>
      </c>
      <c r="AW537" s="35" t="s">
        <v>276</v>
      </c>
      <c r="AX537" s="35">
        <f t="shared" si="159"/>
        <v>0.73444950985970803</v>
      </c>
      <c r="AY537" s="10" t="s">
        <v>276</v>
      </c>
      <c r="AZ537" s="10" t="s">
        <v>276</v>
      </c>
      <c r="BA537" s="10" t="s">
        <v>276</v>
      </c>
      <c r="BB537" s="10" t="s">
        <v>98</v>
      </c>
      <c r="BC537" s="10" t="s">
        <v>276</v>
      </c>
      <c r="BD537" s="10" t="s">
        <v>276</v>
      </c>
      <c r="BE537" s="10" t="s">
        <v>276</v>
      </c>
      <c r="BF537" s="9" t="s">
        <v>2719</v>
      </c>
      <c r="BG537" s="9"/>
      <c r="BH537" s="9" t="s">
        <v>100</v>
      </c>
      <c r="BI537" s="9" t="s">
        <v>100</v>
      </c>
      <c r="BJ537" s="32"/>
      <c r="BK537" s="32"/>
      <c r="BL537" s="33"/>
      <c r="BM537" s="33"/>
      <c r="BN537" s="33"/>
      <c r="BO537" s="32"/>
      <c r="BP537" s="32"/>
      <c r="BQ537" s="33"/>
    </row>
    <row r="538" spans="1:69" s="6" customFormat="1" ht="65" hidden="1" x14ac:dyDescent="0.35">
      <c r="A538" s="8">
        <v>2639</v>
      </c>
      <c r="B538" s="8" t="s">
        <v>2689</v>
      </c>
      <c r="C538" s="8" t="s">
        <v>84</v>
      </c>
      <c r="D538" s="9" t="s">
        <v>2727</v>
      </c>
      <c r="E538" s="9" t="s">
        <v>40</v>
      </c>
      <c r="F538" s="9" t="s">
        <v>2691</v>
      </c>
      <c r="G538" s="8" t="s">
        <v>225</v>
      </c>
      <c r="H538" s="8" t="s">
        <v>125</v>
      </c>
      <c r="I538" s="8" t="s">
        <v>114</v>
      </c>
      <c r="J538" s="9" t="s">
        <v>25</v>
      </c>
      <c r="K538" s="2" t="s">
        <v>314</v>
      </c>
      <c r="L538" s="2" t="s">
        <v>276</v>
      </c>
      <c r="M538" s="2" t="s">
        <v>2712</v>
      </c>
      <c r="N538" s="10" t="s">
        <v>2713</v>
      </c>
      <c r="O538" s="10" t="s">
        <v>2714</v>
      </c>
      <c r="P538" s="9" t="s">
        <v>239</v>
      </c>
      <c r="Q538" s="36">
        <v>42004</v>
      </c>
      <c r="R538" s="10" t="s">
        <v>98</v>
      </c>
      <c r="S538" s="9" t="s">
        <v>2715</v>
      </c>
      <c r="T538" s="9" t="s">
        <v>2716</v>
      </c>
      <c r="U538" s="9" t="s">
        <v>276</v>
      </c>
      <c r="V538" s="9" t="s">
        <v>261</v>
      </c>
      <c r="W538" s="12" t="s">
        <v>2694</v>
      </c>
      <c r="X538" s="12" t="s">
        <v>207</v>
      </c>
      <c r="Y538" s="13">
        <v>70296</v>
      </c>
      <c r="Z538" s="38">
        <v>50636</v>
      </c>
      <c r="AA538" s="8">
        <f t="shared" si="166"/>
        <v>1511</v>
      </c>
      <c r="AB538" s="8">
        <v>1553</v>
      </c>
      <c r="AC538" s="8">
        <v>7</v>
      </c>
      <c r="AD538" s="8" t="s">
        <v>968</v>
      </c>
      <c r="AE538" s="8">
        <v>7</v>
      </c>
      <c r="AF538" s="8" t="s">
        <v>968</v>
      </c>
      <c r="AG538" s="9" t="s">
        <v>2728</v>
      </c>
      <c r="AH538" s="9" t="s">
        <v>2718</v>
      </c>
      <c r="AI538" s="34">
        <v>27</v>
      </c>
      <c r="AJ538" s="34">
        <v>22</v>
      </c>
      <c r="AK538" s="34">
        <f t="shared" si="167"/>
        <v>70296</v>
      </c>
      <c r="AL538" s="34">
        <f t="shared" si="167"/>
        <v>50636</v>
      </c>
      <c r="AM538" s="38" t="s">
        <v>2047</v>
      </c>
      <c r="AN538" s="8" t="s">
        <v>276</v>
      </c>
      <c r="AO538" s="14">
        <f t="shared" si="168"/>
        <v>0.38409013315124618</v>
      </c>
      <c r="AP538" s="8" t="s">
        <v>276</v>
      </c>
      <c r="AQ538" s="8" t="s">
        <v>276</v>
      </c>
      <c r="AR538" s="8" t="s">
        <v>276</v>
      </c>
      <c r="AS538" s="14">
        <f t="shared" si="169"/>
        <v>0.43447349711667588</v>
      </c>
      <c r="AT538" s="8" t="s">
        <v>276</v>
      </c>
      <c r="AU538" s="8" t="s">
        <v>276</v>
      </c>
      <c r="AV538" s="9" t="s">
        <v>268</v>
      </c>
      <c r="AW538" s="35" t="s">
        <v>276</v>
      </c>
      <c r="AX538" s="35">
        <f t="shared" si="159"/>
        <v>0.88403581737484105</v>
      </c>
      <c r="AY538" s="10" t="s">
        <v>276</v>
      </c>
      <c r="AZ538" s="10" t="s">
        <v>276</v>
      </c>
      <c r="BA538" s="10" t="s">
        <v>276</v>
      </c>
      <c r="BB538" s="10" t="s">
        <v>98</v>
      </c>
      <c r="BC538" s="10" t="s">
        <v>276</v>
      </c>
      <c r="BD538" s="10" t="s">
        <v>276</v>
      </c>
      <c r="BE538" s="10" t="s">
        <v>276</v>
      </c>
      <c r="BF538" s="9" t="s">
        <v>2719</v>
      </c>
      <c r="BG538" s="9"/>
      <c r="BH538" s="9" t="s">
        <v>100</v>
      </c>
      <c r="BI538" s="9" t="s">
        <v>100</v>
      </c>
      <c r="BJ538" s="32"/>
      <c r="BK538" s="32"/>
      <c r="BL538" s="33"/>
      <c r="BM538" s="33"/>
      <c r="BN538" s="33"/>
      <c r="BO538" s="32"/>
      <c r="BP538" s="32"/>
      <c r="BQ538" s="33"/>
    </row>
    <row r="539" spans="1:69" s="6" customFormat="1" ht="65" hidden="1" x14ac:dyDescent="0.35">
      <c r="A539" s="8">
        <v>2639</v>
      </c>
      <c r="B539" s="8" t="s">
        <v>2689</v>
      </c>
      <c r="C539" s="8" t="s">
        <v>84</v>
      </c>
      <c r="D539" s="9" t="s">
        <v>2729</v>
      </c>
      <c r="E539" s="9" t="s">
        <v>40</v>
      </c>
      <c r="F539" s="9" t="s">
        <v>2691</v>
      </c>
      <c r="G539" s="8" t="s">
        <v>225</v>
      </c>
      <c r="H539" s="8" t="s">
        <v>125</v>
      </c>
      <c r="I539" s="8" t="s">
        <v>114</v>
      </c>
      <c r="J539" s="9" t="s">
        <v>25</v>
      </c>
      <c r="K539" s="2" t="s">
        <v>317</v>
      </c>
      <c r="L539" s="2" t="s">
        <v>276</v>
      </c>
      <c r="M539" s="2" t="s">
        <v>2712</v>
      </c>
      <c r="N539" s="10" t="s">
        <v>2713</v>
      </c>
      <c r="O539" s="10" t="s">
        <v>2714</v>
      </c>
      <c r="P539" s="9" t="s">
        <v>239</v>
      </c>
      <c r="Q539" s="36">
        <v>42004</v>
      </c>
      <c r="R539" s="10" t="s">
        <v>98</v>
      </c>
      <c r="S539" s="9" t="s">
        <v>2715</v>
      </c>
      <c r="T539" s="9" t="s">
        <v>2716</v>
      </c>
      <c r="U539" s="9" t="s">
        <v>276</v>
      </c>
      <c r="V539" s="9" t="s">
        <v>261</v>
      </c>
      <c r="W539" s="12" t="s">
        <v>2694</v>
      </c>
      <c r="X539" s="12" t="s">
        <v>207</v>
      </c>
      <c r="Y539" s="13">
        <v>70296</v>
      </c>
      <c r="Z539" s="38">
        <v>50636</v>
      </c>
      <c r="AA539" s="8">
        <f t="shared" si="166"/>
        <v>1511</v>
      </c>
      <c r="AB539" s="8">
        <v>1553</v>
      </c>
      <c r="AC539" s="8">
        <v>7</v>
      </c>
      <c r="AD539" s="8" t="s">
        <v>968</v>
      </c>
      <c r="AE539" s="8">
        <v>7</v>
      </c>
      <c r="AF539" s="8" t="s">
        <v>968</v>
      </c>
      <c r="AG539" s="9" t="s">
        <v>2730</v>
      </c>
      <c r="AH539" s="9" t="s">
        <v>2718</v>
      </c>
      <c r="AI539" s="34">
        <f>52+27</f>
        <v>79</v>
      </c>
      <c r="AJ539" s="34">
        <f>51+22</f>
        <v>73</v>
      </c>
      <c r="AK539" s="34">
        <f t="shared" si="167"/>
        <v>70296</v>
      </c>
      <c r="AL539" s="34">
        <f t="shared" si="167"/>
        <v>50636</v>
      </c>
      <c r="AM539" s="38" t="s">
        <v>2047</v>
      </c>
      <c r="AN539" s="8" t="s">
        <v>276</v>
      </c>
      <c r="AO539" s="14">
        <f t="shared" si="168"/>
        <v>1.1238192784795722</v>
      </c>
      <c r="AP539" s="8" t="s">
        <v>276</v>
      </c>
      <c r="AQ539" s="8" t="s">
        <v>276</v>
      </c>
      <c r="AR539" s="8" t="s">
        <v>276</v>
      </c>
      <c r="AS539" s="14">
        <f t="shared" si="169"/>
        <v>1.4416620586144244</v>
      </c>
      <c r="AT539" s="8" t="s">
        <v>276</v>
      </c>
      <c r="AU539" s="8" t="s">
        <v>276</v>
      </c>
      <c r="AV539" s="9" t="s">
        <v>268</v>
      </c>
      <c r="AW539" s="35" t="s">
        <v>276</v>
      </c>
      <c r="AX539" s="35">
        <f t="shared" si="159"/>
        <v>0.77953031486426883</v>
      </c>
      <c r="AY539" s="10" t="s">
        <v>276</v>
      </c>
      <c r="AZ539" s="10" t="s">
        <v>276</v>
      </c>
      <c r="BA539" s="10" t="s">
        <v>276</v>
      </c>
      <c r="BB539" s="10" t="s">
        <v>98</v>
      </c>
      <c r="BC539" s="10" t="s">
        <v>276</v>
      </c>
      <c r="BD539" s="10" t="s">
        <v>276</v>
      </c>
      <c r="BE539" s="10" t="s">
        <v>276</v>
      </c>
      <c r="BF539" s="9" t="s">
        <v>2719</v>
      </c>
      <c r="BG539" s="9"/>
      <c r="BH539" s="9" t="s">
        <v>100</v>
      </c>
      <c r="BI539" s="9" t="s">
        <v>100</v>
      </c>
      <c r="BJ539" s="32"/>
      <c r="BK539" s="32"/>
      <c r="BL539" s="33"/>
      <c r="BM539" s="33"/>
      <c r="BN539" s="33"/>
      <c r="BO539" s="32"/>
      <c r="BP539" s="32"/>
      <c r="BQ539" s="33"/>
    </row>
    <row r="540" spans="1:69" s="6" customFormat="1" ht="65" hidden="1" x14ac:dyDescent="0.35">
      <c r="A540" s="8">
        <v>2639</v>
      </c>
      <c r="B540" s="8" t="s">
        <v>2689</v>
      </c>
      <c r="C540" s="8" t="s">
        <v>84</v>
      </c>
      <c r="D540" s="9" t="s">
        <v>2731</v>
      </c>
      <c r="E540" s="9" t="s">
        <v>40</v>
      </c>
      <c r="F540" s="9" t="s">
        <v>2691</v>
      </c>
      <c r="G540" s="8" t="s">
        <v>225</v>
      </c>
      <c r="H540" s="8" t="s">
        <v>125</v>
      </c>
      <c r="I540" s="8" t="s">
        <v>114</v>
      </c>
      <c r="J540" s="9" t="s">
        <v>25</v>
      </c>
      <c r="K540" s="2" t="s">
        <v>317</v>
      </c>
      <c r="L540" s="2" t="s">
        <v>276</v>
      </c>
      <c r="M540" s="2" t="s">
        <v>2712</v>
      </c>
      <c r="N540" s="10" t="s">
        <v>2713</v>
      </c>
      <c r="O540" s="10" t="s">
        <v>2714</v>
      </c>
      <c r="P540" s="9" t="s">
        <v>235</v>
      </c>
      <c r="Q540" s="36">
        <v>42004</v>
      </c>
      <c r="R540" s="10" t="s">
        <v>98</v>
      </c>
      <c r="S540" s="9" t="s">
        <v>2715</v>
      </c>
      <c r="T540" s="9" t="s">
        <v>2716</v>
      </c>
      <c r="U540" s="9" t="s">
        <v>276</v>
      </c>
      <c r="V540" s="9" t="s">
        <v>261</v>
      </c>
      <c r="W540" s="12" t="s">
        <v>2694</v>
      </c>
      <c r="X540" s="12" t="s">
        <v>207</v>
      </c>
      <c r="Y540" s="13" t="s">
        <v>98</v>
      </c>
      <c r="Z540" s="38" t="s">
        <v>98</v>
      </c>
      <c r="AA540" s="8">
        <f t="shared" si="166"/>
        <v>1511</v>
      </c>
      <c r="AB540" s="8">
        <v>1553</v>
      </c>
      <c r="AC540" s="8">
        <v>7</v>
      </c>
      <c r="AD540" s="8" t="s">
        <v>968</v>
      </c>
      <c r="AE540" s="8">
        <v>7</v>
      </c>
      <c r="AF540" s="8" t="s">
        <v>968</v>
      </c>
      <c r="AG540" s="9" t="s">
        <v>2730</v>
      </c>
      <c r="AH540" s="9" t="s">
        <v>2732</v>
      </c>
      <c r="AI540" s="34">
        <f>AI537+AI538</f>
        <v>79</v>
      </c>
      <c r="AJ540" s="34">
        <f>AJ537+AJ538</f>
        <v>73</v>
      </c>
      <c r="AK540" s="34">
        <v>153</v>
      </c>
      <c r="AL540" s="34">
        <v>99</v>
      </c>
      <c r="AM540" s="38" t="s">
        <v>292</v>
      </c>
      <c r="AN540" s="8" t="s">
        <v>276</v>
      </c>
      <c r="AO540" s="14">
        <f>AI540*100/AK540</f>
        <v>51.633986928104576</v>
      </c>
      <c r="AP540" s="8" t="s">
        <v>276</v>
      </c>
      <c r="AQ540" s="8" t="s">
        <v>276</v>
      </c>
      <c r="AR540" s="8" t="s">
        <v>276</v>
      </c>
      <c r="AS540" s="14">
        <f>AJ540*100/AL540</f>
        <v>73.737373737373744</v>
      </c>
      <c r="AT540" s="8" t="s">
        <v>276</v>
      </c>
      <c r="AU540" s="8" t="s">
        <v>276</v>
      </c>
      <c r="AV540" s="9" t="s">
        <v>268</v>
      </c>
      <c r="AW540" s="35" t="s">
        <v>276</v>
      </c>
      <c r="AX540" s="35">
        <f t="shared" si="159"/>
        <v>0.70024174053182908</v>
      </c>
      <c r="AY540" s="10" t="s">
        <v>276</v>
      </c>
      <c r="AZ540" s="10" t="s">
        <v>276</v>
      </c>
      <c r="BA540" s="10" t="s">
        <v>276</v>
      </c>
      <c r="BB540" s="10" t="s">
        <v>98</v>
      </c>
      <c r="BC540" s="10" t="s">
        <v>276</v>
      </c>
      <c r="BD540" s="10" t="s">
        <v>276</v>
      </c>
      <c r="BE540" s="10" t="s">
        <v>276</v>
      </c>
      <c r="BF540" s="9" t="s">
        <v>2719</v>
      </c>
      <c r="BG540" s="9"/>
      <c r="BH540" s="9" t="s">
        <v>100</v>
      </c>
      <c r="BI540" s="9" t="s">
        <v>100</v>
      </c>
      <c r="BJ540" s="32"/>
      <c r="BK540" s="32"/>
      <c r="BL540" s="33"/>
      <c r="BM540" s="33"/>
      <c r="BN540" s="33"/>
      <c r="BO540" s="32"/>
      <c r="BP540" s="32"/>
      <c r="BQ540" s="33"/>
    </row>
    <row r="541" spans="1:69" s="6" customFormat="1" ht="65" hidden="1" x14ac:dyDescent="0.35">
      <c r="A541" s="8">
        <v>2639</v>
      </c>
      <c r="B541" s="8" t="s">
        <v>2689</v>
      </c>
      <c r="C541" s="8" t="s">
        <v>84</v>
      </c>
      <c r="D541" s="9" t="s">
        <v>2733</v>
      </c>
      <c r="E541" s="9" t="s">
        <v>40</v>
      </c>
      <c r="F541" s="9" t="s">
        <v>2691</v>
      </c>
      <c r="G541" s="8" t="s">
        <v>225</v>
      </c>
      <c r="H541" s="8" t="s">
        <v>125</v>
      </c>
      <c r="I541" s="8" t="s">
        <v>114</v>
      </c>
      <c r="J541" s="9" t="s">
        <v>25</v>
      </c>
      <c r="K541" s="2" t="s">
        <v>314</v>
      </c>
      <c r="L541" s="2" t="s">
        <v>276</v>
      </c>
      <c r="M541" s="2" t="s">
        <v>2712</v>
      </c>
      <c r="N541" s="10" t="s">
        <v>2713</v>
      </c>
      <c r="O541" s="10" t="s">
        <v>2714</v>
      </c>
      <c r="P541" s="9" t="s">
        <v>235</v>
      </c>
      <c r="Q541" s="36">
        <v>42004</v>
      </c>
      <c r="R541" s="10" t="s">
        <v>98</v>
      </c>
      <c r="S541" s="9" t="s">
        <v>2715</v>
      </c>
      <c r="T541" s="9" t="s">
        <v>2716</v>
      </c>
      <c r="U541" s="9" t="s">
        <v>276</v>
      </c>
      <c r="V541" s="9" t="s">
        <v>261</v>
      </c>
      <c r="W541" s="12" t="s">
        <v>2694</v>
      </c>
      <c r="X541" s="12" t="s">
        <v>207</v>
      </c>
      <c r="Y541" s="13" t="s">
        <v>98</v>
      </c>
      <c r="Z541" s="38" t="s">
        <v>98</v>
      </c>
      <c r="AA541" s="8">
        <f t="shared" si="166"/>
        <v>1511</v>
      </c>
      <c r="AB541" s="8">
        <v>1553</v>
      </c>
      <c r="AC541" s="8">
        <v>7</v>
      </c>
      <c r="AD541" s="8" t="s">
        <v>968</v>
      </c>
      <c r="AE541" s="8">
        <v>7</v>
      </c>
      <c r="AF541" s="8" t="s">
        <v>968</v>
      </c>
      <c r="AG541" s="9" t="s">
        <v>2728</v>
      </c>
      <c r="AH541" s="9" t="s">
        <v>2732</v>
      </c>
      <c r="AI541" s="34">
        <v>27</v>
      </c>
      <c r="AJ541" s="34">
        <v>22</v>
      </c>
      <c r="AK541" s="34">
        <v>153</v>
      </c>
      <c r="AL541" s="34">
        <v>99</v>
      </c>
      <c r="AM541" s="38" t="s">
        <v>292</v>
      </c>
      <c r="AN541" s="8" t="s">
        <v>276</v>
      </c>
      <c r="AO541" s="14">
        <f>AI541*100/AK541</f>
        <v>17.647058823529413</v>
      </c>
      <c r="AP541" s="8" t="s">
        <v>276</v>
      </c>
      <c r="AQ541" s="8" t="s">
        <v>276</v>
      </c>
      <c r="AR541" s="8" t="s">
        <v>276</v>
      </c>
      <c r="AS541" s="14">
        <f>AJ541*100/AL541</f>
        <v>22.222222222222221</v>
      </c>
      <c r="AT541" s="8" t="s">
        <v>276</v>
      </c>
      <c r="AU541" s="8" t="s">
        <v>276</v>
      </c>
      <c r="AV541" s="9" t="s">
        <v>268</v>
      </c>
      <c r="AW541" s="35" t="s">
        <v>276</v>
      </c>
      <c r="AX541" s="35">
        <f t="shared" si="159"/>
        <v>0.79411764705882359</v>
      </c>
      <c r="AY541" s="10" t="s">
        <v>276</v>
      </c>
      <c r="AZ541" s="10" t="s">
        <v>276</v>
      </c>
      <c r="BA541" s="10" t="s">
        <v>276</v>
      </c>
      <c r="BB541" s="10" t="s">
        <v>98</v>
      </c>
      <c r="BC541" s="10" t="s">
        <v>276</v>
      </c>
      <c r="BD541" s="10" t="s">
        <v>276</v>
      </c>
      <c r="BE541" s="10" t="s">
        <v>276</v>
      </c>
      <c r="BF541" s="9" t="s">
        <v>2719</v>
      </c>
      <c r="BG541" s="9"/>
      <c r="BH541" s="9" t="s">
        <v>100</v>
      </c>
      <c r="BI541" s="9" t="s">
        <v>100</v>
      </c>
      <c r="BJ541" s="32"/>
      <c r="BK541" s="32"/>
      <c r="BL541" s="33"/>
      <c r="BM541" s="33"/>
      <c r="BN541" s="33"/>
      <c r="BO541" s="32"/>
      <c r="BP541" s="32"/>
      <c r="BQ541" s="33"/>
    </row>
    <row r="542" spans="1:69" s="111" customFormat="1" ht="65" hidden="1" x14ac:dyDescent="0.35">
      <c r="A542" s="94">
        <v>2639</v>
      </c>
      <c r="B542" s="94" t="s">
        <v>2689</v>
      </c>
      <c r="C542" s="94" t="s">
        <v>84</v>
      </c>
      <c r="D542" s="95" t="s">
        <v>2734</v>
      </c>
      <c r="E542" s="95" t="s">
        <v>40</v>
      </c>
      <c r="F542" s="95" t="s">
        <v>2691</v>
      </c>
      <c r="G542" s="94" t="s">
        <v>225</v>
      </c>
      <c r="H542" s="94" t="s">
        <v>125</v>
      </c>
      <c r="I542" s="94" t="s">
        <v>114</v>
      </c>
      <c r="J542" s="95" t="s">
        <v>33</v>
      </c>
      <c r="K542" s="104" t="s">
        <v>2735</v>
      </c>
      <c r="L542" s="104" t="s">
        <v>276</v>
      </c>
      <c r="M542" s="104" t="s">
        <v>276</v>
      </c>
      <c r="N542" s="105" t="s">
        <v>2713</v>
      </c>
      <c r="O542" s="105" t="s">
        <v>2714</v>
      </c>
      <c r="P542" s="95" t="s">
        <v>239</v>
      </c>
      <c r="Q542" s="106">
        <v>42004</v>
      </c>
      <c r="R542" s="105" t="s">
        <v>98</v>
      </c>
      <c r="S542" s="95" t="s">
        <v>2715</v>
      </c>
      <c r="T542" s="95" t="s">
        <v>2716</v>
      </c>
      <c r="U542" s="95" t="s">
        <v>276</v>
      </c>
      <c r="V542" s="95" t="s">
        <v>261</v>
      </c>
      <c r="W542" s="96" t="s">
        <v>2694</v>
      </c>
      <c r="X542" s="96" t="s">
        <v>207</v>
      </c>
      <c r="Y542" s="98">
        <v>70296</v>
      </c>
      <c r="Z542" s="99">
        <v>50636</v>
      </c>
      <c r="AA542" s="94">
        <f t="shared" si="166"/>
        <v>1511</v>
      </c>
      <c r="AB542" s="94">
        <v>1553</v>
      </c>
      <c r="AC542" s="94">
        <v>7</v>
      </c>
      <c r="AD542" s="94" t="s">
        <v>968</v>
      </c>
      <c r="AE542" s="94">
        <v>7</v>
      </c>
      <c r="AF542" s="94" t="s">
        <v>968</v>
      </c>
      <c r="AG542" s="95" t="s">
        <v>2736</v>
      </c>
      <c r="AH542" s="95" t="s">
        <v>2718</v>
      </c>
      <c r="AI542" s="107">
        <v>56</v>
      </c>
      <c r="AJ542" s="107">
        <v>20</v>
      </c>
      <c r="AK542" s="107">
        <f t="shared" ref="AK542:AL550" si="170">Y542</f>
        <v>70296</v>
      </c>
      <c r="AL542" s="107">
        <f t="shared" si="170"/>
        <v>50636</v>
      </c>
      <c r="AM542" s="99" t="s">
        <v>2047</v>
      </c>
      <c r="AN542" s="94" t="s">
        <v>276</v>
      </c>
      <c r="AO542" s="102">
        <f t="shared" ref="AO542:AO550" si="171">AI542*1000/AK542</f>
        <v>0.79663138727665872</v>
      </c>
      <c r="AP542" s="94" t="s">
        <v>276</v>
      </c>
      <c r="AQ542" s="94" t="s">
        <v>276</v>
      </c>
      <c r="AR542" s="94" t="s">
        <v>276</v>
      </c>
      <c r="AS542" s="102">
        <f t="shared" ref="AS542:AS550" si="172">AJ542*1000/AL542</f>
        <v>0.39497590646970537</v>
      </c>
      <c r="AT542" s="94" t="s">
        <v>276</v>
      </c>
      <c r="AU542" s="94" t="s">
        <v>276</v>
      </c>
      <c r="AV542" s="95" t="s">
        <v>268</v>
      </c>
      <c r="AW542" s="108" t="s">
        <v>276</v>
      </c>
      <c r="AX542" s="108">
        <f t="shared" si="159"/>
        <v>2.0169113463070443</v>
      </c>
      <c r="AY542" s="105" t="s">
        <v>276</v>
      </c>
      <c r="AZ542" s="105" t="s">
        <v>276</v>
      </c>
      <c r="BA542" s="105" t="s">
        <v>276</v>
      </c>
      <c r="BB542" s="105" t="s">
        <v>98</v>
      </c>
      <c r="BC542" s="105" t="s">
        <v>276</v>
      </c>
      <c r="BD542" s="105" t="s">
        <v>276</v>
      </c>
      <c r="BE542" s="105" t="s">
        <v>276</v>
      </c>
      <c r="BF542" s="95" t="s">
        <v>2737</v>
      </c>
      <c r="BG542" s="95"/>
      <c r="BH542" s="9" t="s">
        <v>100</v>
      </c>
      <c r="BI542" s="9" t="s">
        <v>100</v>
      </c>
      <c r="BJ542" s="109"/>
      <c r="BK542" s="109"/>
      <c r="BL542" s="110"/>
      <c r="BM542" s="110"/>
      <c r="BN542" s="110"/>
      <c r="BO542" s="109"/>
      <c r="BP542" s="109"/>
      <c r="BQ542" s="110"/>
    </row>
    <row r="543" spans="1:69" s="111" customFormat="1" ht="65" hidden="1" x14ac:dyDescent="0.35">
      <c r="A543" s="94">
        <v>2639</v>
      </c>
      <c r="B543" s="94" t="s">
        <v>2689</v>
      </c>
      <c r="C543" s="94" t="s">
        <v>84</v>
      </c>
      <c r="D543" s="95" t="s">
        <v>2738</v>
      </c>
      <c r="E543" s="95" t="s">
        <v>40</v>
      </c>
      <c r="F543" s="95" t="s">
        <v>2691</v>
      </c>
      <c r="G543" s="94" t="s">
        <v>225</v>
      </c>
      <c r="H543" s="94" t="s">
        <v>125</v>
      </c>
      <c r="I543" s="94" t="s">
        <v>114</v>
      </c>
      <c r="J543" s="95" t="s">
        <v>33</v>
      </c>
      <c r="K543" s="104" t="s">
        <v>2739</v>
      </c>
      <c r="L543" s="104" t="s">
        <v>276</v>
      </c>
      <c r="M543" s="104" t="s">
        <v>276</v>
      </c>
      <c r="N543" s="105" t="s">
        <v>2713</v>
      </c>
      <c r="O543" s="105" t="s">
        <v>2714</v>
      </c>
      <c r="P543" s="95" t="s">
        <v>239</v>
      </c>
      <c r="Q543" s="106">
        <v>42004</v>
      </c>
      <c r="R543" s="105" t="s">
        <v>98</v>
      </c>
      <c r="S543" s="95" t="s">
        <v>2715</v>
      </c>
      <c r="T543" s="95" t="s">
        <v>2716</v>
      </c>
      <c r="U543" s="95" t="s">
        <v>276</v>
      </c>
      <c r="V543" s="95" t="s">
        <v>261</v>
      </c>
      <c r="W543" s="96" t="s">
        <v>2694</v>
      </c>
      <c r="X543" s="96" t="s">
        <v>207</v>
      </c>
      <c r="Y543" s="98">
        <v>70296</v>
      </c>
      <c r="Z543" s="99">
        <v>50636</v>
      </c>
      <c r="AA543" s="94">
        <f t="shared" si="166"/>
        <v>1511</v>
      </c>
      <c r="AB543" s="94">
        <v>1553</v>
      </c>
      <c r="AC543" s="94">
        <v>7</v>
      </c>
      <c r="AD543" s="94" t="s">
        <v>968</v>
      </c>
      <c r="AE543" s="94">
        <v>7</v>
      </c>
      <c r="AF543" s="94" t="s">
        <v>968</v>
      </c>
      <c r="AG543" s="95" t="s">
        <v>2740</v>
      </c>
      <c r="AH543" s="95" t="s">
        <v>2718</v>
      </c>
      <c r="AI543" s="107">
        <v>36</v>
      </c>
      <c r="AJ543" s="107">
        <v>28</v>
      </c>
      <c r="AK543" s="107">
        <f t="shared" si="170"/>
        <v>70296</v>
      </c>
      <c r="AL543" s="107">
        <f t="shared" si="170"/>
        <v>50636</v>
      </c>
      <c r="AM543" s="99" t="s">
        <v>2047</v>
      </c>
      <c r="AN543" s="94" t="s">
        <v>276</v>
      </c>
      <c r="AO543" s="102">
        <f t="shared" si="171"/>
        <v>0.51212017753499484</v>
      </c>
      <c r="AP543" s="94" t="s">
        <v>276</v>
      </c>
      <c r="AQ543" s="94" t="s">
        <v>276</v>
      </c>
      <c r="AR543" s="94" t="s">
        <v>276</v>
      </c>
      <c r="AS543" s="102">
        <f t="shared" si="172"/>
        <v>0.5529662690575875</v>
      </c>
      <c r="AT543" s="94" t="s">
        <v>276</v>
      </c>
      <c r="AU543" s="94" t="s">
        <v>276</v>
      </c>
      <c r="AV543" s="95" t="s">
        <v>268</v>
      </c>
      <c r="AW543" s="108" t="s">
        <v>276</v>
      </c>
      <c r="AX543" s="108">
        <f t="shared" si="159"/>
        <v>0.92613276105935705</v>
      </c>
      <c r="AY543" s="105" t="s">
        <v>276</v>
      </c>
      <c r="AZ543" s="105" t="s">
        <v>276</v>
      </c>
      <c r="BA543" s="105" t="s">
        <v>276</v>
      </c>
      <c r="BB543" s="105" t="s">
        <v>98</v>
      </c>
      <c r="BC543" s="105" t="s">
        <v>276</v>
      </c>
      <c r="BD543" s="105" t="s">
        <v>276</v>
      </c>
      <c r="BE543" s="105" t="s">
        <v>276</v>
      </c>
      <c r="BF543" s="95" t="s">
        <v>2737</v>
      </c>
      <c r="BG543" s="95"/>
      <c r="BH543" s="9" t="s">
        <v>100</v>
      </c>
      <c r="BI543" s="9" t="s">
        <v>100</v>
      </c>
      <c r="BJ543" s="109"/>
      <c r="BK543" s="109"/>
      <c r="BL543" s="110"/>
      <c r="BM543" s="110"/>
      <c r="BN543" s="110"/>
      <c r="BO543" s="109"/>
      <c r="BP543" s="109"/>
      <c r="BQ543" s="110"/>
    </row>
    <row r="544" spans="1:69" s="111" customFormat="1" ht="65" hidden="1" x14ac:dyDescent="0.35">
      <c r="A544" s="94">
        <v>2639</v>
      </c>
      <c r="B544" s="94" t="s">
        <v>2689</v>
      </c>
      <c r="C544" s="94" t="s">
        <v>84</v>
      </c>
      <c r="D544" s="95" t="s">
        <v>2741</v>
      </c>
      <c r="E544" s="95" t="s">
        <v>40</v>
      </c>
      <c r="F544" s="95" t="s">
        <v>2691</v>
      </c>
      <c r="G544" s="94" t="s">
        <v>225</v>
      </c>
      <c r="H544" s="94" t="s">
        <v>125</v>
      </c>
      <c r="I544" s="94" t="s">
        <v>114</v>
      </c>
      <c r="J544" s="95" t="s">
        <v>33</v>
      </c>
      <c r="K544" s="104" t="s">
        <v>2649</v>
      </c>
      <c r="L544" s="104" t="s">
        <v>276</v>
      </c>
      <c r="M544" s="104" t="s">
        <v>276</v>
      </c>
      <c r="N544" s="105" t="s">
        <v>2713</v>
      </c>
      <c r="O544" s="105" t="s">
        <v>2714</v>
      </c>
      <c r="P544" s="95" t="s">
        <v>239</v>
      </c>
      <c r="Q544" s="106">
        <v>42004</v>
      </c>
      <c r="R544" s="105" t="s">
        <v>98</v>
      </c>
      <c r="S544" s="95" t="s">
        <v>2715</v>
      </c>
      <c r="T544" s="95" t="s">
        <v>2716</v>
      </c>
      <c r="U544" s="95" t="s">
        <v>276</v>
      </c>
      <c r="V544" s="95" t="s">
        <v>261</v>
      </c>
      <c r="W544" s="96" t="s">
        <v>2694</v>
      </c>
      <c r="X544" s="96" t="s">
        <v>207</v>
      </c>
      <c r="Y544" s="98">
        <v>70296</v>
      </c>
      <c r="Z544" s="99">
        <v>50636</v>
      </c>
      <c r="AA544" s="94">
        <f t="shared" si="166"/>
        <v>1511</v>
      </c>
      <c r="AB544" s="94">
        <v>1553</v>
      </c>
      <c r="AC544" s="94">
        <v>7</v>
      </c>
      <c r="AD544" s="94" t="s">
        <v>968</v>
      </c>
      <c r="AE544" s="94">
        <v>7</v>
      </c>
      <c r="AF544" s="94" t="s">
        <v>968</v>
      </c>
      <c r="AG544" s="95" t="s">
        <v>2742</v>
      </c>
      <c r="AH544" s="95" t="s">
        <v>2718</v>
      </c>
      <c r="AI544" s="107">
        <v>36</v>
      </c>
      <c r="AJ544" s="107">
        <v>24</v>
      </c>
      <c r="AK544" s="107">
        <f t="shared" si="170"/>
        <v>70296</v>
      </c>
      <c r="AL544" s="107">
        <f t="shared" si="170"/>
        <v>50636</v>
      </c>
      <c r="AM544" s="99" t="s">
        <v>2047</v>
      </c>
      <c r="AN544" s="94" t="s">
        <v>276</v>
      </c>
      <c r="AO544" s="102">
        <f t="shared" si="171"/>
        <v>0.51212017753499484</v>
      </c>
      <c r="AP544" s="94" t="s">
        <v>276</v>
      </c>
      <c r="AQ544" s="94" t="s">
        <v>276</v>
      </c>
      <c r="AR544" s="94" t="s">
        <v>276</v>
      </c>
      <c r="AS544" s="102">
        <f t="shared" si="172"/>
        <v>0.47397108776364644</v>
      </c>
      <c r="AT544" s="94" t="s">
        <v>276</v>
      </c>
      <c r="AU544" s="94" t="s">
        <v>276</v>
      </c>
      <c r="AV544" s="95" t="s">
        <v>268</v>
      </c>
      <c r="AW544" s="108" t="s">
        <v>276</v>
      </c>
      <c r="AX544" s="108">
        <f t="shared" si="159"/>
        <v>1.0804882212359166</v>
      </c>
      <c r="AY544" s="105" t="s">
        <v>276</v>
      </c>
      <c r="AZ544" s="105" t="s">
        <v>276</v>
      </c>
      <c r="BA544" s="105" t="s">
        <v>276</v>
      </c>
      <c r="BB544" s="105" t="s">
        <v>98</v>
      </c>
      <c r="BC544" s="105" t="s">
        <v>276</v>
      </c>
      <c r="BD544" s="105" t="s">
        <v>276</v>
      </c>
      <c r="BE544" s="105" t="s">
        <v>276</v>
      </c>
      <c r="BF544" s="95" t="s">
        <v>2737</v>
      </c>
      <c r="BG544" s="95"/>
      <c r="BH544" s="9" t="s">
        <v>100</v>
      </c>
      <c r="BI544" s="9" t="s">
        <v>100</v>
      </c>
      <c r="BJ544" s="109"/>
      <c r="BK544" s="109"/>
      <c r="BL544" s="110"/>
      <c r="BM544" s="110"/>
      <c r="BN544" s="110"/>
      <c r="BO544" s="109"/>
      <c r="BP544" s="109"/>
      <c r="BQ544" s="110"/>
    </row>
    <row r="545" spans="1:69" s="111" customFormat="1" ht="65" hidden="1" x14ac:dyDescent="0.35">
      <c r="A545" s="94">
        <v>2639</v>
      </c>
      <c r="B545" s="94" t="s">
        <v>2689</v>
      </c>
      <c r="C545" s="94" t="s">
        <v>84</v>
      </c>
      <c r="D545" s="95" t="s">
        <v>2743</v>
      </c>
      <c r="E545" s="95" t="s">
        <v>40</v>
      </c>
      <c r="F545" s="95" t="s">
        <v>2691</v>
      </c>
      <c r="G545" s="94" t="s">
        <v>225</v>
      </c>
      <c r="H545" s="94" t="s">
        <v>125</v>
      </c>
      <c r="I545" s="94" t="s">
        <v>114</v>
      </c>
      <c r="J545" s="95" t="s">
        <v>33</v>
      </c>
      <c r="K545" s="104" t="s">
        <v>1108</v>
      </c>
      <c r="L545" s="104" t="s">
        <v>276</v>
      </c>
      <c r="M545" s="104" t="s">
        <v>276</v>
      </c>
      <c r="N545" s="105" t="s">
        <v>2713</v>
      </c>
      <c r="O545" s="105" t="s">
        <v>2714</v>
      </c>
      <c r="P545" s="95" t="s">
        <v>239</v>
      </c>
      <c r="Q545" s="106">
        <v>42004</v>
      </c>
      <c r="R545" s="105" t="s">
        <v>98</v>
      </c>
      <c r="S545" s="95" t="s">
        <v>2715</v>
      </c>
      <c r="T545" s="95" t="s">
        <v>2716</v>
      </c>
      <c r="U545" s="95" t="s">
        <v>276</v>
      </c>
      <c r="V545" s="95" t="s">
        <v>261</v>
      </c>
      <c r="W545" s="96" t="s">
        <v>2694</v>
      </c>
      <c r="X545" s="96" t="s">
        <v>207</v>
      </c>
      <c r="Y545" s="98">
        <v>70296</v>
      </c>
      <c r="Z545" s="99">
        <v>50636</v>
      </c>
      <c r="AA545" s="94">
        <f t="shared" si="166"/>
        <v>1511</v>
      </c>
      <c r="AB545" s="94">
        <v>1553</v>
      </c>
      <c r="AC545" s="94">
        <v>7</v>
      </c>
      <c r="AD545" s="94" t="s">
        <v>968</v>
      </c>
      <c r="AE545" s="94">
        <v>7</v>
      </c>
      <c r="AF545" s="94" t="s">
        <v>968</v>
      </c>
      <c r="AG545" s="95" t="s">
        <v>2744</v>
      </c>
      <c r="AH545" s="95" t="s">
        <v>2718</v>
      </c>
      <c r="AI545" s="107">
        <v>18</v>
      </c>
      <c r="AJ545" s="107">
        <v>20</v>
      </c>
      <c r="AK545" s="107">
        <f t="shared" si="170"/>
        <v>70296</v>
      </c>
      <c r="AL545" s="107">
        <f t="shared" si="170"/>
        <v>50636</v>
      </c>
      <c r="AM545" s="99" t="s">
        <v>2047</v>
      </c>
      <c r="AN545" s="94" t="s">
        <v>276</v>
      </c>
      <c r="AO545" s="102">
        <f t="shared" si="171"/>
        <v>0.25606008876749742</v>
      </c>
      <c r="AP545" s="94" t="s">
        <v>276</v>
      </c>
      <c r="AQ545" s="94" t="s">
        <v>276</v>
      </c>
      <c r="AR545" s="94" t="s">
        <v>276</v>
      </c>
      <c r="AS545" s="102">
        <f t="shared" si="172"/>
        <v>0.39497590646970537</v>
      </c>
      <c r="AT545" s="94" t="s">
        <v>276</v>
      </c>
      <c r="AU545" s="94" t="s">
        <v>276</v>
      </c>
      <c r="AV545" s="95" t="s">
        <v>268</v>
      </c>
      <c r="AW545" s="108" t="s">
        <v>276</v>
      </c>
      <c r="AX545" s="108">
        <f t="shared" si="159"/>
        <v>0.64829293274154998</v>
      </c>
      <c r="AY545" s="105" t="s">
        <v>276</v>
      </c>
      <c r="AZ545" s="105" t="s">
        <v>276</v>
      </c>
      <c r="BA545" s="105" t="s">
        <v>276</v>
      </c>
      <c r="BB545" s="105" t="s">
        <v>98</v>
      </c>
      <c r="BC545" s="105" t="s">
        <v>276</v>
      </c>
      <c r="BD545" s="105" t="s">
        <v>276</v>
      </c>
      <c r="BE545" s="105" t="s">
        <v>276</v>
      </c>
      <c r="BF545" s="95" t="s">
        <v>2737</v>
      </c>
      <c r="BG545" s="95"/>
      <c r="BH545" s="9" t="s">
        <v>100</v>
      </c>
      <c r="BI545" s="9" t="s">
        <v>100</v>
      </c>
      <c r="BJ545" s="109"/>
      <c r="BK545" s="109"/>
      <c r="BL545" s="110"/>
      <c r="BM545" s="110"/>
      <c r="BN545" s="110"/>
      <c r="BO545" s="109"/>
      <c r="BP545" s="109"/>
      <c r="BQ545" s="110"/>
    </row>
    <row r="546" spans="1:69" s="125" customFormat="1" ht="65" hidden="1" x14ac:dyDescent="0.35">
      <c r="A546" s="112">
        <v>2639</v>
      </c>
      <c r="B546" s="112" t="s">
        <v>2689</v>
      </c>
      <c r="C546" s="112" t="s">
        <v>84</v>
      </c>
      <c r="D546" s="113" t="s">
        <v>2745</v>
      </c>
      <c r="E546" s="113" t="s">
        <v>40</v>
      </c>
      <c r="F546" s="113" t="s">
        <v>2691</v>
      </c>
      <c r="G546" s="112" t="s">
        <v>225</v>
      </c>
      <c r="H546" s="112" t="s">
        <v>125</v>
      </c>
      <c r="I546" s="112" t="s">
        <v>114</v>
      </c>
      <c r="J546" s="113" t="s">
        <v>117</v>
      </c>
      <c r="K546" s="114" t="s">
        <v>2746</v>
      </c>
      <c r="L546" s="114" t="s">
        <v>276</v>
      </c>
      <c r="M546" s="114" t="s">
        <v>276</v>
      </c>
      <c r="N546" s="115" t="s">
        <v>2713</v>
      </c>
      <c r="O546" s="115" t="s">
        <v>2714</v>
      </c>
      <c r="P546" s="113" t="s">
        <v>239</v>
      </c>
      <c r="Q546" s="116">
        <v>42004</v>
      </c>
      <c r="R546" s="115" t="s">
        <v>98</v>
      </c>
      <c r="S546" s="113" t="s">
        <v>2715</v>
      </c>
      <c r="T546" s="113" t="s">
        <v>2716</v>
      </c>
      <c r="U546" s="113" t="s">
        <v>276</v>
      </c>
      <c r="V546" s="113" t="s">
        <v>261</v>
      </c>
      <c r="W546" s="117" t="s">
        <v>2694</v>
      </c>
      <c r="X546" s="117" t="s">
        <v>207</v>
      </c>
      <c r="Y546" s="118">
        <v>70296</v>
      </c>
      <c r="Z546" s="119">
        <v>50636</v>
      </c>
      <c r="AA546" s="112">
        <f t="shared" si="166"/>
        <v>1511</v>
      </c>
      <c r="AB546" s="112">
        <v>1553</v>
      </c>
      <c r="AC546" s="112">
        <v>7</v>
      </c>
      <c r="AD546" s="112" t="s">
        <v>968</v>
      </c>
      <c r="AE546" s="112">
        <v>7</v>
      </c>
      <c r="AF546" s="112" t="s">
        <v>968</v>
      </c>
      <c r="AG546" s="113" t="s">
        <v>2747</v>
      </c>
      <c r="AH546" s="113" t="s">
        <v>2718</v>
      </c>
      <c r="AI546" s="120">
        <v>37</v>
      </c>
      <c r="AJ546" s="120">
        <v>13</v>
      </c>
      <c r="AK546" s="120">
        <f t="shared" si="170"/>
        <v>70296</v>
      </c>
      <c r="AL546" s="120">
        <f t="shared" si="170"/>
        <v>50636</v>
      </c>
      <c r="AM546" s="119" t="s">
        <v>2047</v>
      </c>
      <c r="AN546" s="112" t="s">
        <v>276</v>
      </c>
      <c r="AO546" s="121">
        <f t="shared" si="171"/>
        <v>0.52634573802207807</v>
      </c>
      <c r="AP546" s="112" t="s">
        <v>276</v>
      </c>
      <c r="AQ546" s="112" t="s">
        <v>276</v>
      </c>
      <c r="AR546" s="112" t="s">
        <v>276</v>
      </c>
      <c r="AS546" s="121">
        <f t="shared" si="172"/>
        <v>0.25673433920530847</v>
      </c>
      <c r="AT546" s="112" t="s">
        <v>276</v>
      </c>
      <c r="AU546" s="112" t="s">
        <v>276</v>
      </c>
      <c r="AV546" s="113" t="s">
        <v>268</v>
      </c>
      <c r="AW546" s="122" t="s">
        <v>276</v>
      </c>
      <c r="AX546" s="122">
        <f t="shared" si="159"/>
        <v>2.0501571377296881</v>
      </c>
      <c r="AY546" s="115" t="s">
        <v>276</v>
      </c>
      <c r="AZ546" s="115" t="s">
        <v>276</v>
      </c>
      <c r="BA546" s="115" t="s">
        <v>276</v>
      </c>
      <c r="BB546" s="115" t="s">
        <v>98</v>
      </c>
      <c r="BC546" s="115" t="s">
        <v>276</v>
      </c>
      <c r="BD546" s="115" t="s">
        <v>276</v>
      </c>
      <c r="BE546" s="115" t="s">
        <v>276</v>
      </c>
      <c r="BF546" s="113" t="s">
        <v>2737</v>
      </c>
      <c r="BG546" s="113"/>
      <c r="BH546" s="9" t="s">
        <v>100</v>
      </c>
      <c r="BI546" s="9" t="s">
        <v>100</v>
      </c>
      <c r="BJ546" s="123"/>
      <c r="BK546" s="123"/>
      <c r="BL546" s="124"/>
      <c r="BM546" s="124"/>
      <c r="BN546" s="124"/>
      <c r="BO546" s="123"/>
      <c r="BP546" s="123"/>
      <c r="BQ546" s="124"/>
    </row>
    <row r="547" spans="1:69" s="125" customFormat="1" ht="65" hidden="1" x14ac:dyDescent="0.35">
      <c r="A547" s="112">
        <v>2639</v>
      </c>
      <c r="B547" s="112" t="s">
        <v>2689</v>
      </c>
      <c r="C547" s="112" t="s">
        <v>84</v>
      </c>
      <c r="D547" s="113" t="s">
        <v>2748</v>
      </c>
      <c r="E547" s="113" t="s">
        <v>40</v>
      </c>
      <c r="F547" s="113" t="s">
        <v>2691</v>
      </c>
      <c r="G547" s="112" t="s">
        <v>225</v>
      </c>
      <c r="H547" s="112" t="s">
        <v>125</v>
      </c>
      <c r="I547" s="112" t="s">
        <v>114</v>
      </c>
      <c r="J547" s="113" t="s">
        <v>117</v>
      </c>
      <c r="K547" s="114" t="s">
        <v>2749</v>
      </c>
      <c r="L547" s="114" t="s">
        <v>276</v>
      </c>
      <c r="M547" s="114" t="s">
        <v>276</v>
      </c>
      <c r="N547" s="115" t="s">
        <v>2713</v>
      </c>
      <c r="O547" s="115" t="s">
        <v>2714</v>
      </c>
      <c r="P547" s="113" t="s">
        <v>239</v>
      </c>
      <c r="Q547" s="116">
        <v>42004</v>
      </c>
      <c r="R547" s="115" t="s">
        <v>98</v>
      </c>
      <c r="S547" s="113" t="s">
        <v>2715</v>
      </c>
      <c r="T547" s="113" t="s">
        <v>2716</v>
      </c>
      <c r="U547" s="113" t="s">
        <v>276</v>
      </c>
      <c r="V547" s="113" t="s">
        <v>261</v>
      </c>
      <c r="W547" s="117" t="s">
        <v>2694</v>
      </c>
      <c r="X547" s="117" t="s">
        <v>207</v>
      </c>
      <c r="Y547" s="118">
        <v>70296</v>
      </c>
      <c r="Z547" s="119">
        <v>50636</v>
      </c>
      <c r="AA547" s="112">
        <f t="shared" si="166"/>
        <v>1511</v>
      </c>
      <c r="AB547" s="112">
        <v>1553</v>
      </c>
      <c r="AC547" s="112">
        <v>7</v>
      </c>
      <c r="AD547" s="112" t="s">
        <v>968</v>
      </c>
      <c r="AE547" s="112">
        <v>7</v>
      </c>
      <c r="AF547" s="112" t="s">
        <v>968</v>
      </c>
      <c r="AG547" s="113" t="s">
        <v>2750</v>
      </c>
      <c r="AH547" s="113" t="s">
        <v>2718</v>
      </c>
      <c r="AI547" s="120">
        <v>48</v>
      </c>
      <c r="AJ547" s="120">
        <v>24</v>
      </c>
      <c r="AK547" s="120">
        <f t="shared" si="170"/>
        <v>70296</v>
      </c>
      <c r="AL547" s="120">
        <f t="shared" si="170"/>
        <v>50636</v>
      </c>
      <c r="AM547" s="119" t="s">
        <v>2047</v>
      </c>
      <c r="AN547" s="112" t="s">
        <v>276</v>
      </c>
      <c r="AO547" s="121">
        <f t="shared" si="171"/>
        <v>0.68282690337999319</v>
      </c>
      <c r="AP547" s="112" t="s">
        <v>276</v>
      </c>
      <c r="AQ547" s="112" t="s">
        <v>276</v>
      </c>
      <c r="AR547" s="112" t="s">
        <v>276</v>
      </c>
      <c r="AS547" s="121">
        <f t="shared" si="172"/>
        <v>0.47397108776364644</v>
      </c>
      <c r="AT547" s="112" t="s">
        <v>276</v>
      </c>
      <c r="AU547" s="112" t="s">
        <v>276</v>
      </c>
      <c r="AV547" s="113" t="s">
        <v>268</v>
      </c>
      <c r="AW547" s="122" t="s">
        <v>276</v>
      </c>
      <c r="AX547" s="122">
        <f t="shared" si="159"/>
        <v>1.4406509616478889</v>
      </c>
      <c r="AY547" s="115" t="s">
        <v>276</v>
      </c>
      <c r="AZ547" s="115" t="s">
        <v>276</v>
      </c>
      <c r="BA547" s="115" t="s">
        <v>276</v>
      </c>
      <c r="BB547" s="115" t="s">
        <v>98</v>
      </c>
      <c r="BC547" s="115" t="s">
        <v>276</v>
      </c>
      <c r="BD547" s="115" t="s">
        <v>276</v>
      </c>
      <c r="BE547" s="115" t="s">
        <v>276</v>
      </c>
      <c r="BF547" s="113" t="s">
        <v>2737</v>
      </c>
      <c r="BG547" s="113"/>
      <c r="BH547" s="9" t="s">
        <v>100</v>
      </c>
      <c r="BI547" s="9" t="s">
        <v>100</v>
      </c>
      <c r="BJ547" s="123"/>
      <c r="BK547" s="123"/>
      <c r="BL547" s="124"/>
      <c r="BM547" s="124"/>
      <c r="BN547" s="124"/>
      <c r="BO547" s="123"/>
      <c r="BP547" s="123"/>
      <c r="BQ547" s="124"/>
    </row>
    <row r="548" spans="1:69" s="125" customFormat="1" ht="65" hidden="1" x14ac:dyDescent="0.35">
      <c r="A548" s="112">
        <v>2639</v>
      </c>
      <c r="B548" s="112" t="s">
        <v>2689</v>
      </c>
      <c r="C548" s="112" t="s">
        <v>84</v>
      </c>
      <c r="D548" s="113" t="s">
        <v>2751</v>
      </c>
      <c r="E548" s="113" t="s">
        <v>40</v>
      </c>
      <c r="F548" s="113" t="s">
        <v>2691</v>
      </c>
      <c r="G548" s="112" t="s">
        <v>225</v>
      </c>
      <c r="H548" s="112" t="s">
        <v>125</v>
      </c>
      <c r="I548" s="112" t="s">
        <v>114</v>
      </c>
      <c r="J548" s="113" t="s">
        <v>117</v>
      </c>
      <c r="K548" s="114" t="s">
        <v>2752</v>
      </c>
      <c r="L548" s="114" t="s">
        <v>276</v>
      </c>
      <c r="M548" s="114" t="s">
        <v>276</v>
      </c>
      <c r="N548" s="115" t="s">
        <v>2713</v>
      </c>
      <c r="O548" s="115" t="s">
        <v>2714</v>
      </c>
      <c r="P548" s="113" t="s">
        <v>239</v>
      </c>
      <c r="Q548" s="116">
        <v>42004</v>
      </c>
      <c r="R548" s="115" t="s">
        <v>98</v>
      </c>
      <c r="S548" s="113" t="s">
        <v>2715</v>
      </c>
      <c r="T548" s="113" t="s">
        <v>2716</v>
      </c>
      <c r="U548" s="113" t="s">
        <v>276</v>
      </c>
      <c r="V548" s="113" t="s">
        <v>261</v>
      </c>
      <c r="W548" s="117" t="s">
        <v>2694</v>
      </c>
      <c r="X548" s="117" t="s">
        <v>207</v>
      </c>
      <c r="Y548" s="118">
        <v>70296</v>
      </c>
      <c r="Z548" s="119">
        <v>50636</v>
      </c>
      <c r="AA548" s="112">
        <f t="shared" si="166"/>
        <v>1511</v>
      </c>
      <c r="AB548" s="112">
        <v>1553</v>
      </c>
      <c r="AC548" s="112">
        <v>7</v>
      </c>
      <c r="AD548" s="112" t="s">
        <v>968</v>
      </c>
      <c r="AE548" s="112">
        <v>7</v>
      </c>
      <c r="AF548" s="112" t="s">
        <v>968</v>
      </c>
      <c r="AG548" s="113" t="s">
        <v>2753</v>
      </c>
      <c r="AH548" s="113" t="s">
        <v>2718</v>
      </c>
      <c r="AI548" s="120">
        <v>48</v>
      </c>
      <c r="AJ548" s="120">
        <v>51</v>
      </c>
      <c r="AK548" s="120">
        <f t="shared" si="170"/>
        <v>70296</v>
      </c>
      <c r="AL548" s="120">
        <f t="shared" si="170"/>
        <v>50636</v>
      </c>
      <c r="AM548" s="119" t="s">
        <v>2047</v>
      </c>
      <c r="AN548" s="112" t="s">
        <v>276</v>
      </c>
      <c r="AO548" s="121">
        <f t="shared" si="171"/>
        <v>0.68282690337999319</v>
      </c>
      <c r="AP548" s="112" t="s">
        <v>276</v>
      </c>
      <c r="AQ548" s="112" t="s">
        <v>276</v>
      </c>
      <c r="AR548" s="112" t="s">
        <v>276</v>
      </c>
      <c r="AS548" s="121">
        <f t="shared" si="172"/>
        <v>1.0071885614977487</v>
      </c>
      <c r="AT548" s="112" t="s">
        <v>276</v>
      </c>
      <c r="AU548" s="112" t="s">
        <v>276</v>
      </c>
      <c r="AV548" s="113" t="s">
        <v>268</v>
      </c>
      <c r="AW548" s="122" t="s">
        <v>276</v>
      </c>
      <c r="AX548" s="122">
        <f t="shared" si="159"/>
        <v>0.67795339371665353</v>
      </c>
      <c r="AY548" s="115" t="s">
        <v>276</v>
      </c>
      <c r="AZ548" s="115" t="s">
        <v>276</v>
      </c>
      <c r="BA548" s="115" t="s">
        <v>276</v>
      </c>
      <c r="BB548" s="115" t="s">
        <v>98</v>
      </c>
      <c r="BC548" s="115" t="s">
        <v>276</v>
      </c>
      <c r="BD548" s="115" t="s">
        <v>276</v>
      </c>
      <c r="BE548" s="115" t="s">
        <v>276</v>
      </c>
      <c r="BF548" s="113" t="s">
        <v>2737</v>
      </c>
      <c r="BG548" s="113"/>
      <c r="BH548" s="9" t="s">
        <v>100</v>
      </c>
      <c r="BI548" s="9" t="s">
        <v>100</v>
      </c>
      <c r="BJ548" s="123"/>
      <c r="BK548" s="123"/>
      <c r="BL548" s="124"/>
      <c r="BM548" s="124"/>
      <c r="BN548" s="124"/>
      <c r="BO548" s="123"/>
      <c r="BP548" s="123"/>
      <c r="BQ548" s="124"/>
    </row>
    <row r="549" spans="1:69" s="125" customFormat="1" ht="65" hidden="1" x14ac:dyDescent="0.35">
      <c r="A549" s="112">
        <v>2639</v>
      </c>
      <c r="B549" s="112" t="s">
        <v>2689</v>
      </c>
      <c r="C549" s="112" t="s">
        <v>84</v>
      </c>
      <c r="D549" s="113" t="s">
        <v>2754</v>
      </c>
      <c r="E549" s="113" t="s">
        <v>40</v>
      </c>
      <c r="F549" s="113" t="s">
        <v>2691</v>
      </c>
      <c r="G549" s="112" t="s">
        <v>225</v>
      </c>
      <c r="H549" s="112" t="s">
        <v>125</v>
      </c>
      <c r="I549" s="112" t="s">
        <v>114</v>
      </c>
      <c r="J549" s="113" t="s">
        <v>117</v>
      </c>
      <c r="K549" s="114" t="s">
        <v>2755</v>
      </c>
      <c r="L549" s="114" t="s">
        <v>276</v>
      </c>
      <c r="M549" s="114" t="s">
        <v>276</v>
      </c>
      <c r="N549" s="115" t="s">
        <v>2713</v>
      </c>
      <c r="O549" s="115" t="s">
        <v>2714</v>
      </c>
      <c r="P549" s="113" t="s">
        <v>239</v>
      </c>
      <c r="Q549" s="116">
        <v>42004</v>
      </c>
      <c r="R549" s="115" t="s">
        <v>98</v>
      </c>
      <c r="S549" s="113" t="s">
        <v>2715</v>
      </c>
      <c r="T549" s="113" t="s">
        <v>2716</v>
      </c>
      <c r="U549" s="113" t="s">
        <v>276</v>
      </c>
      <c r="V549" s="113" t="s">
        <v>261</v>
      </c>
      <c r="W549" s="117" t="s">
        <v>2694</v>
      </c>
      <c r="X549" s="117" t="s">
        <v>207</v>
      </c>
      <c r="Y549" s="118">
        <v>70296</v>
      </c>
      <c r="Z549" s="119">
        <v>50636</v>
      </c>
      <c r="AA549" s="112">
        <f t="shared" si="166"/>
        <v>1511</v>
      </c>
      <c r="AB549" s="112">
        <v>1553</v>
      </c>
      <c r="AC549" s="112">
        <v>7</v>
      </c>
      <c r="AD549" s="112" t="s">
        <v>968</v>
      </c>
      <c r="AE549" s="112">
        <v>7</v>
      </c>
      <c r="AF549" s="112" t="s">
        <v>968</v>
      </c>
      <c r="AG549" s="113" t="s">
        <v>2756</v>
      </c>
      <c r="AH549" s="113" t="s">
        <v>2718</v>
      </c>
      <c r="AI549" s="120">
        <v>13</v>
      </c>
      <c r="AJ549" s="120">
        <v>4</v>
      </c>
      <c r="AK549" s="120">
        <f t="shared" si="170"/>
        <v>70296</v>
      </c>
      <c r="AL549" s="120">
        <f t="shared" si="170"/>
        <v>50636</v>
      </c>
      <c r="AM549" s="119" t="s">
        <v>2047</v>
      </c>
      <c r="AN549" s="112" t="s">
        <v>276</v>
      </c>
      <c r="AO549" s="121">
        <f t="shared" si="171"/>
        <v>0.18493228633208147</v>
      </c>
      <c r="AP549" s="112" t="s">
        <v>276</v>
      </c>
      <c r="AQ549" s="112" t="s">
        <v>276</v>
      </c>
      <c r="AR549" s="112" t="s">
        <v>276</v>
      </c>
      <c r="AS549" s="121">
        <f t="shared" si="172"/>
        <v>7.8995181293941064E-2</v>
      </c>
      <c r="AT549" s="112" t="s">
        <v>276</v>
      </c>
      <c r="AU549" s="112" t="s">
        <v>276</v>
      </c>
      <c r="AV549" s="113" t="s">
        <v>268</v>
      </c>
      <c r="AW549" s="122" t="s">
        <v>276</v>
      </c>
      <c r="AX549" s="122">
        <f t="shared" si="159"/>
        <v>2.3410578126778194</v>
      </c>
      <c r="AY549" s="115" t="s">
        <v>276</v>
      </c>
      <c r="AZ549" s="115" t="s">
        <v>276</v>
      </c>
      <c r="BA549" s="115" t="s">
        <v>276</v>
      </c>
      <c r="BB549" s="115" t="s">
        <v>98</v>
      </c>
      <c r="BC549" s="115" t="s">
        <v>276</v>
      </c>
      <c r="BD549" s="115" t="s">
        <v>276</v>
      </c>
      <c r="BE549" s="115" t="s">
        <v>276</v>
      </c>
      <c r="BF549" s="113" t="s">
        <v>2737</v>
      </c>
      <c r="BG549" s="113"/>
      <c r="BH549" s="9" t="s">
        <v>100</v>
      </c>
      <c r="BI549" s="9" t="s">
        <v>100</v>
      </c>
      <c r="BJ549" s="123"/>
      <c r="BK549" s="123"/>
      <c r="BL549" s="124"/>
      <c r="BM549" s="124"/>
      <c r="BN549" s="124"/>
      <c r="BO549" s="123"/>
      <c r="BP549" s="123"/>
      <c r="BQ549" s="124"/>
    </row>
    <row r="550" spans="1:69" s="125" customFormat="1" ht="65" hidden="1" x14ac:dyDescent="0.35">
      <c r="A550" s="112">
        <v>2639</v>
      </c>
      <c r="B550" s="112" t="s">
        <v>2689</v>
      </c>
      <c r="C550" s="112" t="s">
        <v>84</v>
      </c>
      <c r="D550" s="113" t="s">
        <v>2757</v>
      </c>
      <c r="E550" s="113" t="s">
        <v>40</v>
      </c>
      <c r="F550" s="113" t="s">
        <v>2691</v>
      </c>
      <c r="G550" s="112" t="s">
        <v>225</v>
      </c>
      <c r="H550" s="112" t="s">
        <v>125</v>
      </c>
      <c r="I550" s="112" t="s">
        <v>114</v>
      </c>
      <c r="J550" s="113" t="s">
        <v>117</v>
      </c>
      <c r="K550" s="115" t="s">
        <v>2758</v>
      </c>
      <c r="L550" s="114" t="s">
        <v>276</v>
      </c>
      <c r="M550" s="114" t="s">
        <v>276</v>
      </c>
      <c r="N550" s="115" t="s">
        <v>2713</v>
      </c>
      <c r="O550" s="115" t="s">
        <v>2714</v>
      </c>
      <c r="P550" s="113" t="s">
        <v>239</v>
      </c>
      <c r="Q550" s="116">
        <v>42004</v>
      </c>
      <c r="R550" s="115" t="s">
        <v>98</v>
      </c>
      <c r="S550" s="113" t="s">
        <v>2715</v>
      </c>
      <c r="T550" s="113" t="s">
        <v>2716</v>
      </c>
      <c r="U550" s="113" t="s">
        <v>276</v>
      </c>
      <c r="V550" s="113" t="s">
        <v>261</v>
      </c>
      <c r="W550" s="117" t="s">
        <v>2694</v>
      </c>
      <c r="X550" s="117" t="s">
        <v>207</v>
      </c>
      <c r="Y550" s="118">
        <v>70296</v>
      </c>
      <c r="Z550" s="119">
        <v>50636</v>
      </c>
      <c r="AA550" s="112">
        <f t="shared" si="166"/>
        <v>1511</v>
      </c>
      <c r="AB550" s="112">
        <v>1553</v>
      </c>
      <c r="AC550" s="112">
        <v>7</v>
      </c>
      <c r="AD550" s="112" t="s">
        <v>968</v>
      </c>
      <c r="AE550" s="112">
        <v>7</v>
      </c>
      <c r="AF550" s="112" t="s">
        <v>968</v>
      </c>
      <c r="AG550" s="113" t="s">
        <v>2759</v>
      </c>
      <c r="AH550" s="113" t="s">
        <v>2718</v>
      </c>
      <c r="AI550" s="120">
        <f>SUM(AI547:AI549)</f>
        <v>109</v>
      </c>
      <c r="AJ550" s="120">
        <f>SUM(AJ547:AJ549)</f>
        <v>79</v>
      </c>
      <c r="AK550" s="120">
        <f t="shared" si="170"/>
        <v>70296</v>
      </c>
      <c r="AL550" s="120">
        <f t="shared" si="170"/>
        <v>50636</v>
      </c>
      <c r="AM550" s="119" t="s">
        <v>2047</v>
      </c>
      <c r="AN550" s="112" t="s">
        <v>276</v>
      </c>
      <c r="AO550" s="121">
        <f t="shared" si="171"/>
        <v>1.5505860930920679</v>
      </c>
      <c r="AP550" s="112" t="s">
        <v>276</v>
      </c>
      <c r="AQ550" s="112" t="s">
        <v>276</v>
      </c>
      <c r="AR550" s="112" t="s">
        <v>276</v>
      </c>
      <c r="AS550" s="121">
        <f t="shared" si="172"/>
        <v>1.5601548305553361</v>
      </c>
      <c r="AT550" s="112" t="s">
        <v>276</v>
      </c>
      <c r="AU550" s="112" t="s">
        <v>276</v>
      </c>
      <c r="AV550" s="113" t="s">
        <v>268</v>
      </c>
      <c r="AW550" s="122" t="s">
        <v>276</v>
      </c>
      <c r="AX550" s="122">
        <f t="shared" si="159"/>
        <v>0.99386680265582217</v>
      </c>
      <c r="AY550" s="115" t="s">
        <v>276</v>
      </c>
      <c r="AZ550" s="115" t="s">
        <v>276</v>
      </c>
      <c r="BA550" s="115" t="s">
        <v>276</v>
      </c>
      <c r="BB550" s="115" t="s">
        <v>98</v>
      </c>
      <c r="BC550" s="115" t="s">
        <v>276</v>
      </c>
      <c r="BD550" s="115" t="s">
        <v>276</v>
      </c>
      <c r="BE550" s="115" t="s">
        <v>276</v>
      </c>
      <c r="BF550" s="113" t="s">
        <v>2737</v>
      </c>
      <c r="BG550" s="113"/>
      <c r="BH550" s="9" t="s">
        <v>100</v>
      </c>
      <c r="BI550" s="9" t="s">
        <v>100</v>
      </c>
      <c r="BJ550" s="123"/>
      <c r="BK550" s="123"/>
      <c r="BL550" s="124"/>
      <c r="BM550" s="124"/>
      <c r="BN550" s="124"/>
      <c r="BO550" s="123"/>
      <c r="BP550" s="123"/>
      <c r="BQ550" s="124"/>
    </row>
    <row r="551" spans="1:69" s="125" customFormat="1" ht="65" hidden="1" x14ac:dyDescent="0.35">
      <c r="A551" s="112">
        <v>2639</v>
      </c>
      <c r="B551" s="112" t="s">
        <v>2689</v>
      </c>
      <c r="C551" s="112" t="s">
        <v>84</v>
      </c>
      <c r="D551" s="113" t="s">
        <v>2760</v>
      </c>
      <c r="E551" s="113" t="s">
        <v>40</v>
      </c>
      <c r="F551" s="113" t="s">
        <v>2691</v>
      </c>
      <c r="G551" s="112" t="s">
        <v>225</v>
      </c>
      <c r="H551" s="112" t="s">
        <v>125</v>
      </c>
      <c r="I551" s="112" t="s">
        <v>114</v>
      </c>
      <c r="J551" s="113" t="s">
        <v>117</v>
      </c>
      <c r="K551" s="115" t="s">
        <v>2758</v>
      </c>
      <c r="L551" s="114" t="s">
        <v>276</v>
      </c>
      <c r="M551" s="114" t="s">
        <v>276</v>
      </c>
      <c r="N551" s="115" t="s">
        <v>2713</v>
      </c>
      <c r="O551" s="115" t="s">
        <v>2714</v>
      </c>
      <c r="P551" s="784" t="s">
        <v>235</v>
      </c>
      <c r="Q551" s="116">
        <v>42004</v>
      </c>
      <c r="R551" s="115" t="s">
        <v>98</v>
      </c>
      <c r="S551" s="113" t="s">
        <v>2715</v>
      </c>
      <c r="T551" s="113" t="s">
        <v>2716</v>
      </c>
      <c r="U551" s="113" t="s">
        <v>276</v>
      </c>
      <c r="V551" s="113" t="s">
        <v>261</v>
      </c>
      <c r="W551" s="117" t="s">
        <v>2694</v>
      </c>
      <c r="X551" s="117" t="s">
        <v>207</v>
      </c>
      <c r="Y551" s="118" t="s">
        <v>98</v>
      </c>
      <c r="Z551" s="119" t="s">
        <v>98</v>
      </c>
      <c r="AA551" s="112">
        <f t="shared" si="166"/>
        <v>1511</v>
      </c>
      <c r="AB551" s="112">
        <v>1553</v>
      </c>
      <c r="AC551" s="112">
        <v>7</v>
      </c>
      <c r="AD551" s="112" t="s">
        <v>968</v>
      </c>
      <c r="AE551" s="112">
        <v>7</v>
      </c>
      <c r="AF551" s="112" t="s">
        <v>968</v>
      </c>
      <c r="AG551" s="113" t="s">
        <v>2759</v>
      </c>
      <c r="AH551" s="113" t="s">
        <v>2761</v>
      </c>
      <c r="AI551" s="120">
        <v>109</v>
      </c>
      <c r="AJ551" s="120">
        <v>79</v>
      </c>
      <c r="AK551" s="120">
        <v>146</v>
      </c>
      <c r="AL551" s="120">
        <v>92</v>
      </c>
      <c r="AM551" s="119" t="s">
        <v>292</v>
      </c>
      <c r="AN551" s="112" t="s">
        <v>276</v>
      </c>
      <c r="AO551" s="121">
        <f>AI551*100/AK551</f>
        <v>74.657534246575338</v>
      </c>
      <c r="AP551" s="112" t="s">
        <v>276</v>
      </c>
      <c r="AQ551" s="112" t="s">
        <v>276</v>
      </c>
      <c r="AR551" s="112" t="s">
        <v>276</v>
      </c>
      <c r="AS551" s="121">
        <f>AJ551*100/AL551</f>
        <v>85.869565217391298</v>
      </c>
      <c r="AT551" s="112" t="s">
        <v>276</v>
      </c>
      <c r="AU551" s="112" t="s">
        <v>276</v>
      </c>
      <c r="AV551" s="113" t="s">
        <v>268</v>
      </c>
      <c r="AW551" s="122" t="s">
        <v>276</v>
      </c>
      <c r="AX551" s="122">
        <f t="shared" si="159"/>
        <v>0.86942951274492808</v>
      </c>
      <c r="AY551" s="115" t="s">
        <v>276</v>
      </c>
      <c r="AZ551" s="115" t="s">
        <v>276</v>
      </c>
      <c r="BA551" s="115" t="s">
        <v>276</v>
      </c>
      <c r="BB551" s="115" t="s">
        <v>98</v>
      </c>
      <c r="BC551" s="115" t="s">
        <v>276</v>
      </c>
      <c r="BD551" s="115" t="s">
        <v>276</v>
      </c>
      <c r="BE551" s="115" t="s">
        <v>276</v>
      </c>
      <c r="BF551" s="113" t="s">
        <v>2737</v>
      </c>
      <c r="BG551" s="113"/>
      <c r="BH551" s="9" t="s">
        <v>100</v>
      </c>
      <c r="BI551" s="9" t="s">
        <v>100</v>
      </c>
      <c r="BJ551" s="123"/>
      <c r="BK551" s="123"/>
      <c r="BL551" s="124"/>
      <c r="BM551" s="124"/>
      <c r="BN551" s="124"/>
      <c r="BO551" s="123"/>
      <c r="BP551" s="123"/>
      <c r="BQ551" s="124"/>
    </row>
    <row r="552" spans="1:69" s="111" customFormat="1" ht="65" hidden="1" x14ac:dyDescent="0.35">
      <c r="A552" s="94">
        <v>2639</v>
      </c>
      <c r="B552" s="94" t="s">
        <v>2689</v>
      </c>
      <c r="C552" s="94" t="s">
        <v>84</v>
      </c>
      <c r="D552" s="95" t="s">
        <v>2762</v>
      </c>
      <c r="E552" s="95" t="s">
        <v>40</v>
      </c>
      <c r="F552" s="95" t="s">
        <v>2691</v>
      </c>
      <c r="G552" s="94" t="s">
        <v>225</v>
      </c>
      <c r="H552" s="94" t="s">
        <v>125</v>
      </c>
      <c r="I552" s="94" t="s">
        <v>114</v>
      </c>
      <c r="J552" s="95" t="s">
        <v>2763</v>
      </c>
      <c r="K552" s="104" t="s">
        <v>2764</v>
      </c>
      <c r="L552" s="104" t="s">
        <v>276</v>
      </c>
      <c r="M552" s="104" t="s">
        <v>276</v>
      </c>
      <c r="N552" s="105" t="s">
        <v>2713</v>
      </c>
      <c r="O552" s="105" t="s">
        <v>2714</v>
      </c>
      <c r="P552" s="95" t="s">
        <v>239</v>
      </c>
      <c r="Q552" s="106">
        <v>42004</v>
      </c>
      <c r="R552" s="105" t="s">
        <v>98</v>
      </c>
      <c r="S552" s="95" t="s">
        <v>2715</v>
      </c>
      <c r="T552" s="95" t="s">
        <v>2716</v>
      </c>
      <c r="U552" s="95" t="s">
        <v>276</v>
      </c>
      <c r="V552" s="95" t="s">
        <v>261</v>
      </c>
      <c r="W552" s="96" t="s">
        <v>2694</v>
      </c>
      <c r="X552" s="96" t="s">
        <v>207</v>
      </c>
      <c r="Y552" s="98">
        <v>70296</v>
      </c>
      <c r="Z552" s="99">
        <v>50636</v>
      </c>
      <c r="AA552" s="94">
        <f t="shared" si="166"/>
        <v>1511</v>
      </c>
      <c r="AB552" s="94">
        <v>1553</v>
      </c>
      <c r="AC552" s="94">
        <v>7</v>
      </c>
      <c r="AD552" s="94" t="s">
        <v>968</v>
      </c>
      <c r="AE552" s="94">
        <v>7</v>
      </c>
      <c r="AF552" s="94" t="s">
        <v>968</v>
      </c>
      <c r="AG552" s="95" t="s">
        <v>2765</v>
      </c>
      <c r="AH552" s="95" t="s">
        <v>2718</v>
      </c>
      <c r="AI552" s="107">
        <v>141</v>
      </c>
      <c r="AJ552" s="107">
        <v>90</v>
      </c>
      <c r="AK552" s="107">
        <f>Y552</f>
        <v>70296</v>
      </c>
      <c r="AL552" s="107">
        <f>Z552</f>
        <v>50636</v>
      </c>
      <c r="AM552" s="99" t="s">
        <v>2047</v>
      </c>
      <c r="AN552" s="94" t="s">
        <v>276</v>
      </c>
      <c r="AO552" s="102">
        <f>AI552*1000/AK552</f>
        <v>2.00580402867873</v>
      </c>
      <c r="AP552" s="94" t="s">
        <v>276</v>
      </c>
      <c r="AQ552" s="94" t="s">
        <v>276</v>
      </c>
      <c r="AR552" s="94" t="s">
        <v>276</v>
      </c>
      <c r="AS552" s="102">
        <f>AJ552*1000/AL552</f>
        <v>1.7773915791136741</v>
      </c>
      <c r="AT552" s="94" t="s">
        <v>276</v>
      </c>
      <c r="AU552" s="94" t="s">
        <v>276</v>
      </c>
      <c r="AV552" s="95" t="s">
        <v>268</v>
      </c>
      <c r="AW552" s="108" t="s">
        <v>276</v>
      </c>
      <c r="AX552" s="108">
        <f t="shared" si="159"/>
        <v>1.128509919957513</v>
      </c>
      <c r="AY552" s="105" t="s">
        <v>276</v>
      </c>
      <c r="AZ552" s="105" t="s">
        <v>276</v>
      </c>
      <c r="BA552" s="105" t="s">
        <v>276</v>
      </c>
      <c r="BB552" s="105" t="s">
        <v>98</v>
      </c>
      <c r="BC552" s="105" t="s">
        <v>276</v>
      </c>
      <c r="BD552" s="105" t="s">
        <v>276</v>
      </c>
      <c r="BE552" s="105" t="s">
        <v>276</v>
      </c>
      <c r="BF552" s="95" t="s">
        <v>2737</v>
      </c>
      <c r="BG552" s="95"/>
      <c r="BH552" s="9" t="s">
        <v>100</v>
      </c>
      <c r="BI552" s="9" t="s">
        <v>100</v>
      </c>
      <c r="BJ552" s="109"/>
      <c r="BK552" s="109"/>
      <c r="BL552" s="110"/>
      <c r="BM552" s="110"/>
      <c r="BN552" s="110"/>
      <c r="BO552" s="109"/>
      <c r="BP552" s="109"/>
      <c r="BQ552" s="110"/>
    </row>
    <row r="553" spans="1:69" s="111" customFormat="1" ht="65" hidden="1" x14ac:dyDescent="0.35">
      <c r="A553" s="94">
        <v>2639</v>
      </c>
      <c r="B553" s="94" t="s">
        <v>2689</v>
      </c>
      <c r="C553" s="94" t="s">
        <v>84</v>
      </c>
      <c r="D553" s="95" t="s">
        <v>2766</v>
      </c>
      <c r="E553" s="95" t="s">
        <v>40</v>
      </c>
      <c r="F553" s="95" t="s">
        <v>2691</v>
      </c>
      <c r="G553" s="94" t="s">
        <v>225</v>
      </c>
      <c r="H553" s="94" t="s">
        <v>125</v>
      </c>
      <c r="I553" s="94" t="s">
        <v>114</v>
      </c>
      <c r="J553" s="95" t="s">
        <v>2763</v>
      </c>
      <c r="K553" s="104" t="s">
        <v>1117</v>
      </c>
      <c r="L553" s="104" t="s">
        <v>276</v>
      </c>
      <c r="M553" s="104" t="s">
        <v>276</v>
      </c>
      <c r="N553" s="105" t="s">
        <v>2713</v>
      </c>
      <c r="O553" s="105" t="s">
        <v>2714</v>
      </c>
      <c r="P553" s="95" t="s">
        <v>239</v>
      </c>
      <c r="Q553" s="106">
        <v>42004</v>
      </c>
      <c r="R553" s="105" t="s">
        <v>98</v>
      </c>
      <c r="S553" s="95" t="s">
        <v>2715</v>
      </c>
      <c r="T553" s="95" t="s">
        <v>2716</v>
      </c>
      <c r="U553" s="95" t="s">
        <v>276</v>
      </c>
      <c r="V553" s="95" t="s">
        <v>261</v>
      </c>
      <c r="W553" s="96" t="s">
        <v>2694</v>
      </c>
      <c r="X553" s="96" t="s">
        <v>207</v>
      </c>
      <c r="Y553" s="98">
        <v>70296</v>
      </c>
      <c r="Z553" s="99">
        <v>50636</v>
      </c>
      <c r="AA553" s="94">
        <f t="shared" si="166"/>
        <v>1511</v>
      </c>
      <c r="AB553" s="94">
        <v>1553</v>
      </c>
      <c r="AC553" s="94">
        <v>7</v>
      </c>
      <c r="AD553" s="94" t="s">
        <v>968</v>
      </c>
      <c r="AE553" s="94">
        <v>7</v>
      </c>
      <c r="AF553" s="94" t="s">
        <v>968</v>
      </c>
      <c r="AG553" s="95" t="s">
        <v>2767</v>
      </c>
      <c r="AH553" s="95" t="s">
        <v>2718</v>
      </c>
      <c r="AI553" s="107">
        <v>5</v>
      </c>
      <c r="AJ553" s="107">
        <v>2</v>
      </c>
      <c r="AK553" s="107">
        <f>Y553</f>
        <v>70296</v>
      </c>
      <c r="AL553" s="107">
        <f>Z553</f>
        <v>50636</v>
      </c>
      <c r="AM553" s="99" t="s">
        <v>2047</v>
      </c>
      <c r="AN553" s="94" t="s">
        <v>276</v>
      </c>
      <c r="AO553" s="102">
        <f>AI553*1000/AK553</f>
        <v>7.1127802435415957E-2</v>
      </c>
      <c r="AP553" s="94" t="s">
        <v>276</v>
      </c>
      <c r="AQ553" s="94" t="s">
        <v>276</v>
      </c>
      <c r="AR553" s="94" t="s">
        <v>276</v>
      </c>
      <c r="AS553" s="102">
        <f>AJ553*1000/AL553</f>
        <v>3.9497590646970532E-2</v>
      </c>
      <c r="AT553" s="94" t="s">
        <v>276</v>
      </c>
      <c r="AU553" s="94" t="s">
        <v>276</v>
      </c>
      <c r="AV553" s="95" t="s">
        <v>268</v>
      </c>
      <c r="AW553" s="108" t="s">
        <v>276</v>
      </c>
      <c r="AX553" s="108">
        <f t="shared" si="159"/>
        <v>1.8008137020598614</v>
      </c>
      <c r="AY553" s="105" t="s">
        <v>276</v>
      </c>
      <c r="AZ553" s="105" t="s">
        <v>276</v>
      </c>
      <c r="BA553" s="105" t="s">
        <v>276</v>
      </c>
      <c r="BB553" s="105" t="s">
        <v>98</v>
      </c>
      <c r="BC553" s="105" t="s">
        <v>276</v>
      </c>
      <c r="BD553" s="105" t="s">
        <v>276</v>
      </c>
      <c r="BE553" s="105" t="s">
        <v>276</v>
      </c>
      <c r="BF553" s="95" t="s">
        <v>2737</v>
      </c>
      <c r="BG553" s="95"/>
      <c r="BH553" s="9" t="s">
        <v>100</v>
      </c>
      <c r="BI553" s="9" t="s">
        <v>100</v>
      </c>
      <c r="BJ553" s="109"/>
      <c r="BK553" s="109"/>
      <c r="BL553" s="110"/>
      <c r="BM553" s="110"/>
      <c r="BN553" s="110"/>
      <c r="BO553" s="109"/>
      <c r="BP553" s="109"/>
      <c r="BQ553" s="110"/>
    </row>
    <row r="554" spans="1:69" s="111" customFormat="1" ht="65" hidden="1" x14ac:dyDescent="0.35">
      <c r="A554" s="94">
        <v>2639</v>
      </c>
      <c r="B554" s="94" t="s">
        <v>2689</v>
      </c>
      <c r="C554" s="94" t="s">
        <v>84</v>
      </c>
      <c r="D554" s="95" t="s">
        <v>2768</v>
      </c>
      <c r="E554" s="95" t="s">
        <v>40</v>
      </c>
      <c r="F554" s="95" t="s">
        <v>2691</v>
      </c>
      <c r="G554" s="94" t="s">
        <v>225</v>
      </c>
      <c r="H554" s="94" t="s">
        <v>125</v>
      </c>
      <c r="I554" s="94" t="s">
        <v>114</v>
      </c>
      <c r="J554" s="95" t="s">
        <v>2763</v>
      </c>
      <c r="K554" s="104" t="s">
        <v>1117</v>
      </c>
      <c r="L554" s="104" t="s">
        <v>276</v>
      </c>
      <c r="M554" s="104" t="s">
        <v>276</v>
      </c>
      <c r="N554" s="105" t="s">
        <v>2713</v>
      </c>
      <c r="O554" s="105" t="s">
        <v>2714</v>
      </c>
      <c r="P554" s="785" t="s">
        <v>235</v>
      </c>
      <c r="Q554" s="106">
        <v>42004</v>
      </c>
      <c r="R554" s="105" t="s">
        <v>98</v>
      </c>
      <c r="S554" s="95" t="s">
        <v>2715</v>
      </c>
      <c r="T554" s="95" t="s">
        <v>2716</v>
      </c>
      <c r="U554" s="95" t="s">
        <v>276</v>
      </c>
      <c r="V554" s="95" t="s">
        <v>261</v>
      </c>
      <c r="W554" s="96" t="s">
        <v>2694</v>
      </c>
      <c r="X554" s="96" t="s">
        <v>207</v>
      </c>
      <c r="Y554" s="98" t="s">
        <v>98</v>
      </c>
      <c r="Z554" s="99" t="s">
        <v>98</v>
      </c>
      <c r="AA554" s="94">
        <f t="shared" si="166"/>
        <v>1511</v>
      </c>
      <c r="AB554" s="94">
        <v>1553</v>
      </c>
      <c r="AC554" s="94">
        <v>7</v>
      </c>
      <c r="AD554" s="94" t="s">
        <v>968</v>
      </c>
      <c r="AE554" s="94">
        <v>7</v>
      </c>
      <c r="AF554" s="94" t="s">
        <v>968</v>
      </c>
      <c r="AG554" s="95" t="s">
        <v>2767</v>
      </c>
      <c r="AH554" s="95" t="s">
        <v>2761</v>
      </c>
      <c r="AI554" s="107">
        <v>5</v>
      </c>
      <c r="AJ554" s="107">
        <v>2</v>
      </c>
      <c r="AK554" s="107">
        <v>146</v>
      </c>
      <c r="AL554" s="107">
        <v>92</v>
      </c>
      <c r="AM554" s="99" t="s">
        <v>292</v>
      </c>
      <c r="AN554" s="94">
        <v>3.4</v>
      </c>
      <c r="AO554" s="102">
        <f>AI554*100/AK554</f>
        <v>3.4246575342465753</v>
      </c>
      <c r="AP554" s="94" t="s">
        <v>276</v>
      </c>
      <c r="AQ554" s="94" t="s">
        <v>276</v>
      </c>
      <c r="AR554" s="94">
        <v>2.2000000000000002</v>
      </c>
      <c r="AS554" s="102">
        <f>AJ554*100/AL554</f>
        <v>2.1739130434782608</v>
      </c>
      <c r="AT554" s="94" t="s">
        <v>276</v>
      </c>
      <c r="AU554" s="94" t="s">
        <v>276</v>
      </c>
      <c r="AV554" s="95" t="s">
        <v>268</v>
      </c>
      <c r="AW554" s="108" t="s">
        <v>276</v>
      </c>
      <c r="AX554" s="108">
        <f t="shared" si="159"/>
        <v>1.5753424657534247</v>
      </c>
      <c r="AY554" s="105" t="s">
        <v>276</v>
      </c>
      <c r="AZ554" s="105" t="s">
        <v>276</v>
      </c>
      <c r="BA554" s="105" t="s">
        <v>276</v>
      </c>
      <c r="BB554" s="105" t="s">
        <v>98</v>
      </c>
      <c r="BC554" s="105" t="s">
        <v>276</v>
      </c>
      <c r="BD554" s="105" t="s">
        <v>276</v>
      </c>
      <c r="BE554" s="105" t="s">
        <v>276</v>
      </c>
      <c r="BF554" s="95" t="s">
        <v>2737</v>
      </c>
      <c r="BG554" s="95"/>
      <c r="BH554" s="9" t="s">
        <v>100</v>
      </c>
      <c r="BI554" s="9" t="s">
        <v>100</v>
      </c>
      <c r="BJ554" s="109"/>
      <c r="BK554" s="109"/>
      <c r="BL554" s="110"/>
      <c r="BM554" s="110"/>
      <c r="BN554" s="110"/>
      <c r="BO554" s="109"/>
      <c r="BP554" s="109"/>
      <c r="BQ554" s="110"/>
    </row>
    <row r="555" spans="1:69" s="138" customFormat="1" ht="65" x14ac:dyDescent="0.35">
      <c r="A555" s="126">
        <v>2639</v>
      </c>
      <c r="B555" s="126" t="s">
        <v>2689</v>
      </c>
      <c r="C555" s="126" t="s">
        <v>84</v>
      </c>
      <c r="D555" s="127" t="s">
        <v>2769</v>
      </c>
      <c r="E555" s="127" t="s">
        <v>40</v>
      </c>
      <c r="F555" s="127" t="s">
        <v>2691</v>
      </c>
      <c r="G555" s="126" t="s">
        <v>225</v>
      </c>
      <c r="H555" s="126" t="s">
        <v>225</v>
      </c>
      <c r="I555" s="126" t="s">
        <v>98</v>
      </c>
      <c r="J555" s="127" t="s">
        <v>98</v>
      </c>
      <c r="K555" s="128" t="s">
        <v>98</v>
      </c>
      <c r="L555" s="128" t="s">
        <v>98</v>
      </c>
      <c r="M555" s="128" t="s">
        <v>98</v>
      </c>
      <c r="N555" s="128" t="s">
        <v>820</v>
      </c>
      <c r="O555" s="129" t="s">
        <v>276</v>
      </c>
      <c r="P555" s="127" t="s">
        <v>236</v>
      </c>
      <c r="Q555" s="130">
        <v>42004</v>
      </c>
      <c r="R555" s="129" t="s">
        <v>98</v>
      </c>
      <c r="S555" s="127" t="s">
        <v>2770</v>
      </c>
      <c r="T555" s="127" t="s">
        <v>98</v>
      </c>
      <c r="U555" s="127" t="s">
        <v>276</v>
      </c>
      <c r="V555" s="127" t="s">
        <v>261</v>
      </c>
      <c r="W555" s="131" t="s">
        <v>2694</v>
      </c>
      <c r="X555" s="129" t="s">
        <v>209</v>
      </c>
      <c r="Y555" s="132" t="s">
        <v>98</v>
      </c>
      <c r="Z555" s="129" t="s">
        <v>98</v>
      </c>
      <c r="AA555" s="129" t="s">
        <v>276</v>
      </c>
      <c r="AB555" s="129" t="s">
        <v>98</v>
      </c>
      <c r="AC555" s="126" t="s">
        <v>98</v>
      </c>
      <c r="AD555" s="126" t="s">
        <v>98</v>
      </c>
      <c r="AE555" s="126" t="s">
        <v>98</v>
      </c>
      <c r="AF555" s="126" t="s">
        <v>98</v>
      </c>
      <c r="AG555" s="127" t="s">
        <v>2771</v>
      </c>
      <c r="AH555" s="127" t="s">
        <v>2772</v>
      </c>
      <c r="AI555" s="133">
        <v>56</v>
      </c>
      <c r="AJ555" s="133" t="s">
        <v>98</v>
      </c>
      <c r="AK555" s="133">
        <v>153</v>
      </c>
      <c r="AL555" s="133" t="s">
        <v>98</v>
      </c>
      <c r="AM555" s="134" t="s">
        <v>292</v>
      </c>
      <c r="AN555" s="126" t="s">
        <v>276</v>
      </c>
      <c r="AO555" s="135">
        <f>AI555*100/AK555</f>
        <v>36.601307189542482</v>
      </c>
      <c r="AP555" s="126" t="s">
        <v>276</v>
      </c>
      <c r="AQ555" s="126" t="s">
        <v>276</v>
      </c>
      <c r="AR555" s="126" t="s">
        <v>98</v>
      </c>
      <c r="AS555" s="126" t="s">
        <v>98</v>
      </c>
      <c r="AT555" s="126" t="s">
        <v>98</v>
      </c>
      <c r="AU555" s="126" t="s">
        <v>98</v>
      </c>
      <c r="AV555" s="126" t="s">
        <v>98</v>
      </c>
      <c r="AW555" s="126" t="s">
        <v>98</v>
      </c>
      <c r="AX555" s="126" t="s">
        <v>98</v>
      </c>
      <c r="AY555" s="126" t="s">
        <v>98</v>
      </c>
      <c r="AZ555" s="126" t="s">
        <v>98</v>
      </c>
      <c r="BA555" s="126" t="s">
        <v>98</v>
      </c>
      <c r="BB555" s="126" t="s">
        <v>98</v>
      </c>
      <c r="BC555" s="126" t="s">
        <v>98</v>
      </c>
      <c r="BD555" s="126" t="s">
        <v>98</v>
      </c>
      <c r="BE555" s="126" t="s">
        <v>98</v>
      </c>
      <c r="BF555" s="127" t="s">
        <v>2773</v>
      </c>
      <c r="BG555" s="127"/>
      <c r="BH555" s="9" t="s">
        <v>99</v>
      </c>
      <c r="BI555" s="9" t="s">
        <v>100</v>
      </c>
      <c r="BJ555" s="136"/>
      <c r="BK555" s="136"/>
      <c r="BL555" s="137"/>
      <c r="BM555" s="137"/>
      <c r="BN555" s="137"/>
      <c r="BO555" s="136"/>
      <c r="BP555" s="136"/>
      <c r="BQ555" s="137"/>
    </row>
    <row r="556" spans="1:69" s="138" customFormat="1" ht="91" hidden="1" x14ac:dyDescent="0.35">
      <c r="A556" s="126">
        <v>2639</v>
      </c>
      <c r="B556" s="126" t="s">
        <v>2689</v>
      </c>
      <c r="C556" s="126" t="s">
        <v>84</v>
      </c>
      <c r="D556" s="127" t="s">
        <v>2774</v>
      </c>
      <c r="E556" s="127" t="s">
        <v>40</v>
      </c>
      <c r="F556" s="127" t="s">
        <v>2691</v>
      </c>
      <c r="G556" s="126" t="s">
        <v>225</v>
      </c>
      <c r="H556" s="126" t="s">
        <v>225</v>
      </c>
      <c r="I556" s="126" t="s">
        <v>98</v>
      </c>
      <c r="J556" s="127" t="s">
        <v>98</v>
      </c>
      <c r="K556" s="128" t="s">
        <v>98</v>
      </c>
      <c r="L556" s="128" t="s">
        <v>98</v>
      </c>
      <c r="M556" s="128" t="s">
        <v>98</v>
      </c>
      <c r="N556" s="128" t="s">
        <v>820</v>
      </c>
      <c r="O556" s="129" t="s">
        <v>276</v>
      </c>
      <c r="P556" s="127" t="s">
        <v>238</v>
      </c>
      <c r="Q556" s="130">
        <v>42004</v>
      </c>
      <c r="R556" s="129" t="s">
        <v>98</v>
      </c>
      <c r="S556" s="127" t="s">
        <v>2770</v>
      </c>
      <c r="T556" s="127" t="s">
        <v>98</v>
      </c>
      <c r="U556" s="127" t="s">
        <v>276</v>
      </c>
      <c r="V556" s="127" t="s">
        <v>261</v>
      </c>
      <c r="W556" s="131" t="s">
        <v>2694</v>
      </c>
      <c r="X556" s="129" t="s">
        <v>209</v>
      </c>
      <c r="Y556" s="132">
        <v>70296</v>
      </c>
      <c r="Z556" s="129" t="s">
        <v>98</v>
      </c>
      <c r="AA556" s="129" t="s">
        <v>276</v>
      </c>
      <c r="AB556" s="129" t="s">
        <v>98</v>
      </c>
      <c r="AC556" s="126" t="s">
        <v>98</v>
      </c>
      <c r="AD556" s="126" t="s">
        <v>98</v>
      </c>
      <c r="AE556" s="126" t="s">
        <v>98</v>
      </c>
      <c r="AF556" s="126" t="s">
        <v>98</v>
      </c>
      <c r="AG556" s="127" t="s">
        <v>2771</v>
      </c>
      <c r="AH556" s="127" t="s">
        <v>2718</v>
      </c>
      <c r="AI556" s="133">
        <v>56</v>
      </c>
      <c r="AJ556" s="133" t="s">
        <v>98</v>
      </c>
      <c r="AK556" s="133">
        <v>70296</v>
      </c>
      <c r="AL556" s="133" t="s">
        <v>98</v>
      </c>
      <c r="AM556" s="134" t="s">
        <v>2047</v>
      </c>
      <c r="AN556" s="126" t="s">
        <v>276</v>
      </c>
      <c r="AO556" s="148">
        <f t="shared" ref="AO556" si="173">AI556*1000/AK556</f>
        <v>0.79663138727665872</v>
      </c>
      <c r="AP556" s="126" t="s">
        <v>276</v>
      </c>
      <c r="AQ556" s="126" t="s">
        <v>276</v>
      </c>
      <c r="AR556" s="126" t="s">
        <v>98</v>
      </c>
      <c r="AS556" s="126" t="s">
        <v>98</v>
      </c>
      <c r="AT556" s="126" t="s">
        <v>98</v>
      </c>
      <c r="AU556" s="126" t="s">
        <v>98</v>
      </c>
      <c r="AV556" s="126" t="s">
        <v>98</v>
      </c>
      <c r="AW556" s="126" t="s">
        <v>98</v>
      </c>
      <c r="AX556" s="126" t="s">
        <v>98</v>
      </c>
      <c r="AY556" s="126" t="s">
        <v>98</v>
      </c>
      <c r="AZ556" s="126" t="s">
        <v>98</v>
      </c>
      <c r="BA556" s="126" t="s">
        <v>98</v>
      </c>
      <c r="BB556" s="126" t="s">
        <v>98</v>
      </c>
      <c r="BC556" s="126" t="s">
        <v>98</v>
      </c>
      <c r="BD556" s="126" t="s">
        <v>98</v>
      </c>
      <c r="BE556" s="126" t="s">
        <v>98</v>
      </c>
      <c r="BF556" s="127" t="s">
        <v>2775</v>
      </c>
      <c r="BG556" s="127"/>
      <c r="BH556" s="9" t="s">
        <v>100</v>
      </c>
      <c r="BI556" s="9" t="s">
        <v>100</v>
      </c>
      <c r="BJ556" s="136"/>
      <c r="BK556" s="136"/>
      <c r="BL556" s="137"/>
      <c r="BM556" s="137"/>
      <c r="BN556" s="137"/>
      <c r="BO556" s="136"/>
      <c r="BP556" s="136"/>
      <c r="BQ556" s="137"/>
    </row>
    <row r="557" spans="1:69" s="33" customFormat="1" ht="52" hidden="1" x14ac:dyDescent="0.35">
      <c r="A557" s="8">
        <v>611</v>
      </c>
      <c r="B557" s="8" t="s">
        <v>2792</v>
      </c>
      <c r="C557" s="9" t="s">
        <v>80</v>
      </c>
      <c r="D557" s="9" t="s">
        <v>2793</v>
      </c>
      <c r="E557" s="8" t="s">
        <v>39</v>
      </c>
      <c r="F557" s="8" t="s">
        <v>143</v>
      </c>
      <c r="G557" s="8" t="s">
        <v>262</v>
      </c>
      <c r="H557" s="8" t="s">
        <v>225</v>
      </c>
      <c r="I557" s="8" t="s">
        <v>98</v>
      </c>
      <c r="J557" s="9" t="s">
        <v>98</v>
      </c>
      <c r="K557" s="8" t="s">
        <v>98</v>
      </c>
      <c r="L557" s="8" t="s">
        <v>98</v>
      </c>
      <c r="M557" s="8" t="s">
        <v>98</v>
      </c>
      <c r="N557" s="8" t="s">
        <v>1049</v>
      </c>
      <c r="O557" s="9" t="s">
        <v>276</v>
      </c>
      <c r="P557" s="9" t="s">
        <v>238</v>
      </c>
      <c r="Q557" s="52" t="s">
        <v>276</v>
      </c>
      <c r="R557" s="9" t="s">
        <v>705</v>
      </c>
      <c r="S557" s="9" t="s">
        <v>276</v>
      </c>
      <c r="T557" s="9" t="s">
        <v>276</v>
      </c>
      <c r="U557" s="9">
        <v>1</v>
      </c>
      <c r="V557" s="8" t="s">
        <v>14</v>
      </c>
      <c r="W557" s="8" t="s">
        <v>98</v>
      </c>
      <c r="X557" s="9" t="s">
        <v>208</v>
      </c>
      <c r="Y557" s="13">
        <v>1660</v>
      </c>
      <c r="Z557" s="38">
        <v>1658</v>
      </c>
      <c r="AA557" s="9" t="s">
        <v>276</v>
      </c>
      <c r="AB557" s="9" t="s">
        <v>276</v>
      </c>
      <c r="AC557" s="8">
        <v>0</v>
      </c>
      <c r="AD557" s="8" t="s">
        <v>98</v>
      </c>
      <c r="AE557" s="8">
        <v>0</v>
      </c>
      <c r="AF557" s="8" t="s">
        <v>98</v>
      </c>
      <c r="AG557" s="9" t="s">
        <v>2794</v>
      </c>
      <c r="AH557" s="9" t="s">
        <v>866</v>
      </c>
      <c r="AI557" s="38">
        <v>30</v>
      </c>
      <c r="AJ557" s="38">
        <v>7</v>
      </c>
      <c r="AK557" s="38">
        <v>1660</v>
      </c>
      <c r="AL557" s="38">
        <v>1658</v>
      </c>
      <c r="AM557" s="38" t="s">
        <v>292</v>
      </c>
      <c r="AN557" s="8" t="s">
        <v>276</v>
      </c>
      <c r="AO557" s="31">
        <f t="shared" ref="AO557" si="174">AI557*100/AK557</f>
        <v>1.8072289156626506</v>
      </c>
      <c r="AP557" s="8" t="s">
        <v>276</v>
      </c>
      <c r="AQ557" s="8" t="s">
        <v>276</v>
      </c>
      <c r="AR557" s="8" t="s">
        <v>276</v>
      </c>
      <c r="AS557" s="31">
        <f>AJ557*100/AL557</f>
        <v>0.42219541616405309</v>
      </c>
      <c r="AT557" s="8" t="s">
        <v>276</v>
      </c>
      <c r="AU557" s="8" t="s">
        <v>276</v>
      </c>
      <c r="AV557" s="9" t="s">
        <v>268</v>
      </c>
      <c r="AW557" s="40" t="s">
        <v>276</v>
      </c>
      <c r="AX557" s="40">
        <f t="shared" ref="AX557:AX560" si="175">AO557/AS557</f>
        <v>4.2805507745266782</v>
      </c>
      <c r="AY557" s="9" t="s">
        <v>276</v>
      </c>
      <c r="AZ557" s="9" t="s">
        <v>276</v>
      </c>
      <c r="BA557" s="9" t="s">
        <v>276</v>
      </c>
      <c r="BB557" s="9" t="s">
        <v>282</v>
      </c>
      <c r="BC557" s="9" t="s">
        <v>276</v>
      </c>
      <c r="BD557" s="9" t="s">
        <v>276</v>
      </c>
      <c r="BE557" s="9" t="s">
        <v>276</v>
      </c>
      <c r="BF557" s="9" t="s">
        <v>2795</v>
      </c>
      <c r="BG557" s="9" t="s">
        <v>276</v>
      </c>
      <c r="BH557" s="9" t="s">
        <v>100</v>
      </c>
      <c r="BI557" s="9" t="s">
        <v>100</v>
      </c>
      <c r="BJ557" s="32"/>
      <c r="BK557" s="32"/>
      <c r="BO557" s="32"/>
      <c r="BP557" s="32"/>
    </row>
    <row r="558" spans="1:69" s="79" customFormat="1" ht="52" hidden="1" x14ac:dyDescent="0.35">
      <c r="A558" s="72">
        <v>611</v>
      </c>
      <c r="B558" s="72" t="s">
        <v>2792</v>
      </c>
      <c r="C558" s="73" t="s">
        <v>80</v>
      </c>
      <c r="D558" s="73" t="s">
        <v>2796</v>
      </c>
      <c r="E558" s="72" t="s">
        <v>39</v>
      </c>
      <c r="F558" s="72" t="s">
        <v>143</v>
      </c>
      <c r="G558" s="72" t="s">
        <v>262</v>
      </c>
      <c r="H558" s="72" t="s">
        <v>225</v>
      </c>
      <c r="I558" s="72" t="s">
        <v>98</v>
      </c>
      <c r="J558" s="73" t="s">
        <v>25</v>
      </c>
      <c r="K558" s="72" t="s">
        <v>300</v>
      </c>
      <c r="L558" s="72" t="s">
        <v>276</v>
      </c>
      <c r="M558" s="72" t="s">
        <v>276</v>
      </c>
      <c r="N558" s="72" t="s">
        <v>1049</v>
      </c>
      <c r="O558" s="73" t="s">
        <v>276</v>
      </c>
      <c r="P558" s="73" t="s">
        <v>239</v>
      </c>
      <c r="Q558" s="77" t="s">
        <v>276</v>
      </c>
      <c r="R558" s="73" t="s">
        <v>705</v>
      </c>
      <c r="S558" s="73" t="s">
        <v>276</v>
      </c>
      <c r="T558" s="73" t="s">
        <v>276</v>
      </c>
      <c r="U558" s="73">
        <v>1</v>
      </c>
      <c r="V558" s="72" t="s">
        <v>14</v>
      </c>
      <c r="W558" s="72" t="s">
        <v>98</v>
      </c>
      <c r="X558" s="73" t="s">
        <v>208</v>
      </c>
      <c r="Y558" s="74">
        <v>1660</v>
      </c>
      <c r="Z558" s="75">
        <v>1658</v>
      </c>
      <c r="AA558" s="73" t="s">
        <v>276</v>
      </c>
      <c r="AB558" s="73" t="s">
        <v>276</v>
      </c>
      <c r="AC558" s="72">
        <v>2</v>
      </c>
      <c r="AD558" s="72" t="s">
        <v>2797</v>
      </c>
      <c r="AE558" s="72">
        <v>1</v>
      </c>
      <c r="AF558" s="72" t="s">
        <v>2797</v>
      </c>
      <c r="AG558" s="73" t="s">
        <v>2798</v>
      </c>
      <c r="AH558" s="73" t="s">
        <v>866</v>
      </c>
      <c r="AI558" s="75">
        <v>16</v>
      </c>
      <c r="AJ558" s="75">
        <v>6</v>
      </c>
      <c r="AK558" s="75">
        <v>1660</v>
      </c>
      <c r="AL558" s="75">
        <v>1658</v>
      </c>
      <c r="AM558" s="75" t="s">
        <v>2047</v>
      </c>
      <c r="AN558" s="72" t="s">
        <v>276</v>
      </c>
      <c r="AO558" s="76">
        <f>AI558*1000/AK558</f>
        <v>9.6385542168674707</v>
      </c>
      <c r="AP558" s="72" t="s">
        <v>276</v>
      </c>
      <c r="AQ558" s="72" t="s">
        <v>276</v>
      </c>
      <c r="AR558" s="72" t="s">
        <v>276</v>
      </c>
      <c r="AS558" s="76">
        <f t="shared" ref="AS558:AS563" si="176">AJ558*1000/AL558</f>
        <v>3.6188178528347406</v>
      </c>
      <c r="AT558" s="72" t="s">
        <v>276</v>
      </c>
      <c r="AU558" s="72" t="s">
        <v>276</v>
      </c>
      <c r="AV558" s="73" t="s">
        <v>268</v>
      </c>
      <c r="AW558" s="83" t="s">
        <v>276</v>
      </c>
      <c r="AX558" s="83">
        <f t="shared" si="175"/>
        <v>2.6634538152610445</v>
      </c>
      <c r="AY558" s="73" t="s">
        <v>276</v>
      </c>
      <c r="AZ558" s="73" t="s">
        <v>276</v>
      </c>
      <c r="BA558" s="73" t="s">
        <v>276</v>
      </c>
      <c r="BB558" s="73" t="s">
        <v>282</v>
      </c>
      <c r="BC558" s="73" t="s">
        <v>276</v>
      </c>
      <c r="BD558" s="73" t="s">
        <v>276</v>
      </c>
      <c r="BE558" s="73" t="s">
        <v>276</v>
      </c>
      <c r="BF558" s="73" t="s">
        <v>2799</v>
      </c>
      <c r="BG558" s="73" t="s">
        <v>276</v>
      </c>
      <c r="BH558" s="9" t="s">
        <v>100</v>
      </c>
      <c r="BI558" s="9" t="s">
        <v>100</v>
      </c>
      <c r="BJ558" s="78"/>
      <c r="BK558" s="78"/>
      <c r="BO558" s="78"/>
      <c r="BP558" s="78"/>
    </row>
    <row r="559" spans="1:69" s="79" customFormat="1" ht="52" hidden="1" x14ac:dyDescent="0.35">
      <c r="A559" s="72">
        <v>611</v>
      </c>
      <c r="B559" s="72" t="s">
        <v>2792</v>
      </c>
      <c r="C559" s="73" t="s">
        <v>80</v>
      </c>
      <c r="D559" s="73" t="s">
        <v>2800</v>
      </c>
      <c r="E559" s="72" t="s">
        <v>39</v>
      </c>
      <c r="F559" s="72" t="s">
        <v>143</v>
      </c>
      <c r="G559" s="72" t="s">
        <v>262</v>
      </c>
      <c r="H559" s="72" t="s">
        <v>225</v>
      </c>
      <c r="I559" s="72" t="s">
        <v>98</v>
      </c>
      <c r="J559" s="73" t="s">
        <v>25</v>
      </c>
      <c r="K559" s="72" t="s">
        <v>930</v>
      </c>
      <c r="L559" s="72" t="s">
        <v>276</v>
      </c>
      <c r="M559" s="72" t="s">
        <v>276</v>
      </c>
      <c r="N559" s="72" t="s">
        <v>1049</v>
      </c>
      <c r="O559" s="73" t="s">
        <v>276</v>
      </c>
      <c r="P559" s="73" t="s">
        <v>239</v>
      </c>
      <c r="Q559" s="77" t="s">
        <v>276</v>
      </c>
      <c r="R559" s="73" t="s">
        <v>705</v>
      </c>
      <c r="S559" s="73" t="s">
        <v>276</v>
      </c>
      <c r="T559" s="73" t="s">
        <v>276</v>
      </c>
      <c r="U559" s="73">
        <v>1</v>
      </c>
      <c r="V559" s="72" t="s">
        <v>14</v>
      </c>
      <c r="W559" s="72" t="s">
        <v>98</v>
      </c>
      <c r="X559" s="73" t="s">
        <v>208</v>
      </c>
      <c r="Y559" s="74">
        <v>1660</v>
      </c>
      <c r="Z559" s="75">
        <v>1658</v>
      </c>
      <c r="AA559" s="73" t="s">
        <v>276</v>
      </c>
      <c r="AB559" s="73" t="s">
        <v>276</v>
      </c>
      <c r="AC559" s="72">
        <v>2</v>
      </c>
      <c r="AD559" s="72" t="s">
        <v>2797</v>
      </c>
      <c r="AE559" s="72">
        <v>1</v>
      </c>
      <c r="AF559" s="72" t="s">
        <v>2797</v>
      </c>
      <c r="AG559" s="73" t="s">
        <v>2801</v>
      </c>
      <c r="AH559" s="73" t="s">
        <v>866</v>
      </c>
      <c r="AI559" s="75">
        <v>9</v>
      </c>
      <c r="AJ559" s="75">
        <v>3</v>
      </c>
      <c r="AK559" s="75">
        <v>1660</v>
      </c>
      <c r="AL559" s="75">
        <v>1658</v>
      </c>
      <c r="AM559" s="75" t="s">
        <v>2047</v>
      </c>
      <c r="AN559" s="72" t="s">
        <v>276</v>
      </c>
      <c r="AO559" s="76">
        <f t="shared" ref="AO559:AO563" si="177">AI559*1000/AK559</f>
        <v>5.4216867469879517</v>
      </c>
      <c r="AP559" s="72" t="s">
        <v>276</v>
      </c>
      <c r="AQ559" s="72" t="s">
        <v>276</v>
      </c>
      <c r="AR559" s="72" t="s">
        <v>276</v>
      </c>
      <c r="AS559" s="76">
        <f t="shared" si="176"/>
        <v>1.8094089264173703</v>
      </c>
      <c r="AT559" s="72" t="s">
        <v>276</v>
      </c>
      <c r="AU559" s="72" t="s">
        <v>276</v>
      </c>
      <c r="AV559" s="73" t="s">
        <v>268</v>
      </c>
      <c r="AW559" s="83" t="s">
        <v>276</v>
      </c>
      <c r="AX559" s="83">
        <f t="shared" si="175"/>
        <v>2.9963855421686749</v>
      </c>
      <c r="AY559" s="73" t="s">
        <v>276</v>
      </c>
      <c r="AZ559" s="73" t="s">
        <v>276</v>
      </c>
      <c r="BA559" s="73" t="s">
        <v>276</v>
      </c>
      <c r="BB559" s="73" t="s">
        <v>282</v>
      </c>
      <c r="BC559" s="73" t="s">
        <v>276</v>
      </c>
      <c r="BD559" s="73" t="s">
        <v>276</v>
      </c>
      <c r="BE559" s="73" t="s">
        <v>276</v>
      </c>
      <c r="BF559" s="73" t="s">
        <v>2799</v>
      </c>
      <c r="BG559" s="73" t="s">
        <v>276</v>
      </c>
      <c r="BH559" s="9" t="s">
        <v>100</v>
      </c>
      <c r="BI559" s="9" t="s">
        <v>100</v>
      </c>
      <c r="BJ559" s="78"/>
      <c r="BK559" s="78"/>
      <c r="BO559" s="78"/>
      <c r="BP559" s="78"/>
    </row>
    <row r="560" spans="1:69" s="79" customFormat="1" ht="52" hidden="1" x14ac:dyDescent="0.35">
      <c r="A560" s="72">
        <v>611</v>
      </c>
      <c r="B560" s="72" t="s">
        <v>2792</v>
      </c>
      <c r="C560" s="73" t="s">
        <v>80</v>
      </c>
      <c r="D560" s="73" t="s">
        <v>2802</v>
      </c>
      <c r="E560" s="72" t="s">
        <v>39</v>
      </c>
      <c r="F560" s="72" t="s">
        <v>143</v>
      </c>
      <c r="G560" s="72" t="s">
        <v>262</v>
      </c>
      <c r="H560" s="72" t="s">
        <v>225</v>
      </c>
      <c r="I560" s="72" t="s">
        <v>98</v>
      </c>
      <c r="J560" s="73" t="s">
        <v>25</v>
      </c>
      <c r="K560" s="72" t="s">
        <v>934</v>
      </c>
      <c r="L560" s="72" t="s">
        <v>276</v>
      </c>
      <c r="M560" s="72" t="s">
        <v>276</v>
      </c>
      <c r="N560" s="72" t="s">
        <v>1049</v>
      </c>
      <c r="O560" s="73" t="s">
        <v>276</v>
      </c>
      <c r="P560" s="73" t="s">
        <v>239</v>
      </c>
      <c r="Q560" s="77" t="s">
        <v>276</v>
      </c>
      <c r="R560" s="73" t="s">
        <v>705</v>
      </c>
      <c r="S560" s="73" t="s">
        <v>276</v>
      </c>
      <c r="T560" s="73" t="s">
        <v>276</v>
      </c>
      <c r="U560" s="73">
        <v>1</v>
      </c>
      <c r="V560" s="72" t="s">
        <v>14</v>
      </c>
      <c r="W560" s="72" t="s">
        <v>98</v>
      </c>
      <c r="X560" s="73" t="s">
        <v>208</v>
      </c>
      <c r="Y560" s="74">
        <v>1660</v>
      </c>
      <c r="Z560" s="75">
        <v>1658</v>
      </c>
      <c r="AA560" s="73" t="s">
        <v>276</v>
      </c>
      <c r="AB560" s="73" t="s">
        <v>276</v>
      </c>
      <c r="AC560" s="72">
        <v>2</v>
      </c>
      <c r="AD560" s="72" t="s">
        <v>2797</v>
      </c>
      <c r="AE560" s="72">
        <v>1</v>
      </c>
      <c r="AF560" s="72" t="s">
        <v>2797</v>
      </c>
      <c r="AG560" s="73" t="s">
        <v>2803</v>
      </c>
      <c r="AH560" s="73" t="s">
        <v>866</v>
      </c>
      <c r="AI560" s="75">
        <v>7</v>
      </c>
      <c r="AJ560" s="75">
        <v>3</v>
      </c>
      <c r="AK560" s="75">
        <v>1660</v>
      </c>
      <c r="AL560" s="75">
        <v>1658</v>
      </c>
      <c r="AM560" s="75" t="s">
        <v>2047</v>
      </c>
      <c r="AN560" s="72" t="s">
        <v>276</v>
      </c>
      <c r="AO560" s="76">
        <f t="shared" si="177"/>
        <v>4.2168674698795181</v>
      </c>
      <c r="AP560" s="72" t="s">
        <v>276</v>
      </c>
      <c r="AQ560" s="72" t="s">
        <v>276</v>
      </c>
      <c r="AR560" s="72" t="s">
        <v>276</v>
      </c>
      <c r="AS560" s="76">
        <f t="shared" si="176"/>
        <v>1.8094089264173703</v>
      </c>
      <c r="AT560" s="72" t="s">
        <v>276</v>
      </c>
      <c r="AU560" s="72" t="s">
        <v>276</v>
      </c>
      <c r="AV560" s="73" t="s">
        <v>268</v>
      </c>
      <c r="AW560" s="83" t="s">
        <v>276</v>
      </c>
      <c r="AX560" s="83">
        <f t="shared" si="175"/>
        <v>2.3305220883534137</v>
      </c>
      <c r="AY560" s="73" t="s">
        <v>276</v>
      </c>
      <c r="AZ560" s="73" t="s">
        <v>276</v>
      </c>
      <c r="BA560" s="73" t="s">
        <v>276</v>
      </c>
      <c r="BB560" s="73" t="s">
        <v>282</v>
      </c>
      <c r="BC560" s="73" t="s">
        <v>276</v>
      </c>
      <c r="BD560" s="73" t="s">
        <v>276</v>
      </c>
      <c r="BE560" s="73" t="s">
        <v>276</v>
      </c>
      <c r="BF560" s="73" t="s">
        <v>2799</v>
      </c>
      <c r="BG560" s="73" t="s">
        <v>276</v>
      </c>
      <c r="BH560" s="9" t="s">
        <v>100</v>
      </c>
      <c r="BI560" s="9" t="s">
        <v>100</v>
      </c>
      <c r="BJ560" s="78"/>
      <c r="BK560" s="78"/>
      <c r="BO560" s="78"/>
      <c r="BP560" s="78"/>
    </row>
    <row r="561" spans="1:68" s="79" customFormat="1" ht="52" hidden="1" x14ac:dyDescent="0.35">
      <c r="A561" s="72">
        <v>611</v>
      </c>
      <c r="B561" s="72" t="s">
        <v>2792</v>
      </c>
      <c r="C561" s="73" t="s">
        <v>80</v>
      </c>
      <c r="D561" s="73" t="s">
        <v>2804</v>
      </c>
      <c r="E561" s="72" t="s">
        <v>39</v>
      </c>
      <c r="F561" s="72" t="s">
        <v>143</v>
      </c>
      <c r="G561" s="72" t="s">
        <v>262</v>
      </c>
      <c r="H561" s="72" t="s">
        <v>225</v>
      </c>
      <c r="I561" s="72" t="s">
        <v>98</v>
      </c>
      <c r="J561" s="73" t="s">
        <v>25</v>
      </c>
      <c r="K561" s="72" t="s">
        <v>304</v>
      </c>
      <c r="L561" s="72" t="s">
        <v>276</v>
      </c>
      <c r="M561" s="72" t="s">
        <v>276</v>
      </c>
      <c r="N561" s="72" t="s">
        <v>1049</v>
      </c>
      <c r="O561" s="73" t="s">
        <v>276</v>
      </c>
      <c r="P561" s="73" t="s">
        <v>239</v>
      </c>
      <c r="Q561" s="77" t="s">
        <v>276</v>
      </c>
      <c r="R561" s="73" t="s">
        <v>705</v>
      </c>
      <c r="S561" s="73" t="s">
        <v>276</v>
      </c>
      <c r="T561" s="73" t="s">
        <v>276</v>
      </c>
      <c r="U561" s="73">
        <v>1</v>
      </c>
      <c r="V561" s="72" t="s">
        <v>14</v>
      </c>
      <c r="W561" s="72" t="s">
        <v>98</v>
      </c>
      <c r="X561" s="73" t="s">
        <v>208</v>
      </c>
      <c r="Y561" s="74">
        <v>1660</v>
      </c>
      <c r="Z561" s="75">
        <v>1658</v>
      </c>
      <c r="AA561" s="73" t="s">
        <v>276</v>
      </c>
      <c r="AB561" s="73" t="s">
        <v>276</v>
      </c>
      <c r="AC561" s="72">
        <v>2</v>
      </c>
      <c r="AD561" s="72" t="s">
        <v>2797</v>
      </c>
      <c r="AE561" s="72">
        <v>1</v>
      </c>
      <c r="AF561" s="72" t="s">
        <v>2797</v>
      </c>
      <c r="AG561" s="73" t="s">
        <v>2805</v>
      </c>
      <c r="AH561" s="73" t="s">
        <v>866</v>
      </c>
      <c r="AI561" s="75">
        <v>3</v>
      </c>
      <c r="AJ561" s="75">
        <v>0</v>
      </c>
      <c r="AK561" s="75">
        <v>1660</v>
      </c>
      <c r="AL561" s="75">
        <v>1658</v>
      </c>
      <c r="AM561" s="75" t="s">
        <v>2047</v>
      </c>
      <c r="AN561" s="72" t="s">
        <v>276</v>
      </c>
      <c r="AO561" s="76">
        <f t="shared" si="177"/>
        <v>1.8072289156626506</v>
      </c>
      <c r="AP561" s="72" t="s">
        <v>276</v>
      </c>
      <c r="AQ561" s="72" t="s">
        <v>276</v>
      </c>
      <c r="AR561" s="72" t="s">
        <v>276</v>
      </c>
      <c r="AS561" s="76">
        <f t="shared" si="176"/>
        <v>0</v>
      </c>
      <c r="AT561" s="72" t="s">
        <v>276</v>
      </c>
      <c r="AU561" s="72" t="s">
        <v>276</v>
      </c>
      <c r="AV561" s="73" t="s">
        <v>268</v>
      </c>
      <c r="AW561" s="83" t="s">
        <v>276</v>
      </c>
      <c r="AX561" s="83" t="s">
        <v>98</v>
      </c>
      <c r="AY561" s="73" t="s">
        <v>276</v>
      </c>
      <c r="AZ561" s="73" t="s">
        <v>276</v>
      </c>
      <c r="BA561" s="73" t="s">
        <v>276</v>
      </c>
      <c r="BB561" s="73" t="s">
        <v>282</v>
      </c>
      <c r="BC561" s="73" t="s">
        <v>276</v>
      </c>
      <c r="BD561" s="73" t="s">
        <v>276</v>
      </c>
      <c r="BE561" s="73" t="s">
        <v>276</v>
      </c>
      <c r="BF561" s="73" t="s">
        <v>2806</v>
      </c>
      <c r="BG561" s="73" t="s">
        <v>276</v>
      </c>
      <c r="BH561" s="9" t="s">
        <v>100</v>
      </c>
      <c r="BI561" s="9" t="s">
        <v>100</v>
      </c>
      <c r="BJ561" s="78"/>
      <c r="BK561" s="78"/>
      <c r="BO561" s="78"/>
      <c r="BP561" s="78"/>
    </row>
    <row r="562" spans="1:68" s="79" customFormat="1" ht="52" hidden="1" x14ac:dyDescent="0.35">
      <c r="A562" s="72">
        <v>611</v>
      </c>
      <c r="B562" s="72" t="s">
        <v>2792</v>
      </c>
      <c r="C562" s="73" t="s">
        <v>80</v>
      </c>
      <c r="D562" s="73" t="s">
        <v>2807</v>
      </c>
      <c r="E562" s="72" t="s">
        <v>39</v>
      </c>
      <c r="F562" s="72" t="s">
        <v>143</v>
      </c>
      <c r="G562" s="72" t="s">
        <v>262</v>
      </c>
      <c r="H562" s="72" t="s">
        <v>225</v>
      </c>
      <c r="I562" s="72" t="s">
        <v>98</v>
      </c>
      <c r="J562" s="73" t="s">
        <v>25</v>
      </c>
      <c r="K562" s="72" t="s">
        <v>311</v>
      </c>
      <c r="L562" s="72" t="s">
        <v>276</v>
      </c>
      <c r="M562" s="72" t="s">
        <v>276</v>
      </c>
      <c r="N562" s="72" t="s">
        <v>1049</v>
      </c>
      <c r="O562" s="73" t="s">
        <v>276</v>
      </c>
      <c r="P562" s="73" t="s">
        <v>239</v>
      </c>
      <c r="Q562" s="77" t="s">
        <v>276</v>
      </c>
      <c r="R562" s="73" t="s">
        <v>705</v>
      </c>
      <c r="S562" s="73" t="s">
        <v>276</v>
      </c>
      <c r="T562" s="73" t="s">
        <v>276</v>
      </c>
      <c r="U562" s="73">
        <v>1</v>
      </c>
      <c r="V562" s="72" t="s">
        <v>14</v>
      </c>
      <c r="W562" s="72" t="s">
        <v>98</v>
      </c>
      <c r="X562" s="73" t="s">
        <v>208</v>
      </c>
      <c r="Y562" s="74">
        <v>1660</v>
      </c>
      <c r="Z562" s="75">
        <v>1658</v>
      </c>
      <c r="AA562" s="73" t="s">
        <v>276</v>
      </c>
      <c r="AB562" s="73" t="s">
        <v>276</v>
      </c>
      <c r="AC562" s="72">
        <v>2</v>
      </c>
      <c r="AD562" s="72" t="s">
        <v>2797</v>
      </c>
      <c r="AE562" s="72">
        <v>1</v>
      </c>
      <c r="AF562" s="72" t="s">
        <v>2797</v>
      </c>
      <c r="AG562" s="73" t="s">
        <v>2808</v>
      </c>
      <c r="AH562" s="73" t="s">
        <v>866</v>
      </c>
      <c r="AI562" s="75">
        <v>6</v>
      </c>
      <c r="AJ562" s="75">
        <v>0</v>
      </c>
      <c r="AK562" s="75">
        <v>1660</v>
      </c>
      <c r="AL562" s="75">
        <v>1658</v>
      </c>
      <c r="AM562" s="75" t="s">
        <v>2047</v>
      </c>
      <c r="AN562" s="72" t="s">
        <v>276</v>
      </c>
      <c r="AO562" s="76">
        <f t="shared" si="177"/>
        <v>3.6144578313253013</v>
      </c>
      <c r="AP562" s="72" t="s">
        <v>276</v>
      </c>
      <c r="AQ562" s="72" t="s">
        <v>276</v>
      </c>
      <c r="AR562" s="72" t="s">
        <v>276</v>
      </c>
      <c r="AS562" s="76">
        <f t="shared" si="176"/>
        <v>0</v>
      </c>
      <c r="AT562" s="72" t="s">
        <v>276</v>
      </c>
      <c r="AU562" s="72" t="s">
        <v>276</v>
      </c>
      <c r="AV562" s="73" t="s">
        <v>268</v>
      </c>
      <c r="AW562" s="83" t="s">
        <v>276</v>
      </c>
      <c r="AX562" s="83" t="s">
        <v>98</v>
      </c>
      <c r="AY562" s="73" t="s">
        <v>276</v>
      </c>
      <c r="AZ562" s="73" t="s">
        <v>276</v>
      </c>
      <c r="BA562" s="73" t="s">
        <v>276</v>
      </c>
      <c r="BB562" s="73" t="s">
        <v>282</v>
      </c>
      <c r="BC562" s="73" t="s">
        <v>276</v>
      </c>
      <c r="BD562" s="73" t="s">
        <v>276</v>
      </c>
      <c r="BE562" s="73" t="s">
        <v>276</v>
      </c>
      <c r="BF562" s="73" t="s">
        <v>2806</v>
      </c>
      <c r="BG562" s="73" t="s">
        <v>276</v>
      </c>
      <c r="BH562" s="9" t="s">
        <v>100</v>
      </c>
      <c r="BI562" s="9" t="s">
        <v>100</v>
      </c>
      <c r="BJ562" s="78"/>
      <c r="BK562" s="78"/>
      <c r="BO562" s="78"/>
      <c r="BP562" s="78"/>
    </row>
    <row r="563" spans="1:68" s="79" customFormat="1" ht="52" hidden="1" x14ac:dyDescent="0.35">
      <c r="A563" s="72">
        <v>611</v>
      </c>
      <c r="B563" s="72" t="s">
        <v>2792</v>
      </c>
      <c r="C563" s="73" t="s">
        <v>80</v>
      </c>
      <c r="D563" s="73" t="s">
        <v>2809</v>
      </c>
      <c r="E563" s="72" t="s">
        <v>39</v>
      </c>
      <c r="F563" s="72" t="s">
        <v>143</v>
      </c>
      <c r="G563" s="72" t="s">
        <v>262</v>
      </c>
      <c r="H563" s="72" t="s">
        <v>225</v>
      </c>
      <c r="I563" s="72" t="s">
        <v>98</v>
      </c>
      <c r="J563" s="73" t="s">
        <v>25</v>
      </c>
      <c r="K563" s="72" t="s">
        <v>314</v>
      </c>
      <c r="L563" s="72" t="s">
        <v>276</v>
      </c>
      <c r="M563" s="72" t="s">
        <v>276</v>
      </c>
      <c r="N563" s="72" t="s">
        <v>1049</v>
      </c>
      <c r="O563" s="73" t="s">
        <v>276</v>
      </c>
      <c r="P563" s="73" t="s">
        <v>239</v>
      </c>
      <c r="Q563" s="77" t="s">
        <v>276</v>
      </c>
      <c r="R563" s="73" t="s">
        <v>705</v>
      </c>
      <c r="S563" s="73" t="s">
        <v>276</v>
      </c>
      <c r="T563" s="73" t="s">
        <v>276</v>
      </c>
      <c r="U563" s="73">
        <v>1</v>
      </c>
      <c r="V563" s="72" t="s">
        <v>14</v>
      </c>
      <c r="W563" s="72" t="s">
        <v>98</v>
      </c>
      <c r="X563" s="73" t="s">
        <v>208</v>
      </c>
      <c r="Y563" s="74">
        <v>1660</v>
      </c>
      <c r="Z563" s="75">
        <v>1658</v>
      </c>
      <c r="AA563" s="73" t="s">
        <v>276</v>
      </c>
      <c r="AB563" s="73" t="s">
        <v>276</v>
      </c>
      <c r="AC563" s="72">
        <v>2</v>
      </c>
      <c r="AD563" s="72" t="s">
        <v>2797</v>
      </c>
      <c r="AE563" s="72">
        <v>1</v>
      </c>
      <c r="AF563" s="72" t="s">
        <v>2797</v>
      </c>
      <c r="AG563" s="73" t="s">
        <v>2810</v>
      </c>
      <c r="AH563" s="73" t="s">
        <v>866</v>
      </c>
      <c r="AI563" s="75">
        <v>3</v>
      </c>
      <c r="AJ563" s="75">
        <v>0</v>
      </c>
      <c r="AK563" s="75">
        <v>1660</v>
      </c>
      <c r="AL563" s="75">
        <v>1658</v>
      </c>
      <c r="AM563" s="75" t="s">
        <v>2047</v>
      </c>
      <c r="AN563" s="72" t="s">
        <v>276</v>
      </c>
      <c r="AO563" s="76">
        <f t="shared" si="177"/>
        <v>1.8072289156626506</v>
      </c>
      <c r="AP563" s="72" t="s">
        <v>276</v>
      </c>
      <c r="AQ563" s="72" t="s">
        <v>276</v>
      </c>
      <c r="AR563" s="72" t="s">
        <v>276</v>
      </c>
      <c r="AS563" s="76">
        <f t="shared" si="176"/>
        <v>0</v>
      </c>
      <c r="AT563" s="72" t="s">
        <v>276</v>
      </c>
      <c r="AU563" s="72" t="s">
        <v>276</v>
      </c>
      <c r="AV563" s="73" t="s">
        <v>268</v>
      </c>
      <c r="AW563" s="83" t="s">
        <v>276</v>
      </c>
      <c r="AX563" s="83" t="s">
        <v>98</v>
      </c>
      <c r="AY563" s="73" t="s">
        <v>276</v>
      </c>
      <c r="AZ563" s="73" t="s">
        <v>276</v>
      </c>
      <c r="BA563" s="73" t="s">
        <v>276</v>
      </c>
      <c r="BB563" s="73" t="s">
        <v>282</v>
      </c>
      <c r="BC563" s="73" t="s">
        <v>276</v>
      </c>
      <c r="BD563" s="73" t="s">
        <v>276</v>
      </c>
      <c r="BE563" s="73" t="s">
        <v>276</v>
      </c>
      <c r="BF563" s="73" t="s">
        <v>2806</v>
      </c>
      <c r="BG563" s="73" t="s">
        <v>276</v>
      </c>
      <c r="BH563" s="9" t="s">
        <v>100</v>
      </c>
      <c r="BI563" s="9" t="s">
        <v>100</v>
      </c>
      <c r="BJ563" s="78"/>
      <c r="BK563" s="78"/>
      <c r="BO563" s="78"/>
      <c r="BP563" s="78"/>
    </row>
    <row r="564" spans="1:68" s="110" customFormat="1" ht="39" hidden="1" x14ac:dyDescent="0.35">
      <c r="A564" s="94">
        <v>610</v>
      </c>
      <c r="B564" s="94" t="s">
        <v>2811</v>
      </c>
      <c r="C564" s="95" t="s">
        <v>80</v>
      </c>
      <c r="D564" s="95" t="s">
        <v>2812</v>
      </c>
      <c r="E564" s="94" t="s">
        <v>39</v>
      </c>
      <c r="F564" s="94" t="s">
        <v>143</v>
      </c>
      <c r="G564" s="94" t="s">
        <v>262</v>
      </c>
      <c r="H564" s="94" t="s">
        <v>225</v>
      </c>
      <c r="I564" s="94" t="s">
        <v>98</v>
      </c>
      <c r="J564" s="95" t="s">
        <v>98</v>
      </c>
      <c r="K564" s="94" t="s">
        <v>98</v>
      </c>
      <c r="L564" s="94" t="s">
        <v>98</v>
      </c>
      <c r="M564" s="94" t="s">
        <v>98</v>
      </c>
      <c r="N564" s="94" t="s">
        <v>1049</v>
      </c>
      <c r="O564" s="95" t="s">
        <v>276</v>
      </c>
      <c r="P564" s="95" t="s">
        <v>238</v>
      </c>
      <c r="Q564" s="140" t="s">
        <v>276</v>
      </c>
      <c r="R564" s="95" t="s">
        <v>705</v>
      </c>
      <c r="S564" s="95" t="s">
        <v>276</v>
      </c>
      <c r="T564" s="95" t="s">
        <v>276</v>
      </c>
      <c r="U564" s="95">
        <v>1</v>
      </c>
      <c r="V564" s="94" t="s">
        <v>14</v>
      </c>
      <c r="W564" s="94" t="s">
        <v>98</v>
      </c>
      <c r="X564" s="95" t="s">
        <v>208</v>
      </c>
      <c r="Y564" s="98">
        <v>1660</v>
      </c>
      <c r="Z564" s="99">
        <v>1658</v>
      </c>
      <c r="AA564" s="95" t="s">
        <v>276</v>
      </c>
      <c r="AB564" s="95" t="s">
        <v>276</v>
      </c>
      <c r="AC564" s="94">
        <v>0</v>
      </c>
      <c r="AD564" s="94" t="s">
        <v>98</v>
      </c>
      <c r="AE564" s="94">
        <v>0</v>
      </c>
      <c r="AF564" s="94" t="s">
        <v>98</v>
      </c>
      <c r="AG564" s="95" t="s">
        <v>2813</v>
      </c>
      <c r="AH564" s="95" t="s">
        <v>866</v>
      </c>
      <c r="AI564" s="99">
        <v>8</v>
      </c>
      <c r="AJ564" s="99">
        <v>9</v>
      </c>
      <c r="AK564" s="99">
        <v>1660</v>
      </c>
      <c r="AL564" s="99">
        <v>1658</v>
      </c>
      <c r="AM564" s="99" t="s">
        <v>292</v>
      </c>
      <c r="AN564" s="94" t="s">
        <v>276</v>
      </c>
      <c r="AO564" s="101">
        <f t="shared" ref="AO564:AO567" si="178">AI564*100/AK564</f>
        <v>0.48192771084337349</v>
      </c>
      <c r="AP564" s="94" t="s">
        <v>276</v>
      </c>
      <c r="AQ564" s="94" t="s">
        <v>276</v>
      </c>
      <c r="AR564" s="94" t="s">
        <v>276</v>
      </c>
      <c r="AS564" s="101">
        <f>AJ564*100/AL564</f>
        <v>0.54282267792521111</v>
      </c>
      <c r="AT564" s="94" t="s">
        <v>276</v>
      </c>
      <c r="AU564" s="94" t="s">
        <v>276</v>
      </c>
      <c r="AV564" s="95" t="s">
        <v>268</v>
      </c>
      <c r="AW564" s="141" t="s">
        <v>276</v>
      </c>
      <c r="AX564" s="141">
        <f t="shared" ref="AX564:AX574" si="179">AO564/AS564</f>
        <v>0.88781793842034806</v>
      </c>
      <c r="AY564" s="95" t="s">
        <v>276</v>
      </c>
      <c r="AZ564" s="95" t="s">
        <v>276</v>
      </c>
      <c r="BA564" s="95" t="s">
        <v>276</v>
      </c>
      <c r="BB564" s="95" t="s">
        <v>282</v>
      </c>
      <c r="BC564" s="95" t="s">
        <v>276</v>
      </c>
      <c r="BD564" s="95" t="s">
        <v>276</v>
      </c>
      <c r="BE564" s="95" t="s">
        <v>276</v>
      </c>
      <c r="BF564" s="95" t="s">
        <v>2814</v>
      </c>
      <c r="BG564" s="95" t="s">
        <v>276</v>
      </c>
      <c r="BH564" s="9" t="s">
        <v>100</v>
      </c>
      <c r="BI564" s="9" t="s">
        <v>100</v>
      </c>
      <c r="BJ564" s="109"/>
      <c r="BK564" s="109"/>
      <c r="BO564" s="109"/>
      <c r="BP564" s="109"/>
    </row>
    <row r="565" spans="1:68" s="110" customFormat="1" ht="39" hidden="1" x14ac:dyDescent="0.35">
      <c r="A565" s="94">
        <v>610</v>
      </c>
      <c r="B565" s="94" t="s">
        <v>2811</v>
      </c>
      <c r="C565" s="95" t="s">
        <v>80</v>
      </c>
      <c r="D565" s="95" t="s">
        <v>2815</v>
      </c>
      <c r="E565" s="94" t="s">
        <v>39</v>
      </c>
      <c r="F565" s="94" t="s">
        <v>143</v>
      </c>
      <c r="G565" s="94" t="s">
        <v>262</v>
      </c>
      <c r="H565" s="94" t="s">
        <v>225</v>
      </c>
      <c r="I565" s="94" t="s">
        <v>98</v>
      </c>
      <c r="J565" s="95" t="s">
        <v>98</v>
      </c>
      <c r="K565" s="94" t="s">
        <v>98</v>
      </c>
      <c r="L565" s="94" t="s">
        <v>98</v>
      </c>
      <c r="M565" s="94" t="s">
        <v>98</v>
      </c>
      <c r="N565" s="94" t="s">
        <v>1049</v>
      </c>
      <c r="O565" s="95" t="s">
        <v>276</v>
      </c>
      <c r="P565" s="95" t="s">
        <v>238</v>
      </c>
      <c r="Q565" s="140" t="s">
        <v>276</v>
      </c>
      <c r="R565" s="95" t="s">
        <v>705</v>
      </c>
      <c r="S565" s="95" t="s">
        <v>276</v>
      </c>
      <c r="T565" s="95" t="s">
        <v>276</v>
      </c>
      <c r="U565" s="95">
        <v>2</v>
      </c>
      <c r="V565" s="94" t="s">
        <v>14</v>
      </c>
      <c r="W565" s="94" t="s">
        <v>98</v>
      </c>
      <c r="X565" s="95" t="s">
        <v>208</v>
      </c>
      <c r="Y565" s="98">
        <v>1660</v>
      </c>
      <c r="Z565" s="99">
        <v>1658</v>
      </c>
      <c r="AA565" s="95" t="s">
        <v>276</v>
      </c>
      <c r="AB565" s="95" t="s">
        <v>276</v>
      </c>
      <c r="AC565" s="94">
        <v>0</v>
      </c>
      <c r="AD565" s="94" t="s">
        <v>98</v>
      </c>
      <c r="AE565" s="94">
        <v>0</v>
      </c>
      <c r="AF565" s="94" t="s">
        <v>98</v>
      </c>
      <c r="AG565" s="95" t="s">
        <v>2816</v>
      </c>
      <c r="AH565" s="95" t="s">
        <v>866</v>
      </c>
      <c r="AI565" s="99">
        <v>38</v>
      </c>
      <c r="AJ565" s="99">
        <v>16</v>
      </c>
      <c r="AK565" s="99">
        <v>1660</v>
      </c>
      <c r="AL565" s="99">
        <v>1658</v>
      </c>
      <c r="AM565" s="99" t="s">
        <v>292</v>
      </c>
      <c r="AN565" s="94" t="s">
        <v>276</v>
      </c>
      <c r="AO565" s="101">
        <f t="shared" si="178"/>
        <v>2.2891566265060241</v>
      </c>
      <c r="AP565" s="94" t="s">
        <v>276</v>
      </c>
      <c r="AQ565" s="94" t="s">
        <v>276</v>
      </c>
      <c r="AR565" s="94" t="s">
        <v>276</v>
      </c>
      <c r="AS565" s="101">
        <f>AJ565*100/AL565</f>
        <v>0.9650180940892642</v>
      </c>
      <c r="AT565" s="94" t="s">
        <v>276</v>
      </c>
      <c r="AU565" s="94" t="s">
        <v>276</v>
      </c>
      <c r="AV565" s="95" t="s">
        <v>268</v>
      </c>
      <c r="AW565" s="141" t="s">
        <v>276</v>
      </c>
      <c r="AX565" s="141">
        <f t="shared" si="179"/>
        <v>2.3721385542168676</v>
      </c>
      <c r="AY565" s="95" t="s">
        <v>276</v>
      </c>
      <c r="AZ565" s="95" t="s">
        <v>276</v>
      </c>
      <c r="BA565" s="95" t="s">
        <v>276</v>
      </c>
      <c r="BB565" s="95" t="s">
        <v>282</v>
      </c>
      <c r="BC565" s="95" t="s">
        <v>276</v>
      </c>
      <c r="BD565" s="95" t="s">
        <v>276</v>
      </c>
      <c r="BE565" s="95" t="s">
        <v>276</v>
      </c>
      <c r="BF565" s="95" t="s">
        <v>1029</v>
      </c>
      <c r="BG565" s="95"/>
      <c r="BH565" s="9" t="s">
        <v>100</v>
      </c>
      <c r="BI565" s="9" t="s">
        <v>100</v>
      </c>
      <c r="BJ565" s="109"/>
      <c r="BK565" s="109"/>
      <c r="BO565" s="109"/>
      <c r="BP565" s="109"/>
    </row>
    <row r="566" spans="1:68" s="110" customFormat="1" ht="91" hidden="1" x14ac:dyDescent="0.35">
      <c r="A566" s="94">
        <v>610</v>
      </c>
      <c r="B566" s="94" t="s">
        <v>2811</v>
      </c>
      <c r="C566" s="95" t="s">
        <v>80</v>
      </c>
      <c r="D566" s="95" t="s">
        <v>2817</v>
      </c>
      <c r="E566" s="94" t="s">
        <v>39</v>
      </c>
      <c r="F566" s="94" t="s">
        <v>143</v>
      </c>
      <c r="G566" s="94" t="s">
        <v>262</v>
      </c>
      <c r="H566" s="94" t="s">
        <v>225</v>
      </c>
      <c r="I566" s="94" t="s">
        <v>98</v>
      </c>
      <c r="J566" s="95" t="s">
        <v>98</v>
      </c>
      <c r="K566" s="94" t="s">
        <v>98</v>
      </c>
      <c r="L566" s="94" t="s">
        <v>98</v>
      </c>
      <c r="M566" s="94" t="s">
        <v>98</v>
      </c>
      <c r="N566" s="94" t="s">
        <v>1049</v>
      </c>
      <c r="O566" s="95" t="s">
        <v>276</v>
      </c>
      <c r="P566" s="95" t="s">
        <v>236</v>
      </c>
      <c r="Q566" s="140" t="s">
        <v>276</v>
      </c>
      <c r="R566" s="95" t="s">
        <v>705</v>
      </c>
      <c r="S566" s="95" t="s">
        <v>276</v>
      </c>
      <c r="T566" s="95" t="s">
        <v>276</v>
      </c>
      <c r="U566" s="95">
        <v>1</v>
      </c>
      <c r="V566" s="94" t="s">
        <v>14</v>
      </c>
      <c r="W566" s="94" t="s">
        <v>98</v>
      </c>
      <c r="X566" s="95" t="s">
        <v>208</v>
      </c>
      <c r="Y566" s="98" t="s">
        <v>98</v>
      </c>
      <c r="Z566" s="99" t="s">
        <v>98</v>
      </c>
      <c r="AA566" s="95" t="s">
        <v>276</v>
      </c>
      <c r="AB566" s="95" t="s">
        <v>276</v>
      </c>
      <c r="AC566" s="94">
        <v>0</v>
      </c>
      <c r="AD566" s="94" t="s">
        <v>98</v>
      </c>
      <c r="AE566" s="94">
        <v>0</v>
      </c>
      <c r="AF566" s="94" t="s">
        <v>98</v>
      </c>
      <c r="AG566" s="95" t="s">
        <v>2818</v>
      </c>
      <c r="AH566" s="95" t="s">
        <v>2819</v>
      </c>
      <c r="AI566" s="99">
        <v>30</v>
      </c>
      <c r="AJ566" s="99">
        <v>7</v>
      </c>
      <c r="AK566" s="99">
        <v>32</v>
      </c>
      <c r="AL566" s="99">
        <v>11</v>
      </c>
      <c r="AM566" s="99" t="s">
        <v>292</v>
      </c>
      <c r="AN566" s="94" t="s">
        <v>276</v>
      </c>
      <c r="AO566" s="102">
        <f t="shared" si="178"/>
        <v>93.75</v>
      </c>
      <c r="AP566" s="94" t="s">
        <v>276</v>
      </c>
      <c r="AQ566" s="94" t="s">
        <v>276</v>
      </c>
      <c r="AR566" s="94" t="s">
        <v>276</v>
      </c>
      <c r="AS566" s="102">
        <f>AJ566*100/AL566</f>
        <v>63.636363636363633</v>
      </c>
      <c r="AT566" s="94" t="s">
        <v>276</v>
      </c>
      <c r="AU566" s="94" t="s">
        <v>276</v>
      </c>
      <c r="AV566" s="95" t="s">
        <v>268</v>
      </c>
      <c r="AW566" s="141" t="s">
        <v>276</v>
      </c>
      <c r="AX566" s="141">
        <f t="shared" si="179"/>
        <v>1.4732142857142858</v>
      </c>
      <c r="AY566" s="95" t="s">
        <v>276</v>
      </c>
      <c r="AZ566" s="95" t="s">
        <v>276</v>
      </c>
      <c r="BA566" s="95" t="s">
        <v>276</v>
      </c>
      <c r="BB566" s="95" t="s">
        <v>282</v>
      </c>
      <c r="BC566" s="95" t="s">
        <v>276</v>
      </c>
      <c r="BD566" s="95" t="s">
        <v>276</v>
      </c>
      <c r="BE566" s="95" t="s">
        <v>276</v>
      </c>
      <c r="BF566" s="95" t="s">
        <v>1029</v>
      </c>
      <c r="BG566" s="95" t="s">
        <v>2820</v>
      </c>
      <c r="BH566" s="9" t="s">
        <v>100</v>
      </c>
      <c r="BI566" s="9" t="s">
        <v>100</v>
      </c>
      <c r="BJ566" s="109"/>
      <c r="BK566" s="109"/>
      <c r="BO566" s="109"/>
      <c r="BP566" s="109"/>
    </row>
    <row r="567" spans="1:68" s="110" customFormat="1" ht="110.5" hidden="1" customHeight="1" x14ac:dyDescent="0.35">
      <c r="A567" s="94">
        <v>610</v>
      </c>
      <c r="B567" s="94" t="s">
        <v>2811</v>
      </c>
      <c r="C567" s="95" t="s">
        <v>80</v>
      </c>
      <c r="D567" s="95" t="s">
        <v>2821</v>
      </c>
      <c r="E567" s="94" t="s">
        <v>39</v>
      </c>
      <c r="F567" s="94" t="s">
        <v>143</v>
      </c>
      <c r="G567" s="94" t="s">
        <v>262</v>
      </c>
      <c r="H567" s="94" t="s">
        <v>225</v>
      </c>
      <c r="I567" s="94" t="s">
        <v>98</v>
      </c>
      <c r="J567" s="95" t="s">
        <v>98</v>
      </c>
      <c r="K567" s="94" t="s">
        <v>98</v>
      </c>
      <c r="L567" s="94" t="s">
        <v>98</v>
      </c>
      <c r="M567" s="94" t="s">
        <v>98</v>
      </c>
      <c r="N567" s="94" t="s">
        <v>1049</v>
      </c>
      <c r="O567" s="95" t="s">
        <v>276</v>
      </c>
      <c r="P567" s="95" t="s">
        <v>236</v>
      </c>
      <c r="Q567" s="140" t="s">
        <v>276</v>
      </c>
      <c r="R567" s="95" t="s">
        <v>705</v>
      </c>
      <c r="S567" s="95" t="s">
        <v>276</v>
      </c>
      <c r="T567" s="95" t="s">
        <v>276</v>
      </c>
      <c r="U567" s="95">
        <v>2</v>
      </c>
      <c r="V567" s="94" t="s">
        <v>14</v>
      </c>
      <c r="W567" s="94" t="s">
        <v>98</v>
      </c>
      <c r="X567" s="95" t="s">
        <v>208</v>
      </c>
      <c r="Y567" s="98" t="s">
        <v>98</v>
      </c>
      <c r="Z567" s="99" t="s">
        <v>98</v>
      </c>
      <c r="AA567" s="95" t="s">
        <v>276</v>
      </c>
      <c r="AB567" s="95" t="s">
        <v>276</v>
      </c>
      <c r="AC567" s="94">
        <v>0</v>
      </c>
      <c r="AD567" s="94" t="s">
        <v>98</v>
      </c>
      <c r="AE567" s="94">
        <v>0</v>
      </c>
      <c r="AF567" s="94" t="s">
        <v>98</v>
      </c>
      <c r="AG567" s="95" t="s">
        <v>2822</v>
      </c>
      <c r="AH567" s="95" t="s">
        <v>2819</v>
      </c>
      <c r="AI567" s="99">
        <v>38</v>
      </c>
      <c r="AJ567" s="99">
        <f>7+9</f>
        <v>16</v>
      </c>
      <c r="AK567" s="99">
        <v>40</v>
      </c>
      <c r="AL567" s="99">
        <v>20</v>
      </c>
      <c r="AM567" s="99" t="s">
        <v>292</v>
      </c>
      <c r="AN567" s="94">
        <v>95</v>
      </c>
      <c r="AO567" s="102">
        <f t="shared" si="178"/>
        <v>95</v>
      </c>
      <c r="AP567" s="94" t="s">
        <v>276</v>
      </c>
      <c r="AQ567" s="94" t="s">
        <v>276</v>
      </c>
      <c r="AR567" s="94">
        <v>80</v>
      </c>
      <c r="AS567" s="102">
        <f>AJ567*100/AL567</f>
        <v>80</v>
      </c>
      <c r="AT567" s="94" t="s">
        <v>276</v>
      </c>
      <c r="AU567" s="94" t="s">
        <v>276</v>
      </c>
      <c r="AV567" s="95" t="s">
        <v>268</v>
      </c>
      <c r="AW567" s="141" t="s">
        <v>276</v>
      </c>
      <c r="AX567" s="141">
        <f t="shared" si="179"/>
        <v>1.1875</v>
      </c>
      <c r="AY567" s="95" t="s">
        <v>276</v>
      </c>
      <c r="AZ567" s="95" t="s">
        <v>276</v>
      </c>
      <c r="BA567" s="95" t="s">
        <v>276</v>
      </c>
      <c r="BB567" s="95" t="s">
        <v>282</v>
      </c>
      <c r="BC567" s="95" t="s">
        <v>276</v>
      </c>
      <c r="BD567" s="95" t="s">
        <v>276</v>
      </c>
      <c r="BE567" s="95" t="s">
        <v>276</v>
      </c>
      <c r="BF567" s="95" t="s">
        <v>2823</v>
      </c>
      <c r="BG567" s="95" t="s">
        <v>2820</v>
      </c>
      <c r="BH567" s="9" t="s">
        <v>100</v>
      </c>
      <c r="BI567" s="9" t="s">
        <v>100</v>
      </c>
      <c r="BJ567" s="109"/>
      <c r="BK567" s="109"/>
      <c r="BO567" s="109"/>
      <c r="BP567" s="109"/>
    </row>
    <row r="568" spans="1:68" s="124" customFormat="1" ht="52" hidden="1" x14ac:dyDescent="0.35">
      <c r="A568" s="112">
        <v>610</v>
      </c>
      <c r="B568" s="112" t="s">
        <v>2811</v>
      </c>
      <c r="C568" s="113" t="s">
        <v>80</v>
      </c>
      <c r="D568" s="113" t="s">
        <v>2824</v>
      </c>
      <c r="E568" s="112" t="s">
        <v>39</v>
      </c>
      <c r="F568" s="112" t="s">
        <v>143</v>
      </c>
      <c r="G568" s="112" t="s">
        <v>262</v>
      </c>
      <c r="H568" s="112" t="s">
        <v>225</v>
      </c>
      <c r="I568" s="112" t="s">
        <v>98</v>
      </c>
      <c r="J568" s="113" t="s">
        <v>25</v>
      </c>
      <c r="K568" s="112" t="s">
        <v>300</v>
      </c>
      <c r="L568" s="112" t="s">
        <v>317</v>
      </c>
      <c r="M568" s="112" t="s">
        <v>276</v>
      </c>
      <c r="N568" s="113" t="s">
        <v>2825</v>
      </c>
      <c r="O568" s="113" t="s">
        <v>276</v>
      </c>
      <c r="P568" s="113" t="s">
        <v>239</v>
      </c>
      <c r="Q568" s="142" t="s">
        <v>276</v>
      </c>
      <c r="R568" s="113" t="s">
        <v>705</v>
      </c>
      <c r="S568" s="113" t="s">
        <v>276</v>
      </c>
      <c r="T568" s="113" t="s">
        <v>276</v>
      </c>
      <c r="U568" s="113">
        <v>2</v>
      </c>
      <c r="V568" s="112" t="s">
        <v>14</v>
      </c>
      <c r="W568" s="112" t="s">
        <v>98</v>
      </c>
      <c r="X568" s="113" t="s">
        <v>208</v>
      </c>
      <c r="Y568" s="118">
        <v>1660</v>
      </c>
      <c r="Z568" s="119">
        <v>1658</v>
      </c>
      <c r="AA568" s="113" t="s">
        <v>276</v>
      </c>
      <c r="AB568" s="113" t="s">
        <v>276</v>
      </c>
      <c r="AC568" s="112">
        <v>2</v>
      </c>
      <c r="AD568" s="112" t="s">
        <v>2826</v>
      </c>
      <c r="AE568" s="112">
        <v>2</v>
      </c>
      <c r="AF568" s="112" t="s">
        <v>2826</v>
      </c>
      <c r="AG568" s="113" t="s">
        <v>2827</v>
      </c>
      <c r="AH568" s="113" t="s">
        <v>866</v>
      </c>
      <c r="AI568" s="119">
        <v>19</v>
      </c>
      <c r="AJ568" s="119">
        <v>8</v>
      </c>
      <c r="AK568" s="119">
        <v>1660</v>
      </c>
      <c r="AL568" s="119">
        <v>1658</v>
      </c>
      <c r="AM568" s="119" t="s">
        <v>2047</v>
      </c>
      <c r="AN568" s="112" t="s">
        <v>276</v>
      </c>
      <c r="AO568" s="121">
        <f t="shared" ref="AO568:AO573" si="180">AI568*1000/AK568</f>
        <v>11.445783132530121</v>
      </c>
      <c r="AP568" s="112" t="s">
        <v>276</v>
      </c>
      <c r="AQ568" s="112" t="s">
        <v>276</v>
      </c>
      <c r="AR568" s="112" t="s">
        <v>276</v>
      </c>
      <c r="AS568" s="121">
        <f t="shared" ref="AS568:AS573" si="181">AJ568*1000/AL568</f>
        <v>4.8250904704463204</v>
      </c>
      <c r="AT568" s="112" t="s">
        <v>276</v>
      </c>
      <c r="AU568" s="112" t="s">
        <v>276</v>
      </c>
      <c r="AV568" s="113" t="s">
        <v>268</v>
      </c>
      <c r="AW568" s="143" t="s">
        <v>276</v>
      </c>
      <c r="AX568" s="143">
        <f t="shared" si="179"/>
        <v>2.3721385542168676</v>
      </c>
      <c r="AY568" s="113" t="s">
        <v>276</v>
      </c>
      <c r="AZ568" s="113" t="s">
        <v>276</v>
      </c>
      <c r="BA568" s="113" t="s">
        <v>276</v>
      </c>
      <c r="BB568" s="113" t="s">
        <v>282</v>
      </c>
      <c r="BC568" s="113" t="s">
        <v>276</v>
      </c>
      <c r="BD568" s="113" t="s">
        <v>276</v>
      </c>
      <c r="BE568" s="113" t="s">
        <v>276</v>
      </c>
      <c r="BF568" s="113" t="s">
        <v>1029</v>
      </c>
      <c r="BG568" s="113" t="s">
        <v>276</v>
      </c>
      <c r="BH568" s="9" t="s">
        <v>100</v>
      </c>
      <c r="BI568" s="9" t="s">
        <v>100</v>
      </c>
      <c r="BJ568" s="123"/>
      <c r="BK568" s="123"/>
      <c r="BO568" s="123"/>
      <c r="BP568" s="123"/>
    </row>
    <row r="569" spans="1:68" s="124" customFormat="1" ht="52" hidden="1" x14ac:dyDescent="0.35">
      <c r="A569" s="112">
        <v>610</v>
      </c>
      <c r="B569" s="112" t="s">
        <v>2811</v>
      </c>
      <c r="C569" s="113" t="s">
        <v>80</v>
      </c>
      <c r="D569" s="113" t="s">
        <v>2828</v>
      </c>
      <c r="E569" s="112" t="s">
        <v>39</v>
      </c>
      <c r="F569" s="112" t="s">
        <v>143</v>
      </c>
      <c r="G569" s="112" t="s">
        <v>262</v>
      </c>
      <c r="H569" s="112" t="s">
        <v>225</v>
      </c>
      <c r="I569" s="112" t="s">
        <v>98</v>
      </c>
      <c r="J569" s="113" t="s">
        <v>25</v>
      </c>
      <c r="K569" s="112" t="s">
        <v>304</v>
      </c>
      <c r="L569" s="112" t="s">
        <v>317</v>
      </c>
      <c r="M569" s="112" t="s">
        <v>276</v>
      </c>
      <c r="N569" s="113" t="s">
        <v>2825</v>
      </c>
      <c r="O569" s="113" t="s">
        <v>276</v>
      </c>
      <c r="P569" s="113" t="s">
        <v>239</v>
      </c>
      <c r="Q569" s="142" t="s">
        <v>276</v>
      </c>
      <c r="R569" s="113" t="s">
        <v>705</v>
      </c>
      <c r="S569" s="113" t="s">
        <v>276</v>
      </c>
      <c r="T569" s="113" t="s">
        <v>276</v>
      </c>
      <c r="U569" s="113">
        <v>2</v>
      </c>
      <c r="V569" s="112" t="s">
        <v>14</v>
      </c>
      <c r="W569" s="112" t="s">
        <v>98</v>
      </c>
      <c r="X569" s="113" t="s">
        <v>208</v>
      </c>
      <c r="Y569" s="118">
        <v>1660</v>
      </c>
      <c r="Z569" s="119">
        <v>1658</v>
      </c>
      <c r="AA569" s="113" t="s">
        <v>276</v>
      </c>
      <c r="AB569" s="113" t="s">
        <v>276</v>
      </c>
      <c r="AC569" s="112">
        <v>2</v>
      </c>
      <c r="AD569" s="112" t="s">
        <v>2826</v>
      </c>
      <c r="AE569" s="112">
        <v>2</v>
      </c>
      <c r="AF569" s="112" t="s">
        <v>2826</v>
      </c>
      <c r="AG569" s="113" t="s">
        <v>2829</v>
      </c>
      <c r="AH569" s="113" t="s">
        <v>866</v>
      </c>
      <c r="AI569" s="119">
        <v>3</v>
      </c>
      <c r="AJ569" s="119">
        <v>1</v>
      </c>
      <c r="AK569" s="119">
        <v>1660</v>
      </c>
      <c r="AL569" s="119">
        <v>1658</v>
      </c>
      <c r="AM569" s="119" t="s">
        <v>2047</v>
      </c>
      <c r="AN569" s="112" t="s">
        <v>276</v>
      </c>
      <c r="AO569" s="121">
        <f t="shared" si="180"/>
        <v>1.8072289156626506</v>
      </c>
      <c r="AP569" s="112" t="s">
        <v>276</v>
      </c>
      <c r="AQ569" s="112" t="s">
        <v>276</v>
      </c>
      <c r="AR569" s="112" t="s">
        <v>276</v>
      </c>
      <c r="AS569" s="121">
        <f t="shared" ref="AS569" si="182">AJ569*1000/AL569</f>
        <v>0.60313630880579006</v>
      </c>
      <c r="AT569" s="112" t="s">
        <v>276</v>
      </c>
      <c r="AU569" s="112" t="s">
        <v>276</v>
      </c>
      <c r="AV569" s="113" t="s">
        <v>268</v>
      </c>
      <c r="AW569" s="143" t="s">
        <v>276</v>
      </c>
      <c r="AX569" s="143">
        <f t="shared" ref="AX569" si="183">AO569/AS569</f>
        <v>2.9963855421686749</v>
      </c>
      <c r="AY569" s="113" t="s">
        <v>276</v>
      </c>
      <c r="AZ569" s="113" t="s">
        <v>276</v>
      </c>
      <c r="BA569" s="113" t="s">
        <v>276</v>
      </c>
      <c r="BB569" s="113" t="s">
        <v>282</v>
      </c>
      <c r="BC569" s="113" t="s">
        <v>276</v>
      </c>
      <c r="BD569" s="113" t="s">
        <v>276</v>
      </c>
      <c r="BE569" s="113" t="s">
        <v>276</v>
      </c>
      <c r="BF569" s="113" t="s">
        <v>1029</v>
      </c>
      <c r="BG569" s="113" t="s">
        <v>276</v>
      </c>
      <c r="BH569" s="9" t="s">
        <v>100</v>
      </c>
      <c r="BI569" s="9" t="s">
        <v>100</v>
      </c>
      <c r="BJ569" s="123"/>
      <c r="BK569" s="123"/>
      <c r="BO569" s="123"/>
      <c r="BP569" s="123"/>
    </row>
    <row r="570" spans="1:68" s="124" customFormat="1" ht="52" hidden="1" x14ac:dyDescent="0.35">
      <c r="A570" s="112">
        <v>610</v>
      </c>
      <c r="B570" s="112" t="s">
        <v>2811</v>
      </c>
      <c r="C570" s="113" t="s">
        <v>80</v>
      </c>
      <c r="D570" s="113" t="s">
        <v>11637</v>
      </c>
      <c r="E570" s="112" t="s">
        <v>39</v>
      </c>
      <c r="F570" s="112" t="s">
        <v>143</v>
      </c>
      <c r="G570" s="112" t="s">
        <v>262</v>
      </c>
      <c r="H570" s="112" t="s">
        <v>225</v>
      </c>
      <c r="I570" s="112" t="s">
        <v>98</v>
      </c>
      <c r="J570" s="113" t="s">
        <v>25</v>
      </c>
      <c r="K570" s="112" t="s">
        <v>307</v>
      </c>
      <c r="L570" s="112" t="s">
        <v>317</v>
      </c>
      <c r="M570" s="112" t="s">
        <v>276</v>
      </c>
      <c r="N570" s="113" t="s">
        <v>2825</v>
      </c>
      <c r="O570" s="113" t="s">
        <v>276</v>
      </c>
      <c r="P570" s="113" t="s">
        <v>239</v>
      </c>
      <c r="Q570" s="142" t="s">
        <v>276</v>
      </c>
      <c r="R570" s="113" t="s">
        <v>705</v>
      </c>
      <c r="S570" s="113" t="s">
        <v>276</v>
      </c>
      <c r="T570" s="113" t="s">
        <v>276</v>
      </c>
      <c r="U570" s="113">
        <v>2</v>
      </c>
      <c r="V570" s="112" t="s">
        <v>14</v>
      </c>
      <c r="W570" s="112" t="s">
        <v>98</v>
      </c>
      <c r="X570" s="113" t="s">
        <v>208</v>
      </c>
      <c r="Y570" s="118">
        <v>1660</v>
      </c>
      <c r="Z570" s="119">
        <v>1658</v>
      </c>
      <c r="AA570" s="113" t="s">
        <v>276</v>
      </c>
      <c r="AB570" s="113" t="s">
        <v>276</v>
      </c>
      <c r="AC570" s="112">
        <v>2</v>
      </c>
      <c r="AD570" s="112" t="s">
        <v>2826</v>
      </c>
      <c r="AE570" s="112">
        <v>2</v>
      </c>
      <c r="AF570" s="112" t="s">
        <v>2826</v>
      </c>
      <c r="AG570" s="113" t="s">
        <v>11638</v>
      </c>
      <c r="AH570" s="113" t="s">
        <v>866</v>
      </c>
      <c r="AI570" s="119">
        <f>3+19</f>
        <v>22</v>
      </c>
      <c r="AJ570" s="119">
        <f>1+8</f>
        <v>9</v>
      </c>
      <c r="AK570" s="119">
        <v>1660</v>
      </c>
      <c r="AL570" s="119">
        <v>1658</v>
      </c>
      <c r="AM570" s="119" t="s">
        <v>2047</v>
      </c>
      <c r="AN570" s="112" t="s">
        <v>276</v>
      </c>
      <c r="AO570" s="121">
        <f t="shared" si="180"/>
        <v>13.253012048192771</v>
      </c>
      <c r="AP570" s="112" t="s">
        <v>276</v>
      </c>
      <c r="AQ570" s="112" t="s">
        <v>276</v>
      </c>
      <c r="AR570" s="112" t="s">
        <v>276</v>
      </c>
      <c r="AS570" s="121">
        <f t="shared" si="181"/>
        <v>5.4282267792521113</v>
      </c>
      <c r="AT570" s="112" t="s">
        <v>276</v>
      </c>
      <c r="AU570" s="112" t="s">
        <v>276</v>
      </c>
      <c r="AV570" s="113" t="s">
        <v>268</v>
      </c>
      <c r="AW570" s="143" t="s">
        <v>276</v>
      </c>
      <c r="AX570" s="143">
        <f t="shared" si="179"/>
        <v>2.4414993306559571</v>
      </c>
      <c r="AY570" s="113" t="s">
        <v>276</v>
      </c>
      <c r="AZ570" s="113" t="s">
        <v>276</v>
      </c>
      <c r="BA570" s="113" t="s">
        <v>276</v>
      </c>
      <c r="BB570" s="113" t="s">
        <v>282</v>
      </c>
      <c r="BC570" s="113" t="s">
        <v>276</v>
      </c>
      <c r="BD570" s="113" t="s">
        <v>276</v>
      </c>
      <c r="BE570" s="113" t="s">
        <v>276</v>
      </c>
      <c r="BF570" s="113" t="s">
        <v>1029</v>
      </c>
      <c r="BG570" s="113" t="s">
        <v>276</v>
      </c>
      <c r="BH570" s="9" t="s">
        <v>100</v>
      </c>
      <c r="BI570" s="9" t="s">
        <v>100</v>
      </c>
      <c r="BJ570" s="123"/>
      <c r="BK570" s="123"/>
      <c r="BO570" s="123"/>
      <c r="BP570" s="123"/>
    </row>
    <row r="571" spans="1:68" s="124" customFormat="1" ht="52" hidden="1" x14ac:dyDescent="0.35">
      <c r="A571" s="112">
        <v>610</v>
      </c>
      <c r="B571" s="112" t="s">
        <v>2811</v>
      </c>
      <c r="C571" s="113" t="s">
        <v>80</v>
      </c>
      <c r="D571" s="113" t="s">
        <v>2830</v>
      </c>
      <c r="E571" s="112" t="s">
        <v>39</v>
      </c>
      <c r="F571" s="112" t="s">
        <v>143</v>
      </c>
      <c r="G571" s="112" t="s">
        <v>262</v>
      </c>
      <c r="H571" s="112" t="s">
        <v>225</v>
      </c>
      <c r="I571" s="112" t="s">
        <v>98</v>
      </c>
      <c r="J571" s="113" t="s">
        <v>25</v>
      </c>
      <c r="K571" s="112" t="s">
        <v>311</v>
      </c>
      <c r="L571" s="112" t="s">
        <v>317</v>
      </c>
      <c r="M571" s="112" t="s">
        <v>276</v>
      </c>
      <c r="N571" s="113" t="s">
        <v>2825</v>
      </c>
      <c r="O571" s="113" t="s">
        <v>276</v>
      </c>
      <c r="P571" s="113" t="s">
        <v>239</v>
      </c>
      <c r="Q571" s="142" t="s">
        <v>276</v>
      </c>
      <c r="R571" s="113" t="s">
        <v>705</v>
      </c>
      <c r="S571" s="113" t="s">
        <v>276</v>
      </c>
      <c r="T571" s="113" t="s">
        <v>276</v>
      </c>
      <c r="U571" s="113">
        <v>2</v>
      </c>
      <c r="V571" s="112" t="s">
        <v>14</v>
      </c>
      <c r="W571" s="112" t="s">
        <v>98</v>
      </c>
      <c r="X571" s="113" t="s">
        <v>208</v>
      </c>
      <c r="Y571" s="118">
        <v>1660</v>
      </c>
      <c r="Z571" s="119">
        <v>1658</v>
      </c>
      <c r="AA571" s="113" t="s">
        <v>276</v>
      </c>
      <c r="AB571" s="113" t="s">
        <v>276</v>
      </c>
      <c r="AC571" s="112">
        <v>2</v>
      </c>
      <c r="AD571" s="112" t="s">
        <v>2826</v>
      </c>
      <c r="AE571" s="112">
        <v>2</v>
      </c>
      <c r="AF571" s="112" t="s">
        <v>2826</v>
      </c>
      <c r="AG571" s="113" t="s">
        <v>2831</v>
      </c>
      <c r="AH571" s="113" t="s">
        <v>866</v>
      </c>
      <c r="AI571" s="119">
        <v>11</v>
      </c>
      <c r="AJ571" s="119">
        <v>5</v>
      </c>
      <c r="AK571" s="119">
        <v>1660</v>
      </c>
      <c r="AL571" s="119">
        <v>1658</v>
      </c>
      <c r="AM571" s="119" t="s">
        <v>2047</v>
      </c>
      <c r="AN571" s="112" t="s">
        <v>276</v>
      </c>
      <c r="AO571" s="121">
        <f t="shared" si="180"/>
        <v>6.6265060240963853</v>
      </c>
      <c r="AP571" s="112" t="s">
        <v>276</v>
      </c>
      <c r="AQ571" s="112" t="s">
        <v>276</v>
      </c>
      <c r="AR571" s="112" t="s">
        <v>276</v>
      </c>
      <c r="AS571" s="121">
        <f t="shared" si="181"/>
        <v>3.0156815440289506</v>
      </c>
      <c r="AT571" s="112" t="s">
        <v>276</v>
      </c>
      <c r="AU571" s="112" t="s">
        <v>276</v>
      </c>
      <c r="AV571" s="113" t="s">
        <v>268</v>
      </c>
      <c r="AW571" s="143" t="s">
        <v>276</v>
      </c>
      <c r="AX571" s="143">
        <f t="shared" si="179"/>
        <v>2.1973493975903615</v>
      </c>
      <c r="AY571" s="113" t="s">
        <v>276</v>
      </c>
      <c r="AZ571" s="113" t="s">
        <v>276</v>
      </c>
      <c r="BA571" s="113" t="s">
        <v>276</v>
      </c>
      <c r="BB571" s="113" t="s">
        <v>282</v>
      </c>
      <c r="BC571" s="113" t="s">
        <v>276</v>
      </c>
      <c r="BD571" s="113" t="s">
        <v>276</v>
      </c>
      <c r="BE571" s="113" t="s">
        <v>276</v>
      </c>
      <c r="BF571" s="113" t="s">
        <v>1029</v>
      </c>
      <c r="BG571" s="113" t="s">
        <v>276</v>
      </c>
      <c r="BH571" s="9" t="s">
        <v>100</v>
      </c>
      <c r="BI571" s="9" t="s">
        <v>100</v>
      </c>
      <c r="BJ571" s="123"/>
      <c r="BK571" s="123"/>
      <c r="BO571" s="123"/>
      <c r="BP571" s="123"/>
    </row>
    <row r="572" spans="1:68" s="124" customFormat="1" ht="52" hidden="1" x14ac:dyDescent="0.35">
      <c r="A572" s="112">
        <v>610</v>
      </c>
      <c r="B572" s="112" t="s">
        <v>2811</v>
      </c>
      <c r="C572" s="113" t="s">
        <v>80</v>
      </c>
      <c r="D572" s="113" t="s">
        <v>2832</v>
      </c>
      <c r="E572" s="112" t="s">
        <v>39</v>
      </c>
      <c r="F572" s="112" t="s">
        <v>143</v>
      </c>
      <c r="G572" s="112" t="s">
        <v>262</v>
      </c>
      <c r="H572" s="112" t="s">
        <v>225</v>
      </c>
      <c r="I572" s="112" t="s">
        <v>98</v>
      </c>
      <c r="J572" s="113" t="s">
        <v>25</v>
      </c>
      <c r="K572" s="112" t="s">
        <v>314</v>
      </c>
      <c r="L572" s="112" t="s">
        <v>317</v>
      </c>
      <c r="M572" s="112" t="s">
        <v>276</v>
      </c>
      <c r="N572" s="113" t="s">
        <v>2825</v>
      </c>
      <c r="O572" s="113" t="s">
        <v>276</v>
      </c>
      <c r="P572" s="113" t="s">
        <v>239</v>
      </c>
      <c r="Q572" s="142" t="s">
        <v>276</v>
      </c>
      <c r="R572" s="113" t="s">
        <v>705</v>
      </c>
      <c r="S572" s="113" t="s">
        <v>276</v>
      </c>
      <c r="T572" s="113" t="s">
        <v>276</v>
      </c>
      <c r="U572" s="113">
        <v>2</v>
      </c>
      <c r="V572" s="112" t="s">
        <v>14</v>
      </c>
      <c r="W572" s="112" t="s">
        <v>98</v>
      </c>
      <c r="X572" s="113" t="s">
        <v>208</v>
      </c>
      <c r="Y572" s="118">
        <v>1660</v>
      </c>
      <c r="Z572" s="119">
        <v>1658</v>
      </c>
      <c r="AA572" s="113" t="s">
        <v>276</v>
      </c>
      <c r="AB572" s="113" t="s">
        <v>276</v>
      </c>
      <c r="AC572" s="112">
        <v>2</v>
      </c>
      <c r="AD572" s="112" t="s">
        <v>2826</v>
      </c>
      <c r="AE572" s="112">
        <v>2</v>
      </c>
      <c r="AF572" s="112" t="s">
        <v>2826</v>
      </c>
      <c r="AG572" s="113" t="s">
        <v>2833</v>
      </c>
      <c r="AH572" s="113" t="s">
        <v>866</v>
      </c>
      <c r="AI572" s="119">
        <v>5</v>
      </c>
      <c r="AJ572" s="119">
        <v>4</v>
      </c>
      <c r="AK572" s="119">
        <v>1660</v>
      </c>
      <c r="AL572" s="119">
        <v>1658</v>
      </c>
      <c r="AM572" s="119" t="s">
        <v>2047</v>
      </c>
      <c r="AN572" s="112" t="s">
        <v>276</v>
      </c>
      <c r="AO572" s="121">
        <f t="shared" si="180"/>
        <v>3.0120481927710845</v>
      </c>
      <c r="AP572" s="112" t="s">
        <v>276</v>
      </c>
      <c r="AQ572" s="112" t="s">
        <v>276</v>
      </c>
      <c r="AR572" s="112" t="s">
        <v>276</v>
      </c>
      <c r="AS572" s="121">
        <f t="shared" si="181"/>
        <v>2.4125452352231602</v>
      </c>
      <c r="AT572" s="112" t="s">
        <v>276</v>
      </c>
      <c r="AU572" s="112" t="s">
        <v>276</v>
      </c>
      <c r="AV572" s="113" t="s">
        <v>268</v>
      </c>
      <c r="AW572" s="143" t="s">
        <v>276</v>
      </c>
      <c r="AX572" s="143">
        <f t="shared" si="179"/>
        <v>1.2484939759036147</v>
      </c>
      <c r="AY572" s="113" t="s">
        <v>276</v>
      </c>
      <c r="AZ572" s="113" t="s">
        <v>276</v>
      </c>
      <c r="BA572" s="113" t="s">
        <v>276</v>
      </c>
      <c r="BB572" s="113" t="s">
        <v>282</v>
      </c>
      <c r="BC572" s="113" t="s">
        <v>276</v>
      </c>
      <c r="BD572" s="113" t="s">
        <v>276</v>
      </c>
      <c r="BE572" s="113" t="s">
        <v>276</v>
      </c>
      <c r="BF572" s="113" t="s">
        <v>1029</v>
      </c>
      <c r="BG572" s="113" t="s">
        <v>276</v>
      </c>
      <c r="BH572" s="9" t="s">
        <v>100</v>
      </c>
      <c r="BI572" s="9" t="s">
        <v>100</v>
      </c>
      <c r="BJ572" s="123"/>
      <c r="BK572" s="123"/>
      <c r="BO572" s="123"/>
      <c r="BP572" s="123"/>
    </row>
    <row r="573" spans="1:68" s="124" customFormat="1" ht="65" hidden="1" x14ac:dyDescent="0.35">
      <c r="A573" s="112">
        <v>610</v>
      </c>
      <c r="B573" s="112" t="s">
        <v>2811</v>
      </c>
      <c r="C573" s="113" t="s">
        <v>80</v>
      </c>
      <c r="D573" s="113" t="s">
        <v>2834</v>
      </c>
      <c r="E573" s="112" t="s">
        <v>39</v>
      </c>
      <c r="F573" s="112" t="s">
        <v>143</v>
      </c>
      <c r="G573" s="112" t="s">
        <v>262</v>
      </c>
      <c r="H573" s="112" t="s">
        <v>225</v>
      </c>
      <c r="I573" s="112" t="s">
        <v>98</v>
      </c>
      <c r="J573" s="113" t="s">
        <v>25</v>
      </c>
      <c r="K573" s="112" t="s">
        <v>317</v>
      </c>
      <c r="L573" s="112" t="s">
        <v>317</v>
      </c>
      <c r="M573" s="112" t="s">
        <v>276</v>
      </c>
      <c r="N573" s="113" t="s">
        <v>2825</v>
      </c>
      <c r="O573" s="113" t="s">
        <v>276</v>
      </c>
      <c r="P573" s="113" t="s">
        <v>239</v>
      </c>
      <c r="Q573" s="142" t="s">
        <v>276</v>
      </c>
      <c r="R573" s="113" t="s">
        <v>705</v>
      </c>
      <c r="S573" s="113" t="s">
        <v>276</v>
      </c>
      <c r="T573" s="113" t="s">
        <v>276</v>
      </c>
      <c r="U573" s="113">
        <v>2</v>
      </c>
      <c r="V573" s="112" t="s">
        <v>14</v>
      </c>
      <c r="W573" s="112" t="s">
        <v>98</v>
      </c>
      <c r="X573" s="113" t="s">
        <v>208</v>
      </c>
      <c r="Y573" s="118">
        <v>1660</v>
      </c>
      <c r="Z573" s="119">
        <v>1658</v>
      </c>
      <c r="AA573" s="113" t="s">
        <v>276</v>
      </c>
      <c r="AB573" s="113" t="s">
        <v>276</v>
      </c>
      <c r="AC573" s="112">
        <v>2</v>
      </c>
      <c r="AD573" s="112" t="s">
        <v>2826</v>
      </c>
      <c r="AE573" s="112">
        <v>2</v>
      </c>
      <c r="AF573" s="112" t="s">
        <v>2826</v>
      </c>
      <c r="AG573" s="113" t="s">
        <v>2835</v>
      </c>
      <c r="AH573" s="113" t="s">
        <v>866</v>
      </c>
      <c r="AI573" s="119">
        <v>16</v>
      </c>
      <c r="AJ573" s="119">
        <v>9</v>
      </c>
      <c r="AK573" s="119">
        <v>1660</v>
      </c>
      <c r="AL573" s="119">
        <v>1658</v>
      </c>
      <c r="AM573" s="119" t="s">
        <v>2047</v>
      </c>
      <c r="AN573" s="112" t="s">
        <v>276</v>
      </c>
      <c r="AO573" s="121">
        <f t="shared" si="180"/>
        <v>9.6385542168674707</v>
      </c>
      <c r="AP573" s="112" t="s">
        <v>276</v>
      </c>
      <c r="AQ573" s="112" t="s">
        <v>276</v>
      </c>
      <c r="AR573" s="112" t="s">
        <v>276</v>
      </c>
      <c r="AS573" s="121">
        <f t="shared" si="181"/>
        <v>5.4282267792521113</v>
      </c>
      <c r="AT573" s="112" t="s">
        <v>276</v>
      </c>
      <c r="AU573" s="112" t="s">
        <v>276</v>
      </c>
      <c r="AV573" s="113" t="s">
        <v>268</v>
      </c>
      <c r="AW573" s="143" t="s">
        <v>276</v>
      </c>
      <c r="AX573" s="143">
        <f t="shared" si="179"/>
        <v>1.7756358768406961</v>
      </c>
      <c r="AY573" s="113" t="s">
        <v>276</v>
      </c>
      <c r="AZ573" s="113" t="s">
        <v>276</v>
      </c>
      <c r="BA573" s="113">
        <v>0.09</v>
      </c>
      <c r="BB573" s="113" t="s">
        <v>282</v>
      </c>
      <c r="BC573" s="113" t="s">
        <v>276</v>
      </c>
      <c r="BD573" s="113" t="s">
        <v>276</v>
      </c>
      <c r="BE573" s="113" t="s">
        <v>276</v>
      </c>
      <c r="BF573" s="113" t="s">
        <v>2836</v>
      </c>
      <c r="BG573" s="113" t="s">
        <v>276</v>
      </c>
      <c r="BH573" s="9" t="s">
        <v>100</v>
      </c>
      <c r="BI573" s="9" t="s">
        <v>100</v>
      </c>
      <c r="BJ573" s="123"/>
      <c r="BK573" s="123"/>
      <c r="BO573" s="123"/>
      <c r="BP573" s="123"/>
    </row>
    <row r="574" spans="1:68" s="124" customFormat="1" ht="104" hidden="1" x14ac:dyDescent="0.35">
      <c r="A574" s="112">
        <v>610</v>
      </c>
      <c r="B574" s="112" t="s">
        <v>2811</v>
      </c>
      <c r="C574" s="113" t="s">
        <v>80</v>
      </c>
      <c r="D574" s="113" t="s">
        <v>2837</v>
      </c>
      <c r="E574" s="112" t="s">
        <v>39</v>
      </c>
      <c r="F574" s="112" t="s">
        <v>143</v>
      </c>
      <c r="G574" s="112" t="s">
        <v>262</v>
      </c>
      <c r="H574" s="112" t="s">
        <v>225</v>
      </c>
      <c r="I574" s="112" t="s">
        <v>98</v>
      </c>
      <c r="J574" s="113" t="s">
        <v>25</v>
      </c>
      <c r="K574" s="112" t="s">
        <v>317</v>
      </c>
      <c r="L574" s="112" t="s">
        <v>317</v>
      </c>
      <c r="M574" s="112" t="s">
        <v>276</v>
      </c>
      <c r="N574" s="113" t="s">
        <v>2825</v>
      </c>
      <c r="O574" s="113" t="s">
        <v>276</v>
      </c>
      <c r="P574" s="113" t="s">
        <v>235</v>
      </c>
      <c r="Q574" s="142" t="s">
        <v>276</v>
      </c>
      <c r="R574" s="113" t="s">
        <v>705</v>
      </c>
      <c r="S574" s="113" t="s">
        <v>276</v>
      </c>
      <c r="T574" s="113" t="s">
        <v>276</v>
      </c>
      <c r="U574" s="113">
        <v>2</v>
      </c>
      <c r="V574" s="112" t="s">
        <v>14</v>
      </c>
      <c r="W574" s="112" t="s">
        <v>98</v>
      </c>
      <c r="X574" s="113" t="s">
        <v>208</v>
      </c>
      <c r="Y574" s="118" t="s">
        <v>98</v>
      </c>
      <c r="Z574" s="119" t="s">
        <v>98</v>
      </c>
      <c r="AA574" s="113" t="s">
        <v>276</v>
      </c>
      <c r="AB574" s="113" t="s">
        <v>276</v>
      </c>
      <c r="AC574" s="112">
        <v>2</v>
      </c>
      <c r="AD574" s="112" t="s">
        <v>2826</v>
      </c>
      <c r="AE574" s="112">
        <v>2</v>
      </c>
      <c r="AF574" s="112" t="s">
        <v>2826</v>
      </c>
      <c r="AG574" s="113" t="s">
        <v>2835</v>
      </c>
      <c r="AH574" s="113" t="s">
        <v>2838</v>
      </c>
      <c r="AI574" s="119">
        <v>16</v>
      </c>
      <c r="AJ574" s="119">
        <v>9</v>
      </c>
      <c r="AK574" s="119">
        <v>40</v>
      </c>
      <c r="AL574" s="119">
        <v>20</v>
      </c>
      <c r="AM574" s="119" t="s">
        <v>292</v>
      </c>
      <c r="AN574" s="112">
        <v>40</v>
      </c>
      <c r="AO574" s="121">
        <f>AI574*100/AK574</f>
        <v>40</v>
      </c>
      <c r="AP574" s="112" t="s">
        <v>276</v>
      </c>
      <c r="AQ574" s="112" t="s">
        <v>276</v>
      </c>
      <c r="AR574" s="112">
        <v>45</v>
      </c>
      <c r="AS574" s="121">
        <f>AJ574*100/AL574</f>
        <v>45</v>
      </c>
      <c r="AT574" s="112" t="s">
        <v>276</v>
      </c>
      <c r="AU574" s="112" t="s">
        <v>276</v>
      </c>
      <c r="AV574" s="113" t="s">
        <v>268</v>
      </c>
      <c r="AW574" s="143" t="s">
        <v>276</v>
      </c>
      <c r="AX574" s="143">
        <f t="shared" si="179"/>
        <v>0.88888888888888884</v>
      </c>
      <c r="AY574" s="113" t="s">
        <v>276</v>
      </c>
      <c r="AZ574" s="113" t="s">
        <v>276</v>
      </c>
      <c r="BA574" s="113" t="s">
        <v>276</v>
      </c>
      <c r="BB574" s="113" t="s">
        <v>282</v>
      </c>
      <c r="BC574" s="113" t="s">
        <v>276</v>
      </c>
      <c r="BD574" s="113" t="s">
        <v>276</v>
      </c>
      <c r="BE574" s="113" t="s">
        <v>276</v>
      </c>
      <c r="BF574" s="113" t="s">
        <v>2839</v>
      </c>
      <c r="BG574" s="113" t="s">
        <v>276</v>
      </c>
      <c r="BH574" s="9" t="s">
        <v>100</v>
      </c>
      <c r="BI574" s="9" t="s">
        <v>100</v>
      </c>
      <c r="BJ574" s="123"/>
      <c r="BK574" s="123"/>
      <c r="BO574" s="123"/>
      <c r="BP574" s="123"/>
    </row>
    <row r="575" spans="1:68" s="33" customFormat="1" ht="78" hidden="1" x14ac:dyDescent="0.35">
      <c r="A575" s="8">
        <v>8509</v>
      </c>
      <c r="B575" s="8" t="s">
        <v>2840</v>
      </c>
      <c r="C575" s="8" t="s">
        <v>49</v>
      </c>
      <c r="D575" s="9" t="s">
        <v>2895</v>
      </c>
      <c r="E575" s="8" t="s">
        <v>36</v>
      </c>
      <c r="F575" s="9" t="s">
        <v>134</v>
      </c>
      <c r="G575" s="8" t="s">
        <v>225</v>
      </c>
      <c r="H575" s="8" t="s">
        <v>225</v>
      </c>
      <c r="I575" s="8" t="s">
        <v>98</v>
      </c>
      <c r="J575" s="9" t="s">
        <v>98</v>
      </c>
      <c r="K575" s="8" t="s">
        <v>98</v>
      </c>
      <c r="L575" s="8" t="s">
        <v>98</v>
      </c>
      <c r="M575" s="8" t="s">
        <v>98</v>
      </c>
      <c r="N575" s="9" t="s">
        <v>2896</v>
      </c>
      <c r="O575" s="9" t="s">
        <v>2843</v>
      </c>
      <c r="P575" s="9" t="s">
        <v>238</v>
      </c>
      <c r="Q575" s="52" t="s">
        <v>276</v>
      </c>
      <c r="R575" s="9" t="s">
        <v>2897</v>
      </c>
      <c r="S575" s="9" t="s">
        <v>276</v>
      </c>
      <c r="T575" s="9" t="s">
        <v>98</v>
      </c>
      <c r="U575" s="9">
        <v>1</v>
      </c>
      <c r="V575" s="8" t="s">
        <v>14</v>
      </c>
      <c r="W575" s="8" t="s">
        <v>98</v>
      </c>
      <c r="X575" s="9" t="s">
        <v>209</v>
      </c>
      <c r="Y575" s="13">
        <v>17136</v>
      </c>
      <c r="Z575" s="9" t="s">
        <v>98</v>
      </c>
      <c r="AA575" s="9">
        <v>0</v>
      </c>
      <c r="AB575" s="9" t="s">
        <v>98</v>
      </c>
      <c r="AC575" s="8">
        <v>0</v>
      </c>
      <c r="AD575" s="8" t="s">
        <v>98</v>
      </c>
      <c r="AE575" s="8" t="s">
        <v>98</v>
      </c>
      <c r="AF575" s="8" t="s">
        <v>98</v>
      </c>
      <c r="AG575" s="9" t="s">
        <v>2898</v>
      </c>
      <c r="AH575" s="9" t="s">
        <v>2046</v>
      </c>
      <c r="AI575" s="38">
        <v>54</v>
      </c>
      <c r="AJ575" s="38" t="s">
        <v>98</v>
      </c>
      <c r="AK575" s="38">
        <v>17136</v>
      </c>
      <c r="AL575" s="38" t="s">
        <v>98</v>
      </c>
      <c r="AM575" s="38" t="s">
        <v>2047</v>
      </c>
      <c r="AN575" s="8" t="s">
        <v>276</v>
      </c>
      <c r="AO575" s="14">
        <f>AI575*1000/AK575</f>
        <v>3.1512605042016806</v>
      </c>
      <c r="AP575" s="8" t="s">
        <v>276</v>
      </c>
      <c r="AQ575" s="8" t="s">
        <v>276</v>
      </c>
      <c r="AR575" s="8" t="s">
        <v>98</v>
      </c>
      <c r="AS575" s="8" t="s">
        <v>98</v>
      </c>
      <c r="AT575" s="8" t="s">
        <v>98</v>
      </c>
      <c r="AU575" s="8" t="s">
        <v>98</v>
      </c>
      <c r="AV575" s="8" t="s">
        <v>98</v>
      </c>
      <c r="AW575" s="8" t="s">
        <v>98</v>
      </c>
      <c r="AX575" s="8" t="s">
        <v>98</v>
      </c>
      <c r="AY575" s="8" t="s">
        <v>98</v>
      </c>
      <c r="AZ575" s="8" t="s">
        <v>98</v>
      </c>
      <c r="BA575" s="8" t="s">
        <v>98</v>
      </c>
      <c r="BB575" s="8" t="s">
        <v>98</v>
      </c>
      <c r="BC575" s="8" t="s">
        <v>98</v>
      </c>
      <c r="BD575" s="8" t="s">
        <v>98</v>
      </c>
      <c r="BE575" s="8" t="s">
        <v>98</v>
      </c>
      <c r="BF575" s="9" t="s">
        <v>2899</v>
      </c>
      <c r="BG575" s="9"/>
      <c r="BH575" s="9" t="s">
        <v>100</v>
      </c>
      <c r="BI575" s="9" t="s">
        <v>100</v>
      </c>
      <c r="BJ575" s="32"/>
      <c r="BK575" s="32"/>
      <c r="BO575" s="32"/>
      <c r="BP575" s="32"/>
    </row>
    <row r="576" spans="1:68" s="33" customFormat="1" ht="78" hidden="1" x14ac:dyDescent="0.35">
      <c r="A576" s="8">
        <v>8509</v>
      </c>
      <c r="B576" s="8" t="s">
        <v>2840</v>
      </c>
      <c r="C576" s="8" t="s">
        <v>49</v>
      </c>
      <c r="D576" s="9" t="s">
        <v>2900</v>
      </c>
      <c r="E576" s="8" t="s">
        <v>36</v>
      </c>
      <c r="F576" s="9" t="s">
        <v>134</v>
      </c>
      <c r="G576" s="8" t="s">
        <v>225</v>
      </c>
      <c r="H576" s="8" t="s">
        <v>225</v>
      </c>
      <c r="I576" s="8" t="s">
        <v>98</v>
      </c>
      <c r="J576" s="9" t="s">
        <v>98</v>
      </c>
      <c r="K576" s="8" t="s">
        <v>98</v>
      </c>
      <c r="L576" s="8" t="s">
        <v>98</v>
      </c>
      <c r="M576" s="8" t="s">
        <v>98</v>
      </c>
      <c r="N576" s="9" t="s">
        <v>2896</v>
      </c>
      <c r="O576" s="9" t="s">
        <v>2843</v>
      </c>
      <c r="P576" s="9" t="s">
        <v>238</v>
      </c>
      <c r="Q576" s="52" t="s">
        <v>276</v>
      </c>
      <c r="R576" s="9" t="s">
        <v>2897</v>
      </c>
      <c r="S576" s="9" t="s">
        <v>276</v>
      </c>
      <c r="T576" s="9" t="s">
        <v>98</v>
      </c>
      <c r="U576" s="9">
        <v>1</v>
      </c>
      <c r="V576" s="8" t="s">
        <v>14</v>
      </c>
      <c r="W576" s="8" t="s">
        <v>98</v>
      </c>
      <c r="X576" s="9" t="s">
        <v>209</v>
      </c>
      <c r="Y576" s="13">
        <v>17136</v>
      </c>
      <c r="Z576" s="9" t="s">
        <v>98</v>
      </c>
      <c r="AA576" s="9">
        <v>0</v>
      </c>
      <c r="AB576" s="9" t="s">
        <v>98</v>
      </c>
      <c r="AC576" s="8">
        <v>8</v>
      </c>
      <c r="AD576" s="8" t="s">
        <v>2901</v>
      </c>
      <c r="AE576" s="8" t="s">
        <v>98</v>
      </c>
      <c r="AF576" s="8" t="s">
        <v>98</v>
      </c>
      <c r="AG576" s="9" t="s">
        <v>2902</v>
      </c>
      <c r="AH576" s="9" t="s">
        <v>2046</v>
      </c>
      <c r="AI576" s="38">
        <v>48</v>
      </c>
      <c r="AJ576" s="38" t="s">
        <v>98</v>
      </c>
      <c r="AK576" s="38">
        <v>17136</v>
      </c>
      <c r="AL576" s="38" t="s">
        <v>98</v>
      </c>
      <c r="AM576" s="38" t="s">
        <v>2047</v>
      </c>
      <c r="AN576" s="8" t="s">
        <v>276</v>
      </c>
      <c r="AO576" s="14">
        <f>AI576*1000/AK576</f>
        <v>2.8011204481792715</v>
      </c>
      <c r="AP576" s="8" t="s">
        <v>276</v>
      </c>
      <c r="AQ576" s="8" t="s">
        <v>276</v>
      </c>
      <c r="AR576" s="8" t="s">
        <v>98</v>
      </c>
      <c r="AS576" s="8" t="s">
        <v>98</v>
      </c>
      <c r="AT576" s="8" t="s">
        <v>98</v>
      </c>
      <c r="AU576" s="8" t="s">
        <v>98</v>
      </c>
      <c r="AV576" s="8" t="s">
        <v>98</v>
      </c>
      <c r="AW576" s="8" t="s">
        <v>98</v>
      </c>
      <c r="AX576" s="8" t="s">
        <v>98</v>
      </c>
      <c r="AY576" s="8" t="s">
        <v>98</v>
      </c>
      <c r="AZ576" s="8" t="s">
        <v>98</v>
      </c>
      <c r="BA576" s="8" t="s">
        <v>98</v>
      </c>
      <c r="BB576" s="8" t="s">
        <v>98</v>
      </c>
      <c r="BC576" s="8" t="s">
        <v>98</v>
      </c>
      <c r="BD576" s="8" t="s">
        <v>98</v>
      </c>
      <c r="BE576" s="8" t="s">
        <v>98</v>
      </c>
      <c r="BF576" s="9" t="s">
        <v>2899</v>
      </c>
      <c r="BG576" s="9" t="s">
        <v>2903</v>
      </c>
      <c r="BH576" s="9" t="s">
        <v>100</v>
      </c>
      <c r="BI576" s="9" t="s">
        <v>100</v>
      </c>
      <c r="BJ576" s="32"/>
      <c r="BK576" s="32"/>
      <c r="BO576" s="32"/>
      <c r="BP576" s="32"/>
    </row>
    <row r="577" spans="1:68" s="33" customFormat="1" ht="78" x14ac:dyDescent="0.35">
      <c r="A577" s="8">
        <v>8509</v>
      </c>
      <c r="B577" s="8" t="s">
        <v>2840</v>
      </c>
      <c r="C577" s="8" t="s">
        <v>49</v>
      </c>
      <c r="D577" s="9" t="s">
        <v>2904</v>
      </c>
      <c r="E577" s="8" t="s">
        <v>36</v>
      </c>
      <c r="F577" s="9" t="s">
        <v>134</v>
      </c>
      <c r="G577" s="8" t="s">
        <v>225</v>
      </c>
      <c r="H577" s="8" t="s">
        <v>225</v>
      </c>
      <c r="I577" s="8" t="s">
        <v>98</v>
      </c>
      <c r="J577" s="9" t="s">
        <v>98</v>
      </c>
      <c r="K577" s="8" t="s">
        <v>98</v>
      </c>
      <c r="L577" s="8" t="s">
        <v>98</v>
      </c>
      <c r="M577" s="8" t="s">
        <v>98</v>
      </c>
      <c r="N577" s="9" t="s">
        <v>2896</v>
      </c>
      <c r="O577" s="9" t="s">
        <v>2843</v>
      </c>
      <c r="P577" s="9" t="s">
        <v>236</v>
      </c>
      <c r="Q577" s="52">
        <v>39447</v>
      </c>
      <c r="R577" s="9" t="s">
        <v>276</v>
      </c>
      <c r="S577" s="9" t="s">
        <v>2905</v>
      </c>
      <c r="T577" s="9" t="s">
        <v>98</v>
      </c>
      <c r="U577" s="9">
        <v>1</v>
      </c>
      <c r="V577" s="8" t="s">
        <v>14</v>
      </c>
      <c r="W577" s="8" t="s">
        <v>98</v>
      </c>
      <c r="X577" s="9" t="s">
        <v>209</v>
      </c>
      <c r="Y577" s="13" t="s">
        <v>98</v>
      </c>
      <c r="Z577" s="9" t="s">
        <v>98</v>
      </c>
      <c r="AA577" s="9" t="s">
        <v>276</v>
      </c>
      <c r="AB577" s="9" t="s">
        <v>98</v>
      </c>
      <c r="AC577" s="8">
        <v>280</v>
      </c>
      <c r="AD577" s="8" t="s">
        <v>2860</v>
      </c>
      <c r="AE577" s="8" t="s">
        <v>98</v>
      </c>
      <c r="AF577" s="8" t="s">
        <v>98</v>
      </c>
      <c r="AG577" s="9" t="s">
        <v>2906</v>
      </c>
      <c r="AH577" s="9" t="s">
        <v>2907</v>
      </c>
      <c r="AI577" s="38">
        <v>54</v>
      </c>
      <c r="AJ577" s="38" t="s">
        <v>98</v>
      </c>
      <c r="AK577" s="38">
        <v>251</v>
      </c>
      <c r="AL577" s="38" t="s">
        <v>98</v>
      </c>
      <c r="AM577" s="38" t="s">
        <v>292</v>
      </c>
      <c r="AN577" s="8" t="s">
        <v>276</v>
      </c>
      <c r="AO577" s="14">
        <f>AI577*100/AK577</f>
        <v>21.513944223107568</v>
      </c>
      <c r="AP577" s="8" t="s">
        <v>276</v>
      </c>
      <c r="AQ577" s="8" t="s">
        <v>276</v>
      </c>
      <c r="AR577" s="8" t="s">
        <v>98</v>
      </c>
      <c r="AS577" s="8" t="s">
        <v>98</v>
      </c>
      <c r="AT577" s="8" t="s">
        <v>98</v>
      </c>
      <c r="AU577" s="8" t="s">
        <v>98</v>
      </c>
      <c r="AV577" s="8" t="s">
        <v>98</v>
      </c>
      <c r="AW577" s="8" t="s">
        <v>98</v>
      </c>
      <c r="AX577" s="8" t="s">
        <v>98</v>
      </c>
      <c r="AY577" s="8" t="s">
        <v>98</v>
      </c>
      <c r="AZ577" s="8" t="s">
        <v>98</v>
      </c>
      <c r="BA577" s="8" t="s">
        <v>98</v>
      </c>
      <c r="BB577" s="8" t="s">
        <v>98</v>
      </c>
      <c r="BC577" s="8" t="s">
        <v>98</v>
      </c>
      <c r="BD577" s="8" t="s">
        <v>98</v>
      </c>
      <c r="BE577" s="8" t="s">
        <v>98</v>
      </c>
      <c r="BF577" s="9" t="s">
        <v>2899</v>
      </c>
      <c r="BG577" s="9"/>
      <c r="BH577" s="9" t="s">
        <v>99</v>
      </c>
      <c r="BI577" s="9" t="s">
        <v>99</v>
      </c>
      <c r="BJ577" s="32"/>
      <c r="BK577" s="32"/>
      <c r="BO577" s="32"/>
      <c r="BP577" s="32"/>
    </row>
    <row r="578" spans="1:68" s="33" customFormat="1" ht="78" hidden="1" x14ac:dyDescent="0.35">
      <c r="A578" s="8">
        <v>8509</v>
      </c>
      <c r="B578" s="8" t="s">
        <v>2840</v>
      </c>
      <c r="C578" s="8" t="s">
        <v>49</v>
      </c>
      <c r="D578" s="9" t="s">
        <v>2908</v>
      </c>
      <c r="E578" s="8" t="s">
        <v>36</v>
      </c>
      <c r="F578" s="9" t="s">
        <v>134</v>
      </c>
      <c r="G578" s="8" t="s">
        <v>225</v>
      </c>
      <c r="H578" s="8" t="s">
        <v>225</v>
      </c>
      <c r="I578" s="8" t="s">
        <v>98</v>
      </c>
      <c r="J578" s="9" t="s">
        <v>98</v>
      </c>
      <c r="K578" s="8" t="s">
        <v>98</v>
      </c>
      <c r="L578" s="8" t="s">
        <v>98</v>
      </c>
      <c r="M578" s="8" t="s">
        <v>98</v>
      </c>
      <c r="N578" s="9" t="s">
        <v>2896</v>
      </c>
      <c r="O578" s="9" t="s">
        <v>2843</v>
      </c>
      <c r="P578" s="9" t="s">
        <v>236</v>
      </c>
      <c r="Q578" s="52">
        <v>39447</v>
      </c>
      <c r="R578" s="9" t="s">
        <v>276</v>
      </c>
      <c r="S578" s="9" t="s">
        <v>2905</v>
      </c>
      <c r="T578" s="9" t="s">
        <v>98</v>
      </c>
      <c r="U578" s="9">
        <v>1</v>
      </c>
      <c r="V578" s="8" t="s">
        <v>14</v>
      </c>
      <c r="W578" s="8" t="s">
        <v>98</v>
      </c>
      <c r="X578" s="9" t="s">
        <v>209</v>
      </c>
      <c r="Y578" s="13" t="s">
        <v>98</v>
      </c>
      <c r="Z578" s="9" t="s">
        <v>98</v>
      </c>
      <c r="AA578" s="9" t="s">
        <v>276</v>
      </c>
      <c r="AB578" s="9" t="s">
        <v>98</v>
      </c>
      <c r="AC578" s="8">
        <v>280</v>
      </c>
      <c r="AD578" s="8" t="s">
        <v>2860</v>
      </c>
      <c r="AE578" s="8" t="s">
        <v>98</v>
      </c>
      <c r="AF578" s="8" t="s">
        <v>98</v>
      </c>
      <c r="AG578" s="9" t="s">
        <v>2909</v>
      </c>
      <c r="AH578" s="9" t="s">
        <v>2910</v>
      </c>
      <c r="AI578" s="38">
        <v>48</v>
      </c>
      <c r="AJ578" s="38" t="s">
        <v>98</v>
      </c>
      <c r="AK578" s="38">
        <v>152</v>
      </c>
      <c r="AL578" s="38" t="s">
        <v>98</v>
      </c>
      <c r="AM578" s="38" t="s">
        <v>292</v>
      </c>
      <c r="AN578" s="8" t="s">
        <v>276</v>
      </c>
      <c r="AO578" s="14">
        <f>AI578*100/AK578</f>
        <v>31.578947368421051</v>
      </c>
      <c r="AP578" s="8" t="s">
        <v>276</v>
      </c>
      <c r="AQ578" s="8" t="s">
        <v>276</v>
      </c>
      <c r="AR578" s="8" t="s">
        <v>98</v>
      </c>
      <c r="AS578" s="8" t="s">
        <v>98</v>
      </c>
      <c r="AT578" s="8" t="s">
        <v>98</v>
      </c>
      <c r="AU578" s="8" t="s">
        <v>98</v>
      </c>
      <c r="AV578" s="8" t="s">
        <v>98</v>
      </c>
      <c r="AW578" s="8" t="s">
        <v>98</v>
      </c>
      <c r="AX578" s="8" t="s">
        <v>98</v>
      </c>
      <c r="AY578" s="8" t="s">
        <v>98</v>
      </c>
      <c r="AZ578" s="8" t="s">
        <v>98</v>
      </c>
      <c r="BA578" s="8" t="s">
        <v>98</v>
      </c>
      <c r="BB578" s="8" t="s">
        <v>98</v>
      </c>
      <c r="BC578" s="8" t="s">
        <v>98</v>
      </c>
      <c r="BD578" s="8" t="s">
        <v>98</v>
      </c>
      <c r="BE578" s="8" t="s">
        <v>98</v>
      </c>
      <c r="BF578" s="9" t="s">
        <v>2899</v>
      </c>
      <c r="BG578" s="9" t="s">
        <v>2903</v>
      </c>
      <c r="BH578" s="9" t="s">
        <v>100</v>
      </c>
      <c r="BI578" s="9" t="s">
        <v>100</v>
      </c>
      <c r="BJ578" s="32"/>
      <c r="BK578" s="32"/>
      <c r="BO578" s="32"/>
      <c r="BP578" s="32"/>
    </row>
    <row r="579" spans="1:68" s="79" customFormat="1" ht="65" hidden="1" x14ac:dyDescent="0.35">
      <c r="A579" s="72">
        <v>8509</v>
      </c>
      <c r="B579" s="72" t="s">
        <v>2840</v>
      </c>
      <c r="C579" s="72" t="s">
        <v>49</v>
      </c>
      <c r="D579" s="73" t="s">
        <v>2911</v>
      </c>
      <c r="E579" s="72" t="s">
        <v>36</v>
      </c>
      <c r="F579" s="73" t="s">
        <v>134</v>
      </c>
      <c r="G579" s="72" t="s">
        <v>225</v>
      </c>
      <c r="H579" s="72" t="s">
        <v>125</v>
      </c>
      <c r="I579" s="72" t="s">
        <v>114</v>
      </c>
      <c r="J579" s="73" t="s">
        <v>25</v>
      </c>
      <c r="K579" s="72" t="s">
        <v>317</v>
      </c>
      <c r="L579" s="73" t="s">
        <v>2912</v>
      </c>
      <c r="M579" s="72" t="s">
        <v>276</v>
      </c>
      <c r="N579" s="73" t="s">
        <v>2896</v>
      </c>
      <c r="O579" s="73" t="s">
        <v>2843</v>
      </c>
      <c r="P579" s="73" t="s">
        <v>239</v>
      </c>
      <c r="Q579" s="77">
        <v>39447</v>
      </c>
      <c r="R579" s="73" t="s">
        <v>276</v>
      </c>
      <c r="S579" s="73" t="s">
        <v>2905</v>
      </c>
      <c r="T579" s="73" t="s">
        <v>2905</v>
      </c>
      <c r="U579" s="73">
        <v>1</v>
      </c>
      <c r="V579" s="72" t="s">
        <v>14</v>
      </c>
      <c r="W579" s="72" t="s">
        <v>98</v>
      </c>
      <c r="X579" s="73" t="s">
        <v>207</v>
      </c>
      <c r="Y579" s="74">
        <v>17136</v>
      </c>
      <c r="Z579" s="74">
        <v>17136</v>
      </c>
      <c r="AA579" s="73" t="s">
        <v>276</v>
      </c>
      <c r="AB579" s="73" t="s">
        <v>276</v>
      </c>
      <c r="AC579" s="72" t="s">
        <v>276</v>
      </c>
      <c r="AD579" s="72" t="s">
        <v>1859</v>
      </c>
      <c r="AE579" s="72" t="s">
        <v>276</v>
      </c>
      <c r="AF579" s="72" t="s">
        <v>1859</v>
      </c>
      <c r="AG579" s="73" t="s">
        <v>2913</v>
      </c>
      <c r="AH579" s="73" t="s">
        <v>2352</v>
      </c>
      <c r="AI579" s="75">
        <v>112</v>
      </c>
      <c r="AJ579" s="75">
        <v>152</v>
      </c>
      <c r="AK579" s="75">
        <v>174177</v>
      </c>
      <c r="AL579" s="75">
        <v>173437</v>
      </c>
      <c r="AM579" s="75" t="s">
        <v>1019</v>
      </c>
      <c r="AN579" s="76">
        <v>64.3</v>
      </c>
      <c r="AO579" s="76">
        <f>AI579*100000/AK579</f>
        <v>64.302405024773648</v>
      </c>
      <c r="AP579" s="72">
        <v>53.43</v>
      </c>
      <c r="AQ579" s="72">
        <v>77.38</v>
      </c>
      <c r="AR579" s="76">
        <v>87.64</v>
      </c>
      <c r="AS579" s="76">
        <f>AJ579*100000/AL579</f>
        <v>87.639892295184993</v>
      </c>
      <c r="AT579" s="72">
        <v>74.760000000000005</v>
      </c>
      <c r="AU579" s="72">
        <v>102.74</v>
      </c>
      <c r="AV579" s="72" t="s">
        <v>269</v>
      </c>
      <c r="AW579" s="72">
        <v>0.73</v>
      </c>
      <c r="AX579" s="76">
        <f t="shared" ref="AX579:AX587" si="184">AO579/AS579</f>
        <v>0.73371159343958336</v>
      </c>
      <c r="AY579" s="72">
        <v>0.56999999999999995</v>
      </c>
      <c r="AZ579" s="72">
        <v>0.94</v>
      </c>
      <c r="BA579" s="72" t="s">
        <v>276</v>
      </c>
      <c r="BB579" s="72" t="s">
        <v>282</v>
      </c>
      <c r="BC579" s="72" t="s">
        <v>276</v>
      </c>
      <c r="BD579" s="72" t="s">
        <v>276</v>
      </c>
      <c r="BE579" s="72" t="s">
        <v>276</v>
      </c>
      <c r="BF579" s="73" t="s">
        <v>2914</v>
      </c>
      <c r="BG579" s="73"/>
      <c r="BH579" s="9" t="s">
        <v>100</v>
      </c>
      <c r="BI579" s="9" t="s">
        <v>100</v>
      </c>
      <c r="BJ579" s="78"/>
      <c r="BK579" s="78"/>
      <c r="BO579" s="78"/>
      <c r="BP579" s="78"/>
    </row>
    <row r="580" spans="1:68" s="79" customFormat="1" ht="65" hidden="1" x14ac:dyDescent="0.35">
      <c r="A580" s="72">
        <v>8509</v>
      </c>
      <c r="B580" s="72" t="s">
        <v>2840</v>
      </c>
      <c r="C580" s="72" t="s">
        <v>49</v>
      </c>
      <c r="D580" s="73" t="s">
        <v>2915</v>
      </c>
      <c r="E580" s="72" t="s">
        <v>36</v>
      </c>
      <c r="F580" s="73" t="s">
        <v>134</v>
      </c>
      <c r="G580" s="72" t="s">
        <v>225</v>
      </c>
      <c r="H580" s="72" t="s">
        <v>125</v>
      </c>
      <c r="I580" s="72" t="s">
        <v>114</v>
      </c>
      <c r="J580" s="73" t="s">
        <v>25</v>
      </c>
      <c r="K580" s="72" t="s">
        <v>317</v>
      </c>
      <c r="L580" s="73" t="s">
        <v>2912</v>
      </c>
      <c r="M580" s="72" t="s">
        <v>276</v>
      </c>
      <c r="N580" s="73" t="s">
        <v>2896</v>
      </c>
      <c r="O580" s="73" t="s">
        <v>2843</v>
      </c>
      <c r="P580" s="73" t="s">
        <v>239</v>
      </c>
      <c r="Q580" s="77">
        <v>39447</v>
      </c>
      <c r="R580" s="73" t="s">
        <v>276</v>
      </c>
      <c r="S580" s="73" t="s">
        <v>2905</v>
      </c>
      <c r="T580" s="73" t="s">
        <v>2905</v>
      </c>
      <c r="U580" s="73">
        <v>1</v>
      </c>
      <c r="V580" s="72" t="s">
        <v>14</v>
      </c>
      <c r="W580" s="72" t="s">
        <v>98</v>
      </c>
      <c r="X580" s="73" t="s">
        <v>207</v>
      </c>
      <c r="Y580" s="74">
        <v>17136</v>
      </c>
      <c r="Z580" s="74">
        <v>17136</v>
      </c>
      <c r="AA580" s="73" t="s">
        <v>276</v>
      </c>
      <c r="AB580" s="73" t="s">
        <v>276</v>
      </c>
      <c r="AC580" s="72" t="s">
        <v>276</v>
      </c>
      <c r="AD580" s="72" t="s">
        <v>1859</v>
      </c>
      <c r="AE580" s="72" t="s">
        <v>276</v>
      </c>
      <c r="AF580" s="72" t="s">
        <v>1859</v>
      </c>
      <c r="AG580" s="73" t="s">
        <v>2913</v>
      </c>
      <c r="AH580" s="73" t="s">
        <v>2046</v>
      </c>
      <c r="AI580" s="75">
        <v>112</v>
      </c>
      <c r="AJ580" s="75">
        <v>152</v>
      </c>
      <c r="AK580" s="74">
        <v>17136</v>
      </c>
      <c r="AL580" s="74">
        <v>17136</v>
      </c>
      <c r="AM580" s="75" t="s">
        <v>2047</v>
      </c>
      <c r="AN580" s="76" t="s">
        <v>276</v>
      </c>
      <c r="AO580" s="76">
        <f>AI580*1000/AK580</f>
        <v>6.5359477124183005</v>
      </c>
      <c r="AP580" s="76" t="s">
        <v>276</v>
      </c>
      <c r="AQ580" s="76" t="s">
        <v>276</v>
      </c>
      <c r="AR580" s="76" t="s">
        <v>276</v>
      </c>
      <c r="AS580" s="76">
        <f>AJ580*1000/AL580</f>
        <v>8.8702147525676942</v>
      </c>
      <c r="AT580" s="76" t="s">
        <v>276</v>
      </c>
      <c r="AU580" s="76" t="s">
        <v>276</v>
      </c>
      <c r="AV580" s="72" t="s">
        <v>268</v>
      </c>
      <c r="AW580" s="76" t="s">
        <v>276</v>
      </c>
      <c r="AX580" s="76">
        <f t="shared" si="184"/>
        <v>0.73684210526315785</v>
      </c>
      <c r="AY580" s="76" t="s">
        <v>276</v>
      </c>
      <c r="AZ580" s="76" t="s">
        <v>276</v>
      </c>
      <c r="BA580" s="72" t="s">
        <v>276</v>
      </c>
      <c r="BB580" s="72" t="s">
        <v>282</v>
      </c>
      <c r="BC580" s="72" t="s">
        <v>276</v>
      </c>
      <c r="BD580" s="72" t="s">
        <v>276</v>
      </c>
      <c r="BE580" s="72" t="s">
        <v>276</v>
      </c>
      <c r="BF580" s="73" t="s">
        <v>1358</v>
      </c>
      <c r="BG580" s="73"/>
      <c r="BH580" s="9" t="s">
        <v>100</v>
      </c>
      <c r="BI580" s="9" t="s">
        <v>100</v>
      </c>
      <c r="BJ580" s="78"/>
      <c r="BK580" s="78"/>
      <c r="BO580" s="78"/>
      <c r="BP580" s="78"/>
    </row>
    <row r="581" spans="1:68" s="79" customFormat="1" ht="65" hidden="1" x14ac:dyDescent="0.35">
      <c r="A581" s="72">
        <v>8509</v>
      </c>
      <c r="B581" s="72" t="s">
        <v>2840</v>
      </c>
      <c r="C581" s="72" t="s">
        <v>49</v>
      </c>
      <c r="D581" s="73" t="s">
        <v>2916</v>
      </c>
      <c r="E581" s="72" t="s">
        <v>36</v>
      </c>
      <c r="F581" s="73" t="s">
        <v>134</v>
      </c>
      <c r="G581" s="72" t="s">
        <v>225</v>
      </c>
      <c r="H581" s="72" t="s">
        <v>125</v>
      </c>
      <c r="I581" s="72" t="s">
        <v>114</v>
      </c>
      <c r="J581" s="73" t="s">
        <v>25</v>
      </c>
      <c r="K581" s="72" t="s">
        <v>317</v>
      </c>
      <c r="L581" s="73" t="s">
        <v>2912</v>
      </c>
      <c r="M581" s="72" t="s">
        <v>276</v>
      </c>
      <c r="N581" s="73" t="s">
        <v>2896</v>
      </c>
      <c r="O581" s="73" t="s">
        <v>2843</v>
      </c>
      <c r="P581" s="73" t="s">
        <v>235</v>
      </c>
      <c r="Q581" s="77">
        <v>39447</v>
      </c>
      <c r="R581" s="73" t="s">
        <v>276</v>
      </c>
      <c r="S581" s="73" t="s">
        <v>2905</v>
      </c>
      <c r="T581" s="73" t="s">
        <v>2905</v>
      </c>
      <c r="U581" s="73">
        <v>1</v>
      </c>
      <c r="V581" s="72" t="s">
        <v>14</v>
      </c>
      <c r="W581" s="72" t="s">
        <v>98</v>
      </c>
      <c r="X581" s="73" t="s">
        <v>207</v>
      </c>
      <c r="Y581" s="74" t="s">
        <v>98</v>
      </c>
      <c r="Z581" s="74" t="s">
        <v>98</v>
      </c>
      <c r="AA581" s="73" t="s">
        <v>276</v>
      </c>
      <c r="AB581" s="73" t="s">
        <v>276</v>
      </c>
      <c r="AC581" s="72" t="s">
        <v>276</v>
      </c>
      <c r="AD581" s="72" t="s">
        <v>1859</v>
      </c>
      <c r="AE581" s="72" t="s">
        <v>276</v>
      </c>
      <c r="AF581" s="72" t="s">
        <v>1859</v>
      </c>
      <c r="AG581" s="73" t="s">
        <v>2913</v>
      </c>
      <c r="AH581" s="73" t="s">
        <v>2917</v>
      </c>
      <c r="AI581" s="75">
        <v>112</v>
      </c>
      <c r="AJ581" s="75">
        <v>152</v>
      </c>
      <c r="AK581" s="74">
        <v>251</v>
      </c>
      <c r="AL581" s="74">
        <v>306</v>
      </c>
      <c r="AM581" s="75" t="s">
        <v>292</v>
      </c>
      <c r="AN581" s="76" t="s">
        <v>276</v>
      </c>
      <c r="AO581" s="76">
        <f>AI581*100/AK581</f>
        <v>44.621513944223111</v>
      </c>
      <c r="AP581" s="76" t="s">
        <v>276</v>
      </c>
      <c r="AQ581" s="76" t="s">
        <v>276</v>
      </c>
      <c r="AR581" s="76" t="s">
        <v>276</v>
      </c>
      <c r="AS581" s="76">
        <f>AJ581*100/AL581</f>
        <v>49.673202614379086</v>
      </c>
      <c r="AT581" s="76" t="s">
        <v>276</v>
      </c>
      <c r="AU581" s="76" t="s">
        <v>276</v>
      </c>
      <c r="AV581" s="72" t="s">
        <v>268</v>
      </c>
      <c r="AW581" s="76" t="s">
        <v>276</v>
      </c>
      <c r="AX581" s="76">
        <f t="shared" si="184"/>
        <v>0.89830153071922836</v>
      </c>
      <c r="AY581" s="76" t="s">
        <v>276</v>
      </c>
      <c r="AZ581" s="76" t="s">
        <v>276</v>
      </c>
      <c r="BA581" s="72" t="s">
        <v>276</v>
      </c>
      <c r="BB581" s="72" t="s">
        <v>282</v>
      </c>
      <c r="BC581" s="72" t="s">
        <v>276</v>
      </c>
      <c r="BD581" s="72" t="s">
        <v>276</v>
      </c>
      <c r="BE581" s="72" t="s">
        <v>276</v>
      </c>
      <c r="BF581" s="73" t="s">
        <v>1358</v>
      </c>
      <c r="BG581" s="73"/>
      <c r="BH581" s="9" t="s">
        <v>100</v>
      </c>
      <c r="BI581" s="9" t="s">
        <v>100</v>
      </c>
      <c r="BJ581" s="78"/>
      <c r="BK581" s="78"/>
      <c r="BO581" s="78"/>
      <c r="BP581" s="78"/>
    </row>
    <row r="582" spans="1:68" s="33" customFormat="1" ht="65" hidden="1" x14ac:dyDescent="0.35">
      <c r="A582" s="8">
        <v>8509</v>
      </c>
      <c r="B582" s="8" t="s">
        <v>2840</v>
      </c>
      <c r="C582" s="8" t="s">
        <v>49</v>
      </c>
      <c r="D582" s="9" t="s">
        <v>2918</v>
      </c>
      <c r="E582" s="8" t="s">
        <v>36</v>
      </c>
      <c r="F582" s="9" t="s">
        <v>134</v>
      </c>
      <c r="G582" s="8" t="s">
        <v>225</v>
      </c>
      <c r="H582" s="8" t="s">
        <v>125</v>
      </c>
      <c r="I582" s="8" t="s">
        <v>114</v>
      </c>
      <c r="J582" s="9" t="s">
        <v>25</v>
      </c>
      <c r="K582" s="8" t="s">
        <v>317</v>
      </c>
      <c r="L582" s="9" t="s">
        <v>2912</v>
      </c>
      <c r="M582" s="8" t="s">
        <v>276</v>
      </c>
      <c r="N582" s="9" t="s">
        <v>2896</v>
      </c>
      <c r="O582" s="9" t="s">
        <v>2843</v>
      </c>
      <c r="P582" s="9" t="s">
        <v>239</v>
      </c>
      <c r="Q582" s="52">
        <v>39447</v>
      </c>
      <c r="R582" s="9" t="s">
        <v>276</v>
      </c>
      <c r="S582" s="9" t="s">
        <v>2905</v>
      </c>
      <c r="T582" s="9" t="s">
        <v>2905</v>
      </c>
      <c r="U582" s="9">
        <v>1</v>
      </c>
      <c r="V582" s="8" t="s">
        <v>14</v>
      </c>
      <c r="W582" s="8" t="s">
        <v>98</v>
      </c>
      <c r="X582" s="9" t="s">
        <v>207</v>
      </c>
      <c r="Y582" s="13">
        <v>17136</v>
      </c>
      <c r="Z582" s="13">
        <v>17136</v>
      </c>
      <c r="AA582" s="9" t="s">
        <v>276</v>
      </c>
      <c r="AB582" s="9" t="s">
        <v>276</v>
      </c>
      <c r="AC582" s="8" t="s">
        <v>276</v>
      </c>
      <c r="AD582" s="8" t="s">
        <v>1859</v>
      </c>
      <c r="AE582" s="8" t="s">
        <v>276</v>
      </c>
      <c r="AF582" s="8" t="s">
        <v>1859</v>
      </c>
      <c r="AG582" s="9" t="s">
        <v>2919</v>
      </c>
      <c r="AH582" s="9" t="s">
        <v>2352</v>
      </c>
      <c r="AI582" s="38">
        <v>69</v>
      </c>
      <c r="AJ582" s="38">
        <v>90</v>
      </c>
      <c r="AK582" s="38">
        <v>174177</v>
      </c>
      <c r="AL582" s="38">
        <v>173437</v>
      </c>
      <c r="AM582" s="38" t="s">
        <v>1019</v>
      </c>
      <c r="AN582" s="14">
        <v>39.61</v>
      </c>
      <c r="AO582" s="14">
        <f>AI582*100000/AK582</f>
        <v>39.61487452419091</v>
      </c>
      <c r="AP582" s="8">
        <v>31.29</v>
      </c>
      <c r="AQ582" s="8">
        <v>77.38</v>
      </c>
      <c r="AR582" s="14">
        <v>51.89</v>
      </c>
      <c r="AS582" s="14">
        <f>AJ582*100000/AL582</f>
        <v>51.892041490570065</v>
      </c>
      <c r="AT582" s="8">
        <v>42.21</v>
      </c>
      <c r="AU582" s="14">
        <v>63.8</v>
      </c>
      <c r="AV582" s="8" t="s">
        <v>269</v>
      </c>
      <c r="AW582" s="8">
        <v>0.76</v>
      </c>
      <c r="AX582" s="14">
        <f t="shared" si="184"/>
        <v>0.76340944365023311</v>
      </c>
      <c r="AY582" s="8">
        <v>0.56000000000000005</v>
      </c>
      <c r="AZ582" s="8">
        <v>1.04</v>
      </c>
      <c r="BA582" s="8" t="s">
        <v>276</v>
      </c>
      <c r="BB582" s="8" t="s">
        <v>282</v>
      </c>
      <c r="BC582" s="8" t="s">
        <v>276</v>
      </c>
      <c r="BD582" s="8" t="s">
        <v>276</v>
      </c>
      <c r="BE582" s="8" t="s">
        <v>276</v>
      </c>
      <c r="BF582" s="9" t="s">
        <v>1358</v>
      </c>
      <c r="BG582" s="9" t="s">
        <v>2903</v>
      </c>
      <c r="BH582" s="9" t="s">
        <v>100</v>
      </c>
      <c r="BI582" s="9" t="s">
        <v>100</v>
      </c>
      <c r="BJ582" s="32"/>
      <c r="BK582" s="32"/>
      <c r="BO582" s="32"/>
      <c r="BP582" s="32"/>
    </row>
    <row r="583" spans="1:68" s="33" customFormat="1" ht="65" hidden="1" x14ac:dyDescent="0.35">
      <c r="A583" s="8">
        <v>8509</v>
      </c>
      <c r="B583" s="8" t="s">
        <v>2840</v>
      </c>
      <c r="C583" s="8" t="s">
        <v>49</v>
      </c>
      <c r="D583" s="9" t="s">
        <v>2920</v>
      </c>
      <c r="E583" s="8" t="s">
        <v>36</v>
      </c>
      <c r="F583" s="9" t="s">
        <v>134</v>
      </c>
      <c r="G583" s="8" t="s">
        <v>225</v>
      </c>
      <c r="H583" s="8" t="s">
        <v>125</v>
      </c>
      <c r="I583" s="8" t="s">
        <v>114</v>
      </c>
      <c r="J583" s="9" t="s">
        <v>25</v>
      </c>
      <c r="K583" s="8" t="s">
        <v>317</v>
      </c>
      <c r="L583" s="9" t="s">
        <v>2912</v>
      </c>
      <c r="M583" s="8" t="s">
        <v>276</v>
      </c>
      <c r="N583" s="9" t="s">
        <v>2896</v>
      </c>
      <c r="O583" s="9" t="s">
        <v>2843</v>
      </c>
      <c r="P583" s="9" t="s">
        <v>239</v>
      </c>
      <c r="Q583" s="52">
        <v>39447</v>
      </c>
      <c r="R583" s="9" t="s">
        <v>276</v>
      </c>
      <c r="S583" s="9" t="s">
        <v>2905</v>
      </c>
      <c r="T583" s="9" t="s">
        <v>2905</v>
      </c>
      <c r="U583" s="9">
        <v>1</v>
      </c>
      <c r="V583" s="8" t="s">
        <v>14</v>
      </c>
      <c r="W583" s="8" t="s">
        <v>98</v>
      </c>
      <c r="X583" s="9" t="s">
        <v>207</v>
      </c>
      <c r="Y583" s="13">
        <v>17136</v>
      </c>
      <c r="Z583" s="13">
        <v>17136</v>
      </c>
      <c r="AA583" s="9" t="s">
        <v>276</v>
      </c>
      <c r="AB583" s="9" t="s">
        <v>276</v>
      </c>
      <c r="AC583" s="8" t="s">
        <v>276</v>
      </c>
      <c r="AD583" s="8" t="s">
        <v>1859</v>
      </c>
      <c r="AE583" s="8" t="s">
        <v>276</v>
      </c>
      <c r="AF583" s="8" t="s">
        <v>1859</v>
      </c>
      <c r="AG583" s="9" t="s">
        <v>2919</v>
      </c>
      <c r="AH583" s="9" t="s">
        <v>2046</v>
      </c>
      <c r="AI583" s="38">
        <v>69</v>
      </c>
      <c r="AJ583" s="38">
        <v>90</v>
      </c>
      <c r="AK583" s="13">
        <v>17136</v>
      </c>
      <c r="AL583" s="13">
        <v>17136</v>
      </c>
      <c r="AM583" s="38" t="s">
        <v>2047</v>
      </c>
      <c r="AN583" s="14" t="s">
        <v>276</v>
      </c>
      <c r="AO583" s="14">
        <f>AI583*1000/AK583</f>
        <v>4.026610644257703</v>
      </c>
      <c r="AP583" s="14" t="s">
        <v>276</v>
      </c>
      <c r="AQ583" s="14" t="s">
        <v>276</v>
      </c>
      <c r="AR583" s="14" t="s">
        <v>276</v>
      </c>
      <c r="AS583" s="14">
        <f>AJ583*1000/AL583</f>
        <v>5.2521008403361344</v>
      </c>
      <c r="AT583" s="14" t="s">
        <v>276</v>
      </c>
      <c r="AU583" s="14" t="s">
        <v>276</v>
      </c>
      <c r="AV583" s="8" t="s">
        <v>268</v>
      </c>
      <c r="AW583" s="14" t="s">
        <v>276</v>
      </c>
      <c r="AX583" s="14">
        <f t="shared" si="184"/>
        <v>0.76666666666666661</v>
      </c>
      <c r="AY583" s="14" t="s">
        <v>276</v>
      </c>
      <c r="AZ583" s="14" t="s">
        <v>276</v>
      </c>
      <c r="BA583" s="8" t="s">
        <v>276</v>
      </c>
      <c r="BB583" s="8" t="s">
        <v>282</v>
      </c>
      <c r="BC583" s="8" t="s">
        <v>276</v>
      </c>
      <c r="BD583" s="8" t="s">
        <v>276</v>
      </c>
      <c r="BE583" s="8" t="s">
        <v>276</v>
      </c>
      <c r="BF583" s="9" t="s">
        <v>1358</v>
      </c>
      <c r="BG583" s="9" t="s">
        <v>2903</v>
      </c>
      <c r="BH583" s="9" t="s">
        <v>100</v>
      </c>
      <c r="BI583" s="9" t="s">
        <v>100</v>
      </c>
      <c r="BJ583" s="32"/>
      <c r="BK583" s="32"/>
      <c r="BO583" s="32"/>
      <c r="BP583" s="32"/>
    </row>
    <row r="584" spans="1:68" s="33" customFormat="1" ht="65" hidden="1" x14ac:dyDescent="0.35">
      <c r="A584" s="8">
        <v>8509</v>
      </c>
      <c r="B584" s="8" t="s">
        <v>2840</v>
      </c>
      <c r="C584" s="8" t="s">
        <v>49</v>
      </c>
      <c r="D584" s="9" t="s">
        <v>2921</v>
      </c>
      <c r="E584" s="8" t="s">
        <v>36</v>
      </c>
      <c r="F584" s="9" t="s">
        <v>134</v>
      </c>
      <c r="G584" s="8" t="s">
        <v>225</v>
      </c>
      <c r="H584" s="8" t="s">
        <v>125</v>
      </c>
      <c r="I584" s="8" t="s">
        <v>114</v>
      </c>
      <c r="J584" s="9" t="s">
        <v>25</v>
      </c>
      <c r="K584" s="8" t="s">
        <v>317</v>
      </c>
      <c r="L584" s="9" t="s">
        <v>2912</v>
      </c>
      <c r="M584" s="8" t="s">
        <v>276</v>
      </c>
      <c r="N584" s="9" t="s">
        <v>2896</v>
      </c>
      <c r="O584" s="9" t="s">
        <v>2843</v>
      </c>
      <c r="P584" s="9" t="s">
        <v>235</v>
      </c>
      <c r="Q584" s="52">
        <v>39447</v>
      </c>
      <c r="R584" s="9" t="s">
        <v>276</v>
      </c>
      <c r="S584" s="9" t="s">
        <v>2905</v>
      </c>
      <c r="T584" s="9" t="s">
        <v>2905</v>
      </c>
      <c r="U584" s="9">
        <v>1</v>
      </c>
      <c r="V584" s="8" t="s">
        <v>14</v>
      </c>
      <c r="W584" s="8" t="s">
        <v>98</v>
      </c>
      <c r="X584" s="9" t="s">
        <v>207</v>
      </c>
      <c r="Y584" s="13" t="s">
        <v>98</v>
      </c>
      <c r="Z584" s="13" t="s">
        <v>98</v>
      </c>
      <c r="AA584" s="9" t="s">
        <v>276</v>
      </c>
      <c r="AB584" s="9" t="s">
        <v>276</v>
      </c>
      <c r="AC584" s="8" t="s">
        <v>276</v>
      </c>
      <c r="AD584" s="8" t="s">
        <v>1859</v>
      </c>
      <c r="AE584" s="8" t="s">
        <v>276</v>
      </c>
      <c r="AF584" s="8" t="s">
        <v>1859</v>
      </c>
      <c r="AG584" s="9" t="s">
        <v>2913</v>
      </c>
      <c r="AH584" s="9" t="s">
        <v>2922</v>
      </c>
      <c r="AI584" s="38">
        <v>69</v>
      </c>
      <c r="AJ584" s="38">
        <v>90</v>
      </c>
      <c r="AK584" s="13">
        <v>152</v>
      </c>
      <c r="AL584" s="13">
        <v>198</v>
      </c>
      <c r="AM584" s="38" t="s">
        <v>292</v>
      </c>
      <c r="AN584" s="14" t="s">
        <v>276</v>
      </c>
      <c r="AO584" s="14">
        <f>AI584*100/AK584</f>
        <v>45.39473684210526</v>
      </c>
      <c r="AP584" s="14" t="s">
        <v>276</v>
      </c>
      <c r="AQ584" s="14" t="s">
        <v>276</v>
      </c>
      <c r="AR584" s="14" t="s">
        <v>276</v>
      </c>
      <c r="AS584" s="14">
        <f>AJ584*100/AL584</f>
        <v>45.454545454545453</v>
      </c>
      <c r="AT584" s="14" t="s">
        <v>276</v>
      </c>
      <c r="AU584" s="14" t="s">
        <v>276</v>
      </c>
      <c r="AV584" s="8" t="s">
        <v>268</v>
      </c>
      <c r="AW584" s="14" t="s">
        <v>276</v>
      </c>
      <c r="AX584" s="14">
        <f t="shared" si="184"/>
        <v>0.99868421052631573</v>
      </c>
      <c r="AY584" s="14" t="s">
        <v>276</v>
      </c>
      <c r="AZ584" s="14" t="s">
        <v>276</v>
      </c>
      <c r="BA584" s="8" t="s">
        <v>276</v>
      </c>
      <c r="BB584" s="8" t="s">
        <v>282</v>
      </c>
      <c r="BC584" s="8" t="s">
        <v>276</v>
      </c>
      <c r="BD584" s="8" t="s">
        <v>276</v>
      </c>
      <c r="BE584" s="8" t="s">
        <v>276</v>
      </c>
      <c r="BF584" s="9" t="s">
        <v>1358</v>
      </c>
      <c r="BG584" s="9" t="s">
        <v>2903</v>
      </c>
      <c r="BH584" s="9" t="s">
        <v>100</v>
      </c>
      <c r="BI584" s="9" t="s">
        <v>100</v>
      </c>
      <c r="BJ584" s="32"/>
      <c r="BK584" s="32"/>
      <c r="BO584" s="32"/>
      <c r="BP584" s="32"/>
    </row>
    <row r="585" spans="1:68" s="79" customFormat="1" ht="65" hidden="1" x14ac:dyDescent="0.35">
      <c r="A585" s="72">
        <v>8509</v>
      </c>
      <c r="B585" s="72" t="s">
        <v>2840</v>
      </c>
      <c r="C585" s="72" t="s">
        <v>49</v>
      </c>
      <c r="D585" s="73" t="s">
        <v>2923</v>
      </c>
      <c r="E585" s="72" t="s">
        <v>36</v>
      </c>
      <c r="F585" s="73" t="s">
        <v>134</v>
      </c>
      <c r="G585" s="72" t="s">
        <v>225</v>
      </c>
      <c r="H585" s="72" t="s">
        <v>125</v>
      </c>
      <c r="I585" s="72" t="s">
        <v>114</v>
      </c>
      <c r="J585" s="73" t="s">
        <v>25</v>
      </c>
      <c r="K585" s="72" t="s">
        <v>317</v>
      </c>
      <c r="L585" s="73" t="s">
        <v>2912</v>
      </c>
      <c r="M585" s="72" t="s">
        <v>276</v>
      </c>
      <c r="N585" s="73" t="s">
        <v>2896</v>
      </c>
      <c r="O585" s="73" t="s">
        <v>2843</v>
      </c>
      <c r="P585" s="73" t="s">
        <v>239</v>
      </c>
      <c r="Q585" s="77">
        <v>39447</v>
      </c>
      <c r="R585" s="73" t="s">
        <v>276</v>
      </c>
      <c r="S585" s="73" t="s">
        <v>2905</v>
      </c>
      <c r="T585" s="73" t="s">
        <v>2905</v>
      </c>
      <c r="U585" s="73">
        <v>1</v>
      </c>
      <c r="V585" s="72" t="s">
        <v>14</v>
      </c>
      <c r="W585" s="72" t="s">
        <v>98</v>
      </c>
      <c r="X585" s="73" t="s">
        <v>207</v>
      </c>
      <c r="Y585" s="74">
        <v>17136</v>
      </c>
      <c r="Z585" s="74">
        <v>17136</v>
      </c>
      <c r="AA585" s="73" t="s">
        <v>276</v>
      </c>
      <c r="AB585" s="73" t="s">
        <v>276</v>
      </c>
      <c r="AC585" s="72" t="s">
        <v>276</v>
      </c>
      <c r="AD585" s="72" t="s">
        <v>1859</v>
      </c>
      <c r="AE585" s="72" t="s">
        <v>276</v>
      </c>
      <c r="AF585" s="72" t="s">
        <v>1859</v>
      </c>
      <c r="AG585" s="73" t="s">
        <v>2924</v>
      </c>
      <c r="AH585" s="73" t="s">
        <v>2352</v>
      </c>
      <c r="AI585" s="75">
        <v>43</v>
      </c>
      <c r="AJ585" s="75">
        <v>62</v>
      </c>
      <c r="AK585" s="75">
        <v>174177</v>
      </c>
      <c r="AL585" s="75">
        <v>173437</v>
      </c>
      <c r="AM585" s="75" t="s">
        <v>1019</v>
      </c>
      <c r="AN585" s="76">
        <v>24.69</v>
      </c>
      <c r="AO585" s="76">
        <f>AI585*100000/AK585</f>
        <v>24.687530500582742</v>
      </c>
      <c r="AP585" s="72">
        <v>18.309999999999999</v>
      </c>
      <c r="AQ585" s="72">
        <v>33.29</v>
      </c>
      <c r="AR585" s="76">
        <v>35.75</v>
      </c>
      <c r="AS585" s="76">
        <f>AJ585*100000/AL585</f>
        <v>35.747850804614934</v>
      </c>
      <c r="AT585" s="72">
        <v>27.87</v>
      </c>
      <c r="AU585" s="72">
        <v>45.85</v>
      </c>
      <c r="AV585" s="72" t="s">
        <v>269</v>
      </c>
      <c r="AW585" s="72">
        <v>0.69</v>
      </c>
      <c r="AX585" s="76">
        <f t="shared" si="184"/>
        <v>0.69060181087573691</v>
      </c>
      <c r="AY585" s="72">
        <v>0.47</v>
      </c>
      <c r="AZ585" s="72">
        <v>0.94</v>
      </c>
      <c r="BA585" s="72">
        <v>1.02</v>
      </c>
      <c r="BB585" s="72" t="s">
        <v>282</v>
      </c>
      <c r="BC585" s="72" t="s">
        <v>276</v>
      </c>
      <c r="BD585" s="72" t="s">
        <v>276</v>
      </c>
      <c r="BE585" s="72" t="s">
        <v>276</v>
      </c>
      <c r="BF585" s="73" t="s">
        <v>1358</v>
      </c>
      <c r="BG585" s="73"/>
      <c r="BH585" s="9" t="s">
        <v>100</v>
      </c>
      <c r="BI585" s="9" t="s">
        <v>100</v>
      </c>
      <c r="BJ585" s="78"/>
      <c r="BK585" s="78"/>
      <c r="BO585" s="78"/>
      <c r="BP585" s="78"/>
    </row>
    <row r="586" spans="1:68" s="79" customFormat="1" ht="65" hidden="1" x14ac:dyDescent="0.35">
      <c r="A586" s="72">
        <v>8509</v>
      </c>
      <c r="B586" s="72" t="s">
        <v>2840</v>
      </c>
      <c r="C586" s="72" t="s">
        <v>49</v>
      </c>
      <c r="D586" s="73" t="s">
        <v>2925</v>
      </c>
      <c r="E586" s="72" t="s">
        <v>36</v>
      </c>
      <c r="F586" s="73" t="s">
        <v>134</v>
      </c>
      <c r="G586" s="72" t="s">
        <v>225</v>
      </c>
      <c r="H586" s="72" t="s">
        <v>125</v>
      </c>
      <c r="I586" s="72" t="s">
        <v>114</v>
      </c>
      <c r="J586" s="73" t="s">
        <v>25</v>
      </c>
      <c r="K586" s="72" t="s">
        <v>317</v>
      </c>
      <c r="L586" s="73" t="s">
        <v>2912</v>
      </c>
      <c r="M586" s="72" t="s">
        <v>276</v>
      </c>
      <c r="N586" s="73" t="s">
        <v>2896</v>
      </c>
      <c r="O586" s="73" t="s">
        <v>2843</v>
      </c>
      <c r="P586" s="73" t="s">
        <v>239</v>
      </c>
      <c r="Q586" s="77">
        <v>39447</v>
      </c>
      <c r="R586" s="73" t="s">
        <v>276</v>
      </c>
      <c r="S586" s="73" t="s">
        <v>2905</v>
      </c>
      <c r="T586" s="73" t="s">
        <v>2905</v>
      </c>
      <c r="U586" s="73">
        <v>1</v>
      </c>
      <c r="V586" s="72" t="s">
        <v>14</v>
      </c>
      <c r="W586" s="72" t="s">
        <v>98</v>
      </c>
      <c r="X586" s="73" t="s">
        <v>207</v>
      </c>
      <c r="Y586" s="74">
        <v>17136</v>
      </c>
      <c r="Z586" s="74">
        <v>17136</v>
      </c>
      <c r="AA586" s="73" t="s">
        <v>276</v>
      </c>
      <c r="AB586" s="73" t="s">
        <v>276</v>
      </c>
      <c r="AC586" s="72" t="s">
        <v>276</v>
      </c>
      <c r="AD586" s="72" t="s">
        <v>1859</v>
      </c>
      <c r="AE586" s="72" t="s">
        <v>276</v>
      </c>
      <c r="AF586" s="72" t="s">
        <v>1859</v>
      </c>
      <c r="AG586" s="73" t="s">
        <v>2924</v>
      </c>
      <c r="AH586" s="73" t="s">
        <v>2046</v>
      </c>
      <c r="AI586" s="75">
        <v>43</v>
      </c>
      <c r="AJ586" s="75">
        <v>62</v>
      </c>
      <c r="AK586" s="74">
        <v>17136</v>
      </c>
      <c r="AL586" s="74">
        <v>17136</v>
      </c>
      <c r="AM586" s="75" t="s">
        <v>2047</v>
      </c>
      <c r="AN586" s="76" t="s">
        <v>276</v>
      </c>
      <c r="AO586" s="76">
        <f>AI586*1000/AK586</f>
        <v>2.5093370681605975</v>
      </c>
      <c r="AP586" s="76" t="s">
        <v>276</v>
      </c>
      <c r="AQ586" s="76" t="s">
        <v>276</v>
      </c>
      <c r="AR586" s="76" t="s">
        <v>276</v>
      </c>
      <c r="AS586" s="76">
        <f>AJ586*1000/AL586</f>
        <v>3.6181139122315593</v>
      </c>
      <c r="AT586" s="76" t="s">
        <v>276</v>
      </c>
      <c r="AU586" s="76" t="s">
        <v>276</v>
      </c>
      <c r="AV586" s="72" t="s">
        <v>268</v>
      </c>
      <c r="AW586" s="76" t="s">
        <v>276</v>
      </c>
      <c r="AX586" s="76">
        <f t="shared" si="184"/>
        <v>0.69354838709677413</v>
      </c>
      <c r="AY586" s="76" t="s">
        <v>276</v>
      </c>
      <c r="AZ586" s="76" t="s">
        <v>276</v>
      </c>
      <c r="BA586" s="72" t="s">
        <v>276</v>
      </c>
      <c r="BB586" s="72" t="s">
        <v>282</v>
      </c>
      <c r="BC586" s="72" t="s">
        <v>276</v>
      </c>
      <c r="BD586" s="72" t="s">
        <v>276</v>
      </c>
      <c r="BE586" s="72" t="s">
        <v>276</v>
      </c>
      <c r="BF586" s="73" t="s">
        <v>1358</v>
      </c>
      <c r="BG586" s="73"/>
      <c r="BH586" s="9" t="s">
        <v>100</v>
      </c>
      <c r="BI586" s="9" t="s">
        <v>100</v>
      </c>
      <c r="BJ586" s="78"/>
      <c r="BK586" s="78"/>
      <c r="BO586" s="78"/>
      <c r="BP586" s="78"/>
    </row>
    <row r="587" spans="1:68" s="79" customFormat="1" ht="65" hidden="1" x14ac:dyDescent="0.35">
      <c r="A587" s="72">
        <v>8509</v>
      </c>
      <c r="B587" s="72" t="s">
        <v>2840</v>
      </c>
      <c r="C587" s="72" t="s">
        <v>49</v>
      </c>
      <c r="D587" s="73" t="s">
        <v>2926</v>
      </c>
      <c r="E587" s="72" t="s">
        <v>36</v>
      </c>
      <c r="F587" s="73" t="s">
        <v>134</v>
      </c>
      <c r="G587" s="72" t="s">
        <v>225</v>
      </c>
      <c r="H587" s="72" t="s">
        <v>125</v>
      </c>
      <c r="I587" s="72" t="s">
        <v>114</v>
      </c>
      <c r="J587" s="73" t="s">
        <v>25</v>
      </c>
      <c r="K587" s="72" t="s">
        <v>317</v>
      </c>
      <c r="L587" s="73" t="s">
        <v>2912</v>
      </c>
      <c r="M587" s="72" t="s">
        <v>276</v>
      </c>
      <c r="N587" s="73" t="s">
        <v>2896</v>
      </c>
      <c r="O587" s="73" t="s">
        <v>2843</v>
      </c>
      <c r="P587" s="73" t="s">
        <v>235</v>
      </c>
      <c r="Q587" s="77">
        <v>39447</v>
      </c>
      <c r="R587" s="73" t="s">
        <v>276</v>
      </c>
      <c r="S587" s="73" t="s">
        <v>2905</v>
      </c>
      <c r="T587" s="73" t="s">
        <v>2905</v>
      </c>
      <c r="U587" s="73">
        <v>1</v>
      </c>
      <c r="V587" s="72" t="s">
        <v>14</v>
      </c>
      <c r="W587" s="72" t="s">
        <v>98</v>
      </c>
      <c r="X587" s="73" t="s">
        <v>207</v>
      </c>
      <c r="Y587" s="74" t="s">
        <v>98</v>
      </c>
      <c r="Z587" s="74" t="s">
        <v>98</v>
      </c>
      <c r="AA587" s="73" t="s">
        <v>276</v>
      </c>
      <c r="AB587" s="73" t="s">
        <v>276</v>
      </c>
      <c r="AC587" s="72" t="s">
        <v>276</v>
      </c>
      <c r="AD587" s="72" t="s">
        <v>1859</v>
      </c>
      <c r="AE587" s="72" t="s">
        <v>276</v>
      </c>
      <c r="AF587" s="72" t="s">
        <v>1859</v>
      </c>
      <c r="AG587" s="73" t="s">
        <v>2924</v>
      </c>
      <c r="AH587" s="73" t="s">
        <v>2927</v>
      </c>
      <c r="AI587" s="75">
        <v>43</v>
      </c>
      <c r="AJ587" s="75">
        <v>62</v>
      </c>
      <c r="AK587" s="74">
        <v>99</v>
      </c>
      <c r="AL587" s="74">
        <v>108</v>
      </c>
      <c r="AM587" s="75" t="s">
        <v>292</v>
      </c>
      <c r="AN587" s="76" t="s">
        <v>276</v>
      </c>
      <c r="AO587" s="76">
        <f>AI587*100/AK587</f>
        <v>43.434343434343432</v>
      </c>
      <c r="AP587" s="76" t="s">
        <v>276</v>
      </c>
      <c r="AQ587" s="76" t="s">
        <v>276</v>
      </c>
      <c r="AR587" s="76" t="s">
        <v>276</v>
      </c>
      <c r="AS587" s="76">
        <f>AJ587*100/AL587</f>
        <v>57.407407407407405</v>
      </c>
      <c r="AT587" s="76" t="s">
        <v>276</v>
      </c>
      <c r="AU587" s="76" t="s">
        <v>276</v>
      </c>
      <c r="AV587" s="72" t="s">
        <v>268</v>
      </c>
      <c r="AW587" s="76" t="s">
        <v>276</v>
      </c>
      <c r="AX587" s="76">
        <f t="shared" si="184"/>
        <v>0.75659824046920821</v>
      </c>
      <c r="AY587" s="76" t="s">
        <v>276</v>
      </c>
      <c r="AZ587" s="76" t="s">
        <v>276</v>
      </c>
      <c r="BA587" s="72" t="s">
        <v>276</v>
      </c>
      <c r="BB587" s="72" t="s">
        <v>282</v>
      </c>
      <c r="BC587" s="72" t="s">
        <v>276</v>
      </c>
      <c r="BD587" s="72" t="s">
        <v>276</v>
      </c>
      <c r="BE587" s="72" t="s">
        <v>276</v>
      </c>
      <c r="BF587" s="73" t="s">
        <v>1358</v>
      </c>
      <c r="BG587" s="73"/>
      <c r="BH587" s="9" t="s">
        <v>100</v>
      </c>
      <c r="BI587" s="9" t="s">
        <v>100</v>
      </c>
      <c r="BJ587" s="78"/>
      <c r="BK587" s="78"/>
      <c r="BO587" s="78"/>
      <c r="BP587" s="78"/>
    </row>
    <row r="588" spans="1:68" s="137" customFormat="1" ht="65" hidden="1" x14ac:dyDescent="0.35">
      <c r="A588" s="126">
        <v>283</v>
      </c>
      <c r="B588" s="126" t="s">
        <v>2870</v>
      </c>
      <c r="C588" s="126" t="s">
        <v>49</v>
      </c>
      <c r="D588" s="127" t="s">
        <v>2928</v>
      </c>
      <c r="E588" s="126" t="s">
        <v>36</v>
      </c>
      <c r="F588" s="127" t="s">
        <v>134</v>
      </c>
      <c r="G588" s="126" t="s">
        <v>225</v>
      </c>
      <c r="H588" s="126" t="s">
        <v>225</v>
      </c>
      <c r="I588" s="126" t="s">
        <v>98</v>
      </c>
      <c r="J588" s="127" t="s">
        <v>98</v>
      </c>
      <c r="K588" s="126" t="s">
        <v>98</v>
      </c>
      <c r="L588" s="126" t="s">
        <v>98</v>
      </c>
      <c r="M588" s="126" t="s">
        <v>98</v>
      </c>
      <c r="N588" s="127" t="s">
        <v>2929</v>
      </c>
      <c r="O588" s="127" t="s">
        <v>2930</v>
      </c>
      <c r="P588" s="127" t="s">
        <v>238</v>
      </c>
      <c r="Q588" s="146" t="s">
        <v>276</v>
      </c>
      <c r="R588" s="127" t="s">
        <v>2897</v>
      </c>
      <c r="S588" s="127" t="s">
        <v>276</v>
      </c>
      <c r="T588" s="127" t="s">
        <v>98</v>
      </c>
      <c r="U588" s="127">
        <v>1</v>
      </c>
      <c r="V588" s="126" t="s">
        <v>14</v>
      </c>
      <c r="W588" s="126" t="s">
        <v>98</v>
      </c>
      <c r="X588" s="127" t="s">
        <v>209</v>
      </c>
      <c r="Y588" s="132">
        <v>17136</v>
      </c>
      <c r="Z588" s="127" t="s">
        <v>98</v>
      </c>
      <c r="AA588" s="127">
        <v>0</v>
      </c>
      <c r="AB588" s="127" t="s">
        <v>98</v>
      </c>
      <c r="AC588" s="126">
        <v>8</v>
      </c>
      <c r="AD588" s="126" t="s">
        <v>2901</v>
      </c>
      <c r="AE588" s="126" t="s">
        <v>98</v>
      </c>
      <c r="AF588" s="126" t="s">
        <v>98</v>
      </c>
      <c r="AG588" s="127" t="s">
        <v>2931</v>
      </c>
      <c r="AH588" s="127" t="s">
        <v>2046</v>
      </c>
      <c r="AI588" s="134">
        <v>7</v>
      </c>
      <c r="AJ588" s="134" t="s">
        <v>98</v>
      </c>
      <c r="AK588" s="134">
        <v>17136</v>
      </c>
      <c r="AL588" s="134" t="s">
        <v>98</v>
      </c>
      <c r="AM588" s="134" t="s">
        <v>2047</v>
      </c>
      <c r="AN588" s="126" t="s">
        <v>276</v>
      </c>
      <c r="AO588" s="135">
        <f>AI588*1000/AK588</f>
        <v>0.40849673202614378</v>
      </c>
      <c r="AP588" s="126" t="s">
        <v>276</v>
      </c>
      <c r="AQ588" s="126" t="s">
        <v>276</v>
      </c>
      <c r="AR588" s="135" t="s">
        <v>98</v>
      </c>
      <c r="AS588" s="135" t="s">
        <v>98</v>
      </c>
      <c r="AT588" s="135" t="s">
        <v>98</v>
      </c>
      <c r="AU588" s="135" t="s">
        <v>98</v>
      </c>
      <c r="AV588" s="135" t="s">
        <v>98</v>
      </c>
      <c r="AW588" s="135" t="s">
        <v>98</v>
      </c>
      <c r="AX588" s="135" t="s">
        <v>98</v>
      </c>
      <c r="AY588" s="135" t="s">
        <v>98</v>
      </c>
      <c r="AZ588" s="135" t="s">
        <v>98</v>
      </c>
      <c r="BA588" s="135" t="s">
        <v>98</v>
      </c>
      <c r="BB588" s="135" t="s">
        <v>98</v>
      </c>
      <c r="BC588" s="135" t="s">
        <v>98</v>
      </c>
      <c r="BD588" s="135" t="s">
        <v>98</v>
      </c>
      <c r="BE588" s="135" t="s">
        <v>98</v>
      </c>
      <c r="BF588" s="127" t="s">
        <v>2932</v>
      </c>
      <c r="BG588" s="127"/>
      <c r="BH588" s="9" t="s">
        <v>100</v>
      </c>
      <c r="BI588" s="9" t="s">
        <v>100</v>
      </c>
      <c r="BJ588" s="136"/>
      <c r="BK588" s="136"/>
      <c r="BO588" s="136"/>
      <c r="BP588" s="136"/>
    </row>
    <row r="589" spans="1:68" s="137" customFormat="1" ht="65" hidden="1" x14ac:dyDescent="0.35">
      <c r="A589" s="126">
        <v>283</v>
      </c>
      <c r="B589" s="126" t="s">
        <v>2870</v>
      </c>
      <c r="C589" s="126" t="s">
        <v>49</v>
      </c>
      <c r="D589" s="127" t="s">
        <v>2933</v>
      </c>
      <c r="E589" s="126" t="s">
        <v>36</v>
      </c>
      <c r="F589" s="127" t="s">
        <v>134</v>
      </c>
      <c r="G589" s="126" t="s">
        <v>225</v>
      </c>
      <c r="H589" s="126" t="s">
        <v>225</v>
      </c>
      <c r="I589" s="126" t="s">
        <v>98</v>
      </c>
      <c r="J589" s="127" t="s">
        <v>98</v>
      </c>
      <c r="K589" s="126" t="s">
        <v>98</v>
      </c>
      <c r="L589" s="126" t="s">
        <v>98</v>
      </c>
      <c r="M589" s="126" t="s">
        <v>98</v>
      </c>
      <c r="N589" s="127" t="s">
        <v>2929</v>
      </c>
      <c r="O589" s="127" t="s">
        <v>2930</v>
      </c>
      <c r="P589" s="127" t="s">
        <v>236</v>
      </c>
      <c r="Q589" s="146">
        <v>41274</v>
      </c>
      <c r="R589" s="127" t="s">
        <v>276</v>
      </c>
      <c r="S589" s="127" t="s">
        <v>2934</v>
      </c>
      <c r="T589" s="127" t="s">
        <v>98</v>
      </c>
      <c r="U589" s="127">
        <v>1</v>
      </c>
      <c r="V589" s="126" t="s">
        <v>14</v>
      </c>
      <c r="W589" s="126" t="s">
        <v>98</v>
      </c>
      <c r="X589" s="127" t="s">
        <v>209</v>
      </c>
      <c r="Y589" s="132">
        <v>17136</v>
      </c>
      <c r="Z589" s="127" t="s">
        <v>98</v>
      </c>
      <c r="AA589" s="127" t="s">
        <v>276</v>
      </c>
      <c r="AB589" s="127" t="s">
        <v>98</v>
      </c>
      <c r="AC589" s="126">
        <v>8</v>
      </c>
      <c r="AD589" s="126" t="s">
        <v>2901</v>
      </c>
      <c r="AE589" s="126" t="s">
        <v>98</v>
      </c>
      <c r="AF589" s="126" t="s">
        <v>98</v>
      </c>
      <c r="AG589" s="127" t="s">
        <v>2931</v>
      </c>
      <c r="AH589" s="127" t="s">
        <v>2935</v>
      </c>
      <c r="AI589" s="134">
        <v>7</v>
      </c>
      <c r="AJ589" s="134" t="s">
        <v>98</v>
      </c>
      <c r="AK589" s="134">
        <v>165</v>
      </c>
      <c r="AL589" s="134" t="s">
        <v>98</v>
      </c>
      <c r="AM589" s="134" t="s">
        <v>292</v>
      </c>
      <c r="AN589" s="126" t="s">
        <v>276</v>
      </c>
      <c r="AO589" s="135">
        <f t="shared" ref="AO589:AO594" si="185">AI589*100/AK589</f>
        <v>4.2424242424242422</v>
      </c>
      <c r="AP589" s="126" t="s">
        <v>276</v>
      </c>
      <c r="AQ589" s="126" t="s">
        <v>276</v>
      </c>
      <c r="AR589" s="135" t="s">
        <v>98</v>
      </c>
      <c r="AS589" s="135" t="s">
        <v>98</v>
      </c>
      <c r="AT589" s="135" t="s">
        <v>98</v>
      </c>
      <c r="AU589" s="135" t="s">
        <v>98</v>
      </c>
      <c r="AV589" s="135" t="s">
        <v>98</v>
      </c>
      <c r="AW589" s="135" t="s">
        <v>98</v>
      </c>
      <c r="AX589" s="135" t="s">
        <v>98</v>
      </c>
      <c r="AY589" s="135" t="s">
        <v>98</v>
      </c>
      <c r="AZ589" s="135" t="s">
        <v>98</v>
      </c>
      <c r="BA589" s="135" t="s">
        <v>98</v>
      </c>
      <c r="BB589" s="135" t="s">
        <v>98</v>
      </c>
      <c r="BC589" s="135" t="s">
        <v>98</v>
      </c>
      <c r="BD589" s="135" t="s">
        <v>98</v>
      </c>
      <c r="BE589" s="135" t="s">
        <v>98</v>
      </c>
      <c r="BF589" s="127" t="s">
        <v>2932</v>
      </c>
      <c r="BG589" s="127"/>
      <c r="BH589" s="9" t="s">
        <v>100</v>
      </c>
      <c r="BI589" s="9" t="s">
        <v>100</v>
      </c>
      <c r="BJ589" s="136"/>
      <c r="BK589" s="136"/>
      <c r="BO589" s="136"/>
      <c r="BP589" s="136"/>
    </row>
    <row r="590" spans="1:68" s="33" customFormat="1" ht="65" hidden="1" x14ac:dyDescent="0.35">
      <c r="A590" s="8">
        <v>11138</v>
      </c>
      <c r="B590" s="8" t="s">
        <v>2937</v>
      </c>
      <c r="C590" s="8" t="s">
        <v>2938</v>
      </c>
      <c r="D590" s="9" t="s">
        <v>2951</v>
      </c>
      <c r="E590" s="8" t="s">
        <v>96</v>
      </c>
      <c r="F590" s="9" t="s">
        <v>2940</v>
      </c>
      <c r="G590" s="8" t="s">
        <v>2952</v>
      </c>
      <c r="H590" s="8" t="s">
        <v>225</v>
      </c>
      <c r="I590" s="8" t="s">
        <v>98</v>
      </c>
      <c r="J590" s="9" t="s">
        <v>98</v>
      </c>
      <c r="K590" s="8" t="s">
        <v>98</v>
      </c>
      <c r="L590" s="8" t="s">
        <v>98</v>
      </c>
      <c r="M590" s="8" t="s">
        <v>98</v>
      </c>
      <c r="N590" s="9" t="s">
        <v>2941</v>
      </c>
      <c r="O590" s="9" t="s">
        <v>276</v>
      </c>
      <c r="P590" s="9" t="s">
        <v>238</v>
      </c>
      <c r="Q590" s="52" t="s">
        <v>276</v>
      </c>
      <c r="R590" s="9" t="s">
        <v>2953</v>
      </c>
      <c r="S590" s="9" t="s">
        <v>276</v>
      </c>
      <c r="T590" s="9" t="s">
        <v>276</v>
      </c>
      <c r="U590" s="9">
        <v>1</v>
      </c>
      <c r="V590" s="8" t="s">
        <v>14</v>
      </c>
      <c r="W590" s="8" t="s">
        <v>98</v>
      </c>
      <c r="X590" s="9" t="s">
        <v>208</v>
      </c>
      <c r="Y590" s="13">
        <v>197</v>
      </c>
      <c r="Z590" s="9">
        <v>197</v>
      </c>
      <c r="AA590" s="9" t="s">
        <v>276</v>
      </c>
      <c r="AB590" s="9" t="s">
        <v>276</v>
      </c>
      <c r="AC590" s="8">
        <v>0</v>
      </c>
      <c r="AD590" s="8" t="s">
        <v>98</v>
      </c>
      <c r="AE590" s="8">
        <v>0</v>
      </c>
      <c r="AF590" s="8" t="s">
        <v>98</v>
      </c>
      <c r="AG590" s="9" t="s">
        <v>2954</v>
      </c>
      <c r="AH590" s="9" t="s">
        <v>2943</v>
      </c>
      <c r="AI590" s="38">
        <v>11</v>
      </c>
      <c r="AJ590" s="38">
        <v>4</v>
      </c>
      <c r="AK590" s="38">
        <v>197</v>
      </c>
      <c r="AL590" s="38">
        <v>197</v>
      </c>
      <c r="AM590" s="38" t="s">
        <v>292</v>
      </c>
      <c r="AN590" s="8">
        <v>5.6</v>
      </c>
      <c r="AO590" s="31">
        <f t="shared" si="185"/>
        <v>5.5837563451776653</v>
      </c>
      <c r="AP590" s="8" t="s">
        <v>276</v>
      </c>
      <c r="AQ590" s="8" t="s">
        <v>276</v>
      </c>
      <c r="AR590" s="43">
        <v>2</v>
      </c>
      <c r="AS590" s="14">
        <f>AJ590*100/AL590</f>
        <v>2.030456852791878</v>
      </c>
      <c r="AT590" s="8" t="s">
        <v>276</v>
      </c>
      <c r="AU590" s="8" t="s">
        <v>276</v>
      </c>
      <c r="AV590" s="8" t="s">
        <v>268</v>
      </c>
      <c r="AW590" s="40" t="s">
        <v>276</v>
      </c>
      <c r="AX590" s="40">
        <f>AO590/AS590</f>
        <v>2.7500000000000004</v>
      </c>
      <c r="AY590" s="9" t="s">
        <v>276</v>
      </c>
      <c r="AZ590" s="9" t="s">
        <v>276</v>
      </c>
      <c r="BA590" s="9">
        <v>6.5000000000000002E-2</v>
      </c>
      <c r="BB590" s="9" t="s">
        <v>282</v>
      </c>
      <c r="BC590" s="9" t="s">
        <v>276</v>
      </c>
      <c r="BD590" s="9" t="s">
        <v>276</v>
      </c>
      <c r="BE590" s="9" t="s">
        <v>276</v>
      </c>
      <c r="BF590" s="9" t="s">
        <v>2955</v>
      </c>
      <c r="BG590" s="9"/>
      <c r="BH590" s="9" t="s">
        <v>100</v>
      </c>
      <c r="BI590" s="9" t="s">
        <v>100</v>
      </c>
      <c r="BJ590" s="32"/>
      <c r="BN590" s="32"/>
      <c r="BO590" s="32"/>
    </row>
    <row r="591" spans="1:68" s="33" customFormat="1" ht="135" customHeight="1" x14ac:dyDescent="0.35">
      <c r="A591" s="8">
        <v>11138</v>
      </c>
      <c r="B591" s="8" t="s">
        <v>2937</v>
      </c>
      <c r="C591" s="8" t="s">
        <v>2938</v>
      </c>
      <c r="D591" s="9" t="s">
        <v>2956</v>
      </c>
      <c r="E591" s="8" t="s">
        <v>96</v>
      </c>
      <c r="F591" s="9" t="s">
        <v>2940</v>
      </c>
      <c r="G591" s="8" t="s">
        <v>2952</v>
      </c>
      <c r="H591" s="8" t="s">
        <v>225</v>
      </c>
      <c r="I591" s="8" t="s">
        <v>98</v>
      </c>
      <c r="J591" s="9" t="s">
        <v>98</v>
      </c>
      <c r="K591" s="8" t="s">
        <v>98</v>
      </c>
      <c r="L591" s="8" t="s">
        <v>98</v>
      </c>
      <c r="M591" s="8" t="s">
        <v>98</v>
      </c>
      <c r="N591" s="9" t="s">
        <v>2941</v>
      </c>
      <c r="O591" s="9" t="s">
        <v>276</v>
      </c>
      <c r="P591" s="9" t="s">
        <v>236</v>
      </c>
      <c r="Q591" s="52" t="s">
        <v>276</v>
      </c>
      <c r="R591" s="9" t="s">
        <v>2627</v>
      </c>
      <c r="S591" s="9" t="s">
        <v>276</v>
      </c>
      <c r="T591" s="9" t="s">
        <v>276</v>
      </c>
      <c r="U591" s="9">
        <v>1</v>
      </c>
      <c r="V591" s="8" t="s">
        <v>14</v>
      </c>
      <c r="W591" s="8" t="s">
        <v>98</v>
      </c>
      <c r="X591" s="9" t="s">
        <v>208</v>
      </c>
      <c r="Y591" s="13" t="s">
        <v>98</v>
      </c>
      <c r="Z591" s="9" t="s">
        <v>98</v>
      </c>
      <c r="AA591" s="9" t="s">
        <v>2957</v>
      </c>
      <c r="AB591" s="9" t="s">
        <v>2958</v>
      </c>
      <c r="AC591" s="8">
        <v>0</v>
      </c>
      <c r="AD591" s="8" t="s">
        <v>98</v>
      </c>
      <c r="AE591" s="8">
        <v>0</v>
      </c>
      <c r="AF591" s="8" t="s">
        <v>98</v>
      </c>
      <c r="AG591" s="9" t="s">
        <v>2954</v>
      </c>
      <c r="AH591" s="9" t="s">
        <v>2959</v>
      </c>
      <c r="AI591" s="38">
        <v>11</v>
      </c>
      <c r="AJ591" s="38">
        <v>4</v>
      </c>
      <c r="AK591" s="38">
        <v>12</v>
      </c>
      <c r="AL591" s="38">
        <v>13</v>
      </c>
      <c r="AM591" s="38" t="s">
        <v>292</v>
      </c>
      <c r="AN591" s="8">
        <v>92</v>
      </c>
      <c r="AO591" s="14">
        <f t="shared" si="185"/>
        <v>91.666666666666671</v>
      </c>
      <c r="AP591" s="8">
        <v>65</v>
      </c>
      <c r="AQ591" s="8">
        <v>99</v>
      </c>
      <c r="AR591" s="49">
        <v>31</v>
      </c>
      <c r="AS591" s="14">
        <f>AJ591*100/AL591</f>
        <v>30.76923076923077</v>
      </c>
      <c r="AT591" s="8">
        <v>13</v>
      </c>
      <c r="AU591" s="8">
        <v>58</v>
      </c>
      <c r="AV591" s="8" t="s">
        <v>268</v>
      </c>
      <c r="AW591" s="40" t="s">
        <v>276</v>
      </c>
      <c r="AX591" s="40">
        <f>AO591/AS591</f>
        <v>2.979166666666667</v>
      </c>
      <c r="AY591" s="9" t="s">
        <v>276</v>
      </c>
      <c r="AZ591" s="9" t="s">
        <v>276</v>
      </c>
      <c r="BA591" s="9" t="s">
        <v>276</v>
      </c>
      <c r="BB591" s="9" t="s">
        <v>282</v>
      </c>
      <c r="BC591" s="9" t="s">
        <v>276</v>
      </c>
      <c r="BD591" s="9" t="s">
        <v>276</v>
      </c>
      <c r="BE591" s="9" t="s">
        <v>276</v>
      </c>
      <c r="BF591" s="9" t="s">
        <v>2960</v>
      </c>
      <c r="BG591" s="9" t="s">
        <v>2961</v>
      </c>
      <c r="BH591" s="9" t="s">
        <v>99</v>
      </c>
      <c r="BI591" s="9" t="s">
        <v>100</v>
      </c>
      <c r="BJ591" s="32"/>
      <c r="BN591" s="32"/>
      <c r="BO591" s="32"/>
    </row>
    <row r="592" spans="1:68" s="79" customFormat="1" ht="65" hidden="1" x14ac:dyDescent="0.35">
      <c r="A592" s="72">
        <v>11138</v>
      </c>
      <c r="B592" s="72" t="s">
        <v>2937</v>
      </c>
      <c r="C592" s="72" t="s">
        <v>2938</v>
      </c>
      <c r="D592" s="73" t="s">
        <v>2962</v>
      </c>
      <c r="E592" s="72" t="s">
        <v>96</v>
      </c>
      <c r="F592" s="73" t="s">
        <v>2940</v>
      </c>
      <c r="G592" s="72" t="s">
        <v>2952</v>
      </c>
      <c r="H592" s="72" t="s">
        <v>225</v>
      </c>
      <c r="I592" s="72" t="s">
        <v>98</v>
      </c>
      <c r="J592" s="73" t="s">
        <v>26</v>
      </c>
      <c r="K592" s="73" t="s">
        <v>2963</v>
      </c>
      <c r="L592" s="73" t="s">
        <v>2964</v>
      </c>
      <c r="M592" s="72" t="s">
        <v>2965</v>
      </c>
      <c r="N592" s="73" t="s">
        <v>2941</v>
      </c>
      <c r="O592" s="73" t="s">
        <v>276</v>
      </c>
      <c r="P592" s="73" t="s">
        <v>239</v>
      </c>
      <c r="Q592" s="77" t="s">
        <v>276</v>
      </c>
      <c r="R592" s="73" t="s">
        <v>2627</v>
      </c>
      <c r="S592" s="73" t="s">
        <v>276</v>
      </c>
      <c r="T592" s="73" t="s">
        <v>276</v>
      </c>
      <c r="U592" s="73">
        <v>1</v>
      </c>
      <c r="V592" s="72" t="s">
        <v>14</v>
      </c>
      <c r="W592" s="72" t="s">
        <v>98</v>
      </c>
      <c r="X592" s="73" t="s">
        <v>208</v>
      </c>
      <c r="Y592" s="74">
        <v>197</v>
      </c>
      <c r="Z592" s="73">
        <v>197</v>
      </c>
      <c r="AA592" s="73" t="s">
        <v>2957</v>
      </c>
      <c r="AB592" s="73" t="s">
        <v>2966</v>
      </c>
      <c r="AC592" s="72">
        <v>0</v>
      </c>
      <c r="AD592" s="72" t="s">
        <v>98</v>
      </c>
      <c r="AE592" s="72">
        <v>0</v>
      </c>
      <c r="AF592" s="72" t="s">
        <v>98</v>
      </c>
      <c r="AG592" s="73" t="s">
        <v>2967</v>
      </c>
      <c r="AH592" s="73" t="s">
        <v>2943</v>
      </c>
      <c r="AI592" s="75">
        <v>7</v>
      </c>
      <c r="AJ592" s="75">
        <v>6</v>
      </c>
      <c r="AK592" s="75">
        <v>197</v>
      </c>
      <c r="AL592" s="75">
        <v>197</v>
      </c>
      <c r="AM592" s="75" t="s">
        <v>292</v>
      </c>
      <c r="AN592" s="72" t="s">
        <v>276</v>
      </c>
      <c r="AO592" s="76">
        <f t="shared" si="185"/>
        <v>3.5532994923857868</v>
      </c>
      <c r="AP592" s="72" t="s">
        <v>276</v>
      </c>
      <c r="AQ592" s="72" t="s">
        <v>276</v>
      </c>
      <c r="AR592" s="72" t="s">
        <v>276</v>
      </c>
      <c r="AS592" s="76">
        <f>AJ592*100/AL592</f>
        <v>3.0456852791878171</v>
      </c>
      <c r="AT592" s="72" t="s">
        <v>276</v>
      </c>
      <c r="AU592" s="72" t="s">
        <v>276</v>
      </c>
      <c r="AV592" s="72" t="s">
        <v>268</v>
      </c>
      <c r="AW592" s="83" t="s">
        <v>276</v>
      </c>
      <c r="AX592" s="83">
        <f>AO592/AS592</f>
        <v>1.1666666666666667</v>
      </c>
      <c r="AY592" s="73" t="s">
        <v>276</v>
      </c>
      <c r="AZ592" s="73" t="s">
        <v>276</v>
      </c>
      <c r="BA592" s="73" t="s">
        <v>276</v>
      </c>
      <c r="BB592" s="73" t="s">
        <v>282</v>
      </c>
      <c r="BC592" s="73" t="s">
        <v>276</v>
      </c>
      <c r="BD592" s="73" t="s">
        <v>276</v>
      </c>
      <c r="BE592" s="73" t="s">
        <v>276</v>
      </c>
      <c r="BF592" s="73" t="s">
        <v>426</v>
      </c>
      <c r="BG592" s="73"/>
      <c r="BH592" s="9" t="s">
        <v>100</v>
      </c>
      <c r="BI592" s="9" t="s">
        <v>100</v>
      </c>
      <c r="BJ592" s="78"/>
      <c r="BN592" s="78"/>
      <c r="BO592" s="78"/>
    </row>
    <row r="593" spans="1:68" s="79" customFormat="1" ht="65" hidden="1" x14ac:dyDescent="0.35">
      <c r="A593" s="72">
        <v>11138</v>
      </c>
      <c r="B593" s="72" t="s">
        <v>2937</v>
      </c>
      <c r="C593" s="72" t="s">
        <v>2938</v>
      </c>
      <c r="D593" s="73" t="s">
        <v>2968</v>
      </c>
      <c r="E593" s="72" t="s">
        <v>96</v>
      </c>
      <c r="F593" s="73" t="s">
        <v>2940</v>
      </c>
      <c r="G593" s="72" t="s">
        <v>2952</v>
      </c>
      <c r="H593" s="72" t="s">
        <v>225</v>
      </c>
      <c r="I593" s="72" t="s">
        <v>98</v>
      </c>
      <c r="J593" s="73" t="s">
        <v>103</v>
      </c>
      <c r="K593" s="73" t="s">
        <v>2969</v>
      </c>
      <c r="L593" s="73" t="s">
        <v>2964</v>
      </c>
      <c r="M593" s="72" t="s">
        <v>2965</v>
      </c>
      <c r="N593" s="73" t="s">
        <v>2941</v>
      </c>
      <c r="O593" s="73" t="s">
        <v>276</v>
      </c>
      <c r="P593" s="73" t="s">
        <v>239</v>
      </c>
      <c r="Q593" s="77" t="s">
        <v>276</v>
      </c>
      <c r="R593" s="73" t="s">
        <v>2627</v>
      </c>
      <c r="S593" s="73" t="s">
        <v>276</v>
      </c>
      <c r="T593" s="73" t="s">
        <v>276</v>
      </c>
      <c r="U593" s="73">
        <v>1</v>
      </c>
      <c r="V593" s="72" t="s">
        <v>14</v>
      </c>
      <c r="W593" s="72" t="s">
        <v>98</v>
      </c>
      <c r="X593" s="73" t="s">
        <v>208</v>
      </c>
      <c r="Y593" s="74">
        <v>197</v>
      </c>
      <c r="Z593" s="73">
        <v>197</v>
      </c>
      <c r="AA593" s="73" t="s">
        <v>2957</v>
      </c>
      <c r="AB593" s="73" t="s">
        <v>2966</v>
      </c>
      <c r="AC593" s="72">
        <v>0</v>
      </c>
      <c r="AD593" s="72" t="s">
        <v>98</v>
      </c>
      <c r="AE593" s="72">
        <v>0</v>
      </c>
      <c r="AF593" s="72" t="s">
        <v>98</v>
      </c>
      <c r="AG593" s="73" t="s">
        <v>2970</v>
      </c>
      <c r="AH593" s="73" t="s">
        <v>2943</v>
      </c>
      <c r="AI593" s="75">
        <v>5</v>
      </c>
      <c r="AJ593" s="75">
        <v>7</v>
      </c>
      <c r="AK593" s="75">
        <v>197</v>
      </c>
      <c r="AL593" s="75">
        <v>197</v>
      </c>
      <c r="AM593" s="75" t="s">
        <v>292</v>
      </c>
      <c r="AN593" s="72" t="s">
        <v>276</v>
      </c>
      <c r="AO593" s="76">
        <f t="shared" si="185"/>
        <v>2.5380710659898478</v>
      </c>
      <c r="AP593" s="72" t="s">
        <v>276</v>
      </c>
      <c r="AQ593" s="72" t="s">
        <v>276</v>
      </c>
      <c r="AR593" s="72" t="s">
        <v>276</v>
      </c>
      <c r="AS593" s="76">
        <f>AJ593*100/AL593</f>
        <v>3.5532994923857868</v>
      </c>
      <c r="AT593" s="72" t="s">
        <v>276</v>
      </c>
      <c r="AU593" s="72" t="s">
        <v>276</v>
      </c>
      <c r="AV593" s="72" t="s">
        <v>268</v>
      </c>
      <c r="AW593" s="83" t="s">
        <v>276</v>
      </c>
      <c r="AX593" s="83">
        <f>AO593/AS593</f>
        <v>0.7142857142857143</v>
      </c>
      <c r="AY593" s="73" t="s">
        <v>276</v>
      </c>
      <c r="AZ593" s="73" t="s">
        <v>276</v>
      </c>
      <c r="BA593" s="73" t="s">
        <v>276</v>
      </c>
      <c r="BB593" s="73" t="s">
        <v>282</v>
      </c>
      <c r="BC593" s="73" t="s">
        <v>276</v>
      </c>
      <c r="BD593" s="73" t="s">
        <v>276</v>
      </c>
      <c r="BE593" s="73" t="s">
        <v>276</v>
      </c>
      <c r="BF593" s="73" t="s">
        <v>426</v>
      </c>
      <c r="BG593" s="73"/>
      <c r="BH593" s="9" t="s">
        <v>100</v>
      </c>
      <c r="BI593" s="9" t="s">
        <v>100</v>
      </c>
      <c r="BJ593" s="78"/>
      <c r="BN593" s="78"/>
      <c r="BO593" s="78"/>
    </row>
    <row r="594" spans="1:68" s="79" customFormat="1" ht="52" hidden="1" x14ac:dyDescent="0.35">
      <c r="A594" s="72">
        <v>11138</v>
      </c>
      <c r="B594" s="72" t="s">
        <v>2937</v>
      </c>
      <c r="C594" s="72" t="s">
        <v>2938</v>
      </c>
      <c r="D594" s="73" t="s">
        <v>2971</v>
      </c>
      <c r="E594" s="72" t="s">
        <v>96</v>
      </c>
      <c r="F594" s="73" t="s">
        <v>2940</v>
      </c>
      <c r="G594" s="72" t="s">
        <v>2952</v>
      </c>
      <c r="H594" s="72" t="s">
        <v>225</v>
      </c>
      <c r="I594" s="72" t="s">
        <v>98</v>
      </c>
      <c r="J594" s="73" t="s">
        <v>103</v>
      </c>
      <c r="K594" s="73" t="s">
        <v>2969</v>
      </c>
      <c r="L594" s="73" t="s">
        <v>2964</v>
      </c>
      <c r="M594" s="72" t="s">
        <v>2965</v>
      </c>
      <c r="N594" s="73" t="s">
        <v>2941</v>
      </c>
      <c r="O594" s="73" t="s">
        <v>276</v>
      </c>
      <c r="P594" s="524" t="s">
        <v>235</v>
      </c>
      <c r="Q594" s="77" t="s">
        <v>276</v>
      </c>
      <c r="R594" s="73" t="s">
        <v>2627</v>
      </c>
      <c r="S594" s="73" t="s">
        <v>276</v>
      </c>
      <c r="T594" s="73" t="s">
        <v>276</v>
      </c>
      <c r="U594" s="73">
        <v>1</v>
      </c>
      <c r="V594" s="72" t="s">
        <v>14</v>
      </c>
      <c r="W594" s="72" t="s">
        <v>98</v>
      </c>
      <c r="X594" s="73" t="s">
        <v>208</v>
      </c>
      <c r="Y594" s="74" t="s">
        <v>98</v>
      </c>
      <c r="Z594" s="73" t="s">
        <v>98</v>
      </c>
      <c r="AA594" s="73" t="s">
        <v>2957</v>
      </c>
      <c r="AB594" s="73" t="s">
        <v>2966</v>
      </c>
      <c r="AC594" s="72">
        <v>0</v>
      </c>
      <c r="AD594" s="72" t="s">
        <v>98</v>
      </c>
      <c r="AE594" s="72">
        <v>0</v>
      </c>
      <c r="AF594" s="72" t="s">
        <v>98</v>
      </c>
      <c r="AG594" s="73" t="s">
        <v>2970</v>
      </c>
      <c r="AH594" s="73" t="s">
        <v>2943</v>
      </c>
      <c r="AI594" s="75">
        <v>5</v>
      </c>
      <c r="AJ594" s="75">
        <v>7</v>
      </c>
      <c r="AK594" s="75">
        <v>12</v>
      </c>
      <c r="AL594" s="75">
        <v>13</v>
      </c>
      <c r="AM594" s="75" t="s">
        <v>292</v>
      </c>
      <c r="AN594" s="72">
        <v>42</v>
      </c>
      <c r="AO594" s="76">
        <f t="shared" si="185"/>
        <v>41.666666666666664</v>
      </c>
      <c r="AP594" s="72" t="s">
        <v>276</v>
      </c>
      <c r="AQ594" s="72" t="s">
        <v>276</v>
      </c>
      <c r="AR594" s="72">
        <v>54</v>
      </c>
      <c r="AS594" s="76">
        <f>AJ594*100/AL594</f>
        <v>53.846153846153847</v>
      </c>
      <c r="AT594" s="72" t="s">
        <v>276</v>
      </c>
      <c r="AU594" s="72" t="s">
        <v>276</v>
      </c>
      <c r="AV594" s="72" t="s">
        <v>268</v>
      </c>
      <c r="AW594" s="83" t="s">
        <v>276</v>
      </c>
      <c r="AX594" s="83">
        <f>AO594/AS594</f>
        <v>0.77380952380952372</v>
      </c>
      <c r="AY594" s="73" t="s">
        <v>276</v>
      </c>
      <c r="AZ594" s="73" t="s">
        <v>276</v>
      </c>
      <c r="BA594" s="73">
        <v>0.7</v>
      </c>
      <c r="BB594" s="73" t="s">
        <v>282</v>
      </c>
      <c r="BC594" s="73" t="s">
        <v>276</v>
      </c>
      <c r="BD594" s="73" t="s">
        <v>276</v>
      </c>
      <c r="BE594" s="73" t="s">
        <v>276</v>
      </c>
      <c r="BF594" s="73" t="s">
        <v>2972</v>
      </c>
      <c r="BG594" s="73"/>
      <c r="BH594" s="9" t="s">
        <v>100</v>
      </c>
      <c r="BI594" s="9" t="s">
        <v>100</v>
      </c>
      <c r="BJ594" s="78"/>
      <c r="BN594" s="78"/>
      <c r="BO594" s="78"/>
    </row>
    <row r="595" spans="1:68" s="125" customFormat="1" ht="65" hidden="1" x14ac:dyDescent="0.35">
      <c r="A595" s="112">
        <v>2629</v>
      </c>
      <c r="B595" s="112" t="s">
        <v>2973</v>
      </c>
      <c r="C595" s="112" t="s">
        <v>69</v>
      </c>
      <c r="D595" s="115" t="s">
        <v>2974</v>
      </c>
      <c r="E595" s="112" t="s">
        <v>38</v>
      </c>
      <c r="F595" s="112" t="s">
        <v>141</v>
      </c>
      <c r="G595" s="112" t="s">
        <v>225</v>
      </c>
      <c r="H595" s="112" t="s">
        <v>225</v>
      </c>
      <c r="I595" s="112" t="s">
        <v>98</v>
      </c>
      <c r="J595" s="113" t="s">
        <v>98</v>
      </c>
      <c r="K595" s="114" t="s">
        <v>98</v>
      </c>
      <c r="L595" s="115" t="s">
        <v>98</v>
      </c>
      <c r="M595" s="115" t="s">
        <v>98</v>
      </c>
      <c r="N595" s="113" t="s">
        <v>2975</v>
      </c>
      <c r="O595" s="115" t="s">
        <v>2976</v>
      </c>
      <c r="P595" s="113" t="s">
        <v>238</v>
      </c>
      <c r="Q595" s="116">
        <v>35795</v>
      </c>
      <c r="R595" s="115" t="s">
        <v>2977</v>
      </c>
      <c r="S595" s="113" t="s">
        <v>2978</v>
      </c>
      <c r="T595" s="113" t="s">
        <v>98</v>
      </c>
      <c r="U595" s="162" t="s">
        <v>2979</v>
      </c>
      <c r="V595" s="112" t="s">
        <v>14</v>
      </c>
      <c r="W595" s="114" t="s">
        <v>98</v>
      </c>
      <c r="X595" s="115" t="s">
        <v>209</v>
      </c>
      <c r="Y595" s="120">
        <v>9373</v>
      </c>
      <c r="Z595" s="120" t="s">
        <v>98</v>
      </c>
      <c r="AA595" s="115" t="s">
        <v>276</v>
      </c>
      <c r="AB595" s="115" t="s">
        <v>98</v>
      </c>
      <c r="AC595" s="112">
        <v>0</v>
      </c>
      <c r="AD595" s="112" t="s">
        <v>98</v>
      </c>
      <c r="AE595" s="112" t="s">
        <v>98</v>
      </c>
      <c r="AF595" s="112" t="s">
        <v>98</v>
      </c>
      <c r="AG595" s="113" t="s">
        <v>2980</v>
      </c>
      <c r="AH595" s="113" t="s">
        <v>866</v>
      </c>
      <c r="AI595" s="120">
        <v>71</v>
      </c>
      <c r="AJ595" s="120" t="s">
        <v>98</v>
      </c>
      <c r="AK595" s="120">
        <v>9373</v>
      </c>
      <c r="AL595" s="120" t="s">
        <v>98</v>
      </c>
      <c r="AM595" s="119" t="s">
        <v>2047</v>
      </c>
      <c r="AN595" s="112" t="s">
        <v>276</v>
      </c>
      <c r="AO595" s="207">
        <f>AI595*1000/AK595</f>
        <v>7.574949322522138</v>
      </c>
      <c r="AP595" s="112" t="s">
        <v>276</v>
      </c>
      <c r="AQ595" s="112" t="s">
        <v>276</v>
      </c>
      <c r="AR595" s="112" t="s">
        <v>98</v>
      </c>
      <c r="AS595" s="112" t="s">
        <v>98</v>
      </c>
      <c r="AT595" s="112" t="s">
        <v>98</v>
      </c>
      <c r="AU595" s="112" t="s">
        <v>98</v>
      </c>
      <c r="AV595" s="112" t="s">
        <v>98</v>
      </c>
      <c r="AW595" s="112" t="s">
        <v>98</v>
      </c>
      <c r="AX595" s="112" t="s">
        <v>98</v>
      </c>
      <c r="AY595" s="112" t="s">
        <v>98</v>
      </c>
      <c r="AZ595" s="112" t="s">
        <v>98</v>
      </c>
      <c r="BA595" s="112" t="s">
        <v>98</v>
      </c>
      <c r="BB595" s="115" t="s">
        <v>98</v>
      </c>
      <c r="BC595" s="115" t="s">
        <v>276</v>
      </c>
      <c r="BD595" s="115" t="s">
        <v>276</v>
      </c>
      <c r="BE595" s="115" t="s">
        <v>276</v>
      </c>
      <c r="BF595" s="113" t="s">
        <v>2981</v>
      </c>
      <c r="BG595" s="113" t="s">
        <v>276</v>
      </c>
      <c r="BH595" s="9" t="s">
        <v>100</v>
      </c>
      <c r="BI595" s="9" t="s">
        <v>100</v>
      </c>
      <c r="BJ595" s="123"/>
      <c r="BK595" s="124"/>
      <c r="BL595" s="124"/>
      <c r="BM595" s="124"/>
      <c r="BN595" s="123"/>
      <c r="BO595" s="123"/>
      <c r="BP595" s="124"/>
    </row>
    <row r="596" spans="1:68" s="125" customFormat="1" ht="52" x14ac:dyDescent="0.35">
      <c r="A596" s="112">
        <v>2629</v>
      </c>
      <c r="B596" s="112" t="s">
        <v>2973</v>
      </c>
      <c r="C596" s="112" t="s">
        <v>69</v>
      </c>
      <c r="D596" s="115" t="s">
        <v>2982</v>
      </c>
      <c r="E596" s="112" t="s">
        <v>38</v>
      </c>
      <c r="F596" s="112" t="s">
        <v>141</v>
      </c>
      <c r="G596" s="112" t="s">
        <v>225</v>
      </c>
      <c r="H596" s="112" t="s">
        <v>225</v>
      </c>
      <c r="I596" s="112" t="s">
        <v>98</v>
      </c>
      <c r="J596" s="113" t="s">
        <v>98</v>
      </c>
      <c r="K596" s="114" t="s">
        <v>98</v>
      </c>
      <c r="L596" s="115" t="s">
        <v>98</v>
      </c>
      <c r="M596" s="115" t="s">
        <v>98</v>
      </c>
      <c r="N596" s="113" t="s">
        <v>2975</v>
      </c>
      <c r="O596" s="115" t="s">
        <v>2976</v>
      </c>
      <c r="P596" s="113" t="s">
        <v>236</v>
      </c>
      <c r="Q596" s="116">
        <v>35795</v>
      </c>
      <c r="R596" s="115" t="s">
        <v>2977</v>
      </c>
      <c r="S596" s="113" t="s">
        <v>2978</v>
      </c>
      <c r="T596" s="113" t="s">
        <v>98</v>
      </c>
      <c r="U596" s="162" t="s">
        <v>2979</v>
      </c>
      <c r="V596" s="112" t="s">
        <v>14</v>
      </c>
      <c r="W596" s="114" t="s">
        <v>98</v>
      </c>
      <c r="X596" s="115" t="s">
        <v>209</v>
      </c>
      <c r="Y596" s="118" t="s">
        <v>98</v>
      </c>
      <c r="Z596" s="120" t="s">
        <v>98</v>
      </c>
      <c r="AA596" s="115" t="s">
        <v>276</v>
      </c>
      <c r="AB596" s="115" t="s">
        <v>98</v>
      </c>
      <c r="AC596" s="112">
        <v>0</v>
      </c>
      <c r="AD596" s="112" t="s">
        <v>98</v>
      </c>
      <c r="AE596" s="112" t="s">
        <v>98</v>
      </c>
      <c r="AF596" s="112" t="s">
        <v>98</v>
      </c>
      <c r="AG596" s="113" t="s">
        <v>2980</v>
      </c>
      <c r="AH596" s="113" t="s">
        <v>2983</v>
      </c>
      <c r="AI596" s="120">
        <v>71</v>
      </c>
      <c r="AJ596" s="120" t="s">
        <v>98</v>
      </c>
      <c r="AK596" s="120">
        <f>71+3+12</f>
        <v>86</v>
      </c>
      <c r="AL596" s="120" t="s">
        <v>98</v>
      </c>
      <c r="AM596" s="119" t="s">
        <v>292</v>
      </c>
      <c r="AN596" s="112" t="s">
        <v>276</v>
      </c>
      <c r="AO596" s="121">
        <f>AI596*100/AK596</f>
        <v>82.558139534883722</v>
      </c>
      <c r="AP596" s="112" t="s">
        <v>276</v>
      </c>
      <c r="AQ596" s="112" t="s">
        <v>276</v>
      </c>
      <c r="AR596" s="112" t="s">
        <v>98</v>
      </c>
      <c r="AS596" s="112" t="s">
        <v>98</v>
      </c>
      <c r="AT596" s="112" t="s">
        <v>98</v>
      </c>
      <c r="AU596" s="112" t="s">
        <v>98</v>
      </c>
      <c r="AV596" s="112" t="s">
        <v>98</v>
      </c>
      <c r="AW596" s="112" t="s">
        <v>98</v>
      </c>
      <c r="AX596" s="112" t="s">
        <v>98</v>
      </c>
      <c r="AY596" s="112" t="s">
        <v>98</v>
      </c>
      <c r="AZ596" s="112" t="s">
        <v>98</v>
      </c>
      <c r="BA596" s="112" t="s">
        <v>98</v>
      </c>
      <c r="BB596" s="115" t="s">
        <v>98</v>
      </c>
      <c r="BC596" s="115" t="s">
        <v>276</v>
      </c>
      <c r="BD596" s="115" t="s">
        <v>276</v>
      </c>
      <c r="BE596" s="115" t="s">
        <v>276</v>
      </c>
      <c r="BF596" s="113" t="s">
        <v>2984</v>
      </c>
      <c r="BG596" s="113" t="s">
        <v>276</v>
      </c>
      <c r="BH596" s="9" t="s">
        <v>99</v>
      </c>
      <c r="BI596" s="9" t="s">
        <v>100</v>
      </c>
      <c r="BJ596" s="123"/>
      <c r="BK596" s="124"/>
      <c r="BL596" s="124"/>
      <c r="BM596" s="124"/>
      <c r="BN596" s="123"/>
      <c r="BO596" s="123"/>
      <c r="BP596" s="124"/>
    </row>
    <row r="597" spans="1:68" s="111" customFormat="1" ht="65" hidden="1" x14ac:dyDescent="0.35">
      <c r="A597" s="94">
        <v>2629</v>
      </c>
      <c r="B597" s="94" t="s">
        <v>2973</v>
      </c>
      <c r="C597" s="94" t="s">
        <v>69</v>
      </c>
      <c r="D597" s="105" t="s">
        <v>2985</v>
      </c>
      <c r="E597" s="94" t="s">
        <v>38</v>
      </c>
      <c r="F597" s="94" t="s">
        <v>141</v>
      </c>
      <c r="G597" s="94" t="s">
        <v>225</v>
      </c>
      <c r="H597" s="94" t="s">
        <v>125</v>
      </c>
      <c r="I597" s="94" t="s">
        <v>114</v>
      </c>
      <c r="J597" s="95" t="s">
        <v>2986</v>
      </c>
      <c r="K597" s="104" t="s">
        <v>300</v>
      </c>
      <c r="L597" s="105" t="s">
        <v>2987</v>
      </c>
      <c r="M597" s="105" t="s">
        <v>2988</v>
      </c>
      <c r="N597" s="95" t="s">
        <v>2975</v>
      </c>
      <c r="O597" s="105" t="s">
        <v>2976</v>
      </c>
      <c r="P597" s="95" t="s">
        <v>239</v>
      </c>
      <c r="Q597" s="106">
        <v>35795</v>
      </c>
      <c r="R597" s="105" t="s">
        <v>2977</v>
      </c>
      <c r="S597" s="95" t="s">
        <v>2978</v>
      </c>
      <c r="T597" s="95" t="s">
        <v>2989</v>
      </c>
      <c r="U597" s="163" t="s">
        <v>2979</v>
      </c>
      <c r="V597" s="94" t="s">
        <v>14</v>
      </c>
      <c r="W597" s="104" t="s">
        <v>98</v>
      </c>
      <c r="X597" s="105" t="s">
        <v>207</v>
      </c>
      <c r="Y597" s="98">
        <v>9373</v>
      </c>
      <c r="Z597" s="107">
        <v>9443</v>
      </c>
      <c r="AA597" s="105" t="s">
        <v>276</v>
      </c>
      <c r="AB597" s="105" t="s">
        <v>276</v>
      </c>
      <c r="AC597" s="94">
        <v>0</v>
      </c>
      <c r="AD597" s="94" t="s">
        <v>98</v>
      </c>
      <c r="AE597" s="94">
        <v>0</v>
      </c>
      <c r="AF597" s="94" t="s">
        <v>98</v>
      </c>
      <c r="AG597" s="95" t="s">
        <v>2990</v>
      </c>
      <c r="AH597" s="95" t="s">
        <v>2046</v>
      </c>
      <c r="AI597" s="107">
        <v>52</v>
      </c>
      <c r="AJ597" s="107">
        <v>0</v>
      </c>
      <c r="AK597" s="107">
        <f t="shared" ref="AK597:AL599" si="186">Y597</f>
        <v>9373</v>
      </c>
      <c r="AL597" s="107">
        <f t="shared" si="186"/>
        <v>9443</v>
      </c>
      <c r="AM597" s="99" t="s">
        <v>2047</v>
      </c>
      <c r="AN597" s="94" t="s">
        <v>276</v>
      </c>
      <c r="AO597" s="102">
        <f>AI597*1000/AK597</f>
        <v>5.547850208044383</v>
      </c>
      <c r="AP597" s="94" t="s">
        <v>276</v>
      </c>
      <c r="AQ597" s="94" t="s">
        <v>276</v>
      </c>
      <c r="AR597" s="94" t="s">
        <v>276</v>
      </c>
      <c r="AS597" s="102">
        <f>AJ597*1000/AL597</f>
        <v>0</v>
      </c>
      <c r="AT597" s="94" t="s">
        <v>276</v>
      </c>
      <c r="AU597" s="94" t="s">
        <v>276</v>
      </c>
      <c r="AV597" s="95" t="s">
        <v>268</v>
      </c>
      <c r="AW597" s="108" t="s">
        <v>276</v>
      </c>
      <c r="AX597" s="108" t="s">
        <v>98</v>
      </c>
      <c r="AY597" s="105" t="s">
        <v>276</v>
      </c>
      <c r="AZ597" s="105" t="s">
        <v>276</v>
      </c>
      <c r="BA597" s="105" t="s">
        <v>276</v>
      </c>
      <c r="BB597" s="105" t="s">
        <v>98</v>
      </c>
      <c r="BC597" s="105" t="s">
        <v>276</v>
      </c>
      <c r="BD597" s="105" t="s">
        <v>276</v>
      </c>
      <c r="BE597" s="105" t="s">
        <v>276</v>
      </c>
      <c r="BF597" s="95" t="s">
        <v>298</v>
      </c>
      <c r="BG597" s="95" t="s">
        <v>276</v>
      </c>
      <c r="BH597" s="9" t="s">
        <v>100</v>
      </c>
      <c r="BI597" s="9" t="s">
        <v>100</v>
      </c>
      <c r="BJ597" s="109"/>
      <c r="BK597" s="110"/>
      <c r="BL597" s="110"/>
      <c r="BM597" s="110"/>
      <c r="BN597" s="109"/>
      <c r="BO597" s="109"/>
      <c r="BP597" s="110"/>
    </row>
    <row r="598" spans="1:68" s="111" customFormat="1" ht="65" hidden="1" x14ac:dyDescent="0.35">
      <c r="A598" s="94">
        <v>2629</v>
      </c>
      <c r="B598" s="94" t="s">
        <v>2973</v>
      </c>
      <c r="C598" s="94" t="s">
        <v>69</v>
      </c>
      <c r="D598" s="105" t="s">
        <v>2991</v>
      </c>
      <c r="E598" s="94" t="s">
        <v>38</v>
      </c>
      <c r="F598" s="94" t="s">
        <v>141</v>
      </c>
      <c r="G598" s="94" t="s">
        <v>225</v>
      </c>
      <c r="H598" s="94" t="s">
        <v>125</v>
      </c>
      <c r="I598" s="94" t="s">
        <v>114</v>
      </c>
      <c r="J598" s="95" t="s">
        <v>2986</v>
      </c>
      <c r="K598" s="104" t="s">
        <v>304</v>
      </c>
      <c r="L598" s="105" t="s">
        <v>2987</v>
      </c>
      <c r="M598" s="105" t="s">
        <v>2988</v>
      </c>
      <c r="N598" s="95" t="s">
        <v>2975</v>
      </c>
      <c r="O598" s="105" t="s">
        <v>2976</v>
      </c>
      <c r="P598" s="95" t="s">
        <v>239</v>
      </c>
      <c r="Q598" s="106">
        <v>35795</v>
      </c>
      <c r="R598" s="105" t="s">
        <v>2977</v>
      </c>
      <c r="S598" s="95" t="s">
        <v>2978</v>
      </c>
      <c r="T598" s="95" t="s">
        <v>2989</v>
      </c>
      <c r="U598" s="163" t="s">
        <v>2979</v>
      </c>
      <c r="V598" s="94" t="s">
        <v>14</v>
      </c>
      <c r="W598" s="104" t="s">
        <v>98</v>
      </c>
      <c r="X598" s="105" t="s">
        <v>207</v>
      </c>
      <c r="Y598" s="98">
        <v>9373</v>
      </c>
      <c r="Z598" s="107">
        <v>9443</v>
      </c>
      <c r="AA598" s="105" t="s">
        <v>276</v>
      </c>
      <c r="AB598" s="105" t="s">
        <v>276</v>
      </c>
      <c r="AC598" s="94">
        <v>0</v>
      </c>
      <c r="AD598" s="94" t="s">
        <v>98</v>
      </c>
      <c r="AE598" s="94">
        <v>0</v>
      </c>
      <c r="AF598" s="94" t="s">
        <v>98</v>
      </c>
      <c r="AG598" s="95" t="s">
        <v>2992</v>
      </c>
      <c r="AH598" s="95" t="s">
        <v>2046</v>
      </c>
      <c r="AI598" s="107">
        <v>12</v>
      </c>
      <c r="AJ598" s="107">
        <v>25</v>
      </c>
      <c r="AK598" s="107">
        <f t="shared" si="186"/>
        <v>9373</v>
      </c>
      <c r="AL598" s="107">
        <f t="shared" si="186"/>
        <v>9443</v>
      </c>
      <c r="AM598" s="99" t="s">
        <v>2047</v>
      </c>
      <c r="AN598" s="94" t="s">
        <v>276</v>
      </c>
      <c r="AO598" s="102">
        <f>AI598*1000/AK598</f>
        <v>1.280273124933319</v>
      </c>
      <c r="AP598" s="94" t="s">
        <v>276</v>
      </c>
      <c r="AQ598" s="94" t="s">
        <v>276</v>
      </c>
      <c r="AR598" s="94" t="s">
        <v>276</v>
      </c>
      <c r="AS598" s="102">
        <f>AJ598*1000/AL598</f>
        <v>2.6474637297469026</v>
      </c>
      <c r="AT598" s="94" t="s">
        <v>276</v>
      </c>
      <c r="AU598" s="94" t="s">
        <v>276</v>
      </c>
      <c r="AV598" s="95" t="s">
        <v>268</v>
      </c>
      <c r="AW598" s="108" t="s">
        <v>276</v>
      </c>
      <c r="AX598" s="108">
        <f>AO598/AS598</f>
        <v>0.48358476474981321</v>
      </c>
      <c r="AY598" s="105" t="s">
        <v>276</v>
      </c>
      <c r="AZ598" s="105" t="s">
        <v>276</v>
      </c>
      <c r="BA598" s="105" t="s">
        <v>276</v>
      </c>
      <c r="BB598" s="105" t="s">
        <v>98</v>
      </c>
      <c r="BC598" s="105" t="s">
        <v>276</v>
      </c>
      <c r="BD598" s="105" t="s">
        <v>276</v>
      </c>
      <c r="BE598" s="105" t="s">
        <v>276</v>
      </c>
      <c r="BF598" s="95" t="s">
        <v>298</v>
      </c>
      <c r="BG598" s="95" t="s">
        <v>276</v>
      </c>
      <c r="BH598" s="9" t="s">
        <v>100</v>
      </c>
      <c r="BI598" s="9" t="s">
        <v>100</v>
      </c>
      <c r="BJ598" s="109"/>
      <c r="BK598" s="110"/>
      <c r="BL598" s="110"/>
      <c r="BM598" s="110"/>
      <c r="BN598" s="109"/>
      <c r="BO598" s="109"/>
      <c r="BP598" s="110"/>
    </row>
    <row r="599" spans="1:68" s="111" customFormat="1" ht="65" hidden="1" x14ac:dyDescent="0.35">
      <c r="A599" s="94">
        <v>2629</v>
      </c>
      <c r="B599" s="94" t="s">
        <v>2973</v>
      </c>
      <c r="C599" s="94" t="s">
        <v>69</v>
      </c>
      <c r="D599" s="105" t="s">
        <v>2993</v>
      </c>
      <c r="E599" s="94" t="s">
        <v>38</v>
      </c>
      <c r="F599" s="94" t="s">
        <v>141</v>
      </c>
      <c r="G599" s="94" t="s">
        <v>225</v>
      </c>
      <c r="H599" s="94" t="s">
        <v>125</v>
      </c>
      <c r="I599" s="94" t="s">
        <v>114</v>
      </c>
      <c r="J599" s="95" t="s">
        <v>2986</v>
      </c>
      <c r="K599" s="104" t="s">
        <v>311</v>
      </c>
      <c r="L599" s="105" t="s">
        <v>2987</v>
      </c>
      <c r="M599" s="105" t="s">
        <v>2988</v>
      </c>
      <c r="N599" s="95" t="s">
        <v>2975</v>
      </c>
      <c r="O599" s="105" t="s">
        <v>2976</v>
      </c>
      <c r="P599" s="95" t="s">
        <v>239</v>
      </c>
      <c r="Q599" s="106">
        <v>35795</v>
      </c>
      <c r="R599" s="105" t="s">
        <v>2977</v>
      </c>
      <c r="S599" s="95" t="s">
        <v>2978</v>
      </c>
      <c r="T599" s="95" t="s">
        <v>2989</v>
      </c>
      <c r="U599" s="163" t="s">
        <v>2979</v>
      </c>
      <c r="V599" s="94" t="s">
        <v>14</v>
      </c>
      <c r="W599" s="104" t="s">
        <v>98</v>
      </c>
      <c r="X599" s="105" t="s">
        <v>207</v>
      </c>
      <c r="Y599" s="98">
        <v>9373</v>
      </c>
      <c r="Z599" s="107">
        <v>9443</v>
      </c>
      <c r="AA599" s="105" t="s">
        <v>276</v>
      </c>
      <c r="AB599" s="105" t="s">
        <v>276</v>
      </c>
      <c r="AC599" s="94">
        <v>0</v>
      </c>
      <c r="AD599" s="94" t="s">
        <v>98</v>
      </c>
      <c r="AE599" s="94">
        <v>0</v>
      </c>
      <c r="AF599" s="94" t="s">
        <v>98</v>
      </c>
      <c r="AG599" s="95" t="s">
        <v>2994</v>
      </c>
      <c r="AH599" s="95" t="s">
        <v>2046</v>
      </c>
      <c r="AI599" s="107">
        <v>22</v>
      </c>
      <c r="AJ599" s="107">
        <v>42</v>
      </c>
      <c r="AK599" s="107">
        <f t="shared" si="186"/>
        <v>9373</v>
      </c>
      <c r="AL599" s="107">
        <f t="shared" si="186"/>
        <v>9443</v>
      </c>
      <c r="AM599" s="99" t="s">
        <v>2047</v>
      </c>
      <c r="AN599" s="94" t="s">
        <v>276</v>
      </c>
      <c r="AO599" s="102">
        <f>AI599*1000/AK599</f>
        <v>2.347167395711085</v>
      </c>
      <c r="AP599" s="94" t="s">
        <v>276</v>
      </c>
      <c r="AQ599" s="94" t="s">
        <v>276</v>
      </c>
      <c r="AR599" s="94" t="s">
        <v>276</v>
      </c>
      <c r="AS599" s="102">
        <f>AJ599*1000/AL599</f>
        <v>4.4477390659747957</v>
      </c>
      <c r="AT599" s="94" t="s">
        <v>276</v>
      </c>
      <c r="AU599" s="94" t="s">
        <v>276</v>
      </c>
      <c r="AV599" s="95" t="s">
        <v>268</v>
      </c>
      <c r="AW599" s="108" t="s">
        <v>276</v>
      </c>
      <c r="AX599" s="108">
        <f>AO599/AS599</f>
        <v>0.5277214694690423</v>
      </c>
      <c r="AY599" s="105" t="s">
        <v>276</v>
      </c>
      <c r="AZ599" s="105" t="s">
        <v>276</v>
      </c>
      <c r="BA599" s="105" t="s">
        <v>276</v>
      </c>
      <c r="BB599" s="105" t="s">
        <v>98</v>
      </c>
      <c r="BC599" s="105" t="s">
        <v>276</v>
      </c>
      <c r="BD599" s="105" t="s">
        <v>276</v>
      </c>
      <c r="BE599" s="105" t="s">
        <v>276</v>
      </c>
      <c r="BF599" s="95" t="s">
        <v>298</v>
      </c>
      <c r="BG599" s="95" t="s">
        <v>276</v>
      </c>
      <c r="BH599" s="9" t="s">
        <v>100</v>
      </c>
      <c r="BI599" s="9" t="s">
        <v>100</v>
      </c>
      <c r="BJ599" s="109"/>
      <c r="BK599" s="110"/>
      <c r="BL599" s="110"/>
      <c r="BM599" s="110"/>
      <c r="BN599" s="109"/>
      <c r="BO599" s="109"/>
      <c r="BP599" s="110"/>
    </row>
    <row r="600" spans="1:68" s="125" customFormat="1" ht="65" hidden="1" x14ac:dyDescent="0.35">
      <c r="A600" s="112">
        <v>2629</v>
      </c>
      <c r="B600" s="112" t="s">
        <v>2973</v>
      </c>
      <c r="C600" s="112" t="s">
        <v>69</v>
      </c>
      <c r="D600" s="115" t="s">
        <v>2995</v>
      </c>
      <c r="E600" s="112" t="s">
        <v>38</v>
      </c>
      <c r="F600" s="112" t="s">
        <v>141</v>
      </c>
      <c r="G600" s="112" t="s">
        <v>225</v>
      </c>
      <c r="H600" s="112" t="s">
        <v>125</v>
      </c>
      <c r="I600" s="112" t="s">
        <v>114</v>
      </c>
      <c r="J600" s="113" t="s">
        <v>2986</v>
      </c>
      <c r="K600" s="114" t="s">
        <v>311</v>
      </c>
      <c r="L600" s="115" t="s">
        <v>2987</v>
      </c>
      <c r="M600" s="115" t="s">
        <v>2988</v>
      </c>
      <c r="N600" s="113" t="s">
        <v>2975</v>
      </c>
      <c r="O600" s="115" t="s">
        <v>2976</v>
      </c>
      <c r="P600" s="113" t="s">
        <v>235</v>
      </c>
      <c r="Q600" s="116">
        <v>35795</v>
      </c>
      <c r="R600" s="115" t="s">
        <v>2977</v>
      </c>
      <c r="S600" s="113" t="s">
        <v>2978</v>
      </c>
      <c r="T600" s="113" t="s">
        <v>2989</v>
      </c>
      <c r="U600" s="162" t="s">
        <v>2979</v>
      </c>
      <c r="V600" s="112" t="s">
        <v>14</v>
      </c>
      <c r="W600" s="114" t="s">
        <v>98</v>
      </c>
      <c r="X600" s="115" t="s">
        <v>207</v>
      </c>
      <c r="Y600" s="118" t="s">
        <v>98</v>
      </c>
      <c r="Z600" s="120" t="s">
        <v>98</v>
      </c>
      <c r="AA600" s="115" t="s">
        <v>276</v>
      </c>
      <c r="AB600" s="115" t="s">
        <v>276</v>
      </c>
      <c r="AC600" s="112">
        <v>0</v>
      </c>
      <c r="AD600" s="112" t="s">
        <v>98</v>
      </c>
      <c r="AE600" s="112">
        <v>0</v>
      </c>
      <c r="AF600" s="112" t="s">
        <v>98</v>
      </c>
      <c r="AG600" s="113" t="s">
        <v>2994</v>
      </c>
      <c r="AH600" s="113" t="s">
        <v>2996</v>
      </c>
      <c r="AI600" s="120">
        <v>22</v>
      </c>
      <c r="AJ600" s="120">
        <v>42</v>
      </c>
      <c r="AK600" s="120">
        <v>86</v>
      </c>
      <c r="AL600" s="120">
        <v>67</v>
      </c>
      <c r="AM600" s="119" t="s">
        <v>292</v>
      </c>
      <c r="AN600" s="112">
        <v>25.6</v>
      </c>
      <c r="AO600" s="121">
        <f>AI600*100/AK600</f>
        <v>25.581395348837209</v>
      </c>
      <c r="AP600" s="112" t="s">
        <v>276</v>
      </c>
      <c r="AQ600" s="112" t="s">
        <v>276</v>
      </c>
      <c r="AR600" s="112">
        <v>62.7</v>
      </c>
      <c r="AS600" s="121">
        <f>AJ600*100/AL600</f>
        <v>62.686567164179102</v>
      </c>
      <c r="AT600" s="112" t="s">
        <v>276</v>
      </c>
      <c r="AU600" s="112" t="s">
        <v>276</v>
      </c>
      <c r="AV600" s="113" t="s">
        <v>268</v>
      </c>
      <c r="AW600" s="122" t="s">
        <v>276</v>
      </c>
      <c r="AX600" s="122">
        <f>AO600/AS600</f>
        <v>0.40808416389811741</v>
      </c>
      <c r="AY600" s="115" t="s">
        <v>276</v>
      </c>
      <c r="AZ600" s="115" t="s">
        <v>276</v>
      </c>
      <c r="BA600" s="115" t="s">
        <v>276</v>
      </c>
      <c r="BB600" s="115" t="s">
        <v>98</v>
      </c>
      <c r="BC600" s="115" t="s">
        <v>276</v>
      </c>
      <c r="BD600" s="115" t="s">
        <v>276</v>
      </c>
      <c r="BE600" s="115" t="s">
        <v>276</v>
      </c>
      <c r="BF600" s="113" t="s">
        <v>298</v>
      </c>
      <c r="BG600" s="113" t="s">
        <v>276</v>
      </c>
      <c r="BH600" s="9" t="s">
        <v>100</v>
      </c>
      <c r="BI600" s="9" t="s">
        <v>100</v>
      </c>
      <c r="BJ600" s="123"/>
      <c r="BK600" s="124"/>
      <c r="BL600" s="124"/>
      <c r="BM600" s="124"/>
      <c r="BN600" s="123"/>
      <c r="BO600" s="123"/>
      <c r="BP600" s="124"/>
    </row>
    <row r="601" spans="1:68" s="111" customFormat="1" ht="52" hidden="1" x14ac:dyDescent="0.35">
      <c r="A601" s="94">
        <v>2629</v>
      </c>
      <c r="B601" s="94" t="s">
        <v>2973</v>
      </c>
      <c r="C601" s="94" t="s">
        <v>69</v>
      </c>
      <c r="D601" s="105" t="s">
        <v>2997</v>
      </c>
      <c r="E601" s="94" t="s">
        <v>38</v>
      </c>
      <c r="F601" s="94" t="s">
        <v>141</v>
      </c>
      <c r="G601" s="94" t="s">
        <v>225</v>
      </c>
      <c r="H601" s="94" t="s">
        <v>125</v>
      </c>
      <c r="I601" s="94" t="s">
        <v>114</v>
      </c>
      <c r="J601" s="95" t="s">
        <v>31</v>
      </c>
      <c r="K601" s="104" t="s">
        <v>2998</v>
      </c>
      <c r="L601" s="105" t="s">
        <v>276</v>
      </c>
      <c r="M601" s="105" t="s">
        <v>276</v>
      </c>
      <c r="N601" s="95" t="s">
        <v>2975</v>
      </c>
      <c r="O601" s="105" t="s">
        <v>2976</v>
      </c>
      <c r="P601" s="95" t="s">
        <v>239</v>
      </c>
      <c r="Q601" s="106">
        <v>35795</v>
      </c>
      <c r="R601" s="105" t="s">
        <v>2977</v>
      </c>
      <c r="S601" s="95" t="s">
        <v>2978</v>
      </c>
      <c r="T601" s="95" t="s">
        <v>2989</v>
      </c>
      <c r="U601" s="163" t="s">
        <v>2979</v>
      </c>
      <c r="V601" s="94" t="s">
        <v>14</v>
      </c>
      <c r="W601" s="104" t="s">
        <v>98</v>
      </c>
      <c r="X601" s="105" t="s">
        <v>207</v>
      </c>
      <c r="Y601" s="98">
        <v>9373</v>
      </c>
      <c r="Z601" s="107">
        <v>9443</v>
      </c>
      <c r="AA601" s="105" t="s">
        <v>276</v>
      </c>
      <c r="AB601" s="105" t="s">
        <v>276</v>
      </c>
      <c r="AC601" s="94">
        <v>0</v>
      </c>
      <c r="AD601" s="94" t="s">
        <v>98</v>
      </c>
      <c r="AE601" s="94">
        <v>0</v>
      </c>
      <c r="AF601" s="94" t="s">
        <v>98</v>
      </c>
      <c r="AG601" s="95" t="s">
        <v>2999</v>
      </c>
      <c r="AH601" s="95" t="s">
        <v>2046</v>
      </c>
      <c r="AI601" s="107">
        <v>39</v>
      </c>
      <c r="AJ601" s="107">
        <v>0</v>
      </c>
      <c r="AK601" s="107">
        <f>Y601</f>
        <v>9373</v>
      </c>
      <c r="AL601" s="107">
        <f>Z601</f>
        <v>9443</v>
      </c>
      <c r="AM601" s="99" t="s">
        <v>2047</v>
      </c>
      <c r="AN601" s="94" t="s">
        <v>276</v>
      </c>
      <c r="AO601" s="102">
        <f>AI601*1000/AK601</f>
        <v>4.160887656033287</v>
      </c>
      <c r="AP601" s="94" t="s">
        <v>276</v>
      </c>
      <c r="AQ601" s="94" t="s">
        <v>276</v>
      </c>
      <c r="AR601" s="94" t="s">
        <v>276</v>
      </c>
      <c r="AS601" s="102">
        <f>AJ601*1000/AL601</f>
        <v>0</v>
      </c>
      <c r="AT601" s="94" t="s">
        <v>276</v>
      </c>
      <c r="AU601" s="94" t="s">
        <v>276</v>
      </c>
      <c r="AV601" s="95" t="s">
        <v>268</v>
      </c>
      <c r="AW601" s="108" t="s">
        <v>276</v>
      </c>
      <c r="AX601" s="108" t="s">
        <v>98</v>
      </c>
      <c r="AY601" s="105" t="s">
        <v>276</v>
      </c>
      <c r="AZ601" s="105" t="s">
        <v>276</v>
      </c>
      <c r="BA601" s="105" t="s">
        <v>276</v>
      </c>
      <c r="BB601" s="105" t="s">
        <v>98</v>
      </c>
      <c r="BC601" s="105" t="s">
        <v>276</v>
      </c>
      <c r="BD601" s="105" t="s">
        <v>276</v>
      </c>
      <c r="BE601" s="105" t="s">
        <v>276</v>
      </c>
      <c r="BF601" s="95" t="s">
        <v>298</v>
      </c>
      <c r="BG601" s="95" t="s">
        <v>276</v>
      </c>
      <c r="BH601" s="9" t="s">
        <v>100</v>
      </c>
      <c r="BI601" s="9" t="s">
        <v>100</v>
      </c>
      <c r="BJ601" s="109"/>
      <c r="BK601" s="110"/>
      <c r="BL601" s="110"/>
      <c r="BM601" s="110"/>
      <c r="BN601" s="109"/>
      <c r="BO601" s="109"/>
      <c r="BP601" s="110"/>
    </row>
    <row r="602" spans="1:68" s="33" customFormat="1" ht="65" hidden="1" x14ac:dyDescent="0.35">
      <c r="A602" s="8">
        <v>2596</v>
      </c>
      <c r="B602" s="8" t="s">
        <v>3049</v>
      </c>
      <c r="C602" s="9" t="s">
        <v>66</v>
      </c>
      <c r="D602" s="9" t="s">
        <v>3050</v>
      </c>
      <c r="E602" s="8" t="s">
        <v>37</v>
      </c>
      <c r="F602" s="8" t="s">
        <v>136</v>
      </c>
      <c r="G602" s="8" t="s">
        <v>225</v>
      </c>
      <c r="H602" s="8" t="s">
        <v>225</v>
      </c>
      <c r="I602" s="8" t="s">
        <v>98</v>
      </c>
      <c r="J602" s="9" t="s">
        <v>98</v>
      </c>
      <c r="K602" s="8" t="s">
        <v>98</v>
      </c>
      <c r="L602" s="8" t="s">
        <v>98</v>
      </c>
      <c r="M602" s="8" t="s">
        <v>98</v>
      </c>
      <c r="N602" s="9" t="s">
        <v>3051</v>
      </c>
      <c r="O602" s="9" t="s">
        <v>3052</v>
      </c>
      <c r="P602" s="9" t="s">
        <v>238</v>
      </c>
      <c r="Q602" s="52">
        <v>37741</v>
      </c>
      <c r="R602" s="9" t="s">
        <v>276</v>
      </c>
      <c r="S602" s="38" t="s">
        <v>3053</v>
      </c>
      <c r="T602" s="38" t="s">
        <v>3054</v>
      </c>
      <c r="U602" s="9">
        <v>1</v>
      </c>
      <c r="V602" s="8" t="s">
        <v>14</v>
      </c>
      <c r="W602" s="8" t="s">
        <v>98</v>
      </c>
      <c r="X602" s="9" t="s">
        <v>209</v>
      </c>
      <c r="Y602" s="13">
        <v>48225</v>
      </c>
      <c r="Z602" s="9" t="s">
        <v>98</v>
      </c>
      <c r="AA602" s="9" t="s">
        <v>276</v>
      </c>
      <c r="AB602" s="9" t="s">
        <v>98</v>
      </c>
      <c r="AC602" s="8">
        <v>0</v>
      </c>
      <c r="AD602" s="8" t="s">
        <v>98</v>
      </c>
      <c r="AE602" s="8" t="s">
        <v>98</v>
      </c>
      <c r="AF602" s="8" t="s">
        <v>98</v>
      </c>
      <c r="AG602" s="9" t="s">
        <v>3055</v>
      </c>
      <c r="AH602" s="9" t="s">
        <v>280</v>
      </c>
      <c r="AI602" s="38">
        <v>222</v>
      </c>
      <c r="AJ602" s="38" t="s">
        <v>98</v>
      </c>
      <c r="AK602" s="13">
        <v>48225</v>
      </c>
      <c r="AL602" s="38" t="s">
        <v>98</v>
      </c>
      <c r="AM602" s="38" t="s">
        <v>292</v>
      </c>
      <c r="AN602" s="8" t="s">
        <v>276</v>
      </c>
      <c r="AO602" s="66">
        <f>AI602*100/AK602</f>
        <v>0.46034214618973562</v>
      </c>
      <c r="AP602" s="8" t="s">
        <v>276</v>
      </c>
      <c r="AQ602" s="8" t="s">
        <v>276</v>
      </c>
      <c r="AR602" s="8" t="s">
        <v>98</v>
      </c>
      <c r="AS602" s="8" t="s">
        <v>98</v>
      </c>
      <c r="AT602" s="8" t="s">
        <v>98</v>
      </c>
      <c r="AU602" s="8" t="s">
        <v>98</v>
      </c>
      <c r="AV602" s="8" t="s">
        <v>98</v>
      </c>
      <c r="AW602" s="8" t="s">
        <v>98</v>
      </c>
      <c r="AX602" s="8" t="s">
        <v>98</v>
      </c>
      <c r="AY602" s="8" t="s">
        <v>98</v>
      </c>
      <c r="AZ602" s="8" t="s">
        <v>98</v>
      </c>
      <c r="BA602" s="8" t="s">
        <v>98</v>
      </c>
      <c r="BB602" s="8" t="s">
        <v>98</v>
      </c>
      <c r="BC602" s="8" t="s">
        <v>98</v>
      </c>
      <c r="BD602" s="8" t="s">
        <v>98</v>
      </c>
      <c r="BE602" s="8" t="s">
        <v>98</v>
      </c>
      <c r="BF602" s="9" t="s">
        <v>3056</v>
      </c>
      <c r="BG602" s="9" t="s">
        <v>3057</v>
      </c>
      <c r="BH602" s="9" t="s">
        <v>100</v>
      </c>
      <c r="BI602" s="9" t="s">
        <v>100</v>
      </c>
      <c r="BJ602" s="32"/>
      <c r="BN602" s="32"/>
      <c r="BO602" s="32"/>
    </row>
    <row r="603" spans="1:68" s="33" customFormat="1" ht="52" hidden="1" x14ac:dyDescent="0.35">
      <c r="A603" s="8">
        <v>2596</v>
      </c>
      <c r="B603" s="8" t="s">
        <v>3049</v>
      </c>
      <c r="C603" s="9" t="s">
        <v>66</v>
      </c>
      <c r="D603" s="9" t="s">
        <v>3058</v>
      </c>
      <c r="E603" s="8" t="s">
        <v>37</v>
      </c>
      <c r="F603" s="8" t="s">
        <v>136</v>
      </c>
      <c r="G603" s="8" t="s">
        <v>225</v>
      </c>
      <c r="H603" s="8" t="s">
        <v>225</v>
      </c>
      <c r="I603" s="8" t="s">
        <v>98</v>
      </c>
      <c r="J603" s="9" t="s">
        <v>98</v>
      </c>
      <c r="K603" s="8" t="s">
        <v>98</v>
      </c>
      <c r="L603" s="8" t="s">
        <v>98</v>
      </c>
      <c r="M603" s="8" t="s">
        <v>98</v>
      </c>
      <c r="N603" s="9" t="s">
        <v>3051</v>
      </c>
      <c r="O603" s="9" t="s">
        <v>3052</v>
      </c>
      <c r="P603" s="9" t="s">
        <v>238</v>
      </c>
      <c r="Q603" s="52">
        <v>37741</v>
      </c>
      <c r="R603" s="9" t="s">
        <v>276</v>
      </c>
      <c r="S603" s="38" t="s">
        <v>3053</v>
      </c>
      <c r="T603" s="38" t="s">
        <v>3054</v>
      </c>
      <c r="U603" s="9">
        <v>1</v>
      </c>
      <c r="V603" s="8" t="s">
        <v>14</v>
      </c>
      <c r="W603" s="8" t="s">
        <v>98</v>
      </c>
      <c r="X603" s="9" t="s">
        <v>209</v>
      </c>
      <c r="Y603" s="13">
        <v>48225</v>
      </c>
      <c r="Z603" s="9" t="s">
        <v>98</v>
      </c>
      <c r="AA603" s="9" t="s">
        <v>276</v>
      </c>
      <c r="AB603" s="9" t="s">
        <v>98</v>
      </c>
      <c r="AC603" s="8">
        <v>0</v>
      </c>
      <c r="AD603" s="8" t="s">
        <v>98</v>
      </c>
      <c r="AE603" s="8" t="s">
        <v>98</v>
      </c>
      <c r="AF603" s="8" t="s">
        <v>98</v>
      </c>
      <c r="AG603" s="9" t="s">
        <v>3059</v>
      </c>
      <c r="AH603" s="9" t="s">
        <v>280</v>
      </c>
      <c r="AI603" s="38">
        <v>69</v>
      </c>
      <c r="AJ603" s="38" t="s">
        <v>98</v>
      </c>
      <c r="AK603" s="13">
        <v>48225</v>
      </c>
      <c r="AL603" s="38" t="s">
        <v>98</v>
      </c>
      <c r="AM603" s="38" t="s">
        <v>292</v>
      </c>
      <c r="AN603" s="8" t="s">
        <v>276</v>
      </c>
      <c r="AO603" s="66">
        <f>AI603*100/AK603</f>
        <v>0.14307931570762053</v>
      </c>
      <c r="AP603" s="8" t="s">
        <v>276</v>
      </c>
      <c r="AQ603" s="8" t="s">
        <v>276</v>
      </c>
      <c r="AR603" s="8" t="s">
        <v>98</v>
      </c>
      <c r="AS603" s="8" t="s">
        <v>98</v>
      </c>
      <c r="AT603" s="8" t="s">
        <v>98</v>
      </c>
      <c r="AU603" s="8" t="s">
        <v>98</v>
      </c>
      <c r="AV603" s="8" t="s">
        <v>98</v>
      </c>
      <c r="AW603" s="8" t="s">
        <v>98</v>
      </c>
      <c r="AX603" s="8" t="s">
        <v>98</v>
      </c>
      <c r="AY603" s="8" t="s">
        <v>98</v>
      </c>
      <c r="AZ603" s="8" t="s">
        <v>98</v>
      </c>
      <c r="BA603" s="8" t="s">
        <v>98</v>
      </c>
      <c r="BB603" s="8" t="s">
        <v>98</v>
      </c>
      <c r="BC603" s="8" t="s">
        <v>98</v>
      </c>
      <c r="BD603" s="8" t="s">
        <v>98</v>
      </c>
      <c r="BE603" s="8" t="s">
        <v>98</v>
      </c>
      <c r="BF603" s="9" t="s">
        <v>3060</v>
      </c>
      <c r="BG603" s="9"/>
      <c r="BH603" s="9" t="s">
        <v>100</v>
      </c>
      <c r="BI603" s="9" t="s">
        <v>100</v>
      </c>
      <c r="BJ603" s="32"/>
      <c r="BN603" s="32"/>
      <c r="BO603" s="32"/>
    </row>
    <row r="604" spans="1:68" s="33" customFormat="1" ht="52" hidden="1" x14ac:dyDescent="0.35">
      <c r="A604" s="8">
        <v>2596</v>
      </c>
      <c r="B604" s="8" t="s">
        <v>3049</v>
      </c>
      <c r="C604" s="9" t="s">
        <v>66</v>
      </c>
      <c r="D604" s="9" t="s">
        <v>3061</v>
      </c>
      <c r="E604" s="8" t="s">
        <v>37</v>
      </c>
      <c r="F604" s="8" t="s">
        <v>136</v>
      </c>
      <c r="G604" s="8" t="s">
        <v>225</v>
      </c>
      <c r="H604" s="8" t="s">
        <v>225</v>
      </c>
      <c r="I604" s="8" t="s">
        <v>98</v>
      </c>
      <c r="J604" s="9" t="s">
        <v>98</v>
      </c>
      <c r="K604" s="8" t="s">
        <v>98</v>
      </c>
      <c r="L604" s="8" t="s">
        <v>98</v>
      </c>
      <c r="M604" s="8" t="s">
        <v>98</v>
      </c>
      <c r="N604" s="9" t="s">
        <v>3051</v>
      </c>
      <c r="O604" s="9" t="s">
        <v>3052</v>
      </c>
      <c r="P604" s="9" t="s">
        <v>238</v>
      </c>
      <c r="Q604" s="52">
        <v>37741</v>
      </c>
      <c r="R604" s="9" t="s">
        <v>276</v>
      </c>
      <c r="S604" s="38" t="s">
        <v>3053</v>
      </c>
      <c r="T604" s="38" t="s">
        <v>3054</v>
      </c>
      <c r="U604" s="9">
        <v>1</v>
      </c>
      <c r="V604" s="8" t="s">
        <v>14</v>
      </c>
      <c r="W604" s="8" t="s">
        <v>98</v>
      </c>
      <c r="X604" s="9" t="s">
        <v>209</v>
      </c>
      <c r="Y604" s="13">
        <v>48225</v>
      </c>
      <c r="Z604" s="9" t="s">
        <v>98</v>
      </c>
      <c r="AA604" s="9" t="s">
        <v>276</v>
      </c>
      <c r="AB604" s="9" t="s">
        <v>98</v>
      </c>
      <c r="AC604" s="8">
        <v>0</v>
      </c>
      <c r="AD604" s="8" t="s">
        <v>98</v>
      </c>
      <c r="AE604" s="8" t="s">
        <v>98</v>
      </c>
      <c r="AF604" s="8" t="s">
        <v>98</v>
      </c>
      <c r="AG604" s="9" t="s">
        <v>3062</v>
      </c>
      <c r="AH604" s="9" t="s">
        <v>280</v>
      </c>
      <c r="AI604" s="38">
        <v>291</v>
      </c>
      <c r="AJ604" s="38" t="s">
        <v>98</v>
      </c>
      <c r="AK604" s="13">
        <v>48225</v>
      </c>
      <c r="AL604" s="38" t="s">
        <v>98</v>
      </c>
      <c r="AM604" s="38" t="s">
        <v>292</v>
      </c>
      <c r="AN604" s="8" t="s">
        <v>276</v>
      </c>
      <c r="AO604" s="66">
        <f>AI604*100/AK604</f>
        <v>0.60342146189735613</v>
      </c>
      <c r="AP604" s="8" t="s">
        <v>276</v>
      </c>
      <c r="AQ604" s="8" t="s">
        <v>276</v>
      </c>
      <c r="AR604" s="8" t="s">
        <v>98</v>
      </c>
      <c r="AS604" s="8" t="s">
        <v>98</v>
      </c>
      <c r="AT604" s="8" t="s">
        <v>98</v>
      </c>
      <c r="AU604" s="8" t="s">
        <v>98</v>
      </c>
      <c r="AV604" s="8" t="s">
        <v>98</v>
      </c>
      <c r="AW604" s="8" t="s">
        <v>98</v>
      </c>
      <c r="AX604" s="8" t="s">
        <v>98</v>
      </c>
      <c r="AY604" s="8" t="s">
        <v>98</v>
      </c>
      <c r="AZ604" s="8" t="s">
        <v>98</v>
      </c>
      <c r="BA604" s="8" t="s">
        <v>98</v>
      </c>
      <c r="BB604" s="8" t="s">
        <v>98</v>
      </c>
      <c r="BC604" s="8" t="s">
        <v>98</v>
      </c>
      <c r="BD604" s="8" t="s">
        <v>98</v>
      </c>
      <c r="BE604" s="8" t="s">
        <v>98</v>
      </c>
      <c r="BF604" s="9" t="s">
        <v>3060</v>
      </c>
      <c r="BG604" s="9"/>
      <c r="BH604" s="9" t="s">
        <v>100</v>
      </c>
      <c r="BI604" s="9" t="s">
        <v>100</v>
      </c>
      <c r="BJ604" s="32"/>
      <c r="BN604" s="32"/>
      <c r="BO604" s="32"/>
    </row>
    <row r="605" spans="1:68" s="33" customFormat="1" ht="52" hidden="1" x14ac:dyDescent="0.35">
      <c r="A605" s="8">
        <v>2596</v>
      </c>
      <c r="B605" s="8" t="s">
        <v>3049</v>
      </c>
      <c r="C605" s="9" t="s">
        <v>66</v>
      </c>
      <c r="D605" s="9" t="s">
        <v>3063</v>
      </c>
      <c r="E605" s="8" t="s">
        <v>37</v>
      </c>
      <c r="F605" s="8" t="s">
        <v>136</v>
      </c>
      <c r="G605" s="8" t="s">
        <v>225</v>
      </c>
      <c r="H605" s="8" t="s">
        <v>225</v>
      </c>
      <c r="I605" s="8" t="s">
        <v>98</v>
      </c>
      <c r="J605" s="9" t="s">
        <v>98</v>
      </c>
      <c r="K605" s="8" t="s">
        <v>98</v>
      </c>
      <c r="L605" s="8" t="s">
        <v>98</v>
      </c>
      <c r="M605" s="8" t="s">
        <v>98</v>
      </c>
      <c r="N605" s="9" t="s">
        <v>3051</v>
      </c>
      <c r="O605" s="9" t="s">
        <v>3052</v>
      </c>
      <c r="P605" s="9" t="s">
        <v>236</v>
      </c>
      <c r="Q605" s="52">
        <v>37741</v>
      </c>
      <c r="R605" s="9" t="s">
        <v>276</v>
      </c>
      <c r="S605" s="38" t="s">
        <v>3053</v>
      </c>
      <c r="T605" s="38" t="s">
        <v>3054</v>
      </c>
      <c r="U605" s="9">
        <v>1</v>
      </c>
      <c r="V605" s="8" t="s">
        <v>14</v>
      </c>
      <c r="W605" s="8" t="s">
        <v>98</v>
      </c>
      <c r="X605" s="9" t="s">
        <v>209</v>
      </c>
      <c r="Y605" s="13" t="s">
        <v>98</v>
      </c>
      <c r="Z605" s="9" t="s">
        <v>98</v>
      </c>
      <c r="AA605" s="9" t="s">
        <v>276</v>
      </c>
      <c r="AB605" s="9" t="s">
        <v>98</v>
      </c>
      <c r="AC605" s="8">
        <v>0</v>
      </c>
      <c r="AD605" s="8" t="s">
        <v>98</v>
      </c>
      <c r="AE605" s="8" t="s">
        <v>98</v>
      </c>
      <c r="AF605" s="8" t="s">
        <v>98</v>
      </c>
      <c r="AG605" s="9" t="s">
        <v>3059</v>
      </c>
      <c r="AH605" s="9" t="s">
        <v>280</v>
      </c>
      <c r="AI605" s="38">
        <v>69</v>
      </c>
      <c r="AJ605" s="38" t="s">
        <v>98</v>
      </c>
      <c r="AK605" s="13">
        <v>97</v>
      </c>
      <c r="AL605" s="38" t="s">
        <v>98</v>
      </c>
      <c r="AM605" s="38" t="s">
        <v>292</v>
      </c>
      <c r="AN605" s="8">
        <v>71.099999999999994</v>
      </c>
      <c r="AO605" s="14">
        <f>AI605*100/AK605</f>
        <v>71.134020618556704</v>
      </c>
      <c r="AP605" s="8" t="s">
        <v>276</v>
      </c>
      <c r="AQ605" s="8" t="s">
        <v>276</v>
      </c>
      <c r="AR605" s="8" t="s">
        <v>98</v>
      </c>
      <c r="AS605" s="8" t="s">
        <v>98</v>
      </c>
      <c r="AT605" s="8" t="s">
        <v>98</v>
      </c>
      <c r="AU605" s="8" t="s">
        <v>98</v>
      </c>
      <c r="AV605" s="8" t="s">
        <v>98</v>
      </c>
      <c r="AW605" s="8" t="s">
        <v>98</v>
      </c>
      <c r="AX605" s="8" t="s">
        <v>98</v>
      </c>
      <c r="AY605" s="8" t="s">
        <v>98</v>
      </c>
      <c r="AZ605" s="8" t="s">
        <v>98</v>
      </c>
      <c r="BA605" s="8" t="s">
        <v>98</v>
      </c>
      <c r="BB605" s="8" t="s">
        <v>98</v>
      </c>
      <c r="BC605" s="8" t="s">
        <v>98</v>
      </c>
      <c r="BD605" s="8" t="s">
        <v>98</v>
      </c>
      <c r="BE605" s="8" t="s">
        <v>98</v>
      </c>
      <c r="BF605" s="9" t="s">
        <v>3064</v>
      </c>
      <c r="BG605" s="9"/>
      <c r="BH605" s="9" t="s">
        <v>100</v>
      </c>
      <c r="BI605" s="9" t="s">
        <v>100</v>
      </c>
      <c r="BJ605" s="32"/>
      <c r="BN605" s="32"/>
      <c r="BO605" s="32"/>
    </row>
    <row r="606" spans="1:68" s="79" customFormat="1" ht="65" hidden="1" x14ac:dyDescent="0.35">
      <c r="A606" s="72">
        <v>2596</v>
      </c>
      <c r="B606" s="72" t="s">
        <v>3049</v>
      </c>
      <c r="C606" s="73" t="s">
        <v>66</v>
      </c>
      <c r="D606" s="73" t="s">
        <v>3065</v>
      </c>
      <c r="E606" s="72" t="s">
        <v>37</v>
      </c>
      <c r="F606" s="72" t="s">
        <v>136</v>
      </c>
      <c r="G606" s="72" t="s">
        <v>225</v>
      </c>
      <c r="H606" s="72" t="s">
        <v>125</v>
      </c>
      <c r="I606" s="72" t="s">
        <v>114</v>
      </c>
      <c r="J606" s="73" t="s">
        <v>25</v>
      </c>
      <c r="K606" s="72" t="s">
        <v>300</v>
      </c>
      <c r="L606" s="72" t="s">
        <v>276</v>
      </c>
      <c r="M606" s="72" t="s">
        <v>3066</v>
      </c>
      <c r="N606" s="73" t="s">
        <v>3051</v>
      </c>
      <c r="O606" s="73" t="s">
        <v>3052</v>
      </c>
      <c r="P606" s="73" t="s">
        <v>239</v>
      </c>
      <c r="Q606" s="77">
        <v>37741</v>
      </c>
      <c r="R606" s="73" t="s">
        <v>276</v>
      </c>
      <c r="S606" s="75" t="s">
        <v>3053</v>
      </c>
      <c r="T606" s="75" t="s">
        <v>3067</v>
      </c>
      <c r="U606" s="73">
        <v>1</v>
      </c>
      <c r="V606" s="72" t="s">
        <v>14</v>
      </c>
      <c r="W606" s="72" t="s">
        <v>98</v>
      </c>
      <c r="X606" s="73" t="s">
        <v>207</v>
      </c>
      <c r="Y606" s="74">
        <v>48225</v>
      </c>
      <c r="Z606" s="75">
        <v>30167</v>
      </c>
      <c r="AA606" s="73" t="s">
        <v>276</v>
      </c>
      <c r="AB606" s="73" t="s">
        <v>98</v>
      </c>
      <c r="AC606" s="72">
        <v>0</v>
      </c>
      <c r="AD606" s="72" t="s">
        <v>98</v>
      </c>
      <c r="AE606" s="72">
        <v>0</v>
      </c>
      <c r="AF606" s="72" t="s">
        <v>98</v>
      </c>
      <c r="AG606" s="73" t="s">
        <v>3068</v>
      </c>
      <c r="AH606" s="73" t="s">
        <v>280</v>
      </c>
      <c r="AI606" s="75">
        <v>34</v>
      </c>
      <c r="AJ606" s="75">
        <v>0</v>
      </c>
      <c r="AK606" s="74">
        <v>48225</v>
      </c>
      <c r="AL606" s="75">
        <v>30167</v>
      </c>
      <c r="AM606" s="75" t="s">
        <v>281</v>
      </c>
      <c r="AN606" s="72" t="s">
        <v>276</v>
      </c>
      <c r="AO606" s="76">
        <f>AI606*1000/AK606</f>
        <v>0.70502851218247797</v>
      </c>
      <c r="AP606" s="72" t="s">
        <v>276</v>
      </c>
      <c r="AQ606" s="72" t="s">
        <v>276</v>
      </c>
      <c r="AR606" s="72" t="s">
        <v>276</v>
      </c>
      <c r="AS606" s="72">
        <f>AJ606*1000/AL606</f>
        <v>0</v>
      </c>
      <c r="AT606" s="72" t="s">
        <v>276</v>
      </c>
      <c r="AU606" s="72" t="s">
        <v>276</v>
      </c>
      <c r="AV606" s="72" t="s">
        <v>268</v>
      </c>
      <c r="AW606" s="72" t="s">
        <v>276</v>
      </c>
      <c r="AX606" s="72" t="e">
        <f t="shared" ref="AX606:AX617" si="187">AO606/AS606</f>
        <v>#DIV/0!</v>
      </c>
      <c r="AY606" s="72" t="s">
        <v>276</v>
      </c>
      <c r="AZ606" s="72" t="s">
        <v>276</v>
      </c>
      <c r="BA606" s="72" t="s">
        <v>276</v>
      </c>
      <c r="BB606" s="72" t="s">
        <v>282</v>
      </c>
      <c r="BC606" s="72" t="s">
        <v>276</v>
      </c>
      <c r="BD606" s="72" t="s">
        <v>276</v>
      </c>
      <c r="BE606" s="72" t="s">
        <v>276</v>
      </c>
      <c r="BF606" s="73" t="s">
        <v>763</v>
      </c>
      <c r="BG606" s="73" t="s">
        <v>3069</v>
      </c>
      <c r="BH606" s="9" t="s">
        <v>100</v>
      </c>
      <c r="BI606" s="9" t="s">
        <v>100</v>
      </c>
      <c r="BJ606" s="78"/>
      <c r="BN606" s="78"/>
      <c r="BO606" s="78"/>
    </row>
    <row r="607" spans="1:68" s="79" customFormat="1" ht="65" hidden="1" x14ac:dyDescent="0.35">
      <c r="A607" s="72">
        <v>2596</v>
      </c>
      <c r="B607" s="72" t="s">
        <v>3049</v>
      </c>
      <c r="C607" s="73" t="s">
        <v>66</v>
      </c>
      <c r="D607" s="73" t="s">
        <v>3070</v>
      </c>
      <c r="E607" s="72" t="s">
        <v>37</v>
      </c>
      <c r="F607" s="72" t="s">
        <v>136</v>
      </c>
      <c r="G607" s="72" t="s">
        <v>225</v>
      </c>
      <c r="H607" s="72" t="s">
        <v>125</v>
      </c>
      <c r="I607" s="72" t="s">
        <v>114</v>
      </c>
      <c r="J607" s="73" t="s">
        <v>25</v>
      </c>
      <c r="K607" s="72" t="s">
        <v>300</v>
      </c>
      <c r="L607" s="72" t="s">
        <v>276</v>
      </c>
      <c r="M607" s="72" t="s">
        <v>3066</v>
      </c>
      <c r="N607" s="73" t="s">
        <v>3051</v>
      </c>
      <c r="O607" s="73" t="s">
        <v>3052</v>
      </c>
      <c r="P607" s="73" t="s">
        <v>239</v>
      </c>
      <c r="Q607" s="77">
        <v>37741</v>
      </c>
      <c r="R607" s="73" t="s">
        <v>276</v>
      </c>
      <c r="S607" s="75" t="s">
        <v>3053</v>
      </c>
      <c r="T607" s="75" t="s">
        <v>3067</v>
      </c>
      <c r="U607" s="73">
        <v>1</v>
      </c>
      <c r="V607" s="72" t="s">
        <v>14</v>
      </c>
      <c r="W607" s="72" t="s">
        <v>98</v>
      </c>
      <c r="X607" s="73" t="s">
        <v>207</v>
      </c>
      <c r="Y607" s="74">
        <v>48225</v>
      </c>
      <c r="Z607" s="75">
        <v>30167</v>
      </c>
      <c r="AA607" s="73" t="s">
        <v>276</v>
      </c>
      <c r="AB607" s="73" t="s">
        <v>98</v>
      </c>
      <c r="AC607" s="72">
        <v>0</v>
      </c>
      <c r="AD607" s="72" t="s">
        <v>98</v>
      </c>
      <c r="AE607" s="72">
        <v>0</v>
      </c>
      <c r="AF607" s="72" t="s">
        <v>98</v>
      </c>
      <c r="AG607" s="73" t="s">
        <v>3068</v>
      </c>
      <c r="AH607" s="73" t="s">
        <v>3071</v>
      </c>
      <c r="AI607" s="75">
        <v>34</v>
      </c>
      <c r="AJ607" s="75">
        <v>0</v>
      </c>
      <c r="AK607" s="75">
        <v>124144</v>
      </c>
      <c r="AL607" s="75">
        <v>90172</v>
      </c>
      <c r="AM607" s="75" t="s">
        <v>1019</v>
      </c>
      <c r="AN607" s="72" t="s">
        <v>276</v>
      </c>
      <c r="AO607" s="76">
        <f>AI607*100000/AK607</f>
        <v>27.387549942002835</v>
      </c>
      <c r="AP607" s="72" t="s">
        <v>276</v>
      </c>
      <c r="AQ607" s="72" t="s">
        <v>276</v>
      </c>
      <c r="AR607" s="72" t="s">
        <v>276</v>
      </c>
      <c r="AS607" s="72">
        <f>AJ607*100000/AL607</f>
        <v>0</v>
      </c>
      <c r="AT607" s="72" t="s">
        <v>276</v>
      </c>
      <c r="AU607" s="72" t="s">
        <v>276</v>
      </c>
      <c r="AV607" s="72" t="s">
        <v>269</v>
      </c>
      <c r="AW607" s="72" t="s">
        <v>276</v>
      </c>
      <c r="AX607" s="72" t="e">
        <f t="shared" si="187"/>
        <v>#DIV/0!</v>
      </c>
      <c r="AY607" s="72" t="s">
        <v>276</v>
      </c>
      <c r="AZ607" s="72" t="s">
        <v>276</v>
      </c>
      <c r="BA607" s="72" t="s">
        <v>276</v>
      </c>
      <c r="BB607" s="72" t="s">
        <v>282</v>
      </c>
      <c r="BC607" s="72" t="s">
        <v>276</v>
      </c>
      <c r="BD607" s="72" t="s">
        <v>276</v>
      </c>
      <c r="BE607" s="72" t="s">
        <v>276</v>
      </c>
      <c r="BF607" s="73" t="s">
        <v>763</v>
      </c>
      <c r="BG607" s="73" t="s">
        <v>3069</v>
      </c>
      <c r="BH607" s="9" t="s">
        <v>100</v>
      </c>
      <c r="BI607" s="9" t="s">
        <v>100</v>
      </c>
      <c r="BJ607" s="78"/>
      <c r="BN607" s="78"/>
      <c r="BO607" s="78"/>
    </row>
    <row r="608" spans="1:68" s="33" customFormat="1" ht="65" hidden="1" x14ac:dyDescent="0.35">
      <c r="A608" s="8">
        <v>2596</v>
      </c>
      <c r="B608" s="8" t="s">
        <v>3049</v>
      </c>
      <c r="C608" s="9" t="s">
        <v>66</v>
      </c>
      <c r="D608" s="9" t="s">
        <v>3072</v>
      </c>
      <c r="E608" s="8" t="s">
        <v>37</v>
      </c>
      <c r="F608" s="8" t="s">
        <v>136</v>
      </c>
      <c r="G608" s="8" t="s">
        <v>225</v>
      </c>
      <c r="H608" s="8" t="s">
        <v>125</v>
      </c>
      <c r="I608" s="8" t="s">
        <v>114</v>
      </c>
      <c r="J608" s="9" t="s">
        <v>25</v>
      </c>
      <c r="K608" s="8" t="s">
        <v>304</v>
      </c>
      <c r="L608" s="8" t="s">
        <v>276</v>
      </c>
      <c r="M608" s="8" t="s">
        <v>3066</v>
      </c>
      <c r="N608" s="9" t="s">
        <v>3051</v>
      </c>
      <c r="O608" s="9" t="s">
        <v>3052</v>
      </c>
      <c r="P608" s="9" t="s">
        <v>239</v>
      </c>
      <c r="Q608" s="52">
        <v>37741</v>
      </c>
      <c r="R608" s="9" t="s">
        <v>276</v>
      </c>
      <c r="S608" s="38" t="s">
        <v>3053</v>
      </c>
      <c r="T608" s="38" t="s">
        <v>3067</v>
      </c>
      <c r="U608" s="9">
        <v>1</v>
      </c>
      <c r="V608" s="8" t="s">
        <v>14</v>
      </c>
      <c r="W608" s="8" t="s">
        <v>98</v>
      </c>
      <c r="X608" s="9" t="s">
        <v>207</v>
      </c>
      <c r="Y608" s="13">
        <v>48225</v>
      </c>
      <c r="Z608" s="38">
        <v>30167</v>
      </c>
      <c r="AA608" s="9" t="s">
        <v>276</v>
      </c>
      <c r="AB608" s="9" t="s">
        <v>98</v>
      </c>
      <c r="AC608" s="8">
        <v>0</v>
      </c>
      <c r="AD608" s="8" t="s">
        <v>98</v>
      </c>
      <c r="AE608" s="8">
        <v>0</v>
      </c>
      <c r="AF608" s="8" t="s">
        <v>98</v>
      </c>
      <c r="AG608" s="9" t="s">
        <v>3073</v>
      </c>
      <c r="AH608" s="9" t="s">
        <v>280</v>
      </c>
      <c r="AI608" s="38">
        <v>18</v>
      </c>
      <c r="AJ608" s="38">
        <v>6</v>
      </c>
      <c r="AK608" s="13">
        <v>48225</v>
      </c>
      <c r="AL608" s="38">
        <v>30167</v>
      </c>
      <c r="AM608" s="38" t="s">
        <v>281</v>
      </c>
      <c r="AN608" s="8" t="s">
        <v>276</v>
      </c>
      <c r="AO608" s="14">
        <f>AI608*1000/AK608</f>
        <v>0.37325038880248834</v>
      </c>
      <c r="AP608" s="8" t="s">
        <v>276</v>
      </c>
      <c r="AQ608" s="8" t="s">
        <v>276</v>
      </c>
      <c r="AR608" s="8" t="s">
        <v>276</v>
      </c>
      <c r="AS608" s="14">
        <f>AJ608*1000/AL608</f>
        <v>0.19889282991348162</v>
      </c>
      <c r="AT608" s="8" t="s">
        <v>276</v>
      </c>
      <c r="AU608" s="8" t="s">
        <v>276</v>
      </c>
      <c r="AV608" s="8" t="s">
        <v>268</v>
      </c>
      <c r="AW608" s="8" t="s">
        <v>276</v>
      </c>
      <c r="AX608" s="14">
        <f t="shared" si="187"/>
        <v>1.8766407465007777</v>
      </c>
      <c r="AY608" s="8" t="s">
        <v>276</v>
      </c>
      <c r="AZ608" s="8" t="s">
        <v>276</v>
      </c>
      <c r="BA608" s="8" t="s">
        <v>276</v>
      </c>
      <c r="BB608" s="8" t="s">
        <v>282</v>
      </c>
      <c r="BC608" s="8" t="s">
        <v>276</v>
      </c>
      <c r="BD608" s="8" t="s">
        <v>276</v>
      </c>
      <c r="BE608" s="8" t="s">
        <v>276</v>
      </c>
      <c r="BF608" s="9" t="s">
        <v>763</v>
      </c>
      <c r="BG608" s="9" t="s">
        <v>3069</v>
      </c>
      <c r="BH608" s="9" t="s">
        <v>100</v>
      </c>
      <c r="BI608" s="9" t="s">
        <v>100</v>
      </c>
      <c r="BJ608" s="32"/>
      <c r="BN608" s="32"/>
      <c r="BO608" s="32"/>
    </row>
    <row r="609" spans="1:67" s="33" customFormat="1" ht="65" hidden="1" x14ac:dyDescent="0.35">
      <c r="A609" s="8">
        <v>2596</v>
      </c>
      <c r="B609" s="8" t="s">
        <v>3049</v>
      </c>
      <c r="C609" s="9" t="s">
        <v>66</v>
      </c>
      <c r="D609" s="9" t="s">
        <v>3074</v>
      </c>
      <c r="E609" s="8" t="s">
        <v>37</v>
      </c>
      <c r="F609" s="8" t="s">
        <v>136</v>
      </c>
      <c r="G609" s="8" t="s">
        <v>225</v>
      </c>
      <c r="H609" s="8" t="s">
        <v>125</v>
      </c>
      <c r="I609" s="8" t="s">
        <v>114</v>
      </c>
      <c r="J609" s="9" t="s">
        <v>25</v>
      </c>
      <c r="K609" s="8" t="s">
        <v>304</v>
      </c>
      <c r="L609" s="8" t="s">
        <v>276</v>
      </c>
      <c r="M609" s="8" t="s">
        <v>3066</v>
      </c>
      <c r="N609" s="9" t="s">
        <v>3051</v>
      </c>
      <c r="O609" s="9" t="s">
        <v>3052</v>
      </c>
      <c r="P609" s="9" t="s">
        <v>239</v>
      </c>
      <c r="Q609" s="52">
        <v>37741</v>
      </c>
      <c r="R609" s="9" t="s">
        <v>276</v>
      </c>
      <c r="S609" s="38" t="s">
        <v>3053</v>
      </c>
      <c r="T609" s="38" t="s">
        <v>3067</v>
      </c>
      <c r="U609" s="9">
        <v>1</v>
      </c>
      <c r="V609" s="8" t="s">
        <v>14</v>
      </c>
      <c r="W609" s="8" t="s">
        <v>98</v>
      </c>
      <c r="X609" s="9" t="s">
        <v>207</v>
      </c>
      <c r="Y609" s="13">
        <v>48225</v>
      </c>
      <c r="Z609" s="38">
        <v>30167</v>
      </c>
      <c r="AA609" s="9" t="s">
        <v>276</v>
      </c>
      <c r="AB609" s="9" t="s">
        <v>98</v>
      </c>
      <c r="AC609" s="8">
        <v>0</v>
      </c>
      <c r="AD609" s="8" t="s">
        <v>98</v>
      </c>
      <c r="AE609" s="8">
        <v>0</v>
      </c>
      <c r="AF609" s="8" t="s">
        <v>98</v>
      </c>
      <c r="AG609" s="9" t="s">
        <v>3073</v>
      </c>
      <c r="AH609" s="9" t="s">
        <v>3071</v>
      </c>
      <c r="AI609" s="38">
        <v>18</v>
      </c>
      <c r="AJ609" s="38">
        <v>6</v>
      </c>
      <c r="AK609" s="38">
        <v>124144</v>
      </c>
      <c r="AL609" s="38">
        <v>90172</v>
      </c>
      <c r="AM609" s="38" t="s">
        <v>1019</v>
      </c>
      <c r="AN609" s="8" t="s">
        <v>276</v>
      </c>
      <c r="AO609" s="14">
        <f>AI609*100000/AK609</f>
        <v>14.499291145766207</v>
      </c>
      <c r="AP609" s="8" t="s">
        <v>276</v>
      </c>
      <c r="AQ609" s="8" t="s">
        <v>276</v>
      </c>
      <c r="AR609" s="8" t="s">
        <v>276</v>
      </c>
      <c r="AS609" s="14">
        <f>AJ609*100000/AL609</f>
        <v>6.6539502284522909</v>
      </c>
      <c r="AT609" s="8" t="s">
        <v>276</v>
      </c>
      <c r="AU609" s="8" t="s">
        <v>276</v>
      </c>
      <c r="AV609" s="8" t="s">
        <v>269</v>
      </c>
      <c r="AW609" s="8" t="s">
        <v>276</v>
      </c>
      <c r="AX609" s="14">
        <f t="shared" si="187"/>
        <v>2.1790501353267175</v>
      </c>
      <c r="AY609" s="8" t="s">
        <v>276</v>
      </c>
      <c r="AZ609" s="8" t="s">
        <v>276</v>
      </c>
      <c r="BA609" s="8" t="s">
        <v>276</v>
      </c>
      <c r="BB609" s="8" t="s">
        <v>282</v>
      </c>
      <c r="BC609" s="8" t="s">
        <v>276</v>
      </c>
      <c r="BD609" s="8" t="s">
        <v>276</v>
      </c>
      <c r="BE609" s="8" t="s">
        <v>276</v>
      </c>
      <c r="BF609" s="9" t="s">
        <v>763</v>
      </c>
      <c r="BG609" s="9" t="s">
        <v>3069</v>
      </c>
      <c r="BH609" s="9" t="s">
        <v>100</v>
      </c>
      <c r="BI609" s="9" t="s">
        <v>100</v>
      </c>
      <c r="BJ609" s="32"/>
      <c r="BN609" s="32"/>
      <c r="BO609" s="32"/>
    </row>
    <row r="610" spans="1:67" s="79" customFormat="1" ht="65" hidden="1" x14ac:dyDescent="0.35">
      <c r="A610" s="72">
        <v>2596</v>
      </c>
      <c r="B610" s="72" t="s">
        <v>3049</v>
      </c>
      <c r="C610" s="73" t="s">
        <v>66</v>
      </c>
      <c r="D610" s="73" t="s">
        <v>3075</v>
      </c>
      <c r="E610" s="72" t="s">
        <v>37</v>
      </c>
      <c r="F610" s="72" t="s">
        <v>136</v>
      </c>
      <c r="G610" s="72" t="s">
        <v>225</v>
      </c>
      <c r="H610" s="72" t="s">
        <v>125</v>
      </c>
      <c r="I610" s="72" t="s">
        <v>114</v>
      </c>
      <c r="J610" s="73" t="s">
        <v>25</v>
      </c>
      <c r="K610" s="72" t="s">
        <v>311</v>
      </c>
      <c r="L610" s="72" t="s">
        <v>276</v>
      </c>
      <c r="M610" s="72" t="s">
        <v>3066</v>
      </c>
      <c r="N610" s="73" t="s">
        <v>3051</v>
      </c>
      <c r="O610" s="73" t="s">
        <v>3052</v>
      </c>
      <c r="P610" s="73" t="s">
        <v>239</v>
      </c>
      <c r="Q610" s="77">
        <v>37741</v>
      </c>
      <c r="R610" s="73" t="s">
        <v>276</v>
      </c>
      <c r="S610" s="75" t="s">
        <v>3053</v>
      </c>
      <c r="T610" s="75" t="s">
        <v>3067</v>
      </c>
      <c r="U610" s="73">
        <v>1</v>
      </c>
      <c r="V610" s="72" t="s">
        <v>14</v>
      </c>
      <c r="W610" s="72" t="s">
        <v>98</v>
      </c>
      <c r="X610" s="73" t="s">
        <v>207</v>
      </c>
      <c r="Y610" s="74">
        <v>48225</v>
      </c>
      <c r="Z610" s="75">
        <v>30167</v>
      </c>
      <c r="AA610" s="73" t="s">
        <v>276</v>
      </c>
      <c r="AB610" s="73" t="s">
        <v>98</v>
      </c>
      <c r="AC610" s="72">
        <v>0</v>
      </c>
      <c r="AD610" s="72" t="s">
        <v>98</v>
      </c>
      <c r="AE610" s="72">
        <v>0</v>
      </c>
      <c r="AF610" s="72" t="s">
        <v>98</v>
      </c>
      <c r="AG610" s="73" t="s">
        <v>3076</v>
      </c>
      <c r="AH610" s="73" t="s">
        <v>280</v>
      </c>
      <c r="AI610" s="75">
        <v>45</v>
      </c>
      <c r="AJ610" s="75">
        <v>26</v>
      </c>
      <c r="AK610" s="74">
        <v>48225</v>
      </c>
      <c r="AL610" s="75">
        <v>30167</v>
      </c>
      <c r="AM610" s="75" t="s">
        <v>281</v>
      </c>
      <c r="AN610" s="72" t="s">
        <v>276</v>
      </c>
      <c r="AO610" s="76">
        <f>AI610*1000/AK610</f>
        <v>0.93312597200622083</v>
      </c>
      <c r="AP610" s="72" t="s">
        <v>276</v>
      </c>
      <c r="AQ610" s="72" t="s">
        <v>276</v>
      </c>
      <c r="AR610" s="72" t="s">
        <v>276</v>
      </c>
      <c r="AS610" s="76">
        <f>AJ610*1000/AL610</f>
        <v>0.86186892962508699</v>
      </c>
      <c r="AT610" s="72" t="s">
        <v>276</v>
      </c>
      <c r="AU610" s="72" t="s">
        <v>276</v>
      </c>
      <c r="AV610" s="72" t="s">
        <v>268</v>
      </c>
      <c r="AW610" s="72" t="s">
        <v>276</v>
      </c>
      <c r="AX610" s="76">
        <f t="shared" si="187"/>
        <v>1.0826773537504486</v>
      </c>
      <c r="AY610" s="72" t="s">
        <v>276</v>
      </c>
      <c r="AZ610" s="72" t="s">
        <v>276</v>
      </c>
      <c r="BA610" s="72" t="s">
        <v>276</v>
      </c>
      <c r="BB610" s="72" t="s">
        <v>282</v>
      </c>
      <c r="BC610" s="72" t="s">
        <v>276</v>
      </c>
      <c r="BD610" s="72" t="s">
        <v>276</v>
      </c>
      <c r="BE610" s="72" t="s">
        <v>276</v>
      </c>
      <c r="BF610" s="73" t="s">
        <v>763</v>
      </c>
      <c r="BG610" s="73" t="s">
        <v>3069</v>
      </c>
      <c r="BH610" s="9" t="s">
        <v>100</v>
      </c>
      <c r="BI610" s="9" t="s">
        <v>100</v>
      </c>
      <c r="BJ610" s="78"/>
      <c r="BN610" s="78"/>
      <c r="BO610" s="78"/>
    </row>
    <row r="611" spans="1:67" s="79" customFormat="1" ht="65" hidden="1" x14ac:dyDescent="0.35">
      <c r="A611" s="72">
        <v>2596</v>
      </c>
      <c r="B611" s="72" t="s">
        <v>3049</v>
      </c>
      <c r="C611" s="73" t="s">
        <v>66</v>
      </c>
      <c r="D611" s="73" t="s">
        <v>3077</v>
      </c>
      <c r="E611" s="72" t="s">
        <v>37</v>
      </c>
      <c r="F611" s="72" t="s">
        <v>136</v>
      </c>
      <c r="G611" s="72" t="s">
        <v>225</v>
      </c>
      <c r="H611" s="72" t="s">
        <v>125</v>
      </c>
      <c r="I611" s="72" t="s">
        <v>114</v>
      </c>
      <c r="J611" s="73" t="s">
        <v>25</v>
      </c>
      <c r="K611" s="72" t="s">
        <v>311</v>
      </c>
      <c r="L611" s="72" t="s">
        <v>276</v>
      </c>
      <c r="M611" s="72" t="s">
        <v>3066</v>
      </c>
      <c r="N611" s="73" t="s">
        <v>3051</v>
      </c>
      <c r="O611" s="73" t="s">
        <v>3052</v>
      </c>
      <c r="P611" s="73" t="s">
        <v>239</v>
      </c>
      <c r="Q611" s="77">
        <v>37741</v>
      </c>
      <c r="R611" s="73" t="s">
        <v>276</v>
      </c>
      <c r="S611" s="75" t="s">
        <v>3053</v>
      </c>
      <c r="T611" s="75" t="s">
        <v>3067</v>
      </c>
      <c r="U611" s="73">
        <v>1</v>
      </c>
      <c r="V611" s="72" t="s">
        <v>14</v>
      </c>
      <c r="W611" s="72" t="s">
        <v>98</v>
      </c>
      <c r="X611" s="73" t="s">
        <v>207</v>
      </c>
      <c r="Y611" s="74">
        <v>48225</v>
      </c>
      <c r="Z611" s="75">
        <v>30167</v>
      </c>
      <c r="AA611" s="73" t="s">
        <v>276</v>
      </c>
      <c r="AB611" s="73" t="s">
        <v>98</v>
      </c>
      <c r="AC611" s="72">
        <v>0</v>
      </c>
      <c r="AD611" s="72" t="s">
        <v>98</v>
      </c>
      <c r="AE611" s="72">
        <v>0</v>
      </c>
      <c r="AF611" s="72" t="s">
        <v>98</v>
      </c>
      <c r="AG611" s="73" t="s">
        <v>3076</v>
      </c>
      <c r="AH611" s="73" t="s">
        <v>3071</v>
      </c>
      <c r="AI611" s="75">
        <v>45</v>
      </c>
      <c r="AJ611" s="75">
        <v>26</v>
      </c>
      <c r="AK611" s="75">
        <v>124144</v>
      </c>
      <c r="AL611" s="75">
        <v>90172</v>
      </c>
      <c r="AM611" s="75" t="s">
        <v>1019</v>
      </c>
      <c r="AN611" s="72" t="s">
        <v>276</v>
      </c>
      <c r="AO611" s="76">
        <f>AI611*100000/AK611</f>
        <v>36.248227864415519</v>
      </c>
      <c r="AP611" s="72" t="s">
        <v>276</v>
      </c>
      <c r="AQ611" s="72" t="s">
        <v>276</v>
      </c>
      <c r="AR611" s="72" t="s">
        <v>276</v>
      </c>
      <c r="AS611" s="76">
        <f>AJ611*100000/AL611</f>
        <v>28.833784323293262</v>
      </c>
      <c r="AT611" s="72" t="s">
        <v>276</v>
      </c>
      <c r="AU611" s="72" t="s">
        <v>276</v>
      </c>
      <c r="AV611" s="72" t="s">
        <v>269</v>
      </c>
      <c r="AW611" s="72" t="s">
        <v>276</v>
      </c>
      <c r="AX611" s="76">
        <f t="shared" si="187"/>
        <v>1.2571443088423371</v>
      </c>
      <c r="AY611" s="72" t="s">
        <v>276</v>
      </c>
      <c r="AZ611" s="72" t="s">
        <v>276</v>
      </c>
      <c r="BA611" s="72" t="s">
        <v>276</v>
      </c>
      <c r="BB611" s="72" t="s">
        <v>282</v>
      </c>
      <c r="BC611" s="72" t="s">
        <v>276</v>
      </c>
      <c r="BD611" s="72" t="s">
        <v>276</v>
      </c>
      <c r="BE611" s="72" t="s">
        <v>276</v>
      </c>
      <c r="BF611" s="73" t="s">
        <v>763</v>
      </c>
      <c r="BG611" s="73" t="s">
        <v>3069</v>
      </c>
      <c r="BH611" s="9" t="s">
        <v>100</v>
      </c>
      <c r="BI611" s="9" t="s">
        <v>100</v>
      </c>
      <c r="BJ611" s="78"/>
      <c r="BN611" s="78"/>
      <c r="BO611" s="78"/>
    </row>
    <row r="612" spans="1:67" s="33" customFormat="1" ht="65" hidden="1" x14ac:dyDescent="0.35">
      <c r="A612" s="8">
        <v>2596</v>
      </c>
      <c r="B612" s="8" t="s">
        <v>3049</v>
      </c>
      <c r="C612" s="9" t="s">
        <v>66</v>
      </c>
      <c r="D612" s="9" t="s">
        <v>3078</v>
      </c>
      <c r="E612" s="8" t="s">
        <v>37</v>
      </c>
      <c r="F612" s="8" t="s">
        <v>136</v>
      </c>
      <c r="G612" s="8" t="s">
        <v>225</v>
      </c>
      <c r="H612" s="8" t="s">
        <v>125</v>
      </c>
      <c r="I612" s="8" t="s">
        <v>114</v>
      </c>
      <c r="J612" s="9" t="s">
        <v>25</v>
      </c>
      <c r="K612" s="8" t="s">
        <v>314</v>
      </c>
      <c r="L612" s="8" t="s">
        <v>276</v>
      </c>
      <c r="M612" s="8" t="s">
        <v>3066</v>
      </c>
      <c r="N612" s="9" t="s">
        <v>3051</v>
      </c>
      <c r="O612" s="9" t="s">
        <v>3052</v>
      </c>
      <c r="P612" s="9" t="s">
        <v>239</v>
      </c>
      <c r="Q612" s="52">
        <v>37741</v>
      </c>
      <c r="R612" s="9" t="s">
        <v>276</v>
      </c>
      <c r="S612" s="38" t="s">
        <v>3053</v>
      </c>
      <c r="T612" s="38" t="s">
        <v>3067</v>
      </c>
      <c r="U612" s="9">
        <v>1</v>
      </c>
      <c r="V612" s="8" t="s">
        <v>14</v>
      </c>
      <c r="W612" s="8" t="s">
        <v>98</v>
      </c>
      <c r="X612" s="9" t="s">
        <v>207</v>
      </c>
      <c r="Y612" s="13">
        <v>48225</v>
      </c>
      <c r="Z612" s="38">
        <v>30167</v>
      </c>
      <c r="AA612" s="9" t="s">
        <v>276</v>
      </c>
      <c r="AB612" s="9" t="s">
        <v>98</v>
      </c>
      <c r="AC612" s="8">
        <v>0</v>
      </c>
      <c r="AD612" s="8" t="s">
        <v>98</v>
      </c>
      <c r="AE612" s="8">
        <v>0</v>
      </c>
      <c r="AF612" s="8" t="s">
        <v>98</v>
      </c>
      <c r="AG612" s="9" t="s">
        <v>3079</v>
      </c>
      <c r="AH612" s="9" t="s">
        <v>280</v>
      </c>
      <c r="AI612" s="38">
        <v>0</v>
      </c>
      <c r="AJ612" s="38">
        <v>2</v>
      </c>
      <c r="AK612" s="13">
        <v>48225</v>
      </c>
      <c r="AL612" s="38">
        <v>30167</v>
      </c>
      <c r="AM612" s="38" t="s">
        <v>281</v>
      </c>
      <c r="AN612" s="8" t="s">
        <v>276</v>
      </c>
      <c r="AO612" s="14">
        <f>AI612*1000/AK612</f>
        <v>0</v>
      </c>
      <c r="AP612" s="8" t="s">
        <v>276</v>
      </c>
      <c r="AQ612" s="8" t="s">
        <v>276</v>
      </c>
      <c r="AR612" s="8" t="s">
        <v>276</v>
      </c>
      <c r="AS612" s="14">
        <f>AJ612*1000/AL612</f>
        <v>6.6297609971160534E-2</v>
      </c>
      <c r="AT612" s="8" t="s">
        <v>276</v>
      </c>
      <c r="AU612" s="8" t="s">
        <v>276</v>
      </c>
      <c r="AV612" s="8" t="s">
        <v>268</v>
      </c>
      <c r="AW612" s="8" t="s">
        <v>276</v>
      </c>
      <c r="AX612" s="14">
        <f t="shared" si="187"/>
        <v>0</v>
      </c>
      <c r="AY612" s="8" t="s">
        <v>276</v>
      </c>
      <c r="AZ612" s="8" t="s">
        <v>276</v>
      </c>
      <c r="BA612" s="8" t="s">
        <v>276</v>
      </c>
      <c r="BB612" s="8" t="s">
        <v>282</v>
      </c>
      <c r="BC612" s="8" t="s">
        <v>276</v>
      </c>
      <c r="BD612" s="8" t="s">
        <v>276</v>
      </c>
      <c r="BE612" s="8" t="s">
        <v>276</v>
      </c>
      <c r="BF612" s="9" t="s">
        <v>763</v>
      </c>
      <c r="BG612" s="9" t="s">
        <v>3069</v>
      </c>
      <c r="BH612" s="9" t="s">
        <v>100</v>
      </c>
      <c r="BI612" s="9" t="s">
        <v>100</v>
      </c>
      <c r="BJ612" s="32"/>
      <c r="BN612" s="32"/>
      <c r="BO612" s="32"/>
    </row>
    <row r="613" spans="1:67" s="33" customFormat="1" ht="65" hidden="1" x14ac:dyDescent="0.35">
      <c r="A613" s="8">
        <v>2596</v>
      </c>
      <c r="B613" s="8" t="s">
        <v>3049</v>
      </c>
      <c r="C613" s="9" t="s">
        <v>66</v>
      </c>
      <c r="D613" s="9" t="s">
        <v>3080</v>
      </c>
      <c r="E613" s="8" t="s">
        <v>37</v>
      </c>
      <c r="F613" s="8" t="s">
        <v>136</v>
      </c>
      <c r="G613" s="8" t="s">
        <v>225</v>
      </c>
      <c r="H613" s="8" t="s">
        <v>125</v>
      </c>
      <c r="I613" s="8" t="s">
        <v>114</v>
      </c>
      <c r="J613" s="9" t="s">
        <v>25</v>
      </c>
      <c r="K613" s="8" t="s">
        <v>314</v>
      </c>
      <c r="L613" s="8" t="s">
        <v>276</v>
      </c>
      <c r="M613" s="8" t="s">
        <v>3066</v>
      </c>
      <c r="N613" s="9" t="s">
        <v>3051</v>
      </c>
      <c r="O613" s="9" t="s">
        <v>3052</v>
      </c>
      <c r="P613" s="9" t="s">
        <v>239</v>
      </c>
      <c r="Q613" s="52">
        <v>37741</v>
      </c>
      <c r="R613" s="9" t="s">
        <v>276</v>
      </c>
      <c r="S613" s="38" t="s">
        <v>3053</v>
      </c>
      <c r="T613" s="38" t="s">
        <v>3067</v>
      </c>
      <c r="U613" s="9">
        <v>1</v>
      </c>
      <c r="V613" s="8" t="s">
        <v>14</v>
      </c>
      <c r="W613" s="8" t="s">
        <v>98</v>
      </c>
      <c r="X613" s="9" t="s">
        <v>207</v>
      </c>
      <c r="Y613" s="13">
        <v>48225</v>
      </c>
      <c r="Z613" s="38">
        <v>30167</v>
      </c>
      <c r="AA613" s="9" t="s">
        <v>276</v>
      </c>
      <c r="AB613" s="9" t="s">
        <v>98</v>
      </c>
      <c r="AC613" s="8">
        <v>0</v>
      </c>
      <c r="AD613" s="8" t="s">
        <v>98</v>
      </c>
      <c r="AE613" s="8">
        <v>0</v>
      </c>
      <c r="AF613" s="8" t="s">
        <v>98</v>
      </c>
      <c r="AG613" s="9" t="s">
        <v>3079</v>
      </c>
      <c r="AH613" s="9" t="s">
        <v>3071</v>
      </c>
      <c r="AI613" s="38">
        <v>0</v>
      </c>
      <c r="AJ613" s="38">
        <v>2</v>
      </c>
      <c r="AK613" s="38">
        <v>124144</v>
      </c>
      <c r="AL613" s="38">
        <v>90172</v>
      </c>
      <c r="AM613" s="38" t="s">
        <v>1019</v>
      </c>
      <c r="AN613" s="8" t="s">
        <v>276</v>
      </c>
      <c r="AO613" s="14">
        <f>AI613*100000/AK613</f>
        <v>0</v>
      </c>
      <c r="AP613" s="8" t="s">
        <v>276</v>
      </c>
      <c r="AQ613" s="8" t="s">
        <v>276</v>
      </c>
      <c r="AR613" s="8" t="s">
        <v>276</v>
      </c>
      <c r="AS613" s="14">
        <f>AJ613*100000/AL613</f>
        <v>2.2179834094840971</v>
      </c>
      <c r="AT613" s="8" t="s">
        <v>276</v>
      </c>
      <c r="AU613" s="8" t="s">
        <v>276</v>
      </c>
      <c r="AV613" s="8" t="s">
        <v>269</v>
      </c>
      <c r="AW613" s="8" t="s">
        <v>276</v>
      </c>
      <c r="AX613" s="14">
        <f t="shared" ref="AX613" si="188">AO613/AS613</f>
        <v>0</v>
      </c>
      <c r="AY613" s="8" t="s">
        <v>276</v>
      </c>
      <c r="AZ613" s="8" t="s">
        <v>276</v>
      </c>
      <c r="BA613" s="8" t="s">
        <v>276</v>
      </c>
      <c r="BB613" s="8" t="s">
        <v>282</v>
      </c>
      <c r="BC613" s="8" t="s">
        <v>276</v>
      </c>
      <c r="BD613" s="8" t="s">
        <v>276</v>
      </c>
      <c r="BE613" s="8" t="s">
        <v>276</v>
      </c>
      <c r="BF613" s="9" t="s">
        <v>763</v>
      </c>
      <c r="BG613" s="9" t="s">
        <v>3069</v>
      </c>
      <c r="BH613" s="9" t="s">
        <v>100</v>
      </c>
      <c r="BI613" s="9" t="s">
        <v>100</v>
      </c>
      <c r="BJ613" s="32"/>
      <c r="BN613" s="32"/>
      <c r="BO613" s="32"/>
    </row>
    <row r="614" spans="1:67" s="33" customFormat="1" ht="65" hidden="1" x14ac:dyDescent="0.35">
      <c r="A614" s="8">
        <v>2596</v>
      </c>
      <c r="B614" s="8" t="s">
        <v>3049</v>
      </c>
      <c r="C614" s="9" t="s">
        <v>66</v>
      </c>
      <c r="D614" s="9" t="s">
        <v>11574</v>
      </c>
      <c r="E614" s="8" t="s">
        <v>37</v>
      </c>
      <c r="F614" s="8" t="s">
        <v>136</v>
      </c>
      <c r="G614" s="8" t="s">
        <v>225</v>
      </c>
      <c r="H614" s="8" t="s">
        <v>125</v>
      </c>
      <c r="I614" s="8" t="s">
        <v>114</v>
      </c>
      <c r="J614" s="9" t="s">
        <v>25</v>
      </c>
      <c r="K614" s="8" t="s">
        <v>317</v>
      </c>
      <c r="L614" s="8" t="s">
        <v>276</v>
      </c>
      <c r="M614" s="8" t="s">
        <v>3066</v>
      </c>
      <c r="N614" s="9" t="s">
        <v>3051</v>
      </c>
      <c r="O614" s="9" t="s">
        <v>3052</v>
      </c>
      <c r="P614" s="9" t="s">
        <v>239</v>
      </c>
      <c r="Q614" s="52">
        <v>37741</v>
      </c>
      <c r="R614" s="9" t="s">
        <v>276</v>
      </c>
      <c r="S614" s="38" t="s">
        <v>3053</v>
      </c>
      <c r="T614" s="38" t="s">
        <v>3067</v>
      </c>
      <c r="U614" s="9">
        <v>1</v>
      </c>
      <c r="V614" s="8" t="s">
        <v>14</v>
      </c>
      <c r="W614" s="8" t="s">
        <v>98</v>
      </c>
      <c r="X614" s="9" t="s">
        <v>207</v>
      </c>
      <c r="Y614" s="13">
        <v>48225</v>
      </c>
      <c r="Z614" s="38">
        <v>30167</v>
      </c>
      <c r="AA614" s="9" t="s">
        <v>276</v>
      </c>
      <c r="AB614" s="9" t="s">
        <v>98</v>
      </c>
      <c r="AC614" s="8">
        <v>0</v>
      </c>
      <c r="AD614" s="8" t="s">
        <v>98</v>
      </c>
      <c r="AE614" s="8">
        <v>0</v>
      </c>
      <c r="AF614" s="8" t="s">
        <v>98</v>
      </c>
      <c r="AG614" s="9" t="s">
        <v>11575</v>
      </c>
      <c r="AH614" s="9" t="s">
        <v>3071</v>
      </c>
      <c r="AI614" s="38">
        <f>0+45</f>
        <v>45</v>
      </c>
      <c r="AJ614" s="38">
        <f>2+26</f>
        <v>28</v>
      </c>
      <c r="AK614" s="38">
        <v>124144</v>
      </c>
      <c r="AL614" s="38">
        <v>90172</v>
      </c>
      <c r="AM614" s="38" t="s">
        <v>1019</v>
      </c>
      <c r="AN614" s="8" t="s">
        <v>276</v>
      </c>
      <c r="AO614" s="14">
        <f>AI614*100000/AK614</f>
        <v>36.248227864415519</v>
      </c>
      <c r="AP614" s="8" t="s">
        <v>276</v>
      </c>
      <c r="AQ614" s="8" t="s">
        <v>276</v>
      </c>
      <c r="AR614" s="8" t="s">
        <v>276</v>
      </c>
      <c r="AS614" s="14">
        <f>AJ614*100000/AL614</f>
        <v>31.05176773277736</v>
      </c>
      <c r="AT614" s="8" t="s">
        <v>276</v>
      </c>
      <c r="AU614" s="8" t="s">
        <v>276</v>
      </c>
      <c r="AV614" s="8" t="s">
        <v>269</v>
      </c>
      <c r="AW614" s="8" t="s">
        <v>276</v>
      </c>
      <c r="AX614" s="14">
        <f t="shared" si="187"/>
        <v>1.1673482867821701</v>
      </c>
      <c r="AY614" s="8" t="s">
        <v>276</v>
      </c>
      <c r="AZ614" s="8" t="s">
        <v>276</v>
      </c>
      <c r="BA614" s="8" t="s">
        <v>276</v>
      </c>
      <c r="BB614" s="8" t="s">
        <v>282</v>
      </c>
      <c r="BC614" s="8" t="s">
        <v>276</v>
      </c>
      <c r="BD614" s="8" t="s">
        <v>276</v>
      </c>
      <c r="BE614" s="8" t="s">
        <v>276</v>
      </c>
      <c r="BF614" s="9" t="s">
        <v>763</v>
      </c>
      <c r="BG614" s="9" t="s">
        <v>3069</v>
      </c>
      <c r="BH614" s="9" t="s">
        <v>100</v>
      </c>
      <c r="BI614" s="9" t="s">
        <v>100</v>
      </c>
      <c r="BJ614" s="32"/>
      <c r="BN614" s="32"/>
      <c r="BO614" s="32"/>
    </row>
    <row r="615" spans="1:67" s="79" customFormat="1" ht="65" hidden="1" x14ac:dyDescent="0.35">
      <c r="A615" s="72">
        <v>2596</v>
      </c>
      <c r="B615" s="72" t="s">
        <v>3049</v>
      </c>
      <c r="C615" s="73" t="s">
        <v>66</v>
      </c>
      <c r="D615" s="73" t="s">
        <v>3081</v>
      </c>
      <c r="E615" s="72" t="s">
        <v>37</v>
      </c>
      <c r="F615" s="72" t="s">
        <v>136</v>
      </c>
      <c r="G615" s="72" t="s">
        <v>225</v>
      </c>
      <c r="H615" s="72" t="s">
        <v>125</v>
      </c>
      <c r="I615" s="72" t="s">
        <v>114</v>
      </c>
      <c r="J615" s="73" t="s">
        <v>25</v>
      </c>
      <c r="K615" s="72" t="s">
        <v>2567</v>
      </c>
      <c r="L615" s="72" t="s">
        <v>276</v>
      </c>
      <c r="M615" s="72" t="s">
        <v>3066</v>
      </c>
      <c r="N615" s="73" t="s">
        <v>3051</v>
      </c>
      <c r="O615" s="73" t="s">
        <v>3052</v>
      </c>
      <c r="P615" s="73" t="s">
        <v>239</v>
      </c>
      <c r="Q615" s="77">
        <v>37741</v>
      </c>
      <c r="R615" s="73" t="s">
        <v>276</v>
      </c>
      <c r="S615" s="75" t="s">
        <v>3053</v>
      </c>
      <c r="T615" s="75" t="s">
        <v>3067</v>
      </c>
      <c r="U615" s="73">
        <v>1</v>
      </c>
      <c r="V615" s="72" t="s">
        <v>14</v>
      </c>
      <c r="W615" s="72" t="s">
        <v>98</v>
      </c>
      <c r="X615" s="73" t="s">
        <v>207</v>
      </c>
      <c r="Y615" s="74">
        <v>48225</v>
      </c>
      <c r="Z615" s="75">
        <v>30167</v>
      </c>
      <c r="AA615" s="73" t="s">
        <v>276</v>
      </c>
      <c r="AB615" s="73" t="s">
        <v>98</v>
      </c>
      <c r="AC615" s="72">
        <v>0</v>
      </c>
      <c r="AD615" s="72" t="s">
        <v>98</v>
      </c>
      <c r="AE615" s="72">
        <v>0</v>
      </c>
      <c r="AF615" s="72" t="s">
        <v>98</v>
      </c>
      <c r="AG615" s="73" t="s">
        <v>3082</v>
      </c>
      <c r="AH615" s="73" t="s">
        <v>280</v>
      </c>
      <c r="AI615" s="75">
        <f>0+45+18</f>
        <v>63</v>
      </c>
      <c r="AJ615" s="75">
        <f>2+26+6</f>
        <v>34</v>
      </c>
      <c r="AK615" s="74">
        <v>48225</v>
      </c>
      <c r="AL615" s="75">
        <v>30167</v>
      </c>
      <c r="AM615" s="75" t="s">
        <v>281</v>
      </c>
      <c r="AN615" s="72" t="s">
        <v>276</v>
      </c>
      <c r="AO615" s="76">
        <f>AI615*1000/AK615</f>
        <v>1.3063763608087091</v>
      </c>
      <c r="AP615" s="72" t="s">
        <v>276</v>
      </c>
      <c r="AQ615" s="72" t="s">
        <v>276</v>
      </c>
      <c r="AR615" s="72" t="s">
        <v>276</v>
      </c>
      <c r="AS615" s="76">
        <f>AJ615*1000/AL615</f>
        <v>1.1270593695097291</v>
      </c>
      <c r="AT615" s="72" t="s">
        <v>276</v>
      </c>
      <c r="AU615" s="72" t="s">
        <v>276</v>
      </c>
      <c r="AV615" s="72" t="s">
        <v>268</v>
      </c>
      <c r="AW615" s="72" t="s">
        <v>276</v>
      </c>
      <c r="AX615" s="76">
        <f t="shared" si="187"/>
        <v>1.1591016375445979</v>
      </c>
      <c r="AY615" s="72" t="s">
        <v>276</v>
      </c>
      <c r="AZ615" s="72" t="s">
        <v>276</v>
      </c>
      <c r="BA615" s="72" t="s">
        <v>276</v>
      </c>
      <c r="BB615" s="72" t="s">
        <v>282</v>
      </c>
      <c r="BC615" s="72" t="s">
        <v>276</v>
      </c>
      <c r="BD615" s="72" t="s">
        <v>276</v>
      </c>
      <c r="BE615" s="72" t="s">
        <v>276</v>
      </c>
      <c r="BF615" s="73" t="s">
        <v>763</v>
      </c>
      <c r="BG615" s="73" t="s">
        <v>3069</v>
      </c>
      <c r="BH615" s="9" t="s">
        <v>100</v>
      </c>
      <c r="BI615" s="9" t="s">
        <v>100</v>
      </c>
      <c r="BJ615" s="78"/>
      <c r="BN615" s="78"/>
      <c r="BO615" s="78"/>
    </row>
    <row r="616" spans="1:67" s="79" customFormat="1" ht="65" hidden="1" x14ac:dyDescent="0.35">
      <c r="A616" s="72">
        <v>2596</v>
      </c>
      <c r="B616" s="72" t="s">
        <v>3049</v>
      </c>
      <c r="C616" s="73" t="s">
        <v>66</v>
      </c>
      <c r="D616" s="73" t="s">
        <v>3083</v>
      </c>
      <c r="E616" s="72" t="s">
        <v>37</v>
      </c>
      <c r="F616" s="72" t="s">
        <v>136</v>
      </c>
      <c r="G616" s="72" t="s">
        <v>225</v>
      </c>
      <c r="H616" s="72" t="s">
        <v>125</v>
      </c>
      <c r="I616" s="72" t="s">
        <v>114</v>
      </c>
      <c r="J616" s="73" t="s">
        <v>25</v>
      </c>
      <c r="K616" s="72" t="s">
        <v>2567</v>
      </c>
      <c r="L616" s="72" t="s">
        <v>276</v>
      </c>
      <c r="M616" s="72" t="s">
        <v>3066</v>
      </c>
      <c r="N616" s="73" t="s">
        <v>3051</v>
      </c>
      <c r="O616" s="73" t="s">
        <v>3052</v>
      </c>
      <c r="P616" s="73" t="s">
        <v>239</v>
      </c>
      <c r="Q616" s="77">
        <v>37741</v>
      </c>
      <c r="R616" s="73" t="s">
        <v>276</v>
      </c>
      <c r="S616" s="75" t="s">
        <v>3053</v>
      </c>
      <c r="T616" s="75" t="s">
        <v>3067</v>
      </c>
      <c r="U616" s="73">
        <v>1</v>
      </c>
      <c r="V616" s="72" t="s">
        <v>14</v>
      </c>
      <c r="W616" s="72" t="s">
        <v>98</v>
      </c>
      <c r="X616" s="73" t="s">
        <v>207</v>
      </c>
      <c r="Y616" s="74">
        <v>48225</v>
      </c>
      <c r="Z616" s="75">
        <v>30167</v>
      </c>
      <c r="AA616" s="73" t="s">
        <v>276</v>
      </c>
      <c r="AB616" s="73" t="s">
        <v>98</v>
      </c>
      <c r="AC616" s="72">
        <v>0</v>
      </c>
      <c r="AD616" s="72" t="s">
        <v>98</v>
      </c>
      <c r="AE616" s="72">
        <v>0</v>
      </c>
      <c r="AF616" s="72" t="s">
        <v>98</v>
      </c>
      <c r="AG616" s="73" t="s">
        <v>3082</v>
      </c>
      <c r="AH616" s="73" t="s">
        <v>3071</v>
      </c>
      <c r="AI616" s="75">
        <f>0+45+18</f>
        <v>63</v>
      </c>
      <c r="AJ616" s="75">
        <f>2+26+6</f>
        <v>34</v>
      </c>
      <c r="AK616" s="75">
        <v>124144</v>
      </c>
      <c r="AL616" s="75">
        <v>90172</v>
      </c>
      <c r="AM616" s="75" t="s">
        <v>1019</v>
      </c>
      <c r="AN616" s="72" t="s">
        <v>276</v>
      </c>
      <c r="AO616" s="76">
        <f>AI616*100000/AK616</f>
        <v>50.747519010181726</v>
      </c>
      <c r="AP616" s="72" t="s">
        <v>276</v>
      </c>
      <c r="AQ616" s="72" t="s">
        <v>276</v>
      </c>
      <c r="AR616" s="72" t="s">
        <v>276</v>
      </c>
      <c r="AS616" s="76">
        <f>AJ616*100000/AL616</f>
        <v>37.705717961229652</v>
      </c>
      <c r="AT616" s="72" t="s">
        <v>276</v>
      </c>
      <c r="AU616" s="72" t="s">
        <v>276</v>
      </c>
      <c r="AV616" s="72" t="s">
        <v>269</v>
      </c>
      <c r="AW616" s="72" t="s">
        <v>276</v>
      </c>
      <c r="AX616" s="76">
        <f t="shared" si="187"/>
        <v>1.3458839071135607</v>
      </c>
      <c r="AY616" s="72" t="s">
        <v>276</v>
      </c>
      <c r="AZ616" s="72" t="s">
        <v>276</v>
      </c>
      <c r="BA616" s="72" t="s">
        <v>276</v>
      </c>
      <c r="BB616" s="72" t="s">
        <v>282</v>
      </c>
      <c r="BC616" s="72" t="s">
        <v>276</v>
      </c>
      <c r="BD616" s="72" t="s">
        <v>276</v>
      </c>
      <c r="BE616" s="72" t="s">
        <v>276</v>
      </c>
      <c r="BF616" s="73" t="s">
        <v>763</v>
      </c>
      <c r="BG616" s="73" t="s">
        <v>3069</v>
      </c>
      <c r="BH616" s="9" t="s">
        <v>100</v>
      </c>
      <c r="BI616" s="9" t="s">
        <v>100</v>
      </c>
      <c r="BJ616" s="78"/>
      <c r="BN616" s="78"/>
      <c r="BO616" s="78"/>
    </row>
    <row r="617" spans="1:67" s="33" customFormat="1" ht="52" hidden="1" x14ac:dyDescent="0.35">
      <c r="A617" s="8">
        <v>2596</v>
      </c>
      <c r="B617" s="8" t="s">
        <v>3049</v>
      </c>
      <c r="C617" s="9" t="s">
        <v>66</v>
      </c>
      <c r="D617" s="9" t="s">
        <v>3084</v>
      </c>
      <c r="E617" s="8" t="s">
        <v>37</v>
      </c>
      <c r="F617" s="8" t="s">
        <v>136</v>
      </c>
      <c r="G617" s="8" t="s">
        <v>225</v>
      </c>
      <c r="H617" s="8" t="s">
        <v>125</v>
      </c>
      <c r="I617" s="8" t="s">
        <v>114</v>
      </c>
      <c r="J617" s="9" t="s">
        <v>25</v>
      </c>
      <c r="K617" s="8" t="s">
        <v>2567</v>
      </c>
      <c r="L617" s="8" t="s">
        <v>276</v>
      </c>
      <c r="M617" s="8" t="s">
        <v>3066</v>
      </c>
      <c r="N617" s="9" t="s">
        <v>3051</v>
      </c>
      <c r="O617" s="9" t="s">
        <v>3052</v>
      </c>
      <c r="P617" s="9" t="s">
        <v>235</v>
      </c>
      <c r="Q617" s="52">
        <v>37741</v>
      </c>
      <c r="R617" s="9" t="s">
        <v>276</v>
      </c>
      <c r="S617" s="38" t="s">
        <v>3053</v>
      </c>
      <c r="T617" s="38" t="s">
        <v>3067</v>
      </c>
      <c r="U617" s="9">
        <v>1</v>
      </c>
      <c r="V617" s="8" t="s">
        <v>14</v>
      </c>
      <c r="W617" s="8" t="s">
        <v>98</v>
      </c>
      <c r="X617" s="9" t="s">
        <v>207</v>
      </c>
      <c r="Y617" s="13" t="s">
        <v>98</v>
      </c>
      <c r="Z617" s="38" t="s">
        <v>98</v>
      </c>
      <c r="AA617" s="9" t="s">
        <v>276</v>
      </c>
      <c r="AB617" s="9" t="s">
        <v>98</v>
      </c>
      <c r="AC617" s="8">
        <v>0</v>
      </c>
      <c r="AD617" s="8" t="s">
        <v>98</v>
      </c>
      <c r="AE617" s="8">
        <v>0</v>
      </c>
      <c r="AF617" s="8" t="s">
        <v>98</v>
      </c>
      <c r="AG617" s="9" t="s">
        <v>3082</v>
      </c>
      <c r="AH617" s="9" t="s">
        <v>3085</v>
      </c>
      <c r="AI617" s="38">
        <f>0+45+18</f>
        <v>63</v>
      </c>
      <c r="AJ617" s="38">
        <f>2+26+6</f>
        <v>34</v>
      </c>
      <c r="AK617" s="13">
        <v>97</v>
      </c>
      <c r="AL617" s="38">
        <v>34</v>
      </c>
      <c r="AM617" s="38" t="s">
        <v>292</v>
      </c>
      <c r="AN617" s="8" t="s">
        <v>276</v>
      </c>
      <c r="AO617" s="14">
        <f t="shared" ref="AO617:AO621" si="189">AI617*100/AK617</f>
        <v>64.948453608247419</v>
      </c>
      <c r="AP617" s="8" t="s">
        <v>276</v>
      </c>
      <c r="AQ617" s="8" t="s">
        <v>276</v>
      </c>
      <c r="AR617" s="8" t="s">
        <v>276</v>
      </c>
      <c r="AS617" s="14">
        <f>AJ617*100/AL617</f>
        <v>100</v>
      </c>
      <c r="AT617" s="8" t="s">
        <v>276</v>
      </c>
      <c r="AU617" s="8" t="s">
        <v>276</v>
      </c>
      <c r="AV617" s="8" t="s">
        <v>268</v>
      </c>
      <c r="AW617" s="8" t="s">
        <v>276</v>
      </c>
      <c r="AX617" s="14">
        <f t="shared" si="187"/>
        <v>0.64948453608247414</v>
      </c>
      <c r="AY617" s="8" t="s">
        <v>276</v>
      </c>
      <c r="AZ617" s="8" t="s">
        <v>276</v>
      </c>
      <c r="BA617" s="8" t="s">
        <v>276</v>
      </c>
      <c r="BB617" s="8" t="s">
        <v>282</v>
      </c>
      <c r="BC617" s="8" t="s">
        <v>276</v>
      </c>
      <c r="BD617" s="8" t="s">
        <v>276</v>
      </c>
      <c r="BE617" s="8" t="s">
        <v>276</v>
      </c>
      <c r="BF617" s="9" t="s">
        <v>763</v>
      </c>
      <c r="BG617" s="9" t="s">
        <v>3069</v>
      </c>
      <c r="BH617" s="9" t="s">
        <v>100</v>
      </c>
      <c r="BI617" s="9" t="s">
        <v>100</v>
      </c>
      <c r="BJ617" s="32"/>
      <c r="BN617" s="32"/>
      <c r="BO617" s="32"/>
    </row>
    <row r="618" spans="1:67" s="110" customFormat="1" ht="104" hidden="1" x14ac:dyDescent="0.35">
      <c r="A618" s="94">
        <v>2594</v>
      </c>
      <c r="B618" s="94" t="s">
        <v>3006</v>
      </c>
      <c r="C618" s="95" t="s">
        <v>66</v>
      </c>
      <c r="D618" s="95" t="s">
        <v>3086</v>
      </c>
      <c r="E618" s="94" t="s">
        <v>37</v>
      </c>
      <c r="F618" s="94" t="s">
        <v>136</v>
      </c>
      <c r="G618" s="94" t="s">
        <v>225</v>
      </c>
      <c r="H618" s="94" t="s">
        <v>125</v>
      </c>
      <c r="I618" s="94" t="s">
        <v>114</v>
      </c>
      <c r="J618" s="95" t="s">
        <v>98</v>
      </c>
      <c r="K618" s="94" t="s">
        <v>98</v>
      </c>
      <c r="L618" s="94" t="s">
        <v>98</v>
      </c>
      <c r="M618" s="94" t="s">
        <v>98</v>
      </c>
      <c r="N618" s="95" t="s">
        <v>3087</v>
      </c>
      <c r="O618" s="95" t="s">
        <v>3088</v>
      </c>
      <c r="P618" s="95" t="s">
        <v>238</v>
      </c>
      <c r="Q618" s="140">
        <v>37741</v>
      </c>
      <c r="R618" s="95" t="s">
        <v>276</v>
      </c>
      <c r="S618" s="95" t="s">
        <v>276</v>
      </c>
      <c r="T618" s="95" t="s">
        <v>3054</v>
      </c>
      <c r="U618" s="95">
        <v>1</v>
      </c>
      <c r="V618" s="94" t="s">
        <v>14</v>
      </c>
      <c r="W618" s="94" t="s">
        <v>98</v>
      </c>
      <c r="X618" s="95" t="s">
        <v>209</v>
      </c>
      <c r="Y618" s="98">
        <v>49311</v>
      </c>
      <c r="Z618" s="95" t="s">
        <v>98</v>
      </c>
      <c r="AA618" s="95" t="s">
        <v>276</v>
      </c>
      <c r="AB618" s="95" t="s">
        <v>98</v>
      </c>
      <c r="AC618" s="94">
        <v>0</v>
      </c>
      <c r="AD618" s="94" t="s">
        <v>98</v>
      </c>
      <c r="AE618" s="94" t="s">
        <v>98</v>
      </c>
      <c r="AF618" s="94" t="s">
        <v>98</v>
      </c>
      <c r="AG618" s="95" t="s">
        <v>3059</v>
      </c>
      <c r="AH618" s="95" t="s">
        <v>1176</v>
      </c>
      <c r="AI618" s="99">
        <v>67</v>
      </c>
      <c r="AJ618" s="99" t="s">
        <v>98</v>
      </c>
      <c r="AK618" s="98">
        <v>49311</v>
      </c>
      <c r="AL618" s="99" t="s">
        <v>98</v>
      </c>
      <c r="AM618" s="99" t="s">
        <v>292</v>
      </c>
      <c r="AN618" s="94" t="s">
        <v>276</v>
      </c>
      <c r="AO618" s="802">
        <f t="shared" si="189"/>
        <v>0.13587232057755877</v>
      </c>
      <c r="AP618" s="94" t="s">
        <v>276</v>
      </c>
      <c r="AQ618" s="94" t="s">
        <v>276</v>
      </c>
      <c r="AR618" s="94" t="s">
        <v>98</v>
      </c>
      <c r="AS618" s="94" t="s">
        <v>98</v>
      </c>
      <c r="AT618" s="94" t="s">
        <v>98</v>
      </c>
      <c r="AU618" s="94" t="s">
        <v>98</v>
      </c>
      <c r="AV618" s="94" t="s">
        <v>98</v>
      </c>
      <c r="AW618" s="94" t="s">
        <v>98</v>
      </c>
      <c r="AX618" s="94" t="s">
        <v>98</v>
      </c>
      <c r="AY618" s="94" t="s">
        <v>98</v>
      </c>
      <c r="AZ618" s="94" t="s">
        <v>98</v>
      </c>
      <c r="BA618" s="94" t="s">
        <v>98</v>
      </c>
      <c r="BB618" s="94" t="s">
        <v>98</v>
      </c>
      <c r="BC618" s="94" t="s">
        <v>98</v>
      </c>
      <c r="BD618" s="94" t="s">
        <v>98</v>
      </c>
      <c r="BE618" s="94" t="s">
        <v>98</v>
      </c>
      <c r="BF618" s="95" t="s">
        <v>3089</v>
      </c>
      <c r="BG618" s="95" t="s">
        <v>3090</v>
      </c>
      <c r="BH618" s="9" t="s">
        <v>100</v>
      </c>
      <c r="BI618" s="9" t="s">
        <v>100</v>
      </c>
      <c r="BJ618" s="109"/>
      <c r="BN618" s="109"/>
      <c r="BO618" s="109"/>
    </row>
    <row r="619" spans="1:67" s="110" customFormat="1" ht="104" hidden="1" x14ac:dyDescent="0.35">
      <c r="A619" s="94">
        <v>2594</v>
      </c>
      <c r="B619" s="94" t="s">
        <v>3006</v>
      </c>
      <c r="C619" s="95" t="s">
        <v>66</v>
      </c>
      <c r="D619" s="95" t="s">
        <v>3091</v>
      </c>
      <c r="E619" s="94" t="s">
        <v>37</v>
      </c>
      <c r="F619" s="94" t="s">
        <v>136</v>
      </c>
      <c r="G619" s="94" t="s">
        <v>225</v>
      </c>
      <c r="H619" s="94" t="s">
        <v>125</v>
      </c>
      <c r="I619" s="94" t="s">
        <v>114</v>
      </c>
      <c r="J619" s="95" t="s">
        <v>98</v>
      </c>
      <c r="K619" s="94" t="s">
        <v>98</v>
      </c>
      <c r="L619" s="94" t="s">
        <v>98</v>
      </c>
      <c r="M619" s="94" t="s">
        <v>98</v>
      </c>
      <c r="N619" s="95" t="s">
        <v>3087</v>
      </c>
      <c r="O619" s="95" t="s">
        <v>3088</v>
      </c>
      <c r="P619" s="95" t="s">
        <v>238</v>
      </c>
      <c r="Q619" s="140">
        <v>37741</v>
      </c>
      <c r="R619" s="95" t="s">
        <v>276</v>
      </c>
      <c r="S619" s="95" t="s">
        <v>276</v>
      </c>
      <c r="T619" s="95" t="s">
        <v>3054</v>
      </c>
      <c r="U619" s="95">
        <v>1</v>
      </c>
      <c r="V619" s="94" t="s">
        <v>14</v>
      </c>
      <c r="W619" s="94" t="s">
        <v>98</v>
      </c>
      <c r="X619" s="95" t="s">
        <v>209</v>
      </c>
      <c r="Y619" s="98">
        <v>49311</v>
      </c>
      <c r="Z619" s="95" t="s">
        <v>98</v>
      </c>
      <c r="AA619" s="95" t="s">
        <v>276</v>
      </c>
      <c r="AB619" s="95" t="s">
        <v>98</v>
      </c>
      <c r="AC619" s="94">
        <v>0</v>
      </c>
      <c r="AD619" s="94" t="s">
        <v>98</v>
      </c>
      <c r="AE619" s="94" t="s">
        <v>98</v>
      </c>
      <c r="AF619" s="94" t="s">
        <v>98</v>
      </c>
      <c r="AG619" s="95" t="s">
        <v>3092</v>
      </c>
      <c r="AH619" s="95" t="s">
        <v>1176</v>
      </c>
      <c r="AI619" s="99">
        <v>218</v>
      </c>
      <c r="AJ619" s="99" t="s">
        <v>98</v>
      </c>
      <c r="AK619" s="98">
        <v>49311</v>
      </c>
      <c r="AL619" s="99" t="s">
        <v>98</v>
      </c>
      <c r="AM619" s="99" t="s">
        <v>292</v>
      </c>
      <c r="AN619" s="94" t="s">
        <v>276</v>
      </c>
      <c r="AO619" s="802">
        <f t="shared" si="189"/>
        <v>0.44209202814787774</v>
      </c>
      <c r="AP619" s="94" t="s">
        <v>276</v>
      </c>
      <c r="AQ619" s="94" t="s">
        <v>276</v>
      </c>
      <c r="AR619" s="94" t="s">
        <v>98</v>
      </c>
      <c r="AS619" s="94" t="s">
        <v>98</v>
      </c>
      <c r="AT619" s="94" t="s">
        <v>98</v>
      </c>
      <c r="AU619" s="94" t="s">
        <v>98</v>
      </c>
      <c r="AV619" s="94" t="s">
        <v>98</v>
      </c>
      <c r="AW619" s="94" t="s">
        <v>98</v>
      </c>
      <c r="AX619" s="94" t="s">
        <v>98</v>
      </c>
      <c r="AY619" s="94" t="s">
        <v>98</v>
      </c>
      <c r="AZ619" s="94" t="s">
        <v>98</v>
      </c>
      <c r="BA619" s="94" t="s">
        <v>98</v>
      </c>
      <c r="BB619" s="94" t="s">
        <v>98</v>
      </c>
      <c r="BC619" s="94" t="s">
        <v>98</v>
      </c>
      <c r="BD619" s="94" t="s">
        <v>98</v>
      </c>
      <c r="BE619" s="94" t="s">
        <v>98</v>
      </c>
      <c r="BF619" s="95" t="s">
        <v>3089</v>
      </c>
      <c r="BG619" s="95" t="s">
        <v>3093</v>
      </c>
      <c r="BH619" s="9" t="s">
        <v>100</v>
      </c>
      <c r="BI619" s="9" t="s">
        <v>100</v>
      </c>
      <c r="BJ619" s="109"/>
      <c r="BN619" s="109"/>
      <c r="BO619" s="109"/>
    </row>
    <row r="620" spans="1:67" s="110" customFormat="1" ht="104" hidden="1" x14ac:dyDescent="0.35">
      <c r="A620" s="94">
        <v>2594</v>
      </c>
      <c r="B620" s="94" t="s">
        <v>3006</v>
      </c>
      <c r="C620" s="95" t="s">
        <v>66</v>
      </c>
      <c r="D620" s="95" t="s">
        <v>3094</v>
      </c>
      <c r="E620" s="94" t="s">
        <v>37</v>
      </c>
      <c r="F620" s="94" t="s">
        <v>136</v>
      </c>
      <c r="G620" s="94" t="s">
        <v>225</v>
      </c>
      <c r="H620" s="94" t="s">
        <v>125</v>
      </c>
      <c r="I620" s="94" t="s">
        <v>114</v>
      </c>
      <c r="J620" s="95" t="s">
        <v>98</v>
      </c>
      <c r="K620" s="94" t="s">
        <v>98</v>
      </c>
      <c r="L620" s="94" t="s">
        <v>98</v>
      </c>
      <c r="M620" s="94" t="s">
        <v>98</v>
      </c>
      <c r="N620" s="95" t="s">
        <v>3087</v>
      </c>
      <c r="O620" s="95" t="s">
        <v>3088</v>
      </c>
      <c r="P620" s="95" t="s">
        <v>238</v>
      </c>
      <c r="Q620" s="140">
        <v>37741</v>
      </c>
      <c r="R620" s="95" t="s">
        <v>276</v>
      </c>
      <c r="S620" s="95" t="s">
        <v>276</v>
      </c>
      <c r="T620" s="95" t="s">
        <v>3054</v>
      </c>
      <c r="U620" s="95">
        <v>1</v>
      </c>
      <c r="V620" s="94" t="s">
        <v>14</v>
      </c>
      <c r="W620" s="94" t="s">
        <v>98</v>
      </c>
      <c r="X620" s="95" t="s">
        <v>209</v>
      </c>
      <c r="Y620" s="98">
        <v>49311</v>
      </c>
      <c r="Z620" s="95" t="s">
        <v>98</v>
      </c>
      <c r="AA620" s="95" t="s">
        <v>276</v>
      </c>
      <c r="AB620" s="95" t="s">
        <v>98</v>
      </c>
      <c r="AC620" s="94">
        <v>0</v>
      </c>
      <c r="AD620" s="94" t="s">
        <v>98</v>
      </c>
      <c r="AE620" s="94" t="s">
        <v>98</v>
      </c>
      <c r="AF620" s="94" t="s">
        <v>98</v>
      </c>
      <c r="AG620" s="95" t="s">
        <v>3095</v>
      </c>
      <c r="AH620" s="95" t="s">
        <v>1176</v>
      </c>
      <c r="AI620" s="99">
        <v>285</v>
      </c>
      <c r="AJ620" s="99" t="s">
        <v>98</v>
      </c>
      <c r="AK620" s="98">
        <v>49311</v>
      </c>
      <c r="AL620" s="99" t="s">
        <v>98</v>
      </c>
      <c r="AM620" s="99" t="s">
        <v>292</v>
      </c>
      <c r="AN620" s="94" t="s">
        <v>276</v>
      </c>
      <c r="AO620" s="802">
        <f t="shared" si="189"/>
        <v>0.57796434872543656</v>
      </c>
      <c r="AP620" s="94" t="s">
        <v>276</v>
      </c>
      <c r="AQ620" s="94" t="s">
        <v>276</v>
      </c>
      <c r="AR620" s="94" t="s">
        <v>98</v>
      </c>
      <c r="AS620" s="94" t="s">
        <v>98</v>
      </c>
      <c r="AT620" s="94" t="s">
        <v>98</v>
      </c>
      <c r="AU620" s="94" t="s">
        <v>98</v>
      </c>
      <c r="AV620" s="94" t="s">
        <v>98</v>
      </c>
      <c r="AW620" s="94" t="s">
        <v>98</v>
      </c>
      <c r="AX620" s="94" t="s">
        <v>98</v>
      </c>
      <c r="AY620" s="94" t="s">
        <v>98</v>
      </c>
      <c r="AZ620" s="94" t="s">
        <v>98</v>
      </c>
      <c r="BA620" s="94" t="s">
        <v>98</v>
      </c>
      <c r="BB620" s="94" t="s">
        <v>98</v>
      </c>
      <c r="BC620" s="94" t="s">
        <v>98</v>
      </c>
      <c r="BD620" s="94" t="s">
        <v>98</v>
      </c>
      <c r="BE620" s="94" t="s">
        <v>98</v>
      </c>
      <c r="BF620" s="95" t="s">
        <v>3096</v>
      </c>
      <c r="BG620" s="95" t="s">
        <v>3093</v>
      </c>
      <c r="BH620" s="9" t="s">
        <v>100</v>
      </c>
      <c r="BI620" s="9" t="s">
        <v>100</v>
      </c>
      <c r="BJ620" s="109"/>
      <c r="BN620" s="109"/>
      <c r="BO620" s="109"/>
    </row>
    <row r="621" spans="1:67" s="124" customFormat="1" ht="104" x14ac:dyDescent="0.35">
      <c r="A621" s="112">
        <v>2594</v>
      </c>
      <c r="B621" s="112" t="s">
        <v>3006</v>
      </c>
      <c r="C621" s="113" t="s">
        <v>66</v>
      </c>
      <c r="D621" s="113" t="s">
        <v>3097</v>
      </c>
      <c r="E621" s="112" t="s">
        <v>37</v>
      </c>
      <c r="F621" s="112" t="s">
        <v>136</v>
      </c>
      <c r="G621" s="112" t="s">
        <v>225</v>
      </c>
      <c r="H621" s="112" t="s">
        <v>125</v>
      </c>
      <c r="I621" s="112" t="s">
        <v>114</v>
      </c>
      <c r="J621" s="113" t="s">
        <v>98</v>
      </c>
      <c r="K621" s="112" t="s">
        <v>98</v>
      </c>
      <c r="L621" s="112" t="s">
        <v>98</v>
      </c>
      <c r="M621" s="112" t="s">
        <v>98</v>
      </c>
      <c r="N621" s="113" t="s">
        <v>3087</v>
      </c>
      <c r="O621" s="113" t="s">
        <v>3088</v>
      </c>
      <c r="P621" s="113" t="s">
        <v>236</v>
      </c>
      <c r="Q621" s="142">
        <v>39082</v>
      </c>
      <c r="R621" s="113" t="s">
        <v>3010</v>
      </c>
      <c r="S621" s="113" t="s">
        <v>3098</v>
      </c>
      <c r="T621" s="113" t="s">
        <v>3054</v>
      </c>
      <c r="U621" s="113">
        <v>1</v>
      </c>
      <c r="V621" s="112" t="s">
        <v>14</v>
      </c>
      <c r="W621" s="112" t="s">
        <v>98</v>
      </c>
      <c r="X621" s="113" t="s">
        <v>209</v>
      </c>
      <c r="Y621" s="118" t="s">
        <v>98</v>
      </c>
      <c r="Z621" s="113" t="s">
        <v>98</v>
      </c>
      <c r="AA621" s="113" t="s">
        <v>276</v>
      </c>
      <c r="AB621" s="113" t="s">
        <v>98</v>
      </c>
      <c r="AC621" s="112">
        <v>0</v>
      </c>
      <c r="AD621" s="112" t="s">
        <v>98</v>
      </c>
      <c r="AE621" s="112" t="s">
        <v>98</v>
      </c>
      <c r="AF621" s="112" t="s">
        <v>98</v>
      </c>
      <c r="AG621" s="113" t="s">
        <v>3059</v>
      </c>
      <c r="AH621" s="113" t="s">
        <v>3099</v>
      </c>
      <c r="AI621" s="119">
        <v>67</v>
      </c>
      <c r="AJ621" s="119" t="s">
        <v>98</v>
      </c>
      <c r="AK621" s="118">
        <v>167</v>
      </c>
      <c r="AL621" s="119" t="s">
        <v>98</v>
      </c>
      <c r="AM621" s="119" t="s">
        <v>292</v>
      </c>
      <c r="AN621" s="112" t="s">
        <v>276</v>
      </c>
      <c r="AO621" s="121">
        <f t="shared" si="189"/>
        <v>40.119760479041915</v>
      </c>
      <c r="AP621" s="112" t="s">
        <v>276</v>
      </c>
      <c r="AQ621" s="112" t="s">
        <v>276</v>
      </c>
      <c r="AR621" s="112" t="s">
        <v>98</v>
      </c>
      <c r="AS621" s="112" t="s">
        <v>98</v>
      </c>
      <c r="AT621" s="112" t="s">
        <v>98</v>
      </c>
      <c r="AU621" s="112" t="s">
        <v>98</v>
      </c>
      <c r="AV621" s="112" t="s">
        <v>98</v>
      </c>
      <c r="AW621" s="112" t="s">
        <v>98</v>
      </c>
      <c r="AX621" s="112" t="s">
        <v>98</v>
      </c>
      <c r="AY621" s="112" t="s">
        <v>98</v>
      </c>
      <c r="AZ621" s="112" t="s">
        <v>98</v>
      </c>
      <c r="BA621" s="112" t="s">
        <v>98</v>
      </c>
      <c r="BB621" s="112" t="s">
        <v>98</v>
      </c>
      <c r="BC621" s="112" t="s">
        <v>98</v>
      </c>
      <c r="BD621" s="112" t="s">
        <v>98</v>
      </c>
      <c r="BE621" s="112" t="s">
        <v>98</v>
      </c>
      <c r="BF621" s="113" t="s">
        <v>3100</v>
      </c>
      <c r="BG621" s="113"/>
      <c r="BH621" s="9" t="s">
        <v>99</v>
      </c>
      <c r="BI621" s="9" t="s">
        <v>100</v>
      </c>
      <c r="BJ621" s="123"/>
      <c r="BN621" s="123"/>
      <c r="BO621" s="123"/>
    </row>
    <row r="622" spans="1:67" s="110" customFormat="1" ht="104" hidden="1" x14ac:dyDescent="0.35">
      <c r="A622" s="94">
        <v>2594</v>
      </c>
      <c r="B622" s="94" t="s">
        <v>3006</v>
      </c>
      <c r="C622" s="95" t="s">
        <v>66</v>
      </c>
      <c r="D622" s="95" t="s">
        <v>3101</v>
      </c>
      <c r="E622" s="94" t="s">
        <v>37</v>
      </c>
      <c r="F622" s="94" t="s">
        <v>136</v>
      </c>
      <c r="G622" s="94" t="s">
        <v>225</v>
      </c>
      <c r="H622" s="94" t="s">
        <v>125</v>
      </c>
      <c r="I622" s="94" t="s">
        <v>114</v>
      </c>
      <c r="J622" s="95" t="s">
        <v>25</v>
      </c>
      <c r="K622" s="94" t="s">
        <v>930</v>
      </c>
      <c r="L622" s="94" t="s">
        <v>2567</v>
      </c>
      <c r="M622" s="94" t="s">
        <v>3066</v>
      </c>
      <c r="N622" s="95" t="s">
        <v>3087</v>
      </c>
      <c r="O622" s="95" t="s">
        <v>3088</v>
      </c>
      <c r="P622" s="95" t="s">
        <v>239</v>
      </c>
      <c r="Q622" s="140">
        <v>39082</v>
      </c>
      <c r="R622" s="95" t="s">
        <v>3010</v>
      </c>
      <c r="S622" s="95" t="s">
        <v>3098</v>
      </c>
      <c r="T622" s="99" t="s">
        <v>3102</v>
      </c>
      <c r="U622" s="95">
        <v>1</v>
      </c>
      <c r="V622" s="94" t="s">
        <v>14</v>
      </c>
      <c r="W622" s="94" t="s">
        <v>98</v>
      </c>
      <c r="X622" s="95" t="s">
        <v>207</v>
      </c>
      <c r="Y622" s="98">
        <v>49311</v>
      </c>
      <c r="Z622" s="99">
        <v>30958</v>
      </c>
      <c r="AA622" s="95" t="s">
        <v>276</v>
      </c>
      <c r="AB622" s="95" t="s">
        <v>276</v>
      </c>
      <c r="AC622" s="94">
        <v>29</v>
      </c>
      <c r="AD622" s="94" t="s">
        <v>968</v>
      </c>
      <c r="AE622" s="94">
        <v>44</v>
      </c>
      <c r="AF622" s="94" t="s">
        <v>968</v>
      </c>
      <c r="AG622" s="95" t="s">
        <v>3103</v>
      </c>
      <c r="AH622" s="95" t="s">
        <v>280</v>
      </c>
      <c r="AI622" s="99">
        <v>18</v>
      </c>
      <c r="AJ622" s="99">
        <v>1</v>
      </c>
      <c r="AK622" s="98">
        <v>49311</v>
      </c>
      <c r="AL622" s="99">
        <v>30958</v>
      </c>
      <c r="AM622" s="99" t="s">
        <v>281</v>
      </c>
      <c r="AN622" s="94" t="s">
        <v>276</v>
      </c>
      <c r="AO622" s="102">
        <f>AI622*1000/AK622</f>
        <v>0.36503011498448623</v>
      </c>
      <c r="AP622" s="94" t="s">
        <v>276</v>
      </c>
      <c r="AQ622" s="94" t="s">
        <v>276</v>
      </c>
      <c r="AR622" s="94" t="s">
        <v>276</v>
      </c>
      <c r="AS622" s="102">
        <f>AJ622*1000/AL622</f>
        <v>3.2301828283480848E-2</v>
      </c>
      <c r="AT622" s="94" t="s">
        <v>276</v>
      </c>
      <c r="AU622" s="94" t="s">
        <v>276</v>
      </c>
      <c r="AV622" s="94" t="s">
        <v>268</v>
      </c>
      <c r="AW622" s="94" t="s">
        <v>276</v>
      </c>
      <c r="AX622" s="102">
        <f t="shared" ref="AX622:AX629" si="190">AO622/AS622</f>
        <v>11.300602299689723</v>
      </c>
      <c r="AY622" s="94" t="s">
        <v>276</v>
      </c>
      <c r="AZ622" s="94" t="s">
        <v>276</v>
      </c>
      <c r="BA622" s="94" t="s">
        <v>276</v>
      </c>
      <c r="BB622" s="94" t="s">
        <v>282</v>
      </c>
      <c r="BC622" s="94" t="s">
        <v>276</v>
      </c>
      <c r="BD622" s="94" t="s">
        <v>276</v>
      </c>
      <c r="BE622" s="94" t="s">
        <v>276</v>
      </c>
      <c r="BF622" s="95" t="s">
        <v>426</v>
      </c>
      <c r="BG622" s="95"/>
      <c r="BH622" s="9" t="s">
        <v>100</v>
      </c>
      <c r="BI622" s="9" t="s">
        <v>100</v>
      </c>
      <c r="BJ622" s="109"/>
      <c r="BN622" s="109"/>
      <c r="BO622" s="109"/>
    </row>
    <row r="623" spans="1:67" s="110" customFormat="1" ht="104" hidden="1" x14ac:dyDescent="0.35">
      <c r="A623" s="94">
        <v>2594</v>
      </c>
      <c r="B623" s="94" t="s">
        <v>3006</v>
      </c>
      <c r="C623" s="95" t="s">
        <v>66</v>
      </c>
      <c r="D623" s="95" t="s">
        <v>3104</v>
      </c>
      <c r="E623" s="94" t="s">
        <v>37</v>
      </c>
      <c r="F623" s="94" t="s">
        <v>136</v>
      </c>
      <c r="G623" s="94" t="s">
        <v>225</v>
      </c>
      <c r="H623" s="94" t="s">
        <v>125</v>
      </c>
      <c r="I623" s="94" t="s">
        <v>114</v>
      </c>
      <c r="J623" s="95" t="s">
        <v>25</v>
      </c>
      <c r="K623" s="94" t="s">
        <v>930</v>
      </c>
      <c r="L623" s="94" t="s">
        <v>2567</v>
      </c>
      <c r="M623" s="94" t="s">
        <v>3066</v>
      </c>
      <c r="N623" s="95" t="s">
        <v>3087</v>
      </c>
      <c r="O623" s="95" t="s">
        <v>3088</v>
      </c>
      <c r="P623" s="95" t="s">
        <v>239</v>
      </c>
      <c r="Q623" s="140">
        <v>39082</v>
      </c>
      <c r="R623" s="95" t="s">
        <v>3010</v>
      </c>
      <c r="S623" s="95" t="s">
        <v>3098</v>
      </c>
      <c r="T623" s="99" t="s">
        <v>3102</v>
      </c>
      <c r="U623" s="95">
        <v>1</v>
      </c>
      <c r="V623" s="94" t="s">
        <v>14</v>
      </c>
      <c r="W623" s="94" t="s">
        <v>98</v>
      </c>
      <c r="X623" s="95" t="s">
        <v>207</v>
      </c>
      <c r="Y623" s="98">
        <v>49311</v>
      </c>
      <c r="Z623" s="99">
        <v>30958</v>
      </c>
      <c r="AA623" s="95" t="s">
        <v>276</v>
      </c>
      <c r="AB623" s="95" t="s">
        <v>276</v>
      </c>
      <c r="AC623" s="94">
        <v>29</v>
      </c>
      <c r="AD623" s="94" t="s">
        <v>968</v>
      </c>
      <c r="AE623" s="94">
        <v>44</v>
      </c>
      <c r="AF623" s="94" t="s">
        <v>968</v>
      </c>
      <c r="AG623" s="95" t="s">
        <v>3103</v>
      </c>
      <c r="AH623" s="95" t="s">
        <v>3105</v>
      </c>
      <c r="AI623" s="99">
        <v>18</v>
      </c>
      <c r="AJ623" s="99">
        <v>1</v>
      </c>
      <c r="AK623" s="99">
        <v>274023</v>
      </c>
      <c r="AL623" s="99">
        <v>178394</v>
      </c>
      <c r="AM623" s="99" t="s">
        <v>1019</v>
      </c>
      <c r="AN623" s="94" t="s">
        <v>276</v>
      </c>
      <c r="AO623" s="102">
        <f>AI623*100000/AK623</f>
        <v>6.5687916707721614</v>
      </c>
      <c r="AP623" s="94" t="s">
        <v>276</v>
      </c>
      <c r="AQ623" s="94" t="s">
        <v>276</v>
      </c>
      <c r="AR623" s="94" t="s">
        <v>276</v>
      </c>
      <c r="AS623" s="102">
        <f>AJ623*100000/AL623</f>
        <v>0.5605569694048006</v>
      </c>
      <c r="AT623" s="94" t="s">
        <v>276</v>
      </c>
      <c r="AU623" s="94" t="s">
        <v>276</v>
      </c>
      <c r="AV623" s="94" t="s">
        <v>269</v>
      </c>
      <c r="AW623" s="94" t="s">
        <v>276</v>
      </c>
      <c r="AX623" s="102">
        <f t="shared" si="190"/>
        <v>11.718330213157289</v>
      </c>
      <c r="AY623" s="94" t="s">
        <v>276</v>
      </c>
      <c r="AZ623" s="94" t="s">
        <v>276</v>
      </c>
      <c r="BA623" s="94" t="s">
        <v>276</v>
      </c>
      <c r="BB623" s="94" t="s">
        <v>282</v>
      </c>
      <c r="BC623" s="94" t="s">
        <v>276</v>
      </c>
      <c r="BD623" s="94" t="s">
        <v>276</v>
      </c>
      <c r="BE623" s="94" t="s">
        <v>276</v>
      </c>
      <c r="BF623" s="95" t="s">
        <v>426</v>
      </c>
      <c r="BG623" s="95"/>
      <c r="BH623" s="9" t="s">
        <v>100</v>
      </c>
      <c r="BI623" s="9" t="s">
        <v>100</v>
      </c>
      <c r="BJ623" s="109"/>
      <c r="BN623" s="109"/>
      <c r="BO623" s="109"/>
    </row>
    <row r="624" spans="1:67" s="124" customFormat="1" ht="104" hidden="1" x14ac:dyDescent="0.35">
      <c r="A624" s="112">
        <v>2594</v>
      </c>
      <c r="B624" s="112" t="s">
        <v>3006</v>
      </c>
      <c r="C624" s="113" t="s">
        <v>66</v>
      </c>
      <c r="D624" s="113" t="s">
        <v>3106</v>
      </c>
      <c r="E624" s="112" t="s">
        <v>37</v>
      </c>
      <c r="F624" s="112" t="s">
        <v>136</v>
      </c>
      <c r="G624" s="112" t="s">
        <v>225</v>
      </c>
      <c r="H624" s="112" t="s">
        <v>125</v>
      </c>
      <c r="I624" s="112" t="s">
        <v>114</v>
      </c>
      <c r="J624" s="113" t="s">
        <v>25</v>
      </c>
      <c r="K624" s="112" t="s">
        <v>934</v>
      </c>
      <c r="L624" s="112" t="s">
        <v>2567</v>
      </c>
      <c r="M624" s="112" t="s">
        <v>3066</v>
      </c>
      <c r="N624" s="113" t="s">
        <v>3087</v>
      </c>
      <c r="O624" s="113" t="s">
        <v>3088</v>
      </c>
      <c r="P624" s="113" t="s">
        <v>239</v>
      </c>
      <c r="Q624" s="142">
        <v>39082</v>
      </c>
      <c r="R624" s="113" t="s">
        <v>3010</v>
      </c>
      <c r="S624" s="113" t="s">
        <v>3098</v>
      </c>
      <c r="T624" s="119" t="s">
        <v>3102</v>
      </c>
      <c r="U624" s="113">
        <v>1</v>
      </c>
      <c r="V624" s="112" t="s">
        <v>14</v>
      </c>
      <c r="W624" s="112" t="s">
        <v>98</v>
      </c>
      <c r="X624" s="113" t="s">
        <v>207</v>
      </c>
      <c r="Y624" s="118">
        <v>49311</v>
      </c>
      <c r="Z624" s="119">
        <v>30958</v>
      </c>
      <c r="AA624" s="113" t="s">
        <v>276</v>
      </c>
      <c r="AB624" s="113" t="s">
        <v>276</v>
      </c>
      <c r="AC624" s="112">
        <v>29</v>
      </c>
      <c r="AD624" s="112" t="s">
        <v>968</v>
      </c>
      <c r="AE624" s="112">
        <v>44</v>
      </c>
      <c r="AF624" s="112" t="s">
        <v>968</v>
      </c>
      <c r="AG624" s="113" t="s">
        <v>3107</v>
      </c>
      <c r="AH624" s="113" t="s">
        <v>280</v>
      </c>
      <c r="AI624" s="119">
        <v>15</v>
      </c>
      <c r="AJ624" s="119">
        <v>15</v>
      </c>
      <c r="AK624" s="118">
        <v>49311</v>
      </c>
      <c r="AL624" s="119">
        <v>30958</v>
      </c>
      <c r="AM624" s="119" t="s">
        <v>281</v>
      </c>
      <c r="AN624" s="112" t="s">
        <v>276</v>
      </c>
      <c r="AO624" s="121">
        <f>AI624*1000/AK624</f>
        <v>0.30419176248707186</v>
      </c>
      <c r="AP624" s="112" t="s">
        <v>276</v>
      </c>
      <c r="AQ624" s="112" t="s">
        <v>276</v>
      </c>
      <c r="AR624" s="112" t="s">
        <v>276</v>
      </c>
      <c r="AS624" s="121">
        <f>AJ624*1000/AL624</f>
        <v>0.48452742425221268</v>
      </c>
      <c r="AT624" s="112" t="s">
        <v>276</v>
      </c>
      <c r="AU624" s="112" t="s">
        <v>276</v>
      </c>
      <c r="AV624" s="112" t="s">
        <v>268</v>
      </c>
      <c r="AW624" s="112" t="s">
        <v>276</v>
      </c>
      <c r="AX624" s="121">
        <f t="shared" si="190"/>
        <v>0.62781123887165136</v>
      </c>
      <c r="AY624" s="112" t="s">
        <v>276</v>
      </c>
      <c r="AZ624" s="112" t="s">
        <v>276</v>
      </c>
      <c r="BA624" s="112" t="s">
        <v>276</v>
      </c>
      <c r="BB624" s="112" t="s">
        <v>282</v>
      </c>
      <c r="BC624" s="112" t="s">
        <v>276</v>
      </c>
      <c r="BD624" s="112" t="s">
        <v>276</v>
      </c>
      <c r="BE624" s="112" t="s">
        <v>276</v>
      </c>
      <c r="BF624" s="113" t="s">
        <v>426</v>
      </c>
      <c r="BG624" s="113"/>
      <c r="BH624" s="9" t="s">
        <v>100</v>
      </c>
      <c r="BI624" s="9" t="s">
        <v>100</v>
      </c>
      <c r="BJ624" s="123"/>
      <c r="BN624" s="123"/>
      <c r="BO624" s="123"/>
    </row>
    <row r="625" spans="1:67" s="124" customFormat="1" ht="104" hidden="1" x14ac:dyDescent="0.35">
      <c r="A625" s="112">
        <v>2594</v>
      </c>
      <c r="B625" s="112" t="s">
        <v>3006</v>
      </c>
      <c r="C625" s="113" t="s">
        <v>66</v>
      </c>
      <c r="D625" s="113" t="s">
        <v>3108</v>
      </c>
      <c r="E625" s="112" t="s">
        <v>37</v>
      </c>
      <c r="F625" s="112" t="s">
        <v>136</v>
      </c>
      <c r="G625" s="112" t="s">
        <v>225</v>
      </c>
      <c r="H625" s="112" t="s">
        <v>125</v>
      </c>
      <c r="I625" s="112" t="s">
        <v>114</v>
      </c>
      <c r="J625" s="113" t="s">
        <v>25</v>
      </c>
      <c r="K625" s="112" t="s">
        <v>934</v>
      </c>
      <c r="L625" s="112" t="s">
        <v>2567</v>
      </c>
      <c r="M625" s="112" t="s">
        <v>3066</v>
      </c>
      <c r="N625" s="113" t="s">
        <v>3087</v>
      </c>
      <c r="O625" s="113" t="s">
        <v>3088</v>
      </c>
      <c r="P625" s="113" t="s">
        <v>239</v>
      </c>
      <c r="Q625" s="142">
        <v>39082</v>
      </c>
      <c r="R625" s="113" t="s">
        <v>3010</v>
      </c>
      <c r="S625" s="113" t="s">
        <v>3098</v>
      </c>
      <c r="T625" s="119" t="s">
        <v>3102</v>
      </c>
      <c r="U625" s="113">
        <v>1</v>
      </c>
      <c r="V625" s="112" t="s">
        <v>14</v>
      </c>
      <c r="W625" s="112" t="s">
        <v>98</v>
      </c>
      <c r="X625" s="113" t="s">
        <v>207</v>
      </c>
      <c r="Y625" s="118">
        <v>49311</v>
      </c>
      <c r="Z625" s="119">
        <v>30958</v>
      </c>
      <c r="AA625" s="113" t="s">
        <v>276</v>
      </c>
      <c r="AB625" s="113" t="s">
        <v>276</v>
      </c>
      <c r="AC625" s="112">
        <v>29</v>
      </c>
      <c r="AD625" s="112" t="s">
        <v>968</v>
      </c>
      <c r="AE625" s="112">
        <v>44</v>
      </c>
      <c r="AF625" s="112" t="s">
        <v>968</v>
      </c>
      <c r="AG625" s="113" t="s">
        <v>3107</v>
      </c>
      <c r="AH625" s="113" t="s">
        <v>3105</v>
      </c>
      <c r="AI625" s="119">
        <v>15</v>
      </c>
      <c r="AJ625" s="119">
        <v>15</v>
      </c>
      <c r="AK625" s="119">
        <v>274023</v>
      </c>
      <c r="AL625" s="119">
        <v>178394</v>
      </c>
      <c r="AM625" s="119" t="s">
        <v>1019</v>
      </c>
      <c r="AN625" s="112" t="s">
        <v>276</v>
      </c>
      <c r="AO625" s="121">
        <f>AI625*100000/AK625</f>
        <v>5.4739930589768013</v>
      </c>
      <c r="AP625" s="112" t="s">
        <v>276</v>
      </c>
      <c r="AQ625" s="112" t="s">
        <v>276</v>
      </c>
      <c r="AR625" s="112" t="s">
        <v>276</v>
      </c>
      <c r="AS625" s="121">
        <f>AJ625*100000/AL625</f>
        <v>8.4083545410720095</v>
      </c>
      <c r="AT625" s="112" t="s">
        <v>276</v>
      </c>
      <c r="AU625" s="112" t="s">
        <v>276</v>
      </c>
      <c r="AV625" s="112" t="s">
        <v>269</v>
      </c>
      <c r="AW625" s="112" t="s">
        <v>276</v>
      </c>
      <c r="AX625" s="121">
        <f t="shared" si="190"/>
        <v>0.65101834517540502</v>
      </c>
      <c r="AY625" s="112" t="s">
        <v>276</v>
      </c>
      <c r="AZ625" s="112" t="s">
        <v>276</v>
      </c>
      <c r="BA625" s="112" t="s">
        <v>276</v>
      </c>
      <c r="BB625" s="112" t="s">
        <v>282</v>
      </c>
      <c r="BC625" s="112" t="s">
        <v>276</v>
      </c>
      <c r="BD625" s="112" t="s">
        <v>276</v>
      </c>
      <c r="BE625" s="112" t="s">
        <v>276</v>
      </c>
      <c r="BF625" s="113" t="s">
        <v>426</v>
      </c>
      <c r="BG625" s="113"/>
      <c r="BH625" s="9" t="s">
        <v>100</v>
      </c>
      <c r="BI625" s="9" t="s">
        <v>100</v>
      </c>
      <c r="BJ625" s="123"/>
      <c r="BN625" s="123"/>
      <c r="BO625" s="123"/>
    </row>
    <row r="626" spans="1:67" s="110" customFormat="1" ht="104" hidden="1" x14ac:dyDescent="0.35">
      <c r="A626" s="94">
        <v>2594</v>
      </c>
      <c r="B626" s="94" t="s">
        <v>3006</v>
      </c>
      <c r="C626" s="95" t="s">
        <v>66</v>
      </c>
      <c r="D626" s="95" t="s">
        <v>3109</v>
      </c>
      <c r="E626" s="94" t="s">
        <v>37</v>
      </c>
      <c r="F626" s="94" t="s">
        <v>136</v>
      </c>
      <c r="G626" s="94" t="s">
        <v>225</v>
      </c>
      <c r="H626" s="94" t="s">
        <v>125</v>
      </c>
      <c r="I626" s="94" t="s">
        <v>114</v>
      </c>
      <c r="J626" s="95" t="s">
        <v>25</v>
      </c>
      <c r="K626" s="94" t="s">
        <v>300</v>
      </c>
      <c r="L626" s="94" t="s">
        <v>2567</v>
      </c>
      <c r="M626" s="94" t="s">
        <v>3066</v>
      </c>
      <c r="N626" s="95" t="s">
        <v>3087</v>
      </c>
      <c r="O626" s="95" t="s">
        <v>3088</v>
      </c>
      <c r="P626" s="95" t="s">
        <v>239</v>
      </c>
      <c r="Q626" s="140">
        <v>39082</v>
      </c>
      <c r="R626" s="95" t="s">
        <v>3010</v>
      </c>
      <c r="S626" s="95" t="s">
        <v>3098</v>
      </c>
      <c r="T626" s="99" t="s">
        <v>3102</v>
      </c>
      <c r="U626" s="95">
        <v>1</v>
      </c>
      <c r="V626" s="94" t="s">
        <v>14</v>
      </c>
      <c r="W626" s="94" t="s">
        <v>98</v>
      </c>
      <c r="X626" s="95" t="s">
        <v>207</v>
      </c>
      <c r="Y626" s="98">
        <v>49311</v>
      </c>
      <c r="Z626" s="99">
        <v>30958</v>
      </c>
      <c r="AA626" s="95" t="s">
        <v>276</v>
      </c>
      <c r="AB626" s="95" t="s">
        <v>276</v>
      </c>
      <c r="AC626" s="94">
        <v>29</v>
      </c>
      <c r="AD626" s="94" t="s">
        <v>968</v>
      </c>
      <c r="AE626" s="94">
        <v>44</v>
      </c>
      <c r="AF626" s="94" t="s">
        <v>968</v>
      </c>
      <c r="AG626" s="95" t="s">
        <v>3110</v>
      </c>
      <c r="AH626" s="95" t="s">
        <v>280</v>
      </c>
      <c r="AI626" s="99">
        <f>18+15</f>
        <v>33</v>
      </c>
      <c r="AJ626" s="99">
        <f>15+1</f>
        <v>16</v>
      </c>
      <c r="AK626" s="98">
        <v>49311</v>
      </c>
      <c r="AL626" s="99">
        <v>30958</v>
      </c>
      <c r="AM626" s="99" t="s">
        <v>281</v>
      </c>
      <c r="AN626" s="94" t="s">
        <v>276</v>
      </c>
      <c r="AO626" s="102">
        <f>AI626*1000/AK626</f>
        <v>0.66922187747155804</v>
      </c>
      <c r="AP626" s="94" t="s">
        <v>276</v>
      </c>
      <c r="AQ626" s="94" t="s">
        <v>276</v>
      </c>
      <c r="AR626" s="94" t="s">
        <v>276</v>
      </c>
      <c r="AS626" s="102">
        <f>AJ626*1000/AL626</f>
        <v>0.51682925253569356</v>
      </c>
      <c r="AT626" s="94" t="s">
        <v>276</v>
      </c>
      <c r="AU626" s="94" t="s">
        <v>276</v>
      </c>
      <c r="AV626" s="94" t="s">
        <v>268</v>
      </c>
      <c r="AW626" s="94" t="s">
        <v>276</v>
      </c>
      <c r="AX626" s="102">
        <f t="shared" si="190"/>
        <v>1.2948606801727807</v>
      </c>
      <c r="AY626" s="94" t="s">
        <v>276</v>
      </c>
      <c r="AZ626" s="94" t="s">
        <v>276</v>
      </c>
      <c r="BA626" s="94" t="s">
        <v>276</v>
      </c>
      <c r="BB626" s="94" t="s">
        <v>282</v>
      </c>
      <c r="BC626" s="94" t="s">
        <v>276</v>
      </c>
      <c r="BD626" s="94" t="s">
        <v>276</v>
      </c>
      <c r="BE626" s="94" t="s">
        <v>276</v>
      </c>
      <c r="BF626" s="95" t="s">
        <v>426</v>
      </c>
      <c r="BG626" s="95"/>
      <c r="BH626" s="9" t="s">
        <v>100</v>
      </c>
      <c r="BI626" s="9" t="s">
        <v>100</v>
      </c>
      <c r="BJ626" s="109"/>
      <c r="BN626" s="109"/>
      <c r="BO626" s="109"/>
    </row>
    <row r="627" spans="1:67" s="110" customFormat="1" ht="104" hidden="1" x14ac:dyDescent="0.35">
      <c r="A627" s="94">
        <v>2594</v>
      </c>
      <c r="B627" s="94" t="s">
        <v>3006</v>
      </c>
      <c r="C627" s="95" t="s">
        <v>66</v>
      </c>
      <c r="D627" s="95" t="s">
        <v>3111</v>
      </c>
      <c r="E627" s="94" t="s">
        <v>37</v>
      </c>
      <c r="F627" s="94" t="s">
        <v>136</v>
      </c>
      <c r="G627" s="94" t="s">
        <v>225</v>
      </c>
      <c r="H627" s="94" t="s">
        <v>125</v>
      </c>
      <c r="I627" s="94" t="s">
        <v>114</v>
      </c>
      <c r="J627" s="95" t="s">
        <v>25</v>
      </c>
      <c r="K627" s="94" t="s">
        <v>300</v>
      </c>
      <c r="L627" s="94" t="s">
        <v>2567</v>
      </c>
      <c r="M627" s="94" t="s">
        <v>3066</v>
      </c>
      <c r="N627" s="95" t="s">
        <v>3087</v>
      </c>
      <c r="O627" s="95" t="s">
        <v>3088</v>
      </c>
      <c r="P627" s="95" t="s">
        <v>239</v>
      </c>
      <c r="Q627" s="140">
        <v>39082</v>
      </c>
      <c r="R627" s="95" t="s">
        <v>3010</v>
      </c>
      <c r="S627" s="95" t="s">
        <v>3098</v>
      </c>
      <c r="T627" s="99" t="s">
        <v>3102</v>
      </c>
      <c r="U627" s="95">
        <v>1</v>
      </c>
      <c r="V627" s="94" t="s">
        <v>14</v>
      </c>
      <c r="W627" s="94" t="s">
        <v>98</v>
      </c>
      <c r="X627" s="95" t="s">
        <v>207</v>
      </c>
      <c r="Y627" s="98">
        <v>49311</v>
      </c>
      <c r="Z627" s="99">
        <v>30958</v>
      </c>
      <c r="AA627" s="95" t="s">
        <v>276</v>
      </c>
      <c r="AB627" s="95" t="s">
        <v>276</v>
      </c>
      <c r="AC627" s="94">
        <v>29</v>
      </c>
      <c r="AD627" s="94" t="s">
        <v>968</v>
      </c>
      <c r="AE627" s="94">
        <v>44</v>
      </c>
      <c r="AF627" s="94" t="s">
        <v>968</v>
      </c>
      <c r="AG627" s="95" t="s">
        <v>3110</v>
      </c>
      <c r="AH627" s="95" t="s">
        <v>3105</v>
      </c>
      <c r="AI627" s="99">
        <f>18+15</f>
        <v>33</v>
      </c>
      <c r="AJ627" s="99">
        <f>15+1</f>
        <v>16</v>
      </c>
      <c r="AK627" s="99">
        <v>274023</v>
      </c>
      <c r="AL627" s="99">
        <v>178394</v>
      </c>
      <c r="AM627" s="99" t="s">
        <v>1019</v>
      </c>
      <c r="AN627" s="94" t="s">
        <v>276</v>
      </c>
      <c r="AO627" s="102">
        <f>AI627*100000/AK627</f>
        <v>12.042784729748963</v>
      </c>
      <c r="AP627" s="94" t="s">
        <v>276</v>
      </c>
      <c r="AQ627" s="94" t="s">
        <v>276</v>
      </c>
      <c r="AR627" s="94" t="s">
        <v>276</v>
      </c>
      <c r="AS627" s="102">
        <f>AJ627*100000/AL627</f>
        <v>8.9689115104768096</v>
      </c>
      <c r="AT627" s="94" t="s">
        <v>276</v>
      </c>
      <c r="AU627" s="94" t="s">
        <v>276</v>
      </c>
      <c r="AV627" s="94" t="s">
        <v>269</v>
      </c>
      <c r="AW627" s="94" t="s">
        <v>276</v>
      </c>
      <c r="AX627" s="102">
        <f t="shared" si="190"/>
        <v>1.3427253369242729</v>
      </c>
      <c r="AY627" s="94" t="s">
        <v>276</v>
      </c>
      <c r="AZ627" s="94" t="s">
        <v>276</v>
      </c>
      <c r="BA627" s="94" t="s">
        <v>276</v>
      </c>
      <c r="BB627" s="94" t="s">
        <v>282</v>
      </c>
      <c r="BC627" s="94" t="s">
        <v>276</v>
      </c>
      <c r="BD627" s="94" t="s">
        <v>276</v>
      </c>
      <c r="BE627" s="94" t="s">
        <v>276</v>
      </c>
      <c r="BF627" s="95" t="s">
        <v>426</v>
      </c>
      <c r="BG627" s="95"/>
      <c r="BH627" s="9" t="s">
        <v>100</v>
      </c>
      <c r="BI627" s="9" t="s">
        <v>100</v>
      </c>
      <c r="BJ627" s="109"/>
      <c r="BN627" s="109"/>
      <c r="BO627" s="109"/>
    </row>
    <row r="628" spans="1:67" s="124" customFormat="1" ht="104" hidden="1" x14ac:dyDescent="0.35">
      <c r="A628" s="112">
        <v>2594</v>
      </c>
      <c r="B628" s="112" t="s">
        <v>3006</v>
      </c>
      <c r="C628" s="113" t="s">
        <v>66</v>
      </c>
      <c r="D628" s="113" t="s">
        <v>3112</v>
      </c>
      <c r="E628" s="112" t="s">
        <v>37</v>
      </c>
      <c r="F628" s="112" t="s">
        <v>136</v>
      </c>
      <c r="G628" s="112" t="s">
        <v>225</v>
      </c>
      <c r="H628" s="112" t="s">
        <v>125</v>
      </c>
      <c r="I628" s="112" t="s">
        <v>114</v>
      </c>
      <c r="J628" s="113" t="s">
        <v>25</v>
      </c>
      <c r="K628" s="112" t="s">
        <v>2567</v>
      </c>
      <c r="L628" s="112" t="s">
        <v>2567</v>
      </c>
      <c r="M628" s="112" t="s">
        <v>3066</v>
      </c>
      <c r="N628" s="113" t="s">
        <v>3087</v>
      </c>
      <c r="O628" s="113" t="s">
        <v>3088</v>
      </c>
      <c r="P628" s="113" t="s">
        <v>239</v>
      </c>
      <c r="Q628" s="142">
        <v>39082</v>
      </c>
      <c r="R628" s="113" t="s">
        <v>3010</v>
      </c>
      <c r="S628" s="113" t="s">
        <v>3098</v>
      </c>
      <c r="T628" s="119" t="s">
        <v>3102</v>
      </c>
      <c r="U628" s="113">
        <v>1</v>
      </c>
      <c r="V628" s="112" t="s">
        <v>14</v>
      </c>
      <c r="W628" s="112" t="s">
        <v>98</v>
      </c>
      <c r="X628" s="113" t="s">
        <v>207</v>
      </c>
      <c r="Y628" s="118">
        <v>49311</v>
      </c>
      <c r="Z628" s="119">
        <v>30958</v>
      </c>
      <c r="AA628" s="113" t="s">
        <v>276</v>
      </c>
      <c r="AB628" s="113" t="s">
        <v>276</v>
      </c>
      <c r="AC628" s="112">
        <v>29</v>
      </c>
      <c r="AD628" s="112" t="s">
        <v>968</v>
      </c>
      <c r="AE628" s="112">
        <v>44</v>
      </c>
      <c r="AF628" s="112" t="s">
        <v>968</v>
      </c>
      <c r="AG628" s="113" t="s">
        <v>3113</v>
      </c>
      <c r="AH628" s="113" t="s">
        <v>280</v>
      </c>
      <c r="AI628" s="119">
        <v>105</v>
      </c>
      <c r="AJ628" s="119">
        <v>98</v>
      </c>
      <c r="AK628" s="118">
        <v>49311</v>
      </c>
      <c r="AL628" s="119">
        <v>30958</v>
      </c>
      <c r="AM628" s="119" t="s">
        <v>281</v>
      </c>
      <c r="AN628" s="112" t="s">
        <v>276</v>
      </c>
      <c r="AO628" s="121">
        <f>AI628*1000/AK628</f>
        <v>2.1293423374095028</v>
      </c>
      <c r="AP628" s="112" t="s">
        <v>276</v>
      </c>
      <c r="AQ628" s="112" t="s">
        <v>276</v>
      </c>
      <c r="AR628" s="112" t="s">
        <v>276</v>
      </c>
      <c r="AS628" s="121">
        <f>AJ628*1000/AL628</f>
        <v>3.1655791717811228</v>
      </c>
      <c r="AT628" s="112" t="s">
        <v>276</v>
      </c>
      <c r="AU628" s="112" t="s">
        <v>276</v>
      </c>
      <c r="AV628" s="112" t="s">
        <v>268</v>
      </c>
      <c r="AW628" s="112" t="s">
        <v>276</v>
      </c>
      <c r="AX628" s="121">
        <f t="shared" si="190"/>
        <v>0.672654898791055</v>
      </c>
      <c r="AY628" s="112" t="s">
        <v>276</v>
      </c>
      <c r="AZ628" s="112" t="s">
        <v>276</v>
      </c>
      <c r="BA628" s="112" t="s">
        <v>276</v>
      </c>
      <c r="BB628" s="112" t="s">
        <v>282</v>
      </c>
      <c r="BC628" s="112" t="s">
        <v>276</v>
      </c>
      <c r="BD628" s="112" t="s">
        <v>276</v>
      </c>
      <c r="BE628" s="112" t="s">
        <v>276</v>
      </c>
      <c r="BF628" s="113" t="s">
        <v>426</v>
      </c>
      <c r="BG628" s="113"/>
      <c r="BH628" s="9" t="s">
        <v>100</v>
      </c>
      <c r="BI628" s="9" t="s">
        <v>100</v>
      </c>
      <c r="BJ628" s="123"/>
      <c r="BN628" s="123"/>
      <c r="BO628" s="123"/>
    </row>
    <row r="629" spans="1:67" s="124" customFormat="1" ht="104" hidden="1" x14ac:dyDescent="0.35">
      <c r="A629" s="112">
        <v>2594</v>
      </c>
      <c r="B629" s="112" t="s">
        <v>3006</v>
      </c>
      <c r="C629" s="113" t="s">
        <v>66</v>
      </c>
      <c r="D629" s="113" t="s">
        <v>3114</v>
      </c>
      <c r="E629" s="112" t="s">
        <v>37</v>
      </c>
      <c r="F629" s="112" t="s">
        <v>136</v>
      </c>
      <c r="G629" s="112" t="s">
        <v>225</v>
      </c>
      <c r="H629" s="112" t="s">
        <v>125</v>
      </c>
      <c r="I629" s="112" t="s">
        <v>114</v>
      </c>
      <c r="J629" s="113" t="s">
        <v>25</v>
      </c>
      <c r="K629" s="112" t="s">
        <v>2567</v>
      </c>
      <c r="L629" s="112" t="s">
        <v>2567</v>
      </c>
      <c r="M629" s="112" t="s">
        <v>3066</v>
      </c>
      <c r="N629" s="113" t="s">
        <v>3087</v>
      </c>
      <c r="O629" s="113" t="s">
        <v>3088</v>
      </c>
      <c r="P629" s="113" t="s">
        <v>239</v>
      </c>
      <c r="Q629" s="142">
        <v>39082</v>
      </c>
      <c r="R629" s="113" t="s">
        <v>3010</v>
      </c>
      <c r="S629" s="113" t="s">
        <v>3098</v>
      </c>
      <c r="T629" s="119" t="s">
        <v>3102</v>
      </c>
      <c r="U629" s="113">
        <v>1</v>
      </c>
      <c r="V629" s="112" t="s">
        <v>14</v>
      </c>
      <c r="W629" s="112" t="s">
        <v>98</v>
      </c>
      <c r="X629" s="113" t="s">
        <v>207</v>
      </c>
      <c r="Y629" s="118">
        <v>49311</v>
      </c>
      <c r="Z629" s="119">
        <v>30958</v>
      </c>
      <c r="AA629" s="113" t="s">
        <v>276</v>
      </c>
      <c r="AB629" s="113" t="s">
        <v>276</v>
      </c>
      <c r="AC629" s="112">
        <v>29</v>
      </c>
      <c r="AD629" s="112" t="s">
        <v>968</v>
      </c>
      <c r="AE629" s="112">
        <v>44</v>
      </c>
      <c r="AF629" s="112" t="s">
        <v>968</v>
      </c>
      <c r="AG629" s="113" t="s">
        <v>3113</v>
      </c>
      <c r="AH629" s="113" t="s">
        <v>3105</v>
      </c>
      <c r="AI629" s="119">
        <v>105</v>
      </c>
      <c r="AJ629" s="119">
        <v>98</v>
      </c>
      <c r="AK629" s="119">
        <v>274023</v>
      </c>
      <c r="AL629" s="119">
        <v>178394</v>
      </c>
      <c r="AM629" s="119" t="s">
        <v>1019</v>
      </c>
      <c r="AN629" s="112">
        <v>38.299999999999997</v>
      </c>
      <c r="AO629" s="121">
        <f>AI629*100000/AK629</f>
        <v>38.317951412837608</v>
      </c>
      <c r="AP629" s="112">
        <v>31.3</v>
      </c>
      <c r="AQ629" s="112">
        <v>47.5</v>
      </c>
      <c r="AR629" s="112">
        <v>54.9</v>
      </c>
      <c r="AS629" s="121">
        <f>AJ629*100000/AL629</f>
        <v>54.934583001670461</v>
      </c>
      <c r="AT629" s="112">
        <v>44.5</v>
      </c>
      <c r="AU629" s="112">
        <v>68.400000000000006</v>
      </c>
      <c r="AV629" s="112" t="s">
        <v>269</v>
      </c>
      <c r="AW629" s="112" t="s">
        <v>276</v>
      </c>
      <c r="AX629" s="121">
        <f t="shared" si="190"/>
        <v>0.69751965554507678</v>
      </c>
      <c r="AY629" s="112" t="s">
        <v>276</v>
      </c>
      <c r="AZ629" s="112" t="s">
        <v>276</v>
      </c>
      <c r="BA629" s="112" t="s">
        <v>276</v>
      </c>
      <c r="BB629" s="113" t="s">
        <v>3015</v>
      </c>
      <c r="BC629" s="121">
        <f>48.9/61.7</f>
        <v>0.7925445705024311</v>
      </c>
      <c r="BD629" s="112" t="s">
        <v>276</v>
      </c>
      <c r="BE629" s="112" t="s">
        <v>276</v>
      </c>
      <c r="BF629" s="113" t="s">
        <v>3115</v>
      </c>
      <c r="BG629" s="113"/>
      <c r="BH629" s="9" t="s">
        <v>100</v>
      </c>
      <c r="BI629" s="9" t="s">
        <v>100</v>
      </c>
      <c r="BJ629" s="123"/>
      <c r="BN629" s="123"/>
      <c r="BO629" s="123"/>
    </row>
    <row r="630" spans="1:67" s="124" customFormat="1" ht="104" hidden="1" x14ac:dyDescent="0.35">
      <c r="A630" s="112">
        <v>2594</v>
      </c>
      <c r="B630" s="112" t="s">
        <v>3006</v>
      </c>
      <c r="C630" s="113" t="s">
        <v>66</v>
      </c>
      <c r="D630" s="113" t="s">
        <v>3116</v>
      </c>
      <c r="E630" s="112" t="s">
        <v>37</v>
      </c>
      <c r="F630" s="112" t="s">
        <v>136</v>
      </c>
      <c r="G630" s="112" t="s">
        <v>225</v>
      </c>
      <c r="H630" s="112" t="s">
        <v>125</v>
      </c>
      <c r="I630" s="112" t="s">
        <v>114</v>
      </c>
      <c r="J630" s="113" t="s">
        <v>25</v>
      </c>
      <c r="K630" s="112" t="s">
        <v>2567</v>
      </c>
      <c r="L630" s="112" t="s">
        <v>2567</v>
      </c>
      <c r="M630" s="112" t="s">
        <v>3066</v>
      </c>
      <c r="N630" s="113" t="s">
        <v>3087</v>
      </c>
      <c r="O630" s="113" t="s">
        <v>3088</v>
      </c>
      <c r="P630" s="113" t="s">
        <v>239</v>
      </c>
      <c r="Q630" s="142">
        <v>39082</v>
      </c>
      <c r="R630" s="113" t="s">
        <v>3010</v>
      </c>
      <c r="S630" s="113" t="s">
        <v>3098</v>
      </c>
      <c r="T630" s="119" t="s">
        <v>3102</v>
      </c>
      <c r="U630" s="113">
        <v>1</v>
      </c>
      <c r="V630" s="112" t="s">
        <v>14</v>
      </c>
      <c r="W630" s="112" t="s">
        <v>98</v>
      </c>
      <c r="X630" s="113" t="s">
        <v>207</v>
      </c>
      <c r="Y630" s="118">
        <v>49311</v>
      </c>
      <c r="Z630" s="119">
        <v>30958</v>
      </c>
      <c r="AA630" s="113" t="s">
        <v>276</v>
      </c>
      <c r="AB630" s="113" t="s">
        <v>276</v>
      </c>
      <c r="AC630" s="112">
        <v>29</v>
      </c>
      <c r="AD630" s="112" t="s">
        <v>968</v>
      </c>
      <c r="AE630" s="112">
        <v>44</v>
      </c>
      <c r="AF630" s="112" t="s">
        <v>968</v>
      </c>
      <c r="AG630" s="113" t="s">
        <v>3113</v>
      </c>
      <c r="AH630" s="113" t="s">
        <v>3105</v>
      </c>
      <c r="AI630" s="119">
        <v>105</v>
      </c>
      <c r="AJ630" s="119">
        <v>98</v>
      </c>
      <c r="AK630" s="119">
        <v>274023</v>
      </c>
      <c r="AL630" s="119">
        <v>178394</v>
      </c>
      <c r="AM630" s="119" t="s">
        <v>1019</v>
      </c>
      <c r="AN630" s="112">
        <v>38.299999999999997</v>
      </c>
      <c r="AO630" s="121">
        <f>AI630*100000/AK630</f>
        <v>38.317951412837608</v>
      </c>
      <c r="AP630" s="112">
        <v>31.3</v>
      </c>
      <c r="AQ630" s="112">
        <v>47.5</v>
      </c>
      <c r="AR630" s="112">
        <v>54.9</v>
      </c>
      <c r="AS630" s="121">
        <f>AJ630*100000/AL630</f>
        <v>54.934583001670461</v>
      </c>
      <c r="AT630" s="112">
        <v>44.5</v>
      </c>
      <c r="AU630" s="112">
        <v>68.400000000000006</v>
      </c>
      <c r="AV630" s="112" t="s">
        <v>270</v>
      </c>
      <c r="AW630" s="112" t="s">
        <v>276</v>
      </c>
      <c r="AX630" s="121" t="s">
        <v>276</v>
      </c>
      <c r="AY630" s="112" t="s">
        <v>276</v>
      </c>
      <c r="AZ630" s="112" t="s">
        <v>276</v>
      </c>
      <c r="BA630" s="112" t="s">
        <v>276</v>
      </c>
      <c r="BB630" s="113" t="s">
        <v>3117</v>
      </c>
      <c r="BC630" s="121">
        <v>0.68</v>
      </c>
      <c r="BD630" s="121">
        <v>0.5</v>
      </c>
      <c r="BE630" s="112">
        <v>0.91</v>
      </c>
      <c r="BF630" s="113" t="s">
        <v>3115</v>
      </c>
      <c r="BG630" s="113"/>
      <c r="BH630" s="9" t="s">
        <v>100</v>
      </c>
      <c r="BI630" s="9" t="s">
        <v>100</v>
      </c>
      <c r="BJ630" s="123"/>
      <c r="BN630" s="123"/>
      <c r="BO630" s="123"/>
    </row>
    <row r="631" spans="1:67" s="124" customFormat="1" ht="104" hidden="1" x14ac:dyDescent="0.35">
      <c r="A631" s="112">
        <v>2594</v>
      </c>
      <c r="B631" s="112" t="s">
        <v>3006</v>
      </c>
      <c r="C631" s="113" t="s">
        <v>66</v>
      </c>
      <c r="D631" s="113" t="s">
        <v>3118</v>
      </c>
      <c r="E631" s="112" t="s">
        <v>37</v>
      </c>
      <c r="F631" s="112" t="s">
        <v>136</v>
      </c>
      <c r="G631" s="112" t="s">
        <v>225</v>
      </c>
      <c r="H631" s="112" t="s">
        <v>125</v>
      </c>
      <c r="I631" s="112" t="s">
        <v>114</v>
      </c>
      <c r="J631" s="113" t="s">
        <v>25</v>
      </c>
      <c r="K631" s="112" t="s">
        <v>2567</v>
      </c>
      <c r="L631" s="112" t="s">
        <v>2567</v>
      </c>
      <c r="M631" s="112" t="s">
        <v>3066</v>
      </c>
      <c r="N631" s="113" t="s">
        <v>3087</v>
      </c>
      <c r="O631" s="113" t="s">
        <v>3088</v>
      </c>
      <c r="P631" s="113" t="s">
        <v>239</v>
      </c>
      <c r="Q631" s="142">
        <v>39082</v>
      </c>
      <c r="R631" s="113" t="s">
        <v>3010</v>
      </c>
      <c r="S631" s="113" t="s">
        <v>3098</v>
      </c>
      <c r="T631" s="119" t="s">
        <v>3102</v>
      </c>
      <c r="U631" s="113">
        <v>1</v>
      </c>
      <c r="V631" s="112" t="s">
        <v>14</v>
      </c>
      <c r="W631" s="112" t="s">
        <v>98</v>
      </c>
      <c r="X631" s="113" t="s">
        <v>207</v>
      </c>
      <c r="Y631" s="118">
        <v>49311</v>
      </c>
      <c r="Z631" s="119">
        <v>30958</v>
      </c>
      <c r="AA631" s="113" t="s">
        <v>276</v>
      </c>
      <c r="AB631" s="113" t="s">
        <v>276</v>
      </c>
      <c r="AC631" s="112">
        <v>29</v>
      </c>
      <c r="AD631" s="112" t="s">
        <v>968</v>
      </c>
      <c r="AE631" s="112">
        <v>44</v>
      </c>
      <c r="AF631" s="112" t="s">
        <v>968</v>
      </c>
      <c r="AG631" s="113" t="s">
        <v>3113</v>
      </c>
      <c r="AH631" s="113" t="s">
        <v>3105</v>
      </c>
      <c r="AI631" s="119">
        <v>105</v>
      </c>
      <c r="AJ631" s="119">
        <v>98</v>
      </c>
      <c r="AK631" s="119">
        <v>274023</v>
      </c>
      <c r="AL631" s="119">
        <v>178394</v>
      </c>
      <c r="AM631" s="119" t="s">
        <v>1019</v>
      </c>
      <c r="AN631" s="112">
        <v>38.299999999999997</v>
      </c>
      <c r="AO631" s="121">
        <f>AI631*100000/AK631</f>
        <v>38.317951412837608</v>
      </c>
      <c r="AP631" s="112">
        <v>31.3</v>
      </c>
      <c r="AQ631" s="112">
        <v>47.5</v>
      </c>
      <c r="AR631" s="112">
        <v>54.9</v>
      </c>
      <c r="AS631" s="121">
        <f>AJ631*100000/AL631</f>
        <v>54.934583001670461</v>
      </c>
      <c r="AT631" s="112">
        <v>44.5</v>
      </c>
      <c r="AU631" s="112">
        <v>68.400000000000006</v>
      </c>
      <c r="AV631" s="112" t="s">
        <v>270</v>
      </c>
      <c r="AW631" s="112" t="s">
        <v>276</v>
      </c>
      <c r="AX631" s="121" t="s">
        <v>276</v>
      </c>
      <c r="AY631" s="112" t="s">
        <v>276</v>
      </c>
      <c r="AZ631" s="112" t="s">
        <v>276</v>
      </c>
      <c r="BA631" s="112" t="s">
        <v>276</v>
      </c>
      <c r="BB631" s="113" t="s">
        <v>3119</v>
      </c>
      <c r="BC631" s="121">
        <v>0.76</v>
      </c>
      <c r="BD631" s="121">
        <v>0.56999999999999995</v>
      </c>
      <c r="BE631" s="112">
        <v>1.02</v>
      </c>
      <c r="BF631" s="113" t="s">
        <v>3115</v>
      </c>
      <c r="BG631" s="113" t="s">
        <v>3022</v>
      </c>
      <c r="BH631" s="9" t="s">
        <v>100</v>
      </c>
      <c r="BI631" s="9" t="s">
        <v>100</v>
      </c>
      <c r="BJ631" s="123"/>
      <c r="BN631" s="123"/>
      <c r="BO631" s="123"/>
    </row>
    <row r="632" spans="1:67" s="110" customFormat="1" ht="91" hidden="1" x14ac:dyDescent="0.35">
      <c r="A632" s="94">
        <v>2594</v>
      </c>
      <c r="B632" s="94" t="s">
        <v>3006</v>
      </c>
      <c r="C632" s="95" t="s">
        <v>66</v>
      </c>
      <c r="D632" s="95" t="s">
        <v>3120</v>
      </c>
      <c r="E632" s="94" t="s">
        <v>37</v>
      </c>
      <c r="F632" s="94" t="s">
        <v>136</v>
      </c>
      <c r="G632" s="94" t="s">
        <v>225</v>
      </c>
      <c r="H632" s="94" t="s">
        <v>125</v>
      </c>
      <c r="I632" s="94" t="s">
        <v>114</v>
      </c>
      <c r="J632" s="95" t="s">
        <v>25</v>
      </c>
      <c r="K632" s="94" t="s">
        <v>2567</v>
      </c>
      <c r="L632" s="94" t="s">
        <v>2567</v>
      </c>
      <c r="M632" s="94" t="s">
        <v>3066</v>
      </c>
      <c r="N632" s="95" t="s">
        <v>3121</v>
      </c>
      <c r="O632" s="95" t="s">
        <v>3088</v>
      </c>
      <c r="P632" s="95" t="s">
        <v>235</v>
      </c>
      <c r="Q632" s="140">
        <v>39082</v>
      </c>
      <c r="R632" s="95" t="s">
        <v>3010</v>
      </c>
      <c r="S632" s="95" t="s">
        <v>3098</v>
      </c>
      <c r="T632" s="99" t="s">
        <v>3102</v>
      </c>
      <c r="U632" s="95">
        <v>1</v>
      </c>
      <c r="V632" s="94" t="s">
        <v>14</v>
      </c>
      <c r="W632" s="94" t="s">
        <v>98</v>
      </c>
      <c r="X632" s="95" t="s">
        <v>207</v>
      </c>
      <c r="Y632" s="98" t="s">
        <v>98</v>
      </c>
      <c r="Z632" s="99" t="s">
        <v>98</v>
      </c>
      <c r="AA632" s="95" t="s">
        <v>276</v>
      </c>
      <c r="AB632" s="95" t="s">
        <v>276</v>
      </c>
      <c r="AC632" s="94">
        <v>29</v>
      </c>
      <c r="AD632" s="94" t="s">
        <v>968</v>
      </c>
      <c r="AE632" s="94">
        <v>44</v>
      </c>
      <c r="AF632" s="94" t="s">
        <v>968</v>
      </c>
      <c r="AG632" s="95" t="s">
        <v>3113</v>
      </c>
      <c r="AH632" s="95" t="s">
        <v>3122</v>
      </c>
      <c r="AI632" s="99">
        <v>105</v>
      </c>
      <c r="AJ632" s="99">
        <v>98</v>
      </c>
      <c r="AK632" s="98">
        <v>167</v>
      </c>
      <c r="AL632" s="99">
        <v>158</v>
      </c>
      <c r="AM632" s="99" t="s">
        <v>292</v>
      </c>
      <c r="AN632" s="100">
        <v>62.9</v>
      </c>
      <c r="AO632" s="102">
        <f>AI632*100/AK632</f>
        <v>62.874251497005986</v>
      </c>
      <c r="AP632" s="94" t="s">
        <v>276</v>
      </c>
      <c r="AQ632" s="94" t="s">
        <v>276</v>
      </c>
      <c r="AR632" s="100">
        <v>62</v>
      </c>
      <c r="AS632" s="102">
        <f>AJ632*100/AL632</f>
        <v>62.025316455696199</v>
      </c>
      <c r="AT632" s="94" t="s">
        <v>276</v>
      </c>
      <c r="AU632" s="94" t="s">
        <v>276</v>
      </c>
      <c r="AV632" s="94" t="s">
        <v>268</v>
      </c>
      <c r="AW632" s="94" t="s">
        <v>276</v>
      </c>
      <c r="AX632" s="102">
        <f t="shared" ref="AX632" si="191">AO632/AS632</f>
        <v>1.0136869118905047</v>
      </c>
      <c r="AY632" s="94" t="s">
        <v>276</v>
      </c>
      <c r="AZ632" s="94" t="s">
        <v>276</v>
      </c>
      <c r="BA632" s="94" t="s">
        <v>276</v>
      </c>
      <c r="BB632" s="94" t="s">
        <v>282</v>
      </c>
      <c r="BC632" s="94" t="s">
        <v>276</v>
      </c>
      <c r="BD632" s="94" t="s">
        <v>276</v>
      </c>
      <c r="BE632" s="94" t="s">
        <v>276</v>
      </c>
      <c r="BF632" s="95" t="s">
        <v>426</v>
      </c>
      <c r="BG632" s="95"/>
      <c r="BH632" s="9" t="s">
        <v>100</v>
      </c>
      <c r="BI632" s="9" t="s">
        <v>100</v>
      </c>
      <c r="BJ632" s="109"/>
      <c r="BN632" s="109"/>
      <c r="BO632" s="109"/>
    </row>
    <row r="633" spans="1:67" s="124" customFormat="1" ht="104" hidden="1" x14ac:dyDescent="0.35">
      <c r="A633" s="112">
        <v>2594</v>
      </c>
      <c r="B633" s="112" t="s">
        <v>3006</v>
      </c>
      <c r="C633" s="113" t="s">
        <v>66</v>
      </c>
      <c r="D633" s="113" t="s">
        <v>3123</v>
      </c>
      <c r="E633" s="112" t="s">
        <v>37</v>
      </c>
      <c r="F633" s="112" t="s">
        <v>136</v>
      </c>
      <c r="G633" s="112" t="s">
        <v>225</v>
      </c>
      <c r="H633" s="112" t="s">
        <v>125</v>
      </c>
      <c r="I633" s="112" t="s">
        <v>114</v>
      </c>
      <c r="J633" s="113" t="s">
        <v>25</v>
      </c>
      <c r="K633" s="112" t="s">
        <v>2567</v>
      </c>
      <c r="L633" s="112" t="s">
        <v>2567</v>
      </c>
      <c r="M633" s="112" t="s">
        <v>3066</v>
      </c>
      <c r="N633" s="113" t="s">
        <v>3087</v>
      </c>
      <c r="O633" s="113" t="s">
        <v>3088</v>
      </c>
      <c r="P633" s="113" t="s">
        <v>239</v>
      </c>
      <c r="Q633" s="142">
        <v>39082</v>
      </c>
      <c r="R633" s="113" t="s">
        <v>3010</v>
      </c>
      <c r="S633" s="113" t="s">
        <v>276</v>
      </c>
      <c r="T633" s="119" t="s">
        <v>3124</v>
      </c>
      <c r="U633" s="113">
        <v>1</v>
      </c>
      <c r="V633" s="112" t="s">
        <v>15</v>
      </c>
      <c r="W633" s="112" t="s">
        <v>3026</v>
      </c>
      <c r="X633" s="113" t="s">
        <v>207</v>
      </c>
      <c r="Y633" s="118">
        <v>26737</v>
      </c>
      <c r="Z633" s="119" t="s">
        <v>276</v>
      </c>
      <c r="AA633" s="113" t="s">
        <v>276</v>
      </c>
      <c r="AB633" s="113" t="s">
        <v>276</v>
      </c>
      <c r="AC633" s="112" t="s">
        <v>276</v>
      </c>
      <c r="AD633" s="112" t="s">
        <v>968</v>
      </c>
      <c r="AE633" s="112" t="s">
        <v>276</v>
      </c>
      <c r="AF633" s="112" t="s">
        <v>968</v>
      </c>
      <c r="AG633" s="113" t="s">
        <v>3125</v>
      </c>
      <c r="AH633" s="113" t="s">
        <v>3126</v>
      </c>
      <c r="AI633" s="119" t="s">
        <v>276</v>
      </c>
      <c r="AJ633" s="119" t="s">
        <v>276</v>
      </c>
      <c r="AK633" s="119" t="s">
        <v>276</v>
      </c>
      <c r="AL633" s="119" t="s">
        <v>276</v>
      </c>
      <c r="AM633" s="119" t="s">
        <v>1019</v>
      </c>
      <c r="AN633" s="112" t="s">
        <v>276</v>
      </c>
      <c r="AO633" s="112" t="s">
        <v>276</v>
      </c>
      <c r="AP633" s="112" t="s">
        <v>276</v>
      </c>
      <c r="AQ633" s="112" t="s">
        <v>276</v>
      </c>
      <c r="AR633" s="112" t="s">
        <v>276</v>
      </c>
      <c r="AS633" s="112" t="s">
        <v>276</v>
      </c>
      <c r="AT633" s="112" t="s">
        <v>276</v>
      </c>
      <c r="AU633" s="112" t="s">
        <v>276</v>
      </c>
      <c r="AV633" s="112" t="s">
        <v>270</v>
      </c>
      <c r="AW633" s="112" t="s">
        <v>276</v>
      </c>
      <c r="AX633" s="121" t="s">
        <v>276</v>
      </c>
      <c r="AY633" s="112" t="s">
        <v>276</v>
      </c>
      <c r="AZ633" s="112" t="s">
        <v>276</v>
      </c>
      <c r="BA633" s="112" t="s">
        <v>276</v>
      </c>
      <c r="BB633" s="113" t="s">
        <v>3117</v>
      </c>
      <c r="BC633" s="121">
        <v>0.46</v>
      </c>
      <c r="BD633" s="121">
        <v>0.26</v>
      </c>
      <c r="BE633" s="112">
        <v>0.82</v>
      </c>
      <c r="BF633" s="113" t="s">
        <v>1020</v>
      </c>
      <c r="BG633" s="113"/>
      <c r="BH633" s="9" t="s">
        <v>100</v>
      </c>
      <c r="BI633" s="9" t="s">
        <v>100</v>
      </c>
      <c r="BJ633" s="123"/>
      <c r="BN633" s="123"/>
      <c r="BO633" s="123"/>
    </row>
    <row r="634" spans="1:67" s="124" customFormat="1" ht="104" hidden="1" x14ac:dyDescent="0.35">
      <c r="A634" s="112">
        <v>2594</v>
      </c>
      <c r="B634" s="112" t="s">
        <v>3006</v>
      </c>
      <c r="C634" s="113" t="s">
        <v>66</v>
      </c>
      <c r="D634" s="113" t="s">
        <v>3127</v>
      </c>
      <c r="E634" s="112" t="s">
        <v>37</v>
      </c>
      <c r="F634" s="112" t="s">
        <v>136</v>
      </c>
      <c r="G634" s="112" t="s">
        <v>225</v>
      </c>
      <c r="H634" s="112" t="s">
        <v>125</v>
      </c>
      <c r="I634" s="112" t="s">
        <v>114</v>
      </c>
      <c r="J634" s="113" t="s">
        <v>25</v>
      </c>
      <c r="K634" s="112" t="s">
        <v>2567</v>
      </c>
      <c r="L634" s="112" t="s">
        <v>2567</v>
      </c>
      <c r="M634" s="112" t="s">
        <v>3066</v>
      </c>
      <c r="N634" s="113" t="s">
        <v>3087</v>
      </c>
      <c r="O634" s="113" t="s">
        <v>3088</v>
      </c>
      <c r="P634" s="113" t="s">
        <v>239</v>
      </c>
      <c r="Q634" s="142">
        <v>39082</v>
      </c>
      <c r="R634" s="113" t="s">
        <v>3010</v>
      </c>
      <c r="S634" s="113" t="s">
        <v>276</v>
      </c>
      <c r="T634" s="119" t="s">
        <v>3124</v>
      </c>
      <c r="U634" s="113">
        <v>1</v>
      </c>
      <c r="V634" s="112" t="s">
        <v>15</v>
      </c>
      <c r="W634" s="112" t="s">
        <v>3026</v>
      </c>
      <c r="X634" s="113" t="s">
        <v>207</v>
      </c>
      <c r="Y634" s="118">
        <v>26737</v>
      </c>
      <c r="Z634" s="119" t="s">
        <v>276</v>
      </c>
      <c r="AA634" s="113" t="s">
        <v>276</v>
      </c>
      <c r="AB634" s="113" t="s">
        <v>276</v>
      </c>
      <c r="AC634" s="112" t="s">
        <v>276</v>
      </c>
      <c r="AD634" s="112" t="s">
        <v>968</v>
      </c>
      <c r="AE634" s="112" t="s">
        <v>276</v>
      </c>
      <c r="AF634" s="112" t="s">
        <v>968</v>
      </c>
      <c r="AG634" s="113" t="s">
        <v>3125</v>
      </c>
      <c r="AH634" s="113" t="s">
        <v>3126</v>
      </c>
      <c r="AI634" s="119" t="s">
        <v>276</v>
      </c>
      <c r="AJ634" s="119" t="s">
        <v>276</v>
      </c>
      <c r="AK634" s="119" t="s">
        <v>276</v>
      </c>
      <c r="AL634" s="119" t="s">
        <v>276</v>
      </c>
      <c r="AM634" s="119" t="s">
        <v>1019</v>
      </c>
      <c r="AN634" s="112" t="s">
        <v>276</v>
      </c>
      <c r="AO634" s="112" t="s">
        <v>276</v>
      </c>
      <c r="AP634" s="112" t="s">
        <v>276</v>
      </c>
      <c r="AQ634" s="112" t="s">
        <v>276</v>
      </c>
      <c r="AR634" s="112" t="s">
        <v>276</v>
      </c>
      <c r="AS634" s="112" t="s">
        <v>276</v>
      </c>
      <c r="AT634" s="112" t="s">
        <v>276</v>
      </c>
      <c r="AU634" s="112" t="s">
        <v>276</v>
      </c>
      <c r="AV634" s="112" t="s">
        <v>270</v>
      </c>
      <c r="AW634" s="112" t="s">
        <v>276</v>
      </c>
      <c r="AX634" s="121" t="s">
        <v>276</v>
      </c>
      <c r="AY634" s="112" t="s">
        <v>276</v>
      </c>
      <c r="AZ634" s="112" t="s">
        <v>276</v>
      </c>
      <c r="BA634" s="112" t="s">
        <v>276</v>
      </c>
      <c r="BB634" s="113" t="s">
        <v>3119</v>
      </c>
      <c r="BC634" s="121">
        <v>0.51</v>
      </c>
      <c r="BD634" s="121">
        <v>0.28999999999999998</v>
      </c>
      <c r="BE634" s="112">
        <v>0.92</v>
      </c>
      <c r="BF634" s="113" t="s">
        <v>1020</v>
      </c>
      <c r="BG634" s="113" t="s">
        <v>3022</v>
      </c>
      <c r="BH634" s="9" t="s">
        <v>100</v>
      </c>
      <c r="BI634" s="9" t="s">
        <v>100</v>
      </c>
      <c r="BJ634" s="123"/>
      <c r="BN634" s="123"/>
      <c r="BO634" s="123"/>
    </row>
    <row r="635" spans="1:67" s="110" customFormat="1" ht="104" hidden="1" x14ac:dyDescent="0.35">
      <c r="A635" s="94">
        <v>2594</v>
      </c>
      <c r="B635" s="94" t="s">
        <v>3006</v>
      </c>
      <c r="C635" s="95" t="s">
        <v>66</v>
      </c>
      <c r="D635" s="95" t="s">
        <v>3128</v>
      </c>
      <c r="E635" s="94" t="s">
        <v>37</v>
      </c>
      <c r="F635" s="94" t="s">
        <v>136</v>
      </c>
      <c r="G635" s="94" t="s">
        <v>225</v>
      </c>
      <c r="H635" s="94" t="s">
        <v>125</v>
      </c>
      <c r="I635" s="94" t="s">
        <v>114</v>
      </c>
      <c r="J635" s="95" t="s">
        <v>25</v>
      </c>
      <c r="K635" s="94" t="s">
        <v>2567</v>
      </c>
      <c r="L635" s="94" t="s">
        <v>2567</v>
      </c>
      <c r="M635" s="94" t="s">
        <v>3066</v>
      </c>
      <c r="N635" s="95" t="s">
        <v>3087</v>
      </c>
      <c r="O635" s="95" t="s">
        <v>3088</v>
      </c>
      <c r="P635" s="95" t="s">
        <v>239</v>
      </c>
      <c r="Q635" s="140">
        <v>39082</v>
      </c>
      <c r="R635" s="95" t="s">
        <v>3010</v>
      </c>
      <c r="S635" s="95" t="s">
        <v>276</v>
      </c>
      <c r="T635" s="99" t="s">
        <v>3124</v>
      </c>
      <c r="U635" s="95">
        <v>1</v>
      </c>
      <c r="V635" s="94" t="s">
        <v>15</v>
      </c>
      <c r="W635" s="94" t="s">
        <v>3032</v>
      </c>
      <c r="X635" s="95" t="s">
        <v>207</v>
      </c>
      <c r="Y635" s="98">
        <v>13433</v>
      </c>
      <c r="Z635" s="99" t="s">
        <v>276</v>
      </c>
      <c r="AA635" s="95" t="s">
        <v>276</v>
      </c>
      <c r="AB635" s="95" t="s">
        <v>276</v>
      </c>
      <c r="AC635" s="94" t="s">
        <v>276</v>
      </c>
      <c r="AD635" s="94" t="s">
        <v>968</v>
      </c>
      <c r="AE635" s="94" t="s">
        <v>276</v>
      </c>
      <c r="AF635" s="94" t="s">
        <v>968</v>
      </c>
      <c r="AG635" s="95" t="s">
        <v>3129</v>
      </c>
      <c r="AH635" s="95" t="s">
        <v>3130</v>
      </c>
      <c r="AI635" s="99" t="s">
        <v>276</v>
      </c>
      <c r="AJ635" s="99" t="s">
        <v>276</v>
      </c>
      <c r="AK635" s="99" t="s">
        <v>276</v>
      </c>
      <c r="AL635" s="99" t="s">
        <v>276</v>
      </c>
      <c r="AM635" s="99" t="s">
        <v>1019</v>
      </c>
      <c r="AN635" s="94" t="s">
        <v>276</v>
      </c>
      <c r="AO635" s="94" t="s">
        <v>276</v>
      </c>
      <c r="AP635" s="94" t="s">
        <v>276</v>
      </c>
      <c r="AQ635" s="94" t="s">
        <v>276</v>
      </c>
      <c r="AR635" s="94" t="s">
        <v>276</v>
      </c>
      <c r="AS635" s="94" t="s">
        <v>276</v>
      </c>
      <c r="AT635" s="94" t="s">
        <v>276</v>
      </c>
      <c r="AU635" s="94" t="s">
        <v>276</v>
      </c>
      <c r="AV635" s="94" t="s">
        <v>270</v>
      </c>
      <c r="AW635" s="94" t="s">
        <v>276</v>
      </c>
      <c r="AX635" s="102" t="s">
        <v>276</v>
      </c>
      <c r="AY635" s="94" t="s">
        <v>276</v>
      </c>
      <c r="AZ635" s="94" t="s">
        <v>276</v>
      </c>
      <c r="BA635" s="94" t="s">
        <v>276</v>
      </c>
      <c r="BB635" s="95" t="s">
        <v>3117</v>
      </c>
      <c r="BC635" s="102">
        <v>0.85</v>
      </c>
      <c r="BD635" s="102">
        <v>0.5</v>
      </c>
      <c r="BE635" s="94">
        <v>1.42</v>
      </c>
      <c r="BF635" s="95" t="s">
        <v>1020</v>
      </c>
      <c r="BG635" s="95"/>
      <c r="BH635" s="9" t="s">
        <v>100</v>
      </c>
      <c r="BI635" s="9" t="s">
        <v>100</v>
      </c>
      <c r="BJ635" s="109"/>
      <c r="BN635" s="109"/>
      <c r="BO635" s="109"/>
    </row>
    <row r="636" spans="1:67" s="110" customFormat="1" ht="104" hidden="1" x14ac:dyDescent="0.35">
      <c r="A636" s="94">
        <v>2594</v>
      </c>
      <c r="B636" s="94" t="s">
        <v>3006</v>
      </c>
      <c r="C636" s="95" t="s">
        <v>66</v>
      </c>
      <c r="D636" s="95" t="s">
        <v>3131</v>
      </c>
      <c r="E636" s="94" t="s">
        <v>37</v>
      </c>
      <c r="F636" s="94" t="s">
        <v>136</v>
      </c>
      <c r="G636" s="94" t="s">
        <v>225</v>
      </c>
      <c r="H636" s="94" t="s">
        <v>125</v>
      </c>
      <c r="I636" s="94" t="s">
        <v>114</v>
      </c>
      <c r="J636" s="95" t="s">
        <v>25</v>
      </c>
      <c r="K636" s="94" t="s">
        <v>2567</v>
      </c>
      <c r="L636" s="94" t="s">
        <v>2567</v>
      </c>
      <c r="M636" s="94" t="s">
        <v>3066</v>
      </c>
      <c r="N636" s="95" t="s">
        <v>3087</v>
      </c>
      <c r="O636" s="95" t="s">
        <v>3088</v>
      </c>
      <c r="P636" s="95" t="s">
        <v>239</v>
      </c>
      <c r="Q636" s="140">
        <v>39082</v>
      </c>
      <c r="R636" s="95" t="s">
        <v>3010</v>
      </c>
      <c r="S636" s="95" t="s">
        <v>276</v>
      </c>
      <c r="T636" s="99" t="s">
        <v>3124</v>
      </c>
      <c r="U636" s="95">
        <v>1</v>
      </c>
      <c r="V636" s="94" t="s">
        <v>15</v>
      </c>
      <c r="W636" s="94" t="s">
        <v>3032</v>
      </c>
      <c r="X636" s="95" t="s">
        <v>207</v>
      </c>
      <c r="Y636" s="98">
        <v>13433</v>
      </c>
      <c r="Z636" s="99" t="s">
        <v>276</v>
      </c>
      <c r="AA636" s="95" t="s">
        <v>276</v>
      </c>
      <c r="AB636" s="95" t="s">
        <v>276</v>
      </c>
      <c r="AC636" s="94" t="s">
        <v>276</v>
      </c>
      <c r="AD636" s="94" t="s">
        <v>968</v>
      </c>
      <c r="AE636" s="94" t="s">
        <v>276</v>
      </c>
      <c r="AF636" s="94" t="s">
        <v>968</v>
      </c>
      <c r="AG636" s="95" t="s">
        <v>3129</v>
      </c>
      <c r="AH636" s="95" t="s">
        <v>3130</v>
      </c>
      <c r="AI636" s="99" t="s">
        <v>276</v>
      </c>
      <c r="AJ636" s="99" t="s">
        <v>276</v>
      </c>
      <c r="AK636" s="99" t="s">
        <v>276</v>
      </c>
      <c r="AL636" s="99" t="s">
        <v>276</v>
      </c>
      <c r="AM636" s="99" t="s">
        <v>1019</v>
      </c>
      <c r="AN636" s="94" t="s">
        <v>276</v>
      </c>
      <c r="AO636" s="94" t="s">
        <v>276</v>
      </c>
      <c r="AP636" s="94" t="s">
        <v>276</v>
      </c>
      <c r="AQ636" s="94" t="s">
        <v>276</v>
      </c>
      <c r="AR636" s="94" t="s">
        <v>276</v>
      </c>
      <c r="AS636" s="94" t="s">
        <v>276</v>
      </c>
      <c r="AT636" s="94" t="s">
        <v>276</v>
      </c>
      <c r="AU636" s="94" t="s">
        <v>276</v>
      </c>
      <c r="AV636" s="94" t="s">
        <v>270</v>
      </c>
      <c r="AW636" s="94" t="s">
        <v>276</v>
      </c>
      <c r="AX636" s="102" t="s">
        <v>276</v>
      </c>
      <c r="AY636" s="94" t="s">
        <v>276</v>
      </c>
      <c r="AZ636" s="94" t="s">
        <v>276</v>
      </c>
      <c r="BA636" s="94" t="s">
        <v>276</v>
      </c>
      <c r="BB636" s="95" t="s">
        <v>3119</v>
      </c>
      <c r="BC636" s="102">
        <v>0.85</v>
      </c>
      <c r="BD636" s="102">
        <v>0.52</v>
      </c>
      <c r="BE636" s="102">
        <v>1.4</v>
      </c>
      <c r="BF636" s="95" t="s">
        <v>1020</v>
      </c>
      <c r="BG636" s="95" t="s">
        <v>3022</v>
      </c>
      <c r="BH636" s="9" t="s">
        <v>100</v>
      </c>
      <c r="BI636" s="9" t="s">
        <v>100</v>
      </c>
      <c r="BJ636" s="109"/>
      <c r="BN636" s="109"/>
      <c r="BO636" s="109"/>
    </row>
    <row r="637" spans="1:67" s="124" customFormat="1" ht="104" hidden="1" x14ac:dyDescent="0.35">
      <c r="A637" s="112">
        <v>2594</v>
      </c>
      <c r="B637" s="112" t="s">
        <v>3006</v>
      </c>
      <c r="C637" s="113" t="s">
        <v>66</v>
      </c>
      <c r="D637" s="113" t="s">
        <v>3132</v>
      </c>
      <c r="E637" s="112" t="s">
        <v>37</v>
      </c>
      <c r="F637" s="112" t="s">
        <v>136</v>
      </c>
      <c r="G637" s="112" t="s">
        <v>225</v>
      </c>
      <c r="H637" s="112" t="s">
        <v>125</v>
      </c>
      <c r="I637" s="112" t="s">
        <v>114</v>
      </c>
      <c r="J637" s="113" t="s">
        <v>25</v>
      </c>
      <c r="K637" s="112" t="s">
        <v>2567</v>
      </c>
      <c r="L637" s="112" t="s">
        <v>2567</v>
      </c>
      <c r="M637" s="112" t="s">
        <v>3066</v>
      </c>
      <c r="N637" s="113" t="s">
        <v>3087</v>
      </c>
      <c r="O637" s="113" t="s">
        <v>3088</v>
      </c>
      <c r="P637" s="113" t="s">
        <v>239</v>
      </c>
      <c r="Q637" s="142">
        <v>39082</v>
      </c>
      <c r="R637" s="113" t="s">
        <v>3010</v>
      </c>
      <c r="S637" s="113" t="s">
        <v>276</v>
      </c>
      <c r="T637" s="119" t="s">
        <v>3124</v>
      </c>
      <c r="U637" s="113">
        <v>1</v>
      </c>
      <c r="V637" s="112" t="s">
        <v>15</v>
      </c>
      <c r="W637" s="112" t="s">
        <v>3038</v>
      </c>
      <c r="X637" s="113" t="s">
        <v>207</v>
      </c>
      <c r="Y637" s="118">
        <v>9141</v>
      </c>
      <c r="Z637" s="119" t="s">
        <v>276</v>
      </c>
      <c r="AA637" s="113" t="s">
        <v>276</v>
      </c>
      <c r="AB637" s="113" t="s">
        <v>276</v>
      </c>
      <c r="AC637" s="112" t="s">
        <v>276</v>
      </c>
      <c r="AD637" s="112" t="s">
        <v>968</v>
      </c>
      <c r="AE637" s="112" t="s">
        <v>276</v>
      </c>
      <c r="AF637" s="112" t="s">
        <v>968</v>
      </c>
      <c r="AG637" s="113" t="s">
        <v>3133</v>
      </c>
      <c r="AH637" s="113" t="s">
        <v>3134</v>
      </c>
      <c r="AI637" s="119" t="s">
        <v>276</v>
      </c>
      <c r="AJ637" s="119" t="s">
        <v>276</v>
      </c>
      <c r="AK637" s="119" t="s">
        <v>276</v>
      </c>
      <c r="AL637" s="119" t="s">
        <v>276</v>
      </c>
      <c r="AM637" s="119" t="s">
        <v>1019</v>
      </c>
      <c r="AN637" s="112" t="s">
        <v>276</v>
      </c>
      <c r="AO637" s="112" t="s">
        <v>276</v>
      </c>
      <c r="AP637" s="112" t="s">
        <v>276</v>
      </c>
      <c r="AQ637" s="112" t="s">
        <v>276</v>
      </c>
      <c r="AR637" s="112" t="s">
        <v>276</v>
      </c>
      <c r="AS637" s="112" t="s">
        <v>276</v>
      </c>
      <c r="AT637" s="112" t="s">
        <v>276</v>
      </c>
      <c r="AU637" s="112" t="s">
        <v>276</v>
      </c>
      <c r="AV637" s="112" t="s">
        <v>270</v>
      </c>
      <c r="AW637" s="112" t="s">
        <v>276</v>
      </c>
      <c r="AX637" s="121" t="s">
        <v>276</v>
      </c>
      <c r="AY637" s="112" t="s">
        <v>276</v>
      </c>
      <c r="AZ637" s="112" t="s">
        <v>276</v>
      </c>
      <c r="BA637" s="112" t="s">
        <v>276</v>
      </c>
      <c r="BB637" s="113" t="s">
        <v>3117</v>
      </c>
      <c r="BC637" s="121">
        <v>0.85</v>
      </c>
      <c r="BD637" s="121">
        <v>0.53</v>
      </c>
      <c r="BE637" s="112">
        <v>1.37</v>
      </c>
      <c r="BF637" s="113" t="s">
        <v>1020</v>
      </c>
      <c r="BG637" s="113"/>
      <c r="BH637" s="9" t="s">
        <v>100</v>
      </c>
      <c r="BI637" s="9" t="s">
        <v>100</v>
      </c>
      <c r="BJ637" s="123"/>
      <c r="BN637" s="123"/>
      <c r="BO637" s="123"/>
    </row>
    <row r="638" spans="1:67" s="124" customFormat="1" ht="104" hidden="1" x14ac:dyDescent="0.35">
      <c r="A638" s="112">
        <v>2594</v>
      </c>
      <c r="B638" s="112" t="s">
        <v>3006</v>
      </c>
      <c r="C638" s="113" t="s">
        <v>66</v>
      </c>
      <c r="D638" s="113" t="s">
        <v>3135</v>
      </c>
      <c r="E638" s="112" t="s">
        <v>37</v>
      </c>
      <c r="F638" s="112" t="s">
        <v>136</v>
      </c>
      <c r="G638" s="112" t="s">
        <v>225</v>
      </c>
      <c r="H638" s="112" t="s">
        <v>125</v>
      </c>
      <c r="I638" s="112" t="s">
        <v>114</v>
      </c>
      <c r="J638" s="113" t="s">
        <v>25</v>
      </c>
      <c r="K638" s="112" t="s">
        <v>2567</v>
      </c>
      <c r="L638" s="112" t="s">
        <v>2567</v>
      </c>
      <c r="M638" s="112" t="s">
        <v>3066</v>
      </c>
      <c r="N638" s="113" t="s">
        <v>3087</v>
      </c>
      <c r="O638" s="113" t="s">
        <v>3088</v>
      </c>
      <c r="P638" s="113" t="s">
        <v>239</v>
      </c>
      <c r="Q638" s="142">
        <v>39082</v>
      </c>
      <c r="R638" s="113" t="s">
        <v>3010</v>
      </c>
      <c r="S638" s="113" t="s">
        <v>276</v>
      </c>
      <c r="T638" s="119" t="s">
        <v>3124</v>
      </c>
      <c r="U638" s="113">
        <v>1</v>
      </c>
      <c r="V638" s="112" t="s">
        <v>15</v>
      </c>
      <c r="W638" s="112" t="s">
        <v>3038</v>
      </c>
      <c r="X638" s="113" t="s">
        <v>207</v>
      </c>
      <c r="Y638" s="118">
        <v>9141</v>
      </c>
      <c r="Z638" s="119" t="s">
        <v>276</v>
      </c>
      <c r="AA638" s="113" t="s">
        <v>276</v>
      </c>
      <c r="AB638" s="113" t="s">
        <v>276</v>
      </c>
      <c r="AC638" s="112" t="s">
        <v>276</v>
      </c>
      <c r="AD638" s="112" t="s">
        <v>968</v>
      </c>
      <c r="AE638" s="112" t="s">
        <v>276</v>
      </c>
      <c r="AF638" s="112" t="s">
        <v>968</v>
      </c>
      <c r="AG638" s="113" t="s">
        <v>3133</v>
      </c>
      <c r="AH638" s="113" t="s">
        <v>3134</v>
      </c>
      <c r="AI638" s="119" t="s">
        <v>276</v>
      </c>
      <c r="AJ638" s="119" t="s">
        <v>276</v>
      </c>
      <c r="AK638" s="119" t="s">
        <v>276</v>
      </c>
      <c r="AL638" s="119" t="s">
        <v>276</v>
      </c>
      <c r="AM638" s="119" t="s">
        <v>1019</v>
      </c>
      <c r="AN638" s="112" t="s">
        <v>276</v>
      </c>
      <c r="AO638" s="112" t="s">
        <v>276</v>
      </c>
      <c r="AP638" s="112" t="s">
        <v>276</v>
      </c>
      <c r="AQ638" s="112" t="s">
        <v>276</v>
      </c>
      <c r="AR638" s="112" t="s">
        <v>276</v>
      </c>
      <c r="AS638" s="112" t="s">
        <v>276</v>
      </c>
      <c r="AT638" s="112" t="s">
        <v>276</v>
      </c>
      <c r="AU638" s="112" t="s">
        <v>276</v>
      </c>
      <c r="AV638" s="112" t="s">
        <v>270</v>
      </c>
      <c r="AW638" s="112" t="s">
        <v>276</v>
      </c>
      <c r="AX638" s="121" t="s">
        <v>276</v>
      </c>
      <c r="AY638" s="112" t="s">
        <v>276</v>
      </c>
      <c r="AZ638" s="112" t="s">
        <v>276</v>
      </c>
      <c r="BA638" s="112" t="s">
        <v>276</v>
      </c>
      <c r="BB638" s="113" t="s">
        <v>3119</v>
      </c>
      <c r="BC638" s="121">
        <v>0.86</v>
      </c>
      <c r="BD638" s="121">
        <v>0.52</v>
      </c>
      <c r="BE638" s="121">
        <v>1.41</v>
      </c>
      <c r="BF638" s="113" t="s">
        <v>1020</v>
      </c>
      <c r="BG638" s="113" t="s">
        <v>3022</v>
      </c>
      <c r="BH638" s="9" t="s">
        <v>100</v>
      </c>
      <c r="BI638" s="9" t="s">
        <v>100</v>
      </c>
      <c r="BJ638" s="123"/>
      <c r="BN638" s="123"/>
      <c r="BO638" s="123"/>
    </row>
    <row r="639" spans="1:67" s="110" customFormat="1" ht="104" hidden="1" x14ac:dyDescent="0.35">
      <c r="A639" s="94">
        <v>2594</v>
      </c>
      <c r="B639" s="94" t="s">
        <v>3006</v>
      </c>
      <c r="C639" s="95" t="s">
        <v>66</v>
      </c>
      <c r="D639" s="95" t="s">
        <v>3136</v>
      </c>
      <c r="E639" s="94" t="s">
        <v>37</v>
      </c>
      <c r="F639" s="94" t="s">
        <v>136</v>
      </c>
      <c r="G639" s="94" t="s">
        <v>225</v>
      </c>
      <c r="H639" s="94" t="s">
        <v>125</v>
      </c>
      <c r="I639" s="94" t="s">
        <v>114</v>
      </c>
      <c r="J639" s="95" t="s">
        <v>98</v>
      </c>
      <c r="K639" s="94" t="s">
        <v>98</v>
      </c>
      <c r="L639" s="94" t="s">
        <v>98</v>
      </c>
      <c r="M639" s="94" t="s">
        <v>98</v>
      </c>
      <c r="N639" s="95" t="s">
        <v>3087</v>
      </c>
      <c r="O639" s="95" t="s">
        <v>3088</v>
      </c>
      <c r="P639" s="95" t="s">
        <v>238</v>
      </c>
      <c r="Q639" s="140">
        <v>37741</v>
      </c>
      <c r="R639" s="95" t="s">
        <v>276</v>
      </c>
      <c r="S639" s="95" t="s">
        <v>276</v>
      </c>
      <c r="T639" s="95" t="s">
        <v>3054</v>
      </c>
      <c r="U639" s="95">
        <v>1</v>
      </c>
      <c r="V639" s="94" t="s">
        <v>15</v>
      </c>
      <c r="W639" s="94" t="s">
        <v>3026</v>
      </c>
      <c r="X639" s="95" t="s">
        <v>209</v>
      </c>
      <c r="Y639" s="98">
        <v>26737</v>
      </c>
      <c r="Z639" s="95" t="s">
        <v>98</v>
      </c>
      <c r="AA639" s="95" t="s">
        <v>276</v>
      </c>
      <c r="AB639" s="95" t="s">
        <v>98</v>
      </c>
      <c r="AC639" s="94">
        <v>0</v>
      </c>
      <c r="AD639" s="94" t="s">
        <v>98</v>
      </c>
      <c r="AE639" s="94" t="s">
        <v>98</v>
      </c>
      <c r="AF639" s="94" t="s">
        <v>98</v>
      </c>
      <c r="AG639" s="95" t="s">
        <v>3137</v>
      </c>
      <c r="AH639" s="95" t="s">
        <v>3138</v>
      </c>
      <c r="AI639" s="99">
        <v>21</v>
      </c>
      <c r="AJ639" s="99" t="s">
        <v>98</v>
      </c>
      <c r="AK639" s="98">
        <v>26737</v>
      </c>
      <c r="AL639" s="99" t="s">
        <v>98</v>
      </c>
      <c r="AM639" s="99" t="s">
        <v>292</v>
      </c>
      <c r="AN639" s="94" t="s">
        <v>276</v>
      </c>
      <c r="AO639" s="102">
        <f t="shared" ref="AO639:AO647" si="192">AI639*100/AK639</f>
        <v>7.8542843250925684E-2</v>
      </c>
      <c r="AP639" s="94" t="s">
        <v>276</v>
      </c>
      <c r="AQ639" s="94" t="s">
        <v>276</v>
      </c>
      <c r="AR639" s="94" t="s">
        <v>98</v>
      </c>
      <c r="AS639" s="94" t="s">
        <v>98</v>
      </c>
      <c r="AT639" s="94" t="s">
        <v>98</v>
      </c>
      <c r="AU639" s="94" t="s">
        <v>98</v>
      </c>
      <c r="AV639" s="94" t="s">
        <v>98</v>
      </c>
      <c r="AW639" s="94" t="s">
        <v>98</v>
      </c>
      <c r="AX639" s="94" t="s">
        <v>98</v>
      </c>
      <c r="AY639" s="94" t="s">
        <v>98</v>
      </c>
      <c r="AZ639" s="94" t="s">
        <v>98</v>
      </c>
      <c r="BA639" s="94" t="s">
        <v>98</v>
      </c>
      <c r="BB639" s="94" t="s">
        <v>98</v>
      </c>
      <c r="BC639" s="94" t="s">
        <v>98</v>
      </c>
      <c r="BD639" s="94" t="s">
        <v>98</v>
      </c>
      <c r="BE639" s="94" t="s">
        <v>98</v>
      </c>
      <c r="BF639" s="95" t="s">
        <v>3089</v>
      </c>
      <c r="BG639" s="95" t="s">
        <v>3090</v>
      </c>
      <c r="BH639" s="9" t="s">
        <v>100</v>
      </c>
      <c r="BI639" s="9" t="s">
        <v>100</v>
      </c>
      <c r="BJ639" s="109"/>
      <c r="BN639" s="109"/>
      <c r="BO639" s="109"/>
    </row>
    <row r="640" spans="1:67" s="110" customFormat="1" ht="104" hidden="1" x14ac:dyDescent="0.35">
      <c r="A640" s="94">
        <v>2594</v>
      </c>
      <c r="B640" s="94" t="s">
        <v>3006</v>
      </c>
      <c r="C640" s="95" t="s">
        <v>66</v>
      </c>
      <c r="D640" s="95" t="s">
        <v>3139</v>
      </c>
      <c r="E640" s="94" t="s">
        <v>37</v>
      </c>
      <c r="F640" s="94" t="s">
        <v>136</v>
      </c>
      <c r="G640" s="94" t="s">
        <v>225</v>
      </c>
      <c r="H640" s="94" t="s">
        <v>125</v>
      </c>
      <c r="I640" s="94" t="s">
        <v>114</v>
      </c>
      <c r="J640" s="95" t="s">
        <v>98</v>
      </c>
      <c r="K640" s="94" t="s">
        <v>98</v>
      </c>
      <c r="L640" s="94" t="s">
        <v>98</v>
      </c>
      <c r="M640" s="94" t="s">
        <v>98</v>
      </c>
      <c r="N640" s="95" t="s">
        <v>3087</v>
      </c>
      <c r="O640" s="95" t="s">
        <v>3088</v>
      </c>
      <c r="P640" s="95" t="s">
        <v>238</v>
      </c>
      <c r="Q640" s="140">
        <v>37741</v>
      </c>
      <c r="R640" s="95" t="s">
        <v>276</v>
      </c>
      <c r="S640" s="95" t="s">
        <v>276</v>
      </c>
      <c r="T640" s="95" t="s">
        <v>3054</v>
      </c>
      <c r="U640" s="95">
        <v>1</v>
      </c>
      <c r="V640" s="94" t="s">
        <v>15</v>
      </c>
      <c r="W640" s="94" t="s">
        <v>3026</v>
      </c>
      <c r="X640" s="95" t="s">
        <v>209</v>
      </c>
      <c r="Y640" s="98">
        <v>26737</v>
      </c>
      <c r="Z640" s="95" t="s">
        <v>98</v>
      </c>
      <c r="AA640" s="95" t="s">
        <v>276</v>
      </c>
      <c r="AB640" s="95" t="s">
        <v>98</v>
      </c>
      <c r="AC640" s="94">
        <v>0</v>
      </c>
      <c r="AD640" s="94" t="s">
        <v>98</v>
      </c>
      <c r="AE640" s="94" t="s">
        <v>98</v>
      </c>
      <c r="AF640" s="94" t="s">
        <v>98</v>
      </c>
      <c r="AG640" s="95" t="s">
        <v>3140</v>
      </c>
      <c r="AH640" s="95" t="s">
        <v>3138</v>
      </c>
      <c r="AI640" s="99">
        <v>172</v>
      </c>
      <c r="AJ640" s="99" t="s">
        <v>98</v>
      </c>
      <c r="AK640" s="98">
        <v>26737</v>
      </c>
      <c r="AL640" s="99" t="s">
        <v>98</v>
      </c>
      <c r="AM640" s="99" t="s">
        <v>292</v>
      </c>
      <c r="AN640" s="94" t="s">
        <v>276</v>
      </c>
      <c r="AO640" s="102">
        <f t="shared" si="192"/>
        <v>0.64330328757901034</v>
      </c>
      <c r="AP640" s="94" t="s">
        <v>276</v>
      </c>
      <c r="AQ640" s="94" t="s">
        <v>276</v>
      </c>
      <c r="AR640" s="94" t="s">
        <v>98</v>
      </c>
      <c r="AS640" s="94" t="s">
        <v>98</v>
      </c>
      <c r="AT640" s="94" t="s">
        <v>98</v>
      </c>
      <c r="AU640" s="94" t="s">
        <v>98</v>
      </c>
      <c r="AV640" s="94" t="s">
        <v>98</v>
      </c>
      <c r="AW640" s="94" t="s">
        <v>98</v>
      </c>
      <c r="AX640" s="94" t="s">
        <v>98</v>
      </c>
      <c r="AY640" s="94" t="s">
        <v>98</v>
      </c>
      <c r="AZ640" s="94" t="s">
        <v>98</v>
      </c>
      <c r="BA640" s="94" t="s">
        <v>98</v>
      </c>
      <c r="BB640" s="94" t="s">
        <v>98</v>
      </c>
      <c r="BC640" s="94" t="s">
        <v>98</v>
      </c>
      <c r="BD640" s="94" t="s">
        <v>98</v>
      </c>
      <c r="BE640" s="94" t="s">
        <v>98</v>
      </c>
      <c r="BF640" s="95" t="s">
        <v>3089</v>
      </c>
      <c r="BG640" s="95" t="s">
        <v>3093</v>
      </c>
      <c r="BH640" s="9" t="s">
        <v>100</v>
      </c>
      <c r="BI640" s="9" t="s">
        <v>100</v>
      </c>
      <c r="BJ640" s="109"/>
      <c r="BN640" s="109"/>
      <c r="BO640" s="109"/>
    </row>
    <row r="641" spans="1:67" s="110" customFormat="1" ht="104" hidden="1" x14ac:dyDescent="0.35">
      <c r="A641" s="94">
        <v>2594</v>
      </c>
      <c r="B641" s="94" t="s">
        <v>3006</v>
      </c>
      <c r="C641" s="95" t="s">
        <v>66</v>
      </c>
      <c r="D641" s="95" t="s">
        <v>3141</v>
      </c>
      <c r="E641" s="94" t="s">
        <v>37</v>
      </c>
      <c r="F641" s="94" t="s">
        <v>136</v>
      </c>
      <c r="G641" s="94" t="s">
        <v>225</v>
      </c>
      <c r="H641" s="94" t="s">
        <v>125</v>
      </c>
      <c r="I641" s="94" t="s">
        <v>114</v>
      </c>
      <c r="J641" s="95" t="s">
        <v>98</v>
      </c>
      <c r="K641" s="94" t="s">
        <v>98</v>
      </c>
      <c r="L641" s="94" t="s">
        <v>98</v>
      </c>
      <c r="M641" s="94" t="s">
        <v>98</v>
      </c>
      <c r="N641" s="95" t="s">
        <v>3087</v>
      </c>
      <c r="O641" s="95" t="s">
        <v>3088</v>
      </c>
      <c r="P641" s="95" t="s">
        <v>238</v>
      </c>
      <c r="Q641" s="140">
        <v>37741</v>
      </c>
      <c r="R641" s="95" t="s">
        <v>276</v>
      </c>
      <c r="S641" s="95" t="s">
        <v>276</v>
      </c>
      <c r="T641" s="95" t="s">
        <v>3054</v>
      </c>
      <c r="U641" s="95">
        <v>1</v>
      </c>
      <c r="V641" s="94" t="s">
        <v>15</v>
      </c>
      <c r="W641" s="94" t="s">
        <v>3026</v>
      </c>
      <c r="X641" s="95" t="s">
        <v>209</v>
      </c>
      <c r="Y641" s="98">
        <v>26737</v>
      </c>
      <c r="Z641" s="95" t="s">
        <v>98</v>
      </c>
      <c r="AA641" s="95" t="s">
        <v>276</v>
      </c>
      <c r="AB641" s="95" t="s">
        <v>98</v>
      </c>
      <c r="AC641" s="94">
        <v>0</v>
      </c>
      <c r="AD641" s="94" t="s">
        <v>98</v>
      </c>
      <c r="AE641" s="94" t="s">
        <v>98</v>
      </c>
      <c r="AF641" s="94" t="s">
        <v>98</v>
      </c>
      <c r="AG641" s="95" t="s">
        <v>3142</v>
      </c>
      <c r="AH641" s="95" t="s">
        <v>3138</v>
      </c>
      <c r="AI641" s="99">
        <f>172+21</f>
        <v>193</v>
      </c>
      <c r="AJ641" s="99" t="s">
        <v>98</v>
      </c>
      <c r="AK641" s="98">
        <v>26737</v>
      </c>
      <c r="AL641" s="99" t="s">
        <v>98</v>
      </c>
      <c r="AM641" s="99" t="s">
        <v>292</v>
      </c>
      <c r="AN641" s="94" t="s">
        <v>276</v>
      </c>
      <c r="AO641" s="102">
        <f t="shared" si="192"/>
        <v>0.72184613082993609</v>
      </c>
      <c r="AP641" s="94" t="s">
        <v>276</v>
      </c>
      <c r="AQ641" s="94" t="s">
        <v>276</v>
      </c>
      <c r="AR641" s="94" t="s">
        <v>98</v>
      </c>
      <c r="AS641" s="94" t="s">
        <v>98</v>
      </c>
      <c r="AT641" s="94" t="s">
        <v>98</v>
      </c>
      <c r="AU641" s="94" t="s">
        <v>98</v>
      </c>
      <c r="AV641" s="94" t="s">
        <v>98</v>
      </c>
      <c r="AW641" s="94" t="s">
        <v>98</v>
      </c>
      <c r="AX641" s="94" t="s">
        <v>98</v>
      </c>
      <c r="AY641" s="94" t="s">
        <v>98</v>
      </c>
      <c r="AZ641" s="94" t="s">
        <v>98</v>
      </c>
      <c r="BA641" s="94" t="s">
        <v>98</v>
      </c>
      <c r="BB641" s="94" t="s">
        <v>98</v>
      </c>
      <c r="BC641" s="94" t="s">
        <v>98</v>
      </c>
      <c r="BD641" s="94" t="s">
        <v>98</v>
      </c>
      <c r="BE641" s="94" t="s">
        <v>98</v>
      </c>
      <c r="BF641" s="95" t="s">
        <v>3096</v>
      </c>
      <c r="BG641" s="95" t="s">
        <v>3093</v>
      </c>
      <c r="BH641" s="9" t="s">
        <v>100</v>
      </c>
      <c r="BI641" s="9" t="s">
        <v>100</v>
      </c>
      <c r="BJ641" s="109"/>
      <c r="BN641" s="109"/>
      <c r="BO641" s="109"/>
    </row>
    <row r="642" spans="1:67" s="124" customFormat="1" ht="104" hidden="1" x14ac:dyDescent="0.35">
      <c r="A642" s="112">
        <v>2594</v>
      </c>
      <c r="B642" s="112" t="s">
        <v>3006</v>
      </c>
      <c r="C642" s="113" t="s">
        <v>66</v>
      </c>
      <c r="D642" s="113" t="s">
        <v>3143</v>
      </c>
      <c r="E642" s="112" t="s">
        <v>37</v>
      </c>
      <c r="F642" s="112" t="s">
        <v>136</v>
      </c>
      <c r="G642" s="112" t="s">
        <v>225</v>
      </c>
      <c r="H642" s="112" t="s">
        <v>125</v>
      </c>
      <c r="I642" s="112" t="s">
        <v>114</v>
      </c>
      <c r="J642" s="113" t="s">
        <v>98</v>
      </c>
      <c r="K642" s="112" t="s">
        <v>98</v>
      </c>
      <c r="L642" s="112" t="s">
        <v>98</v>
      </c>
      <c r="M642" s="112" t="s">
        <v>98</v>
      </c>
      <c r="N642" s="113" t="s">
        <v>3087</v>
      </c>
      <c r="O642" s="113" t="s">
        <v>3088</v>
      </c>
      <c r="P642" s="113" t="s">
        <v>238</v>
      </c>
      <c r="Q642" s="142">
        <v>37741</v>
      </c>
      <c r="R642" s="113" t="s">
        <v>276</v>
      </c>
      <c r="S642" s="113" t="s">
        <v>276</v>
      </c>
      <c r="T642" s="113" t="s">
        <v>3054</v>
      </c>
      <c r="U642" s="113">
        <v>1</v>
      </c>
      <c r="V642" s="112" t="s">
        <v>15</v>
      </c>
      <c r="W642" s="112" t="s">
        <v>3032</v>
      </c>
      <c r="X642" s="113" t="s">
        <v>209</v>
      </c>
      <c r="Y642" s="118">
        <v>13433</v>
      </c>
      <c r="Z642" s="113" t="s">
        <v>98</v>
      </c>
      <c r="AA642" s="113" t="s">
        <v>276</v>
      </c>
      <c r="AB642" s="113" t="s">
        <v>98</v>
      </c>
      <c r="AC642" s="112">
        <v>0</v>
      </c>
      <c r="AD642" s="112" t="s">
        <v>98</v>
      </c>
      <c r="AE642" s="112" t="s">
        <v>98</v>
      </c>
      <c r="AF642" s="112" t="s">
        <v>98</v>
      </c>
      <c r="AG642" s="113" t="s">
        <v>3144</v>
      </c>
      <c r="AH642" s="113" t="s">
        <v>3145</v>
      </c>
      <c r="AI642" s="119">
        <v>22</v>
      </c>
      <c r="AJ642" s="119" t="s">
        <v>98</v>
      </c>
      <c r="AK642" s="118">
        <v>13433</v>
      </c>
      <c r="AL642" s="119" t="s">
        <v>98</v>
      </c>
      <c r="AM642" s="119" t="s">
        <v>292</v>
      </c>
      <c r="AN642" s="112" t="s">
        <v>276</v>
      </c>
      <c r="AO642" s="121">
        <f t="shared" si="192"/>
        <v>0.163775776073848</v>
      </c>
      <c r="AP642" s="112" t="s">
        <v>276</v>
      </c>
      <c r="AQ642" s="112" t="s">
        <v>276</v>
      </c>
      <c r="AR642" s="112" t="s">
        <v>98</v>
      </c>
      <c r="AS642" s="112" t="s">
        <v>98</v>
      </c>
      <c r="AT642" s="112" t="s">
        <v>98</v>
      </c>
      <c r="AU642" s="112" t="s">
        <v>98</v>
      </c>
      <c r="AV642" s="112" t="s">
        <v>98</v>
      </c>
      <c r="AW642" s="112" t="s">
        <v>98</v>
      </c>
      <c r="AX642" s="112" t="s">
        <v>98</v>
      </c>
      <c r="AY642" s="112" t="s">
        <v>98</v>
      </c>
      <c r="AZ642" s="112" t="s">
        <v>98</v>
      </c>
      <c r="BA642" s="112" t="s">
        <v>98</v>
      </c>
      <c r="BB642" s="112" t="s">
        <v>98</v>
      </c>
      <c r="BC642" s="112" t="s">
        <v>98</v>
      </c>
      <c r="BD642" s="112" t="s">
        <v>98</v>
      </c>
      <c r="BE642" s="112" t="s">
        <v>98</v>
      </c>
      <c r="BF642" s="113" t="s">
        <v>3089</v>
      </c>
      <c r="BG642" s="113" t="s">
        <v>3090</v>
      </c>
      <c r="BH642" s="9" t="s">
        <v>100</v>
      </c>
      <c r="BI642" s="9" t="s">
        <v>100</v>
      </c>
      <c r="BJ642" s="123"/>
      <c r="BN642" s="123"/>
      <c r="BO642" s="123"/>
    </row>
    <row r="643" spans="1:67" s="124" customFormat="1" ht="104" hidden="1" x14ac:dyDescent="0.35">
      <c r="A643" s="112">
        <v>2594</v>
      </c>
      <c r="B643" s="112" t="s">
        <v>3006</v>
      </c>
      <c r="C643" s="113" t="s">
        <v>66</v>
      </c>
      <c r="D643" s="113" t="s">
        <v>3139</v>
      </c>
      <c r="E643" s="112" t="s">
        <v>37</v>
      </c>
      <c r="F643" s="112" t="s">
        <v>136</v>
      </c>
      <c r="G643" s="112" t="s">
        <v>225</v>
      </c>
      <c r="H643" s="112" t="s">
        <v>125</v>
      </c>
      <c r="I643" s="112" t="s">
        <v>114</v>
      </c>
      <c r="J643" s="113" t="s">
        <v>98</v>
      </c>
      <c r="K643" s="112" t="s">
        <v>98</v>
      </c>
      <c r="L643" s="112" t="s">
        <v>98</v>
      </c>
      <c r="M643" s="112" t="s">
        <v>98</v>
      </c>
      <c r="N643" s="113" t="s">
        <v>3087</v>
      </c>
      <c r="O643" s="113" t="s">
        <v>3088</v>
      </c>
      <c r="P643" s="113" t="s">
        <v>238</v>
      </c>
      <c r="Q643" s="142">
        <v>37741</v>
      </c>
      <c r="R643" s="113" t="s">
        <v>276</v>
      </c>
      <c r="S643" s="113" t="s">
        <v>276</v>
      </c>
      <c r="T643" s="113" t="s">
        <v>3054</v>
      </c>
      <c r="U643" s="113">
        <v>1</v>
      </c>
      <c r="V643" s="112" t="s">
        <v>15</v>
      </c>
      <c r="W643" s="112" t="s">
        <v>3032</v>
      </c>
      <c r="X643" s="113" t="s">
        <v>209</v>
      </c>
      <c r="Y643" s="118">
        <v>13433</v>
      </c>
      <c r="Z643" s="113" t="s">
        <v>98</v>
      </c>
      <c r="AA643" s="113" t="s">
        <v>276</v>
      </c>
      <c r="AB643" s="113" t="s">
        <v>98</v>
      </c>
      <c r="AC643" s="112">
        <v>0</v>
      </c>
      <c r="AD643" s="112" t="s">
        <v>98</v>
      </c>
      <c r="AE643" s="112" t="s">
        <v>98</v>
      </c>
      <c r="AF643" s="112" t="s">
        <v>98</v>
      </c>
      <c r="AG643" s="113" t="s">
        <v>3140</v>
      </c>
      <c r="AH643" s="113" t="s">
        <v>3145</v>
      </c>
      <c r="AI643" s="119">
        <v>34</v>
      </c>
      <c r="AJ643" s="119" t="s">
        <v>98</v>
      </c>
      <c r="AK643" s="118">
        <v>13433</v>
      </c>
      <c r="AL643" s="119" t="s">
        <v>98</v>
      </c>
      <c r="AM643" s="119" t="s">
        <v>292</v>
      </c>
      <c r="AN643" s="112" t="s">
        <v>276</v>
      </c>
      <c r="AO643" s="121">
        <f t="shared" si="192"/>
        <v>0.25310801756867418</v>
      </c>
      <c r="AP643" s="112" t="s">
        <v>276</v>
      </c>
      <c r="AQ643" s="112" t="s">
        <v>276</v>
      </c>
      <c r="AR643" s="112" t="s">
        <v>98</v>
      </c>
      <c r="AS643" s="112" t="s">
        <v>98</v>
      </c>
      <c r="AT643" s="112" t="s">
        <v>98</v>
      </c>
      <c r="AU643" s="112" t="s">
        <v>98</v>
      </c>
      <c r="AV643" s="112" t="s">
        <v>98</v>
      </c>
      <c r="AW643" s="112" t="s">
        <v>98</v>
      </c>
      <c r="AX643" s="112" t="s">
        <v>98</v>
      </c>
      <c r="AY643" s="112" t="s">
        <v>98</v>
      </c>
      <c r="AZ643" s="112" t="s">
        <v>98</v>
      </c>
      <c r="BA643" s="112" t="s">
        <v>98</v>
      </c>
      <c r="BB643" s="112" t="s">
        <v>98</v>
      </c>
      <c r="BC643" s="112" t="s">
        <v>98</v>
      </c>
      <c r="BD643" s="112" t="s">
        <v>98</v>
      </c>
      <c r="BE643" s="112" t="s">
        <v>98</v>
      </c>
      <c r="BF643" s="113" t="s">
        <v>3089</v>
      </c>
      <c r="BG643" s="113" t="s">
        <v>3093</v>
      </c>
      <c r="BH643" s="9" t="s">
        <v>100</v>
      </c>
      <c r="BI643" s="9" t="s">
        <v>100</v>
      </c>
      <c r="BJ643" s="123"/>
      <c r="BN643" s="123"/>
      <c r="BO643" s="123"/>
    </row>
    <row r="644" spans="1:67" s="124" customFormat="1" ht="104" hidden="1" x14ac:dyDescent="0.35">
      <c r="A644" s="112">
        <v>2594</v>
      </c>
      <c r="B644" s="112" t="s">
        <v>3006</v>
      </c>
      <c r="C644" s="113" t="s">
        <v>66</v>
      </c>
      <c r="D644" s="113" t="s">
        <v>3146</v>
      </c>
      <c r="E644" s="112" t="s">
        <v>37</v>
      </c>
      <c r="F644" s="112" t="s">
        <v>136</v>
      </c>
      <c r="G644" s="112" t="s">
        <v>225</v>
      </c>
      <c r="H644" s="112" t="s">
        <v>125</v>
      </c>
      <c r="I644" s="112" t="s">
        <v>114</v>
      </c>
      <c r="J644" s="113" t="s">
        <v>98</v>
      </c>
      <c r="K644" s="112" t="s">
        <v>98</v>
      </c>
      <c r="L644" s="112" t="s">
        <v>98</v>
      </c>
      <c r="M644" s="112" t="s">
        <v>98</v>
      </c>
      <c r="N644" s="113" t="s">
        <v>3087</v>
      </c>
      <c r="O644" s="113" t="s">
        <v>3088</v>
      </c>
      <c r="P644" s="113" t="s">
        <v>238</v>
      </c>
      <c r="Q644" s="142">
        <v>37741</v>
      </c>
      <c r="R644" s="113" t="s">
        <v>276</v>
      </c>
      <c r="S644" s="113" t="s">
        <v>276</v>
      </c>
      <c r="T644" s="113" t="s">
        <v>3054</v>
      </c>
      <c r="U644" s="113">
        <v>1</v>
      </c>
      <c r="V644" s="112" t="s">
        <v>15</v>
      </c>
      <c r="W644" s="112" t="s">
        <v>3032</v>
      </c>
      <c r="X644" s="113" t="s">
        <v>209</v>
      </c>
      <c r="Y644" s="118">
        <v>13433</v>
      </c>
      <c r="Z644" s="113" t="s">
        <v>98</v>
      </c>
      <c r="AA644" s="113" t="s">
        <v>276</v>
      </c>
      <c r="AB644" s="113" t="s">
        <v>98</v>
      </c>
      <c r="AC644" s="112">
        <v>0</v>
      </c>
      <c r="AD644" s="112" t="s">
        <v>98</v>
      </c>
      <c r="AE644" s="112" t="s">
        <v>98</v>
      </c>
      <c r="AF644" s="112" t="s">
        <v>98</v>
      </c>
      <c r="AG644" s="113" t="s">
        <v>3147</v>
      </c>
      <c r="AH644" s="113" t="s">
        <v>3145</v>
      </c>
      <c r="AI644" s="119">
        <f>34+22</f>
        <v>56</v>
      </c>
      <c r="AJ644" s="119" t="s">
        <v>98</v>
      </c>
      <c r="AK644" s="118">
        <v>13433</v>
      </c>
      <c r="AL644" s="119" t="s">
        <v>98</v>
      </c>
      <c r="AM644" s="119" t="s">
        <v>292</v>
      </c>
      <c r="AN644" s="112" t="s">
        <v>276</v>
      </c>
      <c r="AO644" s="121">
        <f t="shared" si="192"/>
        <v>0.41688379364252215</v>
      </c>
      <c r="AP644" s="112" t="s">
        <v>276</v>
      </c>
      <c r="AQ644" s="112" t="s">
        <v>276</v>
      </c>
      <c r="AR644" s="112" t="s">
        <v>98</v>
      </c>
      <c r="AS644" s="112" t="s">
        <v>98</v>
      </c>
      <c r="AT644" s="112" t="s">
        <v>98</v>
      </c>
      <c r="AU644" s="112" t="s">
        <v>98</v>
      </c>
      <c r="AV644" s="112" t="s">
        <v>98</v>
      </c>
      <c r="AW644" s="112" t="s">
        <v>98</v>
      </c>
      <c r="AX644" s="112" t="s">
        <v>98</v>
      </c>
      <c r="AY644" s="112" t="s">
        <v>98</v>
      </c>
      <c r="AZ644" s="112" t="s">
        <v>98</v>
      </c>
      <c r="BA644" s="112" t="s">
        <v>98</v>
      </c>
      <c r="BB644" s="112" t="s">
        <v>98</v>
      </c>
      <c r="BC644" s="112" t="s">
        <v>98</v>
      </c>
      <c r="BD644" s="112" t="s">
        <v>98</v>
      </c>
      <c r="BE644" s="112" t="s">
        <v>98</v>
      </c>
      <c r="BF644" s="113" t="s">
        <v>3096</v>
      </c>
      <c r="BG644" s="113" t="s">
        <v>3093</v>
      </c>
      <c r="BH644" s="9" t="s">
        <v>100</v>
      </c>
      <c r="BI644" s="9" t="s">
        <v>100</v>
      </c>
      <c r="BJ644" s="123"/>
      <c r="BN644" s="123"/>
      <c r="BO644" s="123"/>
    </row>
    <row r="645" spans="1:67" s="110" customFormat="1" ht="104" hidden="1" x14ac:dyDescent="0.35">
      <c r="A645" s="94">
        <v>2594</v>
      </c>
      <c r="B645" s="94" t="s">
        <v>3006</v>
      </c>
      <c r="C645" s="95" t="s">
        <v>66</v>
      </c>
      <c r="D645" s="95" t="s">
        <v>3148</v>
      </c>
      <c r="E645" s="94" t="s">
        <v>37</v>
      </c>
      <c r="F645" s="94" t="s">
        <v>136</v>
      </c>
      <c r="G645" s="94" t="s">
        <v>225</v>
      </c>
      <c r="H645" s="94" t="s">
        <v>125</v>
      </c>
      <c r="I645" s="94" t="s">
        <v>114</v>
      </c>
      <c r="J645" s="95" t="s">
        <v>98</v>
      </c>
      <c r="K645" s="94" t="s">
        <v>98</v>
      </c>
      <c r="L645" s="94" t="s">
        <v>98</v>
      </c>
      <c r="M645" s="94" t="s">
        <v>98</v>
      </c>
      <c r="N645" s="95" t="s">
        <v>3087</v>
      </c>
      <c r="O645" s="95" t="s">
        <v>3088</v>
      </c>
      <c r="P645" s="95" t="s">
        <v>238</v>
      </c>
      <c r="Q645" s="140">
        <v>37741</v>
      </c>
      <c r="R645" s="95" t="s">
        <v>276</v>
      </c>
      <c r="S645" s="95" t="s">
        <v>276</v>
      </c>
      <c r="T645" s="95" t="s">
        <v>3054</v>
      </c>
      <c r="U645" s="95">
        <v>1</v>
      </c>
      <c r="V645" s="94" t="s">
        <v>15</v>
      </c>
      <c r="W645" s="94" t="s">
        <v>3038</v>
      </c>
      <c r="X645" s="95" t="s">
        <v>209</v>
      </c>
      <c r="Y645" s="98">
        <v>9141</v>
      </c>
      <c r="Z645" s="95" t="s">
        <v>98</v>
      </c>
      <c r="AA645" s="95" t="s">
        <v>276</v>
      </c>
      <c r="AB645" s="95" t="s">
        <v>98</v>
      </c>
      <c r="AC645" s="94">
        <v>0</v>
      </c>
      <c r="AD645" s="94" t="s">
        <v>98</v>
      </c>
      <c r="AE645" s="94" t="s">
        <v>98</v>
      </c>
      <c r="AF645" s="94" t="s">
        <v>98</v>
      </c>
      <c r="AG645" s="95" t="s">
        <v>3149</v>
      </c>
      <c r="AH645" s="95" t="s">
        <v>3150</v>
      </c>
      <c r="AI645" s="99">
        <v>24</v>
      </c>
      <c r="AJ645" s="99" t="s">
        <v>98</v>
      </c>
      <c r="AK645" s="98">
        <v>9141</v>
      </c>
      <c r="AL645" s="99" t="s">
        <v>98</v>
      </c>
      <c r="AM645" s="99" t="s">
        <v>292</v>
      </c>
      <c r="AN645" s="94" t="s">
        <v>276</v>
      </c>
      <c r="AO645" s="102">
        <f t="shared" si="192"/>
        <v>0.26255333114538892</v>
      </c>
      <c r="AP645" s="94" t="s">
        <v>276</v>
      </c>
      <c r="AQ645" s="94" t="s">
        <v>276</v>
      </c>
      <c r="AR645" s="94" t="s">
        <v>98</v>
      </c>
      <c r="AS645" s="94" t="s">
        <v>98</v>
      </c>
      <c r="AT645" s="94" t="s">
        <v>98</v>
      </c>
      <c r="AU645" s="94" t="s">
        <v>98</v>
      </c>
      <c r="AV645" s="94" t="s">
        <v>98</v>
      </c>
      <c r="AW645" s="94" t="s">
        <v>98</v>
      </c>
      <c r="AX645" s="94" t="s">
        <v>98</v>
      </c>
      <c r="AY645" s="94" t="s">
        <v>98</v>
      </c>
      <c r="AZ645" s="94" t="s">
        <v>98</v>
      </c>
      <c r="BA645" s="94" t="s">
        <v>98</v>
      </c>
      <c r="BB645" s="94" t="s">
        <v>98</v>
      </c>
      <c r="BC645" s="94" t="s">
        <v>98</v>
      </c>
      <c r="BD645" s="94" t="s">
        <v>98</v>
      </c>
      <c r="BE645" s="94" t="s">
        <v>98</v>
      </c>
      <c r="BF645" s="95" t="s">
        <v>3089</v>
      </c>
      <c r="BG645" s="95" t="s">
        <v>3090</v>
      </c>
      <c r="BH645" s="9" t="s">
        <v>100</v>
      </c>
      <c r="BI645" s="9" t="s">
        <v>100</v>
      </c>
      <c r="BJ645" s="109"/>
      <c r="BN645" s="109"/>
      <c r="BO645" s="109"/>
    </row>
    <row r="646" spans="1:67" s="110" customFormat="1" ht="104" hidden="1" x14ac:dyDescent="0.35">
      <c r="A646" s="94">
        <v>2594</v>
      </c>
      <c r="B646" s="94" t="s">
        <v>3006</v>
      </c>
      <c r="C646" s="95" t="s">
        <v>66</v>
      </c>
      <c r="D646" s="95" t="s">
        <v>3151</v>
      </c>
      <c r="E646" s="94" t="s">
        <v>37</v>
      </c>
      <c r="F646" s="94" t="s">
        <v>136</v>
      </c>
      <c r="G646" s="94" t="s">
        <v>225</v>
      </c>
      <c r="H646" s="94" t="s">
        <v>125</v>
      </c>
      <c r="I646" s="94" t="s">
        <v>114</v>
      </c>
      <c r="J646" s="95" t="s">
        <v>98</v>
      </c>
      <c r="K646" s="94" t="s">
        <v>98</v>
      </c>
      <c r="L646" s="94" t="s">
        <v>98</v>
      </c>
      <c r="M646" s="94" t="s">
        <v>98</v>
      </c>
      <c r="N646" s="95" t="s">
        <v>3087</v>
      </c>
      <c r="O646" s="95" t="s">
        <v>3088</v>
      </c>
      <c r="P646" s="95" t="s">
        <v>238</v>
      </c>
      <c r="Q646" s="140">
        <v>37741</v>
      </c>
      <c r="R646" s="95" t="s">
        <v>276</v>
      </c>
      <c r="S646" s="95" t="s">
        <v>276</v>
      </c>
      <c r="T646" s="95" t="s">
        <v>3054</v>
      </c>
      <c r="U646" s="95">
        <v>1</v>
      </c>
      <c r="V646" s="94" t="s">
        <v>15</v>
      </c>
      <c r="W646" s="94" t="s">
        <v>3038</v>
      </c>
      <c r="X646" s="95" t="s">
        <v>209</v>
      </c>
      <c r="Y646" s="98">
        <v>9141</v>
      </c>
      <c r="Z646" s="95" t="s">
        <v>98</v>
      </c>
      <c r="AA646" s="95" t="s">
        <v>276</v>
      </c>
      <c r="AB646" s="95" t="s">
        <v>98</v>
      </c>
      <c r="AC646" s="94">
        <v>0</v>
      </c>
      <c r="AD646" s="94" t="s">
        <v>98</v>
      </c>
      <c r="AE646" s="94" t="s">
        <v>98</v>
      </c>
      <c r="AF646" s="94" t="s">
        <v>98</v>
      </c>
      <c r="AG646" s="95" t="s">
        <v>3152</v>
      </c>
      <c r="AH646" s="95" t="s">
        <v>3150</v>
      </c>
      <c r="AI646" s="99">
        <v>12</v>
      </c>
      <c r="AJ646" s="99" t="s">
        <v>98</v>
      </c>
      <c r="AK646" s="98">
        <v>9141</v>
      </c>
      <c r="AL646" s="99" t="s">
        <v>98</v>
      </c>
      <c r="AM646" s="99" t="s">
        <v>292</v>
      </c>
      <c r="AN646" s="94" t="s">
        <v>276</v>
      </c>
      <c r="AO646" s="102">
        <f t="shared" si="192"/>
        <v>0.13127666557269446</v>
      </c>
      <c r="AP646" s="94" t="s">
        <v>276</v>
      </c>
      <c r="AQ646" s="94" t="s">
        <v>276</v>
      </c>
      <c r="AR646" s="94" t="s">
        <v>98</v>
      </c>
      <c r="AS646" s="94" t="s">
        <v>98</v>
      </c>
      <c r="AT646" s="94" t="s">
        <v>98</v>
      </c>
      <c r="AU646" s="94" t="s">
        <v>98</v>
      </c>
      <c r="AV646" s="94" t="s">
        <v>98</v>
      </c>
      <c r="AW646" s="94" t="s">
        <v>98</v>
      </c>
      <c r="AX646" s="94" t="s">
        <v>98</v>
      </c>
      <c r="AY646" s="94" t="s">
        <v>98</v>
      </c>
      <c r="AZ646" s="94" t="s">
        <v>98</v>
      </c>
      <c r="BA646" s="94" t="s">
        <v>98</v>
      </c>
      <c r="BB646" s="94" t="s">
        <v>98</v>
      </c>
      <c r="BC646" s="94" t="s">
        <v>98</v>
      </c>
      <c r="BD646" s="94" t="s">
        <v>98</v>
      </c>
      <c r="BE646" s="94" t="s">
        <v>98</v>
      </c>
      <c r="BF646" s="95" t="s">
        <v>3089</v>
      </c>
      <c r="BG646" s="95" t="s">
        <v>3093</v>
      </c>
      <c r="BH646" s="9" t="s">
        <v>100</v>
      </c>
      <c r="BI646" s="9" t="s">
        <v>100</v>
      </c>
      <c r="BJ646" s="109"/>
      <c r="BN646" s="109"/>
      <c r="BO646" s="109"/>
    </row>
    <row r="647" spans="1:67" s="110" customFormat="1" ht="104" hidden="1" x14ac:dyDescent="0.35">
      <c r="A647" s="94">
        <v>2594</v>
      </c>
      <c r="B647" s="94" t="s">
        <v>3006</v>
      </c>
      <c r="C647" s="95" t="s">
        <v>66</v>
      </c>
      <c r="D647" s="95" t="s">
        <v>3153</v>
      </c>
      <c r="E647" s="94" t="s">
        <v>37</v>
      </c>
      <c r="F647" s="94" t="s">
        <v>136</v>
      </c>
      <c r="G647" s="94" t="s">
        <v>225</v>
      </c>
      <c r="H647" s="94" t="s">
        <v>125</v>
      </c>
      <c r="I647" s="94" t="s">
        <v>114</v>
      </c>
      <c r="J647" s="95" t="s">
        <v>98</v>
      </c>
      <c r="K647" s="94" t="s">
        <v>98</v>
      </c>
      <c r="L647" s="94" t="s">
        <v>98</v>
      </c>
      <c r="M647" s="94" t="s">
        <v>98</v>
      </c>
      <c r="N647" s="95" t="s">
        <v>3087</v>
      </c>
      <c r="O647" s="95" t="s">
        <v>3088</v>
      </c>
      <c r="P647" s="95" t="s">
        <v>238</v>
      </c>
      <c r="Q647" s="140">
        <v>37741</v>
      </c>
      <c r="R647" s="95" t="s">
        <v>276</v>
      </c>
      <c r="S647" s="95" t="s">
        <v>276</v>
      </c>
      <c r="T647" s="95" t="s">
        <v>3054</v>
      </c>
      <c r="U647" s="95">
        <v>1</v>
      </c>
      <c r="V647" s="94" t="s">
        <v>15</v>
      </c>
      <c r="W647" s="94" t="s">
        <v>3038</v>
      </c>
      <c r="X647" s="95" t="s">
        <v>209</v>
      </c>
      <c r="Y647" s="98">
        <v>9141</v>
      </c>
      <c r="Z647" s="95" t="s">
        <v>98</v>
      </c>
      <c r="AA647" s="95" t="s">
        <v>276</v>
      </c>
      <c r="AB647" s="95" t="s">
        <v>98</v>
      </c>
      <c r="AC647" s="94">
        <v>0</v>
      </c>
      <c r="AD647" s="94" t="s">
        <v>98</v>
      </c>
      <c r="AE647" s="94" t="s">
        <v>98</v>
      </c>
      <c r="AF647" s="94" t="s">
        <v>98</v>
      </c>
      <c r="AG647" s="95" t="s">
        <v>3154</v>
      </c>
      <c r="AH647" s="95" t="s">
        <v>3150</v>
      </c>
      <c r="AI647" s="99">
        <f>12+24</f>
        <v>36</v>
      </c>
      <c r="AJ647" s="99" t="s">
        <v>98</v>
      </c>
      <c r="AK647" s="98">
        <v>9141</v>
      </c>
      <c r="AL647" s="99" t="s">
        <v>98</v>
      </c>
      <c r="AM647" s="99" t="s">
        <v>292</v>
      </c>
      <c r="AN647" s="94" t="s">
        <v>276</v>
      </c>
      <c r="AO647" s="102">
        <f t="shared" si="192"/>
        <v>0.39382999671808339</v>
      </c>
      <c r="AP647" s="94" t="s">
        <v>276</v>
      </c>
      <c r="AQ647" s="94" t="s">
        <v>276</v>
      </c>
      <c r="AR647" s="94" t="s">
        <v>98</v>
      </c>
      <c r="AS647" s="94" t="s">
        <v>98</v>
      </c>
      <c r="AT647" s="94" t="s">
        <v>98</v>
      </c>
      <c r="AU647" s="94" t="s">
        <v>98</v>
      </c>
      <c r="AV647" s="94" t="s">
        <v>98</v>
      </c>
      <c r="AW647" s="94" t="s">
        <v>98</v>
      </c>
      <c r="AX647" s="94" t="s">
        <v>98</v>
      </c>
      <c r="AY647" s="94" t="s">
        <v>98</v>
      </c>
      <c r="AZ647" s="94" t="s">
        <v>98</v>
      </c>
      <c r="BA647" s="94" t="s">
        <v>98</v>
      </c>
      <c r="BB647" s="94" t="s">
        <v>98</v>
      </c>
      <c r="BC647" s="94" t="s">
        <v>98</v>
      </c>
      <c r="BD647" s="94" t="s">
        <v>98</v>
      </c>
      <c r="BE647" s="94" t="s">
        <v>98</v>
      </c>
      <c r="BF647" s="95" t="s">
        <v>3096</v>
      </c>
      <c r="BG647" s="95" t="s">
        <v>3093</v>
      </c>
      <c r="BH647" s="9" t="s">
        <v>100</v>
      </c>
      <c r="BI647" s="9" t="s">
        <v>100</v>
      </c>
      <c r="BJ647" s="109"/>
      <c r="BN647" s="109"/>
      <c r="BO647" s="109"/>
    </row>
    <row r="648" spans="1:67" s="33" customFormat="1" ht="78" hidden="1" x14ac:dyDescent="0.35">
      <c r="A648" s="8">
        <v>2644</v>
      </c>
      <c r="B648" s="8" t="s">
        <v>3155</v>
      </c>
      <c r="C648" s="9" t="s">
        <v>3156</v>
      </c>
      <c r="D648" s="9" t="s">
        <v>3157</v>
      </c>
      <c r="E648" s="8" t="s">
        <v>41</v>
      </c>
      <c r="F648" s="9" t="s">
        <v>146</v>
      </c>
      <c r="G648" s="8" t="s">
        <v>225</v>
      </c>
      <c r="H648" s="8" t="s">
        <v>225</v>
      </c>
      <c r="I648" s="8" t="s">
        <v>114</v>
      </c>
      <c r="J648" s="9" t="s">
        <v>98</v>
      </c>
      <c r="K648" s="9" t="s">
        <v>98</v>
      </c>
      <c r="L648" s="9" t="s">
        <v>98</v>
      </c>
      <c r="M648" s="9" t="s">
        <v>98</v>
      </c>
      <c r="N648" s="9" t="s">
        <v>3158</v>
      </c>
      <c r="O648" s="9" t="s">
        <v>276</v>
      </c>
      <c r="P648" s="9" t="s">
        <v>238</v>
      </c>
      <c r="Q648" s="51" t="s">
        <v>3159</v>
      </c>
      <c r="R648" s="9" t="s">
        <v>276</v>
      </c>
      <c r="S648" s="9" t="s">
        <v>3160</v>
      </c>
      <c r="T648" s="9" t="s">
        <v>98</v>
      </c>
      <c r="U648" s="9">
        <v>1</v>
      </c>
      <c r="V648" s="8" t="s">
        <v>14</v>
      </c>
      <c r="W648" s="9" t="s">
        <v>3161</v>
      </c>
      <c r="X648" s="9" t="s">
        <v>209</v>
      </c>
      <c r="Y648" s="13">
        <v>59894</v>
      </c>
      <c r="Z648" s="9" t="s">
        <v>98</v>
      </c>
      <c r="AA648" s="9" t="s">
        <v>276</v>
      </c>
      <c r="AB648" s="9" t="s">
        <v>98</v>
      </c>
      <c r="AC648" s="8" t="s">
        <v>276</v>
      </c>
      <c r="AD648" s="8" t="s">
        <v>276</v>
      </c>
      <c r="AE648" s="8" t="s">
        <v>98</v>
      </c>
      <c r="AF648" s="8" t="s">
        <v>98</v>
      </c>
      <c r="AG648" s="9" t="s">
        <v>3162</v>
      </c>
      <c r="AH648" s="9" t="s">
        <v>866</v>
      </c>
      <c r="AI648" s="38">
        <v>36</v>
      </c>
      <c r="AJ648" s="38" t="s">
        <v>98</v>
      </c>
      <c r="AK648" s="38">
        <v>59894</v>
      </c>
      <c r="AL648" s="38" t="s">
        <v>98</v>
      </c>
      <c r="AM648" s="38" t="s">
        <v>2047</v>
      </c>
      <c r="AN648" s="8" t="s">
        <v>276</v>
      </c>
      <c r="AO648" s="14">
        <f>AI648*1000/AK648</f>
        <v>0.60106187598089955</v>
      </c>
      <c r="AP648" s="8" t="s">
        <v>276</v>
      </c>
      <c r="AQ648" s="8" t="s">
        <v>276</v>
      </c>
      <c r="AR648" s="8" t="s">
        <v>98</v>
      </c>
      <c r="AS648" s="8" t="s">
        <v>98</v>
      </c>
      <c r="AT648" s="8" t="s">
        <v>98</v>
      </c>
      <c r="AU648" s="8" t="s">
        <v>98</v>
      </c>
      <c r="AV648" s="8" t="s">
        <v>98</v>
      </c>
      <c r="AW648" s="8" t="s">
        <v>98</v>
      </c>
      <c r="AX648" s="8" t="s">
        <v>98</v>
      </c>
      <c r="AY648" s="8" t="s">
        <v>98</v>
      </c>
      <c r="AZ648" s="8" t="s">
        <v>98</v>
      </c>
      <c r="BA648" s="8" t="s">
        <v>98</v>
      </c>
      <c r="BB648" s="8" t="s">
        <v>98</v>
      </c>
      <c r="BC648" s="8" t="s">
        <v>98</v>
      </c>
      <c r="BD648" s="8" t="s">
        <v>98</v>
      </c>
      <c r="BE648" s="8" t="s">
        <v>98</v>
      </c>
      <c r="BF648" s="9" t="s">
        <v>3163</v>
      </c>
      <c r="BG648" s="9"/>
      <c r="BH648" s="9" t="s">
        <v>100</v>
      </c>
      <c r="BI648" s="9" t="s">
        <v>100</v>
      </c>
      <c r="BJ648" s="32"/>
      <c r="BN648" s="32"/>
      <c r="BO648" s="32"/>
    </row>
    <row r="649" spans="1:67" s="33" customFormat="1" ht="78" hidden="1" x14ac:dyDescent="0.35">
      <c r="A649" s="8">
        <v>2644</v>
      </c>
      <c r="B649" s="8" t="s">
        <v>3155</v>
      </c>
      <c r="C649" s="9" t="s">
        <v>3156</v>
      </c>
      <c r="D649" s="9" t="s">
        <v>3164</v>
      </c>
      <c r="E649" s="8" t="s">
        <v>41</v>
      </c>
      <c r="F649" s="9" t="s">
        <v>146</v>
      </c>
      <c r="G649" s="8" t="s">
        <v>225</v>
      </c>
      <c r="H649" s="8" t="s">
        <v>225</v>
      </c>
      <c r="I649" s="8" t="s">
        <v>114</v>
      </c>
      <c r="J649" s="9" t="s">
        <v>98</v>
      </c>
      <c r="K649" s="9" t="s">
        <v>98</v>
      </c>
      <c r="L649" s="9" t="s">
        <v>98</v>
      </c>
      <c r="M649" s="9" t="s">
        <v>98</v>
      </c>
      <c r="N649" s="9" t="s">
        <v>3158</v>
      </c>
      <c r="O649" s="9" t="s">
        <v>276</v>
      </c>
      <c r="P649" s="9" t="s">
        <v>238</v>
      </c>
      <c r="Q649" s="51" t="s">
        <v>3159</v>
      </c>
      <c r="R649" s="9" t="s">
        <v>276</v>
      </c>
      <c r="S649" s="9" t="s">
        <v>3160</v>
      </c>
      <c r="T649" s="9" t="s">
        <v>98</v>
      </c>
      <c r="U649" s="9">
        <v>1</v>
      </c>
      <c r="V649" s="8" t="s">
        <v>14</v>
      </c>
      <c r="W649" s="9" t="s">
        <v>3161</v>
      </c>
      <c r="X649" s="9" t="s">
        <v>209</v>
      </c>
      <c r="Y649" s="13">
        <v>59894</v>
      </c>
      <c r="Z649" s="9" t="s">
        <v>98</v>
      </c>
      <c r="AA649" s="9" t="s">
        <v>276</v>
      </c>
      <c r="AB649" s="9" t="s">
        <v>98</v>
      </c>
      <c r="AC649" s="8" t="s">
        <v>276</v>
      </c>
      <c r="AD649" s="8" t="s">
        <v>276</v>
      </c>
      <c r="AE649" s="8" t="s">
        <v>98</v>
      </c>
      <c r="AF649" s="8" t="s">
        <v>98</v>
      </c>
      <c r="AG649" s="9" t="s">
        <v>3165</v>
      </c>
      <c r="AH649" s="9" t="s">
        <v>866</v>
      </c>
      <c r="AI649" s="38">
        <v>1310</v>
      </c>
      <c r="AJ649" s="38" t="s">
        <v>98</v>
      </c>
      <c r="AK649" s="38">
        <v>59894</v>
      </c>
      <c r="AL649" s="38" t="s">
        <v>98</v>
      </c>
      <c r="AM649" s="38" t="s">
        <v>2047</v>
      </c>
      <c r="AN649" s="8" t="s">
        <v>276</v>
      </c>
      <c r="AO649" s="14">
        <f>AI649*1000/AK649</f>
        <v>21.87197382041607</v>
      </c>
      <c r="AP649" s="8" t="s">
        <v>276</v>
      </c>
      <c r="AQ649" s="8" t="s">
        <v>276</v>
      </c>
      <c r="AR649" s="8" t="s">
        <v>98</v>
      </c>
      <c r="AS649" s="8" t="s">
        <v>98</v>
      </c>
      <c r="AT649" s="8" t="s">
        <v>98</v>
      </c>
      <c r="AU649" s="8" t="s">
        <v>98</v>
      </c>
      <c r="AV649" s="8" t="s">
        <v>98</v>
      </c>
      <c r="AW649" s="8" t="s">
        <v>98</v>
      </c>
      <c r="AX649" s="8" t="s">
        <v>98</v>
      </c>
      <c r="AY649" s="8" t="s">
        <v>98</v>
      </c>
      <c r="AZ649" s="8" t="s">
        <v>98</v>
      </c>
      <c r="BA649" s="8" t="s">
        <v>98</v>
      </c>
      <c r="BB649" s="8" t="s">
        <v>98</v>
      </c>
      <c r="BC649" s="8" t="s">
        <v>98</v>
      </c>
      <c r="BD649" s="8" t="s">
        <v>98</v>
      </c>
      <c r="BE649" s="8" t="s">
        <v>98</v>
      </c>
      <c r="BF649" s="9" t="s">
        <v>3166</v>
      </c>
      <c r="BG649" s="9"/>
      <c r="BH649" s="9" t="s">
        <v>100</v>
      </c>
      <c r="BI649" s="9" t="s">
        <v>100</v>
      </c>
      <c r="BJ649" s="32"/>
      <c r="BN649" s="32"/>
      <c r="BO649" s="32"/>
    </row>
    <row r="650" spans="1:67" s="33" customFormat="1" ht="52" hidden="1" x14ac:dyDescent="0.35">
      <c r="A650" s="8">
        <v>2644</v>
      </c>
      <c r="B650" s="8" t="s">
        <v>3155</v>
      </c>
      <c r="C650" s="9" t="s">
        <v>3156</v>
      </c>
      <c r="D650" s="9" t="s">
        <v>3167</v>
      </c>
      <c r="E650" s="8" t="s">
        <v>41</v>
      </c>
      <c r="F650" s="9" t="s">
        <v>146</v>
      </c>
      <c r="G650" s="8" t="s">
        <v>225</v>
      </c>
      <c r="H650" s="8" t="s">
        <v>225</v>
      </c>
      <c r="I650" s="8" t="s">
        <v>114</v>
      </c>
      <c r="J650" s="9" t="s">
        <v>98</v>
      </c>
      <c r="K650" s="9" t="s">
        <v>98</v>
      </c>
      <c r="L650" s="9" t="s">
        <v>98</v>
      </c>
      <c r="M650" s="9" t="s">
        <v>98</v>
      </c>
      <c r="N650" s="9" t="s">
        <v>3158</v>
      </c>
      <c r="O650" s="9" t="s">
        <v>276</v>
      </c>
      <c r="P650" s="9" t="s">
        <v>236</v>
      </c>
      <c r="Q650" s="51" t="s">
        <v>3159</v>
      </c>
      <c r="R650" s="9" t="s">
        <v>276</v>
      </c>
      <c r="S650" s="9" t="s">
        <v>3160</v>
      </c>
      <c r="T650" s="9" t="s">
        <v>98</v>
      </c>
      <c r="U650" s="9">
        <v>1</v>
      </c>
      <c r="V650" s="8" t="s">
        <v>14</v>
      </c>
      <c r="W650" s="9" t="s">
        <v>3161</v>
      </c>
      <c r="X650" s="9" t="s">
        <v>209</v>
      </c>
      <c r="Y650" s="13">
        <v>59894</v>
      </c>
      <c r="Z650" s="9" t="s">
        <v>98</v>
      </c>
      <c r="AA650" s="9" t="s">
        <v>276</v>
      </c>
      <c r="AB650" s="9" t="s">
        <v>98</v>
      </c>
      <c r="AC650" s="8" t="s">
        <v>276</v>
      </c>
      <c r="AD650" s="8" t="s">
        <v>276</v>
      </c>
      <c r="AE650" s="8" t="s">
        <v>98</v>
      </c>
      <c r="AF650" s="8" t="s">
        <v>98</v>
      </c>
      <c r="AG650" s="9" t="s">
        <v>3162</v>
      </c>
      <c r="AH650" s="9" t="s">
        <v>3168</v>
      </c>
      <c r="AI650" s="38">
        <v>36</v>
      </c>
      <c r="AJ650" s="38" t="s">
        <v>98</v>
      </c>
      <c r="AK650" s="38">
        <v>43</v>
      </c>
      <c r="AL650" s="38" t="s">
        <v>98</v>
      </c>
      <c r="AM650" s="38" t="s">
        <v>292</v>
      </c>
      <c r="AN650" s="8" t="s">
        <v>276</v>
      </c>
      <c r="AO650" s="14">
        <f>AI650*100/AK650</f>
        <v>83.720930232558146</v>
      </c>
      <c r="AP650" s="8" t="s">
        <v>276</v>
      </c>
      <c r="AQ650" s="8" t="s">
        <v>276</v>
      </c>
      <c r="AR650" s="8" t="s">
        <v>98</v>
      </c>
      <c r="AS650" s="8" t="s">
        <v>98</v>
      </c>
      <c r="AT650" s="8" t="s">
        <v>98</v>
      </c>
      <c r="AU650" s="8" t="s">
        <v>98</v>
      </c>
      <c r="AV650" s="8" t="s">
        <v>98</v>
      </c>
      <c r="AW650" s="8" t="s">
        <v>98</v>
      </c>
      <c r="AX650" s="8" t="s">
        <v>98</v>
      </c>
      <c r="AY650" s="8" t="s">
        <v>98</v>
      </c>
      <c r="AZ650" s="8" t="s">
        <v>98</v>
      </c>
      <c r="BA650" s="8" t="s">
        <v>98</v>
      </c>
      <c r="BB650" s="8" t="s">
        <v>98</v>
      </c>
      <c r="BC650" s="8" t="s">
        <v>98</v>
      </c>
      <c r="BD650" s="8" t="s">
        <v>98</v>
      </c>
      <c r="BE650" s="8" t="s">
        <v>98</v>
      </c>
      <c r="BF650" s="9" t="s">
        <v>3169</v>
      </c>
      <c r="BG650" s="9"/>
      <c r="BH650" s="9" t="s">
        <v>100</v>
      </c>
      <c r="BI650" s="9" t="s">
        <v>100</v>
      </c>
      <c r="BJ650" s="32"/>
      <c r="BN650" s="32"/>
      <c r="BO650" s="32"/>
    </row>
    <row r="651" spans="1:67" s="79" customFormat="1" ht="65" hidden="1" x14ac:dyDescent="0.35">
      <c r="A651" s="72">
        <v>2644</v>
      </c>
      <c r="B651" s="72" t="s">
        <v>3155</v>
      </c>
      <c r="C651" s="73" t="s">
        <v>3156</v>
      </c>
      <c r="D651" s="73" t="s">
        <v>3170</v>
      </c>
      <c r="E651" s="72" t="s">
        <v>41</v>
      </c>
      <c r="F651" s="73" t="s">
        <v>146</v>
      </c>
      <c r="G651" s="72" t="s">
        <v>225</v>
      </c>
      <c r="H651" s="72" t="s">
        <v>125</v>
      </c>
      <c r="I651" s="72" t="s">
        <v>114</v>
      </c>
      <c r="J651" s="73" t="s">
        <v>31</v>
      </c>
      <c r="K651" s="73" t="s">
        <v>3171</v>
      </c>
      <c r="L651" s="73" t="s">
        <v>3172</v>
      </c>
      <c r="M651" s="73" t="s">
        <v>3173</v>
      </c>
      <c r="N651" s="73" t="s">
        <v>3158</v>
      </c>
      <c r="O651" s="73" t="s">
        <v>276</v>
      </c>
      <c r="P651" s="73" t="s">
        <v>239</v>
      </c>
      <c r="Q651" s="89" t="s">
        <v>3159</v>
      </c>
      <c r="R651" s="73" t="s">
        <v>276</v>
      </c>
      <c r="S651" s="73" t="s">
        <v>3160</v>
      </c>
      <c r="T651" s="73" t="s">
        <v>3174</v>
      </c>
      <c r="U651" s="73">
        <v>1</v>
      </c>
      <c r="V651" s="72" t="s">
        <v>14</v>
      </c>
      <c r="W651" s="73" t="s">
        <v>3161</v>
      </c>
      <c r="X651" s="73" t="s">
        <v>207</v>
      </c>
      <c r="Y651" s="74">
        <v>59894</v>
      </c>
      <c r="Z651" s="75">
        <v>54707</v>
      </c>
      <c r="AA651" s="73" t="s">
        <v>276</v>
      </c>
      <c r="AB651" s="73" t="s">
        <v>276</v>
      </c>
      <c r="AC651" s="73">
        <v>0</v>
      </c>
      <c r="AD651" s="73" t="s">
        <v>98</v>
      </c>
      <c r="AE651" s="73">
        <v>0</v>
      </c>
      <c r="AF651" s="73" t="s">
        <v>98</v>
      </c>
      <c r="AG651" s="73" t="s">
        <v>3175</v>
      </c>
      <c r="AH651" s="73" t="s">
        <v>866</v>
      </c>
      <c r="AI651" s="75">
        <v>23</v>
      </c>
      <c r="AJ651" s="75">
        <v>0</v>
      </c>
      <c r="AK651" s="75">
        <v>59894</v>
      </c>
      <c r="AL651" s="75">
        <v>54707</v>
      </c>
      <c r="AM651" s="75" t="s">
        <v>2047</v>
      </c>
      <c r="AN651" s="72" t="s">
        <v>276</v>
      </c>
      <c r="AO651" s="76">
        <f>AI651*1000/AK651</f>
        <v>0.38401175409890809</v>
      </c>
      <c r="AP651" s="72" t="s">
        <v>276</v>
      </c>
      <c r="AQ651" s="72" t="s">
        <v>276</v>
      </c>
      <c r="AR651" s="72" t="s">
        <v>276</v>
      </c>
      <c r="AS651" s="76">
        <f t="shared" ref="AS651:AS658" si="193">AJ651*1000/AL651</f>
        <v>0</v>
      </c>
      <c r="AT651" s="72" t="s">
        <v>276</v>
      </c>
      <c r="AU651" s="72" t="s">
        <v>276</v>
      </c>
      <c r="AV651" s="72" t="s">
        <v>268</v>
      </c>
      <c r="AW651" s="72" t="s">
        <v>276</v>
      </c>
      <c r="AX651" s="76" t="e">
        <f t="shared" ref="AX651:AX670" si="194">AO651/AS651</f>
        <v>#DIV/0!</v>
      </c>
      <c r="AY651" s="72" t="s">
        <v>276</v>
      </c>
      <c r="AZ651" s="72" t="s">
        <v>276</v>
      </c>
      <c r="BA651" s="72" t="s">
        <v>276</v>
      </c>
      <c r="BB651" s="72" t="s">
        <v>276</v>
      </c>
      <c r="BC651" s="72" t="s">
        <v>276</v>
      </c>
      <c r="BD651" s="72" t="s">
        <v>276</v>
      </c>
      <c r="BE651" s="72" t="s">
        <v>276</v>
      </c>
      <c r="BF651" s="73" t="s">
        <v>3176</v>
      </c>
      <c r="BG651" s="73"/>
      <c r="BH651" s="9" t="s">
        <v>100</v>
      </c>
      <c r="BI651" s="9" t="s">
        <v>100</v>
      </c>
      <c r="BJ651" s="78"/>
      <c r="BN651" s="78"/>
      <c r="BO651" s="78"/>
    </row>
    <row r="652" spans="1:67" s="79" customFormat="1" ht="65" hidden="1" x14ac:dyDescent="0.35">
      <c r="A652" s="72">
        <v>2644</v>
      </c>
      <c r="B652" s="72" t="s">
        <v>3155</v>
      </c>
      <c r="C652" s="73" t="s">
        <v>3156</v>
      </c>
      <c r="D652" s="73" t="s">
        <v>3177</v>
      </c>
      <c r="E652" s="72" t="s">
        <v>41</v>
      </c>
      <c r="F652" s="73" t="s">
        <v>146</v>
      </c>
      <c r="G652" s="72" t="s">
        <v>225</v>
      </c>
      <c r="H652" s="72" t="s">
        <v>125</v>
      </c>
      <c r="I652" s="72" t="s">
        <v>114</v>
      </c>
      <c r="J652" s="73" t="s">
        <v>31</v>
      </c>
      <c r="K652" s="73" t="s">
        <v>3171</v>
      </c>
      <c r="L652" s="73" t="s">
        <v>3172</v>
      </c>
      <c r="M652" s="73" t="s">
        <v>3173</v>
      </c>
      <c r="N652" s="73" t="s">
        <v>3158</v>
      </c>
      <c r="O652" s="73" t="s">
        <v>276</v>
      </c>
      <c r="P652" s="73" t="s">
        <v>239</v>
      </c>
      <c r="Q652" s="89" t="s">
        <v>3159</v>
      </c>
      <c r="R652" s="73" t="s">
        <v>276</v>
      </c>
      <c r="S652" s="73" t="s">
        <v>3160</v>
      </c>
      <c r="T652" s="73" t="s">
        <v>3174</v>
      </c>
      <c r="U652" s="73">
        <v>1</v>
      </c>
      <c r="V652" s="72" t="s">
        <v>14</v>
      </c>
      <c r="W652" s="73" t="s">
        <v>3161</v>
      </c>
      <c r="X652" s="73" t="s">
        <v>207</v>
      </c>
      <c r="Y652" s="74">
        <v>59894</v>
      </c>
      <c r="Z652" s="75">
        <v>54707</v>
      </c>
      <c r="AA652" s="73" t="s">
        <v>276</v>
      </c>
      <c r="AB652" s="73" t="s">
        <v>276</v>
      </c>
      <c r="AC652" s="73">
        <v>0</v>
      </c>
      <c r="AD652" s="73" t="s">
        <v>98</v>
      </c>
      <c r="AE652" s="73">
        <v>0</v>
      </c>
      <c r="AF652" s="73" t="s">
        <v>98</v>
      </c>
      <c r="AG652" s="73" t="s">
        <v>3175</v>
      </c>
      <c r="AH652" s="73" t="s">
        <v>3178</v>
      </c>
      <c r="AI652" s="75">
        <v>23</v>
      </c>
      <c r="AJ652" s="75">
        <v>0</v>
      </c>
      <c r="AK652" s="75">
        <v>83764</v>
      </c>
      <c r="AL652" s="75">
        <v>78754</v>
      </c>
      <c r="AM652" s="75" t="s">
        <v>425</v>
      </c>
      <c r="AN652" s="72" t="s">
        <v>276</v>
      </c>
      <c r="AO652" s="76">
        <f t="shared" ref="AO652:AO671" si="195">AI652*1000/AK652</f>
        <v>0.27458096556993455</v>
      </c>
      <c r="AP652" s="72" t="s">
        <v>276</v>
      </c>
      <c r="AQ652" s="72" t="s">
        <v>276</v>
      </c>
      <c r="AR652" s="72" t="s">
        <v>276</v>
      </c>
      <c r="AS652" s="76">
        <f t="shared" si="193"/>
        <v>0</v>
      </c>
      <c r="AT652" s="72" t="s">
        <v>276</v>
      </c>
      <c r="AU652" s="72" t="s">
        <v>276</v>
      </c>
      <c r="AV652" s="72" t="s">
        <v>269</v>
      </c>
      <c r="AW652" s="72" t="s">
        <v>276</v>
      </c>
      <c r="AX652" s="76" t="e">
        <f t="shared" si="194"/>
        <v>#DIV/0!</v>
      </c>
      <c r="AY652" s="72" t="s">
        <v>276</v>
      </c>
      <c r="AZ652" s="72" t="s">
        <v>276</v>
      </c>
      <c r="BA652" s="72" t="s">
        <v>276</v>
      </c>
      <c r="BB652" s="72" t="s">
        <v>276</v>
      </c>
      <c r="BC652" s="72" t="s">
        <v>276</v>
      </c>
      <c r="BD652" s="72" t="s">
        <v>276</v>
      </c>
      <c r="BE652" s="72" t="s">
        <v>276</v>
      </c>
      <c r="BF652" s="73" t="s">
        <v>3176</v>
      </c>
      <c r="BG652" s="73"/>
      <c r="BH652" s="9" t="s">
        <v>100</v>
      </c>
      <c r="BI652" s="9" t="s">
        <v>100</v>
      </c>
      <c r="BJ652" s="78"/>
      <c r="BN652" s="78"/>
      <c r="BO652" s="78"/>
    </row>
    <row r="653" spans="1:67" s="33" customFormat="1" ht="65" hidden="1" x14ac:dyDescent="0.35">
      <c r="A653" s="8">
        <v>2644</v>
      </c>
      <c r="B653" s="8" t="s">
        <v>3155</v>
      </c>
      <c r="C653" s="9" t="s">
        <v>3156</v>
      </c>
      <c r="D653" s="9" t="s">
        <v>3179</v>
      </c>
      <c r="E653" s="8" t="s">
        <v>41</v>
      </c>
      <c r="F653" s="9" t="s">
        <v>146</v>
      </c>
      <c r="G653" s="8" t="s">
        <v>225</v>
      </c>
      <c r="H653" s="8" t="s">
        <v>125</v>
      </c>
      <c r="I653" s="8" t="s">
        <v>114</v>
      </c>
      <c r="J653" s="9" t="s">
        <v>31</v>
      </c>
      <c r="K653" s="9" t="s">
        <v>3180</v>
      </c>
      <c r="L653" s="9" t="s">
        <v>3172</v>
      </c>
      <c r="M653" s="9" t="s">
        <v>3173</v>
      </c>
      <c r="N653" s="9" t="s">
        <v>3158</v>
      </c>
      <c r="O653" s="9" t="s">
        <v>276</v>
      </c>
      <c r="P653" s="9" t="s">
        <v>239</v>
      </c>
      <c r="Q653" s="51" t="s">
        <v>3159</v>
      </c>
      <c r="R653" s="9" t="s">
        <v>276</v>
      </c>
      <c r="S653" s="9" t="s">
        <v>3160</v>
      </c>
      <c r="T653" s="9" t="s">
        <v>3174</v>
      </c>
      <c r="U653" s="9">
        <v>1</v>
      </c>
      <c r="V653" s="8" t="s">
        <v>14</v>
      </c>
      <c r="W653" s="9" t="s">
        <v>3161</v>
      </c>
      <c r="X653" s="9" t="s">
        <v>207</v>
      </c>
      <c r="Y653" s="13">
        <v>59894</v>
      </c>
      <c r="Z653" s="38">
        <v>54707</v>
      </c>
      <c r="AA653" s="9" t="s">
        <v>276</v>
      </c>
      <c r="AB653" s="9" t="s">
        <v>276</v>
      </c>
      <c r="AC653" s="9">
        <v>0</v>
      </c>
      <c r="AD653" s="9" t="s">
        <v>98</v>
      </c>
      <c r="AE653" s="9">
        <v>0</v>
      </c>
      <c r="AF653" s="9" t="s">
        <v>98</v>
      </c>
      <c r="AG653" s="9" t="s">
        <v>3181</v>
      </c>
      <c r="AH653" s="9" t="s">
        <v>866</v>
      </c>
      <c r="AI653" s="38">
        <v>12</v>
      </c>
      <c r="AJ653" s="38">
        <v>7</v>
      </c>
      <c r="AK653" s="38">
        <v>59894</v>
      </c>
      <c r="AL653" s="38">
        <v>54707</v>
      </c>
      <c r="AM653" s="38" t="s">
        <v>2047</v>
      </c>
      <c r="AN653" s="8" t="s">
        <v>276</v>
      </c>
      <c r="AO653" s="14">
        <f t="shared" si="195"/>
        <v>0.20035395866029987</v>
      </c>
      <c r="AP653" s="8" t="s">
        <v>276</v>
      </c>
      <c r="AQ653" s="8" t="s">
        <v>276</v>
      </c>
      <c r="AR653" s="8" t="s">
        <v>276</v>
      </c>
      <c r="AS653" s="14">
        <f t="shared" si="193"/>
        <v>0.12795437512566948</v>
      </c>
      <c r="AT653" s="8" t="s">
        <v>276</v>
      </c>
      <c r="AU653" s="8" t="s">
        <v>276</v>
      </c>
      <c r="AV653" s="8" t="s">
        <v>268</v>
      </c>
      <c r="AW653" s="8" t="s">
        <v>276</v>
      </c>
      <c r="AX653" s="14">
        <f t="shared" si="194"/>
        <v>1.565823430918432</v>
      </c>
      <c r="AY653" s="8" t="s">
        <v>276</v>
      </c>
      <c r="AZ653" s="8" t="s">
        <v>276</v>
      </c>
      <c r="BA653" s="8" t="s">
        <v>276</v>
      </c>
      <c r="BB653" s="8" t="s">
        <v>276</v>
      </c>
      <c r="BC653" s="8" t="s">
        <v>276</v>
      </c>
      <c r="BD653" s="8" t="s">
        <v>276</v>
      </c>
      <c r="BE653" s="8" t="s">
        <v>276</v>
      </c>
      <c r="BF653" s="9" t="s">
        <v>3176</v>
      </c>
      <c r="BG653" s="9"/>
      <c r="BH653" s="9" t="s">
        <v>100</v>
      </c>
      <c r="BI653" s="9" t="s">
        <v>100</v>
      </c>
      <c r="BJ653" s="32"/>
      <c r="BN653" s="32"/>
      <c r="BO653" s="32"/>
    </row>
    <row r="654" spans="1:67" s="33" customFormat="1" ht="65" hidden="1" x14ac:dyDescent="0.35">
      <c r="A654" s="8">
        <v>2644</v>
      </c>
      <c r="B654" s="8" t="s">
        <v>3155</v>
      </c>
      <c r="C654" s="9" t="s">
        <v>3156</v>
      </c>
      <c r="D654" s="9" t="s">
        <v>3182</v>
      </c>
      <c r="E654" s="8" t="s">
        <v>41</v>
      </c>
      <c r="F654" s="9" t="s">
        <v>146</v>
      </c>
      <c r="G654" s="8" t="s">
        <v>225</v>
      </c>
      <c r="H654" s="8" t="s">
        <v>125</v>
      </c>
      <c r="I654" s="8" t="s">
        <v>114</v>
      </c>
      <c r="J654" s="9" t="s">
        <v>31</v>
      </c>
      <c r="K654" s="9" t="s">
        <v>3180</v>
      </c>
      <c r="L654" s="9" t="s">
        <v>3172</v>
      </c>
      <c r="M654" s="9" t="s">
        <v>3173</v>
      </c>
      <c r="N654" s="9" t="s">
        <v>3158</v>
      </c>
      <c r="O654" s="9" t="s">
        <v>276</v>
      </c>
      <c r="P654" s="9" t="s">
        <v>239</v>
      </c>
      <c r="Q654" s="51" t="s">
        <v>3159</v>
      </c>
      <c r="R654" s="9" t="s">
        <v>276</v>
      </c>
      <c r="S654" s="9" t="s">
        <v>3160</v>
      </c>
      <c r="T654" s="9" t="s">
        <v>3174</v>
      </c>
      <c r="U654" s="9">
        <v>1</v>
      </c>
      <c r="V654" s="8" t="s">
        <v>14</v>
      </c>
      <c r="W654" s="9" t="s">
        <v>3161</v>
      </c>
      <c r="X654" s="9" t="s">
        <v>207</v>
      </c>
      <c r="Y654" s="13">
        <v>59894</v>
      </c>
      <c r="Z654" s="38">
        <v>54707</v>
      </c>
      <c r="AA654" s="9" t="s">
        <v>276</v>
      </c>
      <c r="AB654" s="9" t="s">
        <v>276</v>
      </c>
      <c r="AC654" s="9">
        <v>0</v>
      </c>
      <c r="AD654" s="9" t="s">
        <v>98</v>
      </c>
      <c r="AE654" s="9">
        <v>0</v>
      </c>
      <c r="AF654" s="9" t="s">
        <v>98</v>
      </c>
      <c r="AG654" s="9" t="s">
        <v>3181</v>
      </c>
      <c r="AH654" s="9" t="s">
        <v>3178</v>
      </c>
      <c r="AI654" s="38">
        <v>12</v>
      </c>
      <c r="AJ654" s="38">
        <v>7</v>
      </c>
      <c r="AK654" s="38">
        <v>83764</v>
      </c>
      <c r="AL654" s="38">
        <v>78754</v>
      </c>
      <c r="AM654" s="38" t="s">
        <v>425</v>
      </c>
      <c r="AN654" s="8" t="s">
        <v>276</v>
      </c>
      <c r="AO654" s="14">
        <f t="shared" si="195"/>
        <v>0.14325963421040064</v>
      </c>
      <c r="AP654" s="8" t="s">
        <v>276</v>
      </c>
      <c r="AQ654" s="8" t="s">
        <v>276</v>
      </c>
      <c r="AR654" s="8" t="s">
        <v>276</v>
      </c>
      <c r="AS654" s="14">
        <f t="shared" si="193"/>
        <v>8.8884374127028473E-2</v>
      </c>
      <c r="AT654" s="8" t="s">
        <v>276</v>
      </c>
      <c r="AU654" s="8" t="s">
        <v>276</v>
      </c>
      <c r="AV654" s="8" t="s">
        <v>269</v>
      </c>
      <c r="AW654" s="8" t="s">
        <v>276</v>
      </c>
      <c r="AX654" s="14">
        <f t="shared" si="194"/>
        <v>1.6117527475151274</v>
      </c>
      <c r="AY654" s="8" t="s">
        <v>276</v>
      </c>
      <c r="AZ654" s="8" t="s">
        <v>276</v>
      </c>
      <c r="BA654" s="8" t="s">
        <v>276</v>
      </c>
      <c r="BB654" s="8" t="s">
        <v>276</v>
      </c>
      <c r="BC654" s="8" t="s">
        <v>276</v>
      </c>
      <c r="BD654" s="8" t="s">
        <v>276</v>
      </c>
      <c r="BE654" s="8" t="s">
        <v>276</v>
      </c>
      <c r="BF654" s="9" t="s">
        <v>3176</v>
      </c>
      <c r="BG654" s="9"/>
      <c r="BH654" s="9" t="s">
        <v>100</v>
      </c>
      <c r="BI654" s="9" t="s">
        <v>100</v>
      </c>
      <c r="BJ654" s="32"/>
      <c r="BN654" s="32"/>
      <c r="BO654" s="32"/>
    </row>
    <row r="655" spans="1:67" s="79" customFormat="1" ht="65" hidden="1" x14ac:dyDescent="0.35">
      <c r="A655" s="72">
        <v>2644</v>
      </c>
      <c r="B655" s="72" t="s">
        <v>3155</v>
      </c>
      <c r="C655" s="73" t="s">
        <v>3156</v>
      </c>
      <c r="D655" s="73" t="s">
        <v>3183</v>
      </c>
      <c r="E655" s="72" t="s">
        <v>41</v>
      </c>
      <c r="F655" s="73" t="s">
        <v>146</v>
      </c>
      <c r="G655" s="72" t="s">
        <v>225</v>
      </c>
      <c r="H655" s="72" t="s">
        <v>125</v>
      </c>
      <c r="I655" s="72" t="s">
        <v>114</v>
      </c>
      <c r="J655" s="73" t="s">
        <v>31</v>
      </c>
      <c r="K655" s="73" t="s">
        <v>3173</v>
      </c>
      <c r="L655" s="73" t="s">
        <v>3172</v>
      </c>
      <c r="M655" s="73" t="s">
        <v>3173</v>
      </c>
      <c r="N655" s="73" t="s">
        <v>3158</v>
      </c>
      <c r="O655" s="73" t="s">
        <v>276</v>
      </c>
      <c r="P655" s="73" t="s">
        <v>239</v>
      </c>
      <c r="Q655" s="89" t="s">
        <v>3159</v>
      </c>
      <c r="R655" s="73" t="s">
        <v>276</v>
      </c>
      <c r="S655" s="73" t="s">
        <v>3160</v>
      </c>
      <c r="T655" s="73" t="s">
        <v>3174</v>
      </c>
      <c r="U655" s="73">
        <v>1</v>
      </c>
      <c r="V655" s="72" t="s">
        <v>14</v>
      </c>
      <c r="W655" s="73" t="s">
        <v>3161</v>
      </c>
      <c r="X655" s="73" t="s">
        <v>207</v>
      </c>
      <c r="Y655" s="74">
        <v>59894</v>
      </c>
      <c r="Z655" s="75">
        <v>54707</v>
      </c>
      <c r="AA655" s="73" t="s">
        <v>276</v>
      </c>
      <c r="AB655" s="73" t="s">
        <v>276</v>
      </c>
      <c r="AC655" s="73">
        <v>0</v>
      </c>
      <c r="AD655" s="73" t="s">
        <v>98</v>
      </c>
      <c r="AE655" s="73">
        <v>0</v>
      </c>
      <c r="AF655" s="73" t="s">
        <v>98</v>
      </c>
      <c r="AG655" s="73" t="s">
        <v>3184</v>
      </c>
      <c r="AH655" s="73" t="s">
        <v>866</v>
      </c>
      <c r="AI655" s="75">
        <f>23+12</f>
        <v>35</v>
      </c>
      <c r="AJ655" s="75">
        <v>7</v>
      </c>
      <c r="AK655" s="75">
        <v>59894</v>
      </c>
      <c r="AL655" s="75">
        <v>54707</v>
      </c>
      <c r="AM655" s="75" t="s">
        <v>2047</v>
      </c>
      <c r="AN655" s="72" t="s">
        <v>276</v>
      </c>
      <c r="AO655" s="76">
        <f t="shared" si="195"/>
        <v>0.5843657127592079</v>
      </c>
      <c r="AP655" s="72" t="s">
        <v>276</v>
      </c>
      <c r="AQ655" s="72" t="s">
        <v>276</v>
      </c>
      <c r="AR655" s="72" t="s">
        <v>276</v>
      </c>
      <c r="AS655" s="76">
        <f t="shared" si="193"/>
        <v>0.12795437512566948</v>
      </c>
      <c r="AT655" s="72" t="s">
        <v>276</v>
      </c>
      <c r="AU655" s="72" t="s">
        <v>276</v>
      </c>
      <c r="AV655" s="72" t="s">
        <v>268</v>
      </c>
      <c r="AW655" s="72" t="s">
        <v>276</v>
      </c>
      <c r="AX655" s="76">
        <f t="shared" si="194"/>
        <v>4.5669850068454263</v>
      </c>
      <c r="AY655" s="72" t="s">
        <v>276</v>
      </c>
      <c r="AZ655" s="72" t="s">
        <v>276</v>
      </c>
      <c r="BA655" s="72" t="s">
        <v>276</v>
      </c>
      <c r="BB655" s="72" t="s">
        <v>276</v>
      </c>
      <c r="BC655" s="72" t="s">
        <v>276</v>
      </c>
      <c r="BD655" s="72" t="s">
        <v>276</v>
      </c>
      <c r="BE655" s="72" t="s">
        <v>276</v>
      </c>
      <c r="BF655" s="73" t="s">
        <v>3176</v>
      </c>
      <c r="BG655" s="73"/>
      <c r="BH655" s="9" t="s">
        <v>100</v>
      </c>
      <c r="BI655" s="9" t="s">
        <v>100</v>
      </c>
      <c r="BJ655" s="78"/>
      <c r="BN655" s="78"/>
      <c r="BO655" s="78"/>
    </row>
    <row r="656" spans="1:67" s="79" customFormat="1" ht="65" hidden="1" x14ac:dyDescent="0.35">
      <c r="A656" s="72">
        <v>2644</v>
      </c>
      <c r="B656" s="72" t="s">
        <v>3155</v>
      </c>
      <c r="C656" s="73" t="s">
        <v>3156</v>
      </c>
      <c r="D656" s="73" t="s">
        <v>3185</v>
      </c>
      <c r="E656" s="72" t="s">
        <v>41</v>
      </c>
      <c r="F656" s="73" t="s">
        <v>146</v>
      </c>
      <c r="G656" s="72" t="s">
        <v>225</v>
      </c>
      <c r="H656" s="72" t="s">
        <v>125</v>
      </c>
      <c r="I656" s="72" t="s">
        <v>114</v>
      </c>
      <c r="J656" s="73" t="s">
        <v>31</v>
      </c>
      <c r="K656" s="73" t="s">
        <v>3173</v>
      </c>
      <c r="L656" s="73" t="s">
        <v>3172</v>
      </c>
      <c r="M656" s="73" t="s">
        <v>3173</v>
      </c>
      <c r="N656" s="73" t="s">
        <v>3158</v>
      </c>
      <c r="O656" s="73" t="s">
        <v>276</v>
      </c>
      <c r="P656" s="73" t="s">
        <v>239</v>
      </c>
      <c r="Q656" s="89" t="s">
        <v>3159</v>
      </c>
      <c r="R656" s="73" t="s">
        <v>276</v>
      </c>
      <c r="S656" s="73" t="s">
        <v>3160</v>
      </c>
      <c r="T656" s="73" t="s">
        <v>3174</v>
      </c>
      <c r="U656" s="73">
        <v>1</v>
      </c>
      <c r="V656" s="72" t="s">
        <v>14</v>
      </c>
      <c r="W656" s="73" t="s">
        <v>3161</v>
      </c>
      <c r="X656" s="73" t="s">
        <v>207</v>
      </c>
      <c r="Y656" s="74">
        <v>59894</v>
      </c>
      <c r="Z656" s="75">
        <v>54707</v>
      </c>
      <c r="AA656" s="73" t="s">
        <v>276</v>
      </c>
      <c r="AB656" s="73" t="s">
        <v>276</v>
      </c>
      <c r="AC656" s="73">
        <v>0</v>
      </c>
      <c r="AD656" s="73" t="s">
        <v>98</v>
      </c>
      <c r="AE656" s="73">
        <v>0</v>
      </c>
      <c r="AF656" s="73" t="s">
        <v>98</v>
      </c>
      <c r="AG656" s="73" t="s">
        <v>3184</v>
      </c>
      <c r="AH656" s="73" t="s">
        <v>3178</v>
      </c>
      <c r="AI656" s="75">
        <f>23+12</f>
        <v>35</v>
      </c>
      <c r="AJ656" s="75">
        <v>7</v>
      </c>
      <c r="AK656" s="75">
        <v>83764</v>
      </c>
      <c r="AL656" s="75">
        <v>78754</v>
      </c>
      <c r="AM656" s="75" t="s">
        <v>425</v>
      </c>
      <c r="AN656" s="72" t="s">
        <v>276</v>
      </c>
      <c r="AO656" s="76">
        <f t="shared" si="195"/>
        <v>0.41784059978033522</v>
      </c>
      <c r="AP656" s="72" t="s">
        <v>276</v>
      </c>
      <c r="AQ656" s="72" t="s">
        <v>276</v>
      </c>
      <c r="AR656" s="72" t="s">
        <v>276</v>
      </c>
      <c r="AS656" s="76">
        <f t="shared" si="193"/>
        <v>8.8884374127028473E-2</v>
      </c>
      <c r="AT656" s="72" t="s">
        <v>276</v>
      </c>
      <c r="AU656" s="72" t="s">
        <v>276</v>
      </c>
      <c r="AV656" s="72" t="s">
        <v>269</v>
      </c>
      <c r="AW656" s="72" t="s">
        <v>276</v>
      </c>
      <c r="AX656" s="76">
        <f t="shared" si="194"/>
        <v>4.700945513585788</v>
      </c>
      <c r="AY656" s="72" t="s">
        <v>276</v>
      </c>
      <c r="AZ656" s="72" t="s">
        <v>276</v>
      </c>
      <c r="BA656" s="72" t="s">
        <v>276</v>
      </c>
      <c r="BB656" s="72" t="s">
        <v>276</v>
      </c>
      <c r="BC656" s="72" t="s">
        <v>276</v>
      </c>
      <c r="BD656" s="72" t="s">
        <v>276</v>
      </c>
      <c r="BE656" s="72" t="s">
        <v>276</v>
      </c>
      <c r="BF656" s="73" t="s">
        <v>3176</v>
      </c>
      <c r="BG656" s="73"/>
      <c r="BH656" s="9" t="s">
        <v>100</v>
      </c>
      <c r="BI656" s="9" t="s">
        <v>100</v>
      </c>
      <c r="BJ656" s="78"/>
      <c r="BN656" s="78"/>
      <c r="BO656" s="78"/>
    </row>
    <row r="657" spans="1:67" s="33" customFormat="1" ht="65" hidden="1" x14ac:dyDescent="0.35">
      <c r="A657" s="8">
        <v>2644</v>
      </c>
      <c r="B657" s="8" t="s">
        <v>3155</v>
      </c>
      <c r="C657" s="9" t="s">
        <v>3156</v>
      </c>
      <c r="D657" s="9" t="s">
        <v>3186</v>
      </c>
      <c r="E657" s="8" t="s">
        <v>41</v>
      </c>
      <c r="F657" s="9" t="s">
        <v>146</v>
      </c>
      <c r="G657" s="8" t="s">
        <v>225</v>
      </c>
      <c r="H657" s="8" t="s">
        <v>125</v>
      </c>
      <c r="I657" s="8" t="s">
        <v>114</v>
      </c>
      <c r="J657" s="9" t="s">
        <v>31</v>
      </c>
      <c r="K657" s="9" t="s">
        <v>3172</v>
      </c>
      <c r="L657" s="9" t="s">
        <v>3172</v>
      </c>
      <c r="M657" s="9" t="s">
        <v>3173</v>
      </c>
      <c r="N657" s="9" t="s">
        <v>3158</v>
      </c>
      <c r="O657" s="9" t="s">
        <v>276</v>
      </c>
      <c r="P657" s="9" t="s">
        <v>239</v>
      </c>
      <c r="Q657" s="51" t="s">
        <v>3159</v>
      </c>
      <c r="R657" s="9" t="s">
        <v>276</v>
      </c>
      <c r="S657" s="9" t="s">
        <v>3160</v>
      </c>
      <c r="T657" s="9" t="s">
        <v>3174</v>
      </c>
      <c r="U657" s="9">
        <v>1</v>
      </c>
      <c r="V657" s="8" t="s">
        <v>14</v>
      </c>
      <c r="W657" s="9" t="s">
        <v>3161</v>
      </c>
      <c r="X657" s="9" t="s">
        <v>207</v>
      </c>
      <c r="Y657" s="13">
        <v>59894</v>
      </c>
      <c r="Z657" s="38">
        <v>54707</v>
      </c>
      <c r="AA657" s="9" t="s">
        <v>276</v>
      </c>
      <c r="AB657" s="9" t="s">
        <v>276</v>
      </c>
      <c r="AC657" s="9">
        <v>0</v>
      </c>
      <c r="AD657" s="9" t="s">
        <v>98</v>
      </c>
      <c r="AE657" s="9">
        <v>0</v>
      </c>
      <c r="AF657" s="9" t="s">
        <v>98</v>
      </c>
      <c r="AG657" s="9" t="s">
        <v>3187</v>
      </c>
      <c r="AH657" s="9" t="s">
        <v>866</v>
      </c>
      <c r="AI657" s="38">
        <v>12</v>
      </c>
      <c r="AJ657" s="38">
        <v>9</v>
      </c>
      <c r="AK657" s="38">
        <v>59894</v>
      </c>
      <c r="AL657" s="38">
        <v>54707</v>
      </c>
      <c r="AM657" s="38" t="s">
        <v>2047</v>
      </c>
      <c r="AN657" s="8" t="s">
        <v>276</v>
      </c>
      <c r="AO657" s="14">
        <f t="shared" si="195"/>
        <v>0.20035395866029987</v>
      </c>
      <c r="AP657" s="8" t="s">
        <v>276</v>
      </c>
      <c r="AQ657" s="8" t="s">
        <v>276</v>
      </c>
      <c r="AR657" s="8" t="s">
        <v>276</v>
      </c>
      <c r="AS657" s="14">
        <f t="shared" si="193"/>
        <v>0.16451276801871789</v>
      </c>
      <c r="AT657" s="8" t="s">
        <v>276</v>
      </c>
      <c r="AU657" s="8" t="s">
        <v>276</v>
      </c>
      <c r="AV657" s="8" t="s">
        <v>268</v>
      </c>
      <c r="AW657" s="8" t="s">
        <v>276</v>
      </c>
      <c r="AX657" s="14">
        <f t="shared" si="194"/>
        <v>1.2178626684921139</v>
      </c>
      <c r="AY657" s="8" t="s">
        <v>276</v>
      </c>
      <c r="AZ657" s="8" t="s">
        <v>276</v>
      </c>
      <c r="BA657" s="8" t="s">
        <v>276</v>
      </c>
      <c r="BB657" s="8" t="s">
        <v>276</v>
      </c>
      <c r="BC657" s="8" t="s">
        <v>276</v>
      </c>
      <c r="BD657" s="8" t="s">
        <v>276</v>
      </c>
      <c r="BE657" s="8" t="s">
        <v>276</v>
      </c>
      <c r="BF657" s="9" t="s">
        <v>3176</v>
      </c>
      <c r="BG657" s="9"/>
      <c r="BH657" s="9" t="s">
        <v>100</v>
      </c>
      <c r="BI657" s="9" t="s">
        <v>100</v>
      </c>
      <c r="BJ657" s="32"/>
      <c r="BN657" s="32"/>
      <c r="BO657" s="32"/>
    </row>
    <row r="658" spans="1:67" s="33" customFormat="1" ht="65" hidden="1" x14ac:dyDescent="0.35">
      <c r="A658" s="8">
        <v>2644</v>
      </c>
      <c r="B658" s="8" t="s">
        <v>3155</v>
      </c>
      <c r="C658" s="9" t="s">
        <v>3156</v>
      </c>
      <c r="D658" s="9" t="s">
        <v>3188</v>
      </c>
      <c r="E658" s="8" t="s">
        <v>41</v>
      </c>
      <c r="F658" s="9" t="s">
        <v>146</v>
      </c>
      <c r="G658" s="8" t="s">
        <v>225</v>
      </c>
      <c r="H658" s="8" t="s">
        <v>125</v>
      </c>
      <c r="I658" s="8" t="s">
        <v>114</v>
      </c>
      <c r="J658" s="9" t="s">
        <v>31</v>
      </c>
      <c r="K658" s="9" t="s">
        <v>3172</v>
      </c>
      <c r="L658" s="9" t="s">
        <v>3172</v>
      </c>
      <c r="M658" s="9" t="s">
        <v>3173</v>
      </c>
      <c r="N658" s="9" t="s">
        <v>3158</v>
      </c>
      <c r="O658" s="9" t="s">
        <v>276</v>
      </c>
      <c r="P658" s="9" t="s">
        <v>239</v>
      </c>
      <c r="Q658" s="51" t="s">
        <v>3159</v>
      </c>
      <c r="R658" s="9" t="s">
        <v>276</v>
      </c>
      <c r="S658" s="9" t="s">
        <v>3160</v>
      </c>
      <c r="T658" s="9" t="s">
        <v>3174</v>
      </c>
      <c r="U658" s="9">
        <v>1</v>
      </c>
      <c r="V658" s="8" t="s">
        <v>14</v>
      </c>
      <c r="W658" s="9" t="s">
        <v>3161</v>
      </c>
      <c r="X658" s="9" t="s">
        <v>207</v>
      </c>
      <c r="Y658" s="13">
        <v>59894</v>
      </c>
      <c r="Z658" s="38">
        <v>54707</v>
      </c>
      <c r="AA658" s="9" t="s">
        <v>276</v>
      </c>
      <c r="AB658" s="9" t="s">
        <v>276</v>
      </c>
      <c r="AC658" s="9">
        <v>0</v>
      </c>
      <c r="AD658" s="9" t="s">
        <v>98</v>
      </c>
      <c r="AE658" s="9">
        <v>0</v>
      </c>
      <c r="AF658" s="9" t="s">
        <v>98</v>
      </c>
      <c r="AG658" s="9" t="s">
        <v>3187</v>
      </c>
      <c r="AH658" s="9" t="s">
        <v>3178</v>
      </c>
      <c r="AI658" s="38">
        <v>12</v>
      </c>
      <c r="AJ658" s="38">
        <v>9</v>
      </c>
      <c r="AK658" s="38">
        <v>83764</v>
      </c>
      <c r="AL658" s="38">
        <v>78754</v>
      </c>
      <c r="AM658" s="38" t="s">
        <v>425</v>
      </c>
      <c r="AN658" s="8" t="s">
        <v>276</v>
      </c>
      <c r="AO658" s="14">
        <f t="shared" si="195"/>
        <v>0.14325963421040064</v>
      </c>
      <c r="AP658" s="8" t="s">
        <v>276</v>
      </c>
      <c r="AQ658" s="8" t="s">
        <v>276</v>
      </c>
      <c r="AR658" s="8" t="s">
        <v>276</v>
      </c>
      <c r="AS658" s="14">
        <f t="shared" si="193"/>
        <v>0.11427990959189374</v>
      </c>
      <c r="AT658" s="8" t="s">
        <v>276</v>
      </c>
      <c r="AU658" s="8" t="s">
        <v>276</v>
      </c>
      <c r="AV658" s="8" t="s">
        <v>269</v>
      </c>
      <c r="AW658" s="8" t="s">
        <v>276</v>
      </c>
      <c r="AX658" s="14">
        <f t="shared" si="194"/>
        <v>1.2535854702895435</v>
      </c>
      <c r="AY658" s="8" t="s">
        <v>276</v>
      </c>
      <c r="AZ658" s="8" t="s">
        <v>276</v>
      </c>
      <c r="BA658" s="8" t="s">
        <v>276</v>
      </c>
      <c r="BB658" s="8" t="s">
        <v>276</v>
      </c>
      <c r="BC658" s="8" t="s">
        <v>276</v>
      </c>
      <c r="BD658" s="8" t="s">
        <v>276</v>
      </c>
      <c r="BE658" s="8" t="s">
        <v>276</v>
      </c>
      <c r="BF658" s="9" t="s">
        <v>3176</v>
      </c>
      <c r="BG658" s="9"/>
      <c r="BH658" s="9" t="s">
        <v>100</v>
      </c>
      <c r="BI658" s="9" t="s">
        <v>100</v>
      </c>
      <c r="BJ658" s="32"/>
      <c r="BN658" s="32"/>
      <c r="BO658" s="32"/>
    </row>
    <row r="659" spans="1:67" s="33" customFormat="1" ht="104" hidden="1" x14ac:dyDescent="0.35">
      <c r="A659" s="8">
        <v>2644</v>
      </c>
      <c r="B659" s="8" t="s">
        <v>3155</v>
      </c>
      <c r="C659" s="9" t="s">
        <v>3156</v>
      </c>
      <c r="D659" s="9" t="s">
        <v>3189</v>
      </c>
      <c r="E659" s="8" t="s">
        <v>41</v>
      </c>
      <c r="F659" s="9" t="s">
        <v>146</v>
      </c>
      <c r="G659" s="8" t="s">
        <v>225</v>
      </c>
      <c r="H659" s="8" t="s">
        <v>125</v>
      </c>
      <c r="I659" s="8" t="s">
        <v>114</v>
      </c>
      <c r="J659" s="9" t="s">
        <v>31</v>
      </c>
      <c r="K659" s="9" t="s">
        <v>3172</v>
      </c>
      <c r="L659" s="9" t="s">
        <v>3172</v>
      </c>
      <c r="M659" s="9" t="s">
        <v>3173</v>
      </c>
      <c r="N659" s="9" t="s">
        <v>3158</v>
      </c>
      <c r="O659" s="9" t="s">
        <v>276</v>
      </c>
      <c r="P659" s="9" t="s">
        <v>235</v>
      </c>
      <c r="Q659" s="51" t="s">
        <v>3159</v>
      </c>
      <c r="R659" s="9" t="s">
        <v>276</v>
      </c>
      <c r="S659" s="9" t="s">
        <v>3160</v>
      </c>
      <c r="T659" s="9" t="s">
        <v>3174</v>
      </c>
      <c r="U659" s="9">
        <v>1</v>
      </c>
      <c r="V659" s="8" t="s">
        <v>14</v>
      </c>
      <c r="W659" s="9" t="s">
        <v>3161</v>
      </c>
      <c r="X659" s="9" t="s">
        <v>207</v>
      </c>
      <c r="Y659" s="13" t="s">
        <v>98</v>
      </c>
      <c r="Z659" s="38" t="s">
        <v>98</v>
      </c>
      <c r="AA659" s="9" t="s">
        <v>276</v>
      </c>
      <c r="AB659" s="9" t="s">
        <v>276</v>
      </c>
      <c r="AC659" s="9">
        <v>0</v>
      </c>
      <c r="AD659" s="9" t="s">
        <v>98</v>
      </c>
      <c r="AE659" s="9">
        <v>0</v>
      </c>
      <c r="AF659" s="9" t="s">
        <v>98</v>
      </c>
      <c r="AG659" s="9" t="s">
        <v>3187</v>
      </c>
      <c r="AH659" s="9" t="s">
        <v>3190</v>
      </c>
      <c r="AI659" s="38">
        <v>12</v>
      </c>
      <c r="AJ659" s="38">
        <v>9</v>
      </c>
      <c r="AK659" s="38">
        <v>47</v>
      </c>
      <c r="AL659" s="38">
        <v>16</v>
      </c>
      <c r="AM659" s="38" t="s">
        <v>292</v>
      </c>
      <c r="AN659" s="8">
        <f>100-74.5</f>
        <v>25.5</v>
      </c>
      <c r="AO659" s="14">
        <f>AI659*100/AK659</f>
        <v>25.531914893617021</v>
      </c>
      <c r="AP659" s="8" t="s">
        <v>276</v>
      </c>
      <c r="AQ659" s="8" t="s">
        <v>276</v>
      </c>
      <c r="AR659" s="8">
        <f>100-43.8</f>
        <v>56.2</v>
      </c>
      <c r="AS659" s="14">
        <f>AJ659*100/AL659</f>
        <v>56.25</v>
      </c>
      <c r="AT659" s="8" t="s">
        <v>276</v>
      </c>
      <c r="AU659" s="8" t="s">
        <v>276</v>
      </c>
      <c r="AV659" s="8" t="s">
        <v>268</v>
      </c>
      <c r="AW659" s="8" t="s">
        <v>276</v>
      </c>
      <c r="AX659" s="14">
        <f t="shared" si="194"/>
        <v>0.45390070921985815</v>
      </c>
      <c r="AY659" s="8" t="s">
        <v>276</v>
      </c>
      <c r="AZ659" s="8" t="s">
        <v>276</v>
      </c>
      <c r="BA659" s="8" t="s">
        <v>276</v>
      </c>
      <c r="BB659" s="8" t="s">
        <v>276</v>
      </c>
      <c r="BC659" s="8" t="s">
        <v>276</v>
      </c>
      <c r="BD659" s="8" t="s">
        <v>276</v>
      </c>
      <c r="BE659" s="8" t="s">
        <v>276</v>
      </c>
      <c r="BF659" s="9" t="s">
        <v>3191</v>
      </c>
      <c r="BG659" s="9"/>
      <c r="BH659" s="9" t="s">
        <v>100</v>
      </c>
      <c r="BI659" s="9" t="s">
        <v>100</v>
      </c>
      <c r="BJ659" s="32"/>
      <c r="BN659" s="32"/>
      <c r="BO659" s="32"/>
    </row>
    <row r="660" spans="1:67" s="79" customFormat="1" ht="52" hidden="1" x14ac:dyDescent="0.35">
      <c r="A660" s="72">
        <v>2644</v>
      </c>
      <c r="B660" s="72" t="s">
        <v>3155</v>
      </c>
      <c r="C660" s="73" t="s">
        <v>3156</v>
      </c>
      <c r="D660" s="73" t="s">
        <v>3192</v>
      </c>
      <c r="E660" s="72" t="s">
        <v>41</v>
      </c>
      <c r="F660" s="73" t="s">
        <v>146</v>
      </c>
      <c r="G660" s="72" t="s">
        <v>225</v>
      </c>
      <c r="H660" s="72" t="s">
        <v>125</v>
      </c>
      <c r="I660" s="72" t="s">
        <v>114</v>
      </c>
      <c r="J660" s="73" t="s">
        <v>25</v>
      </c>
      <c r="K660" s="73" t="s">
        <v>300</v>
      </c>
      <c r="L660" s="73" t="s">
        <v>3193</v>
      </c>
      <c r="M660" s="73" t="s">
        <v>307</v>
      </c>
      <c r="N660" s="73" t="s">
        <v>3158</v>
      </c>
      <c r="O660" s="73" t="s">
        <v>276</v>
      </c>
      <c r="P660" s="73" t="s">
        <v>239</v>
      </c>
      <c r="Q660" s="89" t="s">
        <v>3159</v>
      </c>
      <c r="R660" s="73" t="s">
        <v>276</v>
      </c>
      <c r="S660" s="73" t="s">
        <v>3160</v>
      </c>
      <c r="T660" s="73" t="s">
        <v>3174</v>
      </c>
      <c r="U660" s="73">
        <v>1</v>
      </c>
      <c r="V660" s="72" t="s">
        <v>14</v>
      </c>
      <c r="W660" s="73" t="s">
        <v>3161</v>
      </c>
      <c r="X660" s="73" t="s">
        <v>207</v>
      </c>
      <c r="Y660" s="74">
        <v>59894</v>
      </c>
      <c r="Z660" s="75">
        <v>54707</v>
      </c>
      <c r="AA660" s="73" t="s">
        <v>276</v>
      </c>
      <c r="AB660" s="73" t="s">
        <v>276</v>
      </c>
      <c r="AC660" s="73">
        <v>0</v>
      </c>
      <c r="AD660" s="73" t="s">
        <v>98</v>
      </c>
      <c r="AE660" s="73">
        <v>0</v>
      </c>
      <c r="AF660" s="73" t="s">
        <v>98</v>
      </c>
      <c r="AG660" s="73" t="s">
        <v>3194</v>
      </c>
      <c r="AH660" s="73" t="s">
        <v>866</v>
      </c>
      <c r="AI660" s="75">
        <v>22</v>
      </c>
      <c r="AJ660" s="75">
        <v>0</v>
      </c>
      <c r="AK660" s="75">
        <v>59894</v>
      </c>
      <c r="AL660" s="75">
        <v>54707</v>
      </c>
      <c r="AM660" s="75" t="s">
        <v>2047</v>
      </c>
      <c r="AN660" s="72" t="s">
        <v>276</v>
      </c>
      <c r="AO660" s="76">
        <f t="shared" si="195"/>
        <v>0.36731559087721644</v>
      </c>
      <c r="AP660" s="72" t="s">
        <v>276</v>
      </c>
      <c r="AQ660" s="72" t="s">
        <v>276</v>
      </c>
      <c r="AR660" s="72" t="s">
        <v>276</v>
      </c>
      <c r="AS660" s="76">
        <f>AJ660*1000/AL660</f>
        <v>0</v>
      </c>
      <c r="AT660" s="72" t="s">
        <v>276</v>
      </c>
      <c r="AU660" s="72" t="s">
        <v>276</v>
      </c>
      <c r="AV660" s="72" t="s">
        <v>268</v>
      </c>
      <c r="AW660" s="72" t="s">
        <v>276</v>
      </c>
      <c r="AX660" s="76" t="e">
        <f t="shared" si="194"/>
        <v>#DIV/0!</v>
      </c>
      <c r="AY660" s="72" t="s">
        <v>276</v>
      </c>
      <c r="AZ660" s="72" t="s">
        <v>276</v>
      </c>
      <c r="BA660" s="72" t="s">
        <v>276</v>
      </c>
      <c r="BB660" s="72" t="s">
        <v>276</v>
      </c>
      <c r="BC660" s="72" t="s">
        <v>276</v>
      </c>
      <c r="BD660" s="72" t="s">
        <v>276</v>
      </c>
      <c r="BE660" s="72" t="s">
        <v>276</v>
      </c>
      <c r="BF660" s="73" t="s">
        <v>1010</v>
      </c>
      <c r="BG660" s="73"/>
      <c r="BH660" s="9" t="s">
        <v>100</v>
      </c>
      <c r="BI660" s="9" t="s">
        <v>100</v>
      </c>
      <c r="BJ660" s="78"/>
      <c r="BN660" s="78"/>
      <c r="BO660" s="78"/>
    </row>
    <row r="661" spans="1:67" s="79" customFormat="1" ht="52" hidden="1" x14ac:dyDescent="0.35">
      <c r="A661" s="72">
        <v>2644</v>
      </c>
      <c r="B661" s="72" t="s">
        <v>3155</v>
      </c>
      <c r="C661" s="73" t="s">
        <v>3156</v>
      </c>
      <c r="D661" s="73" t="s">
        <v>3195</v>
      </c>
      <c r="E661" s="72" t="s">
        <v>41</v>
      </c>
      <c r="F661" s="73" t="s">
        <v>146</v>
      </c>
      <c r="G661" s="72" t="s">
        <v>225</v>
      </c>
      <c r="H661" s="72" t="s">
        <v>125</v>
      </c>
      <c r="I661" s="72" t="s">
        <v>114</v>
      </c>
      <c r="J661" s="73" t="s">
        <v>25</v>
      </c>
      <c r="K661" s="73" t="s">
        <v>300</v>
      </c>
      <c r="L661" s="73" t="s">
        <v>3193</v>
      </c>
      <c r="M661" s="73" t="s">
        <v>307</v>
      </c>
      <c r="N661" s="73" t="s">
        <v>3158</v>
      </c>
      <c r="O661" s="73" t="s">
        <v>276</v>
      </c>
      <c r="P661" s="73" t="s">
        <v>239</v>
      </c>
      <c r="Q661" s="89" t="s">
        <v>3159</v>
      </c>
      <c r="R661" s="73" t="s">
        <v>276</v>
      </c>
      <c r="S661" s="73" t="s">
        <v>3160</v>
      </c>
      <c r="T661" s="73" t="s">
        <v>3174</v>
      </c>
      <c r="U661" s="73">
        <v>1</v>
      </c>
      <c r="V661" s="72" t="s">
        <v>14</v>
      </c>
      <c r="W661" s="73" t="s">
        <v>3161</v>
      </c>
      <c r="X661" s="73" t="s">
        <v>207</v>
      </c>
      <c r="Y661" s="74">
        <v>59894</v>
      </c>
      <c r="Z661" s="75">
        <v>54707</v>
      </c>
      <c r="AA661" s="73" t="s">
        <v>276</v>
      </c>
      <c r="AB661" s="73" t="s">
        <v>276</v>
      </c>
      <c r="AC661" s="73">
        <v>0</v>
      </c>
      <c r="AD661" s="73" t="s">
        <v>98</v>
      </c>
      <c r="AE661" s="73">
        <v>0</v>
      </c>
      <c r="AF661" s="73" t="s">
        <v>98</v>
      </c>
      <c r="AG661" s="73" t="s">
        <v>3194</v>
      </c>
      <c r="AH661" s="73" t="s">
        <v>3178</v>
      </c>
      <c r="AI661" s="75">
        <v>22</v>
      </c>
      <c r="AJ661" s="75">
        <v>0</v>
      </c>
      <c r="AK661" s="75">
        <v>83764</v>
      </c>
      <c r="AL661" s="75">
        <v>78754</v>
      </c>
      <c r="AM661" s="75" t="s">
        <v>425</v>
      </c>
      <c r="AN661" s="72" t="s">
        <v>276</v>
      </c>
      <c r="AO661" s="76">
        <f t="shared" si="195"/>
        <v>0.26264266271906783</v>
      </c>
      <c r="AP661" s="72" t="s">
        <v>276</v>
      </c>
      <c r="AQ661" s="72" t="s">
        <v>276</v>
      </c>
      <c r="AR661" s="72" t="s">
        <v>276</v>
      </c>
      <c r="AS661" s="76">
        <f t="shared" ref="AS661:AS671" si="196">AJ661*1000/AL661</f>
        <v>0</v>
      </c>
      <c r="AT661" s="72" t="s">
        <v>276</v>
      </c>
      <c r="AU661" s="72" t="s">
        <v>276</v>
      </c>
      <c r="AV661" s="72" t="s">
        <v>269</v>
      </c>
      <c r="AW661" s="72" t="s">
        <v>276</v>
      </c>
      <c r="AX661" s="76" t="e">
        <f t="shared" si="194"/>
        <v>#DIV/0!</v>
      </c>
      <c r="AY661" s="72" t="s">
        <v>276</v>
      </c>
      <c r="AZ661" s="72" t="s">
        <v>276</v>
      </c>
      <c r="BA661" s="72" t="s">
        <v>276</v>
      </c>
      <c r="BB661" s="72" t="s">
        <v>276</v>
      </c>
      <c r="BC661" s="72" t="s">
        <v>276</v>
      </c>
      <c r="BD661" s="72" t="s">
        <v>276</v>
      </c>
      <c r="BE661" s="72" t="s">
        <v>276</v>
      </c>
      <c r="BF661" s="73" t="s">
        <v>1010</v>
      </c>
      <c r="BG661" s="73"/>
      <c r="BH661" s="9" t="s">
        <v>100</v>
      </c>
      <c r="BI661" s="9" t="s">
        <v>100</v>
      </c>
      <c r="BJ661" s="78"/>
      <c r="BN661" s="78"/>
      <c r="BO661" s="78"/>
    </row>
    <row r="662" spans="1:67" s="33" customFormat="1" ht="52" hidden="1" x14ac:dyDescent="0.35">
      <c r="A662" s="8">
        <v>2644</v>
      </c>
      <c r="B662" s="8" t="s">
        <v>3155</v>
      </c>
      <c r="C662" s="9" t="s">
        <v>3156</v>
      </c>
      <c r="D662" s="9" t="s">
        <v>3196</v>
      </c>
      <c r="E662" s="8" t="s">
        <v>41</v>
      </c>
      <c r="F662" s="9" t="s">
        <v>146</v>
      </c>
      <c r="G662" s="8" t="s">
        <v>225</v>
      </c>
      <c r="H662" s="8" t="s">
        <v>125</v>
      </c>
      <c r="I662" s="8" t="s">
        <v>114</v>
      </c>
      <c r="J662" s="9" t="s">
        <v>25</v>
      </c>
      <c r="K662" s="9" t="s">
        <v>304</v>
      </c>
      <c r="L662" s="9" t="s">
        <v>3193</v>
      </c>
      <c r="M662" s="9" t="s">
        <v>307</v>
      </c>
      <c r="N662" s="9" t="s">
        <v>3158</v>
      </c>
      <c r="O662" s="9" t="s">
        <v>276</v>
      </c>
      <c r="P662" s="9" t="s">
        <v>239</v>
      </c>
      <c r="Q662" s="51" t="s">
        <v>3159</v>
      </c>
      <c r="R662" s="9" t="s">
        <v>276</v>
      </c>
      <c r="S662" s="9" t="s">
        <v>3160</v>
      </c>
      <c r="T662" s="9" t="s">
        <v>3174</v>
      </c>
      <c r="U662" s="9">
        <v>1</v>
      </c>
      <c r="V662" s="8" t="s">
        <v>14</v>
      </c>
      <c r="W662" s="9" t="s">
        <v>3161</v>
      </c>
      <c r="X662" s="9" t="s">
        <v>207</v>
      </c>
      <c r="Y662" s="13">
        <v>59894</v>
      </c>
      <c r="Z662" s="38">
        <v>54707</v>
      </c>
      <c r="AA662" s="9" t="s">
        <v>276</v>
      </c>
      <c r="AB662" s="9" t="s">
        <v>276</v>
      </c>
      <c r="AC662" s="9">
        <v>0</v>
      </c>
      <c r="AD662" s="9" t="s">
        <v>98</v>
      </c>
      <c r="AE662" s="9">
        <v>0</v>
      </c>
      <c r="AF662" s="9" t="s">
        <v>98</v>
      </c>
      <c r="AG662" s="9" t="s">
        <v>3197</v>
      </c>
      <c r="AH662" s="9" t="s">
        <v>866</v>
      </c>
      <c r="AI662" s="38">
        <v>12</v>
      </c>
      <c r="AJ662" s="38">
        <v>2</v>
      </c>
      <c r="AK662" s="38">
        <v>59894</v>
      </c>
      <c r="AL662" s="38">
        <v>54707</v>
      </c>
      <c r="AM662" s="38" t="s">
        <v>2047</v>
      </c>
      <c r="AN662" s="8" t="s">
        <v>276</v>
      </c>
      <c r="AO662" s="14">
        <f t="shared" si="195"/>
        <v>0.20035395866029987</v>
      </c>
      <c r="AP662" s="8" t="s">
        <v>276</v>
      </c>
      <c r="AQ662" s="8" t="s">
        <v>276</v>
      </c>
      <c r="AR662" s="8" t="s">
        <v>276</v>
      </c>
      <c r="AS662" s="14">
        <f t="shared" si="196"/>
        <v>3.6558392893048422E-2</v>
      </c>
      <c r="AT662" s="8" t="s">
        <v>276</v>
      </c>
      <c r="AU662" s="8" t="s">
        <v>276</v>
      </c>
      <c r="AV662" s="8" t="s">
        <v>268</v>
      </c>
      <c r="AW662" s="8" t="s">
        <v>276</v>
      </c>
      <c r="AX662" s="14">
        <f t="shared" si="194"/>
        <v>5.4803820082145123</v>
      </c>
      <c r="AY662" s="8" t="s">
        <v>276</v>
      </c>
      <c r="AZ662" s="8" t="s">
        <v>276</v>
      </c>
      <c r="BA662" s="8" t="s">
        <v>276</v>
      </c>
      <c r="BB662" s="8" t="s">
        <v>276</v>
      </c>
      <c r="BC662" s="8" t="s">
        <v>276</v>
      </c>
      <c r="BD662" s="8" t="s">
        <v>276</v>
      </c>
      <c r="BE662" s="8" t="s">
        <v>276</v>
      </c>
      <c r="BF662" s="9" t="s">
        <v>1010</v>
      </c>
      <c r="BG662" s="9"/>
      <c r="BH662" s="9" t="s">
        <v>100</v>
      </c>
      <c r="BI662" s="9" t="s">
        <v>100</v>
      </c>
      <c r="BJ662" s="32"/>
      <c r="BN662" s="32"/>
      <c r="BO662" s="32"/>
    </row>
    <row r="663" spans="1:67" s="33" customFormat="1" ht="52" hidden="1" x14ac:dyDescent="0.35">
      <c r="A663" s="8">
        <v>2644</v>
      </c>
      <c r="B663" s="8" t="s">
        <v>3155</v>
      </c>
      <c r="C663" s="9" t="s">
        <v>3156</v>
      </c>
      <c r="D663" s="9" t="s">
        <v>3198</v>
      </c>
      <c r="E663" s="8" t="s">
        <v>41</v>
      </c>
      <c r="F663" s="9" t="s">
        <v>146</v>
      </c>
      <c r="G663" s="8" t="s">
        <v>225</v>
      </c>
      <c r="H663" s="8" t="s">
        <v>125</v>
      </c>
      <c r="I663" s="8" t="s">
        <v>114</v>
      </c>
      <c r="J663" s="9" t="s">
        <v>25</v>
      </c>
      <c r="K663" s="9" t="s">
        <v>304</v>
      </c>
      <c r="L663" s="9" t="s">
        <v>3193</v>
      </c>
      <c r="M663" s="9" t="s">
        <v>307</v>
      </c>
      <c r="N663" s="9" t="s">
        <v>3158</v>
      </c>
      <c r="O663" s="9" t="s">
        <v>276</v>
      </c>
      <c r="P663" s="9" t="s">
        <v>239</v>
      </c>
      <c r="Q663" s="51" t="s">
        <v>3159</v>
      </c>
      <c r="R663" s="9" t="s">
        <v>276</v>
      </c>
      <c r="S663" s="9" t="s">
        <v>3160</v>
      </c>
      <c r="T663" s="9" t="s">
        <v>3174</v>
      </c>
      <c r="U663" s="9">
        <v>1</v>
      </c>
      <c r="V663" s="8" t="s">
        <v>14</v>
      </c>
      <c r="W663" s="9" t="s">
        <v>3161</v>
      </c>
      <c r="X663" s="9" t="s">
        <v>207</v>
      </c>
      <c r="Y663" s="13">
        <v>59894</v>
      </c>
      <c r="Z663" s="38">
        <v>54707</v>
      </c>
      <c r="AA663" s="9" t="s">
        <v>276</v>
      </c>
      <c r="AB663" s="9" t="s">
        <v>276</v>
      </c>
      <c r="AC663" s="9">
        <v>0</v>
      </c>
      <c r="AD663" s="9" t="s">
        <v>98</v>
      </c>
      <c r="AE663" s="9">
        <v>0</v>
      </c>
      <c r="AF663" s="9" t="s">
        <v>98</v>
      </c>
      <c r="AG663" s="9" t="s">
        <v>3197</v>
      </c>
      <c r="AH663" s="9" t="s">
        <v>3178</v>
      </c>
      <c r="AI663" s="38">
        <v>12</v>
      </c>
      <c r="AJ663" s="38">
        <v>2</v>
      </c>
      <c r="AK663" s="38">
        <v>83764</v>
      </c>
      <c r="AL663" s="38">
        <v>78754</v>
      </c>
      <c r="AM663" s="38" t="s">
        <v>425</v>
      </c>
      <c r="AN663" s="8" t="s">
        <v>276</v>
      </c>
      <c r="AO663" s="14">
        <f t="shared" si="195"/>
        <v>0.14325963421040064</v>
      </c>
      <c r="AP663" s="8" t="s">
        <v>276</v>
      </c>
      <c r="AQ663" s="8" t="s">
        <v>276</v>
      </c>
      <c r="AR663" s="8" t="s">
        <v>276</v>
      </c>
      <c r="AS663" s="14">
        <f t="shared" si="196"/>
        <v>2.5395535464865275E-2</v>
      </c>
      <c r="AT663" s="8" t="s">
        <v>276</v>
      </c>
      <c r="AU663" s="8" t="s">
        <v>276</v>
      </c>
      <c r="AV663" s="8" t="s">
        <v>269</v>
      </c>
      <c r="AW663" s="8" t="s">
        <v>276</v>
      </c>
      <c r="AX663" s="14">
        <f t="shared" si="194"/>
        <v>5.6411346163029465</v>
      </c>
      <c r="AY663" s="8" t="s">
        <v>276</v>
      </c>
      <c r="AZ663" s="8" t="s">
        <v>276</v>
      </c>
      <c r="BA663" s="8" t="s">
        <v>276</v>
      </c>
      <c r="BB663" s="8" t="s">
        <v>276</v>
      </c>
      <c r="BC663" s="8" t="s">
        <v>276</v>
      </c>
      <c r="BD663" s="8" t="s">
        <v>276</v>
      </c>
      <c r="BE663" s="8" t="s">
        <v>276</v>
      </c>
      <c r="BF663" s="9" t="s">
        <v>1010</v>
      </c>
      <c r="BG663" s="9"/>
      <c r="BH663" s="9" t="s">
        <v>100</v>
      </c>
      <c r="BI663" s="9" t="s">
        <v>100</v>
      </c>
      <c r="BJ663" s="32"/>
      <c r="BN663" s="32"/>
      <c r="BO663" s="32"/>
    </row>
    <row r="664" spans="1:67" s="79" customFormat="1" ht="65" hidden="1" x14ac:dyDescent="0.35">
      <c r="A664" s="72">
        <v>2644</v>
      </c>
      <c r="B664" s="72" t="s">
        <v>3155</v>
      </c>
      <c r="C664" s="73" t="s">
        <v>3156</v>
      </c>
      <c r="D664" s="73" t="s">
        <v>3199</v>
      </c>
      <c r="E664" s="72" t="s">
        <v>41</v>
      </c>
      <c r="F664" s="73" t="s">
        <v>146</v>
      </c>
      <c r="G664" s="72" t="s">
        <v>225</v>
      </c>
      <c r="H664" s="72" t="s">
        <v>125</v>
      </c>
      <c r="I664" s="72" t="s">
        <v>114</v>
      </c>
      <c r="J664" s="73" t="s">
        <v>25</v>
      </c>
      <c r="K664" s="73" t="s">
        <v>307</v>
      </c>
      <c r="L664" s="73" t="s">
        <v>3193</v>
      </c>
      <c r="M664" s="73" t="s">
        <v>307</v>
      </c>
      <c r="N664" s="73" t="s">
        <v>3158</v>
      </c>
      <c r="O664" s="73" t="s">
        <v>276</v>
      </c>
      <c r="P664" s="73" t="s">
        <v>239</v>
      </c>
      <c r="Q664" s="89" t="s">
        <v>3159</v>
      </c>
      <c r="R664" s="73" t="s">
        <v>276</v>
      </c>
      <c r="S664" s="73" t="s">
        <v>3160</v>
      </c>
      <c r="T664" s="73" t="s">
        <v>3174</v>
      </c>
      <c r="U664" s="73">
        <v>1</v>
      </c>
      <c r="V664" s="72" t="s">
        <v>14</v>
      </c>
      <c r="W664" s="73" t="s">
        <v>3161</v>
      </c>
      <c r="X664" s="73" t="s">
        <v>207</v>
      </c>
      <c r="Y664" s="74">
        <v>59894</v>
      </c>
      <c r="Z664" s="75">
        <v>54707</v>
      </c>
      <c r="AA664" s="73" t="s">
        <v>276</v>
      </c>
      <c r="AB664" s="73" t="s">
        <v>276</v>
      </c>
      <c r="AC664" s="73">
        <v>0</v>
      </c>
      <c r="AD664" s="73" t="s">
        <v>98</v>
      </c>
      <c r="AE664" s="73">
        <v>0</v>
      </c>
      <c r="AF664" s="73" t="s">
        <v>98</v>
      </c>
      <c r="AG664" s="73" t="s">
        <v>3200</v>
      </c>
      <c r="AH664" s="73" t="s">
        <v>866</v>
      </c>
      <c r="AI664" s="75">
        <f>22+12</f>
        <v>34</v>
      </c>
      <c r="AJ664" s="75">
        <v>2</v>
      </c>
      <c r="AK664" s="75">
        <v>59894</v>
      </c>
      <c r="AL664" s="75">
        <v>54707</v>
      </c>
      <c r="AM664" s="75" t="s">
        <v>2047</v>
      </c>
      <c r="AN664" s="72" t="s">
        <v>276</v>
      </c>
      <c r="AO664" s="76">
        <f t="shared" si="195"/>
        <v>0.56766954953751625</v>
      </c>
      <c r="AP664" s="72" t="s">
        <v>276</v>
      </c>
      <c r="AQ664" s="72" t="s">
        <v>276</v>
      </c>
      <c r="AR664" s="72" t="s">
        <v>276</v>
      </c>
      <c r="AS664" s="76">
        <f t="shared" si="196"/>
        <v>3.6558392893048422E-2</v>
      </c>
      <c r="AT664" s="72" t="s">
        <v>276</v>
      </c>
      <c r="AU664" s="72" t="s">
        <v>276</v>
      </c>
      <c r="AV664" s="72" t="s">
        <v>268</v>
      </c>
      <c r="AW664" s="72" t="s">
        <v>276</v>
      </c>
      <c r="AX664" s="76">
        <f t="shared" si="194"/>
        <v>15.527749023274451</v>
      </c>
      <c r="AY664" s="72" t="s">
        <v>276</v>
      </c>
      <c r="AZ664" s="72" t="s">
        <v>276</v>
      </c>
      <c r="BA664" s="72" t="s">
        <v>276</v>
      </c>
      <c r="BB664" s="72" t="s">
        <v>276</v>
      </c>
      <c r="BC664" s="72" t="s">
        <v>276</v>
      </c>
      <c r="BD664" s="72" t="s">
        <v>276</v>
      </c>
      <c r="BE664" s="72" t="s">
        <v>276</v>
      </c>
      <c r="BF664" s="73" t="s">
        <v>1010</v>
      </c>
      <c r="BG664" s="73"/>
      <c r="BH664" s="9" t="s">
        <v>100</v>
      </c>
      <c r="BI664" s="9" t="s">
        <v>100</v>
      </c>
      <c r="BJ664" s="78"/>
      <c r="BN664" s="78"/>
      <c r="BO664" s="78"/>
    </row>
    <row r="665" spans="1:67" s="79" customFormat="1" ht="52" hidden="1" x14ac:dyDescent="0.35">
      <c r="A665" s="72">
        <v>2644</v>
      </c>
      <c r="B665" s="72" t="s">
        <v>3155</v>
      </c>
      <c r="C665" s="73" t="s">
        <v>3156</v>
      </c>
      <c r="D665" s="73" t="s">
        <v>3201</v>
      </c>
      <c r="E665" s="72" t="s">
        <v>41</v>
      </c>
      <c r="F665" s="73" t="s">
        <v>146</v>
      </c>
      <c r="G665" s="72" t="s">
        <v>225</v>
      </c>
      <c r="H665" s="72" t="s">
        <v>125</v>
      </c>
      <c r="I665" s="72" t="s">
        <v>114</v>
      </c>
      <c r="J665" s="73" t="s">
        <v>25</v>
      </c>
      <c r="K665" s="73" t="s">
        <v>307</v>
      </c>
      <c r="L665" s="73" t="s">
        <v>3193</v>
      </c>
      <c r="M665" s="73" t="s">
        <v>307</v>
      </c>
      <c r="N665" s="73" t="s">
        <v>3158</v>
      </c>
      <c r="O665" s="73" t="s">
        <v>276</v>
      </c>
      <c r="P665" s="73" t="s">
        <v>239</v>
      </c>
      <c r="Q665" s="89" t="s">
        <v>3159</v>
      </c>
      <c r="R665" s="73" t="s">
        <v>276</v>
      </c>
      <c r="S665" s="73" t="s">
        <v>3160</v>
      </c>
      <c r="T665" s="73" t="s">
        <v>3174</v>
      </c>
      <c r="U665" s="73">
        <v>1</v>
      </c>
      <c r="V665" s="72" t="s">
        <v>14</v>
      </c>
      <c r="W665" s="73" t="s">
        <v>3161</v>
      </c>
      <c r="X665" s="73" t="s">
        <v>207</v>
      </c>
      <c r="Y665" s="74">
        <v>59894</v>
      </c>
      <c r="Z665" s="75">
        <v>54707</v>
      </c>
      <c r="AA665" s="73" t="s">
        <v>276</v>
      </c>
      <c r="AB665" s="73" t="s">
        <v>276</v>
      </c>
      <c r="AC665" s="73">
        <v>0</v>
      </c>
      <c r="AD665" s="73" t="s">
        <v>98</v>
      </c>
      <c r="AE665" s="73">
        <v>0</v>
      </c>
      <c r="AF665" s="73" t="s">
        <v>98</v>
      </c>
      <c r="AG665" s="73" t="s">
        <v>3200</v>
      </c>
      <c r="AH665" s="73" t="s">
        <v>3178</v>
      </c>
      <c r="AI665" s="75">
        <f>22+12</f>
        <v>34</v>
      </c>
      <c r="AJ665" s="75">
        <v>2</v>
      </c>
      <c r="AK665" s="75">
        <v>83764</v>
      </c>
      <c r="AL665" s="75">
        <v>78754</v>
      </c>
      <c r="AM665" s="75" t="s">
        <v>425</v>
      </c>
      <c r="AN665" s="72" t="s">
        <v>276</v>
      </c>
      <c r="AO665" s="76">
        <f t="shared" si="195"/>
        <v>0.4059022969294685</v>
      </c>
      <c r="AP665" s="72" t="s">
        <v>276</v>
      </c>
      <c r="AQ665" s="72" t="s">
        <v>276</v>
      </c>
      <c r="AR665" s="72" t="s">
        <v>276</v>
      </c>
      <c r="AS665" s="76">
        <f t="shared" si="196"/>
        <v>2.5395535464865275E-2</v>
      </c>
      <c r="AT665" s="72" t="s">
        <v>276</v>
      </c>
      <c r="AU665" s="72" t="s">
        <v>276</v>
      </c>
      <c r="AV665" s="72" t="s">
        <v>269</v>
      </c>
      <c r="AW665" s="72" t="s">
        <v>276</v>
      </c>
      <c r="AX665" s="76">
        <f t="shared" si="194"/>
        <v>15.983214746191683</v>
      </c>
      <c r="AY665" s="72" t="s">
        <v>276</v>
      </c>
      <c r="AZ665" s="72" t="s">
        <v>276</v>
      </c>
      <c r="BA665" s="72" t="s">
        <v>276</v>
      </c>
      <c r="BB665" s="72" t="s">
        <v>276</v>
      </c>
      <c r="BC665" s="72" t="s">
        <v>276</v>
      </c>
      <c r="BD665" s="72" t="s">
        <v>276</v>
      </c>
      <c r="BE665" s="72" t="s">
        <v>276</v>
      </c>
      <c r="BF665" s="73" t="s">
        <v>1010</v>
      </c>
      <c r="BG665" s="73"/>
      <c r="BH665" s="9" t="s">
        <v>100</v>
      </c>
      <c r="BI665" s="9" t="s">
        <v>100</v>
      </c>
      <c r="BJ665" s="78"/>
      <c r="BN665" s="78"/>
      <c r="BO665" s="78"/>
    </row>
    <row r="666" spans="1:67" s="33" customFormat="1" ht="52" hidden="1" x14ac:dyDescent="0.35">
      <c r="A666" s="8">
        <v>2644</v>
      </c>
      <c r="B666" s="8" t="s">
        <v>3155</v>
      </c>
      <c r="C666" s="9" t="s">
        <v>3156</v>
      </c>
      <c r="D666" s="9" t="s">
        <v>3202</v>
      </c>
      <c r="E666" s="8" t="s">
        <v>41</v>
      </c>
      <c r="F666" s="9" t="s">
        <v>146</v>
      </c>
      <c r="G666" s="8" t="s">
        <v>225</v>
      </c>
      <c r="H666" s="8" t="s">
        <v>125</v>
      </c>
      <c r="I666" s="8" t="s">
        <v>114</v>
      </c>
      <c r="J666" s="9" t="s">
        <v>25</v>
      </c>
      <c r="K666" s="9" t="s">
        <v>311</v>
      </c>
      <c r="L666" s="9" t="s">
        <v>3193</v>
      </c>
      <c r="M666" s="9" t="s">
        <v>307</v>
      </c>
      <c r="N666" s="9" t="s">
        <v>3158</v>
      </c>
      <c r="O666" s="9" t="s">
        <v>276</v>
      </c>
      <c r="P666" s="9" t="s">
        <v>239</v>
      </c>
      <c r="Q666" s="51" t="s">
        <v>3159</v>
      </c>
      <c r="R666" s="9" t="s">
        <v>276</v>
      </c>
      <c r="S666" s="9" t="s">
        <v>3160</v>
      </c>
      <c r="T666" s="9" t="s">
        <v>3174</v>
      </c>
      <c r="U666" s="9">
        <v>1</v>
      </c>
      <c r="V666" s="8" t="s">
        <v>14</v>
      </c>
      <c r="W666" s="9" t="s">
        <v>3161</v>
      </c>
      <c r="X666" s="9" t="s">
        <v>207</v>
      </c>
      <c r="Y666" s="13">
        <v>59894</v>
      </c>
      <c r="Z666" s="38">
        <v>54707</v>
      </c>
      <c r="AA666" s="9" t="s">
        <v>276</v>
      </c>
      <c r="AB666" s="9" t="s">
        <v>276</v>
      </c>
      <c r="AC666" s="9">
        <v>0</v>
      </c>
      <c r="AD666" s="9" t="s">
        <v>98</v>
      </c>
      <c r="AE666" s="9">
        <v>0</v>
      </c>
      <c r="AF666" s="9" t="s">
        <v>98</v>
      </c>
      <c r="AG666" s="9" t="s">
        <v>3203</v>
      </c>
      <c r="AH666" s="9" t="s">
        <v>866</v>
      </c>
      <c r="AI666" s="38">
        <v>9</v>
      </c>
      <c r="AJ666" s="38">
        <v>4</v>
      </c>
      <c r="AK666" s="38">
        <v>59894</v>
      </c>
      <c r="AL666" s="38">
        <v>54707</v>
      </c>
      <c r="AM666" s="38" t="s">
        <v>2047</v>
      </c>
      <c r="AN666" s="8" t="s">
        <v>276</v>
      </c>
      <c r="AO666" s="14">
        <f t="shared" si="195"/>
        <v>0.15026546899522489</v>
      </c>
      <c r="AP666" s="8" t="s">
        <v>276</v>
      </c>
      <c r="AQ666" s="8" t="s">
        <v>276</v>
      </c>
      <c r="AR666" s="8" t="s">
        <v>276</v>
      </c>
      <c r="AS666" s="14">
        <f t="shared" si="196"/>
        <v>7.3116785786096844E-2</v>
      </c>
      <c r="AT666" s="8" t="s">
        <v>276</v>
      </c>
      <c r="AU666" s="8" t="s">
        <v>276</v>
      </c>
      <c r="AV666" s="8" t="s">
        <v>268</v>
      </c>
      <c r="AW666" s="8" t="s">
        <v>276</v>
      </c>
      <c r="AX666" s="14">
        <f t="shared" si="194"/>
        <v>2.0551432530804421</v>
      </c>
      <c r="AY666" s="8" t="s">
        <v>276</v>
      </c>
      <c r="AZ666" s="8" t="s">
        <v>276</v>
      </c>
      <c r="BA666" s="8" t="s">
        <v>276</v>
      </c>
      <c r="BB666" s="8" t="s">
        <v>276</v>
      </c>
      <c r="BC666" s="8" t="s">
        <v>276</v>
      </c>
      <c r="BD666" s="8" t="s">
        <v>276</v>
      </c>
      <c r="BE666" s="8" t="s">
        <v>276</v>
      </c>
      <c r="BF666" s="9" t="s">
        <v>1010</v>
      </c>
      <c r="BG666" s="9"/>
      <c r="BH666" s="9" t="s">
        <v>100</v>
      </c>
      <c r="BI666" s="9" t="s">
        <v>100</v>
      </c>
      <c r="BJ666" s="32"/>
      <c r="BN666" s="32"/>
      <c r="BO666" s="32"/>
    </row>
    <row r="667" spans="1:67" s="33" customFormat="1" ht="52" hidden="1" x14ac:dyDescent="0.35">
      <c r="A667" s="8">
        <v>2644</v>
      </c>
      <c r="B667" s="8" t="s">
        <v>3155</v>
      </c>
      <c r="C667" s="9" t="s">
        <v>3156</v>
      </c>
      <c r="D667" s="9" t="s">
        <v>3204</v>
      </c>
      <c r="E667" s="8" t="s">
        <v>41</v>
      </c>
      <c r="F667" s="9" t="s">
        <v>146</v>
      </c>
      <c r="G667" s="8" t="s">
        <v>225</v>
      </c>
      <c r="H667" s="8" t="s">
        <v>125</v>
      </c>
      <c r="I667" s="8" t="s">
        <v>114</v>
      </c>
      <c r="J667" s="9" t="s">
        <v>25</v>
      </c>
      <c r="K667" s="9" t="s">
        <v>311</v>
      </c>
      <c r="L667" s="9" t="s">
        <v>3193</v>
      </c>
      <c r="M667" s="9" t="s">
        <v>307</v>
      </c>
      <c r="N667" s="9" t="s">
        <v>3158</v>
      </c>
      <c r="O667" s="9" t="s">
        <v>276</v>
      </c>
      <c r="P667" s="9" t="s">
        <v>239</v>
      </c>
      <c r="Q667" s="51" t="s">
        <v>3159</v>
      </c>
      <c r="R667" s="9" t="s">
        <v>276</v>
      </c>
      <c r="S667" s="9" t="s">
        <v>3160</v>
      </c>
      <c r="T667" s="9" t="s">
        <v>3174</v>
      </c>
      <c r="U667" s="9">
        <v>1</v>
      </c>
      <c r="V667" s="8" t="s">
        <v>14</v>
      </c>
      <c r="W667" s="9" t="s">
        <v>3161</v>
      </c>
      <c r="X667" s="9" t="s">
        <v>207</v>
      </c>
      <c r="Y667" s="13">
        <v>59894</v>
      </c>
      <c r="Z667" s="38">
        <v>54707</v>
      </c>
      <c r="AA667" s="9" t="s">
        <v>276</v>
      </c>
      <c r="AB667" s="9" t="s">
        <v>276</v>
      </c>
      <c r="AC667" s="9">
        <v>0</v>
      </c>
      <c r="AD667" s="9" t="s">
        <v>98</v>
      </c>
      <c r="AE667" s="9">
        <v>0</v>
      </c>
      <c r="AF667" s="9" t="s">
        <v>98</v>
      </c>
      <c r="AG667" s="9" t="s">
        <v>3203</v>
      </c>
      <c r="AH667" s="9" t="s">
        <v>3178</v>
      </c>
      <c r="AI667" s="38">
        <v>9</v>
      </c>
      <c r="AJ667" s="38">
        <v>4</v>
      </c>
      <c r="AK667" s="38">
        <v>83764</v>
      </c>
      <c r="AL667" s="38">
        <v>78754</v>
      </c>
      <c r="AM667" s="38" t="s">
        <v>425</v>
      </c>
      <c r="AN667" s="8" t="s">
        <v>276</v>
      </c>
      <c r="AO667" s="14">
        <f t="shared" si="195"/>
        <v>0.10744472565780049</v>
      </c>
      <c r="AP667" s="8" t="s">
        <v>276</v>
      </c>
      <c r="AQ667" s="8" t="s">
        <v>276</v>
      </c>
      <c r="AR667" s="8" t="s">
        <v>276</v>
      </c>
      <c r="AS667" s="14">
        <f t="shared" si="196"/>
        <v>5.079107092973055E-2</v>
      </c>
      <c r="AT667" s="8" t="s">
        <v>276</v>
      </c>
      <c r="AU667" s="8" t="s">
        <v>276</v>
      </c>
      <c r="AV667" s="8" t="s">
        <v>269</v>
      </c>
      <c r="AW667" s="8" t="s">
        <v>276</v>
      </c>
      <c r="AX667" s="14">
        <f t="shared" si="194"/>
        <v>2.1154254811136051</v>
      </c>
      <c r="AY667" s="8" t="s">
        <v>276</v>
      </c>
      <c r="AZ667" s="8" t="s">
        <v>276</v>
      </c>
      <c r="BA667" s="8" t="s">
        <v>276</v>
      </c>
      <c r="BB667" s="8" t="s">
        <v>276</v>
      </c>
      <c r="BC667" s="8" t="s">
        <v>276</v>
      </c>
      <c r="BD667" s="8" t="s">
        <v>276</v>
      </c>
      <c r="BE667" s="8" t="s">
        <v>276</v>
      </c>
      <c r="BF667" s="9" t="s">
        <v>1010</v>
      </c>
      <c r="BG667" s="9"/>
      <c r="BH667" s="9" t="s">
        <v>100</v>
      </c>
      <c r="BI667" s="9" t="s">
        <v>100</v>
      </c>
      <c r="BJ667" s="32"/>
      <c r="BN667" s="32"/>
      <c r="BO667" s="32"/>
    </row>
    <row r="668" spans="1:67" s="79" customFormat="1" ht="52" hidden="1" x14ac:dyDescent="0.35">
      <c r="A668" s="72">
        <v>2644</v>
      </c>
      <c r="B668" s="72" t="s">
        <v>3155</v>
      </c>
      <c r="C668" s="73" t="s">
        <v>3156</v>
      </c>
      <c r="D668" s="73" t="s">
        <v>3205</v>
      </c>
      <c r="E668" s="72" t="s">
        <v>41</v>
      </c>
      <c r="F668" s="73" t="s">
        <v>146</v>
      </c>
      <c r="G668" s="72" t="s">
        <v>225</v>
      </c>
      <c r="H668" s="72" t="s">
        <v>125</v>
      </c>
      <c r="I668" s="72" t="s">
        <v>114</v>
      </c>
      <c r="J668" s="73" t="s">
        <v>25</v>
      </c>
      <c r="K668" s="73" t="s">
        <v>314</v>
      </c>
      <c r="L668" s="73" t="s">
        <v>3193</v>
      </c>
      <c r="M668" s="73" t="s">
        <v>307</v>
      </c>
      <c r="N668" s="73" t="s">
        <v>3158</v>
      </c>
      <c r="O668" s="73" t="s">
        <v>276</v>
      </c>
      <c r="P668" s="73" t="s">
        <v>239</v>
      </c>
      <c r="Q668" s="89" t="s">
        <v>3159</v>
      </c>
      <c r="R668" s="73" t="s">
        <v>276</v>
      </c>
      <c r="S668" s="73" t="s">
        <v>3160</v>
      </c>
      <c r="T668" s="73" t="s">
        <v>3174</v>
      </c>
      <c r="U668" s="73">
        <v>1</v>
      </c>
      <c r="V668" s="72" t="s">
        <v>14</v>
      </c>
      <c r="W668" s="73" t="s">
        <v>3161</v>
      </c>
      <c r="X668" s="73" t="s">
        <v>207</v>
      </c>
      <c r="Y668" s="74">
        <v>59894</v>
      </c>
      <c r="Z668" s="75">
        <v>54707</v>
      </c>
      <c r="AA668" s="73" t="s">
        <v>276</v>
      </c>
      <c r="AB668" s="73" t="s">
        <v>276</v>
      </c>
      <c r="AC668" s="73">
        <v>0</v>
      </c>
      <c r="AD668" s="73" t="s">
        <v>98</v>
      </c>
      <c r="AE668" s="73">
        <v>0</v>
      </c>
      <c r="AF668" s="73" t="s">
        <v>98</v>
      </c>
      <c r="AG668" s="73" t="s">
        <v>3206</v>
      </c>
      <c r="AH668" s="73" t="s">
        <v>866</v>
      </c>
      <c r="AI668" s="75">
        <v>4</v>
      </c>
      <c r="AJ668" s="75">
        <v>10</v>
      </c>
      <c r="AK668" s="75">
        <v>59894</v>
      </c>
      <c r="AL668" s="75">
        <v>54707</v>
      </c>
      <c r="AM668" s="75" t="s">
        <v>2047</v>
      </c>
      <c r="AN668" s="72" t="s">
        <v>276</v>
      </c>
      <c r="AO668" s="76">
        <f t="shared" si="195"/>
        <v>6.6784652886766618E-2</v>
      </c>
      <c r="AP668" s="72" t="s">
        <v>276</v>
      </c>
      <c r="AQ668" s="72" t="s">
        <v>276</v>
      </c>
      <c r="AR668" s="72" t="s">
        <v>276</v>
      </c>
      <c r="AS668" s="76">
        <f t="shared" si="196"/>
        <v>0.1827919644652421</v>
      </c>
      <c r="AT668" s="72" t="s">
        <v>276</v>
      </c>
      <c r="AU668" s="72" t="s">
        <v>276</v>
      </c>
      <c r="AV668" s="72" t="s">
        <v>268</v>
      </c>
      <c r="AW668" s="72" t="s">
        <v>276</v>
      </c>
      <c r="AX668" s="76">
        <f t="shared" si="194"/>
        <v>0.36535880054763414</v>
      </c>
      <c r="AY668" s="72" t="s">
        <v>276</v>
      </c>
      <c r="AZ668" s="72" t="s">
        <v>276</v>
      </c>
      <c r="BA668" s="72" t="s">
        <v>276</v>
      </c>
      <c r="BB668" s="72" t="s">
        <v>276</v>
      </c>
      <c r="BC668" s="72" t="s">
        <v>276</v>
      </c>
      <c r="BD668" s="72" t="s">
        <v>276</v>
      </c>
      <c r="BE668" s="72" t="s">
        <v>276</v>
      </c>
      <c r="BF668" s="73" t="s">
        <v>1010</v>
      </c>
      <c r="BG668" s="73"/>
      <c r="BH668" s="9" t="s">
        <v>100</v>
      </c>
      <c r="BI668" s="9" t="s">
        <v>100</v>
      </c>
      <c r="BJ668" s="78"/>
      <c r="BN668" s="78"/>
      <c r="BO668" s="78"/>
    </row>
    <row r="669" spans="1:67" s="79" customFormat="1" ht="52" hidden="1" x14ac:dyDescent="0.35">
      <c r="A669" s="72">
        <v>2644</v>
      </c>
      <c r="B669" s="72" t="s">
        <v>3155</v>
      </c>
      <c r="C669" s="73" t="s">
        <v>3156</v>
      </c>
      <c r="D669" s="73" t="s">
        <v>3207</v>
      </c>
      <c r="E669" s="72" t="s">
        <v>41</v>
      </c>
      <c r="F669" s="73" t="s">
        <v>146</v>
      </c>
      <c r="G669" s="72" t="s">
        <v>225</v>
      </c>
      <c r="H669" s="72" t="s">
        <v>125</v>
      </c>
      <c r="I669" s="72" t="s">
        <v>114</v>
      </c>
      <c r="J669" s="73" t="s">
        <v>25</v>
      </c>
      <c r="K669" s="73" t="s">
        <v>314</v>
      </c>
      <c r="L669" s="73" t="s">
        <v>3193</v>
      </c>
      <c r="M669" s="73" t="s">
        <v>307</v>
      </c>
      <c r="N669" s="73" t="s">
        <v>3158</v>
      </c>
      <c r="O669" s="73" t="s">
        <v>276</v>
      </c>
      <c r="P669" s="73" t="s">
        <v>239</v>
      </c>
      <c r="Q669" s="89" t="s">
        <v>3159</v>
      </c>
      <c r="R669" s="73" t="s">
        <v>276</v>
      </c>
      <c r="S669" s="73" t="s">
        <v>3160</v>
      </c>
      <c r="T669" s="73" t="s">
        <v>3174</v>
      </c>
      <c r="U669" s="73">
        <v>1</v>
      </c>
      <c r="V669" s="72" t="s">
        <v>14</v>
      </c>
      <c r="W669" s="73" t="s">
        <v>3161</v>
      </c>
      <c r="X669" s="73" t="s">
        <v>207</v>
      </c>
      <c r="Y669" s="74">
        <v>59894</v>
      </c>
      <c r="Z669" s="75">
        <v>54707</v>
      </c>
      <c r="AA669" s="73" t="s">
        <v>276</v>
      </c>
      <c r="AB669" s="73" t="s">
        <v>276</v>
      </c>
      <c r="AC669" s="73">
        <v>0</v>
      </c>
      <c r="AD669" s="73" t="s">
        <v>98</v>
      </c>
      <c r="AE669" s="73">
        <v>0</v>
      </c>
      <c r="AF669" s="73" t="s">
        <v>98</v>
      </c>
      <c r="AG669" s="73" t="s">
        <v>3206</v>
      </c>
      <c r="AH669" s="73" t="s">
        <v>3178</v>
      </c>
      <c r="AI669" s="75">
        <v>4</v>
      </c>
      <c r="AJ669" s="75">
        <v>10</v>
      </c>
      <c r="AK669" s="75">
        <v>83764</v>
      </c>
      <c r="AL669" s="75">
        <v>78754</v>
      </c>
      <c r="AM669" s="75" t="s">
        <v>425</v>
      </c>
      <c r="AN669" s="72" t="s">
        <v>276</v>
      </c>
      <c r="AO669" s="76">
        <f t="shared" si="195"/>
        <v>4.7753211403466882E-2</v>
      </c>
      <c r="AP669" s="72" t="s">
        <v>276</v>
      </c>
      <c r="AQ669" s="72" t="s">
        <v>276</v>
      </c>
      <c r="AR669" s="72" t="s">
        <v>276</v>
      </c>
      <c r="AS669" s="76">
        <f t="shared" si="196"/>
        <v>0.12697767732432638</v>
      </c>
      <c r="AT669" s="72" t="s">
        <v>276</v>
      </c>
      <c r="AU669" s="72" t="s">
        <v>276</v>
      </c>
      <c r="AV669" s="72" t="s">
        <v>269</v>
      </c>
      <c r="AW669" s="72" t="s">
        <v>276</v>
      </c>
      <c r="AX669" s="76">
        <f t="shared" si="194"/>
        <v>0.37607564108686309</v>
      </c>
      <c r="AY669" s="72" t="s">
        <v>276</v>
      </c>
      <c r="AZ669" s="72" t="s">
        <v>276</v>
      </c>
      <c r="BA669" s="72" t="s">
        <v>276</v>
      </c>
      <c r="BB669" s="72" t="s">
        <v>276</v>
      </c>
      <c r="BC669" s="72" t="s">
        <v>276</v>
      </c>
      <c r="BD669" s="72" t="s">
        <v>276</v>
      </c>
      <c r="BE669" s="72" t="s">
        <v>276</v>
      </c>
      <c r="BF669" s="73" t="s">
        <v>1010</v>
      </c>
      <c r="BG669" s="73"/>
      <c r="BH669" s="9" t="s">
        <v>100</v>
      </c>
      <c r="BI669" s="9" t="s">
        <v>100</v>
      </c>
      <c r="BJ669" s="78"/>
      <c r="BN669" s="78"/>
      <c r="BO669" s="78"/>
    </row>
    <row r="670" spans="1:67" s="33" customFormat="1" ht="65" hidden="1" x14ac:dyDescent="0.35">
      <c r="A670" s="8">
        <v>2644</v>
      </c>
      <c r="B670" s="8" t="s">
        <v>3155</v>
      </c>
      <c r="C670" s="9" t="s">
        <v>3156</v>
      </c>
      <c r="D670" s="9" t="s">
        <v>3208</v>
      </c>
      <c r="E670" s="8" t="s">
        <v>41</v>
      </c>
      <c r="F670" s="9" t="s">
        <v>146</v>
      </c>
      <c r="G670" s="8" t="s">
        <v>225</v>
      </c>
      <c r="H670" s="8" t="s">
        <v>125</v>
      </c>
      <c r="I670" s="8" t="s">
        <v>114</v>
      </c>
      <c r="J670" s="9" t="s">
        <v>25</v>
      </c>
      <c r="K670" s="9" t="s">
        <v>317</v>
      </c>
      <c r="L670" s="9" t="s">
        <v>3193</v>
      </c>
      <c r="M670" s="9" t="s">
        <v>307</v>
      </c>
      <c r="N670" s="9" t="s">
        <v>3158</v>
      </c>
      <c r="O670" s="9" t="s">
        <v>276</v>
      </c>
      <c r="P670" s="9" t="s">
        <v>239</v>
      </c>
      <c r="Q670" s="51" t="s">
        <v>3159</v>
      </c>
      <c r="R670" s="9" t="s">
        <v>276</v>
      </c>
      <c r="S670" s="9" t="s">
        <v>3160</v>
      </c>
      <c r="T670" s="9" t="s">
        <v>3174</v>
      </c>
      <c r="U670" s="9">
        <v>1</v>
      </c>
      <c r="V670" s="8" t="s">
        <v>14</v>
      </c>
      <c r="W670" s="9" t="s">
        <v>3161</v>
      </c>
      <c r="X670" s="9" t="s">
        <v>207</v>
      </c>
      <c r="Y670" s="13">
        <v>59894</v>
      </c>
      <c r="Z670" s="38">
        <v>54707</v>
      </c>
      <c r="AA670" s="9" t="s">
        <v>276</v>
      </c>
      <c r="AB670" s="9" t="s">
        <v>276</v>
      </c>
      <c r="AC670" s="9">
        <v>0</v>
      </c>
      <c r="AD670" s="9" t="s">
        <v>98</v>
      </c>
      <c r="AE670" s="9">
        <v>0</v>
      </c>
      <c r="AF670" s="9" t="s">
        <v>98</v>
      </c>
      <c r="AG670" s="9" t="s">
        <v>3209</v>
      </c>
      <c r="AH670" s="9" t="s">
        <v>866</v>
      </c>
      <c r="AI670" s="38">
        <f>9+4</f>
        <v>13</v>
      </c>
      <c r="AJ670" s="38">
        <f>4+10</f>
        <v>14</v>
      </c>
      <c r="AK670" s="38">
        <v>59894</v>
      </c>
      <c r="AL670" s="38">
        <v>54707</v>
      </c>
      <c r="AM670" s="38" t="s">
        <v>2047</v>
      </c>
      <c r="AN670" s="8" t="s">
        <v>276</v>
      </c>
      <c r="AO670" s="14">
        <f t="shared" si="195"/>
        <v>0.21705012188199152</v>
      </c>
      <c r="AP670" s="8" t="s">
        <v>276</v>
      </c>
      <c r="AQ670" s="8" t="s">
        <v>276</v>
      </c>
      <c r="AR670" s="8" t="s">
        <v>276</v>
      </c>
      <c r="AS670" s="14">
        <f t="shared" si="196"/>
        <v>0.25590875025133897</v>
      </c>
      <c r="AT670" s="8" t="s">
        <v>276</v>
      </c>
      <c r="AU670" s="8" t="s">
        <v>276</v>
      </c>
      <c r="AV670" s="8" t="s">
        <v>268</v>
      </c>
      <c r="AW670" s="8" t="s">
        <v>276</v>
      </c>
      <c r="AX670" s="14">
        <f t="shared" si="194"/>
        <v>0.84815435841415066</v>
      </c>
      <c r="AY670" s="8" t="s">
        <v>276</v>
      </c>
      <c r="AZ670" s="8" t="s">
        <v>276</v>
      </c>
      <c r="BA670" s="8" t="s">
        <v>276</v>
      </c>
      <c r="BB670" s="8" t="s">
        <v>276</v>
      </c>
      <c r="BC670" s="8" t="s">
        <v>276</v>
      </c>
      <c r="BD670" s="8" t="s">
        <v>276</v>
      </c>
      <c r="BE670" s="8" t="s">
        <v>276</v>
      </c>
      <c r="BF670" s="9" t="s">
        <v>1010</v>
      </c>
      <c r="BG670" s="9"/>
      <c r="BH670" s="9" t="s">
        <v>100</v>
      </c>
      <c r="BI670" s="9" t="s">
        <v>100</v>
      </c>
      <c r="BJ670" s="32"/>
      <c r="BN670" s="32"/>
      <c r="BO670" s="32"/>
    </row>
    <row r="671" spans="1:67" s="33" customFormat="1" ht="52" hidden="1" x14ac:dyDescent="0.35">
      <c r="A671" s="8">
        <v>2644</v>
      </c>
      <c r="B671" s="8" t="s">
        <v>3155</v>
      </c>
      <c r="C671" s="9" t="s">
        <v>3156</v>
      </c>
      <c r="D671" s="9" t="s">
        <v>3210</v>
      </c>
      <c r="E671" s="8" t="s">
        <v>41</v>
      </c>
      <c r="F671" s="9" t="s">
        <v>146</v>
      </c>
      <c r="G671" s="8" t="s">
        <v>225</v>
      </c>
      <c r="H671" s="8" t="s">
        <v>125</v>
      </c>
      <c r="I671" s="8" t="s">
        <v>114</v>
      </c>
      <c r="J671" s="9" t="s">
        <v>25</v>
      </c>
      <c r="K671" s="9" t="s">
        <v>317</v>
      </c>
      <c r="L671" s="9" t="s">
        <v>3193</v>
      </c>
      <c r="M671" s="9" t="s">
        <v>307</v>
      </c>
      <c r="N671" s="9" t="s">
        <v>3158</v>
      </c>
      <c r="O671" s="9" t="s">
        <v>276</v>
      </c>
      <c r="P671" s="9" t="s">
        <v>239</v>
      </c>
      <c r="Q671" s="51" t="s">
        <v>3159</v>
      </c>
      <c r="R671" s="9" t="s">
        <v>276</v>
      </c>
      <c r="S671" s="9" t="s">
        <v>3160</v>
      </c>
      <c r="T671" s="9" t="s">
        <v>3174</v>
      </c>
      <c r="U671" s="9">
        <v>1</v>
      </c>
      <c r="V671" s="8" t="s">
        <v>14</v>
      </c>
      <c r="W671" s="9" t="s">
        <v>3161</v>
      </c>
      <c r="X671" s="9" t="s">
        <v>207</v>
      </c>
      <c r="Y671" s="13">
        <v>59894</v>
      </c>
      <c r="Z671" s="38">
        <v>54707</v>
      </c>
      <c r="AA671" s="9" t="s">
        <v>276</v>
      </c>
      <c r="AB671" s="9" t="s">
        <v>276</v>
      </c>
      <c r="AC671" s="9">
        <v>0</v>
      </c>
      <c r="AD671" s="9" t="s">
        <v>98</v>
      </c>
      <c r="AE671" s="9">
        <v>0</v>
      </c>
      <c r="AF671" s="9" t="s">
        <v>98</v>
      </c>
      <c r="AG671" s="9" t="s">
        <v>3209</v>
      </c>
      <c r="AH671" s="9" t="s">
        <v>3178</v>
      </c>
      <c r="AI671" s="38">
        <f>9+4</f>
        <v>13</v>
      </c>
      <c r="AJ671" s="38">
        <f>4+10</f>
        <v>14</v>
      </c>
      <c r="AK671" s="38">
        <v>83764</v>
      </c>
      <c r="AL671" s="38">
        <v>78754</v>
      </c>
      <c r="AM671" s="38" t="s">
        <v>425</v>
      </c>
      <c r="AN671" s="8" t="s">
        <v>276</v>
      </c>
      <c r="AO671" s="14">
        <f t="shared" si="195"/>
        <v>0.15519793706126736</v>
      </c>
      <c r="AP671" s="8" t="s">
        <v>276</v>
      </c>
      <c r="AQ671" s="8" t="s">
        <v>276</v>
      </c>
      <c r="AR671" s="8" t="s">
        <v>276</v>
      </c>
      <c r="AS671" s="14">
        <f t="shared" si="196"/>
        <v>0.17776874825405695</v>
      </c>
      <c r="AT671" s="8" t="s">
        <v>276</v>
      </c>
      <c r="AU671" s="8" t="s">
        <v>276</v>
      </c>
      <c r="AV671" s="8" t="s">
        <v>269</v>
      </c>
      <c r="AW671" s="8" t="s">
        <v>276</v>
      </c>
      <c r="AX671" s="14">
        <f>AO671/AS671</f>
        <v>0.87303273823736061</v>
      </c>
      <c r="AY671" s="8" t="s">
        <v>276</v>
      </c>
      <c r="AZ671" s="8" t="s">
        <v>276</v>
      </c>
      <c r="BA671" s="8" t="s">
        <v>276</v>
      </c>
      <c r="BB671" s="8" t="s">
        <v>276</v>
      </c>
      <c r="BC671" s="8" t="s">
        <v>276</v>
      </c>
      <c r="BD671" s="8" t="s">
        <v>276</v>
      </c>
      <c r="BE671" s="8" t="s">
        <v>276</v>
      </c>
      <c r="BF671" s="9" t="s">
        <v>1010</v>
      </c>
      <c r="BG671" s="9"/>
      <c r="BH671" s="9" t="s">
        <v>100</v>
      </c>
      <c r="BI671" s="9" t="s">
        <v>100</v>
      </c>
      <c r="BJ671" s="32"/>
      <c r="BN671" s="32"/>
      <c r="BO671" s="32"/>
    </row>
    <row r="672" spans="1:67" s="33" customFormat="1" ht="52" hidden="1" x14ac:dyDescent="0.35">
      <c r="A672" s="8">
        <v>2644</v>
      </c>
      <c r="B672" s="8" t="s">
        <v>3155</v>
      </c>
      <c r="C672" s="9" t="s">
        <v>3156</v>
      </c>
      <c r="D672" s="9" t="s">
        <v>3211</v>
      </c>
      <c r="E672" s="8" t="s">
        <v>41</v>
      </c>
      <c r="F672" s="9" t="s">
        <v>146</v>
      </c>
      <c r="G672" s="8" t="s">
        <v>225</v>
      </c>
      <c r="H672" s="8" t="s">
        <v>125</v>
      </c>
      <c r="I672" s="8" t="s">
        <v>114</v>
      </c>
      <c r="J672" s="9" t="s">
        <v>25</v>
      </c>
      <c r="K672" s="9" t="s">
        <v>317</v>
      </c>
      <c r="L672" s="9" t="s">
        <v>3193</v>
      </c>
      <c r="M672" s="9" t="s">
        <v>307</v>
      </c>
      <c r="N672" s="9" t="s">
        <v>3158</v>
      </c>
      <c r="O672" s="9" t="s">
        <v>276</v>
      </c>
      <c r="P672" s="9" t="s">
        <v>235</v>
      </c>
      <c r="Q672" s="51" t="s">
        <v>3159</v>
      </c>
      <c r="R672" s="9" t="s">
        <v>276</v>
      </c>
      <c r="S672" s="9" t="s">
        <v>3160</v>
      </c>
      <c r="T672" s="9" t="s">
        <v>3174</v>
      </c>
      <c r="U672" s="9">
        <v>1</v>
      </c>
      <c r="V672" s="8" t="s">
        <v>14</v>
      </c>
      <c r="W672" s="9" t="s">
        <v>3161</v>
      </c>
      <c r="X672" s="9" t="s">
        <v>207</v>
      </c>
      <c r="Y672" s="13" t="s">
        <v>98</v>
      </c>
      <c r="Z672" s="38" t="s">
        <v>98</v>
      </c>
      <c r="AA672" s="9" t="s">
        <v>276</v>
      </c>
      <c r="AB672" s="9" t="s">
        <v>276</v>
      </c>
      <c r="AC672" s="9">
        <v>0</v>
      </c>
      <c r="AD672" s="9" t="s">
        <v>98</v>
      </c>
      <c r="AE672" s="9">
        <v>0</v>
      </c>
      <c r="AF672" s="9" t="s">
        <v>98</v>
      </c>
      <c r="AG672" s="9" t="s">
        <v>3209</v>
      </c>
      <c r="AH672" s="9" t="s">
        <v>3190</v>
      </c>
      <c r="AI672" s="38">
        <f>9+4</f>
        <v>13</v>
      </c>
      <c r="AJ672" s="38">
        <f>4+10</f>
        <v>14</v>
      </c>
      <c r="AK672" s="38">
        <v>47</v>
      </c>
      <c r="AL672" s="38">
        <v>16</v>
      </c>
      <c r="AM672" s="38" t="s">
        <v>292</v>
      </c>
      <c r="AN672" s="8">
        <f>100-72.3</f>
        <v>27.700000000000003</v>
      </c>
      <c r="AO672" s="14">
        <f>AI672*100/AK672</f>
        <v>27.659574468085108</v>
      </c>
      <c r="AP672" s="8" t="s">
        <v>276</v>
      </c>
      <c r="AQ672" s="8" t="s">
        <v>276</v>
      </c>
      <c r="AR672" s="8">
        <f>100-12.5</f>
        <v>87.5</v>
      </c>
      <c r="AS672" s="14">
        <f>AJ672*100/AL672</f>
        <v>87.5</v>
      </c>
      <c r="AT672" s="8" t="s">
        <v>276</v>
      </c>
      <c r="AU672" s="8" t="s">
        <v>276</v>
      </c>
      <c r="AV672" s="8" t="s">
        <v>268</v>
      </c>
      <c r="AW672" s="8" t="s">
        <v>276</v>
      </c>
      <c r="AX672" s="14">
        <f>AO672/AS672</f>
        <v>0.3161094224924012</v>
      </c>
      <c r="AY672" s="8" t="s">
        <v>276</v>
      </c>
      <c r="AZ672" s="8" t="s">
        <v>276</v>
      </c>
      <c r="BA672" s="8" t="s">
        <v>276</v>
      </c>
      <c r="BB672" s="8" t="s">
        <v>276</v>
      </c>
      <c r="BC672" s="8" t="s">
        <v>276</v>
      </c>
      <c r="BD672" s="8" t="s">
        <v>276</v>
      </c>
      <c r="BE672" s="8" t="s">
        <v>276</v>
      </c>
      <c r="BF672" s="9" t="s">
        <v>3212</v>
      </c>
      <c r="BG672" s="9"/>
      <c r="BH672" s="9" t="s">
        <v>100</v>
      </c>
      <c r="BI672" s="9" t="s">
        <v>100</v>
      </c>
      <c r="BJ672" s="32"/>
      <c r="BN672" s="32"/>
      <c r="BO672" s="32"/>
    </row>
    <row r="673" spans="1:67" s="79" customFormat="1" ht="65" hidden="1" x14ac:dyDescent="0.35">
      <c r="A673" s="72">
        <v>2644</v>
      </c>
      <c r="B673" s="72" t="s">
        <v>3155</v>
      </c>
      <c r="C673" s="73" t="s">
        <v>3156</v>
      </c>
      <c r="D673" s="73" t="s">
        <v>3213</v>
      </c>
      <c r="E673" s="72" t="s">
        <v>41</v>
      </c>
      <c r="F673" s="73" t="s">
        <v>146</v>
      </c>
      <c r="G673" s="72" t="s">
        <v>225</v>
      </c>
      <c r="H673" s="72" t="s">
        <v>125</v>
      </c>
      <c r="I673" s="72" t="s">
        <v>114</v>
      </c>
      <c r="J673" s="73" t="s">
        <v>117</v>
      </c>
      <c r="K673" s="73" t="s">
        <v>3214</v>
      </c>
      <c r="L673" s="73" t="s">
        <v>3193</v>
      </c>
      <c r="M673" s="73" t="s">
        <v>307</v>
      </c>
      <c r="N673" s="73" t="s">
        <v>3158</v>
      </c>
      <c r="O673" s="73" t="s">
        <v>276</v>
      </c>
      <c r="P673" s="73" t="s">
        <v>239</v>
      </c>
      <c r="Q673" s="89" t="s">
        <v>3159</v>
      </c>
      <c r="R673" s="73" t="s">
        <v>276</v>
      </c>
      <c r="S673" s="73" t="s">
        <v>3160</v>
      </c>
      <c r="T673" s="73" t="s">
        <v>3174</v>
      </c>
      <c r="U673" s="73">
        <v>1</v>
      </c>
      <c r="V673" s="72" t="s">
        <v>14</v>
      </c>
      <c r="W673" s="73" t="s">
        <v>3161</v>
      </c>
      <c r="X673" s="73" t="s">
        <v>207</v>
      </c>
      <c r="Y673" s="74">
        <v>59894</v>
      </c>
      <c r="Z673" s="75">
        <v>54707</v>
      </c>
      <c r="AA673" s="73" t="s">
        <v>276</v>
      </c>
      <c r="AB673" s="73" t="s">
        <v>276</v>
      </c>
      <c r="AC673" s="73">
        <v>0</v>
      </c>
      <c r="AD673" s="73" t="s">
        <v>98</v>
      </c>
      <c r="AE673" s="73">
        <v>0</v>
      </c>
      <c r="AF673" s="73" t="s">
        <v>98</v>
      </c>
      <c r="AG673" s="73" t="s">
        <v>3215</v>
      </c>
      <c r="AH673" s="73" t="s">
        <v>866</v>
      </c>
      <c r="AI673" s="75">
        <v>36</v>
      </c>
      <c r="AJ673" s="75">
        <v>4</v>
      </c>
      <c r="AK673" s="75">
        <v>59894</v>
      </c>
      <c r="AL673" s="75">
        <v>54707</v>
      </c>
      <c r="AM673" s="75" t="s">
        <v>2047</v>
      </c>
      <c r="AN673" s="72" t="s">
        <v>276</v>
      </c>
      <c r="AO673" s="76">
        <f t="shared" ref="AO673:AO674" si="197">AI673*1000/AK673</f>
        <v>0.60106187598089955</v>
      </c>
      <c r="AP673" s="72" t="s">
        <v>276</v>
      </c>
      <c r="AQ673" s="72" t="s">
        <v>276</v>
      </c>
      <c r="AR673" s="72" t="s">
        <v>276</v>
      </c>
      <c r="AS673" s="76">
        <f t="shared" ref="AS673:AS674" si="198">AJ673*1000/AL673</f>
        <v>7.3116785786096844E-2</v>
      </c>
      <c r="AT673" s="72" t="s">
        <v>276</v>
      </c>
      <c r="AU673" s="72" t="s">
        <v>276</v>
      </c>
      <c r="AV673" s="72" t="s">
        <v>268</v>
      </c>
      <c r="AW673" s="72" t="s">
        <v>276</v>
      </c>
      <c r="AX673" s="76">
        <f t="shared" ref="AX673:AX674" si="199">AO673/AS673</f>
        <v>8.2205730123217684</v>
      </c>
      <c r="AY673" s="72" t="s">
        <v>276</v>
      </c>
      <c r="AZ673" s="72" t="s">
        <v>276</v>
      </c>
      <c r="BA673" s="72" t="s">
        <v>276</v>
      </c>
      <c r="BB673" s="72" t="s">
        <v>276</v>
      </c>
      <c r="BC673" s="72" t="s">
        <v>276</v>
      </c>
      <c r="BD673" s="72" t="s">
        <v>276</v>
      </c>
      <c r="BE673" s="72" t="s">
        <v>276</v>
      </c>
      <c r="BF673" s="73" t="s">
        <v>3216</v>
      </c>
      <c r="BG673" s="73"/>
      <c r="BH673" s="9" t="s">
        <v>100</v>
      </c>
      <c r="BI673" s="9" t="s">
        <v>100</v>
      </c>
      <c r="BJ673" s="78"/>
      <c r="BN673" s="78"/>
      <c r="BO673" s="78"/>
    </row>
    <row r="674" spans="1:67" s="79" customFormat="1" ht="65" hidden="1" x14ac:dyDescent="0.35">
      <c r="A674" s="72">
        <v>2644</v>
      </c>
      <c r="B674" s="72" t="s">
        <v>3155</v>
      </c>
      <c r="C674" s="73" t="s">
        <v>3156</v>
      </c>
      <c r="D674" s="73" t="s">
        <v>3217</v>
      </c>
      <c r="E674" s="72" t="s">
        <v>41</v>
      </c>
      <c r="F674" s="73" t="s">
        <v>146</v>
      </c>
      <c r="G674" s="72" t="s">
        <v>225</v>
      </c>
      <c r="H674" s="72" t="s">
        <v>125</v>
      </c>
      <c r="I674" s="72" t="s">
        <v>114</v>
      </c>
      <c r="J674" s="73" t="s">
        <v>117</v>
      </c>
      <c r="K674" s="73" t="s">
        <v>3214</v>
      </c>
      <c r="L674" s="73" t="s">
        <v>3193</v>
      </c>
      <c r="M674" s="73" t="s">
        <v>307</v>
      </c>
      <c r="N674" s="73" t="s">
        <v>3158</v>
      </c>
      <c r="O674" s="73" t="s">
        <v>276</v>
      </c>
      <c r="P674" s="73" t="s">
        <v>239</v>
      </c>
      <c r="Q674" s="89" t="s">
        <v>3159</v>
      </c>
      <c r="R674" s="73" t="s">
        <v>276</v>
      </c>
      <c r="S674" s="73" t="s">
        <v>3160</v>
      </c>
      <c r="T674" s="73" t="s">
        <v>3174</v>
      </c>
      <c r="U674" s="73">
        <v>1</v>
      </c>
      <c r="V674" s="72" t="s">
        <v>14</v>
      </c>
      <c r="W674" s="73" t="s">
        <v>3161</v>
      </c>
      <c r="X674" s="73" t="s">
        <v>207</v>
      </c>
      <c r="Y674" s="74">
        <v>59894</v>
      </c>
      <c r="Z674" s="75">
        <v>54707</v>
      </c>
      <c r="AA674" s="73" t="s">
        <v>276</v>
      </c>
      <c r="AB674" s="73" t="s">
        <v>276</v>
      </c>
      <c r="AC674" s="73">
        <v>0</v>
      </c>
      <c r="AD674" s="73" t="s">
        <v>98</v>
      </c>
      <c r="AE674" s="73">
        <v>0</v>
      </c>
      <c r="AF674" s="73" t="s">
        <v>98</v>
      </c>
      <c r="AG674" s="73" t="s">
        <v>3215</v>
      </c>
      <c r="AH674" s="73" t="s">
        <v>3178</v>
      </c>
      <c r="AI674" s="75">
        <v>36</v>
      </c>
      <c r="AJ674" s="75">
        <v>4</v>
      </c>
      <c r="AK674" s="75">
        <v>83764</v>
      </c>
      <c r="AL674" s="75">
        <v>78754</v>
      </c>
      <c r="AM674" s="75" t="s">
        <v>425</v>
      </c>
      <c r="AN674" s="72" t="s">
        <v>276</v>
      </c>
      <c r="AO674" s="76">
        <f t="shared" si="197"/>
        <v>0.42977890263120194</v>
      </c>
      <c r="AP674" s="72" t="s">
        <v>276</v>
      </c>
      <c r="AQ674" s="72" t="s">
        <v>276</v>
      </c>
      <c r="AR674" s="72" t="s">
        <v>276</v>
      </c>
      <c r="AS674" s="76">
        <f t="shared" si="198"/>
        <v>5.079107092973055E-2</v>
      </c>
      <c r="AT674" s="72" t="s">
        <v>276</v>
      </c>
      <c r="AU674" s="72" t="s">
        <v>276</v>
      </c>
      <c r="AV674" s="72" t="s">
        <v>269</v>
      </c>
      <c r="AW674" s="72" t="s">
        <v>276</v>
      </c>
      <c r="AX674" s="76">
        <f t="shared" si="199"/>
        <v>8.4617019244544203</v>
      </c>
      <c r="AY674" s="72" t="s">
        <v>276</v>
      </c>
      <c r="AZ674" s="72" t="s">
        <v>276</v>
      </c>
      <c r="BA674" s="72" t="s">
        <v>276</v>
      </c>
      <c r="BB674" s="72" t="s">
        <v>276</v>
      </c>
      <c r="BC674" s="72" t="s">
        <v>276</v>
      </c>
      <c r="BD674" s="72" t="s">
        <v>276</v>
      </c>
      <c r="BE674" s="72" t="s">
        <v>276</v>
      </c>
      <c r="BF674" s="73" t="s">
        <v>3216</v>
      </c>
      <c r="BG674" s="73"/>
      <c r="BH674" s="9" t="s">
        <v>100</v>
      </c>
      <c r="BI674" s="9" t="s">
        <v>100</v>
      </c>
      <c r="BJ674" s="78"/>
      <c r="BN674" s="78"/>
      <c r="BO674" s="78"/>
    </row>
    <row r="675" spans="1:67" s="110" customFormat="1" ht="52" hidden="1" x14ac:dyDescent="0.35">
      <c r="A675" s="94">
        <v>2646</v>
      </c>
      <c r="B675" s="94" t="s">
        <v>3218</v>
      </c>
      <c r="C675" s="95" t="s">
        <v>3156</v>
      </c>
      <c r="D675" s="95" t="s">
        <v>3219</v>
      </c>
      <c r="E675" s="94" t="s">
        <v>41</v>
      </c>
      <c r="F675" s="95" t="s">
        <v>146</v>
      </c>
      <c r="G675" s="94" t="s">
        <v>225</v>
      </c>
      <c r="H675" s="94" t="s">
        <v>225</v>
      </c>
      <c r="I675" s="94" t="s">
        <v>114</v>
      </c>
      <c r="J675" s="95" t="s">
        <v>98</v>
      </c>
      <c r="K675" s="95" t="s">
        <v>98</v>
      </c>
      <c r="L675" s="95" t="s">
        <v>98</v>
      </c>
      <c r="M675" s="95" t="s">
        <v>98</v>
      </c>
      <c r="N675" s="95" t="s">
        <v>3158</v>
      </c>
      <c r="O675" s="95" t="s">
        <v>276</v>
      </c>
      <c r="P675" s="95" t="s">
        <v>238</v>
      </c>
      <c r="Q675" s="163" t="s">
        <v>3220</v>
      </c>
      <c r="R675" s="95" t="s">
        <v>3221</v>
      </c>
      <c r="S675" s="95" t="s">
        <v>3222</v>
      </c>
      <c r="T675" s="95" t="s">
        <v>98</v>
      </c>
      <c r="U675" s="95">
        <v>2</v>
      </c>
      <c r="V675" s="94" t="s">
        <v>14</v>
      </c>
      <c r="W675" s="94" t="s">
        <v>3223</v>
      </c>
      <c r="X675" s="95" t="s">
        <v>209</v>
      </c>
      <c r="Y675" s="98">
        <v>78969</v>
      </c>
      <c r="Z675" s="95" t="s">
        <v>98</v>
      </c>
      <c r="AA675" s="95" t="s">
        <v>276</v>
      </c>
      <c r="AB675" s="95" t="s">
        <v>98</v>
      </c>
      <c r="AC675" s="94" t="s">
        <v>276</v>
      </c>
      <c r="AD675" s="94" t="s">
        <v>276</v>
      </c>
      <c r="AE675" s="94" t="s">
        <v>98</v>
      </c>
      <c r="AF675" s="94" t="s">
        <v>98</v>
      </c>
      <c r="AG675" s="95" t="s">
        <v>3224</v>
      </c>
      <c r="AH675" s="95" t="s">
        <v>866</v>
      </c>
      <c r="AI675" s="99">
        <v>100</v>
      </c>
      <c r="AJ675" s="99" t="s">
        <v>98</v>
      </c>
      <c r="AK675" s="98">
        <v>78969</v>
      </c>
      <c r="AL675" s="99" t="s">
        <v>98</v>
      </c>
      <c r="AM675" s="99" t="s">
        <v>2047</v>
      </c>
      <c r="AN675" s="94" t="s">
        <v>276</v>
      </c>
      <c r="AO675" s="102">
        <f>AI675*1000/AK675</f>
        <v>1.2663196950702174</v>
      </c>
      <c r="AP675" s="94" t="s">
        <v>276</v>
      </c>
      <c r="AQ675" s="94" t="s">
        <v>276</v>
      </c>
      <c r="AR675" s="94" t="s">
        <v>98</v>
      </c>
      <c r="AS675" s="94" t="s">
        <v>98</v>
      </c>
      <c r="AT675" s="94" t="s">
        <v>98</v>
      </c>
      <c r="AU675" s="94" t="s">
        <v>98</v>
      </c>
      <c r="AV675" s="94" t="s">
        <v>98</v>
      </c>
      <c r="AW675" s="94" t="s">
        <v>98</v>
      </c>
      <c r="AX675" s="94" t="s">
        <v>98</v>
      </c>
      <c r="AY675" s="94" t="s">
        <v>98</v>
      </c>
      <c r="AZ675" s="94" t="s">
        <v>98</v>
      </c>
      <c r="BA675" s="94" t="s">
        <v>98</v>
      </c>
      <c r="BB675" s="94" t="s">
        <v>98</v>
      </c>
      <c r="BC675" s="94" t="s">
        <v>98</v>
      </c>
      <c r="BD675" s="94" t="s">
        <v>98</v>
      </c>
      <c r="BE675" s="94" t="s">
        <v>98</v>
      </c>
      <c r="BF675" s="95" t="s">
        <v>3225</v>
      </c>
      <c r="BG675" s="95"/>
      <c r="BH675" s="9" t="s">
        <v>100</v>
      </c>
      <c r="BI675" s="9" t="s">
        <v>100</v>
      </c>
      <c r="BJ675" s="109"/>
      <c r="BN675" s="109"/>
      <c r="BO675" s="109"/>
    </row>
    <row r="676" spans="1:67" s="110" customFormat="1" ht="65" hidden="1" x14ac:dyDescent="0.35">
      <c r="A676" s="94">
        <v>2646</v>
      </c>
      <c r="B676" s="94" t="s">
        <v>3218</v>
      </c>
      <c r="C676" s="95" t="s">
        <v>3156</v>
      </c>
      <c r="D676" s="95" t="s">
        <v>3226</v>
      </c>
      <c r="E676" s="94" t="s">
        <v>41</v>
      </c>
      <c r="F676" s="95" t="s">
        <v>146</v>
      </c>
      <c r="G676" s="94" t="s">
        <v>225</v>
      </c>
      <c r="H676" s="94" t="s">
        <v>225</v>
      </c>
      <c r="I676" s="94" t="s">
        <v>114</v>
      </c>
      <c r="J676" s="95" t="s">
        <v>98</v>
      </c>
      <c r="K676" s="95" t="s">
        <v>98</v>
      </c>
      <c r="L676" s="95" t="s">
        <v>98</v>
      </c>
      <c r="M676" s="95" t="s">
        <v>98</v>
      </c>
      <c r="N676" s="95" t="s">
        <v>3158</v>
      </c>
      <c r="O676" s="95" t="s">
        <v>276</v>
      </c>
      <c r="P676" s="95" t="s">
        <v>238</v>
      </c>
      <c r="Q676" s="163" t="s">
        <v>3220</v>
      </c>
      <c r="R676" s="95" t="s">
        <v>3221</v>
      </c>
      <c r="S676" s="95" t="s">
        <v>3222</v>
      </c>
      <c r="T676" s="95" t="s">
        <v>98</v>
      </c>
      <c r="U676" s="95">
        <v>2</v>
      </c>
      <c r="V676" s="94" t="s">
        <v>14</v>
      </c>
      <c r="W676" s="94" t="s">
        <v>3223</v>
      </c>
      <c r="X676" s="95" t="s">
        <v>209</v>
      </c>
      <c r="Y676" s="98">
        <v>78969</v>
      </c>
      <c r="Z676" s="95" t="s">
        <v>98</v>
      </c>
      <c r="AA676" s="95" t="s">
        <v>276</v>
      </c>
      <c r="AB676" s="95" t="s">
        <v>98</v>
      </c>
      <c r="AC676" s="94" t="s">
        <v>276</v>
      </c>
      <c r="AD676" s="94" t="s">
        <v>276</v>
      </c>
      <c r="AE676" s="94" t="s">
        <v>98</v>
      </c>
      <c r="AF676" s="94" t="s">
        <v>98</v>
      </c>
      <c r="AG676" s="95" t="s">
        <v>3227</v>
      </c>
      <c r="AH676" s="95" t="s">
        <v>866</v>
      </c>
      <c r="AI676" s="99">
        <v>1887</v>
      </c>
      <c r="AJ676" s="99" t="s">
        <v>98</v>
      </c>
      <c r="AK676" s="98">
        <v>78969</v>
      </c>
      <c r="AL676" s="99" t="s">
        <v>98</v>
      </c>
      <c r="AM676" s="99" t="s">
        <v>2047</v>
      </c>
      <c r="AN676" s="94" t="s">
        <v>276</v>
      </c>
      <c r="AO676" s="102">
        <f>AI676*1000/AK676</f>
        <v>23.895452645975002</v>
      </c>
      <c r="AP676" s="94" t="s">
        <v>276</v>
      </c>
      <c r="AQ676" s="94" t="s">
        <v>276</v>
      </c>
      <c r="AR676" s="94" t="s">
        <v>98</v>
      </c>
      <c r="AS676" s="94" t="s">
        <v>98</v>
      </c>
      <c r="AT676" s="94" t="s">
        <v>98</v>
      </c>
      <c r="AU676" s="94" t="s">
        <v>98</v>
      </c>
      <c r="AV676" s="94" t="s">
        <v>98</v>
      </c>
      <c r="AW676" s="94" t="s">
        <v>98</v>
      </c>
      <c r="AX676" s="94" t="s">
        <v>98</v>
      </c>
      <c r="AY676" s="94" t="s">
        <v>98</v>
      </c>
      <c r="AZ676" s="94" t="s">
        <v>98</v>
      </c>
      <c r="BA676" s="94" t="s">
        <v>98</v>
      </c>
      <c r="BB676" s="94" t="s">
        <v>98</v>
      </c>
      <c r="BC676" s="94" t="s">
        <v>98</v>
      </c>
      <c r="BD676" s="94" t="s">
        <v>98</v>
      </c>
      <c r="BE676" s="94" t="s">
        <v>98</v>
      </c>
      <c r="BF676" s="95" t="s">
        <v>3225</v>
      </c>
      <c r="BG676" s="95"/>
      <c r="BH676" s="9" t="s">
        <v>100</v>
      </c>
      <c r="BI676" s="9" t="s">
        <v>100</v>
      </c>
      <c r="BJ676" s="109"/>
      <c r="BN676" s="109"/>
      <c r="BO676" s="109"/>
    </row>
    <row r="677" spans="1:67" s="110" customFormat="1" ht="52" hidden="1" x14ac:dyDescent="0.35">
      <c r="A677" s="94">
        <v>2646</v>
      </c>
      <c r="B677" s="94" t="s">
        <v>3218</v>
      </c>
      <c r="C677" s="95" t="s">
        <v>3156</v>
      </c>
      <c r="D677" s="95" t="s">
        <v>3228</v>
      </c>
      <c r="E677" s="94" t="s">
        <v>41</v>
      </c>
      <c r="F677" s="95" t="s">
        <v>146</v>
      </c>
      <c r="G677" s="94" t="s">
        <v>225</v>
      </c>
      <c r="H677" s="94" t="s">
        <v>225</v>
      </c>
      <c r="I677" s="94" t="s">
        <v>114</v>
      </c>
      <c r="J677" s="95" t="s">
        <v>98</v>
      </c>
      <c r="K677" s="95" t="s">
        <v>98</v>
      </c>
      <c r="L677" s="95" t="s">
        <v>98</v>
      </c>
      <c r="M677" s="95" t="s">
        <v>98</v>
      </c>
      <c r="N677" s="95" t="s">
        <v>3158</v>
      </c>
      <c r="O677" s="95" t="s">
        <v>276</v>
      </c>
      <c r="P677" s="95" t="s">
        <v>236</v>
      </c>
      <c r="Q677" s="163" t="s">
        <v>3220</v>
      </c>
      <c r="R677" s="95" t="s">
        <v>3221</v>
      </c>
      <c r="S677" s="95" t="s">
        <v>3222</v>
      </c>
      <c r="T677" s="95" t="s">
        <v>98</v>
      </c>
      <c r="U677" s="95">
        <v>2</v>
      </c>
      <c r="V677" s="94" t="s">
        <v>14</v>
      </c>
      <c r="W677" s="94" t="s">
        <v>3223</v>
      </c>
      <c r="X677" s="95" t="s">
        <v>209</v>
      </c>
      <c r="Y677" s="98">
        <v>78969</v>
      </c>
      <c r="Z677" s="95" t="s">
        <v>98</v>
      </c>
      <c r="AA677" s="95" t="s">
        <v>276</v>
      </c>
      <c r="AB677" s="95" t="s">
        <v>98</v>
      </c>
      <c r="AC677" s="94" t="s">
        <v>276</v>
      </c>
      <c r="AD677" s="94" t="s">
        <v>276</v>
      </c>
      <c r="AE677" s="94" t="s">
        <v>98</v>
      </c>
      <c r="AF677" s="94" t="s">
        <v>98</v>
      </c>
      <c r="AG677" s="95" t="s">
        <v>3229</v>
      </c>
      <c r="AH677" s="95" t="s">
        <v>3230</v>
      </c>
      <c r="AI677" s="99">
        <v>100</v>
      </c>
      <c r="AJ677" s="99" t="s">
        <v>98</v>
      </c>
      <c r="AK677" s="99">
        <v>149</v>
      </c>
      <c r="AL677" s="99" t="s">
        <v>98</v>
      </c>
      <c r="AM677" s="99" t="s">
        <v>292</v>
      </c>
      <c r="AN677" s="94">
        <v>67.099999999999994</v>
      </c>
      <c r="AO677" s="102">
        <f>AI677*100/AK677</f>
        <v>67.114093959731548</v>
      </c>
      <c r="AP677" s="94" t="s">
        <v>276</v>
      </c>
      <c r="AQ677" s="94" t="s">
        <v>276</v>
      </c>
      <c r="AR677" s="94" t="s">
        <v>98</v>
      </c>
      <c r="AS677" s="94" t="s">
        <v>98</v>
      </c>
      <c r="AT677" s="94" t="s">
        <v>98</v>
      </c>
      <c r="AU677" s="94" t="s">
        <v>98</v>
      </c>
      <c r="AV677" s="94" t="s">
        <v>98</v>
      </c>
      <c r="AW677" s="94" t="s">
        <v>98</v>
      </c>
      <c r="AX677" s="94" t="s">
        <v>98</v>
      </c>
      <c r="AY677" s="94" t="s">
        <v>98</v>
      </c>
      <c r="AZ677" s="94" t="s">
        <v>98</v>
      </c>
      <c r="BA677" s="94" t="s">
        <v>98</v>
      </c>
      <c r="BB677" s="94" t="s">
        <v>98</v>
      </c>
      <c r="BC677" s="94" t="s">
        <v>98</v>
      </c>
      <c r="BD677" s="94" t="s">
        <v>98</v>
      </c>
      <c r="BE677" s="94" t="s">
        <v>98</v>
      </c>
      <c r="BF677" s="95" t="s">
        <v>3231</v>
      </c>
      <c r="BG677" s="95"/>
      <c r="BH677" s="9" t="s">
        <v>100</v>
      </c>
      <c r="BI677" s="9" t="s">
        <v>100</v>
      </c>
      <c r="BJ677" s="109"/>
      <c r="BN677" s="109"/>
      <c r="BO677" s="109"/>
    </row>
    <row r="678" spans="1:67" s="124" customFormat="1" ht="52" hidden="1" x14ac:dyDescent="0.35">
      <c r="A678" s="112">
        <v>2646</v>
      </c>
      <c r="B678" s="112" t="s">
        <v>3218</v>
      </c>
      <c r="C678" s="113" t="s">
        <v>3156</v>
      </c>
      <c r="D678" s="113" t="s">
        <v>3232</v>
      </c>
      <c r="E678" s="112" t="s">
        <v>41</v>
      </c>
      <c r="F678" s="113" t="s">
        <v>146</v>
      </c>
      <c r="G678" s="112" t="s">
        <v>225</v>
      </c>
      <c r="H678" s="112" t="s">
        <v>125</v>
      </c>
      <c r="I678" s="112" t="s">
        <v>114</v>
      </c>
      <c r="J678" s="113" t="s">
        <v>25</v>
      </c>
      <c r="K678" s="113" t="s">
        <v>300</v>
      </c>
      <c r="L678" s="113" t="s">
        <v>3193</v>
      </c>
      <c r="M678" s="113" t="s">
        <v>307</v>
      </c>
      <c r="N678" s="113" t="s">
        <v>3158</v>
      </c>
      <c r="O678" s="113" t="s">
        <v>276</v>
      </c>
      <c r="P678" s="113" t="s">
        <v>239</v>
      </c>
      <c r="Q678" s="162" t="s">
        <v>3220</v>
      </c>
      <c r="R678" s="113" t="s">
        <v>3221</v>
      </c>
      <c r="S678" s="113" t="s">
        <v>3222</v>
      </c>
      <c r="T678" s="113" t="s">
        <v>3233</v>
      </c>
      <c r="U678" s="113">
        <v>2</v>
      </c>
      <c r="V678" s="112" t="s">
        <v>14</v>
      </c>
      <c r="W678" s="112" t="s">
        <v>3223</v>
      </c>
      <c r="X678" s="113" t="s">
        <v>207</v>
      </c>
      <c r="Y678" s="118">
        <v>78969</v>
      </c>
      <c r="Z678" s="119">
        <v>74739</v>
      </c>
      <c r="AA678" s="113" t="s">
        <v>276</v>
      </c>
      <c r="AB678" s="113" t="s">
        <v>276</v>
      </c>
      <c r="AC678" s="112">
        <v>30</v>
      </c>
      <c r="AD678" s="112" t="s">
        <v>968</v>
      </c>
      <c r="AE678" s="112">
        <v>25</v>
      </c>
      <c r="AF678" s="112" t="s">
        <v>968</v>
      </c>
      <c r="AG678" s="113" t="s">
        <v>3234</v>
      </c>
      <c r="AH678" s="113" t="s">
        <v>866</v>
      </c>
      <c r="AI678" s="119">
        <v>33</v>
      </c>
      <c r="AJ678" s="119">
        <v>11</v>
      </c>
      <c r="AK678" s="118">
        <v>78969</v>
      </c>
      <c r="AL678" s="119">
        <v>74739</v>
      </c>
      <c r="AM678" s="119" t="s">
        <v>2047</v>
      </c>
      <c r="AN678" s="164" t="s">
        <v>276</v>
      </c>
      <c r="AO678" s="165">
        <f t="shared" ref="AO678:AO689" si="200">AI678*1000/AK678</f>
        <v>0.41788549937317176</v>
      </c>
      <c r="AP678" s="112" t="s">
        <v>276</v>
      </c>
      <c r="AQ678" s="112" t="s">
        <v>276</v>
      </c>
      <c r="AR678" s="112" t="s">
        <v>276</v>
      </c>
      <c r="AS678" s="121">
        <f t="shared" ref="AS678:AS689" si="201">AJ678*1000/AL678</f>
        <v>0.14717884906140033</v>
      </c>
      <c r="AT678" s="112" t="s">
        <v>276</v>
      </c>
      <c r="AU678" s="112" t="s">
        <v>276</v>
      </c>
      <c r="AV678" s="112" t="s">
        <v>268</v>
      </c>
      <c r="AW678" s="112" t="s">
        <v>276</v>
      </c>
      <c r="AX678" s="121">
        <f t="shared" ref="AX678:AX690" si="202">AO678/AS678</f>
        <v>2.8393040306955899</v>
      </c>
      <c r="AY678" s="112" t="s">
        <v>276</v>
      </c>
      <c r="AZ678" s="112" t="s">
        <v>276</v>
      </c>
      <c r="BA678" s="112" t="s">
        <v>276</v>
      </c>
      <c r="BB678" s="112" t="s">
        <v>282</v>
      </c>
      <c r="BC678" s="112" t="s">
        <v>276</v>
      </c>
      <c r="BD678" s="112" t="s">
        <v>276</v>
      </c>
      <c r="BE678" s="112" t="s">
        <v>276</v>
      </c>
      <c r="BF678" s="113" t="s">
        <v>1029</v>
      </c>
      <c r="BG678" s="113"/>
      <c r="BH678" s="9" t="s">
        <v>100</v>
      </c>
      <c r="BI678" s="9" t="s">
        <v>100</v>
      </c>
      <c r="BJ678" s="123"/>
      <c r="BN678" s="123"/>
      <c r="BO678" s="123"/>
    </row>
    <row r="679" spans="1:67" s="124" customFormat="1" ht="52" hidden="1" x14ac:dyDescent="0.35">
      <c r="A679" s="112">
        <v>2646</v>
      </c>
      <c r="B679" s="112" t="s">
        <v>3218</v>
      </c>
      <c r="C679" s="113" t="s">
        <v>3156</v>
      </c>
      <c r="D679" s="113" t="s">
        <v>3235</v>
      </c>
      <c r="E679" s="112" t="s">
        <v>41</v>
      </c>
      <c r="F679" s="113" t="s">
        <v>146</v>
      </c>
      <c r="G679" s="112" t="s">
        <v>225</v>
      </c>
      <c r="H679" s="112" t="s">
        <v>125</v>
      </c>
      <c r="I679" s="112" t="s">
        <v>114</v>
      </c>
      <c r="J679" s="113" t="s">
        <v>25</v>
      </c>
      <c r="K679" s="113" t="s">
        <v>300</v>
      </c>
      <c r="L679" s="113" t="s">
        <v>3193</v>
      </c>
      <c r="M679" s="113" t="s">
        <v>307</v>
      </c>
      <c r="N679" s="113" t="s">
        <v>3158</v>
      </c>
      <c r="O679" s="113" t="s">
        <v>276</v>
      </c>
      <c r="P679" s="113" t="s">
        <v>239</v>
      </c>
      <c r="Q679" s="162" t="s">
        <v>3220</v>
      </c>
      <c r="R679" s="113" t="s">
        <v>3221</v>
      </c>
      <c r="S679" s="113" t="s">
        <v>3222</v>
      </c>
      <c r="T679" s="113" t="s">
        <v>3233</v>
      </c>
      <c r="U679" s="113">
        <v>2</v>
      </c>
      <c r="V679" s="112" t="s">
        <v>14</v>
      </c>
      <c r="W679" s="112" t="s">
        <v>3223</v>
      </c>
      <c r="X679" s="113" t="s">
        <v>207</v>
      </c>
      <c r="Y679" s="118">
        <v>78969</v>
      </c>
      <c r="Z679" s="119">
        <v>74739</v>
      </c>
      <c r="AA679" s="113" t="s">
        <v>276</v>
      </c>
      <c r="AB679" s="113" t="s">
        <v>276</v>
      </c>
      <c r="AC679" s="112">
        <v>30</v>
      </c>
      <c r="AD679" s="112" t="s">
        <v>968</v>
      </c>
      <c r="AE679" s="112">
        <v>25</v>
      </c>
      <c r="AF679" s="112" t="s">
        <v>968</v>
      </c>
      <c r="AG679" s="113" t="s">
        <v>3234</v>
      </c>
      <c r="AH679" s="113" t="s">
        <v>3236</v>
      </c>
      <c r="AI679" s="119">
        <v>33</v>
      </c>
      <c r="AJ679" s="119">
        <v>11</v>
      </c>
      <c r="AK679" s="118">
        <v>344404</v>
      </c>
      <c r="AL679" s="119">
        <v>329326</v>
      </c>
      <c r="AM679" s="119" t="s">
        <v>425</v>
      </c>
      <c r="AN679" s="164" t="s">
        <v>276</v>
      </c>
      <c r="AO679" s="165">
        <f t="shared" si="200"/>
        <v>9.5817702465708879E-2</v>
      </c>
      <c r="AP679" s="112" t="s">
        <v>276</v>
      </c>
      <c r="AQ679" s="112" t="s">
        <v>276</v>
      </c>
      <c r="AR679" s="112" t="s">
        <v>276</v>
      </c>
      <c r="AS679" s="121">
        <f t="shared" si="201"/>
        <v>3.3401553475887115E-2</v>
      </c>
      <c r="AT679" s="112" t="s">
        <v>276</v>
      </c>
      <c r="AU679" s="112" t="s">
        <v>276</v>
      </c>
      <c r="AV679" s="112" t="s">
        <v>269</v>
      </c>
      <c r="AW679" s="112" t="s">
        <v>276</v>
      </c>
      <c r="AX679" s="121">
        <f t="shared" si="202"/>
        <v>2.8686600620201856</v>
      </c>
      <c r="AY679" s="112" t="s">
        <v>276</v>
      </c>
      <c r="AZ679" s="112" t="s">
        <v>276</v>
      </c>
      <c r="BA679" s="112" t="s">
        <v>276</v>
      </c>
      <c r="BB679" s="112" t="s">
        <v>282</v>
      </c>
      <c r="BC679" s="112" t="s">
        <v>276</v>
      </c>
      <c r="BD679" s="112" t="s">
        <v>276</v>
      </c>
      <c r="BE679" s="112" t="s">
        <v>276</v>
      </c>
      <c r="BF679" s="113" t="s">
        <v>3237</v>
      </c>
      <c r="BG679" s="113"/>
      <c r="BH679" s="9" t="s">
        <v>100</v>
      </c>
      <c r="BI679" s="9" t="s">
        <v>100</v>
      </c>
      <c r="BJ679" s="123"/>
      <c r="BN679" s="123"/>
      <c r="BO679" s="123"/>
    </row>
    <row r="680" spans="1:67" s="110" customFormat="1" ht="52" hidden="1" x14ac:dyDescent="0.35">
      <c r="A680" s="94">
        <v>2646</v>
      </c>
      <c r="B680" s="94" t="s">
        <v>3218</v>
      </c>
      <c r="C680" s="95" t="s">
        <v>3156</v>
      </c>
      <c r="D680" s="95" t="s">
        <v>3238</v>
      </c>
      <c r="E680" s="94" t="s">
        <v>41</v>
      </c>
      <c r="F680" s="95" t="s">
        <v>146</v>
      </c>
      <c r="G680" s="94" t="s">
        <v>225</v>
      </c>
      <c r="H680" s="94" t="s">
        <v>125</v>
      </c>
      <c r="I680" s="94" t="s">
        <v>114</v>
      </c>
      <c r="J680" s="95" t="s">
        <v>25</v>
      </c>
      <c r="K680" s="95" t="s">
        <v>304</v>
      </c>
      <c r="L680" s="95" t="s">
        <v>3193</v>
      </c>
      <c r="M680" s="95" t="s">
        <v>307</v>
      </c>
      <c r="N680" s="95" t="s">
        <v>3158</v>
      </c>
      <c r="O680" s="95" t="s">
        <v>276</v>
      </c>
      <c r="P680" s="95" t="s">
        <v>239</v>
      </c>
      <c r="Q680" s="163" t="s">
        <v>3220</v>
      </c>
      <c r="R680" s="95" t="s">
        <v>3221</v>
      </c>
      <c r="S680" s="95" t="s">
        <v>3222</v>
      </c>
      <c r="T680" s="95" t="s">
        <v>3233</v>
      </c>
      <c r="U680" s="95">
        <v>2</v>
      </c>
      <c r="V680" s="94" t="s">
        <v>14</v>
      </c>
      <c r="W680" s="94" t="s">
        <v>3223</v>
      </c>
      <c r="X680" s="95" t="s">
        <v>207</v>
      </c>
      <c r="Y680" s="98">
        <v>78969</v>
      </c>
      <c r="Z680" s="99">
        <v>74739</v>
      </c>
      <c r="AA680" s="95" t="s">
        <v>276</v>
      </c>
      <c r="AB680" s="95" t="s">
        <v>276</v>
      </c>
      <c r="AC680" s="94">
        <v>30</v>
      </c>
      <c r="AD680" s="94" t="s">
        <v>968</v>
      </c>
      <c r="AE680" s="94">
        <v>25</v>
      </c>
      <c r="AF680" s="94" t="s">
        <v>968</v>
      </c>
      <c r="AG680" s="95" t="s">
        <v>3239</v>
      </c>
      <c r="AH680" s="95" t="s">
        <v>866</v>
      </c>
      <c r="AI680" s="99">
        <v>23</v>
      </c>
      <c r="AJ680" s="99">
        <v>9</v>
      </c>
      <c r="AK680" s="98">
        <v>78969</v>
      </c>
      <c r="AL680" s="99">
        <v>74739</v>
      </c>
      <c r="AM680" s="99" t="s">
        <v>2047</v>
      </c>
      <c r="AN680" s="100" t="s">
        <v>276</v>
      </c>
      <c r="AO680" s="166">
        <f t="shared" si="200"/>
        <v>0.29125352986615</v>
      </c>
      <c r="AP680" s="94" t="s">
        <v>276</v>
      </c>
      <c r="AQ680" s="94" t="s">
        <v>276</v>
      </c>
      <c r="AR680" s="94" t="s">
        <v>276</v>
      </c>
      <c r="AS680" s="102">
        <f t="shared" si="201"/>
        <v>0.12041905832296391</v>
      </c>
      <c r="AT680" s="94" t="s">
        <v>276</v>
      </c>
      <c r="AU680" s="94" t="s">
        <v>276</v>
      </c>
      <c r="AV680" s="94" t="s">
        <v>268</v>
      </c>
      <c r="AW680" s="94" t="s">
        <v>276</v>
      </c>
      <c r="AX680" s="102">
        <f t="shared" si="202"/>
        <v>2.4186663965184652</v>
      </c>
      <c r="AY680" s="94" t="s">
        <v>276</v>
      </c>
      <c r="AZ680" s="94" t="s">
        <v>276</v>
      </c>
      <c r="BA680" s="94" t="s">
        <v>276</v>
      </c>
      <c r="BB680" s="94" t="s">
        <v>282</v>
      </c>
      <c r="BC680" s="94" t="s">
        <v>276</v>
      </c>
      <c r="BD680" s="94" t="s">
        <v>276</v>
      </c>
      <c r="BE680" s="94" t="s">
        <v>276</v>
      </c>
      <c r="BF680" s="95" t="s">
        <v>1029</v>
      </c>
      <c r="BG680" s="95"/>
      <c r="BH680" s="9" t="s">
        <v>100</v>
      </c>
      <c r="BI680" s="9" t="s">
        <v>100</v>
      </c>
      <c r="BJ680" s="109"/>
      <c r="BN680" s="109"/>
      <c r="BO680" s="109"/>
    </row>
    <row r="681" spans="1:67" s="110" customFormat="1" ht="52" hidden="1" x14ac:dyDescent="0.35">
      <c r="A681" s="94">
        <v>2646</v>
      </c>
      <c r="B681" s="94" t="s">
        <v>3218</v>
      </c>
      <c r="C681" s="95" t="s">
        <v>3156</v>
      </c>
      <c r="D681" s="95" t="s">
        <v>3240</v>
      </c>
      <c r="E681" s="94" t="s">
        <v>41</v>
      </c>
      <c r="F681" s="95" t="s">
        <v>146</v>
      </c>
      <c r="G681" s="94" t="s">
        <v>225</v>
      </c>
      <c r="H681" s="94" t="s">
        <v>125</v>
      </c>
      <c r="I681" s="94" t="s">
        <v>114</v>
      </c>
      <c r="J681" s="95" t="s">
        <v>25</v>
      </c>
      <c r="K681" s="95" t="s">
        <v>304</v>
      </c>
      <c r="L681" s="95" t="s">
        <v>3193</v>
      </c>
      <c r="M681" s="95" t="s">
        <v>307</v>
      </c>
      <c r="N681" s="95" t="s">
        <v>3158</v>
      </c>
      <c r="O681" s="95" t="s">
        <v>276</v>
      </c>
      <c r="P681" s="95" t="s">
        <v>239</v>
      </c>
      <c r="Q681" s="163" t="s">
        <v>3220</v>
      </c>
      <c r="R681" s="95" t="s">
        <v>3221</v>
      </c>
      <c r="S681" s="95" t="s">
        <v>3222</v>
      </c>
      <c r="T681" s="95" t="s">
        <v>3233</v>
      </c>
      <c r="U681" s="95">
        <v>2</v>
      </c>
      <c r="V681" s="94" t="s">
        <v>14</v>
      </c>
      <c r="W681" s="94" t="s">
        <v>3223</v>
      </c>
      <c r="X681" s="95" t="s">
        <v>207</v>
      </c>
      <c r="Y681" s="98">
        <v>78969</v>
      </c>
      <c r="Z681" s="99">
        <v>74739</v>
      </c>
      <c r="AA681" s="95" t="s">
        <v>276</v>
      </c>
      <c r="AB681" s="95" t="s">
        <v>276</v>
      </c>
      <c r="AC681" s="94">
        <v>30</v>
      </c>
      <c r="AD681" s="94" t="s">
        <v>968</v>
      </c>
      <c r="AE681" s="94">
        <v>25</v>
      </c>
      <c r="AF681" s="94" t="s">
        <v>968</v>
      </c>
      <c r="AG681" s="95" t="s">
        <v>3239</v>
      </c>
      <c r="AH681" s="95" t="s">
        <v>3236</v>
      </c>
      <c r="AI681" s="99">
        <v>23</v>
      </c>
      <c r="AJ681" s="99">
        <v>9</v>
      </c>
      <c r="AK681" s="98">
        <v>344404</v>
      </c>
      <c r="AL681" s="99">
        <v>329326</v>
      </c>
      <c r="AM681" s="99" t="s">
        <v>425</v>
      </c>
      <c r="AN681" s="100" t="s">
        <v>276</v>
      </c>
      <c r="AO681" s="166">
        <f t="shared" si="200"/>
        <v>6.6782035051857702E-2</v>
      </c>
      <c r="AP681" s="94" t="s">
        <v>276</v>
      </c>
      <c r="AQ681" s="94" t="s">
        <v>276</v>
      </c>
      <c r="AR681" s="94" t="s">
        <v>276</v>
      </c>
      <c r="AS681" s="102">
        <f t="shared" si="201"/>
        <v>2.7328543752998549E-2</v>
      </c>
      <c r="AT681" s="94" t="s">
        <v>276</v>
      </c>
      <c r="AU681" s="94" t="s">
        <v>276</v>
      </c>
      <c r="AV681" s="94" t="s">
        <v>269</v>
      </c>
      <c r="AW681" s="94" t="s">
        <v>276</v>
      </c>
      <c r="AX681" s="102">
        <f t="shared" si="202"/>
        <v>2.4436733861653432</v>
      </c>
      <c r="AY681" s="94" t="s">
        <v>276</v>
      </c>
      <c r="AZ681" s="94" t="s">
        <v>276</v>
      </c>
      <c r="BA681" s="94" t="s">
        <v>276</v>
      </c>
      <c r="BB681" s="94" t="s">
        <v>282</v>
      </c>
      <c r="BC681" s="94" t="s">
        <v>276</v>
      </c>
      <c r="BD681" s="94" t="s">
        <v>276</v>
      </c>
      <c r="BE681" s="94" t="s">
        <v>276</v>
      </c>
      <c r="BF681" s="95" t="s">
        <v>3237</v>
      </c>
      <c r="BG681" s="95"/>
      <c r="BH681" s="9" t="s">
        <v>100</v>
      </c>
      <c r="BI681" s="9" t="s">
        <v>100</v>
      </c>
      <c r="BJ681" s="109"/>
      <c r="BN681" s="109"/>
      <c r="BO681" s="109"/>
    </row>
    <row r="682" spans="1:67" s="124" customFormat="1" ht="65" hidden="1" x14ac:dyDescent="0.35">
      <c r="A682" s="112">
        <v>2646</v>
      </c>
      <c r="B682" s="112" t="s">
        <v>3218</v>
      </c>
      <c r="C682" s="113" t="s">
        <v>3156</v>
      </c>
      <c r="D682" s="113" t="s">
        <v>3241</v>
      </c>
      <c r="E682" s="112" t="s">
        <v>41</v>
      </c>
      <c r="F682" s="113" t="s">
        <v>146</v>
      </c>
      <c r="G682" s="112" t="s">
        <v>225</v>
      </c>
      <c r="H682" s="112" t="s">
        <v>125</v>
      </c>
      <c r="I682" s="112" t="s">
        <v>114</v>
      </c>
      <c r="J682" s="113" t="s">
        <v>25</v>
      </c>
      <c r="K682" s="113" t="s">
        <v>307</v>
      </c>
      <c r="L682" s="113" t="s">
        <v>3193</v>
      </c>
      <c r="M682" s="113" t="s">
        <v>307</v>
      </c>
      <c r="N682" s="113" t="s">
        <v>3158</v>
      </c>
      <c r="O682" s="113" t="s">
        <v>276</v>
      </c>
      <c r="P682" s="113" t="s">
        <v>239</v>
      </c>
      <c r="Q682" s="162" t="s">
        <v>3220</v>
      </c>
      <c r="R682" s="113" t="s">
        <v>3221</v>
      </c>
      <c r="S682" s="113" t="s">
        <v>3222</v>
      </c>
      <c r="T682" s="113" t="s">
        <v>3233</v>
      </c>
      <c r="U682" s="113">
        <v>2</v>
      </c>
      <c r="V682" s="112" t="s">
        <v>14</v>
      </c>
      <c r="W682" s="112" t="s">
        <v>3223</v>
      </c>
      <c r="X682" s="113" t="s">
        <v>207</v>
      </c>
      <c r="Y682" s="118">
        <v>78969</v>
      </c>
      <c r="Z682" s="119">
        <v>74739</v>
      </c>
      <c r="AA682" s="113" t="s">
        <v>276</v>
      </c>
      <c r="AB682" s="113" t="s">
        <v>276</v>
      </c>
      <c r="AC682" s="112">
        <v>30</v>
      </c>
      <c r="AD682" s="112" t="s">
        <v>968</v>
      </c>
      <c r="AE682" s="112">
        <v>25</v>
      </c>
      <c r="AF682" s="112" t="s">
        <v>968</v>
      </c>
      <c r="AG682" s="113" t="s">
        <v>3242</v>
      </c>
      <c r="AH682" s="113" t="s">
        <v>866</v>
      </c>
      <c r="AI682" s="119">
        <f>33+23</f>
        <v>56</v>
      </c>
      <c r="AJ682" s="119">
        <f>11+9</f>
        <v>20</v>
      </c>
      <c r="AK682" s="118">
        <v>78969</v>
      </c>
      <c r="AL682" s="119">
        <v>74739</v>
      </c>
      <c r="AM682" s="119" t="s">
        <v>2047</v>
      </c>
      <c r="AN682" s="164" t="s">
        <v>276</v>
      </c>
      <c r="AO682" s="165">
        <f t="shared" si="200"/>
        <v>0.70913902923932171</v>
      </c>
      <c r="AP682" s="112" t="s">
        <v>276</v>
      </c>
      <c r="AQ682" s="112" t="s">
        <v>276</v>
      </c>
      <c r="AR682" s="112" t="s">
        <v>276</v>
      </c>
      <c r="AS682" s="121">
        <f t="shared" si="201"/>
        <v>0.26759790738436423</v>
      </c>
      <c r="AT682" s="112" t="s">
        <v>276</v>
      </c>
      <c r="AU682" s="112" t="s">
        <v>276</v>
      </c>
      <c r="AV682" s="112" t="s">
        <v>268</v>
      </c>
      <c r="AW682" s="112" t="s">
        <v>276</v>
      </c>
      <c r="AX682" s="121">
        <f t="shared" si="202"/>
        <v>2.6500170953158837</v>
      </c>
      <c r="AY682" s="112" t="s">
        <v>276</v>
      </c>
      <c r="AZ682" s="112" t="s">
        <v>276</v>
      </c>
      <c r="BA682" s="112" t="s">
        <v>276</v>
      </c>
      <c r="BB682" s="112" t="s">
        <v>282</v>
      </c>
      <c r="BC682" s="112" t="s">
        <v>276</v>
      </c>
      <c r="BD682" s="112" t="s">
        <v>276</v>
      </c>
      <c r="BE682" s="112" t="s">
        <v>276</v>
      </c>
      <c r="BF682" s="113" t="s">
        <v>1029</v>
      </c>
      <c r="BG682" s="113"/>
      <c r="BH682" s="9" t="s">
        <v>100</v>
      </c>
      <c r="BI682" s="9" t="s">
        <v>100</v>
      </c>
      <c r="BJ682" s="123"/>
      <c r="BN682" s="123"/>
      <c r="BO682" s="123"/>
    </row>
    <row r="683" spans="1:67" s="124" customFormat="1" ht="52" hidden="1" x14ac:dyDescent="0.35">
      <c r="A683" s="112">
        <v>2646</v>
      </c>
      <c r="B683" s="112" t="s">
        <v>3218</v>
      </c>
      <c r="C683" s="113" t="s">
        <v>3156</v>
      </c>
      <c r="D683" s="113" t="s">
        <v>3243</v>
      </c>
      <c r="E683" s="112" t="s">
        <v>41</v>
      </c>
      <c r="F683" s="113" t="s">
        <v>146</v>
      </c>
      <c r="G683" s="112" t="s">
        <v>225</v>
      </c>
      <c r="H683" s="112" t="s">
        <v>125</v>
      </c>
      <c r="I683" s="112" t="s">
        <v>114</v>
      </c>
      <c r="J683" s="113" t="s">
        <v>25</v>
      </c>
      <c r="K683" s="113" t="s">
        <v>307</v>
      </c>
      <c r="L683" s="113" t="s">
        <v>3193</v>
      </c>
      <c r="M683" s="113" t="s">
        <v>307</v>
      </c>
      <c r="N683" s="113" t="s">
        <v>3158</v>
      </c>
      <c r="O683" s="113" t="s">
        <v>276</v>
      </c>
      <c r="P683" s="113" t="s">
        <v>239</v>
      </c>
      <c r="Q683" s="162" t="s">
        <v>3220</v>
      </c>
      <c r="R683" s="113" t="s">
        <v>3221</v>
      </c>
      <c r="S683" s="113" t="s">
        <v>3222</v>
      </c>
      <c r="T683" s="113" t="s">
        <v>3233</v>
      </c>
      <c r="U683" s="113">
        <v>2</v>
      </c>
      <c r="V683" s="112" t="s">
        <v>14</v>
      </c>
      <c r="W683" s="112" t="s">
        <v>3223</v>
      </c>
      <c r="X683" s="113" t="s">
        <v>207</v>
      </c>
      <c r="Y683" s="118">
        <v>78969</v>
      </c>
      <c r="Z683" s="119">
        <v>74739</v>
      </c>
      <c r="AA683" s="113" t="s">
        <v>276</v>
      </c>
      <c r="AB683" s="113" t="s">
        <v>276</v>
      </c>
      <c r="AC683" s="112">
        <v>30</v>
      </c>
      <c r="AD683" s="112" t="s">
        <v>968</v>
      </c>
      <c r="AE683" s="112">
        <v>25</v>
      </c>
      <c r="AF683" s="112" t="s">
        <v>968</v>
      </c>
      <c r="AG683" s="113" t="s">
        <v>3242</v>
      </c>
      <c r="AH683" s="113" t="s">
        <v>3236</v>
      </c>
      <c r="AI683" s="119">
        <f>33+23</f>
        <v>56</v>
      </c>
      <c r="AJ683" s="119">
        <f>11+9</f>
        <v>20</v>
      </c>
      <c r="AK683" s="118">
        <v>344404</v>
      </c>
      <c r="AL683" s="119">
        <v>329326</v>
      </c>
      <c r="AM683" s="119" t="s">
        <v>425</v>
      </c>
      <c r="AN683" s="164" t="s">
        <v>276</v>
      </c>
      <c r="AO683" s="165">
        <f t="shared" si="200"/>
        <v>0.16259973751756657</v>
      </c>
      <c r="AP683" s="112" t="s">
        <v>276</v>
      </c>
      <c r="AQ683" s="112" t="s">
        <v>276</v>
      </c>
      <c r="AR683" s="112" t="s">
        <v>276</v>
      </c>
      <c r="AS683" s="121">
        <f t="shared" si="201"/>
        <v>6.0730097228885664E-2</v>
      </c>
      <c r="AT683" s="112" t="s">
        <v>276</v>
      </c>
      <c r="AU683" s="112" t="s">
        <v>276</v>
      </c>
      <c r="AV683" s="112" t="s">
        <v>269</v>
      </c>
      <c r="AW683" s="112" t="s">
        <v>276</v>
      </c>
      <c r="AX683" s="121">
        <f t="shared" si="202"/>
        <v>2.6774160578855062</v>
      </c>
      <c r="AY683" s="112" t="s">
        <v>276</v>
      </c>
      <c r="AZ683" s="112" t="s">
        <v>276</v>
      </c>
      <c r="BA683" s="112" t="s">
        <v>276</v>
      </c>
      <c r="BB683" s="112" t="s">
        <v>282</v>
      </c>
      <c r="BC683" s="112" t="s">
        <v>276</v>
      </c>
      <c r="BD683" s="112" t="s">
        <v>276</v>
      </c>
      <c r="BE683" s="112" t="s">
        <v>276</v>
      </c>
      <c r="BF683" s="113" t="s">
        <v>3237</v>
      </c>
      <c r="BG683" s="113"/>
      <c r="BH683" s="9" t="s">
        <v>100</v>
      </c>
      <c r="BI683" s="9" t="s">
        <v>100</v>
      </c>
      <c r="BJ683" s="123"/>
      <c r="BN683" s="123"/>
      <c r="BO683" s="123"/>
    </row>
    <row r="684" spans="1:67" s="110" customFormat="1" ht="52" hidden="1" x14ac:dyDescent="0.35">
      <c r="A684" s="94">
        <v>2646</v>
      </c>
      <c r="B684" s="94" t="s">
        <v>3218</v>
      </c>
      <c r="C684" s="95" t="s">
        <v>3156</v>
      </c>
      <c r="D684" s="95" t="s">
        <v>3244</v>
      </c>
      <c r="E684" s="94" t="s">
        <v>41</v>
      </c>
      <c r="F684" s="95" t="s">
        <v>146</v>
      </c>
      <c r="G684" s="94" t="s">
        <v>225</v>
      </c>
      <c r="H684" s="94" t="s">
        <v>125</v>
      </c>
      <c r="I684" s="94" t="s">
        <v>114</v>
      </c>
      <c r="J684" s="95" t="s">
        <v>25</v>
      </c>
      <c r="K684" s="95" t="s">
        <v>311</v>
      </c>
      <c r="L684" s="95" t="s">
        <v>3193</v>
      </c>
      <c r="M684" s="95" t="s">
        <v>307</v>
      </c>
      <c r="N684" s="95" t="s">
        <v>3158</v>
      </c>
      <c r="O684" s="95" t="s">
        <v>276</v>
      </c>
      <c r="P684" s="95" t="s">
        <v>239</v>
      </c>
      <c r="Q684" s="163" t="s">
        <v>3220</v>
      </c>
      <c r="R684" s="95" t="s">
        <v>3221</v>
      </c>
      <c r="S684" s="95" t="s">
        <v>3222</v>
      </c>
      <c r="T684" s="95" t="s">
        <v>3233</v>
      </c>
      <c r="U684" s="95">
        <v>2</v>
      </c>
      <c r="V684" s="94" t="s">
        <v>14</v>
      </c>
      <c r="W684" s="94" t="s">
        <v>3223</v>
      </c>
      <c r="X684" s="95" t="s">
        <v>207</v>
      </c>
      <c r="Y684" s="98">
        <v>78969</v>
      </c>
      <c r="Z684" s="99">
        <v>74739</v>
      </c>
      <c r="AA684" s="95" t="s">
        <v>276</v>
      </c>
      <c r="AB684" s="95" t="s">
        <v>276</v>
      </c>
      <c r="AC684" s="94">
        <v>30</v>
      </c>
      <c r="AD684" s="94" t="s">
        <v>968</v>
      </c>
      <c r="AE684" s="94">
        <v>25</v>
      </c>
      <c r="AF684" s="94" t="s">
        <v>968</v>
      </c>
      <c r="AG684" s="95" t="s">
        <v>3245</v>
      </c>
      <c r="AH684" s="95" t="s">
        <v>866</v>
      </c>
      <c r="AI684" s="99">
        <v>25</v>
      </c>
      <c r="AJ684" s="99">
        <v>23</v>
      </c>
      <c r="AK684" s="98">
        <v>78969</v>
      </c>
      <c r="AL684" s="99">
        <v>74739</v>
      </c>
      <c r="AM684" s="99" t="s">
        <v>2047</v>
      </c>
      <c r="AN684" s="100" t="s">
        <v>276</v>
      </c>
      <c r="AO684" s="166">
        <f t="shared" si="200"/>
        <v>0.31657992376755434</v>
      </c>
      <c r="AP684" s="94" t="s">
        <v>276</v>
      </c>
      <c r="AQ684" s="94" t="s">
        <v>276</v>
      </c>
      <c r="AR684" s="94" t="s">
        <v>276</v>
      </c>
      <c r="AS684" s="102">
        <f t="shared" si="201"/>
        <v>0.3077375934920189</v>
      </c>
      <c r="AT684" s="94" t="s">
        <v>276</v>
      </c>
      <c r="AU684" s="94" t="s">
        <v>276</v>
      </c>
      <c r="AV684" s="94" t="s">
        <v>268</v>
      </c>
      <c r="AW684" s="94" t="s">
        <v>276</v>
      </c>
      <c r="AX684" s="102">
        <f t="shared" si="202"/>
        <v>1.0287333444549236</v>
      </c>
      <c r="AY684" s="94" t="s">
        <v>276</v>
      </c>
      <c r="AZ684" s="94" t="s">
        <v>276</v>
      </c>
      <c r="BA684" s="94" t="s">
        <v>276</v>
      </c>
      <c r="BB684" s="94" t="s">
        <v>282</v>
      </c>
      <c r="BC684" s="94" t="s">
        <v>276</v>
      </c>
      <c r="BD684" s="94" t="s">
        <v>276</v>
      </c>
      <c r="BE684" s="94" t="s">
        <v>276</v>
      </c>
      <c r="BF684" s="95" t="s">
        <v>1029</v>
      </c>
      <c r="BG684" s="95"/>
      <c r="BH684" s="9" t="s">
        <v>100</v>
      </c>
      <c r="BI684" s="9" t="s">
        <v>100</v>
      </c>
      <c r="BJ684" s="109"/>
      <c r="BN684" s="109"/>
      <c r="BO684" s="109"/>
    </row>
    <row r="685" spans="1:67" s="110" customFormat="1" ht="52" hidden="1" x14ac:dyDescent="0.35">
      <c r="A685" s="94">
        <v>2646</v>
      </c>
      <c r="B685" s="94" t="s">
        <v>3218</v>
      </c>
      <c r="C685" s="95" t="s">
        <v>3156</v>
      </c>
      <c r="D685" s="95" t="s">
        <v>3246</v>
      </c>
      <c r="E685" s="94" t="s">
        <v>41</v>
      </c>
      <c r="F685" s="95" t="s">
        <v>146</v>
      </c>
      <c r="G685" s="94" t="s">
        <v>225</v>
      </c>
      <c r="H685" s="94" t="s">
        <v>125</v>
      </c>
      <c r="I685" s="94" t="s">
        <v>114</v>
      </c>
      <c r="J685" s="95" t="s">
        <v>25</v>
      </c>
      <c r="K685" s="95" t="s">
        <v>311</v>
      </c>
      <c r="L685" s="95" t="s">
        <v>3193</v>
      </c>
      <c r="M685" s="95" t="s">
        <v>307</v>
      </c>
      <c r="N685" s="95" t="s">
        <v>3158</v>
      </c>
      <c r="O685" s="95" t="s">
        <v>276</v>
      </c>
      <c r="P685" s="95" t="s">
        <v>239</v>
      </c>
      <c r="Q685" s="163" t="s">
        <v>3220</v>
      </c>
      <c r="R685" s="95" t="s">
        <v>3221</v>
      </c>
      <c r="S685" s="95" t="s">
        <v>3222</v>
      </c>
      <c r="T685" s="95" t="s">
        <v>3233</v>
      </c>
      <c r="U685" s="95">
        <v>2</v>
      </c>
      <c r="V685" s="94" t="s">
        <v>14</v>
      </c>
      <c r="W685" s="94" t="s">
        <v>3223</v>
      </c>
      <c r="X685" s="95" t="s">
        <v>207</v>
      </c>
      <c r="Y685" s="98">
        <v>78969</v>
      </c>
      <c r="Z685" s="99">
        <v>74739</v>
      </c>
      <c r="AA685" s="95" t="s">
        <v>276</v>
      </c>
      <c r="AB685" s="95" t="s">
        <v>276</v>
      </c>
      <c r="AC685" s="94">
        <v>30</v>
      </c>
      <c r="AD685" s="94" t="s">
        <v>968</v>
      </c>
      <c r="AE685" s="94">
        <v>25</v>
      </c>
      <c r="AF685" s="94" t="s">
        <v>968</v>
      </c>
      <c r="AG685" s="95" t="s">
        <v>3245</v>
      </c>
      <c r="AH685" s="95" t="s">
        <v>3236</v>
      </c>
      <c r="AI685" s="99">
        <v>25</v>
      </c>
      <c r="AJ685" s="99">
        <v>23</v>
      </c>
      <c r="AK685" s="98">
        <v>344404</v>
      </c>
      <c r="AL685" s="99">
        <v>329326</v>
      </c>
      <c r="AM685" s="99" t="s">
        <v>425</v>
      </c>
      <c r="AN685" s="100" t="s">
        <v>276</v>
      </c>
      <c r="AO685" s="166">
        <f t="shared" si="200"/>
        <v>7.2589168534627935E-2</v>
      </c>
      <c r="AP685" s="94" t="s">
        <v>276</v>
      </c>
      <c r="AQ685" s="94" t="s">
        <v>276</v>
      </c>
      <c r="AR685" s="94" t="s">
        <v>276</v>
      </c>
      <c r="AS685" s="102">
        <f t="shared" si="201"/>
        <v>6.9839611813218516E-2</v>
      </c>
      <c r="AT685" s="94" t="s">
        <v>276</v>
      </c>
      <c r="AU685" s="94" t="s">
        <v>276</v>
      </c>
      <c r="AV685" s="94" t="s">
        <v>269</v>
      </c>
      <c r="AW685" s="94" t="s">
        <v>276</v>
      </c>
      <c r="AX685" s="102">
        <f t="shared" si="202"/>
        <v>1.039369587688473</v>
      </c>
      <c r="AY685" s="94" t="s">
        <v>276</v>
      </c>
      <c r="AZ685" s="94" t="s">
        <v>276</v>
      </c>
      <c r="BA685" s="94" t="s">
        <v>276</v>
      </c>
      <c r="BB685" s="94" t="s">
        <v>282</v>
      </c>
      <c r="BC685" s="94" t="s">
        <v>276</v>
      </c>
      <c r="BD685" s="94" t="s">
        <v>276</v>
      </c>
      <c r="BE685" s="94" t="s">
        <v>276</v>
      </c>
      <c r="BF685" s="95" t="s">
        <v>3237</v>
      </c>
      <c r="BG685" s="95"/>
      <c r="BH685" s="9" t="s">
        <v>100</v>
      </c>
      <c r="BI685" s="9" t="s">
        <v>100</v>
      </c>
      <c r="BJ685" s="109"/>
      <c r="BN685" s="109"/>
      <c r="BO685" s="109"/>
    </row>
    <row r="686" spans="1:67" s="124" customFormat="1" ht="52" hidden="1" x14ac:dyDescent="0.35">
      <c r="A686" s="112">
        <v>2646</v>
      </c>
      <c r="B686" s="112" t="s">
        <v>3218</v>
      </c>
      <c r="C686" s="113" t="s">
        <v>3156</v>
      </c>
      <c r="D686" s="113" t="s">
        <v>3247</v>
      </c>
      <c r="E686" s="112" t="s">
        <v>41</v>
      </c>
      <c r="F686" s="113" t="s">
        <v>146</v>
      </c>
      <c r="G686" s="112" t="s">
        <v>225</v>
      </c>
      <c r="H686" s="112" t="s">
        <v>125</v>
      </c>
      <c r="I686" s="112" t="s">
        <v>114</v>
      </c>
      <c r="J686" s="113" t="s">
        <v>25</v>
      </c>
      <c r="K686" s="113" t="s">
        <v>314</v>
      </c>
      <c r="L686" s="113" t="s">
        <v>3193</v>
      </c>
      <c r="M686" s="113" t="s">
        <v>307</v>
      </c>
      <c r="N686" s="113" t="s">
        <v>3158</v>
      </c>
      <c r="O686" s="113" t="s">
        <v>276</v>
      </c>
      <c r="P686" s="113" t="s">
        <v>239</v>
      </c>
      <c r="Q686" s="162" t="s">
        <v>3220</v>
      </c>
      <c r="R686" s="113" t="s">
        <v>3221</v>
      </c>
      <c r="S686" s="113" t="s">
        <v>3222</v>
      </c>
      <c r="T686" s="113" t="s">
        <v>3233</v>
      </c>
      <c r="U686" s="113">
        <v>2</v>
      </c>
      <c r="V686" s="112" t="s">
        <v>14</v>
      </c>
      <c r="W686" s="112" t="s">
        <v>3223</v>
      </c>
      <c r="X686" s="113" t="s">
        <v>207</v>
      </c>
      <c r="Y686" s="118">
        <v>78969</v>
      </c>
      <c r="Z686" s="119">
        <v>74739</v>
      </c>
      <c r="AA686" s="113" t="s">
        <v>276</v>
      </c>
      <c r="AB686" s="113" t="s">
        <v>276</v>
      </c>
      <c r="AC686" s="112">
        <v>30</v>
      </c>
      <c r="AD686" s="112" t="s">
        <v>968</v>
      </c>
      <c r="AE686" s="112">
        <v>25</v>
      </c>
      <c r="AF686" s="112" t="s">
        <v>968</v>
      </c>
      <c r="AG686" s="113" t="s">
        <v>3248</v>
      </c>
      <c r="AH686" s="113" t="s">
        <v>866</v>
      </c>
      <c r="AI686" s="119">
        <v>38</v>
      </c>
      <c r="AJ686" s="119">
        <v>38</v>
      </c>
      <c r="AK686" s="118">
        <v>78969</v>
      </c>
      <c r="AL686" s="119">
        <v>74739</v>
      </c>
      <c r="AM686" s="119" t="s">
        <v>2047</v>
      </c>
      <c r="AN686" s="164" t="s">
        <v>276</v>
      </c>
      <c r="AO686" s="165">
        <f t="shared" si="200"/>
        <v>0.48120148412668262</v>
      </c>
      <c r="AP686" s="112" t="s">
        <v>276</v>
      </c>
      <c r="AQ686" s="112" t="s">
        <v>276</v>
      </c>
      <c r="AR686" s="112" t="s">
        <v>276</v>
      </c>
      <c r="AS686" s="121">
        <f t="shared" si="201"/>
        <v>0.50843602403029209</v>
      </c>
      <c r="AT686" s="112" t="s">
        <v>276</v>
      </c>
      <c r="AU686" s="112" t="s">
        <v>276</v>
      </c>
      <c r="AV686" s="112" t="s">
        <v>268</v>
      </c>
      <c r="AW686" s="112" t="s">
        <v>276</v>
      </c>
      <c r="AX686" s="121">
        <f t="shared" si="202"/>
        <v>0.94643467689852978</v>
      </c>
      <c r="AY686" s="112" t="s">
        <v>276</v>
      </c>
      <c r="AZ686" s="112" t="s">
        <v>276</v>
      </c>
      <c r="BA686" s="112" t="s">
        <v>276</v>
      </c>
      <c r="BB686" s="112" t="s">
        <v>282</v>
      </c>
      <c r="BC686" s="112" t="s">
        <v>276</v>
      </c>
      <c r="BD686" s="112" t="s">
        <v>276</v>
      </c>
      <c r="BE686" s="112" t="s">
        <v>276</v>
      </c>
      <c r="BF686" s="113" t="s">
        <v>1029</v>
      </c>
      <c r="BG686" s="113"/>
      <c r="BH686" s="9" t="s">
        <v>100</v>
      </c>
      <c r="BI686" s="9" t="s">
        <v>100</v>
      </c>
      <c r="BJ686" s="123"/>
      <c r="BN686" s="123"/>
      <c r="BO686" s="123"/>
    </row>
    <row r="687" spans="1:67" s="124" customFormat="1" ht="52" hidden="1" x14ac:dyDescent="0.35">
      <c r="A687" s="112">
        <v>2646</v>
      </c>
      <c r="B687" s="112" t="s">
        <v>3218</v>
      </c>
      <c r="C687" s="113" t="s">
        <v>3156</v>
      </c>
      <c r="D687" s="113" t="s">
        <v>3249</v>
      </c>
      <c r="E687" s="112" t="s">
        <v>41</v>
      </c>
      <c r="F687" s="113" t="s">
        <v>146</v>
      </c>
      <c r="G687" s="112" t="s">
        <v>225</v>
      </c>
      <c r="H687" s="112" t="s">
        <v>125</v>
      </c>
      <c r="I687" s="112" t="s">
        <v>114</v>
      </c>
      <c r="J687" s="113" t="s">
        <v>25</v>
      </c>
      <c r="K687" s="113" t="s">
        <v>314</v>
      </c>
      <c r="L687" s="113" t="s">
        <v>3193</v>
      </c>
      <c r="M687" s="113" t="s">
        <v>307</v>
      </c>
      <c r="N687" s="113" t="s">
        <v>3158</v>
      </c>
      <c r="O687" s="113" t="s">
        <v>276</v>
      </c>
      <c r="P687" s="113" t="s">
        <v>239</v>
      </c>
      <c r="Q687" s="162" t="s">
        <v>3220</v>
      </c>
      <c r="R687" s="113" t="s">
        <v>3221</v>
      </c>
      <c r="S687" s="113" t="s">
        <v>3222</v>
      </c>
      <c r="T687" s="113" t="s">
        <v>3233</v>
      </c>
      <c r="U687" s="113">
        <v>2</v>
      </c>
      <c r="V687" s="112" t="s">
        <v>14</v>
      </c>
      <c r="W687" s="112" t="s">
        <v>3223</v>
      </c>
      <c r="X687" s="113" t="s">
        <v>207</v>
      </c>
      <c r="Y687" s="118">
        <v>78969</v>
      </c>
      <c r="Z687" s="119">
        <v>74739</v>
      </c>
      <c r="AA687" s="113" t="s">
        <v>276</v>
      </c>
      <c r="AB687" s="113" t="s">
        <v>276</v>
      </c>
      <c r="AC687" s="112">
        <v>30</v>
      </c>
      <c r="AD687" s="112" t="s">
        <v>968</v>
      </c>
      <c r="AE687" s="112">
        <v>25</v>
      </c>
      <c r="AF687" s="112" t="s">
        <v>968</v>
      </c>
      <c r="AG687" s="113" t="s">
        <v>3248</v>
      </c>
      <c r="AH687" s="113" t="s">
        <v>3236</v>
      </c>
      <c r="AI687" s="119">
        <v>38</v>
      </c>
      <c r="AJ687" s="119">
        <v>38</v>
      </c>
      <c r="AK687" s="118">
        <v>344404</v>
      </c>
      <c r="AL687" s="119">
        <v>329326</v>
      </c>
      <c r="AM687" s="119" t="s">
        <v>425</v>
      </c>
      <c r="AN687" s="164" t="s">
        <v>276</v>
      </c>
      <c r="AO687" s="165">
        <f t="shared" si="200"/>
        <v>0.11033553617263446</v>
      </c>
      <c r="AP687" s="112" t="s">
        <v>276</v>
      </c>
      <c r="AQ687" s="112" t="s">
        <v>276</v>
      </c>
      <c r="AR687" s="112" t="s">
        <v>276</v>
      </c>
      <c r="AS687" s="121">
        <f t="shared" si="201"/>
        <v>0.11538718473488276</v>
      </c>
      <c r="AT687" s="112" t="s">
        <v>276</v>
      </c>
      <c r="AU687" s="112" t="s">
        <v>276</v>
      </c>
      <c r="AV687" s="112" t="s">
        <v>269</v>
      </c>
      <c r="AW687" s="112" t="s">
        <v>276</v>
      </c>
      <c r="AX687" s="121">
        <f t="shared" si="202"/>
        <v>0.95622002067339518</v>
      </c>
      <c r="AY687" s="112" t="s">
        <v>276</v>
      </c>
      <c r="AZ687" s="112" t="s">
        <v>276</v>
      </c>
      <c r="BA687" s="112" t="s">
        <v>276</v>
      </c>
      <c r="BB687" s="112" t="s">
        <v>282</v>
      </c>
      <c r="BC687" s="112" t="s">
        <v>276</v>
      </c>
      <c r="BD687" s="112" t="s">
        <v>276</v>
      </c>
      <c r="BE687" s="112" t="s">
        <v>276</v>
      </c>
      <c r="BF687" s="113" t="s">
        <v>3237</v>
      </c>
      <c r="BG687" s="113"/>
      <c r="BH687" s="9" t="s">
        <v>100</v>
      </c>
      <c r="BI687" s="9" t="s">
        <v>100</v>
      </c>
      <c r="BJ687" s="123"/>
      <c r="BN687" s="123"/>
      <c r="BO687" s="123"/>
    </row>
    <row r="688" spans="1:67" s="110" customFormat="1" ht="52" hidden="1" x14ac:dyDescent="0.35">
      <c r="A688" s="94">
        <v>2646</v>
      </c>
      <c r="B688" s="94" t="s">
        <v>3218</v>
      </c>
      <c r="C688" s="95" t="s">
        <v>3156</v>
      </c>
      <c r="D688" s="95" t="s">
        <v>3250</v>
      </c>
      <c r="E688" s="94" t="s">
        <v>41</v>
      </c>
      <c r="F688" s="95" t="s">
        <v>146</v>
      </c>
      <c r="G688" s="94" t="s">
        <v>225</v>
      </c>
      <c r="H688" s="94" t="s">
        <v>125</v>
      </c>
      <c r="I688" s="94" t="s">
        <v>114</v>
      </c>
      <c r="J688" s="95" t="s">
        <v>25</v>
      </c>
      <c r="K688" s="95" t="s">
        <v>317</v>
      </c>
      <c r="L688" s="95" t="s">
        <v>3193</v>
      </c>
      <c r="M688" s="95" t="s">
        <v>307</v>
      </c>
      <c r="N688" s="95" t="s">
        <v>3158</v>
      </c>
      <c r="O688" s="95" t="s">
        <v>276</v>
      </c>
      <c r="P688" s="95" t="s">
        <v>239</v>
      </c>
      <c r="Q688" s="163" t="s">
        <v>3220</v>
      </c>
      <c r="R688" s="95" t="s">
        <v>3221</v>
      </c>
      <c r="S688" s="95" t="s">
        <v>3222</v>
      </c>
      <c r="T688" s="95" t="s">
        <v>3233</v>
      </c>
      <c r="U688" s="95">
        <v>2</v>
      </c>
      <c r="V688" s="94" t="s">
        <v>14</v>
      </c>
      <c r="W688" s="94" t="s">
        <v>3223</v>
      </c>
      <c r="X688" s="95" t="s">
        <v>207</v>
      </c>
      <c r="Y688" s="98">
        <v>78969</v>
      </c>
      <c r="Z688" s="99">
        <v>74739</v>
      </c>
      <c r="AA688" s="95" t="s">
        <v>276</v>
      </c>
      <c r="AB688" s="95" t="s">
        <v>276</v>
      </c>
      <c r="AC688" s="94">
        <v>30</v>
      </c>
      <c r="AD688" s="94" t="s">
        <v>968</v>
      </c>
      <c r="AE688" s="94">
        <v>25</v>
      </c>
      <c r="AF688" s="94" t="s">
        <v>968</v>
      </c>
      <c r="AG688" s="95" t="s">
        <v>3251</v>
      </c>
      <c r="AH688" s="95" t="s">
        <v>866</v>
      </c>
      <c r="AI688" s="99">
        <f>25+38</f>
        <v>63</v>
      </c>
      <c r="AJ688" s="99">
        <f>38+23</f>
        <v>61</v>
      </c>
      <c r="AK688" s="98">
        <v>78969</v>
      </c>
      <c r="AL688" s="99">
        <v>74739</v>
      </c>
      <c r="AM688" s="99" t="s">
        <v>2047</v>
      </c>
      <c r="AN688" s="100" t="s">
        <v>276</v>
      </c>
      <c r="AO688" s="166">
        <f t="shared" si="200"/>
        <v>0.79778140789423702</v>
      </c>
      <c r="AP688" s="94" t="s">
        <v>276</v>
      </c>
      <c r="AQ688" s="94" t="s">
        <v>276</v>
      </c>
      <c r="AR688" s="94" t="s">
        <v>276</v>
      </c>
      <c r="AS688" s="102">
        <f t="shared" si="201"/>
        <v>0.81617361752231099</v>
      </c>
      <c r="AT688" s="94" t="s">
        <v>276</v>
      </c>
      <c r="AU688" s="94" t="s">
        <v>276</v>
      </c>
      <c r="AV688" s="94" t="s">
        <v>268</v>
      </c>
      <c r="AW688" s="94" t="s">
        <v>276</v>
      </c>
      <c r="AX688" s="102">
        <f t="shared" si="202"/>
        <v>0.97746532204274394</v>
      </c>
      <c r="AY688" s="94" t="s">
        <v>276</v>
      </c>
      <c r="AZ688" s="94" t="s">
        <v>276</v>
      </c>
      <c r="BA688" s="94" t="s">
        <v>276</v>
      </c>
      <c r="BB688" s="94" t="s">
        <v>282</v>
      </c>
      <c r="BC688" s="94" t="s">
        <v>276</v>
      </c>
      <c r="BD688" s="94" t="s">
        <v>276</v>
      </c>
      <c r="BE688" s="94" t="s">
        <v>276</v>
      </c>
      <c r="BF688" s="95" t="s">
        <v>1029</v>
      </c>
      <c r="BG688" s="95"/>
      <c r="BH688" s="9" t="s">
        <v>100</v>
      </c>
      <c r="BI688" s="9" t="s">
        <v>100</v>
      </c>
      <c r="BJ688" s="109"/>
      <c r="BN688" s="109"/>
      <c r="BO688" s="109"/>
    </row>
    <row r="689" spans="1:67" s="110" customFormat="1" ht="52" hidden="1" x14ac:dyDescent="0.35">
      <c r="A689" s="94">
        <v>2646</v>
      </c>
      <c r="B689" s="94" t="s">
        <v>3218</v>
      </c>
      <c r="C689" s="95" t="s">
        <v>3156</v>
      </c>
      <c r="D689" s="95" t="s">
        <v>3252</v>
      </c>
      <c r="E689" s="94" t="s">
        <v>41</v>
      </c>
      <c r="F689" s="95" t="s">
        <v>146</v>
      </c>
      <c r="G689" s="94" t="s">
        <v>225</v>
      </c>
      <c r="H689" s="94" t="s">
        <v>125</v>
      </c>
      <c r="I689" s="94" t="s">
        <v>114</v>
      </c>
      <c r="J689" s="95" t="s">
        <v>25</v>
      </c>
      <c r="K689" s="95" t="s">
        <v>317</v>
      </c>
      <c r="L689" s="95" t="s">
        <v>3193</v>
      </c>
      <c r="M689" s="95" t="s">
        <v>307</v>
      </c>
      <c r="N689" s="95" t="s">
        <v>3158</v>
      </c>
      <c r="O689" s="95" t="s">
        <v>276</v>
      </c>
      <c r="P689" s="95" t="s">
        <v>239</v>
      </c>
      <c r="Q689" s="163" t="s">
        <v>3220</v>
      </c>
      <c r="R689" s="95" t="s">
        <v>3221</v>
      </c>
      <c r="S689" s="95" t="s">
        <v>3222</v>
      </c>
      <c r="T689" s="95" t="s">
        <v>3233</v>
      </c>
      <c r="U689" s="95">
        <v>2</v>
      </c>
      <c r="V689" s="94" t="s">
        <v>14</v>
      </c>
      <c r="W689" s="94" t="s">
        <v>3223</v>
      </c>
      <c r="X689" s="95" t="s">
        <v>207</v>
      </c>
      <c r="Y689" s="98">
        <v>78969</v>
      </c>
      <c r="Z689" s="99">
        <v>74739</v>
      </c>
      <c r="AA689" s="95" t="s">
        <v>276</v>
      </c>
      <c r="AB689" s="95" t="s">
        <v>276</v>
      </c>
      <c r="AC689" s="94">
        <v>30</v>
      </c>
      <c r="AD689" s="94" t="s">
        <v>968</v>
      </c>
      <c r="AE689" s="94">
        <v>25</v>
      </c>
      <c r="AF689" s="94" t="s">
        <v>968</v>
      </c>
      <c r="AG689" s="95" t="s">
        <v>3251</v>
      </c>
      <c r="AH689" s="95" t="s">
        <v>3236</v>
      </c>
      <c r="AI689" s="99">
        <f>25+38</f>
        <v>63</v>
      </c>
      <c r="AJ689" s="99">
        <f>38+23</f>
        <v>61</v>
      </c>
      <c r="AK689" s="98">
        <v>344404</v>
      </c>
      <c r="AL689" s="99">
        <v>329326</v>
      </c>
      <c r="AM689" s="99" t="s">
        <v>425</v>
      </c>
      <c r="AN689" s="100" t="s">
        <v>276</v>
      </c>
      <c r="AO689" s="166">
        <f t="shared" si="200"/>
        <v>0.18292470470726241</v>
      </c>
      <c r="AP689" s="94" t="s">
        <v>276</v>
      </c>
      <c r="AQ689" s="94" t="s">
        <v>276</v>
      </c>
      <c r="AR689" s="94" t="s">
        <v>276</v>
      </c>
      <c r="AS689" s="102">
        <f t="shared" si="201"/>
        <v>0.18522679654810129</v>
      </c>
      <c r="AT689" s="94" t="s">
        <v>276</v>
      </c>
      <c r="AU689" s="94" t="s">
        <v>276</v>
      </c>
      <c r="AV689" s="94" t="s">
        <v>269</v>
      </c>
      <c r="AW689" s="94" t="s">
        <v>276</v>
      </c>
      <c r="AX689" s="102">
        <f t="shared" si="202"/>
        <v>0.9875714967610475</v>
      </c>
      <c r="AY689" s="94" t="s">
        <v>276</v>
      </c>
      <c r="AZ689" s="94" t="s">
        <v>276</v>
      </c>
      <c r="BA689" s="94" t="s">
        <v>276</v>
      </c>
      <c r="BB689" s="94" t="s">
        <v>282</v>
      </c>
      <c r="BC689" s="94" t="s">
        <v>276</v>
      </c>
      <c r="BD689" s="94" t="s">
        <v>276</v>
      </c>
      <c r="BE689" s="94" t="s">
        <v>276</v>
      </c>
      <c r="BF689" s="95" t="s">
        <v>3237</v>
      </c>
      <c r="BG689" s="95"/>
      <c r="BH689" s="9" t="s">
        <v>100</v>
      </c>
      <c r="BI689" s="9" t="s">
        <v>100</v>
      </c>
      <c r="BJ689" s="109"/>
      <c r="BN689" s="109"/>
      <c r="BO689" s="109"/>
    </row>
    <row r="690" spans="1:67" s="110" customFormat="1" ht="52" hidden="1" x14ac:dyDescent="0.35">
      <c r="A690" s="94">
        <v>2646</v>
      </c>
      <c r="B690" s="94" t="s">
        <v>3218</v>
      </c>
      <c r="C690" s="95" t="s">
        <v>3156</v>
      </c>
      <c r="D690" s="95" t="s">
        <v>3253</v>
      </c>
      <c r="E690" s="94" t="s">
        <v>41</v>
      </c>
      <c r="F690" s="95" t="s">
        <v>146</v>
      </c>
      <c r="G690" s="94" t="s">
        <v>225</v>
      </c>
      <c r="H690" s="94" t="s">
        <v>125</v>
      </c>
      <c r="I690" s="94" t="s">
        <v>114</v>
      </c>
      <c r="J690" s="95" t="s">
        <v>25</v>
      </c>
      <c r="K690" s="95" t="s">
        <v>317</v>
      </c>
      <c r="L690" s="95" t="s">
        <v>3193</v>
      </c>
      <c r="M690" s="95" t="s">
        <v>307</v>
      </c>
      <c r="N690" s="95" t="s">
        <v>3158</v>
      </c>
      <c r="O690" s="95" t="s">
        <v>276</v>
      </c>
      <c r="P690" s="95" t="s">
        <v>235</v>
      </c>
      <c r="Q690" s="163" t="s">
        <v>3220</v>
      </c>
      <c r="R690" s="95" t="s">
        <v>3221</v>
      </c>
      <c r="S690" s="95" t="s">
        <v>3222</v>
      </c>
      <c r="T690" s="95" t="s">
        <v>3233</v>
      </c>
      <c r="U690" s="95">
        <v>2</v>
      </c>
      <c r="V690" s="94" t="s">
        <v>14</v>
      </c>
      <c r="W690" s="94" t="s">
        <v>3223</v>
      </c>
      <c r="X690" s="95" t="s">
        <v>207</v>
      </c>
      <c r="Y690" s="98">
        <v>78969</v>
      </c>
      <c r="Z690" s="99">
        <v>74739</v>
      </c>
      <c r="AA690" s="95" t="s">
        <v>276</v>
      </c>
      <c r="AB690" s="95" t="s">
        <v>276</v>
      </c>
      <c r="AC690" s="94">
        <v>30</v>
      </c>
      <c r="AD690" s="94" t="s">
        <v>968</v>
      </c>
      <c r="AE690" s="94">
        <v>25</v>
      </c>
      <c r="AF690" s="94" t="s">
        <v>968</v>
      </c>
      <c r="AG690" s="95" t="s">
        <v>3251</v>
      </c>
      <c r="AH690" s="95" t="s">
        <v>3254</v>
      </c>
      <c r="AI690" s="99">
        <f>25+38</f>
        <v>63</v>
      </c>
      <c r="AJ690" s="99">
        <f>38+23</f>
        <v>61</v>
      </c>
      <c r="AK690" s="98">
        <v>149</v>
      </c>
      <c r="AL690" s="99">
        <v>106</v>
      </c>
      <c r="AM690" s="99" t="s">
        <v>292</v>
      </c>
      <c r="AN690" s="100">
        <f>16.8+25.5</f>
        <v>42.3</v>
      </c>
      <c r="AO690" s="166">
        <f>AI690*100/AK690</f>
        <v>42.281879194630875</v>
      </c>
      <c r="AP690" s="94" t="s">
        <v>276</v>
      </c>
      <c r="AQ690" s="94" t="s">
        <v>276</v>
      </c>
      <c r="AR690" s="94">
        <f>21.7+35.8</f>
        <v>57.5</v>
      </c>
      <c r="AS690" s="102">
        <f>AJ690*100/AL690</f>
        <v>57.547169811320757</v>
      </c>
      <c r="AT690" s="94" t="s">
        <v>276</v>
      </c>
      <c r="AU690" s="94" t="s">
        <v>276</v>
      </c>
      <c r="AV690" s="94" t="s">
        <v>268</v>
      </c>
      <c r="AW690" s="94" t="s">
        <v>276</v>
      </c>
      <c r="AX690" s="102">
        <f t="shared" si="202"/>
        <v>0.73473429420178238</v>
      </c>
      <c r="AY690" s="94" t="s">
        <v>276</v>
      </c>
      <c r="AZ690" s="94" t="s">
        <v>276</v>
      </c>
      <c r="BA690" s="94" t="s">
        <v>276</v>
      </c>
      <c r="BB690" s="94" t="s">
        <v>282</v>
      </c>
      <c r="BC690" s="94" t="s">
        <v>276</v>
      </c>
      <c r="BD690" s="94" t="s">
        <v>276</v>
      </c>
      <c r="BE690" s="94" t="s">
        <v>276</v>
      </c>
      <c r="BF690" s="95" t="s">
        <v>1029</v>
      </c>
      <c r="BG690" s="95"/>
      <c r="BH690" s="9" t="s">
        <v>100</v>
      </c>
      <c r="BI690" s="9" t="s">
        <v>100</v>
      </c>
      <c r="BJ690" s="109"/>
      <c r="BN690" s="109"/>
      <c r="BO690" s="109"/>
    </row>
    <row r="691" spans="1:67" s="137" customFormat="1" ht="78" hidden="1" x14ac:dyDescent="0.35">
      <c r="A691" s="126">
        <v>2643</v>
      </c>
      <c r="B691" s="126" t="s">
        <v>2508</v>
      </c>
      <c r="C691" s="127" t="s">
        <v>3156</v>
      </c>
      <c r="D691" s="127" t="s">
        <v>3255</v>
      </c>
      <c r="E691" s="126" t="s">
        <v>41</v>
      </c>
      <c r="F691" s="127" t="s">
        <v>146</v>
      </c>
      <c r="G691" s="126" t="s">
        <v>225</v>
      </c>
      <c r="H691" s="126" t="s">
        <v>225</v>
      </c>
      <c r="I691" s="126" t="s">
        <v>114</v>
      </c>
      <c r="J691" s="127" t="s">
        <v>98</v>
      </c>
      <c r="K691" s="127" t="s">
        <v>98</v>
      </c>
      <c r="L691" s="127" t="s">
        <v>98</v>
      </c>
      <c r="M691" s="127" t="s">
        <v>98</v>
      </c>
      <c r="N691" s="127" t="s">
        <v>3256</v>
      </c>
      <c r="O691" s="127" t="s">
        <v>276</v>
      </c>
      <c r="P691" s="127" t="s">
        <v>238</v>
      </c>
      <c r="Q691" s="167" t="s">
        <v>3257</v>
      </c>
      <c r="R691" s="127" t="s">
        <v>3258</v>
      </c>
      <c r="S691" s="127" t="s">
        <v>3259</v>
      </c>
      <c r="T691" s="127" t="s">
        <v>98</v>
      </c>
      <c r="U691" s="127" t="s">
        <v>3260</v>
      </c>
      <c r="V691" s="126" t="s">
        <v>14</v>
      </c>
      <c r="W691" s="134" t="s">
        <v>3261</v>
      </c>
      <c r="X691" s="127" t="s">
        <v>209</v>
      </c>
      <c r="Y691" s="132">
        <v>96517</v>
      </c>
      <c r="Z691" s="127" t="s">
        <v>98</v>
      </c>
      <c r="AA691" s="127" t="s">
        <v>276</v>
      </c>
      <c r="AB691" s="127" t="s">
        <v>98</v>
      </c>
      <c r="AC691" s="126" t="s">
        <v>276</v>
      </c>
      <c r="AD691" s="126" t="s">
        <v>276</v>
      </c>
      <c r="AE691" s="126" t="s">
        <v>98</v>
      </c>
      <c r="AF691" s="126" t="s">
        <v>98</v>
      </c>
      <c r="AG691" s="127" t="s">
        <v>3262</v>
      </c>
      <c r="AH691" s="127" t="s">
        <v>866</v>
      </c>
      <c r="AI691" s="134">
        <v>131</v>
      </c>
      <c r="AJ691" s="134" t="s">
        <v>98</v>
      </c>
      <c r="AK691" s="132">
        <v>96517</v>
      </c>
      <c r="AL691" s="134" t="s">
        <v>98</v>
      </c>
      <c r="AM691" s="134" t="s">
        <v>2047</v>
      </c>
      <c r="AN691" s="126">
        <v>0.7</v>
      </c>
      <c r="AO691" s="148">
        <f>AI691*1000/AK691</f>
        <v>1.3572738481303812</v>
      </c>
      <c r="AP691" s="126" t="s">
        <v>276</v>
      </c>
      <c r="AQ691" s="126" t="s">
        <v>276</v>
      </c>
      <c r="AR691" s="126" t="s">
        <v>98</v>
      </c>
      <c r="AS691" s="126" t="s">
        <v>98</v>
      </c>
      <c r="AT691" s="126" t="s">
        <v>98</v>
      </c>
      <c r="AU691" s="126" t="s">
        <v>98</v>
      </c>
      <c r="AV691" s="126" t="s">
        <v>98</v>
      </c>
      <c r="AW691" s="126" t="s">
        <v>98</v>
      </c>
      <c r="AX691" s="126" t="s">
        <v>98</v>
      </c>
      <c r="AY691" s="126" t="s">
        <v>98</v>
      </c>
      <c r="AZ691" s="126" t="s">
        <v>98</v>
      </c>
      <c r="BA691" s="126" t="s">
        <v>98</v>
      </c>
      <c r="BB691" s="126" t="s">
        <v>98</v>
      </c>
      <c r="BC691" s="126" t="s">
        <v>98</v>
      </c>
      <c r="BD691" s="126" t="s">
        <v>98</v>
      </c>
      <c r="BE691" s="126" t="s">
        <v>98</v>
      </c>
      <c r="BF691" s="127" t="s">
        <v>3263</v>
      </c>
      <c r="BG691" s="127"/>
      <c r="BH691" s="9" t="s">
        <v>100</v>
      </c>
      <c r="BI691" s="9" t="s">
        <v>100</v>
      </c>
      <c r="BJ691" s="136"/>
      <c r="BN691" s="136"/>
      <c r="BO691" s="136"/>
    </row>
    <row r="692" spans="1:67" s="137" customFormat="1" ht="78" hidden="1" x14ac:dyDescent="0.35">
      <c r="A692" s="126">
        <v>2643</v>
      </c>
      <c r="B692" s="126" t="s">
        <v>2508</v>
      </c>
      <c r="C692" s="127" t="s">
        <v>3156</v>
      </c>
      <c r="D692" s="127" t="s">
        <v>3264</v>
      </c>
      <c r="E692" s="126" t="s">
        <v>41</v>
      </c>
      <c r="F692" s="127" t="s">
        <v>146</v>
      </c>
      <c r="G692" s="126" t="s">
        <v>225</v>
      </c>
      <c r="H692" s="126" t="s">
        <v>225</v>
      </c>
      <c r="I692" s="126" t="s">
        <v>114</v>
      </c>
      <c r="J692" s="127" t="s">
        <v>98</v>
      </c>
      <c r="K692" s="127" t="s">
        <v>98</v>
      </c>
      <c r="L692" s="127" t="s">
        <v>98</v>
      </c>
      <c r="M692" s="127" t="s">
        <v>98</v>
      </c>
      <c r="N692" s="127" t="s">
        <v>3256</v>
      </c>
      <c r="O692" s="127" t="s">
        <v>276</v>
      </c>
      <c r="P692" s="127" t="s">
        <v>238</v>
      </c>
      <c r="Q692" s="167" t="s">
        <v>3257</v>
      </c>
      <c r="R692" s="127" t="s">
        <v>3258</v>
      </c>
      <c r="S692" s="127" t="s">
        <v>3259</v>
      </c>
      <c r="T692" s="127" t="s">
        <v>98</v>
      </c>
      <c r="U692" s="127" t="s">
        <v>3260</v>
      </c>
      <c r="V692" s="126" t="s">
        <v>14</v>
      </c>
      <c r="W692" s="134" t="s">
        <v>3261</v>
      </c>
      <c r="X692" s="127" t="s">
        <v>209</v>
      </c>
      <c r="Y692" s="132">
        <v>96517</v>
      </c>
      <c r="Z692" s="127" t="s">
        <v>98</v>
      </c>
      <c r="AA692" s="127" t="s">
        <v>276</v>
      </c>
      <c r="AB692" s="127" t="s">
        <v>98</v>
      </c>
      <c r="AC692" s="126" t="s">
        <v>276</v>
      </c>
      <c r="AD692" s="126" t="s">
        <v>276</v>
      </c>
      <c r="AE692" s="126" t="s">
        <v>98</v>
      </c>
      <c r="AF692" s="126" t="s">
        <v>98</v>
      </c>
      <c r="AG692" s="127" t="s">
        <v>3265</v>
      </c>
      <c r="AH692" s="127" t="s">
        <v>866</v>
      </c>
      <c r="AI692" s="134">
        <v>2252</v>
      </c>
      <c r="AJ692" s="134" t="s">
        <v>98</v>
      </c>
      <c r="AK692" s="132">
        <v>96517</v>
      </c>
      <c r="AL692" s="134" t="s">
        <v>98</v>
      </c>
      <c r="AM692" s="134" t="s">
        <v>2047</v>
      </c>
      <c r="AN692" s="126" t="s">
        <v>276</v>
      </c>
      <c r="AO692" s="148">
        <f>AI692*1000/AK692</f>
        <v>23.332677144958918</v>
      </c>
      <c r="AP692" s="126" t="s">
        <v>276</v>
      </c>
      <c r="AQ692" s="126" t="s">
        <v>276</v>
      </c>
      <c r="AR692" s="126" t="s">
        <v>98</v>
      </c>
      <c r="AS692" s="126" t="s">
        <v>98</v>
      </c>
      <c r="AT692" s="126" t="s">
        <v>98</v>
      </c>
      <c r="AU692" s="126" t="s">
        <v>98</v>
      </c>
      <c r="AV692" s="126" t="s">
        <v>98</v>
      </c>
      <c r="AW692" s="126" t="s">
        <v>98</v>
      </c>
      <c r="AX692" s="126" t="s">
        <v>98</v>
      </c>
      <c r="AY692" s="126" t="s">
        <v>98</v>
      </c>
      <c r="AZ692" s="126" t="s">
        <v>98</v>
      </c>
      <c r="BA692" s="126" t="s">
        <v>98</v>
      </c>
      <c r="BB692" s="126" t="s">
        <v>98</v>
      </c>
      <c r="BC692" s="126" t="s">
        <v>98</v>
      </c>
      <c r="BD692" s="126" t="s">
        <v>98</v>
      </c>
      <c r="BE692" s="126" t="s">
        <v>98</v>
      </c>
      <c r="BF692" s="127" t="s">
        <v>3263</v>
      </c>
      <c r="BG692" s="127"/>
      <c r="BH692" s="9" t="s">
        <v>100</v>
      </c>
      <c r="BI692" s="9" t="s">
        <v>100</v>
      </c>
      <c r="BJ692" s="136"/>
      <c r="BN692" s="136"/>
      <c r="BO692" s="136"/>
    </row>
    <row r="693" spans="1:67" s="137" customFormat="1" ht="78" hidden="1" x14ac:dyDescent="0.35">
      <c r="A693" s="126">
        <v>2643</v>
      </c>
      <c r="B693" s="126" t="s">
        <v>2508</v>
      </c>
      <c r="C693" s="127" t="s">
        <v>3156</v>
      </c>
      <c r="D693" s="127" t="s">
        <v>11693</v>
      </c>
      <c r="E693" s="126" t="s">
        <v>41</v>
      </c>
      <c r="F693" s="127" t="s">
        <v>146</v>
      </c>
      <c r="G693" s="126" t="s">
        <v>225</v>
      </c>
      <c r="H693" s="126" t="s">
        <v>225</v>
      </c>
      <c r="I693" s="126" t="s">
        <v>114</v>
      </c>
      <c r="J693" s="127" t="s">
        <v>98</v>
      </c>
      <c r="K693" s="127" t="s">
        <v>98</v>
      </c>
      <c r="L693" s="127" t="s">
        <v>98</v>
      </c>
      <c r="M693" s="127" t="s">
        <v>98</v>
      </c>
      <c r="N693" s="127" t="s">
        <v>3256</v>
      </c>
      <c r="O693" s="127" t="s">
        <v>276</v>
      </c>
      <c r="P693" s="127" t="s">
        <v>238</v>
      </c>
      <c r="Q693" s="167" t="s">
        <v>3257</v>
      </c>
      <c r="R693" s="127" t="s">
        <v>3258</v>
      </c>
      <c r="S693" s="127" t="s">
        <v>3259</v>
      </c>
      <c r="T693" s="127" t="s">
        <v>98</v>
      </c>
      <c r="U693" s="127" t="s">
        <v>3260</v>
      </c>
      <c r="V693" s="126" t="s">
        <v>14</v>
      </c>
      <c r="W693" s="134" t="s">
        <v>3261</v>
      </c>
      <c r="X693" s="127" t="s">
        <v>209</v>
      </c>
      <c r="Y693" s="132">
        <v>96517</v>
      </c>
      <c r="Z693" s="127" t="s">
        <v>98</v>
      </c>
      <c r="AA693" s="127" t="s">
        <v>276</v>
      </c>
      <c r="AB693" s="127" t="s">
        <v>98</v>
      </c>
      <c r="AC693" s="126" t="s">
        <v>276</v>
      </c>
      <c r="AD693" s="126" t="s">
        <v>276</v>
      </c>
      <c r="AE693" s="126" t="s">
        <v>98</v>
      </c>
      <c r="AF693" s="126" t="s">
        <v>98</v>
      </c>
      <c r="AG693" s="127" t="s">
        <v>11694</v>
      </c>
      <c r="AH693" s="127" t="s">
        <v>866</v>
      </c>
      <c r="AI693" s="134">
        <f>2252+131</f>
        <v>2383</v>
      </c>
      <c r="AJ693" s="134" t="s">
        <v>98</v>
      </c>
      <c r="AK693" s="132">
        <v>96517</v>
      </c>
      <c r="AL693" s="134" t="s">
        <v>98</v>
      </c>
      <c r="AM693" s="134" t="s">
        <v>2047</v>
      </c>
      <c r="AN693" s="126" t="s">
        <v>276</v>
      </c>
      <c r="AO693" s="148">
        <f>AI693*1000/AK693</f>
        <v>24.689950993089301</v>
      </c>
      <c r="AP693" s="126" t="s">
        <v>276</v>
      </c>
      <c r="AQ693" s="126" t="s">
        <v>276</v>
      </c>
      <c r="AR693" s="126" t="s">
        <v>98</v>
      </c>
      <c r="AS693" s="126" t="s">
        <v>98</v>
      </c>
      <c r="AT693" s="126" t="s">
        <v>98</v>
      </c>
      <c r="AU693" s="126" t="s">
        <v>98</v>
      </c>
      <c r="AV693" s="126" t="s">
        <v>98</v>
      </c>
      <c r="AW693" s="126" t="s">
        <v>98</v>
      </c>
      <c r="AX693" s="126" t="s">
        <v>98</v>
      </c>
      <c r="AY693" s="126" t="s">
        <v>98</v>
      </c>
      <c r="AZ693" s="126" t="s">
        <v>98</v>
      </c>
      <c r="BA693" s="126" t="s">
        <v>98</v>
      </c>
      <c r="BB693" s="126" t="s">
        <v>98</v>
      </c>
      <c r="BC693" s="126" t="s">
        <v>98</v>
      </c>
      <c r="BD693" s="126" t="s">
        <v>98</v>
      </c>
      <c r="BE693" s="126" t="s">
        <v>98</v>
      </c>
      <c r="BF693" s="127" t="s">
        <v>3263</v>
      </c>
      <c r="BG693" s="127"/>
      <c r="BH693" s="9" t="s">
        <v>100</v>
      </c>
      <c r="BI693" s="9" t="s">
        <v>100</v>
      </c>
      <c r="BJ693" s="136"/>
      <c r="BN693" s="136"/>
      <c r="BO693" s="136"/>
    </row>
    <row r="694" spans="1:67" s="137" customFormat="1" ht="78" x14ac:dyDescent="0.35">
      <c r="A694" s="126">
        <v>2643</v>
      </c>
      <c r="B694" s="126" t="s">
        <v>2508</v>
      </c>
      <c r="C694" s="127" t="s">
        <v>3156</v>
      </c>
      <c r="D694" s="127" t="s">
        <v>3266</v>
      </c>
      <c r="E694" s="126" t="s">
        <v>41</v>
      </c>
      <c r="F694" s="127" t="s">
        <v>146</v>
      </c>
      <c r="G694" s="126" t="s">
        <v>225</v>
      </c>
      <c r="H694" s="126" t="s">
        <v>225</v>
      </c>
      <c r="I694" s="126" t="s">
        <v>114</v>
      </c>
      <c r="J694" s="127" t="s">
        <v>98</v>
      </c>
      <c r="K694" s="127" t="s">
        <v>98</v>
      </c>
      <c r="L694" s="127" t="s">
        <v>98</v>
      </c>
      <c r="M694" s="127" t="s">
        <v>98</v>
      </c>
      <c r="N694" s="127" t="s">
        <v>3256</v>
      </c>
      <c r="O694" s="127" t="s">
        <v>276</v>
      </c>
      <c r="P694" s="127" t="s">
        <v>236</v>
      </c>
      <c r="Q694" s="167" t="s">
        <v>3257</v>
      </c>
      <c r="R694" s="127" t="s">
        <v>3258</v>
      </c>
      <c r="S694" s="127" t="s">
        <v>3259</v>
      </c>
      <c r="T694" s="127" t="s">
        <v>98</v>
      </c>
      <c r="U694" s="127" t="s">
        <v>3260</v>
      </c>
      <c r="V694" s="126" t="s">
        <v>14</v>
      </c>
      <c r="W694" s="134" t="s">
        <v>3261</v>
      </c>
      <c r="X694" s="127" t="s">
        <v>209</v>
      </c>
      <c r="Y694" s="132" t="s">
        <v>98</v>
      </c>
      <c r="Z694" s="127" t="s">
        <v>98</v>
      </c>
      <c r="AA694" s="127" t="s">
        <v>276</v>
      </c>
      <c r="AB694" s="127" t="s">
        <v>98</v>
      </c>
      <c r="AC694" s="126" t="s">
        <v>276</v>
      </c>
      <c r="AD694" s="126" t="s">
        <v>276</v>
      </c>
      <c r="AE694" s="126" t="s">
        <v>98</v>
      </c>
      <c r="AF694" s="126" t="s">
        <v>98</v>
      </c>
      <c r="AG694" s="127" t="s">
        <v>3262</v>
      </c>
      <c r="AH694" s="127" t="s">
        <v>3267</v>
      </c>
      <c r="AI694" s="134">
        <v>131</v>
      </c>
      <c r="AJ694" s="134" t="s">
        <v>98</v>
      </c>
      <c r="AK694" s="134">
        <v>205</v>
      </c>
      <c r="AL694" s="134" t="s">
        <v>98</v>
      </c>
      <c r="AM694" s="134" t="s">
        <v>292</v>
      </c>
      <c r="AN694" s="126">
        <v>64</v>
      </c>
      <c r="AO694" s="135">
        <f>AI694*100/AK694</f>
        <v>63.902439024390247</v>
      </c>
      <c r="AP694" s="126" t="s">
        <v>276</v>
      </c>
      <c r="AQ694" s="126" t="s">
        <v>276</v>
      </c>
      <c r="AR694" s="126" t="s">
        <v>98</v>
      </c>
      <c r="AS694" s="126" t="s">
        <v>98</v>
      </c>
      <c r="AT694" s="126" t="s">
        <v>98</v>
      </c>
      <c r="AU694" s="126" t="s">
        <v>98</v>
      </c>
      <c r="AV694" s="126" t="s">
        <v>98</v>
      </c>
      <c r="AW694" s="126" t="s">
        <v>98</v>
      </c>
      <c r="AX694" s="126" t="s">
        <v>98</v>
      </c>
      <c r="AY694" s="126" t="s">
        <v>98</v>
      </c>
      <c r="AZ694" s="126" t="s">
        <v>98</v>
      </c>
      <c r="BA694" s="126" t="s">
        <v>98</v>
      </c>
      <c r="BB694" s="126" t="s">
        <v>98</v>
      </c>
      <c r="BC694" s="126" t="s">
        <v>98</v>
      </c>
      <c r="BD694" s="126" t="s">
        <v>98</v>
      </c>
      <c r="BE694" s="126" t="s">
        <v>98</v>
      </c>
      <c r="BF694" s="127" t="s">
        <v>3268</v>
      </c>
      <c r="BG694" s="127"/>
      <c r="BH694" s="9" t="s">
        <v>99</v>
      </c>
      <c r="BI694" s="9" t="s">
        <v>100</v>
      </c>
      <c r="BJ694" s="136"/>
      <c r="BN694" s="136"/>
      <c r="BO694" s="136"/>
    </row>
    <row r="695" spans="1:67" s="172" customFormat="1" ht="78" hidden="1" x14ac:dyDescent="0.35">
      <c r="A695" s="150">
        <v>2643</v>
      </c>
      <c r="B695" s="150" t="s">
        <v>2508</v>
      </c>
      <c r="C695" s="151" t="s">
        <v>3156</v>
      </c>
      <c r="D695" s="151" t="s">
        <v>3269</v>
      </c>
      <c r="E695" s="150" t="s">
        <v>41</v>
      </c>
      <c r="F695" s="151" t="s">
        <v>146</v>
      </c>
      <c r="G695" s="150" t="s">
        <v>225</v>
      </c>
      <c r="H695" s="150" t="s">
        <v>125</v>
      </c>
      <c r="I695" s="150" t="s">
        <v>114</v>
      </c>
      <c r="J695" s="151" t="s">
        <v>25</v>
      </c>
      <c r="K695" s="151" t="s">
        <v>300</v>
      </c>
      <c r="L695" s="151" t="s">
        <v>3193</v>
      </c>
      <c r="M695" s="151" t="s">
        <v>307</v>
      </c>
      <c r="N695" s="151" t="s">
        <v>3256</v>
      </c>
      <c r="O695" s="151" t="s">
        <v>276</v>
      </c>
      <c r="P695" s="151" t="s">
        <v>239</v>
      </c>
      <c r="Q695" s="168" t="s">
        <v>3257</v>
      </c>
      <c r="R695" s="151" t="s">
        <v>3258</v>
      </c>
      <c r="S695" s="151" t="s">
        <v>3259</v>
      </c>
      <c r="T695" s="151" t="s">
        <v>3270</v>
      </c>
      <c r="U695" s="169" t="s">
        <v>3260</v>
      </c>
      <c r="V695" s="150" t="s">
        <v>14</v>
      </c>
      <c r="W695" s="156" t="s">
        <v>3261</v>
      </c>
      <c r="X695" s="151" t="s">
        <v>207</v>
      </c>
      <c r="Y695" s="155">
        <v>96517</v>
      </c>
      <c r="Z695" s="156">
        <v>95356</v>
      </c>
      <c r="AA695" s="151" t="s">
        <v>276</v>
      </c>
      <c r="AB695" s="151" t="s">
        <v>276</v>
      </c>
      <c r="AC695" s="150">
        <v>16</v>
      </c>
      <c r="AD695" s="150" t="s">
        <v>968</v>
      </c>
      <c r="AE695" s="150">
        <v>16</v>
      </c>
      <c r="AF695" s="150" t="s">
        <v>968</v>
      </c>
      <c r="AG695" s="151" t="s">
        <v>3271</v>
      </c>
      <c r="AH695" s="151" t="s">
        <v>866</v>
      </c>
      <c r="AI695" s="156">
        <v>51</v>
      </c>
      <c r="AJ695" s="156">
        <v>20</v>
      </c>
      <c r="AK695" s="155">
        <v>96517</v>
      </c>
      <c r="AL695" s="156">
        <v>95356</v>
      </c>
      <c r="AM695" s="156" t="s">
        <v>2047</v>
      </c>
      <c r="AN695" s="157" t="s">
        <v>276</v>
      </c>
      <c r="AO695" s="170">
        <f t="shared" ref="AO695" si="203">AI695*1000/AK695</f>
        <v>0.52840432255457592</v>
      </c>
      <c r="AP695" s="150" t="s">
        <v>276</v>
      </c>
      <c r="AQ695" s="150" t="s">
        <v>276</v>
      </c>
      <c r="AR695" s="150" t="s">
        <v>276</v>
      </c>
      <c r="AS695" s="159">
        <f t="shared" ref="AS695" si="204">AJ695*1000/AL695</f>
        <v>0.20974034145727588</v>
      </c>
      <c r="AT695" s="150" t="s">
        <v>276</v>
      </c>
      <c r="AU695" s="150" t="s">
        <v>276</v>
      </c>
      <c r="AV695" s="150" t="s">
        <v>268</v>
      </c>
      <c r="AW695" s="150" t="s">
        <v>276</v>
      </c>
      <c r="AX695" s="159">
        <f t="shared" ref="AX695:AX707" si="205">AO695/AS695</f>
        <v>2.5193261290757074</v>
      </c>
      <c r="AY695" s="150" t="s">
        <v>276</v>
      </c>
      <c r="AZ695" s="150" t="s">
        <v>276</v>
      </c>
      <c r="BA695" s="150" t="s">
        <v>276</v>
      </c>
      <c r="BB695" s="150" t="s">
        <v>282</v>
      </c>
      <c r="BC695" s="150" t="s">
        <v>276</v>
      </c>
      <c r="BD695" s="150" t="s">
        <v>276</v>
      </c>
      <c r="BE695" s="150" t="s">
        <v>276</v>
      </c>
      <c r="BF695" s="151" t="s">
        <v>3115</v>
      </c>
      <c r="BG695" s="151"/>
      <c r="BH695" s="9" t="s">
        <v>100</v>
      </c>
      <c r="BI695" s="9" t="s">
        <v>100</v>
      </c>
      <c r="BJ695" s="171"/>
      <c r="BN695" s="171"/>
      <c r="BO695" s="171"/>
    </row>
    <row r="696" spans="1:67" s="172" customFormat="1" ht="78" hidden="1" x14ac:dyDescent="0.35">
      <c r="A696" s="150">
        <v>2643</v>
      </c>
      <c r="B696" s="150" t="s">
        <v>2508</v>
      </c>
      <c r="C696" s="151" t="s">
        <v>3156</v>
      </c>
      <c r="D696" s="151" t="s">
        <v>3272</v>
      </c>
      <c r="E696" s="150" t="s">
        <v>41</v>
      </c>
      <c r="F696" s="151" t="s">
        <v>146</v>
      </c>
      <c r="G696" s="150" t="s">
        <v>225</v>
      </c>
      <c r="H696" s="150" t="s">
        <v>125</v>
      </c>
      <c r="I696" s="150" t="s">
        <v>114</v>
      </c>
      <c r="J696" s="151" t="s">
        <v>25</v>
      </c>
      <c r="K696" s="151" t="s">
        <v>300</v>
      </c>
      <c r="L696" s="151" t="s">
        <v>3193</v>
      </c>
      <c r="M696" s="151" t="s">
        <v>307</v>
      </c>
      <c r="N696" s="151" t="s">
        <v>3256</v>
      </c>
      <c r="O696" s="151" t="s">
        <v>276</v>
      </c>
      <c r="P696" s="151" t="s">
        <v>239</v>
      </c>
      <c r="Q696" s="168" t="s">
        <v>3257</v>
      </c>
      <c r="R696" s="151" t="s">
        <v>3258</v>
      </c>
      <c r="S696" s="151" t="s">
        <v>3259</v>
      </c>
      <c r="T696" s="151" t="s">
        <v>3270</v>
      </c>
      <c r="U696" s="169" t="s">
        <v>3260</v>
      </c>
      <c r="V696" s="150" t="s">
        <v>14</v>
      </c>
      <c r="W696" s="156" t="s">
        <v>3261</v>
      </c>
      <c r="X696" s="151" t="s">
        <v>207</v>
      </c>
      <c r="Y696" s="155">
        <v>96517</v>
      </c>
      <c r="Z696" s="156">
        <v>95356</v>
      </c>
      <c r="AA696" s="151" t="s">
        <v>276</v>
      </c>
      <c r="AB696" s="151" t="s">
        <v>276</v>
      </c>
      <c r="AC696" s="150">
        <v>16</v>
      </c>
      <c r="AD696" s="150" t="s">
        <v>968</v>
      </c>
      <c r="AE696" s="150">
        <v>16</v>
      </c>
      <c r="AF696" s="150" t="s">
        <v>968</v>
      </c>
      <c r="AG696" s="151" t="s">
        <v>3271</v>
      </c>
      <c r="AH696" s="151" t="s">
        <v>3273</v>
      </c>
      <c r="AI696" s="156">
        <v>51</v>
      </c>
      <c r="AJ696" s="156">
        <v>20</v>
      </c>
      <c r="AK696" s="155">
        <v>469089</v>
      </c>
      <c r="AL696" s="155">
        <v>419748</v>
      </c>
      <c r="AM696" s="156" t="s">
        <v>1019</v>
      </c>
      <c r="AN696" s="157" t="s">
        <v>276</v>
      </c>
      <c r="AO696" s="170">
        <f>AI696*100000/AK696</f>
        <v>10.8721372703261</v>
      </c>
      <c r="AP696" s="150" t="s">
        <v>276</v>
      </c>
      <c r="AQ696" s="150" t="s">
        <v>276</v>
      </c>
      <c r="AR696" s="150" t="s">
        <v>276</v>
      </c>
      <c r="AS696" s="159">
        <f>AJ696*100000/AL696</f>
        <v>4.764763620076808</v>
      </c>
      <c r="AT696" s="150" t="s">
        <v>276</v>
      </c>
      <c r="AU696" s="150" t="s">
        <v>276</v>
      </c>
      <c r="AV696" s="150" t="s">
        <v>269</v>
      </c>
      <c r="AW696" s="150" t="s">
        <v>276</v>
      </c>
      <c r="AX696" s="159">
        <f t="shared" si="205"/>
        <v>2.2817789374724198</v>
      </c>
      <c r="AY696" s="150" t="s">
        <v>276</v>
      </c>
      <c r="AZ696" s="150" t="s">
        <v>276</v>
      </c>
      <c r="BA696" s="150" t="s">
        <v>276</v>
      </c>
      <c r="BB696" s="150" t="s">
        <v>282</v>
      </c>
      <c r="BC696" s="150" t="s">
        <v>276</v>
      </c>
      <c r="BD696" s="150" t="s">
        <v>276</v>
      </c>
      <c r="BE696" s="150" t="s">
        <v>276</v>
      </c>
      <c r="BF696" s="151" t="s">
        <v>3115</v>
      </c>
      <c r="BG696" s="151"/>
      <c r="BH696" s="9" t="s">
        <v>100</v>
      </c>
      <c r="BI696" s="9" t="s">
        <v>100</v>
      </c>
      <c r="BJ696" s="171"/>
      <c r="BN696" s="171"/>
      <c r="BO696" s="171"/>
    </row>
    <row r="697" spans="1:67" s="137" customFormat="1" ht="78" hidden="1" x14ac:dyDescent="0.35">
      <c r="A697" s="126">
        <v>2643</v>
      </c>
      <c r="B697" s="126" t="s">
        <v>2508</v>
      </c>
      <c r="C697" s="127" t="s">
        <v>3156</v>
      </c>
      <c r="D697" s="127" t="s">
        <v>3274</v>
      </c>
      <c r="E697" s="126" t="s">
        <v>41</v>
      </c>
      <c r="F697" s="127" t="s">
        <v>146</v>
      </c>
      <c r="G697" s="126" t="s">
        <v>225</v>
      </c>
      <c r="H697" s="126" t="s">
        <v>125</v>
      </c>
      <c r="I697" s="126" t="s">
        <v>114</v>
      </c>
      <c r="J697" s="127" t="s">
        <v>25</v>
      </c>
      <c r="K697" s="127" t="s">
        <v>304</v>
      </c>
      <c r="L697" s="127" t="s">
        <v>3193</v>
      </c>
      <c r="M697" s="127" t="s">
        <v>307</v>
      </c>
      <c r="N697" s="127" t="s">
        <v>3256</v>
      </c>
      <c r="O697" s="127" t="s">
        <v>276</v>
      </c>
      <c r="P697" s="127" t="s">
        <v>239</v>
      </c>
      <c r="Q697" s="167" t="s">
        <v>3257</v>
      </c>
      <c r="R697" s="127" t="s">
        <v>3258</v>
      </c>
      <c r="S697" s="127" t="s">
        <v>3259</v>
      </c>
      <c r="T697" s="127" t="s">
        <v>3270</v>
      </c>
      <c r="U697" s="173" t="s">
        <v>3260</v>
      </c>
      <c r="V697" s="126" t="s">
        <v>14</v>
      </c>
      <c r="W697" s="134" t="s">
        <v>3261</v>
      </c>
      <c r="X697" s="127" t="s">
        <v>207</v>
      </c>
      <c r="Y697" s="132">
        <v>96517</v>
      </c>
      <c r="Z697" s="134">
        <v>95356</v>
      </c>
      <c r="AA697" s="127" t="s">
        <v>276</v>
      </c>
      <c r="AB697" s="127" t="s">
        <v>276</v>
      </c>
      <c r="AC697" s="126">
        <v>16</v>
      </c>
      <c r="AD697" s="126" t="s">
        <v>968</v>
      </c>
      <c r="AE697" s="126">
        <v>16</v>
      </c>
      <c r="AF697" s="126" t="s">
        <v>968</v>
      </c>
      <c r="AG697" s="127" t="s">
        <v>3275</v>
      </c>
      <c r="AH697" s="127" t="s">
        <v>866</v>
      </c>
      <c r="AI697" s="134">
        <v>34</v>
      </c>
      <c r="AJ697" s="134">
        <v>17</v>
      </c>
      <c r="AK697" s="132">
        <v>96517</v>
      </c>
      <c r="AL697" s="134">
        <v>95356</v>
      </c>
      <c r="AM697" s="134" t="s">
        <v>2047</v>
      </c>
      <c r="AN697" s="147" t="s">
        <v>276</v>
      </c>
      <c r="AO697" s="174">
        <f t="shared" ref="AO697" si="206">AI697*1000/AK697</f>
        <v>0.35226954836971724</v>
      </c>
      <c r="AP697" s="126" t="s">
        <v>276</v>
      </c>
      <c r="AQ697" s="126" t="s">
        <v>276</v>
      </c>
      <c r="AR697" s="126" t="s">
        <v>276</v>
      </c>
      <c r="AS697" s="135">
        <f t="shared" ref="AS697" si="207">AJ697*1000/AL697</f>
        <v>0.1782792902386845</v>
      </c>
      <c r="AT697" s="126" t="s">
        <v>276</v>
      </c>
      <c r="AU697" s="126" t="s">
        <v>276</v>
      </c>
      <c r="AV697" s="126" t="s">
        <v>268</v>
      </c>
      <c r="AW697" s="126" t="s">
        <v>276</v>
      </c>
      <c r="AX697" s="135">
        <f t="shared" si="205"/>
        <v>1.9759420620201624</v>
      </c>
      <c r="AY697" s="126" t="s">
        <v>276</v>
      </c>
      <c r="AZ697" s="126" t="s">
        <v>276</v>
      </c>
      <c r="BA697" s="126" t="s">
        <v>276</v>
      </c>
      <c r="BB697" s="126" t="s">
        <v>282</v>
      </c>
      <c r="BC697" s="126" t="s">
        <v>276</v>
      </c>
      <c r="BD697" s="126" t="s">
        <v>276</v>
      </c>
      <c r="BE697" s="126" t="s">
        <v>276</v>
      </c>
      <c r="BF697" s="127" t="s">
        <v>3115</v>
      </c>
      <c r="BG697" s="127"/>
      <c r="BH697" s="9" t="s">
        <v>100</v>
      </c>
      <c r="BI697" s="9" t="s">
        <v>100</v>
      </c>
      <c r="BJ697" s="136"/>
      <c r="BN697" s="136"/>
      <c r="BO697" s="136"/>
    </row>
    <row r="698" spans="1:67" s="137" customFormat="1" ht="78" hidden="1" x14ac:dyDescent="0.35">
      <c r="A698" s="126">
        <v>2643</v>
      </c>
      <c r="B698" s="126" t="s">
        <v>2508</v>
      </c>
      <c r="C698" s="127" t="s">
        <v>3156</v>
      </c>
      <c r="D698" s="127" t="s">
        <v>3276</v>
      </c>
      <c r="E698" s="126" t="s">
        <v>41</v>
      </c>
      <c r="F698" s="127" t="s">
        <v>146</v>
      </c>
      <c r="G698" s="126" t="s">
        <v>225</v>
      </c>
      <c r="H698" s="126" t="s">
        <v>125</v>
      </c>
      <c r="I698" s="126" t="s">
        <v>114</v>
      </c>
      <c r="J698" s="127" t="s">
        <v>25</v>
      </c>
      <c r="K698" s="127" t="s">
        <v>304</v>
      </c>
      <c r="L698" s="127" t="s">
        <v>3193</v>
      </c>
      <c r="M698" s="127" t="s">
        <v>307</v>
      </c>
      <c r="N698" s="127" t="s">
        <v>3256</v>
      </c>
      <c r="O698" s="127" t="s">
        <v>276</v>
      </c>
      <c r="P698" s="127" t="s">
        <v>239</v>
      </c>
      <c r="Q698" s="167" t="s">
        <v>3257</v>
      </c>
      <c r="R698" s="127" t="s">
        <v>3258</v>
      </c>
      <c r="S698" s="127" t="s">
        <v>3259</v>
      </c>
      <c r="T698" s="127" t="s">
        <v>3270</v>
      </c>
      <c r="U698" s="173" t="s">
        <v>3260</v>
      </c>
      <c r="V698" s="126" t="s">
        <v>14</v>
      </c>
      <c r="W698" s="134" t="s">
        <v>3261</v>
      </c>
      <c r="X698" s="127" t="s">
        <v>207</v>
      </c>
      <c r="Y698" s="132">
        <v>96517</v>
      </c>
      <c r="Z698" s="134">
        <v>95356</v>
      </c>
      <c r="AA698" s="127" t="s">
        <v>276</v>
      </c>
      <c r="AB698" s="127" t="s">
        <v>276</v>
      </c>
      <c r="AC698" s="126">
        <v>16</v>
      </c>
      <c r="AD698" s="126" t="s">
        <v>968</v>
      </c>
      <c r="AE698" s="126">
        <v>16</v>
      </c>
      <c r="AF698" s="126" t="s">
        <v>968</v>
      </c>
      <c r="AG698" s="127" t="s">
        <v>3275</v>
      </c>
      <c r="AH698" s="127" t="s">
        <v>3273</v>
      </c>
      <c r="AI698" s="134">
        <v>34</v>
      </c>
      <c r="AJ698" s="134">
        <v>17</v>
      </c>
      <c r="AK698" s="132">
        <v>469089</v>
      </c>
      <c r="AL698" s="132">
        <v>419748</v>
      </c>
      <c r="AM698" s="134" t="s">
        <v>1019</v>
      </c>
      <c r="AN698" s="147" t="s">
        <v>276</v>
      </c>
      <c r="AO698" s="174">
        <f>AI698*100000/AK698</f>
        <v>7.2480915135507331</v>
      </c>
      <c r="AP698" s="126" t="s">
        <v>276</v>
      </c>
      <c r="AQ698" s="126" t="s">
        <v>276</v>
      </c>
      <c r="AR698" s="126" t="s">
        <v>276</v>
      </c>
      <c r="AS698" s="135">
        <f>AJ698*100000/AL698</f>
        <v>4.0500490770652871</v>
      </c>
      <c r="AT698" s="126" t="s">
        <v>276</v>
      </c>
      <c r="AU698" s="126" t="s">
        <v>276</v>
      </c>
      <c r="AV698" s="126" t="s">
        <v>269</v>
      </c>
      <c r="AW698" s="126" t="s">
        <v>276</v>
      </c>
      <c r="AX698" s="135">
        <f t="shared" si="205"/>
        <v>1.7896305391940546</v>
      </c>
      <c r="AY698" s="126" t="s">
        <v>276</v>
      </c>
      <c r="AZ698" s="126" t="s">
        <v>276</v>
      </c>
      <c r="BA698" s="126" t="s">
        <v>276</v>
      </c>
      <c r="BB698" s="126" t="s">
        <v>282</v>
      </c>
      <c r="BC698" s="126" t="s">
        <v>276</v>
      </c>
      <c r="BD698" s="126" t="s">
        <v>276</v>
      </c>
      <c r="BE698" s="126" t="s">
        <v>276</v>
      </c>
      <c r="BF698" s="127" t="s">
        <v>3115</v>
      </c>
      <c r="BG698" s="127"/>
      <c r="BH698" s="9" t="s">
        <v>100</v>
      </c>
      <c r="BI698" s="9" t="s">
        <v>100</v>
      </c>
      <c r="BJ698" s="136"/>
      <c r="BN698" s="136"/>
      <c r="BO698" s="136"/>
    </row>
    <row r="699" spans="1:67" s="172" customFormat="1" ht="78" hidden="1" x14ac:dyDescent="0.35">
      <c r="A699" s="150">
        <v>2643</v>
      </c>
      <c r="B699" s="150" t="s">
        <v>2508</v>
      </c>
      <c r="C699" s="151" t="s">
        <v>3156</v>
      </c>
      <c r="D699" s="151" t="s">
        <v>3277</v>
      </c>
      <c r="E699" s="150" t="s">
        <v>41</v>
      </c>
      <c r="F699" s="151" t="s">
        <v>146</v>
      </c>
      <c r="G699" s="150" t="s">
        <v>225</v>
      </c>
      <c r="H699" s="150" t="s">
        <v>125</v>
      </c>
      <c r="I699" s="150" t="s">
        <v>114</v>
      </c>
      <c r="J699" s="151" t="s">
        <v>25</v>
      </c>
      <c r="K699" s="151" t="s">
        <v>307</v>
      </c>
      <c r="L699" s="151" t="s">
        <v>3193</v>
      </c>
      <c r="M699" s="151" t="s">
        <v>307</v>
      </c>
      <c r="N699" s="151" t="s">
        <v>3256</v>
      </c>
      <c r="O699" s="151" t="s">
        <v>276</v>
      </c>
      <c r="P699" s="151" t="s">
        <v>239</v>
      </c>
      <c r="Q699" s="168" t="s">
        <v>3257</v>
      </c>
      <c r="R699" s="151" t="s">
        <v>3258</v>
      </c>
      <c r="S699" s="151" t="s">
        <v>3259</v>
      </c>
      <c r="T699" s="151" t="s">
        <v>3270</v>
      </c>
      <c r="U699" s="169" t="s">
        <v>3260</v>
      </c>
      <c r="V699" s="150" t="s">
        <v>14</v>
      </c>
      <c r="W699" s="156" t="s">
        <v>3261</v>
      </c>
      <c r="X699" s="151" t="s">
        <v>207</v>
      </c>
      <c r="Y699" s="155">
        <v>96517</v>
      </c>
      <c r="Z699" s="156">
        <v>95356</v>
      </c>
      <c r="AA699" s="151" t="s">
        <v>276</v>
      </c>
      <c r="AB699" s="151" t="s">
        <v>276</v>
      </c>
      <c r="AC699" s="150">
        <v>16</v>
      </c>
      <c r="AD699" s="150" t="s">
        <v>968</v>
      </c>
      <c r="AE699" s="150">
        <v>16</v>
      </c>
      <c r="AF699" s="150" t="s">
        <v>968</v>
      </c>
      <c r="AG699" s="151" t="s">
        <v>3278</v>
      </c>
      <c r="AH699" s="151" t="s">
        <v>866</v>
      </c>
      <c r="AI699" s="156">
        <f>51+34</f>
        <v>85</v>
      </c>
      <c r="AJ699" s="156">
        <f>20+17</f>
        <v>37</v>
      </c>
      <c r="AK699" s="155">
        <v>96517</v>
      </c>
      <c r="AL699" s="156">
        <v>95356</v>
      </c>
      <c r="AM699" s="156" t="s">
        <v>2047</v>
      </c>
      <c r="AN699" s="157" t="s">
        <v>276</v>
      </c>
      <c r="AO699" s="170">
        <f t="shared" ref="AO699" si="208">AI699*1000/AK699</f>
        <v>0.88067387092429317</v>
      </c>
      <c r="AP699" s="150" t="s">
        <v>276</v>
      </c>
      <c r="AQ699" s="150" t="s">
        <v>276</v>
      </c>
      <c r="AR699" s="150" t="s">
        <v>276</v>
      </c>
      <c r="AS699" s="159">
        <f t="shared" ref="AS699" si="209">AJ699*1000/AL699</f>
        <v>0.38801963169596038</v>
      </c>
      <c r="AT699" s="150" t="s">
        <v>276</v>
      </c>
      <c r="AU699" s="150" t="s">
        <v>276</v>
      </c>
      <c r="AV699" s="150" t="s">
        <v>268</v>
      </c>
      <c r="AW699" s="150" t="s">
        <v>276</v>
      </c>
      <c r="AX699" s="159">
        <f t="shared" si="205"/>
        <v>2.269663179347484</v>
      </c>
      <c r="AY699" s="150" t="s">
        <v>276</v>
      </c>
      <c r="AZ699" s="150" t="s">
        <v>276</v>
      </c>
      <c r="BA699" s="150" t="s">
        <v>276</v>
      </c>
      <c r="BB699" s="150" t="s">
        <v>282</v>
      </c>
      <c r="BC699" s="150" t="s">
        <v>276</v>
      </c>
      <c r="BD699" s="150" t="s">
        <v>276</v>
      </c>
      <c r="BE699" s="150" t="s">
        <v>276</v>
      </c>
      <c r="BF699" s="151" t="s">
        <v>3115</v>
      </c>
      <c r="BG699" s="151"/>
      <c r="BH699" s="9" t="s">
        <v>100</v>
      </c>
      <c r="BI699" s="9" t="s">
        <v>100</v>
      </c>
      <c r="BJ699" s="171"/>
      <c r="BN699" s="171"/>
      <c r="BO699" s="171"/>
    </row>
    <row r="700" spans="1:67" s="172" customFormat="1" ht="78" hidden="1" x14ac:dyDescent="0.35">
      <c r="A700" s="150">
        <v>2643</v>
      </c>
      <c r="B700" s="150" t="s">
        <v>2508</v>
      </c>
      <c r="C700" s="151" t="s">
        <v>3156</v>
      </c>
      <c r="D700" s="151" t="s">
        <v>3279</v>
      </c>
      <c r="E700" s="150" t="s">
        <v>41</v>
      </c>
      <c r="F700" s="151" t="s">
        <v>146</v>
      </c>
      <c r="G700" s="150" t="s">
        <v>225</v>
      </c>
      <c r="H700" s="150" t="s">
        <v>125</v>
      </c>
      <c r="I700" s="150" t="s">
        <v>114</v>
      </c>
      <c r="J700" s="151" t="s">
        <v>25</v>
      </c>
      <c r="K700" s="151" t="s">
        <v>307</v>
      </c>
      <c r="L700" s="151" t="s">
        <v>3193</v>
      </c>
      <c r="M700" s="151" t="s">
        <v>307</v>
      </c>
      <c r="N700" s="151" t="s">
        <v>3256</v>
      </c>
      <c r="O700" s="151" t="s">
        <v>276</v>
      </c>
      <c r="P700" s="151" t="s">
        <v>239</v>
      </c>
      <c r="Q700" s="168" t="s">
        <v>3257</v>
      </c>
      <c r="R700" s="151" t="s">
        <v>3258</v>
      </c>
      <c r="S700" s="151" t="s">
        <v>3259</v>
      </c>
      <c r="T700" s="151" t="s">
        <v>3270</v>
      </c>
      <c r="U700" s="169" t="s">
        <v>3260</v>
      </c>
      <c r="V700" s="150" t="s">
        <v>14</v>
      </c>
      <c r="W700" s="156" t="s">
        <v>3261</v>
      </c>
      <c r="X700" s="151" t="s">
        <v>207</v>
      </c>
      <c r="Y700" s="155">
        <v>96517</v>
      </c>
      <c r="Z700" s="156">
        <v>95356</v>
      </c>
      <c r="AA700" s="151" t="s">
        <v>276</v>
      </c>
      <c r="AB700" s="151" t="s">
        <v>276</v>
      </c>
      <c r="AC700" s="150">
        <v>16</v>
      </c>
      <c r="AD700" s="150" t="s">
        <v>968</v>
      </c>
      <c r="AE700" s="150">
        <v>16</v>
      </c>
      <c r="AF700" s="150" t="s">
        <v>968</v>
      </c>
      <c r="AG700" s="151" t="s">
        <v>3278</v>
      </c>
      <c r="AH700" s="151" t="s">
        <v>3273</v>
      </c>
      <c r="AI700" s="156">
        <f>51+34</f>
        <v>85</v>
      </c>
      <c r="AJ700" s="156">
        <f>20+17</f>
        <v>37</v>
      </c>
      <c r="AK700" s="155">
        <v>469089</v>
      </c>
      <c r="AL700" s="155">
        <v>419748</v>
      </c>
      <c r="AM700" s="156" t="s">
        <v>1019</v>
      </c>
      <c r="AN700" s="157" t="s">
        <v>276</v>
      </c>
      <c r="AO700" s="170">
        <f>AI700*100000/AK700</f>
        <v>18.120228783876833</v>
      </c>
      <c r="AP700" s="150" t="s">
        <v>276</v>
      </c>
      <c r="AQ700" s="150" t="s">
        <v>276</v>
      </c>
      <c r="AR700" s="150" t="s">
        <v>276</v>
      </c>
      <c r="AS700" s="159">
        <f>AJ700*100000/AL700</f>
        <v>8.814812697142095</v>
      </c>
      <c r="AT700" s="150" t="s">
        <v>276</v>
      </c>
      <c r="AU700" s="150" t="s">
        <v>276</v>
      </c>
      <c r="AV700" s="150" t="s">
        <v>269</v>
      </c>
      <c r="AW700" s="150" t="s">
        <v>276</v>
      </c>
      <c r="AX700" s="159">
        <f t="shared" si="205"/>
        <v>2.0556567004256032</v>
      </c>
      <c r="AY700" s="150" t="s">
        <v>276</v>
      </c>
      <c r="AZ700" s="150" t="s">
        <v>276</v>
      </c>
      <c r="BA700" s="150" t="s">
        <v>276</v>
      </c>
      <c r="BB700" s="150" t="s">
        <v>282</v>
      </c>
      <c r="BC700" s="150" t="s">
        <v>276</v>
      </c>
      <c r="BD700" s="150" t="s">
        <v>276</v>
      </c>
      <c r="BE700" s="150" t="s">
        <v>276</v>
      </c>
      <c r="BF700" s="151" t="s">
        <v>3115</v>
      </c>
      <c r="BG700" s="151"/>
      <c r="BH700" s="9" t="s">
        <v>100</v>
      </c>
      <c r="BI700" s="9" t="s">
        <v>100</v>
      </c>
      <c r="BJ700" s="171"/>
      <c r="BN700" s="171"/>
      <c r="BO700" s="171"/>
    </row>
    <row r="701" spans="1:67" s="137" customFormat="1" ht="78" hidden="1" x14ac:dyDescent="0.35">
      <c r="A701" s="126">
        <v>2643</v>
      </c>
      <c r="B701" s="126" t="s">
        <v>2508</v>
      </c>
      <c r="C701" s="127" t="s">
        <v>3156</v>
      </c>
      <c r="D701" s="127" t="s">
        <v>3280</v>
      </c>
      <c r="E701" s="126" t="s">
        <v>41</v>
      </c>
      <c r="F701" s="127" t="s">
        <v>146</v>
      </c>
      <c r="G701" s="126" t="s">
        <v>225</v>
      </c>
      <c r="H701" s="126" t="s">
        <v>125</v>
      </c>
      <c r="I701" s="126" t="s">
        <v>114</v>
      </c>
      <c r="J701" s="127" t="s">
        <v>25</v>
      </c>
      <c r="K701" s="127" t="s">
        <v>311</v>
      </c>
      <c r="L701" s="127" t="s">
        <v>3193</v>
      </c>
      <c r="M701" s="127" t="s">
        <v>307</v>
      </c>
      <c r="N701" s="127" t="s">
        <v>3256</v>
      </c>
      <c r="O701" s="127" t="s">
        <v>276</v>
      </c>
      <c r="P701" s="127" t="s">
        <v>239</v>
      </c>
      <c r="Q701" s="167" t="s">
        <v>3257</v>
      </c>
      <c r="R701" s="127" t="s">
        <v>3258</v>
      </c>
      <c r="S701" s="127" t="s">
        <v>3259</v>
      </c>
      <c r="T701" s="127" t="s">
        <v>3270</v>
      </c>
      <c r="U701" s="173" t="s">
        <v>3260</v>
      </c>
      <c r="V701" s="126" t="s">
        <v>14</v>
      </c>
      <c r="W701" s="134" t="s">
        <v>3261</v>
      </c>
      <c r="X701" s="127" t="s">
        <v>207</v>
      </c>
      <c r="Y701" s="132">
        <v>96517</v>
      </c>
      <c r="Z701" s="134">
        <v>95356</v>
      </c>
      <c r="AA701" s="127" t="s">
        <v>276</v>
      </c>
      <c r="AB701" s="127" t="s">
        <v>276</v>
      </c>
      <c r="AC701" s="126">
        <v>16</v>
      </c>
      <c r="AD701" s="126" t="s">
        <v>968</v>
      </c>
      <c r="AE701" s="126">
        <v>16</v>
      </c>
      <c r="AF701" s="126" t="s">
        <v>968</v>
      </c>
      <c r="AG701" s="127" t="s">
        <v>3281</v>
      </c>
      <c r="AH701" s="127" t="s">
        <v>866</v>
      </c>
      <c r="AI701" s="134">
        <v>37</v>
      </c>
      <c r="AJ701" s="134">
        <v>35</v>
      </c>
      <c r="AK701" s="132">
        <v>96517</v>
      </c>
      <c r="AL701" s="134">
        <v>95356</v>
      </c>
      <c r="AM701" s="134" t="s">
        <v>2047</v>
      </c>
      <c r="AN701" s="147" t="s">
        <v>276</v>
      </c>
      <c r="AO701" s="174">
        <f t="shared" ref="AO701" si="210">AI701*1000/AK701</f>
        <v>0.38335215557880997</v>
      </c>
      <c r="AP701" s="126" t="s">
        <v>276</v>
      </c>
      <c r="AQ701" s="126" t="s">
        <v>276</v>
      </c>
      <c r="AR701" s="126" t="s">
        <v>276</v>
      </c>
      <c r="AS701" s="135">
        <f t="shared" ref="AS701" si="211">AJ701*1000/AL701</f>
        <v>0.3670455975502328</v>
      </c>
      <c r="AT701" s="126" t="s">
        <v>276</v>
      </c>
      <c r="AU701" s="126" t="s">
        <v>276</v>
      </c>
      <c r="AV701" s="126" t="s">
        <v>268</v>
      </c>
      <c r="AW701" s="126" t="s">
        <v>276</v>
      </c>
      <c r="AX701" s="135">
        <f t="shared" si="205"/>
        <v>1.0444265184963715</v>
      </c>
      <c r="AY701" s="126" t="s">
        <v>276</v>
      </c>
      <c r="AZ701" s="126" t="s">
        <v>276</v>
      </c>
      <c r="BA701" s="126" t="s">
        <v>276</v>
      </c>
      <c r="BB701" s="126" t="s">
        <v>282</v>
      </c>
      <c r="BC701" s="126" t="s">
        <v>276</v>
      </c>
      <c r="BD701" s="126" t="s">
        <v>276</v>
      </c>
      <c r="BE701" s="126" t="s">
        <v>276</v>
      </c>
      <c r="BF701" s="127" t="s">
        <v>3115</v>
      </c>
      <c r="BG701" s="127"/>
      <c r="BH701" s="9" t="s">
        <v>100</v>
      </c>
      <c r="BI701" s="9" t="s">
        <v>100</v>
      </c>
      <c r="BJ701" s="136"/>
      <c r="BN701" s="136"/>
      <c r="BO701" s="136"/>
    </row>
    <row r="702" spans="1:67" s="137" customFormat="1" ht="78" hidden="1" x14ac:dyDescent="0.35">
      <c r="A702" s="126">
        <v>2643</v>
      </c>
      <c r="B702" s="126" t="s">
        <v>2508</v>
      </c>
      <c r="C702" s="127" t="s">
        <v>3156</v>
      </c>
      <c r="D702" s="127" t="s">
        <v>3282</v>
      </c>
      <c r="E702" s="126" t="s">
        <v>41</v>
      </c>
      <c r="F702" s="127" t="s">
        <v>146</v>
      </c>
      <c r="G702" s="126" t="s">
        <v>225</v>
      </c>
      <c r="H702" s="126" t="s">
        <v>125</v>
      </c>
      <c r="I702" s="126" t="s">
        <v>114</v>
      </c>
      <c r="J702" s="127" t="s">
        <v>25</v>
      </c>
      <c r="K702" s="127" t="s">
        <v>311</v>
      </c>
      <c r="L702" s="127" t="s">
        <v>3193</v>
      </c>
      <c r="M702" s="127" t="s">
        <v>307</v>
      </c>
      <c r="N702" s="127" t="s">
        <v>3256</v>
      </c>
      <c r="O702" s="127" t="s">
        <v>276</v>
      </c>
      <c r="P702" s="127" t="s">
        <v>239</v>
      </c>
      <c r="Q702" s="167" t="s">
        <v>3257</v>
      </c>
      <c r="R702" s="127" t="s">
        <v>3258</v>
      </c>
      <c r="S702" s="127" t="s">
        <v>3259</v>
      </c>
      <c r="T702" s="127" t="s">
        <v>3270</v>
      </c>
      <c r="U702" s="173" t="s">
        <v>3260</v>
      </c>
      <c r="V702" s="126" t="s">
        <v>14</v>
      </c>
      <c r="W702" s="134" t="s">
        <v>3261</v>
      </c>
      <c r="X702" s="127" t="s">
        <v>207</v>
      </c>
      <c r="Y702" s="132">
        <v>96517</v>
      </c>
      <c r="Z702" s="134">
        <v>95356</v>
      </c>
      <c r="AA702" s="127" t="s">
        <v>276</v>
      </c>
      <c r="AB702" s="127" t="s">
        <v>276</v>
      </c>
      <c r="AC702" s="126">
        <v>16</v>
      </c>
      <c r="AD702" s="126" t="s">
        <v>968</v>
      </c>
      <c r="AE702" s="126">
        <v>16</v>
      </c>
      <c r="AF702" s="126" t="s">
        <v>968</v>
      </c>
      <c r="AG702" s="127" t="s">
        <v>3281</v>
      </c>
      <c r="AH702" s="127" t="s">
        <v>3273</v>
      </c>
      <c r="AI702" s="134">
        <v>37</v>
      </c>
      <c r="AJ702" s="134">
        <v>35</v>
      </c>
      <c r="AK702" s="132">
        <v>469089</v>
      </c>
      <c r="AL702" s="132">
        <v>419748</v>
      </c>
      <c r="AM702" s="134" t="s">
        <v>1019</v>
      </c>
      <c r="AN702" s="147" t="s">
        <v>276</v>
      </c>
      <c r="AO702" s="174">
        <f>AI702*100000/AK702</f>
        <v>7.887629000040504</v>
      </c>
      <c r="AP702" s="126" t="s">
        <v>276</v>
      </c>
      <c r="AQ702" s="126" t="s">
        <v>276</v>
      </c>
      <c r="AR702" s="126" t="s">
        <v>276</v>
      </c>
      <c r="AS702" s="135">
        <f>AJ702*100000/AL702</f>
        <v>8.3383363351344144</v>
      </c>
      <c r="AT702" s="126" t="s">
        <v>276</v>
      </c>
      <c r="AU702" s="126" t="s">
        <v>276</v>
      </c>
      <c r="AV702" s="126" t="s">
        <v>269</v>
      </c>
      <c r="AW702" s="126" t="s">
        <v>276</v>
      </c>
      <c r="AX702" s="135">
        <f t="shared" si="205"/>
        <v>0.94594757071685753</v>
      </c>
      <c r="AY702" s="126" t="s">
        <v>276</v>
      </c>
      <c r="AZ702" s="126" t="s">
        <v>276</v>
      </c>
      <c r="BA702" s="126" t="s">
        <v>276</v>
      </c>
      <c r="BB702" s="126" t="s">
        <v>282</v>
      </c>
      <c r="BC702" s="126" t="s">
        <v>276</v>
      </c>
      <c r="BD702" s="126" t="s">
        <v>276</v>
      </c>
      <c r="BE702" s="126" t="s">
        <v>276</v>
      </c>
      <c r="BF702" s="127" t="s">
        <v>3115</v>
      </c>
      <c r="BG702" s="127"/>
      <c r="BH702" s="9" t="s">
        <v>100</v>
      </c>
      <c r="BI702" s="9" t="s">
        <v>100</v>
      </c>
      <c r="BJ702" s="136"/>
      <c r="BN702" s="136"/>
      <c r="BO702" s="136"/>
    </row>
    <row r="703" spans="1:67" s="172" customFormat="1" ht="78" hidden="1" x14ac:dyDescent="0.35">
      <c r="A703" s="150">
        <v>2643</v>
      </c>
      <c r="B703" s="150" t="s">
        <v>2508</v>
      </c>
      <c r="C703" s="151" t="s">
        <v>3156</v>
      </c>
      <c r="D703" s="151" t="s">
        <v>3283</v>
      </c>
      <c r="E703" s="150" t="s">
        <v>41</v>
      </c>
      <c r="F703" s="151" t="s">
        <v>146</v>
      </c>
      <c r="G703" s="150" t="s">
        <v>225</v>
      </c>
      <c r="H703" s="150" t="s">
        <v>125</v>
      </c>
      <c r="I703" s="150" t="s">
        <v>114</v>
      </c>
      <c r="J703" s="151" t="s">
        <v>25</v>
      </c>
      <c r="K703" s="151" t="s">
        <v>314</v>
      </c>
      <c r="L703" s="151" t="s">
        <v>3193</v>
      </c>
      <c r="M703" s="151" t="s">
        <v>307</v>
      </c>
      <c r="N703" s="151" t="s">
        <v>3256</v>
      </c>
      <c r="O703" s="151" t="s">
        <v>276</v>
      </c>
      <c r="P703" s="151" t="s">
        <v>239</v>
      </c>
      <c r="Q703" s="168" t="s">
        <v>3257</v>
      </c>
      <c r="R703" s="151" t="s">
        <v>3258</v>
      </c>
      <c r="S703" s="151" t="s">
        <v>3259</v>
      </c>
      <c r="T703" s="151" t="s">
        <v>3270</v>
      </c>
      <c r="U703" s="169" t="s">
        <v>3260</v>
      </c>
      <c r="V703" s="150" t="s">
        <v>14</v>
      </c>
      <c r="W703" s="156" t="s">
        <v>3261</v>
      </c>
      <c r="X703" s="151" t="s">
        <v>207</v>
      </c>
      <c r="Y703" s="155">
        <v>96517</v>
      </c>
      <c r="Z703" s="156">
        <v>95356</v>
      </c>
      <c r="AA703" s="151" t="s">
        <v>276</v>
      </c>
      <c r="AB703" s="151" t="s">
        <v>276</v>
      </c>
      <c r="AC703" s="150">
        <v>16</v>
      </c>
      <c r="AD703" s="150" t="s">
        <v>968</v>
      </c>
      <c r="AE703" s="150">
        <v>16</v>
      </c>
      <c r="AF703" s="150" t="s">
        <v>968</v>
      </c>
      <c r="AG703" s="151" t="s">
        <v>3284</v>
      </c>
      <c r="AH703" s="151" t="s">
        <v>866</v>
      </c>
      <c r="AI703" s="156">
        <v>67</v>
      </c>
      <c r="AJ703" s="156">
        <v>70</v>
      </c>
      <c r="AK703" s="155">
        <v>96517</v>
      </c>
      <c r="AL703" s="156">
        <v>95356</v>
      </c>
      <c r="AM703" s="156" t="s">
        <v>2047</v>
      </c>
      <c r="AN703" s="157" t="s">
        <v>276</v>
      </c>
      <c r="AO703" s="170">
        <f t="shared" ref="AO703" si="212">AI703*1000/AK703</f>
        <v>0.69417822766973691</v>
      </c>
      <c r="AP703" s="150" t="s">
        <v>276</v>
      </c>
      <c r="AQ703" s="150" t="s">
        <v>276</v>
      </c>
      <c r="AR703" s="150" t="s">
        <v>276</v>
      </c>
      <c r="AS703" s="159">
        <f t="shared" ref="AS703" si="213">AJ703*1000/AL703</f>
        <v>0.73409119510046561</v>
      </c>
      <c r="AT703" s="150" t="s">
        <v>276</v>
      </c>
      <c r="AU703" s="150" t="s">
        <v>276</v>
      </c>
      <c r="AV703" s="150" t="s">
        <v>268</v>
      </c>
      <c r="AW703" s="150" t="s">
        <v>276</v>
      </c>
      <c r="AX703" s="159">
        <f t="shared" si="205"/>
        <v>0.94562941539536338</v>
      </c>
      <c r="AY703" s="150" t="s">
        <v>276</v>
      </c>
      <c r="AZ703" s="150" t="s">
        <v>276</v>
      </c>
      <c r="BA703" s="150" t="s">
        <v>276</v>
      </c>
      <c r="BB703" s="150" t="s">
        <v>282</v>
      </c>
      <c r="BC703" s="150" t="s">
        <v>276</v>
      </c>
      <c r="BD703" s="150" t="s">
        <v>276</v>
      </c>
      <c r="BE703" s="150" t="s">
        <v>276</v>
      </c>
      <c r="BF703" s="151" t="s">
        <v>3115</v>
      </c>
      <c r="BG703" s="151"/>
      <c r="BH703" s="9" t="s">
        <v>100</v>
      </c>
      <c r="BI703" s="9" t="s">
        <v>100</v>
      </c>
      <c r="BJ703" s="171"/>
      <c r="BN703" s="171"/>
      <c r="BO703" s="171"/>
    </row>
    <row r="704" spans="1:67" s="172" customFormat="1" ht="78" hidden="1" x14ac:dyDescent="0.35">
      <c r="A704" s="150">
        <v>2643</v>
      </c>
      <c r="B704" s="150" t="s">
        <v>2508</v>
      </c>
      <c r="C704" s="151" t="s">
        <v>3156</v>
      </c>
      <c r="D704" s="151" t="s">
        <v>3285</v>
      </c>
      <c r="E704" s="150" t="s">
        <v>41</v>
      </c>
      <c r="F704" s="151" t="s">
        <v>146</v>
      </c>
      <c r="G704" s="150" t="s">
        <v>225</v>
      </c>
      <c r="H704" s="150" t="s">
        <v>125</v>
      </c>
      <c r="I704" s="150" t="s">
        <v>114</v>
      </c>
      <c r="J704" s="151" t="s">
        <v>25</v>
      </c>
      <c r="K704" s="151" t="s">
        <v>314</v>
      </c>
      <c r="L704" s="151" t="s">
        <v>3193</v>
      </c>
      <c r="M704" s="151" t="s">
        <v>307</v>
      </c>
      <c r="N704" s="151" t="s">
        <v>3256</v>
      </c>
      <c r="O704" s="151" t="s">
        <v>276</v>
      </c>
      <c r="P704" s="151" t="s">
        <v>239</v>
      </c>
      <c r="Q704" s="168" t="s">
        <v>3257</v>
      </c>
      <c r="R704" s="151" t="s">
        <v>3258</v>
      </c>
      <c r="S704" s="151" t="s">
        <v>3259</v>
      </c>
      <c r="T704" s="151" t="s">
        <v>3270</v>
      </c>
      <c r="U704" s="169" t="s">
        <v>3260</v>
      </c>
      <c r="V704" s="150" t="s">
        <v>14</v>
      </c>
      <c r="W704" s="156" t="s">
        <v>3261</v>
      </c>
      <c r="X704" s="151" t="s">
        <v>207</v>
      </c>
      <c r="Y704" s="155">
        <v>96517</v>
      </c>
      <c r="Z704" s="156">
        <v>95356</v>
      </c>
      <c r="AA704" s="151" t="s">
        <v>276</v>
      </c>
      <c r="AB704" s="151" t="s">
        <v>276</v>
      </c>
      <c r="AC704" s="150">
        <v>16</v>
      </c>
      <c r="AD704" s="150" t="s">
        <v>968</v>
      </c>
      <c r="AE704" s="150">
        <v>16</v>
      </c>
      <c r="AF704" s="150" t="s">
        <v>968</v>
      </c>
      <c r="AG704" s="151" t="s">
        <v>3284</v>
      </c>
      <c r="AH704" s="151" t="s">
        <v>3273</v>
      </c>
      <c r="AI704" s="156">
        <v>67</v>
      </c>
      <c r="AJ704" s="156">
        <v>70</v>
      </c>
      <c r="AK704" s="155">
        <v>469089</v>
      </c>
      <c r="AL704" s="155">
        <v>419748</v>
      </c>
      <c r="AM704" s="156" t="s">
        <v>1019</v>
      </c>
      <c r="AN704" s="157" t="s">
        <v>276</v>
      </c>
      <c r="AO704" s="170">
        <f>AI704*100000/AK704</f>
        <v>14.283003864938211</v>
      </c>
      <c r="AP704" s="150" t="s">
        <v>276</v>
      </c>
      <c r="AQ704" s="150" t="s">
        <v>276</v>
      </c>
      <c r="AR704" s="150" t="s">
        <v>276</v>
      </c>
      <c r="AS704" s="159">
        <f>AJ704*100000/AL704</f>
        <v>16.676672670268829</v>
      </c>
      <c r="AT704" s="150" t="s">
        <v>276</v>
      </c>
      <c r="AU704" s="150" t="s">
        <v>276</v>
      </c>
      <c r="AV704" s="150" t="s">
        <v>269</v>
      </c>
      <c r="AW704" s="150" t="s">
        <v>276</v>
      </c>
      <c r="AX704" s="159">
        <f t="shared" si="205"/>
        <v>0.85646604375715485</v>
      </c>
      <c r="AY704" s="150" t="s">
        <v>276</v>
      </c>
      <c r="AZ704" s="150" t="s">
        <v>276</v>
      </c>
      <c r="BA704" s="150" t="s">
        <v>276</v>
      </c>
      <c r="BB704" s="150" t="s">
        <v>282</v>
      </c>
      <c r="BC704" s="150" t="s">
        <v>276</v>
      </c>
      <c r="BD704" s="150" t="s">
        <v>276</v>
      </c>
      <c r="BE704" s="150" t="s">
        <v>276</v>
      </c>
      <c r="BF704" s="151" t="s">
        <v>3115</v>
      </c>
      <c r="BG704" s="151"/>
      <c r="BH704" s="9" t="s">
        <v>100</v>
      </c>
      <c r="BI704" s="9" t="s">
        <v>100</v>
      </c>
      <c r="BJ704" s="171"/>
      <c r="BN704" s="171"/>
      <c r="BO704" s="171"/>
    </row>
    <row r="705" spans="1:67" s="137" customFormat="1" ht="78" hidden="1" x14ac:dyDescent="0.35">
      <c r="A705" s="126">
        <v>2643</v>
      </c>
      <c r="B705" s="126" t="s">
        <v>2508</v>
      </c>
      <c r="C705" s="127" t="s">
        <v>3156</v>
      </c>
      <c r="D705" s="127" t="s">
        <v>3286</v>
      </c>
      <c r="E705" s="126" t="s">
        <v>41</v>
      </c>
      <c r="F705" s="127" t="s">
        <v>146</v>
      </c>
      <c r="G705" s="126" t="s">
        <v>225</v>
      </c>
      <c r="H705" s="126" t="s">
        <v>125</v>
      </c>
      <c r="I705" s="126" t="s">
        <v>114</v>
      </c>
      <c r="J705" s="127" t="s">
        <v>25</v>
      </c>
      <c r="K705" s="127" t="s">
        <v>317</v>
      </c>
      <c r="L705" s="127" t="s">
        <v>3193</v>
      </c>
      <c r="M705" s="127" t="s">
        <v>307</v>
      </c>
      <c r="N705" s="127" t="s">
        <v>3256</v>
      </c>
      <c r="O705" s="127" t="s">
        <v>276</v>
      </c>
      <c r="P705" s="127" t="s">
        <v>239</v>
      </c>
      <c r="Q705" s="167" t="s">
        <v>3257</v>
      </c>
      <c r="R705" s="127" t="s">
        <v>3258</v>
      </c>
      <c r="S705" s="127" t="s">
        <v>3259</v>
      </c>
      <c r="T705" s="127" t="s">
        <v>3270</v>
      </c>
      <c r="U705" s="173" t="s">
        <v>3260</v>
      </c>
      <c r="V705" s="126" t="s">
        <v>14</v>
      </c>
      <c r="W705" s="134" t="s">
        <v>3261</v>
      </c>
      <c r="X705" s="127" t="s">
        <v>207</v>
      </c>
      <c r="Y705" s="132">
        <v>96517</v>
      </c>
      <c r="Z705" s="134">
        <v>95356</v>
      </c>
      <c r="AA705" s="127" t="s">
        <v>276</v>
      </c>
      <c r="AB705" s="127" t="s">
        <v>276</v>
      </c>
      <c r="AC705" s="126">
        <v>16</v>
      </c>
      <c r="AD705" s="126" t="s">
        <v>968</v>
      </c>
      <c r="AE705" s="126">
        <v>16</v>
      </c>
      <c r="AF705" s="126" t="s">
        <v>968</v>
      </c>
      <c r="AG705" s="127" t="s">
        <v>3287</v>
      </c>
      <c r="AH705" s="127" t="s">
        <v>866</v>
      </c>
      <c r="AI705" s="134">
        <f>37+67</f>
        <v>104</v>
      </c>
      <c r="AJ705" s="134">
        <f>35+70</f>
        <v>105</v>
      </c>
      <c r="AK705" s="132">
        <v>96517</v>
      </c>
      <c r="AL705" s="134">
        <v>95356</v>
      </c>
      <c r="AM705" s="134" t="s">
        <v>2047</v>
      </c>
      <c r="AN705" s="147" t="s">
        <v>276</v>
      </c>
      <c r="AO705" s="174">
        <f t="shared" ref="AO705" si="214">AI705*1000/AK705</f>
        <v>1.077530383248547</v>
      </c>
      <c r="AP705" s="126" t="s">
        <v>276</v>
      </c>
      <c r="AQ705" s="126" t="s">
        <v>276</v>
      </c>
      <c r="AR705" s="126" t="s">
        <v>276</v>
      </c>
      <c r="AS705" s="135">
        <f t="shared" ref="AS705" si="215">AJ705*1000/AL705</f>
        <v>1.1011367926506985</v>
      </c>
      <c r="AT705" s="126" t="s">
        <v>276</v>
      </c>
      <c r="AU705" s="126" t="s">
        <v>276</v>
      </c>
      <c r="AV705" s="126" t="s">
        <v>268</v>
      </c>
      <c r="AW705" s="126" t="s">
        <v>276</v>
      </c>
      <c r="AX705" s="135">
        <f t="shared" si="205"/>
        <v>0.97856178309569941</v>
      </c>
      <c r="AY705" s="126" t="s">
        <v>276</v>
      </c>
      <c r="AZ705" s="126" t="s">
        <v>276</v>
      </c>
      <c r="BA705" s="126" t="s">
        <v>276</v>
      </c>
      <c r="BB705" s="126" t="s">
        <v>282</v>
      </c>
      <c r="BC705" s="126" t="s">
        <v>276</v>
      </c>
      <c r="BD705" s="126" t="s">
        <v>276</v>
      </c>
      <c r="BE705" s="126" t="s">
        <v>276</v>
      </c>
      <c r="BF705" s="127" t="s">
        <v>3115</v>
      </c>
      <c r="BG705" s="127"/>
      <c r="BH705" s="9" t="s">
        <v>100</v>
      </c>
      <c r="BI705" s="9" t="s">
        <v>100</v>
      </c>
      <c r="BJ705" s="136"/>
      <c r="BN705" s="136"/>
      <c r="BO705" s="136"/>
    </row>
    <row r="706" spans="1:67" s="137" customFormat="1" ht="78" hidden="1" x14ac:dyDescent="0.35">
      <c r="A706" s="126">
        <v>2643</v>
      </c>
      <c r="B706" s="126" t="s">
        <v>2508</v>
      </c>
      <c r="C706" s="127" t="s">
        <v>3156</v>
      </c>
      <c r="D706" s="127" t="s">
        <v>3288</v>
      </c>
      <c r="E706" s="126" t="s">
        <v>41</v>
      </c>
      <c r="F706" s="127" t="s">
        <v>146</v>
      </c>
      <c r="G706" s="126" t="s">
        <v>225</v>
      </c>
      <c r="H706" s="126" t="s">
        <v>125</v>
      </c>
      <c r="I706" s="126" t="s">
        <v>114</v>
      </c>
      <c r="J706" s="127" t="s">
        <v>25</v>
      </c>
      <c r="K706" s="127" t="s">
        <v>317</v>
      </c>
      <c r="L706" s="127" t="s">
        <v>3193</v>
      </c>
      <c r="M706" s="127" t="s">
        <v>307</v>
      </c>
      <c r="N706" s="127" t="s">
        <v>3256</v>
      </c>
      <c r="O706" s="127" t="s">
        <v>276</v>
      </c>
      <c r="P706" s="127" t="s">
        <v>239</v>
      </c>
      <c r="Q706" s="167" t="s">
        <v>3257</v>
      </c>
      <c r="R706" s="127" t="s">
        <v>3258</v>
      </c>
      <c r="S706" s="127" t="s">
        <v>3259</v>
      </c>
      <c r="T706" s="127" t="s">
        <v>3270</v>
      </c>
      <c r="U706" s="173" t="s">
        <v>3260</v>
      </c>
      <c r="V706" s="126" t="s">
        <v>14</v>
      </c>
      <c r="W706" s="134" t="s">
        <v>3261</v>
      </c>
      <c r="X706" s="127" t="s">
        <v>207</v>
      </c>
      <c r="Y706" s="132">
        <v>96517</v>
      </c>
      <c r="Z706" s="134">
        <v>95356</v>
      </c>
      <c r="AA706" s="127" t="s">
        <v>276</v>
      </c>
      <c r="AB706" s="127" t="s">
        <v>276</v>
      </c>
      <c r="AC706" s="126">
        <v>16</v>
      </c>
      <c r="AD706" s="126" t="s">
        <v>968</v>
      </c>
      <c r="AE706" s="126">
        <v>16</v>
      </c>
      <c r="AF706" s="126" t="s">
        <v>968</v>
      </c>
      <c r="AG706" s="127" t="s">
        <v>3287</v>
      </c>
      <c r="AH706" s="127" t="s">
        <v>3273</v>
      </c>
      <c r="AI706" s="134">
        <f>37+67</f>
        <v>104</v>
      </c>
      <c r="AJ706" s="134">
        <f>35+70</f>
        <v>105</v>
      </c>
      <c r="AK706" s="132">
        <v>469089</v>
      </c>
      <c r="AL706" s="132">
        <v>419748</v>
      </c>
      <c r="AM706" s="134" t="s">
        <v>1019</v>
      </c>
      <c r="AN706" s="147" t="s">
        <v>276</v>
      </c>
      <c r="AO706" s="174">
        <f>AI706*100000/AK706</f>
        <v>22.170632864978714</v>
      </c>
      <c r="AP706" s="126" t="s">
        <v>276</v>
      </c>
      <c r="AQ706" s="126" t="s">
        <v>276</v>
      </c>
      <c r="AR706" s="126" t="s">
        <v>276</v>
      </c>
      <c r="AS706" s="135">
        <f>AJ706*100000/AL706</f>
        <v>25.015009005403243</v>
      </c>
      <c r="AT706" s="126" t="s">
        <v>276</v>
      </c>
      <c r="AU706" s="126" t="s">
        <v>276</v>
      </c>
      <c r="AV706" s="126" t="s">
        <v>269</v>
      </c>
      <c r="AW706" s="126" t="s">
        <v>276</v>
      </c>
      <c r="AX706" s="135">
        <f t="shared" si="205"/>
        <v>0.88629321941038897</v>
      </c>
      <c r="AY706" s="126" t="s">
        <v>276</v>
      </c>
      <c r="AZ706" s="126" t="s">
        <v>276</v>
      </c>
      <c r="BA706" s="126" t="s">
        <v>276</v>
      </c>
      <c r="BB706" s="126" t="s">
        <v>282</v>
      </c>
      <c r="BC706" s="126" t="s">
        <v>276</v>
      </c>
      <c r="BD706" s="126" t="s">
        <v>276</v>
      </c>
      <c r="BE706" s="126" t="s">
        <v>276</v>
      </c>
      <c r="BF706" s="127" t="s">
        <v>3115</v>
      </c>
      <c r="BG706" s="127"/>
      <c r="BH706" s="9" t="s">
        <v>100</v>
      </c>
      <c r="BI706" s="9" t="s">
        <v>100</v>
      </c>
      <c r="BJ706" s="136"/>
      <c r="BN706" s="136"/>
      <c r="BO706" s="136"/>
    </row>
    <row r="707" spans="1:67" s="137" customFormat="1" ht="78" hidden="1" x14ac:dyDescent="0.35">
      <c r="A707" s="126">
        <v>2643</v>
      </c>
      <c r="B707" s="126" t="s">
        <v>2508</v>
      </c>
      <c r="C707" s="127" t="s">
        <v>3156</v>
      </c>
      <c r="D707" s="127" t="s">
        <v>3289</v>
      </c>
      <c r="E707" s="126" t="s">
        <v>41</v>
      </c>
      <c r="F707" s="127" t="s">
        <v>146</v>
      </c>
      <c r="G707" s="126" t="s">
        <v>225</v>
      </c>
      <c r="H707" s="126" t="s">
        <v>125</v>
      </c>
      <c r="I707" s="126" t="s">
        <v>114</v>
      </c>
      <c r="J707" s="127" t="s">
        <v>25</v>
      </c>
      <c r="K707" s="127" t="s">
        <v>317</v>
      </c>
      <c r="L707" s="127" t="s">
        <v>3193</v>
      </c>
      <c r="M707" s="127" t="s">
        <v>307</v>
      </c>
      <c r="N707" s="127" t="s">
        <v>3256</v>
      </c>
      <c r="O707" s="127" t="s">
        <v>276</v>
      </c>
      <c r="P707" s="524" t="s">
        <v>235</v>
      </c>
      <c r="Q707" s="167" t="s">
        <v>3257</v>
      </c>
      <c r="R707" s="127" t="s">
        <v>3258</v>
      </c>
      <c r="S707" s="127" t="s">
        <v>3259</v>
      </c>
      <c r="T707" s="127" t="s">
        <v>3270</v>
      </c>
      <c r="U707" s="173" t="s">
        <v>3260</v>
      </c>
      <c r="V707" s="126" t="s">
        <v>14</v>
      </c>
      <c r="W707" s="134" t="s">
        <v>3261</v>
      </c>
      <c r="X707" s="127" t="s">
        <v>207</v>
      </c>
      <c r="Y707" s="132">
        <v>96517</v>
      </c>
      <c r="Z707" s="134">
        <v>95356</v>
      </c>
      <c r="AA707" s="127" t="s">
        <v>276</v>
      </c>
      <c r="AB707" s="127" t="s">
        <v>276</v>
      </c>
      <c r="AC707" s="126">
        <v>16</v>
      </c>
      <c r="AD707" s="126" t="s">
        <v>968</v>
      </c>
      <c r="AE707" s="126">
        <v>16</v>
      </c>
      <c r="AF707" s="126" t="s">
        <v>968</v>
      </c>
      <c r="AG707" s="127" t="s">
        <v>3287</v>
      </c>
      <c r="AH707" s="127" t="s">
        <v>3290</v>
      </c>
      <c r="AI707" s="134">
        <f>37+67</f>
        <v>104</v>
      </c>
      <c r="AJ707" s="134">
        <f>35+70</f>
        <v>105</v>
      </c>
      <c r="AK707" s="132">
        <v>205</v>
      </c>
      <c r="AL707" s="132">
        <v>158</v>
      </c>
      <c r="AM707" s="134" t="s">
        <v>292</v>
      </c>
      <c r="AN707" s="147" t="s">
        <v>276</v>
      </c>
      <c r="AO707" s="174">
        <f>AI707*100/AK707</f>
        <v>50.731707317073173</v>
      </c>
      <c r="AP707" s="126" t="s">
        <v>276</v>
      </c>
      <c r="AQ707" s="126" t="s">
        <v>276</v>
      </c>
      <c r="AR707" s="126" t="s">
        <v>276</v>
      </c>
      <c r="AS707" s="135">
        <f>AJ707*100/AL707</f>
        <v>66.455696202531641</v>
      </c>
      <c r="AT707" s="126" t="s">
        <v>276</v>
      </c>
      <c r="AU707" s="126" t="s">
        <v>276</v>
      </c>
      <c r="AV707" s="126" t="s">
        <v>268</v>
      </c>
      <c r="AW707" s="126" t="s">
        <v>276</v>
      </c>
      <c r="AX707" s="135">
        <f t="shared" si="205"/>
        <v>0.76339140534262495</v>
      </c>
      <c r="AY707" s="126" t="s">
        <v>276</v>
      </c>
      <c r="AZ707" s="126" t="s">
        <v>276</v>
      </c>
      <c r="BA707" s="126" t="s">
        <v>276</v>
      </c>
      <c r="BB707" s="126" t="s">
        <v>282</v>
      </c>
      <c r="BC707" s="126" t="s">
        <v>276</v>
      </c>
      <c r="BD707" s="126" t="s">
        <v>276</v>
      </c>
      <c r="BE707" s="126" t="s">
        <v>276</v>
      </c>
      <c r="BF707" s="127" t="s">
        <v>3115</v>
      </c>
      <c r="BG707" s="127"/>
      <c r="BH707" s="9" t="s">
        <v>100</v>
      </c>
      <c r="BI707" s="9" t="s">
        <v>100</v>
      </c>
      <c r="BJ707" s="136"/>
      <c r="BN707" s="136"/>
      <c r="BO707" s="136"/>
    </row>
    <row r="708" spans="1:67" s="183" customFormat="1" ht="52" hidden="1" x14ac:dyDescent="0.35">
      <c r="A708" s="175">
        <v>2642</v>
      </c>
      <c r="B708" s="175" t="s">
        <v>3291</v>
      </c>
      <c r="C708" s="176" t="s">
        <v>3156</v>
      </c>
      <c r="D708" s="176" t="s">
        <v>3292</v>
      </c>
      <c r="E708" s="175" t="s">
        <v>41</v>
      </c>
      <c r="F708" s="176" t="s">
        <v>146</v>
      </c>
      <c r="G708" s="175" t="s">
        <v>225</v>
      </c>
      <c r="H708" s="175" t="s">
        <v>225</v>
      </c>
      <c r="I708" s="175" t="s">
        <v>114</v>
      </c>
      <c r="J708" s="176" t="s">
        <v>98</v>
      </c>
      <c r="K708" s="176" t="s">
        <v>98</v>
      </c>
      <c r="L708" s="176" t="s">
        <v>98</v>
      </c>
      <c r="M708" s="176" t="s">
        <v>98</v>
      </c>
      <c r="N708" s="177" t="s">
        <v>3293</v>
      </c>
      <c r="O708" s="177" t="s">
        <v>3294</v>
      </c>
      <c r="P708" s="176" t="s">
        <v>238</v>
      </c>
      <c r="Q708" s="178" t="s">
        <v>3295</v>
      </c>
      <c r="R708" s="176" t="s">
        <v>3296</v>
      </c>
      <c r="S708" s="176" t="s">
        <v>3297</v>
      </c>
      <c r="T708" s="176" t="s">
        <v>98</v>
      </c>
      <c r="U708" s="176" t="s">
        <v>3298</v>
      </c>
      <c r="V708" s="175" t="s">
        <v>14</v>
      </c>
      <c r="W708" s="179" t="s">
        <v>3261</v>
      </c>
      <c r="X708" s="176" t="s">
        <v>209</v>
      </c>
      <c r="Y708" s="180">
        <v>96517</v>
      </c>
      <c r="Z708" s="176" t="s">
        <v>98</v>
      </c>
      <c r="AA708" s="176" t="s">
        <v>276</v>
      </c>
      <c r="AB708" s="176" t="s">
        <v>98</v>
      </c>
      <c r="AC708" s="175" t="s">
        <v>276</v>
      </c>
      <c r="AD708" s="175" t="s">
        <v>276</v>
      </c>
      <c r="AE708" s="175" t="s">
        <v>98</v>
      </c>
      <c r="AF708" s="175" t="s">
        <v>98</v>
      </c>
      <c r="AG708" s="176" t="s">
        <v>3299</v>
      </c>
      <c r="AH708" s="176" t="s">
        <v>866</v>
      </c>
      <c r="AI708" s="179">
        <v>188</v>
      </c>
      <c r="AJ708" s="179" t="s">
        <v>98</v>
      </c>
      <c r="AK708" s="180">
        <v>96517</v>
      </c>
      <c r="AL708" s="179" t="s">
        <v>98</v>
      </c>
      <c r="AM708" s="179" t="s">
        <v>2047</v>
      </c>
      <c r="AN708" s="175" t="s">
        <v>276</v>
      </c>
      <c r="AO708" s="181">
        <f>AI708*1000/AK708</f>
        <v>1.9478433851031425</v>
      </c>
      <c r="AP708" s="175" t="s">
        <v>276</v>
      </c>
      <c r="AQ708" s="175" t="s">
        <v>276</v>
      </c>
      <c r="AR708" s="175" t="s">
        <v>98</v>
      </c>
      <c r="AS708" s="175" t="s">
        <v>98</v>
      </c>
      <c r="AT708" s="175" t="s">
        <v>98</v>
      </c>
      <c r="AU708" s="175" t="s">
        <v>98</v>
      </c>
      <c r="AV708" s="175" t="s">
        <v>98</v>
      </c>
      <c r="AW708" s="175" t="s">
        <v>98</v>
      </c>
      <c r="AX708" s="175" t="s">
        <v>98</v>
      </c>
      <c r="AY708" s="175" t="s">
        <v>98</v>
      </c>
      <c r="AZ708" s="175" t="s">
        <v>98</v>
      </c>
      <c r="BA708" s="175" t="s">
        <v>98</v>
      </c>
      <c r="BB708" s="175" t="s">
        <v>98</v>
      </c>
      <c r="BC708" s="175" t="s">
        <v>98</v>
      </c>
      <c r="BD708" s="175" t="s">
        <v>98</v>
      </c>
      <c r="BE708" s="175" t="s">
        <v>98</v>
      </c>
      <c r="BF708" s="176" t="s">
        <v>3300</v>
      </c>
      <c r="BG708" s="176"/>
      <c r="BH708" s="9" t="s">
        <v>100</v>
      </c>
      <c r="BI708" s="9" t="s">
        <v>100</v>
      </c>
      <c r="BJ708" s="182"/>
      <c r="BN708" s="182"/>
      <c r="BO708" s="182"/>
    </row>
    <row r="709" spans="1:67" s="183" customFormat="1" ht="65" hidden="1" x14ac:dyDescent="0.35">
      <c r="A709" s="175">
        <v>2642</v>
      </c>
      <c r="B709" s="175" t="s">
        <v>3291</v>
      </c>
      <c r="C709" s="176" t="s">
        <v>3156</v>
      </c>
      <c r="D709" s="176" t="s">
        <v>3301</v>
      </c>
      <c r="E709" s="175" t="s">
        <v>41</v>
      </c>
      <c r="F709" s="176" t="s">
        <v>146</v>
      </c>
      <c r="G709" s="175" t="s">
        <v>225</v>
      </c>
      <c r="H709" s="175" t="s">
        <v>225</v>
      </c>
      <c r="I709" s="175" t="s">
        <v>114</v>
      </c>
      <c r="J709" s="176" t="s">
        <v>98</v>
      </c>
      <c r="K709" s="176" t="s">
        <v>98</v>
      </c>
      <c r="L709" s="176" t="s">
        <v>98</v>
      </c>
      <c r="M709" s="176" t="s">
        <v>98</v>
      </c>
      <c r="N709" s="177" t="s">
        <v>3293</v>
      </c>
      <c r="O709" s="177" t="s">
        <v>3294</v>
      </c>
      <c r="P709" s="176" t="s">
        <v>238</v>
      </c>
      <c r="Q709" s="178" t="s">
        <v>3295</v>
      </c>
      <c r="R709" s="176" t="s">
        <v>3296</v>
      </c>
      <c r="S709" s="176" t="s">
        <v>3297</v>
      </c>
      <c r="T709" s="176" t="s">
        <v>98</v>
      </c>
      <c r="U709" s="176" t="s">
        <v>3298</v>
      </c>
      <c r="V709" s="175" t="s">
        <v>14</v>
      </c>
      <c r="W709" s="179" t="s">
        <v>3261</v>
      </c>
      <c r="X709" s="176" t="s">
        <v>209</v>
      </c>
      <c r="Y709" s="180">
        <v>96517</v>
      </c>
      <c r="Z709" s="176" t="s">
        <v>98</v>
      </c>
      <c r="AA709" s="176" t="s">
        <v>276</v>
      </c>
      <c r="AB709" s="176" t="s">
        <v>98</v>
      </c>
      <c r="AC709" s="175" t="s">
        <v>276</v>
      </c>
      <c r="AD709" s="175" t="s">
        <v>276</v>
      </c>
      <c r="AE709" s="175" t="s">
        <v>98</v>
      </c>
      <c r="AF709" s="175" t="s">
        <v>98</v>
      </c>
      <c r="AG709" s="176" t="s">
        <v>3302</v>
      </c>
      <c r="AH709" s="176" t="s">
        <v>866</v>
      </c>
      <c r="AI709" s="179">
        <v>2336</v>
      </c>
      <c r="AJ709" s="179" t="s">
        <v>98</v>
      </c>
      <c r="AK709" s="180">
        <v>96517</v>
      </c>
      <c r="AL709" s="179" t="s">
        <v>98</v>
      </c>
      <c r="AM709" s="179" t="s">
        <v>2047</v>
      </c>
      <c r="AN709" s="175" t="s">
        <v>276</v>
      </c>
      <c r="AO709" s="181">
        <f>AI709*1000/AK709</f>
        <v>24.202990146813516</v>
      </c>
      <c r="AP709" s="175" t="s">
        <v>276</v>
      </c>
      <c r="AQ709" s="175" t="s">
        <v>276</v>
      </c>
      <c r="AR709" s="175" t="s">
        <v>98</v>
      </c>
      <c r="AS709" s="175" t="s">
        <v>98</v>
      </c>
      <c r="AT709" s="175" t="s">
        <v>98</v>
      </c>
      <c r="AU709" s="175" t="s">
        <v>98</v>
      </c>
      <c r="AV709" s="175" t="s">
        <v>98</v>
      </c>
      <c r="AW709" s="175" t="s">
        <v>98</v>
      </c>
      <c r="AX709" s="175" t="s">
        <v>98</v>
      </c>
      <c r="AY709" s="175" t="s">
        <v>98</v>
      </c>
      <c r="AZ709" s="175" t="s">
        <v>98</v>
      </c>
      <c r="BA709" s="175" t="s">
        <v>98</v>
      </c>
      <c r="BB709" s="175" t="s">
        <v>98</v>
      </c>
      <c r="BC709" s="175" t="s">
        <v>98</v>
      </c>
      <c r="BD709" s="175" t="s">
        <v>98</v>
      </c>
      <c r="BE709" s="175" t="s">
        <v>98</v>
      </c>
      <c r="BF709" s="176" t="s">
        <v>3303</v>
      </c>
      <c r="BG709" s="176"/>
      <c r="BH709" s="9" t="s">
        <v>100</v>
      </c>
      <c r="BI709" s="9" t="s">
        <v>100</v>
      </c>
      <c r="BJ709" s="182"/>
      <c r="BN709" s="182"/>
      <c r="BO709" s="182"/>
    </row>
    <row r="710" spans="1:67" s="183" customFormat="1" ht="65" hidden="1" x14ac:dyDescent="0.35">
      <c r="A710" s="175">
        <v>2642</v>
      </c>
      <c r="B710" s="175" t="s">
        <v>3291</v>
      </c>
      <c r="C710" s="176" t="s">
        <v>3156</v>
      </c>
      <c r="D710" s="176" t="s">
        <v>11691</v>
      </c>
      <c r="E710" s="175" t="s">
        <v>41</v>
      </c>
      <c r="F710" s="176" t="s">
        <v>146</v>
      </c>
      <c r="G710" s="175" t="s">
        <v>225</v>
      </c>
      <c r="H710" s="175" t="s">
        <v>225</v>
      </c>
      <c r="I710" s="175" t="s">
        <v>114</v>
      </c>
      <c r="J710" s="176" t="s">
        <v>98</v>
      </c>
      <c r="K710" s="176" t="s">
        <v>98</v>
      </c>
      <c r="L710" s="176" t="s">
        <v>98</v>
      </c>
      <c r="M710" s="176" t="s">
        <v>98</v>
      </c>
      <c r="N710" s="177" t="s">
        <v>3293</v>
      </c>
      <c r="O710" s="177" t="s">
        <v>3294</v>
      </c>
      <c r="P710" s="176" t="s">
        <v>238</v>
      </c>
      <c r="Q710" s="178" t="s">
        <v>3295</v>
      </c>
      <c r="R710" s="176" t="s">
        <v>3296</v>
      </c>
      <c r="S710" s="176" t="s">
        <v>3297</v>
      </c>
      <c r="T710" s="176" t="s">
        <v>98</v>
      </c>
      <c r="U710" s="176" t="s">
        <v>3298</v>
      </c>
      <c r="V710" s="175" t="s">
        <v>14</v>
      </c>
      <c r="W710" s="179" t="s">
        <v>3261</v>
      </c>
      <c r="X710" s="176" t="s">
        <v>209</v>
      </c>
      <c r="Y710" s="180">
        <v>96517</v>
      </c>
      <c r="Z710" s="176" t="s">
        <v>98</v>
      </c>
      <c r="AA710" s="176" t="s">
        <v>276</v>
      </c>
      <c r="AB710" s="176" t="s">
        <v>98</v>
      </c>
      <c r="AC710" s="175" t="s">
        <v>276</v>
      </c>
      <c r="AD710" s="175" t="s">
        <v>276</v>
      </c>
      <c r="AE710" s="175" t="s">
        <v>98</v>
      </c>
      <c r="AF710" s="175" t="s">
        <v>98</v>
      </c>
      <c r="AG710" s="176" t="s">
        <v>11692</v>
      </c>
      <c r="AH710" s="176" t="s">
        <v>866</v>
      </c>
      <c r="AI710" s="179">
        <f>2336+188</f>
        <v>2524</v>
      </c>
      <c r="AJ710" s="179" t="s">
        <v>98</v>
      </c>
      <c r="AK710" s="180">
        <v>96517</v>
      </c>
      <c r="AL710" s="179" t="s">
        <v>98</v>
      </c>
      <c r="AM710" s="179" t="s">
        <v>2047</v>
      </c>
      <c r="AN710" s="175" t="s">
        <v>276</v>
      </c>
      <c r="AO710" s="201">
        <f>AI710*1000/AK710</f>
        <v>26.150833531916657</v>
      </c>
      <c r="AP710" s="175" t="s">
        <v>276</v>
      </c>
      <c r="AQ710" s="175" t="s">
        <v>276</v>
      </c>
      <c r="AR710" s="175" t="s">
        <v>98</v>
      </c>
      <c r="AS710" s="175" t="s">
        <v>98</v>
      </c>
      <c r="AT710" s="175" t="s">
        <v>98</v>
      </c>
      <c r="AU710" s="175" t="s">
        <v>98</v>
      </c>
      <c r="AV710" s="175" t="s">
        <v>98</v>
      </c>
      <c r="AW710" s="175" t="s">
        <v>98</v>
      </c>
      <c r="AX710" s="175" t="s">
        <v>98</v>
      </c>
      <c r="AY710" s="175" t="s">
        <v>98</v>
      </c>
      <c r="AZ710" s="175" t="s">
        <v>98</v>
      </c>
      <c r="BA710" s="175" t="s">
        <v>98</v>
      </c>
      <c r="BB710" s="175" t="s">
        <v>98</v>
      </c>
      <c r="BC710" s="175" t="s">
        <v>98</v>
      </c>
      <c r="BD710" s="175" t="s">
        <v>98</v>
      </c>
      <c r="BE710" s="175" t="s">
        <v>98</v>
      </c>
      <c r="BF710" s="176" t="s">
        <v>11695</v>
      </c>
      <c r="BG710" s="176"/>
      <c r="BH710" s="9" t="s">
        <v>100</v>
      </c>
      <c r="BI710" s="9" t="s">
        <v>100</v>
      </c>
      <c r="BJ710" s="182"/>
      <c r="BN710" s="182"/>
      <c r="BO710" s="182"/>
    </row>
    <row r="711" spans="1:67" s="183" customFormat="1" ht="52" hidden="1" x14ac:dyDescent="0.35">
      <c r="A711" s="175">
        <v>2642</v>
      </c>
      <c r="B711" s="175" t="s">
        <v>3291</v>
      </c>
      <c r="C711" s="176" t="s">
        <v>3156</v>
      </c>
      <c r="D711" s="176" t="s">
        <v>3304</v>
      </c>
      <c r="E711" s="175" t="s">
        <v>41</v>
      </c>
      <c r="F711" s="176" t="s">
        <v>146</v>
      </c>
      <c r="G711" s="175" t="s">
        <v>225</v>
      </c>
      <c r="H711" s="175" t="s">
        <v>225</v>
      </c>
      <c r="I711" s="175" t="s">
        <v>114</v>
      </c>
      <c r="J711" s="176" t="s">
        <v>98</v>
      </c>
      <c r="K711" s="176" t="s">
        <v>98</v>
      </c>
      <c r="L711" s="176" t="s">
        <v>98</v>
      </c>
      <c r="M711" s="176" t="s">
        <v>98</v>
      </c>
      <c r="N711" s="177" t="s">
        <v>3293</v>
      </c>
      <c r="O711" s="177" t="s">
        <v>3294</v>
      </c>
      <c r="P711" s="176" t="s">
        <v>236</v>
      </c>
      <c r="Q711" s="178" t="s">
        <v>3295</v>
      </c>
      <c r="R711" s="176" t="s">
        <v>3296</v>
      </c>
      <c r="S711" s="176" t="s">
        <v>3297</v>
      </c>
      <c r="T711" s="176" t="s">
        <v>98</v>
      </c>
      <c r="U711" s="176" t="s">
        <v>3298</v>
      </c>
      <c r="V711" s="175" t="s">
        <v>14</v>
      </c>
      <c r="W711" s="179" t="s">
        <v>3261</v>
      </c>
      <c r="X711" s="176" t="s">
        <v>209</v>
      </c>
      <c r="Y711" s="180" t="s">
        <v>98</v>
      </c>
      <c r="Z711" s="176" t="s">
        <v>98</v>
      </c>
      <c r="AA711" s="176" t="s">
        <v>276</v>
      </c>
      <c r="AB711" s="176" t="s">
        <v>98</v>
      </c>
      <c r="AC711" s="175" t="s">
        <v>276</v>
      </c>
      <c r="AD711" s="175" t="s">
        <v>276</v>
      </c>
      <c r="AE711" s="175" t="s">
        <v>98</v>
      </c>
      <c r="AF711" s="175" t="s">
        <v>98</v>
      </c>
      <c r="AG711" s="176" t="s">
        <v>3299</v>
      </c>
      <c r="AH711" s="176" t="s">
        <v>3267</v>
      </c>
      <c r="AI711" s="179">
        <v>188</v>
      </c>
      <c r="AJ711" s="179" t="s">
        <v>98</v>
      </c>
      <c r="AK711" s="179">
        <v>279</v>
      </c>
      <c r="AL711" s="179" t="s">
        <v>98</v>
      </c>
      <c r="AM711" s="179" t="s">
        <v>292</v>
      </c>
      <c r="AN711" s="175" t="s">
        <v>276</v>
      </c>
      <c r="AO711" s="181">
        <f>AI711*100/AK711</f>
        <v>67.383512544802869</v>
      </c>
      <c r="AP711" s="175" t="s">
        <v>276</v>
      </c>
      <c r="AQ711" s="175" t="s">
        <v>276</v>
      </c>
      <c r="AR711" s="175" t="s">
        <v>98</v>
      </c>
      <c r="AS711" s="175" t="s">
        <v>98</v>
      </c>
      <c r="AT711" s="175" t="s">
        <v>98</v>
      </c>
      <c r="AU711" s="175" t="s">
        <v>98</v>
      </c>
      <c r="AV711" s="175" t="s">
        <v>98</v>
      </c>
      <c r="AW711" s="175" t="s">
        <v>98</v>
      </c>
      <c r="AX711" s="175" t="s">
        <v>98</v>
      </c>
      <c r="AY711" s="175" t="s">
        <v>98</v>
      </c>
      <c r="AZ711" s="175" t="s">
        <v>98</v>
      </c>
      <c r="BA711" s="175" t="s">
        <v>98</v>
      </c>
      <c r="BB711" s="175" t="s">
        <v>98</v>
      </c>
      <c r="BC711" s="175" t="s">
        <v>98</v>
      </c>
      <c r="BD711" s="175" t="s">
        <v>98</v>
      </c>
      <c r="BE711" s="175" t="s">
        <v>98</v>
      </c>
      <c r="BF711" s="176" t="s">
        <v>3300</v>
      </c>
      <c r="BG711" s="176"/>
      <c r="BH711" s="9" t="s">
        <v>100</v>
      </c>
      <c r="BI711" s="9" t="s">
        <v>100</v>
      </c>
      <c r="BJ711" s="182"/>
      <c r="BN711" s="182"/>
      <c r="BO711" s="182"/>
    </row>
    <row r="712" spans="1:67" s="194" customFormat="1" ht="52" hidden="1" x14ac:dyDescent="0.35">
      <c r="A712" s="184">
        <v>2642</v>
      </c>
      <c r="B712" s="184" t="s">
        <v>3291</v>
      </c>
      <c r="C712" s="185" t="s">
        <v>3156</v>
      </c>
      <c r="D712" s="185" t="s">
        <v>3305</v>
      </c>
      <c r="E712" s="184" t="s">
        <v>41</v>
      </c>
      <c r="F712" s="185" t="s">
        <v>146</v>
      </c>
      <c r="G712" s="184" t="s">
        <v>225</v>
      </c>
      <c r="H712" s="184" t="s">
        <v>125</v>
      </c>
      <c r="I712" s="184" t="s">
        <v>113</v>
      </c>
      <c r="J712" s="185" t="s">
        <v>25</v>
      </c>
      <c r="K712" s="185" t="s">
        <v>300</v>
      </c>
      <c r="L712" s="185" t="s">
        <v>317</v>
      </c>
      <c r="M712" s="185" t="s">
        <v>307</v>
      </c>
      <c r="N712" s="186" t="s">
        <v>3293</v>
      </c>
      <c r="O712" s="186" t="s">
        <v>3294</v>
      </c>
      <c r="P712" s="185" t="s">
        <v>239</v>
      </c>
      <c r="Q712" s="187" t="s">
        <v>3295</v>
      </c>
      <c r="R712" s="185" t="s">
        <v>3296</v>
      </c>
      <c r="S712" s="185" t="s">
        <v>3297</v>
      </c>
      <c r="T712" s="185" t="s">
        <v>3306</v>
      </c>
      <c r="U712" s="185" t="s">
        <v>3298</v>
      </c>
      <c r="V712" s="184" t="s">
        <v>14</v>
      </c>
      <c r="W712" s="188" t="s">
        <v>3261</v>
      </c>
      <c r="X712" s="185" t="s">
        <v>207</v>
      </c>
      <c r="Y712" s="189">
        <v>96517</v>
      </c>
      <c r="Z712" s="188">
        <v>95356</v>
      </c>
      <c r="AA712" s="185" t="s">
        <v>276</v>
      </c>
      <c r="AB712" s="185" t="s">
        <v>276</v>
      </c>
      <c r="AC712" s="184">
        <v>22</v>
      </c>
      <c r="AD712" s="184" t="s">
        <v>968</v>
      </c>
      <c r="AE712" s="184">
        <v>19</v>
      </c>
      <c r="AF712" s="184" t="s">
        <v>968</v>
      </c>
      <c r="AG712" s="185" t="s">
        <v>3307</v>
      </c>
      <c r="AH712" s="185" t="s">
        <v>866</v>
      </c>
      <c r="AI712" s="188">
        <v>59</v>
      </c>
      <c r="AJ712" s="188">
        <v>31</v>
      </c>
      <c r="AK712" s="189">
        <v>96517</v>
      </c>
      <c r="AL712" s="188">
        <v>95356</v>
      </c>
      <c r="AM712" s="188" t="s">
        <v>2047</v>
      </c>
      <c r="AN712" s="190" t="s">
        <v>276</v>
      </c>
      <c r="AO712" s="191">
        <f t="shared" ref="AO712" si="216">AI712*1000/AK712</f>
        <v>0.61129127511215642</v>
      </c>
      <c r="AP712" s="184" t="s">
        <v>276</v>
      </c>
      <c r="AQ712" s="184" t="s">
        <v>276</v>
      </c>
      <c r="AR712" s="184" t="s">
        <v>276</v>
      </c>
      <c r="AS712" s="192">
        <f t="shared" ref="AS712" si="217">AJ712*1000/AL712</f>
        <v>0.32509752925877761</v>
      </c>
      <c r="AT712" s="184" t="s">
        <v>276</v>
      </c>
      <c r="AU712" s="184" t="s">
        <v>276</v>
      </c>
      <c r="AV712" s="184" t="s">
        <v>268</v>
      </c>
      <c r="AW712" s="184" t="s">
        <v>276</v>
      </c>
      <c r="AX712" s="192">
        <f t="shared" ref="AX712:AX724" si="218">AO712/AS712</f>
        <v>1.8803319622449932</v>
      </c>
      <c r="AY712" s="184" t="s">
        <v>276</v>
      </c>
      <c r="AZ712" s="184" t="s">
        <v>276</v>
      </c>
      <c r="BA712" s="184" t="s">
        <v>276</v>
      </c>
      <c r="BB712" s="184" t="s">
        <v>282</v>
      </c>
      <c r="BC712" s="184" t="s">
        <v>276</v>
      </c>
      <c r="BD712" s="184" t="s">
        <v>276</v>
      </c>
      <c r="BE712" s="184" t="s">
        <v>276</v>
      </c>
      <c r="BF712" s="185" t="s">
        <v>3308</v>
      </c>
      <c r="BG712" s="185"/>
      <c r="BH712" s="9" t="s">
        <v>100</v>
      </c>
      <c r="BI712" s="9" t="s">
        <v>100</v>
      </c>
      <c r="BJ712" s="193"/>
      <c r="BN712" s="193"/>
      <c r="BO712" s="193"/>
    </row>
    <row r="713" spans="1:67" s="194" customFormat="1" ht="52" hidden="1" x14ac:dyDescent="0.35">
      <c r="A713" s="184">
        <v>2642</v>
      </c>
      <c r="B713" s="184" t="s">
        <v>3291</v>
      </c>
      <c r="C713" s="185" t="s">
        <v>3156</v>
      </c>
      <c r="D713" s="185" t="s">
        <v>3309</v>
      </c>
      <c r="E713" s="184" t="s">
        <v>41</v>
      </c>
      <c r="F713" s="185" t="s">
        <v>146</v>
      </c>
      <c r="G713" s="184" t="s">
        <v>225</v>
      </c>
      <c r="H713" s="184" t="s">
        <v>125</v>
      </c>
      <c r="I713" s="184" t="s">
        <v>113</v>
      </c>
      <c r="J713" s="185" t="s">
        <v>25</v>
      </c>
      <c r="K713" s="185" t="s">
        <v>300</v>
      </c>
      <c r="L713" s="185" t="s">
        <v>317</v>
      </c>
      <c r="M713" s="185" t="s">
        <v>307</v>
      </c>
      <c r="N713" s="186" t="s">
        <v>3293</v>
      </c>
      <c r="O713" s="186" t="s">
        <v>3294</v>
      </c>
      <c r="P713" s="185" t="s">
        <v>239</v>
      </c>
      <c r="Q713" s="187" t="s">
        <v>3295</v>
      </c>
      <c r="R713" s="185" t="s">
        <v>3296</v>
      </c>
      <c r="S713" s="185" t="s">
        <v>3297</v>
      </c>
      <c r="T713" s="185" t="s">
        <v>3306</v>
      </c>
      <c r="U713" s="185" t="s">
        <v>3298</v>
      </c>
      <c r="V713" s="184" t="s">
        <v>14</v>
      </c>
      <c r="W713" s="188" t="s">
        <v>3261</v>
      </c>
      <c r="X713" s="185" t="s">
        <v>207</v>
      </c>
      <c r="Y713" s="189">
        <v>96517</v>
      </c>
      <c r="Z713" s="188">
        <v>95356</v>
      </c>
      <c r="AA713" s="185" t="s">
        <v>276</v>
      </c>
      <c r="AB713" s="185" t="s">
        <v>276</v>
      </c>
      <c r="AC713" s="184">
        <v>22</v>
      </c>
      <c r="AD713" s="184" t="s">
        <v>968</v>
      </c>
      <c r="AE713" s="184">
        <v>19</v>
      </c>
      <c r="AF713" s="184" t="s">
        <v>968</v>
      </c>
      <c r="AG713" s="185" t="s">
        <v>3307</v>
      </c>
      <c r="AH713" s="185" t="s">
        <v>3310</v>
      </c>
      <c r="AI713" s="188">
        <v>59</v>
      </c>
      <c r="AJ713" s="188">
        <v>31</v>
      </c>
      <c r="AK713" s="189">
        <v>894380</v>
      </c>
      <c r="AL713" s="189">
        <v>897610</v>
      </c>
      <c r="AM713" s="188" t="s">
        <v>1019</v>
      </c>
      <c r="AN713" s="190" t="s">
        <v>276</v>
      </c>
      <c r="AO713" s="191">
        <f>AI713*100000/AK713</f>
        <v>6.5967485856123798</v>
      </c>
      <c r="AP713" s="184" t="s">
        <v>276</v>
      </c>
      <c r="AQ713" s="184" t="s">
        <v>276</v>
      </c>
      <c r="AR713" s="184" t="s">
        <v>276</v>
      </c>
      <c r="AS713" s="192">
        <f>AJ713*100000/AL713</f>
        <v>3.4536157128374239</v>
      </c>
      <c r="AT713" s="184" t="s">
        <v>276</v>
      </c>
      <c r="AU713" s="184" t="s">
        <v>276</v>
      </c>
      <c r="AV713" s="184" t="s">
        <v>269</v>
      </c>
      <c r="AW713" s="184" t="s">
        <v>276</v>
      </c>
      <c r="AX713" s="192">
        <f t="shared" si="218"/>
        <v>1.9100991928811382</v>
      </c>
      <c r="AY713" s="184" t="s">
        <v>276</v>
      </c>
      <c r="AZ713" s="184" t="s">
        <v>276</v>
      </c>
      <c r="BA713" s="184" t="s">
        <v>276</v>
      </c>
      <c r="BB713" s="184" t="s">
        <v>282</v>
      </c>
      <c r="BC713" s="184" t="s">
        <v>276</v>
      </c>
      <c r="BD713" s="184" t="s">
        <v>276</v>
      </c>
      <c r="BE713" s="184" t="s">
        <v>276</v>
      </c>
      <c r="BF713" s="185" t="s">
        <v>3308</v>
      </c>
      <c r="BG713" s="185"/>
      <c r="BH713" s="9" t="s">
        <v>100</v>
      </c>
      <c r="BI713" s="9" t="s">
        <v>100</v>
      </c>
      <c r="BJ713" s="193"/>
      <c r="BN713" s="193"/>
      <c r="BO713" s="193"/>
    </row>
    <row r="714" spans="1:67" s="183" customFormat="1" ht="52" hidden="1" x14ac:dyDescent="0.35">
      <c r="A714" s="175">
        <v>2642</v>
      </c>
      <c r="B714" s="175" t="s">
        <v>3291</v>
      </c>
      <c r="C714" s="176" t="s">
        <v>3156</v>
      </c>
      <c r="D714" s="176" t="s">
        <v>3311</v>
      </c>
      <c r="E714" s="175" t="s">
        <v>41</v>
      </c>
      <c r="F714" s="176" t="s">
        <v>146</v>
      </c>
      <c r="G714" s="175" t="s">
        <v>225</v>
      </c>
      <c r="H714" s="175" t="s">
        <v>125</v>
      </c>
      <c r="I714" s="175" t="s">
        <v>113</v>
      </c>
      <c r="J714" s="176" t="s">
        <v>25</v>
      </c>
      <c r="K714" s="176" t="s">
        <v>304</v>
      </c>
      <c r="L714" s="176" t="s">
        <v>317</v>
      </c>
      <c r="M714" s="176" t="s">
        <v>307</v>
      </c>
      <c r="N714" s="177" t="s">
        <v>3293</v>
      </c>
      <c r="O714" s="177" t="s">
        <v>3294</v>
      </c>
      <c r="P714" s="176" t="s">
        <v>239</v>
      </c>
      <c r="Q714" s="178" t="s">
        <v>3295</v>
      </c>
      <c r="R714" s="176" t="s">
        <v>3296</v>
      </c>
      <c r="S714" s="176" t="s">
        <v>3297</v>
      </c>
      <c r="T714" s="176" t="s">
        <v>3306</v>
      </c>
      <c r="U714" s="176" t="s">
        <v>3298</v>
      </c>
      <c r="V714" s="175" t="s">
        <v>14</v>
      </c>
      <c r="W714" s="179" t="s">
        <v>3261</v>
      </c>
      <c r="X714" s="176" t="s">
        <v>207</v>
      </c>
      <c r="Y714" s="180">
        <v>96517</v>
      </c>
      <c r="Z714" s="179">
        <v>95356</v>
      </c>
      <c r="AA714" s="176" t="s">
        <v>276</v>
      </c>
      <c r="AB714" s="176" t="s">
        <v>276</v>
      </c>
      <c r="AC714" s="175">
        <v>22</v>
      </c>
      <c r="AD714" s="175" t="s">
        <v>968</v>
      </c>
      <c r="AE714" s="175">
        <v>19</v>
      </c>
      <c r="AF714" s="175" t="s">
        <v>968</v>
      </c>
      <c r="AG714" s="176" t="s">
        <v>3312</v>
      </c>
      <c r="AH714" s="176" t="s">
        <v>866</v>
      </c>
      <c r="AI714" s="179">
        <v>51</v>
      </c>
      <c r="AJ714" s="179">
        <v>35</v>
      </c>
      <c r="AK714" s="180">
        <v>96517</v>
      </c>
      <c r="AL714" s="179">
        <v>95356</v>
      </c>
      <c r="AM714" s="179" t="s">
        <v>2047</v>
      </c>
      <c r="AN714" s="195" t="s">
        <v>276</v>
      </c>
      <c r="AO714" s="196">
        <f t="shared" ref="AO714" si="219">AI714*1000/AK714</f>
        <v>0.52840432255457592</v>
      </c>
      <c r="AP714" s="175" t="s">
        <v>276</v>
      </c>
      <c r="AQ714" s="175" t="s">
        <v>276</v>
      </c>
      <c r="AR714" s="175" t="s">
        <v>276</v>
      </c>
      <c r="AS714" s="181">
        <f t="shared" ref="AS714" si="220">AJ714*1000/AL714</f>
        <v>0.3670455975502328</v>
      </c>
      <c r="AT714" s="175" t="s">
        <v>276</v>
      </c>
      <c r="AU714" s="175" t="s">
        <v>276</v>
      </c>
      <c r="AV714" s="175" t="s">
        <v>268</v>
      </c>
      <c r="AW714" s="175" t="s">
        <v>276</v>
      </c>
      <c r="AX714" s="181">
        <f t="shared" si="218"/>
        <v>1.439614930900404</v>
      </c>
      <c r="AY714" s="175" t="s">
        <v>276</v>
      </c>
      <c r="AZ714" s="175" t="s">
        <v>276</v>
      </c>
      <c r="BA714" s="175" t="s">
        <v>276</v>
      </c>
      <c r="BB714" s="175" t="s">
        <v>282</v>
      </c>
      <c r="BC714" s="175" t="s">
        <v>276</v>
      </c>
      <c r="BD714" s="175" t="s">
        <v>276</v>
      </c>
      <c r="BE714" s="175" t="s">
        <v>276</v>
      </c>
      <c r="BF714" s="176" t="s">
        <v>3308</v>
      </c>
      <c r="BG714" s="176"/>
      <c r="BH714" s="9" t="s">
        <v>100</v>
      </c>
      <c r="BI714" s="9" t="s">
        <v>100</v>
      </c>
      <c r="BJ714" s="182"/>
      <c r="BN714" s="182"/>
      <c r="BO714" s="182"/>
    </row>
    <row r="715" spans="1:67" s="183" customFormat="1" ht="52" hidden="1" x14ac:dyDescent="0.35">
      <c r="A715" s="175">
        <v>2642</v>
      </c>
      <c r="B715" s="175" t="s">
        <v>3291</v>
      </c>
      <c r="C715" s="176" t="s">
        <v>3156</v>
      </c>
      <c r="D715" s="176" t="s">
        <v>3313</v>
      </c>
      <c r="E715" s="175" t="s">
        <v>41</v>
      </c>
      <c r="F715" s="176" t="s">
        <v>146</v>
      </c>
      <c r="G715" s="175" t="s">
        <v>225</v>
      </c>
      <c r="H715" s="175" t="s">
        <v>125</v>
      </c>
      <c r="I715" s="175" t="s">
        <v>113</v>
      </c>
      <c r="J715" s="176" t="s">
        <v>25</v>
      </c>
      <c r="K715" s="176" t="s">
        <v>304</v>
      </c>
      <c r="L715" s="176" t="s">
        <v>317</v>
      </c>
      <c r="M715" s="176" t="s">
        <v>307</v>
      </c>
      <c r="N715" s="177" t="s">
        <v>3293</v>
      </c>
      <c r="O715" s="177" t="s">
        <v>3294</v>
      </c>
      <c r="P715" s="176" t="s">
        <v>239</v>
      </c>
      <c r="Q715" s="178" t="s">
        <v>3295</v>
      </c>
      <c r="R715" s="176" t="s">
        <v>3296</v>
      </c>
      <c r="S715" s="176" t="s">
        <v>3297</v>
      </c>
      <c r="T715" s="176" t="s">
        <v>3306</v>
      </c>
      <c r="U715" s="176" t="s">
        <v>3298</v>
      </c>
      <c r="V715" s="175" t="s">
        <v>14</v>
      </c>
      <c r="W715" s="179" t="s">
        <v>3261</v>
      </c>
      <c r="X715" s="176" t="s">
        <v>207</v>
      </c>
      <c r="Y715" s="180">
        <v>96517</v>
      </c>
      <c r="Z715" s="179">
        <v>95356</v>
      </c>
      <c r="AA715" s="176" t="s">
        <v>276</v>
      </c>
      <c r="AB715" s="176" t="s">
        <v>276</v>
      </c>
      <c r="AC715" s="175">
        <v>22</v>
      </c>
      <c r="AD715" s="175" t="s">
        <v>968</v>
      </c>
      <c r="AE715" s="175">
        <v>19</v>
      </c>
      <c r="AF715" s="175" t="s">
        <v>968</v>
      </c>
      <c r="AG715" s="176" t="s">
        <v>3312</v>
      </c>
      <c r="AH715" s="176" t="s">
        <v>3310</v>
      </c>
      <c r="AI715" s="179">
        <v>51</v>
      </c>
      <c r="AJ715" s="179">
        <v>35</v>
      </c>
      <c r="AK715" s="180">
        <v>894380</v>
      </c>
      <c r="AL715" s="180">
        <v>897610</v>
      </c>
      <c r="AM715" s="179" t="s">
        <v>1019</v>
      </c>
      <c r="AN715" s="195" t="s">
        <v>276</v>
      </c>
      <c r="AO715" s="196">
        <f>AI715*100000/AK715</f>
        <v>5.7022742011225658</v>
      </c>
      <c r="AP715" s="175" t="s">
        <v>276</v>
      </c>
      <c r="AQ715" s="175" t="s">
        <v>276</v>
      </c>
      <c r="AR715" s="175" t="s">
        <v>276</v>
      </c>
      <c r="AS715" s="181">
        <f>AJ715*100000/AL715</f>
        <v>3.8992435467519302</v>
      </c>
      <c r="AT715" s="175" t="s">
        <v>276</v>
      </c>
      <c r="AU715" s="175" t="s">
        <v>276</v>
      </c>
      <c r="AV715" s="175" t="s">
        <v>269</v>
      </c>
      <c r="AW715" s="175" t="s">
        <v>276</v>
      </c>
      <c r="AX715" s="181">
        <f t="shared" si="218"/>
        <v>1.4624052416198932</v>
      </c>
      <c r="AY715" s="175" t="s">
        <v>276</v>
      </c>
      <c r="AZ715" s="175" t="s">
        <v>276</v>
      </c>
      <c r="BA715" s="175" t="s">
        <v>276</v>
      </c>
      <c r="BB715" s="175" t="s">
        <v>282</v>
      </c>
      <c r="BC715" s="175" t="s">
        <v>276</v>
      </c>
      <c r="BD715" s="175" t="s">
        <v>276</v>
      </c>
      <c r="BE715" s="175" t="s">
        <v>276</v>
      </c>
      <c r="BF715" s="176" t="s">
        <v>3308</v>
      </c>
      <c r="BG715" s="176"/>
      <c r="BH715" s="9" t="s">
        <v>100</v>
      </c>
      <c r="BI715" s="9" t="s">
        <v>100</v>
      </c>
      <c r="BJ715" s="182"/>
      <c r="BN715" s="182"/>
      <c r="BO715" s="182"/>
    </row>
    <row r="716" spans="1:67" s="194" customFormat="1" ht="65" hidden="1" x14ac:dyDescent="0.35">
      <c r="A716" s="184">
        <v>2642</v>
      </c>
      <c r="B716" s="184" t="s">
        <v>3291</v>
      </c>
      <c r="C716" s="185" t="s">
        <v>3156</v>
      </c>
      <c r="D716" s="185" t="s">
        <v>3314</v>
      </c>
      <c r="E716" s="184" t="s">
        <v>41</v>
      </c>
      <c r="F716" s="185" t="s">
        <v>146</v>
      </c>
      <c r="G716" s="184" t="s">
        <v>225</v>
      </c>
      <c r="H716" s="184" t="s">
        <v>125</v>
      </c>
      <c r="I716" s="184" t="s">
        <v>113</v>
      </c>
      <c r="J716" s="185" t="s">
        <v>25</v>
      </c>
      <c r="K716" s="185" t="s">
        <v>307</v>
      </c>
      <c r="L716" s="185" t="s">
        <v>317</v>
      </c>
      <c r="M716" s="185" t="s">
        <v>307</v>
      </c>
      <c r="N716" s="186" t="s">
        <v>3293</v>
      </c>
      <c r="O716" s="186" t="s">
        <v>3294</v>
      </c>
      <c r="P716" s="185" t="s">
        <v>239</v>
      </c>
      <c r="Q716" s="187" t="s">
        <v>3295</v>
      </c>
      <c r="R716" s="185" t="s">
        <v>3296</v>
      </c>
      <c r="S716" s="185" t="s">
        <v>3297</v>
      </c>
      <c r="T716" s="185" t="s">
        <v>3306</v>
      </c>
      <c r="U716" s="185" t="s">
        <v>3298</v>
      </c>
      <c r="V716" s="184" t="s">
        <v>14</v>
      </c>
      <c r="W716" s="188" t="s">
        <v>3261</v>
      </c>
      <c r="X716" s="185" t="s">
        <v>207</v>
      </c>
      <c r="Y716" s="189">
        <v>96517</v>
      </c>
      <c r="Z716" s="188">
        <v>95356</v>
      </c>
      <c r="AA716" s="185" t="s">
        <v>276</v>
      </c>
      <c r="AB716" s="185" t="s">
        <v>276</v>
      </c>
      <c r="AC716" s="184">
        <v>22</v>
      </c>
      <c r="AD716" s="184" t="s">
        <v>968</v>
      </c>
      <c r="AE716" s="184">
        <v>19</v>
      </c>
      <c r="AF716" s="184" t="s">
        <v>968</v>
      </c>
      <c r="AG716" s="185" t="s">
        <v>3315</v>
      </c>
      <c r="AH716" s="185" t="s">
        <v>866</v>
      </c>
      <c r="AI716" s="188">
        <f>59+51</f>
        <v>110</v>
      </c>
      <c r="AJ716" s="188">
        <f>31+35</f>
        <v>66</v>
      </c>
      <c r="AK716" s="189">
        <v>96517</v>
      </c>
      <c r="AL716" s="188">
        <v>95356</v>
      </c>
      <c r="AM716" s="188" t="s">
        <v>2047</v>
      </c>
      <c r="AN716" s="190" t="s">
        <v>276</v>
      </c>
      <c r="AO716" s="191">
        <f t="shared" ref="AO716" si="221">AI716*1000/AK716</f>
        <v>1.1396955976667322</v>
      </c>
      <c r="AP716" s="184" t="s">
        <v>276</v>
      </c>
      <c r="AQ716" s="184" t="s">
        <v>276</v>
      </c>
      <c r="AR716" s="184" t="s">
        <v>276</v>
      </c>
      <c r="AS716" s="192">
        <f t="shared" ref="AS716" si="222">AJ716*1000/AL716</f>
        <v>0.69214312680901047</v>
      </c>
      <c r="AT716" s="184" t="s">
        <v>276</v>
      </c>
      <c r="AU716" s="184" t="s">
        <v>276</v>
      </c>
      <c r="AV716" s="184" t="s">
        <v>268</v>
      </c>
      <c r="AW716" s="184" t="s">
        <v>276</v>
      </c>
      <c r="AX716" s="192">
        <f t="shared" si="218"/>
        <v>1.6466183850168017</v>
      </c>
      <c r="AY716" s="184" t="s">
        <v>276</v>
      </c>
      <c r="AZ716" s="184" t="s">
        <v>276</v>
      </c>
      <c r="BA716" s="184" t="s">
        <v>276</v>
      </c>
      <c r="BB716" s="184" t="s">
        <v>282</v>
      </c>
      <c r="BC716" s="184" t="s">
        <v>276</v>
      </c>
      <c r="BD716" s="184" t="s">
        <v>276</v>
      </c>
      <c r="BE716" s="184" t="s">
        <v>276</v>
      </c>
      <c r="BF716" s="185" t="s">
        <v>3308</v>
      </c>
      <c r="BG716" s="185"/>
      <c r="BH716" s="9" t="s">
        <v>100</v>
      </c>
      <c r="BI716" s="9" t="s">
        <v>100</v>
      </c>
      <c r="BJ716" s="193"/>
      <c r="BN716" s="193"/>
      <c r="BO716" s="193"/>
    </row>
    <row r="717" spans="1:67" s="194" customFormat="1" ht="52" hidden="1" x14ac:dyDescent="0.35">
      <c r="A717" s="184">
        <v>2642</v>
      </c>
      <c r="B717" s="184" t="s">
        <v>3291</v>
      </c>
      <c r="C717" s="185" t="s">
        <v>3156</v>
      </c>
      <c r="D717" s="185" t="s">
        <v>3316</v>
      </c>
      <c r="E717" s="184" t="s">
        <v>41</v>
      </c>
      <c r="F717" s="185" t="s">
        <v>146</v>
      </c>
      <c r="G717" s="184" t="s">
        <v>225</v>
      </c>
      <c r="H717" s="184" t="s">
        <v>125</v>
      </c>
      <c r="I717" s="184" t="s">
        <v>113</v>
      </c>
      <c r="J717" s="185" t="s">
        <v>25</v>
      </c>
      <c r="K717" s="185" t="s">
        <v>307</v>
      </c>
      <c r="L717" s="185" t="s">
        <v>317</v>
      </c>
      <c r="M717" s="185" t="s">
        <v>307</v>
      </c>
      <c r="N717" s="186" t="s">
        <v>3293</v>
      </c>
      <c r="O717" s="186" t="s">
        <v>3294</v>
      </c>
      <c r="P717" s="185" t="s">
        <v>239</v>
      </c>
      <c r="Q717" s="187" t="s">
        <v>3295</v>
      </c>
      <c r="R717" s="185" t="s">
        <v>3296</v>
      </c>
      <c r="S717" s="185" t="s">
        <v>3297</v>
      </c>
      <c r="T717" s="185" t="s">
        <v>3306</v>
      </c>
      <c r="U717" s="185" t="s">
        <v>3298</v>
      </c>
      <c r="V717" s="184" t="s">
        <v>14</v>
      </c>
      <c r="W717" s="188" t="s">
        <v>3261</v>
      </c>
      <c r="X717" s="185" t="s">
        <v>207</v>
      </c>
      <c r="Y717" s="189">
        <v>96517</v>
      </c>
      <c r="Z717" s="188">
        <v>95356</v>
      </c>
      <c r="AA717" s="185" t="s">
        <v>276</v>
      </c>
      <c r="AB717" s="185" t="s">
        <v>276</v>
      </c>
      <c r="AC717" s="184">
        <v>22</v>
      </c>
      <c r="AD717" s="184" t="s">
        <v>968</v>
      </c>
      <c r="AE717" s="184">
        <v>19</v>
      </c>
      <c r="AF717" s="184" t="s">
        <v>968</v>
      </c>
      <c r="AG717" s="185" t="s">
        <v>3315</v>
      </c>
      <c r="AH717" s="185" t="s">
        <v>3310</v>
      </c>
      <c r="AI717" s="188">
        <f>59+51</f>
        <v>110</v>
      </c>
      <c r="AJ717" s="188">
        <f>31+35</f>
        <v>66</v>
      </c>
      <c r="AK717" s="189">
        <v>894380</v>
      </c>
      <c r="AL717" s="189">
        <v>897610</v>
      </c>
      <c r="AM717" s="188" t="s">
        <v>1019</v>
      </c>
      <c r="AN717" s="190" t="s">
        <v>276</v>
      </c>
      <c r="AO717" s="191">
        <f>AI717*100000/AK717</f>
        <v>12.299022786734945</v>
      </c>
      <c r="AP717" s="184" t="s">
        <v>276</v>
      </c>
      <c r="AQ717" s="184" t="s">
        <v>276</v>
      </c>
      <c r="AR717" s="184" t="s">
        <v>276</v>
      </c>
      <c r="AS717" s="192">
        <f>AJ717*100000/AL717</f>
        <v>7.352859259589354</v>
      </c>
      <c r="AT717" s="184" t="s">
        <v>276</v>
      </c>
      <c r="AU717" s="184" t="s">
        <v>276</v>
      </c>
      <c r="AV717" s="184" t="s">
        <v>269</v>
      </c>
      <c r="AW717" s="184" t="s">
        <v>276</v>
      </c>
      <c r="AX717" s="192">
        <f t="shared" si="218"/>
        <v>1.6726857338789627</v>
      </c>
      <c r="AY717" s="184" t="s">
        <v>276</v>
      </c>
      <c r="AZ717" s="184" t="s">
        <v>276</v>
      </c>
      <c r="BA717" s="184" t="s">
        <v>276</v>
      </c>
      <c r="BB717" s="184" t="s">
        <v>282</v>
      </c>
      <c r="BC717" s="184" t="s">
        <v>276</v>
      </c>
      <c r="BD717" s="184" t="s">
        <v>276</v>
      </c>
      <c r="BE717" s="184" t="s">
        <v>276</v>
      </c>
      <c r="BF717" s="185" t="s">
        <v>3308</v>
      </c>
      <c r="BG717" s="185"/>
      <c r="BH717" s="9" t="s">
        <v>100</v>
      </c>
      <c r="BI717" s="9" t="s">
        <v>100</v>
      </c>
      <c r="BJ717" s="193"/>
      <c r="BN717" s="193"/>
      <c r="BO717" s="193"/>
    </row>
    <row r="718" spans="1:67" s="183" customFormat="1" ht="52" hidden="1" x14ac:dyDescent="0.35">
      <c r="A718" s="175">
        <v>2642</v>
      </c>
      <c r="B718" s="175" t="s">
        <v>3291</v>
      </c>
      <c r="C718" s="176" t="s">
        <v>3156</v>
      </c>
      <c r="D718" s="176" t="s">
        <v>3317</v>
      </c>
      <c r="E718" s="175" t="s">
        <v>41</v>
      </c>
      <c r="F718" s="176" t="s">
        <v>146</v>
      </c>
      <c r="G718" s="175" t="s">
        <v>225</v>
      </c>
      <c r="H718" s="175" t="s">
        <v>125</v>
      </c>
      <c r="I718" s="175" t="s">
        <v>113</v>
      </c>
      <c r="J718" s="176" t="s">
        <v>25</v>
      </c>
      <c r="K718" s="176" t="s">
        <v>311</v>
      </c>
      <c r="L718" s="176" t="s">
        <v>317</v>
      </c>
      <c r="M718" s="176" t="s">
        <v>307</v>
      </c>
      <c r="N718" s="177" t="s">
        <v>3293</v>
      </c>
      <c r="O718" s="177" t="s">
        <v>3294</v>
      </c>
      <c r="P718" s="176" t="s">
        <v>239</v>
      </c>
      <c r="Q718" s="178" t="s">
        <v>3295</v>
      </c>
      <c r="R718" s="176" t="s">
        <v>3296</v>
      </c>
      <c r="S718" s="176" t="s">
        <v>3297</v>
      </c>
      <c r="T718" s="176" t="s">
        <v>3306</v>
      </c>
      <c r="U718" s="176" t="s">
        <v>3298</v>
      </c>
      <c r="V718" s="175" t="s">
        <v>14</v>
      </c>
      <c r="W718" s="179" t="s">
        <v>3261</v>
      </c>
      <c r="X718" s="176" t="s">
        <v>207</v>
      </c>
      <c r="Y718" s="180">
        <v>96517</v>
      </c>
      <c r="Z718" s="179">
        <v>95356</v>
      </c>
      <c r="AA718" s="176" t="s">
        <v>276</v>
      </c>
      <c r="AB718" s="176" t="s">
        <v>276</v>
      </c>
      <c r="AC718" s="175">
        <v>22</v>
      </c>
      <c r="AD718" s="175" t="s">
        <v>968</v>
      </c>
      <c r="AE718" s="175">
        <v>19</v>
      </c>
      <c r="AF718" s="175" t="s">
        <v>968</v>
      </c>
      <c r="AG718" s="176" t="s">
        <v>3318</v>
      </c>
      <c r="AH718" s="176" t="s">
        <v>866</v>
      </c>
      <c r="AI718" s="179">
        <v>51</v>
      </c>
      <c r="AJ718" s="179">
        <v>52</v>
      </c>
      <c r="AK718" s="180">
        <v>96517</v>
      </c>
      <c r="AL718" s="179">
        <v>95356</v>
      </c>
      <c r="AM718" s="179" t="s">
        <v>2047</v>
      </c>
      <c r="AN718" s="195" t="s">
        <v>276</v>
      </c>
      <c r="AO718" s="196">
        <f t="shared" ref="AO718" si="223">AI718*1000/AK718</f>
        <v>0.52840432255457592</v>
      </c>
      <c r="AP718" s="175" t="s">
        <v>276</v>
      </c>
      <c r="AQ718" s="175" t="s">
        <v>276</v>
      </c>
      <c r="AR718" s="175" t="s">
        <v>276</v>
      </c>
      <c r="AS718" s="181">
        <f t="shared" ref="AS718" si="224">AJ718*1000/AL718</f>
        <v>0.5453248877889173</v>
      </c>
      <c r="AT718" s="175" t="s">
        <v>276</v>
      </c>
      <c r="AU718" s="175" t="s">
        <v>276</v>
      </c>
      <c r="AV718" s="175" t="s">
        <v>268</v>
      </c>
      <c r="AW718" s="175" t="s">
        <v>276</v>
      </c>
      <c r="AX718" s="181">
        <f t="shared" si="218"/>
        <v>0.96897158810604123</v>
      </c>
      <c r="AY718" s="175" t="s">
        <v>276</v>
      </c>
      <c r="AZ718" s="175" t="s">
        <v>276</v>
      </c>
      <c r="BA718" s="175" t="s">
        <v>276</v>
      </c>
      <c r="BB718" s="175" t="s">
        <v>282</v>
      </c>
      <c r="BC718" s="175" t="s">
        <v>276</v>
      </c>
      <c r="BD718" s="175" t="s">
        <v>276</v>
      </c>
      <c r="BE718" s="175" t="s">
        <v>276</v>
      </c>
      <c r="BF718" s="176" t="s">
        <v>3308</v>
      </c>
      <c r="BG718" s="176"/>
      <c r="BH718" s="9" t="s">
        <v>100</v>
      </c>
      <c r="BI718" s="9" t="s">
        <v>100</v>
      </c>
      <c r="BJ718" s="182"/>
      <c r="BN718" s="182"/>
      <c r="BO718" s="182"/>
    </row>
    <row r="719" spans="1:67" s="183" customFormat="1" ht="52" hidden="1" x14ac:dyDescent="0.35">
      <c r="A719" s="175">
        <v>2642</v>
      </c>
      <c r="B719" s="175" t="s">
        <v>3291</v>
      </c>
      <c r="C719" s="176" t="s">
        <v>3156</v>
      </c>
      <c r="D719" s="176" t="s">
        <v>3319</v>
      </c>
      <c r="E719" s="175" t="s">
        <v>41</v>
      </c>
      <c r="F719" s="176" t="s">
        <v>146</v>
      </c>
      <c r="G719" s="175" t="s">
        <v>225</v>
      </c>
      <c r="H719" s="175" t="s">
        <v>125</v>
      </c>
      <c r="I719" s="175" t="s">
        <v>113</v>
      </c>
      <c r="J719" s="176" t="s">
        <v>25</v>
      </c>
      <c r="K719" s="176" t="s">
        <v>311</v>
      </c>
      <c r="L719" s="176" t="s">
        <v>317</v>
      </c>
      <c r="M719" s="176" t="s">
        <v>307</v>
      </c>
      <c r="N719" s="177" t="s">
        <v>3293</v>
      </c>
      <c r="O719" s="177" t="s">
        <v>3294</v>
      </c>
      <c r="P719" s="176" t="s">
        <v>239</v>
      </c>
      <c r="Q719" s="178" t="s">
        <v>3295</v>
      </c>
      <c r="R719" s="176" t="s">
        <v>3296</v>
      </c>
      <c r="S719" s="176" t="s">
        <v>3297</v>
      </c>
      <c r="T719" s="176" t="s">
        <v>3306</v>
      </c>
      <c r="U719" s="176" t="s">
        <v>3298</v>
      </c>
      <c r="V719" s="175" t="s">
        <v>14</v>
      </c>
      <c r="W719" s="179" t="s">
        <v>3261</v>
      </c>
      <c r="X719" s="176" t="s">
        <v>207</v>
      </c>
      <c r="Y719" s="180">
        <v>96517</v>
      </c>
      <c r="Z719" s="179">
        <v>95356</v>
      </c>
      <c r="AA719" s="176" t="s">
        <v>276</v>
      </c>
      <c r="AB719" s="176" t="s">
        <v>276</v>
      </c>
      <c r="AC719" s="175">
        <v>22</v>
      </c>
      <c r="AD719" s="175" t="s">
        <v>968</v>
      </c>
      <c r="AE719" s="175">
        <v>19</v>
      </c>
      <c r="AF719" s="175" t="s">
        <v>968</v>
      </c>
      <c r="AG719" s="176" t="s">
        <v>3318</v>
      </c>
      <c r="AH719" s="176" t="s">
        <v>3310</v>
      </c>
      <c r="AI719" s="179">
        <v>51</v>
      </c>
      <c r="AJ719" s="179">
        <v>52</v>
      </c>
      <c r="AK719" s="180">
        <v>894380</v>
      </c>
      <c r="AL719" s="180">
        <v>897610</v>
      </c>
      <c r="AM719" s="179" t="s">
        <v>1019</v>
      </c>
      <c r="AN719" s="195" t="s">
        <v>276</v>
      </c>
      <c r="AO719" s="196">
        <f>AI719*100000/AK719</f>
        <v>5.7022742011225658</v>
      </c>
      <c r="AP719" s="175" t="s">
        <v>276</v>
      </c>
      <c r="AQ719" s="175" t="s">
        <v>276</v>
      </c>
      <c r="AR719" s="175" t="s">
        <v>276</v>
      </c>
      <c r="AS719" s="181">
        <f>AJ719*100000/AL719</f>
        <v>5.7931618408885823</v>
      </c>
      <c r="AT719" s="175" t="s">
        <v>276</v>
      </c>
      <c r="AU719" s="175" t="s">
        <v>276</v>
      </c>
      <c r="AV719" s="175" t="s">
        <v>269</v>
      </c>
      <c r="AW719" s="175" t="s">
        <v>276</v>
      </c>
      <c r="AX719" s="181">
        <f t="shared" si="218"/>
        <v>0.98431122032108187</v>
      </c>
      <c r="AY719" s="175" t="s">
        <v>276</v>
      </c>
      <c r="AZ719" s="175" t="s">
        <v>276</v>
      </c>
      <c r="BA719" s="175" t="s">
        <v>276</v>
      </c>
      <c r="BB719" s="175" t="s">
        <v>282</v>
      </c>
      <c r="BC719" s="175" t="s">
        <v>276</v>
      </c>
      <c r="BD719" s="175" t="s">
        <v>276</v>
      </c>
      <c r="BE719" s="175" t="s">
        <v>276</v>
      </c>
      <c r="BF719" s="176" t="s">
        <v>3308</v>
      </c>
      <c r="BG719" s="176"/>
      <c r="BH719" s="9" t="s">
        <v>100</v>
      </c>
      <c r="BI719" s="9" t="s">
        <v>100</v>
      </c>
      <c r="BJ719" s="182"/>
      <c r="BN719" s="182"/>
      <c r="BO719" s="182"/>
    </row>
    <row r="720" spans="1:67" s="194" customFormat="1" ht="52" hidden="1" x14ac:dyDescent="0.35">
      <c r="A720" s="184">
        <v>2642</v>
      </c>
      <c r="B720" s="184" t="s">
        <v>3291</v>
      </c>
      <c r="C720" s="185" t="s">
        <v>3156</v>
      </c>
      <c r="D720" s="185" t="s">
        <v>3320</v>
      </c>
      <c r="E720" s="184" t="s">
        <v>41</v>
      </c>
      <c r="F720" s="185" t="s">
        <v>146</v>
      </c>
      <c r="G720" s="184" t="s">
        <v>225</v>
      </c>
      <c r="H720" s="184" t="s">
        <v>125</v>
      </c>
      <c r="I720" s="184" t="s">
        <v>113</v>
      </c>
      <c r="J720" s="185" t="s">
        <v>25</v>
      </c>
      <c r="K720" s="185" t="s">
        <v>314</v>
      </c>
      <c r="L720" s="185" t="s">
        <v>317</v>
      </c>
      <c r="M720" s="185" t="s">
        <v>307</v>
      </c>
      <c r="N720" s="186" t="s">
        <v>3293</v>
      </c>
      <c r="O720" s="186" t="s">
        <v>3294</v>
      </c>
      <c r="P720" s="185" t="s">
        <v>239</v>
      </c>
      <c r="Q720" s="187" t="s">
        <v>3295</v>
      </c>
      <c r="R720" s="185" t="s">
        <v>3296</v>
      </c>
      <c r="S720" s="185" t="s">
        <v>3297</v>
      </c>
      <c r="T720" s="185" t="s">
        <v>3306</v>
      </c>
      <c r="U720" s="185" t="s">
        <v>3298</v>
      </c>
      <c r="V720" s="184" t="s">
        <v>14</v>
      </c>
      <c r="W720" s="188" t="s">
        <v>3261</v>
      </c>
      <c r="X720" s="185" t="s">
        <v>207</v>
      </c>
      <c r="Y720" s="189">
        <v>96517</v>
      </c>
      <c r="Z720" s="188">
        <v>95356</v>
      </c>
      <c r="AA720" s="185" t="s">
        <v>276</v>
      </c>
      <c r="AB720" s="185" t="s">
        <v>276</v>
      </c>
      <c r="AC720" s="184">
        <v>22</v>
      </c>
      <c r="AD720" s="184" t="s">
        <v>968</v>
      </c>
      <c r="AE720" s="184">
        <v>19</v>
      </c>
      <c r="AF720" s="184" t="s">
        <v>968</v>
      </c>
      <c r="AG720" s="185" t="s">
        <v>3321</v>
      </c>
      <c r="AH720" s="185" t="s">
        <v>866</v>
      </c>
      <c r="AI720" s="188">
        <v>96</v>
      </c>
      <c r="AJ720" s="188">
        <v>107</v>
      </c>
      <c r="AK720" s="189">
        <v>96517</v>
      </c>
      <c r="AL720" s="188">
        <v>95356</v>
      </c>
      <c r="AM720" s="188" t="s">
        <v>2047</v>
      </c>
      <c r="AN720" s="190" t="s">
        <v>276</v>
      </c>
      <c r="AO720" s="191">
        <f t="shared" ref="AO720" si="225">AI720*1000/AK720</f>
        <v>0.99464343069096639</v>
      </c>
      <c r="AP720" s="184" t="s">
        <v>276</v>
      </c>
      <c r="AQ720" s="184" t="s">
        <v>276</v>
      </c>
      <c r="AR720" s="184" t="s">
        <v>276</v>
      </c>
      <c r="AS720" s="192">
        <f t="shared" ref="AS720" si="226">AJ720*1000/AL720</f>
        <v>1.1221108267964259</v>
      </c>
      <c r="AT720" s="184" t="s">
        <v>276</v>
      </c>
      <c r="AU720" s="184" t="s">
        <v>276</v>
      </c>
      <c r="AV720" s="184" t="s">
        <v>268</v>
      </c>
      <c r="AW720" s="184" t="s">
        <v>276</v>
      </c>
      <c r="AX720" s="192">
        <f t="shared" si="218"/>
        <v>0.88640391567259624</v>
      </c>
      <c r="AY720" s="184" t="s">
        <v>276</v>
      </c>
      <c r="AZ720" s="184" t="s">
        <v>276</v>
      </c>
      <c r="BA720" s="184" t="s">
        <v>276</v>
      </c>
      <c r="BB720" s="184" t="s">
        <v>282</v>
      </c>
      <c r="BC720" s="184" t="s">
        <v>276</v>
      </c>
      <c r="BD720" s="184" t="s">
        <v>276</v>
      </c>
      <c r="BE720" s="184" t="s">
        <v>276</v>
      </c>
      <c r="BF720" s="185" t="s">
        <v>3308</v>
      </c>
      <c r="BG720" s="185"/>
      <c r="BH720" s="9" t="s">
        <v>100</v>
      </c>
      <c r="BI720" s="9" t="s">
        <v>100</v>
      </c>
      <c r="BJ720" s="193"/>
      <c r="BN720" s="193"/>
      <c r="BO720" s="193"/>
    </row>
    <row r="721" spans="1:67" s="194" customFormat="1" ht="52" hidden="1" x14ac:dyDescent="0.35">
      <c r="A721" s="184">
        <v>2642</v>
      </c>
      <c r="B721" s="184" t="s">
        <v>3291</v>
      </c>
      <c r="C721" s="185" t="s">
        <v>3156</v>
      </c>
      <c r="D721" s="185" t="s">
        <v>3322</v>
      </c>
      <c r="E721" s="184" t="s">
        <v>41</v>
      </c>
      <c r="F721" s="185" t="s">
        <v>146</v>
      </c>
      <c r="G721" s="184" t="s">
        <v>225</v>
      </c>
      <c r="H721" s="184" t="s">
        <v>125</v>
      </c>
      <c r="I721" s="184" t="s">
        <v>113</v>
      </c>
      <c r="J721" s="185" t="s">
        <v>25</v>
      </c>
      <c r="K721" s="185" t="s">
        <v>314</v>
      </c>
      <c r="L721" s="185" t="s">
        <v>317</v>
      </c>
      <c r="M721" s="185" t="s">
        <v>307</v>
      </c>
      <c r="N721" s="186" t="s">
        <v>3293</v>
      </c>
      <c r="O721" s="186" t="s">
        <v>3294</v>
      </c>
      <c r="P721" s="185" t="s">
        <v>239</v>
      </c>
      <c r="Q721" s="187" t="s">
        <v>3295</v>
      </c>
      <c r="R721" s="185" t="s">
        <v>3296</v>
      </c>
      <c r="S721" s="185" t="s">
        <v>3297</v>
      </c>
      <c r="T721" s="185" t="s">
        <v>3306</v>
      </c>
      <c r="U721" s="185" t="s">
        <v>3298</v>
      </c>
      <c r="V721" s="184" t="s">
        <v>14</v>
      </c>
      <c r="W721" s="188" t="s">
        <v>3261</v>
      </c>
      <c r="X721" s="185" t="s">
        <v>207</v>
      </c>
      <c r="Y721" s="189">
        <v>96517</v>
      </c>
      <c r="Z721" s="188">
        <v>95356</v>
      </c>
      <c r="AA721" s="185" t="s">
        <v>276</v>
      </c>
      <c r="AB721" s="185" t="s">
        <v>276</v>
      </c>
      <c r="AC721" s="184">
        <v>22</v>
      </c>
      <c r="AD721" s="184" t="s">
        <v>968</v>
      </c>
      <c r="AE721" s="184">
        <v>19</v>
      </c>
      <c r="AF721" s="184" t="s">
        <v>968</v>
      </c>
      <c r="AG721" s="185" t="s">
        <v>3321</v>
      </c>
      <c r="AH721" s="185" t="s">
        <v>3310</v>
      </c>
      <c r="AI721" s="188">
        <v>96</v>
      </c>
      <c r="AJ721" s="188">
        <v>107</v>
      </c>
      <c r="AK721" s="189">
        <v>894380</v>
      </c>
      <c r="AL721" s="189">
        <v>897610</v>
      </c>
      <c r="AM721" s="188" t="s">
        <v>1019</v>
      </c>
      <c r="AN721" s="190" t="s">
        <v>276</v>
      </c>
      <c r="AO721" s="191">
        <f>AI721*100000/AK721</f>
        <v>10.73369261387777</v>
      </c>
      <c r="AP721" s="184" t="s">
        <v>276</v>
      </c>
      <c r="AQ721" s="184" t="s">
        <v>276</v>
      </c>
      <c r="AR721" s="184" t="s">
        <v>276</v>
      </c>
      <c r="AS721" s="192">
        <f>AJ721*100000/AL721</f>
        <v>11.920544557213043</v>
      </c>
      <c r="AT721" s="184" t="s">
        <v>276</v>
      </c>
      <c r="AU721" s="184" t="s">
        <v>276</v>
      </c>
      <c r="AV721" s="184" t="s">
        <v>269</v>
      </c>
      <c r="AW721" s="184" t="s">
        <v>276</v>
      </c>
      <c r="AX721" s="192">
        <f t="shared" si="218"/>
        <v>0.90043643244325466</v>
      </c>
      <c r="AY721" s="184" t="s">
        <v>276</v>
      </c>
      <c r="AZ721" s="184" t="s">
        <v>276</v>
      </c>
      <c r="BA721" s="184" t="s">
        <v>276</v>
      </c>
      <c r="BB721" s="184" t="s">
        <v>282</v>
      </c>
      <c r="BC721" s="184" t="s">
        <v>276</v>
      </c>
      <c r="BD721" s="184" t="s">
        <v>276</v>
      </c>
      <c r="BE721" s="184" t="s">
        <v>276</v>
      </c>
      <c r="BF721" s="185" t="s">
        <v>3308</v>
      </c>
      <c r="BG721" s="185"/>
      <c r="BH721" s="9" t="s">
        <v>100</v>
      </c>
      <c r="BI721" s="9" t="s">
        <v>100</v>
      </c>
      <c r="BJ721" s="193"/>
      <c r="BN721" s="193"/>
      <c r="BO721" s="193"/>
    </row>
    <row r="722" spans="1:67" s="183" customFormat="1" ht="65" hidden="1" x14ac:dyDescent="0.35">
      <c r="A722" s="175">
        <v>2642</v>
      </c>
      <c r="B722" s="175" t="s">
        <v>3291</v>
      </c>
      <c r="C722" s="176" t="s">
        <v>3156</v>
      </c>
      <c r="D722" s="176" t="s">
        <v>3323</v>
      </c>
      <c r="E722" s="175" t="s">
        <v>41</v>
      </c>
      <c r="F722" s="176" t="s">
        <v>146</v>
      </c>
      <c r="G722" s="175" t="s">
        <v>225</v>
      </c>
      <c r="H722" s="175" t="s">
        <v>125</v>
      </c>
      <c r="I722" s="175" t="s">
        <v>113</v>
      </c>
      <c r="J722" s="176" t="s">
        <v>25</v>
      </c>
      <c r="K722" s="176" t="s">
        <v>317</v>
      </c>
      <c r="L722" s="176" t="s">
        <v>317</v>
      </c>
      <c r="M722" s="176" t="s">
        <v>307</v>
      </c>
      <c r="N722" s="177" t="s">
        <v>3293</v>
      </c>
      <c r="O722" s="177" t="s">
        <v>3294</v>
      </c>
      <c r="P722" s="176" t="s">
        <v>239</v>
      </c>
      <c r="Q722" s="178" t="s">
        <v>3295</v>
      </c>
      <c r="R722" s="176" t="s">
        <v>3296</v>
      </c>
      <c r="S722" s="176" t="s">
        <v>3297</v>
      </c>
      <c r="T722" s="176" t="s">
        <v>3306</v>
      </c>
      <c r="U722" s="176" t="s">
        <v>3298</v>
      </c>
      <c r="V722" s="175" t="s">
        <v>14</v>
      </c>
      <c r="W722" s="179" t="s">
        <v>3261</v>
      </c>
      <c r="X722" s="176" t="s">
        <v>207</v>
      </c>
      <c r="Y722" s="180">
        <v>96517</v>
      </c>
      <c r="Z722" s="179">
        <v>95356</v>
      </c>
      <c r="AA722" s="176" t="s">
        <v>276</v>
      </c>
      <c r="AB722" s="176" t="s">
        <v>276</v>
      </c>
      <c r="AC722" s="175">
        <v>22</v>
      </c>
      <c r="AD722" s="175" t="s">
        <v>968</v>
      </c>
      <c r="AE722" s="175">
        <v>19</v>
      </c>
      <c r="AF722" s="175" t="s">
        <v>968</v>
      </c>
      <c r="AG722" s="176" t="s">
        <v>3324</v>
      </c>
      <c r="AH722" s="176" t="s">
        <v>866</v>
      </c>
      <c r="AI722" s="179">
        <v>147</v>
      </c>
      <c r="AJ722" s="179">
        <v>159</v>
      </c>
      <c r="AK722" s="180">
        <v>96517</v>
      </c>
      <c r="AL722" s="179">
        <v>95356</v>
      </c>
      <c r="AM722" s="179" t="s">
        <v>2047</v>
      </c>
      <c r="AN722" s="195" t="s">
        <v>276</v>
      </c>
      <c r="AO722" s="196">
        <f t="shared" ref="AO722" si="227">AI722*1000/AK722</f>
        <v>1.5230477532455422</v>
      </c>
      <c r="AP722" s="175" t="s">
        <v>276</v>
      </c>
      <c r="AQ722" s="175" t="s">
        <v>276</v>
      </c>
      <c r="AR722" s="175" t="s">
        <v>276</v>
      </c>
      <c r="AS722" s="181">
        <f t="shared" ref="AS722" si="228">AJ722*1000/AL722</f>
        <v>1.6674357145853433</v>
      </c>
      <c r="AT722" s="175" t="s">
        <v>276</v>
      </c>
      <c r="AU722" s="175" t="s">
        <v>276</v>
      </c>
      <c r="AV722" s="175" t="s">
        <v>268</v>
      </c>
      <c r="AW722" s="175" t="s">
        <v>276</v>
      </c>
      <c r="AX722" s="181">
        <f t="shared" si="218"/>
        <v>0.91340717961309381</v>
      </c>
      <c r="AY722" s="175" t="s">
        <v>276</v>
      </c>
      <c r="AZ722" s="175" t="s">
        <v>276</v>
      </c>
      <c r="BA722" s="175" t="s">
        <v>276</v>
      </c>
      <c r="BB722" s="175" t="s">
        <v>282</v>
      </c>
      <c r="BC722" s="175" t="s">
        <v>276</v>
      </c>
      <c r="BD722" s="175" t="s">
        <v>276</v>
      </c>
      <c r="BE722" s="175" t="s">
        <v>276</v>
      </c>
      <c r="BF722" s="176" t="s">
        <v>3308</v>
      </c>
      <c r="BG722" s="176"/>
      <c r="BH722" s="9" t="s">
        <v>100</v>
      </c>
      <c r="BI722" s="9" t="s">
        <v>100</v>
      </c>
      <c r="BJ722" s="182"/>
      <c r="BN722" s="182"/>
      <c r="BO722" s="182"/>
    </row>
    <row r="723" spans="1:67" s="183" customFormat="1" ht="52" hidden="1" x14ac:dyDescent="0.35">
      <c r="A723" s="175">
        <v>2642</v>
      </c>
      <c r="B723" s="175" t="s">
        <v>3291</v>
      </c>
      <c r="C723" s="176" t="s">
        <v>3156</v>
      </c>
      <c r="D723" s="176" t="s">
        <v>3325</v>
      </c>
      <c r="E723" s="175" t="s">
        <v>41</v>
      </c>
      <c r="F723" s="176" t="s">
        <v>146</v>
      </c>
      <c r="G723" s="175" t="s">
        <v>225</v>
      </c>
      <c r="H723" s="175" t="s">
        <v>125</v>
      </c>
      <c r="I723" s="175" t="s">
        <v>113</v>
      </c>
      <c r="J723" s="176" t="s">
        <v>25</v>
      </c>
      <c r="K723" s="176" t="s">
        <v>317</v>
      </c>
      <c r="L723" s="176" t="s">
        <v>317</v>
      </c>
      <c r="M723" s="176" t="s">
        <v>307</v>
      </c>
      <c r="N723" s="177" t="s">
        <v>3293</v>
      </c>
      <c r="O723" s="177" t="s">
        <v>3294</v>
      </c>
      <c r="P723" s="176" t="s">
        <v>239</v>
      </c>
      <c r="Q723" s="178" t="s">
        <v>3295</v>
      </c>
      <c r="R723" s="176" t="s">
        <v>3296</v>
      </c>
      <c r="S723" s="176" t="s">
        <v>3297</v>
      </c>
      <c r="T723" s="176" t="s">
        <v>3306</v>
      </c>
      <c r="U723" s="176" t="s">
        <v>3298</v>
      </c>
      <c r="V723" s="175" t="s">
        <v>14</v>
      </c>
      <c r="W723" s="179" t="s">
        <v>3261</v>
      </c>
      <c r="X723" s="176" t="s">
        <v>207</v>
      </c>
      <c r="Y723" s="180">
        <v>96517</v>
      </c>
      <c r="Z723" s="179">
        <v>95356</v>
      </c>
      <c r="AA723" s="176" t="s">
        <v>276</v>
      </c>
      <c r="AB723" s="176" t="s">
        <v>276</v>
      </c>
      <c r="AC723" s="175">
        <v>22</v>
      </c>
      <c r="AD723" s="175" t="s">
        <v>968</v>
      </c>
      <c r="AE723" s="175">
        <v>19</v>
      </c>
      <c r="AF723" s="175" t="s">
        <v>968</v>
      </c>
      <c r="AG723" s="176" t="s">
        <v>3324</v>
      </c>
      <c r="AH723" s="176" t="s">
        <v>3310</v>
      </c>
      <c r="AI723" s="179">
        <v>147</v>
      </c>
      <c r="AJ723" s="179">
        <v>159</v>
      </c>
      <c r="AK723" s="180">
        <v>894380</v>
      </c>
      <c r="AL723" s="180">
        <v>897610</v>
      </c>
      <c r="AM723" s="179" t="s">
        <v>1019</v>
      </c>
      <c r="AN723" s="195">
        <v>16.399999999999999</v>
      </c>
      <c r="AO723" s="196">
        <f>AI723*100000/AK723</f>
        <v>16.435966815000334</v>
      </c>
      <c r="AP723" s="175" t="s">
        <v>276</v>
      </c>
      <c r="AQ723" s="175" t="s">
        <v>276</v>
      </c>
      <c r="AR723" s="175">
        <v>17.7</v>
      </c>
      <c r="AS723" s="181">
        <f>AJ723*100000/AL723</f>
        <v>17.713706398101625</v>
      </c>
      <c r="AT723" s="175" t="s">
        <v>276</v>
      </c>
      <c r="AU723" s="175" t="s">
        <v>276</v>
      </c>
      <c r="AV723" s="175" t="s">
        <v>269</v>
      </c>
      <c r="AW723" s="175">
        <v>0.92</v>
      </c>
      <c r="AX723" s="181">
        <f t="shared" si="218"/>
        <v>0.92786718068002838</v>
      </c>
      <c r="AY723" s="175">
        <v>0.72</v>
      </c>
      <c r="AZ723" s="175">
        <v>1.17</v>
      </c>
      <c r="BA723" s="175" t="s">
        <v>276</v>
      </c>
      <c r="BB723" s="175" t="s">
        <v>282</v>
      </c>
      <c r="BC723" s="175" t="s">
        <v>276</v>
      </c>
      <c r="BD723" s="175" t="s">
        <v>276</v>
      </c>
      <c r="BE723" s="175" t="s">
        <v>276</v>
      </c>
      <c r="BF723" s="176" t="s">
        <v>3308</v>
      </c>
      <c r="BG723" s="176"/>
      <c r="BH723" s="9" t="s">
        <v>100</v>
      </c>
      <c r="BI723" s="9" t="s">
        <v>100</v>
      </c>
      <c r="BJ723" s="182"/>
      <c r="BN723" s="182"/>
      <c r="BO723" s="182"/>
    </row>
    <row r="724" spans="1:67" s="183" customFormat="1" ht="52" hidden="1" x14ac:dyDescent="0.35">
      <c r="A724" s="175">
        <v>2642</v>
      </c>
      <c r="B724" s="175" t="s">
        <v>3291</v>
      </c>
      <c r="C724" s="176" t="s">
        <v>3156</v>
      </c>
      <c r="D724" s="176" t="s">
        <v>3326</v>
      </c>
      <c r="E724" s="175" t="s">
        <v>41</v>
      </c>
      <c r="F724" s="176" t="s">
        <v>146</v>
      </c>
      <c r="G724" s="175" t="s">
        <v>225</v>
      </c>
      <c r="H724" s="175" t="s">
        <v>125</v>
      </c>
      <c r="I724" s="175" t="s">
        <v>113</v>
      </c>
      <c r="J724" s="176" t="s">
        <v>25</v>
      </c>
      <c r="K724" s="176" t="s">
        <v>317</v>
      </c>
      <c r="L724" s="176" t="s">
        <v>317</v>
      </c>
      <c r="M724" s="176" t="s">
        <v>307</v>
      </c>
      <c r="N724" s="177" t="s">
        <v>3293</v>
      </c>
      <c r="O724" s="177" t="s">
        <v>3294</v>
      </c>
      <c r="P724" s="176" t="s">
        <v>235</v>
      </c>
      <c r="Q724" s="178" t="s">
        <v>3295</v>
      </c>
      <c r="R724" s="176" t="s">
        <v>3296</v>
      </c>
      <c r="S724" s="176" t="s">
        <v>3297</v>
      </c>
      <c r="T724" s="176" t="s">
        <v>3306</v>
      </c>
      <c r="U724" s="176" t="s">
        <v>3298</v>
      </c>
      <c r="V724" s="175" t="s">
        <v>14</v>
      </c>
      <c r="W724" s="179" t="s">
        <v>3261</v>
      </c>
      <c r="X724" s="176" t="s">
        <v>207</v>
      </c>
      <c r="Y724" s="180" t="s">
        <v>98</v>
      </c>
      <c r="Z724" s="179" t="s">
        <v>98</v>
      </c>
      <c r="AA724" s="176" t="s">
        <v>276</v>
      </c>
      <c r="AB724" s="176" t="s">
        <v>276</v>
      </c>
      <c r="AC724" s="175">
        <v>22</v>
      </c>
      <c r="AD724" s="175" t="s">
        <v>968</v>
      </c>
      <c r="AE724" s="175">
        <v>19</v>
      </c>
      <c r="AF724" s="175" t="s">
        <v>968</v>
      </c>
      <c r="AG724" s="176" t="s">
        <v>3324</v>
      </c>
      <c r="AH724" s="176" t="s">
        <v>3327</v>
      </c>
      <c r="AI724" s="179">
        <v>147</v>
      </c>
      <c r="AJ724" s="179">
        <v>159</v>
      </c>
      <c r="AK724" s="180">
        <v>279</v>
      </c>
      <c r="AL724" s="180">
        <v>244</v>
      </c>
      <c r="AM724" s="179" t="s">
        <v>292</v>
      </c>
      <c r="AN724" s="195" t="s">
        <v>276</v>
      </c>
      <c r="AO724" s="196">
        <f t="shared" ref="AO724:AO730" si="229">AI724*100/AK724</f>
        <v>52.688172043010752</v>
      </c>
      <c r="AP724" s="175" t="s">
        <v>276</v>
      </c>
      <c r="AQ724" s="175" t="s">
        <v>276</v>
      </c>
      <c r="AR724" s="175" t="s">
        <v>276</v>
      </c>
      <c r="AS724" s="181">
        <f>AJ724*100/AL724</f>
        <v>65.163934426229503</v>
      </c>
      <c r="AT724" s="175" t="s">
        <v>276</v>
      </c>
      <c r="AU724" s="175" t="s">
        <v>276</v>
      </c>
      <c r="AV724" s="175" t="s">
        <v>268</v>
      </c>
      <c r="AW724" s="175" t="s">
        <v>276</v>
      </c>
      <c r="AX724" s="181">
        <f t="shared" si="218"/>
        <v>0.80854804896192611</v>
      </c>
      <c r="AY724" s="175" t="s">
        <v>276</v>
      </c>
      <c r="AZ724" s="175" t="s">
        <v>276</v>
      </c>
      <c r="BA724" s="175" t="s">
        <v>276</v>
      </c>
      <c r="BB724" s="175" t="s">
        <v>282</v>
      </c>
      <c r="BC724" s="175" t="s">
        <v>276</v>
      </c>
      <c r="BD724" s="175" t="s">
        <v>276</v>
      </c>
      <c r="BE724" s="175" t="s">
        <v>276</v>
      </c>
      <c r="BF724" s="176" t="s">
        <v>3328</v>
      </c>
      <c r="BG724" s="176"/>
      <c r="BH724" s="9" t="s">
        <v>100</v>
      </c>
      <c r="BI724" s="9" t="s">
        <v>100</v>
      </c>
      <c r="BJ724" s="182"/>
      <c r="BN724" s="182"/>
      <c r="BO724" s="182"/>
    </row>
    <row r="725" spans="1:67" s="33" customFormat="1" ht="78" hidden="1" x14ac:dyDescent="0.35">
      <c r="A725" s="8">
        <v>108</v>
      </c>
      <c r="B725" s="8" t="s">
        <v>3356</v>
      </c>
      <c r="C725" s="8" t="s">
        <v>53</v>
      </c>
      <c r="D725" s="9" t="s">
        <v>3506</v>
      </c>
      <c r="E725" s="8" t="s">
        <v>36</v>
      </c>
      <c r="F725" s="9" t="s">
        <v>134</v>
      </c>
      <c r="G725" s="8" t="s">
        <v>225</v>
      </c>
      <c r="H725" s="8" t="s">
        <v>225</v>
      </c>
      <c r="I725" s="8" t="s">
        <v>98</v>
      </c>
      <c r="J725" s="9" t="s">
        <v>98</v>
      </c>
      <c r="K725" s="8" t="s">
        <v>98</v>
      </c>
      <c r="L725" s="8" t="s">
        <v>98</v>
      </c>
      <c r="M725" s="8" t="s">
        <v>98</v>
      </c>
      <c r="N725" s="9" t="s">
        <v>3507</v>
      </c>
      <c r="O725" s="9" t="s">
        <v>3481</v>
      </c>
      <c r="P725" s="9" t="s">
        <v>238</v>
      </c>
      <c r="Q725" s="52" t="s">
        <v>276</v>
      </c>
      <c r="R725" s="9" t="s">
        <v>276</v>
      </c>
      <c r="S725" s="9" t="s">
        <v>276</v>
      </c>
      <c r="T725" s="9" t="s">
        <v>276</v>
      </c>
      <c r="U725" s="9">
        <v>1</v>
      </c>
      <c r="V725" s="8" t="s">
        <v>14</v>
      </c>
      <c r="W725" s="8" t="s">
        <v>98</v>
      </c>
      <c r="X725" s="9" t="s">
        <v>209</v>
      </c>
      <c r="Y725" s="13">
        <v>57099</v>
      </c>
      <c r="Z725" s="9" t="s">
        <v>98</v>
      </c>
      <c r="AA725" s="9" t="s">
        <v>276</v>
      </c>
      <c r="AB725" s="9" t="s">
        <v>98</v>
      </c>
      <c r="AC725" s="8" t="s">
        <v>98</v>
      </c>
      <c r="AD725" s="8" t="s">
        <v>98</v>
      </c>
      <c r="AE725" s="8" t="s">
        <v>98</v>
      </c>
      <c r="AF725" s="8" t="s">
        <v>98</v>
      </c>
      <c r="AG725" s="9" t="s">
        <v>3508</v>
      </c>
      <c r="AH725" s="9" t="s">
        <v>3509</v>
      </c>
      <c r="AI725" s="38">
        <v>2131</v>
      </c>
      <c r="AJ725" s="38" t="s">
        <v>98</v>
      </c>
      <c r="AK725" s="13">
        <v>57099</v>
      </c>
      <c r="AL725" s="38" t="s">
        <v>98</v>
      </c>
      <c r="AM725" s="38" t="s">
        <v>292</v>
      </c>
      <c r="AN725" s="8" t="s">
        <v>276</v>
      </c>
      <c r="AO725" s="31">
        <f t="shared" si="229"/>
        <v>3.732114397800312</v>
      </c>
      <c r="AP725" s="8" t="s">
        <v>276</v>
      </c>
      <c r="AQ725" s="8" t="s">
        <v>276</v>
      </c>
      <c r="AR725" s="8" t="s">
        <v>98</v>
      </c>
      <c r="AS725" s="14" t="s">
        <v>98</v>
      </c>
      <c r="AT725" s="8" t="s">
        <v>98</v>
      </c>
      <c r="AU725" s="8" t="s">
        <v>98</v>
      </c>
      <c r="AV725" s="8" t="s">
        <v>98</v>
      </c>
      <c r="AW725" s="40" t="s">
        <v>98</v>
      </c>
      <c r="AX725" s="40" t="s">
        <v>98</v>
      </c>
      <c r="AY725" s="9" t="s">
        <v>98</v>
      </c>
      <c r="AZ725" s="9" t="s">
        <v>98</v>
      </c>
      <c r="BA725" s="9" t="s">
        <v>98</v>
      </c>
      <c r="BB725" s="9" t="s">
        <v>98</v>
      </c>
      <c r="BC725" s="9" t="s">
        <v>98</v>
      </c>
      <c r="BD725" s="9" t="s">
        <v>98</v>
      </c>
      <c r="BE725" s="9" t="s">
        <v>98</v>
      </c>
      <c r="BF725" s="9" t="s">
        <v>3510</v>
      </c>
      <c r="BG725" s="9"/>
      <c r="BH725" s="9" t="s">
        <v>100</v>
      </c>
      <c r="BI725" s="9" t="s">
        <v>100</v>
      </c>
      <c r="BJ725" s="32"/>
      <c r="BN725" s="32"/>
      <c r="BO725" s="32"/>
    </row>
    <row r="726" spans="1:67" s="33" customFormat="1" ht="52" hidden="1" x14ac:dyDescent="0.35">
      <c r="A726" s="8">
        <v>108</v>
      </c>
      <c r="B726" s="8" t="s">
        <v>3356</v>
      </c>
      <c r="C726" s="8" t="s">
        <v>53</v>
      </c>
      <c r="D726" s="9" t="s">
        <v>3511</v>
      </c>
      <c r="E726" s="8" t="s">
        <v>36</v>
      </c>
      <c r="F726" s="9" t="s">
        <v>134</v>
      </c>
      <c r="G726" s="8" t="s">
        <v>225</v>
      </c>
      <c r="H726" s="8" t="s">
        <v>225</v>
      </c>
      <c r="I726" s="8" t="s">
        <v>98</v>
      </c>
      <c r="J726" s="9" t="s">
        <v>98</v>
      </c>
      <c r="K726" s="8" t="s">
        <v>98</v>
      </c>
      <c r="L726" s="8" t="s">
        <v>98</v>
      </c>
      <c r="M726" s="8" t="s">
        <v>98</v>
      </c>
      <c r="N726" s="9" t="s">
        <v>3512</v>
      </c>
      <c r="O726" s="9" t="s">
        <v>3481</v>
      </c>
      <c r="P726" s="9" t="s">
        <v>238</v>
      </c>
      <c r="Q726" s="52" t="s">
        <v>276</v>
      </c>
      <c r="R726" s="9" t="s">
        <v>276</v>
      </c>
      <c r="S726" s="9" t="s">
        <v>276</v>
      </c>
      <c r="T726" s="9" t="s">
        <v>276</v>
      </c>
      <c r="U726" s="9">
        <v>1</v>
      </c>
      <c r="V726" s="8" t="s">
        <v>14</v>
      </c>
      <c r="W726" s="8" t="s">
        <v>98</v>
      </c>
      <c r="X726" s="9" t="s">
        <v>209</v>
      </c>
      <c r="Y726" s="13">
        <v>57099</v>
      </c>
      <c r="Z726" s="9" t="s">
        <v>98</v>
      </c>
      <c r="AA726" s="9" t="s">
        <v>276</v>
      </c>
      <c r="AB726" s="9" t="s">
        <v>98</v>
      </c>
      <c r="AC726" s="8" t="s">
        <v>98</v>
      </c>
      <c r="AD726" s="8" t="s">
        <v>98</v>
      </c>
      <c r="AE726" s="8" t="s">
        <v>98</v>
      </c>
      <c r="AF726" s="8" t="s">
        <v>98</v>
      </c>
      <c r="AG726" s="9" t="s">
        <v>3513</v>
      </c>
      <c r="AH726" s="9" t="s">
        <v>3509</v>
      </c>
      <c r="AI726" s="38">
        <v>140</v>
      </c>
      <c r="AJ726" s="38" t="s">
        <v>98</v>
      </c>
      <c r="AK726" s="13">
        <v>57099</v>
      </c>
      <c r="AL726" s="38" t="s">
        <v>98</v>
      </c>
      <c r="AM726" s="38" t="s">
        <v>292</v>
      </c>
      <c r="AN726" s="8" t="s">
        <v>276</v>
      </c>
      <c r="AO726" s="31">
        <f t="shared" ref="AO726" si="230">AI726*100/AK726</f>
        <v>0.24518818192963099</v>
      </c>
      <c r="AP726" s="8" t="s">
        <v>276</v>
      </c>
      <c r="AQ726" s="8" t="s">
        <v>276</v>
      </c>
      <c r="AR726" s="8" t="s">
        <v>98</v>
      </c>
      <c r="AS726" s="14" t="s">
        <v>98</v>
      </c>
      <c r="AT726" s="8" t="s">
        <v>98</v>
      </c>
      <c r="AU726" s="8" t="s">
        <v>98</v>
      </c>
      <c r="AV726" s="8" t="s">
        <v>98</v>
      </c>
      <c r="AW726" s="40" t="s">
        <v>98</v>
      </c>
      <c r="AX726" s="40" t="s">
        <v>98</v>
      </c>
      <c r="AY726" s="9" t="s">
        <v>98</v>
      </c>
      <c r="AZ726" s="9" t="s">
        <v>98</v>
      </c>
      <c r="BA726" s="9" t="s">
        <v>98</v>
      </c>
      <c r="BB726" s="9" t="s">
        <v>98</v>
      </c>
      <c r="BC726" s="9" t="s">
        <v>98</v>
      </c>
      <c r="BD726" s="9" t="s">
        <v>98</v>
      </c>
      <c r="BE726" s="9" t="s">
        <v>98</v>
      </c>
      <c r="BF726" s="9" t="s">
        <v>3514</v>
      </c>
      <c r="BG726" s="9"/>
      <c r="BH726" s="9" t="s">
        <v>100</v>
      </c>
      <c r="BI726" s="9" t="s">
        <v>100</v>
      </c>
      <c r="BJ726" s="32"/>
      <c r="BN726" s="32"/>
      <c r="BO726" s="32"/>
    </row>
    <row r="727" spans="1:67" s="33" customFormat="1" ht="52" hidden="1" x14ac:dyDescent="0.35">
      <c r="A727" s="8">
        <v>108</v>
      </c>
      <c r="B727" s="8" t="s">
        <v>3356</v>
      </c>
      <c r="C727" s="8" t="s">
        <v>53</v>
      </c>
      <c r="D727" s="9" t="s">
        <v>11688</v>
      </c>
      <c r="E727" s="8" t="s">
        <v>36</v>
      </c>
      <c r="F727" s="9" t="s">
        <v>134</v>
      </c>
      <c r="G727" s="8" t="s">
        <v>225</v>
      </c>
      <c r="H727" s="8" t="s">
        <v>225</v>
      </c>
      <c r="I727" s="8" t="s">
        <v>98</v>
      </c>
      <c r="J727" s="9" t="s">
        <v>98</v>
      </c>
      <c r="K727" s="8" t="s">
        <v>98</v>
      </c>
      <c r="L727" s="8" t="s">
        <v>98</v>
      </c>
      <c r="M727" s="8" t="s">
        <v>98</v>
      </c>
      <c r="N727" s="9" t="s">
        <v>3512</v>
      </c>
      <c r="O727" s="9" t="s">
        <v>3481</v>
      </c>
      <c r="P727" s="9" t="s">
        <v>238</v>
      </c>
      <c r="Q727" s="52" t="s">
        <v>276</v>
      </c>
      <c r="R727" s="9" t="s">
        <v>276</v>
      </c>
      <c r="S727" s="9" t="s">
        <v>276</v>
      </c>
      <c r="T727" s="9" t="s">
        <v>276</v>
      </c>
      <c r="U727" s="9">
        <v>1</v>
      </c>
      <c r="V727" s="8" t="s">
        <v>14</v>
      </c>
      <c r="W727" s="8" t="s">
        <v>98</v>
      </c>
      <c r="X727" s="9" t="s">
        <v>209</v>
      </c>
      <c r="Y727" s="13">
        <v>57099</v>
      </c>
      <c r="Z727" s="9" t="s">
        <v>98</v>
      </c>
      <c r="AA727" s="9" t="s">
        <v>276</v>
      </c>
      <c r="AB727" s="9" t="s">
        <v>98</v>
      </c>
      <c r="AC727" s="8" t="s">
        <v>98</v>
      </c>
      <c r="AD727" s="8" t="s">
        <v>98</v>
      </c>
      <c r="AE727" s="8" t="s">
        <v>98</v>
      </c>
      <c r="AF727" s="8" t="s">
        <v>98</v>
      </c>
      <c r="AG727" s="9" t="s">
        <v>11689</v>
      </c>
      <c r="AH727" s="9" t="s">
        <v>3509</v>
      </c>
      <c r="AI727" s="38">
        <f>140+2131</f>
        <v>2271</v>
      </c>
      <c r="AJ727" s="38" t="s">
        <v>98</v>
      </c>
      <c r="AK727" s="13">
        <v>57099</v>
      </c>
      <c r="AL727" s="38" t="s">
        <v>98</v>
      </c>
      <c r="AM727" s="38" t="s">
        <v>292</v>
      </c>
      <c r="AN727" s="8" t="s">
        <v>276</v>
      </c>
      <c r="AO727" s="31">
        <f t="shared" si="229"/>
        <v>3.9773025797299426</v>
      </c>
      <c r="AP727" s="8" t="s">
        <v>276</v>
      </c>
      <c r="AQ727" s="8" t="s">
        <v>276</v>
      </c>
      <c r="AR727" s="8" t="s">
        <v>98</v>
      </c>
      <c r="AS727" s="14" t="s">
        <v>98</v>
      </c>
      <c r="AT727" s="8" t="s">
        <v>98</v>
      </c>
      <c r="AU727" s="8" t="s">
        <v>98</v>
      </c>
      <c r="AV727" s="8" t="s">
        <v>98</v>
      </c>
      <c r="AW727" s="40" t="s">
        <v>98</v>
      </c>
      <c r="AX727" s="40" t="s">
        <v>98</v>
      </c>
      <c r="AY727" s="9" t="s">
        <v>98</v>
      </c>
      <c r="AZ727" s="9" t="s">
        <v>98</v>
      </c>
      <c r="BA727" s="9" t="s">
        <v>98</v>
      </c>
      <c r="BB727" s="9" t="s">
        <v>98</v>
      </c>
      <c r="BC727" s="9" t="s">
        <v>98</v>
      </c>
      <c r="BD727" s="9" t="s">
        <v>98</v>
      </c>
      <c r="BE727" s="9" t="s">
        <v>98</v>
      </c>
      <c r="BF727" s="9" t="s">
        <v>3514</v>
      </c>
      <c r="BG727" s="9"/>
      <c r="BH727" s="9" t="s">
        <v>100</v>
      </c>
      <c r="BI727" s="9" t="s">
        <v>100</v>
      </c>
      <c r="BJ727" s="32"/>
      <c r="BN727" s="32"/>
      <c r="BO727" s="32"/>
    </row>
    <row r="728" spans="1:67" s="33" customFormat="1" ht="52" x14ac:dyDescent="0.35">
      <c r="A728" s="8">
        <v>108</v>
      </c>
      <c r="B728" s="8" t="s">
        <v>3356</v>
      </c>
      <c r="C728" s="8" t="s">
        <v>53</v>
      </c>
      <c r="D728" s="9" t="s">
        <v>3515</v>
      </c>
      <c r="E728" s="8" t="s">
        <v>36</v>
      </c>
      <c r="F728" s="9" t="s">
        <v>134</v>
      </c>
      <c r="G728" s="8" t="s">
        <v>225</v>
      </c>
      <c r="H728" s="8" t="s">
        <v>225</v>
      </c>
      <c r="I728" s="8" t="s">
        <v>98</v>
      </c>
      <c r="J728" s="9" t="s">
        <v>98</v>
      </c>
      <c r="K728" s="8" t="s">
        <v>98</v>
      </c>
      <c r="L728" s="8" t="s">
        <v>98</v>
      </c>
      <c r="M728" s="8" t="s">
        <v>98</v>
      </c>
      <c r="N728" s="9" t="s">
        <v>3512</v>
      </c>
      <c r="O728" s="9" t="s">
        <v>3481</v>
      </c>
      <c r="P728" s="9" t="s">
        <v>236</v>
      </c>
      <c r="Q728" s="52">
        <v>39813</v>
      </c>
      <c r="R728" s="9" t="s">
        <v>276</v>
      </c>
      <c r="S728" s="9" t="s">
        <v>3516</v>
      </c>
      <c r="T728" s="9" t="s">
        <v>276</v>
      </c>
      <c r="U728" s="9">
        <v>1</v>
      </c>
      <c r="V728" s="8" t="s">
        <v>14</v>
      </c>
      <c r="W728" s="8" t="s">
        <v>98</v>
      </c>
      <c r="X728" s="9" t="s">
        <v>209</v>
      </c>
      <c r="Y728" s="13" t="s">
        <v>98</v>
      </c>
      <c r="Z728" s="9" t="s">
        <v>98</v>
      </c>
      <c r="AA728" s="9" t="s">
        <v>276</v>
      </c>
      <c r="AB728" s="9" t="s">
        <v>98</v>
      </c>
      <c r="AC728" s="8" t="s">
        <v>98</v>
      </c>
      <c r="AD728" s="8" t="s">
        <v>98</v>
      </c>
      <c r="AE728" s="8" t="s">
        <v>98</v>
      </c>
      <c r="AF728" s="8" t="s">
        <v>98</v>
      </c>
      <c r="AG728" s="9" t="s">
        <v>3513</v>
      </c>
      <c r="AH728" s="9" t="s">
        <v>3517</v>
      </c>
      <c r="AI728" s="38">
        <v>140</v>
      </c>
      <c r="AJ728" s="38" t="s">
        <v>98</v>
      </c>
      <c r="AK728" s="13">
        <v>706</v>
      </c>
      <c r="AL728" s="38" t="s">
        <v>98</v>
      </c>
      <c r="AM728" s="38" t="s">
        <v>292</v>
      </c>
      <c r="AN728" s="8" t="s">
        <v>276</v>
      </c>
      <c r="AO728" s="31">
        <f t="shared" si="229"/>
        <v>19.830028328611899</v>
      </c>
      <c r="AP728" s="8" t="s">
        <v>276</v>
      </c>
      <c r="AQ728" s="8" t="s">
        <v>276</v>
      </c>
      <c r="AR728" s="8" t="s">
        <v>98</v>
      </c>
      <c r="AS728" s="14" t="s">
        <v>98</v>
      </c>
      <c r="AT728" s="8" t="s">
        <v>98</v>
      </c>
      <c r="AU728" s="8" t="s">
        <v>98</v>
      </c>
      <c r="AV728" s="8" t="s">
        <v>98</v>
      </c>
      <c r="AW728" s="40" t="s">
        <v>98</v>
      </c>
      <c r="AX728" s="40" t="s">
        <v>98</v>
      </c>
      <c r="AY728" s="9" t="s">
        <v>98</v>
      </c>
      <c r="AZ728" s="9" t="s">
        <v>98</v>
      </c>
      <c r="BA728" s="9" t="s">
        <v>98</v>
      </c>
      <c r="BB728" s="9" t="s">
        <v>98</v>
      </c>
      <c r="BC728" s="9" t="s">
        <v>98</v>
      </c>
      <c r="BD728" s="9" t="s">
        <v>98</v>
      </c>
      <c r="BE728" s="9" t="s">
        <v>98</v>
      </c>
      <c r="BF728" s="9" t="s">
        <v>3518</v>
      </c>
      <c r="BG728" s="9"/>
      <c r="BH728" s="9" t="s">
        <v>99</v>
      </c>
      <c r="BI728" s="9" t="s">
        <v>100</v>
      </c>
      <c r="BJ728" s="32"/>
      <c r="BN728" s="32"/>
      <c r="BO728" s="32"/>
    </row>
    <row r="729" spans="1:67" s="33" customFormat="1" ht="52" hidden="1" x14ac:dyDescent="0.35">
      <c r="A729" s="8">
        <v>108</v>
      </c>
      <c r="B729" s="8" t="s">
        <v>3356</v>
      </c>
      <c r="C729" s="8" t="s">
        <v>53</v>
      </c>
      <c r="D729" s="9" t="s">
        <v>3519</v>
      </c>
      <c r="E729" s="8" t="s">
        <v>36</v>
      </c>
      <c r="F729" s="9" t="s">
        <v>134</v>
      </c>
      <c r="G729" s="8" t="s">
        <v>225</v>
      </c>
      <c r="H729" s="8" t="s">
        <v>225</v>
      </c>
      <c r="I729" s="8" t="s">
        <v>98</v>
      </c>
      <c r="J729" s="9" t="s">
        <v>98</v>
      </c>
      <c r="K729" s="8" t="s">
        <v>98</v>
      </c>
      <c r="L729" s="8" t="s">
        <v>98</v>
      </c>
      <c r="M729" s="8" t="s">
        <v>98</v>
      </c>
      <c r="N729" s="9" t="s">
        <v>3512</v>
      </c>
      <c r="O729" s="9" t="s">
        <v>3481</v>
      </c>
      <c r="P729" s="9" t="s">
        <v>236</v>
      </c>
      <c r="Q729" s="52">
        <v>39813</v>
      </c>
      <c r="R729" s="9" t="s">
        <v>276</v>
      </c>
      <c r="S729" s="9" t="s">
        <v>3516</v>
      </c>
      <c r="T729" s="9" t="s">
        <v>276</v>
      </c>
      <c r="U729" s="9">
        <v>1</v>
      </c>
      <c r="V729" s="8" t="s">
        <v>14</v>
      </c>
      <c r="W729" s="8" t="s">
        <v>98</v>
      </c>
      <c r="X729" s="9" t="s">
        <v>209</v>
      </c>
      <c r="Y729" s="13" t="s">
        <v>98</v>
      </c>
      <c r="Z729" s="9" t="s">
        <v>98</v>
      </c>
      <c r="AA729" s="9" t="s">
        <v>276</v>
      </c>
      <c r="AB729" s="9" t="s">
        <v>98</v>
      </c>
      <c r="AC729" s="8" t="s">
        <v>98</v>
      </c>
      <c r="AD729" s="8" t="s">
        <v>98</v>
      </c>
      <c r="AE729" s="8" t="s">
        <v>98</v>
      </c>
      <c r="AF729" s="8" t="s">
        <v>98</v>
      </c>
      <c r="AG729" s="9" t="s">
        <v>3520</v>
      </c>
      <c r="AH729" s="9" t="s">
        <v>3521</v>
      </c>
      <c r="AI729" s="38">
        <v>126</v>
      </c>
      <c r="AJ729" s="38" t="s">
        <v>98</v>
      </c>
      <c r="AK729" s="13">
        <v>386</v>
      </c>
      <c r="AL729" s="38" t="s">
        <v>98</v>
      </c>
      <c r="AM729" s="38" t="s">
        <v>292</v>
      </c>
      <c r="AN729" s="8" t="s">
        <v>276</v>
      </c>
      <c r="AO729" s="31">
        <f t="shared" si="229"/>
        <v>32.642487046632127</v>
      </c>
      <c r="AP729" s="8" t="s">
        <v>276</v>
      </c>
      <c r="AQ729" s="8" t="s">
        <v>276</v>
      </c>
      <c r="AR729" s="8" t="s">
        <v>98</v>
      </c>
      <c r="AS729" s="14" t="s">
        <v>98</v>
      </c>
      <c r="AT729" s="8" t="s">
        <v>98</v>
      </c>
      <c r="AU729" s="8" t="s">
        <v>98</v>
      </c>
      <c r="AV729" s="8" t="s">
        <v>98</v>
      </c>
      <c r="AW729" s="40" t="s">
        <v>98</v>
      </c>
      <c r="AX729" s="40" t="s">
        <v>98</v>
      </c>
      <c r="AY729" s="9" t="s">
        <v>98</v>
      </c>
      <c r="AZ729" s="9" t="s">
        <v>98</v>
      </c>
      <c r="BA729" s="9" t="s">
        <v>98</v>
      </c>
      <c r="BB729" s="9" t="s">
        <v>98</v>
      </c>
      <c r="BC729" s="9" t="s">
        <v>98</v>
      </c>
      <c r="BD729" s="9" t="s">
        <v>98</v>
      </c>
      <c r="BE729" s="9" t="s">
        <v>98</v>
      </c>
      <c r="BF729" s="9" t="s">
        <v>3518</v>
      </c>
      <c r="BG729" s="9" t="s">
        <v>3522</v>
      </c>
      <c r="BH729" s="9" t="s">
        <v>100</v>
      </c>
      <c r="BI729" s="9" t="s">
        <v>100</v>
      </c>
      <c r="BJ729" s="32"/>
      <c r="BN729" s="32"/>
      <c r="BO729" s="32"/>
    </row>
    <row r="730" spans="1:67" s="33" customFormat="1" ht="52" hidden="1" x14ac:dyDescent="0.35">
      <c r="A730" s="8">
        <v>108</v>
      </c>
      <c r="B730" s="8" t="s">
        <v>3356</v>
      </c>
      <c r="C730" s="8" t="s">
        <v>53</v>
      </c>
      <c r="D730" s="9" t="s">
        <v>3523</v>
      </c>
      <c r="E730" s="8" t="s">
        <v>36</v>
      </c>
      <c r="F730" s="9" t="s">
        <v>134</v>
      </c>
      <c r="G730" s="8" t="s">
        <v>225</v>
      </c>
      <c r="H730" s="8" t="s">
        <v>225</v>
      </c>
      <c r="I730" s="8" t="s">
        <v>98</v>
      </c>
      <c r="J730" s="9" t="s">
        <v>98</v>
      </c>
      <c r="K730" s="8" t="s">
        <v>98</v>
      </c>
      <c r="L730" s="8" t="s">
        <v>98</v>
      </c>
      <c r="M730" s="8" t="s">
        <v>98</v>
      </c>
      <c r="N730" s="9" t="s">
        <v>3512</v>
      </c>
      <c r="O730" s="9" t="s">
        <v>3481</v>
      </c>
      <c r="P730" s="9" t="s">
        <v>236</v>
      </c>
      <c r="Q730" s="52">
        <v>39813</v>
      </c>
      <c r="R730" s="9" t="s">
        <v>276</v>
      </c>
      <c r="S730" s="9" t="s">
        <v>3516</v>
      </c>
      <c r="T730" s="9" t="s">
        <v>276</v>
      </c>
      <c r="U730" s="9">
        <v>1</v>
      </c>
      <c r="V730" s="8" t="s">
        <v>14</v>
      </c>
      <c r="W730" s="8" t="s">
        <v>98</v>
      </c>
      <c r="X730" s="9" t="s">
        <v>209</v>
      </c>
      <c r="Y730" s="13" t="s">
        <v>98</v>
      </c>
      <c r="Z730" s="9" t="s">
        <v>98</v>
      </c>
      <c r="AA730" s="9" t="s">
        <v>276</v>
      </c>
      <c r="AB730" s="9" t="s">
        <v>98</v>
      </c>
      <c r="AC730" s="8" t="s">
        <v>98</v>
      </c>
      <c r="AD730" s="8" t="s">
        <v>98</v>
      </c>
      <c r="AE730" s="8" t="s">
        <v>98</v>
      </c>
      <c r="AF730" s="8" t="s">
        <v>98</v>
      </c>
      <c r="AG730" s="9" t="s">
        <v>3524</v>
      </c>
      <c r="AH730" s="9" t="s">
        <v>3525</v>
      </c>
      <c r="AI730" s="38">
        <v>14</v>
      </c>
      <c r="AJ730" s="38" t="s">
        <v>98</v>
      </c>
      <c r="AK730" s="13">
        <v>311</v>
      </c>
      <c r="AL730" s="38" t="s">
        <v>98</v>
      </c>
      <c r="AM730" s="38" t="s">
        <v>292</v>
      </c>
      <c r="AN730" s="8" t="s">
        <v>276</v>
      </c>
      <c r="AO730" s="31">
        <f t="shared" si="229"/>
        <v>4.501607717041801</v>
      </c>
      <c r="AP730" s="8" t="s">
        <v>276</v>
      </c>
      <c r="AQ730" s="8" t="s">
        <v>276</v>
      </c>
      <c r="AR730" s="8" t="s">
        <v>98</v>
      </c>
      <c r="AS730" s="14" t="s">
        <v>98</v>
      </c>
      <c r="AT730" s="8" t="s">
        <v>98</v>
      </c>
      <c r="AU730" s="8" t="s">
        <v>98</v>
      </c>
      <c r="AV730" s="8" t="s">
        <v>98</v>
      </c>
      <c r="AW730" s="40" t="s">
        <v>98</v>
      </c>
      <c r="AX730" s="40" t="s">
        <v>98</v>
      </c>
      <c r="AY730" s="9" t="s">
        <v>98</v>
      </c>
      <c r="AZ730" s="9" t="s">
        <v>98</v>
      </c>
      <c r="BA730" s="9" t="s">
        <v>98</v>
      </c>
      <c r="BB730" s="9" t="s">
        <v>98</v>
      </c>
      <c r="BC730" s="9" t="s">
        <v>98</v>
      </c>
      <c r="BD730" s="9" t="s">
        <v>98</v>
      </c>
      <c r="BE730" s="9" t="s">
        <v>98</v>
      </c>
      <c r="BF730" s="9" t="s">
        <v>3518</v>
      </c>
      <c r="BG730" s="9" t="s">
        <v>3522</v>
      </c>
      <c r="BH730" s="9" t="s">
        <v>100</v>
      </c>
      <c r="BI730" s="9" t="s">
        <v>100</v>
      </c>
      <c r="BJ730" s="32"/>
      <c r="BN730" s="32"/>
      <c r="BO730" s="32"/>
    </row>
    <row r="731" spans="1:67" s="79" customFormat="1" ht="78" hidden="1" x14ac:dyDescent="0.35">
      <c r="A731" s="72">
        <v>108</v>
      </c>
      <c r="B731" s="72" t="s">
        <v>3356</v>
      </c>
      <c r="C731" s="72" t="s">
        <v>53</v>
      </c>
      <c r="D731" s="73" t="s">
        <v>3526</v>
      </c>
      <c r="E731" s="72" t="s">
        <v>36</v>
      </c>
      <c r="F731" s="73" t="s">
        <v>134</v>
      </c>
      <c r="G731" s="72" t="s">
        <v>225</v>
      </c>
      <c r="H731" s="72" t="s">
        <v>125</v>
      </c>
      <c r="I731" s="72" t="s">
        <v>114</v>
      </c>
      <c r="J731" s="73" t="s">
        <v>32</v>
      </c>
      <c r="K731" s="72" t="s">
        <v>3527</v>
      </c>
      <c r="L731" s="72" t="s">
        <v>276</v>
      </c>
      <c r="M731" s="72" t="s">
        <v>276</v>
      </c>
      <c r="N731" s="73" t="s">
        <v>3512</v>
      </c>
      <c r="O731" s="73" t="s">
        <v>3481</v>
      </c>
      <c r="P731" s="73" t="s">
        <v>239</v>
      </c>
      <c r="Q731" s="77">
        <v>39813</v>
      </c>
      <c r="R731" s="73" t="s">
        <v>276</v>
      </c>
      <c r="S731" s="73" t="s">
        <v>3516</v>
      </c>
      <c r="T731" s="73" t="s">
        <v>3528</v>
      </c>
      <c r="U731" s="73">
        <v>1</v>
      </c>
      <c r="V731" s="72" t="s">
        <v>14</v>
      </c>
      <c r="W731" s="72" t="s">
        <v>98</v>
      </c>
      <c r="X731" s="73" t="s">
        <v>207</v>
      </c>
      <c r="Y731" s="74">
        <v>57099</v>
      </c>
      <c r="Z731" s="75">
        <v>112939</v>
      </c>
      <c r="AA731" s="73" t="s">
        <v>276</v>
      </c>
      <c r="AB731" s="73" t="s">
        <v>276</v>
      </c>
      <c r="AC731" s="72">
        <v>0</v>
      </c>
      <c r="AD731" s="72" t="s">
        <v>98</v>
      </c>
      <c r="AE731" s="72">
        <v>0</v>
      </c>
      <c r="AF731" s="72" t="s">
        <v>98</v>
      </c>
      <c r="AG731" s="73" t="s">
        <v>3529</v>
      </c>
      <c r="AH731" s="73" t="s">
        <v>3530</v>
      </c>
      <c r="AI731" s="75">
        <v>706</v>
      </c>
      <c r="AJ731" s="75">
        <v>1818</v>
      </c>
      <c r="AK731" s="75">
        <v>616981</v>
      </c>
      <c r="AL731" s="75">
        <v>1218334</v>
      </c>
      <c r="AM731" s="75" t="s">
        <v>1019</v>
      </c>
      <c r="AN731" s="72">
        <v>114</v>
      </c>
      <c r="AO731" s="86">
        <f>AI731*100000/AK731</f>
        <v>114.42815905189948</v>
      </c>
      <c r="AP731" s="72">
        <v>106</v>
      </c>
      <c r="AQ731" s="72">
        <v>123</v>
      </c>
      <c r="AR731" s="72">
        <v>149</v>
      </c>
      <c r="AS731" s="86">
        <f>AJ731*100000/AL731</f>
        <v>149.22016458540926</v>
      </c>
      <c r="AT731" s="72">
        <v>143</v>
      </c>
      <c r="AU731" s="72">
        <v>156</v>
      </c>
      <c r="AV731" s="72" t="s">
        <v>270</v>
      </c>
      <c r="AW731" s="83">
        <v>0.77</v>
      </c>
      <c r="AX731" s="83" t="s">
        <v>98</v>
      </c>
      <c r="AY731" s="83">
        <v>0.7</v>
      </c>
      <c r="AZ731" s="73">
        <v>0.84</v>
      </c>
      <c r="BA731" s="73" t="s">
        <v>3368</v>
      </c>
      <c r="BB731" s="73" t="s">
        <v>282</v>
      </c>
      <c r="BC731" s="73" t="s">
        <v>98</v>
      </c>
      <c r="BD731" s="73" t="s">
        <v>98</v>
      </c>
      <c r="BE731" s="73" t="s">
        <v>98</v>
      </c>
      <c r="BF731" s="73" t="s">
        <v>3531</v>
      </c>
      <c r="BG731" s="73" t="s">
        <v>3532</v>
      </c>
      <c r="BH731" s="9" t="s">
        <v>100</v>
      </c>
      <c r="BI731" s="9" t="s">
        <v>100</v>
      </c>
      <c r="BJ731" s="78"/>
      <c r="BN731" s="78"/>
      <c r="BO731" s="78"/>
    </row>
    <row r="732" spans="1:67" s="79" customFormat="1" ht="78" hidden="1" x14ac:dyDescent="0.35">
      <c r="A732" s="72">
        <v>108</v>
      </c>
      <c r="B732" s="72" t="s">
        <v>3356</v>
      </c>
      <c r="C732" s="72" t="s">
        <v>53</v>
      </c>
      <c r="D732" s="73" t="s">
        <v>3533</v>
      </c>
      <c r="E732" s="72" t="s">
        <v>36</v>
      </c>
      <c r="F732" s="73" t="s">
        <v>134</v>
      </c>
      <c r="G732" s="72" t="s">
        <v>225</v>
      </c>
      <c r="H732" s="72" t="s">
        <v>125</v>
      </c>
      <c r="I732" s="72" t="s">
        <v>114</v>
      </c>
      <c r="J732" s="73" t="s">
        <v>32</v>
      </c>
      <c r="K732" s="72" t="s">
        <v>3527</v>
      </c>
      <c r="L732" s="72" t="s">
        <v>276</v>
      </c>
      <c r="M732" s="72" t="s">
        <v>276</v>
      </c>
      <c r="N732" s="73" t="s">
        <v>3512</v>
      </c>
      <c r="O732" s="73" t="s">
        <v>3481</v>
      </c>
      <c r="P732" s="73" t="s">
        <v>239</v>
      </c>
      <c r="Q732" s="77">
        <v>39813</v>
      </c>
      <c r="R732" s="73" t="s">
        <v>276</v>
      </c>
      <c r="S732" s="73" t="s">
        <v>3516</v>
      </c>
      <c r="T732" s="73" t="s">
        <v>3528</v>
      </c>
      <c r="U732" s="73">
        <v>1</v>
      </c>
      <c r="V732" s="72" t="s">
        <v>14</v>
      </c>
      <c r="W732" s="72" t="s">
        <v>98</v>
      </c>
      <c r="X732" s="73" t="s">
        <v>207</v>
      </c>
      <c r="Y732" s="74">
        <v>57099</v>
      </c>
      <c r="Z732" s="75">
        <v>112939</v>
      </c>
      <c r="AA732" s="73" t="s">
        <v>276</v>
      </c>
      <c r="AB732" s="73" t="s">
        <v>276</v>
      </c>
      <c r="AC732" s="72">
        <v>0</v>
      </c>
      <c r="AD732" s="72" t="s">
        <v>98</v>
      </c>
      <c r="AE732" s="72">
        <v>0</v>
      </c>
      <c r="AF732" s="72" t="s">
        <v>98</v>
      </c>
      <c r="AG732" s="73" t="s">
        <v>3529</v>
      </c>
      <c r="AH732" s="73" t="s">
        <v>2046</v>
      </c>
      <c r="AI732" s="75">
        <v>706</v>
      </c>
      <c r="AJ732" s="75">
        <v>1818</v>
      </c>
      <c r="AK732" s="74">
        <v>57099</v>
      </c>
      <c r="AL732" s="75">
        <v>112939</v>
      </c>
      <c r="AM732" s="75" t="s">
        <v>2047</v>
      </c>
      <c r="AN732" s="72">
        <v>12.4</v>
      </c>
      <c r="AO732" s="86">
        <f>AI732*1000/AK732</f>
        <v>12.364489745879963</v>
      </c>
      <c r="AP732" s="72">
        <v>11.5</v>
      </c>
      <c r="AQ732" s="72">
        <v>13.3</v>
      </c>
      <c r="AR732" s="72">
        <v>16.100000000000001</v>
      </c>
      <c r="AS732" s="86">
        <f>AJ732*1000/AL732</f>
        <v>16.097185206173243</v>
      </c>
      <c r="AT732" s="72">
        <v>15.4</v>
      </c>
      <c r="AU732" s="72">
        <v>16.899999999999999</v>
      </c>
      <c r="AV732" s="72" t="s">
        <v>268</v>
      </c>
      <c r="AW732" s="83" t="s">
        <v>276</v>
      </c>
      <c r="AX732" s="231">
        <f>AO732/AS732</f>
        <v>0.76811502057752323</v>
      </c>
      <c r="AY732" s="83" t="s">
        <v>276</v>
      </c>
      <c r="AZ732" s="83" t="s">
        <v>276</v>
      </c>
      <c r="BA732" s="83" t="s">
        <v>276</v>
      </c>
      <c r="BB732" s="73" t="s">
        <v>282</v>
      </c>
      <c r="BC732" s="73" t="s">
        <v>98</v>
      </c>
      <c r="BD732" s="73" t="s">
        <v>98</v>
      </c>
      <c r="BE732" s="73" t="s">
        <v>98</v>
      </c>
      <c r="BF732" s="73" t="s">
        <v>3534</v>
      </c>
      <c r="BG732" s="73" t="s">
        <v>3532</v>
      </c>
      <c r="BH732" s="9" t="s">
        <v>100</v>
      </c>
      <c r="BI732" s="9" t="s">
        <v>100</v>
      </c>
      <c r="BJ732" s="78"/>
      <c r="BN732" s="78"/>
      <c r="BO732" s="78"/>
    </row>
    <row r="733" spans="1:67" s="79" customFormat="1" ht="130" hidden="1" x14ac:dyDescent="0.35">
      <c r="A733" s="72">
        <v>108</v>
      </c>
      <c r="B733" s="72" t="s">
        <v>3356</v>
      </c>
      <c r="C733" s="72" t="s">
        <v>53</v>
      </c>
      <c r="D733" s="73" t="s">
        <v>3535</v>
      </c>
      <c r="E733" s="72" t="s">
        <v>36</v>
      </c>
      <c r="F733" s="73" t="s">
        <v>134</v>
      </c>
      <c r="G733" s="72" t="s">
        <v>225</v>
      </c>
      <c r="H733" s="72" t="s">
        <v>125</v>
      </c>
      <c r="I733" s="72" t="s">
        <v>114</v>
      </c>
      <c r="J733" s="73" t="s">
        <v>32</v>
      </c>
      <c r="K733" s="72" t="s">
        <v>3527</v>
      </c>
      <c r="L733" s="72" t="s">
        <v>276</v>
      </c>
      <c r="M733" s="72" t="s">
        <v>276</v>
      </c>
      <c r="N733" s="73" t="s">
        <v>3512</v>
      </c>
      <c r="O733" s="73" t="s">
        <v>3481</v>
      </c>
      <c r="P733" s="73" t="s">
        <v>239</v>
      </c>
      <c r="Q733" s="77">
        <v>39813</v>
      </c>
      <c r="R733" s="73" t="s">
        <v>276</v>
      </c>
      <c r="S733" s="75" t="s">
        <v>3536</v>
      </c>
      <c r="T733" s="73" t="s">
        <v>3537</v>
      </c>
      <c r="U733" s="73">
        <v>1</v>
      </c>
      <c r="V733" s="72" t="s">
        <v>14</v>
      </c>
      <c r="W733" s="72" t="s">
        <v>98</v>
      </c>
      <c r="X733" s="73" t="s">
        <v>207</v>
      </c>
      <c r="Y733" s="74">
        <v>57099</v>
      </c>
      <c r="Z733" s="75">
        <v>112939</v>
      </c>
      <c r="AA733" s="73" t="s">
        <v>276</v>
      </c>
      <c r="AB733" s="73" t="s">
        <v>276</v>
      </c>
      <c r="AC733" s="72">
        <v>12</v>
      </c>
      <c r="AD733" s="73" t="s">
        <v>3538</v>
      </c>
      <c r="AE733" s="72">
        <v>29</v>
      </c>
      <c r="AF733" s="73" t="s">
        <v>3538</v>
      </c>
      <c r="AG733" s="73" t="s">
        <v>3539</v>
      </c>
      <c r="AH733" s="73" t="s">
        <v>3530</v>
      </c>
      <c r="AI733" s="75">
        <v>386</v>
      </c>
      <c r="AJ733" s="75">
        <v>1192</v>
      </c>
      <c r="AK733" s="75">
        <v>618053</v>
      </c>
      <c r="AL733" s="75">
        <v>1220175</v>
      </c>
      <c r="AM733" s="75" t="s">
        <v>1019</v>
      </c>
      <c r="AN733" s="72">
        <v>62</v>
      </c>
      <c r="AO733" s="86">
        <f>AI733*100000/AK733</f>
        <v>62.454190821822721</v>
      </c>
      <c r="AP733" s="72">
        <v>57</v>
      </c>
      <c r="AQ733" s="72">
        <v>69</v>
      </c>
      <c r="AR733" s="72">
        <v>98</v>
      </c>
      <c r="AS733" s="86">
        <f>AJ733*100000/AL733</f>
        <v>97.690904993136229</v>
      </c>
      <c r="AT733" s="72">
        <v>92</v>
      </c>
      <c r="AU733" s="72">
        <v>103</v>
      </c>
      <c r="AV733" s="72" t="s">
        <v>270</v>
      </c>
      <c r="AW733" s="83">
        <v>0.64</v>
      </c>
      <c r="AX733" s="83" t="s">
        <v>98</v>
      </c>
      <c r="AY733" s="83">
        <v>0.56999999999999995</v>
      </c>
      <c r="AZ733" s="73">
        <v>0.72</v>
      </c>
      <c r="BA733" s="73" t="s">
        <v>3368</v>
      </c>
      <c r="BB733" s="73" t="s">
        <v>282</v>
      </c>
      <c r="BC733" s="73" t="s">
        <v>98</v>
      </c>
      <c r="BD733" s="73" t="s">
        <v>98</v>
      </c>
      <c r="BE733" s="73" t="s">
        <v>98</v>
      </c>
      <c r="BF733" s="73" t="s">
        <v>3540</v>
      </c>
      <c r="BG733" s="73" t="s">
        <v>3541</v>
      </c>
      <c r="BH733" s="9" t="s">
        <v>100</v>
      </c>
      <c r="BI733" s="9" t="s">
        <v>100</v>
      </c>
      <c r="BJ733" s="78"/>
      <c r="BN733" s="78"/>
      <c r="BO733" s="78"/>
    </row>
    <row r="734" spans="1:67" s="79" customFormat="1" ht="130" hidden="1" x14ac:dyDescent="0.35">
      <c r="A734" s="72">
        <v>108</v>
      </c>
      <c r="B734" s="72" t="s">
        <v>3356</v>
      </c>
      <c r="C734" s="72" t="s">
        <v>53</v>
      </c>
      <c r="D734" s="73" t="s">
        <v>3542</v>
      </c>
      <c r="E734" s="72" t="s">
        <v>36</v>
      </c>
      <c r="F734" s="73" t="s">
        <v>134</v>
      </c>
      <c r="G734" s="72" t="s">
        <v>225</v>
      </c>
      <c r="H734" s="72" t="s">
        <v>125</v>
      </c>
      <c r="I734" s="72" t="s">
        <v>114</v>
      </c>
      <c r="J734" s="73" t="s">
        <v>32</v>
      </c>
      <c r="K734" s="72" t="s">
        <v>3527</v>
      </c>
      <c r="L734" s="72" t="s">
        <v>276</v>
      </c>
      <c r="M734" s="72" t="s">
        <v>276</v>
      </c>
      <c r="N734" s="73" t="s">
        <v>3512</v>
      </c>
      <c r="O734" s="73" t="s">
        <v>3481</v>
      </c>
      <c r="P734" s="73" t="s">
        <v>239</v>
      </c>
      <c r="Q734" s="77">
        <v>39813</v>
      </c>
      <c r="R734" s="73" t="s">
        <v>276</v>
      </c>
      <c r="S734" s="75" t="s">
        <v>3543</v>
      </c>
      <c r="T734" s="73" t="s">
        <v>3544</v>
      </c>
      <c r="U734" s="73">
        <v>1</v>
      </c>
      <c r="V734" s="72" t="s">
        <v>14</v>
      </c>
      <c r="W734" s="72" t="s">
        <v>98</v>
      </c>
      <c r="X734" s="73" t="s">
        <v>207</v>
      </c>
      <c r="Y734" s="74">
        <v>57099</v>
      </c>
      <c r="Z734" s="75">
        <v>112939</v>
      </c>
      <c r="AA734" s="73" t="s">
        <v>276</v>
      </c>
      <c r="AB734" s="73" t="s">
        <v>276</v>
      </c>
      <c r="AC734" s="72">
        <v>12</v>
      </c>
      <c r="AD734" s="73" t="s">
        <v>3538</v>
      </c>
      <c r="AE734" s="72">
        <v>29</v>
      </c>
      <c r="AF734" s="73" t="s">
        <v>3538</v>
      </c>
      <c r="AG734" s="73" t="s">
        <v>3545</v>
      </c>
      <c r="AH734" s="73" t="s">
        <v>3530</v>
      </c>
      <c r="AI734" s="75">
        <v>311</v>
      </c>
      <c r="AJ734" s="75">
        <v>628</v>
      </c>
      <c r="AK734" s="75">
        <v>618962</v>
      </c>
      <c r="AL734" s="75">
        <v>1222639</v>
      </c>
      <c r="AM734" s="75" t="s">
        <v>1019</v>
      </c>
      <c r="AN734" s="72">
        <v>50</v>
      </c>
      <c r="AO734" s="86">
        <f>AI734*100000/AK734</f>
        <v>50.245410865287369</v>
      </c>
      <c r="AP734" s="72">
        <v>45</v>
      </c>
      <c r="AQ734" s="72">
        <v>56</v>
      </c>
      <c r="AR734" s="72">
        <v>51</v>
      </c>
      <c r="AS734" s="86">
        <f>AJ734*100000/AL734</f>
        <v>51.364302954510691</v>
      </c>
      <c r="AT734" s="72">
        <v>48</v>
      </c>
      <c r="AU734" s="72">
        <v>56</v>
      </c>
      <c r="AV734" s="72" t="s">
        <v>270</v>
      </c>
      <c r="AW734" s="83">
        <v>0.98</v>
      </c>
      <c r="AX734" s="83" t="s">
        <v>98</v>
      </c>
      <c r="AY734" s="83">
        <v>0.85</v>
      </c>
      <c r="AZ734" s="73">
        <v>1.1200000000000001</v>
      </c>
      <c r="BA734" s="73">
        <v>0.75</v>
      </c>
      <c r="BB734" s="73" t="s">
        <v>282</v>
      </c>
      <c r="BC734" s="73" t="s">
        <v>98</v>
      </c>
      <c r="BD734" s="73" t="s">
        <v>98</v>
      </c>
      <c r="BE734" s="73" t="s">
        <v>98</v>
      </c>
      <c r="BF734" s="73" t="s">
        <v>3546</v>
      </c>
      <c r="BG734" s="73" t="s">
        <v>3541</v>
      </c>
      <c r="BH734" s="9" t="s">
        <v>100</v>
      </c>
      <c r="BI734" s="9" t="s">
        <v>100</v>
      </c>
      <c r="BJ734" s="78"/>
      <c r="BN734" s="78"/>
      <c r="BO734" s="78"/>
    </row>
    <row r="735" spans="1:67" s="110" customFormat="1" ht="78" hidden="1" x14ac:dyDescent="0.35">
      <c r="A735" s="94">
        <v>103</v>
      </c>
      <c r="B735" s="94" t="s">
        <v>3378</v>
      </c>
      <c r="C735" s="94" t="s">
        <v>53</v>
      </c>
      <c r="D735" s="95" t="s">
        <v>3547</v>
      </c>
      <c r="E735" s="94" t="s">
        <v>36</v>
      </c>
      <c r="F735" s="95" t="s">
        <v>134</v>
      </c>
      <c r="G735" s="94" t="s">
        <v>225</v>
      </c>
      <c r="H735" s="94" t="s">
        <v>125</v>
      </c>
      <c r="I735" s="94" t="s">
        <v>114</v>
      </c>
      <c r="J735" s="95" t="s">
        <v>32</v>
      </c>
      <c r="K735" s="94" t="s">
        <v>3527</v>
      </c>
      <c r="L735" s="94" t="s">
        <v>276</v>
      </c>
      <c r="M735" s="94" t="s">
        <v>276</v>
      </c>
      <c r="N735" s="95" t="s">
        <v>3548</v>
      </c>
      <c r="O735" s="95" t="s">
        <v>3481</v>
      </c>
      <c r="P735" s="95" t="s">
        <v>239</v>
      </c>
      <c r="Q735" s="140">
        <v>42004</v>
      </c>
      <c r="R735" s="95" t="s">
        <v>276</v>
      </c>
      <c r="S735" s="95" t="s">
        <v>3382</v>
      </c>
      <c r="T735" s="95" t="s">
        <v>3382</v>
      </c>
      <c r="U735" s="95">
        <v>1</v>
      </c>
      <c r="V735" s="94" t="s">
        <v>14</v>
      </c>
      <c r="W735" s="94" t="s">
        <v>98</v>
      </c>
      <c r="X735" s="95" t="s">
        <v>207</v>
      </c>
      <c r="Y735" s="98">
        <v>57098</v>
      </c>
      <c r="Z735" s="99">
        <v>112936</v>
      </c>
      <c r="AA735" s="95" t="s">
        <v>276</v>
      </c>
      <c r="AB735" s="95" t="s">
        <v>276</v>
      </c>
      <c r="AC735" s="94">
        <v>0</v>
      </c>
      <c r="AD735" s="94" t="s">
        <v>98</v>
      </c>
      <c r="AE735" s="94">
        <v>0</v>
      </c>
      <c r="AF735" s="94" t="s">
        <v>98</v>
      </c>
      <c r="AG735" s="95" t="s">
        <v>3549</v>
      </c>
      <c r="AH735" s="95" t="s">
        <v>3384</v>
      </c>
      <c r="AI735" s="99">
        <v>1230</v>
      </c>
      <c r="AJ735" s="99">
        <v>3253</v>
      </c>
      <c r="AK735" s="99" t="s">
        <v>276</v>
      </c>
      <c r="AL735" s="99" t="s">
        <v>276</v>
      </c>
      <c r="AM735" s="99" t="s">
        <v>1019</v>
      </c>
      <c r="AN735" s="94">
        <v>137</v>
      </c>
      <c r="AO735" s="101" t="s">
        <v>98</v>
      </c>
      <c r="AP735" s="94">
        <v>130</v>
      </c>
      <c r="AQ735" s="94">
        <v>145</v>
      </c>
      <c r="AR735" s="94">
        <v>184</v>
      </c>
      <c r="AS735" s="101" t="s">
        <v>98</v>
      </c>
      <c r="AT735" s="94">
        <v>178</v>
      </c>
      <c r="AU735" s="94">
        <v>191</v>
      </c>
      <c r="AV735" s="94" t="s">
        <v>270</v>
      </c>
      <c r="AW735" s="141">
        <v>0.74</v>
      </c>
      <c r="AX735" s="141" t="s">
        <v>98</v>
      </c>
      <c r="AY735" s="141">
        <v>0.7</v>
      </c>
      <c r="AZ735" s="141">
        <v>0.8</v>
      </c>
      <c r="BA735" s="95" t="s">
        <v>3368</v>
      </c>
      <c r="BB735" s="95" t="s">
        <v>282</v>
      </c>
      <c r="BC735" s="95" t="s">
        <v>98</v>
      </c>
      <c r="BD735" s="95" t="s">
        <v>98</v>
      </c>
      <c r="BE735" s="95" t="s">
        <v>98</v>
      </c>
      <c r="BF735" s="95" t="s">
        <v>3550</v>
      </c>
      <c r="BG735" s="95" t="s">
        <v>3551</v>
      </c>
      <c r="BH735" s="9" t="s">
        <v>100</v>
      </c>
      <c r="BI735" s="9" t="s">
        <v>100</v>
      </c>
      <c r="BJ735" s="109"/>
      <c r="BN735" s="109"/>
      <c r="BO735" s="109"/>
    </row>
    <row r="736" spans="1:67" s="110" customFormat="1" ht="78" hidden="1" x14ac:dyDescent="0.35">
      <c r="A736" s="94">
        <v>103</v>
      </c>
      <c r="B736" s="94" t="s">
        <v>3378</v>
      </c>
      <c r="C736" s="94" t="s">
        <v>53</v>
      </c>
      <c r="D736" s="95" t="s">
        <v>3552</v>
      </c>
      <c r="E736" s="94" t="s">
        <v>36</v>
      </c>
      <c r="F736" s="95" t="s">
        <v>134</v>
      </c>
      <c r="G736" s="94" t="s">
        <v>225</v>
      </c>
      <c r="H736" s="94" t="s">
        <v>125</v>
      </c>
      <c r="I736" s="94" t="s">
        <v>114</v>
      </c>
      <c r="J736" s="95" t="s">
        <v>32</v>
      </c>
      <c r="K736" s="94" t="s">
        <v>3527</v>
      </c>
      <c r="L736" s="94" t="s">
        <v>276</v>
      </c>
      <c r="M736" s="94" t="s">
        <v>276</v>
      </c>
      <c r="N736" s="95" t="s">
        <v>3548</v>
      </c>
      <c r="O736" s="95" t="s">
        <v>3481</v>
      </c>
      <c r="P736" s="95" t="s">
        <v>239</v>
      </c>
      <c r="Q736" s="140">
        <v>42004</v>
      </c>
      <c r="R736" s="95" t="s">
        <v>276</v>
      </c>
      <c r="S736" s="95" t="s">
        <v>3382</v>
      </c>
      <c r="T736" s="95" t="s">
        <v>3382</v>
      </c>
      <c r="U736" s="95">
        <v>1</v>
      </c>
      <c r="V736" s="94" t="s">
        <v>14</v>
      </c>
      <c r="W736" s="94" t="s">
        <v>98</v>
      </c>
      <c r="X736" s="95" t="s">
        <v>207</v>
      </c>
      <c r="Y736" s="98">
        <v>57098</v>
      </c>
      <c r="Z736" s="99">
        <v>112936</v>
      </c>
      <c r="AA736" s="95" t="s">
        <v>276</v>
      </c>
      <c r="AB736" s="95" t="s">
        <v>276</v>
      </c>
      <c r="AC736" s="94">
        <v>36</v>
      </c>
      <c r="AD736" s="95" t="s">
        <v>3538</v>
      </c>
      <c r="AE736" s="94">
        <v>72</v>
      </c>
      <c r="AF736" s="95" t="s">
        <v>3538</v>
      </c>
      <c r="AG736" s="95" t="s">
        <v>3553</v>
      </c>
      <c r="AH736" s="95" t="s">
        <v>3384</v>
      </c>
      <c r="AI736" s="99">
        <v>592</v>
      </c>
      <c r="AJ736" s="99">
        <v>1987</v>
      </c>
      <c r="AK736" s="99" t="s">
        <v>276</v>
      </c>
      <c r="AL736" s="99" t="s">
        <v>276</v>
      </c>
      <c r="AM736" s="99" t="s">
        <v>1019</v>
      </c>
      <c r="AN736" s="94">
        <v>66</v>
      </c>
      <c r="AO736" s="101" t="s">
        <v>98</v>
      </c>
      <c r="AP736" s="94">
        <v>61</v>
      </c>
      <c r="AQ736" s="94">
        <v>71</v>
      </c>
      <c r="AR736" s="94">
        <v>112</v>
      </c>
      <c r="AS736" s="101" t="s">
        <v>98</v>
      </c>
      <c r="AT736" s="94">
        <v>107</v>
      </c>
      <c r="AU736" s="94">
        <v>117</v>
      </c>
      <c r="AV736" s="94" t="s">
        <v>270</v>
      </c>
      <c r="AW736" s="141">
        <v>0.59</v>
      </c>
      <c r="AX736" s="141" t="s">
        <v>98</v>
      </c>
      <c r="AY736" s="141">
        <v>0.54</v>
      </c>
      <c r="AZ736" s="95">
        <v>0.64</v>
      </c>
      <c r="BA736" s="95" t="s">
        <v>3368</v>
      </c>
      <c r="BB736" s="95" t="s">
        <v>282</v>
      </c>
      <c r="BC736" s="95" t="s">
        <v>98</v>
      </c>
      <c r="BD736" s="95" t="s">
        <v>98</v>
      </c>
      <c r="BE736" s="95" t="s">
        <v>98</v>
      </c>
      <c r="BF736" s="95" t="s">
        <v>3554</v>
      </c>
      <c r="BG736" s="95" t="s">
        <v>3555</v>
      </c>
      <c r="BH736" s="9" t="s">
        <v>100</v>
      </c>
      <c r="BI736" s="9" t="s">
        <v>100</v>
      </c>
      <c r="BJ736" s="109"/>
      <c r="BN736" s="109"/>
      <c r="BO736" s="109"/>
    </row>
    <row r="737" spans="1:67" s="110" customFormat="1" ht="65" hidden="1" x14ac:dyDescent="0.35">
      <c r="A737" s="94">
        <v>103</v>
      </c>
      <c r="B737" s="94" t="s">
        <v>3378</v>
      </c>
      <c r="C737" s="94" t="s">
        <v>53</v>
      </c>
      <c r="D737" s="95" t="s">
        <v>3556</v>
      </c>
      <c r="E737" s="94" t="s">
        <v>36</v>
      </c>
      <c r="F737" s="95" t="s">
        <v>134</v>
      </c>
      <c r="G737" s="94" t="s">
        <v>225</v>
      </c>
      <c r="H737" s="94" t="s">
        <v>125</v>
      </c>
      <c r="I737" s="94" t="s">
        <v>114</v>
      </c>
      <c r="J737" s="95" t="s">
        <v>32</v>
      </c>
      <c r="K737" s="94" t="s">
        <v>3527</v>
      </c>
      <c r="L737" s="94" t="s">
        <v>276</v>
      </c>
      <c r="M737" s="94" t="s">
        <v>276</v>
      </c>
      <c r="N737" s="95" t="s">
        <v>3548</v>
      </c>
      <c r="O737" s="95" t="s">
        <v>3481</v>
      </c>
      <c r="P737" s="95" t="s">
        <v>239</v>
      </c>
      <c r="Q737" s="140">
        <v>42004</v>
      </c>
      <c r="R737" s="95" t="s">
        <v>276</v>
      </c>
      <c r="S737" s="95" t="s">
        <v>3382</v>
      </c>
      <c r="T737" s="95" t="s">
        <v>3382</v>
      </c>
      <c r="U737" s="95">
        <v>1</v>
      </c>
      <c r="V737" s="94" t="s">
        <v>14</v>
      </c>
      <c r="W737" s="94" t="s">
        <v>98</v>
      </c>
      <c r="X737" s="95" t="s">
        <v>207</v>
      </c>
      <c r="Y737" s="98">
        <v>57098</v>
      </c>
      <c r="Z737" s="99">
        <v>112936</v>
      </c>
      <c r="AA737" s="95" t="s">
        <v>276</v>
      </c>
      <c r="AB737" s="95" t="s">
        <v>276</v>
      </c>
      <c r="AC737" s="94">
        <v>36</v>
      </c>
      <c r="AD737" s="95" t="s">
        <v>3538</v>
      </c>
      <c r="AE737" s="94">
        <v>72</v>
      </c>
      <c r="AF737" s="95" t="s">
        <v>3538</v>
      </c>
      <c r="AG737" s="95" t="s">
        <v>3557</v>
      </c>
      <c r="AH737" s="95" t="s">
        <v>3384</v>
      </c>
      <c r="AI737" s="99">
        <v>612</v>
      </c>
      <c r="AJ737" s="99">
        <v>1255</v>
      </c>
      <c r="AK737" s="99" t="s">
        <v>276</v>
      </c>
      <c r="AL737" s="99" t="s">
        <v>276</v>
      </c>
      <c r="AM737" s="99" t="s">
        <v>1019</v>
      </c>
      <c r="AN737" s="94">
        <v>68</v>
      </c>
      <c r="AO737" s="101" t="s">
        <v>98</v>
      </c>
      <c r="AP737" s="94">
        <v>63</v>
      </c>
      <c r="AQ737" s="94">
        <v>74</v>
      </c>
      <c r="AR737" s="94">
        <v>71</v>
      </c>
      <c r="AS737" s="101" t="s">
        <v>98</v>
      </c>
      <c r="AT737" s="94">
        <v>67</v>
      </c>
      <c r="AU737" s="94">
        <v>75</v>
      </c>
      <c r="AV737" s="94" t="s">
        <v>270</v>
      </c>
      <c r="AW737" s="141">
        <v>0.96</v>
      </c>
      <c r="AX737" s="141" t="s">
        <v>98</v>
      </c>
      <c r="AY737" s="141">
        <v>0.87</v>
      </c>
      <c r="AZ737" s="95">
        <v>1.06</v>
      </c>
      <c r="BA737" s="95">
        <v>0.436</v>
      </c>
      <c r="BB737" s="95" t="s">
        <v>282</v>
      </c>
      <c r="BC737" s="95" t="s">
        <v>98</v>
      </c>
      <c r="BD737" s="95" t="s">
        <v>98</v>
      </c>
      <c r="BE737" s="95" t="s">
        <v>98</v>
      </c>
      <c r="BF737" s="95" t="s">
        <v>3558</v>
      </c>
      <c r="BG737" s="95" t="s">
        <v>3555</v>
      </c>
      <c r="BH737" s="9" t="s">
        <v>100</v>
      </c>
      <c r="BI737" s="9" t="s">
        <v>100</v>
      </c>
      <c r="BJ737" s="109"/>
      <c r="BN737" s="109"/>
      <c r="BO737" s="109"/>
    </row>
    <row r="738" spans="1:67" s="124" customFormat="1" ht="52" hidden="1" x14ac:dyDescent="0.35">
      <c r="A738" s="112">
        <v>103</v>
      </c>
      <c r="B738" s="112" t="s">
        <v>3378</v>
      </c>
      <c r="C738" s="112" t="s">
        <v>53</v>
      </c>
      <c r="D738" s="113" t="s">
        <v>3559</v>
      </c>
      <c r="E738" s="112" t="s">
        <v>36</v>
      </c>
      <c r="F738" s="113" t="s">
        <v>134</v>
      </c>
      <c r="G738" s="112" t="s">
        <v>225</v>
      </c>
      <c r="H738" s="112" t="s">
        <v>125</v>
      </c>
      <c r="I738" s="112" t="s">
        <v>114</v>
      </c>
      <c r="J738" s="113" t="s">
        <v>32</v>
      </c>
      <c r="K738" s="112" t="s">
        <v>3527</v>
      </c>
      <c r="L738" s="112" t="s">
        <v>276</v>
      </c>
      <c r="M738" s="112" t="s">
        <v>276</v>
      </c>
      <c r="N738" s="113" t="s">
        <v>3548</v>
      </c>
      <c r="O738" s="113" t="s">
        <v>3481</v>
      </c>
      <c r="P738" s="113" t="s">
        <v>239</v>
      </c>
      <c r="Q738" s="142">
        <v>42004</v>
      </c>
      <c r="R738" s="113" t="s">
        <v>276</v>
      </c>
      <c r="S738" s="113" t="s">
        <v>3382</v>
      </c>
      <c r="T738" s="113" t="s">
        <v>3382</v>
      </c>
      <c r="U738" s="113">
        <v>1</v>
      </c>
      <c r="V738" s="112" t="s">
        <v>14</v>
      </c>
      <c r="W738" s="112" t="s">
        <v>98</v>
      </c>
      <c r="X738" s="113" t="s">
        <v>207</v>
      </c>
      <c r="Y738" s="118">
        <v>57098</v>
      </c>
      <c r="Z738" s="119">
        <v>112936</v>
      </c>
      <c r="AA738" s="113" t="s">
        <v>276</v>
      </c>
      <c r="AB738" s="113" t="s">
        <v>276</v>
      </c>
      <c r="AC738" s="112">
        <v>0</v>
      </c>
      <c r="AD738" s="112" t="s">
        <v>98</v>
      </c>
      <c r="AE738" s="112">
        <v>0</v>
      </c>
      <c r="AF738" s="112" t="s">
        <v>98</v>
      </c>
      <c r="AG738" s="113" t="s">
        <v>3549</v>
      </c>
      <c r="AH738" s="113" t="s">
        <v>2046</v>
      </c>
      <c r="AI738" s="119">
        <v>1230</v>
      </c>
      <c r="AJ738" s="119">
        <v>3253</v>
      </c>
      <c r="AK738" s="118">
        <v>57098</v>
      </c>
      <c r="AL738" s="119">
        <v>112936</v>
      </c>
      <c r="AM738" s="119" t="s">
        <v>2047</v>
      </c>
      <c r="AN738" s="112">
        <v>21.5</v>
      </c>
      <c r="AO738" s="207">
        <f>AI738*1000/AK738</f>
        <v>21.541910399663735</v>
      </c>
      <c r="AP738" s="112" t="s">
        <v>276</v>
      </c>
      <c r="AQ738" s="112" t="s">
        <v>276</v>
      </c>
      <c r="AR738" s="112">
        <v>28.8</v>
      </c>
      <c r="AS738" s="207">
        <f>AJ738*1000/AL738</f>
        <v>28.803924346532551</v>
      </c>
      <c r="AT738" s="112" t="s">
        <v>276</v>
      </c>
      <c r="AU738" s="112" t="s">
        <v>276</v>
      </c>
      <c r="AV738" s="112" t="s">
        <v>268</v>
      </c>
      <c r="AW738" s="143" t="s">
        <v>276</v>
      </c>
      <c r="AX738" s="232">
        <f>AO738/AS738</f>
        <v>0.74788109219072352</v>
      </c>
      <c r="AY738" s="143" t="s">
        <v>276</v>
      </c>
      <c r="AZ738" s="113" t="s">
        <v>276</v>
      </c>
      <c r="BA738" s="113" t="s">
        <v>276</v>
      </c>
      <c r="BB738" s="113" t="s">
        <v>282</v>
      </c>
      <c r="BC738" s="113" t="s">
        <v>98</v>
      </c>
      <c r="BD738" s="113" t="s">
        <v>98</v>
      </c>
      <c r="BE738" s="113" t="s">
        <v>98</v>
      </c>
      <c r="BF738" s="113" t="s">
        <v>1029</v>
      </c>
      <c r="BG738" s="113" t="s">
        <v>3551</v>
      </c>
      <c r="BH738" s="9" t="s">
        <v>100</v>
      </c>
      <c r="BI738" s="9" t="s">
        <v>100</v>
      </c>
      <c r="BJ738" s="123"/>
      <c r="BN738" s="123"/>
      <c r="BO738" s="123"/>
    </row>
    <row r="739" spans="1:67" s="124" customFormat="1" ht="52" hidden="1" x14ac:dyDescent="0.35">
      <c r="A739" s="112">
        <v>103</v>
      </c>
      <c r="B739" s="112" t="s">
        <v>3378</v>
      </c>
      <c r="C739" s="112" t="s">
        <v>53</v>
      </c>
      <c r="D739" s="113" t="s">
        <v>3560</v>
      </c>
      <c r="E739" s="112" t="s">
        <v>36</v>
      </c>
      <c r="F739" s="113" t="s">
        <v>134</v>
      </c>
      <c r="G739" s="112" t="s">
        <v>225</v>
      </c>
      <c r="H739" s="112" t="s">
        <v>125</v>
      </c>
      <c r="I739" s="112" t="s">
        <v>114</v>
      </c>
      <c r="J739" s="113" t="s">
        <v>32</v>
      </c>
      <c r="K739" s="112" t="s">
        <v>3527</v>
      </c>
      <c r="L739" s="112" t="s">
        <v>276</v>
      </c>
      <c r="M739" s="112" t="s">
        <v>276</v>
      </c>
      <c r="N739" s="113" t="s">
        <v>3548</v>
      </c>
      <c r="O739" s="113" t="s">
        <v>3481</v>
      </c>
      <c r="P739" s="113" t="s">
        <v>239</v>
      </c>
      <c r="Q739" s="142">
        <v>42004</v>
      </c>
      <c r="R739" s="113" t="s">
        <v>276</v>
      </c>
      <c r="S739" s="113" t="s">
        <v>276</v>
      </c>
      <c r="T739" s="113" t="s">
        <v>276</v>
      </c>
      <c r="U739" s="113">
        <v>1</v>
      </c>
      <c r="V739" s="112" t="s">
        <v>16</v>
      </c>
      <c r="W739" s="112" t="s">
        <v>170</v>
      </c>
      <c r="X739" s="113" t="s">
        <v>207</v>
      </c>
      <c r="Y739" s="118">
        <v>27995</v>
      </c>
      <c r="Z739" s="119">
        <v>55339</v>
      </c>
      <c r="AA739" s="113" t="s">
        <v>276</v>
      </c>
      <c r="AB739" s="113" t="s">
        <v>276</v>
      </c>
      <c r="AC739" s="112">
        <v>0</v>
      </c>
      <c r="AD739" s="112" t="s">
        <v>98</v>
      </c>
      <c r="AE739" s="112">
        <v>0</v>
      </c>
      <c r="AF739" s="112" t="s">
        <v>98</v>
      </c>
      <c r="AG739" s="113" t="s">
        <v>3561</v>
      </c>
      <c r="AH739" s="113" t="s">
        <v>3562</v>
      </c>
      <c r="AI739" s="119">
        <v>709</v>
      </c>
      <c r="AJ739" s="119">
        <v>1981</v>
      </c>
      <c r="AK739" s="118">
        <v>27995</v>
      </c>
      <c r="AL739" s="119">
        <v>55339</v>
      </c>
      <c r="AM739" s="119" t="s">
        <v>2047</v>
      </c>
      <c r="AN739" s="112">
        <v>25.3</v>
      </c>
      <c r="AO739" s="207">
        <f>AI739*1000/AK739</f>
        <v>25.325951062689764</v>
      </c>
      <c r="AP739" s="112" t="s">
        <v>276</v>
      </c>
      <c r="AQ739" s="112" t="s">
        <v>276</v>
      </c>
      <c r="AR739" s="112">
        <v>35.799999999999997</v>
      </c>
      <c r="AS739" s="207">
        <f>AJ739*1000/AL739</f>
        <v>35.797538806266829</v>
      </c>
      <c r="AT739" s="112" t="s">
        <v>276</v>
      </c>
      <c r="AU739" s="112" t="s">
        <v>276</v>
      </c>
      <c r="AV739" s="112" t="s">
        <v>268</v>
      </c>
      <c r="AW739" s="143" t="s">
        <v>276</v>
      </c>
      <c r="AX739" s="232">
        <f>AO739/AS739</f>
        <v>0.70747743859575407</v>
      </c>
      <c r="AY739" s="143" t="s">
        <v>276</v>
      </c>
      <c r="AZ739" s="113" t="s">
        <v>276</v>
      </c>
      <c r="BA739" s="113" t="s">
        <v>276</v>
      </c>
      <c r="BB739" s="113" t="s">
        <v>282</v>
      </c>
      <c r="BC739" s="113" t="s">
        <v>98</v>
      </c>
      <c r="BD739" s="113" t="s">
        <v>98</v>
      </c>
      <c r="BE739" s="113" t="s">
        <v>98</v>
      </c>
      <c r="BF739" s="113" t="s">
        <v>1029</v>
      </c>
      <c r="BG739" s="113" t="s">
        <v>3551</v>
      </c>
      <c r="BH739" s="9" t="s">
        <v>100</v>
      </c>
      <c r="BI739" s="9" t="s">
        <v>100</v>
      </c>
      <c r="BJ739" s="123"/>
      <c r="BN739" s="123"/>
      <c r="BO739" s="123"/>
    </row>
    <row r="740" spans="1:67" s="124" customFormat="1" ht="52" hidden="1" x14ac:dyDescent="0.35">
      <c r="A740" s="112">
        <v>103</v>
      </c>
      <c r="B740" s="112" t="s">
        <v>3378</v>
      </c>
      <c r="C740" s="112" t="s">
        <v>53</v>
      </c>
      <c r="D740" s="113" t="s">
        <v>3563</v>
      </c>
      <c r="E740" s="112" t="s">
        <v>36</v>
      </c>
      <c r="F740" s="113" t="s">
        <v>134</v>
      </c>
      <c r="G740" s="112" t="s">
        <v>225</v>
      </c>
      <c r="H740" s="112" t="s">
        <v>125</v>
      </c>
      <c r="I740" s="112" t="s">
        <v>114</v>
      </c>
      <c r="J740" s="113" t="s">
        <v>32</v>
      </c>
      <c r="K740" s="112" t="s">
        <v>3527</v>
      </c>
      <c r="L740" s="112" t="s">
        <v>276</v>
      </c>
      <c r="M740" s="112" t="s">
        <v>276</v>
      </c>
      <c r="N740" s="113" t="s">
        <v>3548</v>
      </c>
      <c r="O740" s="113" t="s">
        <v>3481</v>
      </c>
      <c r="P740" s="113" t="s">
        <v>239</v>
      </c>
      <c r="Q740" s="142">
        <v>42004</v>
      </c>
      <c r="R740" s="113" t="s">
        <v>276</v>
      </c>
      <c r="S740" s="113" t="s">
        <v>276</v>
      </c>
      <c r="T740" s="113" t="s">
        <v>276</v>
      </c>
      <c r="U740" s="113">
        <v>1</v>
      </c>
      <c r="V740" s="112" t="s">
        <v>16</v>
      </c>
      <c r="W740" s="112" t="s">
        <v>170</v>
      </c>
      <c r="X740" s="113" t="s">
        <v>207</v>
      </c>
      <c r="Y740" s="118">
        <v>27995</v>
      </c>
      <c r="Z740" s="119">
        <v>55339</v>
      </c>
      <c r="AA740" s="113" t="s">
        <v>276</v>
      </c>
      <c r="AB740" s="113" t="s">
        <v>276</v>
      </c>
      <c r="AC740" s="112">
        <v>0</v>
      </c>
      <c r="AD740" s="112" t="s">
        <v>98</v>
      </c>
      <c r="AE740" s="112">
        <v>0</v>
      </c>
      <c r="AF740" s="112" t="s">
        <v>98</v>
      </c>
      <c r="AG740" s="113" t="s">
        <v>3561</v>
      </c>
      <c r="AH740" s="113" t="s">
        <v>3564</v>
      </c>
      <c r="AI740" s="119">
        <v>709</v>
      </c>
      <c r="AJ740" s="119">
        <v>1981</v>
      </c>
      <c r="AK740" s="118" t="s">
        <v>276</v>
      </c>
      <c r="AL740" s="119" t="s">
        <v>276</v>
      </c>
      <c r="AM740" s="119" t="s">
        <v>1019</v>
      </c>
      <c r="AN740" s="112">
        <v>166</v>
      </c>
      <c r="AO740" s="207" t="s">
        <v>98</v>
      </c>
      <c r="AP740" s="112">
        <v>154</v>
      </c>
      <c r="AQ740" s="112">
        <v>179</v>
      </c>
      <c r="AR740" s="112">
        <v>236</v>
      </c>
      <c r="AS740" s="207" t="s">
        <v>98</v>
      </c>
      <c r="AT740" s="112">
        <v>225</v>
      </c>
      <c r="AU740" s="112">
        <v>246</v>
      </c>
      <c r="AV740" s="112" t="s">
        <v>270</v>
      </c>
      <c r="AW740" s="143">
        <v>0.7</v>
      </c>
      <c r="AX740" s="232" t="s">
        <v>98</v>
      </c>
      <c r="AY740" s="143">
        <v>0.65</v>
      </c>
      <c r="AZ740" s="113">
        <v>0.77</v>
      </c>
      <c r="BA740" s="113" t="s">
        <v>276</v>
      </c>
      <c r="BB740" s="113" t="s">
        <v>282</v>
      </c>
      <c r="BC740" s="113" t="s">
        <v>98</v>
      </c>
      <c r="BD740" s="113" t="s">
        <v>98</v>
      </c>
      <c r="BE740" s="113" t="s">
        <v>98</v>
      </c>
      <c r="BF740" s="113" t="s">
        <v>3565</v>
      </c>
      <c r="BG740" s="113" t="s">
        <v>3551</v>
      </c>
      <c r="BH740" s="9" t="s">
        <v>100</v>
      </c>
      <c r="BI740" s="9" t="s">
        <v>100</v>
      </c>
      <c r="BJ740" s="123"/>
      <c r="BN740" s="123"/>
      <c r="BO740" s="123"/>
    </row>
    <row r="741" spans="1:67" s="110" customFormat="1" ht="52" hidden="1" x14ac:dyDescent="0.35">
      <c r="A741" s="94">
        <v>103</v>
      </c>
      <c r="B741" s="94" t="s">
        <v>3378</v>
      </c>
      <c r="C741" s="94" t="s">
        <v>53</v>
      </c>
      <c r="D741" s="95" t="s">
        <v>3566</v>
      </c>
      <c r="E741" s="94" t="s">
        <v>36</v>
      </c>
      <c r="F741" s="95" t="s">
        <v>134</v>
      </c>
      <c r="G741" s="94" t="s">
        <v>225</v>
      </c>
      <c r="H741" s="94" t="s">
        <v>125</v>
      </c>
      <c r="I741" s="94" t="s">
        <v>114</v>
      </c>
      <c r="J741" s="95" t="s">
        <v>32</v>
      </c>
      <c r="K741" s="94" t="s">
        <v>3527</v>
      </c>
      <c r="L741" s="94" t="s">
        <v>276</v>
      </c>
      <c r="M741" s="94" t="s">
        <v>276</v>
      </c>
      <c r="N741" s="95" t="s">
        <v>3548</v>
      </c>
      <c r="O741" s="95" t="s">
        <v>3481</v>
      </c>
      <c r="P741" s="95" t="s">
        <v>239</v>
      </c>
      <c r="Q741" s="140">
        <v>42004</v>
      </c>
      <c r="R741" s="95" t="s">
        <v>276</v>
      </c>
      <c r="S741" s="95" t="s">
        <v>276</v>
      </c>
      <c r="T741" s="95" t="s">
        <v>276</v>
      </c>
      <c r="U741" s="95">
        <v>1</v>
      </c>
      <c r="V741" s="94" t="s">
        <v>16</v>
      </c>
      <c r="W741" s="94" t="s">
        <v>171</v>
      </c>
      <c r="X741" s="95" t="s">
        <v>207</v>
      </c>
      <c r="Y741" s="98">
        <v>29103</v>
      </c>
      <c r="Z741" s="99">
        <v>57597</v>
      </c>
      <c r="AA741" s="95" t="s">
        <v>276</v>
      </c>
      <c r="AB741" s="95" t="s">
        <v>276</v>
      </c>
      <c r="AC741" s="94">
        <v>0</v>
      </c>
      <c r="AD741" s="94" t="s">
        <v>98</v>
      </c>
      <c r="AE741" s="94">
        <v>0</v>
      </c>
      <c r="AF741" s="94" t="s">
        <v>98</v>
      </c>
      <c r="AG741" s="95" t="s">
        <v>3567</v>
      </c>
      <c r="AH741" s="95" t="s">
        <v>3568</v>
      </c>
      <c r="AI741" s="99">
        <v>521</v>
      </c>
      <c r="AJ741" s="99">
        <v>1272</v>
      </c>
      <c r="AK741" s="98">
        <v>29103</v>
      </c>
      <c r="AL741" s="99">
        <v>57597</v>
      </c>
      <c r="AM741" s="99" t="s">
        <v>2047</v>
      </c>
      <c r="AN741" s="94">
        <v>17.899999999999999</v>
      </c>
      <c r="AO741" s="101">
        <f>AI741*1000/AK741</f>
        <v>17.901934508469918</v>
      </c>
      <c r="AP741" s="94" t="s">
        <v>276</v>
      </c>
      <c r="AQ741" s="94" t="s">
        <v>276</v>
      </c>
      <c r="AR741" s="94">
        <v>22.1</v>
      </c>
      <c r="AS741" s="101">
        <f>AJ741*1000/AL741</f>
        <v>22.084483566852441</v>
      </c>
      <c r="AT741" s="94" t="s">
        <v>276</v>
      </c>
      <c r="AU741" s="94" t="s">
        <v>276</v>
      </c>
      <c r="AV741" s="94" t="s">
        <v>268</v>
      </c>
      <c r="AW741" s="141" t="s">
        <v>276</v>
      </c>
      <c r="AX741" s="233">
        <f>AO741/AS741</f>
        <v>0.81061141657574043</v>
      </c>
      <c r="AY741" s="141" t="s">
        <v>276</v>
      </c>
      <c r="AZ741" s="95" t="s">
        <v>276</v>
      </c>
      <c r="BA741" s="95" t="s">
        <v>276</v>
      </c>
      <c r="BB741" s="95" t="s">
        <v>282</v>
      </c>
      <c r="BC741" s="95" t="s">
        <v>98</v>
      </c>
      <c r="BD741" s="95" t="s">
        <v>98</v>
      </c>
      <c r="BE741" s="95" t="s">
        <v>98</v>
      </c>
      <c r="BF741" s="95" t="s">
        <v>1029</v>
      </c>
      <c r="BG741" s="95" t="s">
        <v>3551</v>
      </c>
      <c r="BH741" s="9" t="s">
        <v>100</v>
      </c>
      <c r="BI741" s="9" t="s">
        <v>100</v>
      </c>
      <c r="BJ741" s="109"/>
      <c r="BN741" s="109"/>
      <c r="BO741" s="109"/>
    </row>
    <row r="742" spans="1:67" s="110" customFormat="1" ht="52" hidden="1" x14ac:dyDescent="0.35">
      <c r="A742" s="94">
        <v>103</v>
      </c>
      <c r="B742" s="94" t="s">
        <v>3378</v>
      </c>
      <c r="C742" s="94" t="s">
        <v>53</v>
      </c>
      <c r="D742" s="95" t="s">
        <v>3569</v>
      </c>
      <c r="E742" s="94" t="s">
        <v>36</v>
      </c>
      <c r="F742" s="95" t="s">
        <v>134</v>
      </c>
      <c r="G742" s="94" t="s">
        <v>225</v>
      </c>
      <c r="H742" s="94" t="s">
        <v>125</v>
      </c>
      <c r="I742" s="94" t="s">
        <v>114</v>
      </c>
      <c r="J742" s="95" t="s">
        <v>32</v>
      </c>
      <c r="K742" s="94" t="s">
        <v>3527</v>
      </c>
      <c r="L742" s="94" t="s">
        <v>276</v>
      </c>
      <c r="M742" s="94" t="s">
        <v>276</v>
      </c>
      <c r="N742" s="95" t="s">
        <v>3548</v>
      </c>
      <c r="O742" s="95" t="s">
        <v>3481</v>
      </c>
      <c r="P742" s="95" t="s">
        <v>239</v>
      </c>
      <c r="Q742" s="140">
        <v>42004</v>
      </c>
      <c r="R742" s="95" t="s">
        <v>276</v>
      </c>
      <c r="S742" s="95" t="s">
        <v>276</v>
      </c>
      <c r="T742" s="95" t="s">
        <v>276</v>
      </c>
      <c r="U742" s="95">
        <v>1</v>
      </c>
      <c r="V742" s="94" t="s">
        <v>16</v>
      </c>
      <c r="W742" s="94" t="s">
        <v>171</v>
      </c>
      <c r="X742" s="95" t="s">
        <v>207</v>
      </c>
      <c r="Y742" s="98">
        <v>29103</v>
      </c>
      <c r="Z742" s="99">
        <v>57597</v>
      </c>
      <c r="AA742" s="95" t="s">
        <v>276</v>
      </c>
      <c r="AB742" s="95" t="s">
        <v>276</v>
      </c>
      <c r="AC742" s="94">
        <v>0</v>
      </c>
      <c r="AD742" s="94" t="s">
        <v>98</v>
      </c>
      <c r="AE742" s="94">
        <v>0</v>
      </c>
      <c r="AF742" s="94" t="s">
        <v>98</v>
      </c>
      <c r="AG742" s="95" t="s">
        <v>3567</v>
      </c>
      <c r="AH742" s="95" t="s">
        <v>3570</v>
      </c>
      <c r="AI742" s="99">
        <v>521</v>
      </c>
      <c r="AJ742" s="99">
        <v>1272</v>
      </c>
      <c r="AK742" s="98" t="s">
        <v>276</v>
      </c>
      <c r="AL742" s="99" t="s">
        <v>276</v>
      </c>
      <c r="AM742" s="99" t="s">
        <v>1019</v>
      </c>
      <c r="AN742" s="94">
        <v>111</v>
      </c>
      <c r="AO742" s="101" t="s">
        <v>98</v>
      </c>
      <c r="AP742" s="94">
        <v>102</v>
      </c>
      <c r="AQ742" s="94">
        <v>121</v>
      </c>
      <c r="AR742" s="94">
        <v>137</v>
      </c>
      <c r="AS742" s="101" t="s">
        <v>98</v>
      </c>
      <c r="AT742" s="94">
        <v>130</v>
      </c>
      <c r="AU742" s="94">
        <v>145</v>
      </c>
      <c r="AV742" s="94" t="s">
        <v>270</v>
      </c>
      <c r="AW742" s="141">
        <v>0.81</v>
      </c>
      <c r="AX742" s="233" t="s">
        <v>98</v>
      </c>
      <c r="AY742" s="141">
        <v>0.73</v>
      </c>
      <c r="AZ742" s="95">
        <v>0.89</v>
      </c>
      <c r="BA742" s="95" t="s">
        <v>276</v>
      </c>
      <c r="BB742" s="95" t="s">
        <v>282</v>
      </c>
      <c r="BC742" s="95" t="s">
        <v>98</v>
      </c>
      <c r="BD742" s="95" t="s">
        <v>98</v>
      </c>
      <c r="BE742" s="95" t="s">
        <v>98</v>
      </c>
      <c r="BF742" s="95" t="s">
        <v>3565</v>
      </c>
      <c r="BG742" s="95" t="s">
        <v>3551</v>
      </c>
      <c r="BH742" s="9" t="s">
        <v>100</v>
      </c>
      <c r="BI742" s="9" t="s">
        <v>100</v>
      </c>
      <c r="BJ742" s="109"/>
      <c r="BN742" s="109"/>
      <c r="BO742" s="109"/>
    </row>
    <row r="743" spans="1:67" s="124" customFormat="1" ht="52" hidden="1" x14ac:dyDescent="0.35">
      <c r="A743" s="112">
        <v>103</v>
      </c>
      <c r="B743" s="112" t="s">
        <v>3378</v>
      </c>
      <c r="C743" s="112" t="s">
        <v>53</v>
      </c>
      <c r="D743" s="113" t="s">
        <v>3571</v>
      </c>
      <c r="E743" s="112" t="s">
        <v>36</v>
      </c>
      <c r="F743" s="113" t="s">
        <v>134</v>
      </c>
      <c r="G743" s="112" t="s">
        <v>225</v>
      </c>
      <c r="H743" s="112" t="s">
        <v>125</v>
      </c>
      <c r="I743" s="112" t="s">
        <v>114</v>
      </c>
      <c r="J743" s="113" t="s">
        <v>32</v>
      </c>
      <c r="K743" s="112" t="s">
        <v>3527</v>
      </c>
      <c r="L743" s="112" t="s">
        <v>276</v>
      </c>
      <c r="M743" s="112" t="s">
        <v>276</v>
      </c>
      <c r="N743" s="113" t="s">
        <v>3548</v>
      </c>
      <c r="O743" s="113" t="s">
        <v>3481</v>
      </c>
      <c r="P743" s="113" t="s">
        <v>239</v>
      </c>
      <c r="Q743" s="142">
        <v>42004</v>
      </c>
      <c r="R743" s="113" t="s">
        <v>276</v>
      </c>
      <c r="S743" s="113" t="s">
        <v>276</v>
      </c>
      <c r="T743" s="113" t="s">
        <v>276</v>
      </c>
      <c r="U743" s="113">
        <v>1</v>
      </c>
      <c r="V743" s="112" t="s">
        <v>15</v>
      </c>
      <c r="W743" s="112" t="s">
        <v>3432</v>
      </c>
      <c r="X743" s="113" t="s">
        <v>207</v>
      </c>
      <c r="Y743" s="118">
        <v>28561</v>
      </c>
      <c r="Z743" s="119">
        <v>56835</v>
      </c>
      <c r="AA743" s="113" t="s">
        <v>276</v>
      </c>
      <c r="AB743" s="113" t="s">
        <v>276</v>
      </c>
      <c r="AC743" s="112">
        <v>0</v>
      </c>
      <c r="AD743" s="112" t="s">
        <v>98</v>
      </c>
      <c r="AE743" s="112">
        <v>0</v>
      </c>
      <c r="AF743" s="112" t="s">
        <v>98</v>
      </c>
      <c r="AG743" s="113" t="s">
        <v>3572</v>
      </c>
      <c r="AH743" s="113" t="s">
        <v>3573</v>
      </c>
      <c r="AI743" s="119">
        <v>521</v>
      </c>
      <c r="AJ743" s="119">
        <v>1403</v>
      </c>
      <c r="AK743" s="118">
        <v>28561</v>
      </c>
      <c r="AL743" s="119">
        <v>56835</v>
      </c>
      <c r="AM743" s="119" t="s">
        <v>2047</v>
      </c>
      <c r="AN743" s="112">
        <v>18.2</v>
      </c>
      <c r="AO743" s="207">
        <f>AI743*1000/AK743</f>
        <v>18.241658205244914</v>
      </c>
      <c r="AP743" s="112" t="s">
        <v>276</v>
      </c>
      <c r="AQ743" s="112" t="s">
        <v>276</v>
      </c>
      <c r="AR743" s="112">
        <v>24.7</v>
      </c>
      <c r="AS743" s="207">
        <f>AJ743*1000/AL743</f>
        <v>24.685493094044162</v>
      </c>
      <c r="AT743" s="112" t="s">
        <v>276</v>
      </c>
      <c r="AU743" s="112" t="s">
        <v>276</v>
      </c>
      <c r="AV743" s="112" t="s">
        <v>268</v>
      </c>
      <c r="AW743" s="143" t="s">
        <v>276</v>
      </c>
      <c r="AX743" s="232">
        <f>AO743/AS743</f>
        <v>0.73896268289030276</v>
      </c>
      <c r="AY743" s="143" t="s">
        <v>276</v>
      </c>
      <c r="AZ743" s="113" t="s">
        <v>276</v>
      </c>
      <c r="BA743" s="113" t="s">
        <v>276</v>
      </c>
      <c r="BB743" s="113" t="s">
        <v>282</v>
      </c>
      <c r="BC743" s="113" t="s">
        <v>98</v>
      </c>
      <c r="BD743" s="113" t="s">
        <v>98</v>
      </c>
      <c r="BE743" s="113" t="s">
        <v>98</v>
      </c>
      <c r="BF743" s="113" t="s">
        <v>1029</v>
      </c>
      <c r="BG743" s="113" t="s">
        <v>3551</v>
      </c>
      <c r="BH743" s="9" t="s">
        <v>100</v>
      </c>
      <c r="BI743" s="9" t="s">
        <v>100</v>
      </c>
      <c r="BJ743" s="123"/>
      <c r="BN743" s="123"/>
      <c r="BO743" s="123"/>
    </row>
    <row r="744" spans="1:67" s="124" customFormat="1" ht="52" hidden="1" x14ac:dyDescent="0.35">
      <c r="A744" s="112">
        <v>103</v>
      </c>
      <c r="B744" s="112" t="s">
        <v>3378</v>
      </c>
      <c r="C744" s="112" t="s">
        <v>53</v>
      </c>
      <c r="D744" s="113" t="s">
        <v>3574</v>
      </c>
      <c r="E744" s="112" t="s">
        <v>36</v>
      </c>
      <c r="F744" s="113" t="s">
        <v>134</v>
      </c>
      <c r="G744" s="112" t="s">
        <v>225</v>
      </c>
      <c r="H744" s="112" t="s">
        <v>125</v>
      </c>
      <c r="I744" s="112" t="s">
        <v>114</v>
      </c>
      <c r="J744" s="113" t="s">
        <v>32</v>
      </c>
      <c r="K744" s="112" t="s">
        <v>3527</v>
      </c>
      <c r="L744" s="112" t="s">
        <v>276</v>
      </c>
      <c r="M744" s="112" t="s">
        <v>276</v>
      </c>
      <c r="N744" s="113" t="s">
        <v>3548</v>
      </c>
      <c r="O744" s="113" t="s">
        <v>3481</v>
      </c>
      <c r="P744" s="113" t="s">
        <v>239</v>
      </c>
      <c r="Q744" s="142">
        <v>42004</v>
      </c>
      <c r="R744" s="113" t="s">
        <v>276</v>
      </c>
      <c r="S744" s="113" t="s">
        <v>276</v>
      </c>
      <c r="T744" s="113" t="s">
        <v>276</v>
      </c>
      <c r="U744" s="113">
        <v>1</v>
      </c>
      <c r="V744" s="112" t="s">
        <v>15</v>
      </c>
      <c r="W744" s="112" t="s">
        <v>3432</v>
      </c>
      <c r="X744" s="113" t="s">
        <v>207</v>
      </c>
      <c r="Y744" s="118">
        <v>28561</v>
      </c>
      <c r="Z744" s="119">
        <v>56835</v>
      </c>
      <c r="AA744" s="113" t="s">
        <v>276</v>
      </c>
      <c r="AB744" s="113" t="s">
        <v>276</v>
      </c>
      <c r="AC744" s="112">
        <v>0</v>
      </c>
      <c r="AD744" s="112" t="s">
        <v>98</v>
      </c>
      <c r="AE744" s="112">
        <v>0</v>
      </c>
      <c r="AF744" s="112" t="s">
        <v>98</v>
      </c>
      <c r="AG744" s="113" t="s">
        <v>3572</v>
      </c>
      <c r="AH744" s="113" t="s">
        <v>3575</v>
      </c>
      <c r="AI744" s="119">
        <v>521</v>
      </c>
      <c r="AJ744" s="119">
        <v>1403</v>
      </c>
      <c r="AK744" s="118" t="s">
        <v>276</v>
      </c>
      <c r="AL744" s="119" t="s">
        <v>276</v>
      </c>
      <c r="AM744" s="119" t="s">
        <v>1019</v>
      </c>
      <c r="AN744" s="112">
        <v>114</v>
      </c>
      <c r="AO744" s="207" t="s">
        <v>98</v>
      </c>
      <c r="AP744" s="112">
        <v>104</v>
      </c>
      <c r="AQ744" s="112">
        <v>124</v>
      </c>
      <c r="AR744" s="112">
        <v>154</v>
      </c>
      <c r="AS744" s="207" t="s">
        <v>98</v>
      </c>
      <c r="AT744" s="112">
        <v>146</v>
      </c>
      <c r="AU744" s="112">
        <v>162</v>
      </c>
      <c r="AV744" s="112" t="s">
        <v>270</v>
      </c>
      <c r="AW744" s="143">
        <v>0.74</v>
      </c>
      <c r="AX744" s="232" t="s">
        <v>98</v>
      </c>
      <c r="AY744" s="143">
        <v>0.67</v>
      </c>
      <c r="AZ744" s="113">
        <v>0.82</v>
      </c>
      <c r="BA744" s="113" t="s">
        <v>276</v>
      </c>
      <c r="BB744" s="113" t="s">
        <v>282</v>
      </c>
      <c r="BC744" s="113" t="s">
        <v>98</v>
      </c>
      <c r="BD744" s="113" t="s">
        <v>98</v>
      </c>
      <c r="BE744" s="113" t="s">
        <v>98</v>
      </c>
      <c r="BF744" s="113" t="s">
        <v>3576</v>
      </c>
      <c r="BG744" s="113" t="s">
        <v>3551</v>
      </c>
      <c r="BH744" s="9" t="s">
        <v>100</v>
      </c>
      <c r="BI744" s="9" t="s">
        <v>100</v>
      </c>
      <c r="BJ744" s="123"/>
      <c r="BN744" s="123"/>
      <c r="BO744" s="123"/>
    </row>
    <row r="745" spans="1:67" s="110" customFormat="1" ht="52" hidden="1" x14ac:dyDescent="0.35">
      <c r="A745" s="94">
        <v>103</v>
      </c>
      <c r="B745" s="94" t="s">
        <v>3378</v>
      </c>
      <c r="C745" s="94" t="s">
        <v>53</v>
      </c>
      <c r="D745" s="95" t="s">
        <v>3577</v>
      </c>
      <c r="E745" s="94" t="s">
        <v>36</v>
      </c>
      <c r="F745" s="95" t="s">
        <v>134</v>
      </c>
      <c r="G745" s="94" t="s">
        <v>225</v>
      </c>
      <c r="H745" s="94" t="s">
        <v>125</v>
      </c>
      <c r="I745" s="94" t="s">
        <v>114</v>
      </c>
      <c r="J745" s="95" t="s">
        <v>32</v>
      </c>
      <c r="K745" s="94" t="s">
        <v>3527</v>
      </c>
      <c r="L745" s="94" t="s">
        <v>276</v>
      </c>
      <c r="M745" s="94" t="s">
        <v>276</v>
      </c>
      <c r="N745" s="95" t="s">
        <v>3548</v>
      </c>
      <c r="O745" s="95" t="s">
        <v>3481</v>
      </c>
      <c r="P745" s="95" t="s">
        <v>239</v>
      </c>
      <c r="Q745" s="140">
        <v>42004</v>
      </c>
      <c r="R745" s="95" t="s">
        <v>276</v>
      </c>
      <c r="S745" s="95" t="s">
        <v>276</v>
      </c>
      <c r="T745" s="95" t="s">
        <v>276</v>
      </c>
      <c r="U745" s="95">
        <v>1</v>
      </c>
      <c r="V745" s="94" t="s">
        <v>15</v>
      </c>
      <c r="W745" s="94" t="s">
        <v>3442</v>
      </c>
      <c r="X745" s="95" t="s">
        <v>207</v>
      </c>
      <c r="Y745" s="98">
        <v>28537</v>
      </c>
      <c r="Z745" s="99">
        <v>56101</v>
      </c>
      <c r="AA745" s="95" t="s">
        <v>276</v>
      </c>
      <c r="AB745" s="95" t="s">
        <v>276</v>
      </c>
      <c r="AC745" s="94">
        <v>0</v>
      </c>
      <c r="AD745" s="94" t="s">
        <v>98</v>
      </c>
      <c r="AE745" s="94">
        <v>0</v>
      </c>
      <c r="AF745" s="94" t="s">
        <v>98</v>
      </c>
      <c r="AG745" s="95" t="s">
        <v>3578</v>
      </c>
      <c r="AH745" s="95" t="s">
        <v>3579</v>
      </c>
      <c r="AI745" s="99">
        <v>709</v>
      </c>
      <c r="AJ745" s="99">
        <v>1850</v>
      </c>
      <c r="AK745" s="98">
        <v>28537</v>
      </c>
      <c r="AL745" s="99">
        <v>56101</v>
      </c>
      <c r="AM745" s="99" t="s">
        <v>2047</v>
      </c>
      <c r="AN745" s="94">
        <v>24.8</v>
      </c>
      <c r="AO745" s="101">
        <f>AI745*1000/AK745</f>
        <v>24.844938150471318</v>
      </c>
      <c r="AP745" s="94" t="s">
        <v>276</v>
      </c>
      <c r="AQ745" s="94" t="s">
        <v>276</v>
      </c>
      <c r="AR745" s="94">
        <v>33</v>
      </c>
      <c r="AS745" s="101">
        <f>AJ745*1000/AL745</f>
        <v>32.976239282722233</v>
      </c>
      <c r="AT745" s="94" t="s">
        <v>276</v>
      </c>
      <c r="AU745" s="94" t="s">
        <v>276</v>
      </c>
      <c r="AV745" s="94" t="s">
        <v>268</v>
      </c>
      <c r="AW745" s="141" t="s">
        <v>276</v>
      </c>
      <c r="AX745" s="233">
        <f>AO745/AS745</f>
        <v>0.75341939198896835</v>
      </c>
      <c r="AY745" s="141" t="s">
        <v>276</v>
      </c>
      <c r="AZ745" s="95" t="s">
        <v>276</v>
      </c>
      <c r="BA745" s="95" t="s">
        <v>276</v>
      </c>
      <c r="BB745" s="95" t="s">
        <v>282</v>
      </c>
      <c r="BC745" s="95" t="s">
        <v>98</v>
      </c>
      <c r="BD745" s="95" t="s">
        <v>98</v>
      </c>
      <c r="BE745" s="95" t="s">
        <v>98</v>
      </c>
      <c r="BF745" s="95" t="s">
        <v>1029</v>
      </c>
      <c r="BG745" s="95" t="s">
        <v>3551</v>
      </c>
      <c r="BH745" s="9" t="s">
        <v>100</v>
      </c>
      <c r="BI745" s="9" t="s">
        <v>100</v>
      </c>
      <c r="BJ745" s="109"/>
      <c r="BN745" s="109"/>
      <c r="BO745" s="109"/>
    </row>
    <row r="746" spans="1:67" s="110" customFormat="1" ht="52" hidden="1" x14ac:dyDescent="0.35">
      <c r="A746" s="94">
        <v>103</v>
      </c>
      <c r="B746" s="94" t="s">
        <v>3378</v>
      </c>
      <c r="C746" s="94" t="s">
        <v>53</v>
      </c>
      <c r="D746" s="95" t="s">
        <v>3580</v>
      </c>
      <c r="E746" s="94" t="s">
        <v>36</v>
      </c>
      <c r="F746" s="95" t="s">
        <v>134</v>
      </c>
      <c r="G746" s="94" t="s">
        <v>225</v>
      </c>
      <c r="H746" s="94" t="s">
        <v>125</v>
      </c>
      <c r="I746" s="94" t="s">
        <v>114</v>
      </c>
      <c r="J746" s="95" t="s">
        <v>32</v>
      </c>
      <c r="K746" s="94" t="s">
        <v>3527</v>
      </c>
      <c r="L746" s="94" t="s">
        <v>276</v>
      </c>
      <c r="M746" s="94" t="s">
        <v>276</v>
      </c>
      <c r="N746" s="95" t="s">
        <v>3548</v>
      </c>
      <c r="O746" s="95" t="s">
        <v>3481</v>
      </c>
      <c r="P746" s="95" t="s">
        <v>239</v>
      </c>
      <c r="Q746" s="140">
        <v>42004</v>
      </c>
      <c r="R746" s="95" t="s">
        <v>276</v>
      </c>
      <c r="S746" s="95" t="s">
        <v>276</v>
      </c>
      <c r="T746" s="95" t="s">
        <v>276</v>
      </c>
      <c r="U746" s="95">
        <v>1</v>
      </c>
      <c r="V746" s="94" t="s">
        <v>15</v>
      </c>
      <c r="W746" s="94" t="s">
        <v>3442</v>
      </c>
      <c r="X746" s="95" t="s">
        <v>207</v>
      </c>
      <c r="Y746" s="98">
        <v>28537</v>
      </c>
      <c r="Z746" s="99">
        <v>56101</v>
      </c>
      <c r="AA746" s="95" t="s">
        <v>276</v>
      </c>
      <c r="AB746" s="95" t="s">
        <v>276</v>
      </c>
      <c r="AC746" s="94">
        <v>0</v>
      </c>
      <c r="AD746" s="94" t="s">
        <v>98</v>
      </c>
      <c r="AE746" s="94">
        <v>0</v>
      </c>
      <c r="AF746" s="94" t="s">
        <v>98</v>
      </c>
      <c r="AG746" s="95" t="s">
        <v>3578</v>
      </c>
      <c r="AH746" s="95" t="s">
        <v>3581</v>
      </c>
      <c r="AI746" s="99">
        <v>709</v>
      </c>
      <c r="AJ746" s="99">
        <v>1850</v>
      </c>
      <c r="AK746" s="98" t="s">
        <v>276</v>
      </c>
      <c r="AL746" s="99" t="s">
        <v>276</v>
      </c>
      <c r="AM746" s="99" t="s">
        <v>1019</v>
      </c>
      <c r="AN746" s="94">
        <v>162</v>
      </c>
      <c r="AO746" s="101" t="s">
        <v>98</v>
      </c>
      <c r="AP746" s="94">
        <v>150</v>
      </c>
      <c r="AQ746" s="94">
        <v>174</v>
      </c>
      <c r="AR746" s="94">
        <v>216</v>
      </c>
      <c r="AS746" s="101" t="s">
        <v>98</v>
      </c>
      <c r="AT746" s="94">
        <v>207</v>
      </c>
      <c r="AU746" s="94">
        <v>226</v>
      </c>
      <c r="AV746" s="94" t="s">
        <v>270</v>
      </c>
      <c r="AW746" s="141">
        <v>0.75</v>
      </c>
      <c r="AX746" s="233" t="s">
        <v>98</v>
      </c>
      <c r="AY746" s="141">
        <v>0.69</v>
      </c>
      <c r="AZ746" s="95">
        <v>0.82</v>
      </c>
      <c r="BA746" s="95" t="s">
        <v>276</v>
      </c>
      <c r="BB746" s="95" t="s">
        <v>282</v>
      </c>
      <c r="BC746" s="95" t="s">
        <v>98</v>
      </c>
      <c r="BD746" s="95" t="s">
        <v>98</v>
      </c>
      <c r="BE746" s="95" t="s">
        <v>98</v>
      </c>
      <c r="BF746" s="95" t="s">
        <v>3576</v>
      </c>
      <c r="BG746" s="95" t="s">
        <v>3551</v>
      </c>
      <c r="BH746" s="9" t="s">
        <v>100</v>
      </c>
      <c r="BI746" s="9" t="s">
        <v>100</v>
      </c>
      <c r="BJ746" s="109"/>
      <c r="BN746" s="109"/>
      <c r="BO746" s="109"/>
    </row>
    <row r="747" spans="1:67" s="124" customFormat="1" ht="52" hidden="1" x14ac:dyDescent="0.35">
      <c r="A747" s="112">
        <v>103</v>
      </c>
      <c r="B747" s="112" t="s">
        <v>3378</v>
      </c>
      <c r="C747" s="112" t="s">
        <v>53</v>
      </c>
      <c r="D747" s="113" t="s">
        <v>3582</v>
      </c>
      <c r="E747" s="112" t="s">
        <v>36</v>
      </c>
      <c r="F747" s="113" t="s">
        <v>134</v>
      </c>
      <c r="G747" s="112" t="s">
        <v>225</v>
      </c>
      <c r="H747" s="112" t="s">
        <v>125</v>
      </c>
      <c r="I747" s="112" t="s">
        <v>114</v>
      </c>
      <c r="J747" s="113" t="s">
        <v>32</v>
      </c>
      <c r="K747" s="112" t="s">
        <v>3527</v>
      </c>
      <c r="L747" s="112" t="s">
        <v>276</v>
      </c>
      <c r="M747" s="112" t="s">
        <v>276</v>
      </c>
      <c r="N747" s="113" t="s">
        <v>3548</v>
      </c>
      <c r="O747" s="113" t="s">
        <v>3481</v>
      </c>
      <c r="P747" s="113" t="s">
        <v>239</v>
      </c>
      <c r="Q747" s="142">
        <v>42004</v>
      </c>
      <c r="R747" s="113" t="s">
        <v>276</v>
      </c>
      <c r="S747" s="113" t="s">
        <v>276</v>
      </c>
      <c r="T747" s="113" t="s">
        <v>276</v>
      </c>
      <c r="U747" s="113">
        <v>1</v>
      </c>
      <c r="V747" s="112" t="s">
        <v>16</v>
      </c>
      <c r="W747" s="112" t="s">
        <v>170</v>
      </c>
      <c r="X747" s="113" t="s">
        <v>207</v>
      </c>
      <c r="Y747" s="118">
        <v>27995</v>
      </c>
      <c r="Z747" s="119">
        <v>55339</v>
      </c>
      <c r="AA747" s="113" t="s">
        <v>276</v>
      </c>
      <c r="AB747" s="113" t="s">
        <v>276</v>
      </c>
      <c r="AC747" s="113" t="s">
        <v>276</v>
      </c>
      <c r="AD747" s="113" t="s">
        <v>3538</v>
      </c>
      <c r="AE747" s="113" t="s">
        <v>276</v>
      </c>
      <c r="AF747" s="113" t="s">
        <v>3538</v>
      </c>
      <c r="AG747" s="113" t="s">
        <v>3583</v>
      </c>
      <c r="AH747" s="113" t="s">
        <v>3564</v>
      </c>
      <c r="AI747" s="119">
        <v>386</v>
      </c>
      <c r="AJ747" s="119">
        <v>1307</v>
      </c>
      <c r="AK747" s="118" t="s">
        <v>276</v>
      </c>
      <c r="AL747" s="119" t="s">
        <v>276</v>
      </c>
      <c r="AM747" s="119" t="s">
        <v>1019</v>
      </c>
      <c r="AN747" s="112">
        <v>90</v>
      </c>
      <c r="AO747" s="207" t="s">
        <v>98</v>
      </c>
      <c r="AP747" s="112">
        <v>82</v>
      </c>
      <c r="AQ747" s="112">
        <v>100</v>
      </c>
      <c r="AR747" s="112">
        <v>155</v>
      </c>
      <c r="AS747" s="207" t="s">
        <v>98</v>
      </c>
      <c r="AT747" s="112">
        <v>147</v>
      </c>
      <c r="AU747" s="112">
        <v>164</v>
      </c>
      <c r="AV747" s="112" t="s">
        <v>270</v>
      </c>
      <c r="AW747" s="143">
        <v>0.57999999999999996</v>
      </c>
      <c r="AX747" s="232" t="s">
        <v>98</v>
      </c>
      <c r="AY747" s="143">
        <v>0.52</v>
      </c>
      <c r="AZ747" s="113">
        <v>0.65</v>
      </c>
      <c r="BA747" s="113" t="s">
        <v>276</v>
      </c>
      <c r="BB747" s="113" t="s">
        <v>282</v>
      </c>
      <c r="BC747" s="113" t="s">
        <v>98</v>
      </c>
      <c r="BD747" s="113" t="s">
        <v>98</v>
      </c>
      <c r="BE747" s="113" t="s">
        <v>98</v>
      </c>
      <c r="BF747" s="113" t="s">
        <v>3584</v>
      </c>
      <c r="BG747" s="113" t="s">
        <v>3555</v>
      </c>
      <c r="BH747" s="9" t="s">
        <v>100</v>
      </c>
      <c r="BI747" s="9" t="s">
        <v>100</v>
      </c>
      <c r="BJ747" s="123"/>
      <c r="BN747" s="123"/>
      <c r="BO747" s="123"/>
    </row>
    <row r="748" spans="1:67" s="110" customFormat="1" ht="52" hidden="1" x14ac:dyDescent="0.35">
      <c r="A748" s="94">
        <v>103</v>
      </c>
      <c r="B748" s="94" t="s">
        <v>3378</v>
      </c>
      <c r="C748" s="94" t="s">
        <v>53</v>
      </c>
      <c r="D748" s="95" t="s">
        <v>3585</v>
      </c>
      <c r="E748" s="94" t="s">
        <v>36</v>
      </c>
      <c r="F748" s="95" t="s">
        <v>134</v>
      </c>
      <c r="G748" s="94" t="s">
        <v>225</v>
      </c>
      <c r="H748" s="94" t="s">
        <v>125</v>
      </c>
      <c r="I748" s="94" t="s">
        <v>114</v>
      </c>
      <c r="J748" s="95" t="s">
        <v>32</v>
      </c>
      <c r="K748" s="94" t="s">
        <v>3527</v>
      </c>
      <c r="L748" s="94" t="s">
        <v>276</v>
      </c>
      <c r="M748" s="94" t="s">
        <v>276</v>
      </c>
      <c r="N748" s="95" t="s">
        <v>3548</v>
      </c>
      <c r="O748" s="95" t="s">
        <v>3481</v>
      </c>
      <c r="P748" s="95" t="s">
        <v>239</v>
      </c>
      <c r="Q748" s="140">
        <v>42004</v>
      </c>
      <c r="R748" s="95" t="s">
        <v>276</v>
      </c>
      <c r="S748" s="95" t="s">
        <v>276</v>
      </c>
      <c r="T748" s="95" t="s">
        <v>276</v>
      </c>
      <c r="U748" s="95">
        <v>1</v>
      </c>
      <c r="V748" s="94" t="s">
        <v>16</v>
      </c>
      <c r="W748" s="94" t="s">
        <v>171</v>
      </c>
      <c r="X748" s="95" t="s">
        <v>207</v>
      </c>
      <c r="Y748" s="98">
        <v>29103</v>
      </c>
      <c r="Z748" s="99">
        <v>57597</v>
      </c>
      <c r="AA748" s="95" t="s">
        <v>276</v>
      </c>
      <c r="AB748" s="95" t="s">
        <v>276</v>
      </c>
      <c r="AC748" s="95" t="s">
        <v>276</v>
      </c>
      <c r="AD748" s="95" t="s">
        <v>3538</v>
      </c>
      <c r="AE748" s="95" t="s">
        <v>276</v>
      </c>
      <c r="AF748" s="95" t="s">
        <v>3538</v>
      </c>
      <c r="AG748" s="95" t="s">
        <v>3586</v>
      </c>
      <c r="AH748" s="95" t="s">
        <v>3570</v>
      </c>
      <c r="AI748" s="99">
        <v>206</v>
      </c>
      <c r="AJ748" s="99">
        <v>680</v>
      </c>
      <c r="AK748" s="98" t="s">
        <v>276</v>
      </c>
      <c r="AL748" s="99" t="s">
        <v>276</v>
      </c>
      <c r="AM748" s="99" t="s">
        <v>1019</v>
      </c>
      <c r="AN748" s="94">
        <v>44</v>
      </c>
      <c r="AO748" s="101" t="s">
        <v>98</v>
      </c>
      <c r="AP748" s="94">
        <v>38</v>
      </c>
      <c r="AQ748" s="94">
        <v>50</v>
      </c>
      <c r="AR748" s="94">
        <v>73</v>
      </c>
      <c r="AS748" s="101" t="s">
        <v>98</v>
      </c>
      <c r="AT748" s="94">
        <v>68</v>
      </c>
      <c r="AU748" s="94">
        <v>79</v>
      </c>
      <c r="AV748" s="94" t="s">
        <v>270</v>
      </c>
      <c r="AW748" s="141">
        <v>0.6</v>
      </c>
      <c r="AX748" s="233" t="s">
        <v>98</v>
      </c>
      <c r="AY748" s="141">
        <v>0.51</v>
      </c>
      <c r="AZ748" s="141">
        <v>0.7</v>
      </c>
      <c r="BA748" s="95" t="s">
        <v>276</v>
      </c>
      <c r="BB748" s="95" t="s">
        <v>282</v>
      </c>
      <c r="BC748" s="95" t="s">
        <v>98</v>
      </c>
      <c r="BD748" s="95" t="s">
        <v>98</v>
      </c>
      <c r="BE748" s="95" t="s">
        <v>98</v>
      </c>
      <c r="BF748" s="95" t="s">
        <v>3584</v>
      </c>
      <c r="BG748" s="95" t="s">
        <v>3555</v>
      </c>
      <c r="BH748" s="9" t="s">
        <v>100</v>
      </c>
      <c r="BI748" s="9" t="s">
        <v>100</v>
      </c>
      <c r="BJ748" s="109"/>
      <c r="BN748" s="109"/>
      <c r="BO748" s="109"/>
    </row>
    <row r="749" spans="1:67" s="124" customFormat="1" ht="52" hidden="1" x14ac:dyDescent="0.35">
      <c r="A749" s="112">
        <v>103</v>
      </c>
      <c r="B749" s="112" t="s">
        <v>3378</v>
      </c>
      <c r="C749" s="112" t="s">
        <v>53</v>
      </c>
      <c r="D749" s="113" t="s">
        <v>3587</v>
      </c>
      <c r="E749" s="112" t="s">
        <v>36</v>
      </c>
      <c r="F749" s="113" t="s">
        <v>134</v>
      </c>
      <c r="G749" s="112" t="s">
        <v>225</v>
      </c>
      <c r="H749" s="112" t="s">
        <v>125</v>
      </c>
      <c r="I749" s="112" t="s">
        <v>114</v>
      </c>
      <c r="J749" s="113" t="s">
        <v>32</v>
      </c>
      <c r="K749" s="112" t="s">
        <v>3527</v>
      </c>
      <c r="L749" s="112" t="s">
        <v>276</v>
      </c>
      <c r="M749" s="112" t="s">
        <v>276</v>
      </c>
      <c r="N749" s="113" t="s">
        <v>3548</v>
      </c>
      <c r="O749" s="113" t="s">
        <v>3481</v>
      </c>
      <c r="P749" s="113" t="s">
        <v>239</v>
      </c>
      <c r="Q749" s="142">
        <v>42004</v>
      </c>
      <c r="R749" s="113" t="s">
        <v>276</v>
      </c>
      <c r="S749" s="113" t="s">
        <v>276</v>
      </c>
      <c r="T749" s="113" t="s">
        <v>276</v>
      </c>
      <c r="U749" s="113">
        <v>1</v>
      </c>
      <c r="V749" s="112" t="s">
        <v>15</v>
      </c>
      <c r="W749" s="112" t="s">
        <v>3432</v>
      </c>
      <c r="X749" s="113" t="s">
        <v>207</v>
      </c>
      <c r="Y749" s="118">
        <v>28561</v>
      </c>
      <c r="Z749" s="119">
        <v>56835</v>
      </c>
      <c r="AA749" s="113" t="s">
        <v>276</v>
      </c>
      <c r="AB749" s="113" t="s">
        <v>276</v>
      </c>
      <c r="AC749" s="113" t="s">
        <v>276</v>
      </c>
      <c r="AD749" s="113" t="s">
        <v>3538</v>
      </c>
      <c r="AE749" s="113" t="s">
        <v>276</v>
      </c>
      <c r="AF749" s="113" t="s">
        <v>3538</v>
      </c>
      <c r="AG749" s="113" t="s">
        <v>3588</v>
      </c>
      <c r="AH749" s="113" t="s">
        <v>3575</v>
      </c>
      <c r="AI749" s="119">
        <v>247</v>
      </c>
      <c r="AJ749" s="119">
        <v>881</v>
      </c>
      <c r="AK749" s="118" t="s">
        <v>276</v>
      </c>
      <c r="AL749" s="119" t="s">
        <v>276</v>
      </c>
      <c r="AM749" s="119" t="s">
        <v>1019</v>
      </c>
      <c r="AN749" s="112">
        <v>54</v>
      </c>
      <c r="AO749" s="207" t="s">
        <v>98</v>
      </c>
      <c r="AP749" s="112">
        <v>47</v>
      </c>
      <c r="AQ749" s="112">
        <v>61</v>
      </c>
      <c r="AR749" s="112">
        <v>97</v>
      </c>
      <c r="AS749" s="207" t="s">
        <v>98</v>
      </c>
      <c r="AT749" s="112">
        <v>90</v>
      </c>
      <c r="AU749" s="112">
        <v>103</v>
      </c>
      <c r="AV749" s="112" t="s">
        <v>270</v>
      </c>
      <c r="AW749" s="143">
        <v>0.56000000000000005</v>
      </c>
      <c r="AX749" s="232" t="s">
        <v>98</v>
      </c>
      <c r="AY749" s="143">
        <v>0.48</v>
      </c>
      <c r="AZ749" s="113">
        <v>0.64</v>
      </c>
      <c r="BA749" s="113" t="s">
        <v>276</v>
      </c>
      <c r="BB749" s="113" t="s">
        <v>282</v>
      </c>
      <c r="BC749" s="113" t="s">
        <v>98</v>
      </c>
      <c r="BD749" s="113" t="s">
        <v>98</v>
      </c>
      <c r="BE749" s="113" t="s">
        <v>98</v>
      </c>
      <c r="BF749" s="113" t="s">
        <v>3589</v>
      </c>
      <c r="BG749" s="113" t="s">
        <v>3555</v>
      </c>
      <c r="BH749" s="9" t="s">
        <v>100</v>
      </c>
      <c r="BI749" s="9" t="s">
        <v>100</v>
      </c>
      <c r="BJ749" s="123"/>
      <c r="BN749" s="123"/>
      <c r="BO749" s="123"/>
    </row>
    <row r="750" spans="1:67" s="110" customFormat="1" ht="52" hidden="1" x14ac:dyDescent="0.35">
      <c r="A750" s="94">
        <v>103</v>
      </c>
      <c r="B750" s="94" t="s">
        <v>3378</v>
      </c>
      <c r="C750" s="94" t="s">
        <v>53</v>
      </c>
      <c r="D750" s="95" t="s">
        <v>3590</v>
      </c>
      <c r="E750" s="94" t="s">
        <v>36</v>
      </c>
      <c r="F750" s="95" t="s">
        <v>134</v>
      </c>
      <c r="G750" s="94" t="s">
        <v>225</v>
      </c>
      <c r="H750" s="94" t="s">
        <v>125</v>
      </c>
      <c r="I750" s="94" t="s">
        <v>114</v>
      </c>
      <c r="J750" s="95" t="s">
        <v>32</v>
      </c>
      <c r="K750" s="94" t="s">
        <v>3527</v>
      </c>
      <c r="L750" s="94" t="s">
        <v>276</v>
      </c>
      <c r="M750" s="94" t="s">
        <v>276</v>
      </c>
      <c r="N750" s="95" t="s">
        <v>3548</v>
      </c>
      <c r="O750" s="95" t="s">
        <v>3481</v>
      </c>
      <c r="P750" s="95" t="s">
        <v>239</v>
      </c>
      <c r="Q750" s="140">
        <v>42004</v>
      </c>
      <c r="R750" s="95" t="s">
        <v>276</v>
      </c>
      <c r="S750" s="95" t="s">
        <v>276</v>
      </c>
      <c r="T750" s="95" t="s">
        <v>276</v>
      </c>
      <c r="U750" s="95">
        <v>1</v>
      </c>
      <c r="V750" s="94" t="s">
        <v>15</v>
      </c>
      <c r="W750" s="94" t="s">
        <v>3442</v>
      </c>
      <c r="X750" s="95" t="s">
        <v>207</v>
      </c>
      <c r="Y750" s="98">
        <v>28537</v>
      </c>
      <c r="Z750" s="99">
        <v>56101</v>
      </c>
      <c r="AA750" s="95" t="s">
        <v>276</v>
      </c>
      <c r="AB750" s="95" t="s">
        <v>276</v>
      </c>
      <c r="AC750" s="95" t="s">
        <v>276</v>
      </c>
      <c r="AD750" s="95" t="s">
        <v>3538</v>
      </c>
      <c r="AE750" s="95" t="s">
        <v>276</v>
      </c>
      <c r="AF750" s="95" t="s">
        <v>3538</v>
      </c>
      <c r="AG750" s="95" t="s">
        <v>3591</v>
      </c>
      <c r="AH750" s="95" t="s">
        <v>3581</v>
      </c>
      <c r="AI750" s="99">
        <v>345</v>
      </c>
      <c r="AJ750" s="99">
        <v>1106</v>
      </c>
      <c r="AK750" s="98" t="s">
        <v>276</v>
      </c>
      <c r="AL750" s="99" t="s">
        <v>276</v>
      </c>
      <c r="AM750" s="99" t="s">
        <v>1019</v>
      </c>
      <c r="AN750" s="94">
        <v>79</v>
      </c>
      <c r="AO750" s="101" t="s">
        <v>98</v>
      </c>
      <c r="AP750" s="94">
        <v>71</v>
      </c>
      <c r="AQ750" s="94">
        <v>87</v>
      </c>
      <c r="AR750" s="94">
        <v>129</v>
      </c>
      <c r="AS750" s="101" t="s">
        <v>98</v>
      </c>
      <c r="AT750" s="94">
        <v>121</v>
      </c>
      <c r="AU750" s="94">
        <v>137</v>
      </c>
      <c r="AV750" s="94" t="s">
        <v>270</v>
      </c>
      <c r="AW750" s="141">
        <v>0.61</v>
      </c>
      <c r="AX750" s="233" t="s">
        <v>98</v>
      </c>
      <c r="AY750" s="141">
        <v>0.54</v>
      </c>
      <c r="AZ750" s="95">
        <v>0.69</v>
      </c>
      <c r="BA750" s="95" t="s">
        <v>276</v>
      </c>
      <c r="BB750" s="95" t="s">
        <v>282</v>
      </c>
      <c r="BC750" s="95" t="s">
        <v>98</v>
      </c>
      <c r="BD750" s="95" t="s">
        <v>98</v>
      </c>
      <c r="BE750" s="95" t="s">
        <v>98</v>
      </c>
      <c r="BF750" s="95" t="s">
        <v>3589</v>
      </c>
      <c r="BG750" s="95" t="s">
        <v>3555</v>
      </c>
      <c r="BH750" s="9" t="s">
        <v>100</v>
      </c>
      <c r="BI750" s="9" t="s">
        <v>100</v>
      </c>
      <c r="BJ750" s="109"/>
      <c r="BN750" s="109"/>
      <c r="BO750" s="109"/>
    </row>
    <row r="751" spans="1:67" s="124" customFormat="1" ht="52" hidden="1" x14ac:dyDescent="0.35">
      <c r="A751" s="112">
        <v>103</v>
      </c>
      <c r="B751" s="112" t="s">
        <v>3378</v>
      </c>
      <c r="C751" s="112" t="s">
        <v>53</v>
      </c>
      <c r="D751" s="113" t="s">
        <v>3592</v>
      </c>
      <c r="E751" s="112" t="s">
        <v>36</v>
      </c>
      <c r="F751" s="113" t="s">
        <v>134</v>
      </c>
      <c r="G751" s="112" t="s">
        <v>225</v>
      </c>
      <c r="H751" s="112" t="s">
        <v>125</v>
      </c>
      <c r="I751" s="112" t="s">
        <v>114</v>
      </c>
      <c r="J751" s="113" t="s">
        <v>32</v>
      </c>
      <c r="K751" s="112" t="s">
        <v>3527</v>
      </c>
      <c r="L751" s="112" t="s">
        <v>276</v>
      </c>
      <c r="M751" s="112" t="s">
        <v>276</v>
      </c>
      <c r="N751" s="113" t="s">
        <v>3548</v>
      </c>
      <c r="O751" s="113" t="s">
        <v>3481</v>
      </c>
      <c r="P751" s="113" t="s">
        <v>239</v>
      </c>
      <c r="Q751" s="142">
        <v>42004</v>
      </c>
      <c r="R751" s="113" t="s">
        <v>276</v>
      </c>
      <c r="S751" s="113" t="s">
        <v>276</v>
      </c>
      <c r="T751" s="113" t="s">
        <v>276</v>
      </c>
      <c r="U751" s="113">
        <v>1</v>
      </c>
      <c r="V751" s="112" t="s">
        <v>16</v>
      </c>
      <c r="W751" s="112" t="s">
        <v>170</v>
      </c>
      <c r="X751" s="113" t="s">
        <v>207</v>
      </c>
      <c r="Y751" s="118">
        <v>27995</v>
      </c>
      <c r="Z751" s="119">
        <v>55339</v>
      </c>
      <c r="AA751" s="113" t="s">
        <v>276</v>
      </c>
      <c r="AB751" s="113" t="s">
        <v>276</v>
      </c>
      <c r="AC751" s="113" t="s">
        <v>276</v>
      </c>
      <c r="AD751" s="113" t="s">
        <v>3538</v>
      </c>
      <c r="AE751" s="113" t="s">
        <v>276</v>
      </c>
      <c r="AF751" s="113" t="s">
        <v>3538</v>
      </c>
      <c r="AG751" s="113" t="s">
        <v>3593</v>
      </c>
      <c r="AH751" s="113" t="s">
        <v>3564</v>
      </c>
      <c r="AI751" s="119">
        <v>308</v>
      </c>
      <c r="AJ751" s="119">
        <v>681</v>
      </c>
      <c r="AK751" s="118" t="s">
        <v>276</v>
      </c>
      <c r="AL751" s="119" t="s">
        <v>276</v>
      </c>
      <c r="AM751" s="119" t="s">
        <v>1019</v>
      </c>
      <c r="AN751" s="112">
        <v>72</v>
      </c>
      <c r="AO751" s="207" t="s">
        <v>98</v>
      </c>
      <c r="AP751" s="112">
        <v>64</v>
      </c>
      <c r="AQ751" s="112">
        <v>80</v>
      </c>
      <c r="AR751" s="112">
        <v>80</v>
      </c>
      <c r="AS751" s="207" t="s">
        <v>98</v>
      </c>
      <c r="AT751" s="112">
        <v>75</v>
      </c>
      <c r="AU751" s="112">
        <v>87</v>
      </c>
      <c r="AV751" s="112" t="s">
        <v>270</v>
      </c>
      <c r="AW751" s="143">
        <v>0.89</v>
      </c>
      <c r="AX751" s="232" t="s">
        <v>98</v>
      </c>
      <c r="AY751" s="143">
        <v>0.78</v>
      </c>
      <c r="AZ751" s="113">
        <v>1.02</v>
      </c>
      <c r="BA751" s="113" t="s">
        <v>691</v>
      </c>
      <c r="BB751" s="113" t="s">
        <v>282</v>
      </c>
      <c r="BC751" s="113" t="s">
        <v>98</v>
      </c>
      <c r="BD751" s="113" t="s">
        <v>98</v>
      </c>
      <c r="BE751" s="113" t="s">
        <v>98</v>
      </c>
      <c r="BF751" s="113" t="s">
        <v>3594</v>
      </c>
      <c r="BG751" s="113" t="s">
        <v>3555</v>
      </c>
      <c r="BH751" s="9" t="s">
        <v>100</v>
      </c>
      <c r="BI751" s="9" t="s">
        <v>100</v>
      </c>
      <c r="BJ751" s="123"/>
      <c r="BN751" s="123"/>
      <c r="BO751" s="123"/>
    </row>
    <row r="752" spans="1:67" s="110" customFormat="1" ht="52" hidden="1" x14ac:dyDescent="0.35">
      <c r="A752" s="94">
        <v>103</v>
      </c>
      <c r="B752" s="94" t="s">
        <v>3378</v>
      </c>
      <c r="C752" s="94" t="s">
        <v>53</v>
      </c>
      <c r="D752" s="95" t="s">
        <v>3595</v>
      </c>
      <c r="E752" s="94" t="s">
        <v>36</v>
      </c>
      <c r="F752" s="95" t="s">
        <v>134</v>
      </c>
      <c r="G752" s="94" t="s">
        <v>225</v>
      </c>
      <c r="H752" s="94" t="s">
        <v>125</v>
      </c>
      <c r="I752" s="94" t="s">
        <v>114</v>
      </c>
      <c r="J752" s="95" t="s">
        <v>32</v>
      </c>
      <c r="K752" s="94" t="s">
        <v>3527</v>
      </c>
      <c r="L752" s="94" t="s">
        <v>276</v>
      </c>
      <c r="M752" s="94" t="s">
        <v>276</v>
      </c>
      <c r="N752" s="95" t="s">
        <v>3548</v>
      </c>
      <c r="O752" s="95" t="s">
        <v>3481</v>
      </c>
      <c r="P752" s="95" t="s">
        <v>239</v>
      </c>
      <c r="Q752" s="140">
        <v>42004</v>
      </c>
      <c r="R752" s="95" t="s">
        <v>276</v>
      </c>
      <c r="S752" s="95" t="s">
        <v>276</v>
      </c>
      <c r="T752" s="95" t="s">
        <v>276</v>
      </c>
      <c r="U752" s="95">
        <v>1</v>
      </c>
      <c r="V752" s="94" t="s">
        <v>16</v>
      </c>
      <c r="W752" s="94" t="s">
        <v>171</v>
      </c>
      <c r="X752" s="95" t="s">
        <v>207</v>
      </c>
      <c r="Y752" s="98">
        <v>29103</v>
      </c>
      <c r="Z752" s="99">
        <v>57597</v>
      </c>
      <c r="AA752" s="95" t="s">
        <v>276</v>
      </c>
      <c r="AB752" s="95" t="s">
        <v>276</v>
      </c>
      <c r="AC752" s="95" t="s">
        <v>276</v>
      </c>
      <c r="AD752" s="95" t="s">
        <v>3538</v>
      </c>
      <c r="AE752" s="95" t="s">
        <v>276</v>
      </c>
      <c r="AF752" s="95" t="s">
        <v>3538</v>
      </c>
      <c r="AG752" s="95" t="s">
        <v>3596</v>
      </c>
      <c r="AH752" s="95" t="s">
        <v>3570</v>
      </c>
      <c r="AI752" s="99">
        <v>304</v>
      </c>
      <c r="AJ752" s="99">
        <v>574</v>
      </c>
      <c r="AK752" s="98" t="s">
        <v>276</v>
      </c>
      <c r="AL752" s="99" t="s">
        <v>276</v>
      </c>
      <c r="AM752" s="99" t="s">
        <v>1019</v>
      </c>
      <c r="AN752" s="94">
        <v>65</v>
      </c>
      <c r="AO752" s="101" t="s">
        <v>98</v>
      </c>
      <c r="AP752" s="94">
        <v>58</v>
      </c>
      <c r="AQ752" s="94">
        <v>72</v>
      </c>
      <c r="AR752" s="94">
        <v>62</v>
      </c>
      <c r="AS752" s="101" t="s">
        <v>98</v>
      </c>
      <c r="AT752" s="94">
        <v>57</v>
      </c>
      <c r="AU752" s="94">
        <v>67</v>
      </c>
      <c r="AV752" s="94" t="s">
        <v>270</v>
      </c>
      <c r="AW752" s="141">
        <v>1.05</v>
      </c>
      <c r="AX752" s="233" t="s">
        <v>98</v>
      </c>
      <c r="AY752" s="141">
        <v>0.91</v>
      </c>
      <c r="AZ752" s="141">
        <v>1.2</v>
      </c>
      <c r="BA752" s="95" t="s">
        <v>691</v>
      </c>
      <c r="BB752" s="95" t="s">
        <v>282</v>
      </c>
      <c r="BC752" s="95" t="s">
        <v>98</v>
      </c>
      <c r="BD752" s="95" t="s">
        <v>98</v>
      </c>
      <c r="BE752" s="95" t="s">
        <v>98</v>
      </c>
      <c r="BF752" s="95" t="s">
        <v>3594</v>
      </c>
      <c r="BG752" s="95" t="s">
        <v>3555</v>
      </c>
      <c r="BH752" s="9" t="s">
        <v>100</v>
      </c>
      <c r="BI752" s="9" t="s">
        <v>100</v>
      </c>
      <c r="BJ752" s="109"/>
      <c r="BN752" s="109"/>
      <c r="BO752" s="109"/>
    </row>
    <row r="753" spans="1:67" s="124" customFormat="1" ht="52" hidden="1" x14ac:dyDescent="0.35">
      <c r="A753" s="112">
        <v>103</v>
      </c>
      <c r="B753" s="112" t="s">
        <v>3378</v>
      </c>
      <c r="C753" s="112" t="s">
        <v>53</v>
      </c>
      <c r="D753" s="113" t="s">
        <v>3597</v>
      </c>
      <c r="E753" s="112" t="s">
        <v>36</v>
      </c>
      <c r="F753" s="113" t="s">
        <v>134</v>
      </c>
      <c r="G753" s="112" t="s">
        <v>225</v>
      </c>
      <c r="H753" s="112" t="s">
        <v>125</v>
      </c>
      <c r="I753" s="112" t="s">
        <v>114</v>
      </c>
      <c r="J753" s="113" t="s">
        <v>32</v>
      </c>
      <c r="K753" s="112" t="s">
        <v>3527</v>
      </c>
      <c r="L753" s="112" t="s">
        <v>276</v>
      </c>
      <c r="M753" s="112" t="s">
        <v>276</v>
      </c>
      <c r="N753" s="113" t="s">
        <v>3548</v>
      </c>
      <c r="O753" s="113" t="s">
        <v>3481</v>
      </c>
      <c r="P753" s="113" t="s">
        <v>239</v>
      </c>
      <c r="Q753" s="142">
        <v>42004</v>
      </c>
      <c r="R753" s="113" t="s">
        <v>276</v>
      </c>
      <c r="S753" s="113" t="s">
        <v>276</v>
      </c>
      <c r="T753" s="113" t="s">
        <v>276</v>
      </c>
      <c r="U753" s="113">
        <v>1</v>
      </c>
      <c r="V753" s="112" t="s">
        <v>15</v>
      </c>
      <c r="W753" s="112" t="s">
        <v>3432</v>
      </c>
      <c r="X753" s="113" t="s">
        <v>207</v>
      </c>
      <c r="Y753" s="118">
        <v>28561</v>
      </c>
      <c r="Z753" s="119">
        <v>56835</v>
      </c>
      <c r="AA753" s="113" t="s">
        <v>276</v>
      </c>
      <c r="AB753" s="113" t="s">
        <v>276</v>
      </c>
      <c r="AC753" s="113" t="s">
        <v>276</v>
      </c>
      <c r="AD753" s="113" t="s">
        <v>3538</v>
      </c>
      <c r="AE753" s="113" t="s">
        <v>276</v>
      </c>
      <c r="AF753" s="113" t="s">
        <v>3538</v>
      </c>
      <c r="AG753" s="113" t="s">
        <v>3598</v>
      </c>
      <c r="AH753" s="113" t="s">
        <v>3575</v>
      </c>
      <c r="AI753" s="119">
        <v>256</v>
      </c>
      <c r="AJ753" s="119">
        <v>515</v>
      </c>
      <c r="AK753" s="118" t="s">
        <v>276</v>
      </c>
      <c r="AL753" s="119" t="s">
        <v>276</v>
      </c>
      <c r="AM753" s="119" t="s">
        <v>1019</v>
      </c>
      <c r="AN753" s="112">
        <v>56</v>
      </c>
      <c r="AO753" s="207" t="s">
        <v>98</v>
      </c>
      <c r="AP753" s="112">
        <v>49</v>
      </c>
      <c r="AQ753" s="112">
        <v>63</v>
      </c>
      <c r="AR753" s="112">
        <v>56</v>
      </c>
      <c r="AS753" s="207" t="s">
        <v>98</v>
      </c>
      <c r="AT753" s="112">
        <v>52</v>
      </c>
      <c r="AU753" s="112">
        <v>61</v>
      </c>
      <c r="AV753" s="112" t="s">
        <v>270</v>
      </c>
      <c r="AW753" s="143">
        <v>0.99</v>
      </c>
      <c r="AX753" s="232" t="s">
        <v>98</v>
      </c>
      <c r="AY753" s="143">
        <v>0.85</v>
      </c>
      <c r="AZ753" s="113">
        <v>1.1499999999999999</v>
      </c>
      <c r="BA753" s="113" t="s">
        <v>276</v>
      </c>
      <c r="BB753" s="113" t="s">
        <v>282</v>
      </c>
      <c r="BC753" s="113" t="s">
        <v>98</v>
      </c>
      <c r="BD753" s="113" t="s">
        <v>98</v>
      </c>
      <c r="BE753" s="113" t="s">
        <v>98</v>
      </c>
      <c r="BF753" s="113" t="s">
        <v>1020</v>
      </c>
      <c r="BG753" s="113" t="s">
        <v>3555</v>
      </c>
      <c r="BH753" s="9" t="s">
        <v>100</v>
      </c>
      <c r="BI753" s="9" t="s">
        <v>100</v>
      </c>
      <c r="BJ753" s="123"/>
      <c r="BN753" s="123"/>
      <c r="BO753" s="123"/>
    </row>
    <row r="754" spans="1:67" s="110" customFormat="1" ht="52" hidden="1" x14ac:dyDescent="0.35">
      <c r="A754" s="94">
        <v>103</v>
      </c>
      <c r="B754" s="94" t="s">
        <v>3378</v>
      </c>
      <c r="C754" s="94" t="s">
        <v>53</v>
      </c>
      <c r="D754" s="95" t="s">
        <v>3599</v>
      </c>
      <c r="E754" s="94" t="s">
        <v>36</v>
      </c>
      <c r="F754" s="95" t="s">
        <v>134</v>
      </c>
      <c r="G754" s="94" t="s">
        <v>225</v>
      </c>
      <c r="H754" s="94" t="s">
        <v>125</v>
      </c>
      <c r="I754" s="94" t="s">
        <v>114</v>
      </c>
      <c r="J754" s="95" t="s">
        <v>32</v>
      </c>
      <c r="K754" s="94" t="s">
        <v>3527</v>
      </c>
      <c r="L754" s="94" t="s">
        <v>276</v>
      </c>
      <c r="M754" s="94" t="s">
        <v>276</v>
      </c>
      <c r="N754" s="95" t="s">
        <v>3548</v>
      </c>
      <c r="O754" s="95" t="s">
        <v>3481</v>
      </c>
      <c r="P754" s="95" t="s">
        <v>239</v>
      </c>
      <c r="Q754" s="140">
        <v>42004</v>
      </c>
      <c r="R754" s="95" t="s">
        <v>276</v>
      </c>
      <c r="S754" s="95" t="s">
        <v>276</v>
      </c>
      <c r="T754" s="95" t="s">
        <v>276</v>
      </c>
      <c r="U754" s="95">
        <v>1</v>
      </c>
      <c r="V754" s="94" t="s">
        <v>15</v>
      </c>
      <c r="W754" s="94" t="s">
        <v>3442</v>
      </c>
      <c r="X754" s="95" t="s">
        <v>207</v>
      </c>
      <c r="Y754" s="98">
        <v>28537</v>
      </c>
      <c r="Z754" s="99">
        <v>56101</v>
      </c>
      <c r="AA754" s="95" t="s">
        <v>276</v>
      </c>
      <c r="AB754" s="95" t="s">
        <v>276</v>
      </c>
      <c r="AC754" s="95" t="s">
        <v>276</v>
      </c>
      <c r="AD754" s="95" t="s">
        <v>3538</v>
      </c>
      <c r="AE754" s="95" t="s">
        <v>276</v>
      </c>
      <c r="AF754" s="95" t="s">
        <v>3538</v>
      </c>
      <c r="AG754" s="95" t="s">
        <v>3600</v>
      </c>
      <c r="AH754" s="95" t="s">
        <v>3581</v>
      </c>
      <c r="AI754" s="99">
        <v>356</v>
      </c>
      <c r="AJ754" s="99">
        <v>740</v>
      </c>
      <c r="AK754" s="98" t="s">
        <v>276</v>
      </c>
      <c r="AL754" s="99" t="s">
        <v>276</v>
      </c>
      <c r="AM754" s="99" t="s">
        <v>1019</v>
      </c>
      <c r="AN754" s="94">
        <v>81</v>
      </c>
      <c r="AO754" s="101" t="s">
        <v>98</v>
      </c>
      <c r="AP754" s="94">
        <v>73</v>
      </c>
      <c r="AQ754" s="94">
        <v>90</v>
      </c>
      <c r="AR754" s="94">
        <v>86</v>
      </c>
      <c r="AS754" s="101" t="s">
        <v>98</v>
      </c>
      <c r="AT754" s="94">
        <v>80</v>
      </c>
      <c r="AU754" s="94">
        <v>92</v>
      </c>
      <c r="AV754" s="94" t="s">
        <v>270</v>
      </c>
      <c r="AW754" s="141">
        <v>0.94</v>
      </c>
      <c r="AX754" s="233" t="s">
        <v>98</v>
      </c>
      <c r="AY754" s="141">
        <v>0.83</v>
      </c>
      <c r="AZ754" s="95">
        <v>1.07</v>
      </c>
      <c r="BA754" s="95" t="s">
        <v>276</v>
      </c>
      <c r="BB754" s="95" t="s">
        <v>282</v>
      </c>
      <c r="BC754" s="95" t="s">
        <v>98</v>
      </c>
      <c r="BD754" s="95" t="s">
        <v>98</v>
      </c>
      <c r="BE754" s="95" t="s">
        <v>98</v>
      </c>
      <c r="BF754" s="95" t="s">
        <v>1020</v>
      </c>
      <c r="BG754" s="95" t="s">
        <v>3555</v>
      </c>
      <c r="BH754" s="9" t="s">
        <v>100</v>
      </c>
      <c r="BI754" s="9" t="s">
        <v>100</v>
      </c>
      <c r="BJ754" s="109"/>
      <c r="BN754" s="109"/>
      <c r="BO754" s="109"/>
    </row>
    <row r="755" spans="1:67" s="137" customFormat="1" ht="52" hidden="1" x14ac:dyDescent="0.35">
      <c r="A755" s="126">
        <v>97</v>
      </c>
      <c r="B755" s="126" t="s">
        <v>3478</v>
      </c>
      <c r="C755" s="126" t="s">
        <v>53</v>
      </c>
      <c r="D755" s="127" t="s">
        <v>3601</v>
      </c>
      <c r="E755" s="126" t="s">
        <v>36</v>
      </c>
      <c r="F755" s="127" t="s">
        <v>134</v>
      </c>
      <c r="G755" s="126" t="s">
        <v>225</v>
      </c>
      <c r="H755" s="126" t="s">
        <v>225</v>
      </c>
      <c r="I755" s="126" t="s">
        <v>98</v>
      </c>
      <c r="J755" s="127" t="s">
        <v>98</v>
      </c>
      <c r="K755" s="126" t="s">
        <v>98</v>
      </c>
      <c r="L755" s="126" t="s">
        <v>98</v>
      </c>
      <c r="M755" s="126" t="s">
        <v>98</v>
      </c>
      <c r="N755" s="127" t="s">
        <v>3602</v>
      </c>
      <c r="O755" s="127" t="s">
        <v>3481</v>
      </c>
      <c r="P755" s="127" t="s">
        <v>238</v>
      </c>
      <c r="Q755" s="146" t="s">
        <v>276</v>
      </c>
      <c r="R755" s="127" t="s">
        <v>276</v>
      </c>
      <c r="S755" s="127" t="s">
        <v>276</v>
      </c>
      <c r="T755" s="127" t="s">
        <v>276</v>
      </c>
      <c r="U755" s="127">
        <v>1</v>
      </c>
      <c r="V755" s="127" t="s">
        <v>261</v>
      </c>
      <c r="W755" s="126" t="s">
        <v>3482</v>
      </c>
      <c r="X755" s="127" t="s">
        <v>209</v>
      </c>
      <c r="Y755" s="132">
        <v>56379</v>
      </c>
      <c r="Z755" s="127" t="s">
        <v>98</v>
      </c>
      <c r="AA755" s="127" t="s">
        <v>276</v>
      </c>
      <c r="AB755" s="127" t="s">
        <v>98</v>
      </c>
      <c r="AC755" s="126" t="s">
        <v>98</v>
      </c>
      <c r="AD755" s="126" t="s">
        <v>98</v>
      </c>
      <c r="AE755" s="126" t="s">
        <v>98</v>
      </c>
      <c r="AF755" s="126" t="s">
        <v>98</v>
      </c>
      <c r="AG755" s="127" t="s">
        <v>3603</v>
      </c>
      <c r="AH755" s="127" t="s">
        <v>3509</v>
      </c>
      <c r="AI755" s="134">
        <v>4609</v>
      </c>
      <c r="AJ755" s="134" t="s">
        <v>98</v>
      </c>
      <c r="AK755" s="132">
        <v>56379</v>
      </c>
      <c r="AL755" s="134" t="s">
        <v>98</v>
      </c>
      <c r="AM755" s="134" t="s">
        <v>292</v>
      </c>
      <c r="AN755" s="126" t="s">
        <v>276</v>
      </c>
      <c r="AO755" s="148">
        <f>AI755*100/AK755</f>
        <v>8.1750297096436615</v>
      </c>
      <c r="AP755" s="126" t="s">
        <v>276</v>
      </c>
      <c r="AQ755" s="126" t="s">
        <v>276</v>
      </c>
      <c r="AR755" s="126" t="s">
        <v>98</v>
      </c>
      <c r="AS755" s="135" t="s">
        <v>98</v>
      </c>
      <c r="AT755" s="126" t="s">
        <v>98</v>
      </c>
      <c r="AU755" s="126" t="s">
        <v>98</v>
      </c>
      <c r="AV755" s="126" t="s">
        <v>98</v>
      </c>
      <c r="AW755" s="234" t="s">
        <v>98</v>
      </c>
      <c r="AX755" s="234" t="s">
        <v>98</v>
      </c>
      <c r="AY755" s="127" t="s">
        <v>98</v>
      </c>
      <c r="AZ755" s="127" t="s">
        <v>98</v>
      </c>
      <c r="BA755" s="127" t="s">
        <v>98</v>
      </c>
      <c r="BB755" s="127" t="s">
        <v>98</v>
      </c>
      <c r="BC755" s="127" t="s">
        <v>98</v>
      </c>
      <c r="BD755" s="127" t="s">
        <v>98</v>
      </c>
      <c r="BE755" s="127" t="s">
        <v>98</v>
      </c>
      <c r="BF755" s="127" t="s">
        <v>1358</v>
      </c>
      <c r="BG755" s="127" t="s">
        <v>3604</v>
      </c>
      <c r="BH755" s="9" t="s">
        <v>100</v>
      </c>
      <c r="BI755" s="9" t="s">
        <v>100</v>
      </c>
      <c r="BJ755" s="136"/>
      <c r="BN755" s="136"/>
      <c r="BO755" s="136"/>
    </row>
    <row r="756" spans="1:67" s="137" customFormat="1" ht="65" hidden="1" x14ac:dyDescent="0.35">
      <c r="A756" s="126">
        <v>97</v>
      </c>
      <c r="B756" s="126" t="s">
        <v>3478</v>
      </c>
      <c r="C756" s="126" t="s">
        <v>53</v>
      </c>
      <c r="D756" s="127" t="s">
        <v>3605</v>
      </c>
      <c r="E756" s="126" t="s">
        <v>36</v>
      </c>
      <c r="F756" s="127" t="s">
        <v>134</v>
      </c>
      <c r="G756" s="126" t="s">
        <v>225</v>
      </c>
      <c r="H756" s="126" t="s">
        <v>225</v>
      </c>
      <c r="I756" s="126" t="s">
        <v>98</v>
      </c>
      <c r="J756" s="127" t="s">
        <v>98</v>
      </c>
      <c r="K756" s="126" t="s">
        <v>98</v>
      </c>
      <c r="L756" s="126" t="s">
        <v>98</v>
      </c>
      <c r="M756" s="126" t="s">
        <v>98</v>
      </c>
      <c r="N756" s="127" t="s">
        <v>3602</v>
      </c>
      <c r="O756" s="127" t="s">
        <v>3481</v>
      </c>
      <c r="P756" s="127" t="s">
        <v>238</v>
      </c>
      <c r="Q756" s="146" t="s">
        <v>276</v>
      </c>
      <c r="R756" s="127" t="s">
        <v>276</v>
      </c>
      <c r="S756" s="127" t="s">
        <v>276</v>
      </c>
      <c r="T756" s="127" t="s">
        <v>276</v>
      </c>
      <c r="U756" s="127">
        <v>1</v>
      </c>
      <c r="V756" s="127" t="s">
        <v>261</v>
      </c>
      <c r="W756" s="126" t="s">
        <v>3482</v>
      </c>
      <c r="X756" s="127" t="s">
        <v>209</v>
      </c>
      <c r="Y756" s="132">
        <v>56379</v>
      </c>
      <c r="Z756" s="127" t="s">
        <v>98</v>
      </c>
      <c r="AA756" s="127" t="s">
        <v>276</v>
      </c>
      <c r="AB756" s="127" t="s">
        <v>98</v>
      </c>
      <c r="AC756" s="126" t="s">
        <v>98</v>
      </c>
      <c r="AD756" s="126" t="s">
        <v>98</v>
      </c>
      <c r="AE756" s="126" t="s">
        <v>98</v>
      </c>
      <c r="AF756" s="126" t="s">
        <v>98</v>
      </c>
      <c r="AG756" s="127" t="s">
        <v>3606</v>
      </c>
      <c r="AH756" s="127" t="s">
        <v>3509</v>
      </c>
      <c r="AI756" s="134">
        <v>1005</v>
      </c>
      <c r="AJ756" s="134" t="s">
        <v>98</v>
      </c>
      <c r="AK756" s="132">
        <v>56379</v>
      </c>
      <c r="AL756" s="134" t="s">
        <v>98</v>
      </c>
      <c r="AM756" s="134" t="s">
        <v>292</v>
      </c>
      <c r="AN756" s="126" t="s">
        <v>276</v>
      </c>
      <c r="AO756" s="148">
        <f>AI756*100/AK756</f>
        <v>1.782578619698824</v>
      </c>
      <c r="AP756" s="126" t="s">
        <v>276</v>
      </c>
      <c r="AQ756" s="126" t="s">
        <v>276</v>
      </c>
      <c r="AR756" s="126" t="s">
        <v>98</v>
      </c>
      <c r="AS756" s="135" t="s">
        <v>98</v>
      </c>
      <c r="AT756" s="126" t="s">
        <v>98</v>
      </c>
      <c r="AU756" s="126" t="s">
        <v>98</v>
      </c>
      <c r="AV756" s="126" t="s">
        <v>98</v>
      </c>
      <c r="AW756" s="234" t="s">
        <v>98</v>
      </c>
      <c r="AX756" s="234" t="s">
        <v>98</v>
      </c>
      <c r="AY756" s="127" t="s">
        <v>98</v>
      </c>
      <c r="AZ756" s="127" t="s">
        <v>98</v>
      </c>
      <c r="BA756" s="127" t="s">
        <v>98</v>
      </c>
      <c r="BB756" s="127" t="s">
        <v>98</v>
      </c>
      <c r="BC756" s="127" t="s">
        <v>98</v>
      </c>
      <c r="BD756" s="127" t="s">
        <v>98</v>
      </c>
      <c r="BE756" s="127" t="s">
        <v>98</v>
      </c>
      <c r="BF756" s="127" t="s">
        <v>1358</v>
      </c>
      <c r="BG756" s="127" t="s">
        <v>3604</v>
      </c>
      <c r="BH756" s="9" t="s">
        <v>100</v>
      </c>
      <c r="BI756" s="9" t="s">
        <v>100</v>
      </c>
      <c r="BJ756" s="136"/>
      <c r="BN756" s="136"/>
      <c r="BO756" s="136"/>
    </row>
    <row r="757" spans="1:67" s="137" customFormat="1" ht="91" hidden="1" x14ac:dyDescent="0.35">
      <c r="A757" s="126">
        <v>97</v>
      </c>
      <c r="B757" s="126" t="s">
        <v>3478</v>
      </c>
      <c r="C757" s="126" t="s">
        <v>53</v>
      </c>
      <c r="D757" s="127" t="s">
        <v>3607</v>
      </c>
      <c r="E757" s="126" t="s">
        <v>36</v>
      </c>
      <c r="F757" s="127" t="s">
        <v>134</v>
      </c>
      <c r="G757" s="126" t="s">
        <v>225</v>
      </c>
      <c r="H757" s="126" t="s">
        <v>225</v>
      </c>
      <c r="I757" s="126" t="s">
        <v>98</v>
      </c>
      <c r="J757" s="127" t="s">
        <v>98</v>
      </c>
      <c r="K757" s="126" t="s">
        <v>98</v>
      </c>
      <c r="L757" s="126" t="s">
        <v>98</v>
      </c>
      <c r="M757" s="126" t="s">
        <v>98</v>
      </c>
      <c r="N757" s="127" t="s">
        <v>3602</v>
      </c>
      <c r="O757" s="127" t="s">
        <v>3481</v>
      </c>
      <c r="P757" s="127" t="s">
        <v>238</v>
      </c>
      <c r="Q757" s="146" t="s">
        <v>276</v>
      </c>
      <c r="R757" s="127" t="s">
        <v>276</v>
      </c>
      <c r="S757" s="127" t="s">
        <v>276</v>
      </c>
      <c r="T757" s="127" t="s">
        <v>276</v>
      </c>
      <c r="U757" s="127">
        <v>1</v>
      </c>
      <c r="V757" s="127" t="s">
        <v>261</v>
      </c>
      <c r="W757" s="126" t="s">
        <v>3482</v>
      </c>
      <c r="X757" s="127" t="s">
        <v>209</v>
      </c>
      <c r="Y757" s="132">
        <v>56379</v>
      </c>
      <c r="Z757" s="127" t="s">
        <v>98</v>
      </c>
      <c r="AA757" s="127" t="s">
        <v>276</v>
      </c>
      <c r="AB757" s="127" t="s">
        <v>98</v>
      </c>
      <c r="AC757" s="126" t="s">
        <v>98</v>
      </c>
      <c r="AD757" s="126" t="s">
        <v>98</v>
      </c>
      <c r="AE757" s="126" t="s">
        <v>98</v>
      </c>
      <c r="AF757" s="126" t="s">
        <v>98</v>
      </c>
      <c r="AG757" s="127" t="s">
        <v>3608</v>
      </c>
      <c r="AH757" s="127" t="s">
        <v>3509</v>
      </c>
      <c r="AI757" s="134">
        <v>1424</v>
      </c>
      <c r="AJ757" s="134" t="s">
        <v>98</v>
      </c>
      <c r="AK757" s="132">
        <v>56379</v>
      </c>
      <c r="AL757" s="134" t="s">
        <v>98</v>
      </c>
      <c r="AM757" s="134" t="s">
        <v>292</v>
      </c>
      <c r="AN757" s="126" t="s">
        <v>276</v>
      </c>
      <c r="AO757" s="148">
        <f>AI757*100/AK757</f>
        <v>2.5257631387573389</v>
      </c>
      <c r="AP757" s="126" t="s">
        <v>276</v>
      </c>
      <c r="AQ757" s="126" t="s">
        <v>276</v>
      </c>
      <c r="AR757" s="126" t="s">
        <v>98</v>
      </c>
      <c r="AS757" s="135" t="s">
        <v>98</v>
      </c>
      <c r="AT757" s="126" t="s">
        <v>98</v>
      </c>
      <c r="AU757" s="126" t="s">
        <v>98</v>
      </c>
      <c r="AV757" s="126" t="s">
        <v>98</v>
      </c>
      <c r="AW757" s="234" t="s">
        <v>98</v>
      </c>
      <c r="AX757" s="234" t="s">
        <v>98</v>
      </c>
      <c r="AY757" s="127" t="s">
        <v>98</v>
      </c>
      <c r="AZ757" s="127" t="s">
        <v>98</v>
      </c>
      <c r="BA757" s="127" t="s">
        <v>98</v>
      </c>
      <c r="BB757" s="127" t="s">
        <v>98</v>
      </c>
      <c r="BC757" s="127" t="s">
        <v>98</v>
      </c>
      <c r="BD757" s="127" t="s">
        <v>98</v>
      </c>
      <c r="BE757" s="127" t="s">
        <v>98</v>
      </c>
      <c r="BF757" s="127" t="s">
        <v>1358</v>
      </c>
      <c r="BG757" s="127" t="s">
        <v>3604</v>
      </c>
      <c r="BH757" s="9" t="s">
        <v>100</v>
      </c>
      <c r="BI757" s="9" t="s">
        <v>100</v>
      </c>
      <c r="BJ757" s="136"/>
      <c r="BN757" s="136"/>
      <c r="BO757" s="136"/>
    </row>
    <row r="758" spans="1:67" s="172" customFormat="1" ht="65" hidden="1" x14ac:dyDescent="0.35">
      <c r="A758" s="150">
        <v>97</v>
      </c>
      <c r="B758" s="150" t="s">
        <v>3478</v>
      </c>
      <c r="C758" s="150" t="s">
        <v>53</v>
      </c>
      <c r="D758" s="151" t="s">
        <v>3609</v>
      </c>
      <c r="E758" s="150" t="s">
        <v>36</v>
      </c>
      <c r="F758" s="151" t="s">
        <v>134</v>
      </c>
      <c r="G758" s="150" t="s">
        <v>225</v>
      </c>
      <c r="H758" s="150" t="s">
        <v>125</v>
      </c>
      <c r="I758" s="150" t="s">
        <v>114</v>
      </c>
      <c r="J758" s="151" t="s">
        <v>32</v>
      </c>
      <c r="K758" s="150" t="s">
        <v>3610</v>
      </c>
      <c r="L758" s="150" t="s">
        <v>276</v>
      </c>
      <c r="M758" s="150" t="s">
        <v>276</v>
      </c>
      <c r="N758" s="151" t="s">
        <v>3602</v>
      </c>
      <c r="O758" s="151" t="s">
        <v>3481</v>
      </c>
      <c r="P758" s="151" t="s">
        <v>239</v>
      </c>
      <c r="Q758" s="154">
        <v>42004</v>
      </c>
      <c r="R758" s="151" t="s">
        <v>276</v>
      </c>
      <c r="S758" s="151" t="s">
        <v>3611</v>
      </c>
      <c r="T758" s="151" t="s">
        <v>3611</v>
      </c>
      <c r="U758" s="151">
        <v>1</v>
      </c>
      <c r="V758" s="151" t="s">
        <v>261</v>
      </c>
      <c r="W758" s="150" t="s">
        <v>3482</v>
      </c>
      <c r="X758" s="151" t="s">
        <v>207</v>
      </c>
      <c r="Y758" s="155">
        <v>56379</v>
      </c>
      <c r="Z758" s="151">
        <v>111503</v>
      </c>
      <c r="AA758" s="151" t="s">
        <v>276</v>
      </c>
      <c r="AB758" s="151" t="s">
        <v>276</v>
      </c>
      <c r="AC758" s="151" t="s">
        <v>276</v>
      </c>
      <c r="AD758" s="151" t="s">
        <v>3612</v>
      </c>
      <c r="AE758" s="151" t="s">
        <v>276</v>
      </c>
      <c r="AF758" s="151" t="s">
        <v>3612</v>
      </c>
      <c r="AG758" s="151" t="s">
        <v>3613</v>
      </c>
      <c r="AH758" s="151" t="s">
        <v>3384</v>
      </c>
      <c r="AI758" s="156">
        <v>586</v>
      </c>
      <c r="AJ758" s="156">
        <v>1969</v>
      </c>
      <c r="AK758" s="155" t="s">
        <v>276</v>
      </c>
      <c r="AL758" s="151" t="s">
        <v>276</v>
      </c>
      <c r="AM758" s="156" t="s">
        <v>1019</v>
      </c>
      <c r="AN758" s="150">
        <v>66</v>
      </c>
      <c r="AO758" s="158" t="s">
        <v>98</v>
      </c>
      <c r="AP758" s="150">
        <v>61</v>
      </c>
      <c r="AQ758" s="150">
        <v>72</v>
      </c>
      <c r="AR758" s="150">
        <v>113</v>
      </c>
      <c r="AS758" s="159" t="s">
        <v>98</v>
      </c>
      <c r="AT758" s="150">
        <v>108</v>
      </c>
      <c r="AU758" s="150">
        <v>118</v>
      </c>
      <c r="AV758" s="150" t="s">
        <v>270</v>
      </c>
      <c r="AW758" s="235">
        <v>0.59</v>
      </c>
      <c r="AX758" s="235" t="s">
        <v>98</v>
      </c>
      <c r="AY758" s="151">
        <v>0.53</v>
      </c>
      <c r="AZ758" s="151">
        <v>0.64</v>
      </c>
      <c r="BA758" s="151" t="s">
        <v>276</v>
      </c>
      <c r="BB758" s="151" t="s">
        <v>282</v>
      </c>
      <c r="BC758" s="151" t="s">
        <v>98</v>
      </c>
      <c r="BD758" s="151" t="s">
        <v>98</v>
      </c>
      <c r="BE758" s="151" t="s">
        <v>98</v>
      </c>
      <c r="BF758" s="151" t="s">
        <v>3614</v>
      </c>
      <c r="BG758" s="151"/>
      <c r="BH758" s="9" t="s">
        <v>100</v>
      </c>
      <c r="BI758" s="9" t="s">
        <v>100</v>
      </c>
      <c r="BJ758" s="171"/>
      <c r="BN758" s="171"/>
      <c r="BO758" s="171"/>
    </row>
    <row r="759" spans="1:67" s="137" customFormat="1" ht="52" hidden="1" x14ac:dyDescent="0.35">
      <c r="A759" s="126">
        <v>97</v>
      </c>
      <c r="B759" s="126" t="s">
        <v>3478</v>
      </c>
      <c r="C759" s="126" t="s">
        <v>53</v>
      </c>
      <c r="D759" s="127" t="s">
        <v>3615</v>
      </c>
      <c r="E759" s="126" t="s">
        <v>36</v>
      </c>
      <c r="F759" s="127" t="s">
        <v>134</v>
      </c>
      <c r="G759" s="126" t="s">
        <v>225</v>
      </c>
      <c r="H759" s="126" t="s">
        <v>125</v>
      </c>
      <c r="I759" s="126" t="s">
        <v>114</v>
      </c>
      <c r="J759" s="127" t="s">
        <v>32</v>
      </c>
      <c r="K759" s="126" t="s">
        <v>3527</v>
      </c>
      <c r="L759" s="126" t="s">
        <v>276</v>
      </c>
      <c r="M759" s="126" t="s">
        <v>276</v>
      </c>
      <c r="N759" s="127" t="s">
        <v>3602</v>
      </c>
      <c r="O759" s="127" t="s">
        <v>3481</v>
      </c>
      <c r="P759" s="127" t="s">
        <v>239</v>
      </c>
      <c r="Q759" s="146">
        <v>42004</v>
      </c>
      <c r="R759" s="127" t="s">
        <v>276</v>
      </c>
      <c r="S759" s="127" t="s">
        <v>3611</v>
      </c>
      <c r="T759" s="127" t="s">
        <v>3611</v>
      </c>
      <c r="U759" s="127">
        <v>1</v>
      </c>
      <c r="V759" s="127" t="s">
        <v>261</v>
      </c>
      <c r="W759" s="126" t="s">
        <v>3482</v>
      </c>
      <c r="X759" s="127" t="s">
        <v>207</v>
      </c>
      <c r="Y759" s="132">
        <v>56379</v>
      </c>
      <c r="Z759" s="127">
        <v>111503</v>
      </c>
      <c r="AA759" s="127" t="s">
        <v>276</v>
      </c>
      <c r="AB759" s="127" t="s">
        <v>276</v>
      </c>
      <c r="AC759" s="127" t="s">
        <v>276</v>
      </c>
      <c r="AD759" s="126" t="s">
        <v>276</v>
      </c>
      <c r="AE759" s="127" t="s">
        <v>276</v>
      </c>
      <c r="AF759" s="126" t="s">
        <v>98</v>
      </c>
      <c r="AG759" s="127" t="s">
        <v>3616</v>
      </c>
      <c r="AH759" s="127" t="s">
        <v>3384</v>
      </c>
      <c r="AI759" s="134">
        <v>1215</v>
      </c>
      <c r="AJ759" s="134">
        <v>3225</v>
      </c>
      <c r="AK759" s="132" t="s">
        <v>276</v>
      </c>
      <c r="AL759" s="127" t="s">
        <v>276</v>
      </c>
      <c r="AM759" s="134" t="s">
        <v>1019</v>
      </c>
      <c r="AN759" s="126">
        <v>138</v>
      </c>
      <c r="AO759" s="148" t="s">
        <v>98</v>
      </c>
      <c r="AP759" s="126">
        <v>130</v>
      </c>
      <c r="AQ759" s="126">
        <v>146</v>
      </c>
      <c r="AR759" s="126">
        <v>185</v>
      </c>
      <c r="AS759" s="135" t="s">
        <v>98</v>
      </c>
      <c r="AT759" s="126">
        <v>179</v>
      </c>
      <c r="AU759" s="126">
        <v>192</v>
      </c>
      <c r="AV759" s="126" t="s">
        <v>270</v>
      </c>
      <c r="AW759" s="234">
        <v>0.74</v>
      </c>
      <c r="AX759" s="234" t="s">
        <v>98</v>
      </c>
      <c r="AY759" s="127">
        <v>0.69</v>
      </c>
      <c r="AZ759" s="127">
        <v>0.79</v>
      </c>
      <c r="BA759" s="127" t="s">
        <v>276</v>
      </c>
      <c r="BB759" s="127" t="s">
        <v>282</v>
      </c>
      <c r="BC759" s="127" t="s">
        <v>98</v>
      </c>
      <c r="BD759" s="127" t="s">
        <v>98</v>
      </c>
      <c r="BE759" s="127" t="s">
        <v>98</v>
      </c>
      <c r="BF759" s="127" t="s">
        <v>341</v>
      </c>
      <c r="BG759" s="127"/>
      <c r="BH759" s="9" t="s">
        <v>100</v>
      </c>
      <c r="BI759" s="9" t="s">
        <v>100</v>
      </c>
      <c r="BJ759" s="136"/>
      <c r="BN759" s="136"/>
      <c r="BO759" s="136"/>
    </row>
    <row r="760" spans="1:67" s="172" customFormat="1" ht="78" hidden="1" x14ac:dyDescent="0.35">
      <c r="A760" s="150">
        <v>97</v>
      </c>
      <c r="B760" s="150" t="s">
        <v>3478</v>
      </c>
      <c r="C760" s="150" t="s">
        <v>53</v>
      </c>
      <c r="D760" s="151" t="s">
        <v>3617</v>
      </c>
      <c r="E760" s="150" t="s">
        <v>36</v>
      </c>
      <c r="F760" s="151" t="s">
        <v>134</v>
      </c>
      <c r="G760" s="150" t="s">
        <v>225</v>
      </c>
      <c r="H760" s="150" t="s">
        <v>125</v>
      </c>
      <c r="I760" s="150" t="s">
        <v>114</v>
      </c>
      <c r="J760" s="151" t="s">
        <v>32</v>
      </c>
      <c r="K760" s="150" t="s">
        <v>3610</v>
      </c>
      <c r="L760" s="150" t="s">
        <v>276</v>
      </c>
      <c r="M760" s="150" t="s">
        <v>276</v>
      </c>
      <c r="N760" s="151" t="s">
        <v>3602</v>
      </c>
      <c r="O760" s="151" t="s">
        <v>3481</v>
      </c>
      <c r="P760" s="151" t="s">
        <v>239</v>
      </c>
      <c r="Q760" s="154">
        <v>42004</v>
      </c>
      <c r="R760" s="151" t="s">
        <v>276</v>
      </c>
      <c r="S760" s="151" t="s">
        <v>276</v>
      </c>
      <c r="T760" s="151" t="s">
        <v>276</v>
      </c>
      <c r="U760" s="151">
        <v>1</v>
      </c>
      <c r="V760" s="151" t="s">
        <v>259</v>
      </c>
      <c r="W760" s="151" t="s">
        <v>3490</v>
      </c>
      <c r="X760" s="151" t="s">
        <v>207</v>
      </c>
      <c r="Y760" s="155" t="s">
        <v>276</v>
      </c>
      <c r="Z760" s="155" t="s">
        <v>276</v>
      </c>
      <c r="AA760" s="151" t="s">
        <v>276</v>
      </c>
      <c r="AB760" s="151" t="s">
        <v>276</v>
      </c>
      <c r="AC760" s="151" t="s">
        <v>276</v>
      </c>
      <c r="AD760" s="151" t="s">
        <v>3612</v>
      </c>
      <c r="AE760" s="151" t="s">
        <v>276</v>
      </c>
      <c r="AF760" s="151" t="s">
        <v>3612</v>
      </c>
      <c r="AG760" s="151" t="s">
        <v>3618</v>
      </c>
      <c r="AH760" s="151" t="s">
        <v>3619</v>
      </c>
      <c r="AI760" s="156">
        <v>245</v>
      </c>
      <c r="AJ760" s="156">
        <v>873</v>
      </c>
      <c r="AK760" s="155" t="s">
        <v>276</v>
      </c>
      <c r="AL760" s="151" t="s">
        <v>276</v>
      </c>
      <c r="AM760" s="156" t="s">
        <v>1019</v>
      </c>
      <c r="AN760" s="150">
        <v>54</v>
      </c>
      <c r="AO760" s="158" t="s">
        <v>98</v>
      </c>
      <c r="AP760" s="150">
        <v>48</v>
      </c>
      <c r="AQ760" s="150">
        <v>61</v>
      </c>
      <c r="AR760" s="150">
        <v>97</v>
      </c>
      <c r="AS760" s="159" t="s">
        <v>98</v>
      </c>
      <c r="AT760" s="150">
        <v>91</v>
      </c>
      <c r="AU760" s="150">
        <v>104</v>
      </c>
      <c r="AV760" s="150" t="s">
        <v>270</v>
      </c>
      <c r="AW760" s="235">
        <v>0.56000000000000005</v>
      </c>
      <c r="AX760" s="235" t="s">
        <v>98</v>
      </c>
      <c r="AY760" s="151">
        <v>0.48</v>
      </c>
      <c r="AZ760" s="151">
        <v>0.64</v>
      </c>
      <c r="BA760" s="151" t="s">
        <v>276</v>
      </c>
      <c r="BB760" s="151" t="s">
        <v>282</v>
      </c>
      <c r="BC760" s="151" t="s">
        <v>98</v>
      </c>
      <c r="BD760" s="151" t="s">
        <v>98</v>
      </c>
      <c r="BE760" s="151" t="s">
        <v>98</v>
      </c>
      <c r="BF760" s="151" t="s">
        <v>3493</v>
      </c>
      <c r="BG760" s="151"/>
      <c r="BH760" s="9" t="s">
        <v>100</v>
      </c>
      <c r="BI760" s="9" t="s">
        <v>100</v>
      </c>
      <c r="BJ760" s="171"/>
      <c r="BN760" s="171"/>
      <c r="BO760" s="171"/>
    </row>
    <row r="761" spans="1:67" s="172" customFormat="1" ht="78" hidden="1" x14ac:dyDescent="0.35">
      <c r="A761" s="150">
        <v>97</v>
      </c>
      <c r="B761" s="150" t="s">
        <v>3478</v>
      </c>
      <c r="C761" s="150" t="s">
        <v>53</v>
      </c>
      <c r="D761" s="151" t="s">
        <v>3620</v>
      </c>
      <c r="E761" s="150" t="s">
        <v>36</v>
      </c>
      <c r="F761" s="151" t="s">
        <v>134</v>
      </c>
      <c r="G761" s="150" t="s">
        <v>225</v>
      </c>
      <c r="H761" s="150" t="s">
        <v>125</v>
      </c>
      <c r="I761" s="150" t="s">
        <v>114</v>
      </c>
      <c r="J761" s="151" t="s">
        <v>32</v>
      </c>
      <c r="K761" s="150" t="s">
        <v>3610</v>
      </c>
      <c r="L761" s="150" t="s">
        <v>276</v>
      </c>
      <c r="M761" s="150" t="s">
        <v>276</v>
      </c>
      <c r="N761" s="151" t="s">
        <v>3602</v>
      </c>
      <c r="O761" s="151" t="s">
        <v>3481</v>
      </c>
      <c r="P761" s="151" t="s">
        <v>239</v>
      </c>
      <c r="Q761" s="154">
        <v>42004</v>
      </c>
      <c r="R761" s="151" t="s">
        <v>276</v>
      </c>
      <c r="S761" s="151" t="s">
        <v>276</v>
      </c>
      <c r="T761" s="151" t="s">
        <v>276</v>
      </c>
      <c r="U761" s="151">
        <v>1</v>
      </c>
      <c r="V761" s="151" t="s">
        <v>259</v>
      </c>
      <c r="W761" s="151" t="s">
        <v>3621</v>
      </c>
      <c r="X761" s="151" t="s">
        <v>207</v>
      </c>
      <c r="Y761" s="155" t="s">
        <v>276</v>
      </c>
      <c r="Z761" s="155" t="s">
        <v>276</v>
      </c>
      <c r="AA761" s="151" t="s">
        <v>276</v>
      </c>
      <c r="AB761" s="151" t="s">
        <v>276</v>
      </c>
      <c r="AC761" s="151" t="s">
        <v>276</v>
      </c>
      <c r="AD761" s="151" t="s">
        <v>3612</v>
      </c>
      <c r="AE761" s="151" t="s">
        <v>276</v>
      </c>
      <c r="AF761" s="151" t="s">
        <v>3612</v>
      </c>
      <c r="AG761" s="151" t="s">
        <v>3622</v>
      </c>
      <c r="AH761" s="151" t="s">
        <v>3623</v>
      </c>
      <c r="AI761" s="156">
        <v>341</v>
      </c>
      <c r="AJ761" s="156">
        <v>1096</v>
      </c>
      <c r="AK761" s="155" t="s">
        <v>276</v>
      </c>
      <c r="AL761" s="151" t="s">
        <v>276</v>
      </c>
      <c r="AM761" s="156" t="s">
        <v>1019</v>
      </c>
      <c r="AN761" s="150">
        <v>79</v>
      </c>
      <c r="AO761" s="158" t="s">
        <v>98</v>
      </c>
      <c r="AP761" s="150">
        <v>71</v>
      </c>
      <c r="AQ761" s="150">
        <v>88</v>
      </c>
      <c r="AR761" s="150">
        <v>130</v>
      </c>
      <c r="AS761" s="159" t="s">
        <v>98</v>
      </c>
      <c r="AT761" s="150">
        <v>122</v>
      </c>
      <c r="AU761" s="150">
        <v>138</v>
      </c>
      <c r="AV761" s="150" t="s">
        <v>270</v>
      </c>
      <c r="AW761" s="235">
        <v>0.61</v>
      </c>
      <c r="AX761" s="235" t="s">
        <v>98</v>
      </c>
      <c r="AY761" s="151">
        <v>0.54</v>
      </c>
      <c r="AZ761" s="151">
        <v>0.69</v>
      </c>
      <c r="BA761" s="151" t="s">
        <v>276</v>
      </c>
      <c r="BB761" s="151" t="s">
        <v>282</v>
      </c>
      <c r="BC761" s="151" t="s">
        <v>98</v>
      </c>
      <c r="BD761" s="151" t="s">
        <v>98</v>
      </c>
      <c r="BE761" s="151" t="s">
        <v>98</v>
      </c>
      <c r="BF761" s="151" t="s">
        <v>3493</v>
      </c>
      <c r="BG761" s="151"/>
      <c r="BH761" s="9" t="s">
        <v>100</v>
      </c>
      <c r="BI761" s="9" t="s">
        <v>100</v>
      </c>
      <c r="BJ761" s="171"/>
      <c r="BN761" s="171"/>
      <c r="BO761" s="171"/>
    </row>
    <row r="762" spans="1:67" s="239" customFormat="1" ht="65" hidden="1" x14ac:dyDescent="0.35">
      <c r="A762" s="209">
        <v>97</v>
      </c>
      <c r="B762" s="209" t="s">
        <v>3478</v>
      </c>
      <c r="C762" s="209" t="s">
        <v>53</v>
      </c>
      <c r="D762" s="210" t="s">
        <v>3624</v>
      </c>
      <c r="E762" s="209" t="s">
        <v>36</v>
      </c>
      <c r="F762" s="210" t="s">
        <v>134</v>
      </c>
      <c r="G762" s="209" t="s">
        <v>225</v>
      </c>
      <c r="H762" s="209" t="s">
        <v>125</v>
      </c>
      <c r="I762" s="209" t="s">
        <v>114</v>
      </c>
      <c r="J762" s="210" t="s">
        <v>32</v>
      </c>
      <c r="K762" s="209" t="s">
        <v>3610</v>
      </c>
      <c r="L762" s="209" t="s">
        <v>276</v>
      </c>
      <c r="M762" s="209" t="s">
        <v>276</v>
      </c>
      <c r="N762" s="210" t="s">
        <v>3602</v>
      </c>
      <c r="O762" s="210" t="s">
        <v>3481</v>
      </c>
      <c r="P762" s="210" t="s">
        <v>239</v>
      </c>
      <c r="Q762" s="236">
        <v>42004</v>
      </c>
      <c r="R762" s="210" t="s">
        <v>276</v>
      </c>
      <c r="S762" s="210" t="s">
        <v>276</v>
      </c>
      <c r="T762" s="210" t="s">
        <v>276</v>
      </c>
      <c r="U762" s="210">
        <v>1</v>
      </c>
      <c r="V762" s="210" t="s">
        <v>260</v>
      </c>
      <c r="W762" s="210" t="s">
        <v>3625</v>
      </c>
      <c r="X762" s="210" t="s">
        <v>207</v>
      </c>
      <c r="Y762" s="214" t="s">
        <v>276</v>
      </c>
      <c r="Z762" s="214" t="s">
        <v>276</v>
      </c>
      <c r="AA762" s="210" t="s">
        <v>276</v>
      </c>
      <c r="AB762" s="210" t="s">
        <v>276</v>
      </c>
      <c r="AC762" s="210" t="s">
        <v>276</v>
      </c>
      <c r="AD762" s="210" t="s">
        <v>3612</v>
      </c>
      <c r="AE762" s="210" t="s">
        <v>276</v>
      </c>
      <c r="AF762" s="210" t="s">
        <v>3612</v>
      </c>
      <c r="AG762" s="210" t="s">
        <v>3626</v>
      </c>
      <c r="AH762" s="210" t="s">
        <v>3627</v>
      </c>
      <c r="AI762" s="215">
        <v>382</v>
      </c>
      <c r="AJ762" s="215">
        <v>1299</v>
      </c>
      <c r="AK762" s="214" t="s">
        <v>276</v>
      </c>
      <c r="AL762" s="210" t="s">
        <v>276</v>
      </c>
      <c r="AM762" s="215" t="s">
        <v>1019</v>
      </c>
      <c r="AN762" s="209">
        <v>90</v>
      </c>
      <c r="AO762" s="217" t="s">
        <v>98</v>
      </c>
      <c r="AP762" s="209">
        <v>82</v>
      </c>
      <c r="AQ762" s="209">
        <v>100</v>
      </c>
      <c r="AR762" s="209">
        <v>156</v>
      </c>
      <c r="AS762" s="218" t="s">
        <v>98</v>
      </c>
      <c r="AT762" s="209">
        <v>148</v>
      </c>
      <c r="AU762" s="209">
        <v>165</v>
      </c>
      <c r="AV762" s="209" t="s">
        <v>270</v>
      </c>
      <c r="AW762" s="237">
        <v>0.57999999999999996</v>
      </c>
      <c r="AX762" s="237" t="s">
        <v>98</v>
      </c>
      <c r="AY762" s="210">
        <v>0.52</v>
      </c>
      <c r="AZ762" s="210">
        <v>0.65</v>
      </c>
      <c r="BA762" s="210" t="s">
        <v>276</v>
      </c>
      <c r="BB762" s="210" t="s">
        <v>282</v>
      </c>
      <c r="BC762" s="210" t="s">
        <v>98</v>
      </c>
      <c r="BD762" s="210" t="s">
        <v>98</v>
      </c>
      <c r="BE762" s="210" t="s">
        <v>98</v>
      </c>
      <c r="BF762" s="210" t="s">
        <v>3501</v>
      </c>
      <c r="BG762" s="210"/>
      <c r="BH762" s="9" t="s">
        <v>100</v>
      </c>
      <c r="BI762" s="9" t="s">
        <v>100</v>
      </c>
      <c r="BJ762" s="238"/>
      <c r="BN762" s="238"/>
      <c r="BO762" s="238"/>
    </row>
    <row r="763" spans="1:67" s="239" customFormat="1" ht="65" hidden="1" x14ac:dyDescent="0.35">
      <c r="A763" s="209">
        <v>97</v>
      </c>
      <c r="B763" s="209" t="s">
        <v>3478</v>
      </c>
      <c r="C763" s="209" t="s">
        <v>53</v>
      </c>
      <c r="D763" s="210" t="s">
        <v>3628</v>
      </c>
      <c r="E763" s="209" t="s">
        <v>36</v>
      </c>
      <c r="F763" s="210" t="s">
        <v>134</v>
      </c>
      <c r="G763" s="209" t="s">
        <v>225</v>
      </c>
      <c r="H763" s="209" t="s">
        <v>125</v>
      </c>
      <c r="I763" s="209" t="s">
        <v>114</v>
      </c>
      <c r="J763" s="210" t="s">
        <v>32</v>
      </c>
      <c r="K763" s="209" t="s">
        <v>3610</v>
      </c>
      <c r="L763" s="209" t="s">
        <v>276</v>
      </c>
      <c r="M763" s="209" t="s">
        <v>276</v>
      </c>
      <c r="N763" s="210" t="s">
        <v>3602</v>
      </c>
      <c r="O763" s="210" t="s">
        <v>3481</v>
      </c>
      <c r="P763" s="210" t="s">
        <v>239</v>
      </c>
      <c r="Q763" s="236">
        <v>42004</v>
      </c>
      <c r="R763" s="210" t="s">
        <v>276</v>
      </c>
      <c r="S763" s="210" t="s">
        <v>276</v>
      </c>
      <c r="T763" s="210" t="s">
        <v>276</v>
      </c>
      <c r="U763" s="210">
        <v>1</v>
      </c>
      <c r="V763" s="210" t="s">
        <v>260</v>
      </c>
      <c r="W763" s="210" t="s">
        <v>3629</v>
      </c>
      <c r="X763" s="210" t="s">
        <v>207</v>
      </c>
      <c r="Y763" s="214" t="s">
        <v>276</v>
      </c>
      <c r="Z763" s="214" t="s">
        <v>276</v>
      </c>
      <c r="AA763" s="210" t="s">
        <v>276</v>
      </c>
      <c r="AB763" s="210" t="s">
        <v>276</v>
      </c>
      <c r="AC763" s="210" t="s">
        <v>276</v>
      </c>
      <c r="AD763" s="210" t="s">
        <v>3612</v>
      </c>
      <c r="AE763" s="210" t="s">
        <v>276</v>
      </c>
      <c r="AF763" s="210" t="s">
        <v>3612</v>
      </c>
      <c r="AG763" s="210" t="s">
        <v>3630</v>
      </c>
      <c r="AH763" s="210" t="s">
        <v>3631</v>
      </c>
      <c r="AI763" s="215">
        <v>204</v>
      </c>
      <c r="AJ763" s="215">
        <v>670</v>
      </c>
      <c r="AK763" s="214" t="s">
        <v>276</v>
      </c>
      <c r="AL763" s="210" t="s">
        <v>276</v>
      </c>
      <c r="AM763" s="215" t="s">
        <v>1019</v>
      </c>
      <c r="AN763" s="209">
        <v>44</v>
      </c>
      <c r="AO763" s="217" t="s">
        <v>98</v>
      </c>
      <c r="AP763" s="209">
        <v>38</v>
      </c>
      <c r="AQ763" s="209">
        <v>50</v>
      </c>
      <c r="AR763" s="209">
        <v>73</v>
      </c>
      <c r="AS763" s="218" t="s">
        <v>98</v>
      </c>
      <c r="AT763" s="209">
        <v>68</v>
      </c>
      <c r="AU763" s="209">
        <v>79</v>
      </c>
      <c r="AV763" s="209" t="s">
        <v>270</v>
      </c>
      <c r="AW763" s="237">
        <v>0.6</v>
      </c>
      <c r="AX763" s="237" t="s">
        <v>98</v>
      </c>
      <c r="AY763" s="210">
        <v>0.51</v>
      </c>
      <c r="AZ763" s="210">
        <v>0.7</v>
      </c>
      <c r="BA763" s="210" t="s">
        <v>276</v>
      </c>
      <c r="BB763" s="210" t="s">
        <v>282</v>
      </c>
      <c r="BC763" s="210" t="s">
        <v>98</v>
      </c>
      <c r="BD763" s="210" t="s">
        <v>98</v>
      </c>
      <c r="BE763" s="210" t="s">
        <v>98</v>
      </c>
      <c r="BF763" s="210" t="s">
        <v>3501</v>
      </c>
      <c r="BG763" s="210"/>
      <c r="BH763" s="9" t="s">
        <v>100</v>
      </c>
      <c r="BI763" s="9" t="s">
        <v>100</v>
      </c>
      <c r="BJ763" s="238"/>
      <c r="BN763" s="238"/>
      <c r="BO763" s="238"/>
    </row>
    <row r="764" spans="1:67" s="243" customFormat="1" ht="52" hidden="1" x14ac:dyDescent="0.35">
      <c r="A764" s="220">
        <v>97</v>
      </c>
      <c r="B764" s="220" t="s">
        <v>3478</v>
      </c>
      <c r="C764" s="220" t="s">
        <v>53</v>
      </c>
      <c r="D764" s="221" t="s">
        <v>3632</v>
      </c>
      <c r="E764" s="220" t="s">
        <v>36</v>
      </c>
      <c r="F764" s="221" t="s">
        <v>134</v>
      </c>
      <c r="G764" s="220" t="s">
        <v>225</v>
      </c>
      <c r="H764" s="220" t="s">
        <v>225</v>
      </c>
      <c r="I764" s="220" t="s">
        <v>98</v>
      </c>
      <c r="J764" s="221" t="s">
        <v>98</v>
      </c>
      <c r="K764" s="220" t="s">
        <v>98</v>
      </c>
      <c r="L764" s="220" t="s">
        <v>98</v>
      </c>
      <c r="M764" s="220" t="s">
        <v>98</v>
      </c>
      <c r="N764" s="221" t="s">
        <v>3602</v>
      </c>
      <c r="O764" s="221" t="s">
        <v>3481</v>
      </c>
      <c r="P764" s="221" t="s">
        <v>238</v>
      </c>
      <c r="Q764" s="240" t="s">
        <v>276</v>
      </c>
      <c r="R764" s="221" t="s">
        <v>276</v>
      </c>
      <c r="S764" s="221" t="s">
        <v>276</v>
      </c>
      <c r="T764" s="221" t="s">
        <v>276</v>
      </c>
      <c r="U764" s="221">
        <v>1</v>
      </c>
      <c r="V764" s="221" t="s">
        <v>261</v>
      </c>
      <c r="W764" s="220" t="s">
        <v>3482</v>
      </c>
      <c r="X764" s="221" t="s">
        <v>209</v>
      </c>
      <c r="Y764" s="225">
        <v>56379</v>
      </c>
      <c r="Z764" s="221" t="s">
        <v>98</v>
      </c>
      <c r="AA764" s="221" t="s">
        <v>276</v>
      </c>
      <c r="AB764" s="221" t="s">
        <v>98</v>
      </c>
      <c r="AC764" s="220" t="s">
        <v>98</v>
      </c>
      <c r="AD764" s="220" t="s">
        <v>98</v>
      </c>
      <c r="AE764" s="220" t="s">
        <v>98</v>
      </c>
      <c r="AF764" s="220" t="s">
        <v>98</v>
      </c>
      <c r="AG764" s="221" t="s">
        <v>3633</v>
      </c>
      <c r="AH764" s="221" t="s">
        <v>3509</v>
      </c>
      <c r="AI764" s="226">
        <v>9698</v>
      </c>
      <c r="AJ764" s="226" t="s">
        <v>98</v>
      </c>
      <c r="AK764" s="225">
        <v>56379</v>
      </c>
      <c r="AL764" s="226" t="s">
        <v>98</v>
      </c>
      <c r="AM764" s="226" t="s">
        <v>292</v>
      </c>
      <c r="AN764" s="220" t="s">
        <v>276</v>
      </c>
      <c r="AO764" s="228">
        <f t="shared" ref="AO764:AO777" si="231">AI764*100/AK764</f>
        <v>17.201440252576315</v>
      </c>
      <c r="AP764" s="220" t="s">
        <v>276</v>
      </c>
      <c r="AQ764" s="220" t="s">
        <v>276</v>
      </c>
      <c r="AR764" s="220" t="s">
        <v>98</v>
      </c>
      <c r="AS764" s="229" t="s">
        <v>98</v>
      </c>
      <c r="AT764" s="220" t="s">
        <v>98</v>
      </c>
      <c r="AU764" s="220" t="s">
        <v>98</v>
      </c>
      <c r="AV764" s="220" t="s">
        <v>98</v>
      </c>
      <c r="AW764" s="241" t="s">
        <v>98</v>
      </c>
      <c r="AX764" s="241" t="s">
        <v>98</v>
      </c>
      <c r="AY764" s="221" t="s">
        <v>98</v>
      </c>
      <c r="AZ764" s="221" t="s">
        <v>98</v>
      </c>
      <c r="BA764" s="221" t="s">
        <v>98</v>
      </c>
      <c r="BB764" s="221" t="s">
        <v>98</v>
      </c>
      <c r="BC764" s="221" t="s">
        <v>98</v>
      </c>
      <c r="BD764" s="221" t="s">
        <v>98</v>
      </c>
      <c r="BE764" s="221" t="s">
        <v>98</v>
      </c>
      <c r="BF764" s="221" t="s">
        <v>3634</v>
      </c>
      <c r="BG764" s="221" t="s">
        <v>3604</v>
      </c>
      <c r="BH764" s="9" t="s">
        <v>100</v>
      </c>
      <c r="BI764" s="9" t="s">
        <v>100</v>
      </c>
      <c r="BJ764" s="242"/>
      <c r="BN764" s="242"/>
      <c r="BO764" s="242"/>
    </row>
    <row r="765" spans="1:67" s="243" customFormat="1" ht="65" hidden="1" x14ac:dyDescent="0.35">
      <c r="A765" s="220">
        <v>97</v>
      </c>
      <c r="B765" s="220" t="s">
        <v>3478</v>
      </c>
      <c r="C765" s="220" t="s">
        <v>53</v>
      </c>
      <c r="D765" s="221" t="s">
        <v>3635</v>
      </c>
      <c r="E765" s="220" t="s">
        <v>36</v>
      </c>
      <c r="F765" s="221" t="s">
        <v>134</v>
      </c>
      <c r="G765" s="220" t="s">
        <v>225</v>
      </c>
      <c r="H765" s="220" t="s">
        <v>225</v>
      </c>
      <c r="I765" s="220" t="s">
        <v>98</v>
      </c>
      <c r="J765" s="221" t="s">
        <v>98</v>
      </c>
      <c r="K765" s="220" t="s">
        <v>98</v>
      </c>
      <c r="L765" s="220" t="s">
        <v>98</v>
      </c>
      <c r="M765" s="220" t="s">
        <v>98</v>
      </c>
      <c r="N765" s="221" t="s">
        <v>3602</v>
      </c>
      <c r="O765" s="221" t="s">
        <v>3481</v>
      </c>
      <c r="P765" s="221" t="s">
        <v>238</v>
      </c>
      <c r="Q765" s="240" t="s">
        <v>276</v>
      </c>
      <c r="R765" s="221" t="s">
        <v>276</v>
      </c>
      <c r="S765" s="221" t="s">
        <v>276</v>
      </c>
      <c r="T765" s="221" t="s">
        <v>276</v>
      </c>
      <c r="U765" s="221">
        <v>1</v>
      </c>
      <c r="V765" s="221" t="s">
        <v>261</v>
      </c>
      <c r="W765" s="220" t="s">
        <v>3482</v>
      </c>
      <c r="X765" s="221" t="s">
        <v>209</v>
      </c>
      <c r="Y765" s="225">
        <v>56379</v>
      </c>
      <c r="Z765" s="221" t="s">
        <v>98</v>
      </c>
      <c r="AA765" s="221" t="s">
        <v>276</v>
      </c>
      <c r="AB765" s="221" t="s">
        <v>98</v>
      </c>
      <c r="AC765" s="220" t="s">
        <v>98</v>
      </c>
      <c r="AD765" s="220" t="s">
        <v>98</v>
      </c>
      <c r="AE765" s="220" t="s">
        <v>98</v>
      </c>
      <c r="AF765" s="220" t="s">
        <v>98</v>
      </c>
      <c r="AG765" s="221" t="s">
        <v>3636</v>
      </c>
      <c r="AH765" s="221" t="s">
        <v>3509</v>
      </c>
      <c r="AI765" s="226">
        <v>1122</v>
      </c>
      <c r="AJ765" s="226" t="s">
        <v>98</v>
      </c>
      <c r="AK765" s="225">
        <v>56379</v>
      </c>
      <c r="AL765" s="226" t="s">
        <v>98</v>
      </c>
      <c r="AM765" s="226" t="s">
        <v>292</v>
      </c>
      <c r="AN765" s="220" t="s">
        <v>276</v>
      </c>
      <c r="AO765" s="228">
        <f t="shared" si="231"/>
        <v>1.9901026978130154</v>
      </c>
      <c r="AP765" s="220" t="s">
        <v>276</v>
      </c>
      <c r="AQ765" s="220" t="s">
        <v>276</v>
      </c>
      <c r="AR765" s="220" t="s">
        <v>98</v>
      </c>
      <c r="AS765" s="229" t="s">
        <v>98</v>
      </c>
      <c r="AT765" s="220" t="s">
        <v>98</v>
      </c>
      <c r="AU765" s="220" t="s">
        <v>98</v>
      </c>
      <c r="AV765" s="220" t="s">
        <v>98</v>
      </c>
      <c r="AW765" s="241" t="s">
        <v>98</v>
      </c>
      <c r="AX765" s="241" t="s">
        <v>98</v>
      </c>
      <c r="AY765" s="221" t="s">
        <v>98</v>
      </c>
      <c r="AZ765" s="221" t="s">
        <v>98</v>
      </c>
      <c r="BA765" s="221" t="s">
        <v>98</v>
      </c>
      <c r="BB765" s="221" t="s">
        <v>98</v>
      </c>
      <c r="BC765" s="221" t="s">
        <v>98</v>
      </c>
      <c r="BD765" s="221" t="s">
        <v>98</v>
      </c>
      <c r="BE765" s="221" t="s">
        <v>98</v>
      </c>
      <c r="BF765" s="221" t="s">
        <v>3634</v>
      </c>
      <c r="BG765" s="221" t="s">
        <v>3604</v>
      </c>
      <c r="BH765" s="9" t="s">
        <v>100</v>
      </c>
      <c r="BI765" s="9" t="s">
        <v>100</v>
      </c>
      <c r="BJ765" s="242"/>
      <c r="BN765" s="242"/>
      <c r="BO765" s="242"/>
    </row>
    <row r="766" spans="1:67" s="137" customFormat="1" ht="65" hidden="1" x14ac:dyDescent="0.35">
      <c r="A766" s="126">
        <v>97</v>
      </c>
      <c r="B766" s="126" t="s">
        <v>3478</v>
      </c>
      <c r="C766" s="126" t="s">
        <v>53</v>
      </c>
      <c r="D766" s="127" t="s">
        <v>3637</v>
      </c>
      <c r="E766" s="126" t="s">
        <v>36</v>
      </c>
      <c r="F766" s="127" t="s">
        <v>134</v>
      </c>
      <c r="G766" s="126" t="s">
        <v>225</v>
      </c>
      <c r="H766" s="126" t="s">
        <v>225</v>
      </c>
      <c r="I766" s="126" t="s">
        <v>98</v>
      </c>
      <c r="J766" s="127" t="s">
        <v>98</v>
      </c>
      <c r="K766" s="126" t="s">
        <v>98</v>
      </c>
      <c r="L766" s="126" t="s">
        <v>98</v>
      </c>
      <c r="M766" s="126" t="s">
        <v>98</v>
      </c>
      <c r="N766" s="127" t="s">
        <v>3602</v>
      </c>
      <c r="O766" s="127" t="s">
        <v>3481</v>
      </c>
      <c r="P766" s="127" t="s">
        <v>238</v>
      </c>
      <c r="Q766" s="146" t="s">
        <v>276</v>
      </c>
      <c r="R766" s="127" t="s">
        <v>276</v>
      </c>
      <c r="S766" s="127" t="s">
        <v>276</v>
      </c>
      <c r="T766" s="127" t="s">
        <v>276</v>
      </c>
      <c r="U766" s="127">
        <v>1</v>
      </c>
      <c r="V766" s="127" t="s">
        <v>259</v>
      </c>
      <c r="W766" s="127" t="s">
        <v>3490</v>
      </c>
      <c r="X766" s="127" t="s">
        <v>209</v>
      </c>
      <c r="Y766" s="132">
        <v>28248</v>
      </c>
      <c r="Z766" s="127" t="s">
        <v>98</v>
      </c>
      <c r="AA766" s="127" t="s">
        <v>276</v>
      </c>
      <c r="AB766" s="127" t="s">
        <v>98</v>
      </c>
      <c r="AC766" s="126" t="s">
        <v>98</v>
      </c>
      <c r="AD766" s="126" t="s">
        <v>98</v>
      </c>
      <c r="AE766" s="126" t="s">
        <v>98</v>
      </c>
      <c r="AF766" s="126" t="s">
        <v>98</v>
      </c>
      <c r="AG766" s="127" t="s">
        <v>3638</v>
      </c>
      <c r="AH766" s="127" t="s">
        <v>3639</v>
      </c>
      <c r="AI766" s="134">
        <v>2163</v>
      </c>
      <c r="AJ766" s="134" t="s">
        <v>98</v>
      </c>
      <c r="AK766" s="132">
        <v>28248</v>
      </c>
      <c r="AL766" s="134" t="s">
        <v>98</v>
      </c>
      <c r="AM766" s="134" t="s">
        <v>292</v>
      </c>
      <c r="AN766" s="126" t="s">
        <v>276</v>
      </c>
      <c r="AO766" s="148">
        <f t="shared" si="231"/>
        <v>7.6571792693288021</v>
      </c>
      <c r="AP766" s="126" t="s">
        <v>276</v>
      </c>
      <c r="AQ766" s="126" t="s">
        <v>276</v>
      </c>
      <c r="AR766" s="126" t="s">
        <v>98</v>
      </c>
      <c r="AS766" s="135" t="s">
        <v>98</v>
      </c>
      <c r="AT766" s="126" t="s">
        <v>98</v>
      </c>
      <c r="AU766" s="126" t="s">
        <v>98</v>
      </c>
      <c r="AV766" s="126" t="s">
        <v>98</v>
      </c>
      <c r="AW766" s="234" t="s">
        <v>98</v>
      </c>
      <c r="AX766" s="234" t="s">
        <v>98</v>
      </c>
      <c r="AY766" s="127" t="s">
        <v>98</v>
      </c>
      <c r="AZ766" s="127" t="s">
        <v>98</v>
      </c>
      <c r="BA766" s="127" t="s">
        <v>98</v>
      </c>
      <c r="BB766" s="127" t="s">
        <v>98</v>
      </c>
      <c r="BC766" s="127" t="s">
        <v>98</v>
      </c>
      <c r="BD766" s="127" t="s">
        <v>98</v>
      </c>
      <c r="BE766" s="127" t="s">
        <v>98</v>
      </c>
      <c r="BF766" s="127" t="s">
        <v>3640</v>
      </c>
      <c r="BG766" s="127" t="s">
        <v>3604</v>
      </c>
      <c r="BH766" s="9" t="s">
        <v>100</v>
      </c>
      <c r="BI766" s="9" t="s">
        <v>100</v>
      </c>
      <c r="BJ766" s="136"/>
      <c r="BN766" s="136"/>
      <c r="BO766" s="136"/>
    </row>
    <row r="767" spans="1:67" s="137" customFormat="1" ht="65" hidden="1" x14ac:dyDescent="0.35">
      <c r="A767" s="126">
        <v>97</v>
      </c>
      <c r="B767" s="126" t="s">
        <v>3478</v>
      </c>
      <c r="C767" s="126" t="s">
        <v>53</v>
      </c>
      <c r="D767" s="127" t="s">
        <v>3641</v>
      </c>
      <c r="E767" s="126" t="s">
        <v>36</v>
      </c>
      <c r="F767" s="127" t="s">
        <v>134</v>
      </c>
      <c r="G767" s="126" t="s">
        <v>225</v>
      </c>
      <c r="H767" s="126" t="s">
        <v>225</v>
      </c>
      <c r="I767" s="126" t="s">
        <v>98</v>
      </c>
      <c r="J767" s="127" t="s">
        <v>98</v>
      </c>
      <c r="K767" s="126" t="s">
        <v>98</v>
      </c>
      <c r="L767" s="126" t="s">
        <v>98</v>
      </c>
      <c r="M767" s="126" t="s">
        <v>98</v>
      </c>
      <c r="N767" s="127" t="s">
        <v>3602</v>
      </c>
      <c r="O767" s="127" t="s">
        <v>3481</v>
      </c>
      <c r="P767" s="127" t="s">
        <v>238</v>
      </c>
      <c r="Q767" s="146" t="s">
        <v>276</v>
      </c>
      <c r="R767" s="127" t="s">
        <v>276</v>
      </c>
      <c r="S767" s="127" t="s">
        <v>276</v>
      </c>
      <c r="T767" s="127" t="s">
        <v>276</v>
      </c>
      <c r="U767" s="127">
        <v>1</v>
      </c>
      <c r="V767" s="127" t="s">
        <v>259</v>
      </c>
      <c r="W767" s="127" t="s">
        <v>3490</v>
      </c>
      <c r="X767" s="127" t="s">
        <v>209</v>
      </c>
      <c r="Y767" s="132">
        <v>28248</v>
      </c>
      <c r="Z767" s="127" t="s">
        <v>98</v>
      </c>
      <c r="AA767" s="127" t="s">
        <v>276</v>
      </c>
      <c r="AB767" s="127" t="s">
        <v>98</v>
      </c>
      <c r="AC767" s="126" t="s">
        <v>98</v>
      </c>
      <c r="AD767" s="126" t="s">
        <v>98</v>
      </c>
      <c r="AE767" s="126" t="s">
        <v>98</v>
      </c>
      <c r="AF767" s="126" t="s">
        <v>98</v>
      </c>
      <c r="AG767" s="127" t="s">
        <v>3642</v>
      </c>
      <c r="AH767" s="127" t="s">
        <v>3639</v>
      </c>
      <c r="AI767" s="134">
        <v>435</v>
      </c>
      <c r="AJ767" s="134" t="s">
        <v>98</v>
      </c>
      <c r="AK767" s="132">
        <v>28248</v>
      </c>
      <c r="AL767" s="134" t="s">
        <v>98</v>
      </c>
      <c r="AM767" s="134" t="s">
        <v>292</v>
      </c>
      <c r="AN767" s="126" t="s">
        <v>276</v>
      </c>
      <c r="AO767" s="148">
        <f t="shared" si="231"/>
        <v>1.5399320305862363</v>
      </c>
      <c r="AP767" s="126" t="s">
        <v>276</v>
      </c>
      <c r="AQ767" s="126" t="s">
        <v>276</v>
      </c>
      <c r="AR767" s="126" t="s">
        <v>98</v>
      </c>
      <c r="AS767" s="135" t="s">
        <v>98</v>
      </c>
      <c r="AT767" s="126" t="s">
        <v>98</v>
      </c>
      <c r="AU767" s="126" t="s">
        <v>98</v>
      </c>
      <c r="AV767" s="126" t="s">
        <v>98</v>
      </c>
      <c r="AW767" s="234" t="s">
        <v>98</v>
      </c>
      <c r="AX767" s="234" t="s">
        <v>98</v>
      </c>
      <c r="AY767" s="127" t="s">
        <v>98</v>
      </c>
      <c r="AZ767" s="127" t="s">
        <v>98</v>
      </c>
      <c r="BA767" s="127" t="s">
        <v>98</v>
      </c>
      <c r="BB767" s="127" t="s">
        <v>98</v>
      </c>
      <c r="BC767" s="127" t="s">
        <v>98</v>
      </c>
      <c r="BD767" s="127" t="s">
        <v>98</v>
      </c>
      <c r="BE767" s="127" t="s">
        <v>98</v>
      </c>
      <c r="BF767" s="127" t="s">
        <v>3640</v>
      </c>
      <c r="BG767" s="127" t="s">
        <v>3604</v>
      </c>
      <c r="BH767" s="9" t="s">
        <v>100</v>
      </c>
      <c r="BI767" s="9" t="s">
        <v>100</v>
      </c>
      <c r="BJ767" s="136"/>
      <c r="BN767" s="136"/>
      <c r="BO767" s="136"/>
    </row>
    <row r="768" spans="1:67" s="137" customFormat="1" ht="104" hidden="1" x14ac:dyDescent="0.35">
      <c r="A768" s="126">
        <v>97</v>
      </c>
      <c r="B768" s="126" t="s">
        <v>3478</v>
      </c>
      <c r="C768" s="126" t="s">
        <v>53</v>
      </c>
      <c r="D768" s="127" t="s">
        <v>3643</v>
      </c>
      <c r="E768" s="126" t="s">
        <v>36</v>
      </c>
      <c r="F768" s="127" t="s">
        <v>134</v>
      </c>
      <c r="G768" s="126" t="s">
        <v>225</v>
      </c>
      <c r="H768" s="126" t="s">
        <v>225</v>
      </c>
      <c r="I768" s="126" t="s">
        <v>98</v>
      </c>
      <c r="J768" s="127" t="s">
        <v>98</v>
      </c>
      <c r="K768" s="126" t="s">
        <v>98</v>
      </c>
      <c r="L768" s="126" t="s">
        <v>98</v>
      </c>
      <c r="M768" s="126" t="s">
        <v>98</v>
      </c>
      <c r="N768" s="127" t="s">
        <v>3602</v>
      </c>
      <c r="O768" s="127" t="s">
        <v>3481</v>
      </c>
      <c r="P768" s="127" t="s">
        <v>238</v>
      </c>
      <c r="Q768" s="146" t="s">
        <v>276</v>
      </c>
      <c r="R768" s="127" t="s">
        <v>276</v>
      </c>
      <c r="S768" s="127" t="s">
        <v>276</v>
      </c>
      <c r="T768" s="127" t="s">
        <v>276</v>
      </c>
      <c r="U768" s="127">
        <v>1</v>
      </c>
      <c r="V768" s="127" t="s">
        <v>259</v>
      </c>
      <c r="W768" s="127" t="s">
        <v>3490</v>
      </c>
      <c r="X768" s="127" t="s">
        <v>209</v>
      </c>
      <c r="Y768" s="132">
        <v>28248</v>
      </c>
      <c r="Z768" s="127" t="s">
        <v>98</v>
      </c>
      <c r="AA768" s="127" t="s">
        <v>276</v>
      </c>
      <c r="AB768" s="127" t="s">
        <v>98</v>
      </c>
      <c r="AC768" s="126" t="s">
        <v>98</v>
      </c>
      <c r="AD768" s="126" t="s">
        <v>98</v>
      </c>
      <c r="AE768" s="126" t="s">
        <v>98</v>
      </c>
      <c r="AF768" s="126" t="s">
        <v>98</v>
      </c>
      <c r="AG768" s="127" t="s">
        <v>3644</v>
      </c>
      <c r="AH768" s="127" t="s">
        <v>3639</v>
      </c>
      <c r="AI768" s="134">
        <v>643</v>
      </c>
      <c r="AJ768" s="134" t="s">
        <v>98</v>
      </c>
      <c r="AK768" s="132">
        <v>28248</v>
      </c>
      <c r="AL768" s="134" t="s">
        <v>98</v>
      </c>
      <c r="AM768" s="134" t="s">
        <v>292</v>
      </c>
      <c r="AN768" s="126" t="s">
        <v>276</v>
      </c>
      <c r="AO768" s="148">
        <f t="shared" si="231"/>
        <v>2.2762673463608043</v>
      </c>
      <c r="AP768" s="126" t="s">
        <v>276</v>
      </c>
      <c r="AQ768" s="126" t="s">
        <v>276</v>
      </c>
      <c r="AR768" s="126" t="s">
        <v>98</v>
      </c>
      <c r="AS768" s="135" t="s">
        <v>98</v>
      </c>
      <c r="AT768" s="126" t="s">
        <v>98</v>
      </c>
      <c r="AU768" s="126" t="s">
        <v>98</v>
      </c>
      <c r="AV768" s="126" t="s">
        <v>98</v>
      </c>
      <c r="AW768" s="234" t="s">
        <v>98</v>
      </c>
      <c r="AX768" s="234" t="s">
        <v>98</v>
      </c>
      <c r="AY768" s="127" t="s">
        <v>98</v>
      </c>
      <c r="AZ768" s="127" t="s">
        <v>98</v>
      </c>
      <c r="BA768" s="127" t="s">
        <v>98</v>
      </c>
      <c r="BB768" s="127" t="s">
        <v>98</v>
      </c>
      <c r="BC768" s="127" t="s">
        <v>98</v>
      </c>
      <c r="BD768" s="127" t="s">
        <v>98</v>
      </c>
      <c r="BE768" s="127" t="s">
        <v>98</v>
      </c>
      <c r="BF768" s="127" t="s">
        <v>3640</v>
      </c>
      <c r="BG768" s="127" t="s">
        <v>3604</v>
      </c>
      <c r="BH768" s="9" t="s">
        <v>100</v>
      </c>
      <c r="BI768" s="9" t="s">
        <v>100</v>
      </c>
      <c r="BJ768" s="136"/>
      <c r="BN768" s="136"/>
      <c r="BO768" s="136"/>
    </row>
    <row r="769" spans="1:68" s="172" customFormat="1" ht="65" hidden="1" x14ac:dyDescent="0.35">
      <c r="A769" s="150">
        <v>97</v>
      </c>
      <c r="B769" s="150" t="s">
        <v>3478</v>
      </c>
      <c r="C769" s="150" t="s">
        <v>53</v>
      </c>
      <c r="D769" s="151" t="s">
        <v>3645</v>
      </c>
      <c r="E769" s="150" t="s">
        <v>36</v>
      </c>
      <c r="F769" s="151" t="s">
        <v>134</v>
      </c>
      <c r="G769" s="150" t="s">
        <v>225</v>
      </c>
      <c r="H769" s="150" t="s">
        <v>225</v>
      </c>
      <c r="I769" s="150" t="s">
        <v>98</v>
      </c>
      <c r="J769" s="151" t="s">
        <v>98</v>
      </c>
      <c r="K769" s="150" t="s">
        <v>98</v>
      </c>
      <c r="L769" s="150" t="s">
        <v>98</v>
      </c>
      <c r="M769" s="150" t="s">
        <v>98</v>
      </c>
      <c r="N769" s="151" t="s">
        <v>3602</v>
      </c>
      <c r="O769" s="151" t="s">
        <v>3481</v>
      </c>
      <c r="P769" s="151" t="s">
        <v>238</v>
      </c>
      <c r="Q769" s="154" t="s">
        <v>276</v>
      </c>
      <c r="R769" s="151" t="s">
        <v>276</v>
      </c>
      <c r="S769" s="151" t="s">
        <v>276</v>
      </c>
      <c r="T769" s="151" t="s">
        <v>276</v>
      </c>
      <c r="U769" s="151">
        <v>1</v>
      </c>
      <c r="V769" s="151" t="s">
        <v>259</v>
      </c>
      <c r="W769" s="151" t="s">
        <v>3621</v>
      </c>
      <c r="X769" s="151" t="s">
        <v>209</v>
      </c>
      <c r="Y769" s="155">
        <v>28131</v>
      </c>
      <c r="Z769" s="151" t="s">
        <v>98</v>
      </c>
      <c r="AA769" s="151" t="s">
        <v>276</v>
      </c>
      <c r="AB769" s="151" t="s">
        <v>98</v>
      </c>
      <c r="AC769" s="150" t="s">
        <v>98</v>
      </c>
      <c r="AD769" s="150" t="s">
        <v>98</v>
      </c>
      <c r="AE769" s="150" t="s">
        <v>98</v>
      </c>
      <c r="AF769" s="150" t="s">
        <v>98</v>
      </c>
      <c r="AG769" s="151" t="s">
        <v>3646</v>
      </c>
      <c r="AH769" s="151" t="s">
        <v>3647</v>
      </c>
      <c r="AI769" s="156">
        <v>2446</v>
      </c>
      <c r="AJ769" s="156" t="s">
        <v>98</v>
      </c>
      <c r="AK769" s="155">
        <v>28131</v>
      </c>
      <c r="AL769" s="156" t="s">
        <v>98</v>
      </c>
      <c r="AM769" s="156" t="s">
        <v>292</v>
      </c>
      <c r="AN769" s="150" t="s">
        <v>276</v>
      </c>
      <c r="AO769" s="158">
        <f t="shared" si="231"/>
        <v>8.6950339483132488</v>
      </c>
      <c r="AP769" s="150" t="s">
        <v>276</v>
      </c>
      <c r="AQ769" s="150" t="s">
        <v>276</v>
      </c>
      <c r="AR769" s="150" t="s">
        <v>98</v>
      </c>
      <c r="AS769" s="159" t="s">
        <v>98</v>
      </c>
      <c r="AT769" s="150" t="s">
        <v>98</v>
      </c>
      <c r="AU769" s="150" t="s">
        <v>98</v>
      </c>
      <c r="AV769" s="150" t="s">
        <v>98</v>
      </c>
      <c r="AW769" s="235" t="s">
        <v>98</v>
      </c>
      <c r="AX769" s="235" t="s">
        <v>98</v>
      </c>
      <c r="AY769" s="151" t="s">
        <v>98</v>
      </c>
      <c r="AZ769" s="151" t="s">
        <v>98</v>
      </c>
      <c r="BA769" s="151" t="s">
        <v>98</v>
      </c>
      <c r="BB769" s="151" t="s">
        <v>98</v>
      </c>
      <c r="BC769" s="151" t="s">
        <v>98</v>
      </c>
      <c r="BD769" s="151" t="s">
        <v>98</v>
      </c>
      <c r="BE769" s="151" t="s">
        <v>98</v>
      </c>
      <c r="BF769" s="151" t="s">
        <v>3640</v>
      </c>
      <c r="BG769" s="151" t="s">
        <v>3604</v>
      </c>
      <c r="BH769" s="9" t="s">
        <v>100</v>
      </c>
      <c r="BI769" s="9" t="s">
        <v>100</v>
      </c>
      <c r="BJ769" s="171"/>
      <c r="BN769" s="171"/>
      <c r="BO769" s="171"/>
    </row>
    <row r="770" spans="1:68" s="172" customFormat="1" ht="65" hidden="1" x14ac:dyDescent="0.35">
      <c r="A770" s="150">
        <v>97</v>
      </c>
      <c r="B770" s="150" t="s">
        <v>3478</v>
      </c>
      <c r="C770" s="150" t="s">
        <v>53</v>
      </c>
      <c r="D770" s="151" t="s">
        <v>3648</v>
      </c>
      <c r="E770" s="150" t="s">
        <v>36</v>
      </c>
      <c r="F770" s="151" t="s">
        <v>134</v>
      </c>
      <c r="G770" s="150" t="s">
        <v>225</v>
      </c>
      <c r="H770" s="150" t="s">
        <v>225</v>
      </c>
      <c r="I770" s="150" t="s">
        <v>98</v>
      </c>
      <c r="J770" s="151" t="s">
        <v>98</v>
      </c>
      <c r="K770" s="150" t="s">
        <v>98</v>
      </c>
      <c r="L770" s="150" t="s">
        <v>98</v>
      </c>
      <c r="M770" s="150" t="s">
        <v>98</v>
      </c>
      <c r="N770" s="151" t="s">
        <v>3602</v>
      </c>
      <c r="O770" s="151" t="s">
        <v>3481</v>
      </c>
      <c r="P770" s="151" t="s">
        <v>238</v>
      </c>
      <c r="Q770" s="154" t="s">
        <v>276</v>
      </c>
      <c r="R770" s="151" t="s">
        <v>276</v>
      </c>
      <c r="S770" s="151" t="s">
        <v>276</v>
      </c>
      <c r="T770" s="151" t="s">
        <v>276</v>
      </c>
      <c r="U770" s="151">
        <v>1</v>
      </c>
      <c r="V770" s="151" t="s">
        <v>259</v>
      </c>
      <c r="W770" s="151" t="s">
        <v>3621</v>
      </c>
      <c r="X770" s="151" t="s">
        <v>209</v>
      </c>
      <c r="Y770" s="155">
        <v>28131</v>
      </c>
      <c r="Z770" s="151" t="s">
        <v>98</v>
      </c>
      <c r="AA770" s="151" t="s">
        <v>276</v>
      </c>
      <c r="AB770" s="151" t="s">
        <v>98</v>
      </c>
      <c r="AC770" s="150" t="s">
        <v>98</v>
      </c>
      <c r="AD770" s="150" t="s">
        <v>98</v>
      </c>
      <c r="AE770" s="150" t="s">
        <v>98</v>
      </c>
      <c r="AF770" s="150" t="s">
        <v>98</v>
      </c>
      <c r="AG770" s="151" t="s">
        <v>3649</v>
      </c>
      <c r="AH770" s="151" t="s">
        <v>3647</v>
      </c>
      <c r="AI770" s="156">
        <v>570</v>
      </c>
      <c r="AJ770" s="156" t="s">
        <v>98</v>
      </c>
      <c r="AK770" s="155">
        <v>28131</v>
      </c>
      <c r="AL770" s="156" t="s">
        <v>98</v>
      </c>
      <c r="AM770" s="156" t="s">
        <v>292</v>
      </c>
      <c r="AN770" s="150" t="s">
        <v>276</v>
      </c>
      <c r="AO770" s="158">
        <f t="shared" si="231"/>
        <v>2.0262344033272903</v>
      </c>
      <c r="AP770" s="150" t="s">
        <v>276</v>
      </c>
      <c r="AQ770" s="150" t="s">
        <v>276</v>
      </c>
      <c r="AR770" s="150" t="s">
        <v>98</v>
      </c>
      <c r="AS770" s="159" t="s">
        <v>98</v>
      </c>
      <c r="AT770" s="150" t="s">
        <v>98</v>
      </c>
      <c r="AU770" s="150" t="s">
        <v>98</v>
      </c>
      <c r="AV770" s="150" t="s">
        <v>98</v>
      </c>
      <c r="AW770" s="235" t="s">
        <v>98</v>
      </c>
      <c r="AX770" s="235" t="s">
        <v>98</v>
      </c>
      <c r="AY770" s="151" t="s">
        <v>98</v>
      </c>
      <c r="AZ770" s="151" t="s">
        <v>98</v>
      </c>
      <c r="BA770" s="151" t="s">
        <v>98</v>
      </c>
      <c r="BB770" s="151" t="s">
        <v>98</v>
      </c>
      <c r="BC770" s="151" t="s">
        <v>98</v>
      </c>
      <c r="BD770" s="151" t="s">
        <v>98</v>
      </c>
      <c r="BE770" s="151" t="s">
        <v>98</v>
      </c>
      <c r="BF770" s="151" t="s">
        <v>3640</v>
      </c>
      <c r="BG770" s="151" t="s">
        <v>3604</v>
      </c>
      <c r="BH770" s="9" t="s">
        <v>100</v>
      </c>
      <c r="BI770" s="9" t="s">
        <v>100</v>
      </c>
      <c r="BJ770" s="171"/>
      <c r="BN770" s="171"/>
      <c r="BO770" s="171"/>
    </row>
    <row r="771" spans="1:68" s="172" customFormat="1" ht="104" hidden="1" x14ac:dyDescent="0.35">
      <c r="A771" s="150">
        <v>97</v>
      </c>
      <c r="B771" s="150" t="s">
        <v>3478</v>
      </c>
      <c r="C771" s="150" t="s">
        <v>53</v>
      </c>
      <c r="D771" s="151" t="s">
        <v>3650</v>
      </c>
      <c r="E771" s="150" t="s">
        <v>36</v>
      </c>
      <c r="F771" s="151" t="s">
        <v>134</v>
      </c>
      <c r="G771" s="150" t="s">
        <v>225</v>
      </c>
      <c r="H771" s="150" t="s">
        <v>225</v>
      </c>
      <c r="I771" s="150" t="s">
        <v>98</v>
      </c>
      <c r="J771" s="151" t="s">
        <v>98</v>
      </c>
      <c r="K771" s="150" t="s">
        <v>98</v>
      </c>
      <c r="L771" s="150" t="s">
        <v>98</v>
      </c>
      <c r="M771" s="150" t="s">
        <v>98</v>
      </c>
      <c r="N771" s="151" t="s">
        <v>3602</v>
      </c>
      <c r="O771" s="151" t="s">
        <v>3481</v>
      </c>
      <c r="P771" s="151" t="s">
        <v>238</v>
      </c>
      <c r="Q771" s="154" t="s">
        <v>276</v>
      </c>
      <c r="R771" s="151" t="s">
        <v>276</v>
      </c>
      <c r="S771" s="151" t="s">
        <v>276</v>
      </c>
      <c r="T771" s="151" t="s">
        <v>276</v>
      </c>
      <c r="U771" s="151">
        <v>1</v>
      </c>
      <c r="V771" s="151" t="s">
        <v>259</v>
      </c>
      <c r="W771" s="151" t="s">
        <v>3621</v>
      </c>
      <c r="X771" s="151" t="s">
        <v>209</v>
      </c>
      <c r="Y771" s="155">
        <v>28131</v>
      </c>
      <c r="Z771" s="151" t="s">
        <v>98</v>
      </c>
      <c r="AA771" s="151" t="s">
        <v>276</v>
      </c>
      <c r="AB771" s="151" t="s">
        <v>98</v>
      </c>
      <c r="AC771" s="150" t="s">
        <v>98</v>
      </c>
      <c r="AD771" s="150" t="s">
        <v>98</v>
      </c>
      <c r="AE771" s="150" t="s">
        <v>98</v>
      </c>
      <c r="AF771" s="150" t="s">
        <v>98</v>
      </c>
      <c r="AG771" s="151" t="s">
        <v>3651</v>
      </c>
      <c r="AH771" s="151" t="s">
        <v>3647</v>
      </c>
      <c r="AI771" s="156">
        <v>781</v>
      </c>
      <c r="AJ771" s="156" t="s">
        <v>98</v>
      </c>
      <c r="AK771" s="155">
        <v>28131</v>
      </c>
      <c r="AL771" s="156" t="s">
        <v>98</v>
      </c>
      <c r="AM771" s="156" t="s">
        <v>292</v>
      </c>
      <c r="AN771" s="150" t="s">
        <v>276</v>
      </c>
      <c r="AO771" s="158">
        <f t="shared" si="231"/>
        <v>2.7762966122782697</v>
      </c>
      <c r="AP771" s="150" t="s">
        <v>276</v>
      </c>
      <c r="AQ771" s="150" t="s">
        <v>276</v>
      </c>
      <c r="AR771" s="150" t="s">
        <v>98</v>
      </c>
      <c r="AS771" s="159" t="s">
        <v>98</v>
      </c>
      <c r="AT771" s="150" t="s">
        <v>98</v>
      </c>
      <c r="AU771" s="150" t="s">
        <v>98</v>
      </c>
      <c r="AV771" s="150" t="s">
        <v>98</v>
      </c>
      <c r="AW771" s="235" t="s">
        <v>98</v>
      </c>
      <c r="AX771" s="235" t="s">
        <v>98</v>
      </c>
      <c r="AY771" s="151" t="s">
        <v>98</v>
      </c>
      <c r="AZ771" s="151" t="s">
        <v>98</v>
      </c>
      <c r="BA771" s="151" t="s">
        <v>98</v>
      </c>
      <c r="BB771" s="151" t="s">
        <v>98</v>
      </c>
      <c r="BC771" s="151" t="s">
        <v>98</v>
      </c>
      <c r="BD771" s="151" t="s">
        <v>98</v>
      </c>
      <c r="BE771" s="151" t="s">
        <v>98</v>
      </c>
      <c r="BF771" s="151" t="s">
        <v>3640</v>
      </c>
      <c r="BG771" s="151" t="s">
        <v>3604</v>
      </c>
      <c r="BH771" s="9" t="s">
        <v>100</v>
      </c>
      <c r="BI771" s="9" t="s">
        <v>100</v>
      </c>
      <c r="BJ771" s="171"/>
      <c r="BN771" s="171"/>
      <c r="BO771" s="171"/>
    </row>
    <row r="772" spans="1:68" s="137" customFormat="1" ht="65" hidden="1" x14ac:dyDescent="0.35">
      <c r="A772" s="126">
        <v>97</v>
      </c>
      <c r="B772" s="126" t="s">
        <v>3478</v>
      </c>
      <c r="C772" s="126" t="s">
        <v>53</v>
      </c>
      <c r="D772" s="127" t="s">
        <v>3652</v>
      </c>
      <c r="E772" s="126" t="s">
        <v>36</v>
      </c>
      <c r="F772" s="127" t="s">
        <v>134</v>
      </c>
      <c r="G772" s="126" t="s">
        <v>225</v>
      </c>
      <c r="H772" s="126" t="s">
        <v>225</v>
      </c>
      <c r="I772" s="126" t="s">
        <v>98</v>
      </c>
      <c r="J772" s="127" t="s">
        <v>98</v>
      </c>
      <c r="K772" s="126" t="s">
        <v>98</v>
      </c>
      <c r="L772" s="126" t="s">
        <v>98</v>
      </c>
      <c r="M772" s="126" t="s">
        <v>98</v>
      </c>
      <c r="N772" s="127" t="s">
        <v>3602</v>
      </c>
      <c r="O772" s="127" t="s">
        <v>3481</v>
      </c>
      <c r="P772" s="127" t="s">
        <v>238</v>
      </c>
      <c r="Q772" s="146" t="s">
        <v>276</v>
      </c>
      <c r="R772" s="127" t="s">
        <v>276</v>
      </c>
      <c r="S772" s="127" t="s">
        <v>276</v>
      </c>
      <c r="T772" s="127" t="s">
        <v>276</v>
      </c>
      <c r="U772" s="127">
        <v>1</v>
      </c>
      <c r="V772" s="127" t="s">
        <v>260</v>
      </c>
      <c r="W772" s="127" t="s">
        <v>3498</v>
      </c>
      <c r="X772" s="127" t="s">
        <v>209</v>
      </c>
      <c r="Y772" s="132">
        <v>27665</v>
      </c>
      <c r="Z772" s="127" t="s">
        <v>98</v>
      </c>
      <c r="AA772" s="127" t="s">
        <v>276</v>
      </c>
      <c r="AB772" s="127" t="s">
        <v>98</v>
      </c>
      <c r="AC772" s="126" t="s">
        <v>98</v>
      </c>
      <c r="AD772" s="126" t="s">
        <v>98</v>
      </c>
      <c r="AE772" s="126" t="s">
        <v>98</v>
      </c>
      <c r="AF772" s="126" t="s">
        <v>98</v>
      </c>
      <c r="AG772" s="127" t="s">
        <v>3653</v>
      </c>
      <c r="AH772" s="127" t="s">
        <v>3654</v>
      </c>
      <c r="AI772" s="134">
        <v>3090</v>
      </c>
      <c r="AJ772" s="134" t="s">
        <v>98</v>
      </c>
      <c r="AK772" s="132">
        <v>27665</v>
      </c>
      <c r="AL772" s="134" t="s">
        <v>98</v>
      </c>
      <c r="AM772" s="134" t="s">
        <v>292</v>
      </c>
      <c r="AN772" s="126" t="s">
        <v>276</v>
      </c>
      <c r="AO772" s="148">
        <f t="shared" si="231"/>
        <v>11.169347551057292</v>
      </c>
      <c r="AP772" s="126" t="s">
        <v>276</v>
      </c>
      <c r="AQ772" s="126" t="s">
        <v>276</v>
      </c>
      <c r="AR772" s="126" t="s">
        <v>98</v>
      </c>
      <c r="AS772" s="135" t="s">
        <v>98</v>
      </c>
      <c r="AT772" s="126" t="s">
        <v>98</v>
      </c>
      <c r="AU772" s="126" t="s">
        <v>98</v>
      </c>
      <c r="AV772" s="126" t="s">
        <v>98</v>
      </c>
      <c r="AW772" s="234" t="s">
        <v>98</v>
      </c>
      <c r="AX772" s="234" t="s">
        <v>98</v>
      </c>
      <c r="AY772" s="127" t="s">
        <v>98</v>
      </c>
      <c r="AZ772" s="127" t="s">
        <v>98</v>
      </c>
      <c r="BA772" s="127" t="s">
        <v>98</v>
      </c>
      <c r="BB772" s="127" t="s">
        <v>98</v>
      </c>
      <c r="BC772" s="127" t="s">
        <v>98</v>
      </c>
      <c r="BD772" s="127" t="s">
        <v>98</v>
      </c>
      <c r="BE772" s="127" t="s">
        <v>98</v>
      </c>
      <c r="BF772" s="127" t="s">
        <v>3655</v>
      </c>
      <c r="BG772" s="127" t="s">
        <v>3604</v>
      </c>
      <c r="BH772" s="9" t="s">
        <v>100</v>
      </c>
      <c r="BI772" s="9" t="s">
        <v>100</v>
      </c>
      <c r="BJ772" s="136"/>
      <c r="BN772" s="136"/>
      <c r="BO772" s="136"/>
    </row>
    <row r="773" spans="1:68" s="137" customFormat="1" ht="65" hidden="1" x14ac:dyDescent="0.35">
      <c r="A773" s="126">
        <v>97</v>
      </c>
      <c r="B773" s="126" t="s">
        <v>3478</v>
      </c>
      <c r="C773" s="126" t="s">
        <v>53</v>
      </c>
      <c r="D773" s="127" t="s">
        <v>3656</v>
      </c>
      <c r="E773" s="126" t="s">
        <v>36</v>
      </c>
      <c r="F773" s="127" t="s">
        <v>134</v>
      </c>
      <c r="G773" s="126" t="s">
        <v>225</v>
      </c>
      <c r="H773" s="126" t="s">
        <v>225</v>
      </c>
      <c r="I773" s="126" t="s">
        <v>98</v>
      </c>
      <c r="J773" s="127" t="s">
        <v>98</v>
      </c>
      <c r="K773" s="126" t="s">
        <v>98</v>
      </c>
      <c r="L773" s="126" t="s">
        <v>98</v>
      </c>
      <c r="M773" s="126" t="s">
        <v>98</v>
      </c>
      <c r="N773" s="127" t="s">
        <v>3602</v>
      </c>
      <c r="O773" s="127" t="s">
        <v>3481</v>
      </c>
      <c r="P773" s="127" t="s">
        <v>238</v>
      </c>
      <c r="Q773" s="146" t="s">
        <v>276</v>
      </c>
      <c r="R773" s="127" t="s">
        <v>276</v>
      </c>
      <c r="S773" s="127" t="s">
        <v>276</v>
      </c>
      <c r="T773" s="127" t="s">
        <v>276</v>
      </c>
      <c r="U773" s="127">
        <v>1</v>
      </c>
      <c r="V773" s="127" t="s">
        <v>260</v>
      </c>
      <c r="W773" s="127" t="s">
        <v>3498</v>
      </c>
      <c r="X773" s="127" t="s">
        <v>209</v>
      </c>
      <c r="Y773" s="132">
        <v>27665</v>
      </c>
      <c r="Z773" s="127" t="s">
        <v>98</v>
      </c>
      <c r="AA773" s="127" t="s">
        <v>276</v>
      </c>
      <c r="AB773" s="127" t="s">
        <v>98</v>
      </c>
      <c r="AC773" s="126" t="s">
        <v>98</v>
      </c>
      <c r="AD773" s="126" t="s">
        <v>98</v>
      </c>
      <c r="AE773" s="126" t="s">
        <v>98</v>
      </c>
      <c r="AF773" s="126" t="s">
        <v>98</v>
      </c>
      <c r="AG773" s="127" t="s">
        <v>3657</v>
      </c>
      <c r="AH773" s="127" t="s">
        <v>3654</v>
      </c>
      <c r="AI773" s="134">
        <v>715</v>
      </c>
      <c r="AJ773" s="134" t="s">
        <v>98</v>
      </c>
      <c r="AK773" s="132">
        <v>27665</v>
      </c>
      <c r="AL773" s="134" t="s">
        <v>98</v>
      </c>
      <c r="AM773" s="134" t="s">
        <v>292</v>
      </c>
      <c r="AN773" s="126" t="s">
        <v>276</v>
      </c>
      <c r="AO773" s="148">
        <f t="shared" si="231"/>
        <v>2.5844930417495031</v>
      </c>
      <c r="AP773" s="126" t="s">
        <v>276</v>
      </c>
      <c r="AQ773" s="126" t="s">
        <v>276</v>
      </c>
      <c r="AR773" s="126" t="s">
        <v>98</v>
      </c>
      <c r="AS773" s="135" t="s">
        <v>98</v>
      </c>
      <c r="AT773" s="126" t="s">
        <v>98</v>
      </c>
      <c r="AU773" s="126" t="s">
        <v>98</v>
      </c>
      <c r="AV773" s="126" t="s">
        <v>98</v>
      </c>
      <c r="AW773" s="234" t="s">
        <v>98</v>
      </c>
      <c r="AX773" s="234" t="s">
        <v>98</v>
      </c>
      <c r="AY773" s="127" t="s">
        <v>98</v>
      </c>
      <c r="AZ773" s="127" t="s">
        <v>98</v>
      </c>
      <c r="BA773" s="127" t="s">
        <v>98</v>
      </c>
      <c r="BB773" s="127" t="s">
        <v>98</v>
      </c>
      <c r="BC773" s="127" t="s">
        <v>98</v>
      </c>
      <c r="BD773" s="127" t="s">
        <v>98</v>
      </c>
      <c r="BE773" s="127" t="s">
        <v>98</v>
      </c>
      <c r="BF773" s="127" t="s">
        <v>3655</v>
      </c>
      <c r="BG773" s="127" t="s">
        <v>3604</v>
      </c>
      <c r="BH773" s="9" t="s">
        <v>100</v>
      </c>
      <c r="BI773" s="9" t="s">
        <v>100</v>
      </c>
      <c r="BJ773" s="136"/>
      <c r="BN773" s="136"/>
      <c r="BO773" s="136"/>
    </row>
    <row r="774" spans="1:68" s="137" customFormat="1" ht="91" hidden="1" x14ac:dyDescent="0.35">
      <c r="A774" s="126">
        <v>97</v>
      </c>
      <c r="B774" s="126" t="s">
        <v>3478</v>
      </c>
      <c r="C774" s="126" t="s">
        <v>53</v>
      </c>
      <c r="D774" s="127" t="s">
        <v>3658</v>
      </c>
      <c r="E774" s="126" t="s">
        <v>36</v>
      </c>
      <c r="F774" s="127" t="s">
        <v>134</v>
      </c>
      <c r="G774" s="126" t="s">
        <v>225</v>
      </c>
      <c r="H774" s="126" t="s">
        <v>225</v>
      </c>
      <c r="I774" s="126" t="s">
        <v>98</v>
      </c>
      <c r="J774" s="127" t="s">
        <v>98</v>
      </c>
      <c r="K774" s="126" t="s">
        <v>98</v>
      </c>
      <c r="L774" s="126" t="s">
        <v>98</v>
      </c>
      <c r="M774" s="126" t="s">
        <v>98</v>
      </c>
      <c r="N774" s="127" t="s">
        <v>3602</v>
      </c>
      <c r="O774" s="127" t="s">
        <v>3481</v>
      </c>
      <c r="P774" s="127" t="s">
        <v>238</v>
      </c>
      <c r="Q774" s="146" t="s">
        <v>276</v>
      </c>
      <c r="R774" s="127" t="s">
        <v>276</v>
      </c>
      <c r="S774" s="127" t="s">
        <v>276</v>
      </c>
      <c r="T774" s="127" t="s">
        <v>276</v>
      </c>
      <c r="U774" s="127">
        <v>1</v>
      </c>
      <c r="V774" s="127" t="s">
        <v>260</v>
      </c>
      <c r="W774" s="127" t="s">
        <v>3498</v>
      </c>
      <c r="X774" s="127" t="s">
        <v>209</v>
      </c>
      <c r="Y774" s="132">
        <v>27665</v>
      </c>
      <c r="Z774" s="127" t="s">
        <v>98</v>
      </c>
      <c r="AA774" s="127" t="s">
        <v>276</v>
      </c>
      <c r="AB774" s="127" t="s">
        <v>98</v>
      </c>
      <c r="AC774" s="126" t="s">
        <v>98</v>
      </c>
      <c r="AD774" s="126" t="s">
        <v>98</v>
      </c>
      <c r="AE774" s="126" t="s">
        <v>98</v>
      </c>
      <c r="AF774" s="126" t="s">
        <v>98</v>
      </c>
      <c r="AG774" s="127" t="s">
        <v>3659</v>
      </c>
      <c r="AH774" s="127" t="s">
        <v>3654</v>
      </c>
      <c r="AI774" s="134">
        <v>982</v>
      </c>
      <c r="AJ774" s="134" t="s">
        <v>98</v>
      </c>
      <c r="AK774" s="132">
        <v>27665</v>
      </c>
      <c r="AL774" s="134" t="s">
        <v>98</v>
      </c>
      <c r="AM774" s="134" t="s">
        <v>292</v>
      </c>
      <c r="AN774" s="126" t="s">
        <v>276</v>
      </c>
      <c r="AO774" s="148">
        <f t="shared" si="231"/>
        <v>3.5496114223748418</v>
      </c>
      <c r="AP774" s="126" t="s">
        <v>276</v>
      </c>
      <c r="AQ774" s="126" t="s">
        <v>276</v>
      </c>
      <c r="AR774" s="126" t="s">
        <v>98</v>
      </c>
      <c r="AS774" s="135" t="s">
        <v>98</v>
      </c>
      <c r="AT774" s="126" t="s">
        <v>98</v>
      </c>
      <c r="AU774" s="126" t="s">
        <v>98</v>
      </c>
      <c r="AV774" s="126" t="s">
        <v>98</v>
      </c>
      <c r="AW774" s="234" t="s">
        <v>98</v>
      </c>
      <c r="AX774" s="234" t="s">
        <v>98</v>
      </c>
      <c r="AY774" s="127" t="s">
        <v>98</v>
      </c>
      <c r="AZ774" s="127" t="s">
        <v>98</v>
      </c>
      <c r="BA774" s="127" t="s">
        <v>98</v>
      </c>
      <c r="BB774" s="127" t="s">
        <v>98</v>
      </c>
      <c r="BC774" s="127" t="s">
        <v>98</v>
      </c>
      <c r="BD774" s="127" t="s">
        <v>98</v>
      </c>
      <c r="BE774" s="127" t="s">
        <v>98</v>
      </c>
      <c r="BF774" s="127" t="s">
        <v>3655</v>
      </c>
      <c r="BG774" s="127" t="s">
        <v>3604</v>
      </c>
      <c r="BH774" s="9" t="s">
        <v>100</v>
      </c>
      <c r="BI774" s="9" t="s">
        <v>100</v>
      </c>
      <c r="BJ774" s="136"/>
      <c r="BN774" s="136"/>
      <c r="BO774" s="136"/>
    </row>
    <row r="775" spans="1:68" s="172" customFormat="1" ht="65" hidden="1" x14ac:dyDescent="0.35">
      <c r="A775" s="150">
        <v>97</v>
      </c>
      <c r="B775" s="150" t="s">
        <v>3478</v>
      </c>
      <c r="C775" s="150" t="s">
        <v>53</v>
      </c>
      <c r="D775" s="151" t="s">
        <v>3660</v>
      </c>
      <c r="E775" s="150" t="s">
        <v>36</v>
      </c>
      <c r="F775" s="151" t="s">
        <v>134</v>
      </c>
      <c r="G775" s="150" t="s">
        <v>225</v>
      </c>
      <c r="H775" s="150" t="s">
        <v>225</v>
      </c>
      <c r="I775" s="150" t="s">
        <v>98</v>
      </c>
      <c r="J775" s="151" t="s">
        <v>98</v>
      </c>
      <c r="K775" s="150" t="s">
        <v>98</v>
      </c>
      <c r="L775" s="150" t="s">
        <v>98</v>
      </c>
      <c r="M775" s="150" t="s">
        <v>98</v>
      </c>
      <c r="N775" s="151" t="s">
        <v>3602</v>
      </c>
      <c r="O775" s="151" t="s">
        <v>3481</v>
      </c>
      <c r="P775" s="151" t="s">
        <v>238</v>
      </c>
      <c r="Q775" s="154" t="s">
        <v>276</v>
      </c>
      <c r="R775" s="151" t="s">
        <v>276</v>
      </c>
      <c r="S775" s="151" t="s">
        <v>276</v>
      </c>
      <c r="T775" s="151" t="s">
        <v>276</v>
      </c>
      <c r="U775" s="151">
        <v>1</v>
      </c>
      <c r="V775" s="151" t="s">
        <v>260</v>
      </c>
      <c r="W775" s="151" t="s">
        <v>3503</v>
      </c>
      <c r="X775" s="151" t="s">
        <v>209</v>
      </c>
      <c r="Y775" s="155">
        <v>28714</v>
      </c>
      <c r="Z775" s="151" t="s">
        <v>98</v>
      </c>
      <c r="AA775" s="151" t="s">
        <v>276</v>
      </c>
      <c r="AB775" s="151" t="s">
        <v>98</v>
      </c>
      <c r="AC775" s="150" t="s">
        <v>98</v>
      </c>
      <c r="AD775" s="150" t="s">
        <v>98</v>
      </c>
      <c r="AE775" s="150" t="s">
        <v>98</v>
      </c>
      <c r="AF775" s="150" t="s">
        <v>98</v>
      </c>
      <c r="AG775" s="151" t="s">
        <v>3661</v>
      </c>
      <c r="AH775" s="151" t="s">
        <v>3662</v>
      </c>
      <c r="AI775" s="156">
        <v>1519</v>
      </c>
      <c r="AJ775" s="156" t="s">
        <v>98</v>
      </c>
      <c r="AK775" s="155">
        <v>28714</v>
      </c>
      <c r="AL775" s="156" t="s">
        <v>98</v>
      </c>
      <c r="AM775" s="156" t="s">
        <v>292</v>
      </c>
      <c r="AN775" s="150" t="s">
        <v>276</v>
      </c>
      <c r="AO775" s="158">
        <f t="shared" si="231"/>
        <v>5.2901023890784984</v>
      </c>
      <c r="AP775" s="150" t="s">
        <v>276</v>
      </c>
      <c r="AQ775" s="150" t="s">
        <v>276</v>
      </c>
      <c r="AR775" s="150" t="s">
        <v>98</v>
      </c>
      <c r="AS775" s="159" t="s">
        <v>98</v>
      </c>
      <c r="AT775" s="150" t="s">
        <v>98</v>
      </c>
      <c r="AU775" s="150" t="s">
        <v>98</v>
      </c>
      <c r="AV775" s="150" t="s">
        <v>98</v>
      </c>
      <c r="AW775" s="235" t="s">
        <v>98</v>
      </c>
      <c r="AX775" s="235" t="s">
        <v>98</v>
      </c>
      <c r="AY775" s="151" t="s">
        <v>98</v>
      </c>
      <c r="AZ775" s="151" t="s">
        <v>98</v>
      </c>
      <c r="BA775" s="151" t="s">
        <v>98</v>
      </c>
      <c r="BB775" s="151" t="s">
        <v>98</v>
      </c>
      <c r="BC775" s="151" t="s">
        <v>98</v>
      </c>
      <c r="BD775" s="151" t="s">
        <v>98</v>
      </c>
      <c r="BE775" s="151" t="s">
        <v>98</v>
      </c>
      <c r="BF775" s="151" t="s">
        <v>3655</v>
      </c>
      <c r="BG775" s="151" t="s">
        <v>3604</v>
      </c>
      <c r="BH775" s="9" t="s">
        <v>100</v>
      </c>
      <c r="BI775" s="9" t="s">
        <v>100</v>
      </c>
      <c r="BJ775" s="171"/>
      <c r="BN775" s="171"/>
      <c r="BO775" s="171"/>
    </row>
    <row r="776" spans="1:68" s="172" customFormat="1" ht="65" hidden="1" x14ac:dyDescent="0.35">
      <c r="A776" s="150">
        <v>97</v>
      </c>
      <c r="B776" s="150" t="s">
        <v>3478</v>
      </c>
      <c r="C776" s="150" t="s">
        <v>53</v>
      </c>
      <c r="D776" s="151" t="s">
        <v>3663</v>
      </c>
      <c r="E776" s="150" t="s">
        <v>36</v>
      </c>
      <c r="F776" s="151" t="s">
        <v>134</v>
      </c>
      <c r="G776" s="150" t="s">
        <v>225</v>
      </c>
      <c r="H776" s="150" t="s">
        <v>225</v>
      </c>
      <c r="I776" s="150" t="s">
        <v>98</v>
      </c>
      <c r="J776" s="151" t="s">
        <v>98</v>
      </c>
      <c r="K776" s="150" t="s">
        <v>98</v>
      </c>
      <c r="L776" s="150" t="s">
        <v>98</v>
      </c>
      <c r="M776" s="150" t="s">
        <v>98</v>
      </c>
      <c r="N776" s="151" t="s">
        <v>3602</v>
      </c>
      <c r="O776" s="151" t="s">
        <v>3481</v>
      </c>
      <c r="P776" s="151" t="s">
        <v>238</v>
      </c>
      <c r="Q776" s="154" t="s">
        <v>276</v>
      </c>
      <c r="R776" s="151" t="s">
        <v>276</v>
      </c>
      <c r="S776" s="151" t="s">
        <v>276</v>
      </c>
      <c r="T776" s="151" t="s">
        <v>276</v>
      </c>
      <c r="U776" s="151">
        <v>1</v>
      </c>
      <c r="V776" s="151" t="s">
        <v>260</v>
      </c>
      <c r="W776" s="151" t="s">
        <v>3503</v>
      </c>
      <c r="X776" s="151" t="s">
        <v>209</v>
      </c>
      <c r="Y776" s="155">
        <v>28714</v>
      </c>
      <c r="Z776" s="151" t="s">
        <v>98</v>
      </c>
      <c r="AA776" s="151" t="s">
        <v>276</v>
      </c>
      <c r="AB776" s="151" t="s">
        <v>98</v>
      </c>
      <c r="AC776" s="150" t="s">
        <v>98</v>
      </c>
      <c r="AD776" s="150" t="s">
        <v>98</v>
      </c>
      <c r="AE776" s="150" t="s">
        <v>98</v>
      </c>
      <c r="AF776" s="150" t="s">
        <v>98</v>
      </c>
      <c r="AG776" s="151" t="s">
        <v>3664</v>
      </c>
      <c r="AH776" s="151" t="s">
        <v>3662</v>
      </c>
      <c r="AI776" s="156">
        <v>290</v>
      </c>
      <c r="AJ776" s="156" t="s">
        <v>98</v>
      </c>
      <c r="AK776" s="155">
        <v>28714</v>
      </c>
      <c r="AL776" s="156" t="s">
        <v>98</v>
      </c>
      <c r="AM776" s="156" t="s">
        <v>292</v>
      </c>
      <c r="AN776" s="150" t="s">
        <v>276</v>
      </c>
      <c r="AO776" s="158">
        <f t="shared" si="231"/>
        <v>1.0099602981124189</v>
      </c>
      <c r="AP776" s="150" t="s">
        <v>276</v>
      </c>
      <c r="AQ776" s="150" t="s">
        <v>276</v>
      </c>
      <c r="AR776" s="150" t="s">
        <v>98</v>
      </c>
      <c r="AS776" s="159" t="s">
        <v>98</v>
      </c>
      <c r="AT776" s="150" t="s">
        <v>98</v>
      </c>
      <c r="AU776" s="150" t="s">
        <v>98</v>
      </c>
      <c r="AV776" s="150" t="s">
        <v>98</v>
      </c>
      <c r="AW776" s="235" t="s">
        <v>98</v>
      </c>
      <c r="AX776" s="235" t="s">
        <v>98</v>
      </c>
      <c r="AY776" s="151" t="s">
        <v>98</v>
      </c>
      <c r="AZ776" s="151" t="s">
        <v>98</v>
      </c>
      <c r="BA776" s="151" t="s">
        <v>98</v>
      </c>
      <c r="BB776" s="151" t="s">
        <v>98</v>
      </c>
      <c r="BC776" s="151" t="s">
        <v>98</v>
      </c>
      <c r="BD776" s="151" t="s">
        <v>98</v>
      </c>
      <c r="BE776" s="151" t="s">
        <v>98</v>
      </c>
      <c r="BF776" s="151" t="s">
        <v>3655</v>
      </c>
      <c r="BG776" s="151" t="s">
        <v>3604</v>
      </c>
      <c r="BH776" s="9" t="s">
        <v>100</v>
      </c>
      <c r="BI776" s="9" t="s">
        <v>100</v>
      </c>
      <c r="BJ776" s="171"/>
      <c r="BN776" s="171"/>
      <c r="BO776" s="171"/>
    </row>
    <row r="777" spans="1:68" s="172" customFormat="1" ht="91" hidden="1" x14ac:dyDescent="0.35">
      <c r="A777" s="150">
        <v>97</v>
      </c>
      <c r="B777" s="150" t="s">
        <v>3478</v>
      </c>
      <c r="C777" s="150" t="s">
        <v>53</v>
      </c>
      <c r="D777" s="151" t="s">
        <v>3665</v>
      </c>
      <c r="E777" s="150" t="s">
        <v>36</v>
      </c>
      <c r="F777" s="151" t="s">
        <v>134</v>
      </c>
      <c r="G777" s="150" t="s">
        <v>225</v>
      </c>
      <c r="H777" s="150" t="s">
        <v>225</v>
      </c>
      <c r="I777" s="150" t="s">
        <v>98</v>
      </c>
      <c r="J777" s="151" t="s">
        <v>98</v>
      </c>
      <c r="K777" s="150" t="s">
        <v>98</v>
      </c>
      <c r="L777" s="150" t="s">
        <v>98</v>
      </c>
      <c r="M777" s="150" t="s">
        <v>98</v>
      </c>
      <c r="N777" s="151" t="s">
        <v>3602</v>
      </c>
      <c r="O777" s="151" t="s">
        <v>3481</v>
      </c>
      <c r="P777" s="151" t="s">
        <v>238</v>
      </c>
      <c r="Q777" s="154" t="s">
        <v>276</v>
      </c>
      <c r="R777" s="151" t="s">
        <v>276</v>
      </c>
      <c r="S777" s="151" t="s">
        <v>276</v>
      </c>
      <c r="T777" s="151" t="s">
        <v>276</v>
      </c>
      <c r="U777" s="151">
        <v>1</v>
      </c>
      <c r="V777" s="151" t="s">
        <v>260</v>
      </c>
      <c r="W777" s="151" t="s">
        <v>3503</v>
      </c>
      <c r="X777" s="151" t="s">
        <v>209</v>
      </c>
      <c r="Y777" s="155">
        <v>28714</v>
      </c>
      <c r="Z777" s="151" t="s">
        <v>98</v>
      </c>
      <c r="AA777" s="151" t="s">
        <v>276</v>
      </c>
      <c r="AB777" s="151" t="s">
        <v>98</v>
      </c>
      <c r="AC777" s="150" t="s">
        <v>98</v>
      </c>
      <c r="AD777" s="150" t="s">
        <v>98</v>
      </c>
      <c r="AE777" s="150" t="s">
        <v>98</v>
      </c>
      <c r="AF777" s="150" t="s">
        <v>98</v>
      </c>
      <c r="AG777" s="151" t="s">
        <v>3666</v>
      </c>
      <c r="AH777" s="151" t="s">
        <v>3662</v>
      </c>
      <c r="AI777" s="156">
        <v>442</v>
      </c>
      <c r="AJ777" s="156" t="s">
        <v>98</v>
      </c>
      <c r="AK777" s="155">
        <v>28714</v>
      </c>
      <c r="AL777" s="156" t="s">
        <v>98</v>
      </c>
      <c r="AM777" s="156" t="s">
        <v>292</v>
      </c>
      <c r="AN777" s="150" t="s">
        <v>276</v>
      </c>
      <c r="AO777" s="158">
        <f t="shared" si="231"/>
        <v>1.5393187991920319</v>
      </c>
      <c r="AP777" s="150" t="s">
        <v>276</v>
      </c>
      <c r="AQ777" s="150" t="s">
        <v>276</v>
      </c>
      <c r="AR777" s="150" t="s">
        <v>98</v>
      </c>
      <c r="AS777" s="159" t="s">
        <v>98</v>
      </c>
      <c r="AT777" s="150" t="s">
        <v>98</v>
      </c>
      <c r="AU777" s="150" t="s">
        <v>98</v>
      </c>
      <c r="AV777" s="150" t="s">
        <v>98</v>
      </c>
      <c r="AW777" s="235" t="s">
        <v>98</v>
      </c>
      <c r="AX777" s="235" t="s">
        <v>98</v>
      </c>
      <c r="AY777" s="151" t="s">
        <v>98</v>
      </c>
      <c r="AZ777" s="151" t="s">
        <v>98</v>
      </c>
      <c r="BA777" s="151" t="s">
        <v>98</v>
      </c>
      <c r="BB777" s="151" t="s">
        <v>98</v>
      </c>
      <c r="BC777" s="151" t="s">
        <v>98</v>
      </c>
      <c r="BD777" s="151" t="s">
        <v>98</v>
      </c>
      <c r="BE777" s="151" t="s">
        <v>98</v>
      </c>
      <c r="BF777" s="151" t="s">
        <v>3655</v>
      </c>
      <c r="BG777" s="151" t="s">
        <v>3604</v>
      </c>
      <c r="BH777" s="9" t="s">
        <v>100</v>
      </c>
      <c r="BI777" s="9" t="s">
        <v>100</v>
      </c>
      <c r="BJ777" s="171"/>
      <c r="BN777" s="171"/>
      <c r="BO777" s="171"/>
    </row>
    <row r="778" spans="1:68" s="33" customFormat="1" ht="52" hidden="1" x14ac:dyDescent="0.35">
      <c r="A778" s="8">
        <v>11142</v>
      </c>
      <c r="B778" s="8" t="s">
        <v>3667</v>
      </c>
      <c r="C778" s="8" t="s">
        <v>94</v>
      </c>
      <c r="D778" s="9" t="s">
        <v>3680</v>
      </c>
      <c r="E778" s="9" t="s">
        <v>96</v>
      </c>
      <c r="F778" s="9" t="s">
        <v>3669</v>
      </c>
      <c r="G778" s="9" t="s">
        <v>2656</v>
      </c>
      <c r="H778" s="8" t="s">
        <v>225</v>
      </c>
      <c r="I778" s="8" t="s">
        <v>98</v>
      </c>
      <c r="J778" s="9" t="s">
        <v>98</v>
      </c>
      <c r="K778" s="8" t="s">
        <v>98</v>
      </c>
      <c r="L778" s="8" t="s">
        <v>98</v>
      </c>
      <c r="M778" s="8" t="s">
        <v>98</v>
      </c>
      <c r="N778" s="9" t="s">
        <v>3681</v>
      </c>
      <c r="O778" s="9" t="s">
        <v>282</v>
      </c>
      <c r="P778" s="9" t="s">
        <v>238</v>
      </c>
      <c r="Q778" s="52" t="s">
        <v>276</v>
      </c>
      <c r="R778" s="9" t="s">
        <v>3682</v>
      </c>
      <c r="S778" s="9" t="s">
        <v>276</v>
      </c>
      <c r="T778" s="9" t="s">
        <v>276</v>
      </c>
      <c r="U778" s="9">
        <v>1</v>
      </c>
      <c r="V778" s="8" t="s">
        <v>14</v>
      </c>
      <c r="W778" s="8" t="s">
        <v>98</v>
      </c>
      <c r="X778" s="9" t="s">
        <v>208</v>
      </c>
      <c r="Y778" s="13">
        <v>423</v>
      </c>
      <c r="Z778" s="9">
        <v>431</v>
      </c>
      <c r="AA778" s="9">
        <v>0</v>
      </c>
      <c r="AB778" s="9">
        <v>0</v>
      </c>
      <c r="AC778" s="8">
        <v>0</v>
      </c>
      <c r="AD778" s="8" t="s">
        <v>98</v>
      </c>
      <c r="AE778" s="8">
        <v>0</v>
      </c>
      <c r="AF778" s="8" t="s">
        <v>98</v>
      </c>
      <c r="AG778" s="9" t="s">
        <v>3683</v>
      </c>
      <c r="AH778" s="9" t="s">
        <v>3673</v>
      </c>
      <c r="AI778" s="38">
        <v>14</v>
      </c>
      <c r="AJ778" s="38">
        <v>10</v>
      </c>
      <c r="AK778" s="38">
        <v>423</v>
      </c>
      <c r="AL778" s="38">
        <v>431</v>
      </c>
      <c r="AM778" s="38" t="s">
        <v>292</v>
      </c>
      <c r="AN778" s="8" t="s">
        <v>276</v>
      </c>
      <c r="AO778" s="31">
        <f>AI778*100/AK778</f>
        <v>3.3096926713947989</v>
      </c>
      <c r="AP778" s="8" t="s">
        <v>276</v>
      </c>
      <c r="AQ778" s="8" t="s">
        <v>276</v>
      </c>
      <c r="AR778" s="8" t="s">
        <v>276</v>
      </c>
      <c r="AS778" s="14">
        <f>AJ778*100/AL778</f>
        <v>2.3201856148491879</v>
      </c>
      <c r="AT778" s="8" t="s">
        <v>276</v>
      </c>
      <c r="AU778" s="8" t="s">
        <v>276</v>
      </c>
      <c r="AV778" s="8" t="s">
        <v>268</v>
      </c>
      <c r="AW778" s="40" t="s">
        <v>276</v>
      </c>
      <c r="AX778" s="40">
        <f>AO778/AS778</f>
        <v>1.4264775413711583</v>
      </c>
      <c r="AY778" s="9" t="s">
        <v>276</v>
      </c>
      <c r="AZ778" s="9" t="s">
        <v>276</v>
      </c>
      <c r="BA778" s="9" t="s">
        <v>276</v>
      </c>
      <c r="BB778" s="9" t="s">
        <v>282</v>
      </c>
      <c r="BC778" s="9" t="s">
        <v>276</v>
      </c>
      <c r="BD778" s="9" t="s">
        <v>276</v>
      </c>
      <c r="BE778" s="9" t="s">
        <v>276</v>
      </c>
      <c r="BF778" s="9" t="s">
        <v>3684</v>
      </c>
      <c r="BG778" s="9"/>
      <c r="BH778" s="9" t="s">
        <v>100</v>
      </c>
      <c r="BI778" s="9" t="s">
        <v>100</v>
      </c>
      <c r="BJ778" s="32"/>
      <c r="BN778" s="32"/>
      <c r="BO778" s="32"/>
    </row>
    <row r="779" spans="1:68" s="33" customFormat="1" ht="52" x14ac:dyDescent="0.35">
      <c r="A779" s="8">
        <v>11142</v>
      </c>
      <c r="B779" s="8" t="s">
        <v>3667</v>
      </c>
      <c r="C779" s="8" t="s">
        <v>94</v>
      </c>
      <c r="D779" s="9" t="s">
        <v>3685</v>
      </c>
      <c r="E779" s="9" t="s">
        <v>96</v>
      </c>
      <c r="F779" s="9" t="s">
        <v>3669</v>
      </c>
      <c r="G779" s="9" t="s">
        <v>2656</v>
      </c>
      <c r="H779" s="8" t="s">
        <v>225</v>
      </c>
      <c r="I779" s="8" t="s">
        <v>98</v>
      </c>
      <c r="J779" s="9" t="s">
        <v>98</v>
      </c>
      <c r="K779" s="8" t="s">
        <v>98</v>
      </c>
      <c r="L779" s="8" t="s">
        <v>98</v>
      </c>
      <c r="M779" s="8" t="s">
        <v>98</v>
      </c>
      <c r="N779" s="9" t="s">
        <v>3686</v>
      </c>
      <c r="O779" s="9" t="s">
        <v>3687</v>
      </c>
      <c r="P779" s="9" t="s">
        <v>236</v>
      </c>
      <c r="Q779" s="52" t="s">
        <v>276</v>
      </c>
      <c r="R779" s="9" t="s">
        <v>705</v>
      </c>
      <c r="S779" s="9" t="s">
        <v>276</v>
      </c>
      <c r="T779" s="9" t="s">
        <v>276</v>
      </c>
      <c r="U779" s="9">
        <v>1</v>
      </c>
      <c r="V779" s="8" t="s">
        <v>14</v>
      </c>
      <c r="W779" s="8" t="s">
        <v>98</v>
      </c>
      <c r="X779" s="9" t="s">
        <v>208</v>
      </c>
      <c r="Y779" s="13" t="s">
        <v>98</v>
      </c>
      <c r="Z779" s="9" t="s">
        <v>98</v>
      </c>
      <c r="AA779" s="9">
        <v>15</v>
      </c>
      <c r="AB779" s="9">
        <v>17</v>
      </c>
      <c r="AC779" s="8">
        <v>0</v>
      </c>
      <c r="AD779" s="8" t="s">
        <v>98</v>
      </c>
      <c r="AE779" s="8">
        <v>0</v>
      </c>
      <c r="AF779" s="8" t="s">
        <v>98</v>
      </c>
      <c r="AG779" s="9" t="s">
        <v>3683</v>
      </c>
      <c r="AH779" s="9" t="s">
        <v>3673</v>
      </c>
      <c r="AI779" s="38">
        <v>14</v>
      </c>
      <c r="AJ779" s="38">
        <v>10</v>
      </c>
      <c r="AK779" s="38">
        <v>19</v>
      </c>
      <c r="AL779" s="38">
        <v>14</v>
      </c>
      <c r="AM779" s="38" t="s">
        <v>292</v>
      </c>
      <c r="AN779" s="8">
        <f>100-26</f>
        <v>74</v>
      </c>
      <c r="AO779" s="14">
        <f>AI779*100/AK779</f>
        <v>73.684210526315795</v>
      </c>
      <c r="AP779" s="8">
        <f>100-51</f>
        <v>49</v>
      </c>
      <c r="AQ779" s="8">
        <f>100-9</f>
        <v>91</v>
      </c>
      <c r="AR779" s="8">
        <f>100-29</f>
        <v>71</v>
      </c>
      <c r="AS779" s="14">
        <f>AJ779*100/AL779</f>
        <v>71.428571428571431</v>
      </c>
      <c r="AT779" s="8">
        <f>100-58</f>
        <v>42</v>
      </c>
      <c r="AU779" s="8">
        <f>100-8</f>
        <v>92</v>
      </c>
      <c r="AV779" s="8" t="s">
        <v>268</v>
      </c>
      <c r="AW779" s="40" t="s">
        <v>276</v>
      </c>
      <c r="AX779" s="40">
        <f>AO779/AS779</f>
        <v>1.0315789473684212</v>
      </c>
      <c r="AY779" s="9" t="s">
        <v>276</v>
      </c>
      <c r="AZ779" s="9" t="s">
        <v>276</v>
      </c>
      <c r="BA779" s="9" t="s">
        <v>276</v>
      </c>
      <c r="BB779" s="9" t="s">
        <v>282</v>
      </c>
      <c r="BC779" s="9" t="s">
        <v>276</v>
      </c>
      <c r="BD779" s="9" t="s">
        <v>276</v>
      </c>
      <c r="BE779" s="9" t="s">
        <v>276</v>
      </c>
      <c r="BF779" s="9" t="s">
        <v>3684</v>
      </c>
      <c r="BG779" s="9"/>
      <c r="BH779" s="9" t="s">
        <v>99</v>
      </c>
      <c r="BI779" s="9" t="s">
        <v>100</v>
      </c>
      <c r="BJ779" s="32"/>
      <c r="BN779" s="32"/>
      <c r="BO779" s="32"/>
    </row>
    <row r="780" spans="1:68" s="79" customFormat="1" ht="78" hidden="1" x14ac:dyDescent="0.35">
      <c r="A780" s="72">
        <v>11142</v>
      </c>
      <c r="B780" s="72" t="s">
        <v>3667</v>
      </c>
      <c r="C780" s="72" t="s">
        <v>94</v>
      </c>
      <c r="D780" s="73" t="s">
        <v>3688</v>
      </c>
      <c r="E780" s="73" t="s">
        <v>96</v>
      </c>
      <c r="F780" s="73" t="s">
        <v>3669</v>
      </c>
      <c r="G780" s="73" t="s">
        <v>2656</v>
      </c>
      <c r="H780" s="72" t="s">
        <v>225</v>
      </c>
      <c r="I780" s="72" t="s">
        <v>98</v>
      </c>
      <c r="J780" s="73" t="s">
        <v>26</v>
      </c>
      <c r="K780" s="72" t="s">
        <v>3689</v>
      </c>
      <c r="L780" s="72" t="s">
        <v>276</v>
      </c>
      <c r="M780" s="72" t="s">
        <v>3689</v>
      </c>
      <c r="N780" s="73" t="s">
        <v>3690</v>
      </c>
      <c r="O780" s="73" t="s">
        <v>3687</v>
      </c>
      <c r="P780" s="73" t="s">
        <v>239</v>
      </c>
      <c r="Q780" s="77" t="s">
        <v>276</v>
      </c>
      <c r="R780" s="73" t="s">
        <v>705</v>
      </c>
      <c r="S780" s="73" t="s">
        <v>276</v>
      </c>
      <c r="T780" s="73" t="s">
        <v>276</v>
      </c>
      <c r="U780" s="73">
        <v>1</v>
      </c>
      <c r="V780" s="72" t="s">
        <v>14</v>
      </c>
      <c r="W780" s="72" t="s">
        <v>98</v>
      </c>
      <c r="X780" s="73" t="s">
        <v>208</v>
      </c>
      <c r="Y780" s="74">
        <v>423</v>
      </c>
      <c r="Z780" s="73">
        <v>431</v>
      </c>
      <c r="AA780" s="73">
        <v>15</v>
      </c>
      <c r="AB780" s="73">
        <v>17</v>
      </c>
      <c r="AC780" s="72" t="s">
        <v>276</v>
      </c>
      <c r="AD780" s="72" t="s">
        <v>276</v>
      </c>
      <c r="AE780" s="72" t="s">
        <v>276</v>
      </c>
      <c r="AF780" s="72" t="s">
        <v>276</v>
      </c>
      <c r="AG780" s="73" t="s">
        <v>3691</v>
      </c>
      <c r="AH780" s="73" t="s">
        <v>3673</v>
      </c>
      <c r="AI780" s="75">
        <v>3</v>
      </c>
      <c r="AJ780" s="75">
        <v>1</v>
      </c>
      <c r="AK780" s="75">
        <v>423</v>
      </c>
      <c r="AL780" s="75">
        <v>431</v>
      </c>
      <c r="AM780" s="75" t="s">
        <v>292</v>
      </c>
      <c r="AN780" s="72">
        <v>0.71</v>
      </c>
      <c r="AO780" s="76">
        <f>AI780*100/AK780</f>
        <v>0.70921985815602839</v>
      </c>
      <c r="AP780" s="72" t="s">
        <v>276</v>
      </c>
      <c r="AQ780" s="72" t="s">
        <v>276</v>
      </c>
      <c r="AR780" s="72">
        <v>0.23</v>
      </c>
      <c r="AS780" s="76">
        <f>AJ780*100/AL780</f>
        <v>0.23201856148491878</v>
      </c>
      <c r="AT780" s="72" t="s">
        <v>276</v>
      </c>
      <c r="AU780" s="72" t="s">
        <v>276</v>
      </c>
      <c r="AV780" s="72" t="s">
        <v>268</v>
      </c>
      <c r="AW780" s="83" t="s">
        <v>276</v>
      </c>
      <c r="AX780" s="83">
        <f>AO780/AS780</f>
        <v>3.0567375886524824</v>
      </c>
      <c r="AY780" s="73" t="s">
        <v>276</v>
      </c>
      <c r="AZ780" s="73" t="s">
        <v>276</v>
      </c>
      <c r="BA780" s="73">
        <v>0.37</v>
      </c>
      <c r="BB780" s="73" t="s">
        <v>282</v>
      </c>
      <c r="BC780" s="73" t="s">
        <v>276</v>
      </c>
      <c r="BD780" s="73" t="s">
        <v>276</v>
      </c>
      <c r="BE780" s="73" t="s">
        <v>276</v>
      </c>
      <c r="BF780" s="73" t="s">
        <v>3692</v>
      </c>
      <c r="BG780" s="73" t="s">
        <v>3693</v>
      </c>
      <c r="BH780" s="9" t="s">
        <v>100</v>
      </c>
      <c r="BI780" s="9" t="s">
        <v>100</v>
      </c>
      <c r="BJ780" s="78"/>
      <c r="BN780" s="78"/>
      <c r="BO780" s="78"/>
    </row>
    <row r="781" spans="1:68" s="33" customFormat="1" ht="65" hidden="1" x14ac:dyDescent="0.35">
      <c r="A781" s="8">
        <v>4282</v>
      </c>
      <c r="B781" s="8" t="s">
        <v>3792</v>
      </c>
      <c r="C781" s="8" t="s">
        <v>34</v>
      </c>
      <c r="D781" s="9" t="s">
        <v>3793</v>
      </c>
      <c r="E781" s="8" t="s">
        <v>35</v>
      </c>
      <c r="F781" s="8" t="s">
        <v>97</v>
      </c>
      <c r="G781" s="8" t="s">
        <v>225</v>
      </c>
      <c r="H781" s="8" t="s">
        <v>125</v>
      </c>
      <c r="I781" s="8" t="s">
        <v>114</v>
      </c>
      <c r="J781" s="9" t="s">
        <v>32</v>
      </c>
      <c r="K781" s="8" t="s">
        <v>3794</v>
      </c>
      <c r="L781" s="8" t="s">
        <v>276</v>
      </c>
      <c r="M781" s="8" t="s">
        <v>276</v>
      </c>
      <c r="N781" s="9" t="s">
        <v>3795</v>
      </c>
      <c r="O781" s="9" t="s">
        <v>276</v>
      </c>
      <c r="P781" s="9" t="s">
        <v>239</v>
      </c>
      <c r="Q781" s="52">
        <v>36525</v>
      </c>
      <c r="R781" s="9" t="s">
        <v>276</v>
      </c>
      <c r="S781" s="9" t="s">
        <v>276</v>
      </c>
      <c r="T781" s="9" t="s">
        <v>276</v>
      </c>
      <c r="U781" s="9" t="s">
        <v>276</v>
      </c>
      <c r="V781" s="8" t="s">
        <v>14</v>
      </c>
      <c r="W781" s="8" t="s">
        <v>98</v>
      </c>
      <c r="X781" s="9" t="s">
        <v>207</v>
      </c>
      <c r="Y781" s="13">
        <v>53890</v>
      </c>
      <c r="Z781" s="9">
        <v>106971</v>
      </c>
      <c r="AA781" s="9" t="s">
        <v>276</v>
      </c>
      <c r="AB781" s="9" t="s">
        <v>276</v>
      </c>
      <c r="AC781" s="8">
        <v>0</v>
      </c>
      <c r="AD781" s="8" t="s">
        <v>3796</v>
      </c>
      <c r="AE781" s="8">
        <v>0</v>
      </c>
      <c r="AF781" s="8" t="s">
        <v>3796</v>
      </c>
      <c r="AG781" s="9" t="s">
        <v>3797</v>
      </c>
      <c r="AH781" s="9" t="s">
        <v>3798</v>
      </c>
      <c r="AI781" s="38">
        <v>69</v>
      </c>
      <c r="AJ781" s="38">
        <v>54</v>
      </c>
      <c r="AK781" s="38">
        <f t="shared" ref="AK781:AL789" si="232">Y781</f>
        <v>53890</v>
      </c>
      <c r="AL781" s="38">
        <f t="shared" si="232"/>
        <v>106971</v>
      </c>
      <c r="AM781" s="38" t="s">
        <v>281</v>
      </c>
      <c r="AN781" s="8" t="s">
        <v>276</v>
      </c>
      <c r="AO781" s="14">
        <f t="shared" ref="AO781:AO789" si="233">AI781*1000/AK781</f>
        <v>1.2803859714232697</v>
      </c>
      <c r="AP781" s="8" t="s">
        <v>276</v>
      </c>
      <c r="AQ781" s="8" t="s">
        <v>276</v>
      </c>
      <c r="AR781" s="8" t="s">
        <v>276</v>
      </c>
      <c r="AS781" s="14">
        <f t="shared" ref="AS781:AS789" si="234">AJ781*1000/AL781</f>
        <v>0.50480971478251113</v>
      </c>
      <c r="AT781" s="8" t="s">
        <v>276</v>
      </c>
      <c r="AU781" s="8" t="s">
        <v>276</v>
      </c>
      <c r="AV781" s="9" t="s">
        <v>268</v>
      </c>
      <c r="AW781" s="40" t="s">
        <v>276</v>
      </c>
      <c r="AX781" s="40">
        <f>AO781/AS781</f>
        <v>2.5363734768355295</v>
      </c>
      <c r="AY781" s="9" t="s">
        <v>276</v>
      </c>
      <c r="AZ781" s="9" t="s">
        <v>276</v>
      </c>
      <c r="BA781" s="9" t="s">
        <v>276</v>
      </c>
      <c r="BB781" s="9" t="s">
        <v>282</v>
      </c>
      <c r="BC781" s="9" t="s">
        <v>98</v>
      </c>
      <c r="BD781" s="9" t="s">
        <v>98</v>
      </c>
      <c r="BE781" s="9" t="s">
        <v>98</v>
      </c>
      <c r="BF781" s="9" t="s">
        <v>1029</v>
      </c>
      <c r="BG781" s="9" t="s">
        <v>3799</v>
      </c>
      <c r="BH781" s="9" t="s">
        <v>100</v>
      </c>
      <c r="BI781" s="9" t="s">
        <v>100</v>
      </c>
      <c r="BJ781" s="32"/>
      <c r="BN781" s="32"/>
      <c r="BO781" s="32"/>
    </row>
    <row r="782" spans="1:68" s="6" customFormat="1" ht="65" hidden="1" x14ac:dyDescent="0.35">
      <c r="A782" s="8">
        <v>4282</v>
      </c>
      <c r="B782" s="8" t="s">
        <v>3792</v>
      </c>
      <c r="C782" s="8" t="s">
        <v>34</v>
      </c>
      <c r="D782" s="9" t="s">
        <v>3800</v>
      </c>
      <c r="E782" s="8" t="s">
        <v>35</v>
      </c>
      <c r="F782" s="8" t="s">
        <v>97</v>
      </c>
      <c r="G782" s="8" t="s">
        <v>225</v>
      </c>
      <c r="H782" s="8" t="s">
        <v>125</v>
      </c>
      <c r="I782" s="8" t="s">
        <v>114</v>
      </c>
      <c r="J782" s="9" t="s">
        <v>31</v>
      </c>
      <c r="K782" s="2" t="s">
        <v>3801</v>
      </c>
      <c r="L782" s="2" t="s">
        <v>276</v>
      </c>
      <c r="M782" s="2" t="s">
        <v>276</v>
      </c>
      <c r="N782" s="10" t="s">
        <v>3795</v>
      </c>
      <c r="O782" s="10" t="s">
        <v>276</v>
      </c>
      <c r="P782" s="9" t="s">
        <v>239</v>
      </c>
      <c r="Q782" s="36">
        <v>36525</v>
      </c>
      <c r="R782" s="10" t="s">
        <v>276</v>
      </c>
      <c r="S782" s="9" t="s">
        <v>276</v>
      </c>
      <c r="T782" s="9" t="s">
        <v>276</v>
      </c>
      <c r="U782" s="9" t="s">
        <v>276</v>
      </c>
      <c r="V782" s="8" t="s">
        <v>14</v>
      </c>
      <c r="W782" s="2" t="s">
        <v>98</v>
      </c>
      <c r="X782" s="10" t="s">
        <v>207</v>
      </c>
      <c r="Y782" s="13">
        <v>53890</v>
      </c>
      <c r="Z782" s="10">
        <v>106971</v>
      </c>
      <c r="AA782" s="10" t="s">
        <v>276</v>
      </c>
      <c r="AB782" s="10" t="s">
        <v>276</v>
      </c>
      <c r="AC782" s="8">
        <v>10</v>
      </c>
      <c r="AD782" s="8" t="s">
        <v>3802</v>
      </c>
      <c r="AE782" s="8">
        <v>37</v>
      </c>
      <c r="AF782" s="8" t="s">
        <v>3802</v>
      </c>
      <c r="AG782" s="9" t="s">
        <v>3803</v>
      </c>
      <c r="AH782" s="9" t="s">
        <v>3798</v>
      </c>
      <c r="AI782" s="34">
        <v>52</v>
      </c>
      <c r="AJ782" s="34">
        <v>59</v>
      </c>
      <c r="AK782" s="34">
        <f t="shared" si="232"/>
        <v>53890</v>
      </c>
      <c r="AL782" s="34">
        <f t="shared" si="232"/>
        <v>106971</v>
      </c>
      <c r="AM782" s="38" t="s">
        <v>281</v>
      </c>
      <c r="AN782" s="8" t="s">
        <v>276</v>
      </c>
      <c r="AO782" s="14">
        <f t="shared" si="233"/>
        <v>0.96492855817405832</v>
      </c>
      <c r="AP782" s="8" t="s">
        <v>276</v>
      </c>
      <c r="AQ782" s="8" t="s">
        <v>276</v>
      </c>
      <c r="AR782" s="8" t="s">
        <v>276</v>
      </c>
      <c r="AS782" s="14">
        <f t="shared" si="234"/>
        <v>0.55155135504015107</v>
      </c>
      <c r="AT782" s="8" t="s">
        <v>276</v>
      </c>
      <c r="AU782" s="8" t="s">
        <v>276</v>
      </c>
      <c r="AV782" s="9" t="s">
        <v>268</v>
      </c>
      <c r="AW782" s="35" t="s">
        <v>276</v>
      </c>
      <c r="AX782" s="35">
        <f>AO782/AS782</f>
        <v>1.7494808948548677</v>
      </c>
      <c r="AY782" s="10" t="s">
        <v>276</v>
      </c>
      <c r="AZ782" s="10" t="s">
        <v>276</v>
      </c>
      <c r="BA782" s="10" t="s">
        <v>276</v>
      </c>
      <c r="BB782" s="10" t="s">
        <v>282</v>
      </c>
      <c r="BC782" s="10" t="s">
        <v>98</v>
      </c>
      <c r="BD782" s="10" t="s">
        <v>98</v>
      </c>
      <c r="BE782" s="10" t="s">
        <v>98</v>
      </c>
      <c r="BF782" s="9" t="s">
        <v>1029</v>
      </c>
      <c r="BG782" s="9" t="s">
        <v>3799</v>
      </c>
      <c r="BH782" s="9" t="s">
        <v>100</v>
      </c>
      <c r="BI782" s="9" t="s">
        <v>100</v>
      </c>
      <c r="BJ782" s="32"/>
      <c r="BK782" s="33"/>
      <c r="BL782" s="33"/>
      <c r="BM782" s="33"/>
      <c r="BN782" s="32"/>
      <c r="BO782" s="32"/>
      <c r="BP782" s="33"/>
    </row>
    <row r="783" spans="1:68" s="6" customFormat="1" ht="65" hidden="1" x14ac:dyDescent="0.35">
      <c r="A783" s="8">
        <v>4282</v>
      </c>
      <c r="B783" s="8" t="s">
        <v>3792</v>
      </c>
      <c r="C783" s="8" t="s">
        <v>34</v>
      </c>
      <c r="D783" s="9" t="s">
        <v>3804</v>
      </c>
      <c r="E783" s="8" t="s">
        <v>35</v>
      </c>
      <c r="F783" s="8" t="s">
        <v>97</v>
      </c>
      <c r="G783" s="8" t="s">
        <v>225</v>
      </c>
      <c r="H783" s="8" t="s">
        <v>125</v>
      </c>
      <c r="I783" s="8" t="s">
        <v>114</v>
      </c>
      <c r="J783" s="9" t="s">
        <v>31</v>
      </c>
      <c r="K783" s="2" t="s">
        <v>3805</v>
      </c>
      <c r="L783" s="2" t="s">
        <v>276</v>
      </c>
      <c r="M783" s="2" t="s">
        <v>276</v>
      </c>
      <c r="N783" s="10" t="s">
        <v>3795</v>
      </c>
      <c r="O783" s="10" t="s">
        <v>276</v>
      </c>
      <c r="P783" s="9" t="s">
        <v>239</v>
      </c>
      <c r="Q783" s="36">
        <v>36525</v>
      </c>
      <c r="R783" s="10" t="s">
        <v>276</v>
      </c>
      <c r="S783" s="9" t="s">
        <v>276</v>
      </c>
      <c r="T783" s="9" t="s">
        <v>276</v>
      </c>
      <c r="U783" s="9" t="s">
        <v>276</v>
      </c>
      <c r="V783" s="8" t="s">
        <v>14</v>
      </c>
      <c r="W783" s="2" t="s">
        <v>98</v>
      </c>
      <c r="X783" s="10" t="s">
        <v>207</v>
      </c>
      <c r="Y783" s="13">
        <v>53890</v>
      </c>
      <c r="Z783" s="10">
        <v>106971</v>
      </c>
      <c r="AA783" s="10" t="s">
        <v>276</v>
      </c>
      <c r="AB783" s="10" t="s">
        <v>276</v>
      </c>
      <c r="AC783" s="8">
        <v>10</v>
      </c>
      <c r="AD783" s="8" t="s">
        <v>3802</v>
      </c>
      <c r="AE783" s="8">
        <v>37</v>
      </c>
      <c r="AF783" s="8" t="s">
        <v>3802</v>
      </c>
      <c r="AG783" s="9" t="s">
        <v>3806</v>
      </c>
      <c r="AH783" s="9" t="s">
        <v>3798</v>
      </c>
      <c r="AI783" s="34">
        <v>81</v>
      </c>
      <c r="AJ783" s="34">
        <v>124</v>
      </c>
      <c r="AK783" s="34">
        <f t="shared" si="232"/>
        <v>53890</v>
      </c>
      <c r="AL783" s="34">
        <f t="shared" si="232"/>
        <v>106971</v>
      </c>
      <c r="AM783" s="38" t="s">
        <v>281</v>
      </c>
      <c r="AN783" s="8" t="s">
        <v>276</v>
      </c>
      <c r="AO783" s="14">
        <f t="shared" si="233"/>
        <v>1.50306179254036</v>
      </c>
      <c r="AP783" s="8" t="s">
        <v>276</v>
      </c>
      <c r="AQ783" s="8" t="s">
        <v>276</v>
      </c>
      <c r="AR783" s="8" t="s">
        <v>276</v>
      </c>
      <c r="AS783" s="14">
        <f t="shared" si="234"/>
        <v>1.1591926783894699</v>
      </c>
      <c r="AT783" s="8" t="s">
        <v>276</v>
      </c>
      <c r="AU783" s="8" t="s">
        <v>276</v>
      </c>
      <c r="AV783" s="9" t="s">
        <v>268</v>
      </c>
      <c r="AW783" s="35" t="s">
        <v>276</v>
      </c>
      <c r="AX783" s="35">
        <f t="shared" ref="AX783:AX793" si="235">AO783/AS783</f>
        <v>1.2966453468535069</v>
      </c>
      <c r="AY783" s="10" t="s">
        <v>276</v>
      </c>
      <c r="AZ783" s="10" t="s">
        <v>276</v>
      </c>
      <c r="BA783" s="10" t="s">
        <v>276</v>
      </c>
      <c r="BB783" s="10" t="s">
        <v>282</v>
      </c>
      <c r="BC783" s="10" t="s">
        <v>98</v>
      </c>
      <c r="BD783" s="10" t="s">
        <v>98</v>
      </c>
      <c r="BE783" s="10" t="s">
        <v>98</v>
      </c>
      <c r="BF783" s="9" t="s">
        <v>1029</v>
      </c>
      <c r="BG783" s="9" t="s">
        <v>3799</v>
      </c>
      <c r="BH783" s="9" t="s">
        <v>100</v>
      </c>
      <c r="BI783" s="9" t="s">
        <v>100</v>
      </c>
      <c r="BJ783" s="32"/>
      <c r="BK783" s="33"/>
      <c r="BL783" s="33"/>
      <c r="BM783" s="33"/>
      <c r="BN783" s="32"/>
      <c r="BO783" s="32"/>
      <c r="BP783" s="33"/>
    </row>
    <row r="784" spans="1:68" s="6" customFormat="1" ht="65" hidden="1" x14ac:dyDescent="0.35">
      <c r="A784" s="8">
        <v>4282</v>
      </c>
      <c r="B784" s="8" t="s">
        <v>3792</v>
      </c>
      <c r="C784" s="8" t="s">
        <v>34</v>
      </c>
      <c r="D784" s="9" t="s">
        <v>3807</v>
      </c>
      <c r="E784" s="8" t="s">
        <v>35</v>
      </c>
      <c r="F784" s="8" t="s">
        <v>97</v>
      </c>
      <c r="G784" s="8" t="s">
        <v>225</v>
      </c>
      <c r="H784" s="8" t="s">
        <v>125</v>
      </c>
      <c r="I784" s="8" t="s">
        <v>114</v>
      </c>
      <c r="J784" s="9" t="s">
        <v>31</v>
      </c>
      <c r="K784" s="2" t="s">
        <v>3808</v>
      </c>
      <c r="L784" s="2" t="s">
        <v>276</v>
      </c>
      <c r="M784" s="2" t="s">
        <v>276</v>
      </c>
      <c r="N784" s="10" t="s">
        <v>3795</v>
      </c>
      <c r="O784" s="10" t="s">
        <v>276</v>
      </c>
      <c r="P784" s="9" t="s">
        <v>239</v>
      </c>
      <c r="Q784" s="36">
        <v>36525</v>
      </c>
      <c r="R784" s="10" t="s">
        <v>276</v>
      </c>
      <c r="S784" s="9" t="s">
        <v>276</v>
      </c>
      <c r="T784" s="9" t="s">
        <v>276</v>
      </c>
      <c r="U784" s="9" t="s">
        <v>276</v>
      </c>
      <c r="V784" s="8" t="s">
        <v>14</v>
      </c>
      <c r="W784" s="2" t="s">
        <v>98</v>
      </c>
      <c r="X784" s="10" t="s">
        <v>207</v>
      </c>
      <c r="Y784" s="13">
        <v>53890</v>
      </c>
      <c r="Z784" s="10">
        <v>106971</v>
      </c>
      <c r="AA784" s="10" t="s">
        <v>276</v>
      </c>
      <c r="AB784" s="10" t="s">
        <v>276</v>
      </c>
      <c r="AC784" s="8">
        <v>10</v>
      </c>
      <c r="AD784" s="8" t="s">
        <v>3802</v>
      </c>
      <c r="AE784" s="8">
        <v>37</v>
      </c>
      <c r="AF784" s="8" t="s">
        <v>3802</v>
      </c>
      <c r="AG784" s="9" t="s">
        <v>3809</v>
      </c>
      <c r="AH784" s="9" t="s">
        <v>3798</v>
      </c>
      <c r="AI784" s="34">
        <v>95</v>
      </c>
      <c r="AJ784" s="34">
        <v>149</v>
      </c>
      <c r="AK784" s="34">
        <f t="shared" si="232"/>
        <v>53890</v>
      </c>
      <c r="AL784" s="34">
        <f t="shared" si="232"/>
        <v>106971</v>
      </c>
      <c r="AM784" s="38" t="s">
        <v>281</v>
      </c>
      <c r="AN784" s="8" t="s">
        <v>276</v>
      </c>
      <c r="AO784" s="14">
        <f t="shared" si="233"/>
        <v>1.7628502505102988</v>
      </c>
      <c r="AP784" s="8" t="s">
        <v>276</v>
      </c>
      <c r="AQ784" s="8" t="s">
        <v>276</v>
      </c>
      <c r="AR784" s="8" t="s">
        <v>276</v>
      </c>
      <c r="AS784" s="14">
        <f t="shared" si="234"/>
        <v>1.3929008796776696</v>
      </c>
      <c r="AT784" s="8" t="s">
        <v>276</v>
      </c>
      <c r="AU784" s="8" t="s">
        <v>276</v>
      </c>
      <c r="AV784" s="9" t="s">
        <v>268</v>
      </c>
      <c r="AW784" s="35" t="s">
        <v>276</v>
      </c>
      <c r="AX784" s="35">
        <f t="shared" si="235"/>
        <v>1.2655963365593099</v>
      </c>
      <c r="AY784" s="10" t="s">
        <v>276</v>
      </c>
      <c r="AZ784" s="10" t="s">
        <v>276</v>
      </c>
      <c r="BA784" s="10" t="s">
        <v>276</v>
      </c>
      <c r="BB784" s="10" t="s">
        <v>282</v>
      </c>
      <c r="BC784" s="10" t="s">
        <v>98</v>
      </c>
      <c r="BD784" s="10" t="s">
        <v>98</v>
      </c>
      <c r="BE784" s="10" t="s">
        <v>98</v>
      </c>
      <c r="BF784" s="9" t="s">
        <v>1029</v>
      </c>
      <c r="BG784" s="9" t="s">
        <v>3799</v>
      </c>
      <c r="BH784" s="9" t="s">
        <v>100</v>
      </c>
      <c r="BI784" s="9" t="s">
        <v>100</v>
      </c>
      <c r="BJ784" s="32"/>
      <c r="BK784" s="33"/>
      <c r="BL784" s="33"/>
      <c r="BM784" s="33"/>
      <c r="BN784" s="32"/>
      <c r="BO784" s="32"/>
      <c r="BP784" s="33"/>
    </row>
    <row r="785" spans="1:68" s="6" customFormat="1" ht="65" hidden="1" x14ac:dyDescent="0.35">
      <c r="A785" s="8">
        <v>4282</v>
      </c>
      <c r="B785" s="8" t="s">
        <v>3792</v>
      </c>
      <c r="C785" s="8" t="s">
        <v>34</v>
      </c>
      <c r="D785" s="9" t="s">
        <v>3810</v>
      </c>
      <c r="E785" s="8" t="s">
        <v>35</v>
      </c>
      <c r="F785" s="8" t="s">
        <v>97</v>
      </c>
      <c r="G785" s="8" t="s">
        <v>225</v>
      </c>
      <c r="H785" s="8" t="s">
        <v>125</v>
      </c>
      <c r="I785" s="8" t="s">
        <v>114</v>
      </c>
      <c r="J785" s="9" t="s">
        <v>31</v>
      </c>
      <c r="K785" s="2" t="s">
        <v>3811</v>
      </c>
      <c r="L785" s="2" t="s">
        <v>276</v>
      </c>
      <c r="M785" s="2" t="s">
        <v>276</v>
      </c>
      <c r="N785" s="10" t="s">
        <v>3795</v>
      </c>
      <c r="O785" s="10" t="s">
        <v>276</v>
      </c>
      <c r="P785" s="9" t="s">
        <v>239</v>
      </c>
      <c r="Q785" s="36">
        <v>36525</v>
      </c>
      <c r="R785" s="10" t="s">
        <v>276</v>
      </c>
      <c r="S785" s="9" t="s">
        <v>276</v>
      </c>
      <c r="T785" s="9" t="s">
        <v>276</v>
      </c>
      <c r="U785" s="9" t="s">
        <v>276</v>
      </c>
      <c r="V785" s="8" t="s">
        <v>14</v>
      </c>
      <c r="W785" s="2" t="s">
        <v>98</v>
      </c>
      <c r="X785" s="10" t="s">
        <v>207</v>
      </c>
      <c r="Y785" s="13">
        <v>53890</v>
      </c>
      <c r="Z785" s="10">
        <v>106971</v>
      </c>
      <c r="AA785" s="10" t="s">
        <v>276</v>
      </c>
      <c r="AB785" s="10" t="s">
        <v>276</v>
      </c>
      <c r="AC785" s="8">
        <v>10</v>
      </c>
      <c r="AD785" s="8" t="s">
        <v>3802</v>
      </c>
      <c r="AE785" s="8">
        <v>37</v>
      </c>
      <c r="AF785" s="8" t="s">
        <v>3802</v>
      </c>
      <c r="AG785" s="9" t="s">
        <v>3812</v>
      </c>
      <c r="AH785" s="9" t="s">
        <v>3798</v>
      </c>
      <c r="AI785" s="34">
        <v>98</v>
      </c>
      <c r="AJ785" s="34">
        <v>209</v>
      </c>
      <c r="AK785" s="34">
        <f t="shared" si="232"/>
        <v>53890</v>
      </c>
      <c r="AL785" s="34">
        <f t="shared" si="232"/>
        <v>106971</v>
      </c>
      <c r="AM785" s="38" t="s">
        <v>281</v>
      </c>
      <c r="AN785" s="8" t="s">
        <v>276</v>
      </c>
      <c r="AO785" s="14">
        <f t="shared" si="233"/>
        <v>1.8185192057895714</v>
      </c>
      <c r="AP785" s="8" t="s">
        <v>276</v>
      </c>
      <c r="AQ785" s="8" t="s">
        <v>276</v>
      </c>
      <c r="AR785" s="8" t="s">
        <v>276</v>
      </c>
      <c r="AS785" s="14">
        <f t="shared" si="234"/>
        <v>1.9538005627693487</v>
      </c>
      <c r="AT785" s="8" t="s">
        <v>276</v>
      </c>
      <c r="AU785" s="8" t="s">
        <v>276</v>
      </c>
      <c r="AV785" s="9" t="s">
        <v>268</v>
      </c>
      <c r="AW785" s="35" t="s">
        <v>276</v>
      </c>
      <c r="AX785" s="35">
        <f t="shared" si="235"/>
        <v>0.93075989455749397</v>
      </c>
      <c r="AY785" s="10" t="s">
        <v>276</v>
      </c>
      <c r="AZ785" s="10" t="s">
        <v>276</v>
      </c>
      <c r="BA785" s="10" t="s">
        <v>276</v>
      </c>
      <c r="BB785" s="10" t="s">
        <v>282</v>
      </c>
      <c r="BC785" s="10" t="s">
        <v>98</v>
      </c>
      <c r="BD785" s="10" t="s">
        <v>98</v>
      </c>
      <c r="BE785" s="10" t="s">
        <v>98</v>
      </c>
      <c r="BF785" s="9" t="s">
        <v>1029</v>
      </c>
      <c r="BG785" s="9" t="s">
        <v>3799</v>
      </c>
      <c r="BH785" s="9" t="s">
        <v>100</v>
      </c>
      <c r="BI785" s="9" t="s">
        <v>100</v>
      </c>
      <c r="BJ785" s="32"/>
      <c r="BK785" s="33"/>
      <c r="BL785" s="33"/>
      <c r="BM785" s="33"/>
      <c r="BN785" s="32"/>
      <c r="BO785" s="32"/>
      <c r="BP785" s="33"/>
    </row>
    <row r="786" spans="1:68" s="6" customFormat="1" ht="65" hidden="1" x14ac:dyDescent="0.35">
      <c r="A786" s="8">
        <v>4282</v>
      </c>
      <c r="B786" s="8" t="s">
        <v>3792</v>
      </c>
      <c r="C786" s="8" t="s">
        <v>34</v>
      </c>
      <c r="D786" s="9" t="s">
        <v>3813</v>
      </c>
      <c r="E786" s="8" t="s">
        <v>35</v>
      </c>
      <c r="F786" s="8" t="s">
        <v>97</v>
      </c>
      <c r="G786" s="8" t="s">
        <v>225</v>
      </c>
      <c r="H786" s="8" t="s">
        <v>125</v>
      </c>
      <c r="I786" s="8" t="s">
        <v>114</v>
      </c>
      <c r="J786" s="9" t="s">
        <v>31</v>
      </c>
      <c r="K786" s="2" t="s">
        <v>3814</v>
      </c>
      <c r="L786" s="2" t="s">
        <v>276</v>
      </c>
      <c r="M786" s="2" t="s">
        <v>276</v>
      </c>
      <c r="N786" s="10" t="s">
        <v>3795</v>
      </c>
      <c r="O786" s="10" t="s">
        <v>276</v>
      </c>
      <c r="P786" s="9" t="s">
        <v>239</v>
      </c>
      <c r="Q786" s="36">
        <v>36525</v>
      </c>
      <c r="R786" s="10" t="s">
        <v>276</v>
      </c>
      <c r="S786" s="9" t="s">
        <v>276</v>
      </c>
      <c r="T786" s="9" t="s">
        <v>276</v>
      </c>
      <c r="U786" s="9" t="s">
        <v>276</v>
      </c>
      <c r="V786" s="8" t="s">
        <v>14</v>
      </c>
      <c r="W786" s="2" t="s">
        <v>98</v>
      </c>
      <c r="X786" s="10" t="s">
        <v>207</v>
      </c>
      <c r="Y786" s="13">
        <v>53890</v>
      </c>
      <c r="Z786" s="10">
        <v>106971</v>
      </c>
      <c r="AA786" s="10" t="s">
        <v>276</v>
      </c>
      <c r="AB786" s="10" t="s">
        <v>276</v>
      </c>
      <c r="AC786" s="8">
        <v>10</v>
      </c>
      <c r="AD786" s="8" t="s">
        <v>3802</v>
      </c>
      <c r="AE786" s="8">
        <v>37</v>
      </c>
      <c r="AF786" s="8" t="s">
        <v>3802</v>
      </c>
      <c r="AG786" s="9" t="s">
        <v>3815</v>
      </c>
      <c r="AH786" s="9" t="s">
        <v>3798</v>
      </c>
      <c r="AI786" s="34">
        <v>40</v>
      </c>
      <c r="AJ786" s="34">
        <v>100</v>
      </c>
      <c r="AK786" s="34">
        <f t="shared" si="232"/>
        <v>53890</v>
      </c>
      <c r="AL786" s="34">
        <f t="shared" si="232"/>
        <v>106971</v>
      </c>
      <c r="AM786" s="38" t="s">
        <v>281</v>
      </c>
      <c r="AN786" s="8" t="s">
        <v>276</v>
      </c>
      <c r="AO786" s="14">
        <f t="shared" si="233"/>
        <v>0.74225273705696793</v>
      </c>
      <c r="AP786" s="8" t="s">
        <v>276</v>
      </c>
      <c r="AQ786" s="8" t="s">
        <v>276</v>
      </c>
      <c r="AR786" s="8" t="s">
        <v>276</v>
      </c>
      <c r="AS786" s="14">
        <f t="shared" si="234"/>
        <v>0.93483280515279843</v>
      </c>
      <c r="AT786" s="8" t="s">
        <v>276</v>
      </c>
      <c r="AU786" s="8" t="s">
        <v>276</v>
      </c>
      <c r="AV786" s="9" t="s">
        <v>268</v>
      </c>
      <c r="AW786" s="35" t="s">
        <v>276</v>
      </c>
      <c r="AX786" s="35">
        <f t="shared" si="235"/>
        <v>0.7939951753572092</v>
      </c>
      <c r="AY786" s="10" t="s">
        <v>276</v>
      </c>
      <c r="AZ786" s="10" t="s">
        <v>276</v>
      </c>
      <c r="BA786" s="10" t="s">
        <v>276</v>
      </c>
      <c r="BB786" s="10" t="s">
        <v>282</v>
      </c>
      <c r="BC786" s="10" t="s">
        <v>98</v>
      </c>
      <c r="BD786" s="10" t="s">
        <v>98</v>
      </c>
      <c r="BE786" s="10" t="s">
        <v>98</v>
      </c>
      <c r="BF786" s="9" t="s">
        <v>1029</v>
      </c>
      <c r="BG786" s="9" t="s">
        <v>3799</v>
      </c>
      <c r="BH786" s="9" t="s">
        <v>100</v>
      </c>
      <c r="BI786" s="9" t="s">
        <v>100</v>
      </c>
      <c r="BJ786" s="32"/>
      <c r="BK786" s="33"/>
      <c r="BL786" s="33"/>
      <c r="BM786" s="33"/>
      <c r="BN786" s="32"/>
      <c r="BO786" s="32"/>
      <c r="BP786" s="33"/>
    </row>
    <row r="787" spans="1:68" s="6" customFormat="1" ht="65" hidden="1" x14ac:dyDescent="0.35">
      <c r="A787" s="8">
        <v>4282</v>
      </c>
      <c r="B787" s="8" t="s">
        <v>3792</v>
      </c>
      <c r="C787" s="8" t="s">
        <v>34</v>
      </c>
      <c r="D787" s="9" t="s">
        <v>3816</v>
      </c>
      <c r="E787" s="8" t="s">
        <v>35</v>
      </c>
      <c r="F787" s="8" t="s">
        <v>97</v>
      </c>
      <c r="G787" s="8" t="s">
        <v>225</v>
      </c>
      <c r="H787" s="8" t="s">
        <v>125</v>
      </c>
      <c r="I787" s="8" t="s">
        <v>114</v>
      </c>
      <c r="J787" s="9" t="s">
        <v>31</v>
      </c>
      <c r="K787" s="2" t="s">
        <v>3817</v>
      </c>
      <c r="L787" s="2" t="s">
        <v>276</v>
      </c>
      <c r="M787" s="2" t="s">
        <v>276</v>
      </c>
      <c r="N787" s="10" t="s">
        <v>3795</v>
      </c>
      <c r="O787" s="10" t="s">
        <v>276</v>
      </c>
      <c r="P787" s="9" t="s">
        <v>239</v>
      </c>
      <c r="Q787" s="36">
        <v>36525</v>
      </c>
      <c r="R787" s="10" t="s">
        <v>276</v>
      </c>
      <c r="S787" s="9" t="s">
        <v>276</v>
      </c>
      <c r="T787" s="9" t="s">
        <v>276</v>
      </c>
      <c r="U787" s="9" t="s">
        <v>276</v>
      </c>
      <c r="V787" s="8" t="s">
        <v>14</v>
      </c>
      <c r="W787" s="2" t="s">
        <v>98</v>
      </c>
      <c r="X787" s="10" t="s">
        <v>207</v>
      </c>
      <c r="Y787" s="13">
        <v>53890</v>
      </c>
      <c r="Z787" s="10">
        <v>106971</v>
      </c>
      <c r="AA787" s="10" t="s">
        <v>276</v>
      </c>
      <c r="AB787" s="10" t="s">
        <v>276</v>
      </c>
      <c r="AC787" s="8">
        <v>10</v>
      </c>
      <c r="AD787" s="8" t="s">
        <v>3802</v>
      </c>
      <c r="AE787" s="8">
        <v>37</v>
      </c>
      <c r="AF787" s="8" t="s">
        <v>3802</v>
      </c>
      <c r="AG787" s="9" t="s">
        <v>3818</v>
      </c>
      <c r="AH787" s="9" t="s">
        <v>3798</v>
      </c>
      <c r="AI787" s="34">
        <v>33</v>
      </c>
      <c r="AJ787" s="34">
        <v>77</v>
      </c>
      <c r="AK787" s="34">
        <f t="shared" si="232"/>
        <v>53890</v>
      </c>
      <c r="AL787" s="34">
        <f t="shared" si="232"/>
        <v>106971</v>
      </c>
      <c r="AM787" s="38" t="s">
        <v>281</v>
      </c>
      <c r="AN787" s="8" t="s">
        <v>276</v>
      </c>
      <c r="AO787" s="14">
        <f t="shared" si="233"/>
        <v>0.61235850807199854</v>
      </c>
      <c r="AP787" s="8" t="s">
        <v>276</v>
      </c>
      <c r="AQ787" s="8" t="s">
        <v>276</v>
      </c>
      <c r="AR787" s="8" t="s">
        <v>276</v>
      </c>
      <c r="AS787" s="14">
        <f t="shared" si="234"/>
        <v>0.71982125996765478</v>
      </c>
      <c r="AT787" s="8" t="s">
        <v>276</v>
      </c>
      <c r="AU787" s="8" t="s">
        <v>276</v>
      </c>
      <c r="AV787" s="9" t="s">
        <v>268</v>
      </c>
      <c r="AW787" s="35" t="s">
        <v>276</v>
      </c>
      <c r="AX787" s="35">
        <f t="shared" si="235"/>
        <v>0.8507091164541527</v>
      </c>
      <c r="AY787" s="10" t="s">
        <v>276</v>
      </c>
      <c r="AZ787" s="10" t="s">
        <v>276</v>
      </c>
      <c r="BA787" s="10" t="s">
        <v>276</v>
      </c>
      <c r="BB787" s="10" t="s">
        <v>282</v>
      </c>
      <c r="BC787" s="10" t="s">
        <v>98</v>
      </c>
      <c r="BD787" s="10" t="s">
        <v>98</v>
      </c>
      <c r="BE787" s="10" t="s">
        <v>98</v>
      </c>
      <c r="BF787" s="9" t="s">
        <v>1029</v>
      </c>
      <c r="BG787" s="9" t="s">
        <v>3819</v>
      </c>
      <c r="BH787" s="9" t="s">
        <v>100</v>
      </c>
      <c r="BI787" s="9" t="s">
        <v>100</v>
      </c>
      <c r="BJ787" s="32"/>
      <c r="BK787" s="33"/>
      <c r="BL787" s="33"/>
      <c r="BM787" s="33"/>
      <c r="BN787" s="32"/>
      <c r="BO787" s="32"/>
      <c r="BP787" s="33"/>
    </row>
    <row r="788" spans="1:68" s="6" customFormat="1" ht="65" hidden="1" x14ac:dyDescent="0.35">
      <c r="A788" s="8">
        <v>4282</v>
      </c>
      <c r="B788" s="8" t="s">
        <v>3792</v>
      </c>
      <c r="C788" s="8" t="s">
        <v>34</v>
      </c>
      <c r="D788" s="9" t="s">
        <v>3820</v>
      </c>
      <c r="E788" s="8" t="s">
        <v>35</v>
      </c>
      <c r="F788" s="8" t="s">
        <v>97</v>
      </c>
      <c r="G788" s="8" t="s">
        <v>225</v>
      </c>
      <c r="H788" s="8" t="s">
        <v>125</v>
      </c>
      <c r="I788" s="8" t="s">
        <v>114</v>
      </c>
      <c r="J788" s="9" t="s">
        <v>31</v>
      </c>
      <c r="K788" s="2" t="s">
        <v>3821</v>
      </c>
      <c r="L788" s="2" t="s">
        <v>276</v>
      </c>
      <c r="M788" s="2" t="s">
        <v>276</v>
      </c>
      <c r="N788" s="10" t="s">
        <v>3795</v>
      </c>
      <c r="O788" s="10" t="s">
        <v>276</v>
      </c>
      <c r="P788" s="9" t="s">
        <v>239</v>
      </c>
      <c r="Q788" s="36">
        <v>36525</v>
      </c>
      <c r="R788" s="10" t="s">
        <v>276</v>
      </c>
      <c r="S788" s="9" t="s">
        <v>276</v>
      </c>
      <c r="T788" s="9" t="s">
        <v>276</v>
      </c>
      <c r="U788" s="9" t="s">
        <v>276</v>
      </c>
      <c r="V788" s="8" t="s">
        <v>14</v>
      </c>
      <c r="W788" s="2" t="s">
        <v>98</v>
      </c>
      <c r="X788" s="10" t="s">
        <v>207</v>
      </c>
      <c r="Y788" s="13">
        <v>53890</v>
      </c>
      <c r="Z788" s="10">
        <v>106971</v>
      </c>
      <c r="AA788" s="10" t="s">
        <v>276</v>
      </c>
      <c r="AB788" s="10" t="s">
        <v>276</v>
      </c>
      <c r="AC788" s="8">
        <v>10</v>
      </c>
      <c r="AD788" s="8" t="s">
        <v>3802</v>
      </c>
      <c r="AE788" s="8">
        <v>37</v>
      </c>
      <c r="AF788" s="8" t="s">
        <v>3802</v>
      </c>
      <c r="AG788" s="9" t="s">
        <v>3822</v>
      </c>
      <c r="AH788" s="9" t="s">
        <v>3798</v>
      </c>
      <c r="AI788" s="34">
        <f>33+40+98</f>
        <v>171</v>
      </c>
      <c r="AJ788" s="34">
        <f>77+100+209</f>
        <v>386</v>
      </c>
      <c r="AK788" s="34">
        <f t="shared" si="232"/>
        <v>53890</v>
      </c>
      <c r="AL788" s="34">
        <f t="shared" si="232"/>
        <v>106971</v>
      </c>
      <c r="AM788" s="38" t="s">
        <v>281</v>
      </c>
      <c r="AN788" s="8" t="s">
        <v>276</v>
      </c>
      <c r="AO788" s="14">
        <f t="shared" si="233"/>
        <v>3.1731304509185376</v>
      </c>
      <c r="AP788" s="8" t="s">
        <v>276</v>
      </c>
      <c r="AQ788" s="8" t="s">
        <v>276</v>
      </c>
      <c r="AR788" s="8" t="s">
        <v>276</v>
      </c>
      <c r="AS788" s="14">
        <f t="shared" si="234"/>
        <v>3.608454627889802</v>
      </c>
      <c r="AT788" s="8" t="s">
        <v>276</v>
      </c>
      <c r="AU788" s="8" t="s">
        <v>276</v>
      </c>
      <c r="AV788" s="9" t="s">
        <v>268</v>
      </c>
      <c r="AW788" s="35" t="s">
        <v>276</v>
      </c>
      <c r="AX788" s="35">
        <f t="shared" si="235"/>
        <v>0.87935994161970699</v>
      </c>
      <c r="AY788" s="10" t="s">
        <v>276</v>
      </c>
      <c r="AZ788" s="10" t="s">
        <v>276</v>
      </c>
      <c r="BA788" s="10" t="s">
        <v>276</v>
      </c>
      <c r="BB788" s="10" t="s">
        <v>282</v>
      </c>
      <c r="BC788" s="10" t="s">
        <v>98</v>
      </c>
      <c r="BD788" s="10" t="s">
        <v>98</v>
      </c>
      <c r="BE788" s="10" t="s">
        <v>98</v>
      </c>
      <c r="BF788" s="9" t="s">
        <v>1029</v>
      </c>
      <c r="BG788" s="9" t="s">
        <v>3819</v>
      </c>
      <c r="BH788" s="9" t="s">
        <v>100</v>
      </c>
      <c r="BI788" s="9" t="s">
        <v>100</v>
      </c>
      <c r="BJ788" s="32"/>
      <c r="BK788" s="33"/>
      <c r="BL788" s="33"/>
      <c r="BM788" s="33"/>
      <c r="BN788" s="32"/>
      <c r="BO788" s="32"/>
      <c r="BP788" s="33"/>
    </row>
    <row r="789" spans="1:68" s="6" customFormat="1" ht="65" hidden="1" x14ac:dyDescent="0.35">
      <c r="A789" s="8">
        <v>4282</v>
      </c>
      <c r="B789" s="8" t="s">
        <v>3792</v>
      </c>
      <c r="C789" s="8" t="s">
        <v>34</v>
      </c>
      <c r="D789" s="9" t="s">
        <v>3823</v>
      </c>
      <c r="E789" s="8" t="s">
        <v>35</v>
      </c>
      <c r="F789" s="8" t="s">
        <v>97</v>
      </c>
      <c r="G789" s="8" t="s">
        <v>225</v>
      </c>
      <c r="H789" s="8" t="s">
        <v>125</v>
      </c>
      <c r="I789" s="8" t="s">
        <v>114</v>
      </c>
      <c r="J789" s="9" t="s">
        <v>31</v>
      </c>
      <c r="K789" s="2" t="s">
        <v>3824</v>
      </c>
      <c r="L789" s="2" t="s">
        <v>276</v>
      </c>
      <c r="M789" s="2" t="s">
        <v>276</v>
      </c>
      <c r="N789" s="10" t="s">
        <v>3795</v>
      </c>
      <c r="O789" s="10" t="s">
        <v>276</v>
      </c>
      <c r="P789" s="9" t="s">
        <v>239</v>
      </c>
      <c r="Q789" s="36">
        <v>36525</v>
      </c>
      <c r="R789" s="10" t="s">
        <v>276</v>
      </c>
      <c r="S789" s="9" t="s">
        <v>276</v>
      </c>
      <c r="T789" s="9" t="s">
        <v>276</v>
      </c>
      <c r="U789" s="9" t="s">
        <v>276</v>
      </c>
      <c r="V789" s="8" t="s">
        <v>14</v>
      </c>
      <c r="W789" s="2" t="s">
        <v>98</v>
      </c>
      <c r="X789" s="10" t="s">
        <v>207</v>
      </c>
      <c r="Y789" s="13">
        <v>53890</v>
      </c>
      <c r="Z789" s="10">
        <v>106971</v>
      </c>
      <c r="AA789" s="10" t="s">
        <v>276</v>
      </c>
      <c r="AB789" s="10" t="s">
        <v>276</v>
      </c>
      <c r="AC789" s="8">
        <v>10</v>
      </c>
      <c r="AD789" s="8" t="s">
        <v>3802</v>
      </c>
      <c r="AE789" s="8">
        <v>37</v>
      </c>
      <c r="AF789" s="8" t="s">
        <v>3802</v>
      </c>
      <c r="AG789" s="9" t="s">
        <v>3825</v>
      </c>
      <c r="AH789" s="9" t="s">
        <v>3798</v>
      </c>
      <c r="AI789" s="34">
        <f>52+81+95</f>
        <v>228</v>
      </c>
      <c r="AJ789" s="34">
        <f>59+124+149</f>
        <v>332</v>
      </c>
      <c r="AK789" s="34">
        <f t="shared" si="232"/>
        <v>53890</v>
      </c>
      <c r="AL789" s="34">
        <f t="shared" si="232"/>
        <v>106971</v>
      </c>
      <c r="AM789" s="38" t="s">
        <v>281</v>
      </c>
      <c r="AN789" s="8" t="s">
        <v>276</v>
      </c>
      <c r="AO789" s="14">
        <f t="shared" si="233"/>
        <v>4.2308406012247168</v>
      </c>
      <c r="AP789" s="8" t="s">
        <v>276</v>
      </c>
      <c r="AQ789" s="8" t="s">
        <v>276</v>
      </c>
      <c r="AR789" s="8" t="s">
        <v>276</v>
      </c>
      <c r="AS789" s="14">
        <f t="shared" si="234"/>
        <v>3.1036449131072907</v>
      </c>
      <c r="AT789" s="8" t="s">
        <v>276</v>
      </c>
      <c r="AU789" s="8" t="s">
        <v>276</v>
      </c>
      <c r="AV789" s="9" t="s">
        <v>268</v>
      </c>
      <c r="AW789" s="35" t="s">
        <v>276</v>
      </c>
      <c r="AX789" s="35">
        <f t="shared" si="235"/>
        <v>1.3631844878120758</v>
      </c>
      <c r="AY789" s="10" t="s">
        <v>276</v>
      </c>
      <c r="AZ789" s="10" t="s">
        <v>276</v>
      </c>
      <c r="BA789" s="10" t="s">
        <v>276</v>
      </c>
      <c r="BB789" s="10" t="s">
        <v>282</v>
      </c>
      <c r="BC789" s="10" t="s">
        <v>98</v>
      </c>
      <c r="BD789" s="10" t="s">
        <v>98</v>
      </c>
      <c r="BE789" s="10" t="s">
        <v>98</v>
      </c>
      <c r="BF789" s="9" t="s">
        <v>1029</v>
      </c>
      <c r="BG789" s="9" t="s">
        <v>3819</v>
      </c>
      <c r="BH789" s="9" t="s">
        <v>100</v>
      </c>
      <c r="BI789" s="9" t="s">
        <v>100</v>
      </c>
      <c r="BJ789" s="32"/>
      <c r="BK789" s="33"/>
      <c r="BL789" s="33"/>
      <c r="BM789" s="33"/>
      <c r="BN789" s="32"/>
      <c r="BO789" s="32"/>
      <c r="BP789" s="33"/>
    </row>
    <row r="790" spans="1:68" s="269" customFormat="1" ht="65" hidden="1" x14ac:dyDescent="0.35">
      <c r="A790" s="72">
        <v>4282</v>
      </c>
      <c r="B790" s="72" t="s">
        <v>3792</v>
      </c>
      <c r="C790" s="72" t="s">
        <v>34</v>
      </c>
      <c r="D790" s="73" t="s">
        <v>3826</v>
      </c>
      <c r="E790" s="72" t="s">
        <v>35</v>
      </c>
      <c r="F790" s="72" t="s">
        <v>97</v>
      </c>
      <c r="G790" s="72" t="s">
        <v>225</v>
      </c>
      <c r="H790" s="72" t="s">
        <v>125</v>
      </c>
      <c r="I790" s="72" t="s">
        <v>114</v>
      </c>
      <c r="J790" s="73" t="s">
        <v>31</v>
      </c>
      <c r="K790" s="264" t="s">
        <v>3827</v>
      </c>
      <c r="L790" s="264" t="s">
        <v>276</v>
      </c>
      <c r="M790" s="264" t="s">
        <v>276</v>
      </c>
      <c r="N790" s="265" t="s">
        <v>3795</v>
      </c>
      <c r="O790" s="265" t="s">
        <v>276</v>
      </c>
      <c r="P790" s="73" t="s">
        <v>235</v>
      </c>
      <c r="Q790" s="266">
        <v>36525</v>
      </c>
      <c r="R790" s="265" t="s">
        <v>276</v>
      </c>
      <c r="S790" s="73" t="s">
        <v>276</v>
      </c>
      <c r="T790" s="73" t="s">
        <v>276</v>
      </c>
      <c r="U790" s="73" t="s">
        <v>276</v>
      </c>
      <c r="V790" s="72" t="s">
        <v>14</v>
      </c>
      <c r="W790" s="264" t="s">
        <v>98</v>
      </c>
      <c r="X790" s="265" t="s">
        <v>207</v>
      </c>
      <c r="Y790" s="74" t="s">
        <v>98</v>
      </c>
      <c r="Z790" s="265" t="s">
        <v>98</v>
      </c>
      <c r="AA790" s="265" t="s">
        <v>276</v>
      </c>
      <c r="AB790" s="265" t="s">
        <v>276</v>
      </c>
      <c r="AC790" s="72">
        <v>10</v>
      </c>
      <c r="AD790" s="72" t="s">
        <v>3802</v>
      </c>
      <c r="AE790" s="72">
        <v>37</v>
      </c>
      <c r="AF790" s="72" t="s">
        <v>3802</v>
      </c>
      <c r="AG790" s="73" t="s">
        <v>3822</v>
      </c>
      <c r="AH790" s="73" t="s">
        <v>3828</v>
      </c>
      <c r="AI790" s="267">
        <f>98+40+33</f>
        <v>171</v>
      </c>
      <c r="AJ790" s="267">
        <f>77+100+209</f>
        <v>386</v>
      </c>
      <c r="AK790" s="267">
        <f>478-69</f>
        <v>409</v>
      </c>
      <c r="AL790" s="267">
        <f>809-54</f>
        <v>755</v>
      </c>
      <c r="AM790" s="75" t="s">
        <v>292</v>
      </c>
      <c r="AN790" s="72" t="s">
        <v>276</v>
      </c>
      <c r="AO790" s="76">
        <f t="shared" ref="AO790:AO793" si="236">AI790*100/AK790</f>
        <v>41.809290953545229</v>
      </c>
      <c r="AP790" s="72" t="s">
        <v>276</v>
      </c>
      <c r="AQ790" s="72" t="s">
        <v>276</v>
      </c>
      <c r="AR790" s="72" t="s">
        <v>276</v>
      </c>
      <c r="AS790" s="76">
        <f t="shared" ref="AS790:AS793" si="237">AJ790*100/AL790</f>
        <v>51.12582781456954</v>
      </c>
      <c r="AT790" s="72" t="s">
        <v>276</v>
      </c>
      <c r="AU790" s="72" t="s">
        <v>276</v>
      </c>
      <c r="AV790" s="73" t="s">
        <v>268</v>
      </c>
      <c r="AW790" s="268" t="s">
        <v>276</v>
      </c>
      <c r="AX790" s="268">
        <f t="shared" si="235"/>
        <v>0.81777240077530167</v>
      </c>
      <c r="AY790" s="265" t="s">
        <v>276</v>
      </c>
      <c r="AZ790" s="265" t="s">
        <v>276</v>
      </c>
      <c r="BA790" s="265" t="s">
        <v>276</v>
      </c>
      <c r="BB790" s="265" t="s">
        <v>282</v>
      </c>
      <c r="BC790" s="265" t="s">
        <v>98</v>
      </c>
      <c r="BD790" s="265" t="s">
        <v>98</v>
      </c>
      <c r="BE790" s="265" t="s">
        <v>98</v>
      </c>
      <c r="BF790" s="73" t="s">
        <v>1029</v>
      </c>
      <c r="BG790" s="73" t="s">
        <v>98</v>
      </c>
      <c r="BH790" s="9" t="s">
        <v>100</v>
      </c>
      <c r="BI790" s="9" t="s">
        <v>100</v>
      </c>
      <c r="BJ790" s="78"/>
      <c r="BK790" s="79"/>
      <c r="BL790" s="79"/>
      <c r="BM790" s="79"/>
      <c r="BN790" s="78"/>
      <c r="BO790" s="78"/>
      <c r="BP790" s="79"/>
    </row>
    <row r="791" spans="1:68" s="6" customFormat="1" ht="65" hidden="1" x14ac:dyDescent="0.35">
      <c r="A791" s="8">
        <v>4282</v>
      </c>
      <c r="B791" s="8" t="s">
        <v>3792</v>
      </c>
      <c r="C791" s="8" t="s">
        <v>34</v>
      </c>
      <c r="D791" s="9" t="s">
        <v>3829</v>
      </c>
      <c r="E791" s="8" t="s">
        <v>35</v>
      </c>
      <c r="F791" s="8" t="s">
        <v>97</v>
      </c>
      <c r="G791" s="8" t="s">
        <v>225</v>
      </c>
      <c r="H791" s="8" t="s">
        <v>125</v>
      </c>
      <c r="I791" s="8" t="s">
        <v>114</v>
      </c>
      <c r="J791" s="9" t="s">
        <v>117</v>
      </c>
      <c r="K791" s="2" t="s">
        <v>3830</v>
      </c>
      <c r="L791" s="2" t="s">
        <v>276</v>
      </c>
      <c r="M791" s="2" t="s">
        <v>276</v>
      </c>
      <c r="N791" s="10" t="s">
        <v>3795</v>
      </c>
      <c r="O791" s="10" t="s">
        <v>276</v>
      </c>
      <c r="P791" s="9" t="s">
        <v>239</v>
      </c>
      <c r="Q791" s="36">
        <v>36525</v>
      </c>
      <c r="R791" s="10" t="s">
        <v>276</v>
      </c>
      <c r="S791" s="9" t="s">
        <v>276</v>
      </c>
      <c r="T791" s="9" t="s">
        <v>276</v>
      </c>
      <c r="U791" s="9" t="s">
        <v>276</v>
      </c>
      <c r="V791" s="8" t="s">
        <v>14</v>
      </c>
      <c r="W791" s="2" t="s">
        <v>98</v>
      </c>
      <c r="X791" s="10" t="s">
        <v>207</v>
      </c>
      <c r="Y791" s="13">
        <v>53890</v>
      </c>
      <c r="Z791" s="10">
        <v>106971</v>
      </c>
      <c r="AA791" s="10" t="s">
        <v>276</v>
      </c>
      <c r="AB791" s="10" t="s">
        <v>276</v>
      </c>
      <c r="AC791" s="8">
        <v>75</v>
      </c>
      <c r="AD791" s="9" t="s">
        <v>3831</v>
      </c>
      <c r="AE791" s="8">
        <v>173</v>
      </c>
      <c r="AF791" s="9" t="s">
        <v>3832</v>
      </c>
      <c r="AG791" s="92" t="s">
        <v>3833</v>
      </c>
      <c r="AH791" s="9" t="s">
        <v>3798</v>
      </c>
      <c r="AI791" s="34">
        <v>210</v>
      </c>
      <c r="AJ791" s="34">
        <v>306</v>
      </c>
      <c r="AK791" s="34">
        <f>Y791</f>
        <v>53890</v>
      </c>
      <c r="AL791" s="34">
        <f>Z791</f>
        <v>106971</v>
      </c>
      <c r="AM791" s="38" t="s">
        <v>281</v>
      </c>
      <c r="AN791" s="8" t="s">
        <v>276</v>
      </c>
      <c r="AO791" s="14">
        <f>AI791*1000/AK791</f>
        <v>3.8968268695490815</v>
      </c>
      <c r="AP791" s="8" t="s">
        <v>276</v>
      </c>
      <c r="AQ791" s="8" t="s">
        <v>276</v>
      </c>
      <c r="AR791" s="8" t="s">
        <v>276</v>
      </c>
      <c r="AS791" s="14">
        <f>AJ791*1000/AL791</f>
        <v>2.860588383767563</v>
      </c>
      <c r="AT791" s="8" t="s">
        <v>276</v>
      </c>
      <c r="AU791" s="8" t="s">
        <v>276</v>
      </c>
      <c r="AV791" s="9" t="s">
        <v>268</v>
      </c>
      <c r="AW791" s="35" t="s">
        <v>276</v>
      </c>
      <c r="AX791" s="35">
        <f t="shared" si="235"/>
        <v>1.3622466243873688</v>
      </c>
      <c r="AY791" s="10" t="s">
        <v>276</v>
      </c>
      <c r="AZ791" s="10" t="s">
        <v>276</v>
      </c>
      <c r="BA791" s="10" t="s">
        <v>276</v>
      </c>
      <c r="BB791" s="10" t="s">
        <v>282</v>
      </c>
      <c r="BC791" s="10" t="s">
        <v>98</v>
      </c>
      <c r="BD791" s="10" t="s">
        <v>98</v>
      </c>
      <c r="BE791" s="10" t="s">
        <v>98</v>
      </c>
      <c r="BF791" s="9" t="s">
        <v>3834</v>
      </c>
      <c r="BG791" s="9" t="s">
        <v>3819</v>
      </c>
      <c r="BH791" s="9" t="s">
        <v>100</v>
      </c>
      <c r="BI791" s="9" t="s">
        <v>100</v>
      </c>
      <c r="BJ791" s="32"/>
      <c r="BK791" s="33"/>
      <c r="BL791" s="33"/>
      <c r="BM791" s="33"/>
      <c r="BN791" s="32"/>
      <c r="BO791" s="32"/>
      <c r="BP791" s="33"/>
    </row>
    <row r="792" spans="1:68" s="6" customFormat="1" ht="65" hidden="1" x14ac:dyDescent="0.35">
      <c r="A792" s="8">
        <v>4282</v>
      </c>
      <c r="B792" s="8" t="s">
        <v>3792</v>
      </c>
      <c r="C792" s="8" t="s">
        <v>34</v>
      </c>
      <c r="D792" s="9" t="s">
        <v>3835</v>
      </c>
      <c r="E792" s="8" t="s">
        <v>35</v>
      </c>
      <c r="F792" s="8" t="s">
        <v>97</v>
      </c>
      <c r="G792" s="8" t="s">
        <v>225</v>
      </c>
      <c r="H792" s="8" t="s">
        <v>125</v>
      </c>
      <c r="I792" s="8" t="s">
        <v>114</v>
      </c>
      <c r="J792" s="9" t="s">
        <v>117</v>
      </c>
      <c r="K792" s="2" t="s">
        <v>3836</v>
      </c>
      <c r="L792" s="2" t="s">
        <v>276</v>
      </c>
      <c r="M792" s="2" t="s">
        <v>276</v>
      </c>
      <c r="N792" s="10" t="s">
        <v>3795</v>
      </c>
      <c r="O792" s="10" t="s">
        <v>276</v>
      </c>
      <c r="P792" s="9" t="s">
        <v>239</v>
      </c>
      <c r="Q792" s="36">
        <v>36525</v>
      </c>
      <c r="R792" s="10" t="s">
        <v>276</v>
      </c>
      <c r="S792" s="9" t="s">
        <v>276</v>
      </c>
      <c r="T792" s="9" t="s">
        <v>276</v>
      </c>
      <c r="U792" s="9" t="s">
        <v>276</v>
      </c>
      <c r="V792" s="8" t="s">
        <v>14</v>
      </c>
      <c r="W792" s="2" t="s">
        <v>98</v>
      </c>
      <c r="X792" s="10" t="s">
        <v>207</v>
      </c>
      <c r="Y792" s="13">
        <v>53890</v>
      </c>
      <c r="Z792" s="10">
        <v>106971</v>
      </c>
      <c r="AA792" s="10" t="s">
        <v>276</v>
      </c>
      <c r="AB792" s="10" t="s">
        <v>276</v>
      </c>
      <c r="AC792" s="8">
        <v>75</v>
      </c>
      <c r="AD792" s="9" t="s">
        <v>3831</v>
      </c>
      <c r="AE792" s="8">
        <v>173</v>
      </c>
      <c r="AF792" s="9" t="s">
        <v>3832</v>
      </c>
      <c r="AG792" s="92" t="s">
        <v>3837</v>
      </c>
      <c r="AH792" s="9" t="s">
        <v>3798</v>
      </c>
      <c r="AI792" s="34">
        <f>87+37</f>
        <v>124</v>
      </c>
      <c r="AJ792" s="34">
        <f>181+95</f>
        <v>276</v>
      </c>
      <c r="AK792" s="34">
        <f>Y792</f>
        <v>53890</v>
      </c>
      <c r="AL792" s="34">
        <f>Z792</f>
        <v>106971</v>
      </c>
      <c r="AM792" s="38" t="s">
        <v>281</v>
      </c>
      <c r="AN792" s="8" t="s">
        <v>276</v>
      </c>
      <c r="AO792" s="14">
        <f>AI792*1000/AK792</f>
        <v>2.3009834848766006</v>
      </c>
      <c r="AP792" s="8" t="s">
        <v>276</v>
      </c>
      <c r="AQ792" s="8" t="s">
        <v>276</v>
      </c>
      <c r="AR792" s="8" t="s">
        <v>276</v>
      </c>
      <c r="AS792" s="14">
        <f>AJ792*1000/AL792</f>
        <v>2.5801385422217238</v>
      </c>
      <c r="AT792" s="8" t="s">
        <v>276</v>
      </c>
      <c r="AU792" s="8" t="s">
        <v>276</v>
      </c>
      <c r="AV792" s="9" t="s">
        <v>268</v>
      </c>
      <c r="AW792" s="35" t="s">
        <v>276</v>
      </c>
      <c r="AX792" s="35">
        <f t="shared" si="235"/>
        <v>0.89180617522005379</v>
      </c>
      <c r="AY792" s="10" t="s">
        <v>276</v>
      </c>
      <c r="AZ792" s="10" t="s">
        <v>276</v>
      </c>
      <c r="BA792" s="10" t="s">
        <v>276</v>
      </c>
      <c r="BB792" s="10" t="s">
        <v>282</v>
      </c>
      <c r="BC792" s="10" t="s">
        <v>98</v>
      </c>
      <c r="BD792" s="10" t="s">
        <v>98</v>
      </c>
      <c r="BE792" s="10" t="s">
        <v>98</v>
      </c>
      <c r="BF792" s="9" t="s">
        <v>3834</v>
      </c>
      <c r="BG792" s="9" t="s">
        <v>3819</v>
      </c>
      <c r="BH792" s="9" t="s">
        <v>100</v>
      </c>
      <c r="BI792" s="9" t="s">
        <v>100</v>
      </c>
      <c r="BJ792" s="32"/>
      <c r="BK792" s="33"/>
      <c r="BL792" s="33"/>
      <c r="BM792" s="33"/>
      <c r="BN792" s="32"/>
      <c r="BO792" s="32"/>
      <c r="BP792" s="33"/>
    </row>
    <row r="793" spans="1:68" s="269" customFormat="1" ht="65" hidden="1" x14ac:dyDescent="0.35">
      <c r="A793" s="72">
        <v>4282</v>
      </c>
      <c r="B793" s="72" t="s">
        <v>3792</v>
      </c>
      <c r="C793" s="72" t="s">
        <v>34</v>
      </c>
      <c r="D793" s="73" t="s">
        <v>3838</v>
      </c>
      <c r="E793" s="72" t="s">
        <v>35</v>
      </c>
      <c r="F793" s="72" t="s">
        <v>97</v>
      </c>
      <c r="G793" s="72" t="s">
        <v>225</v>
      </c>
      <c r="H793" s="72" t="s">
        <v>125</v>
      </c>
      <c r="I793" s="72" t="s">
        <v>114</v>
      </c>
      <c r="J793" s="73" t="s">
        <v>117</v>
      </c>
      <c r="K793" s="264" t="s">
        <v>3836</v>
      </c>
      <c r="L793" s="264" t="s">
        <v>276</v>
      </c>
      <c r="M793" s="264" t="s">
        <v>276</v>
      </c>
      <c r="N793" s="265" t="s">
        <v>3795</v>
      </c>
      <c r="O793" s="265" t="s">
        <v>276</v>
      </c>
      <c r="P793" s="73" t="s">
        <v>235</v>
      </c>
      <c r="Q793" s="266">
        <v>36525</v>
      </c>
      <c r="R793" s="265" t="s">
        <v>276</v>
      </c>
      <c r="S793" s="73" t="s">
        <v>276</v>
      </c>
      <c r="T793" s="73" t="s">
        <v>276</v>
      </c>
      <c r="U793" s="73" t="s">
        <v>276</v>
      </c>
      <c r="V793" s="72" t="s">
        <v>14</v>
      </c>
      <c r="W793" s="264" t="s">
        <v>98</v>
      </c>
      <c r="X793" s="265" t="s">
        <v>207</v>
      </c>
      <c r="Y793" s="74" t="s">
        <v>98</v>
      </c>
      <c r="Z793" s="265" t="s">
        <v>98</v>
      </c>
      <c r="AA793" s="265" t="s">
        <v>276</v>
      </c>
      <c r="AB793" s="265" t="s">
        <v>276</v>
      </c>
      <c r="AC793" s="72">
        <v>75</v>
      </c>
      <c r="AD793" s="73" t="s">
        <v>3831</v>
      </c>
      <c r="AE793" s="72">
        <v>173</v>
      </c>
      <c r="AF793" s="73" t="s">
        <v>3832</v>
      </c>
      <c r="AG793" s="73" t="s">
        <v>3839</v>
      </c>
      <c r="AH793" s="73" t="s">
        <v>3840</v>
      </c>
      <c r="AI793" s="267">
        <f>87+37</f>
        <v>124</v>
      </c>
      <c r="AJ793" s="267">
        <f>181+95</f>
        <v>276</v>
      </c>
      <c r="AK793" s="267">
        <f>478-69</f>
        <v>409</v>
      </c>
      <c r="AL793" s="267">
        <f>809-54</f>
        <v>755</v>
      </c>
      <c r="AM793" s="75" t="s">
        <v>292</v>
      </c>
      <c r="AN793" s="72" t="s">
        <v>276</v>
      </c>
      <c r="AO793" s="76">
        <f t="shared" si="236"/>
        <v>30.317848410757946</v>
      </c>
      <c r="AP793" s="72" t="s">
        <v>276</v>
      </c>
      <c r="AQ793" s="72" t="s">
        <v>276</v>
      </c>
      <c r="AR793" s="72" t="s">
        <v>276</v>
      </c>
      <c r="AS793" s="76">
        <f t="shared" si="237"/>
        <v>36.556291390728475</v>
      </c>
      <c r="AT793" s="72" t="s">
        <v>276</v>
      </c>
      <c r="AU793" s="72" t="s">
        <v>276</v>
      </c>
      <c r="AV793" s="73" t="s">
        <v>268</v>
      </c>
      <c r="AW793" s="268" t="s">
        <v>276</v>
      </c>
      <c r="AX793" s="268">
        <f t="shared" si="235"/>
        <v>0.82934694022182065</v>
      </c>
      <c r="AY793" s="265" t="s">
        <v>276</v>
      </c>
      <c r="AZ793" s="265" t="s">
        <v>276</v>
      </c>
      <c r="BA793" s="265" t="s">
        <v>276</v>
      </c>
      <c r="BB793" s="265" t="s">
        <v>282</v>
      </c>
      <c r="BC793" s="265" t="s">
        <v>98</v>
      </c>
      <c r="BD793" s="265" t="s">
        <v>98</v>
      </c>
      <c r="BE793" s="265" t="s">
        <v>98</v>
      </c>
      <c r="BF793" s="73" t="s">
        <v>3834</v>
      </c>
      <c r="BG793" s="73" t="s">
        <v>3819</v>
      </c>
      <c r="BH793" s="9" t="s">
        <v>100</v>
      </c>
      <c r="BI793" s="9" t="s">
        <v>100</v>
      </c>
      <c r="BJ793" s="78"/>
      <c r="BK793" s="79"/>
      <c r="BL793" s="79"/>
      <c r="BM793" s="79"/>
      <c r="BN793" s="78"/>
      <c r="BO793" s="78"/>
      <c r="BP793" s="79"/>
    </row>
    <row r="794" spans="1:68" s="6" customFormat="1" ht="52" hidden="1" x14ac:dyDescent="0.35">
      <c r="A794" s="8">
        <v>4282</v>
      </c>
      <c r="B794" s="8" t="s">
        <v>3792</v>
      </c>
      <c r="C794" s="8" t="s">
        <v>34</v>
      </c>
      <c r="D794" s="9" t="s">
        <v>3841</v>
      </c>
      <c r="E794" s="8" t="s">
        <v>35</v>
      </c>
      <c r="F794" s="8" t="s">
        <v>97</v>
      </c>
      <c r="G794" s="8" t="s">
        <v>225</v>
      </c>
      <c r="H794" s="8" t="s">
        <v>125</v>
      </c>
      <c r="I794" s="8" t="s">
        <v>114</v>
      </c>
      <c r="J794" s="9" t="s">
        <v>98</v>
      </c>
      <c r="K794" s="2" t="s">
        <v>98</v>
      </c>
      <c r="L794" s="2" t="s">
        <v>98</v>
      </c>
      <c r="M794" s="2" t="s">
        <v>98</v>
      </c>
      <c r="N794" s="2" t="s">
        <v>3842</v>
      </c>
      <c r="O794" s="10" t="s">
        <v>276</v>
      </c>
      <c r="P794" s="9" t="s">
        <v>236</v>
      </c>
      <c r="Q794" s="36">
        <v>36525</v>
      </c>
      <c r="R794" s="10" t="s">
        <v>276</v>
      </c>
      <c r="S794" s="9" t="s">
        <v>276</v>
      </c>
      <c r="T794" s="9" t="s">
        <v>98</v>
      </c>
      <c r="U794" s="9" t="s">
        <v>276</v>
      </c>
      <c r="V794" s="8" t="s">
        <v>14</v>
      </c>
      <c r="W794" s="2" t="s">
        <v>98</v>
      </c>
      <c r="X794" s="10" t="s">
        <v>209</v>
      </c>
      <c r="Y794" s="10" t="s">
        <v>98</v>
      </c>
      <c r="Z794" s="10" t="s">
        <v>98</v>
      </c>
      <c r="AA794" s="10" t="s">
        <v>276</v>
      </c>
      <c r="AB794" s="10" t="s">
        <v>98</v>
      </c>
      <c r="AC794" s="8">
        <v>0</v>
      </c>
      <c r="AD794" s="9" t="s">
        <v>3843</v>
      </c>
      <c r="AE794" s="8" t="s">
        <v>98</v>
      </c>
      <c r="AF794" s="8" t="s">
        <v>98</v>
      </c>
      <c r="AG794" s="9" t="s">
        <v>3844</v>
      </c>
      <c r="AH794" s="9" t="s">
        <v>3845</v>
      </c>
      <c r="AI794" s="34">
        <f>47+180</f>
        <v>227</v>
      </c>
      <c r="AJ794" s="34" t="s">
        <v>98</v>
      </c>
      <c r="AK794" s="34">
        <v>478</v>
      </c>
      <c r="AL794" s="34" t="str">
        <f>Z794</f>
        <v>NA</v>
      </c>
      <c r="AM794" s="38" t="s">
        <v>292</v>
      </c>
      <c r="AN794" s="8" t="s">
        <v>276</v>
      </c>
      <c r="AO794" s="14">
        <f>AI794*100/AK794</f>
        <v>47.489539748953973</v>
      </c>
      <c r="AP794" s="8" t="s">
        <v>276</v>
      </c>
      <c r="AQ794" s="8" t="s">
        <v>276</v>
      </c>
      <c r="AR794" s="8" t="s">
        <v>98</v>
      </c>
      <c r="AS794" s="14" t="s">
        <v>98</v>
      </c>
      <c r="AT794" s="8" t="s">
        <v>98</v>
      </c>
      <c r="AU794" s="8" t="s">
        <v>98</v>
      </c>
      <c r="AV794" s="9" t="s">
        <v>98</v>
      </c>
      <c r="AW794" s="35" t="s">
        <v>98</v>
      </c>
      <c r="AX794" s="35" t="s">
        <v>98</v>
      </c>
      <c r="AY794" s="10" t="s">
        <v>98</v>
      </c>
      <c r="AZ794" s="10" t="s">
        <v>98</v>
      </c>
      <c r="BA794" s="10" t="s">
        <v>98</v>
      </c>
      <c r="BB794" s="10" t="s">
        <v>282</v>
      </c>
      <c r="BC794" s="10" t="s">
        <v>98</v>
      </c>
      <c r="BD794" s="10" t="s">
        <v>98</v>
      </c>
      <c r="BE794" s="10" t="s">
        <v>98</v>
      </c>
      <c r="BF794" s="9" t="s">
        <v>1029</v>
      </c>
      <c r="BG794" s="9" t="s">
        <v>98</v>
      </c>
      <c r="BH794" s="9" t="s">
        <v>100</v>
      </c>
      <c r="BI794" s="9" t="s">
        <v>100</v>
      </c>
      <c r="BJ794" s="32"/>
      <c r="BK794" s="33"/>
      <c r="BL794" s="33"/>
      <c r="BM794" s="33"/>
      <c r="BN794" s="32"/>
      <c r="BO794" s="32"/>
      <c r="BP794" s="33"/>
    </row>
    <row r="795" spans="1:68" s="6" customFormat="1" ht="52" hidden="1" x14ac:dyDescent="0.35">
      <c r="A795" s="8">
        <v>4282</v>
      </c>
      <c r="B795" s="8" t="s">
        <v>3792</v>
      </c>
      <c r="C795" s="8" t="s">
        <v>34</v>
      </c>
      <c r="D795" s="9" t="s">
        <v>3846</v>
      </c>
      <c r="E795" s="8" t="s">
        <v>35</v>
      </c>
      <c r="F795" s="8" t="s">
        <v>97</v>
      </c>
      <c r="G795" s="8" t="s">
        <v>225</v>
      </c>
      <c r="H795" s="8" t="s">
        <v>125</v>
      </c>
      <c r="I795" s="8" t="s">
        <v>114</v>
      </c>
      <c r="J795" s="9" t="s">
        <v>98</v>
      </c>
      <c r="K795" s="2" t="s">
        <v>98</v>
      </c>
      <c r="L795" s="2" t="s">
        <v>98</v>
      </c>
      <c r="M795" s="2" t="s">
        <v>98</v>
      </c>
      <c r="N795" s="2" t="s">
        <v>3842</v>
      </c>
      <c r="O795" s="10" t="s">
        <v>276</v>
      </c>
      <c r="P795" s="9" t="s">
        <v>236</v>
      </c>
      <c r="Q795" s="36">
        <v>36525</v>
      </c>
      <c r="R795" s="10" t="s">
        <v>276</v>
      </c>
      <c r="S795" s="9" t="s">
        <v>276</v>
      </c>
      <c r="T795" s="9" t="s">
        <v>98</v>
      </c>
      <c r="U795" s="9" t="s">
        <v>276</v>
      </c>
      <c r="V795" s="8" t="s">
        <v>14</v>
      </c>
      <c r="W795" s="2" t="s">
        <v>98</v>
      </c>
      <c r="X795" s="10" t="s">
        <v>209</v>
      </c>
      <c r="Y795" s="10" t="s">
        <v>98</v>
      </c>
      <c r="Z795" s="10" t="s">
        <v>98</v>
      </c>
      <c r="AA795" s="10" t="s">
        <v>276</v>
      </c>
      <c r="AB795" s="10" t="s">
        <v>98</v>
      </c>
      <c r="AC795" s="8">
        <v>0</v>
      </c>
      <c r="AD795" s="9" t="s">
        <v>3843</v>
      </c>
      <c r="AE795" s="8" t="s">
        <v>98</v>
      </c>
      <c r="AF795" s="8" t="s">
        <v>98</v>
      </c>
      <c r="AG795" s="9" t="s">
        <v>3847</v>
      </c>
      <c r="AH795" s="9" t="s">
        <v>3848</v>
      </c>
      <c r="AI795" s="34">
        <f>47+180-6-49</f>
        <v>172</v>
      </c>
      <c r="AJ795" s="34" t="s">
        <v>98</v>
      </c>
      <c r="AK795" s="34">
        <f>478-69</f>
        <v>409</v>
      </c>
      <c r="AL795" s="34" t="str">
        <f>Z795</f>
        <v>NA</v>
      </c>
      <c r="AM795" s="38" t="s">
        <v>292</v>
      </c>
      <c r="AN795" s="8" t="s">
        <v>276</v>
      </c>
      <c r="AO795" s="14">
        <f t="shared" ref="AO795" si="238">AI795*100/AK795</f>
        <v>42.053789731051346</v>
      </c>
      <c r="AP795" s="8" t="s">
        <v>276</v>
      </c>
      <c r="AQ795" s="8" t="s">
        <v>276</v>
      </c>
      <c r="AR795" s="8" t="s">
        <v>98</v>
      </c>
      <c r="AS795" s="14" t="s">
        <v>98</v>
      </c>
      <c r="AT795" s="8" t="s">
        <v>98</v>
      </c>
      <c r="AU795" s="8" t="s">
        <v>98</v>
      </c>
      <c r="AV795" s="9" t="s">
        <v>98</v>
      </c>
      <c r="AW795" s="35" t="s">
        <v>98</v>
      </c>
      <c r="AX795" s="35" t="s">
        <v>98</v>
      </c>
      <c r="AY795" s="10" t="s">
        <v>98</v>
      </c>
      <c r="AZ795" s="10" t="s">
        <v>98</v>
      </c>
      <c r="BA795" s="10" t="s">
        <v>98</v>
      </c>
      <c r="BB795" s="10" t="s">
        <v>282</v>
      </c>
      <c r="BC795" s="10" t="s">
        <v>98</v>
      </c>
      <c r="BD795" s="10" t="s">
        <v>98</v>
      </c>
      <c r="BE795" s="10" t="s">
        <v>98</v>
      </c>
      <c r="BF795" s="9" t="s">
        <v>1029</v>
      </c>
      <c r="BG795" s="9" t="s">
        <v>98</v>
      </c>
      <c r="BH795" s="9" t="s">
        <v>100</v>
      </c>
      <c r="BI795" s="9" t="s">
        <v>100</v>
      </c>
      <c r="BJ795" s="32"/>
      <c r="BK795" s="33"/>
      <c r="BL795" s="33"/>
      <c r="BM795" s="33"/>
      <c r="BN795" s="32"/>
      <c r="BO795" s="32"/>
      <c r="BP795" s="33"/>
    </row>
    <row r="796" spans="1:68" s="6" customFormat="1" ht="65" hidden="1" x14ac:dyDescent="0.35">
      <c r="A796" s="8">
        <v>4282</v>
      </c>
      <c r="B796" s="8" t="s">
        <v>3792</v>
      </c>
      <c r="C796" s="8" t="s">
        <v>34</v>
      </c>
      <c r="D796" s="9" t="s">
        <v>3849</v>
      </c>
      <c r="E796" s="8" t="s">
        <v>35</v>
      </c>
      <c r="F796" s="8" t="s">
        <v>97</v>
      </c>
      <c r="G796" s="8" t="s">
        <v>225</v>
      </c>
      <c r="H796" s="8" t="s">
        <v>125</v>
      </c>
      <c r="I796" s="8" t="s">
        <v>114</v>
      </c>
      <c r="J796" s="9" t="s">
        <v>98</v>
      </c>
      <c r="K796" s="2" t="s">
        <v>98</v>
      </c>
      <c r="L796" s="2" t="s">
        <v>98</v>
      </c>
      <c r="M796" s="2" t="s">
        <v>98</v>
      </c>
      <c r="N796" s="10" t="s">
        <v>3795</v>
      </c>
      <c r="O796" s="10" t="s">
        <v>276</v>
      </c>
      <c r="P796" s="9" t="s">
        <v>237</v>
      </c>
      <c r="Q796" s="36">
        <v>36525</v>
      </c>
      <c r="R796" s="10" t="s">
        <v>276</v>
      </c>
      <c r="S796" s="9" t="s">
        <v>276</v>
      </c>
      <c r="T796" s="9" t="s">
        <v>98</v>
      </c>
      <c r="U796" s="9" t="s">
        <v>276</v>
      </c>
      <c r="V796" s="8" t="s">
        <v>14</v>
      </c>
      <c r="W796" s="2" t="s">
        <v>98</v>
      </c>
      <c r="X796" s="10" t="s">
        <v>209</v>
      </c>
      <c r="Y796" s="10" t="s">
        <v>98</v>
      </c>
      <c r="Z796" s="10" t="s">
        <v>98</v>
      </c>
      <c r="AA796" s="10" t="s">
        <v>276</v>
      </c>
      <c r="AB796" s="10" t="s">
        <v>98</v>
      </c>
      <c r="AC796" s="8">
        <f>20+13</f>
        <v>33</v>
      </c>
      <c r="AD796" s="8" t="s">
        <v>3850</v>
      </c>
      <c r="AE796" s="8" t="s">
        <v>98</v>
      </c>
      <c r="AF796" s="8" t="s">
        <v>98</v>
      </c>
      <c r="AG796" s="9" t="s">
        <v>3851</v>
      </c>
      <c r="AH796" s="9" t="s">
        <v>3852</v>
      </c>
      <c r="AI796" s="34">
        <f>12+44</f>
        <v>56</v>
      </c>
      <c r="AJ796" s="34" t="s">
        <v>98</v>
      </c>
      <c r="AK796" s="34">
        <v>172</v>
      </c>
      <c r="AL796" s="34" t="str">
        <f>Z796</f>
        <v>NA</v>
      </c>
      <c r="AM796" s="38" t="s">
        <v>292</v>
      </c>
      <c r="AN796" s="8" t="s">
        <v>276</v>
      </c>
      <c r="AO796" s="14">
        <f>AI796*100/AK796</f>
        <v>32.558139534883722</v>
      </c>
      <c r="AP796" s="8" t="s">
        <v>276</v>
      </c>
      <c r="AQ796" s="8" t="s">
        <v>276</v>
      </c>
      <c r="AR796" s="8" t="s">
        <v>98</v>
      </c>
      <c r="AS796" s="14" t="s">
        <v>98</v>
      </c>
      <c r="AT796" s="8" t="s">
        <v>98</v>
      </c>
      <c r="AU796" s="8" t="s">
        <v>98</v>
      </c>
      <c r="AV796" s="9" t="s">
        <v>98</v>
      </c>
      <c r="AW796" s="35" t="s">
        <v>98</v>
      </c>
      <c r="AX796" s="35" t="s">
        <v>98</v>
      </c>
      <c r="AY796" s="10" t="s">
        <v>98</v>
      </c>
      <c r="AZ796" s="10" t="s">
        <v>98</v>
      </c>
      <c r="BA796" s="10" t="s">
        <v>98</v>
      </c>
      <c r="BB796" s="10" t="s">
        <v>282</v>
      </c>
      <c r="BC796" s="10" t="s">
        <v>98</v>
      </c>
      <c r="BD796" s="10" t="s">
        <v>98</v>
      </c>
      <c r="BE796" s="10" t="s">
        <v>98</v>
      </c>
      <c r="BF796" s="9" t="s">
        <v>1010</v>
      </c>
      <c r="BG796" s="9" t="s">
        <v>98</v>
      </c>
      <c r="BH796" s="9" t="s">
        <v>100</v>
      </c>
      <c r="BI796" s="9" t="s">
        <v>100</v>
      </c>
      <c r="BJ796" s="32"/>
      <c r="BK796" s="33"/>
      <c r="BL796" s="33"/>
      <c r="BM796" s="33"/>
      <c r="BN796" s="32"/>
      <c r="BO796" s="32"/>
      <c r="BP796" s="33"/>
    </row>
    <row r="797" spans="1:68" s="6" customFormat="1" ht="65" hidden="1" x14ac:dyDescent="0.35">
      <c r="A797" s="8">
        <v>4282</v>
      </c>
      <c r="B797" s="8" t="s">
        <v>3792</v>
      </c>
      <c r="C797" s="8" t="s">
        <v>34</v>
      </c>
      <c r="D797" s="9" t="s">
        <v>3853</v>
      </c>
      <c r="E797" s="8" t="s">
        <v>35</v>
      </c>
      <c r="F797" s="8" t="s">
        <v>97</v>
      </c>
      <c r="G797" s="8" t="s">
        <v>225</v>
      </c>
      <c r="H797" s="8" t="s">
        <v>125</v>
      </c>
      <c r="I797" s="8" t="s">
        <v>114</v>
      </c>
      <c r="J797" s="9" t="s">
        <v>98</v>
      </c>
      <c r="K797" s="2" t="s">
        <v>98</v>
      </c>
      <c r="L797" s="2" t="s">
        <v>98</v>
      </c>
      <c r="M797" s="2" t="s">
        <v>98</v>
      </c>
      <c r="N797" s="2" t="s">
        <v>3842</v>
      </c>
      <c r="O797" s="10" t="s">
        <v>276</v>
      </c>
      <c r="P797" s="9" t="s">
        <v>238</v>
      </c>
      <c r="Q797" s="36">
        <v>36525</v>
      </c>
      <c r="R797" s="10" t="s">
        <v>276</v>
      </c>
      <c r="S797" s="9" t="s">
        <v>276</v>
      </c>
      <c r="T797" s="9" t="s">
        <v>98</v>
      </c>
      <c r="U797" s="9" t="s">
        <v>276</v>
      </c>
      <c r="V797" s="8" t="s">
        <v>14</v>
      </c>
      <c r="W797" s="2" t="s">
        <v>98</v>
      </c>
      <c r="X797" s="10" t="s">
        <v>209</v>
      </c>
      <c r="Y797" s="13">
        <v>53890</v>
      </c>
      <c r="Z797" s="10" t="s">
        <v>98</v>
      </c>
      <c r="AA797" s="10" t="s">
        <v>276</v>
      </c>
      <c r="AB797" s="10" t="s">
        <v>98</v>
      </c>
      <c r="AC797" s="8">
        <v>0</v>
      </c>
      <c r="AD797" s="9" t="s">
        <v>3843</v>
      </c>
      <c r="AE797" s="8" t="s">
        <v>98</v>
      </c>
      <c r="AF797" s="8" t="s">
        <v>98</v>
      </c>
      <c r="AG797" s="9" t="s">
        <v>3854</v>
      </c>
      <c r="AH797" s="9" t="s">
        <v>3855</v>
      </c>
      <c r="AI797" s="34">
        <f>47+180</f>
        <v>227</v>
      </c>
      <c r="AJ797" s="34" t="s">
        <v>98</v>
      </c>
      <c r="AK797" s="34">
        <v>53890</v>
      </c>
      <c r="AL797" s="34" t="str">
        <f>Z797</f>
        <v>NA</v>
      </c>
      <c r="AM797" s="38" t="s">
        <v>281</v>
      </c>
      <c r="AN797" s="8" t="s">
        <v>276</v>
      </c>
      <c r="AO797" s="14">
        <f t="shared" ref="AO797:AO813" si="239">AI797*1000/AK797</f>
        <v>4.2122842827982927</v>
      </c>
      <c r="AP797" s="8" t="s">
        <v>276</v>
      </c>
      <c r="AQ797" s="8" t="s">
        <v>276</v>
      </c>
      <c r="AR797" s="8" t="s">
        <v>98</v>
      </c>
      <c r="AS797" s="14" t="s">
        <v>98</v>
      </c>
      <c r="AT797" s="8" t="s">
        <v>98</v>
      </c>
      <c r="AU797" s="8" t="s">
        <v>98</v>
      </c>
      <c r="AV797" s="9" t="s">
        <v>98</v>
      </c>
      <c r="AW797" s="35" t="s">
        <v>98</v>
      </c>
      <c r="AX797" s="35" t="s">
        <v>98</v>
      </c>
      <c r="AY797" s="10" t="s">
        <v>98</v>
      </c>
      <c r="AZ797" s="10" t="s">
        <v>98</v>
      </c>
      <c r="BA797" s="10" t="s">
        <v>98</v>
      </c>
      <c r="BB797" s="10" t="s">
        <v>282</v>
      </c>
      <c r="BC797" s="10" t="s">
        <v>98</v>
      </c>
      <c r="BD797" s="10" t="s">
        <v>98</v>
      </c>
      <c r="BE797" s="10" t="s">
        <v>98</v>
      </c>
      <c r="BF797" s="9" t="s">
        <v>3856</v>
      </c>
      <c r="BG797" s="9" t="s">
        <v>98</v>
      </c>
      <c r="BH797" s="9" t="s">
        <v>100</v>
      </c>
      <c r="BI797" s="9" t="s">
        <v>100</v>
      </c>
      <c r="BJ797" s="32"/>
      <c r="BK797" s="33"/>
      <c r="BL797" s="33"/>
      <c r="BM797" s="33"/>
      <c r="BN797" s="32"/>
      <c r="BO797" s="32"/>
      <c r="BP797" s="33"/>
    </row>
    <row r="798" spans="1:68" s="6" customFormat="1" ht="52" hidden="1" x14ac:dyDescent="0.35">
      <c r="A798" s="8">
        <v>4282</v>
      </c>
      <c r="B798" s="8" t="s">
        <v>3792</v>
      </c>
      <c r="C798" s="8" t="s">
        <v>34</v>
      </c>
      <c r="D798" s="9" t="s">
        <v>3857</v>
      </c>
      <c r="E798" s="8" t="s">
        <v>35</v>
      </c>
      <c r="F798" s="8" t="s">
        <v>97</v>
      </c>
      <c r="G798" s="8" t="s">
        <v>225</v>
      </c>
      <c r="H798" s="8" t="s">
        <v>125</v>
      </c>
      <c r="I798" s="8" t="s">
        <v>114</v>
      </c>
      <c r="J798" s="9" t="s">
        <v>98</v>
      </c>
      <c r="K798" s="2" t="s">
        <v>98</v>
      </c>
      <c r="L798" s="2" t="s">
        <v>98</v>
      </c>
      <c r="M798" s="2" t="s">
        <v>98</v>
      </c>
      <c r="N798" s="2" t="s">
        <v>3842</v>
      </c>
      <c r="O798" s="10" t="s">
        <v>276</v>
      </c>
      <c r="P798" s="9" t="s">
        <v>238</v>
      </c>
      <c r="Q798" s="36">
        <v>36525</v>
      </c>
      <c r="R798" s="10" t="s">
        <v>276</v>
      </c>
      <c r="S798" s="9" t="s">
        <v>276</v>
      </c>
      <c r="T798" s="9" t="s">
        <v>98</v>
      </c>
      <c r="U798" s="9" t="s">
        <v>276</v>
      </c>
      <c r="V798" s="8" t="s">
        <v>14</v>
      </c>
      <c r="W798" s="2" t="s">
        <v>98</v>
      </c>
      <c r="X798" s="10" t="s">
        <v>209</v>
      </c>
      <c r="Y798" s="13">
        <v>53890</v>
      </c>
      <c r="Z798" s="10" t="s">
        <v>98</v>
      </c>
      <c r="AA798" s="10" t="s">
        <v>276</v>
      </c>
      <c r="AB798" s="10" t="s">
        <v>98</v>
      </c>
      <c r="AC798" s="8">
        <v>0</v>
      </c>
      <c r="AD798" s="9" t="s">
        <v>3843</v>
      </c>
      <c r="AE798" s="8" t="s">
        <v>98</v>
      </c>
      <c r="AF798" s="8" t="s">
        <v>98</v>
      </c>
      <c r="AG798" s="9" t="s">
        <v>3847</v>
      </c>
      <c r="AH798" s="9" t="s">
        <v>3855</v>
      </c>
      <c r="AI798" s="34">
        <f>47+180-6-49</f>
        <v>172</v>
      </c>
      <c r="AJ798" s="34" t="s">
        <v>98</v>
      </c>
      <c r="AK798" s="34">
        <v>53890</v>
      </c>
      <c r="AL798" s="34" t="str">
        <f>Z798</f>
        <v>NA</v>
      </c>
      <c r="AM798" s="38" t="s">
        <v>281</v>
      </c>
      <c r="AN798" s="8" t="s">
        <v>276</v>
      </c>
      <c r="AO798" s="14">
        <f t="shared" si="239"/>
        <v>3.1916867693449618</v>
      </c>
      <c r="AP798" s="8" t="s">
        <v>276</v>
      </c>
      <c r="AQ798" s="8" t="s">
        <v>276</v>
      </c>
      <c r="AR798" s="8" t="s">
        <v>98</v>
      </c>
      <c r="AS798" s="14" t="s">
        <v>98</v>
      </c>
      <c r="AT798" s="8" t="s">
        <v>98</v>
      </c>
      <c r="AU798" s="8" t="s">
        <v>98</v>
      </c>
      <c r="AV798" s="9" t="s">
        <v>98</v>
      </c>
      <c r="AW798" s="35" t="s">
        <v>98</v>
      </c>
      <c r="AX798" s="35" t="s">
        <v>98</v>
      </c>
      <c r="AY798" s="10" t="s">
        <v>98</v>
      </c>
      <c r="AZ798" s="10" t="s">
        <v>98</v>
      </c>
      <c r="BA798" s="10" t="s">
        <v>98</v>
      </c>
      <c r="BB798" s="10" t="s">
        <v>282</v>
      </c>
      <c r="BC798" s="10" t="s">
        <v>98</v>
      </c>
      <c r="BD798" s="10" t="s">
        <v>98</v>
      </c>
      <c r="BE798" s="10" t="s">
        <v>98</v>
      </c>
      <c r="BF798" s="9" t="s">
        <v>3856</v>
      </c>
      <c r="BG798" s="9" t="s">
        <v>98</v>
      </c>
      <c r="BH798" s="9" t="s">
        <v>100</v>
      </c>
      <c r="BI798" s="9" t="s">
        <v>100</v>
      </c>
      <c r="BJ798" s="32"/>
      <c r="BK798" s="33"/>
      <c r="BL798" s="33"/>
      <c r="BM798" s="33"/>
      <c r="BN798" s="32"/>
      <c r="BO798" s="32"/>
      <c r="BP798" s="33"/>
    </row>
    <row r="799" spans="1:68" s="33" customFormat="1" ht="65" hidden="1" x14ac:dyDescent="0.35">
      <c r="A799" s="8">
        <v>4228</v>
      </c>
      <c r="B799" s="8" t="s">
        <v>3858</v>
      </c>
      <c r="C799" s="8" t="s">
        <v>34</v>
      </c>
      <c r="D799" s="9" t="s">
        <v>3859</v>
      </c>
      <c r="E799" s="8" t="s">
        <v>35</v>
      </c>
      <c r="F799" s="8" t="s">
        <v>97</v>
      </c>
      <c r="G799" s="8" t="s">
        <v>225</v>
      </c>
      <c r="H799" s="8" t="s">
        <v>125</v>
      </c>
      <c r="I799" s="8" t="s">
        <v>114</v>
      </c>
      <c r="J799" s="9" t="s">
        <v>32</v>
      </c>
      <c r="K799" s="8" t="s">
        <v>3794</v>
      </c>
      <c r="L799" s="8" t="s">
        <v>276</v>
      </c>
      <c r="M799" s="8" t="s">
        <v>276</v>
      </c>
      <c r="N799" s="9" t="s">
        <v>3795</v>
      </c>
      <c r="O799" s="9" t="s">
        <v>276</v>
      </c>
      <c r="P799" s="9" t="s">
        <v>239</v>
      </c>
      <c r="Q799" s="52">
        <v>36525</v>
      </c>
      <c r="R799" s="9" t="s">
        <v>276</v>
      </c>
      <c r="S799" s="38" t="s">
        <v>3860</v>
      </c>
      <c r="T799" s="38" t="s">
        <v>3861</v>
      </c>
      <c r="U799" s="9" t="s">
        <v>276</v>
      </c>
      <c r="V799" s="8" t="s">
        <v>14</v>
      </c>
      <c r="W799" s="8" t="s">
        <v>98</v>
      </c>
      <c r="X799" s="9" t="s">
        <v>207</v>
      </c>
      <c r="Y799" s="13">
        <v>53890</v>
      </c>
      <c r="Z799" s="9">
        <v>106971</v>
      </c>
      <c r="AA799" s="9" t="s">
        <v>276</v>
      </c>
      <c r="AB799" s="9" t="s">
        <v>276</v>
      </c>
      <c r="AC799" s="8">
        <v>0</v>
      </c>
      <c r="AD799" s="8" t="s">
        <v>3796</v>
      </c>
      <c r="AE799" s="8">
        <v>0</v>
      </c>
      <c r="AF799" s="8" t="s">
        <v>3796</v>
      </c>
      <c r="AG799" s="9" t="s">
        <v>3797</v>
      </c>
      <c r="AH799" s="9" t="s">
        <v>3862</v>
      </c>
      <c r="AI799" s="38">
        <v>69</v>
      </c>
      <c r="AJ799" s="38">
        <v>54</v>
      </c>
      <c r="AK799" s="38">
        <v>312957</v>
      </c>
      <c r="AL799" s="38">
        <v>622127</v>
      </c>
      <c r="AM799" s="38" t="s">
        <v>425</v>
      </c>
      <c r="AN799" s="8" t="s">
        <v>276</v>
      </c>
      <c r="AO799" s="14">
        <f t="shared" si="239"/>
        <v>0.22047757359637266</v>
      </c>
      <c r="AP799" s="8" t="s">
        <v>276</v>
      </c>
      <c r="AQ799" s="8" t="s">
        <v>276</v>
      </c>
      <c r="AR799" s="8" t="s">
        <v>276</v>
      </c>
      <c r="AS799" s="14">
        <f t="shared" ref="AS799:AS813" si="240">AJ799*1000/AL799</f>
        <v>8.679899763231623E-2</v>
      </c>
      <c r="AT799" s="8" t="s">
        <v>276</v>
      </c>
      <c r="AU799" s="8" t="s">
        <v>276</v>
      </c>
      <c r="AV799" s="9" t="s">
        <v>269</v>
      </c>
      <c r="AW799" s="40" t="s">
        <v>276</v>
      </c>
      <c r="AX799" s="40">
        <f>AO799/AS799</f>
        <v>2.5400935449776023</v>
      </c>
      <c r="AY799" s="9" t="s">
        <v>276</v>
      </c>
      <c r="AZ799" s="9" t="s">
        <v>276</v>
      </c>
      <c r="BA799" s="9" t="s">
        <v>276</v>
      </c>
      <c r="BB799" s="9" t="s">
        <v>282</v>
      </c>
      <c r="BC799" s="9" t="s">
        <v>98</v>
      </c>
      <c r="BD799" s="9" t="s">
        <v>98</v>
      </c>
      <c r="BE799" s="9" t="s">
        <v>98</v>
      </c>
      <c r="BF799" s="9" t="s">
        <v>3863</v>
      </c>
      <c r="BG799" s="9" t="s">
        <v>3799</v>
      </c>
      <c r="BH799" s="9" t="s">
        <v>100</v>
      </c>
      <c r="BI799" s="9" t="s">
        <v>100</v>
      </c>
      <c r="BJ799" s="32"/>
      <c r="BN799" s="32"/>
      <c r="BO799" s="32"/>
    </row>
    <row r="800" spans="1:68" s="111" customFormat="1" ht="65" hidden="1" x14ac:dyDescent="0.35">
      <c r="A800" s="94">
        <v>4228</v>
      </c>
      <c r="B800" s="94" t="s">
        <v>3858</v>
      </c>
      <c r="C800" s="94" t="s">
        <v>34</v>
      </c>
      <c r="D800" s="95" t="s">
        <v>3864</v>
      </c>
      <c r="E800" s="94" t="s">
        <v>35</v>
      </c>
      <c r="F800" s="94" t="s">
        <v>97</v>
      </c>
      <c r="G800" s="94" t="s">
        <v>225</v>
      </c>
      <c r="H800" s="94" t="s">
        <v>125</v>
      </c>
      <c r="I800" s="94" t="s">
        <v>114</v>
      </c>
      <c r="J800" s="95" t="s">
        <v>31</v>
      </c>
      <c r="K800" s="104" t="s">
        <v>3801</v>
      </c>
      <c r="L800" s="104" t="s">
        <v>276</v>
      </c>
      <c r="M800" s="104" t="s">
        <v>276</v>
      </c>
      <c r="N800" s="105" t="s">
        <v>3795</v>
      </c>
      <c r="O800" s="105" t="s">
        <v>3865</v>
      </c>
      <c r="P800" s="95" t="s">
        <v>239</v>
      </c>
      <c r="Q800" s="106">
        <v>36525</v>
      </c>
      <c r="R800" s="105" t="s">
        <v>276</v>
      </c>
      <c r="S800" s="107" t="s">
        <v>3860</v>
      </c>
      <c r="T800" s="107" t="s">
        <v>3861</v>
      </c>
      <c r="U800" s="95" t="s">
        <v>276</v>
      </c>
      <c r="V800" s="94" t="s">
        <v>14</v>
      </c>
      <c r="W800" s="104" t="s">
        <v>98</v>
      </c>
      <c r="X800" s="105" t="s">
        <v>207</v>
      </c>
      <c r="Y800" s="98">
        <v>53890</v>
      </c>
      <c r="Z800" s="105">
        <v>106971</v>
      </c>
      <c r="AA800" s="105" t="s">
        <v>276</v>
      </c>
      <c r="AB800" s="105" t="s">
        <v>276</v>
      </c>
      <c r="AC800" s="94">
        <v>10</v>
      </c>
      <c r="AD800" s="94" t="s">
        <v>3802</v>
      </c>
      <c r="AE800" s="94">
        <v>37</v>
      </c>
      <c r="AF800" s="94" t="s">
        <v>3802</v>
      </c>
      <c r="AG800" s="95" t="s">
        <v>3803</v>
      </c>
      <c r="AH800" s="95" t="s">
        <v>3862</v>
      </c>
      <c r="AI800" s="107">
        <v>52</v>
      </c>
      <c r="AJ800" s="107">
        <v>59</v>
      </c>
      <c r="AK800" s="107">
        <v>312957</v>
      </c>
      <c r="AL800" s="107">
        <v>622127</v>
      </c>
      <c r="AM800" s="99" t="s">
        <v>425</v>
      </c>
      <c r="AN800" s="94" t="s">
        <v>276</v>
      </c>
      <c r="AO800" s="102">
        <f t="shared" si="239"/>
        <v>0.16615701198567215</v>
      </c>
      <c r="AP800" s="94" t="s">
        <v>276</v>
      </c>
      <c r="AQ800" s="94" t="s">
        <v>276</v>
      </c>
      <c r="AR800" s="94" t="s">
        <v>276</v>
      </c>
      <c r="AS800" s="102">
        <f t="shared" si="240"/>
        <v>9.4835941857530692E-2</v>
      </c>
      <c r="AT800" s="94" t="s">
        <v>276</v>
      </c>
      <c r="AU800" s="94" t="s">
        <v>276</v>
      </c>
      <c r="AV800" s="95" t="s">
        <v>269</v>
      </c>
      <c r="AW800" s="108" t="s">
        <v>276</v>
      </c>
      <c r="AX800" s="108">
        <f t="shared" ref="AX800:AX813" si="241">AO800/AS800</f>
        <v>1.7520468372137332</v>
      </c>
      <c r="AY800" s="105" t="s">
        <v>276</v>
      </c>
      <c r="AZ800" s="105" t="s">
        <v>276</v>
      </c>
      <c r="BA800" s="105" t="s">
        <v>276</v>
      </c>
      <c r="BB800" s="105" t="s">
        <v>282</v>
      </c>
      <c r="BC800" s="105" t="s">
        <v>98</v>
      </c>
      <c r="BD800" s="105" t="s">
        <v>98</v>
      </c>
      <c r="BE800" s="105" t="s">
        <v>98</v>
      </c>
      <c r="BF800" s="95" t="s">
        <v>3863</v>
      </c>
      <c r="BG800" s="95" t="s">
        <v>3799</v>
      </c>
      <c r="BH800" s="9" t="s">
        <v>100</v>
      </c>
      <c r="BI800" s="9" t="s">
        <v>100</v>
      </c>
      <c r="BJ800" s="109"/>
      <c r="BK800" s="110"/>
      <c r="BL800" s="110"/>
      <c r="BM800" s="110"/>
      <c r="BN800" s="109"/>
      <c r="BO800" s="109"/>
      <c r="BP800" s="110"/>
    </row>
    <row r="801" spans="1:68" s="111" customFormat="1" ht="65" hidden="1" x14ac:dyDescent="0.35">
      <c r="A801" s="94">
        <v>4228</v>
      </c>
      <c r="B801" s="94" t="s">
        <v>3858</v>
      </c>
      <c r="C801" s="94" t="s">
        <v>34</v>
      </c>
      <c r="D801" s="95" t="s">
        <v>3866</v>
      </c>
      <c r="E801" s="94" t="s">
        <v>35</v>
      </c>
      <c r="F801" s="94" t="s">
        <v>97</v>
      </c>
      <c r="G801" s="94" t="s">
        <v>225</v>
      </c>
      <c r="H801" s="94" t="s">
        <v>125</v>
      </c>
      <c r="I801" s="94" t="s">
        <v>114</v>
      </c>
      <c r="J801" s="95" t="s">
        <v>31</v>
      </c>
      <c r="K801" s="104" t="s">
        <v>3805</v>
      </c>
      <c r="L801" s="104" t="s">
        <v>276</v>
      </c>
      <c r="M801" s="104" t="s">
        <v>276</v>
      </c>
      <c r="N801" s="105" t="s">
        <v>3795</v>
      </c>
      <c r="O801" s="105" t="s">
        <v>3865</v>
      </c>
      <c r="P801" s="95" t="s">
        <v>239</v>
      </c>
      <c r="Q801" s="106">
        <v>36525</v>
      </c>
      <c r="R801" s="105" t="s">
        <v>276</v>
      </c>
      <c r="S801" s="107" t="s">
        <v>3860</v>
      </c>
      <c r="T801" s="107" t="s">
        <v>3861</v>
      </c>
      <c r="U801" s="95" t="s">
        <v>276</v>
      </c>
      <c r="V801" s="94" t="s">
        <v>14</v>
      </c>
      <c r="W801" s="104" t="s">
        <v>98</v>
      </c>
      <c r="X801" s="105" t="s">
        <v>207</v>
      </c>
      <c r="Y801" s="98">
        <v>53890</v>
      </c>
      <c r="Z801" s="105">
        <v>106971</v>
      </c>
      <c r="AA801" s="105" t="s">
        <v>276</v>
      </c>
      <c r="AB801" s="105" t="s">
        <v>276</v>
      </c>
      <c r="AC801" s="94">
        <v>10</v>
      </c>
      <c r="AD801" s="94" t="s">
        <v>3802</v>
      </c>
      <c r="AE801" s="94">
        <v>37</v>
      </c>
      <c r="AF801" s="94" t="s">
        <v>3802</v>
      </c>
      <c r="AG801" s="95" t="s">
        <v>3806</v>
      </c>
      <c r="AH801" s="95" t="s">
        <v>3862</v>
      </c>
      <c r="AI801" s="107">
        <v>81</v>
      </c>
      <c r="AJ801" s="107">
        <v>124</v>
      </c>
      <c r="AK801" s="107">
        <v>312957</v>
      </c>
      <c r="AL801" s="107">
        <v>622127</v>
      </c>
      <c r="AM801" s="99" t="s">
        <v>425</v>
      </c>
      <c r="AN801" s="94" t="s">
        <v>276</v>
      </c>
      <c r="AO801" s="102">
        <f t="shared" si="239"/>
        <v>0.25882149943922006</v>
      </c>
      <c r="AP801" s="94" t="s">
        <v>276</v>
      </c>
      <c r="AQ801" s="94" t="s">
        <v>276</v>
      </c>
      <c r="AR801" s="94" t="s">
        <v>276</v>
      </c>
      <c r="AS801" s="102">
        <f t="shared" si="240"/>
        <v>0.19931621678531874</v>
      </c>
      <c r="AT801" s="94" t="s">
        <v>276</v>
      </c>
      <c r="AU801" s="94" t="s">
        <v>276</v>
      </c>
      <c r="AV801" s="95" t="s">
        <v>269</v>
      </c>
      <c r="AW801" s="108" t="s">
        <v>276</v>
      </c>
      <c r="AX801" s="108">
        <f t="shared" si="241"/>
        <v>1.2985471208195456</v>
      </c>
      <c r="AY801" s="105" t="s">
        <v>276</v>
      </c>
      <c r="AZ801" s="105" t="s">
        <v>276</v>
      </c>
      <c r="BA801" s="105" t="s">
        <v>276</v>
      </c>
      <c r="BB801" s="105" t="s">
        <v>282</v>
      </c>
      <c r="BC801" s="105" t="s">
        <v>98</v>
      </c>
      <c r="BD801" s="105" t="s">
        <v>98</v>
      </c>
      <c r="BE801" s="105" t="s">
        <v>98</v>
      </c>
      <c r="BF801" s="95" t="s">
        <v>3863</v>
      </c>
      <c r="BG801" s="95" t="s">
        <v>3799</v>
      </c>
      <c r="BH801" s="9" t="s">
        <v>100</v>
      </c>
      <c r="BI801" s="9" t="s">
        <v>100</v>
      </c>
      <c r="BJ801" s="109"/>
      <c r="BK801" s="110"/>
      <c r="BL801" s="110"/>
      <c r="BM801" s="110"/>
      <c r="BN801" s="109"/>
      <c r="BO801" s="109"/>
      <c r="BP801" s="110"/>
    </row>
    <row r="802" spans="1:68" s="111" customFormat="1" ht="65" hidden="1" x14ac:dyDescent="0.35">
      <c r="A802" s="94">
        <v>4228</v>
      </c>
      <c r="B802" s="94" t="s">
        <v>3858</v>
      </c>
      <c r="C802" s="94" t="s">
        <v>34</v>
      </c>
      <c r="D802" s="95" t="s">
        <v>3867</v>
      </c>
      <c r="E802" s="94" t="s">
        <v>35</v>
      </c>
      <c r="F802" s="94" t="s">
        <v>97</v>
      </c>
      <c r="G802" s="94" t="s">
        <v>225</v>
      </c>
      <c r="H802" s="94" t="s">
        <v>125</v>
      </c>
      <c r="I802" s="94" t="s">
        <v>114</v>
      </c>
      <c r="J802" s="95" t="s">
        <v>31</v>
      </c>
      <c r="K802" s="104" t="s">
        <v>3808</v>
      </c>
      <c r="L802" s="104" t="s">
        <v>276</v>
      </c>
      <c r="M802" s="104" t="s">
        <v>276</v>
      </c>
      <c r="N802" s="105" t="s">
        <v>3795</v>
      </c>
      <c r="O802" s="105" t="s">
        <v>3865</v>
      </c>
      <c r="P802" s="95" t="s">
        <v>239</v>
      </c>
      <c r="Q802" s="106">
        <v>36525</v>
      </c>
      <c r="R802" s="105" t="s">
        <v>276</v>
      </c>
      <c r="S802" s="107" t="s">
        <v>3860</v>
      </c>
      <c r="T802" s="107" t="s">
        <v>3861</v>
      </c>
      <c r="U802" s="95" t="s">
        <v>276</v>
      </c>
      <c r="V802" s="94" t="s">
        <v>14</v>
      </c>
      <c r="W802" s="104" t="s">
        <v>98</v>
      </c>
      <c r="X802" s="105" t="s">
        <v>207</v>
      </c>
      <c r="Y802" s="98">
        <v>53890</v>
      </c>
      <c r="Z802" s="105">
        <v>106971</v>
      </c>
      <c r="AA802" s="105" t="s">
        <v>276</v>
      </c>
      <c r="AB802" s="105" t="s">
        <v>276</v>
      </c>
      <c r="AC802" s="94">
        <v>10</v>
      </c>
      <c r="AD802" s="94" t="s">
        <v>3802</v>
      </c>
      <c r="AE802" s="94">
        <v>37</v>
      </c>
      <c r="AF802" s="94" t="s">
        <v>3802</v>
      </c>
      <c r="AG802" s="95" t="s">
        <v>3809</v>
      </c>
      <c r="AH802" s="95" t="s">
        <v>3862</v>
      </c>
      <c r="AI802" s="107">
        <v>95</v>
      </c>
      <c r="AJ802" s="107">
        <v>149</v>
      </c>
      <c r="AK802" s="107">
        <v>312957</v>
      </c>
      <c r="AL802" s="107">
        <v>622127</v>
      </c>
      <c r="AM802" s="99" t="s">
        <v>425</v>
      </c>
      <c r="AN802" s="94" t="s">
        <v>276</v>
      </c>
      <c r="AO802" s="102">
        <f t="shared" si="239"/>
        <v>0.30355607958920872</v>
      </c>
      <c r="AP802" s="94" t="s">
        <v>276</v>
      </c>
      <c r="AQ802" s="94" t="s">
        <v>276</v>
      </c>
      <c r="AR802" s="94" t="s">
        <v>276</v>
      </c>
      <c r="AS802" s="102">
        <f t="shared" si="240"/>
        <v>0.23950093791139107</v>
      </c>
      <c r="AT802" s="94" t="s">
        <v>276</v>
      </c>
      <c r="AU802" s="94" t="s">
        <v>276</v>
      </c>
      <c r="AV802" s="95" t="s">
        <v>269</v>
      </c>
      <c r="AW802" s="108" t="s">
        <v>276</v>
      </c>
      <c r="AX802" s="108">
        <f t="shared" si="241"/>
        <v>1.267452571319434</v>
      </c>
      <c r="AY802" s="105" t="s">
        <v>276</v>
      </c>
      <c r="AZ802" s="105" t="s">
        <v>276</v>
      </c>
      <c r="BA802" s="105" t="s">
        <v>276</v>
      </c>
      <c r="BB802" s="105" t="s">
        <v>282</v>
      </c>
      <c r="BC802" s="105" t="s">
        <v>98</v>
      </c>
      <c r="BD802" s="105" t="s">
        <v>98</v>
      </c>
      <c r="BE802" s="105" t="s">
        <v>98</v>
      </c>
      <c r="BF802" s="95" t="s">
        <v>3863</v>
      </c>
      <c r="BG802" s="95" t="s">
        <v>3799</v>
      </c>
      <c r="BH802" s="9" t="s">
        <v>100</v>
      </c>
      <c r="BI802" s="9" t="s">
        <v>100</v>
      </c>
      <c r="BJ802" s="109"/>
      <c r="BK802" s="110"/>
      <c r="BL802" s="110"/>
      <c r="BM802" s="110"/>
      <c r="BN802" s="109"/>
      <c r="BO802" s="109"/>
      <c r="BP802" s="110"/>
    </row>
    <row r="803" spans="1:68" s="111" customFormat="1" ht="65" hidden="1" x14ac:dyDescent="0.35">
      <c r="A803" s="94">
        <v>4228</v>
      </c>
      <c r="B803" s="94" t="s">
        <v>3858</v>
      </c>
      <c r="C803" s="94" t="s">
        <v>34</v>
      </c>
      <c r="D803" s="95" t="s">
        <v>3868</v>
      </c>
      <c r="E803" s="94" t="s">
        <v>35</v>
      </c>
      <c r="F803" s="94" t="s">
        <v>97</v>
      </c>
      <c r="G803" s="94" t="s">
        <v>225</v>
      </c>
      <c r="H803" s="94" t="s">
        <v>125</v>
      </c>
      <c r="I803" s="94" t="s">
        <v>114</v>
      </c>
      <c r="J803" s="95" t="s">
        <v>31</v>
      </c>
      <c r="K803" s="104" t="s">
        <v>3811</v>
      </c>
      <c r="L803" s="104" t="s">
        <v>276</v>
      </c>
      <c r="M803" s="104" t="s">
        <v>276</v>
      </c>
      <c r="N803" s="105" t="s">
        <v>3795</v>
      </c>
      <c r="O803" s="105" t="s">
        <v>3865</v>
      </c>
      <c r="P803" s="95" t="s">
        <v>239</v>
      </c>
      <c r="Q803" s="106">
        <v>36525</v>
      </c>
      <c r="R803" s="105" t="s">
        <v>276</v>
      </c>
      <c r="S803" s="107" t="s">
        <v>3860</v>
      </c>
      <c r="T803" s="107" t="s">
        <v>3861</v>
      </c>
      <c r="U803" s="95" t="s">
        <v>276</v>
      </c>
      <c r="V803" s="94" t="s">
        <v>14</v>
      </c>
      <c r="W803" s="104" t="s">
        <v>98</v>
      </c>
      <c r="X803" s="105" t="s">
        <v>207</v>
      </c>
      <c r="Y803" s="98">
        <v>53890</v>
      </c>
      <c r="Z803" s="105">
        <v>106971</v>
      </c>
      <c r="AA803" s="105" t="s">
        <v>276</v>
      </c>
      <c r="AB803" s="105" t="s">
        <v>276</v>
      </c>
      <c r="AC803" s="94">
        <v>10</v>
      </c>
      <c r="AD803" s="94" t="s">
        <v>3802</v>
      </c>
      <c r="AE803" s="94">
        <v>37</v>
      </c>
      <c r="AF803" s="94" t="s">
        <v>3802</v>
      </c>
      <c r="AG803" s="95" t="s">
        <v>3812</v>
      </c>
      <c r="AH803" s="95" t="s">
        <v>3862</v>
      </c>
      <c r="AI803" s="107">
        <v>98</v>
      </c>
      <c r="AJ803" s="107">
        <v>209</v>
      </c>
      <c r="AK803" s="107">
        <v>312957</v>
      </c>
      <c r="AL803" s="107">
        <v>622127</v>
      </c>
      <c r="AM803" s="99" t="s">
        <v>425</v>
      </c>
      <c r="AN803" s="94" t="s">
        <v>276</v>
      </c>
      <c r="AO803" s="102">
        <f t="shared" si="239"/>
        <v>0.31314206104992059</v>
      </c>
      <c r="AP803" s="94" t="s">
        <v>276</v>
      </c>
      <c r="AQ803" s="94" t="s">
        <v>276</v>
      </c>
      <c r="AR803" s="94" t="s">
        <v>276</v>
      </c>
      <c r="AS803" s="102">
        <f t="shared" si="240"/>
        <v>0.33594426861396465</v>
      </c>
      <c r="AT803" s="94" t="s">
        <v>276</v>
      </c>
      <c r="AU803" s="94" t="s">
        <v>276</v>
      </c>
      <c r="AV803" s="95" t="s">
        <v>269</v>
      </c>
      <c r="AW803" s="108" t="s">
        <v>276</v>
      </c>
      <c r="AX803" s="108">
        <f t="shared" si="241"/>
        <v>0.9321250287789663</v>
      </c>
      <c r="AY803" s="105" t="s">
        <v>276</v>
      </c>
      <c r="AZ803" s="105" t="s">
        <v>276</v>
      </c>
      <c r="BA803" s="105" t="s">
        <v>276</v>
      </c>
      <c r="BB803" s="105" t="s">
        <v>282</v>
      </c>
      <c r="BC803" s="105" t="s">
        <v>98</v>
      </c>
      <c r="BD803" s="105" t="s">
        <v>98</v>
      </c>
      <c r="BE803" s="105" t="s">
        <v>98</v>
      </c>
      <c r="BF803" s="95" t="s">
        <v>3863</v>
      </c>
      <c r="BG803" s="95" t="s">
        <v>3799</v>
      </c>
      <c r="BH803" s="9" t="s">
        <v>100</v>
      </c>
      <c r="BI803" s="9" t="s">
        <v>100</v>
      </c>
      <c r="BJ803" s="109"/>
      <c r="BK803" s="110"/>
      <c r="BL803" s="110"/>
      <c r="BM803" s="110"/>
      <c r="BN803" s="109"/>
      <c r="BO803" s="109"/>
      <c r="BP803" s="110"/>
    </row>
    <row r="804" spans="1:68" s="111" customFormat="1" ht="65" hidden="1" x14ac:dyDescent="0.35">
      <c r="A804" s="94">
        <v>4228</v>
      </c>
      <c r="B804" s="94" t="s">
        <v>3858</v>
      </c>
      <c r="C804" s="94" t="s">
        <v>34</v>
      </c>
      <c r="D804" s="95" t="s">
        <v>3869</v>
      </c>
      <c r="E804" s="94" t="s">
        <v>35</v>
      </c>
      <c r="F804" s="94" t="s">
        <v>97</v>
      </c>
      <c r="G804" s="94" t="s">
        <v>225</v>
      </c>
      <c r="H804" s="94" t="s">
        <v>125</v>
      </c>
      <c r="I804" s="94" t="s">
        <v>114</v>
      </c>
      <c r="J804" s="95" t="s">
        <v>31</v>
      </c>
      <c r="K804" s="104" t="s">
        <v>3814</v>
      </c>
      <c r="L804" s="104" t="s">
        <v>276</v>
      </c>
      <c r="M804" s="104" t="s">
        <v>276</v>
      </c>
      <c r="N804" s="105" t="s">
        <v>3795</v>
      </c>
      <c r="O804" s="105" t="s">
        <v>3865</v>
      </c>
      <c r="P804" s="95" t="s">
        <v>239</v>
      </c>
      <c r="Q804" s="106">
        <v>36525</v>
      </c>
      <c r="R804" s="105" t="s">
        <v>276</v>
      </c>
      <c r="S804" s="107" t="s">
        <v>3860</v>
      </c>
      <c r="T804" s="107" t="s">
        <v>3861</v>
      </c>
      <c r="U804" s="95" t="s">
        <v>276</v>
      </c>
      <c r="V804" s="94" t="s">
        <v>14</v>
      </c>
      <c r="W804" s="104" t="s">
        <v>98</v>
      </c>
      <c r="X804" s="105" t="s">
        <v>207</v>
      </c>
      <c r="Y804" s="98">
        <v>53890</v>
      </c>
      <c r="Z804" s="105">
        <v>106971</v>
      </c>
      <c r="AA804" s="105" t="s">
        <v>276</v>
      </c>
      <c r="AB804" s="105" t="s">
        <v>276</v>
      </c>
      <c r="AC804" s="94">
        <v>10</v>
      </c>
      <c r="AD804" s="94" t="s">
        <v>3802</v>
      </c>
      <c r="AE804" s="94">
        <v>37</v>
      </c>
      <c r="AF804" s="94" t="s">
        <v>3802</v>
      </c>
      <c r="AG804" s="95" t="s">
        <v>3815</v>
      </c>
      <c r="AH804" s="95" t="s">
        <v>3862</v>
      </c>
      <c r="AI804" s="107">
        <v>40</v>
      </c>
      <c r="AJ804" s="107">
        <v>100</v>
      </c>
      <c r="AK804" s="107">
        <v>312957</v>
      </c>
      <c r="AL804" s="107">
        <v>622127</v>
      </c>
      <c r="AM804" s="99" t="s">
        <v>425</v>
      </c>
      <c r="AN804" s="94" t="s">
        <v>276</v>
      </c>
      <c r="AO804" s="102">
        <f t="shared" si="239"/>
        <v>0.12781308614282474</v>
      </c>
      <c r="AP804" s="94" t="s">
        <v>276</v>
      </c>
      <c r="AQ804" s="94" t="s">
        <v>276</v>
      </c>
      <c r="AR804" s="94" t="s">
        <v>276</v>
      </c>
      <c r="AS804" s="102">
        <f t="shared" si="240"/>
        <v>0.1607388845042893</v>
      </c>
      <c r="AT804" s="94" t="s">
        <v>276</v>
      </c>
      <c r="AU804" s="94" t="s">
        <v>276</v>
      </c>
      <c r="AV804" s="95" t="s">
        <v>269</v>
      </c>
      <c r="AW804" s="108" t="s">
        <v>276</v>
      </c>
      <c r="AX804" s="108">
        <f t="shared" si="241"/>
        <v>0.79515971842777133</v>
      </c>
      <c r="AY804" s="105" t="s">
        <v>276</v>
      </c>
      <c r="AZ804" s="105" t="s">
        <v>276</v>
      </c>
      <c r="BA804" s="105" t="s">
        <v>276</v>
      </c>
      <c r="BB804" s="105" t="s">
        <v>282</v>
      </c>
      <c r="BC804" s="105" t="s">
        <v>98</v>
      </c>
      <c r="BD804" s="105" t="s">
        <v>98</v>
      </c>
      <c r="BE804" s="105" t="s">
        <v>98</v>
      </c>
      <c r="BF804" s="95" t="s">
        <v>3863</v>
      </c>
      <c r="BG804" s="95" t="s">
        <v>3799</v>
      </c>
      <c r="BH804" s="9" t="s">
        <v>100</v>
      </c>
      <c r="BI804" s="9" t="s">
        <v>100</v>
      </c>
      <c r="BJ804" s="109"/>
      <c r="BK804" s="110"/>
      <c r="BL804" s="110"/>
      <c r="BM804" s="110"/>
      <c r="BN804" s="109"/>
      <c r="BO804" s="109"/>
      <c r="BP804" s="110"/>
    </row>
    <row r="805" spans="1:68" s="111" customFormat="1" ht="65" hidden="1" x14ac:dyDescent="0.35">
      <c r="A805" s="94">
        <v>4228</v>
      </c>
      <c r="B805" s="94" t="s">
        <v>3858</v>
      </c>
      <c r="C805" s="94" t="s">
        <v>34</v>
      </c>
      <c r="D805" s="95" t="s">
        <v>3870</v>
      </c>
      <c r="E805" s="94" t="s">
        <v>35</v>
      </c>
      <c r="F805" s="94" t="s">
        <v>97</v>
      </c>
      <c r="G805" s="94" t="s">
        <v>225</v>
      </c>
      <c r="H805" s="94" t="s">
        <v>125</v>
      </c>
      <c r="I805" s="94" t="s">
        <v>114</v>
      </c>
      <c r="J805" s="95" t="s">
        <v>31</v>
      </c>
      <c r="K805" s="104" t="s">
        <v>3817</v>
      </c>
      <c r="L805" s="104" t="s">
        <v>276</v>
      </c>
      <c r="M805" s="104" t="s">
        <v>276</v>
      </c>
      <c r="N805" s="105" t="s">
        <v>3795</v>
      </c>
      <c r="O805" s="105" t="s">
        <v>3865</v>
      </c>
      <c r="P805" s="95" t="s">
        <v>239</v>
      </c>
      <c r="Q805" s="106">
        <v>36525</v>
      </c>
      <c r="R805" s="105" t="s">
        <v>276</v>
      </c>
      <c r="S805" s="107" t="s">
        <v>3860</v>
      </c>
      <c r="T805" s="107" t="s">
        <v>3861</v>
      </c>
      <c r="U805" s="95" t="s">
        <v>276</v>
      </c>
      <c r="V805" s="94" t="s">
        <v>14</v>
      </c>
      <c r="W805" s="104" t="s">
        <v>98</v>
      </c>
      <c r="X805" s="105" t="s">
        <v>207</v>
      </c>
      <c r="Y805" s="98">
        <v>53890</v>
      </c>
      <c r="Z805" s="105">
        <v>106971</v>
      </c>
      <c r="AA805" s="105" t="s">
        <v>276</v>
      </c>
      <c r="AB805" s="105" t="s">
        <v>276</v>
      </c>
      <c r="AC805" s="94">
        <v>10</v>
      </c>
      <c r="AD805" s="94" t="s">
        <v>3802</v>
      </c>
      <c r="AE805" s="94">
        <v>37</v>
      </c>
      <c r="AF805" s="94" t="s">
        <v>3802</v>
      </c>
      <c r="AG805" s="95" t="s">
        <v>3818</v>
      </c>
      <c r="AH805" s="95" t="s">
        <v>3862</v>
      </c>
      <c r="AI805" s="107">
        <v>33</v>
      </c>
      <c r="AJ805" s="107">
        <v>77</v>
      </c>
      <c r="AK805" s="107">
        <v>312957</v>
      </c>
      <c r="AL805" s="107">
        <v>622127</v>
      </c>
      <c r="AM805" s="99" t="s">
        <v>425</v>
      </c>
      <c r="AN805" s="94" t="s">
        <v>276</v>
      </c>
      <c r="AO805" s="102">
        <f t="shared" si="239"/>
        <v>0.1054457960678304</v>
      </c>
      <c r="AP805" s="94" t="s">
        <v>276</v>
      </c>
      <c r="AQ805" s="94" t="s">
        <v>276</v>
      </c>
      <c r="AR805" s="94" t="s">
        <v>276</v>
      </c>
      <c r="AS805" s="102">
        <f t="shared" si="240"/>
        <v>0.12376894106830277</v>
      </c>
      <c r="AT805" s="94" t="s">
        <v>276</v>
      </c>
      <c r="AU805" s="94" t="s">
        <v>276</v>
      </c>
      <c r="AV805" s="95" t="s">
        <v>269</v>
      </c>
      <c r="AW805" s="108" t="s">
        <v>276</v>
      </c>
      <c r="AX805" s="108">
        <f t="shared" si="241"/>
        <v>0.85195684117261206</v>
      </c>
      <c r="AY805" s="105" t="s">
        <v>276</v>
      </c>
      <c r="AZ805" s="105" t="s">
        <v>276</v>
      </c>
      <c r="BA805" s="105" t="s">
        <v>276</v>
      </c>
      <c r="BB805" s="105" t="s">
        <v>282</v>
      </c>
      <c r="BC805" s="105" t="s">
        <v>98</v>
      </c>
      <c r="BD805" s="105" t="s">
        <v>98</v>
      </c>
      <c r="BE805" s="105" t="s">
        <v>98</v>
      </c>
      <c r="BF805" s="95" t="s">
        <v>3863</v>
      </c>
      <c r="BG805" s="95" t="s">
        <v>3819</v>
      </c>
      <c r="BH805" s="9" t="s">
        <v>100</v>
      </c>
      <c r="BI805" s="9" t="s">
        <v>100</v>
      </c>
      <c r="BJ805" s="109"/>
      <c r="BK805" s="110"/>
      <c r="BL805" s="110"/>
      <c r="BM805" s="110"/>
      <c r="BN805" s="109"/>
      <c r="BO805" s="109"/>
      <c r="BP805" s="110"/>
    </row>
    <row r="806" spans="1:68" s="110" customFormat="1" ht="104" hidden="1" x14ac:dyDescent="0.35">
      <c r="A806" s="94">
        <v>4228</v>
      </c>
      <c r="B806" s="94" t="s">
        <v>3858</v>
      </c>
      <c r="C806" s="94" t="s">
        <v>34</v>
      </c>
      <c r="D806" s="95" t="s">
        <v>3871</v>
      </c>
      <c r="E806" s="94" t="s">
        <v>35</v>
      </c>
      <c r="F806" s="94" t="s">
        <v>97</v>
      </c>
      <c r="G806" s="94" t="s">
        <v>225</v>
      </c>
      <c r="H806" s="94" t="s">
        <v>125</v>
      </c>
      <c r="I806" s="94" t="s">
        <v>114</v>
      </c>
      <c r="J806" s="95" t="s">
        <v>103</v>
      </c>
      <c r="K806" s="95" t="s">
        <v>3872</v>
      </c>
      <c r="L806" s="94" t="s">
        <v>276</v>
      </c>
      <c r="M806" s="94" t="s">
        <v>276</v>
      </c>
      <c r="N806" s="95" t="s">
        <v>3795</v>
      </c>
      <c r="O806" s="95" t="s">
        <v>3865</v>
      </c>
      <c r="P806" s="95" t="s">
        <v>239</v>
      </c>
      <c r="Q806" s="140">
        <v>36525</v>
      </c>
      <c r="R806" s="95" t="s">
        <v>276</v>
      </c>
      <c r="S806" s="99" t="s">
        <v>3860</v>
      </c>
      <c r="T806" s="99" t="s">
        <v>3861</v>
      </c>
      <c r="U806" s="95" t="s">
        <v>276</v>
      </c>
      <c r="V806" s="94" t="s">
        <v>14</v>
      </c>
      <c r="W806" s="94" t="s">
        <v>98</v>
      </c>
      <c r="X806" s="95" t="s">
        <v>207</v>
      </c>
      <c r="Y806" s="98">
        <v>53890</v>
      </c>
      <c r="Z806" s="95">
        <v>106971</v>
      </c>
      <c r="AA806" s="95" t="s">
        <v>276</v>
      </c>
      <c r="AB806" s="95" t="s">
        <v>276</v>
      </c>
      <c r="AC806" s="94">
        <v>10</v>
      </c>
      <c r="AD806" s="94" t="s">
        <v>3802</v>
      </c>
      <c r="AE806" s="94">
        <v>37</v>
      </c>
      <c r="AF806" s="94" t="s">
        <v>3802</v>
      </c>
      <c r="AG806" s="95" t="s">
        <v>3873</v>
      </c>
      <c r="AH806" s="95" t="s">
        <v>3862</v>
      </c>
      <c r="AI806" s="99">
        <v>18</v>
      </c>
      <c r="AJ806" s="99">
        <v>50</v>
      </c>
      <c r="AK806" s="99">
        <v>312957</v>
      </c>
      <c r="AL806" s="99">
        <v>622127</v>
      </c>
      <c r="AM806" s="99" t="s">
        <v>425</v>
      </c>
      <c r="AN806" s="94" t="s">
        <v>276</v>
      </c>
      <c r="AO806" s="102">
        <f t="shared" si="239"/>
        <v>5.7515888764271127E-2</v>
      </c>
      <c r="AP806" s="94" t="s">
        <v>276</v>
      </c>
      <c r="AQ806" s="94" t="s">
        <v>276</v>
      </c>
      <c r="AR806" s="94" t="s">
        <v>276</v>
      </c>
      <c r="AS806" s="102">
        <f t="shared" si="240"/>
        <v>8.0369442252144652E-2</v>
      </c>
      <c r="AT806" s="94" t="s">
        <v>276</v>
      </c>
      <c r="AU806" s="94" t="s">
        <v>276</v>
      </c>
      <c r="AV806" s="95" t="s">
        <v>269</v>
      </c>
      <c r="AW806" s="141" t="s">
        <v>276</v>
      </c>
      <c r="AX806" s="141">
        <f t="shared" si="241"/>
        <v>0.71564374658499408</v>
      </c>
      <c r="AY806" s="95" t="s">
        <v>276</v>
      </c>
      <c r="AZ806" s="95" t="s">
        <v>276</v>
      </c>
      <c r="BA806" s="95" t="s">
        <v>276</v>
      </c>
      <c r="BB806" s="95" t="s">
        <v>282</v>
      </c>
      <c r="BC806" s="95" t="s">
        <v>98</v>
      </c>
      <c r="BD806" s="95" t="s">
        <v>98</v>
      </c>
      <c r="BE806" s="95" t="s">
        <v>98</v>
      </c>
      <c r="BF806" s="95" t="s">
        <v>3874</v>
      </c>
      <c r="BG806" s="95" t="s">
        <v>3819</v>
      </c>
      <c r="BH806" s="9" t="s">
        <v>100</v>
      </c>
      <c r="BI806" s="9" t="s">
        <v>100</v>
      </c>
      <c r="BJ806" s="109"/>
      <c r="BN806" s="109"/>
      <c r="BO806" s="109"/>
    </row>
    <row r="807" spans="1:68" s="111" customFormat="1" ht="65" hidden="1" x14ac:dyDescent="0.35">
      <c r="A807" s="94">
        <v>4228</v>
      </c>
      <c r="B807" s="94" t="s">
        <v>3858</v>
      </c>
      <c r="C807" s="94" t="s">
        <v>34</v>
      </c>
      <c r="D807" s="95" t="s">
        <v>3875</v>
      </c>
      <c r="E807" s="94" t="s">
        <v>35</v>
      </c>
      <c r="F807" s="94" t="s">
        <v>97</v>
      </c>
      <c r="G807" s="94" t="s">
        <v>225</v>
      </c>
      <c r="H807" s="94" t="s">
        <v>125</v>
      </c>
      <c r="I807" s="94" t="s">
        <v>114</v>
      </c>
      <c r="J807" s="95" t="s">
        <v>31</v>
      </c>
      <c r="K807" s="104" t="s">
        <v>3824</v>
      </c>
      <c r="L807" s="104" t="s">
        <v>276</v>
      </c>
      <c r="M807" s="104" t="s">
        <v>276</v>
      </c>
      <c r="N807" s="105" t="s">
        <v>3795</v>
      </c>
      <c r="O807" s="105" t="s">
        <v>3865</v>
      </c>
      <c r="P807" s="95" t="s">
        <v>239</v>
      </c>
      <c r="Q807" s="106">
        <v>36525</v>
      </c>
      <c r="R807" s="105" t="s">
        <v>276</v>
      </c>
      <c r="S807" s="107" t="s">
        <v>3860</v>
      </c>
      <c r="T807" s="107" t="s">
        <v>3861</v>
      </c>
      <c r="U807" s="95" t="s">
        <v>276</v>
      </c>
      <c r="V807" s="94" t="s">
        <v>14</v>
      </c>
      <c r="W807" s="104" t="s">
        <v>98</v>
      </c>
      <c r="X807" s="105" t="s">
        <v>207</v>
      </c>
      <c r="Y807" s="98">
        <v>53890</v>
      </c>
      <c r="Z807" s="105">
        <v>106971</v>
      </c>
      <c r="AA807" s="105" t="s">
        <v>276</v>
      </c>
      <c r="AB807" s="105" t="s">
        <v>276</v>
      </c>
      <c r="AC807" s="94">
        <v>10</v>
      </c>
      <c r="AD807" s="94" t="s">
        <v>3802</v>
      </c>
      <c r="AE807" s="94">
        <v>37</v>
      </c>
      <c r="AF807" s="94" t="s">
        <v>3802</v>
      </c>
      <c r="AG807" s="95" t="s">
        <v>3825</v>
      </c>
      <c r="AH807" s="95" t="s">
        <v>3862</v>
      </c>
      <c r="AI807" s="107">
        <f>52+81+95</f>
        <v>228</v>
      </c>
      <c r="AJ807" s="107">
        <f>59+124+149</f>
        <v>332</v>
      </c>
      <c r="AK807" s="107">
        <v>312957</v>
      </c>
      <c r="AL807" s="107">
        <v>622127</v>
      </c>
      <c r="AM807" s="99" t="s">
        <v>425</v>
      </c>
      <c r="AN807" s="94" t="s">
        <v>276</v>
      </c>
      <c r="AO807" s="102">
        <f t="shared" si="239"/>
        <v>0.72853459101410101</v>
      </c>
      <c r="AP807" s="94" t="s">
        <v>276</v>
      </c>
      <c r="AQ807" s="94" t="s">
        <v>276</v>
      </c>
      <c r="AR807" s="94" t="s">
        <v>276</v>
      </c>
      <c r="AS807" s="102">
        <f t="shared" si="240"/>
        <v>0.53365309655424054</v>
      </c>
      <c r="AT807" s="94" t="s">
        <v>276</v>
      </c>
      <c r="AU807" s="94" t="s">
        <v>276</v>
      </c>
      <c r="AV807" s="95" t="s">
        <v>269</v>
      </c>
      <c r="AW807" s="108" t="s">
        <v>276</v>
      </c>
      <c r="AX807" s="108">
        <f t="shared" si="241"/>
        <v>1.3651838539271977</v>
      </c>
      <c r="AY807" s="105" t="s">
        <v>276</v>
      </c>
      <c r="AZ807" s="105" t="s">
        <v>276</v>
      </c>
      <c r="BA807" s="105" t="s">
        <v>276</v>
      </c>
      <c r="BB807" s="105" t="s">
        <v>282</v>
      </c>
      <c r="BC807" s="105" t="s">
        <v>98</v>
      </c>
      <c r="BD807" s="105" t="s">
        <v>98</v>
      </c>
      <c r="BE807" s="105" t="s">
        <v>98</v>
      </c>
      <c r="BF807" s="95" t="s">
        <v>3863</v>
      </c>
      <c r="BG807" s="95" t="s">
        <v>3819</v>
      </c>
      <c r="BH807" s="9" t="s">
        <v>100</v>
      </c>
      <c r="BI807" s="9" t="s">
        <v>100</v>
      </c>
      <c r="BJ807" s="109"/>
      <c r="BK807" s="110"/>
      <c r="BL807" s="110"/>
      <c r="BM807" s="110"/>
      <c r="BN807" s="109"/>
      <c r="BO807" s="109"/>
      <c r="BP807" s="110"/>
    </row>
    <row r="808" spans="1:68" s="111" customFormat="1" ht="65" hidden="1" x14ac:dyDescent="0.35">
      <c r="A808" s="94">
        <v>4228</v>
      </c>
      <c r="B808" s="94" t="s">
        <v>3858</v>
      </c>
      <c r="C808" s="94" t="s">
        <v>34</v>
      </c>
      <c r="D808" s="95" t="s">
        <v>3876</v>
      </c>
      <c r="E808" s="94" t="s">
        <v>35</v>
      </c>
      <c r="F808" s="94" t="s">
        <v>97</v>
      </c>
      <c r="G808" s="94" t="s">
        <v>225</v>
      </c>
      <c r="H808" s="94" t="s">
        <v>125</v>
      </c>
      <c r="I808" s="94" t="s">
        <v>114</v>
      </c>
      <c r="J808" s="95" t="s">
        <v>31</v>
      </c>
      <c r="K808" s="104" t="s">
        <v>3821</v>
      </c>
      <c r="L808" s="104" t="s">
        <v>276</v>
      </c>
      <c r="M808" s="104" t="s">
        <v>276</v>
      </c>
      <c r="N808" s="105" t="s">
        <v>3795</v>
      </c>
      <c r="O808" s="105" t="s">
        <v>3865</v>
      </c>
      <c r="P808" s="95" t="s">
        <v>239</v>
      </c>
      <c r="Q808" s="106">
        <v>36525</v>
      </c>
      <c r="R808" s="105" t="s">
        <v>276</v>
      </c>
      <c r="S808" s="107" t="s">
        <v>3860</v>
      </c>
      <c r="T808" s="107" t="s">
        <v>3861</v>
      </c>
      <c r="U808" s="95" t="s">
        <v>276</v>
      </c>
      <c r="V808" s="94" t="s">
        <v>14</v>
      </c>
      <c r="W808" s="104" t="s">
        <v>98</v>
      </c>
      <c r="X808" s="105" t="s">
        <v>207</v>
      </c>
      <c r="Y808" s="98">
        <v>53890</v>
      </c>
      <c r="Z808" s="105">
        <v>106971</v>
      </c>
      <c r="AA808" s="105" t="s">
        <v>276</v>
      </c>
      <c r="AB808" s="105" t="s">
        <v>276</v>
      </c>
      <c r="AC808" s="94">
        <v>10</v>
      </c>
      <c r="AD808" s="94" t="s">
        <v>3802</v>
      </c>
      <c r="AE808" s="94">
        <v>37</v>
      </c>
      <c r="AF808" s="94" t="s">
        <v>3802</v>
      </c>
      <c r="AG808" s="95" t="s">
        <v>3822</v>
      </c>
      <c r="AH808" s="95" t="s">
        <v>3862</v>
      </c>
      <c r="AI808" s="107">
        <v>171</v>
      </c>
      <c r="AJ808" s="107">
        <v>386</v>
      </c>
      <c r="AK808" s="107">
        <v>312957</v>
      </c>
      <c r="AL808" s="107">
        <v>622127</v>
      </c>
      <c r="AM808" s="99" t="s">
        <v>425</v>
      </c>
      <c r="AN808" s="94">
        <v>0.55000000000000004</v>
      </c>
      <c r="AO808" s="102">
        <f t="shared" si="239"/>
        <v>0.54640094326057576</v>
      </c>
      <c r="AP808" s="94" t="s">
        <v>276</v>
      </c>
      <c r="AQ808" s="94" t="s">
        <v>276</v>
      </c>
      <c r="AR808" s="94">
        <v>0.62</v>
      </c>
      <c r="AS808" s="102">
        <f t="shared" si="240"/>
        <v>0.62045209418655678</v>
      </c>
      <c r="AT808" s="94" t="s">
        <v>276</v>
      </c>
      <c r="AU808" s="94" t="s">
        <v>276</v>
      </c>
      <c r="AV808" s="95" t="s">
        <v>269</v>
      </c>
      <c r="AW808" s="108">
        <v>0.88</v>
      </c>
      <c r="AX808" s="108">
        <f t="shared" si="241"/>
        <v>0.88064968815510936</v>
      </c>
      <c r="AY808" s="105">
        <v>0.74</v>
      </c>
      <c r="AZ808" s="105">
        <v>1.05</v>
      </c>
      <c r="BA808" s="105" t="s">
        <v>702</v>
      </c>
      <c r="BB808" s="105" t="s">
        <v>282</v>
      </c>
      <c r="BC808" s="105" t="s">
        <v>98</v>
      </c>
      <c r="BD808" s="105" t="s">
        <v>98</v>
      </c>
      <c r="BE808" s="105" t="s">
        <v>98</v>
      </c>
      <c r="BF808" s="95" t="s">
        <v>3877</v>
      </c>
      <c r="BG808" s="95" t="s">
        <v>3878</v>
      </c>
      <c r="BH808" s="9" t="s">
        <v>100</v>
      </c>
      <c r="BI808" s="9" t="s">
        <v>100</v>
      </c>
      <c r="BJ808" s="109"/>
      <c r="BK808" s="110"/>
      <c r="BL808" s="110"/>
      <c r="BM808" s="110"/>
      <c r="BN808" s="109"/>
      <c r="BO808" s="109"/>
      <c r="BP808" s="110"/>
    </row>
    <row r="809" spans="1:68" s="125" customFormat="1" ht="65" hidden="1" x14ac:dyDescent="0.35">
      <c r="A809" s="112">
        <v>4228</v>
      </c>
      <c r="B809" s="112" t="s">
        <v>3858</v>
      </c>
      <c r="C809" s="112" t="s">
        <v>34</v>
      </c>
      <c r="D809" s="113" t="s">
        <v>3829</v>
      </c>
      <c r="E809" s="112" t="s">
        <v>35</v>
      </c>
      <c r="F809" s="112" t="s">
        <v>97</v>
      </c>
      <c r="G809" s="112" t="s">
        <v>225</v>
      </c>
      <c r="H809" s="112" t="s">
        <v>125</v>
      </c>
      <c r="I809" s="112" t="s">
        <v>114</v>
      </c>
      <c r="J809" s="113" t="s">
        <v>117</v>
      </c>
      <c r="K809" s="114" t="s">
        <v>3830</v>
      </c>
      <c r="L809" s="114" t="s">
        <v>276</v>
      </c>
      <c r="M809" s="114" t="s">
        <v>276</v>
      </c>
      <c r="N809" s="115" t="s">
        <v>3795</v>
      </c>
      <c r="O809" s="115" t="s">
        <v>3865</v>
      </c>
      <c r="P809" s="113" t="s">
        <v>239</v>
      </c>
      <c r="Q809" s="116">
        <v>36525</v>
      </c>
      <c r="R809" s="115" t="s">
        <v>276</v>
      </c>
      <c r="S809" s="120" t="s">
        <v>3860</v>
      </c>
      <c r="T809" s="120" t="s">
        <v>3861</v>
      </c>
      <c r="U809" s="113" t="s">
        <v>276</v>
      </c>
      <c r="V809" s="112" t="s">
        <v>14</v>
      </c>
      <c r="W809" s="114" t="s">
        <v>98</v>
      </c>
      <c r="X809" s="115" t="s">
        <v>207</v>
      </c>
      <c r="Y809" s="118">
        <v>53890</v>
      </c>
      <c r="Z809" s="115">
        <v>106971</v>
      </c>
      <c r="AA809" s="115" t="s">
        <v>276</v>
      </c>
      <c r="AB809" s="115" t="s">
        <v>276</v>
      </c>
      <c r="AC809" s="112">
        <v>75</v>
      </c>
      <c r="AD809" s="113" t="s">
        <v>3831</v>
      </c>
      <c r="AE809" s="112">
        <v>173</v>
      </c>
      <c r="AF809" s="113" t="s">
        <v>3832</v>
      </c>
      <c r="AG809" s="113" t="s">
        <v>3833</v>
      </c>
      <c r="AH809" s="113" t="s">
        <v>3862</v>
      </c>
      <c r="AI809" s="120">
        <v>210</v>
      </c>
      <c r="AJ809" s="120">
        <v>306</v>
      </c>
      <c r="AK809" s="120">
        <v>312957</v>
      </c>
      <c r="AL809" s="120">
        <v>622127</v>
      </c>
      <c r="AM809" s="119" t="s">
        <v>425</v>
      </c>
      <c r="AN809" s="112" t="s">
        <v>276</v>
      </c>
      <c r="AO809" s="121">
        <f>AI809*1000/AK809</f>
        <v>0.67101870224982985</v>
      </c>
      <c r="AP809" s="112" t="s">
        <v>276</v>
      </c>
      <c r="AQ809" s="112" t="s">
        <v>276</v>
      </c>
      <c r="AR809" s="112" t="s">
        <v>276</v>
      </c>
      <c r="AS809" s="121">
        <f>AJ809*1000/AL809</f>
        <v>0.49186098658312533</v>
      </c>
      <c r="AT809" s="112" t="s">
        <v>276</v>
      </c>
      <c r="AU809" s="112" t="s">
        <v>276</v>
      </c>
      <c r="AV809" s="113" t="s">
        <v>269</v>
      </c>
      <c r="AW809" s="122" t="s">
        <v>276</v>
      </c>
      <c r="AX809" s="122">
        <f t="shared" si="241"/>
        <v>1.3642446149496075</v>
      </c>
      <c r="AY809" s="115" t="s">
        <v>276</v>
      </c>
      <c r="AZ809" s="115" t="s">
        <v>276</v>
      </c>
      <c r="BA809" s="115" t="s">
        <v>276</v>
      </c>
      <c r="BB809" s="115" t="s">
        <v>282</v>
      </c>
      <c r="BC809" s="115" t="s">
        <v>98</v>
      </c>
      <c r="BD809" s="115" t="s">
        <v>98</v>
      </c>
      <c r="BE809" s="115" t="s">
        <v>98</v>
      </c>
      <c r="BF809" s="113" t="s">
        <v>3834</v>
      </c>
      <c r="BG809" s="113" t="s">
        <v>3819</v>
      </c>
      <c r="BH809" s="9" t="s">
        <v>100</v>
      </c>
      <c r="BI809" s="9" t="s">
        <v>100</v>
      </c>
      <c r="BJ809" s="123"/>
      <c r="BK809" s="124"/>
      <c r="BL809" s="124"/>
      <c r="BM809" s="124"/>
      <c r="BN809" s="123"/>
      <c r="BO809" s="123"/>
      <c r="BP809" s="124"/>
    </row>
    <row r="810" spans="1:68" s="125" customFormat="1" ht="65" hidden="1" x14ac:dyDescent="0.35">
      <c r="A810" s="112">
        <v>4228</v>
      </c>
      <c r="B810" s="112" t="s">
        <v>3858</v>
      </c>
      <c r="C810" s="112" t="s">
        <v>34</v>
      </c>
      <c r="D810" s="115" t="s">
        <v>3879</v>
      </c>
      <c r="E810" s="112" t="s">
        <v>35</v>
      </c>
      <c r="F810" s="112" t="s">
        <v>97</v>
      </c>
      <c r="G810" s="112" t="s">
        <v>225</v>
      </c>
      <c r="H810" s="112" t="s">
        <v>125</v>
      </c>
      <c r="I810" s="112" t="s">
        <v>114</v>
      </c>
      <c r="J810" s="113" t="s">
        <v>117</v>
      </c>
      <c r="K810" s="114" t="s">
        <v>3836</v>
      </c>
      <c r="L810" s="114" t="s">
        <v>276</v>
      </c>
      <c r="M810" s="114" t="s">
        <v>276</v>
      </c>
      <c r="N810" s="115" t="s">
        <v>3795</v>
      </c>
      <c r="O810" s="115" t="s">
        <v>3865</v>
      </c>
      <c r="P810" s="113" t="s">
        <v>239</v>
      </c>
      <c r="Q810" s="116">
        <v>36525</v>
      </c>
      <c r="R810" s="115" t="s">
        <v>276</v>
      </c>
      <c r="S810" s="120" t="s">
        <v>3860</v>
      </c>
      <c r="T810" s="120" t="s">
        <v>3861</v>
      </c>
      <c r="U810" s="113" t="s">
        <v>276</v>
      </c>
      <c r="V810" s="112" t="s">
        <v>14</v>
      </c>
      <c r="W810" s="114" t="s">
        <v>98</v>
      </c>
      <c r="X810" s="115" t="s">
        <v>207</v>
      </c>
      <c r="Y810" s="118">
        <f t="shared" ref="Y810" si="242">53890-AC810</f>
        <v>53815</v>
      </c>
      <c r="Z810" s="120">
        <f t="shared" ref="Z810" si="243">106971-AE810</f>
        <v>106798</v>
      </c>
      <c r="AA810" s="115" t="s">
        <v>276</v>
      </c>
      <c r="AB810" s="115" t="s">
        <v>276</v>
      </c>
      <c r="AC810" s="112">
        <f>51+24</f>
        <v>75</v>
      </c>
      <c r="AD810" s="113" t="s">
        <v>3831</v>
      </c>
      <c r="AE810" s="112">
        <v>173</v>
      </c>
      <c r="AF810" s="113" t="s">
        <v>3832</v>
      </c>
      <c r="AG810" s="113" t="s">
        <v>3837</v>
      </c>
      <c r="AH810" s="113" t="s">
        <v>3862</v>
      </c>
      <c r="AI810" s="120">
        <v>124</v>
      </c>
      <c r="AJ810" s="120">
        <v>276</v>
      </c>
      <c r="AK810" s="120">
        <v>312957</v>
      </c>
      <c r="AL810" s="120">
        <v>622127</v>
      </c>
      <c r="AM810" s="119" t="s">
        <v>425</v>
      </c>
      <c r="AN810" s="121">
        <v>0.4</v>
      </c>
      <c r="AO810" s="121">
        <f t="shared" si="239"/>
        <v>0.39622056704275666</v>
      </c>
      <c r="AP810" s="112" t="s">
        <v>276</v>
      </c>
      <c r="AQ810" s="112" t="s">
        <v>276</v>
      </c>
      <c r="AR810" s="112">
        <v>0.44</v>
      </c>
      <c r="AS810" s="121">
        <f t="shared" si="240"/>
        <v>0.44363932123183852</v>
      </c>
      <c r="AT810" s="112" t="s">
        <v>276</v>
      </c>
      <c r="AU810" s="112" t="s">
        <v>276</v>
      </c>
      <c r="AV810" s="113" t="s">
        <v>269</v>
      </c>
      <c r="AW810" s="122">
        <v>0.89</v>
      </c>
      <c r="AX810" s="122">
        <f t="shared" si="241"/>
        <v>0.89311417649496039</v>
      </c>
      <c r="AY810" s="115">
        <v>0.72</v>
      </c>
      <c r="AZ810" s="122">
        <v>1.1000000000000001</v>
      </c>
      <c r="BA810" s="115" t="s">
        <v>702</v>
      </c>
      <c r="BB810" s="115" t="s">
        <v>282</v>
      </c>
      <c r="BC810" s="115" t="s">
        <v>98</v>
      </c>
      <c r="BD810" s="115" t="s">
        <v>98</v>
      </c>
      <c r="BE810" s="115" t="s">
        <v>98</v>
      </c>
      <c r="BF810" s="113" t="s">
        <v>3880</v>
      </c>
      <c r="BG810" s="113" t="s">
        <v>3878</v>
      </c>
      <c r="BH810" s="9" t="s">
        <v>100</v>
      </c>
      <c r="BI810" s="9" t="s">
        <v>100</v>
      </c>
      <c r="BJ810" s="123"/>
      <c r="BK810" s="124"/>
      <c r="BL810" s="124"/>
      <c r="BM810" s="124"/>
      <c r="BN810" s="123"/>
      <c r="BO810" s="123"/>
      <c r="BP810" s="124"/>
    </row>
    <row r="811" spans="1:68" s="111" customFormat="1" ht="78" hidden="1" x14ac:dyDescent="0.35">
      <c r="A811" s="94">
        <v>4228</v>
      </c>
      <c r="B811" s="94" t="s">
        <v>3858</v>
      </c>
      <c r="C811" s="94" t="s">
        <v>34</v>
      </c>
      <c r="D811" s="105" t="s">
        <v>3881</v>
      </c>
      <c r="E811" s="94" t="s">
        <v>35</v>
      </c>
      <c r="F811" s="94" t="s">
        <v>97</v>
      </c>
      <c r="G811" s="94" t="s">
        <v>225</v>
      </c>
      <c r="H811" s="94" t="s">
        <v>125</v>
      </c>
      <c r="I811" s="94" t="s">
        <v>114</v>
      </c>
      <c r="J811" s="95" t="s">
        <v>30</v>
      </c>
      <c r="K811" s="105" t="s">
        <v>3882</v>
      </c>
      <c r="L811" s="104" t="s">
        <v>276</v>
      </c>
      <c r="M811" s="104" t="s">
        <v>276</v>
      </c>
      <c r="N811" s="105" t="s">
        <v>3795</v>
      </c>
      <c r="O811" s="105" t="s">
        <v>98</v>
      </c>
      <c r="P811" s="95" t="s">
        <v>234</v>
      </c>
      <c r="Q811" s="105" t="s">
        <v>276</v>
      </c>
      <c r="R811" s="105" t="s">
        <v>766</v>
      </c>
      <c r="S811" s="95" t="s">
        <v>276</v>
      </c>
      <c r="T811" s="95" t="s">
        <v>276</v>
      </c>
      <c r="U811" s="95" t="s">
        <v>276</v>
      </c>
      <c r="V811" s="94" t="s">
        <v>14</v>
      </c>
      <c r="W811" s="104" t="s">
        <v>98</v>
      </c>
      <c r="X811" s="105" t="s">
        <v>207</v>
      </c>
      <c r="Y811" s="98">
        <v>53890</v>
      </c>
      <c r="Z811" s="107">
        <v>106971</v>
      </c>
      <c r="AA811" s="105" t="s">
        <v>276</v>
      </c>
      <c r="AB811" s="105" t="s">
        <v>276</v>
      </c>
      <c r="AC811" s="94">
        <v>9</v>
      </c>
      <c r="AD811" s="95" t="s">
        <v>3883</v>
      </c>
      <c r="AE811" s="94">
        <v>31</v>
      </c>
      <c r="AF811" s="95" t="s">
        <v>3883</v>
      </c>
      <c r="AG811" s="95" t="s">
        <v>3884</v>
      </c>
      <c r="AH811" s="95" t="s">
        <v>3885</v>
      </c>
      <c r="AI811" s="270">
        <v>72.599999999999994</v>
      </c>
      <c r="AJ811" s="270">
        <v>159.9</v>
      </c>
      <c r="AK811" s="107">
        <f t="shared" ref="AK811:AL813" si="244">Y811</f>
        <v>53890</v>
      </c>
      <c r="AL811" s="107">
        <f t="shared" si="244"/>
        <v>106971</v>
      </c>
      <c r="AM811" s="99" t="s">
        <v>281</v>
      </c>
      <c r="AN811" s="94" t="s">
        <v>276</v>
      </c>
      <c r="AO811" s="102">
        <f t="shared" si="239"/>
        <v>1.3471887177583968</v>
      </c>
      <c r="AP811" s="94" t="s">
        <v>276</v>
      </c>
      <c r="AQ811" s="94" t="s">
        <v>276</v>
      </c>
      <c r="AR811" s="94" t="s">
        <v>276</v>
      </c>
      <c r="AS811" s="102">
        <f t="shared" si="240"/>
        <v>1.4947976554393247</v>
      </c>
      <c r="AT811" s="94" t="s">
        <v>276</v>
      </c>
      <c r="AU811" s="94" t="s">
        <v>276</v>
      </c>
      <c r="AV811" s="95" t="s">
        <v>268</v>
      </c>
      <c r="AW811" s="108" t="s">
        <v>276</v>
      </c>
      <c r="AX811" s="108">
        <f t="shared" si="241"/>
        <v>0.90125155927037803</v>
      </c>
      <c r="AY811" s="105" t="s">
        <v>276</v>
      </c>
      <c r="AZ811" s="105" t="s">
        <v>276</v>
      </c>
      <c r="BA811" s="105" t="s">
        <v>276</v>
      </c>
      <c r="BB811" s="105" t="s">
        <v>3886</v>
      </c>
      <c r="BC811" s="108">
        <v>0.9</v>
      </c>
      <c r="BD811" s="108">
        <v>0.8</v>
      </c>
      <c r="BE811" s="108">
        <v>1.01</v>
      </c>
      <c r="BF811" s="95" t="s">
        <v>3887</v>
      </c>
      <c r="BG811" s="95" t="s">
        <v>3888</v>
      </c>
      <c r="BH811" s="9" t="s">
        <v>100</v>
      </c>
      <c r="BI811" s="9" t="s">
        <v>100</v>
      </c>
      <c r="BJ811" s="109"/>
      <c r="BK811" s="110"/>
      <c r="BL811" s="110"/>
      <c r="BM811" s="110"/>
      <c r="BN811" s="109"/>
      <c r="BO811" s="109"/>
      <c r="BP811" s="110"/>
    </row>
    <row r="812" spans="1:68" s="111" customFormat="1" ht="130" hidden="1" x14ac:dyDescent="0.35">
      <c r="A812" s="94">
        <v>4228</v>
      </c>
      <c r="B812" s="94" t="s">
        <v>3858</v>
      </c>
      <c r="C812" s="94" t="s">
        <v>34</v>
      </c>
      <c r="D812" s="105" t="s">
        <v>3889</v>
      </c>
      <c r="E812" s="94" t="s">
        <v>35</v>
      </c>
      <c r="F812" s="94" t="s">
        <v>97</v>
      </c>
      <c r="G812" s="94" t="s">
        <v>225</v>
      </c>
      <c r="H812" s="94" t="s">
        <v>125</v>
      </c>
      <c r="I812" s="94" t="s">
        <v>114</v>
      </c>
      <c r="J812" s="95" t="s">
        <v>30</v>
      </c>
      <c r="K812" s="105" t="s">
        <v>3890</v>
      </c>
      <c r="L812" s="104" t="s">
        <v>276</v>
      </c>
      <c r="M812" s="104" t="s">
        <v>276</v>
      </c>
      <c r="N812" s="105" t="s">
        <v>3795</v>
      </c>
      <c r="O812" s="105" t="s">
        <v>98</v>
      </c>
      <c r="P812" s="95" t="s">
        <v>234</v>
      </c>
      <c r="Q812" s="105" t="s">
        <v>276</v>
      </c>
      <c r="R812" s="105" t="s">
        <v>766</v>
      </c>
      <c r="S812" s="95" t="s">
        <v>276</v>
      </c>
      <c r="T812" s="95" t="s">
        <v>276</v>
      </c>
      <c r="U812" s="95" t="s">
        <v>276</v>
      </c>
      <c r="V812" s="94" t="s">
        <v>14</v>
      </c>
      <c r="W812" s="104" t="s">
        <v>98</v>
      </c>
      <c r="X812" s="105" t="s">
        <v>207</v>
      </c>
      <c r="Y812" s="98">
        <v>53890</v>
      </c>
      <c r="Z812" s="107">
        <v>106971</v>
      </c>
      <c r="AA812" s="105" t="s">
        <v>276</v>
      </c>
      <c r="AB812" s="105" t="s">
        <v>276</v>
      </c>
      <c r="AC812" s="94">
        <v>9</v>
      </c>
      <c r="AD812" s="95" t="s">
        <v>3883</v>
      </c>
      <c r="AE812" s="94">
        <v>29</v>
      </c>
      <c r="AF812" s="95" t="s">
        <v>3883</v>
      </c>
      <c r="AG812" s="95" t="s">
        <v>3891</v>
      </c>
      <c r="AH812" s="95" t="s">
        <v>3885</v>
      </c>
      <c r="AI812" s="270">
        <v>76.8</v>
      </c>
      <c r="AJ812" s="270">
        <v>170.8</v>
      </c>
      <c r="AK812" s="107">
        <f t="shared" si="244"/>
        <v>53890</v>
      </c>
      <c r="AL812" s="107">
        <f t="shared" si="244"/>
        <v>106971</v>
      </c>
      <c r="AM812" s="99" t="s">
        <v>281</v>
      </c>
      <c r="AN812" s="94" t="s">
        <v>276</v>
      </c>
      <c r="AO812" s="102">
        <f t="shared" si="239"/>
        <v>1.4251252551493783</v>
      </c>
      <c r="AP812" s="94" t="s">
        <v>276</v>
      </c>
      <c r="AQ812" s="94" t="s">
        <v>276</v>
      </c>
      <c r="AR812" s="94" t="s">
        <v>276</v>
      </c>
      <c r="AS812" s="102">
        <f t="shared" si="240"/>
        <v>1.5966944312009796</v>
      </c>
      <c r="AT812" s="94" t="s">
        <v>276</v>
      </c>
      <c r="AU812" s="94" t="s">
        <v>276</v>
      </c>
      <c r="AV812" s="95" t="s">
        <v>268</v>
      </c>
      <c r="AW812" s="108" t="s">
        <v>276</v>
      </c>
      <c r="AX812" s="108">
        <f t="shared" si="241"/>
        <v>0.89254726972238962</v>
      </c>
      <c r="AY812" s="105" t="s">
        <v>276</v>
      </c>
      <c r="AZ812" s="105" t="s">
        <v>276</v>
      </c>
      <c r="BA812" s="105" t="s">
        <v>276</v>
      </c>
      <c r="BB812" s="105" t="s">
        <v>3892</v>
      </c>
      <c r="BC812" s="108">
        <v>0.89</v>
      </c>
      <c r="BD812" s="108">
        <v>0.8</v>
      </c>
      <c r="BE812" s="108">
        <v>1</v>
      </c>
      <c r="BF812" s="95" t="s">
        <v>3887</v>
      </c>
      <c r="BG812" s="95" t="s">
        <v>3888</v>
      </c>
      <c r="BH812" s="9" t="s">
        <v>100</v>
      </c>
      <c r="BI812" s="9" t="s">
        <v>100</v>
      </c>
      <c r="BJ812" s="109"/>
      <c r="BK812" s="110"/>
      <c r="BL812" s="110"/>
      <c r="BM812" s="110"/>
      <c r="BN812" s="109"/>
      <c r="BO812" s="109"/>
      <c r="BP812" s="110"/>
    </row>
    <row r="813" spans="1:68" s="111" customFormat="1" ht="104" hidden="1" x14ac:dyDescent="0.35">
      <c r="A813" s="94">
        <v>4228</v>
      </c>
      <c r="B813" s="94" t="s">
        <v>3858</v>
      </c>
      <c r="C813" s="94" t="s">
        <v>34</v>
      </c>
      <c r="D813" s="105" t="s">
        <v>3893</v>
      </c>
      <c r="E813" s="94" t="s">
        <v>35</v>
      </c>
      <c r="F813" s="94" t="s">
        <v>97</v>
      </c>
      <c r="G813" s="94" t="s">
        <v>225</v>
      </c>
      <c r="H813" s="94" t="s">
        <v>125</v>
      </c>
      <c r="I813" s="94" t="s">
        <v>114</v>
      </c>
      <c r="J813" s="95" t="s">
        <v>30</v>
      </c>
      <c r="K813" s="105" t="s">
        <v>3894</v>
      </c>
      <c r="L813" s="104" t="s">
        <v>276</v>
      </c>
      <c r="M813" s="104" t="s">
        <v>276</v>
      </c>
      <c r="N813" s="105" t="s">
        <v>3795</v>
      </c>
      <c r="O813" s="105" t="s">
        <v>98</v>
      </c>
      <c r="P813" s="95" t="s">
        <v>234</v>
      </c>
      <c r="Q813" s="105" t="s">
        <v>276</v>
      </c>
      <c r="R813" s="105" t="s">
        <v>766</v>
      </c>
      <c r="S813" s="95" t="s">
        <v>276</v>
      </c>
      <c r="T813" s="95" t="s">
        <v>276</v>
      </c>
      <c r="U813" s="95" t="s">
        <v>276</v>
      </c>
      <c r="V813" s="94" t="s">
        <v>14</v>
      </c>
      <c r="W813" s="104" t="s">
        <v>98</v>
      </c>
      <c r="X813" s="105" t="s">
        <v>207</v>
      </c>
      <c r="Y813" s="98">
        <v>53890</v>
      </c>
      <c r="Z813" s="107">
        <v>106971</v>
      </c>
      <c r="AA813" s="105" t="s">
        <v>276</v>
      </c>
      <c r="AB813" s="105" t="s">
        <v>276</v>
      </c>
      <c r="AC813" s="94">
        <v>9</v>
      </c>
      <c r="AD813" s="95" t="s">
        <v>3883</v>
      </c>
      <c r="AE813" s="94">
        <v>29</v>
      </c>
      <c r="AF813" s="95" t="s">
        <v>3883</v>
      </c>
      <c r="AG813" s="95" t="s">
        <v>3895</v>
      </c>
      <c r="AH813" s="95" t="s">
        <v>3885</v>
      </c>
      <c r="AI813" s="270">
        <v>74</v>
      </c>
      <c r="AJ813" s="270">
        <v>165.2</v>
      </c>
      <c r="AK813" s="107">
        <f t="shared" si="244"/>
        <v>53890</v>
      </c>
      <c r="AL813" s="107">
        <f t="shared" si="244"/>
        <v>106971</v>
      </c>
      <c r="AM813" s="99" t="s">
        <v>281</v>
      </c>
      <c r="AN813" s="94" t="s">
        <v>276</v>
      </c>
      <c r="AO813" s="102">
        <f t="shared" si="239"/>
        <v>1.3731675635553906</v>
      </c>
      <c r="AP813" s="94" t="s">
        <v>276</v>
      </c>
      <c r="AQ813" s="94" t="s">
        <v>276</v>
      </c>
      <c r="AR813" s="94" t="s">
        <v>276</v>
      </c>
      <c r="AS813" s="102">
        <f t="shared" si="240"/>
        <v>1.544343794112423</v>
      </c>
      <c r="AT813" s="94" t="s">
        <v>276</v>
      </c>
      <c r="AU813" s="94" t="s">
        <v>276</v>
      </c>
      <c r="AV813" s="95" t="s">
        <v>268</v>
      </c>
      <c r="AW813" s="108" t="s">
        <v>276</v>
      </c>
      <c r="AX813" s="108">
        <f t="shared" si="241"/>
        <v>0.8891592460114025</v>
      </c>
      <c r="AY813" s="105" t="s">
        <v>276</v>
      </c>
      <c r="AZ813" s="105" t="s">
        <v>276</v>
      </c>
      <c r="BA813" s="105" t="s">
        <v>276</v>
      </c>
      <c r="BB813" s="105" t="s">
        <v>3896</v>
      </c>
      <c r="BC813" s="108">
        <v>0.89</v>
      </c>
      <c r="BD813" s="108">
        <v>0.78</v>
      </c>
      <c r="BE813" s="108">
        <v>1.01</v>
      </c>
      <c r="BF813" s="95" t="s">
        <v>3887</v>
      </c>
      <c r="BG813" s="95" t="s">
        <v>3888</v>
      </c>
      <c r="BH813" s="9" t="s">
        <v>100</v>
      </c>
      <c r="BI813" s="9" t="s">
        <v>100</v>
      </c>
      <c r="BJ813" s="109"/>
      <c r="BK813" s="110"/>
      <c r="BL813" s="110"/>
      <c r="BM813" s="110"/>
      <c r="BN813" s="109"/>
      <c r="BO813" s="109"/>
      <c r="BP813" s="110"/>
    </row>
    <row r="814" spans="1:68" s="6" customFormat="1" ht="91" hidden="1" x14ac:dyDescent="0.35">
      <c r="A814" s="8">
        <v>4226</v>
      </c>
      <c r="B814" s="8" t="s">
        <v>3720</v>
      </c>
      <c r="C814" s="8" t="s">
        <v>34</v>
      </c>
      <c r="D814" s="10" t="s">
        <v>3897</v>
      </c>
      <c r="E814" s="8" t="s">
        <v>35</v>
      </c>
      <c r="F814" s="8" t="s">
        <v>97</v>
      </c>
      <c r="G814" s="8" t="s">
        <v>225</v>
      </c>
      <c r="H814" s="8" t="s">
        <v>125</v>
      </c>
      <c r="I814" s="8" t="s">
        <v>98</v>
      </c>
      <c r="J814" s="9" t="s">
        <v>27</v>
      </c>
      <c r="K814" s="2" t="s">
        <v>3898</v>
      </c>
      <c r="L814" s="2" t="s">
        <v>98</v>
      </c>
      <c r="M814" s="2" t="s">
        <v>98</v>
      </c>
      <c r="N814" s="2" t="s">
        <v>3842</v>
      </c>
      <c r="O814" s="10" t="s">
        <v>3899</v>
      </c>
      <c r="P814" s="9" t="s">
        <v>236</v>
      </c>
      <c r="Q814" s="36" t="s">
        <v>276</v>
      </c>
      <c r="R814" s="10" t="s">
        <v>3900</v>
      </c>
      <c r="S814" s="9" t="s">
        <v>276</v>
      </c>
      <c r="T814" s="9" t="s">
        <v>98</v>
      </c>
      <c r="U814" s="9" t="s">
        <v>276</v>
      </c>
      <c r="V814" s="8" t="s">
        <v>14</v>
      </c>
      <c r="W814" s="2" t="s">
        <v>98</v>
      </c>
      <c r="X814" s="10" t="s">
        <v>209</v>
      </c>
      <c r="Y814" s="13">
        <v>53883</v>
      </c>
      <c r="Z814" s="10" t="s">
        <v>98</v>
      </c>
      <c r="AA814" s="10" t="s">
        <v>276</v>
      </c>
      <c r="AB814" s="10" t="s">
        <v>98</v>
      </c>
      <c r="AC814" s="8" t="s">
        <v>276</v>
      </c>
      <c r="AD814" s="9" t="s">
        <v>3850</v>
      </c>
      <c r="AE814" s="8" t="s">
        <v>98</v>
      </c>
      <c r="AF814" s="8" t="s">
        <v>98</v>
      </c>
      <c r="AG814" s="9" t="s">
        <v>3901</v>
      </c>
      <c r="AH814" s="9" t="s">
        <v>3902</v>
      </c>
      <c r="AI814" s="34">
        <v>247</v>
      </c>
      <c r="AJ814" s="34" t="s">
        <v>98</v>
      </c>
      <c r="AK814" s="34">
        <f>406+330</f>
        <v>736</v>
      </c>
      <c r="AL814" s="34" t="s">
        <v>98</v>
      </c>
      <c r="AM814" s="38" t="s">
        <v>292</v>
      </c>
      <c r="AN814" s="8" t="s">
        <v>276</v>
      </c>
      <c r="AO814" s="14">
        <f t="shared" ref="AO814:AO823" si="245">AI814*100/AK814</f>
        <v>33.559782608695649</v>
      </c>
      <c r="AP814" s="8" t="s">
        <v>276</v>
      </c>
      <c r="AQ814" s="8" t="s">
        <v>276</v>
      </c>
      <c r="AR814" s="8" t="s">
        <v>98</v>
      </c>
      <c r="AS814" s="8" t="s">
        <v>98</v>
      </c>
      <c r="AT814" s="8" t="s">
        <v>98</v>
      </c>
      <c r="AU814" s="8" t="s">
        <v>98</v>
      </c>
      <c r="AV814" s="8" t="s">
        <v>98</v>
      </c>
      <c r="AW814" s="8" t="s">
        <v>98</v>
      </c>
      <c r="AX814" s="8" t="s">
        <v>98</v>
      </c>
      <c r="AY814" s="8" t="s">
        <v>98</v>
      </c>
      <c r="AZ814" s="8" t="s">
        <v>98</v>
      </c>
      <c r="BA814" s="8" t="s">
        <v>98</v>
      </c>
      <c r="BB814" s="10" t="s">
        <v>282</v>
      </c>
      <c r="BC814" s="8" t="s">
        <v>98</v>
      </c>
      <c r="BD814" s="8" t="s">
        <v>98</v>
      </c>
      <c r="BE814" s="8" t="s">
        <v>98</v>
      </c>
      <c r="BF814" s="9" t="s">
        <v>3903</v>
      </c>
      <c r="BG814" s="9" t="s">
        <v>98</v>
      </c>
      <c r="BH814" s="9" t="s">
        <v>100</v>
      </c>
      <c r="BI814" s="9" t="s">
        <v>100</v>
      </c>
      <c r="BJ814" s="32"/>
      <c r="BK814" s="33"/>
      <c r="BL814" s="33"/>
      <c r="BM814" s="33"/>
      <c r="BN814" s="32"/>
      <c r="BO814" s="32"/>
      <c r="BP814" s="33"/>
    </row>
    <row r="815" spans="1:68" s="6" customFormat="1" ht="91" hidden="1" x14ac:dyDescent="0.35">
      <c r="A815" s="8">
        <v>4226</v>
      </c>
      <c r="B815" s="8" t="s">
        <v>3720</v>
      </c>
      <c r="C815" s="8" t="s">
        <v>34</v>
      </c>
      <c r="D815" s="10" t="s">
        <v>3904</v>
      </c>
      <c r="E815" s="8" t="s">
        <v>35</v>
      </c>
      <c r="F815" s="8" t="s">
        <v>97</v>
      </c>
      <c r="G815" s="8" t="s">
        <v>225</v>
      </c>
      <c r="H815" s="8" t="s">
        <v>125</v>
      </c>
      <c r="I815" s="8" t="s">
        <v>98</v>
      </c>
      <c r="J815" s="9" t="s">
        <v>27</v>
      </c>
      <c r="K815" s="2" t="s">
        <v>3905</v>
      </c>
      <c r="L815" s="2" t="s">
        <v>98</v>
      </c>
      <c r="M815" s="2" t="s">
        <v>98</v>
      </c>
      <c r="N815" s="2" t="s">
        <v>3842</v>
      </c>
      <c r="O815" s="10" t="s">
        <v>3899</v>
      </c>
      <c r="P815" s="9" t="s">
        <v>237</v>
      </c>
      <c r="Q815" s="36" t="s">
        <v>276</v>
      </c>
      <c r="R815" s="10" t="s">
        <v>3900</v>
      </c>
      <c r="S815" s="9" t="s">
        <v>276</v>
      </c>
      <c r="T815" s="9" t="s">
        <v>98</v>
      </c>
      <c r="U815" s="9" t="s">
        <v>276</v>
      </c>
      <c r="V815" s="8" t="s">
        <v>14</v>
      </c>
      <c r="W815" s="2" t="s">
        <v>98</v>
      </c>
      <c r="X815" s="10" t="s">
        <v>209</v>
      </c>
      <c r="Y815" s="13">
        <v>53883</v>
      </c>
      <c r="Z815" s="10" t="s">
        <v>98</v>
      </c>
      <c r="AA815" s="10" t="s">
        <v>276</v>
      </c>
      <c r="AB815" s="10" t="s">
        <v>98</v>
      </c>
      <c r="AC815" s="8" t="s">
        <v>276</v>
      </c>
      <c r="AD815" s="9" t="s">
        <v>3850</v>
      </c>
      <c r="AE815" s="8" t="s">
        <v>98</v>
      </c>
      <c r="AF815" s="8" t="s">
        <v>98</v>
      </c>
      <c r="AG815" s="9" t="s">
        <v>3906</v>
      </c>
      <c r="AH815" s="9" t="s">
        <v>3907</v>
      </c>
      <c r="AI815" s="34">
        <v>76</v>
      </c>
      <c r="AJ815" s="34" t="s">
        <v>98</v>
      </c>
      <c r="AK815" s="34">
        <v>330</v>
      </c>
      <c r="AL815" s="34" t="s">
        <v>98</v>
      </c>
      <c r="AM815" s="38" t="s">
        <v>292</v>
      </c>
      <c r="AN815" s="8">
        <v>23</v>
      </c>
      <c r="AO815" s="14">
        <f t="shared" si="245"/>
        <v>23.030303030303031</v>
      </c>
      <c r="AP815" s="8" t="s">
        <v>276</v>
      </c>
      <c r="AQ815" s="8" t="s">
        <v>276</v>
      </c>
      <c r="AR815" s="8" t="s">
        <v>98</v>
      </c>
      <c r="AS815" s="8" t="s">
        <v>98</v>
      </c>
      <c r="AT815" s="8" t="s">
        <v>98</v>
      </c>
      <c r="AU815" s="8" t="s">
        <v>98</v>
      </c>
      <c r="AV815" s="8" t="s">
        <v>98</v>
      </c>
      <c r="AW815" s="8" t="s">
        <v>98</v>
      </c>
      <c r="AX815" s="8" t="s">
        <v>98</v>
      </c>
      <c r="AY815" s="8" t="s">
        <v>98</v>
      </c>
      <c r="AZ815" s="8" t="s">
        <v>98</v>
      </c>
      <c r="BA815" s="8" t="s">
        <v>98</v>
      </c>
      <c r="BB815" s="10" t="s">
        <v>282</v>
      </c>
      <c r="BC815" s="8" t="s">
        <v>98</v>
      </c>
      <c r="BD815" s="8" t="s">
        <v>98</v>
      </c>
      <c r="BE815" s="8" t="s">
        <v>98</v>
      </c>
      <c r="BF815" s="9" t="s">
        <v>3903</v>
      </c>
      <c r="BG815" s="9" t="s">
        <v>98</v>
      </c>
      <c r="BH815" s="9" t="s">
        <v>100</v>
      </c>
      <c r="BI815" s="9" t="s">
        <v>100</v>
      </c>
      <c r="BJ815" s="32"/>
      <c r="BK815" s="33"/>
      <c r="BL815" s="33"/>
      <c r="BM815" s="33"/>
      <c r="BN815" s="32"/>
      <c r="BO815" s="32"/>
      <c r="BP815" s="33"/>
    </row>
    <row r="816" spans="1:68" s="278" customFormat="1" ht="78" hidden="1" x14ac:dyDescent="0.35">
      <c r="A816" s="244">
        <v>4257</v>
      </c>
      <c r="B816" s="244" t="s">
        <v>3775</v>
      </c>
      <c r="C816" s="244" t="s">
        <v>34</v>
      </c>
      <c r="D816" s="245" t="s">
        <v>3908</v>
      </c>
      <c r="E816" s="244" t="s">
        <v>35</v>
      </c>
      <c r="F816" s="244" t="s">
        <v>97</v>
      </c>
      <c r="G816" s="244" t="s">
        <v>225</v>
      </c>
      <c r="H816" s="244" t="s">
        <v>125</v>
      </c>
      <c r="I816" s="244" t="s">
        <v>114</v>
      </c>
      <c r="J816" s="245" t="s">
        <v>117</v>
      </c>
      <c r="K816" s="271" t="s">
        <v>3830</v>
      </c>
      <c r="L816" s="272" t="s">
        <v>276</v>
      </c>
      <c r="M816" s="272" t="s">
        <v>276</v>
      </c>
      <c r="N816" s="245" t="s">
        <v>3909</v>
      </c>
      <c r="O816" s="271" t="s">
        <v>276</v>
      </c>
      <c r="P816" s="245" t="s">
        <v>239</v>
      </c>
      <c r="Q816" s="273" t="s">
        <v>3910</v>
      </c>
      <c r="R816" s="271" t="s">
        <v>3900</v>
      </c>
      <c r="S816" s="250" t="s">
        <v>3911</v>
      </c>
      <c r="T816" s="250" t="s">
        <v>3912</v>
      </c>
      <c r="U816" s="245" t="s">
        <v>3745</v>
      </c>
      <c r="V816" s="244" t="s">
        <v>14</v>
      </c>
      <c r="W816" s="272" t="s">
        <v>98</v>
      </c>
      <c r="X816" s="271" t="s">
        <v>207</v>
      </c>
      <c r="Y816" s="249">
        <v>53883</v>
      </c>
      <c r="Z816" s="250">
        <v>106953</v>
      </c>
      <c r="AA816" s="271" t="s">
        <v>276</v>
      </c>
      <c r="AB816" s="271" t="s">
        <v>276</v>
      </c>
      <c r="AC816" s="244">
        <v>38</v>
      </c>
      <c r="AD816" s="245" t="s">
        <v>3913</v>
      </c>
      <c r="AE816" s="244">
        <v>121</v>
      </c>
      <c r="AF816" s="245" t="s">
        <v>3913</v>
      </c>
      <c r="AG816" s="245" t="s">
        <v>3914</v>
      </c>
      <c r="AH816" s="245" t="s">
        <v>3915</v>
      </c>
      <c r="AI816" s="274">
        <f>207+328</f>
        <v>535</v>
      </c>
      <c r="AJ816" s="274">
        <v>932</v>
      </c>
      <c r="AK816" s="274">
        <v>569016</v>
      </c>
      <c r="AL816" s="274">
        <v>1129491</v>
      </c>
      <c r="AM816" s="250" t="s">
        <v>425</v>
      </c>
      <c r="AN816" s="244" t="s">
        <v>276</v>
      </c>
      <c r="AO816" s="251">
        <f>AI816*1000/AK816</f>
        <v>0.94021960718152042</v>
      </c>
      <c r="AP816" s="244" t="s">
        <v>276</v>
      </c>
      <c r="AQ816" s="244" t="s">
        <v>276</v>
      </c>
      <c r="AR816" s="244" t="s">
        <v>276</v>
      </c>
      <c r="AS816" s="251">
        <f>AJ816*1000/AL816</f>
        <v>0.82515044387250536</v>
      </c>
      <c r="AT816" s="244" t="s">
        <v>276</v>
      </c>
      <c r="AU816" s="244" t="s">
        <v>276</v>
      </c>
      <c r="AV816" s="245" t="s">
        <v>269</v>
      </c>
      <c r="AW816" s="275" t="s">
        <v>276</v>
      </c>
      <c r="AX816" s="275">
        <f t="shared" ref="AX816:AX821" si="246">AO816/AS816</f>
        <v>1.1394523437071489</v>
      </c>
      <c r="AY816" s="271" t="s">
        <v>276</v>
      </c>
      <c r="AZ816" s="271" t="s">
        <v>276</v>
      </c>
      <c r="BA816" s="271" t="s">
        <v>276</v>
      </c>
      <c r="BB816" s="271" t="s">
        <v>282</v>
      </c>
      <c r="BC816" s="271" t="s">
        <v>98</v>
      </c>
      <c r="BD816" s="271" t="s">
        <v>98</v>
      </c>
      <c r="BE816" s="271" t="s">
        <v>98</v>
      </c>
      <c r="BF816" s="245" t="s">
        <v>3916</v>
      </c>
      <c r="BG816" s="245" t="s">
        <v>98</v>
      </c>
      <c r="BH816" s="9" t="s">
        <v>100</v>
      </c>
      <c r="BI816" s="9" t="s">
        <v>100</v>
      </c>
      <c r="BJ816" s="276"/>
      <c r="BK816" s="277"/>
      <c r="BL816" s="277"/>
      <c r="BM816" s="277"/>
      <c r="BN816" s="276"/>
      <c r="BO816" s="276"/>
      <c r="BP816" s="277"/>
    </row>
    <row r="817" spans="1:68" s="278" customFormat="1" ht="78" hidden="1" x14ac:dyDescent="0.35">
      <c r="A817" s="244">
        <v>4257</v>
      </c>
      <c r="B817" s="244" t="s">
        <v>3775</v>
      </c>
      <c r="C817" s="244" t="s">
        <v>34</v>
      </c>
      <c r="D817" s="245" t="s">
        <v>3917</v>
      </c>
      <c r="E817" s="244" t="s">
        <v>35</v>
      </c>
      <c r="F817" s="244" t="s">
        <v>97</v>
      </c>
      <c r="G817" s="244" t="s">
        <v>225</v>
      </c>
      <c r="H817" s="244" t="s">
        <v>125</v>
      </c>
      <c r="I817" s="244" t="s">
        <v>114</v>
      </c>
      <c r="J817" s="245" t="s">
        <v>117</v>
      </c>
      <c r="K817" s="271" t="s">
        <v>3836</v>
      </c>
      <c r="L817" s="272" t="s">
        <v>276</v>
      </c>
      <c r="M817" s="272" t="s">
        <v>276</v>
      </c>
      <c r="N817" s="245" t="s">
        <v>3909</v>
      </c>
      <c r="O817" s="271" t="s">
        <v>276</v>
      </c>
      <c r="P817" s="245" t="s">
        <v>239</v>
      </c>
      <c r="Q817" s="273" t="s">
        <v>3910</v>
      </c>
      <c r="R817" s="271" t="s">
        <v>3900</v>
      </c>
      <c r="S817" s="250" t="s">
        <v>3911</v>
      </c>
      <c r="T817" s="250" t="s">
        <v>3912</v>
      </c>
      <c r="U817" s="245" t="s">
        <v>3745</v>
      </c>
      <c r="V817" s="244" t="s">
        <v>14</v>
      </c>
      <c r="W817" s="272" t="s">
        <v>98</v>
      </c>
      <c r="X817" s="271" t="s">
        <v>207</v>
      </c>
      <c r="Y817" s="249">
        <v>53883</v>
      </c>
      <c r="Z817" s="250">
        <v>106953</v>
      </c>
      <c r="AA817" s="271" t="s">
        <v>276</v>
      </c>
      <c r="AB817" s="271" t="s">
        <v>276</v>
      </c>
      <c r="AC817" s="244">
        <v>38</v>
      </c>
      <c r="AD817" s="245" t="s">
        <v>3913</v>
      </c>
      <c r="AE817" s="244">
        <v>121</v>
      </c>
      <c r="AF817" s="245" t="s">
        <v>3913</v>
      </c>
      <c r="AG817" s="245" t="s">
        <v>3918</v>
      </c>
      <c r="AH817" s="245" t="s">
        <v>3915</v>
      </c>
      <c r="AI817" s="274">
        <f>49+213</f>
        <v>262</v>
      </c>
      <c r="AJ817" s="274">
        <v>575</v>
      </c>
      <c r="AK817" s="274">
        <v>569016</v>
      </c>
      <c r="AL817" s="274">
        <v>1129491</v>
      </c>
      <c r="AM817" s="250" t="s">
        <v>425</v>
      </c>
      <c r="AN817" s="244" t="s">
        <v>276</v>
      </c>
      <c r="AO817" s="251">
        <f>AI817*1000/AK817</f>
        <v>0.46044399454496887</v>
      </c>
      <c r="AP817" s="244" t="s">
        <v>276</v>
      </c>
      <c r="AQ817" s="244" t="s">
        <v>276</v>
      </c>
      <c r="AR817" s="244" t="s">
        <v>276</v>
      </c>
      <c r="AS817" s="251">
        <f>AJ817*1000/AL817</f>
        <v>0.5090788682689813</v>
      </c>
      <c r="AT817" s="244" t="s">
        <v>276</v>
      </c>
      <c r="AU817" s="244" t="s">
        <v>276</v>
      </c>
      <c r="AV817" s="245" t="s">
        <v>269</v>
      </c>
      <c r="AW817" s="275" t="s">
        <v>276</v>
      </c>
      <c r="AX817" s="275">
        <f t="shared" si="246"/>
        <v>0.90446495276972427</v>
      </c>
      <c r="AY817" s="271" t="s">
        <v>276</v>
      </c>
      <c r="AZ817" s="271" t="s">
        <v>276</v>
      </c>
      <c r="BA817" s="271" t="s">
        <v>276</v>
      </c>
      <c r="BB817" s="271" t="s">
        <v>282</v>
      </c>
      <c r="BC817" s="271" t="s">
        <v>98</v>
      </c>
      <c r="BD817" s="271" t="s">
        <v>98</v>
      </c>
      <c r="BE817" s="271" t="s">
        <v>98</v>
      </c>
      <c r="BF817" s="245" t="s">
        <v>3916</v>
      </c>
      <c r="BG817" s="245" t="s">
        <v>98</v>
      </c>
      <c r="BH817" s="9" t="s">
        <v>100</v>
      </c>
      <c r="BI817" s="9" t="s">
        <v>100</v>
      </c>
      <c r="BJ817" s="276"/>
      <c r="BK817" s="277"/>
      <c r="BL817" s="277"/>
      <c r="BM817" s="277"/>
      <c r="BN817" s="276"/>
      <c r="BO817" s="276"/>
      <c r="BP817" s="277"/>
    </row>
    <row r="818" spans="1:68" s="286" customFormat="1" ht="65" hidden="1" x14ac:dyDescent="0.35">
      <c r="A818" s="254">
        <v>4257</v>
      </c>
      <c r="B818" s="254" t="s">
        <v>3775</v>
      </c>
      <c r="C818" s="254" t="s">
        <v>34</v>
      </c>
      <c r="D818" s="255" t="s">
        <v>3919</v>
      </c>
      <c r="E818" s="254" t="s">
        <v>35</v>
      </c>
      <c r="F818" s="254" t="s">
        <v>97</v>
      </c>
      <c r="G818" s="254" t="s">
        <v>225</v>
      </c>
      <c r="H818" s="254" t="s">
        <v>125</v>
      </c>
      <c r="I818" s="254" t="s">
        <v>114</v>
      </c>
      <c r="J818" s="255" t="s">
        <v>31</v>
      </c>
      <c r="K818" s="279" t="s">
        <v>3920</v>
      </c>
      <c r="L818" s="280" t="s">
        <v>276</v>
      </c>
      <c r="M818" s="280" t="s">
        <v>276</v>
      </c>
      <c r="N818" s="255" t="s">
        <v>3909</v>
      </c>
      <c r="O818" s="279" t="s">
        <v>276</v>
      </c>
      <c r="P818" s="255" t="s">
        <v>239</v>
      </c>
      <c r="Q818" s="281" t="s">
        <v>3910</v>
      </c>
      <c r="R818" s="279" t="s">
        <v>3900</v>
      </c>
      <c r="S818" s="260" t="s">
        <v>3911</v>
      </c>
      <c r="T818" s="260" t="s">
        <v>3912</v>
      </c>
      <c r="U818" s="255" t="s">
        <v>3745</v>
      </c>
      <c r="V818" s="254" t="s">
        <v>14</v>
      </c>
      <c r="W818" s="280" t="s">
        <v>98</v>
      </c>
      <c r="X818" s="279" t="s">
        <v>207</v>
      </c>
      <c r="Y818" s="259">
        <v>53883</v>
      </c>
      <c r="Z818" s="260">
        <v>106953</v>
      </c>
      <c r="AA818" s="279" t="s">
        <v>276</v>
      </c>
      <c r="AB818" s="279" t="s">
        <v>276</v>
      </c>
      <c r="AC818" s="254">
        <f>13+108</f>
        <v>121</v>
      </c>
      <c r="AD818" s="254" t="s">
        <v>3921</v>
      </c>
      <c r="AE818" s="254">
        <v>278</v>
      </c>
      <c r="AF818" s="254" t="s">
        <v>3921</v>
      </c>
      <c r="AG818" s="255" t="s">
        <v>3922</v>
      </c>
      <c r="AH818" s="255" t="s">
        <v>3915</v>
      </c>
      <c r="AI818" s="282">
        <f>196+265</f>
        <v>461</v>
      </c>
      <c r="AJ818" s="282">
        <v>788</v>
      </c>
      <c r="AK818" s="282">
        <v>569016</v>
      </c>
      <c r="AL818" s="282">
        <v>1129491</v>
      </c>
      <c r="AM818" s="260" t="s">
        <v>425</v>
      </c>
      <c r="AN818" s="254" t="s">
        <v>276</v>
      </c>
      <c r="AO818" s="261">
        <f t="shared" ref="AO818:AO819" si="247">AI818*1000/AK818</f>
        <v>0.81017054001996425</v>
      </c>
      <c r="AP818" s="254" t="s">
        <v>276</v>
      </c>
      <c r="AQ818" s="254" t="s">
        <v>276</v>
      </c>
      <c r="AR818" s="254" t="s">
        <v>276</v>
      </c>
      <c r="AS818" s="261">
        <f t="shared" ref="AS818:AS819" si="248">AJ818*1000/AL818</f>
        <v>0.69765938816688222</v>
      </c>
      <c r="AT818" s="254" t="s">
        <v>276</v>
      </c>
      <c r="AU818" s="254" t="s">
        <v>276</v>
      </c>
      <c r="AV818" s="255" t="s">
        <v>269</v>
      </c>
      <c r="AW818" s="283" t="s">
        <v>276</v>
      </c>
      <c r="AX818" s="283">
        <f t="shared" si="246"/>
        <v>1.1612694586518901</v>
      </c>
      <c r="AY818" s="279" t="s">
        <v>276</v>
      </c>
      <c r="AZ818" s="279" t="s">
        <v>276</v>
      </c>
      <c r="BA818" s="279" t="s">
        <v>276</v>
      </c>
      <c r="BB818" s="279" t="s">
        <v>282</v>
      </c>
      <c r="BC818" s="279" t="s">
        <v>98</v>
      </c>
      <c r="BD818" s="279" t="s">
        <v>98</v>
      </c>
      <c r="BE818" s="279" t="s">
        <v>98</v>
      </c>
      <c r="BF818" s="255" t="s">
        <v>3916</v>
      </c>
      <c r="BG818" s="255" t="s">
        <v>98</v>
      </c>
      <c r="BH818" s="9" t="s">
        <v>100</v>
      </c>
      <c r="BI818" s="9" t="s">
        <v>100</v>
      </c>
      <c r="BJ818" s="284"/>
      <c r="BK818" s="285"/>
      <c r="BL818" s="285"/>
      <c r="BM818" s="285"/>
      <c r="BN818" s="284"/>
      <c r="BO818" s="284"/>
      <c r="BP818" s="285"/>
    </row>
    <row r="819" spans="1:68" s="286" customFormat="1" ht="65" hidden="1" x14ac:dyDescent="0.35">
      <c r="A819" s="254">
        <v>4257</v>
      </c>
      <c r="B819" s="254" t="s">
        <v>3775</v>
      </c>
      <c r="C819" s="254" t="s">
        <v>34</v>
      </c>
      <c r="D819" s="255" t="s">
        <v>3923</v>
      </c>
      <c r="E819" s="254" t="s">
        <v>35</v>
      </c>
      <c r="F819" s="254" t="s">
        <v>97</v>
      </c>
      <c r="G819" s="254" t="s">
        <v>225</v>
      </c>
      <c r="H819" s="254" t="s">
        <v>125</v>
      </c>
      <c r="I819" s="254" t="s">
        <v>114</v>
      </c>
      <c r="J819" s="255" t="s">
        <v>31</v>
      </c>
      <c r="K819" s="279" t="s">
        <v>3924</v>
      </c>
      <c r="L819" s="280" t="s">
        <v>276</v>
      </c>
      <c r="M819" s="280" t="s">
        <v>276</v>
      </c>
      <c r="N819" s="255" t="s">
        <v>3909</v>
      </c>
      <c r="O819" s="279" t="s">
        <v>276</v>
      </c>
      <c r="P819" s="255" t="s">
        <v>239</v>
      </c>
      <c r="Q819" s="281" t="s">
        <v>3910</v>
      </c>
      <c r="R819" s="279" t="s">
        <v>3900</v>
      </c>
      <c r="S819" s="260" t="s">
        <v>3911</v>
      </c>
      <c r="T819" s="260" t="s">
        <v>3912</v>
      </c>
      <c r="U819" s="255" t="s">
        <v>3745</v>
      </c>
      <c r="V819" s="254" t="s">
        <v>14</v>
      </c>
      <c r="W819" s="280" t="s">
        <v>98</v>
      </c>
      <c r="X819" s="279" t="s">
        <v>207</v>
      </c>
      <c r="Y819" s="259">
        <v>53883</v>
      </c>
      <c r="Z819" s="260">
        <v>106953</v>
      </c>
      <c r="AA819" s="279" t="s">
        <v>276</v>
      </c>
      <c r="AB819" s="279" t="s">
        <v>276</v>
      </c>
      <c r="AC819" s="254">
        <f>13+108</f>
        <v>121</v>
      </c>
      <c r="AD819" s="254" t="s">
        <v>3921</v>
      </c>
      <c r="AE819" s="254">
        <v>278</v>
      </c>
      <c r="AF819" s="254" t="s">
        <v>3921</v>
      </c>
      <c r="AG819" s="255" t="s">
        <v>3925</v>
      </c>
      <c r="AH819" s="255" t="s">
        <v>3915</v>
      </c>
      <c r="AI819" s="282">
        <f>47+206</f>
        <v>253</v>
      </c>
      <c r="AJ819" s="282">
        <v>562</v>
      </c>
      <c r="AK819" s="282">
        <v>569016</v>
      </c>
      <c r="AL819" s="282">
        <v>1129491</v>
      </c>
      <c r="AM819" s="260" t="s">
        <v>425</v>
      </c>
      <c r="AN819" s="254" t="s">
        <v>276</v>
      </c>
      <c r="AO819" s="261">
        <f t="shared" si="247"/>
        <v>0.44462721610640121</v>
      </c>
      <c r="AP819" s="254" t="s">
        <v>276</v>
      </c>
      <c r="AQ819" s="254" t="s">
        <v>276</v>
      </c>
      <c r="AR819" s="254" t="s">
        <v>276</v>
      </c>
      <c r="AS819" s="261">
        <f t="shared" si="248"/>
        <v>0.49756925907333482</v>
      </c>
      <c r="AT819" s="254" t="s">
        <v>276</v>
      </c>
      <c r="AU819" s="254" t="s">
        <v>276</v>
      </c>
      <c r="AV819" s="255" t="s">
        <v>269</v>
      </c>
      <c r="AW819" s="283" t="s">
        <v>276</v>
      </c>
      <c r="AX819" s="283">
        <f t="shared" si="246"/>
        <v>0.89359864581358572</v>
      </c>
      <c r="AY819" s="279" t="s">
        <v>276</v>
      </c>
      <c r="AZ819" s="279" t="s">
        <v>276</v>
      </c>
      <c r="BA819" s="279" t="s">
        <v>276</v>
      </c>
      <c r="BB819" s="279" t="s">
        <v>282</v>
      </c>
      <c r="BC819" s="279" t="s">
        <v>98</v>
      </c>
      <c r="BD819" s="279" t="s">
        <v>98</v>
      </c>
      <c r="BE819" s="279" t="s">
        <v>98</v>
      </c>
      <c r="BF819" s="255" t="s">
        <v>3916</v>
      </c>
      <c r="BG819" s="255" t="s">
        <v>98</v>
      </c>
      <c r="BH819" s="9" t="s">
        <v>100</v>
      </c>
      <c r="BI819" s="9" t="s">
        <v>100</v>
      </c>
      <c r="BJ819" s="284"/>
      <c r="BK819" s="285"/>
      <c r="BL819" s="285"/>
      <c r="BM819" s="285"/>
      <c r="BN819" s="284"/>
      <c r="BO819" s="284"/>
      <c r="BP819" s="285"/>
    </row>
    <row r="820" spans="1:68" s="278" customFormat="1" ht="78" hidden="1" x14ac:dyDescent="0.35">
      <c r="A820" s="244">
        <v>4257</v>
      </c>
      <c r="B820" s="244" t="s">
        <v>3775</v>
      </c>
      <c r="C820" s="244" t="s">
        <v>34</v>
      </c>
      <c r="D820" s="245" t="s">
        <v>3926</v>
      </c>
      <c r="E820" s="244" t="s">
        <v>35</v>
      </c>
      <c r="F820" s="244" t="s">
        <v>97</v>
      </c>
      <c r="G820" s="244" t="s">
        <v>225</v>
      </c>
      <c r="H820" s="244" t="s">
        <v>125</v>
      </c>
      <c r="I820" s="244" t="s">
        <v>114</v>
      </c>
      <c r="J820" s="245" t="s">
        <v>117</v>
      </c>
      <c r="K820" s="271" t="s">
        <v>3836</v>
      </c>
      <c r="L820" s="272" t="s">
        <v>276</v>
      </c>
      <c r="M820" s="272" t="s">
        <v>276</v>
      </c>
      <c r="N820" s="245" t="s">
        <v>3909</v>
      </c>
      <c r="O820" s="271" t="s">
        <v>276</v>
      </c>
      <c r="P820" s="245" t="s">
        <v>235</v>
      </c>
      <c r="Q820" s="273" t="s">
        <v>3910</v>
      </c>
      <c r="R820" s="271" t="s">
        <v>3900</v>
      </c>
      <c r="S820" s="250" t="s">
        <v>3911</v>
      </c>
      <c r="T820" s="250" t="s">
        <v>3912</v>
      </c>
      <c r="U820" s="245" t="s">
        <v>3745</v>
      </c>
      <c r="V820" s="244" t="s">
        <v>14</v>
      </c>
      <c r="W820" s="272" t="s">
        <v>98</v>
      </c>
      <c r="X820" s="271" t="s">
        <v>207</v>
      </c>
      <c r="Y820" s="249" t="s">
        <v>98</v>
      </c>
      <c r="Z820" s="249" t="s">
        <v>98</v>
      </c>
      <c r="AA820" s="271" t="s">
        <v>276</v>
      </c>
      <c r="AB820" s="271" t="s">
        <v>276</v>
      </c>
      <c r="AC820" s="244">
        <v>38</v>
      </c>
      <c r="AD820" s="245" t="s">
        <v>3913</v>
      </c>
      <c r="AE820" s="244">
        <v>121</v>
      </c>
      <c r="AF820" s="245" t="s">
        <v>3913</v>
      </c>
      <c r="AG820" s="245" t="s">
        <v>3927</v>
      </c>
      <c r="AH820" s="245" t="s">
        <v>3928</v>
      </c>
      <c r="AI820" s="274">
        <f>49+213</f>
        <v>262</v>
      </c>
      <c r="AJ820" s="274">
        <v>575</v>
      </c>
      <c r="AK820" s="274">
        <v>835</v>
      </c>
      <c r="AL820" s="274">
        <v>1628</v>
      </c>
      <c r="AM820" s="250" t="s">
        <v>292</v>
      </c>
      <c r="AN820" s="244" t="s">
        <v>276</v>
      </c>
      <c r="AO820" s="251">
        <f t="shared" si="245"/>
        <v>31.377245508982035</v>
      </c>
      <c r="AP820" s="244" t="s">
        <v>276</v>
      </c>
      <c r="AQ820" s="244" t="s">
        <v>276</v>
      </c>
      <c r="AR820" s="244" t="s">
        <v>276</v>
      </c>
      <c r="AS820" s="251">
        <f t="shared" ref="AS820:AS821" si="249">AJ820*100/AL820</f>
        <v>35.319410319410316</v>
      </c>
      <c r="AT820" s="244" t="s">
        <v>276</v>
      </c>
      <c r="AU820" s="244" t="s">
        <v>276</v>
      </c>
      <c r="AV820" s="245" t="s">
        <v>269</v>
      </c>
      <c r="AW820" s="275" t="s">
        <v>276</v>
      </c>
      <c r="AX820" s="275">
        <f t="shared" si="246"/>
        <v>0.88838531632387407</v>
      </c>
      <c r="AY820" s="271" t="s">
        <v>276</v>
      </c>
      <c r="AZ820" s="271" t="s">
        <v>276</v>
      </c>
      <c r="BA820" s="271" t="s">
        <v>276</v>
      </c>
      <c r="BB820" s="271" t="s">
        <v>282</v>
      </c>
      <c r="BC820" s="271" t="s">
        <v>98</v>
      </c>
      <c r="BD820" s="271" t="s">
        <v>98</v>
      </c>
      <c r="BE820" s="271" t="s">
        <v>98</v>
      </c>
      <c r="BF820" s="245" t="s">
        <v>696</v>
      </c>
      <c r="BG820" s="245" t="s">
        <v>98</v>
      </c>
      <c r="BH820" s="9" t="s">
        <v>100</v>
      </c>
      <c r="BI820" s="9" t="s">
        <v>100</v>
      </c>
      <c r="BJ820" s="276"/>
      <c r="BK820" s="277"/>
      <c r="BL820" s="277"/>
      <c r="BM820" s="277"/>
      <c r="BN820" s="276"/>
      <c r="BO820" s="276"/>
      <c r="BP820" s="277"/>
    </row>
    <row r="821" spans="1:68" s="278" customFormat="1" ht="78" hidden="1" x14ac:dyDescent="0.35">
      <c r="A821" s="244">
        <v>4257</v>
      </c>
      <c r="B821" s="244" t="s">
        <v>3775</v>
      </c>
      <c r="C821" s="244" t="s">
        <v>34</v>
      </c>
      <c r="D821" s="245" t="s">
        <v>3929</v>
      </c>
      <c r="E821" s="244" t="s">
        <v>35</v>
      </c>
      <c r="F821" s="244" t="s">
        <v>97</v>
      </c>
      <c r="G821" s="244" t="s">
        <v>225</v>
      </c>
      <c r="H821" s="244" t="s">
        <v>125</v>
      </c>
      <c r="I821" s="244" t="s">
        <v>114</v>
      </c>
      <c r="J821" s="245" t="s">
        <v>31</v>
      </c>
      <c r="K821" s="271" t="s">
        <v>3827</v>
      </c>
      <c r="L821" s="272" t="s">
        <v>276</v>
      </c>
      <c r="M821" s="272" t="s">
        <v>276</v>
      </c>
      <c r="N821" s="245" t="s">
        <v>3909</v>
      </c>
      <c r="O821" s="271" t="s">
        <v>276</v>
      </c>
      <c r="P821" s="245" t="s">
        <v>235</v>
      </c>
      <c r="Q821" s="273" t="s">
        <v>3910</v>
      </c>
      <c r="R821" s="271" t="s">
        <v>3900</v>
      </c>
      <c r="S821" s="250" t="s">
        <v>3911</v>
      </c>
      <c r="T821" s="250" t="s">
        <v>3912</v>
      </c>
      <c r="U821" s="245" t="s">
        <v>3745</v>
      </c>
      <c r="V821" s="244" t="s">
        <v>14</v>
      </c>
      <c r="W821" s="272" t="s">
        <v>98</v>
      </c>
      <c r="X821" s="271" t="s">
        <v>207</v>
      </c>
      <c r="Y821" s="249" t="s">
        <v>98</v>
      </c>
      <c r="Z821" s="249" t="s">
        <v>98</v>
      </c>
      <c r="AA821" s="271" t="s">
        <v>276</v>
      </c>
      <c r="AB821" s="271" t="s">
        <v>276</v>
      </c>
      <c r="AC821" s="244">
        <f>13+108</f>
        <v>121</v>
      </c>
      <c r="AD821" s="244" t="s">
        <v>3921</v>
      </c>
      <c r="AE821" s="244">
        <v>278</v>
      </c>
      <c r="AF821" s="244" t="s">
        <v>3921</v>
      </c>
      <c r="AG821" s="245" t="s">
        <v>3925</v>
      </c>
      <c r="AH821" s="245" t="s">
        <v>3930</v>
      </c>
      <c r="AI821" s="274">
        <f>47+206</f>
        <v>253</v>
      </c>
      <c r="AJ821" s="274">
        <v>562</v>
      </c>
      <c r="AK821" s="274">
        <v>835</v>
      </c>
      <c r="AL821" s="274">
        <v>1628</v>
      </c>
      <c r="AM821" s="250" t="s">
        <v>292</v>
      </c>
      <c r="AN821" s="244" t="s">
        <v>276</v>
      </c>
      <c r="AO821" s="251">
        <f t="shared" si="245"/>
        <v>30.299401197604791</v>
      </c>
      <c r="AP821" s="244" t="s">
        <v>276</v>
      </c>
      <c r="AQ821" s="244" t="s">
        <v>276</v>
      </c>
      <c r="AR821" s="244" t="s">
        <v>276</v>
      </c>
      <c r="AS821" s="251">
        <f t="shared" si="249"/>
        <v>34.520884520884522</v>
      </c>
      <c r="AT821" s="244" t="s">
        <v>276</v>
      </c>
      <c r="AU821" s="244" t="s">
        <v>276</v>
      </c>
      <c r="AV821" s="245" t="s">
        <v>269</v>
      </c>
      <c r="AW821" s="275" t="s">
        <v>276</v>
      </c>
      <c r="AX821" s="275">
        <f t="shared" si="246"/>
        <v>0.87771219127581135</v>
      </c>
      <c r="AY821" s="271" t="s">
        <v>276</v>
      </c>
      <c r="AZ821" s="271" t="s">
        <v>276</v>
      </c>
      <c r="BA821" s="271" t="s">
        <v>276</v>
      </c>
      <c r="BB821" s="271" t="s">
        <v>282</v>
      </c>
      <c r="BC821" s="271" t="s">
        <v>98</v>
      </c>
      <c r="BD821" s="271" t="s">
        <v>98</v>
      </c>
      <c r="BE821" s="271" t="s">
        <v>98</v>
      </c>
      <c r="BF821" s="245" t="s">
        <v>696</v>
      </c>
      <c r="BG821" s="245" t="s">
        <v>98</v>
      </c>
      <c r="BH821" s="9" t="s">
        <v>100</v>
      </c>
      <c r="BI821" s="9" t="s">
        <v>100</v>
      </c>
      <c r="BJ821" s="276"/>
      <c r="BK821" s="277"/>
      <c r="BL821" s="277"/>
      <c r="BM821" s="277"/>
      <c r="BN821" s="276"/>
      <c r="BO821" s="276"/>
      <c r="BP821" s="277"/>
    </row>
    <row r="822" spans="1:68" s="286" customFormat="1" ht="65" x14ac:dyDescent="0.35">
      <c r="A822" s="254">
        <v>4257</v>
      </c>
      <c r="B822" s="254" t="s">
        <v>3775</v>
      </c>
      <c r="C822" s="254" t="s">
        <v>34</v>
      </c>
      <c r="D822" s="255" t="s">
        <v>3931</v>
      </c>
      <c r="E822" s="254" t="s">
        <v>35</v>
      </c>
      <c r="F822" s="254" t="s">
        <v>97</v>
      </c>
      <c r="G822" s="254" t="s">
        <v>225</v>
      </c>
      <c r="H822" s="254" t="s">
        <v>125</v>
      </c>
      <c r="I822" s="254" t="s">
        <v>114</v>
      </c>
      <c r="J822" s="255" t="s">
        <v>98</v>
      </c>
      <c r="K822" s="279" t="s">
        <v>98</v>
      </c>
      <c r="L822" s="280" t="s">
        <v>98</v>
      </c>
      <c r="M822" s="280" t="s">
        <v>98</v>
      </c>
      <c r="N822" s="255" t="s">
        <v>3909</v>
      </c>
      <c r="O822" s="279" t="s">
        <v>276</v>
      </c>
      <c r="P822" s="255" t="s">
        <v>236</v>
      </c>
      <c r="Q822" s="281" t="s">
        <v>3910</v>
      </c>
      <c r="R822" s="279" t="s">
        <v>3900</v>
      </c>
      <c r="S822" s="260" t="s">
        <v>3911</v>
      </c>
      <c r="T822" s="260" t="s">
        <v>3912</v>
      </c>
      <c r="U822" s="255" t="s">
        <v>3745</v>
      </c>
      <c r="V822" s="254" t="s">
        <v>14</v>
      </c>
      <c r="W822" s="280" t="s">
        <v>98</v>
      </c>
      <c r="X822" s="279" t="s">
        <v>209</v>
      </c>
      <c r="Y822" s="259" t="s">
        <v>98</v>
      </c>
      <c r="Z822" s="259" t="s">
        <v>98</v>
      </c>
      <c r="AA822" s="279" t="s">
        <v>276</v>
      </c>
      <c r="AB822" s="279" t="s">
        <v>98</v>
      </c>
      <c r="AC822" s="254">
        <v>0</v>
      </c>
      <c r="AD822" s="255" t="s">
        <v>3932</v>
      </c>
      <c r="AE822" s="254" t="s">
        <v>98</v>
      </c>
      <c r="AF822" s="255" t="s">
        <v>98</v>
      </c>
      <c r="AG822" s="255" t="s">
        <v>3933</v>
      </c>
      <c r="AH822" s="255" t="s">
        <v>3934</v>
      </c>
      <c r="AI822" s="282">
        <v>256</v>
      </c>
      <c r="AJ822" s="282" t="s">
        <v>98</v>
      </c>
      <c r="AK822" s="282">
        <v>835</v>
      </c>
      <c r="AL822" s="282" t="s">
        <v>98</v>
      </c>
      <c r="AM822" s="260" t="s">
        <v>292</v>
      </c>
      <c r="AN822" s="254" t="s">
        <v>276</v>
      </c>
      <c r="AO822" s="261">
        <f t="shared" si="245"/>
        <v>30.658682634730539</v>
      </c>
      <c r="AP822" s="254" t="s">
        <v>276</v>
      </c>
      <c r="AQ822" s="254" t="s">
        <v>276</v>
      </c>
      <c r="AR822" s="254" t="s">
        <v>98</v>
      </c>
      <c r="AS822" s="254" t="s">
        <v>98</v>
      </c>
      <c r="AT822" s="254" t="s">
        <v>98</v>
      </c>
      <c r="AU822" s="254" t="s">
        <v>98</v>
      </c>
      <c r="AV822" s="255" t="s">
        <v>98</v>
      </c>
      <c r="AW822" s="254" t="s">
        <v>98</v>
      </c>
      <c r="AX822" s="254" t="s">
        <v>98</v>
      </c>
      <c r="AY822" s="254" t="s">
        <v>98</v>
      </c>
      <c r="AZ822" s="254" t="s">
        <v>98</v>
      </c>
      <c r="BA822" s="254" t="s">
        <v>98</v>
      </c>
      <c r="BB822" s="254" t="s">
        <v>98</v>
      </c>
      <c r="BC822" s="254" t="s">
        <v>98</v>
      </c>
      <c r="BD822" s="254" t="s">
        <v>98</v>
      </c>
      <c r="BE822" s="254" t="s">
        <v>98</v>
      </c>
      <c r="BF822" s="255" t="s">
        <v>696</v>
      </c>
      <c r="BG822" s="255" t="s">
        <v>98</v>
      </c>
      <c r="BH822" s="9" t="s">
        <v>99</v>
      </c>
      <c r="BI822" s="9" t="s">
        <v>99</v>
      </c>
      <c r="BJ822" s="284"/>
      <c r="BK822" s="285"/>
      <c r="BL822" s="285"/>
      <c r="BM822" s="285"/>
      <c r="BN822" s="284"/>
      <c r="BO822" s="284"/>
      <c r="BP822" s="285"/>
    </row>
    <row r="823" spans="1:68" s="286" customFormat="1" ht="65" hidden="1" x14ac:dyDescent="0.35">
      <c r="A823" s="254">
        <v>4257</v>
      </c>
      <c r="B823" s="254" t="s">
        <v>3775</v>
      </c>
      <c r="C823" s="254" t="s">
        <v>34</v>
      </c>
      <c r="D823" s="255" t="s">
        <v>3935</v>
      </c>
      <c r="E823" s="254" t="s">
        <v>35</v>
      </c>
      <c r="F823" s="254" t="s">
        <v>97</v>
      </c>
      <c r="G823" s="254" t="s">
        <v>225</v>
      </c>
      <c r="H823" s="254" t="s">
        <v>125</v>
      </c>
      <c r="I823" s="254" t="s">
        <v>114</v>
      </c>
      <c r="J823" s="255" t="s">
        <v>27</v>
      </c>
      <c r="K823" s="279" t="s">
        <v>3905</v>
      </c>
      <c r="L823" s="280" t="s">
        <v>98</v>
      </c>
      <c r="M823" s="280" t="s">
        <v>98</v>
      </c>
      <c r="N823" s="255" t="s">
        <v>3909</v>
      </c>
      <c r="O823" s="279" t="s">
        <v>276</v>
      </c>
      <c r="P823" s="255" t="s">
        <v>237</v>
      </c>
      <c r="Q823" s="281" t="s">
        <v>3910</v>
      </c>
      <c r="R823" s="279" t="s">
        <v>3900</v>
      </c>
      <c r="S823" s="260" t="s">
        <v>3911</v>
      </c>
      <c r="T823" s="260" t="s">
        <v>3912</v>
      </c>
      <c r="U823" s="255" t="s">
        <v>3745</v>
      </c>
      <c r="V823" s="254" t="s">
        <v>14</v>
      </c>
      <c r="W823" s="280" t="s">
        <v>98</v>
      </c>
      <c r="X823" s="279" t="s">
        <v>209</v>
      </c>
      <c r="Y823" s="259" t="s">
        <v>98</v>
      </c>
      <c r="Z823" s="259" t="s">
        <v>98</v>
      </c>
      <c r="AA823" s="279" t="s">
        <v>276</v>
      </c>
      <c r="AB823" s="279" t="s">
        <v>98</v>
      </c>
      <c r="AC823" s="254">
        <f>20+92</f>
        <v>112</v>
      </c>
      <c r="AD823" s="255" t="s">
        <v>3936</v>
      </c>
      <c r="AE823" s="254" t="s">
        <v>98</v>
      </c>
      <c r="AF823" s="255" t="s">
        <v>98</v>
      </c>
      <c r="AG823" s="255" t="s">
        <v>3937</v>
      </c>
      <c r="AH823" s="255" t="s">
        <v>3938</v>
      </c>
      <c r="AI823" s="282">
        <v>74</v>
      </c>
      <c r="AJ823" s="282" t="s">
        <v>98</v>
      </c>
      <c r="AK823" s="282">
        <f>74+253</f>
        <v>327</v>
      </c>
      <c r="AL823" s="282" t="s">
        <v>98</v>
      </c>
      <c r="AM823" s="260" t="s">
        <v>292</v>
      </c>
      <c r="AN823" s="254" t="s">
        <v>276</v>
      </c>
      <c r="AO823" s="261">
        <f t="shared" si="245"/>
        <v>22.629969418960243</v>
      </c>
      <c r="AP823" s="254" t="s">
        <v>276</v>
      </c>
      <c r="AQ823" s="254" t="s">
        <v>276</v>
      </c>
      <c r="AR823" s="254" t="s">
        <v>98</v>
      </c>
      <c r="AS823" s="254" t="s">
        <v>98</v>
      </c>
      <c r="AT823" s="254" t="s">
        <v>98</v>
      </c>
      <c r="AU823" s="254" t="s">
        <v>98</v>
      </c>
      <c r="AV823" s="255" t="s">
        <v>98</v>
      </c>
      <c r="AW823" s="254" t="s">
        <v>98</v>
      </c>
      <c r="AX823" s="254" t="s">
        <v>98</v>
      </c>
      <c r="AY823" s="254" t="s">
        <v>98</v>
      </c>
      <c r="AZ823" s="254" t="s">
        <v>98</v>
      </c>
      <c r="BA823" s="254" t="s">
        <v>98</v>
      </c>
      <c r="BB823" s="254" t="s">
        <v>98</v>
      </c>
      <c r="BC823" s="254" t="s">
        <v>98</v>
      </c>
      <c r="BD823" s="254" t="s">
        <v>98</v>
      </c>
      <c r="BE823" s="254" t="s">
        <v>98</v>
      </c>
      <c r="BF823" s="255" t="s">
        <v>696</v>
      </c>
      <c r="BG823" s="255" t="s">
        <v>98</v>
      </c>
      <c r="BH823" s="9" t="s">
        <v>100</v>
      </c>
      <c r="BI823" s="9" t="s">
        <v>100</v>
      </c>
      <c r="BJ823" s="284"/>
      <c r="BK823" s="285"/>
      <c r="BL823" s="285"/>
      <c r="BM823" s="285"/>
      <c r="BN823" s="284"/>
      <c r="BO823" s="284"/>
      <c r="BP823" s="285"/>
    </row>
    <row r="824" spans="1:68" s="286" customFormat="1" ht="65" hidden="1" x14ac:dyDescent="0.35">
      <c r="A824" s="254">
        <v>4257</v>
      </c>
      <c r="B824" s="254" t="s">
        <v>3775</v>
      </c>
      <c r="C824" s="254" t="s">
        <v>34</v>
      </c>
      <c r="D824" s="255" t="s">
        <v>3939</v>
      </c>
      <c r="E824" s="254" t="s">
        <v>35</v>
      </c>
      <c r="F824" s="254" t="s">
        <v>97</v>
      </c>
      <c r="G824" s="254" t="s">
        <v>225</v>
      </c>
      <c r="H824" s="254" t="s">
        <v>125</v>
      </c>
      <c r="I824" s="254" t="s">
        <v>114</v>
      </c>
      <c r="J824" s="255" t="s">
        <v>98</v>
      </c>
      <c r="K824" s="279" t="s">
        <v>98</v>
      </c>
      <c r="L824" s="280" t="s">
        <v>98</v>
      </c>
      <c r="M824" s="280" t="s">
        <v>98</v>
      </c>
      <c r="N824" s="255" t="s">
        <v>3909</v>
      </c>
      <c r="O824" s="279" t="s">
        <v>276</v>
      </c>
      <c r="P824" s="255" t="s">
        <v>238</v>
      </c>
      <c r="Q824" s="281" t="s">
        <v>3910</v>
      </c>
      <c r="R824" s="279" t="s">
        <v>3900</v>
      </c>
      <c r="S824" s="260" t="s">
        <v>3911</v>
      </c>
      <c r="T824" s="260" t="s">
        <v>3912</v>
      </c>
      <c r="U824" s="255" t="s">
        <v>3745</v>
      </c>
      <c r="V824" s="254" t="s">
        <v>14</v>
      </c>
      <c r="W824" s="280" t="s">
        <v>98</v>
      </c>
      <c r="X824" s="279" t="s">
        <v>209</v>
      </c>
      <c r="Y824" s="259">
        <v>53883</v>
      </c>
      <c r="Z824" s="259" t="s">
        <v>98</v>
      </c>
      <c r="AA824" s="279" t="s">
        <v>276</v>
      </c>
      <c r="AB824" s="279" t="s">
        <v>98</v>
      </c>
      <c r="AC824" s="254">
        <v>0</v>
      </c>
      <c r="AD824" s="255" t="s">
        <v>3932</v>
      </c>
      <c r="AE824" s="254" t="s">
        <v>98</v>
      </c>
      <c r="AF824" s="255" t="s">
        <v>98</v>
      </c>
      <c r="AG824" s="255" t="s">
        <v>3933</v>
      </c>
      <c r="AH824" s="255" t="s">
        <v>3855</v>
      </c>
      <c r="AI824" s="282">
        <v>256</v>
      </c>
      <c r="AJ824" s="282" t="s">
        <v>98</v>
      </c>
      <c r="AK824" s="259">
        <v>53883</v>
      </c>
      <c r="AL824" s="282" t="s">
        <v>98</v>
      </c>
      <c r="AM824" s="260" t="s">
        <v>281</v>
      </c>
      <c r="AN824" s="254" t="s">
        <v>276</v>
      </c>
      <c r="AO824" s="261">
        <f>AI824*1000/AK824</f>
        <v>4.7510346491472264</v>
      </c>
      <c r="AP824" s="254" t="s">
        <v>276</v>
      </c>
      <c r="AQ824" s="254" t="s">
        <v>276</v>
      </c>
      <c r="AR824" s="254" t="s">
        <v>98</v>
      </c>
      <c r="AS824" s="254" t="s">
        <v>98</v>
      </c>
      <c r="AT824" s="254" t="s">
        <v>98</v>
      </c>
      <c r="AU824" s="254" t="s">
        <v>98</v>
      </c>
      <c r="AV824" s="255" t="s">
        <v>98</v>
      </c>
      <c r="AW824" s="254" t="s">
        <v>98</v>
      </c>
      <c r="AX824" s="254" t="s">
        <v>98</v>
      </c>
      <c r="AY824" s="254" t="s">
        <v>98</v>
      </c>
      <c r="AZ824" s="254" t="s">
        <v>98</v>
      </c>
      <c r="BA824" s="254" t="s">
        <v>98</v>
      </c>
      <c r="BB824" s="254" t="s">
        <v>98</v>
      </c>
      <c r="BC824" s="254" t="s">
        <v>98</v>
      </c>
      <c r="BD824" s="254" t="s">
        <v>98</v>
      </c>
      <c r="BE824" s="254" t="s">
        <v>98</v>
      </c>
      <c r="BF824" s="255" t="s">
        <v>696</v>
      </c>
      <c r="BG824" s="255" t="s">
        <v>98</v>
      </c>
      <c r="BH824" s="9" t="s">
        <v>100</v>
      </c>
      <c r="BI824" s="9" t="s">
        <v>100</v>
      </c>
      <c r="BJ824" s="284"/>
      <c r="BK824" s="285"/>
      <c r="BL824" s="285"/>
      <c r="BM824" s="285"/>
      <c r="BN824" s="284"/>
      <c r="BO824" s="284"/>
      <c r="BP824" s="285"/>
    </row>
    <row r="825" spans="1:68" s="33" customFormat="1" ht="39" hidden="1" x14ac:dyDescent="0.35">
      <c r="A825" s="8">
        <v>11062</v>
      </c>
      <c r="B825" s="8" t="s">
        <v>3965</v>
      </c>
      <c r="C825" s="9" t="s">
        <v>82</v>
      </c>
      <c r="D825" s="9" t="s">
        <v>3966</v>
      </c>
      <c r="E825" s="8" t="s">
        <v>39</v>
      </c>
      <c r="F825" s="9" t="s">
        <v>263</v>
      </c>
      <c r="G825" s="8" t="s">
        <v>262</v>
      </c>
      <c r="H825" s="8" t="s">
        <v>225</v>
      </c>
      <c r="I825" s="8" t="s">
        <v>98</v>
      </c>
      <c r="J825" s="9" t="s">
        <v>98</v>
      </c>
      <c r="K825" s="8" t="s">
        <v>98</v>
      </c>
      <c r="L825" s="8" t="s">
        <v>98</v>
      </c>
      <c r="M825" s="8" t="s">
        <v>98</v>
      </c>
      <c r="N825" s="8" t="s">
        <v>276</v>
      </c>
      <c r="O825" s="9" t="s">
        <v>276</v>
      </c>
      <c r="P825" s="9" t="s">
        <v>238</v>
      </c>
      <c r="Q825" s="52" t="s">
        <v>276</v>
      </c>
      <c r="R825" s="9" t="s">
        <v>3967</v>
      </c>
      <c r="S825" s="9" t="s">
        <v>276</v>
      </c>
      <c r="T825" s="9" t="s">
        <v>276</v>
      </c>
      <c r="U825" s="9">
        <v>1</v>
      </c>
      <c r="V825" s="8" t="s">
        <v>14</v>
      </c>
      <c r="W825" s="8" t="s">
        <v>98</v>
      </c>
      <c r="X825" s="9" t="s">
        <v>208</v>
      </c>
      <c r="Y825" s="13">
        <v>4968</v>
      </c>
      <c r="Z825" s="9">
        <v>5072</v>
      </c>
      <c r="AA825" s="9" t="s">
        <v>276</v>
      </c>
      <c r="AB825" s="9" t="s">
        <v>276</v>
      </c>
      <c r="AC825" s="8">
        <v>0</v>
      </c>
      <c r="AD825" s="8" t="s">
        <v>98</v>
      </c>
      <c r="AE825" s="8">
        <v>0</v>
      </c>
      <c r="AF825" s="8" t="s">
        <v>98</v>
      </c>
      <c r="AG825" s="9" t="s">
        <v>905</v>
      </c>
      <c r="AH825" s="9" t="s">
        <v>689</v>
      </c>
      <c r="AI825" s="38">
        <v>30</v>
      </c>
      <c r="AJ825" s="38">
        <v>23</v>
      </c>
      <c r="AK825" s="38">
        <v>4968</v>
      </c>
      <c r="AL825" s="38">
        <v>5072</v>
      </c>
      <c r="AM825" s="38" t="s">
        <v>292</v>
      </c>
      <c r="AN825" s="8" t="s">
        <v>276</v>
      </c>
      <c r="AO825" s="31">
        <f t="shared" ref="AO825:AO855" si="250">AI825*100/AK825</f>
        <v>0.60386473429951693</v>
      </c>
      <c r="AP825" s="8" t="s">
        <v>276</v>
      </c>
      <c r="AQ825" s="8" t="s">
        <v>276</v>
      </c>
      <c r="AR825" s="8" t="s">
        <v>276</v>
      </c>
      <c r="AS825" s="31">
        <f t="shared" ref="AS825:AS855" si="251">AJ825*100/AL825</f>
        <v>0.45347003154574134</v>
      </c>
      <c r="AT825" s="8" t="s">
        <v>276</v>
      </c>
      <c r="AU825" s="8" t="s">
        <v>276</v>
      </c>
      <c r="AV825" s="9" t="s">
        <v>268</v>
      </c>
      <c r="AW825" s="40" t="s">
        <v>276</v>
      </c>
      <c r="AX825" s="40">
        <f t="shared" ref="AX825:AX855" si="252">AO825/AS825</f>
        <v>1.3316530140726739</v>
      </c>
      <c r="AY825" s="9" t="s">
        <v>276</v>
      </c>
      <c r="AZ825" s="9" t="s">
        <v>276</v>
      </c>
      <c r="BA825" s="9" t="s">
        <v>276</v>
      </c>
      <c r="BB825" s="9" t="s">
        <v>282</v>
      </c>
      <c r="BC825" s="9" t="s">
        <v>276</v>
      </c>
      <c r="BD825" s="9" t="s">
        <v>276</v>
      </c>
      <c r="BE825" s="9" t="s">
        <v>276</v>
      </c>
      <c r="BF825" s="9" t="s">
        <v>3968</v>
      </c>
      <c r="BG825" s="9"/>
      <c r="BH825" s="9" t="s">
        <v>100</v>
      </c>
      <c r="BI825" s="9" t="s">
        <v>100</v>
      </c>
      <c r="BJ825" s="32"/>
      <c r="BN825" s="32"/>
      <c r="BO825" s="32"/>
    </row>
    <row r="826" spans="1:68" s="79" customFormat="1" ht="78" hidden="1" x14ac:dyDescent="0.35">
      <c r="A826" s="72">
        <v>11062</v>
      </c>
      <c r="B826" s="72" t="s">
        <v>3965</v>
      </c>
      <c r="C826" s="73" t="s">
        <v>82</v>
      </c>
      <c r="D826" s="73" t="s">
        <v>3969</v>
      </c>
      <c r="E826" s="72" t="s">
        <v>39</v>
      </c>
      <c r="F826" s="73" t="s">
        <v>263</v>
      </c>
      <c r="G826" s="72" t="s">
        <v>262</v>
      </c>
      <c r="H826" s="72" t="s">
        <v>225</v>
      </c>
      <c r="I826" s="72" t="s">
        <v>98</v>
      </c>
      <c r="J826" s="73" t="s">
        <v>1024</v>
      </c>
      <c r="K826" s="73" t="s">
        <v>3970</v>
      </c>
      <c r="L826" s="72" t="s">
        <v>276</v>
      </c>
      <c r="M826" s="73" t="s">
        <v>3971</v>
      </c>
      <c r="N826" s="72" t="s">
        <v>276</v>
      </c>
      <c r="O826" s="73" t="s">
        <v>276</v>
      </c>
      <c r="P826" s="73" t="s">
        <v>239</v>
      </c>
      <c r="Q826" s="77" t="s">
        <v>276</v>
      </c>
      <c r="R826" s="73" t="s">
        <v>3967</v>
      </c>
      <c r="S826" s="73" t="s">
        <v>276</v>
      </c>
      <c r="T826" s="73" t="s">
        <v>276</v>
      </c>
      <c r="U826" s="73">
        <v>1</v>
      </c>
      <c r="V826" s="72" t="s">
        <v>14</v>
      </c>
      <c r="W826" s="72" t="s">
        <v>98</v>
      </c>
      <c r="X826" s="73" t="s">
        <v>208</v>
      </c>
      <c r="Y826" s="74">
        <v>4968</v>
      </c>
      <c r="Z826" s="73">
        <v>5072</v>
      </c>
      <c r="AA826" s="73" t="s">
        <v>276</v>
      </c>
      <c r="AB826" s="73" t="s">
        <v>276</v>
      </c>
      <c r="AC826" s="72">
        <v>0</v>
      </c>
      <c r="AD826" s="72" t="s">
        <v>98</v>
      </c>
      <c r="AE826" s="72">
        <v>0</v>
      </c>
      <c r="AF826" s="72" t="s">
        <v>98</v>
      </c>
      <c r="AG826" s="73" t="s">
        <v>3972</v>
      </c>
      <c r="AH826" s="73" t="s">
        <v>689</v>
      </c>
      <c r="AI826" s="75">
        <v>18</v>
      </c>
      <c r="AJ826" s="75">
        <v>11</v>
      </c>
      <c r="AK826" s="75">
        <v>4968</v>
      </c>
      <c r="AL826" s="75">
        <v>5072</v>
      </c>
      <c r="AM826" s="75" t="s">
        <v>292</v>
      </c>
      <c r="AN826" s="72" t="s">
        <v>276</v>
      </c>
      <c r="AO826" s="76">
        <f t="shared" si="250"/>
        <v>0.36231884057971014</v>
      </c>
      <c r="AP826" s="72" t="s">
        <v>276</v>
      </c>
      <c r="AQ826" s="72" t="s">
        <v>276</v>
      </c>
      <c r="AR826" s="72" t="s">
        <v>276</v>
      </c>
      <c r="AS826" s="76">
        <f t="shared" si="251"/>
        <v>0.21687697160883282</v>
      </c>
      <c r="AT826" s="72" t="s">
        <v>276</v>
      </c>
      <c r="AU826" s="72" t="s">
        <v>276</v>
      </c>
      <c r="AV826" s="73" t="s">
        <v>268</v>
      </c>
      <c r="AW826" s="83" t="s">
        <v>276</v>
      </c>
      <c r="AX826" s="83">
        <f t="shared" si="252"/>
        <v>1.670619235836627</v>
      </c>
      <c r="AY826" s="73" t="s">
        <v>276</v>
      </c>
      <c r="AZ826" s="73" t="s">
        <v>276</v>
      </c>
      <c r="BA826" s="73" t="s">
        <v>276</v>
      </c>
      <c r="BB826" s="73" t="s">
        <v>282</v>
      </c>
      <c r="BC826" s="73" t="s">
        <v>276</v>
      </c>
      <c r="BD826" s="73" t="s">
        <v>276</v>
      </c>
      <c r="BE826" s="73" t="s">
        <v>276</v>
      </c>
      <c r="BF826" s="73" t="s">
        <v>3973</v>
      </c>
      <c r="BG826" s="73" t="s">
        <v>3974</v>
      </c>
      <c r="BH826" s="9" t="s">
        <v>100</v>
      </c>
      <c r="BI826" s="9" t="s">
        <v>100</v>
      </c>
      <c r="BJ826" s="78"/>
      <c r="BN826" s="78"/>
      <c r="BO826" s="78"/>
    </row>
    <row r="827" spans="1:68" s="299" customFormat="1" ht="52" hidden="1" x14ac:dyDescent="0.35">
      <c r="A827" s="291">
        <v>11062</v>
      </c>
      <c r="B827" s="291" t="s">
        <v>3965</v>
      </c>
      <c r="C827" s="292" t="s">
        <v>82</v>
      </c>
      <c r="D827" s="292" t="s">
        <v>3975</v>
      </c>
      <c r="E827" s="291" t="s">
        <v>39</v>
      </c>
      <c r="F827" s="292" t="s">
        <v>263</v>
      </c>
      <c r="G827" s="291" t="s">
        <v>262</v>
      </c>
      <c r="H827" s="291" t="s">
        <v>225</v>
      </c>
      <c r="I827" s="291" t="s">
        <v>98</v>
      </c>
      <c r="J827" s="292" t="s">
        <v>25</v>
      </c>
      <c r="K827" s="292" t="s">
        <v>300</v>
      </c>
      <c r="L827" s="291" t="s">
        <v>276</v>
      </c>
      <c r="M827" s="292" t="s">
        <v>276</v>
      </c>
      <c r="N827" s="291" t="s">
        <v>276</v>
      </c>
      <c r="O827" s="292" t="s">
        <v>276</v>
      </c>
      <c r="P827" s="292" t="s">
        <v>239</v>
      </c>
      <c r="Q827" s="293" t="s">
        <v>276</v>
      </c>
      <c r="R827" s="292" t="s">
        <v>3967</v>
      </c>
      <c r="S827" s="292" t="s">
        <v>276</v>
      </c>
      <c r="T827" s="292" t="s">
        <v>276</v>
      </c>
      <c r="U827" s="292">
        <v>1</v>
      </c>
      <c r="V827" s="291" t="s">
        <v>14</v>
      </c>
      <c r="W827" s="291" t="s">
        <v>98</v>
      </c>
      <c r="X827" s="292" t="s">
        <v>208</v>
      </c>
      <c r="Y827" s="294">
        <v>4968</v>
      </c>
      <c r="Z827" s="292">
        <v>5072</v>
      </c>
      <c r="AA827" s="292" t="s">
        <v>276</v>
      </c>
      <c r="AB827" s="292" t="s">
        <v>276</v>
      </c>
      <c r="AC827" s="291">
        <v>0</v>
      </c>
      <c r="AD827" s="291" t="s">
        <v>98</v>
      </c>
      <c r="AE827" s="291">
        <v>0</v>
      </c>
      <c r="AF827" s="291" t="s">
        <v>98</v>
      </c>
      <c r="AG827" s="292" t="s">
        <v>3976</v>
      </c>
      <c r="AH827" s="292" t="s">
        <v>689</v>
      </c>
      <c r="AI827" s="295">
        <v>14</v>
      </c>
      <c r="AJ827" s="295">
        <v>8</v>
      </c>
      <c r="AK827" s="295">
        <v>4968</v>
      </c>
      <c r="AL827" s="295">
        <v>5072</v>
      </c>
      <c r="AM827" s="295" t="s">
        <v>292</v>
      </c>
      <c r="AN827" s="291" t="s">
        <v>276</v>
      </c>
      <c r="AO827" s="296">
        <f t="shared" si="250"/>
        <v>0.28180354267310787</v>
      </c>
      <c r="AP827" s="291" t="s">
        <v>276</v>
      </c>
      <c r="AQ827" s="291" t="s">
        <v>276</v>
      </c>
      <c r="AR827" s="291" t="s">
        <v>276</v>
      </c>
      <c r="AS827" s="296">
        <f t="shared" si="251"/>
        <v>0.15772870662460567</v>
      </c>
      <c r="AT827" s="291" t="s">
        <v>276</v>
      </c>
      <c r="AU827" s="291" t="s">
        <v>276</v>
      </c>
      <c r="AV827" s="292" t="s">
        <v>268</v>
      </c>
      <c r="AW827" s="297" t="s">
        <v>276</v>
      </c>
      <c r="AX827" s="297">
        <f t="shared" si="252"/>
        <v>1.786634460547504</v>
      </c>
      <c r="AY827" s="292" t="s">
        <v>276</v>
      </c>
      <c r="AZ827" s="292" t="s">
        <v>276</v>
      </c>
      <c r="BA827" s="292" t="s">
        <v>276</v>
      </c>
      <c r="BB827" s="292" t="s">
        <v>282</v>
      </c>
      <c r="BC827" s="292" t="s">
        <v>276</v>
      </c>
      <c r="BD827" s="292" t="s">
        <v>276</v>
      </c>
      <c r="BE827" s="292" t="s">
        <v>276</v>
      </c>
      <c r="BF827" s="292" t="s">
        <v>1029</v>
      </c>
      <c r="BG827" s="292" t="s">
        <v>3977</v>
      </c>
      <c r="BH827" s="9" t="s">
        <v>100</v>
      </c>
      <c r="BI827" s="9" t="s">
        <v>100</v>
      </c>
      <c r="BJ827" s="298"/>
      <c r="BN827" s="298"/>
      <c r="BO827" s="298"/>
    </row>
    <row r="828" spans="1:68" s="299" customFormat="1" ht="52" hidden="1" x14ac:dyDescent="0.35">
      <c r="A828" s="291">
        <v>11062</v>
      </c>
      <c r="B828" s="291" t="s">
        <v>3965</v>
      </c>
      <c r="C828" s="292" t="s">
        <v>82</v>
      </c>
      <c r="D828" s="292" t="s">
        <v>3978</v>
      </c>
      <c r="E828" s="291" t="s">
        <v>39</v>
      </c>
      <c r="F828" s="292" t="s">
        <v>263</v>
      </c>
      <c r="G828" s="291" t="s">
        <v>262</v>
      </c>
      <c r="H828" s="291" t="s">
        <v>225</v>
      </c>
      <c r="I828" s="291" t="s">
        <v>98</v>
      </c>
      <c r="J828" s="292" t="s">
        <v>25</v>
      </c>
      <c r="K828" s="292" t="s">
        <v>304</v>
      </c>
      <c r="L828" s="291" t="s">
        <v>276</v>
      </c>
      <c r="M828" s="292" t="s">
        <v>276</v>
      </c>
      <c r="N828" s="291" t="s">
        <v>276</v>
      </c>
      <c r="O828" s="292" t="s">
        <v>276</v>
      </c>
      <c r="P828" s="292" t="s">
        <v>239</v>
      </c>
      <c r="Q828" s="293" t="s">
        <v>276</v>
      </c>
      <c r="R828" s="292" t="s">
        <v>3967</v>
      </c>
      <c r="S828" s="292" t="s">
        <v>276</v>
      </c>
      <c r="T828" s="292" t="s">
        <v>276</v>
      </c>
      <c r="U828" s="292">
        <v>1</v>
      </c>
      <c r="V828" s="291" t="s">
        <v>14</v>
      </c>
      <c r="W828" s="291" t="s">
        <v>98</v>
      </c>
      <c r="X828" s="292" t="s">
        <v>208</v>
      </c>
      <c r="Y828" s="294">
        <v>4968</v>
      </c>
      <c r="Z828" s="292">
        <v>5072</v>
      </c>
      <c r="AA828" s="292" t="s">
        <v>276</v>
      </c>
      <c r="AB828" s="292" t="s">
        <v>276</v>
      </c>
      <c r="AC828" s="291">
        <v>0</v>
      </c>
      <c r="AD828" s="291" t="s">
        <v>98</v>
      </c>
      <c r="AE828" s="291">
        <v>0</v>
      </c>
      <c r="AF828" s="291" t="s">
        <v>98</v>
      </c>
      <c r="AG828" s="292" t="s">
        <v>3979</v>
      </c>
      <c r="AH828" s="292" t="s">
        <v>689</v>
      </c>
      <c r="AI828" s="295">
        <v>2</v>
      </c>
      <c r="AJ828" s="295">
        <v>3</v>
      </c>
      <c r="AK828" s="295">
        <v>4968</v>
      </c>
      <c r="AL828" s="295">
        <v>5072</v>
      </c>
      <c r="AM828" s="295" t="s">
        <v>292</v>
      </c>
      <c r="AN828" s="291" t="s">
        <v>276</v>
      </c>
      <c r="AO828" s="296">
        <f t="shared" si="250"/>
        <v>4.0257648953301126E-2</v>
      </c>
      <c r="AP828" s="291" t="s">
        <v>276</v>
      </c>
      <c r="AQ828" s="291" t="s">
        <v>276</v>
      </c>
      <c r="AR828" s="291" t="s">
        <v>276</v>
      </c>
      <c r="AS828" s="296">
        <f t="shared" si="251"/>
        <v>5.9148264984227129E-2</v>
      </c>
      <c r="AT828" s="291" t="s">
        <v>276</v>
      </c>
      <c r="AU828" s="291" t="s">
        <v>276</v>
      </c>
      <c r="AV828" s="292" t="s">
        <v>268</v>
      </c>
      <c r="AW828" s="297" t="s">
        <v>276</v>
      </c>
      <c r="AX828" s="297">
        <f t="shared" si="252"/>
        <v>0.68062265163714442</v>
      </c>
      <c r="AY828" s="292" t="s">
        <v>276</v>
      </c>
      <c r="AZ828" s="292" t="s">
        <v>276</v>
      </c>
      <c r="BA828" s="292" t="s">
        <v>276</v>
      </c>
      <c r="BB828" s="292" t="s">
        <v>282</v>
      </c>
      <c r="BC828" s="292" t="s">
        <v>276</v>
      </c>
      <c r="BD828" s="292" t="s">
        <v>276</v>
      </c>
      <c r="BE828" s="292" t="s">
        <v>276</v>
      </c>
      <c r="BF828" s="292" t="s">
        <v>1029</v>
      </c>
      <c r="BG828" s="292" t="s">
        <v>3977</v>
      </c>
      <c r="BH828" s="9" t="s">
        <v>100</v>
      </c>
      <c r="BI828" s="9" t="s">
        <v>100</v>
      </c>
      <c r="BJ828" s="298"/>
      <c r="BN828" s="298"/>
      <c r="BO828" s="298"/>
    </row>
    <row r="829" spans="1:68" s="299" customFormat="1" ht="52" hidden="1" x14ac:dyDescent="0.35">
      <c r="A829" s="291">
        <v>11062</v>
      </c>
      <c r="B829" s="291" t="s">
        <v>3965</v>
      </c>
      <c r="C829" s="292" t="s">
        <v>82</v>
      </c>
      <c r="D829" s="292" t="s">
        <v>3980</v>
      </c>
      <c r="E829" s="291" t="s">
        <v>39</v>
      </c>
      <c r="F829" s="292" t="s">
        <v>263</v>
      </c>
      <c r="G829" s="291" t="s">
        <v>262</v>
      </c>
      <c r="H829" s="291" t="s">
        <v>225</v>
      </c>
      <c r="I829" s="291" t="s">
        <v>98</v>
      </c>
      <c r="J829" s="292" t="s">
        <v>25</v>
      </c>
      <c r="K829" s="292" t="s">
        <v>311</v>
      </c>
      <c r="L829" s="291" t="s">
        <v>276</v>
      </c>
      <c r="M829" s="292" t="s">
        <v>276</v>
      </c>
      <c r="N829" s="291" t="s">
        <v>276</v>
      </c>
      <c r="O829" s="292" t="s">
        <v>276</v>
      </c>
      <c r="P829" s="292" t="s">
        <v>239</v>
      </c>
      <c r="Q829" s="293" t="s">
        <v>276</v>
      </c>
      <c r="R829" s="292" t="s">
        <v>3967</v>
      </c>
      <c r="S829" s="292" t="s">
        <v>276</v>
      </c>
      <c r="T829" s="292" t="s">
        <v>276</v>
      </c>
      <c r="U829" s="292">
        <v>1</v>
      </c>
      <c r="V829" s="291" t="s">
        <v>14</v>
      </c>
      <c r="W829" s="291" t="s">
        <v>98</v>
      </c>
      <c r="X829" s="292" t="s">
        <v>208</v>
      </c>
      <c r="Y829" s="294">
        <v>4968</v>
      </c>
      <c r="Z829" s="292">
        <v>5072</v>
      </c>
      <c r="AA829" s="292" t="s">
        <v>276</v>
      </c>
      <c r="AB829" s="292" t="s">
        <v>276</v>
      </c>
      <c r="AC829" s="291">
        <v>0</v>
      </c>
      <c r="AD829" s="291" t="s">
        <v>98</v>
      </c>
      <c r="AE829" s="291">
        <v>0</v>
      </c>
      <c r="AF829" s="291" t="s">
        <v>98</v>
      </c>
      <c r="AG829" s="292" t="s">
        <v>3981</v>
      </c>
      <c r="AH829" s="292" t="s">
        <v>689</v>
      </c>
      <c r="AI829" s="295">
        <v>14</v>
      </c>
      <c r="AJ829" s="295">
        <v>12</v>
      </c>
      <c r="AK829" s="295">
        <v>4968</v>
      </c>
      <c r="AL829" s="295">
        <v>5072</v>
      </c>
      <c r="AM829" s="295" t="s">
        <v>292</v>
      </c>
      <c r="AN829" s="291" t="s">
        <v>276</v>
      </c>
      <c r="AO829" s="296">
        <f t="shared" si="250"/>
        <v>0.28180354267310787</v>
      </c>
      <c r="AP829" s="291" t="s">
        <v>276</v>
      </c>
      <c r="AQ829" s="291" t="s">
        <v>276</v>
      </c>
      <c r="AR829" s="291" t="s">
        <v>276</v>
      </c>
      <c r="AS829" s="296">
        <f t="shared" si="251"/>
        <v>0.23659305993690852</v>
      </c>
      <c r="AT829" s="291" t="s">
        <v>276</v>
      </c>
      <c r="AU829" s="291" t="s">
        <v>276</v>
      </c>
      <c r="AV829" s="292" t="s">
        <v>268</v>
      </c>
      <c r="AW829" s="297" t="s">
        <v>276</v>
      </c>
      <c r="AX829" s="297">
        <f t="shared" si="252"/>
        <v>1.1910896403650026</v>
      </c>
      <c r="AY829" s="292" t="s">
        <v>276</v>
      </c>
      <c r="AZ829" s="292" t="s">
        <v>276</v>
      </c>
      <c r="BA829" s="292" t="s">
        <v>276</v>
      </c>
      <c r="BB829" s="292" t="s">
        <v>282</v>
      </c>
      <c r="BC829" s="292" t="s">
        <v>276</v>
      </c>
      <c r="BD829" s="292" t="s">
        <v>276</v>
      </c>
      <c r="BE829" s="292" t="s">
        <v>276</v>
      </c>
      <c r="BF829" s="292" t="s">
        <v>1029</v>
      </c>
      <c r="BG829" s="292"/>
      <c r="BH829" s="9" t="s">
        <v>100</v>
      </c>
      <c r="BI829" s="9" t="s">
        <v>100</v>
      </c>
      <c r="BJ829" s="298"/>
      <c r="BN829" s="298"/>
      <c r="BO829" s="298"/>
    </row>
    <row r="830" spans="1:68" s="299" customFormat="1" ht="52" hidden="1" x14ac:dyDescent="0.35">
      <c r="A830" s="291">
        <v>11062</v>
      </c>
      <c r="B830" s="291" t="s">
        <v>3965</v>
      </c>
      <c r="C830" s="292" t="s">
        <v>82</v>
      </c>
      <c r="D830" s="292" t="s">
        <v>3982</v>
      </c>
      <c r="E830" s="291" t="s">
        <v>39</v>
      </c>
      <c r="F830" s="292" t="s">
        <v>263</v>
      </c>
      <c r="G830" s="291" t="s">
        <v>262</v>
      </c>
      <c r="H830" s="291" t="s">
        <v>225</v>
      </c>
      <c r="I830" s="291" t="s">
        <v>98</v>
      </c>
      <c r="J830" s="292" t="s">
        <v>25</v>
      </c>
      <c r="K830" s="292" t="s">
        <v>3983</v>
      </c>
      <c r="L830" s="291" t="s">
        <v>276</v>
      </c>
      <c r="M830" s="292" t="s">
        <v>276</v>
      </c>
      <c r="N830" s="291" t="s">
        <v>276</v>
      </c>
      <c r="O830" s="292" t="s">
        <v>276</v>
      </c>
      <c r="P830" s="292" t="s">
        <v>239</v>
      </c>
      <c r="Q830" s="293" t="s">
        <v>276</v>
      </c>
      <c r="R830" s="292" t="s">
        <v>3967</v>
      </c>
      <c r="S830" s="292" t="s">
        <v>276</v>
      </c>
      <c r="T830" s="292" t="s">
        <v>276</v>
      </c>
      <c r="U830" s="292">
        <v>1</v>
      </c>
      <c r="V830" s="291" t="s">
        <v>14</v>
      </c>
      <c r="W830" s="291" t="s">
        <v>98</v>
      </c>
      <c r="X830" s="292" t="s">
        <v>208</v>
      </c>
      <c r="Y830" s="294">
        <v>4968</v>
      </c>
      <c r="Z830" s="292">
        <v>5072</v>
      </c>
      <c r="AA830" s="292" t="s">
        <v>276</v>
      </c>
      <c r="AB830" s="292" t="s">
        <v>276</v>
      </c>
      <c r="AC830" s="291">
        <v>0</v>
      </c>
      <c r="AD830" s="291" t="s">
        <v>98</v>
      </c>
      <c r="AE830" s="291">
        <v>0</v>
      </c>
      <c r="AF830" s="291" t="s">
        <v>98</v>
      </c>
      <c r="AG830" s="292" t="s">
        <v>3984</v>
      </c>
      <c r="AH830" s="292" t="s">
        <v>689</v>
      </c>
      <c r="AI830" s="295">
        <v>16</v>
      </c>
      <c r="AJ830" s="295">
        <v>15</v>
      </c>
      <c r="AK830" s="295">
        <v>4968</v>
      </c>
      <c r="AL830" s="295">
        <v>5072</v>
      </c>
      <c r="AM830" s="295" t="s">
        <v>292</v>
      </c>
      <c r="AN830" s="291" t="s">
        <v>276</v>
      </c>
      <c r="AO830" s="296">
        <f t="shared" si="250"/>
        <v>0.322061191626409</v>
      </c>
      <c r="AP830" s="291" t="s">
        <v>276</v>
      </c>
      <c r="AQ830" s="291" t="s">
        <v>276</v>
      </c>
      <c r="AR830" s="291" t="s">
        <v>276</v>
      </c>
      <c r="AS830" s="296">
        <f t="shared" si="251"/>
        <v>0.29574132492113564</v>
      </c>
      <c r="AT830" s="291" t="s">
        <v>276</v>
      </c>
      <c r="AU830" s="291" t="s">
        <v>276</v>
      </c>
      <c r="AV830" s="292" t="s">
        <v>268</v>
      </c>
      <c r="AW830" s="297" t="s">
        <v>276</v>
      </c>
      <c r="AX830" s="297">
        <f t="shared" si="252"/>
        <v>1.0889962426194311</v>
      </c>
      <c r="AY830" s="292" t="s">
        <v>276</v>
      </c>
      <c r="AZ830" s="292" t="s">
        <v>276</v>
      </c>
      <c r="BA830" s="292" t="s">
        <v>276</v>
      </c>
      <c r="BB830" s="292" t="s">
        <v>282</v>
      </c>
      <c r="BC830" s="292" t="s">
        <v>276</v>
      </c>
      <c r="BD830" s="292" t="s">
        <v>276</v>
      </c>
      <c r="BE830" s="292" t="s">
        <v>276</v>
      </c>
      <c r="BF830" s="292" t="s">
        <v>1029</v>
      </c>
      <c r="BG830" s="292"/>
      <c r="BH830" s="9" t="s">
        <v>100</v>
      </c>
      <c r="BI830" s="9" t="s">
        <v>100</v>
      </c>
      <c r="BJ830" s="298"/>
      <c r="BN830" s="298"/>
      <c r="BO830" s="298"/>
    </row>
    <row r="831" spans="1:68" s="79" customFormat="1" ht="39" hidden="1" x14ac:dyDescent="0.35">
      <c r="A831" s="72">
        <v>11062</v>
      </c>
      <c r="B831" s="72" t="s">
        <v>3965</v>
      </c>
      <c r="C831" s="73" t="s">
        <v>82</v>
      </c>
      <c r="D831" s="73" t="s">
        <v>3985</v>
      </c>
      <c r="E831" s="72" t="s">
        <v>39</v>
      </c>
      <c r="F831" s="73" t="s">
        <v>263</v>
      </c>
      <c r="G831" s="72" t="s">
        <v>262</v>
      </c>
      <c r="H831" s="72" t="s">
        <v>225</v>
      </c>
      <c r="I831" s="72" t="s">
        <v>98</v>
      </c>
      <c r="J831" s="73" t="s">
        <v>25</v>
      </c>
      <c r="K831" s="73" t="s">
        <v>3983</v>
      </c>
      <c r="L831" s="72" t="s">
        <v>276</v>
      </c>
      <c r="M831" s="73" t="s">
        <v>276</v>
      </c>
      <c r="N831" s="72" t="s">
        <v>276</v>
      </c>
      <c r="O831" s="73" t="s">
        <v>276</v>
      </c>
      <c r="P831" s="73" t="s">
        <v>235</v>
      </c>
      <c r="Q831" s="77" t="s">
        <v>276</v>
      </c>
      <c r="R831" s="73" t="s">
        <v>3967</v>
      </c>
      <c r="S831" s="73" t="s">
        <v>276</v>
      </c>
      <c r="T831" s="73" t="s">
        <v>276</v>
      </c>
      <c r="U831" s="73">
        <v>1</v>
      </c>
      <c r="V831" s="72" t="s">
        <v>14</v>
      </c>
      <c r="W831" s="72" t="s">
        <v>98</v>
      </c>
      <c r="X831" s="73" t="s">
        <v>208</v>
      </c>
      <c r="Y831" s="74" t="s">
        <v>98</v>
      </c>
      <c r="Z831" s="73" t="s">
        <v>98</v>
      </c>
      <c r="AA831" s="73" t="s">
        <v>276</v>
      </c>
      <c r="AB831" s="73" t="s">
        <v>276</v>
      </c>
      <c r="AC831" s="72">
        <v>0</v>
      </c>
      <c r="AD831" s="72" t="s">
        <v>98</v>
      </c>
      <c r="AE831" s="72">
        <v>0</v>
      </c>
      <c r="AF831" s="72" t="s">
        <v>98</v>
      </c>
      <c r="AG831" s="73" t="s">
        <v>3984</v>
      </c>
      <c r="AH831" s="73" t="s">
        <v>3986</v>
      </c>
      <c r="AI831" s="75">
        <v>16</v>
      </c>
      <c r="AJ831" s="75">
        <v>15</v>
      </c>
      <c r="AK831" s="75">
        <v>30</v>
      </c>
      <c r="AL831" s="75">
        <v>23</v>
      </c>
      <c r="AM831" s="75" t="s">
        <v>292</v>
      </c>
      <c r="AN831" s="72" t="s">
        <v>276</v>
      </c>
      <c r="AO831" s="76">
        <f t="shared" si="250"/>
        <v>53.333333333333336</v>
      </c>
      <c r="AP831" s="72" t="s">
        <v>276</v>
      </c>
      <c r="AQ831" s="72" t="s">
        <v>276</v>
      </c>
      <c r="AR831" s="72" t="s">
        <v>276</v>
      </c>
      <c r="AS831" s="76">
        <f t="shared" si="251"/>
        <v>65.217391304347828</v>
      </c>
      <c r="AT831" s="72" t="s">
        <v>276</v>
      </c>
      <c r="AU831" s="72" t="s">
        <v>276</v>
      </c>
      <c r="AV831" s="73" t="s">
        <v>268</v>
      </c>
      <c r="AW831" s="83" t="s">
        <v>276</v>
      </c>
      <c r="AX831" s="83">
        <f t="shared" si="252"/>
        <v>0.81777777777777783</v>
      </c>
      <c r="AY831" s="73" t="s">
        <v>276</v>
      </c>
      <c r="AZ831" s="73" t="s">
        <v>276</v>
      </c>
      <c r="BA831" s="73" t="s">
        <v>276</v>
      </c>
      <c r="BB831" s="73" t="s">
        <v>282</v>
      </c>
      <c r="BC831" s="73" t="s">
        <v>276</v>
      </c>
      <c r="BD831" s="73" t="s">
        <v>276</v>
      </c>
      <c r="BE831" s="73" t="s">
        <v>276</v>
      </c>
      <c r="BF831" s="73" t="s">
        <v>1029</v>
      </c>
      <c r="BG831" s="73"/>
      <c r="BH831" s="9" t="s">
        <v>100</v>
      </c>
      <c r="BI831" s="9" t="s">
        <v>100</v>
      </c>
      <c r="BJ831" s="78"/>
      <c r="BN831" s="78"/>
      <c r="BO831" s="78"/>
    </row>
    <row r="832" spans="1:68" s="110" customFormat="1" ht="78" hidden="1" x14ac:dyDescent="0.35">
      <c r="A832" s="94">
        <v>10872</v>
      </c>
      <c r="B832" s="94" t="s">
        <v>3940</v>
      </c>
      <c r="C832" s="95" t="s">
        <v>82</v>
      </c>
      <c r="D832" s="95" t="s">
        <v>3987</v>
      </c>
      <c r="E832" s="94" t="s">
        <v>39</v>
      </c>
      <c r="F832" s="95" t="s">
        <v>263</v>
      </c>
      <c r="G832" s="94" t="s">
        <v>262</v>
      </c>
      <c r="H832" s="94" t="s">
        <v>225</v>
      </c>
      <c r="I832" s="94" t="s">
        <v>98</v>
      </c>
      <c r="J832" s="95" t="s">
        <v>98</v>
      </c>
      <c r="K832" s="94" t="s">
        <v>98</v>
      </c>
      <c r="L832" s="94" t="s">
        <v>98</v>
      </c>
      <c r="M832" s="94" t="s">
        <v>98</v>
      </c>
      <c r="N832" s="94" t="s">
        <v>276</v>
      </c>
      <c r="O832" s="95" t="s">
        <v>276</v>
      </c>
      <c r="P832" s="95" t="s">
        <v>238</v>
      </c>
      <c r="Q832" s="287" t="s">
        <v>3988</v>
      </c>
      <c r="R832" s="95" t="s">
        <v>3989</v>
      </c>
      <c r="S832" s="95" t="s">
        <v>276</v>
      </c>
      <c r="T832" s="95" t="s">
        <v>276</v>
      </c>
      <c r="U832" s="95" t="s">
        <v>276</v>
      </c>
      <c r="V832" s="94" t="s">
        <v>14</v>
      </c>
      <c r="W832" s="94" t="s">
        <v>98</v>
      </c>
      <c r="X832" s="95" t="s">
        <v>208</v>
      </c>
      <c r="Y832" s="98">
        <v>4968</v>
      </c>
      <c r="Z832" s="95">
        <v>5072</v>
      </c>
      <c r="AA832" s="95" t="s">
        <v>276</v>
      </c>
      <c r="AB832" s="95" t="s">
        <v>276</v>
      </c>
      <c r="AC832" s="94">
        <v>0</v>
      </c>
      <c r="AD832" s="94" t="s">
        <v>98</v>
      </c>
      <c r="AE832" s="94">
        <v>0</v>
      </c>
      <c r="AF832" s="94" t="s">
        <v>98</v>
      </c>
      <c r="AG832" s="95" t="s">
        <v>3990</v>
      </c>
      <c r="AH832" s="95" t="s">
        <v>689</v>
      </c>
      <c r="AI832" s="99">
        <f>114-44</f>
        <v>70</v>
      </c>
      <c r="AJ832" s="99">
        <f>121-56</f>
        <v>65</v>
      </c>
      <c r="AK832" s="99">
        <v>4968</v>
      </c>
      <c r="AL832" s="99">
        <v>5072</v>
      </c>
      <c r="AM832" s="99" t="s">
        <v>292</v>
      </c>
      <c r="AN832" s="94" t="s">
        <v>276</v>
      </c>
      <c r="AO832" s="101">
        <f t="shared" si="250"/>
        <v>1.4090177133655395</v>
      </c>
      <c r="AP832" s="94" t="s">
        <v>276</v>
      </c>
      <c r="AQ832" s="94" t="s">
        <v>276</v>
      </c>
      <c r="AR832" s="94" t="s">
        <v>276</v>
      </c>
      <c r="AS832" s="101">
        <f t="shared" si="251"/>
        <v>1.2815457413249212</v>
      </c>
      <c r="AT832" s="94" t="s">
        <v>276</v>
      </c>
      <c r="AU832" s="94" t="s">
        <v>276</v>
      </c>
      <c r="AV832" s="95" t="s">
        <v>268</v>
      </c>
      <c r="AW832" s="141" t="s">
        <v>276</v>
      </c>
      <c r="AX832" s="141">
        <f t="shared" si="252"/>
        <v>1.0994673603369256</v>
      </c>
      <c r="AY832" s="95" t="s">
        <v>276</v>
      </c>
      <c r="AZ832" s="95" t="s">
        <v>276</v>
      </c>
      <c r="BA832" s="95" t="s">
        <v>276</v>
      </c>
      <c r="BB832" s="95" t="s">
        <v>282</v>
      </c>
      <c r="BC832" s="95" t="s">
        <v>276</v>
      </c>
      <c r="BD832" s="95" t="s">
        <v>276</v>
      </c>
      <c r="BE832" s="95" t="s">
        <v>276</v>
      </c>
      <c r="BF832" s="95" t="s">
        <v>3991</v>
      </c>
      <c r="BG832" s="95"/>
      <c r="BH832" s="9" t="s">
        <v>100</v>
      </c>
      <c r="BI832" s="9" t="s">
        <v>100</v>
      </c>
      <c r="BJ832" s="109"/>
      <c r="BN832" s="109"/>
      <c r="BO832" s="109"/>
    </row>
    <row r="833" spans="1:67" s="110" customFormat="1" ht="52" hidden="1" x14ac:dyDescent="0.35">
      <c r="A833" s="94">
        <v>10872</v>
      </c>
      <c r="B833" s="94" t="s">
        <v>3940</v>
      </c>
      <c r="C833" s="95" t="s">
        <v>82</v>
      </c>
      <c r="D833" s="95" t="s">
        <v>3992</v>
      </c>
      <c r="E833" s="94" t="s">
        <v>39</v>
      </c>
      <c r="F833" s="95" t="s">
        <v>263</v>
      </c>
      <c r="G833" s="94" t="s">
        <v>262</v>
      </c>
      <c r="H833" s="94" t="s">
        <v>225</v>
      </c>
      <c r="I833" s="94" t="s">
        <v>98</v>
      </c>
      <c r="J833" s="95" t="s">
        <v>98</v>
      </c>
      <c r="K833" s="94" t="s">
        <v>98</v>
      </c>
      <c r="L833" s="94" t="s">
        <v>98</v>
      </c>
      <c r="M833" s="94" t="s">
        <v>98</v>
      </c>
      <c r="N833" s="94" t="s">
        <v>276</v>
      </c>
      <c r="O833" s="95" t="s">
        <v>276</v>
      </c>
      <c r="P833" s="95" t="s">
        <v>238</v>
      </c>
      <c r="Q833" s="287" t="s">
        <v>3988</v>
      </c>
      <c r="R833" s="95" t="s">
        <v>3989</v>
      </c>
      <c r="S833" s="95" t="s">
        <v>276</v>
      </c>
      <c r="T833" s="95" t="s">
        <v>276</v>
      </c>
      <c r="U833" s="95" t="s">
        <v>276</v>
      </c>
      <c r="V833" s="94" t="s">
        <v>14</v>
      </c>
      <c r="W833" s="94" t="s">
        <v>98</v>
      </c>
      <c r="X833" s="95" t="s">
        <v>208</v>
      </c>
      <c r="Y833" s="98">
        <v>4968</v>
      </c>
      <c r="Z833" s="95">
        <v>5072</v>
      </c>
      <c r="AA833" s="95" t="s">
        <v>276</v>
      </c>
      <c r="AB833" s="95" t="s">
        <v>276</v>
      </c>
      <c r="AC833" s="94">
        <v>0</v>
      </c>
      <c r="AD833" s="94" t="s">
        <v>98</v>
      </c>
      <c r="AE833" s="94">
        <v>0</v>
      </c>
      <c r="AF833" s="94" t="s">
        <v>98</v>
      </c>
      <c r="AG833" s="95" t="s">
        <v>3993</v>
      </c>
      <c r="AH833" s="95" t="s">
        <v>689</v>
      </c>
      <c r="AI833" s="99">
        <f>144-44</f>
        <v>100</v>
      </c>
      <c r="AJ833" s="99">
        <f>144-56</f>
        <v>88</v>
      </c>
      <c r="AK833" s="99">
        <v>4968</v>
      </c>
      <c r="AL833" s="99">
        <v>5072</v>
      </c>
      <c r="AM833" s="99" t="s">
        <v>292</v>
      </c>
      <c r="AN833" s="94" t="s">
        <v>276</v>
      </c>
      <c r="AO833" s="101">
        <f t="shared" si="250"/>
        <v>2.0128824476650564</v>
      </c>
      <c r="AP833" s="94" t="s">
        <v>276</v>
      </c>
      <c r="AQ833" s="94" t="s">
        <v>276</v>
      </c>
      <c r="AR833" s="94" t="s">
        <v>276</v>
      </c>
      <c r="AS833" s="101">
        <f t="shared" si="251"/>
        <v>1.7350157728706626</v>
      </c>
      <c r="AT833" s="94" t="s">
        <v>276</v>
      </c>
      <c r="AU833" s="94" t="s">
        <v>276</v>
      </c>
      <c r="AV833" s="95" t="s">
        <v>268</v>
      </c>
      <c r="AW833" s="141" t="s">
        <v>276</v>
      </c>
      <c r="AX833" s="141">
        <f t="shared" si="252"/>
        <v>1.1601522471087689</v>
      </c>
      <c r="AY833" s="95" t="s">
        <v>276</v>
      </c>
      <c r="AZ833" s="95" t="s">
        <v>276</v>
      </c>
      <c r="BA833" s="95" t="s">
        <v>276</v>
      </c>
      <c r="BB833" s="95" t="s">
        <v>282</v>
      </c>
      <c r="BC833" s="95" t="s">
        <v>276</v>
      </c>
      <c r="BD833" s="95" t="s">
        <v>276</v>
      </c>
      <c r="BE833" s="95" t="s">
        <v>276</v>
      </c>
      <c r="BF833" s="95" t="s">
        <v>2473</v>
      </c>
      <c r="BG833" s="95"/>
      <c r="BH833" s="9" t="s">
        <v>100</v>
      </c>
      <c r="BI833" s="9" t="s">
        <v>100</v>
      </c>
      <c r="BJ833" s="109"/>
      <c r="BN833" s="109"/>
      <c r="BO833" s="109"/>
    </row>
    <row r="834" spans="1:67" s="110" customFormat="1" ht="39" hidden="1" x14ac:dyDescent="0.35">
      <c r="A834" s="94">
        <v>10872</v>
      </c>
      <c r="B834" s="94" t="s">
        <v>3940</v>
      </c>
      <c r="C834" s="95" t="s">
        <v>82</v>
      </c>
      <c r="D834" s="95" t="s">
        <v>3994</v>
      </c>
      <c r="E834" s="94" t="s">
        <v>39</v>
      </c>
      <c r="F834" s="95" t="s">
        <v>263</v>
      </c>
      <c r="G834" s="94" t="s">
        <v>262</v>
      </c>
      <c r="H834" s="94" t="s">
        <v>225</v>
      </c>
      <c r="I834" s="94" t="s">
        <v>98</v>
      </c>
      <c r="J834" s="95" t="s">
        <v>98</v>
      </c>
      <c r="K834" s="94" t="s">
        <v>98</v>
      </c>
      <c r="L834" s="94" t="s">
        <v>98</v>
      </c>
      <c r="M834" s="94" t="s">
        <v>98</v>
      </c>
      <c r="N834" s="94" t="s">
        <v>276</v>
      </c>
      <c r="O834" s="95" t="s">
        <v>276</v>
      </c>
      <c r="P834" s="95" t="s">
        <v>236</v>
      </c>
      <c r="Q834" s="287" t="s">
        <v>3988</v>
      </c>
      <c r="R834" s="95" t="s">
        <v>3989</v>
      </c>
      <c r="S834" s="95" t="s">
        <v>276</v>
      </c>
      <c r="T834" s="95" t="s">
        <v>276</v>
      </c>
      <c r="U834" s="95" t="s">
        <v>276</v>
      </c>
      <c r="V834" s="94" t="s">
        <v>14</v>
      </c>
      <c r="W834" s="94" t="s">
        <v>98</v>
      </c>
      <c r="X834" s="95" t="s">
        <v>208</v>
      </c>
      <c r="Y834" s="98" t="s">
        <v>98</v>
      </c>
      <c r="Z834" s="95" t="s">
        <v>98</v>
      </c>
      <c r="AA834" s="95" t="s">
        <v>276</v>
      </c>
      <c r="AB834" s="95" t="s">
        <v>276</v>
      </c>
      <c r="AC834" s="94">
        <v>0</v>
      </c>
      <c r="AD834" s="94" t="s">
        <v>98</v>
      </c>
      <c r="AE834" s="94">
        <v>0</v>
      </c>
      <c r="AF834" s="94" t="s">
        <v>98</v>
      </c>
      <c r="AG834" s="95" t="s">
        <v>3993</v>
      </c>
      <c r="AH834" s="95" t="s">
        <v>3995</v>
      </c>
      <c r="AI834" s="99">
        <f>144-44</f>
        <v>100</v>
      </c>
      <c r="AJ834" s="99">
        <f>144-56</f>
        <v>88</v>
      </c>
      <c r="AK834" s="99">
        <v>144</v>
      </c>
      <c r="AL834" s="99">
        <v>144</v>
      </c>
      <c r="AM834" s="99" t="s">
        <v>292</v>
      </c>
      <c r="AN834" s="94" t="s">
        <v>276</v>
      </c>
      <c r="AO834" s="102">
        <f t="shared" si="250"/>
        <v>69.444444444444443</v>
      </c>
      <c r="AP834" s="94" t="s">
        <v>276</v>
      </c>
      <c r="AQ834" s="94" t="s">
        <v>276</v>
      </c>
      <c r="AR834" s="94" t="s">
        <v>276</v>
      </c>
      <c r="AS834" s="102">
        <f t="shared" si="251"/>
        <v>61.111111111111114</v>
      </c>
      <c r="AT834" s="94" t="s">
        <v>276</v>
      </c>
      <c r="AU834" s="94" t="s">
        <v>276</v>
      </c>
      <c r="AV834" s="95" t="s">
        <v>268</v>
      </c>
      <c r="AW834" s="141" t="s">
        <v>276</v>
      </c>
      <c r="AX834" s="141">
        <f t="shared" si="252"/>
        <v>1.1363636363636362</v>
      </c>
      <c r="AY834" s="95" t="s">
        <v>276</v>
      </c>
      <c r="AZ834" s="95" t="s">
        <v>276</v>
      </c>
      <c r="BA834" s="95" t="s">
        <v>276</v>
      </c>
      <c r="BB834" s="95" t="s">
        <v>282</v>
      </c>
      <c r="BC834" s="95" t="s">
        <v>276</v>
      </c>
      <c r="BD834" s="95" t="s">
        <v>276</v>
      </c>
      <c r="BE834" s="95" t="s">
        <v>276</v>
      </c>
      <c r="BF834" s="95" t="s">
        <v>2473</v>
      </c>
      <c r="BG834" s="300"/>
      <c r="BH834" s="9" t="s">
        <v>100</v>
      </c>
      <c r="BI834" s="9" t="s">
        <v>100</v>
      </c>
      <c r="BJ834" s="109"/>
      <c r="BN834" s="109"/>
      <c r="BO834" s="109"/>
    </row>
    <row r="835" spans="1:67" s="124" customFormat="1" ht="52" hidden="1" x14ac:dyDescent="0.35">
      <c r="A835" s="112">
        <v>10872</v>
      </c>
      <c r="B835" s="112" t="s">
        <v>3940</v>
      </c>
      <c r="C835" s="113" t="s">
        <v>82</v>
      </c>
      <c r="D835" s="113" t="s">
        <v>3996</v>
      </c>
      <c r="E835" s="112" t="s">
        <v>39</v>
      </c>
      <c r="F835" s="113" t="s">
        <v>263</v>
      </c>
      <c r="G835" s="112" t="s">
        <v>262</v>
      </c>
      <c r="H835" s="112" t="s">
        <v>225</v>
      </c>
      <c r="I835" s="112" t="s">
        <v>98</v>
      </c>
      <c r="J835" s="113" t="s">
        <v>25</v>
      </c>
      <c r="K835" s="113" t="s">
        <v>300</v>
      </c>
      <c r="L835" s="112" t="s">
        <v>276</v>
      </c>
      <c r="M835" s="113" t="s">
        <v>276</v>
      </c>
      <c r="N835" s="112" t="s">
        <v>276</v>
      </c>
      <c r="O835" s="113" t="s">
        <v>276</v>
      </c>
      <c r="P835" s="113" t="s">
        <v>239</v>
      </c>
      <c r="Q835" s="301" t="s">
        <v>3988</v>
      </c>
      <c r="R835" s="113" t="s">
        <v>3989</v>
      </c>
      <c r="S835" s="113" t="s">
        <v>276</v>
      </c>
      <c r="T835" s="113" t="s">
        <v>276</v>
      </c>
      <c r="U835" s="113" t="s">
        <v>276</v>
      </c>
      <c r="V835" s="112" t="s">
        <v>14</v>
      </c>
      <c r="W835" s="112" t="s">
        <v>98</v>
      </c>
      <c r="X835" s="113" t="s">
        <v>208</v>
      </c>
      <c r="Y835" s="118">
        <v>4968</v>
      </c>
      <c r="Z835" s="113">
        <v>5072</v>
      </c>
      <c r="AA835" s="113" t="s">
        <v>276</v>
      </c>
      <c r="AB835" s="113" t="s">
        <v>276</v>
      </c>
      <c r="AC835" s="112">
        <v>0</v>
      </c>
      <c r="AD835" s="112" t="s">
        <v>98</v>
      </c>
      <c r="AE835" s="112">
        <v>0</v>
      </c>
      <c r="AF835" s="112" t="s">
        <v>98</v>
      </c>
      <c r="AG835" s="113" t="s">
        <v>3997</v>
      </c>
      <c r="AH835" s="113" t="s">
        <v>689</v>
      </c>
      <c r="AI835" s="119">
        <v>45</v>
      </c>
      <c r="AJ835" s="119">
        <v>50</v>
      </c>
      <c r="AK835" s="119">
        <v>4968</v>
      </c>
      <c r="AL835" s="119">
        <v>5072</v>
      </c>
      <c r="AM835" s="119" t="s">
        <v>292</v>
      </c>
      <c r="AN835" s="112" t="s">
        <v>276</v>
      </c>
      <c r="AO835" s="121">
        <f t="shared" si="250"/>
        <v>0.90579710144927539</v>
      </c>
      <c r="AP835" s="112" t="s">
        <v>276</v>
      </c>
      <c r="AQ835" s="112" t="s">
        <v>276</v>
      </c>
      <c r="AR835" s="112" t="s">
        <v>276</v>
      </c>
      <c r="AS835" s="121">
        <f t="shared" si="251"/>
        <v>0.98580441640378547</v>
      </c>
      <c r="AT835" s="112" t="s">
        <v>276</v>
      </c>
      <c r="AU835" s="112" t="s">
        <v>276</v>
      </c>
      <c r="AV835" s="113" t="s">
        <v>268</v>
      </c>
      <c r="AW835" s="143" t="s">
        <v>276</v>
      </c>
      <c r="AX835" s="143">
        <f t="shared" si="252"/>
        <v>0.91884057971014499</v>
      </c>
      <c r="AY835" s="113" t="s">
        <v>276</v>
      </c>
      <c r="AZ835" s="113" t="s">
        <v>276</v>
      </c>
      <c r="BA835" s="113" t="s">
        <v>276</v>
      </c>
      <c r="BB835" s="113" t="s">
        <v>282</v>
      </c>
      <c r="BC835" s="113" t="s">
        <v>276</v>
      </c>
      <c r="BD835" s="113" t="s">
        <v>276</v>
      </c>
      <c r="BE835" s="113" t="s">
        <v>276</v>
      </c>
      <c r="BF835" s="113" t="s">
        <v>3998</v>
      </c>
      <c r="BG835" s="113"/>
      <c r="BH835" s="9" t="s">
        <v>100</v>
      </c>
      <c r="BI835" s="9" t="s">
        <v>100</v>
      </c>
      <c r="BJ835" s="123"/>
      <c r="BN835" s="123"/>
      <c r="BO835" s="123"/>
    </row>
    <row r="836" spans="1:67" s="124" customFormat="1" ht="52" hidden="1" x14ac:dyDescent="0.35">
      <c r="A836" s="112">
        <v>10872</v>
      </c>
      <c r="B836" s="112" t="s">
        <v>3940</v>
      </c>
      <c r="C836" s="113" t="s">
        <v>82</v>
      </c>
      <c r="D836" s="113" t="s">
        <v>3999</v>
      </c>
      <c r="E836" s="112" t="s">
        <v>39</v>
      </c>
      <c r="F836" s="113" t="s">
        <v>263</v>
      </c>
      <c r="G836" s="112" t="s">
        <v>262</v>
      </c>
      <c r="H836" s="112" t="s">
        <v>225</v>
      </c>
      <c r="I836" s="112" t="s">
        <v>98</v>
      </c>
      <c r="J836" s="113" t="s">
        <v>25</v>
      </c>
      <c r="K836" s="113" t="s">
        <v>304</v>
      </c>
      <c r="L836" s="112" t="s">
        <v>276</v>
      </c>
      <c r="M836" s="113" t="s">
        <v>276</v>
      </c>
      <c r="N836" s="112" t="s">
        <v>276</v>
      </c>
      <c r="O836" s="113" t="s">
        <v>276</v>
      </c>
      <c r="P836" s="113" t="s">
        <v>239</v>
      </c>
      <c r="Q836" s="301" t="s">
        <v>3988</v>
      </c>
      <c r="R836" s="113" t="s">
        <v>3989</v>
      </c>
      <c r="S836" s="113" t="s">
        <v>276</v>
      </c>
      <c r="T836" s="113" t="s">
        <v>276</v>
      </c>
      <c r="U836" s="113" t="s">
        <v>276</v>
      </c>
      <c r="V836" s="112" t="s">
        <v>14</v>
      </c>
      <c r="W836" s="112" t="s">
        <v>98</v>
      </c>
      <c r="X836" s="113" t="s">
        <v>208</v>
      </c>
      <c r="Y836" s="118">
        <v>4968</v>
      </c>
      <c r="Z836" s="113">
        <v>5072</v>
      </c>
      <c r="AA836" s="113" t="s">
        <v>276</v>
      </c>
      <c r="AB836" s="113" t="s">
        <v>276</v>
      </c>
      <c r="AC836" s="112">
        <v>0</v>
      </c>
      <c r="AD836" s="112" t="s">
        <v>98</v>
      </c>
      <c r="AE836" s="112">
        <v>0</v>
      </c>
      <c r="AF836" s="112" t="s">
        <v>98</v>
      </c>
      <c r="AG836" s="113" t="s">
        <v>4000</v>
      </c>
      <c r="AH836" s="113" t="s">
        <v>689</v>
      </c>
      <c r="AI836" s="119">
        <v>5</v>
      </c>
      <c r="AJ836" s="119">
        <v>8</v>
      </c>
      <c r="AK836" s="119">
        <v>4968</v>
      </c>
      <c r="AL836" s="119">
        <v>5072</v>
      </c>
      <c r="AM836" s="119" t="s">
        <v>292</v>
      </c>
      <c r="AN836" s="112" t="s">
        <v>276</v>
      </c>
      <c r="AO836" s="121">
        <f t="shared" si="250"/>
        <v>0.10064412238325282</v>
      </c>
      <c r="AP836" s="112" t="s">
        <v>276</v>
      </c>
      <c r="AQ836" s="112" t="s">
        <v>276</v>
      </c>
      <c r="AR836" s="112" t="s">
        <v>276</v>
      </c>
      <c r="AS836" s="121">
        <f t="shared" si="251"/>
        <v>0.15772870662460567</v>
      </c>
      <c r="AT836" s="112" t="s">
        <v>276</v>
      </c>
      <c r="AU836" s="112" t="s">
        <v>276</v>
      </c>
      <c r="AV836" s="113" t="s">
        <v>268</v>
      </c>
      <c r="AW836" s="143" t="s">
        <v>276</v>
      </c>
      <c r="AX836" s="143">
        <f t="shared" si="252"/>
        <v>0.63808373590982292</v>
      </c>
      <c r="AY836" s="113" t="s">
        <v>276</v>
      </c>
      <c r="AZ836" s="113" t="s">
        <v>276</v>
      </c>
      <c r="BA836" s="113" t="s">
        <v>276</v>
      </c>
      <c r="BB836" s="113" t="s">
        <v>282</v>
      </c>
      <c r="BC836" s="113" t="s">
        <v>276</v>
      </c>
      <c r="BD836" s="113" t="s">
        <v>276</v>
      </c>
      <c r="BE836" s="113" t="s">
        <v>276</v>
      </c>
      <c r="BF836" s="113" t="s">
        <v>426</v>
      </c>
      <c r="BG836" s="113"/>
      <c r="BH836" s="9" t="s">
        <v>100</v>
      </c>
      <c r="BI836" s="9" t="s">
        <v>100</v>
      </c>
      <c r="BJ836" s="123"/>
      <c r="BN836" s="123"/>
      <c r="BO836" s="123"/>
    </row>
    <row r="837" spans="1:67" s="124" customFormat="1" ht="52" hidden="1" x14ac:dyDescent="0.35">
      <c r="A837" s="112">
        <v>10872</v>
      </c>
      <c r="B837" s="112" t="s">
        <v>3940</v>
      </c>
      <c r="C837" s="113" t="s">
        <v>82</v>
      </c>
      <c r="D837" s="113" t="s">
        <v>4001</v>
      </c>
      <c r="E837" s="112" t="s">
        <v>39</v>
      </c>
      <c r="F837" s="113" t="s">
        <v>263</v>
      </c>
      <c r="G837" s="112" t="s">
        <v>262</v>
      </c>
      <c r="H837" s="112" t="s">
        <v>225</v>
      </c>
      <c r="I837" s="112" t="s">
        <v>98</v>
      </c>
      <c r="J837" s="113" t="s">
        <v>25</v>
      </c>
      <c r="K837" s="113" t="s">
        <v>311</v>
      </c>
      <c r="L837" s="112" t="s">
        <v>276</v>
      </c>
      <c r="M837" s="113" t="s">
        <v>276</v>
      </c>
      <c r="N837" s="112" t="s">
        <v>276</v>
      </c>
      <c r="O837" s="113" t="s">
        <v>276</v>
      </c>
      <c r="P837" s="113" t="s">
        <v>239</v>
      </c>
      <c r="Q837" s="301" t="s">
        <v>3988</v>
      </c>
      <c r="R837" s="113" t="s">
        <v>3989</v>
      </c>
      <c r="S837" s="113" t="s">
        <v>276</v>
      </c>
      <c r="T837" s="113" t="s">
        <v>276</v>
      </c>
      <c r="U837" s="113" t="s">
        <v>276</v>
      </c>
      <c r="V837" s="112" t="s">
        <v>14</v>
      </c>
      <c r="W837" s="112" t="s">
        <v>98</v>
      </c>
      <c r="X837" s="113" t="s">
        <v>208</v>
      </c>
      <c r="Y837" s="118">
        <v>4968</v>
      </c>
      <c r="Z837" s="113">
        <v>5072</v>
      </c>
      <c r="AA837" s="113" t="s">
        <v>276</v>
      </c>
      <c r="AB837" s="113" t="s">
        <v>276</v>
      </c>
      <c r="AC837" s="112">
        <v>0</v>
      </c>
      <c r="AD837" s="112" t="s">
        <v>98</v>
      </c>
      <c r="AE837" s="112">
        <v>0</v>
      </c>
      <c r="AF837" s="112" t="s">
        <v>98</v>
      </c>
      <c r="AG837" s="113" t="s">
        <v>4002</v>
      </c>
      <c r="AH837" s="113" t="s">
        <v>689</v>
      </c>
      <c r="AI837" s="119">
        <v>64</v>
      </c>
      <c r="AJ837" s="119">
        <v>63</v>
      </c>
      <c r="AK837" s="119">
        <v>4968</v>
      </c>
      <c r="AL837" s="119">
        <v>5072</v>
      </c>
      <c r="AM837" s="119" t="s">
        <v>292</v>
      </c>
      <c r="AN837" s="112" t="s">
        <v>276</v>
      </c>
      <c r="AO837" s="121">
        <f t="shared" si="250"/>
        <v>1.288244766505636</v>
      </c>
      <c r="AP837" s="112" t="s">
        <v>276</v>
      </c>
      <c r="AQ837" s="112" t="s">
        <v>276</v>
      </c>
      <c r="AR837" s="112" t="s">
        <v>276</v>
      </c>
      <c r="AS837" s="121">
        <f t="shared" si="251"/>
        <v>1.2421135646687698</v>
      </c>
      <c r="AT837" s="112" t="s">
        <v>276</v>
      </c>
      <c r="AU837" s="112" t="s">
        <v>276</v>
      </c>
      <c r="AV837" s="113" t="s">
        <v>268</v>
      </c>
      <c r="AW837" s="143" t="s">
        <v>276</v>
      </c>
      <c r="AX837" s="143">
        <f t="shared" si="252"/>
        <v>1.0371392786851723</v>
      </c>
      <c r="AY837" s="113" t="s">
        <v>276</v>
      </c>
      <c r="AZ837" s="113" t="s">
        <v>276</v>
      </c>
      <c r="BA837" s="113" t="s">
        <v>276</v>
      </c>
      <c r="BB837" s="113" t="s">
        <v>282</v>
      </c>
      <c r="BC837" s="113" t="s">
        <v>276</v>
      </c>
      <c r="BD837" s="113" t="s">
        <v>276</v>
      </c>
      <c r="BE837" s="113" t="s">
        <v>276</v>
      </c>
      <c r="BF837" s="113" t="s">
        <v>426</v>
      </c>
      <c r="BG837" s="113"/>
      <c r="BH837" s="9" t="s">
        <v>100</v>
      </c>
      <c r="BI837" s="9" t="s">
        <v>100</v>
      </c>
      <c r="BJ837" s="123"/>
      <c r="BN837" s="123"/>
      <c r="BO837" s="123"/>
    </row>
    <row r="838" spans="1:67" s="124" customFormat="1" ht="52" hidden="1" x14ac:dyDescent="0.35">
      <c r="A838" s="112">
        <v>10872</v>
      </c>
      <c r="B838" s="112" t="s">
        <v>3940</v>
      </c>
      <c r="C838" s="113" t="s">
        <v>82</v>
      </c>
      <c r="D838" s="113" t="s">
        <v>4003</v>
      </c>
      <c r="E838" s="112" t="s">
        <v>39</v>
      </c>
      <c r="F838" s="113" t="s">
        <v>263</v>
      </c>
      <c r="G838" s="112" t="s">
        <v>262</v>
      </c>
      <c r="H838" s="112" t="s">
        <v>225</v>
      </c>
      <c r="I838" s="112" t="s">
        <v>98</v>
      </c>
      <c r="J838" s="113" t="s">
        <v>25</v>
      </c>
      <c r="K838" s="113" t="s">
        <v>311</v>
      </c>
      <c r="L838" s="112" t="s">
        <v>276</v>
      </c>
      <c r="M838" s="113" t="s">
        <v>276</v>
      </c>
      <c r="N838" s="112" t="s">
        <v>276</v>
      </c>
      <c r="O838" s="113" t="s">
        <v>276</v>
      </c>
      <c r="P838" s="113" t="s">
        <v>239</v>
      </c>
      <c r="Q838" s="301" t="s">
        <v>3988</v>
      </c>
      <c r="R838" s="113" t="s">
        <v>3989</v>
      </c>
      <c r="S838" s="113" t="s">
        <v>276</v>
      </c>
      <c r="T838" s="113" t="s">
        <v>276</v>
      </c>
      <c r="U838" s="113" t="s">
        <v>276</v>
      </c>
      <c r="V838" s="112" t="s">
        <v>14</v>
      </c>
      <c r="W838" s="112" t="s">
        <v>98</v>
      </c>
      <c r="X838" s="113" t="s">
        <v>208</v>
      </c>
      <c r="Y838" s="118">
        <v>4968</v>
      </c>
      <c r="Z838" s="113">
        <v>5072</v>
      </c>
      <c r="AA838" s="113" t="s">
        <v>276</v>
      </c>
      <c r="AB838" s="113" t="s">
        <v>276</v>
      </c>
      <c r="AC838" s="112">
        <v>0</v>
      </c>
      <c r="AD838" s="112" t="s">
        <v>98</v>
      </c>
      <c r="AE838" s="112">
        <v>0</v>
      </c>
      <c r="AF838" s="112" t="s">
        <v>98</v>
      </c>
      <c r="AG838" s="113" t="s">
        <v>4004</v>
      </c>
      <c r="AH838" s="113" t="s">
        <v>689</v>
      </c>
      <c r="AI838" s="119">
        <f>5+64</f>
        <v>69</v>
      </c>
      <c r="AJ838" s="119">
        <f>8+63</f>
        <v>71</v>
      </c>
      <c r="AK838" s="119">
        <v>4968</v>
      </c>
      <c r="AL838" s="119">
        <v>5072</v>
      </c>
      <c r="AM838" s="119" t="s">
        <v>292</v>
      </c>
      <c r="AN838" s="112" t="s">
        <v>276</v>
      </c>
      <c r="AO838" s="121">
        <f t="shared" si="250"/>
        <v>1.3888888888888888</v>
      </c>
      <c r="AP838" s="112" t="s">
        <v>276</v>
      </c>
      <c r="AQ838" s="112" t="s">
        <v>276</v>
      </c>
      <c r="AR838" s="112" t="s">
        <v>276</v>
      </c>
      <c r="AS838" s="121">
        <f t="shared" si="251"/>
        <v>1.3998422712933754</v>
      </c>
      <c r="AT838" s="112" t="s">
        <v>276</v>
      </c>
      <c r="AU838" s="112" t="s">
        <v>276</v>
      </c>
      <c r="AV838" s="113" t="s">
        <v>268</v>
      </c>
      <c r="AW838" s="143" t="s">
        <v>276</v>
      </c>
      <c r="AX838" s="143">
        <f t="shared" si="252"/>
        <v>0.99217527386541471</v>
      </c>
      <c r="AY838" s="113" t="s">
        <v>276</v>
      </c>
      <c r="AZ838" s="113" t="s">
        <v>276</v>
      </c>
      <c r="BA838" s="113" t="s">
        <v>276</v>
      </c>
      <c r="BB838" s="113" t="s">
        <v>282</v>
      </c>
      <c r="BC838" s="113" t="s">
        <v>276</v>
      </c>
      <c r="BD838" s="113" t="s">
        <v>276</v>
      </c>
      <c r="BE838" s="113" t="s">
        <v>276</v>
      </c>
      <c r="BF838" s="113" t="s">
        <v>426</v>
      </c>
      <c r="BG838" s="113"/>
      <c r="BH838" s="9" t="s">
        <v>100</v>
      </c>
      <c r="BI838" s="9" t="s">
        <v>100</v>
      </c>
      <c r="BJ838" s="123"/>
      <c r="BN838" s="123"/>
      <c r="BO838" s="123"/>
    </row>
    <row r="839" spans="1:67" s="110" customFormat="1" ht="52" hidden="1" x14ac:dyDescent="0.35">
      <c r="A839" s="94">
        <v>10872</v>
      </c>
      <c r="B839" s="94" t="s">
        <v>3940</v>
      </c>
      <c r="C839" s="95" t="s">
        <v>82</v>
      </c>
      <c r="D839" s="95" t="s">
        <v>4005</v>
      </c>
      <c r="E839" s="94" t="s">
        <v>39</v>
      </c>
      <c r="F839" s="95" t="s">
        <v>263</v>
      </c>
      <c r="G839" s="94" t="s">
        <v>262</v>
      </c>
      <c r="H839" s="94" t="s">
        <v>225</v>
      </c>
      <c r="I839" s="94" t="s">
        <v>98</v>
      </c>
      <c r="J839" s="95" t="s">
        <v>25</v>
      </c>
      <c r="K839" s="95" t="s">
        <v>3983</v>
      </c>
      <c r="L839" s="94" t="s">
        <v>276</v>
      </c>
      <c r="M839" s="95" t="s">
        <v>276</v>
      </c>
      <c r="N839" s="94" t="s">
        <v>276</v>
      </c>
      <c r="O839" s="95" t="s">
        <v>276</v>
      </c>
      <c r="P839" s="95" t="s">
        <v>235</v>
      </c>
      <c r="Q839" s="287" t="s">
        <v>3988</v>
      </c>
      <c r="R839" s="95" t="s">
        <v>3989</v>
      </c>
      <c r="S839" s="95" t="s">
        <v>276</v>
      </c>
      <c r="T839" s="95" t="s">
        <v>276</v>
      </c>
      <c r="U839" s="163" t="s">
        <v>276</v>
      </c>
      <c r="V839" s="94" t="s">
        <v>14</v>
      </c>
      <c r="W839" s="94" t="s">
        <v>98</v>
      </c>
      <c r="X839" s="95" t="s">
        <v>208</v>
      </c>
      <c r="Y839" s="98" t="s">
        <v>98</v>
      </c>
      <c r="Z839" s="95" t="s">
        <v>98</v>
      </c>
      <c r="AA839" s="95" t="s">
        <v>276</v>
      </c>
      <c r="AB839" s="95" t="s">
        <v>276</v>
      </c>
      <c r="AC839" s="94">
        <v>0</v>
      </c>
      <c r="AD839" s="94" t="s">
        <v>98</v>
      </c>
      <c r="AE839" s="94">
        <v>0</v>
      </c>
      <c r="AF839" s="94" t="s">
        <v>98</v>
      </c>
      <c r="AG839" s="95" t="s">
        <v>4004</v>
      </c>
      <c r="AH839" s="95" t="s">
        <v>4006</v>
      </c>
      <c r="AI839" s="99">
        <v>69</v>
      </c>
      <c r="AJ839" s="99">
        <v>71</v>
      </c>
      <c r="AK839" s="99">
        <v>114</v>
      </c>
      <c r="AL839" s="99">
        <v>121</v>
      </c>
      <c r="AM839" s="99" t="s">
        <v>292</v>
      </c>
      <c r="AN839" s="94" t="s">
        <v>276</v>
      </c>
      <c r="AO839" s="102">
        <f t="shared" si="250"/>
        <v>60.526315789473685</v>
      </c>
      <c r="AP839" s="94" t="s">
        <v>276</v>
      </c>
      <c r="AQ839" s="94" t="s">
        <v>276</v>
      </c>
      <c r="AR839" s="94" t="s">
        <v>276</v>
      </c>
      <c r="AS839" s="102">
        <f t="shared" si="251"/>
        <v>58.67768595041322</v>
      </c>
      <c r="AT839" s="94" t="s">
        <v>276</v>
      </c>
      <c r="AU839" s="94" t="s">
        <v>276</v>
      </c>
      <c r="AV839" s="95" t="s">
        <v>268</v>
      </c>
      <c r="AW839" s="141" t="s">
        <v>276</v>
      </c>
      <c r="AX839" s="141">
        <f t="shared" si="252"/>
        <v>1.0315048183839881</v>
      </c>
      <c r="AY839" s="95" t="s">
        <v>276</v>
      </c>
      <c r="AZ839" s="95" t="s">
        <v>276</v>
      </c>
      <c r="BA839" s="95" t="s">
        <v>276</v>
      </c>
      <c r="BB839" s="95" t="s">
        <v>282</v>
      </c>
      <c r="BC839" s="95" t="s">
        <v>276</v>
      </c>
      <c r="BD839" s="95" t="s">
        <v>276</v>
      </c>
      <c r="BE839" s="95" t="s">
        <v>276</v>
      </c>
      <c r="BF839" s="95" t="s">
        <v>426</v>
      </c>
      <c r="BG839" s="95"/>
      <c r="BH839" s="9" t="s">
        <v>100</v>
      </c>
      <c r="BI839" s="9" t="s">
        <v>100</v>
      </c>
      <c r="BJ839" s="109"/>
      <c r="BN839" s="109"/>
      <c r="BO839" s="109"/>
    </row>
    <row r="840" spans="1:67" s="124" customFormat="1" ht="52" hidden="1" x14ac:dyDescent="0.35">
      <c r="A840" s="112">
        <v>10872</v>
      </c>
      <c r="B840" s="112" t="s">
        <v>3940</v>
      </c>
      <c r="C840" s="113" t="s">
        <v>82</v>
      </c>
      <c r="D840" s="113" t="s">
        <v>4007</v>
      </c>
      <c r="E840" s="112" t="s">
        <v>39</v>
      </c>
      <c r="F840" s="113" t="s">
        <v>263</v>
      </c>
      <c r="G840" s="112" t="s">
        <v>262</v>
      </c>
      <c r="H840" s="112" t="s">
        <v>225</v>
      </c>
      <c r="I840" s="112" t="s">
        <v>98</v>
      </c>
      <c r="J840" s="113" t="s">
        <v>25</v>
      </c>
      <c r="K840" s="113" t="s">
        <v>300</v>
      </c>
      <c r="L840" s="112" t="s">
        <v>276</v>
      </c>
      <c r="M840" s="113" t="s">
        <v>276</v>
      </c>
      <c r="N840" s="112" t="s">
        <v>276</v>
      </c>
      <c r="O840" s="113" t="s">
        <v>276</v>
      </c>
      <c r="P840" s="113" t="s">
        <v>239</v>
      </c>
      <c r="Q840" s="301" t="s">
        <v>3988</v>
      </c>
      <c r="R840" s="113" t="s">
        <v>3989</v>
      </c>
      <c r="S840" s="113" t="s">
        <v>276</v>
      </c>
      <c r="T840" s="113" t="s">
        <v>276</v>
      </c>
      <c r="U840" s="113" t="s">
        <v>276</v>
      </c>
      <c r="V840" s="112" t="s">
        <v>14</v>
      </c>
      <c r="W840" s="112" t="s">
        <v>98</v>
      </c>
      <c r="X840" s="113" t="s">
        <v>208</v>
      </c>
      <c r="Y840" s="118">
        <v>4968</v>
      </c>
      <c r="Z840" s="113">
        <v>5072</v>
      </c>
      <c r="AA840" s="113" t="s">
        <v>276</v>
      </c>
      <c r="AB840" s="113" t="s">
        <v>276</v>
      </c>
      <c r="AC840" s="112">
        <v>0</v>
      </c>
      <c r="AD840" s="112" t="s">
        <v>98</v>
      </c>
      <c r="AE840" s="112">
        <v>0</v>
      </c>
      <c r="AF840" s="112" t="s">
        <v>98</v>
      </c>
      <c r="AG840" s="113" t="s">
        <v>4008</v>
      </c>
      <c r="AH840" s="113" t="s">
        <v>689</v>
      </c>
      <c r="AI840" s="119">
        <v>59</v>
      </c>
      <c r="AJ840" s="119">
        <v>58</v>
      </c>
      <c r="AK840" s="119">
        <v>4968</v>
      </c>
      <c r="AL840" s="119">
        <v>5072</v>
      </c>
      <c r="AM840" s="119" t="s">
        <v>292</v>
      </c>
      <c r="AN840" s="112" t="s">
        <v>276</v>
      </c>
      <c r="AO840" s="121">
        <f t="shared" si="250"/>
        <v>1.1876006441223832</v>
      </c>
      <c r="AP840" s="112" t="s">
        <v>276</v>
      </c>
      <c r="AQ840" s="112" t="s">
        <v>276</v>
      </c>
      <c r="AR840" s="112" t="s">
        <v>276</v>
      </c>
      <c r="AS840" s="121">
        <f t="shared" si="251"/>
        <v>1.1435331230283912</v>
      </c>
      <c r="AT840" s="112" t="s">
        <v>276</v>
      </c>
      <c r="AU840" s="112" t="s">
        <v>276</v>
      </c>
      <c r="AV840" s="113" t="s">
        <v>268</v>
      </c>
      <c r="AW840" s="143" t="s">
        <v>276</v>
      </c>
      <c r="AX840" s="143">
        <f t="shared" si="252"/>
        <v>1.0385362874118496</v>
      </c>
      <c r="AY840" s="113" t="s">
        <v>276</v>
      </c>
      <c r="AZ840" s="113" t="s">
        <v>276</v>
      </c>
      <c r="BA840" s="113" t="s">
        <v>276</v>
      </c>
      <c r="BB840" s="113" t="s">
        <v>282</v>
      </c>
      <c r="BC840" s="113" t="s">
        <v>276</v>
      </c>
      <c r="BD840" s="113" t="s">
        <v>276</v>
      </c>
      <c r="BE840" s="113" t="s">
        <v>276</v>
      </c>
      <c r="BF840" s="113" t="s">
        <v>1020</v>
      </c>
      <c r="BG840" s="113"/>
      <c r="BH840" s="9" t="s">
        <v>100</v>
      </c>
      <c r="BI840" s="9" t="s">
        <v>100</v>
      </c>
      <c r="BJ840" s="123"/>
      <c r="BN840" s="123"/>
      <c r="BO840" s="123"/>
    </row>
    <row r="841" spans="1:67" s="124" customFormat="1" ht="52" hidden="1" x14ac:dyDescent="0.35">
      <c r="A841" s="112">
        <v>10872</v>
      </c>
      <c r="B841" s="112" t="s">
        <v>3940</v>
      </c>
      <c r="C841" s="113" t="s">
        <v>82</v>
      </c>
      <c r="D841" s="113" t="s">
        <v>4009</v>
      </c>
      <c r="E841" s="112" t="s">
        <v>39</v>
      </c>
      <c r="F841" s="113" t="s">
        <v>263</v>
      </c>
      <c r="G841" s="112" t="s">
        <v>262</v>
      </c>
      <c r="H841" s="112" t="s">
        <v>225</v>
      </c>
      <c r="I841" s="112" t="s">
        <v>98</v>
      </c>
      <c r="J841" s="113" t="s">
        <v>25</v>
      </c>
      <c r="K841" s="113" t="s">
        <v>304</v>
      </c>
      <c r="L841" s="112" t="s">
        <v>276</v>
      </c>
      <c r="M841" s="113" t="s">
        <v>276</v>
      </c>
      <c r="N841" s="112" t="s">
        <v>276</v>
      </c>
      <c r="O841" s="113" t="s">
        <v>276</v>
      </c>
      <c r="P841" s="113" t="s">
        <v>239</v>
      </c>
      <c r="Q841" s="301" t="s">
        <v>3988</v>
      </c>
      <c r="R841" s="113" t="s">
        <v>3989</v>
      </c>
      <c r="S841" s="113" t="s">
        <v>276</v>
      </c>
      <c r="T841" s="113" t="s">
        <v>276</v>
      </c>
      <c r="U841" s="113" t="s">
        <v>276</v>
      </c>
      <c r="V841" s="112" t="s">
        <v>14</v>
      </c>
      <c r="W841" s="112" t="s">
        <v>98</v>
      </c>
      <c r="X841" s="113" t="s">
        <v>208</v>
      </c>
      <c r="Y841" s="118">
        <v>4968</v>
      </c>
      <c r="Z841" s="113">
        <v>5072</v>
      </c>
      <c r="AA841" s="113" t="s">
        <v>276</v>
      </c>
      <c r="AB841" s="113" t="s">
        <v>276</v>
      </c>
      <c r="AC841" s="112">
        <v>0</v>
      </c>
      <c r="AD841" s="112" t="s">
        <v>98</v>
      </c>
      <c r="AE841" s="112">
        <v>0</v>
      </c>
      <c r="AF841" s="112" t="s">
        <v>98</v>
      </c>
      <c r="AG841" s="113" t="s">
        <v>4010</v>
      </c>
      <c r="AH841" s="113" t="s">
        <v>689</v>
      </c>
      <c r="AI841" s="119">
        <v>7</v>
      </c>
      <c r="AJ841" s="119">
        <v>11</v>
      </c>
      <c r="AK841" s="119">
        <v>4968</v>
      </c>
      <c r="AL841" s="119">
        <v>5072</v>
      </c>
      <c r="AM841" s="119" t="s">
        <v>292</v>
      </c>
      <c r="AN841" s="112" t="s">
        <v>276</v>
      </c>
      <c r="AO841" s="121">
        <f t="shared" si="250"/>
        <v>0.14090177133655393</v>
      </c>
      <c r="AP841" s="112" t="s">
        <v>276</v>
      </c>
      <c r="AQ841" s="112" t="s">
        <v>276</v>
      </c>
      <c r="AR841" s="112" t="s">
        <v>276</v>
      </c>
      <c r="AS841" s="121">
        <f t="shared" si="251"/>
        <v>0.21687697160883282</v>
      </c>
      <c r="AT841" s="112" t="s">
        <v>276</v>
      </c>
      <c r="AU841" s="112" t="s">
        <v>276</v>
      </c>
      <c r="AV841" s="113" t="s">
        <v>268</v>
      </c>
      <c r="AW841" s="143" t="s">
        <v>276</v>
      </c>
      <c r="AX841" s="143">
        <f t="shared" si="252"/>
        <v>0.64968525838091051</v>
      </c>
      <c r="AY841" s="113" t="s">
        <v>276</v>
      </c>
      <c r="AZ841" s="113" t="s">
        <v>276</v>
      </c>
      <c r="BA841" s="113" t="s">
        <v>276</v>
      </c>
      <c r="BB841" s="113" t="s">
        <v>282</v>
      </c>
      <c r="BC841" s="113" t="s">
        <v>276</v>
      </c>
      <c r="BD841" s="113" t="s">
        <v>276</v>
      </c>
      <c r="BE841" s="113" t="s">
        <v>276</v>
      </c>
      <c r="BF841" s="113" t="s">
        <v>1020</v>
      </c>
      <c r="BG841" s="113"/>
      <c r="BH841" s="9" t="s">
        <v>100</v>
      </c>
      <c r="BI841" s="9" t="s">
        <v>100</v>
      </c>
      <c r="BJ841" s="123"/>
      <c r="BN841" s="123"/>
      <c r="BO841" s="123"/>
    </row>
    <row r="842" spans="1:67" s="124" customFormat="1" ht="52" hidden="1" x14ac:dyDescent="0.35">
      <c r="A842" s="112">
        <v>10872</v>
      </c>
      <c r="B842" s="112" t="s">
        <v>3940</v>
      </c>
      <c r="C842" s="113" t="s">
        <v>82</v>
      </c>
      <c r="D842" s="113" t="s">
        <v>4011</v>
      </c>
      <c r="E842" s="112" t="s">
        <v>39</v>
      </c>
      <c r="F842" s="113" t="s">
        <v>263</v>
      </c>
      <c r="G842" s="112" t="s">
        <v>262</v>
      </c>
      <c r="H842" s="112" t="s">
        <v>225</v>
      </c>
      <c r="I842" s="112" t="s">
        <v>98</v>
      </c>
      <c r="J842" s="113" t="s">
        <v>25</v>
      </c>
      <c r="K842" s="113" t="s">
        <v>311</v>
      </c>
      <c r="L842" s="112" t="s">
        <v>276</v>
      </c>
      <c r="M842" s="113" t="s">
        <v>276</v>
      </c>
      <c r="N842" s="112" t="s">
        <v>276</v>
      </c>
      <c r="O842" s="113" t="s">
        <v>276</v>
      </c>
      <c r="P842" s="113" t="s">
        <v>239</v>
      </c>
      <c r="Q842" s="301" t="s">
        <v>3988</v>
      </c>
      <c r="R842" s="113" t="s">
        <v>3989</v>
      </c>
      <c r="S842" s="113" t="s">
        <v>276</v>
      </c>
      <c r="T842" s="113" t="s">
        <v>276</v>
      </c>
      <c r="U842" s="113" t="s">
        <v>276</v>
      </c>
      <c r="V842" s="112" t="s">
        <v>14</v>
      </c>
      <c r="W842" s="112" t="s">
        <v>98</v>
      </c>
      <c r="X842" s="113" t="s">
        <v>208</v>
      </c>
      <c r="Y842" s="118">
        <v>4968</v>
      </c>
      <c r="Z842" s="113">
        <v>5072</v>
      </c>
      <c r="AA842" s="113" t="s">
        <v>276</v>
      </c>
      <c r="AB842" s="113" t="s">
        <v>276</v>
      </c>
      <c r="AC842" s="112">
        <v>0</v>
      </c>
      <c r="AD842" s="112" t="s">
        <v>98</v>
      </c>
      <c r="AE842" s="112">
        <v>0</v>
      </c>
      <c r="AF842" s="112" t="s">
        <v>98</v>
      </c>
      <c r="AG842" s="113" t="s">
        <v>4012</v>
      </c>
      <c r="AH842" s="113" t="s">
        <v>689</v>
      </c>
      <c r="AI842" s="119">
        <v>78</v>
      </c>
      <c r="AJ842" s="119">
        <v>75</v>
      </c>
      <c r="AK842" s="119">
        <v>4968</v>
      </c>
      <c r="AL842" s="119">
        <v>5072</v>
      </c>
      <c r="AM842" s="119" t="s">
        <v>292</v>
      </c>
      <c r="AN842" s="112" t="s">
        <v>276</v>
      </c>
      <c r="AO842" s="121">
        <f t="shared" si="250"/>
        <v>1.5700483091787441</v>
      </c>
      <c r="AP842" s="112" t="s">
        <v>276</v>
      </c>
      <c r="AQ842" s="112" t="s">
        <v>276</v>
      </c>
      <c r="AR842" s="112" t="s">
        <v>276</v>
      </c>
      <c r="AS842" s="121">
        <f t="shared" si="251"/>
        <v>1.4787066246056781</v>
      </c>
      <c r="AT842" s="112" t="s">
        <v>276</v>
      </c>
      <c r="AU842" s="112" t="s">
        <v>276</v>
      </c>
      <c r="AV842" s="113" t="s">
        <v>268</v>
      </c>
      <c r="AW842" s="143" t="s">
        <v>276</v>
      </c>
      <c r="AX842" s="143">
        <f t="shared" si="252"/>
        <v>1.0617713365539454</v>
      </c>
      <c r="AY842" s="113" t="s">
        <v>276</v>
      </c>
      <c r="AZ842" s="113" t="s">
        <v>276</v>
      </c>
      <c r="BA842" s="113" t="s">
        <v>276</v>
      </c>
      <c r="BB842" s="113" t="s">
        <v>282</v>
      </c>
      <c r="BC842" s="113" t="s">
        <v>276</v>
      </c>
      <c r="BD842" s="113" t="s">
        <v>276</v>
      </c>
      <c r="BE842" s="113" t="s">
        <v>276</v>
      </c>
      <c r="BF842" s="113" t="s">
        <v>1020</v>
      </c>
      <c r="BG842" s="113"/>
      <c r="BH842" s="9" t="s">
        <v>100</v>
      </c>
      <c r="BI842" s="9" t="s">
        <v>100</v>
      </c>
      <c r="BJ842" s="123"/>
      <c r="BN842" s="123"/>
      <c r="BO842" s="123"/>
    </row>
    <row r="843" spans="1:67" s="124" customFormat="1" ht="52" hidden="1" x14ac:dyDescent="0.35">
      <c r="A843" s="112">
        <v>10872</v>
      </c>
      <c r="B843" s="112" t="s">
        <v>3940</v>
      </c>
      <c r="C843" s="113" t="s">
        <v>82</v>
      </c>
      <c r="D843" s="113" t="s">
        <v>4013</v>
      </c>
      <c r="E843" s="112" t="s">
        <v>39</v>
      </c>
      <c r="F843" s="113" t="s">
        <v>263</v>
      </c>
      <c r="G843" s="112" t="s">
        <v>262</v>
      </c>
      <c r="H843" s="112" t="s">
        <v>225</v>
      </c>
      <c r="I843" s="112" t="s">
        <v>98</v>
      </c>
      <c r="J843" s="113" t="s">
        <v>25</v>
      </c>
      <c r="K843" s="113" t="s">
        <v>311</v>
      </c>
      <c r="L843" s="112" t="s">
        <v>276</v>
      </c>
      <c r="M843" s="113" t="s">
        <v>276</v>
      </c>
      <c r="N843" s="112" t="s">
        <v>276</v>
      </c>
      <c r="O843" s="113" t="s">
        <v>276</v>
      </c>
      <c r="P843" s="113" t="s">
        <v>239</v>
      </c>
      <c r="Q843" s="301" t="s">
        <v>3988</v>
      </c>
      <c r="R843" s="113" t="s">
        <v>3989</v>
      </c>
      <c r="S843" s="113" t="s">
        <v>276</v>
      </c>
      <c r="T843" s="113" t="s">
        <v>276</v>
      </c>
      <c r="U843" s="113" t="s">
        <v>276</v>
      </c>
      <c r="V843" s="112" t="s">
        <v>14</v>
      </c>
      <c r="W843" s="112" t="s">
        <v>98</v>
      </c>
      <c r="X843" s="113" t="s">
        <v>208</v>
      </c>
      <c r="Y843" s="118">
        <v>4968</v>
      </c>
      <c r="Z843" s="113">
        <v>5072</v>
      </c>
      <c r="AA843" s="113" t="s">
        <v>276</v>
      </c>
      <c r="AB843" s="113" t="s">
        <v>276</v>
      </c>
      <c r="AC843" s="112">
        <v>0</v>
      </c>
      <c r="AD843" s="112" t="s">
        <v>98</v>
      </c>
      <c r="AE843" s="112">
        <v>0</v>
      </c>
      <c r="AF843" s="112" t="s">
        <v>98</v>
      </c>
      <c r="AG843" s="113" t="s">
        <v>4014</v>
      </c>
      <c r="AH843" s="113" t="s">
        <v>689</v>
      </c>
      <c r="AI843" s="119">
        <f>78+7</f>
        <v>85</v>
      </c>
      <c r="AJ843" s="119">
        <f>75+11</f>
        <v>86</v>
      </c>
      <c r="AK843" s="119">
        <v>4968</v>
      </c>
      <c r="AL843" s="119">
        <v>5072</v>
      </c>
      <c r="AM843" s="119" t="s">
        <v>292</v>
      </c>
      <c r="AN843" s="112" t="s">
        <v>276</v>
      </c>
      <c r="AO843" s="121">
        <f t="shared" si="250"/>
        <v>1.710950080515298</v>
      </c>
      <c r="AP843" s="112" t="s">
        <v>276</v>
      </c>
      <c r="AQ843" s="112" t="s">
        <v>276</v>
      </c>
      <c r="AR843" s="112" t="s">
        <v>276</v>
      </c>
      <c r="AS843" s="121">
        <f t="shared" si="251"/>
        <v>1.6955835962145109</v>
      </c>
      <c r="AT843" s="112" t="s">
        <v>276</v>
      </c>
      <c r="AU843" s="112" t="s">
        <v>276</v>
      </c>
      <c r="AV843" s="113" t="s">
        <v>268</v>
      </c>
      <c r="AW843" s="143" t="s">
        <v>276</v>
      </c>
      <c r="AX843" s="143">
        <f t="shared" si="252"/>
        <v>1.0090626521364641</v>
      </c>
      <c r="AY843" s="113" t="s">
        <v>276</v>
      </c>
      <c r="AZ843" s="113" t="s">
        <v>276</v>
      </c>
      <c r="BA843" s="113" t="s">
        <v>276</v>
      </c>
      <c r="BB843" s="113" t="s">
        <v>282</v>
      </c>
      <c r="BC843" s="113" t="s">
        <v>276</v>
      </c>
      <c r="BD843" s="113" t="s">
        <v>276</v>
      </c>
      <c r="BE843" s="113" t="s">
        <v>276</v>
      </c>
      <c r="BF843" s="113" t="s">
        <v>1020</v>
      </c>
      <c r="BG843" s="113"/>
      <c r="BH843" s="9" t="s">
        <v>100</v>
      </c>
      <c r="BI843" s="9" t="s">
        <v>100</v>
      </c>
      <c r="BJ843" s="123"/>
      <c r="BN843" s="123"/>
      <c r="BO843" s="123"/>
    </row>
    <row r="844" spans="1:67" s="110" customFormat="1" ht="52" hidden="1" x14ac:dyDescent="0.35">
      <c r="A844" s="94">
        <v>10872</v>
      </c>
      <c r="B844" s="94" t="s">
        <v>3940</v>
      </c>
      <c r="C844" s="95" t="s">
        <v>82</v>
      </c>
      <c r="D844" s="95" t="s">
        <v>4015</v>
      </c>
      <c r="E844" s="94" t="s">
        <v>39</v>
      </c>
      <c r="F844" s="95" t="s">
        <v>263</v>
      </c>
      <c r="G844" s="94" t="s">
        <v>262</v>
      </c>
      <c r="H844" s="94" t="s">
        <v>225</v>
      </c>
      <c r="I844" s="94" t="s">
        <v>98</v>
      </c>
      <c r="J844" s="95" t="s">
        <v>25</v>
      </c>
      <c r="K844" s="95" t="s">
        <v>3983</v>
      </c>
      <c r="L844" s="94" t="s">
        <v>276</v>
      </c>
      <c r="M844" s="95" t="s">
        <v>276</v>
      </c>
      <c r="N844" s="94" t="s">
        <v>276</v>
      </c>
      <c r="O844" s="95" t="s">
        <v>276</v>
      </c>
      <c r="P844" s="95" t="s">
        <v>235</v>
      </c>
      <c r="Q844" s="287" t="s">
        <v>3988</v>
      </c>
      <c r="R844" s="95" t="s">
        <v>3989</v>
      </c>
      <c r="S844" s="95" t="s">
        <v>276</v>
      </c>
      <c r="T844" s="95" t="s">
        <v>276</v>
      </c>
      <c r="U844" s="163" t="s">
        <v>276</v>
      </c>
      <c r="V844" s="94" t="s">
        <v>14</v>
      </c>
      <c r="W844" s="94" t="s">
        <v>98</v>
      </c>
      <c r="X844" s="95" t="s">
        <v>208</v>
      </c>
      <c r="Y844" s="98" t="s">
        <v>98</v>
      </c>
      <c r="Z844" s="95" t="s">
        <v>98</v>
      </c>
      <c r="AA844" s="95" t="s">
        <v>276</v>
      </c>
      <c r="AB844" s="95" t="s">
        <v>276</v>
      </c>
      <c r="AC844" s="94">
        <v>0</v>
      </c>
      <c r="AD844" s="94" t="s">
        <v>98</v>
      </c>
      <c r="AE844" s="94">
        <v>0</v>
      </c>
      <c r="AF844" s="94" t="s">
        <v>98</v>
      </c>
      <c r="AG844" s="95" t="s">
        <v>4016</v>
      </c>
      <c r="AH844" s="95" t="s">
        <v>4017</v>
      </c>
      <c r="AI844" s="99">
        <v>85</v>
      </c>
      <c r="AJ844" s="99">
        <v>86</v>
      </c>
      <c r="AK844" s="99">
        <v>144</v>
      </c>
      <c r="AL844" s="99">
        <v>144</v>
      </c>
      <c r="AM844" s="99" t="s">
        <v>292</v>
      </c>
      <c r="AN844" s="94" t="s">
        <v>276</v>
      </c>
      <c r="AO844" s="102">
        <f t="shared" si="250"/>
        <v>59.027777777777779</v>
      </c>
      <c r="AP844" s="94" t="s">
        <v>276</v>
      </c>
      <c r="AQ844" s="94" t="s">
        <v>276</v>
      </c>
      <c r="AR844" s="94" t="s">
        <v>276</v>
      </c>
      <c r="AS844" s="102">
        <f t="shared" si="251"/>
        <v>59.722222222222221</v>
      </c>
      <c r="AT844" s="94" t="s">
        <v>276</v>
      </c>
      <c r="AU844" s="94" t="s">
        <v>276</v>
      </c>
      <c r="AV844" s="95" t="s">
        <v>268</v>
      </c>
      <c r="AW844" s="141" t="s">
        <v>276</v>
      </c>
      <c r="AX844" s="141">
        <f t="shared" si="252"/>
        <v>0.98837209302325579</v>
      </c>
      <c r="AY844" s="95" t="s">
        <v>276</v>
      </c>
      <c r="AZ844" s="95" t="s">
        <v>276</v>
      </c>
      <c r="BA844" s="95" t="s">
        <v>276</v>
      </c>
      <c r="BB844" s="95" t="s">
        <v>282</v>
      </c>
      <c r="BC844" s="95" t="s">
        <v>276</v>
      </c>
      <c r="BD844" s="95" t="s">
        <v>276</v>
      </c>
      <c r="BE844" s="95" t="s">
        <v>276</v>
      </c>
      <c r="BF844" s="95" t="s">
        <v>1020</v>
      </c>
      <c r="BG844" s="95"/>
      <c r="BH844" s="9" t="s">
        <v>100</v>
      </c>
      <c r="BI844" s="9" t="s">
        <v>100</v>
      </c>
      <c r="BJ844" s="109"/>
      <c r="BN844" s="109"/>
      <c r="BO844" s="109"/>
    </row>
    <row r="845" spans="1:67" s="124" customFormat="1" ht="52" hidden="1" x14ac:dyDescent="0.35">
      <c r="A845" s="112">
        <v>10872</v>
      </c>
      <c r="B845" s="112" t="s">
        <v>3940</v>
      </c>
      <c r="C845" s="113" t="s">
        <v>82</v>
      </c>
      <c r="D845" s="113" t="s">
        <v>4018</v>
      </c>
      <c r="E845" s="112" t="s">
        <v>39</v>
      </c>
      <c r="F845" s="113" t="s">
        <v>263</v>
      </c>
      <c r="G845" s="112" t="s">
        <v>262</v>
      </c>
      <c r="H845" s="112" t="s">
        <v>225</v>
      </c>
      <c r="I845" s="112" t="s">
        <v>98</v>
      </c>
      <c r="J845" s="113" t="s">
        <v>1024</v>
      </c>
      <c r="K845" s="113" t="s">
        <v>3970</v>
      </c>
      <c r="L845" s="112" t="s">
        <v>276</v>
      </c>
      <c r="M845" s="113" t="s">
        <v>276</v>
      </c>
      <c r="N845" s="112" t="s">
        <v>276</v>
      </c>
      <c r="O845" s="113" t="s">
        <v>276</v>
      </c>
      <c r="P845" s="113" t="s">
        <v>239</v>
      </c>
      <c r="Q845" s="301" t="s">
        <v>3988</v>
      </c>
      <c r="R845" s="113" t="s">
        <v>3989</v>
      </c>
      <c r="S845" s="113" t="s">
        <v>276</v>
      </c>
      <c r="T845" s="113" t="s">
        <v>276</v>
      </c>
      <c r="U845" s="113" t="s">
        <v>276</v>
      </c>
      <c r="V845" s="112" t="s">
        <v>14</v>
      </c>
      <c r="W845" s="112" t="s">
        <v>98</v>
      </c>
      <c r="X845" s="113" t="s">
        <v>208</v>
      </c>
      <c r="Y845" s="118">
        <v>4968</v>
      </c>
      <c r="Z845" s="113">
        <v>5072</v>
      </c>
      <c r="AA845" s="113" t="s">
        <v>276</v>
      </c>
      <c r="AB845" s="113" t="s">
        <v>276</v>
      </c>
      <c r="AC845" s="112">
        <v>0</v>
      </c>
      <c r="AD845" s="112" t="s">
        <v>98</v>
      </c>
      <c r="AE845" s="112">
        <v>0</v>
      </c>
      <c r="AF845" s="112" t="s">
        <v>98</v>
      </c>
      <c r="AG845" s="113" t="s">
        <v>4019</v>
      </c>
      <c r="AH845" s="113" t="s">
        <v>689</v>
      </c>
      <c r="AI845" s="119">
        <v>73</v>
      </c>
      <c r="AJ845" s="119">
        <v>77</v>
      </c>
      <c r="AK845" s="119">
        <v>4968</v>
      </c>
      <c r="AL845" s="119">
        <v>5072</v>
      </c>
      <c r="AM845" s="119" t="s">
        <v>292</v>
      </c>
      <c r="AN845" s="112" t="s">
        <v>276</v>
      </c>
      <c r="AO845" s="121">
        <f t="shared" si="250"/>
        <v>1.4694041867954912</v>
      </c>
      <c r="AP845" s="112" t="s">
        <v>276</v>
      </c>
      <c r="AQ845" s="112" t="s">
        <v>276</v>
      </c>
      <c r="AR845" s="112" t="s">
        <v>276</v>
      </c>
      <c r="AS845" s="121">
        <f t="shared" si="251"/>
        <v>1.5181388012618298</v>
      </c>
      <c r="AT845" s="112" t="s">
        <v>276</v>
      </c>
      <c r="AU845" s="112" t="s">
        <v>276</v>
      </c>
      <c r="AV845" s="113" t="s">
        <v>268</v>
      </c>
      <c r="AW845" s="143" t="s">
        <v>276</v>
      </c>
      <c r="AX845" s="143">
        <f t="shared" si="252"/>
        <v>0.96789844615931575</v>
      </c>
      <c r="AY845" s="113" t="s">
        <v>276</v>
      </c>
      <c r="AZ845" s="113" t="s">
        <v>276</v>
      </c>
      <c r="BA845" s="113" t="s">
        <v>276</v>
      </c>
      <c r="BB845" s="113" t="s">
        <v>282</v>
      </c>
      <c r="BC845" s="113" t="s">
        <v>276</v>
      </c>
      <c r="BD845" s="113" t="s">
        <v>276</v>
      </c>
      <c r="BE845" s="113" t="s">
        <v>276</v>
      </c>
      <c r="BF845" s="113" t="s">
        <v>1020</v>
      </c>
      <c r="BG845" s="113"/>
      <c r="BH845" s="9" t="s">
        <v>100</v>
      </c>
      <c r="BI845" s="9" t="s">
        <v>100</v>
      </c>
      <c r="BJ845" s="123"/>
      <c r="BN845" s="123"/>
      <c r="BO845" s="123"/>
    </row>
    <row r="846" spans="1:67" s="194" customFormat="1" ht="104" hidden="1" x14ac:dyDescent="0.35">
      <c r="A846" s="184">
        <v>10966</v>
      </c>
      <c r="B846" s="185" t="s">
        <v>1011</v>
      </c>
      <c r="C846" s="185" t="s">
        <v>82</v>
      </c>
      <c r="D846" s="185" t="s">
        <v>4020</v>
      </c>
      <c r="E846" s="184" t="s">
        <v>39</v>
      </c>
      <c r="F846" s="185" t="s">
        <v>263</v>
      </c>
      <c r="G846" s="184" t="s">
        <v>262</v>
      </c>
      <c r="H846" s="184" t="s">
        <v>225</v>
      </c>
      <c r="I846" s="184" t="s">
        <v>98</v>
      </c>
      <c r="J846" s="185" t="s">
        <v>25</v>
      </c>
      <c r="K846" s="184" t="s">
        <v>1048</v>
      </c>
      <c r="L846" s="184" t="s">
        <v>276</v>
      </c>
      <c r="M846" s="184" t="s">
        <v>276</v>
      </c>
      <c r="N846" s="185" t="s">
        <v>4021</v>
      </c>
      <c r="O846" s="185" t="s">
        <v>276</v>
      </c>
      <c r="P846" s="185" t="s">
        <v>239</v>
      </c>
      <c r="Q846" s="302" t="s">
        <v>276</v>
      </c>
      <c r="R846" s="185" t="s">
        <v>752</v>
      </c>
      <c r="S846" s="185" t="s">
        <v>1015</v>
      </c>
      <c r="T846" s="185" t="s">
        <v>1015</v>
      </c>
      <c r="U846" s="185" t="s">
        <v>276</v>
      </c>
      <c r="V846" s="184" t="s">
        <v>14</v>
      </c>
      <c r="W846" s="184" t="s">
        <v>98</v>
      </c>
      <c r="X846" s="185" t="s">
        <v>208</v>
      </c>
      <c r="Y846" s="189">
        <v>4968</v>
      </c>
      <c r="Z846" s="185">
        <v>5072</v>
      </c>
      <c r="AA846" s="185" t="s">
        <v>276</v>
      </c>
      <c r="AB846" s="185" t="s">
        <v>276</v>
      </c>
      <c r="AC846" s="184">
        <v>12</v>
      </c>
      <c r="AD846" s="185" t="s">
        <v>4022</v>
      </c>
      <c r="AE846" s="184">
        <v>12</v>
      </c>
      <c r="AF846" s="185" t="s">
        <v>4022</v>
      </c>
      <c r="AG846" s="185" t="s">
        <v>4023</v>
      </c>
      <c r="AH846" s="185" t="s">
        <v>689</v>
      </c>
      <c r="AI846" s="188">
        <v>7</v>
      </c>
      <c r="AJ846" s="188">
        <v>0</v>
      </c>
      <c r="AK846" s="188">
        <v>4968</v>
      </c>
      <c r="AL846" s="188">
        <v>5072</v>
      </c>
      <c r="AM846" s="188" t="s">
        <v>292</v>
      </c>
      <c r="AN846" s="184" t="s">
        <v>276</v>
      </c>
      <c r="AO846" s="192">
        <f t="shared" si="250"/>
        <v>0.14090177133655393</v>
      </c>
      <c r="AP846" s="184" t="s">
        <v>276</v>
      </c>
      <c r="AQ846" s="184" t="s">
        <v>276</v>
      </c>
      <c r="AR846" s="184" t="s">
        <v>276</v>
      </c>
      <c r="AS846" s="192">
        <f t="shared" si="251"/>
        <v>0</v>
      </c>
      <c r="AT846" s="184" t="s">
        <v>276</v>
      </c>
      <c r="AU846" s="184" t="s">
        <v>276</v>
      </c>
      <c r="AV846" s="185" t="s">
        <v>268</v>
      </c>
      <c r="AW846" s="303" t="s">
        <v>276</v>
      </c>
      <c r="AX846" s="303" t="s">
        <v>98</v>
      </c>
      <c r="AY846" s="185" t="s">
        <v>276</v>
      </c>
      <c r="AZ846" s="185" t="s">
        <v>276</v>
      </c>
      <c r="BA846" s="185" t="s">
        <v>276</v>
      </c>
      <c r="BB846" s="185" t="s">
        <v>282</v>
      </c>
      <c r="BC846" s="185" t="s">
        <v>276</v>
      </c>
      <c r="BD846" s="185" t="s">
        <v>276</v>
      </c>
      <c r="BE846" s="185" t="s">
        <v>276</v>
      </c>
      <c r="BF846" s="185" t="s">
        <v>426</v>
      </c>
      <c r="BG846" s="185" t="s">
        <v>4024</v>
      </c>
      <c r="BH846" s="9" t="s">
        <v>100</v>
      </c>
      <c r="BI846" s="9" t="s">
        <v>100</v>
      </c>
      <c r="BJ846" s="193"/>
      <c r="BN846" s="193"/>
      <c r="BO846" s="193"/>
    </row>
    <row r="847" spans="1:67" s="194" customFormat="1" ht="104" hidden="1" x14ac:dyDescent="0.35">
      <c r="A847" s="184">
        <v>10966</v>
      </c>
      <c r="B847" s="185" t="s">
        <v>1011</v>
      </c>
      <c r="C847" s="185" t="s">
        <v>82</v>
      </c>
      <c r="D847" s="185" t="s">
        <v>4025</v>
      </c>
      <c r="E847" s="184" t="s">
        <v>39</v>
      </c>
      <c r="F847" s="185" t="s">
        <v>263</v>
      </c>
      <c r="G847" s="184" t="s">
        <v>262</v>
      </c>
      <c r="H847" s="184" t="s">
        <v>225</v>
      </c>
      <c r="I847" s="184" t="s">
        <v>98</v>
      </c>
      <c r="J847" s="185" t="s">
        <v>25</v>
      </c>
      <c r="K847" s="184" t="s">
        <v>1054</v>
      </c>
      <c r="L847" s="184" t="s">
        <v>276</v>
      </c>
      <c r="M847" s="184" t="s">
        <v>276</v>
      </c>
      <c r="N847" s="185" t="s">
        <v>4021</v>
      </c>
      <c r="O847" s="185" t="s">
        <v>276</v>
      </c>
      <c r="P847" s="185" t="s">
        <v>239</v>
      </c>
      <c r="Q847" s="302" t="s">
        <v>276</v>
      </c>
      <c r="R847" s="185" t="s">
        <v>752</v>
      </c>
      <c r="S847" s="185" t="s">
        <v>1015</v>
      </c>
      <c r="T847" s="185" t="s">
        <v>1015</v>
      </c>
      <c r="U847" s="185" t="s">
        <v>276</v>
      </c>
      <c r="V847" s="184" t="s">
        <v>14</v>
      </c>
      <c r="W847" s="184" t="s">
        <v>98</v>
      </c>
      <c r="X847" s="185" t="s">
        <v>208</v>
      </c>
      <c r="Y847" s="189">
        <v>4968</v>
      </c>
      <c r="Z847" s="185">
        <v>5072</v>
      </c>
      <c r="AA847" s="185" t="s">
        <v>276</v>
      </c>
      <c r="AB847" s="185" t="s">
        <v>276</v>
      </c>
      <c r="AC847" s="184">
        <v>12</v>
      </c>
      <c r="AD847" s="185" t="s">
        <v>4022</v>
      </c>
      <c r="AE847" s="184">
        <v>12</v>
      </c>
      <c r="AF847" s="185" t="s">
        <v>4022</v>
      </c>
      <c r="AG847" s="185" t="s">
        <v>4026</v>
      </c>
      <c r="AH847" s="185" t="s">
        <v>689</v>
      </c>
      <c r="AI847" s="188">
        <v>54</v>
      </c>
      <c r="AJ847" s="188">
        <v>59</v>
      </c>
      <c r="AK847" s="188">
        <v>4968</v>
      </c>
      <c r="AL847" s="188">
        <v>5072</v>
      </c>
      <c r="AM847" s="188" t="s">
        <v>292</v>
      </c>
      <c r="AN847" s="184" t="s">
        <v>276</v>
      </c>
      <c r="AO847" s="192">
        <f t="shared" ref="AO847" si="253">AI847*100/AK847</f>
        <v>1.0869565217391304</v>
      </c>
      <c r="AP847" s="184" t="s">
        <v>276</v>
      </c>
      <c r="AQ847" s="184" t="s">
        <v>276</v>
      </c>
      <c r="AR847" s="184" t="s">
        <v>276</v>
      </c>
      <c r="AS847" s="192">
        <f t="shared" ref="AS847" si="254">AJ847*100/AL847</f>
        <v>1.163249211356467</v>
      </c>
      <c r="AT847" s="184" t="s">
        <v>276</v>
      </c>
      <c r="AU847" s="184" t="s">
        <v>276</v>
      </c>
      <c r="AV847" s="185" t="s">
        <v>268</v>
      </c>
      <c r="AW847" s="303" t="s">
        <v>276</v>
      </c>
      <c r="AX847" s="303">
        <f t="shared" ref="AX847" si="255">AO847/AS847</f>
        <v>0.93441414885777441</v>
      </c>
      <c r="AY847" s="185" t="s">
        <v>276</v>
      </c>
      <c r="AZ847" s="185" t="s">
        <v>276</v>
      </c>
      <c r="BA847" s="185" t="s">
        <v>276</v>
      </c>
      <c r="BB847" s="185" t="s">
        <v>282</v>
      </c>
      <c r="BC847" s="185" t="s">
        <v>276</v>
      </c>
      <c r="BD847" s="185" t="s">
        <v>276</v>
      </c>
      <c r="BE847" s="185" t="s">
        <v>276</v>
      </c>
      <c r="BF847" s="185" t="s">
        <v>426</v>
      </c>
      <c r="BG847" s="185" t="s">
        <v>4024</v>
      </c>
      <c r="BH847" s="9" t="s">
        <v>100</v>
      </c>
      <c r="BI847" s="9" t="s">
        <v>100</v>
      </c>
      <c r="BJ847" s="193"/>
      <c r="BN847" s="193"/>
      <c r="BO847" s="193"/>
    </row>
    <row r="848" spans="1:67" s="194" customFormat="1" ht="104" hidden="1" x14ac:dyDescent="0.35">
      <c r="A848" s="184">
        <v>10966</v>
      </c>
      <c r="B848" s="185" t="s">
        <v>1011</v>
      </c>
      <c r="C848" s="185" t="s">
        <v>82</v>
      </c>
      <c r="D848" s="185" t="s">
        <v>11639</v>
      </c>
      <c r="E848" s="184" t="s">
        <v>39</v>
      </c>
      <c r="F848" s="185" t="s">
        <v>263</v>
      </c>
      <c r="G848" s="184" t="s">
        <v>262</v>
      </c>
      <c r="H848" s="184" t="s">
        <v>225</v>
      </c>
      <c r="I848" s="184" t="s">
        <v>98</v>
      </c>
      <c r="J848" s="185" t="s">
        <v>25</v>
      </c>
      <c r="K848" s="184" t="s">
        <v>9184</v>
      </c>
      <c r="L848" s="184" t="s">
        <v>276</v>
      </c>
      <c r="M848" s="184" t="s">
        <v>276</v>
      </c>
      <c r="N848" s="185" t="s">
        <v>4021</v>
      </c>
      <c r="O848" s="185" t="s">
        <v>276</v>
      </c>
      <c r="P848" s="185" t="s">
        <v>239</v>
      </c>
      <c r="Q848" s="302" t="s">
        <v>276</v>
      </c>
      <c r="R848" s="185" t="s">
        <v>752</v>
      </c>
      <c r="S848" s="185" t="s">
        <v>1015</v>
      </c>
      <c r="T848" s="185" t="s">
        <v>1015</v>
      </c>
      <c r="U848" s="185" t="s">
        <v>276</v>
      </c>
      <c r="V848" s="184" t="s">
        <v>14</v>
      </c>
      <c r="W848" s="184" t="s">
        <v>98</v>
      </c>
      <c r="X848" s="185" t="s">
        <v>208</v>
      </c>
      <c r="Y848" s="189">
        <v>4968</v>
      </c>
      <c r="Z848" s="185">
        <v>5072</v>
      </c>
      <c r="AA848" s="185" t="s">
        <v>276</v>
      </c>
      <c r="AB848" s="185" t="s">
        <v>276</v>
      </c>
      <c r="AC848" s="184">
        <v>12</v>
      </c>
      <c r="AD848" s="185" t="s">
        <v>4022</v>
      </c>
      <c r="AE848" s="184">
        <v>12</v>
      </c>
      <c r="AF848" s="185" t="s">
        <v>4022</v>
      </c>
      <c r="AG848" s="185" t="s">
        <v>11640</v>
      </c>
      <c r="AH848" s="185" t="s">
        <v>689</v>
      </c>
      <c r="AI848" s="188">
        <f>54+7</f>
        <v>61</v>
      </c>
      <c r="AJ848" s="188">
        <f>59+0</f>
        <v>59</v>
      </c>
      <c r="AK848" s="188">
        <v>4968</v>
      </c>
      <c r="AL848" s="188">
        <v>5072</v>
      </c>
      <c r="AM848" s="188" t="s">
        <v>292</v>
      </c>
      <c r="AN848" s="184" t="s">
        <v>276</v>
      </c>
      <c r="AO848" s="192">
        <f t="shared" si="250"/>
        <v>1.2278582930756843</v>
      </c>
      <c r="AP848" s="184" t="s">
        <v>276</v>
      </c>
      <c r="AQ848" s="184" t="s">
        <v>276</v>
      </c>
      <c r="AR848" s="184" t="s">
        <v>276</v>
      </c>
      <c r="AS848" s="192">
        <f t="shared" si="251"/>
        <v>1.163249211356467</v>
      </c>
      <c r="AT848" s="184" t="s">
        <v>276</v>
      </c>
      <c r="AU848" s="184" t="s">
        <v>276</v>
      </c>
      <c r="AV848" s="185" t="s">
        <v>268</v>
      </c>
      <c r="AW848" s="303" t="s">
        <v>276</v>
      </c>
      <c r="AX848" s="303">
        <f t="shared" si="252"/>
        <v>1.0555419088948932</v>
      </c>
      <c r="AY848" s="185" t="s">
        <v>276</v>
      </c>
      <c r="AZ848" s="185" t="s">
        <v>276</v>
      </c>
      <c r="BA848" s="185" t="s">
        <v>276</v>
      </c>
      <c r="BB848" s="185" t="s">
        <v>282</v>
      </c>
      <c r="BC848" s="185" t="s">
        <v>276</v>
      </c>
      <c r="BD848" s="185" t="s">
        <v>276</v>
      </c>
      <c r="BE848" s="185" t="s">
        <v>276</v>
      </c>
      <c r="BF848" s="185" t="s">
        <v>426</v>
      </c>
      <c r="BG848" s="185" t="s">
        <v>4024</v>
      </c>
      <c r="BH848" s="9" t="s">
        <v>100</v>
      </c>
      <c r="BI848" s="9" t="s">
        <v>100</v>
      </c>
      <c r="BJ848" s="193"/>
      <c r="BN848" s="193"/>
      <c r="BO848" s="193"/>
    </row>
    <row r="849" spans="1:68" s="194" customFormat="1" ht="104" hidden="1" x14ac:dyDescent="0.35">
      <c r="A849" s="184">
        <v>10966</v>
      </c>
      <c r="B849" s="185" t="s">
        <v>1011</v>
      </c>
      <c r="C849" s="185" t="s">
        <v>82</v>
      </c>
      <c r="D849" s="185" t="s">
        <v>4027</v>
      </c>
      <c r="E849" s="184" t="s">
        <v>39</v>
      </c>
      <c r="F849" s="185" t="s">
        <v>263</v>
      </c>
      <c r="G849" s="184" t="s">
        <v>262</v>
      </c>
      <c r="H849" s="184" t="s">
        <v>225</v>
      </c>
      <c r="I849" s="184" t="s">
        <v>98</v>
      </c>
      <c r="J849" s="185" t="s">
        <v>25</v>
      </c>
      <c r="K849" s="184" t="s">
        <v>1056</v>
      </c>
      <c r="L849" s="184" t="s">
        <v>276</v>
      </c>
      <c r="M849" s="184" t="s">
        <v>276</v>
      </c>
      <c r="N849" s="185" t="s">
        <v>4021</v>
      </c>
      <c r="O849" s="185" t="s">
        <v>276</v>
      </c>
      <c r="P849" s="185" t="s">
        <v>239</v>
      </c>
      <c r="Q849" s="302" t="s">
        <v>276</v>
      </c>
      <c r="R849" s="185" t="s">
        <v>752</v>
      </c>
      <c r="S849" s="185" t="s">
        <v>1015</v>
      </c>
      <c r="T849" s="185" t="s">
        <v>1015</v>
      </c>
      <c r="U849" s="185" t="s">
        <v>276</v>
      </c>
      <c r="V849" s="184" t="s">
        <v>14</v>
      </c>
      <c r="W849" s="184" t="s">
        <v>98</v>
      </c>
      <c r="X849" s="185" t="s">
        <v>208</v>
      </c>
      <c r="Y849" s="189">
        <v>4968</v>
      </c>
      <c r="Z849" s="185">
        <v>5072</v>
      </c>
      <c r="AA849" s="185" t="s">
        <v>276</v>
      </c>
      <c r="AB849" s="185" t="s">
        <v>276</v>
      </c>
      <c r="AC849" s="184">
        <v>12</v>
      </c>
      <c r="AD849" s="185" t="s">
        <v>4022</v>
      </c>
      <c r="AE849" s="184">
        <v>12</v>
      </c>
      <c r="AF849" s="185" t="s">
        <v>4022</v>
      </c>
      <c r="AG849" s="185" t="s">
        <v>4028</v>
      </c>
      <c r="AH849" s="185" t="s">
        <v>689</v>
      </c>
      <c r="AI849" s="188">
        <v>12</v>
      </c>
      <c r="AJ849" s="188">
        <v>18</v>
      </c>
      <c r="AK849" s="188">
        <v>4968</v>
      </c>
      <c r="AL849" s="188">
        <v>5072</v>
      </c>
      <c r="AM849" s="188" t="s">
        <v>292</v>
      </c>
      <c r="AN849" s="184" t="s">
        <v>276</v>
      </c>
      <c r="AO849" s="192">
        <f t="shared" si="250"/>
        <v>0.24154589371980675</v>
      </c>
      <c r="AP849" s="184" t="s">
        <v>276</v>
      </c>
      <c r="AQ849" s="184" t="s">
        <v>276</v>
      </c>
      <c r="AR849" s="184" t="s">
        <v>276</v>
      </c>
      <c r="AS849" s="192">
        <f t="shared" si="251"/>
        <v>0.35488958990536279</v>
      </c>
      <c r="AT849" s="184" t="s">
        <v>276</v>
      </c>
      <c r="AU849" s="184" t="s">
        <v>276</v>
      </c>
      <c r="AV849" s="185" t="s">
        <v>268</v>
      </c>
      <c r="AW849" s="303" t="s">
        <v>276</v>
      </c>
      <c r="AX849" s="303">
        <f t="shared" si="252"/>
        <v>0.6806226516371443</v>
      </c>
      <c r="AY849" s="185" t="s">
        <v>276</v>
      </c>
      <c r="AZ849" s="185" t="s">
        <v>276</v>
      </c>
      <c r="BA849" s="185" t="s">
        <v>276</v>
      </c>
      <c r="BB849" s="185" t="s">
        <v>282</v>
      </c>
      <c r="BC849" s="185" t="s">
        <v>276</v>
      </c>
      <c r="BD849" s="185" t="s">
        <v>276</v>
      </c>
      <c r="BE849" s="185" t="s">
        <v>276</v>
      </c>
      <c r="BF849" s="185" t="s">
        <v>426</v>
      </c>
      <c r="BG849" s="185" t="s">
        <v>4024</v>
      </c>
      <c r="BH849" s="9" t="s">
        <v>100</v>
      </c>
      <c r="BI849" s="9" t="s">
        <v>100</v>
      </c>
      <c r="BJ849" s="193"/>
      <c r="BN849" s="193"/>
      <c r="BO849" s="193"/>
    </row>
    <row r="850" spans="1:68" s="194" customFormat="1" ht="104" hidden="1" x14ac:dyDescent="0.35">
      <c r="A850" s="184">
        <v>10966</v>
      </c>
      <c r="B850" s="185" t="s">
        <v>1011</v>
      </c>
      <c r="C850" s="185" t="s">
        <v>82</v>
      </c>
      <c r="D850" s="185" t="s">
        <v>4029</v>
      </c>
      <c r="E850" s="184" t="s">
        <v>39</v>
      </c>
      <c r="F850" s="185" t="s">
        <v>263</v>
      </c>
      <c r="G850" s="184" t="s">
        <v>262</v>
      </c>
      <c r="H850" s="184" t="s">
        <v>225</v>
      </c>
      <c r="I850" s="184" t="s">
        <v>98</v>
      </c>
      <c r="J850" s="185" t="s">
        <v>25</v>
      </c>
      <c r="K850" s="184" t="s">
        <v>1058</v>
      </c>
      <c r="L850" s="184" t="s">
        <v>276</v>
      </c>
      <c r="M850" s="184" t="s">
        <v>276</v>
      </c>
      <c r="N850" s="185" t="s">
        <v>4021</v>
      </c>
      <c r="O850" s="185" t="s">
        <v>276</v>
      </c>
      <c r="P850" s="185" t="s">
        <v>239</v>
      </c>
      <c r="Q850" s="302" t="s">
        <v>276</v>
      </c>
      <c r="R850" s="185" t="s">
        <v>752</v>
      </c>
      <c r="S850" s="185" t="s">
        <v>1015</v>
      </c>
      <c r="T850" s="185" t="s">
        <v>1015</v>
      </c>
      <c r="U850" s="185" t="s">
        <v>276</v>
      </c>
      <c r="V850" s="184" t="s">
        <v>14</v>
      </c>
      <c r="W850" s="184" t="s">
        <v>98</v>
      </c>
      <c r="X850" s="185" t="s">
        <v>208</v>
      </c>
      <c r="Y850" s="189">
        <v>4968</v>
      </c>
      <c r="Z850" s="185">
        <v>5072</v>
      </c>
      <c r="AA850" s="185" t="s">
        <v>276</v>
      </c>
      <c r="AB850" s="185" t="s">
        <v>276</v>
      </c>
      <c r="AC850" s="184">
        <v>12</v>
      </c>
      <c r="AD850" s="185" t="s">
        <v>4022</v>
      </c>
      <c r="AE850" s="184">
        <v>12</v>
      </c>
      <c r="AF850" s="185" t="s">
        <v>4022</v>
      </c>
      <c r="AG850" s="185" t="s">
        <v>4030</v>
      </c>
      <c r="AH850" s="185" t="s">
        <v>689</v>
      </c>
      <c r="AI850" s="188">
        <v>48</v>
      </c>
      <c r="AJ850" s="188">
        <v>43</v>
      </c>
      <c r="AK850" s="188">
        <v>4968</v>
      </c>
      <c r="AL850" s="188">
        <v>5072</v>
      </c>
      <c r="AM850" s="188" t="s">
        <v>292</v>
      </c>
      <c r="AN850" s="184" t="s">
        <v>276</v>
      </c>
      <c r="AO850" s="192">
        <f t="shared" si="250"/>
        <v>0.96618357487922701</v>
      </c>
      <c r="AP850" s="184" t="s">
        <v>276</v>
      </c>
      <c r="AQ850" s="184" t="s">
        <v>276</v>
      </c>
      <c r="AR850" s="184" t="s">
        <v>276</v>
      </c>
      <c r="AS850" s="192">
        <f t="shared" si="251"/>
        <v>0.84779179810725547</v>
      </c>
      <c r="AT850" s="184" t="s">
        <v>276</v>
      </c>
      <c r="AU850" s="184" t="s">
        <v>276</v>
      </c>
      <c r="AV850" s="185" t="s">
        <v>268</v>
      </c>
      <c r="AW850" s="303" t="s">
        <v>276</v>
      </c>
      <c r="AX850" s="303">
        <f t="shared" si="252"/>
        <v>1.1396472306482417</v>
      </c>
      <c r="AY850" s="185" t="s">
        <v>276</v>
      </c>
      <c r="AZ850" s="185" t="s">
        <v>276</v>
      </c>
      <c r="BA850" s="185" t="s">
        <v>276</v>
      </c>
      <c r="BB850" s="185" t="s">
        <v>282</v>
      </c>
      <c r="BC850" s="185" t="s">
        <v>276</v>
      </c>
      <c r="BD850" s="185" t="s">
        <v>276</v>
      </c>
      <c r="BE850" s="185" t="s">
        <v>276</v>
      </c>
      <c r="BF850" s="185" t="s">
        <v>426</v>
      </c>
      <c r="BG850" s="185" t="s">
        <v>4024</v>
      </c>
      <c r="BH850" s="9" t="s">
        <v>100</v>
      </c>
      <c r="BI850" s="9" t="s">
        <v>100</v>
      </c>
      <c r="BJ850" s="193"/>
      <c r="BN850" s="193"/>
      <c r="BO850" s="193"/>
    </row>
    <row r="851" spans="1:68" s="194" customFormat="1" ht="104" hidden="1" x14ac:dyDescent="0.35">
      <c r="A851" s="184">
        <v>10966</v>
      </c>
      <c r="B851" s="185" t="s">
        <v>1011</v>
      </c>
      <c r="C851" s="185" t="s">
        <v>82</v>
      </c>
      <c r="D851" s="185" t="s">
        <v>4031</v>
      </c>
      <c r="E851" s="184" t="s">
        <v>39</v>
      </c>
      <c r="F851" s="185" t="s">
        <v>263</v>
      </c>
      <c r="G851" s="184" t="s">
        <v>262</v>
      </c>
      <c r="H851" s="184" t="s">
        <v>225</v>
      </c>
      <c r="I851" s="184" t="s">
        <v>98</v>
      </c>
      <c r="J851" s="185" t="s">
        <v>25</v>
      </c>
      <c r="K851" s="184" t="s">
        <v>4032</v>
      </c>
      <c r="L851" s="184" t="s">
        <v>276</v>
      </c>
      <c r="M851" s="184" t="s">
        <v>276</v>
      </c>
      <c r="N851" s="185" t="s">
        <v>4021</v>
      </c>
      <c r="O851" s="185" t="s">
        <v>276</v>
      </c>
      <c r="P851" s="185" t="s">
        <v>239</v>
      </c>
      <c r="Q851" s="302" t="s">
        <v>276</v>
      </c>
      <c r="R851" s="185" t="s">
        <v>752</v>
      </c>
      <c r="S851" s="185" t="s">
        <v>1015</v>
      </c>
      <c r="T851" s="185" t="s">
        <v>1015</v>
      </c>
      <c r="U851" s="185" t="s">
        <v>276</v>
      </c>
      <c r="V851" s="184" t="s">
        <v>14</v>
      </c>
      <c r="W851" s="184" t="s">
        <v>98</v>
      </c>
      <c r="X851" s="185" t="s">
        <v>208</v>
      </c>
      <c r="Y851" s="189">
        <v>4968</v>
      </c>
      <c r="Z851" s="185">
        <v>5072</v>
      </c>
      <c r="AA851" s="185" t="s">
        <v>276</v>
      </c>
      <c r="AB851" s="185" t="s">
        <v>276</v>
      </c>
      <c r="AC851" s="184">
        <v>12</v>
      </c>
      <c r="AD851" s="185" t="s">
        <v>4022</v>
      </c>
      <c r="AE851" s="184">
        <v>12</v>
      </c>
      <c r="AF851" s="185" t="s">
        <v>4022</v>
      </c>
      <c r="AG851" s="185" t="s">
        <v>4033</v>
      </c>
      <c r="AH851" s="185" t="s">
        <v>689</v>
      </c>
      <c r="AI851" s="188">
        <v>39</v>
      </c>
      <c r="AJ851" s="188">
        <v>39</v>
      </c>
      <c r="AK851" s="188">
        <v>4968</v>
      </c>
      <c r="AL851" s="188">
        <v>5072</v>
      </c>
      <c r="AM851" s="188" t="s">
        <v>292</v>
      </c>
      <c r="AN851" s="184" t="s">
        <v>276</v>
      </c>
      <c r="AO851" s="192">
        <f t="shared" si="250"/>
        <v>0.78502415458937203</v>
      </c>
      <c r="AP851" s="184" t="s">
        <v>276</v>
      </c>
      <c r="AQ851" s="184" t="s">
        <v>276</v>
      </c>
      <c r="AR851" s="184" t="s">
        <v>276</v>
      </c>
      <c r="AS851" s="192">
        <f t="shared" si="251"/>
        <v>0.76892744479495267</v>
      </c>
      <c r="AT851" s="184" t="s">
        <v>276</v>
      </c>
      <c r="AU851" s="184" t="s">
        <v>276</v>
      </c>
      <c r="AV851" s="185" t="s">
        <v>268</v>
      </c>
      <c r="AW851" s="303" t="s">
        <v>276</v>
      </c>
      <c r="AX851" s="303">
        <f t="shared" si="252"/>
        <v>1.0209339774557167</v>
      </c>
      <c r="AY851" s="185" t="s">
        <v>276</v>
      </c>
      <c r="AZ851" s="185" t="s">
        <v>276</v>
      </c>
      <c r="BA851" s="185" t="s">
        <v>276</v>
      </c>
      <c r="BB851" s="185" t="s">
        <v>282</v>
      </c>
      <c r="BC851" s="185" t="s">
        <v>276</v>
      </c>
      <c r="BD851" s="185" t="s">
        <v>276</v>
      </c>
      <c r="BE851" s="185" t="s">
        <v>276</v>
      </c>
      <c r="BF851" s="185" t="s">
        <v>426</v>
      </c>
      <c r="BG851" s="185" t="s">
        <v>4024</v>
      </c>
      <c r="BH851" s="9" t="s">
        <v>100</v>
      </c>
      <c r="BI851" s="9" t="s">
        <v>100</v>
      </c>
      <c r="BJ851" s="193"/>
      <c r="BN851" s="193"/>
      <c r="BO851" s="193"/>
    </row>
    <row r="852" spans="1:68" s="194" customFormat="1" ht="104" hidden="1" x14ac:dyDescent="0.35">
      <c r="A852" s="184">
        <v>10966</v>
      </c>
      <c r="B852" s="185" t="s">
        <v>1011</v>
      </c>
      <c r="C852" s="185" t="s">
        <v>82</v>
      </c>
      <c r="D852" s="185" t="s">
        <v>11586</v>
      </c>
      <c r="E852" s="184" t="s">
        <v>39</v>
      </c>
      <c r="F852" s="185" t="s">
        <v>263</v>
      </c>
      <c r="G852" s="184" t="s">
        <v>262</v>
      </c>
      <c r="H852" s="184" t="s">
        <v>225</v>
      </c>
      <c r="I852" s="184" t="s">
        <v>98</v>
      </c>
      <c r="J852" s="185" t="s">
        <v>25</v>
      </c>
      <c r="K852" s="184" t="s">
        <v>11587</v>
      </c>
      <c r="L852" s="184" t="s">
        <v>276</v>
      </c>
      <c r="M852" s="184" t="s">
        <v>276</v>
      </c>
      <c r="N852" s="185" t="s">
        <v>4021</v>
      </c>
      <c r="O852" s="185" t="s">
        <v>276</v>
      </c>
      <c r="P852" s="185" t="s">
        <v>239</v>
      </c>
      <c r="Q852" s="302" t="s">
        <v>276</v>
      </c>
      <c r="R852" s="185" t="s">
        <v>752</v>
      </c>
      <c r="S852" s="185" t="s">
        <v>1015</v>
      </c>
      <c r="T852" s="185" t="s">
        <v>1015</v>
      </c>
      <c r="U852" s="185" t="s">
        <v>276</v>
      </c>
      <c r="V852" s="184" t="s">
        <v>14</v>
      </c>
      <c r="W852" s="184" t="s">
        <v>98</v>
      </c>
      <c r="X852" s="185" t="s">
        <v>208</v>
      </c>
      <c r="Y852" s="189">
        <v>4968</v>
      </c>
      <c r="Z852" s="185">
        <v>5072</v>
      </c>
      <c r="AA852" s="185" t="s">
        <v>276</v>
      </c>
      <c r="AB852" s="185" t="s">
        <v>276</v>
      </c>
      <c r="AC852" s="184">
        <v>12</v>
      </c>
      <c r="AD852" s="185" t="s">
        <v>4022</v>
      </c>
      <c r="AE852" s="184">
        <v>12</v>
      </c>
      <c r="AF852" s="185" t="s">
        <v>4022</v>
      </c>
      <c r="AG852" s="185" t="s">
        <v>11588</v>
      </c>
      <c r="AH852" s="185" t="s">
        <v>689</v>
      </c>
      <c r="AI852" s="188">
        <f>48+39</f>
        <v>87</v>
      </c>
      <c r="AJ852" s="188">
        <f>43+39</f>
        <v>82</v>
      </c>
      <c r="AK852" s="188">
        <v>4968</v>
      </c>
      <c r="AL852" s="188">
        <v>5072</v>
      </c>
      <c r="AM852" s="188" t="s">
        <v>292</v>
      </c>
      <c r="AN852" s="184" t="s">
        <v>276</v>
      </c>
      <c r="AO852" s="192">
        <f t="shared" ref="AO852" si="256">AI852*100/AK852</f>
        <v>1.751207729468599</v>
      </c>
      <c r="AP852" s="184" t="s">
        <v>276</v>
      </c>
      <c r="AQ852" s="184" t="s">
        <v>276</v>
      </c>
      <c r="AR852" s="184" t="s">
        <v>276</v>
      </c>
      <c r="AS852" s="192">
        <f t="shared" ref="AS852" si="257">AJ852*100/AL852</f>
        <v>1.6167192429022081</v>
      </c>
      <c r="AT852" s="184" t="s">
        <v>276</v>
      </c>
      <c r="AU852" s="184" t="s">
        <v>276</v>
      </c>
      <c r="AV852" s="185" t="s">
        <v>268</v>
      </c>
      <c r="AW852" s="303" t="s">
        <v>276</v>
      </c>
      <c r="AX852" s="303">
        <f t="shared" ref="AX852" si="258">AO852/AS852</f>
        <v>1.0831860492517968</v>
      </c>
      <c r="AY852" s="185" t="s">
        <v>276</v>
      </c>
      <c r="AZ852" s="185" t="s">
        <v>276</v>
      </c>
      <c r="BA852" s="185" t="s">
        <v>276</v>
      </c>
      <c r="BB852" s="185" t="s">
        <v>282</v>
      </c>
      <c r="BC852" s="185" t="s">
        <v>276</v>
      </c>
      <c r="BD852" s="185" t="s">
        <v>276</v>
      </c>
      <c r="BE852" s="185" t="s">
        <v>276</v>
      </c>
      <c r="BF852" s="185" t="s">
        <v>426</v>
      </c>
      <c r="BG852" s="185" t="s">
        <v>4024</v>
      </c>
      <c r="BH852" s="9" t="s">
        <v>100</v>
      </c>
      <c r="BI852" s="9" t="s">
        <v>100</v>
      </c>
      <c r="BJ852" s="193"/>
      <c r="BN852" s="193"/>
      <c r="BO852" s="193"/>
    </row>
    <row r="853" spans="1:68" s="194" customFormat="1" ht="104" hidden="1" x14ac:dyDescent="0.35">
      <c r="A853" s="184">
        <v>10966</v>
      </c>
      <c r="B853" s="185" t="s">
        <v>1011</v>
      </c>
      <c r="C853" s="185" t="s">
        <v>82</v>
      </c>
      <c r="D853" s="185" t="s">
        <v>4034</v>
      </c>
      <c r="E853" s="184" t="s">
        <v>39</v>
      </c>
      <c r="F853" s="185" t="s">
        <v>263</v>
      </c>
      <c r="G853" s="184" t="s">
        <v>262</v>
      </c>
      <c r="H853" s="184" t="s">
        <v>225</v>
      </c>
      <c r="I853" s="184" t="s">
        <v>98</v>
      </c>
      <c r="J853" s="185" t="s">
        <v>25</v>
      </c>
      <c r="K853" s="184" t="s">
        <v>1063</v>
      </c>
      <c r="L853" s="184" t="s">
        <v>276</v>
      </c>
      <c r="M853" s="184" t="s">
        <v>276</v>
      </c>
      <c r="N853" s="185" t="s">
        <v>4021</v>
      </c>
      <c r="O853" s="185" t="s">
        <v>276</v>
      </c>
      <c r="P853" s="185" t="s">
        <v>239</v>
      </c>
      <c r="Q853" s="302" t="s">
        <v>276</v>
      </c>
      <c r="R853" s="185" t="s">
        <v>752</v>
      </c>
      <c r="S853" s="185" t="s">
        <v>1015</v>
      </c>
      <c r="T853" s="185" t="s">
        <v>1015</v>
      </c>
      <c r="U853" s="185" t="s">
        <v>276</v>
      </c>
      <c r="V853" s="184" t="s">
        <v>14</v>
      </c>
      <c r="W853" s="184" t="s">
        <v>98</v>
      </c>
      <c r="X853" s="185" t="s">
        <v>208</v>
      </c>
      <c r="Y853" s="189">
        <v>4968</v>
      </c>
      <c r="Z853" s="185">
        <v>5072</v>
      </c>
      <c r="AA853" s="185" t="s">
        <v>276</v>
      </c>
      <c r="AB853" s="185" t="s">
        <v>276</v>
      </c>
      <c r="AC853" s="184">
        <v>12</v>
      </c>
      <c r="AD853" s="185" t="s">
        <v>4022</v>
      </c>
      <c r="AE853" s="184">
        <v>12</v>
      </c>
      <c r="AF853" s="185" t="s">
        <v>4022</v>
      </c>
      <c r="AG853" s="185" t="s">
        <v>4035</v>
      </c>
      <c r="AH853" s="185" t="s">
        <v>689</v>
      </c>
      <c r="AI853" s="188">
        <f>12+48+39</f>
        <v>99</v>
      </c>
      <c r="AJ853" s="188">
        <f>18+43+39</f>
        <v>100</v>
      </c>
      <c r="AK853" s="188">
        <v>4968</v>
      </c>
      <c r="AL853" s="188">
        <v>5072</v>
      </c>
      <c r="AM853" s="188" t="s">
        <v>292</v>
      </c>
      <c r="AN853" s="184" t="s">
        <v>276</v>
      </c>
      <c r="AO853" s="192">
        <f t="shared" si="250"/>
        <v>1.9927536231884058</v>
      </c>
      <c r="AP853" s="184" t="s">
        <v>276</v>
      </c>
      <c r="AQ853" s="184" t="s">
        <v>276</v>
      </c>
      <c r="AR853" s="184" t="s">
        <v>276</v>
      </c>
      <c r="AS853" s="192">
        <f t="shared" si="251"/>
        <v>1.9716088328075709</v>
      </c>
      <c r="AT853" s="184" t="s">
        <v>276</v>
      </c>
      <c r="AU853" s="184" t="s">
        <v>276</v>
      </c>
      <c r="AV853" s="185" t="s">
        <v>268</v>
      </c>
      <c r="AW853" s="303" t="s">
        <v>276</v>
      </c>
      <c r="AX853" s="303">
        <f t="shared" si="252"/>
        <v>1.0107246376811594</v>
      </c>
      <c r="AY853" s="185" t="s">
        <v>276</v>
      </c>
      <c r="AZ853" s="185" t="s">
        <v>276</v>
      </c>
      <c r="BA853" s="185" t="s">
        <v>276</v>
      </c>
      <c r="BB853" s="185" t="s">
        <v>282</v>
      </c>
      <c r="BC853" s="185" t="s">
        <v>276</v>
      </c>
      <c r="BD853" s="185" t="s">
        <v>276</v>
      </c>
      <c r="BE853" s="185" t="s">
        <v>276</v>
      </c>
      <c r="BF853" s="185" t="s">
        <v>426</v>
      </c>
      <c r="BG853" s="185" t="s">
        <v>4024</v>
      </c>
      <c r="BH853" s="9" t="s">
        <v>100</v>
      </c>
      <c r="BI853" s="9" t="s">
        <v>100</v>
      </c>
      <c r="BJ853" s="193"/>
      <c r="BN853" s="193"/>
      <c r="BO853" s="193"/>
    </row>
    <row r="854" spans="1:68" s="183" customFormat="1" ht="104" hidden="1" x14ac:dyDescent="0.35">
      <c r="A854" s="175">
        <v>10966</v>
      </c>
      <c r="B854" s="176" t="s">
        <v>1011</v>
      </c>
      <c r="C854" s="176" t="s">
        <v>82</v>
      </c>
      <c r="D854" s="176" t="s">
        <v>4036</v>
      </c>
      <c r="E854" s="175" t="s">
        <v>39</v>
      </c>
      <c r="F854" s="176" t="s">
        <v>263</v>
      </c>
      <c r="G854" s="175" t="s">
        <v>262</v>
      </c>
      <c r="H854" s="175" t="s">
        <v>225</v>
      </c>
      <c r="I854" s="175" t="s">
        <v>98</v>
      </c>
      <c r="J854" s="176" t="s">
        <v>25</v>
      </c>
      <c r="K854" s="175" t="s">
        <v>1063</v>
      </c>
      <c r="L854" s="175" t="s">
        <v>276</v>
      </c>
      <c r="M854" s="175" t="s">
        <v>276</v>
      </c>
      <c r="N854" s="176" t="s">
        <v>4021</v>
      </c>
      <c r="O854" s="176" t="s">
        <v>276</v>
      </c>
      <c r="P854" s="176" t="s">
        <v>235</v>
      </c>
      <c r="Q854" s="304" t="s">
        <v>276</v>
      </c>
      <c r="R854" s="176" t="s">
        <v>752</v>
      </c>
      <c r="S854" s="176" t="s">
        <v>1015</v>
      </c>
      <c r="T854" s="176" t="s">
        <v>1015</v>
      </c>
      <c r="U854" s="176" t="s">
        <v>276</v>
      </c>
      <c r="V854" s="175" t="s">
        <v>14</v>
      </c>
      <c r="W854" s="175" t="s">
        <v>98</v>
      </c>
      <c r="X854" s="176" t="s">
        <v>208</v>
      </c>
      <c r="Y854" s="180" t="s">
        <v>98</v>
      </c>
      <c r="Z854" s="176" t="s">
        <v>98</v>
      </c>
      <c r="AA854" s="176" t="s">
        <v>276</v>
      </c>
      <c r="AB854" s="176" t="s">
        <v>276</v>
      </c>
      <c r="AC854" s="175">
        <v>12</v>
      </c>
      <c r="AD854" s="176" t="s">
        <v>4022</v>
      </c>
      <c r="AE854" s="175">
        <v>12</v>
      </c>
      <c r="AF854" s="176" t="s">
        <v>4022</v>
      </c>
      <c r="AG854" s="176" t="s">
        <v>4035</v>
      </c>
      <c r="AH854" s="176" t="s">
        <v>4037</v>
      </c>
      <c r="AI854" s="179">
        <v>99</v>
      </c>
      <c r="AJ854" s="179">
        <v>100</v>
      </c>
      <c r="AK854" s="179">
        <v>172</v>
      </c>
      <c r="AL854" s="179">
        <v>171</v>
      </c>
      <c r="AM854" s="179" t="s">
        <v>292</v>
      </c>
      <c r="AN854" s="175" t="s">
        <v>276</v>
      </c>
      <c r="AO854" s="181">
        <f t="shared" si="250"/>
        <v>57.558139534883722</v>
      </c>
      <c r="AP854" s="175" t="s">
        <v>276</v>
      </c>
      <c r="AQ854" s="175" t="s">
        <v>276</v>
      </c>
      <c r="AR854" s="175" t="s">
        <v>276</v>
      </c>
      <c r="AS854" s="181">
        <f t="shared" si="251"/>
        <v>58.479532163742689</v>
      </c>
      <c r="AT854" s="175" t="s">
        <v>276</v>
      </c>
      <c r="AU854" s="175" t="s">
        <v>276</v>
      </c>
      <c r="AV854" s="176" t="s">
        <v>268</v>
      </c>
      <c r="AW854" s="305" t="s">
        <v>276</v>
      </c>
      <c r="AX854" s="305">
        <f t="shared" si="252"/>
        <v>0.98424418604651165</v>
      </c>
      <c r="AY854" s="176" t="s">
        <v>276</v>
      </c>
      <c r="AZ854" s="176" t="s">
        <v>276</v>
      </c>
      <c r="BA854" s="176" t="s">
        <v>276</v>
      </c>
      <c r="BB854" s="176" t="s">
        <v>282</v>
      </c>
      <c r="BC854" s="176" t="s">
        <v>276</v>
      </c>
      <c r="BD854" s="176" t="s">
        <v>276</v>
      </c>
      <c r="BE854" s="176" t="s">
        <v>276</v>
      </c>
      <c r="BF854" s="176" t="s">
        <v>426</v>
      </c>
      <c r="BG854" s="176" t="s">
        <v>4024</v>
      </c>
      <c r="BH854" s="9" t="s">
        <v>100</v>
      </c>
      <c r="BI854" s="9" t="s">
        <v>100</v>
      </c>
      <c r="BJ854" s="182"/>
      <c r="BN854" s="182"/>
      <c r="BO854" s="182"/>
    </row>
    <row r="855" spans="1:68" s="194" customFormat="1" ht="65" hidden="1" x14ac:dyDescent="0.35">
      <c r="A855" s="184">
        <v>10966</v>
      </c>
      <c r="B855" s="185" t="s">
        <v>1011</v>
      </c>
      <c r="C855" s="185" t="s">
        <v>82</v>
      </c>
      <c r="D855" s="185" t="s">
        <v>4038</v>
      </c>
      <c r="E855" s="184" t="s">
        <v>39</v>
      </c>
      <c r="F855" s="185" t="s">
        <v>263</v>
      </c>
      <c r="G855" s="184" t="s">
        <v>262</v>
      </c>
      <c r="H855" s="184" t="s">
        <v>225</v>
      </c>
      <c r="I855" s="184" t="s">
        <v>98</v>
      </c>
      <c r="J855" s="185" t="s">
        <v>98</v>
      </c>
      <c r="K855" s="184" t="s">
        <v>98</v>
      </c>
      <c r="L855" s="184" t="s">
        <v>98</v>
      </c>
      <c r="M855" s="184" t="s">
        <v>98</v>
      </c>
      <c r="N855" s="185" t="s">
        <v>4021</v>
      </c>
      <c r="O855" s="185" t="s">
        <v>276</v>
      </c>
      <c r="P855" s="185" t="s">
        <v>236</v>
      </c>
      <c r="Q855" s="302" t="s">
        <v>276</v>
      </c>
      <c r="R855" s="185" t="s">
        <v>752</v>
      </c>
      <c r="S855" s="185" t="s">
        <v>1015</v>
      </c>
      <c r="T855" s="185" t="s">
        <v>1015</v>
      </c>
      <c r="U855" s="185" t="s">
        <v>276</v>
      </c>
      <c r="V855" s="184" t="s">
        <v>14</v>
      </c>
      <c r="W855" s="184" t="s">
        <v>98</v>
      </c>
      <c r="X855" s="185" t="s">
        <v>208</v>
      </c>
      <c r="Y855" s="189" t="s">
        <v>98</v>
      </c>
      <c r="Z855" s="185" t="s">
        <v>98</v>
      </c>
      <c r="AA855" s="185" t="s">
        <v>276</v>
      </c>
      <c r="AB855" s="185" t="s">
        <v>276</v>
      </c>
      <c r="AC855" s="184">
        <v>0</v>
      </c>
      <c r="AD855" s="185" t="s">
        <v>98</v>
      </c>
      <c r="AE855" s="184">
        <v>0</v>
      </c>
      <c r="AF855" s="185" t="s">
        <v>98</v>
      </c>
      <c r="AG855" s="185" t="s">
        <v>4039</v>
      </c>
      <c r="AH855" s="185" t="s">
        <v>4040</v>
      </c>
      <c r="AI855" s="188">
        <f>172-72</f>
        <v>100</v>
      </c>
      <c r="AJ855" s="188">
        <f>171-82</f>
        <v>89</v>
      </c>
      <c r="AK855" s="188">
        <v>172</v>
      </c>
      <c r="AL855" s="188">
        <v>171</v>
      </c>
      <c r="AM855" s="188" t="s">
        <v>292</v>
      </c>
      <c r="AN855" s="184" t="s">
        <v>276</v>
      </c>
      <c r="AO855" s="192">
        <f t="shared" si="250"/>
        <v>58.139534883720927</v>
      </c>
      <c r="AP855" s="184" t="s">
        <v>276</v>
      </c>
      <c r="AQ855" s="184" t="s">
        <v>276</v>
      </c>
      <c r="AR855" s="184" t="s">
        <v>276</v>
      </c>
      <c r="AS855" s="192">
        <f t="shared" si="251"/>
        <v>52.046783625730995</v>
      </c>
      <c r="AT855" s="184" t="s">
        <v>276</v>
      </c>
      <c r="AU855" s="184" t="s">
        <v>276</v>
      </c>
      <c r="AV855" s="185" t="s">
        <v>268</v>
      </c>
      <c r="AW855" s="303" t="s">
        <v>276</v>
      </c>
      <c r="AX855" s="303">
        <f t="shared" si="252"/>
        <v>1.1170629736085707</v>
      </c>
      <c r="AY855" s="185" t="s">
        <v>276</v>
      </c>
      <c r="AZ855" s="185" t="s">
        <v>276</v>
      </c>
      <c r="BA855" s="185" t="s">
        <v>276</v>
      </c>
      <c r="BB855" s="185" t="s">
        <v>282</v>
      </c>
      <c r="BC855" s="185" t="s">
        <v>276</v>
      </c>
      <c r="BD855" s="185" t="s">
        <v>276</v>
      </c>
      <c r="BE855" s="185" t="s">
        <v>276</v>
      </c>
      <c r="BF855" s="185" t="s">
        <v>1029</v>
      </c>
      <c r="BG855" s="185"/>
      <c r="BH855" s="9" t="s">
        <v>100</v>
      </c>
      <c r="BI855" s="9" t="s">
        <v>100</v>
      </c>
      <c r="BJ855" s="193"/>
      <c r="BN855" s="193"/>
      <c r="BO855" s="193"/>
    </row>
    <row r="856" spans="1:68" s="269" customFormat="1" ht="52" hidden="1" x14ac:dyDescent="0.35">
      <c r="A856" s="72">
        <v>646</v>
      </c>
      <c r="B856" s="72" t="s">
        <v>4076</v>
      </c>
      <c r="C856" s="72" t="s">
        <v>75</v>
      </c>
      <c r="D856" s="265" t="s">
        <v>4077</v>
      </c>
      <c r="E856" s="72" t="s">
        <v>39</v>
      </c>
      <c r="F856" s="73" t="s">
        <v>4043</v>
      </c>
      <c r="G856" s="73" t="s">
        <v>4044</v>
      </c>
      <c r="H856" s="72" t="s">
        <v>225</v>
      </c>
      <c r="I856" s="72" t="s">
        <v>98</v>
      </c>
      <c r="J856" s="73" t="s">
        <v>25</v>
      </c>
      <c r="K856" s="264" t="s">
        <v>4078</v>
      </c>
      <c r="L856" s="264" t="s">
        <v>276</v>
      </c>
      <c r="M856" s="264" t="s">
        <v>276</v>
      </c>
      <c r="N856" s="264" t="s">
        <v>276</v>
      </c>
      <c r="O856" s="265" t="s">
        <v>276</v>
      </c>
      <c r="P856" s="73" t="s">
        <v>239</v>
      </c>
      <c r="Q856" s="266" t="s">
        <v>3967</v>
      </c>
      <c r="R856" s="73" t="s">
        <v>4079</v>
      </c>
      <c r="S856" s="73" t="s">
        <v>276</v>
      </c>
      <c r="T856" s="73" t="s">
        <v>276</v>
      </c>
      <c r="U856" s="73">
        <v>1</v>
      </c>
      <c r="V856" s="72" t="s">
        <v>14</v>
      </c>
      <c r="W856" s="264" t="s">
        <v>98</v>
      </c>
      <c r="X856" s="265" t="s">
        <v>208</v>
      </c>
      <c r="Y856" s="74">
        <v>1276</v>
      </c>
      <c r="Z856" s="267">
        <v>1196</v>
      </c>
      <c r="AA856" s="265">
        <v>0</v>
      </c>
      <c r="AB856" s="265">
        <v>0</v>
      </c>
      <c r="AC856" s="72">
        <v>0</v>
      </c>
      <c r="AD856" s="72" t="s">
        <v>98</v>
      </c>
      <c r="AE856" s="72">
        <v>0</v>
      </c>
      <c r="AF856" s="72" t="s">
        <v>98</v>
      </c>
      <c r="AG856" s="73" t="s">
        <v>4080</v>
      </c>
      <c r="AH856" s="73" t="s">
        <v>866</v>
      </c>
      <c r="AI856" s="267">
        <v>10</v>
      </c>
      <c r="AJ856" s="267">
        <v>2</v>
      </c>
      <c r="AK856" s="267">
        <f t="shared" ref="AK856:AL864" si="259">Y856</f>
        <v>1276</v>
      </c>
      <c r="AL856" s="267">
        <f t="shared" si="259"/>
        <v>1196</v>
      </c>
      <c r="AM856" s="75" t="s">
        <v>690</v>
      </c>
      <c r="AN856" s="72" t="s">
        <v>276</v>
      </c>
      <c r="AO856" s="76">
        <f t="shared" ref="AO856:AO864" si="260">AI856*1000/AK856</f>
        <v>7.8369905956112849</v>
      </c>
      <c r="AP856" s="72" t="s">
        <v>276</v>
      </c>
      <c r="AQ856" s="72" t="s">
        <v>276</v>
      </c>
      <c r="AR856" s="72" t="s">
        <v>276</v>
      </c>
      <c r="AS856" s="76">
        <f t="shared" ref="AS856:AS864" si="261">AJ856*1000/AL856</f>
        <v>1.6722408026755853</v>
      </c>
      <c r="AT856" s="72" t="s">
        <v>276</v>
      </c>
      <c r="AU856" s="72" t="s">
        <v>276</v>
      </c>
      <c r="AV856" s="73" t="s">
        <v>268</v>
      </c>
      <c r="AW856" s="268">
        <f t="shared" ref="AW856:AW864" si="262">AO856/AS856</f>
        <v>4.6865203761755483</v>
      </c>
      <c r="AX856" s="268" t="s">
        <v>276</v>
      </c>
      <c r="AY856" s="265" t="s">
        <v>276</v>
      </c>
      <c r="AZ856" s="265" t="s">
        <v>276</v>
      </c>
      <c r="BA856" s="265" t="s">
        <v>276</v>
      </c>
      <c r="BB856" s="265" t="s">
        <v>282</v>
      </c>
      <c r="BC856" s="265" t="s">
        <v>276</v>
      </c>
      <c r="BD856" s="265" t="s">
        <v>276</v>
      </c>
      <c r="BE856" s="265" t="s">
        <v>276</v>
      </c>
      <c r="BF856" s="73" t="s">
        <v>426</v>
      </c>
      <c r="BG856" s="73" t="s">
        <v>276</v>
      </c>
      <c r="BH856" s="9" t="s">
        <v>100</v>
      </c>
      <c r="BI856" s="9" t="s">
        <v>100</v>
      </c>
      <c r="BJ856" s="78"/>
      <c r="BK856" s="79"/>
      <c r="BL856" s="79"/>
      <c r="BM856" s="79"/>
      <c r="BN856" s="78"/>
      <c r="BO856" s="78"/>
      <c r="BP856" s="79"/>
    </row>
    <row r="857" spans="1:68" s="269" customFormat="1" ht="52" hidden="1" x14ac:dyDescent="0.35">
      <c r="A857" s="72">
        <v>646</v>
      </c>
      <c r="B857" s="72" t="s">
        <v>4076</v>
      </c>
      <c r="C857" s="72" t="s">
        <v>75</v>
      </c>
      <c r="D857" s="265" t="s">
        <v>4081</v>
      </c>
      <c r="E857" s="72" t="s">
        <v>39</v>
      </c>
      <c r="F857" s="73" t="s">
        <v>4043</v>
      </c>
      <c r="G857" s="73" t="s">
        <v>4044</v>
      </c>
      <c r="H857" s="72" t="s">
        <v>225</v>
      </c>
      <c r="I857" s="72" t="s">
        <v>98</v>
      </c>
      <c r="J857" s="73" t="s">
        <v>25</v>
      </c>
      <c r="K857" s="264" t="s">
        <v>4082</v>
      </c>
      <c r="L857" s="264" t="s">
        <v>276</v>
      </c>
      <c r="M857" s="264" t="s">
        <v>276</v>
      </c>
      <c r="N857" s="264" t="s">
        <v>276</v>
      </c>
      <c r="O857" s="265" t="s">
        <v>276</v>
      </c>
      <c r="P857" s="73" t="s">
        <v>239</v>
      </c>
      <c r="Q857" s="266" t="s">
        <v>3967</v>
      </c>
      <c r="R857" s="73" t="s">
        <v>4079</v>
      </c>
      <c r="S857" s="73" t="s">
        <v>276</v>
      </c>
      <c r="T857" s="73" t="s">
        <v>276</v>
      </c>
      <c r="U857" s="73">
        <v>1</v>
      </c>
      <c r="V857" s="72" t="s">
        <v>14</v>
      </c>
      <c r="W857" s="264" t="s">
        <v>98</v>
      </c>
      <c r="X857" s="265" t="s">
        <v>208</v>
      </c>
      <c r="Y857" s="74">
        <v>1276</v>
      </c>
      <c r="Z857" s="267">
        <v>1196</v>
      </c>
      <c r="AA857" s="265">
        <v>0</v>
      </c>
      <c r="AB857" s="265">
        <v>0</v>
      </c>
      <c r="AC857" s="72">
        <v>0</v>
      </c>
      <c r="AD857" s="72" t="s">
        <v>98</v>
      </c>
      <c r="AE857" s="72">
        <v>0</v>
      </c>
      <c r="AF857" s="72" t="s">
        <v>98</v>
      </c>
      <c r="AG857" s="73" t="s">
        <v>4083</v>
      </c>
      <c r="AH857" s="73" t="s">
        <v>866</v>
      </c>
      <c r="AI857" s="267">
        <v>6</v>
      </c>
      <c r="AJ857" s="267">
        <v>2</v>
      </c>
      <c r="AK857" s="267">
        <f t="shared" si="259"/>
        <v>1276</v>
      </c>
      <c r="AL857" s="267">
        <f t="shared" si="259"/>
        <v>1196</v>
      </c>
      <c r="AM857" s="75" t="s">
        <v>690</v>
      </c>
      <c r="AN857" s="72" t="s">
        <v>276</v>
      </c>
      <c r="AO857" s="76">
        <f t="shared" si="260"/>
        <v>4.7021943573667713</v>
      </c>
      <c r="AP857" s="72" t="s">
        <v>276</v>
      </c>
      <c r="AQ857" s="72" t="s">
        <v>276</v>
      </c>
      <c r="AR857" s="72" t="s">
        <v>276</v>
      </c>
      <c r="AS857" s="76">
        <f t="shared" si="261"/>
        <v>1.6722408026755853</v>
      </c>
      <c r="AT857" s="72" t="s">
        <v>276</v>
      </c>
      <c r="AU857" s="72" t="s">
        <v>276</v>
      </c>
      <c r="AV857" s="73" t="s">
        <v>268</v>
      </c>
      <c r="AW857" s="268">
        <f t="shared" si="262"/>
        <v>2.8119122257053291</v>
      </c>
      <c r="AX857" s="268" t="s">
        <v>276</v>
      </c>
      <c r="AY857" s="265" t="s">
        <v>276</v>
      </c>
      <c r="AZ857" s="265" t="s">
        <v>276</v>
      </c>
      <c r="BA857" s="265" t="s">
        <v>276</v>
      </c>
      <c r="BB857" s="265" t="s">
        <v>282</v>
      </c>
      <c r="BC857" s="265" t="s">
        <v>276</v>
      </c>
      <c r="BD857" s="265" t="s">
        <v>276</v>
      </c>
      <c r="BE857" s="265" t="s">
        <v>276</v>
      </c>
      <c r="BF857" s="73" t="s">
        <v>426</v>
      </c>
      <c r="BG857" s="73" t="s">
        <v>276</v>
      </c>
      <c r="BH857" s="9" t="s">
        <v>100</v>
      </c>
      <c r="BI857" s="9" t="s">
        <v>100</v>
      </c>
      <c r="BJ857" s="78"/>
      <c r="BK857" s="79"/>
      <c r="BL857" s="79"/>
      <c r="BM857" s="79"/>
      <c r="BN857" s="78"/>
      <c r="BO857" s="78"/>
      <c r="BP857" s="79"/>
    </row>
    <row r="858" spans="1:68" s="269" customFormat="1" ht="52" hidden="1" x14ac:dyDescent="0.35">
      <c r="A858" s="72">
        <v>646</v>
      </c>
      <c r="B858" s="72" t="s">
        <v>4076</v>
      </c>
      <c r="C858" s="72" t="s">
        <v>75</v>
      </c>
      <c r="D858" s="265" t="s">
        <v>4084</v>
      </c>
      <c r="E858" s="72" t="s">
        <v>39</v>
      </c>
      <c r="F858" s="73" t="s">
        <v>4043</v>
      </c>
      <c r="G858" s="73" t="s">
        <v>4044</v>
      </c>
      <c r="H858" s="72" t="s">
        <v>225</v>
      </c>
      <c r="I858" s="72" t="s">
        <v>98</v>
      </c>
      <c r="J858" s="73" t="s">
        <v>25</v>
      </c>
      <c r="K858" s="264" t="s">
        <v>1499</v>
      </c>
      <c r="L858" s="264" t="s">
        <v>276</v>
      </c>
      <c r="M858" s="264" t="s">
        <v>276</v>
      </c>
      <c r="N858" s="264" t="s">
        <v>276</v>
      </c>
      <c r="O858" s="265" t="s">
        <v>276</v>
      </c>
      <c r="P858" s="73" t="s">
        <v>239</v>
      </c>
      <c r="Q858" s="266" t="s">
        <v>3967</v>
      </c>
      <c r="R858" s="73" t="s">
        <v>4079</v>
      </c>
      <c r="S858" s="73" t="s">
        <v>276</v>
      </c>
      <c r="T858" s="73" t="s">
        <v>276</v>
      </c>
      <c r="U858" s="73">
        <v>1</v>
      </c>
      <c r="V858" s="72" t="s">
        <v>14</v>
      </c>
      <c r="W858" s="264" t="s">
        <v>98</v>
      </c>
      <c r="X858" s="265" t="s">
        <v>208</v>
      </c>
      <c r="Y858" s="74">
        <v>1276</v>
      </c>
      <c r="Z858" s="267">
        <v>1196</v>
      </c>
      <c r="AA858" s="265">
        <v>0</v>
      </c>
      <c r="AB858" s="265">
        <v>0</v>
      </c>
      <c r="AC858" s="72">
        <v>0</v>
      </c>
      <c r="AD858" s="72" t="s">
        <v>98</v>
      </c>
      <c r="AE858" s="72">
        <v>0</v>
      </c>
      <c r="AF858" s="72" t="s">
        <v>98</v>
      </c>
      <c r="AG858" s="73" t="s">
        <v>4085</v>
      </c>
      <c r="AH858" s="73" t="s">
        <v>866</v>
      </c>
      <c r="AI858" s="267">
        <f>AI856+AI857</f>
        <v>16</v>
      </c>
      <c r="AJ858" s="267">
        <f>AJ856+AJ857</f>
        <v>4</v>
      </c>
      <c r="AK858" s="267">
        <f t="shared" si="259"/>
        <v>1276</v>
      </c>
      <c r="AL858" s="267">
        <f t="shared" si="259"/>
        <v>1196</v>
      </c>
      <c r="AM858" s="75" t="s">
        <v>690</v>
      </c>
      <c r="AN858" s="72" t="s">
        <v>276</v>
      </c>
      <c r="AO858" s="76">
        <f t="shared" si="260"/>
        <v>12.539184952978056</v>
      </c>
      <c r="AP858" s="72" t="s">
        <v>276</v>
      </c>
      <c r="AQ858" s="72" t="s">
        <v>276</v>
      </c>
      <c r="AR858" s="72" t="s">
        <v>276</v>
      </c>
      <c r="AS858" s="76">
        <f t="shared" si="261"/>
        <v>3.3444816053511706</v>
      </c>
      <c r="AT858" s="72" t="s">
        <v>276</v>
      </c>
      <c r="AU858" s="72" t="s">
        <v>276</v>
      </c>
      <c r="AV858" s="73" t="s">
        <v>268</v>
      </c>
      <c r="AW858" s="268">
        <f t="shared" si="262"/>
        <v>3.7492163009404389</v>
      </c>
      <c r="AX858" s="268" t="s">
        <v>276</v>
      </c>
      <c r="AY858" s="265" t="s">
        <v>276</v>
      </c>
      <c r="AZ858" s="265" t="s">
        <v>276</v>
      </c>
      <c r="BA858" s="265" t="s">
        <v>276</v>
      </c>
      <c r="BB858" s="265" t="s">
        <v>282</v>
      </c>
      <c r="BC858" s="265" t="s">
        <v>276</v>
      </c>
      <c r="BD858" s="265" t="s">
        <v>276</v>
      </c>
      <c r="BE858" s="265" t="s">
        <v>276</v>
      </c>
      <c r="BF858" s="73" t="s">
        <v>4086</v>
      </c>
      <c r="BG858" s="73" t="s">
        <v>276</v>
      </c>
      <c r="BH858" s="9" t="s">
        <v>100</v>
      </c>
      <c r="BI858" s="9" t="s">
        <v>100</v>
      </c>
      <c r="BJ858" s="78"/>
      <c r="BK858" s="79"/>
      <c r="BL858" s="79"/>
      <c r="BM858" s="79"/>
      <c r="BN858" s="78"/>
      <c r="BO858" s="78"/>
      <c r="BP858" s="79"/>
    </row>
    <row r="859" spans="1:68" s="6" customFormat="1" ht="52" hidden="1" x14ac:dyDescent="0.35">
      <c r="A859" s="8">
        <v>646</v>
      </c>
      <c r="B859" s="8" t="s">
        <v>4076</v>
      </c>
      <c r="C859" s="8" t="s">
        <v>75</v>
      </c>
      <c r="D859" s="10" t="s">
        <v>4087</v>
      </c>
      <c r="E859" s="8" t="s">
        <v>39</v>
      </c>
      <c r="F859" s="9" t="s">
        <v>4043</v>
      </c>
      <c r="G859" s="9" t="s">
        <v>4044</v>
      </c>
      <c r="H859" s="8" t="s">
        <v>225</v>
      </c>
      <c r="I859" s="8" t="s">
        <v>98</v>
      </c>
      <c r="J859" s="9" t="s">
        <v>25</v>
      </c>
      <c r="K859" s="2" t="s">
        <v>4088</v>
      </c>
      <c r="L859" s="2" t="s">
        <v>276</v>
      </c>
      <c r="M859" s="2" t="s">
        <v>276</v>
      </c>
      <c r="N859" s="2" t="s">
        <v>276</v>
      </c>
      <c r="O859" s="10" t="s">
        <v>276</v>
      </c>
      <c r="P859" s="9" t="s">
        <v>239</v>
      </c>
      <c r="Q859" s="36" t="s">
        <v>3967</v>
      </c>
      <c r="R859" s="9" t="s">
        <v>4079</v>
      </c>
      <c r="S859" s="9" t="s">
        <v>276</v>
      </c>
      <c r="T859" s="9" t="s">
        <v>276</v>
      </c>
      <c r="U859" s="9">
        <v>1</v>
      </c>
      <c r="V859" s="8" t="s">
        <v>14</v>
      </c>
      <c r="W859" s="2" t="s">
        <v>98</v>
      </c>
      <c r="X859" s="10" t="s">
        <v>208</v>
      </c>
      <c r="Y859" s="13">
        <v>1276</v>
      </c>
      <c r="Z859" s="34">
        <v>1196</v>
      </c>
      <c r="AA859" s="10">
        <v>0</v>
      </c>
      <c r="AB859" s="10">
        <v>0</v>
      </c>
      <c r="AC859" s="8">
        <v>0</v>
      </c>
      <c r="AD859" s="8" t="s">
        <v>98</v>
      </c>
      <c r="AE859" s="8">
        <v>0</v>
      </c>
      <c r="AF859" s="8" t="s">
        <v>98</v>
      </c>
      <c r="AG859" s="9" t="s">
        <v>4089</v>
      </c>
      <c r="AH859" s="9" t="s">
        <v>866</v>
      </c>
      <c r="AI859" s="34">
        <v>2</v>
      </c>
      <c r="AJ859" s="34">
        <v>0</v>
      </c>
      <c r="AK859" s="34">
        <f t="shared" si="259"/>
        <v>1276</v>
      </c>
      <c r="AL859" s="34">
        <f t="shared" si="259"/>
        <v>1196</v>
      </c>
      <c r="AM859" s="38" t="s">
        <v>690</v>
      </c>
      <c r="AN859" s="8" t="s">
        <v>276</v>
      </c>
      <c r="AO859" s="14">
        <f t="shared" si="260"/>
        <v>1.567398119122257</v>
      </c>
      <c r="AP859" s="8" t="s">
        <v>276</v>
      </c>
      <c r="AQ859" s="8" t="s">
        <v>276</v>
      </c>
      <c r="AR859" s="8" t="s">
        <v>276</v>
      </c>
      <c r="AS859" s="14">
        <f t="shared" si="261"/>
        <v>0</v>
      </c>
      <c r="AT859" s="8" t="s">
        <v>276</v>
      </c>
      <c r="AU859" s="8" t="s">
        <v>276</v>
      </c>
      <c r="AV859" s="9" t="s">
        <v>268</v>
      </c>
      <c r="AW859" s="35" t="e">
        <f t="shared" si="262"/>
        <v>#DIV/0!</v>
      </c>
      <c r="AX859" s="35" t="s">
        <v>276</v>
      </c>
      <c r="AY859" s="10" t="s">
        <v>276</v>
      </c>
      <c r="AZ859" s="10" t="s">
        <v>276</v>
      </c>
      <c r="BA859" s="10" t="s">
        <v>276</v>
      </c>
      <c r="BB859" s="10" t="s">
        <v>282</v>
      </c>
      <c r="BC859" s="10" t="s">
        <v>276</v>
      </c>
      <c r="BD859" s="10" t="s">
        <v>276</v>
      </c>
      <c r="BE859" s="10" t="s">
        <v>276</v>
      </c>
      <c r="BF859" s="9" t="s">
        <v>426</v>
      </c>
      <c r="BG859" s="9" t="s">
        <v>276</v>
      </c>
      <c r="BH859" s="9" t="s">
        <v>100</v>
      </c>
      <c r="BI859" s="9" t="s">
        <v>100</v>
      </c>
      <c r="BJ859" s="32"/>
      <c r="BK859" s="33"/>
      <c r="BL859" s="33"/>
      <c r="BM859" s="33"/>
      <c r="BN859" s="32"/>
      <c r="BO859" s="32"/>
      <c r="BP859" s="33"/>
    </row>
    <row r="860" spans="1:68" s="6" customFormat="1" ht="52" hidden="1" x14ac:dyDescent="0.35">
      <c r="A860" s="8">
        <v>646</v>
      </c>
      <c r="B860" s="8" t="s">
        <v>4076</v>
      </c>
      <c r="C860" s="8" t="s">
        <v>75</v>
      </c>
      <c r="D860" s="10" t="s">
        <v>4090</v>
      </c>
      <c r="E860" s="8" t="s">
        <v>39</v>
      </c>
      <c r="F860" s="9" t="s">
        <v>4043</v>
      </c>
      <c r="G860" s="9" t="s">
        <v>4044</v>
      </c>
      <c r="H860" s="8" t="s">
        <v>225</v>
      </c>
      <c r="I860" s="8" t="s">
        <v>98</v>
      </c>
      <c r="J860" s="9" t="s">
        <v>25</v>
      </c>
      <c r="K860" s="2" t="s">
        <v>4091</v>
      </c>
      <c r="L860" s="2" t="s">
        <v>276</v>
      </c>
      <c r="M860" s="2" t="s">
        <v>276</v>
      </c>
      <c r="N860" s="2" t="s">
        <v>276</v>
      </c>
      <c r="O860" s="10" t="s">
        <v>276</v>
      </c>
      <c r="P860" s="9" t="s">
        <v>239</v>
      </c>
      <c r="Q860" s="36" t="s">
        <v>3967</v>
      </c>
      <c r="R860" s="9" t="s">
        <v>4079</v>
      </c>
      <c r="S860" s="9" t="s">
        <v>276</v>
      </c>
      <c r="T860" s="9" t="s">
        <v>276</v>
      </c>
      <c r="U860" s="9">
        <v>1</v>
      </c>
      <c r="V860" s="8" t="s">
        <v>14</v>
      </c>
      <c r="W860" s="2" t="s">
        <v>98</v>
      </c>
      <c r="X860" s="10" t="s">
        <v>208</v>
      </c>
      <c r="Y860" s="13">
        <v>1276</v>
      </c>
      <c r="Z860" s="34">
        <v>1196</v>
      </c>
      <c r="AA860" s="10">
        <v>0</v>
      </c>
      <c r="AB860" s="10">
        <v>0</v>
      </c>
      <c r="AC860" s="8">
        <v>0</v>
      </c>
      <c r="AD860" s="8" t="s">
        <v>98</v>
      </c>
      <c r="AE860" s="8">
        <v>0</v>
      </c>
      <c r="AF860" s="8" t="s">
        <v>98</v>
      </c>
      <c r="AG860" s="9" t="s">
        <v>4092</v>
      </c>
      <c r="AH860" s="9" t="s">
        <v>866</v>
      </c>
      <c r="AI860" s="34">
        <v>1</v>
      </c>
      <c r="AJ860" s="34">
        <v>1</v>
      </c>
      <c r="AK860" s="34">
        <f t="shared" si="259"/>
        <v>1276</v>
      </c>
      <c r="AL860" s="34">
        <f t="shared" si="259"/>
        <v>1196</v>
      </c>
      <c r="AM860" s="38" t="s">
        <v>690</v>
      </c>
      <c r="AN860" s="8" t="s">
        <v>276</v>
      </c>
      <c r="AO860" s="14">
        <f t="shared" si="260"/>
        <v>0.78369905956112851</v>
      </c>
      <c r="AP860" s="8" t="s">
        <v>276</v>
      </c>
      <c r="AQ860" s="8" t="s">
        <v>276</v>
      </c>
      <c r="AR860" s="8" t="s">
        <v>276</v>
      </c>
      <c r="AS860" s="14">
        <f t="shared" si="261"/>
        <v>0.83612040133779264</v>
      </c>
      <c r="AT860" s="8" t="s">
        <v>276</v>
      </c>
      <c r="AU860" s="8" t="s">
        <v>276</v>
      </c>
      <c r="AV860" s="9" t="s">
        <v>268</v>
      </c>
      <c r="AW860" s="35">
        <f t="shared" si="262"/>
        <v>0.93730407523510972</v>
      </c>
      <c r="AX860" s="35" t="s">
        <v>276</v>
      </c>
      <c r="AY860" s="10" t="s">
        <v>276</v>
      </c>
      <c r="AZ860" s="10" t="s">
        <v>276</v>
      </c>
      <c r="BA860" s="10" t="s">
        <v>276</v>
      </c>
      <c r="BB860" s="10" t="s">
        <v>282</v>
      </c>
      <c r="BC860" s="10" t="s">
        <v>276</v>
      </c>
      <c r="BD860" s="10" t="s">
        <v>276</v>
      </c>
      <c r="BE860" s="10" t="s">
        <v>276</v>
      </c>
      <c r="BF860" s="9" t="s">
        <v>426</v>
      </c>
      <c r="BG860" s="9" t="s">
        <v>276</v>
      </c>
      <c r="BH860" s="9" t="s">
        <v>100</v>
      </c>
      <c r="BI860" s="9" t="s">
        <v>100</v>
      </c>
      <c r="BJ860" s="32"/>
      <c r="BK860" s="33"/>
      <c r="BL860" s="33"/>
      <c r="BM860" s="33"/>
      <c r="BN860" s="32"/>
      <c r="BO860" s="32"/>
      <c r="BP860" s="33"/>
    </row>
    <row r="861" spans="1:68" s="269" customFormat="1" ht="52" hidden="1" x14ac:dyDescent="0.35">
      <c r="A861" s="72">
        <v>646</v>
      </c>
      <c r="B861" s="72" t="s">
        <v>4076</v>
      </c>
      <c r="C861" s="72" t="s">
        <v>75</v>
      </c>
      <c r="D861" s="265" t="s">
        <v>4093</v>
      </c>
      <c r="E861" s="72" t="s">
        <v>39</v>
      </c>
      <c r="F861" s="73" t="s">
        <v>4043</v>
      </c>
      <c r="G861" s="73" t="s">
        <v>4044</v>
      </c>
      <c r="H861" s="72" t="s">
        <v>225</v>
      </c>
      <c r="I861" s="72" t="s">
        <v>98</v>
      </c>
      <c r="J861" s="73" t="s">
        <v>25</v>
      </c>
      <c r="K861" s="264" t="s">
        <v>4094</v>
      </c>
      <c r="L861" s="264" t="s">
        <v>276</v>
      </c>
      <c r="M861" s="264" t="s">
        <v>276</v>
      </c>
      <c r="N861" s="264" t="s">
        <v>276</v>
      </c>
      <c r="O861" s="265" t="s">
        <v>276</v>
      </c>
      <c r="P861" s="73" t="s">
        <v>239</v>
      </c>
      <c r="Q861" s="266" t="s">
        <v>3967</v>
      </c>
      <c r="R861" s="73" t="s">
        <v>4079</v>
      </c>
      <c r="S861" s="73" t="s">
        <v>276</v>
      </c>
      <c r="T861" s="73" t="s">
        <v>276</v>
      </c>
      <c r="U861" s="73">
        <v>1</v>
      </c>
      <c r="V861" s="72" t="s">
        <v>14</v>
      </c>
      <c r="W861" s="264" t="s">
        <v>98</v>
      </c>
      <c r="X861" s="265" t="s">
        <v>208</v>
      </c>
      <c r="Y861" s="74">
        <v>1276</v>
      </c>
      <c r="Z861" s="267">
        <v>1196</v>
      </c>
      <c r="AA861" s="265">
        <v>0</v>
      </c>
      <c r="AB861" s="265">
        <v>0</v>
      </c>
      <c r="AC861" s="72">
        <v>0</v>
      </c>
      <c r="AD861" s="72" t="s">
        <v>98</v>
      </c>
      <c r="AE861" s="72">
        <v>0</v>
      </c>
      <c r="AF861" s="72" t="s">
        <v>98</v>
      </c>
      <c r="AG861" s="73" t="s">
        <v>4095</v>
      </c>
      <c r="AH861" s="73" t="s">
        <v>866</v>
      </c>
      <c r="AI861" s="267">
        <v>3</v>
      </c>
      <c r="AJ861" s="267">
        <v>1</v>
      </c>
      <c r="AK861" s="267">
        <f t="shared" si="259"/>
        <v>1276</v>
      </c>
      <c r="AL861" s="267">
        <f t="shared" si="259"/>
        <v>1196</v>
      </c>
      <c r="AM861" s="75" t="s">
        <v>690</v>
      </c>
      <c r="AN861" s="72" t="s">
        <v>276</v>
      </c>
      <c r="AO861" s="76">
        <f t="shared" si="260"/>
        <v>2.3510971786833856</v>
      </c>
      <c r="AP861" s="72" t="s">
        <v>276</v>
      </c>
      <c r="AQ861" s="72" t="s">
        <v>276</v>
      </c>
      <c r="AR861" s="72" t="s">
        <v>276</v>
      </c>
      <c r="AS861" s="76">
        <f t="shared" si="261"/>
        <v>0.83612040133779264</v>
      </c>
      <c r="AT861" s="72" t="s">
        <v>276</v>
      </c>
      <c r="AU861" s="72" t="s">
        <v>276</v>
      </c>
      <c r="AV861" s="73" t="s">
        <v>268</v>
      </c>
      <c r="AW861" s="268">
        <f t="shared" si="262"/>
        <v>2.8119122257053291</v>
      </c>
      <c r="AX861" s="268" t="s">
        <v>276</v>
      </c>
      <c r="AY861" s="265" t="s">
        <v>276</v>
      </c>
      <c r="AZ861" s="265" t="s">
        <v>276</v>
      </c>
      <c r="BA861" s="265" t="s">
        <v>276</v>
      </c>
      <c r="BB861" s="265" t="s">
        <v>282</v>
      </c>
      <c r="BC861" s="265" t="s">
        <v>276</v>
      </c>
      <c r="BD861" s="265" t="s">
        <v>276</v>
      </c>
      <c r="BE861" s="265" t="s">
        <v>276</v>
      </c>
      <c r="BF861" s="73" t="s">
        <v>426</v>
      </c>
      <c r="BG861" s="73" t="s">
        <v>276</v>
      </c>
      <c r="BH861" s="9" t="s">
        <v>100</v>
      </c>
      <c r="BI861" s="9" t="s">
        <v>100</v>
      </c>
      <c r="BJ861" s="78"/>
      <c r="BK861" s="79"/>
      <c r="BL861" s="79"/>
      <c r="BM861" s="79"/>
      <c r="BN861" s="78"/>
      <c r="BO861" s="78"/>
      <c r="BP861" s="79"/>
    </row>
    <row r="862" spans="1:68" s="269" customFormat="1" ht="52" hidden="1" x14ac:dyDescent="0.35">
      <c r="A862" s="72">
        <v>646</v>
      </c>
      <c r="B862" s="72" t="s">
        <v>4076</v>
      </c>
      <c r="C862" s="72" t="s">
        <v>75</v>
      </c>
      <c r="D862" s="265" t="s">
        <v>4096</v>
      </c>
      <c r="E862" s="72" t="s">
        <v>39</v>
      </c>
      <c r="F862" s="73" t="s">
        <v>4043</v>
      </c>
      <c r="G862" s="73" t="s">
        <v>4044</v>
      </c>
      <c r="H862" s="72" t="s">
        <v>225</v>
      </c>
      <c r="I862" s="72" t="s">
        <v>98</v>
      </c>
      <c r="J862" s="73" t="s">
        <v>25</v>
      </c>
      <c r="K862" s="264" t="s">
        <v>4097</v>
      </c>
      <c r="L862" s="264" t="s">
        <v>276</v>
      </c>
      <c r="M862" s="264" t="s">
        <v>276</v>
      </c>
      <c r="N862" s="264" t="s">
        <v>276</v>
      </c>
      <c r="O862" s="265" t="s">
        <v>276</v>
      </c>
      <c r="P862" s="73" t="s">
        <v>239</v>
      </c>
      <c r="Q862" s="266" t="s">
        <v>3967</v>
      </c>
      <c r="R862" s="73" t="s">
        <v>4079</v>
      </c>
      <c r="S862" s="73" t="s">
        <v>276</v>
      </c>
      <c r="T862" s="73" t="s">
        <v>276</v>
      </c>
      <c r="U862" s="73">
        <v>1</v>
      </c>
      <c r="V862" s="72" t="s">
        <v>14</v>
      </c>
      <c r="W862" s="264" t="s">
        <v>98</v>
      </c>
      <c r="X862" s="265" t="s">
        <v>208</v>
      </c>
      <c r="Y862" s="74">
        <v>1276</v>
      </c>
      <c r="Z862" s="267">
        <v>1196</v>
      </c>
      <c r="AA862" s="265">
        <v>0</v>
      </c>
      <c r="AB862" s="265">
        <v>0</v>
      </c>
      <c r="AC862" s="72">
        <v>0</v>
      </c>
      <c r="AD862" s="72" t="s">
        <v>98</v>
      </c>
      <c r="AE862" s="72">
        <v>0</v>
      </c>
      <c r="AF862" s="72" t="s">
        <v>98</v>
      </c>
      <c r="AG862" s="73" t="s">
        <v>4098</v>
      </c>
      <c r="AH862" s="73" t="s">
        <v>866</v>
      </c>
      <c r="AI862" s="267">
        <v>2</v>
      </c>
      <c r="AJ862" s="267">
        <v>0</v>
      </c>
      <c r="AK862" s="267">
        <f t="shared" si="259"/>
        <v>1276</v>
      </c>
      <c r="AL862" s="267">
        <f t="shared" si="259"/>
        <v>1196</v>
      </c>
      <c r="AM862" s="75" t="s">
        <v>690</v>
      </c>
      <c r="AN862" s="72" t="s">
        <v>276</v>
      </c>
      <c r="AO862" s="76">
        <f t="shared" si="260"/>
        <v>1.567398119122257</v>
      </c>
      <c r="AP862" s="72" t="s">
        <v>276</v>
      </c>
      <c r="AQ862" s="72" t="s">
        <v>276</v>
      </c>
      <c r="AR862" s="72" t="s">
        <v>276</v>
      </c>
      <c r="AS862" s="76">
        <f t="shared" si="261"/>
        <v>0</v>
      </c>
      <c r="AT862" s="72" t="s">
        <v>276</v>
      </c>
      <c r="AU862" s="72" t="s">
        <v>276</v>
      </c>
      <c r="AV862" s="73" t="s">
        <v>268</v>
      </c>
      <c r="AW862" s="268" t="e">
        <f t="shared" si="262"/>
        <v>#DIV/0!</v>
      </c>
      <c r="AX862" s="268" t="s">
        <v>276</v>
      </c>
      <c r="AY862" s="265" t="s">
        <v>276</v>
      </c>
      <c r="AZ862" s="265" t="s">
        <v>276</v>
      </c>
      <c r="BA862" s="265" t="s">
        <v>276</v>
      </c>
      <c r="BB862" s="265" t="s">
        <v>282</v>
      </c>
      <c r="BC862" s="265" t="s">
        <v>276</v>
      </c>
      <c r="BD862" s="265" t="s">
        <v>276</v>
      </c>
      <c r="BE862" s="265" t="s">
        <v>276</v>
      </c>
      <c r="BF862" s="73" t="s">
        <v>426</v>
      </c>
      <c r="BG862" s="73"/>
      <c r="BH862" s="9" t="s">
        <v>100</v>
      </c>
      <c r="BI862" s="9" t="s">
        <v>100</v>
      </c>
      <c r="BJ862" s="78"/>
      <c r="BK862" s="79"/>
      <c r="BL862" s="79"/>
      <c r="BM862" s="79"/>
      <c r="BN862" s="78"/>
      <c r="BO862" s="78"/>
      <c r="BP862" s="79"/>
    </row>
    <row r="863" spans="1:68" s="6" customFormat="1" ht="52" hidden="1" x14ac:dyDescent="0.35">
      <c r="A863" s="8">
        <v>646</v>
      </c>
      <c r="B863" s="8" t="s">
        <v>4076</v>
      </c>
      <c r="C863" s="8" t="s">
        <v>75</v>
      </c>
      <c r="D863" s="10" t="s">
        <v>4099</v>
      </c>
      <c r="E863" s="8" t="s">
        <v>39</v>
      </c>
      <c r="F863" s="9" t="s">
        <v>4043</v>
      </c>
      <c r="G863" s="9" t="s">
        <v>4044</v>
      </c>
      <c r="H863" s="8" t="s">
        <v>225</v>
      </c>
      <c r="I863" s="8" t="s">
        <v>98</v>
      </c>
      <c r="J863" s="9" t="s">
        <v>25</v>
      </c>
      <c r="K863" s="2" t="s">
        <v>1516</v>
      </c>
      <c r="L863" s="2" t="s">
        <v>276</v>
      </c>
      <c r="M863" s="2" t="s">
        <v>276</v>
      </c>
      <c r="N863" s="2" t="s">
        <v>276</v>
      </c>
      <c r="O863" s="10" t="s">
        <v>276</v>
      </c>
      <c r="P863" s="9" t="s">
        <v>239</v>
      </c>
      <c r="Q863" s="36" t="s">
        <v>3967</v>
      </c>
      <c r="R863" s="9" t="s">
        <v>4079</v>
      </c>
      <c r="S863" s="9" t="s">
        <v>276</v>
      </c>
      <c r="T863" s="9" t="s">
        <v>276</v>
      </c>
      <c r="U863" s="9">
        <v>1</v>
      </c>
      <c r="V863" s="8" t="s">
        <v>14</v>
      </c>
      <c r="W863" s="2" t="s">
        <v>98</v>
      </c>
      <c r="X863" s="10" t="s">
        <v>208</v>
      </c>
      <c r="Y863" s="13">
        <v>1276</v>
      </c>
      <c r="Z863" s="34">
        <v>1196</v>
      </c>
      <c r="AA863" s="10">
        <v>0</v>
      </c>
      <c r="AB863" s="10">
        <v>0</v>
      </c>
      <c r="AC863" s="8">
        <v>0</v>
      </c>
      <c r="AD863" s="8" t="s">
        <v>98</v>
      </c>
      <c r="AE863" s="8">
        <v>0</v>
      </c>
      <c r="AF863" s="8" t="s">
        <v>98</v>
      </c>
      <c r="AG863" s="9" t="s">
        <v>4100</v>
      </c>
      <c r="AH863" s="9" t="s">
        <v>866</v>
      </c>
      <c r="AI863" s="34">
        <v>4</v>
      </c>
      <c r="AJ863" s="34">
        <v>2</v>
      </c>
      <c r="AK863" s="34">
        <f t="shared" ref="AK863" si="263">Y863</f>
        <v>1276</v>
      </c>
      <c r="AL863" s="34">
        <f t="shared" ref="AL863" si="264">Z863</f>
        <v>1196</v>
      </c>
      <c r="AM863" s="38" t="s">
        <v>690</v>
      </c>
      <c r="AN863" s="8" t="s">
        <v>276</v>
      </c>
      <c r="AO863" s="14">
        <f t="shared" ref="AO863" si="265">AI863*1000/AK863</f>
        <v>3.134796238244514</v>
      </c>
      <c r="AP863" s="8" t="s">
        <v>276</v>
      </c>
      <c r="AQ863" s="8" t="s">
        <v>276</v>
      </c>
      <c r="AR863" s="8" t="s">
        <v>276</v>
      </c>
      <c r="AS863" s="14">
        <f t="shared" ref="AS863" si="266">AJ863*1000/AL863</f>
        <v>1.6722408026755853</v>
      </c>
      <c r="AT863" s="8" t="s">
        <v>276</v>
      </c>
      <c r="AU863" s="8" t="s">
        <v>276</v>
      </c>
      <c r="AV863" s="9" t="s">
        <v>268</v>
      </c>
      <c r="AW863" s="35">
        <f t="shared" ref="AW863" si="267">AO863/AS863</f>
        <v>1.8746081504702194</v>
      </c>
      <c r="AX863" s="35" t="s">
        <v>276</v>
      </c>
      <c r="AY863" s="10" t="s">
        <v>276</v>
      </c>
      <c r="AZ863" s="10" t="s">
        <v>276</v>
      </c>
      <c r="BA863" s="10" t="s">
        <v>276</v>
      </c>
      <c r="BB863" s="10" t="s">
        <v>282</v>
      </c>
      <c r="BC863" s="10" t="s">
        <v>276</v>
      </c>
      <c r="BD863" s="10" t="s">
        <v>276</v>
      </c>
      <c r="BE863" s="10" t="s">
        <v>276</v>
      </c>
      <c r="BF863" s="9" t="s">
        <v>426</v>
      </c>
      <c r="BG863" s="9" t="s">
        <v>276</v>
      </c>
      <c r="BH863" s="9" t="s">
        <v>100</v>
      </c>
      <c r="BI863" s="9" t="s">
        <v>100</v>
      </c>
      <c r="BJ863" s="32"/>
      <c r="BK863" s="33"/>
      <c r="BL863" s="33"/>
      <c r="BM863" s="33"/>
      <c r="BN863" s="32"/>
      <c r="BO863" s="32"/>
      <c r="BP863" s="33"/>
    </row>
    <row r="864" spans="1:68" s="6" customFormat="1" ht="52" hidden="1" x14ac:dyDescent="0.35">
      <c r="A864" s="8">
        <v>646</v>
      </c>
      <c r="B864" s="8" t="s">
        <v>4076</v>
      </c>
      <c r="C864" s="8" t="s">
        <v>75</v>
      </c>
      <c r="D864" s="10" t="s">
        <v>11576</v>
      </c>
      <c r="E864" s="8" t="s">
        <v>39</v>
      </c>
      <c r="F864" s="9" t="s">
        <v>4043</v>
      </c>
      <c r="G864" s="9" t="s">
        <v>4044</v>
      </c>
      <c r="H864" s="8" t="s">
        <v>225</v>
      </c>
      <c r="I864" s="8" t="s">
        <v>98</v>
      </c>
      <c r="J864" s="9" t="s">
        <v>25</v>
      </c>
      <c r="K864" s="2" t="s">
        <v>1519</v>
      </c>
      <c r="L864" s="2" t="s">
        <v>276</v>
      </c>
      <c r="M864" s="2" t="s">
        <v>276</v>
      </c>
      <c r="N864" s="2" t="s">
        <v>276</v>
      </c>
      <c r="O864" s="10" t="s">
        <v>276</v>
      </c>
      <c r="P864" s="9" t="s">
        <v>239</v>
      </c>
      <c r="Q864" s="36" t="s">
        <v>3967</v>
      </c>
      <c r="R864" s="9" t="s">
        <v>4079</v>
      </c>
      <c r="S864" s="9" t="s">
        <v>276</v>
      </c>
      <c r="T864" s="9" t="s">
        <v>276</v>
      </c>
      <c r="U864" s="9">
        <v>1</v>
      </c>
      <c r="V864" s="8" t="s">
        <v>14</v>
      </c>
      <c r="W864" s="2" t="s">
        <v>98</v>
      </c>
      <c r="X864" s="10" t="s">
        <v>208</v>
      </c>
      <c r="Y864" s="13">
        <v>1276</v>
      </c>
      <c r="Z864" s="34">
        <v>1196</v>
      </c>
      <c r="AA864" s="10">
        <v>0</v>
      </c>
      <c r="AB864" s="10">
        <v>0</v>
      </c>
      <c r="AC864" s="8">
        <v>0</v>
      </c>
      <c r="AD864" s="8" t="s">
        <v>98</v>
      </c>
      <c r="AE864" s="8">
        <v>0</v>
      </c>
      <c r="AF864" s="8" t="s">
        <v>98</v>
      </c>
      <c r="AG864" s="9" t="s">
        <v>11577</v>
      </c>
      <c r="AH864" s="9" t="s">
        <v>866</v>
      </c>
      <c r="AI864" s="34">
        <f>4+3+2</f>
        <v>9</v>
      </c>
      <c r="AJ864" s="34">
        <f>2+1</f>
        <v>3</v>
      </c>
      <c r="AK864" s="34">
        <f t="shared" si="259"/>
        <v>1276</v>
      </c>
      <c r="AL864" s="34">
        <f t="shared" si="259"/>
        <v>1196</v>
      </c>
      <c r="AM864" s="38" t="s">
        <v>690</v>
      </c>
      <c r="AN864" s="8" t="s">
        <v>276</v>
      </c>
      <c r="AO864" s="14">
        <f t="shared" si="260"/>
        <v>7.0532915360501569</v>
      </c>
      <c r="AP864" s="8" t="s">
        <v>276</v>
      </c>
      <c r="AQ864" s="8" t="s">
        <v>276</v>
      </c>
      <c r="AR864" s="8" t="s">
        <v>276</v>
      </c>
      <c r="AS864" s="14">
        <f t="shared" si="261"/>
        <v>2.508361204013378</v>
      </c>
      <c r="AT864" s="8" t="s">
        <v>276</v>
      </c>
      <c r="AU864" s="8" t="s">
        <v>276</v>
      </c>
      <c r="AV864" s="9" t="s">
        <v>268</v>
      </c>
      <c r="AW864" s="35">
        <f t="shared" si="262"/>
        <v>2.8119122257053291</v>
      </c>
      <c r="AX864" s="35" t="s">
        <v>276</v>
      </c>
      <c r="AY864" s="10" t="s">
        <v>276</v>
      </c>
      <c r="AZ864" s="10" t="s">
        <v>276</v>
      </c>
      <c r="BA864" s="10" t="s">
        <v>276</v>
      </c>
      <c r="BB864" s="10" t="s">
        <v>282</v>
      </c>
      <c r="BC864" s="10" t="s">
        <v>276</v>
      </c>
      <c r="BD864" s="10" t="s">
        <v>276</v>
      </c>
      <c r="BE864" s="10" t="s">
        <v>276</v>
      </c>
      <c r="BF864" s="9" t="s">
        <v>426</v>
      </c>
      <c r="BG864" s="9" t="s">
        <v>276</v>
      </c>
      <c r="BH864" s="9" t="s">
        <v>100</v>
      </c>
      <c r="BI864" s="9" t="s">
        <v>100</v>
      </c>
      <c r="BJ864" s="32"/>
      <c r="BK864" s="33"/>
      <c r="BL864" s="33"/>
      <c r="BM864" s="33"/>
      <c r="BN864" s="32"/>
      <c r="BO864" s="32"/>
      <c r="BP864" s="33"/>
    </row>
    <row r="865" spans="1:68" s="269" customFormat="1" ht="52" hidden="1" x14ac:dyDescent="0.35">
      <c r="A865" s="72">
        <v>646</v>
      </c>
      <c r="B865" s="72" t="s">
        <v>4076</v>
      </c>
      <c r="C865" s="72" t="s">
        <v>75</v>
      </c>
      <c r="D865" s="265" t="s">
        <v>4101</v>
      </c>
      <c r="E865" s="72" t="s">
        <v>39</v>
      </c>
      <c r="F865" s="73" t="s">
        <v>4043</v>
      </c>
      <c r="G865" s="73" t="s">
        <v>4044</v>
      </c>
      <c r="H865" s="72" t="s">
        <v>225</v>
      </c>
      <c r="I865" s="72" t="s">
        <v>98</v>
      </c>
      <c r="J865" s="73" t="s">
        <v>98</v>
      </c>
      <c r="K865" s="264" t="s">
        <v>98</v>
      </c>
      <c r="L865" s="264" t="s">
        <v>98</v>
      </c>
      <c r="M865" s="264" t="s">
        <v>98</v>
      </c>
      <c r="N865" s="265" t="s">
        <v>276</v>
      </c>
      <c r="O865" s="265" t="s">
        <v>276</v>
      </c>
      <c r="P865" s="73" t="s">
        <v>238</v>
      </c>
      <c r="Q865" s="88" t="s">
        <v>3967</v>
      </c>
      <c r="R865" s="73" t="s">
        <v>4079</v>
      </c>
      <c r="S865" s="73" t="s">
        <v>276</v>
      </c>
      <c r="T865" s="73" t="s">
        <v>276</v>
      </c>
      <c r="U865" s="73">
        <v>1</v>
      </c>
      <c r="V865" s="72" t="s">
        <v>14</v>
      </c>
      <c r="W865" s="264" t="s">
        <v>98</v>
      </c>
      <c r="X865" s="265" t="s">
        <v>208</v>
      </c>
      <c r="Y865" s="74">
        <v>1276</v>
      </c>
      <c r="Z865" s="267">
        <v>1196</v>
      </c>
      <c r="AA865" s="265">
        <v>0</v>
      </c>
      <c r="AB865" s="265">
        <v>0</v>
      </c>
      <c r="AC865" s="72">
        <v>0</v>
      </c>
      <c r="AD865" s="72" t="s">
        <v>98</v>
      </c>
      <c r="AE865" s="72">
        <v>0</v>
      </c>
      <c r="AF865" s="72" t="s">
        <v>98</v>
      </c>
      <c r="AG865" s="73" t="s">
        <v>905</v>
      </c>
      <c r="AH865" s="73" t="s">
        <v>689</v>
      </c>
      <c r="AI865" s="267">
        <v>28</v>
      </c>
      <c r="AJ865" s="267">
        <v>8</v>
      </c>
      <c r="AK865" s="74">
        <v>1276</v>
      </c>
      <c r="AL865" s="267">
        <v>1196</v>
      </c>
      <c r="AM865" s="75" t="s">
        <v>292</v>
      </c>
      <c r="AN865" s="72">
        <v>2.19</v>
      </c>
      <c r="AO865" s="86">
        <f t="shared" ref="AO865:AO903" si="268">AI865*100/AK865</f>
        <v>2.1943573667711598</v>
      </c>
      <c r="AP865" s="72" t="s">
        <v>276</v>
      </c>
      <c r="AQ865" s="72" t="s">
        <v>276</v>
      </c>
      <c r="AR865" s="72">
        <v>0.67</v>
      </c>
      <c r="AS865" s="86">
        <f t="shared" ref="AS865:AS932" si="269">AJ865*100/AL865</f>
        <v>0.66889632107023411</v>
      </c>
      <c r="AT865" s="72" t="s">
        <v>276</v>
      </c>
      <c r="AU865" s="72" t="s">
        <v>276</v>
      </c>
      <c r="AV865" s="73" t="s">
        <v>268</v>
      </c>
      <c r="AW865" s="268" t="s">
        <v>276</v>
      </c>
      <c r="AX865" s="268">
        <f t="shared" ref="AX865:AX893" si="270">AO865/AS865</f>
        <v>3.280564263322884</v>
      </c>
      <c r="AY865" s="265" t="s">
        <v>276</v>
      </c>
      <c r="AZ865" s="265" t="s">
        <v>276</v>
      </c>
      <c r="BA865" s="265" t="s">
        <v>276</v>
      </c>
      <c r="BB865" s="265" t="s">
        <v>282</v>
      </c>
      <c r="BC865" s="265" t="s">
        <v>276</v>
      </c>
      <c r="BD865" s="265" t="s">
        <v>276</v>
      </c>
      <c r="BE865" s="265" t="s">
        <v>276</v>
      </c>
      <c r="BF865" s="73" t="s">
        <v>4102</v>
      </c>
      <c r="BG865" s="73" t="s">
        <v>276</v>
      </c>
      <c r="BH865" s="9" t="s">
        <v>100</v>
      </c>
      <c r="BI865" s="9" t="s">
        <v>100</v>
      </c>
      <c r="BJ865" s="78"/>
      <c r="BK865" s="79"/>
      <c r="BL865" s="79"/>
      <c r="BM865" s="79"/>
      <c r="BN865" s="78"/>
      <c r="BO865" s="78"/>
      <c r="BP865" s="79"/>
    </row>
    <row r="866" spans="1:68" s="111" customFormat="1" ht="52" hidden="1" x14ac:dyDescent="0.35">
      <c r="A866" s="94">
        <v>645</v>
      </c>
      <c r="B866" s="94" t="s">
        <v>4041</v>
      </c>
      <c r="C866" s="94" t="s">
        <v>75</v>
      </c>
      <c r="D866" s="105" t="s">
        <v>4103</v>
      </c>
      <c r="E866" s="94" t="s">
        <v>39</v>
      </c>
      <c r="F866" s="95" t="s">
        <v>4043</v>
      </c>
      <c r="G866" s="95" t="s">
        <v>4044</v>
      </c>
      <c r="H866" s="94" t="s">
        <v>225</v>
      </c>
      <c r="I866" s="94" t="s">
        <v>98</v>
      </c>
      <c r="J866" s="95" t="s">
        <v>25</v>
      </c>
      <c r="K866" s="104" t="s">
        <v>300</v>
      </c>
      <c r="L866" s="104" t="s">
        <v>4104</v>
      </c>
      <c r="M866" s="104" t="s">
        <v>300</v>
      </c>
      <c r="N866" s="105" t="s">
        <v>4105</v>
      </c>
      <c r="O866" s="105" t="s">
        <v>276</v>
      </c>
      <c r="P866" s="95" t="s">
        <v>239</v>
      </c>
      <c r="Q866" s="106">
        <v>39472</v>
      </c>
      <c r="R866" s="105" t="s">
        <v>276</v>
      </c>
      <c r="S866" s="95" t="s">
        <v>4046</v>
      </c>
      <c r="T866" s="95" t="s">
        <v>4047</v>
      </c>
      <c r="U866" s="95" t="s">
        <v>276</v>
      </c>
      <c r="V866" s="94" t="s">
        <v>14</v>
      </c>
      <c r="W866" s="104" t="s">
        <v>98</v>
      </c>
      <c r="X866" s="105" t="s">
        <v>208</v>
      </c>
      <c r="Y866" s="98">
        <v>1276</v>
      </c>
      <c r="Z866" s="107">
        <v>1196</v>
      </c>
      <c r="AA866" s="105" t="s">
        <v>276</v>
      </c>
      <c r="AB866" s="105" t="s">
        <v>276</v>
      </c>
      <c r="AC866" s="311">
        <v>3.4000000000000002E-2</v>
      </c>
      <c r="AD866" s="94" t="s">
        <v>4048</v>
      </c>
      <c r="AE866" s="311">
        <v>5.2999999999999999E-2</v>
      </c>
      <c r="AF866" s="94" t="s">
        <v>4048</v>
      </c>
      <c r="AG866" s="95" t="s">
        <v>4106</v>
      </c>
      <c r="AH866" s="95" t="s">
        <v>866</v>
      </c>
      <c r="AI866" s="107">
        <v>33</v>
      </c>
      <c r="AJ866" s="107">
        <v>12</v>
      </c>
      <c r="AK866" s="107">
        <f t="shared" ref="AK866:AL874" si="271">Y866</f>
        <v>1276</v>
      </c>
      <c r="AL866" s="107">
        <f t="shared" si="271"/>
        <v>1196</v>
      </c>
      <c r="AM866" s="99" t="s">
        <v>292</v>
      </c>
      <c r="AN866" s="94">
        <v>2.6</v>
      </c>
      <c r="AO866" s="102">
        <f t="shared" si="268"/>
        <v>2.5862068965517242</v>
      </c>
      <c r="AP866" s="94" t="s">
        <v>276</v>
      </c>
      <c r="AQ866" s="94" t="s">
        <v>276</v>
      </c>
      <c r="AR866" s="312">
        <v>1</v>
      </c>
      <c r="AS866" s="102">
        <f t="shared" si="269"/>
        <v>1.0033444816053512</v>
      </c>
      <c r="AT866" s="94" t="s">
        <v>276</v>
      </c>
      <c r="AU866" s="94" t="s">
        <v>276</v>
      </c>
      <c r="AV866" s="95" t="s">
        <v>268</v>
      </c>
      <c r="AW866" s="108" t="s">
        <v>276</v>
      </c>
      <c r="AX866" s="108">
        <f t="shared" si="270"/>
        <v>2.5775862068965516</v>
      </c>
      <c r="AY866" s="105" t="s">
        <v>276</v>
      </c>
      <c r="AZ866" s="105" t="s">
        <v>276</v>
      </c>
      <c r="BA866" s="105">
        <v>4.0000000000000001E-3</v>
      </c>
      <c r="BB866" s="105" t="s">
        <v>282</v>
      </c>
      <c r="BC866" s="105" t="s">
        <v>276</v>
      </c>
      <c r="BD866" s="105" t="s">
        <v>276</v>
      </c>
      <c r="BE866" s="105" t="s">
        <v>276</v>
      </c>
      <c r="BF866" s="95" t="s">
        <v>4107</v>
      </c>
      <c r="BG866" s="95" t="s">
        <v>4108</v>
      </c>
      <c r="BH866" s="9" t="s">
        <v>100</v>
      </c>
      <c r="BI866" s="9" t="s">
        <v>100</v>
      </c>
      <c r="BJ866" s="109"/>
      <c r="BK866" s="110"/>
      <c r="BL866" s="110"/>
      <c r="BM866" s="110"/>
      <c r="BN866" s="109"/>
      <c r="BO866" s="109"/>
      <c r="BP866" s="110"/>
    </row>
    <row r="867" spans="1:68" s="111" customFormat="1" ht="52" hidden="1" x14ac:dyDescent="0.35">
      <c r="A867" s="94">
        <v>645</v>
      </c>
      <c r="B867" s="94" t="s">
        <v>4041</v>
      </c>
      <c r="C867" s="94" t="s">
        <v>75</v>
      </c>
      <c r="D867" s="105" t="s">
        <v>4109</v>
      </c>
      <c r="E867" s="94" t="s">
        <v>39</v>
      </c>
      <c r="F867" s="95" t="s">
        <v>4043</v>
      </c>
      <c r="G867" s="95" t="s">
        <v>4044</v>
      </c>
      <c r="H867" s="94" t="s">
        <v>225</v>
      </c>
      <c r="I867" s="94" t="s">
        <v>98</v>
      </c>
      <c r="J867" s="95" t="s">
        <v>25</v>
      </c>
      <c r="K867" s="104" t="s">
        <v>930</v>
      </c>
      <c r="L867" s="104" t="s">
        <v>4104</v>
      </c>
      <c r="M867" s="104" t="s">
        <v>300</v>
      </c>
      <c r="N867" s="105" t="s">
        <v>4105</v>
      </c>
      <c r="O867" s="105" t="s">
        <v>276</v>
      </c>
      <c r="P867" s="95" t="s">
        <v>239</v>
      </c>
      <c r="Q867" s="106">
        <v>39472</v>
      </c>
      <c r="R867" s="105" t="s">
        <v>276</v>
      </c>
      <c r="S867" s="95" t="s">
        <v>4046</v>
      </c>
      <c r="T867" s="95" t="s">
        <v>4047</v>
      </c>
      <c r="U867" s="95" t="s">
        <v>276</v>
      </c>
      <c r="V867" s="94" t="s">
        <v>14</v>
      </c>
      <c r="W867" s="104" t="s">
        <v>98</v>
      </c>
      <c r="X867" s="105" t="s">
        <v>208</v>
      </c>
      <c r="Y867" s="98">
        <v>1276</v>
      </c>
      <c r="Z867" s="107">
        <v>1196</v>
      </c>
      <c r="AA867" s="105" t="s">
        <v>276</v>
      </c>
      <c r="AB867" s="105" t="s">
        <v>276</v>
      </c>
      <c r="AC867" s="311">
        <v>3.4000000000000002E-2</v>
      </c>
      <c r="AD867" s="94" t="s">
        <v>4048</v>
      </c>
      <c r="AE867" s="311">
        <v>5.2999999999999999E-2</v>
      </c>
      <c r="AF867" s="94" t="s">
        <v>4048</v>
      </c>
      <c r="AG867" s="95" t="s">
        <v>4110</v>
      </c>
      <c r="AH867" s="95" t="s">
        <v>866</v>
      </c>
      <c r="AI867" s="107">
        <v>20</v>
      </c>
      <c r="AJ867" s="107">
        <v>4</v>
      </c>
      <c r="AK867" s="107">
        <f t="shared" si="271"/>
        <v>1276</v>
      </c>
      <c r="AL867" s="107">
        <f t="shared" si="271"/>
        <v>1196</v>
      </c>
      <c r="AM867" s="99" t="s">
        <v>292</v>
      </c>
      <c r="AN867" s="94">
        <v>1.6</v>
      </c>
      <c r="AO867" s="102">
        <f t="shared" si="268"/>
        <v>1.567398119122257</v>
      </c>
      <c r="AP867" s="94" t="s">
        <v>276</v>
      </c>
      <c r="AQ867" s="94" t="s">
        <v>276</v>
      </c>
      <c r="AR867" s="94">
        <v>0.3</v>
      </c>
      <c r="AS867" s="102">
        <f t="shared" si="269"/>
        <v>0.33444816053511706</v>
      </c>
      <c r="AT867" s="94" t="s">
        <v>276</v>
      </c>
      <c r="AU867" s="94" t="s">
        <v>276</v>
      </c>
      <c r="AV867" s="95" t="s">
        <v>268</v>
      </c>
      <c r="AW867" s="108" t="s">
        <v>276</v>
      </c>
      <c r="AX867" s="108">
        <f t="shared" si="270"/>
        <v>4.6865203761755483</v>
      </c>
      <c r="AY867" s="105" t="s">
        <v>276</v>
      </c>
      <c r="AZ867" s="105" t="s">
        <v>276</v>
      </c>
      <c r="BA867" s="105" t="s">
        <v>276</v>
      </c>
      <c r="BB867" s="105" t="s">
        <v>282</v>
      </c>
      <c r="BC867" s="105" t="s">
        <v>276</v>
      </c>
      <c r="BD867" s="105" t="s">
        <v>276</v>
      </c>
      <c r="BE867" s="105" t="s">
        <v>276</v>
      </c>
      <c r="BF867" s="95" t="s">
        <v>426</v>
      </c>
      <c r="BG867" s="95" t="s">
        <v>4108</v>
      </c>
      <c r="BH867" s="9" t="s">
        <v>100</v>
      </c>
      <c r="BI867" s="9" t="s">
        <v>100</v>
      </c>
      <c r="BJ867" s="109"/>
      <c r="BK867" s="110"/>
      <c r="BL867" s="110"/>
      <c r="BM867" s="110"/>
      <c r="BN867" s="109"/>
      <c r="BO867" s="109"/>
      <c r="BP867" s="110"/>
    </row>
    <row r="868" spans="1:68" s="111" customFormat="1" ht="52" hidden="1" x14ac:dyDescent="0.35">
      <c r="A868" s="94">
        <v>645</v>
      </c>
      <c r="B868" s="94" t="s">
        <v>4041</v>
      </c>
      <c r="C868" s="94" t="s">
        <v>75</v>
      </c>
      <c r="D868" s="105" t="s">
        <v>4111</v>
      </c>
      <c r="E868" s="94" t="s">
        <v>39</v>
      </c>
      <c r="F868" s="95" t="s">
        <v>4043</v>
      </c>
      <c r="G868" s="95" t="s">
        <v>4044</v>
      </c>
      <c r="H868" s="94" t="s">
        <v>225</v>
      </c>
      <c r="I868" s="94" t="s">
        <v>98</v>
      </c>
      <c r="J868" s="95" t="s">
        <v>25</v>
      </c>
      <c r="K868" s="104" t="s">
        <v>934</v>
      </c>
      <c r="L868" s="104" t="s">
        <v>4104</v>
      </c>
      <c r="M868" s="104" t="s">
        <v>300</v>
      </c>
      <c r="N868" s="105" t="s">
        <v>4105</v>
      </c>
      <c r="O868" s="105" t="s">
        <v>276</v>
      </c>
      <c r="P868" s="95" t="s">
        <v>239</v>
      </c>
      <c r="Q868" s="106">
        <v>39472</v>
      </c>
      <c r="R868" s="105" t="s">
        <v>276</v>
      </c>
      <c r="S868" s="95" t="s">
        <v>4046</v>
      </c>
      <c r="T868" s="95" t="s">
        <v>4047</v>
      </c>
      <c r="U868" s="95" t="s">
        <v>276</v>
      </c>
      <c r="V868" s="94" t="s">
        <v>14</v>
      </c>
      <c r="W868" s="104" t="s">
        <v>98</v>
      </c>
      <c r="X868" s="105" t="s">
        <v>208</v>
      </c>
      <c r="Y868" s="98">
        <v>1276</v>
      </c>
      <c r="Z868" s="107">
        <v>1196</v>
      </c>
      <c r="AA868" s="105" t="s">
        <v>276</v>
      </c>
      <c r="AB868" s="105" t="s">
        <v>276</v>
      </c>
      <c r="AC868" s="311">
        <v>3.4000000000000002E-2</v>
      </c>
      <c r="AD868" s="94" t="s">
        <v>4048</v>
      </c>
      <c r="AE868" s="311">
        <v>5.2999999999999999E-2</v>
      </c>
      <c r="AF868" s="94" t="s">
        <v>4048</v>
      </c>
      <c r="AG868" s="95" t="s">
        <v>4112</v>
      </c>
      <c r="AH868" s="95" t="s">
        <v>866</v>
      </c>
      <c r="AI868" s="107">
        <v>13</v>
      </c>
      <c r="AJ868" s="107">
        <v>8</v>
      </c>
      <c r="AK868" s="107">
        <f t="shared" si="271"/>
        <v>1276</v>
      </c>
      <c r="AL868" s="107">
        <f t="shared" si="271"/>
        <v>1196</v>
      </c>
      <c r="AM868" s="99" t="s">
        <v>292</v>
      </c>
      <c r="AN868" s="94">
        <v>1</v>
      </c>
      <c r="AO868" s="102">
        <f t="shared" si="268"/>
        <v>1.0188087774294672</v>
      </c>
      <c r="AP868" s="94" t="s">
        <v>276</v>
      </c>
      <c r="AQ868" s="94" t="s">
        <v>276</v>
      </c>
      <c r="AR868" s="94">
        <v>0.7</v>
      </c>
      <c r="AS868" s="102">
        <f t="shared" si="269"/>
        <v>0.66889632107023411</v>
      </c>
      <c r="AT868" s="94" t="s">
        <v>276</v>
      </c>
      <c r="AU868" s="94" t="s">
        <v>276</v>
      </c>
      <c r="AV868" s="95" t="s">
        <v>268</v>
      </c>
      <c r="AW868" s="108" t="s">
        <v>276</v>
      </c>
      <c r="AX868" s="108">
        <f t="shared" si="270"/>
        <v>1.5231191222570535</v>
      </c>
      <c r="AY868" s="105" t="s">
        <v>276</v>
      </c>
      <c r="AZ868" s="105" t="s">
        <v>276</v>
      </c>
      <c r="BA868" s="105" t="s">
        <v>276</v>
      </c>
      <c r="BB868" s="105" t="s">
        <v>282</v>
      </c>
      <c r="BC868" s="105" t="s">
        <v>276</v>
      </c>
      <c r="BD868" s="105" t="s">
        <v>276</v>
      </c>
      <c r="BE868" s="105" t="s">
        <v>276</v>
      </c>
      <c r="BF868" s="95" t="s">
        <v>426</v>
      </c>
      <c r="BG868" s="95" t="s">
        <v>4108</v>
      </c>
      <c r="BH868" s="9" t="s">
        <v>100</v>
      </c>
      <c r="BI868" s="9" t="s">
        <v>100</v>
      </c>
      <c r="BJ868" s="109"/>
      <c r="BK868" s="110"/>
      <c r="BL868" s="110"/>
      <c r="BM868" s="110"/>
      <c r="BN868" s="109"/>
      <c r="BO868" s="109"/>
      <c r="BP868" s="110"/>
    </row>
    <row r="869" spans="1:68" s="125" customFormat="1" ht="52" hidden="1" x14ac:dyDescent="0.35">
      <c r="A869" s="112">
        <v>645</v>
      </c>
      <c r="B869" s="112" t="s">
        <v>4041</v>
      </c>
      <c r="C869" s="112" t="s">
        <v>75</v>
      </c>
      <c r="D869" s="115" t="s">
        <v>4113</v>
      </c>
      <c r="E869" s="112" t="s">
        <v>39</v>
      </c>
      <c r="F869" s="113" t="s">
        <v>4043</v>
      </c>
      <c r="G869" s="113" t="s">
        <v>4044</v>
      </c>
      <c r="H869" s="112" t="s">
        <v>225</v>
      </c>
      <c r="I869" s="112" t="s">
        <v>98</v>
      </c>
      <c r="J869" s="113" t="s">
        <v>25</v>
      </c>
      <c r="K869" s="114" t="s">
        <v>304</v>
      </c>
      <c r="L869" s="114" t="s">
        <v>4104</v>
      </c>
      <c r="M869" s="114" t="s">
        <v>300</v>
      </c>
      <c r="N869" s="115" t="s">
        <v>4105</v>
      </c>
      <c r="O869" s="115" t="s">
        <v>276</v>
      </c>
      <c r="P869" s="113" t="s">
        <v>239</v>
      </c>
      <c r="Q869" s="116">
        <v>39472</v>
      </c>
      <c r="R869" s="115" t="s">
        <v>276</v>
      </c>
      <c r="S869" s="113" t="s">
        <v>4046</v>
      </c>
      <c r="T869" s="113" t="s">
        <v>4047</v>
      </c>
      <c r="U869" s="113" t="s">
        <v>276</v>
      </c>
      <c r="V869" s="112" t="s">
        <v>14</v>
      </c>
      <c r="W869" s="114" t="s">
        <v>98</v>
      </c>
      <c r="X869" s="115" t="s">
        <v>208</v>
      </c>
      <c r="Y869" s="118">
        <v>1276</v>
      </c>
      <c r="Z869" s="120">
        <v>1196</v>
      </c>
      <c r="AA869" s="115" t="s">
        <v>276</v>
      </c>
      <c r="AB869" s="115" t="s">
        <v>276</v>
      </c>
      <c r="AC869" s="313">
        <v>3.4000000000000002E-2</v>
      </c>
      <c r="AD869" s="112" t="s">
        <v>4048</v>
      </c>
      <c r="AE869" s="313">
        <v>5.2999999999999999E-2</v>
      </c>
      <c r="AF869" s="112" t="s">
        <v>4048</v>
      </c>
      <c r="AG869" s="113" t="s">
        <v>4114</v>
      </c>
      <c r="AH869" s="113" t="s">
        <v>866</v>
      </c>
      <c r="AI869" s="120">
        <v>4</v>
      </c>
      <c r="AJ869" s="120">
        <v>2</v>
      </c>
      <c r="AK869" s="120">
        <f t="shared" si="271"/>
        <v>1276</v>
      </c>
      <c r="AL869" s="120">
        <f t="shared" si="271"/>
        <v>1196</v>
      </c>
      <c r="AM869" s="119" t="s">
        <v>292</v>
      </c>
      <c r="AN869" s="112">
        <v>0.3</v>
      </c>
      <c r="AO869" s="121">
        <f t="shared" si="268"/>
        <v>0.31347962382445144</v>
      </c>
      <c r="AP869" s="112" t="s">
        <v>276</v>
      </c>
      <c r="AQ869" s="112" t="s">
        <v>276</v>
      </c>
      <c r="AR869" s="314">
        <v>0.2</v>
      </c>
      <c r="AS869" s="121">
        <f t="shared" si="269"/>
        <v>0.16722408026755853</v>
      </c>
      <c r="AT869" s="112" t="s">
        <v>276</v>
      </c>
      <c r="AU869" s="112" t="s">
        <v>276</v>
      </c>
      <c r="AV869" s="113" t="s">
        <v>268</v>
      </c>
      <c r="AW869" s="122" t="s">
        <v>276</v>
      </c>
      <c r="AX869" s="122">
        <f t="shared" si="270"/>
        <v>1.8746081504702197</v>
      </c>
      <c r="AY869" s="115" t="s">
        <v>276</v>
      </c>
      <c r="AZ869" s="115" t="s">
        <v>276</v>
      </c>
      <c r="BA869" s="115" t="s">
        <v>276</v>
      </c>
      <c r="BB869" s="115" t="s">
        <v>282</v>
      </c>
      <c r="BC869" s="115" t="s">
        <v>276</v>
      </c>
      <c r="BD869" s="115" t="s">
        <v>276</v>
      </c>
      <c r="BE869" s="115" t="s">
        <v>276</v>
      </c>
      <c r="BF869" s="113" t="s">
        <v>3355</v>
      </c>
      <c r="BG869" s="113" t="s">
        <v>4108</v>
      </c>
      <c r="BH869" s="9" t="s">
        <v>100</v>
      </c>
      <c r="BI869" s="9" t="s">
        <v>100</v>
      </c>
      <c r="BJ869" s="123"/>
      <c r="BK869" s="124"/>
      <c r="BL869" s="124"/>
      <c r="BM869" s="124"/>
      <c r="BN869" s="123"/>
      <c r="BO869" s="123"/>
      <c r="BP869" s="124"/>
    </row>
    <row r="870" spans="1:68" s="111" customFormat="1" ht="52" hidden="1" x14ac:dyDescent="0.35">
      <c r="A870" s="94">
        <v>645</v>
      </c>
      <c r="B870" s="94" t="s">
        <v>4041</v>
      </c>
      <c r="C870" s="94" t="s">
        <v>75</v>
      </c>
      <c r="D870" s="105" t="s">
        <v>4115</v>
      </c>
      <c r="E870" s="94" t="s">
        <v>39</v>
      </c>
      <c r="F870" s="95" t="s">
        <v>4043</v>
      </c>
      <c r="G870" s="95" t="s">
        <v>4044</v>
      </c>
      <c r="H870" s="94" t="s">
        <v>225</v>
      </c>
      <c r="I870" s="94" t="s">
        <v>98</v>
      </c>
      <c r="J870" s="95" t="s">
        <v>25</v>
      </c>
      <c r="K870" s="104" t="s">
        <v>947</v>
      </c>
      <c r="L870" s="104" t="s">
        <v>4104</v>
      </c>
      <c r="M870" s="104" t="s">
        <v>300</v>
      </c>
      <c r="N870" s="105" t="s">
        <v>4105</v>
      </c>
      <c r="O870" s="105" t="s">
        <v>276</v>
      </c>
      <c r="P870" s="95" t="s">
        <v>239</v>
      </c>
      <c r="Q870" s="106">
        <v>39472</v>
      </c>
      <c r="R870" s="105" t="s">
        <v>276</v>
      </c>
      <c r="S870" s="95" t="s">
        <v>4046</v>
      </c>
      <c r="T870" s="95" t="s">
        <v>4047</v>
      </c>
      <c r="U870" s="95" t="s">
        <v>276</v>
      </c>
      <c r="V870" s="94" t="s">
        <v>14</v>
      </c>
      <c r="W870" s="104" t="s">
        <v>98</v>
      </c>
      <c r="X870" s="105" t="s">
        <v>208</v>
      </c>
      <c r="Y870" s="98">
        <v>1276</v>
      </c>
      <c r="Z870" s="107">
        <v>1196</v>
      </c>
      <c r="AA870" s="105" t="s">
        <v>276</v>
      </c>
      <c r="AB870" s="105" t="s">
        <v>276</v>
      </c>
      <c r="AC870" s="311">
        <v>3.4000000000000002E-2</v>
      </c>
      <c r="AD870" s="94" t="s">
        <v>4048</v>
      </c>
      <c r="AE870" s="311">
        <v>5.2999999999999999E-2</v>
      </c>
      <c r="AF870" s="94" t="s">
        <v>4048</v>
      </c>
      <c r="AG870" s="95" t="s">
        <v>4116</v>
      </c>
      <c r="AH870" s="95" t="s">
        <v>866</v>
      </c>
      <c r="AI870" s="107">
        <v>7</v>
      </c>
      <c r="AJ870" s="107">
        <v>4</v>
      </c>
      <c r="AK870" s="107">
        <f t="shared" si="271"/>
        <v>1276</v>
      </c>
      <c r="AL870" s="107">
        <f t="shared" si="271"/>
        <v>1196</v>
      </c>
      <c r="AM870" s="99" t="s">
        <v>292</v>
      </c>
      <c r="AN870" s="94">
        <v>0.6</v>
      </c>
      <c r="AO870" s="102">
        <f t="shared" si="268"/>
        <v>0.54858934169278994</v>
      </c>
      <c r="AP870" s="94" t="s">
        <v>276</v>
      </c>
      <c r="AQ870" s="94" t="s">
        <v>276</v>
      </c>
      <c r="AR870" s="94">
        <v>0.3</v>
      </c>
      <c r="AS870" s="102">
        <f t="shared" si="269"/>
        <v>0.33444816053511706</v>
      </c>
      <c r="AT870" s="94" t="s">
        <v>276</v>
      </c>
      <c r="AU870" s="94" t="s">
        <v>276</v>
      </c>
      <c r="AV870" s="95" t="s">
        <v>268</v>
      </c>
      <c r="AW870" s="108" t="s">
        <v>276</v>
      </c>
      <c r="AX870" s="108">
        <f t="shared" si="270"/>
        <v>1.640282131661442</v>
      </c>
      <c r="AY870" s="105" t="s">
        <v>276</v>
      </c>
      <c r="AZ870" s="105" t="s">
        <v>276</v>
      </c>
      <c r="BA870" s="105" t="s">
        <v>276</v>
      </c>
      <c r="BB870" s="105" t="s">
        <v>282</v>
      </c>
      <c r="BC870" s="105" t="s">
        <v>276</v>
      </c>
      <c r="BD870" s="105" t="s">
        <v>276</v>
      </c>
      <c r="BE870" s="105" t="s">
        <v>276</v>
      </c>
      <c r="BF870" s="95" t="s">
        <v>426</v>
      </c>
      <c r="BG870" s="95" t="s">
        <v>4108</v>
      </c>
      <c r="BH870" s="9" t="s">
        <v>100</v>
      </c>
      <c r="BI870" s="9" t="s">
        <v>100</v>
      </c>
      <c r="BJ870" s="109"/>
      <c r="BK870" s="110"/>
      <c r="BL870" s="110"/>
      <c r="BM870" s="110"/>
      <c r="BN870" s="109"/>
      <c r="BO870" s="109"/>
      <c r="BP870" s="110"/>
    </row>
    <row r="871" spans="1:68" s="111" customFormat="1" ht="52" hidden="1" x14ac:dyDescent="0.35">
      <c r="A871" s="94">
        <v>645</v>
      </c>
      <c r="B871" s="94" t="s">
        <v>4041</v>
      </c>
      <c r="C871" s="94" t="s">
        <v>75</v>
      </c>
      <c r="D871" s="105" t="s">
        <v>4117</v>
      </c>
      <c r="E871" s="94" t="s">
        <v>39</v>
      </c>
      <c r="F871" s="95" t="s">
        <v>4043</v>
      </c>
      <c r="G871" s="95" t="s">
        <v>4044</v>
      </c>
      <c r="H871" s="94" t="s">
        <v>225</v>
      </c>
      <c r="I871" s="94" t="s">
        <v>98</v>
      </c>
      <c r="J871" s="95" t="s">
        <v>25</v>
      </c>
      <c r="K871" s="104" t="s">
        <v>950</v>
      </c>
      <c r="L871" s="104" t="s">
        <v>4104</v>
      </c>
      <c r="M871" s="104" t="s">
        <v>300</v>
      </c>
      <c r="N871" s="105" t="s">
        <v>4105</v>
      </c>
      <c r="O871" s="105" t="s">
        <v>276</v>
      </c>
      <c r="P871" s="95" t="s">
        <v>239</v>
      </c>
      <c r="Q871" s="106">
        <v>39472</v>
      </c>
      <c r="R871" s="105" t="s">
        <v>276</v>
      </c>
      <c r="S871" s="95" t="s">
        <v>4046</v>
      </c>
      <c r="T871" s="95" t="s">
        <v>4047</v>
      </c>
      <c r="U871" s="95" t="s">
        <v>276</v>
      </c>
      <c r="V871" s="94" t="s">
        <v>14</v>
      </c>
      <c r="W871" s="104" t="s">
        <v>98</v>
      </c>
      <c r="X871" s="105" t="s">
        <v>208</v>
      </c>
      <c r="Y871" s="98">
        <v>1276</v>
      </c>
      <c r="Z871" s="107">
        <v>1196</v>
      </c>
      <c r="AA871" s="105" t="s">
        <v>276</v>
      </c>
      <c r="AB871" s="105" t="s">
        <v>276</v>
      </c>
      <c r="AC871" s="311">
        <v>3.4000000000000002E-2</v>
      </c>
      <c r="AD871" s="94" t="s">
        <v>4048</v>
      </c>
      <c r="AE871" s="311">
        <v>5.2999999999999999E-2</v>
      </c>
      <c r="AF871" s="94" t="s">
        <v>4048</v>
      </c>
      <c r="AG871" s="95" t="s">
        <v>4118</v>
      </c>
      <c r="AH871" s="95" t="s">
        <v>866</v>
      </c>
      <c r="AI871" s="107">
        <v>6</v>
      </c>
      <c r="AJ871" s="107">
        <v>3</v>
      </c>
      <c r="AK871" s="107">
        <f t="shared" si="271"/>
        <v>1276</v>
      </c>
      <c r="AL871" s="107">
        <f t="shared" si="271"/>
        <v>1196</v>
      </c>
      <c r="AM871" s="99" t="s">
        <v>292</v>
      </c>
      <c r="AN871" s="94">
        <v>0.5</v>
      </c>
      <c r="AO871" s="102">
        <f t="shared" si="268"/>
        <v>0.47021943573667713</v>
      </c>
      <c r="AP871" s="94" t="s">
        <v>276</v>
      </c>
      <c r="AQ871" s="94" t="s">
        <v>276</v>
      </c>
      <c r="AR871" s="94">
        <v>0.3</v>
      </c>
      <c r="AS871" s="102">
        <f t="shared" si="269"/>
        <v>0.25083612040133779</v>
      </c>
      <c r="AT871" s="94" t="s">
        <v>276</v>
      </c>
      <c r="AU871" s="94" t="s">
        <v>276</v>
      </c>
      <c r="AV871" s="95" t="s">
        <v>268</v>
      </c>
      <c r="AW871" s="108" t="s">
        <v>276</v>
      </c>
      <c r="AX871" s="108">
        <f t="shared" si="270"/>
        <v>1.8746081504702194</v>
      </c>
      <c r="AY871" s="105" t="s">
        <v>276</v>
      </c>
      <c r="AZ871" s="105" t="s">
        <v>276</v>
      </c>
      <c r="BA871" s="105" t="s">
        <v>276</v>
      </c>
      <c r="BB871" s="105" t="s">
        <v>282</v>
      </c>
      <c r="BC871" s="105" t="s">
        <v>276</v>
      </c>
      <c r="BD871" s="105" t="s">
        <v>276</v>
      </c>
      <c r="BE871" s="105" t="s">
        <v>276</v>
      </c>
      <c r="BF871" s="95" t="s">
        <v>426</v>
      </c>
      <c r="BG871" s="95" t="s">
        <v>4108</v>
      </c>
      <c r="BH871" s="9" t="s">
        <v>100</v>
      </c>
      <c r="BI871" s="9" t="s">
        <v>100</v>
      </c>
      <c r="BJ871" s="109"/>
      <c r="BK871" s="110"/>
      <c r="BL871" s="110"/>
      <c r="BM871" s="110"/>
      <c r="BN871" s="109"/>
      <c r="BO871" s="109"/>
      <c r="BP871" s="110"/>
    </row>
    <row r="872" spans="1:68" s="125" customFormat="1" ht="52" hidden="1" x14ac:dyDescent="0.35">
      <c r="A872" s="112">
        <v>645</v>
      </c>
      <c r="B872" s="112" t="s">
        <v>4041</v>
      </c>
      <c r="C872" s="112" t="s">
        <v>75</v>
      </c>
      <c r="D872" s="115" t="s">
        <v>4119</v>
      </c>
      <c r="E872" s="112" t="s">
        <v>39</v>
      </c>
      <c r="F872" s="113" t="s">
        <v>4043</v>
      </c>
      <c r="G872" s="113" t="s">
        <v>4044</v>
      </c>
      <c r="H872" s="112" t="s">
        <v>225</v>
      </c>
      <c r="I872" s="112" t="s">
        <v>98</v>
      </c>
      <c r="J872" s="113" t="s">
        <v>25</v>
      </c>
      <c r="K872" s="114" t="s">
        <v>314</v>
      </c>
      <c r="L872" s="114" t="s">
        <v>4104</v>
      </c>
      <c r="M872" s="114" t="s">
        <v>300</v>
      </c>
      <c r="N872" s="115" t="s">
        <v>4105</v>
      </c>
      <c r="O872" s="115" t="s">
        <v>276</v>
      </c>
      <c r="P872" s="113" t="s">
        <v>239</v>
      </c>
      <c r="Q872" s="116">
        <v>39472</v>
      </c>
      <c r="R872" s="115" t="s">
        <v>276</v>
      </c>
      <c r="S872" s="113" t="s">
        <v>4046</v>
      </c>
      <c r="T872" s="113" t="s">
        <v>4047</v>
      </c>
      <c r="U872" s="113" t="s">
        <v>276</v>
      </c>
      <c r="V872" s="112" t="s">
        <v>14</v>
      </c>
      <c r="W872" s="114" t="s">
        <v>98</v>
      </c>
      <c r="X872" s="115" t="s">
        <v>208</v>
      </c>
      <c r="Y872" s="118">
        <v>1276</v>
      </c>
      <c r="Z872" s="120">
        <v>1196</v>
      </c>
      <c r="AA872" s="115" t="s">
        <v>276</v>
      </c>
      <c r="AB872" s="115" t="s">
        <v>276</v>
      </c>
      <c r="AC872" s="313">
        <v>3.4000000000000002E-2</v>
      </c>
      <c r="AD872" s="112" t="s">
        <v>4048</v>
      </c>
      <c r="AE872" s="313">
        <v>5.2999999999999999E-2</v>
      </c>
      <c r="AF872" s="112" t="s">
        <v>4048</v>
      </c>
      <c r="AG872" s="113" t="s">
        <v>4120</v>
      </c>
      <c r="AH872" s="113" t="s">
        <v>866</v>
      </c>
      <c r="AI872" s="120">
        <v>11</v>
      </c>
      <c r="AJ872" s="120">
        <v>14</v>
      </c>
      <c r="AK872" s="120">
        <f t="shared" ref="AK872" si="272">Y872</f>
        <v>1276</v>
      </c>
      <c r="AL872" s="120">
        <f t="shared" ref="AL872" si="273">Z872</f>
        <v>1196</v>
      </c>
      <c r="AM872" s="119" t="s">
        <v>292</v>
      </c>
      <c r="AN872" s="112">
        <v>0.9</v>
      </c>
      <c r="AO872" s="121">
        <f t="shared" ref="AO872" si="274">AI872*100/AK872</f>
        <v>0.86206896551724133</v>
      </c>
      <c r="AP872" s="112" t="s">
        <v>276</v>
      </c>
      <c r="AQ872" s="112" t="s">
        <v>276</v>
      </c>
      <c r="AR872" s="112">
        <v>1.2</v>
      </c>
      <c r="AS872" s="121">
        <f t="shared" ref="AS872" si="275">AJ872*100/AL872</f>
        <v>1.1705685618729098</v>
      </c>
      <c r="AT872" s="112" t="s">
        <v>276</v>
      </c>
      <c r="AU872" s="112" t="s">
        <v>276</v>
      </c>
      <c r="AV872" s="113" t="s">
        <v>268</v>
      </c>
      <c r="AW872" s="122" t="s">
        <v>276</v>
      </c>
      <c r="AX872" s="122">
        <f t="shared" ref="AX872" si="276">AO872/AS872</f>
        <v>0.73645320197044328</v>
      </c>
      <c r="AY872" s="115" t="s">
        <v>276</v>
      </c>
      <c r="AZ872" s="115" t="s">
        <v>276</v>
      </c>
      <c r="BA872" s="115" t="s">
        <v>276</v>
      </c>
      <c r="BB872" s="115" t="s">
        <v>282</v>
      </c>
      <c r="BC872" s="115" t="s">
        <v>276</v>
      </c>
      <c r="BD872" s="115" t="s">
        <v>276</v>
      </c>
      <c r="BE872" s="115" t="s">
        <v>276</v>
      </c>
      <c r="BF872" s="113" t="s">
        <v>426</v>
      </c>
      <c r="BG872" s="113" t="s">
        <v>4108</v>
      </c>
      <c r="BH872" s="9" t="s">
        <v>100</v>
      </c>
      <c r="BI872" s="9" t="s">
        <v>100</v>
      </c>
      <c r="BJ872" s="123"/>
      <c r="BK872" s="124"/>
      <c r="BL872" s="124"/>
      <c r="BM872" s="124"/>
      <c r="BN872" s="123"/>
      <c r="BO872" s="123"/>
      <c r="BP872" s="124"/>
    </row>
    <row r="873" spans="1:68" s="125" customFormat="1" ht="52" hidden="1" x14ac:dyDescent="0.35">
      <c r="A873" s="112">
        <v>645</v>
      </c>
      <c r="B873" s="112" t="s">
        <v>4041</v>
      </c>
      <c r="C873" s="112" t="s">
        <v>75</v>
      </c>
      <c r="D873" s="115" t="s">
        <v>11578</v>
      </c>
      <c r="E873" s="112" t="s">
        <v>39</v>
      </c>
      <c r="F873" s="113" t="s">
        <v>4043</v>
      </c>
      <c r="G873" s="113" t="s">
        <v>4044</v>
      </c>
      <c r="H873" s="112" t="s">
        <v>225</v>
      </c>
      <c r="I873" s="112" t="s">
        <v>98</v>
      </c>
      <c r="J873" s="113" t="s">
        <v>25</v>
      </c>
      <c r="K873" s="114" t="s">
        <v>317</v>
      </c>
      <c r="L873" s="114" t="s">
        <v>4104</v>
      </c>
      <c r="M873" s="114" t="s">
        <v>300</v>
      </c>
      <c r="N873" s="115" t="s">
        <v>4105</v>
      </c>
      <c r="O873" s="115" t="s">
        <v>276</v>
      </c>
      <c r="P873" s="113" t="s">
        <v>239</v>
      </c>
      <c r="Q873" s="116">
        <v>39472</v>
      </c>
      <c r="R873" s="115" t="s">
        <v>276</v>
      </c>
      <c r="S873" s="113" t="s">
        <v>4046</v>
      </c>
      <c r="T873" s="113" t="s">
        <v>4047</v>
      </c>
      <c r="U873" s="113" t="s">
        <v>276</v>
      </c>
      <c r="V873" s="112" t="s">
        <v>14</v>
      </c>
      <c r="W873" s="114" t="s">
        <v>98</v>
      </c>
      <c r="X873" s="115" t="s">
        <v>208</v>
      </c>
      <c r="Y873" s="118">
        <v>1276</v>
      </c>
      <c r="Z873" s="120">
        <v>1196</v>
      </c>
      <c r="AA873" s="115" t="s">
        <v>276</v>
      </c>
      <c r="AB873" s="115" t="s">
        <v>276</v>
      </c>
      <c r="AC873" s="313">
        <v>3.4000000000000002E-2</v>
      </c>
      <c r="AD873" s="112" t="s">
        <v>4048</v>
      </c>
      <c r="AE873" s="313">
        <v>5.2999999999999999E-2</v>
      </c>
      <c r="AF873" s="112" t="s">
        <v>4048</v>
      </c>
      <c r="AG873" s="113" t="s">
        <v>11579</v>
      </c>
      <c r="AH873" s="113" t="s">
        <v>866</v>
      </c>
      <c r="AI873" s="120">
        <f>11+7+6</f>
        <v>24</v>
      </c>
      <c r="AJ873" s="120">
        <f>14+4+3</f>
        <v>21</v>
      </c>
      <c r="AK873" s="120">
        <f t="shared" si="271"/>
        <v>1276</v>
      </c>
      <c r="AL873" s="120">
        <f t="shared" si="271"/>
        <v>1196</v>
      </c>
      <c r="AM873" s="119" t="s">
        <v>292</v>
      </c>
      <c r="AN873" s="112">
        <v>0.9</v>
      </c>
      <c r="AO873" s="121">
        <f t="shared" si="268"/>
        <v>1.8808777429467085</v>
      </c>
      <c r="AP873" s="112" t="s">
        <v>276</v>
      </c>
      <c r="AQ873" s="112" t="s">
        <v>276</v>
      </c>
      <c r="AR873" s="112">
        <v>1.2</v>
      </c>
      <c r="AS873" s="121">
        <f t="shared" si="269"/>
        <v>1.7558528428093645</v>
      </c>
      <c r="AT873" s="112" t="s">
        <v>276</v>
      </c>
      <c r="AU873" s="112" t="s">
        <v>276</v>
      </c>
      <c r="AV873" s="113" t="s">
        <v>268</v>
      </c>
      <c r="AW873" s="122" t="s">
        <v>276</v>
      </c>
      <c r="AX873" s="122">
        <f t="shared" si="270"/>
        <v>1.0712046574115541</v>
      </c>
      <c r="AY873" s="115" t="s">
        <v>276</v>
      </c>
      <c r="AZ873" s="115" t="s">
        <v>276</v>
      </c>
      <c r="BA873" s="115" t="s">
        <v>276</v>
      </c>
      <c r="BB873" s="115" t="s">
        <v>282</v>
      </c>
      <c r="BC873" s="115" t="s">
        <v>276</v>
      </c>
      <c r="BD873" s="115" t="s">
        <v>276</v>
      </c>
      <c r="BE873" s="115" t="s">
        <v>276</v>
      </c>
      <c r="BF873" s="113" t="s">
        <v>426</v>
      </c>
      <c r="BG873" s="113" t="s">
        <v>4108</v>
      </c>
      <c r="BH873" s="9" t="s">
        <v>100</v>
      </c>
      <c r="BI873" s="9" t="s">
        <v>100</v>
      </c>
      <c r="BJ873" s="123"/>
      <c r="BK873" s="124"/>
      <c r="BL873" s="124"/>
      <c r="BM873" s="124"/>
      <c r="BN873" s="123"/>
      <c r="BO873" s="123"/>
      <c r="BP873" s="124"/>
    </row>
    <row r="874" spans="1:68" s="111" customFormat="1" ht="52" hidden="1" x14ac:dyDescent="0.35">
      <c r="A874" s="94">
        <v>645</v>
      </c>
      <c r="B874" s="94" t="s">
        <v>4041</v>
      </c>
      <c r="C874" s="94" t="s">
        <v>75</v>
      </c>
      <c r="D874" s="105" t="s">
        <v>4121</v>
      </c>
      <c r="E874" s="94" t="s">
        <v>39</v>
      </c>
      <c r="F874" s="95" t="s">
        <v>4043</v>
      </c>
      <c r="G874" s="95" t="s">
        <v>4044</v>
      </c>
      <c r="H874" s="94" t="s">
        <v>225</v>
      </c>
      <c r="I874" s="94" t="s">
        <v>98</v>
      </c>
      <c r="J874" s="95" t="s">
        <v>25</v>
      </c>
      <c r="K874" s="104" t="s">
        <v>4122</v>
      </c>
      <c r="L874" s="104" t="s">
        <v>4104</v>
      </c>
      <c r="M874" s="104" t="s">
        <v>300</v>
      </c>
      <c r="N874" s="105" t="s">
        <v>4105</v>
      </c>
      <c r="O874" s="105" t="s">
        <v>276</v>
      </c>
      <c r="P874" s="95" t="s">
        <v>239</v>
      </c>
      <c r="Q874" s="106">
        <v>39472</v>
      </c>
      <c r="R874" s="105" t="s">
        <v>276</v>
      </c>
      <c r="S874" s="95" t="s">
        <v>4046</v>
      </c>
      <c r="T874" s="95" t="s">
        <v>4047</v>
      </c>
      <c r="U874" s="95" t="s">
        <v>276</v>
      </c>
      <c r="V874" s="94" t="s">
        <v>14</v>
      </c>
      <c r="W874" s="104" t="s">
        <v>98</v>
      </c>
      <c r="X874" s="105" t="s">
        <v>208</v>
      </c>
      <c r="Y874" s="98">
        <v>1276</v>
      </c>
      <c r="Z874" s="107">
        <v>1196</v>
      </c>
      <c r="AA874" s="105" t="s">
        <v>276</v>
      </c>
      <c r="AB874" s="105" t="s">
        <v>276</v>
      </c>
      <c r="AC874" s="311">
        <v>3.4000000000000002E-2</v>
      </c>
      <c r="AD874" s="94" t="s">
        <v>4048</v>
      </c>
      <c r="AE874" s="311">
        <v>5.2999999999999999E-2</v>
      </c>
      <c r="AF874" s="94" t="s">
        <v>4048</v>
      </c>
      <c r="AG874" s="95" t="s">
        <v>4123</v>
      </c>
      <c r="AH874" s="95" t="s">
        <v>866</v>
      </c>
      <c r="AI874" s="107">
        <v>17</v>
      </c>
      <c r="AJ874" s="107">
        <v>17</v>
      </c>
      <c r="AK874" s="107">
        <f t="shared" si="271"/>
        <v>1276</v>
      </c>
      <c r="AL874" s="107">
        <f t="shared" si="271"/>
        <v>1196</v>
      </c>
      <c r="AM874" s="99" t="s">
        <v>292</v>
      </c>
      <c r="AN874" s="94">
        <v>1.3</v>
      </c>
      <c r="AO874" s="102">
        <f t="shared" si="268"/>
        <v>1.3322884012539185</v>
      </c>
      <c r="AP874" s="94" t="s">
        <v>276</v>
      </c>
      <c r="AQ874" s="94" t="s">
        <v>276</v>
      </c>
      <c r="AR874" s="94">
        <v>1.4</v>
      </c>
      <c r="AS874" s="102">
        <f t="shared" si="269"/>
        <v>1.4214046822742474</v>
      </c>
      <c r="AT874" s="94" t="s">
        <v>276</v>
      </c>
      <c r="AU874" s="94" t="s">
        <v>276</v>
      </c>
      <c r="AV874" s="95" t="s">
        <v>268</v>
      </c>
      <c r="AW874" s="108" t="s">
        <v>276</v>
      </c>
      <c r="AX874" s="108">
        <f t="shared" si="270"/>
        <v>0.93730407523510972</v>
      </c>
      <c r="AY874" s="105" t="s">
        <v>276</v>
      </c>
      <c r="AZ874" s="105" t="s">
        <v>276</v>
      </c>
      <c r="BA874" s="105">
        <v>0.86</v>
      </c>
      <c r="BB874" s="105" t="s">
        <v>282</v>
      </c>
      <c r="BC874" s="105" t="s">
        <v>276</v>
      </c>
      <c r="BD874" s="105" t="s">
        <v>276</v>
      </c>
      <c r="BE874" s="105" t="s">
        <v>276</v>
      </c>
      <c r="BF874" s="95" t="s">
        <v>4124</v>
      </c>
      <c r="BG874" s="95" t="s">
        <v>4108</v>
      </c>
      <c r="BH874" s="9" t="s">
        <v>100</v>
      </c>
      <c r="BI874" s="9" t="s">
        <v>100</v>
      </c>
      <c r="BJ874" s="109"/>
      <c r="BK874" s="110"/>
      <c r="BL874" s="110"/>
      <c r="BM874" s="110"/>
      <c r="BN874" s="109"/>
      <c r="BO874" s="109"/>
      <c r="BP874" s="110"/>
    </row>
    <row r="875" spans="1:68" s="111" customFormat="1" ht="52" hidden="1" x14ac:dyDescent="0.35">
      <c r="A875" s="94">
        <v>645</v>
      </c>
      <c r="B875" s="94" t="s">
        <v>4041</v>
      </c>
      <c r="C875" s="94" t="s">
        <v>75</v>
      </c>
      <c r="D875" s="105" t="s">
        <v>4125</v>
      </c>
      <c r="E875" s="94" t="s">
        <v>39</v>
      </c>
      <c r="F875" s="95" t="s">
        <v>4043</v>
      </c>
      <c r="G875" s="95" t="s">
        <v>4044</v>
      </c>
      <c r="H875" s="94" t="s">
        <v>225</v>
      </c>
      <c r="I875" s="94" t="s">
        <v>98</v>
      </c>
      <c r="J875" s="95" t="s">
        <v>25</v>
      </c>
      <c r="K875" s="104" t="s">
        <v>4122</v>
      </c>
      <c r="L875" s="104" t="s">
        <v>4104</v>
      </c>
      <c r="M875" s="104" t="s">
        <v>300</v>
      </c>
      <c r="N875" s="105" t="s">
        <v>4105</v>
      </c>
      <c r="O875" s="105" t="s">
        <v>276</v>
      </c>
      <c r="P875" s="95" t="s">
        <v>235</v>
      </c>
      <c r="Q875" s="106">
        <v>39472</v>
      </c>
      <c r="R875" s="105" t="s">
        <v>276</v>
      </c>
      <c r="S875" s="95" t="s">
        <v>4046</v>
      </c>
      <c r="T875" s="95" t="s">
        <v>4047</v>
      </c>
      <c r="U875" s="95" t="s">
        <v>276</v>
      </c>
      <c r="V875" s="94" t="s">
        <v>14</v>
      </c>
      <c r="W875" s="104" t="s">
        <v>98</v>
      </c>
      <c r="X875" s="105" t="s">
        <v>208</v>
      </c>
      <c r="Y875" s="98" t="s">
        <v>98</v>
      </c>
      <c r="Z875" s="107" t="s">
        <v>98</v>
      </c>
      <c r="AA875" s="105" t="s">
        <v>276</v>
      </c>
      <c r="AB875" s="105" t="s">
        <v>276</v>
      </c>
      <c r="AC875" s="311">
        <v>3.4000000000000002E-2</v>
      </c>
      <c r="AD875" s="94" t="s">
        <v>4048</v>
      </c>
      <c r="AE875" s="311">
        <v>5.2999999999999999E-2</v>
      </c>
      <c r="AF875" s="94" t="s">
        <v>4048</v>
      </c>
      <c r="AG875" s="95" t="s">
        <v>4123</v>
      </c>
      <c r="AH875" s="95" t="s">
        <v>866</v>
      </c>
      <c r="AI875" s="107">
        <v>17</v>
      </c>
      <c r="AJ875" s="107">
        <v>17</v>
      </c>
      <c r="AK875" s="107">
        <v>60</v>
      </c>
      <c r="AL875" s="107">
        <v>34</v>
      </c>
      <c r="AM875" s="99" t="s">
        <v>292</v>
      </c>
      <c r="AN875" s="94" t="s">
        <v>276</v>
      </c>
      <c r="AO875" s="102">
        <f t="shared" si="268"/>
        <v>28.333333333333332</v>
      </c>
      <c r="AP875" s="94" t="s">
        <v>276</v>
      </c>
      <c r="AQ875" s="94" t="s">
        <v>276</v>
      </c>
      <c r="AR875" s="94" t="s">
        <v>276</v>
      </c>
      <c r="AS875" s="102">
        <f t="shared" si="269"/>
        <v>50</v>
      </c>
      <c r="AT875" s="94" t="s">
        <v>276</v>
      </c>
      <c r="AU875" s="94" t="s">
        <v>276</v>
      </c>
      <c r="AV875" s="95" t="s">
        <v>268</v>
      </c>
      <c r="AW875" s="108" t="s">
        <v>276</v>
      </c>
      <c r="AX875" s="108">
        <f t="shared" si="270"/>
        <v>0.56666666666666665</v>
      </c>
      <c r="AY875" s="105" t="s">
        <v>276</v>
      </c>
      <c r="AZ875" s="105" t="s">
        <v>276</v>
      </c>
      <c r="BA875" s="105" t="s">
        <v>276</v>
      </c>
      <c r="BB875" s="105" t="s">
        <v>282</v>
      </c>
      <c r="BC875" s="105" t="s">
        <v>276</v>
      </c>
      <c r="BD875" s="105" t="s">
        <v>276</v>
      </c>
      <c r="BE875" s="105" t="s">
        <v>276</v>
      </c>
      <c r="BF875" s="95" t="s">
        <v>426</v>
      </c>
      <c r="BG875" s="95" t="s">
        <v>4108</v>
      </c>
      <c r="BH875" s="9" t="s">
        <v>100</v>
      </c>
      <c r="BI875" s="9" t="s">
        <v>100</v>
      </c>
      <c r="BJ875" s="109"/>
      <c r="BK875" s="110"/>
      <c r="BL875" s="110"/>
      <c r="BM875" s="110"/>
      <c r="BN875" s="109"/>
      <c r="BO875" s="109"/>
      <c r="BP875" s="110"/>
    </row>
    <row r="876" spans="1:68" s="125" customFormat="1" ht="156" hidden="1" x14ac:dyDescent="0.35">
      <c r="A876" s="112">
        <v>645</v>
      </c>
      <c r="B876" s="112" t="s">
        <v>4041</v>
      </c>
      <c r="C876" s="112" t="s">
        <v>75</v>
      </c>
      <c r="D876" s="115" t="s">
        <v>4126</v>
      </c>
      <c r="E876" s="112" t="s">
        <v>39</v>
      </c>
      <c r="F876" s="113" t="s">
        <v>4043</v>
      </c>
      <c r="G876" s="113" t="s">
        <v>4044</v>
      </c>
      <c r="H876" s="112" t="s">
        <v>225</v>
      </c>
      <c r="I876" s="112" t="s">
        <v>98</v>
      </c>
      <c r="J876" s="113" t="s">
        <v>98</v>
      </c>
      <c r="K876" s="114" t="s">
        <v>98</v>
      </c>
      <c r="L876" s="114" t="s">
        <v>98</v>
      </c>
      <c r="M876" s="114" t="s">
        <v>98</v>
      </c>
      <c r="N876" s="115" t="s">
        <v>4127</v>
      </c>
      <c r="O876" s="115" t="s">
        <v>276</v>
      </c>
      <c r="P876" s="113" t="s">
        <v>236</v>
      </c>
      <c r="Q876" s="116">
        <v>39472</v>
      </c>
      <c r="R876" s="115" t="s">
        <v>276</v>
      </c>
      <c r="S876" s="113" t="s">
        <v>4046</v>
      </c>
      <c r="T876" s="113" t="s">
        <v>4047</v>
      </c>
      <c r="U876" s="113" t="s">
        <v>276</v>
      </c>
      <c r="V876" s="112" t="s">
        <v>14</v>
      </c>
      <c r="W876" s="114" t="s">
        <v>98</v>
      </c>
      <c r="X876" s="115" t="s">
        <v>208</v>
      </c>
      <c r="Y876" s="118" t="s">
        <v>98</v>
      </c>
      <c r="Z876" s="120" t="s">
        <v>98</v>
      </c>
      <c r="AA876" s="115" t="s">
        <v>276</v>
      </c>
      <c r="AB876" s="115" t="s">
        <v>276</v>
      </c>
      <c r="AC876" s="112">
        <v>0</v>
      </c>
      <c r="AD876" s="112" t="s">
        <v>98</v>
      </c>
      <c r="AE876" s="112">
        <v>0</v>
      </c>
      <c r="AF876" s="112" t="s">
        <v>98</v>
      </c>
      <c r="AG876" s="113" t="s">
        <v>4128</v>
      </c>
      <c r="AH876" s="113" t="s">
        <v>4129</v>
      </c>
      <c r="AI876" s="120">
        <v>47</v>
      </c>
      <c r="AJ876" s="120">
        <v>11</v>
      </c>
      <c r="AK876" s="120">
        <v>60</v>
      </c>
      <c r="AL876" s="120">
        <v>34</v>
      </c>
      <c r="AM876" s="119" t="s">
        <v>292</v>
      </c>
      <c r="AN876" s="112">
        <v>78</v>
      </c>
      <c r="AO876" s="121">
        <f t="shared" si="268"/>
        <v>78.333333333333329</v>
      </c>
      <c r="AP876" s="112" t="s">
        <v>276</v>
      </c>
      <c r="AQ876" s="112" t="s">
        <v>276</v>
      </c>
      <c r="AR876" s="112" t="s">
        <v>276</v>
      </c>
      <c r="AS876" s="121">
        <f t="shared" si="269"/>
        <v>32.352941176470587</v>
      </c>
      <c r="AT876" s="112" t="s">
        <v>276</v>
      </c>
      <c r="AU876" s="112" t="s">
        <v>276</v>
      </c>
      <c r="AV876" s="113" t="s">
        <v>268</v>
      </c>
      <c r="AW876" s="122" t="s">
        <v>276</v>
      </c>
      <c r="AX876" s="122">
        <f t="shared" si="270"/>
        <v>2.4212121212121214</v>
      </c>
      <c r="AY876" s="115" t="s">
        <v>276</v>
      </c>
      <c r="AZ876" s="115" t="s">
        <v>276</v>
      </c>
      <c r="BA876" s="115" t="s">
        <v>276</v>
      </c>
      <c r="BB876" s="115" t="s">
        <v>282</v>
      </c>
      <c r="BC876" s="115" t="s">
        <v>276</v>
      </c>
      <c r="BD876" s="115" t="s">
        <v>276</v>
      </c>
      <c r="BE876" s="115" t="s">
        <v>276</v>
      </c>
      <c r="BF876" s="113" t="s">
        <v>4130</v>
      </c>
      <c r="BG876" s="113" t="s">
        <v>4108</v>
      </c>
      <c r="BH876" s="9" t="s">
        <v>100</v>
      </c>
      <c r="BI876" s="9" t="s">
        <v>100</v>
      </c>
      <c r="BJ876" s="123"/>
      <c r="BK876" s="124"/>
      <c r="BL876" s="124"/>
      <c r="BM876" s="124"/>
      <c r="BN876" s="123"/>
      <c r="BO876" s="123"/>
      <c r="BP876" s="124"/>
    </row>
    <row r="877" spans="1:68" s="320" customFormat="1" ht="78" hidden="1" x14ac:dyDescent="0.35">
      <c r="A877" s="175">
        <v>643</v>
      </c>
      <c r="B877" s="175" t="s">
        <v>4054</v>
      </c>
      <c r="C877" s="175" t="s">
        <v>75</v>
      </c>
      <c r="D877" s="177" t="s">
        <v>4131</v>
      </c>
      <c r="E877" s="175" t="s">
        <v>39</v>
      </c>
      <c r="F877" s="176" t="s">
        <v>4043</v>
      </c>
      <c r="G877" s="176" t="s">
        <v>4044</v>
      </c>
      <c r="H877" s="175" t="s">
        <v>225</v>
      </c>
      <c r="I877" s="175" t="s">
        <v>98</v>
      </c>
      <c r="J877" s="176" t="s">
        <v>25</v>
      </c>
      <c r="K877" s="315" t="s">
        <v>300</v>
      </c>
      <c r="L877" s="315" t="s">
        <v>276</v>
      </c>
      <c r="M877" s="315" t="s">
        <v>300</v>
      </c>
      <c r="N877" s="177" t="s">
        <v>276</v>
      </c>
      <c r="O877" s="177" t="s">
        <v>276</v>
      </c>
      <c r="P877" s="176" t="s">
        <v>239</v>
      </c>
      <c r="Q877" s="200">
        <v>41409</v>
      </c>
      <c r="R877" s="316" t="s">
        <v>4057</v>
      </c>
      <c r="S877" s="176" t="s">
        <v>4058</v>
      </c>
      <c r="T877" s="176" t="s">
        <v>4058</v>
      </c>
      <c r="U877" s="176">
        <v>5</v>
      </c>
      <c r="V877" s="175" t="s">
        <v>14</v>
      </c>
      <c r="W877" s="315" t="s">
        <v>98</v>
      </c>
      <c r="X877" s="177" t="s">
        <v>208</v>
      </c>
      <c r="Y877" s="180">
        <v>1264</v>
      </c>
      <c r="Z877" s="317">
        <v>1186</v>
      </c>
      <c r="AA877" s="177" t="s">
        <v>276</v>
      </c>
      <c r="AB877" s="177" t="s">
        <v>276</v>
      </c>
      <c r="AC877" s="175">
        <v>7</v>
      </c>
      <c r="AD877" s="176" t="s">
        <v>4132</v>
      </c>
      <c r="AE877" s="175">
        <v>6</v>
      </c>
      <c r="AF877" s="176" t="s">
        <v>4132</v>
      </c>
      <c r="AG877" s="176" t="s">
        <v>4133</v>
      </c>
      <c r="AH877" s="176" t="s">
        <v>866</v>
      </c>
      <c r="AI877" s="317">
        <v>47</v>
      </c>
      <c r="AJ877" s="317">
        <v>16</v>
      </c>
      <c r="AK877" s="317">
        <f t="shared" ref="AK877:AL884" si="277">Y877</f>
        <v>1264</v>
      </c>
      <c r="AL877" s="317">
        <f t="shared" si="277"/>
        <v>1186</v>
      </c>
      <c r="AM877" s="179" t="s">
        <v>292</v>
      </c>
      <c r="AN877" s="175">
        <v>3.72</v>
      </c>
      <c r="AO877" s="181">
        <f t="shared" si="268"/>
        <v>3.7183544303797467</v>
      </c>
      <c r="AP877" s="175" t="s">
        <v>276</v>
      </c>
      <c r="AQ877" s="175" t="s">
        <v>276</v>
      </c>
      <c r="AR877" s="318">
        <v>1.35</v>
      </c>
      <c r="AS877" s="181">
        <f t="shared" si="269"/>
        <v>1.3490725126475549</v>
      </c>
      <c r="AT877" s="175" t="s">
        <v>276</v>
      </c>
      <c r="AU877" s="175" t="s">
        <v>276</v>
      </c>
      <c r="AV877" s="176" t="s">
        <v>268</v>
      </c>
      <c r="AW877" s="319" t="s">
        <v>276</v>
      </c>
      <c r="AX877" s="319">
        <f t="shared" si="270"/>
        <v>2.7562302215189871</v>
      </c>
      <c r="AY877" s="177" t="s">
        <v>276</v>
      </c>
      <c r="AZ877" s="177" t="s">
        <v>276</v>
      </c>
      <c r="BA877" s="177">
        <v>2.0000000000000001E-4</v>
      </c>
      <c r="BB877" s="177" t="s">
        <v>282</v>
      </c>
      <c r="BC877" s="177" t="s">
        <v>276</v>
      </c>
      <c r="BD877" s="177" t="s">
        <v>276</v>
      </c>
      <c r="BE877" s="177" t="s">
        <v>276</v>
      </c>
      <c r="BF877" s="176" t="s">
        <v>4134</v>
      </c>
      <c r="BG877" s="176" t="s">
        <v>4064</v>
      </c>
      <c r="BH877" s="9" t="s">
        <v>100</v>
      </c>
      <c r="BI877" s="9" t="s">
        <v>100</v>
      </c>
      <c r="BJ877" s="182"/>
      <c r="BK877" s="183"/>
      <c r="BL877" s="183"/>
      <c r="BM877" s="183"/>
      <c r="BN877" s="182"/>
      <c r="BO877" s="182"/>
      <c r="BP877" s="183"/>
    </row>
    <row r="878" spans="1:68" s="320" customFormat="1" ht="65" hidden="1" x14ac:dyDescent="0.35">
      <c r="A878" s="175">
        <v>643</v>
      </c>
      <c r="B878" s="175" t="s">
        <v>4054</v>
      </c>
      <c r="C878" s="175" t="s">
        <v>75</v>
      </c>
      <c r="D878" s="177" t="s">
        <v>4135</v>
      </c>
      <c r="E878" s="175" t="s">
        <v>39</v>
      </c>
      <c r="F878" s="176" t="s">
        <v>4043</v>
      </c>
      <c r="G878" s="176" t="s">
        <v>4044</v>
      </c>
      <c r="H878" s="175" t="s">
        <v>225</v>
      </c>
      <c r="I878" s="175" t="s">
        <v>98</v>
      </c>
      <c r="J878" s="176" t="s">
        <v>25</v>
      </c>
      <c r="K878" s="315" t="s">
        <v>930</v>
      </c>
      <c r="L878" s="315" t="s">
        <v>276</v>
      </c>
      <c r="M878" s="315" t="s">
        <v>300</v>
      </c>
      <c r="N878" s="177" t="s">
        <v>276</v>
      </c>
      <c r="O878" s="177" t="s">
        <v>276</v>
      </c>
      <c r="P878" s="176" t="s">
        <v>239</v>
      </c>
      <c r="Q878" s="200">
        <v>41409</v>
      </c>
      <c r="R878" s="316" t="s">
        <v>4057</v>
      </c>
      <c r="S878" s="176" t="s">
        <v>4058</v>
      </c>
      <c r="T878" s="176" t="s">
        <v>4058</v>
      </c>
      <c r="U878" s="176">
        <v>5</v>
      </c>
      <c r="V878" s="175" t="s">
        <v>14</v>
      </c>
      <c r="W878" s="315" t="s">
        <v>98</v>
      </c>
      <c r="X878" s="177" t="s">
        <v>208</v>
      </c>
      <c r="Y878" s="180">
        <v>1264</v>
      </c>
      <c r="Z878" s="317">
        <v>1186</v>
      </c>
      <c r="AA878" s="177" t="s">
        <v>276</v>
      </c>
      <c r="AB878" s="177" t="s">
        <v>276</v>
      </c>
      <c r="AC878" s="175">
        <v>7</v>
      </c>
      <c r="AD878" s="176" t="s">
        <v>4132</v>
      </c>
      <c r="AE878" s="175">
        <v>6</v>
      </c>
      <c r="AF878" s="176" t="s">
        <v>4132</v>
      </c>
      <c r="AG878" s="176" t="s">
        <v>4136</v>
      </c>
      <c r="AH878" s="176" t="s">
        <v>866</v>
      </c>
      <c r="AI878" s="317">
        <v>31</v>
      </c>
      <c r="AJ878" s="317">
        <v>6</v>
      </c>
      <c r="AK878" s="317">
        <f t="shared" si="277"/>
        <v>1264</v>
      </c>
      <c r="AL878" s="317">
        <f t="shared" si="277"/>
        <v>1186</v>
      </c>
      <c r="AM878" s="179" t="s">
        <v>292</v>
      </c>
      <c r="AN878" s="175">
        <v>2.4500000000000002</v>
      </c>
      <c r="AO878" s="181">
        <f t="shared" si="268"/>
        <v>2.4525316455696204</v>
      </c>
      <c r="AP878" s="175" t="s">
        <v>276</v>
      </c>
      <c r="AQ878" s="175" t="s">
        <v>276</v>
      </c>
      <c r="AR878" s="318">
        <v>0.5</v>
      </c>
      <c r="AS878" s="181">
        <f t="shared" si="269"/>
        <v>0.50590219224283306</v>
      </c>
      <c r="AT878" s="175" t="s">
        <v>276</v>
      </c>
      <c r="AU878" s="175" t="s">
        <v>276</v>
      </c>
      <c r="AV878" s="176" t="s">
        <v>268</v>
      </c>
      <c r="AW878" s="319" t="s">
        <v>276</v>
      </c>
      <c r="AX878" s="319">
        <f t="shared" si="270"/>
        <v>4.8478375527426163</v>
      </c>
      <c r="AY878" s="177" t="s">
        <v>276</v>
      </c>
      <c r="AZ878" s="177" t="s">
        <v>276</v>
      </c>
      <c r="BA878" s="177" t="s">
        <v>3368</v>
      </c>
      <c r="BB878" s="177" t="s">
        <v>282</v>
      </c>
      <c r="BC878" s="177" t="s">
        <v>276</v>
      </c>
      <c r="BD878" s="177" t="s">
        <v>276</v>
      </c>
      <c r="BE878" s="177" t="s">
        <v>276</v>
      </c>
      <c r="BF878" s="176" t="s">
        <v>426</v>
      </c>
      <c r="BG878" s="176" t="s">
        <v>4064</v>
      </c>
      <c r="BH878" s="9" t="s">
        <v>100</v>
      </c>
      <c r="BI878" s="9" t="s">
        <v>100</v>
      </c>
      <c r="BJ878" s="182"/>
      <c r="BK878" s="183"/>
      <c r="BL878" s="183"/>
      <c r="BM878" s="183"/>
      <c r="BN878" s="182"/>
      <c r="BO878" s="182"/>
      <c r="BP878" s="183"/>
    </row>
    <row r="879" spans="1:68" s="320" customFormat="1" ht="65" hidden="1" x14ac:dyDescent="0.35">
      <c r="A879" s="175">
        <v>643</v>
      </c>
      <c r="B879" s="175" t="s">
        <v>4054</v>
      </c>
      <c r="C879" s="175" t="s">
        <v>75</v>
      </c>
      <c r="D879" s="177" t="s">
        <v>4137</v>
      </c>
      <c r="E879" s="175" t="s">
        <v>39</v>
      </c>
      <c r="F879" s="176" t="s">
        <v>4043</v>
      </c>
      <c r="G879" s="176" t="s">
        <v>4044</v>
      </c>
      <c r="H879" s="175" t="s">
        <v>225</v>
      </c>
      <c r="I879" s="175" t="s">
        <v>98</v>
      </c>
      <c r="J879" s="176" t="s">
        <v>25</v>
      </c>
      <c r="K879" s="315" t="s">
        <v>934</v>
      </c>
      <c r="L879" s="315" t="s">
        <v>276</v>
      </c>
      <c r="M879" s="315" t="s">
        <v>300</v>
      </c>
      <c r="N879" s="177" t="s">
        <v>276</v>
      </c>
      <c r="O879" s="177" t="s">
        <v>276</v>
      </c>
      <c r="P879" s="176" t="s">
        <v>239</v>
      </c>
      <c r="Q879" s="200">
        <v>41409</v>
      </c>
      <c r="R879" s="316" t="s">
        <v>4057</v>
      </c>
      <c r="S879" s="176" t="s">
        <v>4058</v>
      </c>
      <c r="T879" s="176" t="s">
        <v>4058</v>
      </c>
      <c r="U879" s="176">
        <v>5</v>
      </c>
      <c r="V879" s="175" t="s">
        <v>14</v>
      </c>
      <c r="W879" s="315" t="s">
        <v>98</v>
      </c>
      <c r="X879" s="177" t="s">
        <v>208</v>
      </c>
      <c r="Y879" s="180">
        <v>1264</v>
      </c>
      <c r="Z879" s="317">
        <v>1186</v>
      </c>
      <c r="AA879" s="177" t="s">
        <v>276</v>
      </c>
      <c r="AB879" s="177" t="s">
        <v>276</v>
      </c>
      <c r="AC879" s="175">
        <v>7</v>
      </c>
      <c r="AD879" s="176" t="s">
        <v>4132</v>
      </c>
      <c r="AE879" s="175">
        <v>6</v>
      </c>
      <c r="AF879" s="176" t="s">
        <v>4132</v>
      </c>
      <c r="AG879" s="176" t="s">
        <v>4138</v>
      </c>
      <c r="AH879" s="176" t="s">
        <v>866</v>
      </c>
      <c r="AI879" s="317">
        <v>16</v>
      </c>
      <c r="AJ879" s="317">
        <v>10</v>
      </c>
      <c r="AK879" s="317">
        <f t="shared" si="277"/>
        <v>1264</v>
      </c>
      <c r="AL879" s="317">
        <f t="shared" si="277"/>
        <v>1186</v>
      </c>
      <c r="AM879" s="179" t="s">
        <v>292</v>
      </c>
      <c r="AN879" s="175">
        <v>1.26</v>
      </c>
      <c r="AO879" s="181">
        <f t="shared" si="268"/>
        <v>1.2658227848101267</v>
      </c>
      <c r="AP879" s="175" t="s">
        <v>276</v>
      </c>
      <c r="AQ879" s="175" t="s">
        <v>276</v>
      </c>
      <c r="AR879" s="318">
        <v>0.84</v>
      </c>
      <c r="AS879" s="181">
        <f t="shared" si="269"/>
        <v>0.84317032040472173</v>
      </c>
      <c r="AT879" s="175" t="s">
        <v>276</v>
      </c>
      <c r="AU879" s="175" t="s">
        <v>276</v>
      </c>
      <c r="AV879" s="176" t="s">
        <v>268</v>
      </c>
      <c r="AW879" s="319" t="s">
        <v>276</v>
      </c>
      <c r="AX879" s="319">
        <f t="shared" si="270"/>
        <v>1.5012658227848104</v>
      </c>
      <c r="AY879" s="177" t="s">
        <v>276</v>
      </c>
      <c r="AZ879" s="177" t="s">
        <v>276</v>
      </c>
      <c r="BA879" s="177" t="s">
        <v>276</v>
      </c>
      <c r="BB879" s="177" t="s">
        <v>282</v>
      </c>
      <c r="BC879" s="177" t="s">
        <v>276</v>
      </c>
      <c r="BD879" s="177" t="s">
        <v>276</v>
      </c>
      <c r="BE879" s="177" t="s">
        <v>276</v>
      </c>
      <c r="BF879" s="176" t="s">
        <v>426</v>
      </c>
      <c r="BG879" s="176" t="s">
        <v>4064</v>
      </c>
      <c r="BH879" s="9" t="s">
        <v>100</v>
      </c>
      <c r="BI879" s="9" t="s">
        <v>100</v>
      </c>
      <c r="BJ879" s="182"/>
      <c r="BK879" s="183"/>
      <c r="BL879" s="183"/>
      <c r="BM879" s="183"/>
      <c r="BN879" s="182"/>
      <c r="BO879" s="182"/>
      <c r="BP879" s="183"/>
    </row>
    <row r="880" spans="1:68" s="327" customFormat="1" ht="65" hidden="1" x14ac:dyDescent="0.35">
      <c r="A880" s="184">
        <v>643</v>
      </c>
      <c r="B880" s="184" t="s">
        <v>4054</v>
      </c>
      <c r="C880" s="184" t="s">
        <v>75</v>
      </c>
      <c r="D880" s="186" t="s">
        <v>4139</v>
      </c>
      <c r="E880" s="184" t="s">
        <v>39</v>
      </c>
      <c r="F880" s="185" t="s">
        <v>4043</v>
      </c>
      <c r="G880" s="185" t="s">
        <v>4044</v>
      </c>
      <c r="H880" s="184" t="s">
        <v>225</v>
      </c>
      <c r="I880" s="184" t="s">
        <v>98</v>
      </c>
      <c r="J880" s="185" t="s">
        <v>25</v>
      </c>
      <c r="K880" s="321" t="s">
        <v>304</v>
      </c>
      <c r="L880" s="321" t="s">
        <v>276</v>
      </c>
      <c r="M880" s="321" t="s">
        <v>300</v>
      </c>
      <c r="N880" s="186" t="s">
        <v>276</v>
      </c>
      <c r="O880" s="186" t="s">
        <v>276</v>
      </c>
      <c r="P880" s="185" t="s">
        <v>239</v>
      </c>
      <c r="Q880" s="322">
        <v>41409</v>
      </c>
      <c r="R880" s="323" t="s">
        <v>4057</v>
      </c>
      <c r="S880" s="185" t="s">
        <v>4058</v>
      </c>
      <c r="T880" s="185" t="s">
        <v>4058</v>
      </c>
      <c r="U880" s="185">
        <v>5</v>
      </c>
      <c r="V880" s="184" t="s">
        <v>14</v>
      </c>
      <c r="W880" s="321" t="s">
        <v>98</v>
      </c>
      <c r="X880" s="186" t="s">
        <v>208</v>
      </c>
      <c r="Y880" s="189">
        <v>1264</v>
      </c>
      <c r="Z880" s="324">
        <v>1186</v>
      </c>
      <c r="AA880" s="186" t="s">
        <v>276</v>
      </c>
      <c r="AB880" s="186" t="s">
        <v>276</v>
      </c>
      <c r="AC880" s="184">
        <v>7</v>
      </c>
      <c r="AD880" s="185" t="s">
        <v>4132</v>
      </c>
      <c r="AE880" s="184">
        <v>6</v>
      </c>
      <c r="AF880" s="185" t="s">
        <v>4132</v>
      </c>
      <c r="AG880" s="185" t="s">
        <v>4140</v>
      </c>
      <c r="AH880" s="185" t="s">
        <v>866</v>
      </c>
      <c r="AI880" s="324">
        <v>7</v>
      </c>
      <c r="AJ880" s="324">
        <v>5</v>
      </c>
      <c r="AK880" s="324">
        <f t="shared" si="277"/>
        <v>1264</v>
      </c>
      <c r="AL880" s="324">
        <f t="shared" si="277"/>
        <v>1186</v>
      </c>
      <c r="AM880" s="188" t="s">
        <v>292</v>
      </c>
      <c r="AN880" s="184" t="s">
        <v>276</v>
      </c>
      <c r="AO880" s="192">
        <f t="shared" si="268"/>
        <v>0.55379746835443033</v>
      </c>
      <c r="AP880" s="184" t="s">
        <v>276</v>
      </c>
      <c r="AQ880" s="184" t="s">
        <v>276</v>
      </c>
      <c r="AR880" s="325" t="s">
        <v>276</v>
      </c>
      <c r="AS880" s="192">
        <f t="shared" si="269"/>
        <v>0.42158516020236086</v>
      </c>
      <c r="AT880" s="184" t="s">
        <v>276</v>
      </c>
      <c r="AU880" s="184" t="s">
        <v>276</v>
      </c>
      <c r="AV880" s="185" t="s">
        <v>268</v>
      </c>
      <c r="AW880" s="326" t="s">
        <v>276</v>
      </c>
      <c r="AX880" s="326">
        <f t="shared" si="270"/>
        <v>1.3136075949367088</v>
      </c>
      <c r="AY880" s="186" t="s">
        <v>276</v>
      </c>
      <c r="AZ880" s="186" t="s">
        <v>276</v>
      </c>
      <c r="BA880" s="186" t="s">
        <v>276</v>
      </c>
      <c r="BB880" s="186" t="s">
        <v>282</v>
      </c>
      <c r="BC880" s="186" t="s">
        <v>276</v>
      </c>
      <c r="BD880" s="186" t="s">
        <v>276</v>
      </c>
      <c r="BE880" s="186" t="s">
        <v>276</v>
      </c>
      <c r="BF880" s="185" t="s">
        <v>426</v>
      </c>
      <c r="BG880" s="185" t="s">
        <v>4064</v>
      </c>
      <c r="BH880" s="9" t="s">
        <v>100</v>
      </c>
      <c r="BI880" s="9" t="s">
        <v>100</v>
      </c>
      <c r="BJ880" s="193"/>
      <c r="BK880" s="194"/>
      <c r="BL880" s="194"/>
      <c r="BM880" s="194"/>
      <c r="BN880" s="193"/>
      <c r="BO880" s="193"/>
      <c r="BP880" s="194"/>
    </row>
    <row r="881" spans="1:68" s="320" customFormat="1" ht="65" hidden="1" x14ac:dyDescent="0.35">
      <c r="A881" s="175">
        <v>643</v>
      </c>
      <c r="B881" s="175" t="s">
        <v>4054</v>
      </c>
      <c r="C881" s="175" t="s">
        <v>75</v>
      </c>
      <c r="D881" s="177" t="s">
        <v>4141</v>
      </c>
      <c r="E881" s="175" t="s">
        <v>39</v>
      </c>
      <c r="F881" s="176" t="s">
        <v>4043</v>
      </c>
      <c r="G881" s="176" t="s">
        <v>4044</v>
      </c>
      <c r="H881" s="175" t="s">
        <v>225</v>
      </c>
      <c r="I881" s="175" t="s">
        <v>98</v>
      </c>
      <c r="J881" s="176" t="s">
        <v>25</v>
      </c>
      <c r="K881" s="315" t="s">
        <v>947</v>
      </c>
      <c r="L881" s="315" t="s">
        <v>276</v>
      </c>
      <c r="M881" s="315" t="s">
        <v>300</v>
      </c>
      <c r="N881" s="177" t="s">
        <v>276</v>
      </c>
      <c r="O881" s="177" t="s">
        <v>276</v>
      </c>
      <c r="P881" s="176" t="s">
        <v>239</v>
      </c>
      <c r="Q881" s="200">
        <v>41409</v>
      </c>
      <c r="R881" s="316" t="s">
        <v>4057</v>
      </c>
      <c r="S881" s="176" t="s">
        <v>4058</v>
      </c>
      <c r="T881" s="176" t="s">
        <v>4058</v>
      </c>
      <c r="U881" s="176">
        <v>5</v>
      </c>
      <c r="V881" s="175" t="s">
        <v>14</v>
      </c>
      <c r="W881" s="315" t="s">
        <v>98</v>
      </c>
      <c r="X881" s="177" t="s">
        <v>208</v>
      </c>
      <c r="Y881" s="180">
        <v>1264</v>
      </c>
      <c r="Z881" s="317">
        <v>1186</v>
      </c>
      <c r="AA881" s="177" t="s">
        <v>276</v>
      </c>
      <c r="AB881" s="177" t="s">
        <v>276</v>
      </c>
      <c r="AC881" s="175">
        <v>7</v>
      </c>
      <c r="AD881" s="176" t="s">
        <v>4132</v>
      </c>
      <c r="AE881" s="175">
        <v>6</v>
      </c>
      <c r="AF881" s="176" t="s">
        <v>4132</v>
      </c>
      <c r="AG881" s="176" t="s">
        <v>4142</v>
      </c>
      <c r="AH881" s="176" t="s">
        <v>866</v>
      </c>
      <c r="AI881" s="317">
        <v>9</v>
      </c>
      <c r="AJ881" s="317">
        <v>6</v>
      </c>
      <c r="AK881" s="317">
        <f t="shared" si="277"/>
        <v>1264</v>
      </c>
      <c r="AL881" s="317">
        <f t="shared" si="277"/>
        <v>1186</v>
      </c>
      <c r="AM881" s="179" t="s">
        <v>292</v>
      </c>
      <c r="AN881" s="175" t="s">
        <v>276</v>
      </c>
      <c r="AO881" s="181">
        <f t="shared" si="268"/>
        <v>0.71202531645569622</v>
      </c>
      <c r="AP881" s="175" t="s">
        <v>276</v>
      </c>
      <c r="AQ881" s="175" t="s">
        <v>276</v>
      </c>
      <c r="AR881" s="318" t="s">
        <v>276</v>
      </c>
      <c r="AS881" s="181">
        <f t="shared" si="269"/>
        <v>0.50590219224283306</v>
      </c>
      <c r="AT881" s="175" t="s">
        <v>276</v>
      </c>
      <c r="AU881" s="175" t="s">
        <v>276</v>
      </c>
      <c r="AV881" s="176" t="s">
        <v>268</v>
      </c>
      <c r="AW881" s="319" t="s">
        <v>276</v>
      </c>
      <c r="AX881" s="319">
        <f t="shared" si="270"/>
        <v>1.4074367088607596</v>
      </c>
      <c r="AY881" s="177" t="s">
        <v>276</v>
      </c>
      <c r="AZ881" s="177" t="s">
        <v>276</v>
      </c>
      <c r="BA881" s="177" t="s">
        <v>276</v>
      </c>
      <c r="BB881" s="177" t="s">
        <v>282</v>
      </c>
      <c r="BC881" s="177" t="s">
        <v>276</v>
      </c>
      <c r="BD881" s="177" t="s">
        <v>276</v>
      </c>
      <c r="BE881" s="177" t="s">
        <v>276</v>
      </c>
      <c r="BF881" s="176" t="s">
        <v>426</v>
      </c>
      <c r="BG881" s="176" t="s">
        <v>4064</v>
      </c>
      <c r="BH881" s="9" t="s">
        <v>100</v>
      </c>
      <c r="BI881" s="9" t="s">
        <v>100</v>
      </c>
      <c r="BJ881" s="182"/>
      <c r="BK881" s="183"/>
      <c r="BL881" s="183"/>
      <c r="BM881" s="183"/>
      <c r="BN881" s="182"/>
      <c r="BO881" s="182"/>
      <c r="BP881" s="183"/>
    </row>
    <row r="882" spans="1:68" s="320" customFormat="1" ht="65" hidden="1" x14ac:dyDescent="0.35">
      <c r="A882" s="175">
        <v>643</v>
      </c>
      <c r="B882" s="175" t="s">
        <v>4054</v>
      </c>
      <c r="C882" s="175" t="s">
        <v>75</v>
      </c>
      <c r="D882" s="177" t="s">
        <v>4143</v>
      </c>
      <c r="E882" s="175" t="s">
        <v>39</v>
      </c>
      <c r="F882" s="176" t="s">
        <v>4043</v>
      </c>
      <c r="G882" s="176" t="s">
        <v>4044</v>
      </c>
      <c r="H882" s="175" t="s">
        <v>225</v>
      </c>
      <c r="I882" s="175" t="s">
        <v>98</v>
      </c>
      <c r="J882" s="176" t="s">
        <v>25</v>
      </c>
      <c r="K882" s="315" t="s">
        <v>950</v>
      </c>
      <c r="L882" s="315" t="s">
        <v>276</v>
      </c>
      <c r="M882" s="315" t="s">
        <v>300</v>
      </c>
      <c r="N882" s="177" t="s">
        <v>276</v>
      </c>
      <c r="O882" s="177" t="s">
        <v>276</v>
      </c>
      <c r="P882" s="176" t="s">
        <v>239</v>
      </c>
      <c r="Q882" s="200">
        <v>41409</v>
      </c>
      <c r="R882" s="316" t="s">
        <v>4057</v>
      </c>
      <c r="S882" s="176" t="s">
        <v>4058</v>
      </c>
      <c r="T882" s="176" t="s">
        <v>4058</v>
      </c>
      <c r="U882" s="176">
        <v>5</v>
      </c>
      <c r="V882" s="175" t="s">
        <v>14</v>
      </c>
      <c r="W882" s="315" t="s">
        <v>98</v>
      </c>
      <c r="X882" s="177" t="s">
        <v>208</v>
      </c>
      <c r="Y882" s="180">
        <v>1264</v>
      </c>
      <c r="Z882" s="317">
        <v>1186</v>
      </c>
      <c r="AA882" s="177" t="s">
        <v>276</v>
      </c>
      <c r="AB882" s="177" t="s">
        <v>276</v>
      </c>
      <c r="AC882" s="175">
        <v>7</v>
      </c>
      <c r="AD882" s="176" t="s">
        <v>4132</v>
      </c>
      <c r="AE882" s="175">
        <v>6</v>
      </c>
      <c r="AF882" s="176" t="s">
        <v>4132</v>
      </c>
      <c r="AG882" s="176" t="s">
        <v>4144</v>
      </c>
      <c r="AH882" s="176" t="s">
        <v>866</v>
      </c>
      <c r="AI882" s="317">
        <v>8</v>
      </c>
      <c r="AJ882" s="317">
        <v>6</v>
      </c>
      <c r="AK882" s="317">
        <f t="shared" si="277"/>
        <v>1264</v>
      </c>
      <c r="AL882" s="317">
        <f t="shared" si="277"/>
        <v>1186</v>
      </c>
      <c r="AM882" s="179" t="s">
        <v>292</v>
      </c>
      <c r="AN882" s="175" t="s">
        <v>276</v>
      </c>
      <c r="AO882" s="181">
        <f t="shared" si="268"/>
        <v>0.63291139240506333</v>
      </c>
      <c r="AP882" s="175" t="s">
        <v>276</v>
      </c>
      <c r="AQ882" s="175" t="s">
        <v>276</v>
      </c>
      <c r="AR882" s="318" t="s">
        <v>276</v>
      </c>
      <c r="AS882" s="181">
        <f t="shared" si="269"/>
        <v>0.50590219224283306</v>
      </c>
      <c r="AT882" s="175" t="s">
        <v>276</v>
      </c>
      <c r="AU882" s="175" t="s">
        <v>276</v>
      </c>
      <c r="AV882" s="176" t="s">
        <v>268</v>
      </c>
      <c r="AW882" s="319" t="s">
        <v>276</v>
      </c>
      <c r="AX882" s="319">
        <f t="shared" si="270"/>
        <v>1.2510548523206753</v>
      </c>
      <c r="AY882" s="177" t="s">
        <v>276</v>
      </c>
      <c r="AZ882" s="177" t="s">
        <v>276</v>
      </c>
      <c r="BA882" s="177" t="s">
        <v>276</v>
      </c>
      <c r="BB882" s="177" t="s">
        <v>282</v>
      </c>
      <c r="BC882" s="177" t="s">
        <v>276</v>
      </c>
      <c r="BD882" s="177" t="s">
        <v>276</v>
      </c>
      <c r="BE882" s="177" t="s">
        <v>276</v>
      </c>
      <c r="BF882" s="176" t="s">
        <v>426</v>
      </c>
      <c r="BG882" s="176" t="s">
        <v>4064</v>
      </c>
      <c r="BH882" s="9" t="s">
        <v>100</v>
      </c>
      <c r="BI882" s="9" t="s">
        <v>100</v>
      </c>
      <c r="BJ882" s="182"/>
      <c r="BK882" s="183"/>
      <c r="BL882" s="183"/>
      <c r="BM882" s="183"/>
      <c r="BN882" s="182"/>
      <c r="BO882" s="182"/>
      <c r="BP882" s="183"/>
    </row>
    <row r="883" spans="1:68" s="327" customFormat="1" ht="65" hidden="1" x14ac:dyDescent="0.35">
      <c r="A883" s="184">
        <v>643</v>
      </c>
      <c r="B883" s="184" t="s">
        <v>4054</v>
      </c>
      <c r="C883" s="184" t="s">
        <v>75</v>
      </c>
      <c r="D883" s="186" t="s">
        <v>4145</v>
      </c>
      <c r="E883" s="184" t="s">
        <v>39</v>
      </c>
      <c r="F883" s="185" t="s">
        <v>4043</v>
      </c>
      <c r="G883" s="185" t="s">
        <v>4044</v>
      </c>
      <c r="H883" s="184" t="s">
        <v>225</v>
      </c>
      <c r="I883" s="184" t="s">
        <v>98</v>
      </c>
      <c r="J883" s="185" t="s">
        <v>25</v>
      </c>
      <c r="K883" s="321" t="s">
        <v>314</v>
      </c>
      <c r="L883" s="321" t="s">
        <v>276</v>
      </c>
      <c r="M883" s="321" t="s">
        <v>300</v>
      </c>
      <c r="N883" s="186" t="s">
        <v>276</v>
      </c>
      <c r="O883" s="186" t="s">
        <v>276</v>
      </c>
      <c r="P883" s="185" t="s">
        <v>239</v>
      </c>
      <c r="Q883" s="322">
        <v>41409</v>
      </c>
      <c r="R883" s="323" t="s">
        <v>4057</v>
      </c>
      <c r="S883" s="185" t="s">
        <v>4058</v>
      </c>
      <c r="T883" s="185" t="s">
        <v>4058</v>
      </c>
      <c r="U883" s="185">
        <v>5</v>
      </c>
      <c r="V883" s="184" t="s">
        <v>14</v>
      </c>
      <c r="W883" s="321" t="s">
        <v>98</v>
      </c>
      <c r="X883" s="186" t="s">
        <v>208</v>
      </c>
      <c r="Y883" s="189">
        <v>1264</v>
      </c>
      <c r="Z883" s="324">
        <v>1186</v>
      </c>
      <c r="AA883" s="186" t="s">
        <v>276</v>
      </c>
      <c r="AB883" s="186" t="s">
        <v>276</v>
      </c>
      <c r="AC883" s="184">
        <v>7</v>
      </c>
      <c r="AD883" s="185" t="s">
        <v>4132</v>
      </c>
      <c r="AE883" s="184">
        <v>6</v>
      </c>
      <c r="AF883" s="185" t="s">
        <v>4132</v>
      </c>
      <c r="AG883" s="185" t="s">
        <v>4146</v>
      </c>
      <c r="AH883" s="185" t="s">
        <v>866</v>
      </c>
      <c r="AI883" s="324">
        <v>26</v>
      </c>
      <c r="AJ883" s="324">
        <v>33</v>
      </c>
      <c r="AK883" s="324">
        <f t="shared" ref="AK883" si="278">Y883</f>
        <v>1264</v>
      </c>
      <c r="AL883" s="324">
        <f t="shared" ref="AL883" si="279">Z883</f>
        <v>1186</v>
      </c>
      <c r="AM883" s="188" t="s">
        <v>292</v>
      </c>
      <c r="AN883" s="184">
        <v>2.06</v>
      </c>
      <c r="AO883" s="192">
        <f t="shared" ref="AO883" si="280">AI883*100/AK883</f>
        <v>2.0569620253164556</v>
      </c>
      <c r="AP883" s="184" t="s">
        <v>276</v>
      </c>
      <c r="AQ883" s="184" t="s">
        <v>276</v>
      </c>
      <c r="AR883" s="325">
        <v>2.78</v>
      </c>
      <c r="AS883" s="192">
        <f t="shared" ref="AS883" si="281">AJ883*100/AL883</f>
        <v>2.7824620573355818</v>
      </c>
      <c r="AT883" s="184" t="s">
        <v>276</v>
      </c>
      <c r="AU883" s="184" t="s">
        <v>276</v>
      </c>
      <c r="AV883" s="185" t="s">
        <v>268</v>
      </c>
      <c r="AW883" s="326" t="s">
        <v>276</v>
      </c>
      <c r="AX883" s="326">
        <f t="shared" ref="AX883" si="282">AO883/AS883</f>
        <v>0.7392596854622171</v>
      </c>
      <c r="AY883" s="186" t="s">
        <v>276</v>
      </c>
      <c r="AZ883" s="186" t="s">
        <v>276</v>
      </c>
      <c r="BA883" s="186">
        <v>0.29149999999999998</v>
      </c>
      <c r="BB883" s="186" t="s">
        <v>282</v>
      </c>
      <c r="BC883" s="186" t="s">
        <v>276</v>
      </c>
      <c r="BD883" s="186" t="s">
        <v>276</v>
      </c>
      <c r="BE883" s="186" t="s">
        <v>276</v>
      </c>
      <c r="BF883" s="185" t="s">
        <v>426</v>
      </c>
      <c r="BG883" s="185" t="s">
        <v>4064</v>
      </c>
      <c r="BH883" s="9" t="s">
        <v>100</v>
      </c>
      <c r="BI883" s="9" t="s">
        <v>100</v>
      </c>
      <c r="BJ883" s="193"/>
      <c r="BK883" s="194"/>
      <c r="BL883" s="194"/>
      <c r="BM883" s="194"/>
      <c r="BN883" s="193"/>
      <c r="BO883" s="193"/>
      <c r="BP883" s="194"/>
    </row>
    <row r="884" spans="1:68" s="327" customFormat="1" ht="65" hidden="1" x14ac:dyDescent="0.35">
      <c r="A884" s="184">
        <v>643</v>
      </c>
      <c r="B884" s="184" t="s">
        <v>4054</v>
      </c>
      <c r="C884" s="184" t="s">
        <v>75</v>
      </c>
      <c r="D884" s="186" t="s">
        <v>11580</v>
      </c>
      <c r="E884" s="184" t="s">
        <v>39</v>
      </c>
      <c r="F884" s="185" t="s">
        <v>4043</v>
      </c>
      <c r="G884" s="185" t="s">
        <v>4044</v>
      </c>
      <c r="H884" s="184" t="s">
        <v>225</v>
      </c>
      <c r="I884" s="184" t="s">
        <v>98</v>
      </c>
      <c r="J884" s="185" t="s">
        <v>25</v>
      </c>
      <c r="K884" s="321" t="s">
        <v>317</v>
      </c>
      <c r="L884" s="321" t="s">
        <v>276</v>
      </c>
      <c r="M884" s="321" t="s">
        <v>300</v>
      </c>
      <c r="N884" s="186" t="s">
        <v>276</v>
      </c>
      <c r="O884" s="186" t="s">
        <v>276</v>
      </c>
      <c r="P884" s="185" t="s">
        <v>239</v>
      </c>
      <c r="Q884" s="322">
        <v>41409</v>
      </c>
      <c r="R884" s="323" t="s">
        <v>4057</v>
      </c>
      <c r="S884" s="185" t="s">
        <v>4058</v>
      </c>
      <c r="T884" s="185" t="s">
        <v>4058</v>
      </c>
      <c r="U884" s="185">
        <v>5</v>
      </c>
      <c r="V884" s="184" t="s">
        <v>14</v>
      </c>
      <c r="W884" s="321" t="s">
        <v>98</v>
      </c>
      <c r="X884" s="186" t="s">
        <v>208</v>
      </c>
      <c r="Y884" s="189">
        <v>1264</v>
      </c>
      <c r="Z884" s="324">
        <v>1186</v>
      </c>
      <c r="AA884" s="186" t="s">
        <v>276</v>
      </c>
      <c r="AB884" s="186" t="s">
        <v>276</v>
      </c>
      <c r="AC884" s="184">
        <v>7</v>
      </c>
      <c r="AD884" s="185" t="s">
        <v>4132</v>
      </c>
      <c r="AE884" s="184">
        <v>6</v>
      </c>
      <c r="AF884" s="185" t="s">
        <v>4132</v>
      </c>
      <c r="AG884" s="185" t="s">
        <v>11581</v>
      </c>
      <c r="AH884" s="185" t="s">
        <v>866</v>
      </c>
      <c r="AI884" s="324">
        <f>26+9+8</f>
        <v>43</v>
      </c>
      <c r="AJ884" s="324">
        <f>33+6+6</f>
        <v>45</v>
      </c>
      <c r="AK884" s="324">
        <f t="shared" si="277"/>
        <v>1264</v>
      </c>
      <c r="AL884" s="324">
        <f t="shared" si="277"/>
        <v>1186</v>
      </c>
      <c r="AM884" s="188" t="s">
        <v>292</v>
      </c>
      <c r="AN884" s="184">
        <v>2.06</v>
      </c>
      <c r="AO884" s="192">
        <f t="shared" si="268"/>
        <v>3.4018987341772151</v>
      </c>
      <c r="AP884" s="184" t="s">
        <v>276</v>
      </c>
      <c r="AQ884" s="184" t="s">
        <v>276</v>
      </c>
      <c r="AR884" s="325">
        <v>2.78</v>
      </c>
      <c r="AS884" s="192">
        <f t="shared" si="269"/>
        <v>3.7942664418212479</v>
      </c>
      <c r="AT884" s="184" t="s">
        <v>276</v>
      </c>
      <c r="AU884" s="184" t="s">
        <v>276</v>
      </c>
      <c r="AV884" s="185" t="s">
        <v>268</v>
      </c>
      <c r="AW884" s="326" t="s">
        <v>276</v>
      </c>
      <c r="AX884" s="326">
        <f t="shared" si="270"/>
        <v>0.89658931082981708</v>
      </c>
      <c r="AY884" s="186" t="s">
        <v>276</v>
      </c>
      <c r="AZ884" s="186" t="s">
        <v>276</v>
      </c>
      <c r="BA884" s="186">
        <v>0.29149999999999998</v>
      </c>
      <c r="BB884" s="186" t="s">
        <v>282</v>
      </c>
      <c r="BC884" s="186" t="s">
        <v>276</v>
      </c>
      <c r="BD884" s="186" t="s">
        <v>276</v>
      </c>
      <c r="BE884" s="186" t="s">
        <v>276</v>
      </c>
      <c r="BF884" s="185" t="s">
        <v>426</v>
      </c>
      <c r="BG884" s="185" t="s">
        <v>4064</v>
      </c>
      <c r="BH884" s="9" t="s">
        <v>100</v>
      </c>
      <c r="BI884" s="9" t="s">
        <v>100</v>
      </c>
      <c r="BJ884" s="193"/>
      <c r="BK884" s="194"/>
      <c r="BL884" s="194"/>
      <c r="BM884" s="194"/>
      <c r="BN884" s="193"/>
      <c r="BO884" s="193"/>
      <c r="BP884" s="194"/>
    </row>
    <row r="885" spans="1:68" s="327" customFormat="1" ht="65" hidden="1" x14ac:dyDescent="0.35">
      <c r="A885" s="184">
        <v>643</v>
      </c>
      <c r="B885" s="184" t="s">
        <v>4054</v>
      </c>
      <c r="C885" s="184" t="s">
        <v>75</v>
      </c>
      <c r="D885" s="186" t="s">
        <v>4147</v>
      </c>
      <c r="E885" s="184" t="s">
        <v>39</v>
      </c>
      <c r="F885" s="185" t="s">
        <v>4043</v>
      </c>
      <c r="G885" s="185" t="s">
        <v>4044</v>
      </c>
      <c r="H885" s="184" t="s">
        <v>225</v>
      </c>
      <c r="I885" s="184" t="s">
        <v>98</v>
      </c>
      <c r="J885" s="185" t="s">
        <v>25</v>
      </c>
      <c r="K885" s="321" t="s">
        <v>314</v>
      </c>
      <c r="L885" s="321" t="s">
        <v>276</v>
      </c>
      <c r="M885" s="321" t="s">
        <v>300</v>
      </c>
      <c r="N885" s="186" t="s">
        <v>276</v>
      </c>
      <c r="O885" s="186" t="s">
        <v>276</v>
      </c>
      <c r="P885" s="185" t="s">
        <v>235</v>
      </c>
      <c r="Q885" s="322">
        <v>41409</v>
      </c>
      <c r="R885" s="323" t="s">
        <v>4057</v>
      </c>
      <c r="S885" s="185" t="s">
        <v>4058</v>
      </c>
      <c r="T885" s="185" t="s">
        <v>4058</v>
      </c>
      <c r="U885" s="185">
        <v>5</v>
      </c>
      <c r="V885" s="184" t="s">
        <v>14</v>
      </c>
      <c r="W885" s="321" t="s">
        <v>98</v>
      </c>
      <c r="X885" s="186" t="s">
        <v>208</v>
      </c>
      <c r="Y885" s="189" t="s">
        <v>98</v>
      </c>
      <c r="Z885" s="324" t="s">
        <v>98</v>
      </c>
      <c r="AA885" s="186" t="s">
        <v>276</v>
      </c>
      <c r="AB885" s="186" t="s">
        <v>276</v>
      </c>
      <c r="AC885" s="184">
        <v>7</v>
      </c>
      <c r="AD885" s="185" t="s">
        <v>4132</v>
      </c>
      <c r="AE885" s="184">
        <v>6</v>
      </c>
      <c r="AF885" s="185" t="s">
        <v>4132</v>
      </c>
      <c r="AG885" s="185" t="s">
        <v>4146</v>
      </c>
      <c r="AH885" s="185" t="s">
        <v>4148</v>
      </c>
      <c r="AI885" s="324">
        <v>26</v>
      </c>
      <c r="AJ885" s="324">
        <v>33</v>
      </c>
      <c r="AK885" s="324">
        <v>104</v>
      </c>
      <c r="AL885" s="324">
        <v>72</v>
      </c>
      <c r="AM885" s="188" t="s">
        <v>292</v>
      </c>
      <c r="AN885" s="184" t="s">
        <v>276</v>
      </c>
      <c r="AO885" s="192">
        <f t="shared" si="268"/>
        <v>25</v>
      </c>
      <c r="AP885" s="184" t="s">
        <v>276</v>
      </c>
      <c r="AQ885" s="184" t="s">
        <v>276</v>
      </c>
      <c r="AR885" s="325" t="s">
        <v>276</v>
      </c>
      <c r="AS885" s="192">
        <f t="shared" si="269"/>
        <v>45.833333333333336</v>
      </c>
      <c r="AT885" s="184" t="s">
        <v>276</v>
      </c>
      <c r="AU885" s="184" t="s">
        <v>276</v>
      </c>
      <c r="AV885" s="185" t="s">
        <v>268</v>
      </c>
      <c r="AW885" s="326" t="s">
        <v>276</v>
      </c>
      <c r="AX885" s="326">
        <f t="shared" si="270"/>
        <v>0.54545454545454541</v>
      </c>
      <c r="AY885" s="186" t="s">
        <v>276</v>
      </c>
      <c r="AZ885" s="186" t="s">
        <v>276</v>
      </c>
      <c r="BA885" s="186" t="s">
        <v>276</v>
      </c>
      <c r="BB885" s="186" t="s">
        <v>282</v>
      </c>
      <c r="BC885" s="186" t="s">
        <v>276</v>
      </c>
      <c r="BD885" s="186" t="s">
        <v>276</v>
      </c>
      <c r="BE885" s="186" t="s">
        <v>276</v>
      </c>
      <c r="BF885" s="185" t="s">
        <v>4149</v>
      </c>
      <c r="BG885" s="185" t="s">
        <v>4064</v>
      </c>
      <c r="BH885" s="9" t="s">
        <v>100</v>
      </c>
      <c r="BI885" s="9" t="s">
        <v>100</v>
      </c>
      <c r="BJ885" s="193"/>
      <c r="BK885" s="194"/>
      <c r="BL885" s="194"/>
      <c r="BM885" s="194"/>
      <c r="BN885" s="193"/>
      <c r="BO885" s="193"/>
      <c r="BP885" s="194"/>
    </row>
    <row r="886" spans="1:68" s="320" customFormat="1" ht="65" hidden="1" x14ac:dyDescent="0.35">
      <c r="A886" s="175">
        <v>643</v>
      </c>
      <c r="B886" s="175" t="s">
        <v>4054</v>
      </c>
      <c r="C886" s="175" t="s">
        <v>75</v>
      </c>
      <c r="D886" s="177" t="s">
        <v>4150</v>
      </c>
      <c r="E886" s="175" t="s">
        <v>39</v>
      </c>
      <c r="F886" s="176" t="s">
        <v>4043</v>
      </c>
      <c r="G886" s="176" t="s">
        <v>4044</v>
      </c>
      <c r="H886" s="175" t="s">
        <v>225</v>
      </c>
      <c r="I886" s="175" t="s">
        <v>98</v>
      </c>
      <c r="J886" s="176" t="s">
        <v>25</v>
      </c>
      <c r="K886" s="315" t="s">
        <v>4151</v>
      </c>
      <c r="L886" s="315" t="s">
        <v>276</v>
      </c>
      <c r="M886" s="315" t="s">
        <v>300</v>
      </c>
      <c r="N886" s="177" t="s">
        <v>276</v>
      </c>
      <c r="O886" s="177" t="s">
        <v>276</v>
      </c>
      <c r="P886" s="176" t="s">
        <v>239</v>
      </c>
      <c r="Q886" s="200">
        <v>41409</v>
      </c>
      <c r="R886" s="316" t="s">
        <v>4057</v>
      </c>
      <c r="S886" s="176" t="s">
        <v>4058</v>
      </c>
      <c r="T886" s="176" t="s">
        <v>4058</v>
      </c>
      <c r="U886" s="176">
        <v>5</v>
      </c>
      <c r="V886" s="175" t="s">
        <v>14</v>
      </c>
      <c r="W886" s="315" t="s">
        <v>98</v>
      </c>
      <c r="X886" s="177" t="s">
        <v>208</v>
      </c>
      <c r="Y886" s="180">
        <v>1264</v>
      </c>
      <c r="Z886" s="317">
        <v>1186</v>
      </c>
      <c r="AA886" s="177" t="s">
        <v>276</v>
      </c>
      <c r="AB886" s="177" t="s">
        <v>276</v>
      </c>
      <c r="AC886" s="175">
        <v>7</v>
      </c>
      <c r="AD886" s="176" t="s">
        <v>4132</v>
      </c>
      <c r="AE886" s="175">
        <v>6</v>
      </c>
      <c r="AF886" s="176" t="s">
        <v>4132</v>
      </c>
      <c r="AG886" s="176" t="s">
        <v>4152</v>
      </c>
      <c r="AH886" s="176" t="s">
        <v>866</v>
      </c>
      <c r="AI886" s="317">
        <f>AI880+AI881+AI882+AI884</f>
        <v>67</v>
      </c>
      <c r="AJ886" s="317">
        <f>AJ880+AJ881+AJ882+AJ884</f>
        <v>62</v>
      </c>
      <c r="AK886" s="317">
        <f t="shared" ref="AK886:AL886" si="283">Y886</f>
        <v>1264</v>
      </c>
      <c r="AL886" s="317">
        <f t="shared" si="283"/>
        <v>1186</v>
      </c>
      <c r="AM886" s="179" t="s">
        <v>292</v>
      </c>
      <c r="AN886" s="175" t="s">
        <v>276</v>
      </c>
      <c r="AO886" s="181">
        <f t="shared" si="268"/>
        <v>5.3006329113924053</v>
      </c>
      <c r="AP886" s="175" t="s">
        <v>276</v>
      </c>
      <c r="AQ886" s="175" t="s">
        <v>276</v>
      </c>
      <c r="AR886" s="318" t="s">
        <v>276</v>
      </c>
      <c r="AS886" s="181">
        <f t="shared" si="269"/>
        <v>5.2276559865092747</v>
      </c>
      <c r="AT886" s="175" t="s">
        <v>276</v>
      </c>
      <c r="AU886" s="175" t="s">
        <v>276</v>
      </c>
      <c r="AV886" s="176" t="s">
        <v>268</v>
      </c>
      <c r="AW886" s="319" t="s">
        <v>276</v>
      </c>
      <c r="AX886" s="319">
        <f t="shared" si="270"/>
        <v>1.0139597795018376</v>
      </c>
      <c r="AY886" s="177" t="s">
        <v>276</v>
      </c>
      <c r="AZ886" s="177" t="s">
        <v>276</v>
      </c>
      <c r="BA886" s="177" t="s">
        <v>276</v>
      </c>
      <c r="BB886" s="177" t="s">
        <v>282</v>
      </c>
      <c r="BC886" s="177" t="s">
        <v>276</v>
      </c>
      <c r="BD886" s="177" t="s">
        <v>276</v>
      </c>
      <c r="BE886" s="177" t="s">
        <v>276</v>
      </c>
      <c r="BF886" s="176" t="s">
        <v>4153</v>
      </c>
      <c r="BG886" s="176" t="s">
        <v>4064</v>
      </c>
      <c r="BH886" s="9" t="s">
        <v>100</v>
      </c>
      <c r="BI886" s="9" t="s">
        <v>100</v>
      </c>
      <c r="BJ886" s="182"/>
      <c r="BK886" s="183"/>
      <c r="BL886" s="183"/>
      <c r="BM886" s="183"/>
      <c r="BN886" s="182"/>
      <c r="BO886" s="182"/>
      <c r="BP886" s="183"/>
    </row>
    <row r="887" spans="1:68" s="320" customFormat="1" ht="65" hidden="1" x14ac:dyDescent="0.35">
      <c r="A887" s="175">
        <v>643</v>
      </c>
      <c r="B887" s="175" t="s">
        <v>4054</v>
      </c>
      <c r="C887" s="175" t="s">
        <v>75</v>
      </c>
      <c r="D887" s="177" t="s">
        <v>4154</v>
      </c>
      <c r="E887" s="175" t="s">
        <v>39</v>
      </c>
      <c r="F887" s="176" t="s">
        <v>4043</v>
      </c>
      <c r="G887" s="176" t="s">
        <v>4044</v>
      </c>
      <c r="H887" s="175" t="s">
        <v>225</v>
      </c>
      <c r="I887" s="175" t="s">
        <v>98</v>
      </c>
      <c r="J887" s="176" t="s">
        <v>25</v>
      </c>
      <c r="K887" s="315" t="s">
        <v>4151</v>
      </c>
      <c r="L887" s="315" t="s">
        <v>276</v>
      </c>
      <c r="M887" s="315" t="s">
        <v>300</v>
      </c>
      <c r="N887" s="177" t="s">
        <v>276</v>
      </c>
      <c r="O887" s="177" t="s">
        <v>276</v>
      </c>
      <c r="P887" s="176" t="s">
        <v>235</v>
      </c>
      <c r="Q887" s="200">
        <v>41409</v>
      </c>
      <c r="R887" s="316" t="s">
        <v>4057</v>
      </c>
      <c r="S887" s="176" t="s">
        <v>4058</v>
      </c>
      <c r="T887" s="176" t="s">
        <v>4058</v>
      </c>
      <c r="U887" s="176">
        <v>5</v>
      </c>
      <c r="V887" s="175" t="s">
        <v>14</v>
      </c>
      <c r="W887" s="315" t="s">
        <v>98</v>
      </c>
      <c r="X887" s="177" t="s">
        <v>208</v>
      </c>
      <c r="Y887" s="180" t="s">
        <v>98</v>
      </c>
      <c r="Z887" s="317" t="s">
        <v>98</v>
      </c>
      <c r="AA887" s="177" t="s">
        <v>276</v>
      </c>
      <c r="AB887" s="177" t="s">
        <v>276</v>
      </c>
      <c r="AC887" s="175">
        <v>7</v>
      </c>
      <c r="AD887" s="176" t="s">
        <v>4132</v>
      </c>
      <c r="AE887" s="175">
        <v>6</v>
      </c>
      <c r="AF887" s="176" t="s">
        <v>4132</v>
      </c>
      <c r="AG887" s="176" t="s">
        <v>4152</v>
      </c>
      <c r="AH887" s="176" t="s">
        <v>4148</v>
      </c>
      <c r="AI887" s="317">
        <v>50</v>
      </c>
      <c r="AJ887" s="317">
        <v>50</v>
      </c>
      <c r="AK887" s="317">
        <v>104</v>
      </c>
      <c r="AL887" s="317">
        <v>72</v>
      </c>
      <c r="AM887" s="179" t="s">
        <v>292</v>
      </c>
      <c r="AN887" s="175" t="s">
        <v>276</v>
      </c>
      <c r="AO887" s="181">
        <f t="shared" si="268"/>
        <v>48.07692307692308</v>
      </c>
      <c r="AP887" s="175" t="s">
        <v>276</v>
      </c>
      <c r="AQ887" s="175" t="s">
        <v>276</v>
      </c>
      <c r="AR887" s="318" t="s">
        <v>276</v>
      </c>
      <c r="AS887" s="181">
        <f t="shared" si="269"/>
        <v>69.444444444444443</v>
      </c>
      <c r="AT887" s="175" t="s">
        <v>276</v>
      </c>
      <c r="AU887" s="175" t="s">
        <v>276</v>
      </c>
      <c r="AV887" s="176" t="s">
        <v>268</v>
      </c>
      <c r="AW887" s="319" t="s">
        <v>276</v>
      </c>
      <c r="AX887" s="319">
        <f t="shared" si="270"/>
        <v>0.6923076923076924</v>
      </c>
      <c r="AY887" s="177" t="s">
        <v>276</v>
      </c>
      <c r="AZ887" s="177" t="s">
        <v>276</v>
      </c>
      <c r="BA887" s="177" t="s">
        <v>276</v>
      </c>
      <c r="BB887" s="177" t="s">
        <v>282</v>
      </c>
      <c r="BC887" s="177" t="s">
        <v>276</v>
      </c>
      <c r="BD887" s="177" t="s">
        <v>276</v>
      </c>
      <c r="BE887" s="177" t="s">
        <v>276</v>
      </c>
      <c r="BF887" s="176" t="s">
        <v>4153</v>
      </c>
      <c r="BG887" s="176" t="s">
        <v>4064</v>
      </c>
      <c r="BH887" s="9" t="s">
        <v>100</v>
      </c>
      <c r="BI887" s="9" t="s">
        <v>100</v>
      </c>
      <c r="BJ887" s="182"/>
      <c r="BK887" s="183"/>
      <c r="BL887" s="183"/>
      <c r="BM887" s="183"/>
      <c r="BN887" s="182"/>
      <c r="BO887" s="182"/>
      <c r="BP887" s="183"/>
    </row>
    <row r="888" spans="1:68" s="327" customFormat="1" ht="195" hidden="1" x14ac:dyDescent="0.35">
      <c r="A888" s="184">
        <v>643</v>
      </c>
      <c r="B888" s="184" t="s">
        <v>4054</v>
      </c>
      <c r="C888" s="184" t="s">
        <v>75</v>
      </c>
      <c r="D888" s="186" t="s">
        <v>4155</v>
      </c>
      <c r="E888" s="184" t="s">
        <v>39</v>
      </c>
      <c r="F888" s="185" t="s">
        <v>4043</v>
      </c>
      <c r="G888" s="185" t="s">
        <v>4044</v>
      </c>
      <c r="H888" s="184" t="s">
        <v>225</v>
      </c>
      <c r="I888" s="184" t="s">
        <v>98</v>
      </c>
      <c r="J888" s="185" t="s">
        <v>98</v>
      </c>
      <c r="K888" s="321" t="s">
        <v>98</v>
      </c>
      <c r="L888" s="321" t="s">
        <v>98</v>
      </c>
      <c r="M888" s="321" t="s">
        <v>98</v>
      </c>
      <c r="N888" s="186" t="s">
        <v>276</v>
      </c>
      <c r="O888" s="186" t="s">
        <v>276</v>
      </c>
      <c r="P888" s="185" t="s">
        <v>236</v>
      </c>
      <c r="Q888" s="322">
        <v>41409</v>
      </c>
      <c r="R888" s="323" t="s">
        <v>4057</v>
      </c>
      <c r="S888" s="185" t="s">
        <v>4058</v>
      </c>
      <c r="T888" s="185" t="s">
        <v>4058</v>
      </c>
      <c r="U888" s="185">
        <v>5</v>
      </c>
      <c r="V888" s="184" t="s">
        <v>14</v>
      </c>
      <c r="W888" s="321" t="s">
        <v>98</v>
      </c>
      <c r="X888" s="186" t="s">
        <v>208</v>
      </c>
      <c r="Y888" s="189" t="s">
        <v>98</v>
      </c>
      <c r="Z888" s="324" t="s">
        <v>98</v>
      </c>
      <c r="AA888" s="186" t="s">
        <v>276</v>
      </c>
      <c r="AB888" s="186" t="s">
        <v>276</v>
      </c>
      <c r="AC888" s="184">
        <v>0</v>
      </c>
      <c r="AD888" s="184" t="s">
        <v>98</v>
      </c>
      <c r="AE888" s="184">
        <v>0</v>
      </c>
      <c r="AF888" s="184" t="s">
        <v>98</v>
      </c>
      <c r="AG888" s="185" t="s">
        <v>4156</v>
      </c>
      <c r="AH888" s="185" t="s">
        <v>4157</v>
      </c>
      <c r="AI888" s="324">
        <v>67</v>
      </c>
      <c r="AJ888" s="324">
        <v>10</v>
      </c>
      <c r="AK888" s="324">
        <v>104</v>
      </c>
      <c r="AL888" s="324">
        <v>72</v>
      </c>
      <c r="AM888" s="188" t="s">
        <v>292</v>
      </c>
      <c r="AN888" s="184" t="s">
        <v>276</v>
      </c>
      <c r="AO888" s="192">
        <f t="shared" ref="AO888" si="284">AI888*100/AK888</f>
        <v>64.42307692307692</v>
      </c>
      <c r="AP888" s="184" t="s">
        <v>276</v>
      </c>
      <c r="AQ888" s="184" t="s">
        <v>276</v>
      </c>
      <c r="AR888" s="184" t="s">
        <v>276</v>
      </c>
      <c r="AS888" s="192">
        <f t="shared" ref="AS888" si="285">AJ888*100/AL888</f>
        <v>13.888888888888889</v>
      </c>
      <c r="AT888" s="184" t="s">
        <v>276</v>
      </c>
      <c r="AU888" s="184" t="s">
        <v>276</v>
      </c>
      <c r="AV888" s="185" t="s">
        <v>268</v>
      </c>
      <c r="AW888" s="326" t="s">
        <v>276</v>
      </c>
      <c r="AX888" s="326">
        <f t="shared" ref="AX888" si="286">AO888/AS888</f>
        <v>4.638461538461538</v>
      </c>
      <c r="AY888" s="186" t="s">
        <v>276</v>
      </c>
      <c r="AZ888" s="186" t="s">
        <v>276</v>
      </c>
      <c r="BA888" s="186" t="s">
        <v>276</v>
      </c>
      <c r="BB888" s="186" t="s">
        <v>282</v>
      </c>
      <c r="BC888" s="186" t="s">
        <v>276</v>
      </c>
      <c r="BD888" s="186" t="s">
        <v>276</v>
      </c>
      <c r="BE888" s="186" t="s">
        <v>276</v>
      </c>
      <c r="BF888" s="185" t="s">
        <v>4158</v>
      </c>
      <c r="BG888" s="185" t="s">
        <v>4064</v>
      </c>
      <c r="BH888" s="9" t="s">
        <v>100</v>
      </c>
      <c r="BI888" s="9" t="s">
        <v>100</v>
      </c>
      <c r="BJ888" s="193"/>
      <c r="BK888" s="194"/>
      <c r="BL888" s="194"/>
      <c r="BM888" s="194"/>
      <c r="BN888" s="193"/>
      <c r="BO888" s="193"/>
      <c r="BP888" s="194"/>
    </row>
    <row r="889" spans="1:68" s="327" customFormat="1" ht="195" hidden="1" x14ac:dyDescent="0.35">
      <c r="A889" s="184">
        <v>643</v>
      </c>
      <c r="B889" s="184" t="s">
        <v>4054</v>
      </c>
      <c r="C889" s="184" t="s">
        <v>75</v>
      </c>
      <c r="D889" s="186" t="s">
        <v>11664</v>
      </c>
      <c r="E889" s="184" t="s">
        <v>39</v>
      </c>
      <c r="F889" s="185" t="s">
        <v>4043</v>
      </c>
      <c r="G889" s="185" t="s">
        <v>4044</v>
      </c>
      <c r="H889" s="184" t="s">
        <v>225</v>
      </c>
      <c r="I889" s="184" t="s">
        <v>98</v>
      </c>
      <c r="J889" s="185" t="s">
        <v>98</v>
      </c>
      <c r="K889" s="321" t="s">
        <v>98</v>
      </c>
      <c r="L889" s="321" t="s">
        <v>98</v>
      </c>
      <c r="M889" s="321" t="s">
        <v>98</v>
      </c>
      <c r="N889" s="186" t="s">
        <v>276</v>
      </c>
      <c r="O889" s="186" t="s">
        <v>276</v>
      </c>
      <c r="P889" s="185" t="s">
        <v>238</v>
      </c>
      <c r="Q889" s="322">
        <v>41409</v>
      </c>
      <c r="R889" s="323" t="s">
        <v>4057</v>
      </c>
      <c r="S889" s="185" t="s">
        <v>4058</v>
      </c>
      <c r="T889" s="185" t="s">
        <v>4058</v>
      </c>
      <c r="U889" s="185">
        <v>5</v>
      </c>
      <c r="V889" s="184" t="s">
        <v>14</v>
      </c>
      <c r="W889" s="321" t="s">
        <v>98</v>
      </c>
      <c r="X889" s="186" t="s">
        <v>208</v>
      </c>
      <c r="Y889" s="189">
        <v>1264</v>
      </c>
      <c r="Z889" s="324">
        <v>1186</v>
      </c>
      <c r="AA889" s="186" t="s">
        <v>276</v>
      </c>
      <c r="AB889" s="186" t="s">
        <v>276</v>
      </c>
      <c r="AC889" s="184">
        <v>0</v>
      </c>
      <c r="AD889" s="184" t="s">
        <v>98</v>
      </c>
      <c r="AE889" s="184">
        <v>0</v>
      </c>
      <c r="AF889" s="184" t="s">
        <v>98</v>
      </c>
      <c r="AG889" s="185" t="s">
        <v>4156</v>
      </c>
      <c r="AH889" s="185" t="s">
        <v>689</v>
      </c>
      <c r="AI889" s="324">
        <v>67</v>
      </c>
      <c r="AJ889" s="324">
        <v>10</v>
      </c>
      <c r="AK889" s="189">
        <v>1264</v>
      </c>
      <c r="AL889" s="324">
        <v>1186</v>
      </c>
      <c r="AM889" s="188" t="s">
        <v>292</v>
      </c>
      <c r="AN889" s="184" t="s">
        <v>276</v>
      </c>
      <c r="AO889" s="338">
        <f t="shared" si="268"/>
        <v>5.3006329113924053</v>
      </c>
      <c r="AP889" s="184" t="s">
        <v>276</v>
      </c>
      <c r="AQ889" s="184" t="s">
        <v>276</v>
      </c>
      <c r="AR889" s="184" t="s">
        <v>276</v>
      </c>
      <c r="AS889" s="338">
        <f t="shared" si="269"/>
        <v>0.84317032040472173</v>
      </c>
      <c r="AT889" s="184" t="s">
        <v>276</v>
      </c>
      <c r="AU889" s="184" t="s">
        <v>276</v>
      </c>
      <c r="AV889" s="185" t="s">
        <v>268</v>
      </c>
      <c r="AW889" s="326" t="s">
        <v>276</v>
      </c>
      <c r="AX889" s="326">
        <f t="shared" si="270"/>
        <v>6.2865506329113927</v>
      </c>
      <c r="AY889" s="186" t="s">
        <v>276</v>
      </c>
      <c r="AZ889" s="186" t="s">
        <v>276</v>
      </c>
      <c r="BA889" s="186" t="s">
        <v>276</v>
      </c>
      <c r="BB889" s="186" t="s">
        <v>282</v>
      </c>
      <c r="BC889" s="186" t="s">
        <v>276</v>
      </c>
      <c r="BD889" s="186" t="s">
        <v>276</v>
      </c>
      <c r="BE889" s="186" t="s">
        <v>276</v>
      </c>
      <c r="BF889" s="185" t="s">
        <v>4158</v>
      </c>
      <c r="BG889" s="185" t="s">
        <v>4064</v>
      </c>
      <c r="BH889" s="9" t="s">
        <v>100</v>
      </c>
      <c r="BI889" s="9" t="s">
        <v>100</v>
      </c>
      <c r="BJ889" s="193"/>
      <c r="BK889" s="194"/>
      <c r="BL889" s="194"/>
      <c r="BM889" s="194"/>
      <c r="BN889" s="193"/>
      <c r="BO889" s="193"/>
      <c r="BP889" s="194"/>
    </row>
    <row r="890" spans="1:68" s="327" customFormat="1" ht="52" hidden="1" x14ac:dyDescent="0.35">
      <c r="A890" s="184">
        <v>643</v>
      </c>
      <c r="B890" s="184" t="s">
        <v>4054</v>
      </c>
      <c r="C890" s="184" t="s">
        <v>75</v>
      </c>
      <c r="D890" s="186" t="s">
        <v>4101</v>
      </c>
      <c r="E890" s="184" t="s">
        <v>39</v>
      </c>
      <c r="F890" s="185" t="s">
        <v>4043</v>
      </c>
      <c r="G890" s="185" t="s">
        <v>4044</v>
      </c>
      <c r="H890" s="184" t="s">
        <v>225</v>
      </c>
      <c r="I890" s="184" t="s">
        <v>98</v>
      </c>
      <c r="J890" s="185" t="s">
        <v>98</v>
      </c>
      <c r="K890" s="321" t="s">
        <v>98</v>
      </c>
      <c r="L890" s="321" t="s">
        <v>98</v>
      </c>
      <c r="M890" s="321" t="s">
        <v>98</v>
      </c>
      <c r="N890" s="186" t="s">
        <v>276</v>
      </c>
      <c r="O890" s="186" t="s">
        <v>276</v>
      </c>
      <c r="P890" s="185" t="s">
        <v>238</v>
      </c>
      <c r="Q890" s="322" t="s">
        <v>3967</v>
      </c>
      <c r="R890" s="185" t="s">
        <v>4079</v>
      </c>
      <c r="S890" s="185" t="s">
        <v>276</v>
      </c>
      <c r="T890" s="185" t="s">
        <v>276</v>
      </c>
      <c r="U890" s="185">
        <v>1</v>
      </c>
      <c r="V890" s="184" t="s">
        <v>14</v>
      </c>
      <c r="W890" s="321" t="s">
        <v>98</v>
      </c>
      <c r="X890" s="186" t="s">
        <v>208</v>
      </c>
      <c r="Y890" s="189">
        <v>1276</v>
      </c>
      <c r="Z890" s="324">
        <v>1196</v>
      </c>
      <c r="AA890" s="186">
        <v>0</v>
      </c>
      <c r="AB890" s="186">
        <v>0</v>
      </c>
      <c r="AC890" s="184">
        <v>0</v>
      </c>
      <c r="AD890" s="184" t="s">
        <v>98</v>
      </c>
      <c r="AE890" s="184">
        <v>0</v>
      </c>
      <c r="AF890" s="184" t="s">
        <v>98</v>
      </c>
      <c r="AG890" s="185" t="s">
        <v>905</v>
      </c>
      <c r="AH890" s="185" t="s">
        <v>689</v>
      </c>
      <c r="AI890" s="324">
        <v>30</v>
      </c>
      <c r="AJ890" s="324">
        <v>10</v>
      </c>
      <c r="AK890" s="324">
        <f>Y890</f>
        <v>1276</v>
      </c>
      <c r="AL890" s="324">
        <f>Z890</f>
        <v>1196</v>
      </c>
      <c r="AM890" s="188" t="s">
        <v>292</v>
      </c>
      <c r="AN890" s="184" t="s">
        <v>276</v>
      </c>
      <c r="AO890" s="338">
        <f t="shared" si="268"/>
        <v>2.3510971786833856</v>
      </c>
      <c r="AP890" s="184" t="s">
        <v>276</v>
      </c>
      <c r="AQ890" s="184" t="s">
        <v>276</v>
      </c>
      <c r="AR890" s="184" t="s">
        <v>276</v>
      </c>
      <c r="AS890" s="338">
        <f t="shared" si="269"/>
        <v>0.83612040133779264</v>
      </c>
      <c r="AT890" s="184" t="s">
        <v>276</v>
      </c>
      <c r="AU890" s="184" t="s">
        <v>276</v>
      </c>
      <c r="AV890" s="185" t="s">
        <v>268</v>
      </c>
      <c r="AW890" s="326" t="s">
        <v>276</v>
      </c>
      <c r="AX890" s="326">
        <f t="shared" si="270"/>
        <v>2.8119122257053291</v>
      </c>
      <c r="AY890" s="186" t="s">
        <v>276</v>
      </c>
      <c r="AZ890" s="186" t="s">
        <v>276</v>
      </c>
      <c r="BA890" s="186" t="s">
        <v>276</v>
      </c>
      <c r="BB890" s="186" t="s">
        <v>282</v>
      </c>
      <c r="BC890" s="186" t="s">
        <v>276</v>
      </c>
      <c r="BD890" s="186" t="s">
        <v>276</v>
      </c>
      <c r="BE890" s="186" t="s">
        <v>276</v>
      </c>
      <c r="BF890" s="185" t="s">
        <v>4159</v>
      </c>
      <c r="BG890" s="185" t="s">
        <v>276</v>
      </c>
      <c r="BH890" s="9" t="s">
        <v>100</v>
      </c>
      <c r="BI890" s="9" t="s">
        <v>100</v>
      </c>
      <c r="BJ890" s="193"/>
      <c r="BK890" s="194"/>
      <c r="BL890" s="194"/>
      <c r="BM890" s="194"/>
      <c r="BN890" s="193"/>
      <c r="BO890" s="193"/>
      <c r="BP890" s="194"/>
    </row>
    <row r="891" spans="1:68" s="79" customFormat="1" ht="78" hidden="1" x14ac:dyDescent="0.35">
      <c r="A891" s="72">
        <v>434</v>
      </c>
      <c r="B891" s="72" t="s">
        <v>4278</v>
      </c>
      <c r="C891" s="72" t="s">
        <v>74</v>
      </c>
      <c r="D891" s="73" t="s">
        <v>4279</v>
      </c>
      <c r="E891" s="72" t="s">
        <v>39</v>
      </c>
      <c r="F891" s="72" t="s">
        <v>143</v>
      </c>
      <c r="G891" s="72" t="s">
        <v>225</v>
      </c>
      <c r="H891" s="72" t="s">
        <v>125</v>
      </c>
      <c r="I891" s="72" t="s">
        <v>114</v>
      </c>
      <c r="J891" s="73" t="s">
        <v>25</v>
      </c>
      <c r="K891" s="72" t="s">
        <v>4151</v>
      </c>
      <c r="L891" s="72" t="s">
        <v>4280</v>
      </c>
      <c r="M891" s="72" t="s">
        <v>276</v>
      </c>
      <c r="N891" s="73" t="s">
        <v>4281</v>
      </c>
      <c r="O891" s="73" t="s">
        <v>276</v>
      </c>
      <c r="P891" s="73" t="s">
        <v>239</v>
      </c>
      <c r="Q891" s="77">
        <v>41887</v>
      </c>
      <c r="R891" s="308" t="s">
        <v>4282</v>
      </c>
      <c r="S891" s="73" t="s">
        <v>4283</v>
      </c>
      <c r="T891" s="73" t="s">
        <v>4283</v>
      </c>
      <c r="U891" s="89" t="s">
        <v>4284</v>
      </c>
      <c r="V891" s="72" t="s">
        <v>14</v>
      </c>
      <c r="W891" s="72" t="s">
        <v>98</v>
      </c>
      <c r="X891" s="73" t="s">
        <v>207</v>
      </c>
      <c r="Y891" s="74">
        <v>2029</v>
      </c>
      <c r="Z891" s="73">
        <v>2023</v>
      </c>
      <c r="AA891" s="73">
        <f>38+3</f>
        <v>41</v>
      </c>
      <c r="AB891" s="73">
        <f>43+7</f>
        <v>50</v>
      </c>
      <c r="AC891" s="72">
        <v>0</v>
      </c>
      <c r="AD891" s="72" t="s">
        <v>98</v>
      </c>
      <c r="AE891" s="72">
        <v>0</v>
      </c>
      <c r="AF891" s="72" t="s">
        <v>98</v>
      </c>
      <c r="AG891" s="73" t="s">
        <v>4285</v>
      </c>
      <c r="AH891" s="73" t="s">
        <v>866</v>
      </c>
      <c r="AI891" s="75">
        <v>18</v>
      </c>
      <c r="AJ891" s="75">
        <v>29</v>
      </c>
      <c r="AK891" s="75">
        <v>2029</v>
      </c>
      <c r="AL891" s="75">
        <v>2023</v>
      </c>
      <c r="AM891" s="75" t="s">
        <v>292</v>
      </c>
      <c r="AN891" s="72" t="s">
        <v>276</v>
      </c>
      <c r="AO891" s="76">
        <f t="shared" si="268"/>
        <v>0.88713652045342528</v>
      </c>
      <c r="AP891" s="72" t="s">
        <v>276</v>
      </c>
      <c r="AQ891" s="72" t="s">
        <v>276</v>
      </c>
      <c r="AR891" s="72" t="s">
        <v>276</v>
      </c>
      <c r="AS891" s="76">
        <f t="shared" si="269"/>
        <v>1.4335145823035096</v>
      </c>
      <c r="AT891" s="72" t="s">
        <v>276</v>
      </c>
      <c r="AU891" s="72" t="s">
        <v>276</v>
      </c>
      <c r="AV891" s="73" t="s">
        <v>268</v>
      </c>
      <c r="AW891" s="83" t="s">
        <v>276</v>
      </c>
      <c r="AX891" s="83">
        <f t="shared" si="270"/>
        <v>0.61885420030251015</v>
      </c>
      <c r="AY891" s="73" t="s">
        <v>276</v>
      </c>
      <c r="AZ891" s="73" t="s">
        <v>276</v>
      </c>
      <c r="BA891" s="73" t="s">
        <v>276</v>
      </c>
      <c r="BB891" s="73" t="s">
        <v>282</v>
      </c>
      <c r="BC891" s="73" t="s">
        <v>276</v>
      </c>
      <c r="BD891" s="73" t="s">
        <v>276</v>
      </c>
      <c r="BE891" s="73" t="s">
        <v>276</v>
      </c>
      <c r="BF891" s="73" t="s">
        <v>4286</v>
      </c>
      <c r="BG891" s="73"/>
      <c r="BH891" s="9" t="s">
        <v>100</v>
      </c>
      <c r="BI891" s="9" t="s">
        <v>100</v>
      </c>
      <c r="BJ891" s="78"/>
      <c r="BN891" s="78"/>
      <c r="BO891" s="78"/>
    </row>
    <row r="892" spans="1:68" s="299" customFormat="1" ht="65" hidden="1" x14ac:dyDescent="0.35">
      <c r="A892" s="291">
        <v>434</v>
      </c>
      <c r="B892" s="291" t="s">
        <v>4278</v>
      </c>
      <c r="C892" s="291" t="s">
        <v>74</v>
      </c>
      <c r="D892" s="292" t="s">
        <v>4287</v>
      </c>
      <c r="E892" s="291" t="s">
        <v>39</v>
      </c>
      <c r="F892" s="291" t="s">
        <v>143</v>
      </c>
      <c r="G892" s="291" t="s">
        <v>225</v>
      </c>
      <c r="H892" s="291" t="s">
        <v>125</v>
      </c>
      <c r="I892" s="291" t="s">
        <v>114</v>
      </c>
      <c r="J892" s="292" t="s">
        <v>25</v>
      </c>
      <c r="K892" s="291" t="s">
        <v>4151</v>
      </c>
      <c r="L892" s="291" t="s">
        <v>4280</v>
      </c>
      <c r="M892" s="291" t="s">
        <v>276</v>
      </c>
      <c r="N892" s="292" t="s">
        <v>4281</v>
      </c>
      <c r="O892" s="292" t="s">
        <v>276</v>
      </c>
      <c r="P892" s="292" t="s">
        <v>235</v>
      </c>
      <c r="Q892" s="293">
        <v>41887</v>
      </c>
      <c r="R892" s="332" t="s">
        <v>4282</v>
      </c>
      <c r="S892" s="292" t="s">
        <v>4283</v>
      </c>
      <c r="T892" s="292" t="s">
        <v>4283</v>
      </c>
      <c r="U892" s="333" t="s">
        <v>4284</v>
      </c>
      <c r="V892" s="291" t="s">
        <v>14</v>
      </c>
      <c r="W892" s="291" t="s">
        <v>98</v>
      </c>
      <c r="X892" s="292" t="s">
        <v>207</v>
      </c>
      <c r="Y892" s="294" t="s">
        <v>98</v>
      </c>
      <c r="Z892" s="292" t="s">
        <v>98</v>
      </c>
      <c r="AA892" s="292">
        <f>38+3</f>
        <v>41</v>
      </c>
      <c r="AB892" s="292">
        <f>43+7</f>
        <v>50</v>
      </c>
      <c r="AC892" s="291">
        <v>0</v>
      </c>
      <c r="AD892" s="291" t="s">
        <v>98</v>
      </c>
      <c r="AE892" s="291">
        <v>0</v>
      </c>
      <c r="AF892" s="291" t="s">
        <v>98</v>
      </c>
      <c r="AG892" s="292" t="s">
        <v>4285</v>
      </c>
      <c r="AH892" s="292" t="s">
        <v>4288</v>
      </c>
      <c r="AI892" s="295">
        <v>18</v>
      </c>
      <c r="AJ892" s="295">
        <v>29</v>
      </c>
      <c r="AK892" s="295">
        <v>62</v>
      </c>
      <c r="AL892" s="295">
        <v>32</v>
      </c>
      <c r="AM892" s="295" t="s">
        <v>292</v>
      </c>
      <c r="AN892" s="291" t="s">
        <v>276</v>
      </c>
      <c r="AO892" s="296">
        <f t="shared" si="268"/>
        <v>29.032258064516128</v>
      </c>
      <c r="AP892" s="291" t="s">
        <v>276</v>
      </c>
      <c r="AQ892" s="291" t="s">
        <v>276</v>
      </c>
      <c r="AR892" s="291" t="s">
        <v>276</v>
      </c>
      <c r="AS892" s="296">
        <f t="shared" si="269"/>
        <v>90.625</v>
      </c>
      <c r="AT892" s="291" t="s">
        <v>276</v>
      </c>
      <c r="AU892" s="291" t="s">
        <v>276</v>
      </c>
      <c r="AV892" s="292" t="s">
        <v>268</v>
      </c>
      <c r="AW892" s="297" t="s">
        <v>276</v>
      </c>
      <c r="AX892" s="297">
        <f t="shared" si="270"/>
        <v>0.3203559510567297</v>
      </c>
      <c r="AY892" s="292" t="s">
        <v>276</v>
      </c>
      <c r="AZ892" s="292" t="s">
        <v>276</v>
      </c>
      <c r="BA892" s="292" t="s">
        <v>276</v>
      </c>
      <c r="BB892" s="292" t="s">
        <v>282</v>
      </c>
      <c r="BC892" s="292" t="s">
        <v>276</v>
      </c>
      <c r="BD892" s="292" t="s">
        <v>276</v>
      </c>
      <c r="BE892" s="292" t="s">
        <v>276</v>
      </c>
      <c r="BF892" s="292" t="s">
        <v>4289</v>
      </c>
      <c r="BG892" s="292"/>
      <c r="BH892" s="9" t="s">
        <v>100</v>
      </c>
      <c r="BI892" s="9" t="s">
        <v>100</v>
      </c>
      <c r="BJ892" s="298"/>
      <c r="BN892" s="298"/>
      <c r="BO892" s="298"/>
    </row>
    <row r="893" spans="1:68" s="110" customFormat="1" ht="78" hidden="1" x14ac:dyDescent="0.35">
      <c r="A893" s="94">
        <v>433</v>
      </c>
      <c r="B893" s="94" t="s">
        <v>4163</v>
      </c>
      <c r="C893" s="94" t="s">
        <v>74</v>
      </c>
      <c r="D893" s="95" t="s">
        <v>4290</v>
      </c>
      <c r="E893" s="94" t="s">
        <v>39</v>
      </c>
      <c r="F893" s="94" t="s">
        <v>143</v>
      </c>
      <c r="G893" s="94" t="s">
        <v>225</v>
      </c>
      <c r="H893" s="94" t="s">
        <v>125</v>
      </c>
      <c r="I893" s="94" t="s">
        <v>114</v>
      </c>
      <c r="J893" s="95" t="s">
        <v>25</v>
      </c>
      <c r="K893" s="94" t="s">
        <v>4151</v>
      </c>
      <c r="L893" s="95" t="s">
        <v>4291</v>
      </c>
      <c r="M893" s="95" t="s">
        <v>4292</v>
      </c>
      <c r="N893" s="95" t="s">
        <v>4293</v>
      </c>
      <c r="O893" s="95" t="s">
        <v>276</v>
      </c>
      <c r="P893" s="95" t="s">
        <v>239</v>
      </c>
      <c r="Q893" s="140">
        <v>43220</v>
      </c>
      <c r="R893" s="95" t="s">
        <v>766</v>
      </c>
      <c r="S893" s="95" t="s">
        <v>4190</v>
      </c>
      <c r="T893" s="95" t="s">
        <v>4190</v>
      </c>
      <c r="U893" s="95">
        <v>5</v>
      </c>
      <c r="V893" s="94" t="s">
        <v>14</v>
      </c>
      <c r="W893" s="94" t="s">
        <v>98</v>
      </c>
      <c r="X893" s="95" t="s">
        <v>207</v>
      </c>
      <c r="Y893" s="98">
        <v>2029</v>
      </c>
      <c r="Z893" s="95">
        <v>2023</v>
      </c>
      <c r="AA893" s="95" t="s">
        <v>276</v>
      </c>
      <c r="AB893" s="95" t="s">
        <v>276</v>
      </c>
      <c r="AC893" s="94">
        <v>1</v>
      </c>
      <c r="AD893" s="94" t="s">
        <v>4294</v>
      </c>
      <c r="AE893" s="94">
        <v>1</v>
      </c>
      <c r="AF893" s="94" t="s">
        <v>4294</v>
      </c>
      <c r="AG893" s="95" t="s">
        <v>4295</v>
      </c>
      <c r="AH893" s="95" t="s">
        <v>866</v>
      </c>
      <c r="AI893" s="99">
        <v>36</v>
      </c>
      <c r="AJ893" s="99">
        <v>60</v>
      </c>
      <c r="AK893" s="99">
        <v>2029</v>
      </c>
      <c r="AL893" s="99">
        <v>2023</v>
      </c>
      <c r="AM893" s="99" t="s">
        <v>292</v>
      </c>
      <c r="AN893" s="94" t="s">
        <v>276</v>
      </c>
      <c r="AO893" s="102">
        <f t="shared" si="268"/>
        <v>1.7742730409068506</v>
      </c>
      <c r="AP893" s="94" t="s">
        <v>276</v>
      </c>
      <c r="AQ893" s="94" t="s">
        <v>276</v>
      </c>
      <c r="AR893" s="94" t="s">
        <v>276</v>
      </c>
      <c r="AS893" s="102">
        <f t="shared" si="269"/>
        <v>2.9658922392486406</v>
      </c>
      <c r="AT893" s="94" t="s">
        <v>276</v>
      </c>
      <c r="AU893" s="94" t="s">
        <v>276</v>
      </c>
      <c r="AV893" s="95" t="s">
        <v>268</v>
      </c>
      <c r="AW893" s="141" t="s">
        <v>276</v>
      </c>
      <c r="AX893" s="141">
        <f t="shared" si="270"/>
        <v>0.59822572695909315</v>
      </c>
      <c r="AY893" s="95" t="s">
        <v>276</v>
      </c>
      <c r="AZ893" s="95" t="s">
        <v>276</v>
      </c>
      <c r="BA893" s="95" t="s">
        <v>276</v>
      </c>
      <c r="BB893" s="95" t="s">
        <v>282</v>
      </c>
      <c r="BC893" s="95" t="s">
        <v>276</v>
      </c>
      <c r="BD893" s="95" t="s">
        <v>276</v>
      </c>
      <c r="BE893" s="95" t="s">
        <v>276</v>
      </c>
      <c r="BF893" s="95" t="s">
        <v>4296</v>
      </c>
      <c r="BG893" s="95" t="s">
        <v>4297</v>
      </c>
      <c r="BH893" s="9" t="s">
        <v>100</v>
      </c>
      <c r="BI893" s="9" t="s">
        <v>100</v>
      </c>
      <c r="BJ893" s="109"/>
      <c r="BN893" s="109"/>
      <c r="BO893" s="109"/>
    </row>
    <row r="894" spans="1:68" s="110" customFormat="1" ht="78" hidden="1" x14ac:dyDescent="0.35">
      <c r="A894" s="94">
        <v>433</v>
      </c>
      <c r="B894" s="94" t="s">
        <v>4163</v>
      </c>
      <c r="C894" s="94" t="s">
        <v>74</v>
      </c>
      <c r="D894" s="95" t="s">
        <v>4298</v>
      </c>
      <c r="E894" s="94" t="s">
        <v>39</v>
      </c>
      <c r="F894" s="94" t="s">
        <v>143</v>
      </c>
      <c r="G894" s="94" t="s">
        <v>225</v>
      </c>
      <c r="H894" s="94" t="s">
        <v>125</v>
      </c>
      <c r="I894" s="94" t="s">
        <v>114</v>
      </c>
      <c r="J894" s="95" t="s">
        <v>25</v>
      </c>
      <c r="K894" s="94" t="s">
        <v>4151</v>
      </c>
      <c r="L894" s="95" t="s">
        <v>4291</v>
      </c>
      <c r="M894" s="95" t="s">
        <v>4292</v>
      </c>
      <c r="N894" s="95" t="s">
        <v>4293</v>
      </c>
      <c r="O894" s="95" t="s">
        <v>276</v>
      </c>
      <c r="P894" s="95" t="s">
        <v>239</v>
      </c>
      <c r="Q894" s="140">
        <v>43220</v>
      </c>
      <c r="R894" s="95" t="s">
        <v>766</v>
      </c>
      <c r="S894" s="95" t="s">
        <v>4190</v>
      </c>
      <c r="T894" s="95" t="s">
        <v>4190</v>
      </c>
      <c r="U894" s="95">
        <v>5</v>
      </c>
      <c r="V894" s="94" t="s">
        <v>14</v>
      </c>
      <c r="W894" s="94" t="s">
        <v>98</v>
      </c>
      <c r="X894" s="95" t="s">
        <v>207</v>
      </c>
      <c r="Y894" s="98">
        <v>2029</v>
      </c>
      <c r="Z894" s="95">
        <v>2023</v>
      </c>
      <c r="AA894" s="95" t="s">
        <v>276</v>
      </c>
      <c r="AB894" s="95" t="s">
        <v>276</v>
      </c>
      <c r="AC894" s="94">
        <v>1</v>
      </c>
      <c r="AD894" s="94" t="s">
        <v>4294</v>
      </c>
      <c r="AE894" s="94">
        <v>1</v>
      </c>
      <c r="AF894" s="94" t="s">
        <v>4294</v>
      </c>
      <c r="AG894" s="95" t="s">
        <v>4295</v>
      </c>
      <c r="AH894" s="95" t="s">
        <v>866</v>
      </c>
      <c r="AI894" s="99">
        <v>36</v>
      </c>
      <c r="AJ894" s="99">
        <v>60</v>
      </c>
      <c r="AK894" s="99">
        <v>2029</v>
      </c>
      <c r="AL894" s="99">
        <v>2023</v>
      </c>
      <c r="AM894" s="99" t="s">
        <v>292</v>
      </c>
      <c r="AN894" s="94" t="s">
        <v>276</v>
      </c>
      <c r="AO894" s="102">
        <f t="shared" si="268"/>
        <v>1.7742730409068506</v>
      </c>
      <c r="AP894" s="94" t="s">
        <v>276</v>
      </c>
      <c r="AQ894" s="94" t="s">
        <v>276</v>
      </c>
      <c r="AR894" s="94" t="s">
        <v>276</v>
      </c>
      <c r="AS894" s="102">
        <f t="shared" si="269"/>
        <v>2.9658922392486406</v>
      </c>
      <c r="AT894" s="94" t="s">
        <v>276</v>
      </c>
      <c r="AU894" s="94" t="s">
        <v>276</v>
      </c>
      <c r="AV894" s="95" t="s">
        <v>270</v>
      </c>
      <c r="AW894" s="141" t="s">
        <v>276</v>
      </c>
      <c r="AX894" s="141" t="s">
        <v>276</v>
      </c>
      <c r="AY894" s="141" t="s">
        <v>276</v>
      </c>
      <c r="AZ894" s="141" t="s">
        <v>276</v>
      </c>
      <c r="BA894" s="141" t="s">
        <v>276</v>
      </c>
      <c r="BB894" s="95" t="s">
        <v>1488</v>
      </c>
      <c r="BC894" s="141">
        <v>0.61</v>
      </c>
      <c r="BD894" s="141">
        <v>0.4</v>
      </c>
      <c r="BE894" s="95">
        <v>0.92</v>
      </c>
      <c r="BF894" s="95" t="s">
        <v>4299</v>
      </c>
      <c r="BG894" s="95" t="s">
        <v>4297</v>
      </c>
      <c r="BH894" s="9" t="s">
        <v>100</v>
      </c>
      <c r="BI894" s="9" t="s">
        <v>100</v>
      </c>
      <c r="BJ894" s="109"/>
      <c r="BN894" s="109"/>
      <c r="BO894" s="109"/>
    </row>
    <row r="895" spans="1:68" s="110" customFormat="1" ht="78" hidden="1" x14ac:dyDescent="0.35">
      <c r="A895" s="94">
        <v>433</v>
      </c>
      <c r="B895" s="94" t="s">
        <v>4163</v>
      </c>
      <c r="C895" s="94" t="s">
        <v>74</v>
      </c>
      <c r="D895" s="95" t="s">
        <v>4300</v>
      </c>
      <c r="E895" s="94" t="s">
        <v>39</v>
      </c>
      <c r="F895" s="94" t="s">
        <v>143</v>
      </c>
      <c r="G895" s="94" t="s">
        <v>225</v>
      </c>
      <c r="H895" s="94" t="s">
        <v>125</v>
      </c>
      <c r="I895" s="94" t="s">
        <v>114</v>
      </c>
      <c r="J895" s="95" t="s">
        <v>25</v>
      </c>
      <c r="K895" s="94" t="s">
        <v>4151</v>
      </c>
      <c r="L895" s="95" t="s">
        <v>4291</v>
      </c>
      <c r="M895" s="95" t="s">
        <v>4292</v>
      </c>
      <c r="N895" s="95" t="s">
        <v>4293</v>
      </c>
      <c r="O895" s="95" t="s">
        <v>276</v>
      </c>
      <c r="P895" s="95" t="s">
        <v>239</v>
      </c>
      <c r="Q895" s="140">
        <v>43220</v>
      </c>
      <c r="R895" s="95" t="s">
        <v>766</v>
      </c>
      <c r="S895" s="95" t="s">
        <v>276</v>
      </c>
      <c r="T895" s="95" t="s">
        <v>276</v>
      </c>
      <c r="U895" s="95">
        <v>5</v>
      </c>
      <c r="V895" s="94" t="s">
        <v>16</v>
      </c>
      <c r="W895" s="94" t="s">
        <v>170</v>
      </c>
      <c r="X895" s="95" t="s">
        <v>207</v>
      </c>
      <c r="Y895" s="98">
        <v>1315</v>
      </c>
      <c r="Z895" s="95">
        <v>1307</v>
      </c>
      <c r="AA895" s="95" t="s">
        <v>276</v>
      </c>
      <c r="AB895" s="95" t="s">
        <v>276</v>
      </c>
      <c r="AC895" s="94">
        <v>1</v>
      </c>
      <c r="AD895" s="94" t="s">
        <v>4294</v>
      </c>
      <c r="AE895" s="94">
        <v>1</v>
      </c>
      <c r="AF895" s="94" t="s">
        <v>4294</v>
      </c>
      <c r="AG895" s="95" t="s">
        <v>4301</v>
      </c>
      <c r="AH895" s="95" t="s">
        <v>689</v>
      </c>
      <c r="AI895" s="99">
        <f>2+2+6+1+5+1+1+1+8</f>
        <v>27</v>
      </c>
      <c r="AJ895" s="99">
        <f>2+1+5+2+11+2+1+3+2+10+1</f>
        <v>40</v>
      </c>
      <c r="AK895" s="99">
        <v>1315</v>
      </c>
      <c r="AL895" s="99">
        <v>1307</v>
      </c>
      <c r="AM895" s="99" t="s">
        <v>292</v>
      </c>
      <c r="AN895" s="94" t="s">
        <v>276</v>
      </c>
      <c r="AO895" s="102">
        <f t="shared" si="268"/>
        <v>2.0532319391634979</v>
      </c>
      <c r="AP895" s="94" t="s">
        <v>276</v>
      </c>
      <c r="AQ895" s="94" t="s">
        <v>276</v>
      </c>
      <c r="AR895" s="94" t="s">
        <v>276</v>
      </c>
      <c r="AS895" s="102">
        <f t="shared" si="269"/>
        <v>3.06044376434583</v>
      </c>
      <c r="AT895" s="94" t="s">
        <v>276</v>
      </c>
      <c r="AU895" s="94" t="s">
        <v>276</v>
      </c>
      <c r="AV895" s="95" t="s">
        <v>268</v>
      </c>
      <c r="AW895" s="141" t="s">
        <v>276</v>
      </c>
      <c r="AX895" s="141">
        <f t="shared" ref="AX895:AX903" si="287">AO895/AS895</f>
        <v>0.67089353612167302</v>
      </c>
      <c r="AY895" s="95" t="s">
        <v>276</v>
      </c>
      <c r="AZ895" s="95" t="s">
        <v>276</v>
      </c>
      <c r="BA895" s="95" t="s">
        <v>276</v>
      </c>
      <c r="BB895" s="95" t="s">
        <v>282</v>
      </c>
      <c r="BC895" s="95" t="s">
        <v>276</v>
      </c>
      <c r="BD895" s="95" t="s">
        <v>276</v>
      </c>
      <c r="BE895" s="95" t="s">
        <v>276</v>
      </c>
      <c r="BF895" s="95" t="s">
        <v>4302</v>
      </c>
      <c r="BG895" s="95" t="s">
        <v>4297</v>
      </c>
      <c r="BH895" s="9" t="s">
        <v>100</v>
      </c>
      <c r="BI895" s="9" t="s">
        <v>100</v>
      </c>
      <c r="BJ895" s="109"/>
      <c r="BN895" s="109"/>
      <c r="BO895" s="109"/>
    </row>
    <row r="896" spans="1:68" s="110" customFormat="1" ht="78" hidden="1" x14ac:dyDescent="0.35">
      <c r="A896" s="94">
        <v>433</v>
      </c>
      <c r="B896" s="94" t="s">
        <v>4163</v>
      </c>
      <c r="C896" s="94" t="s">
        <v>74</v>
      </c>
      <c r="D896" s="95" t="s">
        <v>4303</v>
      </c>
      <c r="E896" s="94" t="s">
        <v>39</v>
      </c>
      <c r="F896" s="94" t="s">
        <v>143</v>
      </c>
      <c r="G896" s="94" t="s">
        <v>225</v>
      </c>
      <c r="H896" s="94" t="s">
        <v>125</v>
      </c>
      <c r="I896" s="94" t="s">
        <v>114</v>
      </c>
      <c r="J896" s="95" t="s">
        <v>25</v>
      </c>
      <c r="K896" s="94" t="s">
        <v>4151</v>
      </c>
      <c r="L896" s="95" t="s">
        <v>4291</v>
      </c>
      <c r="M896" s="95" t="s">
        <v>4292</v>
      </c>
      <c r="N896" s="95" t="s">
        <v>4293</v>
      </c>
      <c r="O896" s="95" t="s">
        <v>276</v>
      </c>
      <c r="P896" s="95" t="s">
        <v>239</v>
      </c>
      <c r="Q896" s="140">
        <v>43220</v>
      </c>
      <c r="R896" s="95" t="s">
        <v>766</v>
      </c>
      <c r="S896" s="95" t="s">
        <v>276</v>
      </c>
      <c r="T896" s="95" t="s">
        <v>276</v>
      </c>
      <c r="U896" s="95">
        <v>5</v>
      </c>
      <c r="V896" s="94" t="s">
        <v>16</v>
      </c>
      <c r="W896" s="94" t="s">
        <v>171</v>
      </c>
      <c r="X896" s="95" t="s">
        <v>207</v>
      </c>
      <c r="Y896" s="98">
        <v>714</v>
      </c>
      <c r="Z896" s="95">
        <v>716</v>
      </c>
      <c r="AA896" s="95" t="s">
        <v>276</v>
      </c>
      <c r="AB896" s="95" t="s">
        <v>276</v>
      </c>
      <c r="AC896" s="94">
        <v>0</v>
      </c>
      <c r="AD896" s="94" t="s">
        <v>4294</v>
      </c>
      <c r="AE896" s="94">
        <v>0</v>
      </c>
      <c r="AF896" s="94" t="s">
        <v>4294</v>
      </c>
      <c r="AG896" s="95" t="s">
        <v>4304</v>
      </c>
      <c r="AH896" s="95" t="s">
        <v>280</v>
      </c>
      <c r="AI896" s="99">
        <f>1+1+2+2+1+2</f>
        <v>9</v>
      </c>
      <c r="AJ896" s="99">
        <f>1+1+5+1+4+1+3+3+1</f>
        <v>20</v>
      </c>
      <c r="AK896" s="99">
        <v>714</v>
      </c>
      <c r="AL896" s="99">
        <v>716</v>
      </c>
      <c r="AM896" s="99" t="s">
        <v>292</v>
      </c>
      <c r="AN896" s="94" t="s">
        <v>276</v>
      </c>
      <c r="AO896" s="102">
        <f t="shared" si="268"/>
        <v>1.2605042016806722</v>
      </c>
      <c r="AP896" s="94" t="s">
        <v>276</v>
      </c>
      <c r="AQ896" s="94" t="s">
        <v>276</v>
      </c>
      <c r="AR896" s="94" t="s">
        <v>276</v>
      </c>
      <c r="AS896" s="102">
        <f t="shared" si="269"/>
        <v>2.7932960893854748</v>
      </c>
      <c r="AT896" s="94" t="s">
        <v>276</v>
      </c>
      <c r="AU896" s="94" t="s">
        <v>276</v>
      </c>
      <c r="AV896" s="95" t="s">
        <v>268</v>
      </c>
      <c r="AW896" s="141" t="s">
        <v>276</v>
      </c>
      <c r="AX896" s="141">
        <f t="shared" si="287"/>
        <v>0.45126050420168068</v>
      </c>
      <c r="AY896" s="95" t="s">
        <v>276</v>
      </c>
      <c r="AZ896" s="95" t="s">
        <v>276</v>
      </c>
      <c r="BA896" s="95" t="s">
        <v>276</v>
      </c>
      <c r="BB896" s="95" t="s">
        <v>282</v>
      </c>
      <c r="BC896" s="95" t="s">
        <v>276</v>
      </c>
      <c r="BD896" s="95" t="s">
        <v>276</v>
      </c>
      <c r="BE896" s="95" t="s">
        <v>276</v>
      </c>
      <c r="BF896" s="95" t="s">
        <v>4302</v>
      </c>
      <c r="BG896" s="95" t="s">
        <v>4297</v>
      </c>
      <c r="BH896" s="9" t="s">
        <v>100</v>
      </c>
      <c r="BI896" s="9" t="s">
        <v>100</v>
      </c>
      <c r="BJ896" s="109"/>
      <c r="BN896" s="109"/>
      <c r="BO896" s="109"/>
    </row>
    <row r="897" spans="1:67" s="137" customFormat="1" ht="78" hidden="1" x14ac:dyDescent="0.35">
      <c r="A897" s="126">
        <v>433</v>
      </c>
      <c r="B897" s="126" t="s">
        <v>4163</v>
      </c>
      <c r="C897" s="126" t="s">
        <v>74</v>
      </c>
      <c r="D897" s="127" t="s">
        <v>4305</v>
      </c>
      <c r="E897" s="126" t="s">
        <v>39</v>
      </c>
      <c r="F897" s="126" t="s">
        <v>143</v>
      </c>
      <c r="G897" s="126" t="s">
        <v>225</v>
      </c>
      <c r="H897" s="126" t="s">
        <v>125</v>
      </c>
      <c r="I897" s="126" t="s">
        <v>114</v>
      </c>
      <c r="J897" s="127" t="s">
        <v>25</v>
      </c>
      <c r="K897" s="126" t="s">
        <v>4151</v>
      </c>
      <c r="L897" s="127" t="s">
        <v>4291</v>
      </c>
      <c r="M897" s="127" t="s">
        <v>4292</v>
      </c>
      <c r="N897" s="127" t="s">
        <v>4293</v>
      </c>
      <c r="O897" s="127" t="s">
        <v>276</v>
      </c>
      <c r="P897" s="127" t="s">
        <v>235</v>
      </c>
      <c r="Q897" s="146">
        <v>43220</v>
      </c>
      <c r="R897" s="127" t="s">
        <v>766</v>
      </c>
      <c r="S897" s="127" t="s">
        <v>4190</v>
      </c>
      <c r="T897" s="127" t="s">
        <v>4190</v>
      </c>
      <c r="U897" s="127">
        <v>5</v>
      </c>
      <c r="V897" s="126" t="s">
        <v>14</v>
      </c>
      <c r="W897" s="126" t="s">
        <v>98</v>
      </c>
      <c r="X897" s="127" t="s">
        <v>207</v>
      </c>
      <c r="Y897" s="132" t="s">
        <v>98</v>
      </c>
      <c r="Z897" s="127" t="s">
        <v>98</v>
      </c>
      <c r="AA897" s="127" t="s">
        <v>276</v>
      </c>
      <c r="AB897" s="127" t="s">
        <v>276</v>
      </c>
      <c r="AC897" s="126">
        <v>1</v>
      </c>
      <c r="AD897" s="126" t="s">
        <v>4294</v>
      </c>
      <c r="AE897" s="126">
        <v>1</v>
      </c>
      <c r="AF897" s="126" t="s">
        <v>4294</v>
      </c>
      <c r="AG897" s="127" t="s">
        <v>4295</v>
      </c>
      <c r="AH897" s="127" t="s">
        <v>4306</v>
      </c>
      <c r="AI897" s="134">
        <v>36</v>
      </c>
      <c r="AJ897" s="134">
        <v>60</v>
      </c>
      <c r="AK897" s="134">
        <f>43+20+16+6</f>
        <v>85</v>
      </c>
      <c r="AL897" s="134">
        <f>23+13+23+8</f>
        <v>67</v>
      </c>
      <c r="AM897" s="134" t="s">
        <v>292</v>
      </c>
      <c r="AN897" s="126" t="s">
        <v>276</v>
      </c>
      <c r="AO897" s="135">
        <f t="shared" si="268"/>
        <v>42.352941176470587</v>
      </c>
      <c r="AP897" s="126" t="s">
        <v>276</v>
      </c>
      <c r="AQ897" s="126" t="s">
        <v>276</v>
      </c>
      <c r="AR897" s="126" t="s">
        <v>276</v>
      </c>
      <c r="AS897" s="135">
        <f t="shared" si="269"/>
        <v>89.552238805970148</v>
      </c>
      <c r="AT897" s="126" t="s">
        <v>276</v>
      </c>
      <c r="AU897" s="126" t="s">
        <v>276</v>
      </c>
      <c r="AV897" s="127" t="s">
        <v>268</v>
      </c>
      <c r="AW897" s="234" t="s">
        <v>276</v>
      </c>
      <c r="AX897" s="234">
        <f t="shared" si="287"/>
        <v>0.4729411764705882</v>
      </c>
      <c r="AY897" s="127" t="s">
        <v>276</v>
      </c>
      <c r="AZ897" s="127" t="s">
        <v>276</v>
      </c>
      <c r="BA897" s="127" t="s">
        <v>276</v>
      </c>
      <c r="BB897" s="127" t="s">
        <v>282</v>
      </c>
      <c r="BC897" s="127" t="s">
        <v>276</v>
      </c>
      <c r="BD897" s="127" t="s">
        <v>276</v>
      </c>
      <c r="BE897" s="127" t="s">
        <v>276</v>
      </c>
      <c r="BF897" s="127" t="s">
        <v>4296</v>
      </c>
      <c r="BG897" s="127" t="s">
        <v>4297</v>
      </c>
      <c r="BH897" s="9" t="s">
        <v>100</v>
      </c>
      <c r="BI897" s="9" t="s">
        <v>100</v>
      </c>
      <c r="BJ897" s="136"/>
      <c r="BN897" s="136"/>
      <c r="BO897" s="136"/>
    </row>
    <row r="898" spans="1:67" s="137" customFormat="1" ht="78" hidden="1" x14ac:dyDescent="0.35">
      <c r="A898" s="126">
        <v>433</v>
      </c>
      <c r="B898" s="126" t="s">
        <v>4163</v>
      </c>
      <c r="C898" s="126" t="s">
        <v>74</v>
      </c>
      <c r="D898" s="127" t="s">
        <v>4307</v>
      </c>
      <c r="E898" s="126" t="s">
        <v>39</v>
      </c>
      <c r="F898" s="126" t="s">
        <v>143</v>
      </c>
      <c r="G898" s="126" t="s">
        <v>225</v>
      </c>
      <c r="H898" s="126" t="s">
        <v>125</v>
      </c>
      <c r="I898" s="126" t="s">
        <v>114</v>
      </c>
      <c r="J898" s="127" t="s">
        <v>25</v>
      </c>
      <c r="K898" s="126" t="s">
        <v>4151</v>
      </c>
      <c r="L898" s="127" t="s">
        <v>4291</v>
      </c>
      <c r="M898" s="127" t="s">
        <v>4292</v>
      </c>
      <c r="N898" s="127" t="s">
        <v>4293</v>
      </c>
      <c r="O898" s="127" t="s">
        <v>276</v>
      </c>
      <c r="P898" s="127" t="s">
        <v>235</v>
      </c>
      <c r="Q898" s="146">
        <v>43220</v>
      </c>
      <c r="R898" s="127" t="s">
        <v>766</v>
      </c>
      <c r="S898" s="127" t="s">
        <v>276</v>
      </c>
      <c r="T898" s="127" t="s">
        <v>276</v>
      </c>
      <c r="U898" s="127">
        <v>5</v>
      </c>
      <c r="V898" s="126" t="s">
        <v>16</v>
      </c>
      <c r="W898" s="126" t="s">
        <v>170</v>
      </c>
      <c r="X898" s="127" t="s">
        <v>207</v>
      </c>
      <c r="Y898" s="132" t="s">
        <v>98</v>
      </c>
      <c r="Z898" s="132" t="s">
        <v>98</v>
      </c>
      <c r="AA898" s="127" t="s">
        <v>276</v>
      </c>
      <c r="AB898" s="127" t="s">
        <v>276</v>
      </c>
      <c r="AC898" s="126">
        <v>1</v>
      </c>
      <c r="AD898" s="126" t="s">
        <v>4294</v>
      </c>
      <c r="AE898" s="126">
        <v>1</v>
      </c>
      <c r="AF898" s="126" t="s">
        <v>4294</v>
      </c>
      <c r="AG898" s="127" t="s">
        <v>4301</v>
      </c>
      <c r="AH898" s="127" t="s">
        <v>4308</v>
      </c>
      <c r="AI898" s="134">
        <f>2+2+6+1+5+1+1+1+8</f>
        <v>27</v>
      </c>
      <c r="AJ898" s="134">
        <f>2+1+5+2+11+2+1+3+2+10+1</f>
        <v>40</v>
      </c>
      <c r="AK898" s="134">
        <f>43+16</f>
        <v>59</v>
      </c>
      <c r="AL898" s="134">
        <f>23+23</f>
        <v>46</v>
      </c>
      <c r="AM898" s="134" t="s">
        <v>292</v>
      </c>
      <c r="AN898" s="126" t="s">
        <v>276</v>
      </c>
      <c r="AO898" s="135">
        <f t="shared" si="268"/>
        <v>45.762711864406782</v>
      </c>
      <c r="AP898" s="126" t="s">
        <v>276</v>
      </c>
      <c r="AQ898" s="126" t="s">
        <v>276</v>
      </c>
      <c r="AR898" s="126" t="s">
        <v>276</v>
      </c>
      <c r="AS898" s="135">
        <f t="shared" si="269"/>
        <v>86.956521739130437</v>
      </c>
      <c r="AT898" s="126" t="s">
        <v>276</v>
      </c>
      <c r="AU898" s="126" t="s">
        <v>276</v>
      </c>
      <c r="AV898" s="127" t="s">
        <v>268</v>
      </c>
      <c r="AW898" s="234" t="s">
        <v>276</v>
      </c>
      <c r="AX898" s="234">
        <f t="shared" si="287"/>
        <v>0.52627118644067794</v>
      </c>
      <c r="AY898" s="127" t="s">
        <v>276</v>
      </c>
      <c r="AZ898" s="127" t="s">
        <v>276</v>
      </c>
      <c r="BA898" s="127" t="s">
        <v>276</v>
      </c>
      <c r="BB898" s="127" t="s">
        <v>282</v>
      </c>
      <c r="BC898" s="127" t="s">
        <v>276</v>
      </c>
      <c r="BD898" s="127" t="s">
        <v>276</v>
      </c>
      <c r="BE898" s="127" t="s">
        <v>276</v>
      </c>
      <c r="BF898" s="127" t="s">
        <v>4302</v>
      </c>
      <c r="BG898" s="127" t="s">
        <v>4297</v>
      </c>
      <c r="BH898" s="9" t="s">
        <v>100</v>
      </c>
      <c r="BI898" s="9" t="s">
        <v>100</v>
      </c>
      <c r="BJ898" s="136"/>
      <c r="BN898" s="136"/>
      <c r="BO898" s="136"/>
    </row>
    <row r="899" spans="1:67" s="137" customFormat="1" ht="78" hidden="1" x14ac:dyDescent="0.35">
      <c r="A899" s="126">
        <v>433</v>
      </c>
      <c r="B899" s="126" t="s">
        <v>4163</v>
      </c>
      <c r="C899" s="126" t="s">
        <v>74</v>
      </c>
      <c r="D899" s="127" t="s">
        <v>4309</v>
      </c>
      <c r="E899" s="126" t="s">
        <v>39</v>
      </c>
      <c r="F899" s="126" t="s">
        <v>143</v>
      </c>
      <c r="G899" s="126" t="s">
        <v>225</v>
      </c>
      <c r="H899" s="126" t="s">
        <v>125</v>
      </c>
      <c r="I899" s="126" t="s">
        <v>114</v>
      </c>
      <c r="J899" s="127" t="s">
        <v>25</v>
      </c>
      <c r="K899" s="126" t="s">
        <v>4151</v>
      </c>
      <c r="L899" s="127" t="s">
        <v>4291</v>
      </c>
      <c r="M899" s="127" t="s">
        <v>4292</v>
      </c>
      <c r="N899" s="127" t="s">
        <v>4293</v>
      </c>
      <c r="O899" s="127" t="s">
        <v>276</v>
      </c>
      <c r="P899" s="127" t="s">
        <v>235</v>
      </c>
      <c r="Q899" s="146">
        <v>43220</v>
      </c>
      <c r="R899" s="127" t="s">
        <v>766</v>
      </c>
      <c r="S899" s="127" t="s">
        <v>276</v>
      </c>
      <c r="T899" s="127" t="s">
        <v>276</v>
      </c>
      <c r="U899" s="127">
        <v>5</v>
      </c>
      <c r="V899" s="126" t="s">
        <v>16</v>
      </c>
      <c r="W899" s="126" t="s">
        <v>171</v>
      </c>
      <c r="X899" s="127" t="s">
        <v>207</v>
      </c>
      <c r="Y899" s="132" t="s">
        <v>98</v>
      </c>
      <c r="Z899" s="132" t="s">
        <v>98</v>
      </c>
      <c r="AA899" s="127" t="s">
        <v>276</v>
      </c>
      <c r="AB899" s="127" t="s">
        <v>276</v>
      </c>
      <c r="AC899" s="126">
        <v>0</v>
      </c>
      <c r="AD899" s="126" t="s">
        <v>4294</v>
      </c>
      <c r="AE899" s="126">
        <v>0</v>
      </c>
      <c r="AF899" s="126" t="s">
        <v>4294</v>
      </c>
      <c r="AG899" s="127" t="s">
        <v>4304</v>
      </c>
      <c r="AH899" s="127" t="s">
        <v>4310</v>
      </c>
      <c r="AI899" s="134">
        <f>1+1+2+2+1+2</f>
        <v>9</v>
      </c>
      <c r="AJ899" s="134">
        <f>1+1+5+1+4+1+3+3+1</f>
        <v>20</v>
      </c>
      <c r="AK899" s="134">
        <f>20+6</f>
        <v>26</v>
      </c>
      <c r="AL899" s="134">
        <f>13+8</f>
        <v>21</v>
      </c>
      <c r="AM899" s="134" t="s">
        <v>292</v>
      </c>
      <c r="AN899" s="126" t="s">
        <v>276</v>
      </c>
      <c r="AO899" s="135">
        <f t="shared" si="268"/>
        <v>34.615384615384613</v>
      </c>
      <c r="AP899" s="126" t="s">
        <v>276</v>
      </c>
      <c r="AQ899" s="126" t="s">
        <v>276</v>
      </c>
      <c r="AR899" s="126" t="s">
        <v>276</v>
      </c>
      <c r="AS899" s="135">
        <f t="shared" si="269"/>
        <v>95.238095238095241</v>
      </c>
      <c r="AT899" s="126" t="s">
        <v>276</v>
      </c>
      <c r="AU899" s="126" t="s">
        <v>276</v>
      </c>
      <c r="AV899" s="127" t="s">
        <v>268</v>
      </c>
      <c r="AW899" s="234" t="s">
        <v>276</v>
      </c>
      <c r="AX899" s="234">
        <f t="shared" si="287"/>
        <v>0.36346153846153845</v>
      </c>
      <c r="AY899" s="127" t="s">
        <v>276</v>
      </c>
      <c r="AZ899" s="127" t="s">
        <v>276</v>
      </c>
      <c r="BA899" s="127" t="s">
        <v>276</v>
      </c>
      <c r="BB899" s="127" t="s">
        <v>282</v>
      </c>
      <c r="BC899" s="127" t="s">
        <v>276</v>
      </c>
      <c r="BD899" s="127" t="s">
        <v>276</v>
      </c>
      <c r="BE899" s="127" t="s">
        <v>276</v>
      </c>
      <c r="BF899" s="127" t="s">
        <v>4302</v>
      </c>
      <c r="BG899" s="127" t="s">
        <v>4297</v>
      </c>
      <c r="BH899" s="9" t="s">
        <v>100</v>
      </c>
      <c r="BI899" s="9" t="s">
        <v>100</v>
      </c>
      <c r="BJ899" s="136"/>
      <c r="BN899" s="136"/>
      <c r="BO899" s="136"/>
    </row>
    <row r="900" spans="1:67" s="110" customFormat="1" ht="78" hidden="1" x14ac:dyDescent="0.35">
      <c r="A900" s="94">
        <v>433</v>
      </c>
      <c r="B900" s="94" t="s">
        <v>4163</v>
      </c>
      <c r="C900" s="94" t="s">
        <v>74</v>
      </c>
      <c r="D900" s="95" t="s">
        <v>4311</v>
      </c>
      <c r="E900" s="94" t="s">
        <v>39</v>
      </c>
      <c r="F900" s="94" t="s">
        <v>143</v>
      </c>
      <c r="G900" s="94" t="s">
        <v>225</v>
      </c>
      <c r="H900" s="94" t="s">
        <v>125</v>
      </c>
      <c r="I900" s="94" t="s">
        <v>114</v>
      </c>
      <c r="J900" s="95" t="s">
        <v>25</v>
      </c>
      <c r="K900" s="94" t="s">
        <v>4151</v>
      </c>
      <c r="L900" s="95" t="s">
        <v>4291</v>
      </c>
      <c r="M900" s="95" t="s">
        <v>4292</v>
      </c>
      <c r="N900" s="95" t="s">
        <v>4293</v>
      </c>
      <c r="O900" s="95" t="s">
        <v>276</v>
      </c>
      <c r="P900" s="95" t="s">
        <v>239</v>
      </c>
      <c r="Q900" s="140" t="s">
        <v>276</v>
      </c>
      <c r="R900" s="95" t="s">
        <v>705</v>
      </c>
      <c r="S900" s="95" t="s">
        <v>276</v>
      </c>
      <c r="T900" s="95" t="s">
        <v>276</v>
      </c>
      <c r="U900" s="95">
        <v>1</v>
      </c>
      <c r="V900" s="94" t="s">
        <v>14</v>
      </c>
      <c r="W900" s="94" t="s">
        <v>98</v>
      </c>
      <c r="X900" s="95" t="s">
        <v>207</v>
      </c>
      <c r="Y900" s="98">
        <v>2029</v>
      </c>
      <c r="Z900" s="95">
        <v>2023</v>
      </c>
      <c r="AA900" s="95" t="s">
        <v>276</v>
      </c>
      <c r="AB900" s="95" t="s">
        <v>276</v>
      </c>
      <c r="AC900" s="94" t="s">
        <v>276</v>
      </c>
      <c r="AD900" s="94" t="s">
        <v>4294</v>
      </c>
      <c r="AE900" s="94">
        <v>0</v>
      </c>
      <c r="AF900" s="94" t="s">
        <v>4294</v>
      </c>
      <c r="AG900" s="95" t="s">
        <v>4312</v>
      </c>
      <c r="AH900" s="95" t="s">
        <v>866</v>
      </c>
      <c r="AI900" s="99">
        <v>5</v>
      </c>
      <c r="AJ900" s="99">
        <v>4</v>
      </c>
      <c r="AK900" s="99">
        <v>2029</v>
      </c>
      <c r="AL900" s="99">
        <v>2023</v>
      </c>
      <c r="AM900" s="99" t="s">
        <v>292</v>
      </c>
      <c r="AN900" s="94" t="s">
        <v>276</v>
      </c>
      <c r="AO900" s="102">
        <f t="shared" si="268"/>
        <v>0.24642681123706259</v>
      </c>
      <c r="AP900" s="94" t="s">
        <v>276</v>
      </c>
      <c r="AQ900" s="94" t="s">
        <v>276</v>
      </c>
      <c r="AR900" s="94" t="s">
        <v>276</v>
      </c>
      <c r="AS900" s="102">
        <f t="shared" si="269"/>
        <v>0.1977261492832427</v>
      </c>
      <c r="AT900" s="94" t="s">
        <v>276</v>
      </c>
      <c r="AU900" s="94" t="s">
        <v>276</v>
      </c>
      <c r="AV900" s="95" t="s">
        <v>268</v>
      </c>
      <c r="AW900" s="141" t="s">
        <v>276</v>
      </c>
      <c r="AX900" s="141">
        <f t="shared" si="287"/>
        <v>1.2463035978314441</v>
      </c>
      <c r="AY900" s="95" t="s">
        <v>276</v>
      </c>
      <c r="AZ900" s="95" t="s">
        <v>276</v>
      </c>
      <c r="BA900" s="95" t="s">
        <v>276</v>
      </c>
      <c r="BB900" s="95" t="s">
        <v>282</v>
      </c>
      <c r="BC900" s="95" t="s">
        <v>276</v>
      </c>
      <c r="BD900" s="95" t="s">
        <v>276</v>
      </c>
      <c r="BE900" s="95" t="s">
        <v>276</v>
      </c>
      <c r="BF900" s="95" t="s">
        <v>4296</v>
      </c>
      <c r="BG900" s="95" t="s">
        <v>4297</v>
      </c>
      <c r="BH900" s="9" t="s">
        <v>100</v>
      </c>
      <c r="BI900" s="9" t="s">
        <v>100</v>
      </c>
      <c r="BJ900" s="109"/>
      <c r="BN900" s="109"/>
      <c r="BO900" s="109"/>
    </row>
    <row r="901" spans="1:67" s="110" customFormat="1" ht="78" hidden="1" x14ac:dyDescent="0.35">
      <c r="A901" s="94">
        <v>433</v>
      </c>
      <c r="B901" s="94" t="s">
        <v>4163</v>
      </c>
      <c r="C901" s="94" t="s">
        <v>74</v>
      </c>
      <c r="D901" s="95" t="s">
        <v>4313</v>
      </c>
      <c r="E901" s="94" t="s">
        <v>39</v>
      </c>
      <c r="F901" s="94" t="s">
        <v>143</v>
      </c>
      <c r="G901" s="94" t="s">
        <v>225</v>
      </c>
      <c r="H901" s="94" t="s">
        <v>125</v>
      </c>
      <c r="I901" s="94" t="s">
        <v>114</v>
      </c>
      <c r="J901" s="95" t="s">
        <v>25</v>
      </c>
      <c r="K901" s="94" t="s">
        <v>4151</v>
      </c>
      <c r="L901" s="95" t="s">
        <v>4291</v>
      </c>
      <c r="M901" s="95" t="s">
        <v>4292</v>
      </c>
      <c r="N901" s="95" t="s">
        <v>4293</v>
      </c>
      <c r="O901" s="95" t="s">
        <v>276</v>
      </c>
      <c r="P901" s="95" t="s">
        <v>239</v>
      </c>
      <c r="Q901" s="140" t="s">
        <v>276</v>
      </c>
      <c r="R901" s="95" t="s">
        <v>710</v>
      </c>
      <c r="S901" s="95" t="s">
        <v>276</v>
      </c>
      <c r="T901" s="95" t="s">
        <v>276</v>
      </c>
      <c r="U901" s="95">
        <v>2</v>
      </c>
      <c r="V901" s="94" t="s">
        <v>14</v>
      </c>
      <c r="W901" s="94" t="s">
        <v>98</v>
      </c>
      <c r="X901" s="95" t="s">
        <v>207</v>
      </c>
      <c r="Y901" s="98">
        <v>2029</v>
      </c>
      <c r="Z901" s="95">
        <v>2023</v>
      </c>
      <c r="AA901" s="95" t="s">
        <v>276</v>
      </c>
      <c r="AB901" s="95" t="s">
        <v>276</v>
      </c>
      <c r="AC901" s="94" t="s">
        <v>276</v>
      </c>
      <c r="AD901" s="94" t="s">
        <v>4294</v>
      </c>
      <c r="AE901" s="94">
        <v>0</v>
      </c>
      <c r="AF901" s="94" t="s">
        <v>4294</v>
      </c>
      <c r="AG901" s="95" t="s">
        <v>4314</v>
      </c>
      <c r="AH901" s="95" t="s">
        <v>866</v>
      </c>
      <c r="AI901" s="99">
        <v>12</v>
      </c>
      <c r="AJ901" s="99">
        <v>11</v>
      </c>
      <c r="AK901" s="99">
        <v>2029</v>
      </c>
      <c r="AL901" s="99">
        <v>2023</v>
      </c>
      <c r="AM901" s="99" t="s">
        <v>292</v>
      </c>
      <c r="AN901" s="94" t="s">
        <v>276</v>
      </c>
      <c r="AO901" s="102">
        <f t="shared" si="268"/>
        <v>0.59142434696895019</v>
      </c>
      <c r="AP901" s="94" t="s">
        <v>276</v>
      </c>
      <c r="AQ901" s="94" t="s">
        <v>276</v>
      </c>
      <c r="AR901" s="94" t="s">
        <v>276</v>
      </c>
      <c r="AS901" s="102">
        <f t="shared" si="269"/>
        <v>0.54374691052891744</v>
      </c>
      <c r="AT901" s="94" t="s">
        <v>276</v>
      </c>
      <c r="AU901" s="94" t="s">
        <v>276</v>
      </c>
      <c r="AV901" s="95" t="s">
        <v>268</v>
      </c>
      <c r="AW901" s="141" t="s">
        <v>276</v>
      </c>
      <c r="AX901" s="141">
        <f t="shared" si="287"/>
        <v>1.0876831399256239</v>
      </c>
      <c r="AY901" s="95" t="s">
        <v>276</v>
      </c>
      <c r="AZ901" s="95" t="s">
        <v>276</v>
      </c>
      <c r="BA901" s="95" t="s">
        <v>276</v>
      </c>
      <c r="BB901" s="95" t="s">
        <v>282</v>
      </c>
      <c r="BC901" s="95" t="s">
        <v>276</v>
      </c>
      <c r="BD901" s="95" t="s">
        <v>276</v>
      </c>
      <c r="BE901" s="95" t="s">
        <v>276</v>
      </c>
      <c r="BF901" s="95" t="s">
        <v>4296</v>
      </c>
      <c r="BG901" s="95" t="s">
        <v>4297</v>
      </c>
      <c r="BH901" s="9" t="s">
        <v>100</v>
      </c>
      <c r="BI901" s="9" t="s">
        <v>100</v>
      </c>
      <c r="BJ901" s="109"/>
      <c r="BN901" s="109"/>
      <c r="BO901" s="109"/>
    </row>
    <row r="902" spans="1:67" s="110" customFormat="1" ht="78" hidden="1" x14ac:dyDescent="0.35">
      <c r="A902" s="94">
        <v>433</v>
      </c>
      <c r="B902" s="94" t="s">
        <v>4163</v>
      </c>
      <c r="C902" s="94" t="s">
        <v>74</v>
      </c>
      <c r="D902" s="95" t="s">
        <v>4315</v>
      </c>
      <c r="E902" s="94" t="s">
        <v>39</v>
      </c>
      <c r="F902" s="94" t="s">
        <v>143</v>
      </c>
      <c r="G902" s="94" t="s">
        <v>225</v>
      </c>
      <c r="H902" s="94" t="s">
        <v>125</v>
      </c>
      <c r="I902" s="94" t="s">
        <v>114</v>
      </c>
      <c r="J902" s="95" t="s">
        <v>25</v>
      </c>
      <c r="K902" s="94" t="s">
        <v>4151</v>
      </c>
      <c r="L902" s="95" t="s">
        <v>4291</v>
      </c>
      <c r="M902" s="95" t="s">
        <v>4292</v>
      </c>
      <c r="N902" s="95" t="s">
        <v>4293</v>
      </c>
      <c r="O902" s="95" t="s">
        <v>276</v>
      </c>
      <c r="P902" s="95" t="s">
        <v>239</v>
      </c>
      <c r="Q902" s="140" t="s">
        <v>276</v>
      </c>
      <c r="R902" s="95" t="s">
        <v>686</v>
      </c>
      <c r="S902" s="95" t="s">
        <v>276</v>
      </c>
      <c r="T902" s="95" t="s">
        <v>276</v>
      </c>
      <c r="U902" s="95">
        <v>3</v>
      </c>
      <c r="V902" s="94" t="s">
        <v>14</v>
      </c>
      <c r="W902" s="94" t="s">
        <v>98</v>
      </c>
      <c r="X902" s="95" t="s">
        <v>207</v>
      </c>
      <c r="Y902" s="98">
        <v>2029</v>
      </c>
      <c r="Z902" s="95">
        <v>2023</v>
      </c>
      <c r="AA902" s="95" t="s">
        <v>276</v>
      </c>
      <c r="AB902" s="95" t="s">
        <v>276</v>
      </c>
      <c r="AC902" s="94" t="s">
        <v>276</v>
      </c>
      <c r="AD902" s="94" t="s">
        <v>4294</v>
      </c>
      <c r="AE902" s="94">
        <v>0</v>
      </c>
      <c r="AF902" s="94" t="s">
        <v>4294</v>
      </c>
      <c r="AG902" s="95" t="s">
        <v>4316</v>
      </c>
      <c r="AH902" s="95" t="s">
        <v>866</v>
      </c>
      <c r="AI902" s="99">
        <v>15</v>
      </c>
      <c r="AJ902" s="99">
        <v>18</v>
      </c>
      <c r="AK902" s="99">
        <v>2029</v>
      </c>
      <c r="AL902" s="99">
        <v>2023</v>
      </c>
      <c r="AM902" s="99" t="s">
        <v>292</v>
      </c>
      <c r="AN902" s="94" t="s">
        <v>276</v>
      </c>
      <c r="AO902" s="102">
        <f t="shared" si="268"/>
        <v>0.73928043371118779</v>
      </c>
      <c r="AP902" s="94" t="s">
        <v>276</v>
      </c>
      <c r="AQ902" s="94" t="s">
        <v>276</v>
      </c>
      <c r="AR902" s="94" t="s">
        <v>276</v>
      </c>
      <c r="AS902" s="102">
        <f t="shared" si="269"/>
        <v>0.88976767177459215</v>
      </c>
      <c r="AT902" s="94" t="s">
        <v>276</v>
      </c>
      <c r="AU902" s="94" t="s">
        <v>276</v>
      </c>
      <c r="AV902" s="95" t="s">
        <v>268</v>
      </c>
      <c r="AW902" s="141" t="s">
        <v>276</v>
      </c>
      <c r="AX902" s="141">
        <f t="shared" si="287"/>
        <v>0.83086906522096271</v>
      </c>
      <c r="AY902" s="95" t="s">
        <v>276</v>
      </c>
      <c r="AZ902" s="95" t="s">
        <v>276</v>
      </c>
      <c r="BA902" s="95" t="s">
        <v>276</v>
      </c>
      <c r="BB902" s="95" t="s">
        <v>282</v>
      </c>
      <c r="BC902" s="95" t="s">
        <v>276</v>
      </c>
      <c r="BD902" s="95" t="s">
        <v>276</v>
      </c>
      <c r="BE902" s="95" t="s">
        <v>276</v>
      </c>
      <c r="BF902" s="95" t="s">
        <v>4296</v>
      </c>
      <c r="BG902" s="95" t="s">
        <v>4297</v>
      </c>
      <c r="BH902" s="9" t="s">
        <v>100</v>
      </c>
      <c r="BI902" s="9" t="s">
        <v>100</v>
      </c>
      <c r="BJ902" s="109"/>
      <c r="BN902" s="109"/>
      <c r="BO902" s="109"/>
    </row>
    <row r="903" spans="1:67" s="110" customFormat="1" ht="78" hidden="1" x14ac:dyDescent="0.35">
      <c r="A903" s="94">
        <v>433</v>
      </c>
      <c r="B903" s="94" t="s">
        <v>4163</v>
      </c>
      <c r="C903" s="94" t="s">
        <v>74</v>
      </c>
      <c r="D903" s="95" t="s">
        <v>4317</v>
      </c>
      <c r="E903" s="94" t="s">
        <v>39</v>
      </c>
      <c r="F903" s="94" t="s">
        <v>143</v>
      </c>
      <c r="G903" s="94" t="s">
        <v>225</v>
      </c>
      <c r="H903" s="94" t="s">
        <v>125</v>
      </c>
      <c r="I903" s="94" t="s">
        <v>114</v>
      </c>
      <c r="J903" s="95" t="s">
        <v>25</v>
      </c>
      <c r="K903" s="94" t="s">
        <v>4151</v>
      </c>
      <c r="L903" s="95" t="s">
        <v>4291</v>
      </c>
      <c r="M903" s="95" t="s">
        <v>4292</v>
      </c>
      <c r="N903" s="95" t="s">
        <v>4293</v>
      </c>
      <c r="O903" s="95" t="s">
        <v>276</v>
      </c>
      <c r="P903" s="95" t="s">
        <v>239</v>
      </c>
      <c r="Q903" s="140" t="s">
        <v>276</v>
      </c>
      <c r="R903" s="95" t="s">
        <v>721</v>
      </c>
      <c r="S903" s="95" t="s">
        <v>276</v>
      </c>
      <c r="T903" s="95" t="s">
        <v>276</v>
      </c>
      <c r="U903" s="95">
        <v>4</v>
      </c>
      <c r="V903" s="94" t="s">
        <v>14</v>
      </c>
      <c r="W903" s="94" t="s">
        <v>98</v>
      </c>
      <c r="X903" s="95" t="s">
        <v>207</v>
      </c>
      <c r="Y903" s="98">
        <v>2029</v>
      </c>
      <c r="Z903" s="95">
        <v>2023</v>
      </c>
      <c r="AA903" s="95" t="s">
        <v>276</v>
      </c>
      <c r="AB903" s="95" t="s">
        <v>276</v>
      </c>
      <c r="AC903" s="94" t="s">
        <v>276</v>
      </c>
      <c r="AD903" s="94" t="s">
        <v>4294</v>
      </c>
      <c r="AE903" s="94">
        <v>0</v>
      </c>
      <c r="AF903" s="94" t="s">
        <v>4294</v>
      </c>
      <c r="AG903" s="95" t="s">
        <v>4318</v>
      </c>
      <c r="AH903" s="95" t="s">
        <v>866</v>
      </c>
      <c r="AI903" s="99">
        <v>17</v>
      </c>
      <c r="AJ903" s="99">
        <v>30</v>
      </c>
      <c r="AK903" s="99">
        <v>2029</v>
      </c>
      <c r="AL903" s="99">
        <v>2023</v>
      </c>
      <c r="AM903" s="99" t="s">
        <v>292</v>
      </c>
      <c r="AN903" s="94" t="s">
        <v>276</v>
      </c>
      <c r="AO903" s="102">
        <f t="shared" si="268"/>
        <v>0.83785115820601286</v>
      </c>
      <c r="AP903" s="94" t="s">
        <v>276</v>
      </c>
      <c r="AQ903" s="94" t="s">
        <v>276</v>
      </c>
      <c r="AR903" s="94" t="s">
        <v>276</v>
      </c>
      <c r="AS903" s="102">
        <f t="shared" si="269"/>
        <v>1.4829461196243203</v>
      </c>
      <c r="AT903" s="94" t="s">
        <v>276</v>
      </c>
      <c r="AU903" s="94" t="s">
        <v>276</v>
      </c>
      <c r="AV903" s="95" t="s">
        <v>268</v>
      </c>
      <c r="AW903" s="141" t="s">
        <v>276</v>
      </c>
      <c r="AX903" s="141">
        <f t="shared" si="287"/>
        <v>0.56499096435025464</v>
      </c>
      <c r="AY903" s="95" t="s">
        <v>276</v>
      </c>
      <c r="AZ903" s="95" t="s">
        <v>276</v>
      </c>
      <c r="BA903" s="95" t="s">
        <v>276</v>
      </c>
      <c r="BB903" s="95" t="s">
        <v>282</v>
      </c>
      <c r="BC903" s="95" t="s">
        <v>276</v>
      </c>
      <c r="BD903" s="95" t="s">
        <v>276</v>
      </c>
      <c r="BE903" s="95" t="s">
        <v>276</v>
      </c>
      <c r="BF903" s="95" t="s">
        <v>4296</v>
      </c>
      <c r="BG903" s="95" t="s">
        <v>4297</v>
      </c>
      <c r="BH903" s="9" t="s">
        <v>100</v>
      </c>
      <c r="BI903" s="9" t="s">
        <v>100</v>
      </c>
      <c r="BJ903" s="109"/>
      <c r="BN903" s="109"/>
      <c r="BO903" s="109"/>
    </row>
    <row r="904" spans="1:67" s="110" customFormat="1" ht="78" hidden="1" x14ac:dyDescent="0.35">
      <c r="A904" s="94">
        <v>433</v>
      </c>
      <c r="B904" s="94" t="s">
        <v>4163</v>
      </c>
      <c r="C904" s="94" t="s">
        <v>74</v>
      </c>
      <c r="D904" s="95" t="s">
        <v>4319</v>
      </c>
      <c r="E904" s="94" t="s">
        <v>39</v>
      </c>
      <c r="F904" s="94" t="s">
        <v>143</v>
      </c>
      <c r="G904" s="94" t="s">
        <v>225</v>
      </c>
      <c r="H904" s="94" t="s">
        <v>125</v>
      </c>
      <c r="I904" s="94" t="s">
        <v>114</v>
      </c>
      <c r="J904" s="95" t="s">
        <v>25</v>
      </c>
      <c r="K904" s="94" t="s">
        <v>4151</v>
      </c>
      <c r="L904" s="95" t="s">
        <v>4291</v>
      </c>
      <c r="M904" s="95" t="s">
        <v>4292</v>
      </c>
      <c r="N904" s="95" t="s">
        <v>4293</v>
      </c>
      <c r="O904" s="95" t="s">
        <v>276</v>
      </c>
      <c r="P904" s="95" t="s">
        <v>239</v>
      </c>
      <c r="Q904" s="140" t="s">
        <v>276</v>
      </c>
      <c r="R904" s="95" t="s">
        <v>728</v>
      </c>
      <c r="S904" s="95" t="s">
        <v>276</v>
      </c>
      <c r="T904" s="95" t="s">
        <v>276</v>
      </c>
      <c r="U904" s="95">
        <v>5</v>
      </c>
      <c r="V904" s="94" t="s">
        <v>14</v>
      </c>
      <c r="W904" s="94" t="s">
        <v>98</v>
      </c>
      <c r="X904" s="95" t="s">
        <v>207</v>
      </c>
      <c r="Y904" s="98">
        <v>2029</v>
      </c>
      <c r="Z904" s="95">
        <v>2023</v>
      </c>
      <c r="AA904" s="95" t="s">
        <v>276</v>
      </c>
      <c r="AB904" s="95" t="s">
        <v>276</v>
      </c>
      <c r="AC904" s="94">
        <v>1</v>
      </c>
      <c r="AD904" s="94" t="s">
        <v>4294</v>
      </c>
      <c r="AE904" s="94">
        <v>0</v>
      </c>
      <c r="AF904" s="94" t="s">
        <v>4294</v>
      </c>
      <c r="AG904" s="95" t="s">
        <v>4320</v>
      </c>
      <c r="AH904" s="95" t="s">
        <v>866</v>
      </c>
      <c r="AI904" s="99">
        <v>20</v>
      </c>
      <c r="AJ904" s="99">
        <v>33</v>
      </c>
      <c r="AK904" s="99">
        <v>2029</v>
      </c>
      <c r="AL904" s="99">
        <v>2023</v>
      </c>
      <c r="AM904" s="99" t="s">
        <v>292</v>
      </c>
      <c r="AN904" s="94" t="s">
        <v>276</v>
      </c>
      <c r="AO904" s="102">
        <f>AI904*100/AK904</f>
        <v>0.98570724494825035</v>
      </c>
      <c r="AP904" s="94" t="s">
        <v>276</v>
      </c>
      <c r="AQ904" s="94" t="s">
        <v>276</v>
      </c>
      <c r="AR904" s="94" t="s">
        <v>276</v>
      </c>
      <c r="AS904" s="102">
        <f t="shared" si="269"/>
        <v>1.6312407315867523</v>
      </c>
      <c r="AT904" s="94" t="s">
        <v>276</v>
      </c>
      <c r="AU904" s="94" t="s">
        <v>276</v>
      </c>
      <c r="AV904" s="95" t="s">
        <v>268</v>
      </c>
      <c r="AW904" s="141" t="s">
        <v>276</v>
      </c>
      <c r="AX904" s="141">
        <f>AO904/AS904</f>
        <v>0.60426841106979101</v>
      </c>
      <c r="AY904" s="95" t="s">
        <v>276</v>
      </c>
      <c r="AZ904" s="95" t="s">
        <v>276</v>
      </c>
      <c r="BA904" s="95" t="s">
        <v>276</v>
      </c>
      <c r="BB904" s="95" t="s">
        <v>282</v>
      </c>
      <c r="BC904" s="95" t="s">
        <v>276</v>
      </c>
      <c r="BD904" s="95" t="s">
        <v>276</v>
      </c>
      <c r="BE904" s="95" t="s">
        <v>276</v>
      </c>
      <c r="BF904" s="95" t="s">
        <v>4321</v>
      </c>
      <c r="BG904" s="95" t="s">
        <v>4297</v>
      </c>
      <c r="BH904" s="9" t="s">
        <v>100</v>
      </c>
      <c r="BI904" s="9" t="s">
        <v>100</v>
      </c>
      <c r="BJ904" s="109"/>
      <c r="BN904" s="109"/>
      <c r="BO904" s="109"/>
    </row>
    <row r="905" spans="1:67" s="110" customFormat="1" ht="78" hidden="1" x14ac:dyDescent="0.35">
      <c r="A905" s="94">
        <v>433</v>
      </c>
      <c r="B905" s="94" t="s">
        <v>4163</v>
      </c>
      <c r="C905" s="94" t="s">
        <v>74</v>
      </c>
      <c r="D905" s="95" t="s">
        <v>4322</v>
      </c>
      <c r="E905" s="94" t="s">
        <v>39</v>
      </c>
      <c r="F905" s="94" t="s">
        <v>143</v>
      </c>
      <c r="G905" s="94" t="s">
        <v>225</v>
      </c>
      <c r="H905" s="94" t="s">
        <v>125</v>
      </c>
      <c r="I905" s="94" t="s">
        <v>114</v>
      </c>
      <c r="J905" s="95" t="s">
        <v>25</v>
      </c>
      <c r="K905" s="94" t="s">
        <v>4151</v>
      </c>
      <c r="L905" s="95" t="s">
        <v>4291</v>
      </c>
      <c r="M905" s="95" t="s">
        <v>4292</v>
      </c>
      <c r="N905" s="95" t="s">
        <v>4293</v>
      </c>
      <c r="O905" s="95" t="s">
        <v>276</v>
      </c>
      <c r="P905" s="95" t="s">
        <v>239</v>
      </c>
      <c r="Q905" s="140" t="s">
        <v>276</v>
      </c>
      <c r="R905" s="95" t="s">
        <v>728</v>
      </c>
      <c r="S905" s="95" t="s">
        <v>276</v>
      </c>
      <c r="T905" s="95" t="s">
        <v>276</v>
      </c>
      <c r="U905" s="95">
        <v>5</v>
      </c>
      <c r="V905" s="94" t="s">
        <v>14</v>
      </c>
      <c r="W905" s="94" t="s">
        <v>98</v>
      </c>
      <c r="X905" s="95" t="s">
        <v>207</v>
      </c>
      <c r="Y905" s="98">
        <v>2029</v>
      </c>
      <c r="Z905" s="95">
        <v>2023</v>
      </c>
      <c r="AA905" s="95" t="s">
        <v>276</v>
      </c>
      <c r="AB905" s="95" t="s">
        <v>276</v>
      </c>
      <c r="AC905" s="94">
        <v>1</v>
      </c>
      <c r="AD905" s="94" t="s">
        <v>4294</v>
      </c>
      <c r="AE905" s="94">
        <v>0</v>
      </c>
      <c r="AF905" s="94" t="s">
        <v>4294</v>
      </c>
      <c r="AG905" s="95" t="s">
        <v>4320</v>
      </c>
      <c r="AH905" s="95" t="s">
        <v>866</v>
      </c>
      <c r="AI905" s="99">
        <v>20</v>
      </c>
      <c r="AJ905" s="99">
        <v>33</v>
      </c>
      <c r="AK905" s="99">
        <v>2029</v>
      </c>
      <c r="AL905" s="99">
        <v>2023</v>
      </c>
      <c r="AM905" s="99" t="s">
        <v>292</v>
      </c>
      <c r="AN905" s="94" t="s">
        <v>276</v>
      </c>
      <c r="AO905" s="102">
        <f>AI905*100/AK905</f>
        <v>0.98570724494825035</v>
      </c>
      <c r="AP905" s="94" t="s">
        <v>276</v>
      </c>
      <c r="AQ905" s="94" t="s">
        <v>276</v>
      </c>
      <c r="AR905" s="94" t="s">
        <v>276</v>
      </c>
      <c r="AS905" s="102">
        <f t="shared" si="269"/>
        <v>1.6312407315867523</v>
      </c>
      <c r="AT905" s="94" t="s">
        <v>276</v>
      </c>
      <c r="AU905" s="94" t="s">
        <v>276</v>
      </c>
      <c r="AV905" s="95" t="s">
        <v>270</v>
      </c>
      <c r="AW905" s="141" t="s">
        <v>276</v>
      </c>
      <c r="AX905" s="141" t="s">
        <v>276</v>
      </c>
      <c r="AY905" s="141" t="s">
        <v>276</v>
      </c>
      <c r="AZ905" s="141" t="s">
        <v>276</v>
      </c>
      <c r="BA905" s="141" t="s">
        <v>276</v>
      </c>
      <c r="BB905" s="95" t="s">
        <v>1488</v>
      </c>
      <c r="BC905" s="141">
        <v>0.61</v>
      </c>
      <c r="BD905" s="95">
        <v>0.35</v>
      </c>
      <c r="BE905" s="95">
        <v>1.07</v>
      </c>
      <c r="BF905" s="95" t="s">
        <v>4323</v>
      </c>
      <c r="BG905" s="95" t="s">
        <v>4297</v>
      </c>
      <c r="BH905" s="9" t="s">
        <v>100</v>
      </c>
      <c r="BI905" s="9" t="s">
        <v>100</v>
      </c>
      <c r="BJ905" s="109"/>
      <c r="BN905" s="109"/>
      <c r="BO905" s="109"/>
    </row>
    <row r="906" spans="1:67" s="110" customFormat="1" ht="78" hidden="1" x14ac:dyDescent="0.35">
      <c r="A906" s="94">
        <v>433</v>
      </c>
      <c r="B906" s="94" t="s">
        <v>4163</v>
      </c>
      <c r="C906" s="94" t="s">
        <v>74</v>
      </c>
      <c r="D906" s="95" t="s">
        <v>4324</v>
      </c>
      <c r="E906" s="94" t="s">
        <v>39</v>
      </c>
      <c r="F906" s="94" t="s">
        <v>143</v>
      </c>
      <c r="G906" s="94" t="s">
        <v>225</v>
      </c>
      <c r="H906" s="94" t="s">
        <v>125</v>
      </c>
      <c r="I906" s="94" t="s">
        <v>114</v>
      </c>
      <c r="J906" s="95" t="s">
        <v>25</v>
      </c>
      <c r="K906" s="94" t="s">
        <v>4151</v>
      </c>
      <c r="L906" s="95" t="s">
        <v>4291</v>
      </c>
      <c r="M906" s="95" t="s">
        <v>4292</v>
      </c>
      <c r="N906" s="95" t="s">
        <v>4293</v>
      </c>
      <c r="O906" s="95" t="s">
        <v>276</v>
      </c>
      <c r="P906" s="95" t="s">
        <v>239</v>
      </c>
      <c r="Q906" s="140" t="s">
        <v>276</v>
      </c>
      <c r="R906" s="95" t="s">
        <v>728</v>
      </c>
      <c r="S906" s="95" t="s">
        <v>276</v>
      </c>
      <c r="T906" s="95" t="s">
        <v>276</v>
      </c>
      <c r="U906" s="95">
        <v>5</v>
      </c>
      <c r="V906" s="94" t="s">
        <v>16</v>
      </c>
      <c r="W906" s="94" t="s">
        <v>170</v>
      </c>
      <c r="X906" s="95" t="s">
        <v>207</v>
      </c>
      <c r="Y906" s="98">
        <v>1315</v>
      </c>
      <c r="Z906" s="95">
        <v>1307</v>
      </c>
      <c r="AA906" s="95" t="s">
        <v>276</v>
      </c>
      <c r="AB906" s="95" t="s">
        <v>276</v>
      </c>
      <c r="AC906" s="94">
        <v>1</v>
      </c>
      <c r="AD906" s="94" t="s">
        <v>4294</v>
      </c>
      <c r="AE906" s="94">
        <v>0</v>
      </c>
      <c r="AF906" s="94" t="s">
        <v>4294</v>
      </c>
      <c r="AG906" s="95" t="s">
        <v>4325</v>
      </c>
      <c r="AH906" s="95" t="s">
        <v>689</v>
      </c>
      <c r="AI906" s="99">
        <f>2+2+6+1+5</f>
        <v>16</v>
      </c>
      <c r="AJ906" s="99">
        <f>2+1+5+2+11</f>
        <v>21</v>
      </c>
      <c r="AK906" s="99">
        <v>1315</v>
      </c>
      <c r="AL906" s="99">
        <v>1307</v>
      </c>
      <c r="AM906" s="99" t="s">
        <v>292</v>
      </c>
      <c r="AN906" s="94" t="s">
        <v>276</v>
      </c>
      <c r="AO906" s="102">
        <f t="shared" ref="AO906" si="288">AI906*100/AK906</f>
        <v>1.2167300380228137</v>
      </c>
      <c r="AP906" s="94" t="s">
        <v>276</v>
      </c>
      <c r="AQ906" s="94" t="s">
        <v>276</v>
      </c>
      <c r="AR906" s="94" t="s">
        <v>276</v>
      </c>
      <c r="AS906" s="102">
        <f t="shared" si="269"/>
        <v>1.6067329762815608</v>
      </c>
      <c r="AT906" s="94" t="s">
        <v>276</v>
      </c>
      <c r="AU906" s="94" t="s">
        <v>276</v>
      </c>
      <c r="AV906" s="95" t="s">
        <v>268</v>
      </c>
      <c r="AW906" s="141" t="s">
        <v>276</v>
      </c>
      <c r="AX906" s="141">
        <f t="shared" ref="AX906" si="289">AO906/AS906</f>
        <v>0.75726959985515119</v>
      </c>
      <c r="AY906" s="95" t="s">
        <v>276</v>
      </c>
      <c r="AZ906" s="95" t="s">
        <v>276</v>
      </c>
      <c r="BA906" s="95" t="s">
        <v>276</v>
      </c>
      <c r="BB906" s="95" t="s">
        <v>282</v>
      </c>
      <c r="BC906" s="95" t="s">
        <v>276</v>
      </c>
      <c r="BD906" s="95" t="s">
        <v>276</v>
      </c>
      <c r="BE906" s="95" t="s">
        <v>276</v>
      </c>
      <c r="BF906" s="95" t="s">
        <v>4302</v>
      </c>
      <c r="BG906" s="95" t="s">
        <v>4297</v>
      </c>
      <c r="BH906" s="9" t="s">
        <v>100</v>
      </c>
      <c r="BI906" s="9" t="s">
        <v>100</v>
      </c>
      <c r="BJ906" s="109"/>
      <c r="BN906" s="109"/>
      <c r="BO906" s="109"/>
    </row>
    <row r="907" spans="1:67" s="110" customFormat="1" ht="78" hidden="1" x14ac:dyDescent="0.35">
      <c r="A907" s="94">
        <v>433</v>
      </c>
      <c r="B907" s="94" t="s">
        <v>4163</v>
      </c>
      <c r="C907" s="94" t="s">
        <v>74</v>
      </c>
      <c r="D907" s="95" t="s">
        <v>4326</v>
      </c>
      <c r="E907" s="94" t="s">
        <v>39</v>
      </c>
      <c r="F907" s="94" t="s">
        <v>143</v>
      </c>
      <c r="G907" s="94" t="s">
        <v>225</v>
      </c>
      <c r="H907" s="94" t="s">
        <v>125</v>
      </c>
      <c r="I907" s="94" t="s">
        <v>114</v>
      </c>
      <c r="J907" s="95" t="s">
        <v>25</v>
      </c>
      <c r="K907" s="94" t="s">
        <v>4151</v>
      </c>
      <c r="L907" s="95" t="s">
        <v>4291</v>
      </c>
      <c r="M907" s="95" t="s">
        <v>4292</v>
      </c>
      <c r="N907" s="95" t="s">
        <v>4293</v>
      </c>
      <c r="O907" s="95" t="s">
        <v>276</v>
      </c>
      <c r="P907" s="95" t="s">
        <v>239</v>
      </c>
      <c r="Q907" s="140" t="s">
        <v>276</v>
      </c>
      <c r="R907" s="95" t="s">
        <v>728</v>
      </c>
      <c r="S907" s="95" t="s">
        <v>276</v>
      </c>
      <c r="T907" s="95" t="s">
        <v>276</v>
      </c>
      <c r="U907" s="95">
        <v>5</v>
      </c>
      <c r="V907" s="94" t="s">
        <v>16</v>
      </c>
      <c r="W907" s="94" t="s">
        <v>171</v>
      </c>
      <c r="X907" s="95" t="s">
        <v>207</v>
      </c>
      <c r="Y907" s="98">
        <v>714</v>
      </c>
      <c r="Z907" s="95">
        <v>716</v>
      </c>
      <c r="AA907" s="95" t="s">
        <v>276</v>
      </c>
      <c r="AB907" s="95" t="s">
        <v>276</v>
      </c>
      <c r="AC907" s="94">
        <v>0</v>
      </c>
      <c r="AD907" s="94" t="s">
        <v>4294</v>
      </c>
      <c r="AE907" s="94">
        <v>0</v>
      </c>
      <c r="AF907" s="94" t="s">
        <v>4294</v>
      </c>
      <c r="AG907" s="95" t="s">
        <v>4327</v>
      </c>
      <c r="AH907" s="95" t="s">
        <v>280</v>
      </c>
      <c r="AI907" s="99">
        <f>1+1+2</f>
        <v>4</v>
      </c>
      <c r="AJ907" s="99">
        <f>1+1+5+1+4</f>
        <v>12</v>
      </c>
      <c r="AK907" s="99">
        <v>714</v>
      </c>
      <c r="AL907" s="99">
        <v>716</v>
      </c>
      <c r="AM907" s="99" t="s">
        <v>292</v>
      </c>
      <c r="AN907" s="94" t="s">
        <v>276</v>
      </c>
      <c r="AO907" s="102">
        <f>AI907*100/AK907</f>
        <v>0.56022408963585435</v>
      </c>
      <c r="AP907" s="94" t="s">
        <v>276</v>
      </c>
      <c r="AQ907" s="94" t="s">
        <v>276</v>
      </c>
      <c r="AR907" s="94" t="s">
        <v>276</v>
      </c>
      <c r="AS907" s="102">
        <f>AJ907*100/AL907</f>
        <v>1.6759776536312849</v>
      </c>
      <c r="AT907" s="94" t="s">
        <v>276</v>
      </c>
      <c r="AU907" s="94" t="s">
        <v>276</v>
      </c>
      <c r="AV907" s="95" t="s">
        <v>268</v>
      </c>
      <c r="AW907" s="141" t="s">
        <v>276</v>
      </c>
      <c r="AX907" s="141">
        <f>AO907/AS907</f>
        <v>0.33426704014939307</v>
      </c>
      <c r="AY907" s="95" t="s">
        <v>276</v>
      </c>
      <c r="AZ907" s="95" t="s">
        <v>276</v>
      </c>
      <c r="BA907" s="95" t="s">
        <v>276</v>
      </c>
      <c r="BB907" s="95" t="s">
        <v>282</v>
      </c>
      <c r="BC907" s="95" t="s">
        <v>276</v>
      </c>
      <c r="BD907" s="95" t="s">
        <v>276</v>
      </c>
      <c r="BE907" s="95" t="s">
        <v>276</v>
      </c>
      <c r="BF907" s="95" t="s">
        <v>4302</v>
      </c>
      <c r="BG907" s="95" t="s">
        <v>4297</v>
      </c>
      <c r="BH907" s="9" t="s">
        <v>100</v>
      </c>
      <c r="BI907" s="9" t="s">
        <v>100</v>
      </c>
      <c r="BJ907" s="109"/>
      <c r="BN907" s="109"/>
      <c r="BO907" s="109"/>
    </row>
    <row r="908" spans="1:67" s="137" customFormat="1" ht="78" hidden="1" x14ac:dyDescent="0.35">
      <c r="A908" s="126">
        <v>433</v>
      </c>
      <c r="B908" s="126" t="s">
        <v>4163</v>
      </c>
      <c r="C908" s="126" t="s">
        <v>74</v>
      </c>
      <c r="D908" s="127" t="s">
        <v>4328</v>
      </c>
      <c r="E908" s="126" t="s">
        <v>39</v>
      </c>
      <c r="F908" s="126" t="s">
        <v>143</v>
      </c>
      <c r="G908" s="126" t="s">
        <v>225</v>
      </c>
      <c r="H908" s="126" t="s">
        <v>125</v>
      </c>
      <c r="I908" s="126" t="s">
        <v>114</v>
      </c>
      <c r="J908" s="127" t="s">
        <v>25</v>
      </c>
      <c r="K908" s="126" t="s">
        <v>4151</v>
      </c>
      <c r="L908" s="127" t="s">
        <v>4291</v>
      </c>
      <c r="M908" s="127" t="s">
        <v>4292</v>
      </c>
      <c r="N908" s="127" t="s">
        <v>4293</v>
      </c>
      <c r="O908" s="127" t="s">
        <v>276</v>
      </c>
      <c r="P908" s="127" t="s">
        <v>235</v>
      </c>
      <c r="Q908" s="146" t="s">
        <v>276</v>
      </c>
      <c r="R908" s="127" t="s">
        <v>728</v>
      </c>
      <c r="S908" s="127" t="s">
        <v>276</v>
      </c>
      <c r="T908" s="127" t="s">
        <v>276</v>
      </c>
      <c r="U908" s="127">
        <v>5</v>
      </c>
      <c r="V908" s="126" t="s">
        <v>14</v>
      </c>
      <c r="W908" s="126" t="s">
        <v>98</v>
      </c>
      <c r="X908" s="127" t="s">
        <v>207</v>
      </c>
      <c r="Y908" s="132" t="s">
        <v>98</v>
      </c>
      <c r="Z908" s="127" t="s">
        <v>98</v>
      </c>
      <c r="AA908" s="127" t="s">
        <v>276</v>
      </c>
      <c r="AB908" s="127" t="s">
        <v>276</v>
      </c>
      <c r="AC908" s="126">
        <v>1</v>
      </c>
      <c r="AD908" s="126" t="s">
        <v>4294</v>
      </c>
      <c r="AE908" s="126">
        <v>0</v>
      </c>
      <c r="AF908" s="126" t="s">
        <v>4294</v>
      </c>
      <c r="AG908" s="127" t="s">
        <v>4320</v>
      </c>
      <c r="AH908" s="127" t="s">
        <v>4329</v>
      </c>
      <c r="AI908" s="134">
        <v>20</v>
      </c>
      <c r="AJ908" s="134">
        <v>33</v>
      </c>
      <c r="AK908" s="134">
        <v>63</v>
      </c>
      <c r="AL908" s="134">
        <f>33+3</f>
        <v>36</v>
      </c>
      <c r="AM908" s="134" t="s">
        <v>292</v>
      </c>
      <c r="AN908" s="126" t="s">
        <v>276</v>
      </c>
      <c r="AO908" s="135">
        <f t="shared" ref="AO908:AO909" si="290">AI908*100/AK908</f>
        <v>31.746031746031747</v>
      </c>
      <c r="AP908" s="126" t="s">
        <v>276</v>
      </c>
      <c r="AQ908" s="126" t="s">
        <v>276</v>
      </c>
      <c r="AR908" s="126" t="s">
        <v>276</v>
      </c>
      <c r="AS908" s="135">
        <f t="shared" ref="AS908:AS909" si="291">AJ908*100/AL908</f>
        <v>91.666666666666671</v>
      </c>
      <c r="AT908" s="126" t="s">
        <v>276</v>
      </c>
      <c r="AU908" s="126" t="s">
        <v>276</v>
      </c>
      <c r="AV908" s="127" t="s">
        <v>268</v>
      </c>
      <c r="AW908" s="234" t="s">
        <v>276</v>
      </c>
      <c r="AX908" s="234">
        <f t="shared" ref="AX908:AX909" si="292">AO908/AS908</f>
        <v>0.34632034632034631</v>
      </c>
      <c r="AY908" s="127" t="s">
        <v>276</v>
      </c>
      <c r="AZ908" s="127" t="s">
        <v>276</v>
      </c>
      <c r="BA908" s="127" t="s">
        <v>276</v>
      </c>
      <c r="BB908" s="127" t="s">
        <v>282</v>
      </c>
      <c r="BC908" s="127" t="s">
        <v>276</v>
      </c>
      <c r="BD908" s="127" t="s">
        <v>276</v>
      </c>
      <c r="BE908" s="127" t="s">
        <v>276</v>
      </c>
      <c r="BF908" s="127" t="s">
        <v>4330</v>
      </c>
      <c r="BG908" s="127" t="s">
        <v>4297</v>
      </c>
      <c r="BH908" s="9" t="s">
        <v>100</v>
      </c>
      <c r="BI908" s="9" t="s">
        <v>100</v>
      </c>
      <c r="BJ908" s="136"/>
      <c r="BN908" s="136"/>
      <c r="BO908" s="136"/>
    </row>
    <row r="909" spans="1:67" s="137" customFormat="1" ht="78" hidden="1" x14ac:dyDescent="0.35">
      <c r="A909" s="126">
        <v>433</v>
      </c>
      <c r="B909" s="126" t="s">
        <v>4163</v>
      </c>
      <c r="C909" s="126" t="s">
        <v>74</v>
      </c>
      <c r="D909" s="127" t="s">
        <v>4331</v>
      </c>
      <c r="E909" s="126" t="s">
        <v>39</v>
      </c>
      <c r="F909" s="126" t="s">
        <v>143</v>
      </c>
      <c r="G909" s="126" t="s">
        <v>225</v>
      </c>
      <c r="H909" s="126" t="s">
        <v>125</v>
      </c>
      <c r="I909" s="126" t="s">
        <v>114</v>
      </c>
      <c r="J909" s="127" t="s">
        <v>25</v>
      </c>
      <c r="K909" s="126" t="s">
        <v>4151</v>
      </c>
      <c r="L909" s="127" t="s">
        <v>4291</v>
      </c>
      <c r="M909" s="127" t="s">
        <v>4292</v>
      </c>
      <c r="N909" s="127" t="s">
        <v>4293</v>
      </c>
      <c r="O909" s="127" t="s">
        <v>276</v>
      </c>
      <c r="P909" s="127" t="s">
        <v>235</v>
      </c>
      <c r="Q909" s="146" t="s">
        <v>276</v>
      </c>
      <c r="R909" s="127" t="s">
        <v>728</v>
      </c>
      <c r="S909" s="127" t="s">
        <v>276</v>
      </c>
      <c r="T909" s="127" t="s">
        <v>276</v>
      </c>
      <c r="U909" s="127">
        <v>5</v>
      </c>
      <c r="V909" s="126" t="s">
        <v>16</v>
      </c>
      <c r="W909" s="126" t="s">
        <v>170</v>
      </c>
      <c r="X909" s="127" t="s">
        <v>207</v>
      </c>
      <c r="Y909" s="132" t="s">
        <v>98</v>
      </c>
      <c r="Z909" s="127" t="s">
        <v>98</v>
      </c>
      <c r="AA909" s="127" t="s">
        <v>276</v>
      </c>
      <c r="AB909" s="127" t="s">
        <v>276</v>
      </c>
      <c r="AC909" s="126">
        <v>1</v>
      </c>
      <c r="AD909" s="126" t="s">
        <v>4294</v>
      </c>
      <c r="AE909" s="126">
        <v>0</v>
      </c>
      <c r="AF909" s="126" t="s">
        <v>4294</v>
      </c>
      <c r="AG909" s="127" t="s">
        <v>4325</v>
      </c>
      <c r="AH909" s="127" t="s">
        <v>4332</v>
      </c>
      <c r="AI909" s="134">
        <f>2+2+6+1+5</f>
        <v>16</v>
      </c>
      <c r="AJ909" s="134">
        <f>2+1+5+2+11</f>
        <v>21</v>
      </c>
      <c r="AK909" s="134">
        <v>43</v>
      </c>
      <c r="AL909" s="134">
        <v>23</v>
      </c>
      <c r="AM909" s="134" t="s">
        <v>292</v>
      </c>
      <c r="AN909" s="126" t="s">
        <v>276</v>
      </c>
      <c r="AO909" s="135">
        <f t="shared" si="290"/>
        <v>37.209302325581397</v>
      </c>
      <c r="AP909" s="126" t="s">
        <v>276</v>
      </c>
      <c r="AQ909" s="126" t="s">
        <v>276</v>
      </c>
      <c r="AR909" s="126" t="s">
        <v>276</v>
      </c>
      <c r="AS909" s="135">
        <f t="shared" si="291"/>
        <v>91.304347826086953</v>
      </c>
      <c r="AT909" s="126" t="s">
        <v>276</v>
      </c>
      <c r="AU909" s="126" t="s">
        <v>276</v>
      </c>
      <c r="AV909" s="127" t="s">
        <v>268</v>
      </c>
      <c r="AW909" s="234" t="s">
        <v>276</v>
      </c>
      <c r="AX909" s="234">
        <f t="shared" si="292"/>
        <v>0.40753045404208199</v>
      </c>
      <c r="AY909" s="127" t="s">
        <v>276</v>
      </c>
      <c r="AZ909" s="127" t="s">
        <v>276</v>
      </c>
      <c r="BA909" s="127" t="s">
        <v>276</v>
      </c>
      <c r="BB909" s="127" t="s">
        <v>282</v>
      </c>
      <c r="BC909" s="127" t="s">
        <v>276</v>
      </c>
      <c r="BD909" s="127" t="s">
        <v>276</v>
      </c>
      <c r="BE909" s="127" t="s">
        <v>276</v>
      </c>
      <c r="BF909" s="127" t="s">
        <v>4302</v>
      </c>
      <c r="BG909" s="127" t="s">
        <v>4297</v>
      </c>
      <c r="BH909" s="9" t="s">
        <v>100</v>
      </c>
      <c r="BI909" s="9" t="s">
        <v>100</v>
      </c>
      <c r="BJ909" s="136"/>
      <c r="BN909" s="136"/>
      <c r="BO909" s="136"/>
    </row>
    <row r="910" spans="1:67" s="137" customFormat="1" ht="78" hidden="1" x14ac:dyDescent="0.35">
      <c r="A910" s="126">
        <v>433</v>
      </c>
      <c r="B910" s="126" t="s">
        <v>4163</v>
      </c>
      <c r="C910" s="126" t="s">
        <v>74</v>
      </c>
      <c r="D910" s="127" t="s">
        <v>4333</v>
      </c>
      <c r="E910" s="126" t="s">
        <v>39</v>
      </c>
      <c r="F910" s="126" t="s">
        <v>143</v>
      </c>
      <c r="G910" s="126" t="s">
        <v>225</v>
      </c>
      <c r="H910" s="126" t="s">
        <v>125</v>
      </c>
      <c r="I910" s="126" t="s">
        <v>114</v>
      </c>
      <c r="J910" s="127" t="s">
        <v>25</v>
      </c>
      <c r="K910" s="126" t="s">
        <v>4151</v>
      </c>
      <c r="L910" s="127" t="s">
        <v>4291</v>
      </c>
      <c r="M910" s="127" t="s">
        <v>4292</v>
      </c>
      <c r="N910" s="127" t="s">
        <v>4293</v>
      </c>
      <c r="O910" s="127" t="s">
        <v>276</v>
      </c>
      <c r="P910" s="127" t="s">
        <v>235</v>
      </c>
      <c r="Q910" s="146" t="s">
        <v>276</v>
      </c>
      <c r="R910" s="127" t="s">
        <v>728</v>
      </c>
      <c r="S910" s="127" t="s">
        <v>276</v>
      </c>
      <c r="T910" s="127" t="s">
        <v>276</v>
      </c>
      <c r="U910" s="127">
        <v>5</v>
      </c>
      <c r="V910" s="126" t="s">
        <v>16</v>
      </c>
      <c r="W910" s="126" t="s">
        <v>171</v>
      </c>
      <c r="X910" s="127" t="s">
        <v>207</v>
      </c>
      <c r="Y910" s="132" t="s">
        <v>98</v>
      </c>
      <c r="Z910" s="127" t="s">
        <v>98</v>
      </c>
      <c r="AA910" s="127" t="s">
        <v>276</v>
      </c>
      <c r="AB910" s="127" t="s">
        <v>276</v>
      </c>
      <c r="AC910" s="126">
        <v>0</v>
      </c>
      <c r="AD910" s="126" t="s">
        <v>4294</v>
      </c>
      <c r="AE910" s="126">
        <v>0</v>
      </c>
      <c r="AF910" s="126" t="s">
        <v>4294</v>
      </c>
      <c r="AG910" s="127" t="s">
        <v>4327</v>
      </c>
      <c r="AH910" s="127" t="s">
        <v>4334</v>
      </c>
      <c r="AI910" s="134">
        <f>1+1+2</f>
        <v>4</v>
      </c>
      <c r="AJ910" s="134">
        <f>1+1+5+1+4</f>
        <v>12</v>
      </c>
      <c r="AK910" s="134">
        <v>20</v>
      </c>
      <c r="AL910" s="134">
        <v>13</v>
      </c>
      <c r="AM910" s="134" t="s">
        <v>292</v>
      </c>
      <c r="AN910" s="126" t="s">
        <v>276</v>
      </c>
      <c r="AO910" s="135">
        <f>AI910*100/AK910</f>
        <v>20</v>
      </c>
      <c r="AP910" s="126" t="s">
        <v>276</v>
      </c>
      <c r="AQ910" s="126" t="s">
        <v>276</v>
      </c>
      <c r="AR910" s="126" t="s">
        <v>276</v>
      </c>
      <c r="AS910" s="135">
        <f>AJ910*100/AL910</f>
        <v>92.307692307692307</v>
      </c>
      <c r="AT910" s="126" t="s">
        <v>276</v>
      </c>
      <c r="AU910" s="126" t="s">
        <v>276</v>
      </c>
      <c r="AV910" s="127" t="s">
        <v>268</v>
      </c>
      <c r="AW910" s="234" t="s">
        <v>276</v>
      </c>
      <c r="AX910" s="234">
        <f>AO910/AS910</f>
        <v>0.21666666666666667</v>
      </c>
      <c r="AY910" s="127" t="s">
        <v>276</v>
      </c>
      <c r="AZ910" s="127" t="s">
        <v>276</v>
      </c>
      <c r="BA910" s="127" t="s">
        <v>276</v>
      </c>
      <c r="BB910" s="127" t="s">
        <v>282</v>
      </c>
      <c r="BC910" s="127" t="s">
        <v>276</v>
      </c>
      <c r="BD910" s="127" t="s">
        <v>276</v>
      </c>
      <c r="BE910" s="127" t="s">
        <v>276</v>
      </c>
      <c r="BF910" s="127" t="s">
        <v>4302</v>
      </c>
      <c r="BG910" s="127" t="s">
        <v>4297</v>
      </c>
      <c r="BH910" s="9" t="s">
        <v>100</v>
      </c>
      <c r="BI910" s="9" t="s">
        <v>100</v>
      </c>
      <c r="BJ910" s="136"/>
      <c r="BN910" s="136"/>
      <c r="BO910" s="136"/>
    </row>
    <row r="911" spans="1:67" s="124" customFormat="1" ht="78" hidden="1" x14ac:dyDescent="0.35">
      <c r="A911" s="112">
        <v>433</v>
      </c>
      <c r="B911" s="112" t="s">
        <v>4163</v>
      </c>
      <c r="C911" s="112" t="s">
        <v>74</v>
      </c>
      <c r="D911" s="113" t="s">
        <v>4335</v>
      </c>
      <c r="E911" s="112" t="s">
        <v>39</v>
      </c>
      <c r="F911" s="112" t="s">
        <v>143</v>
      </c>
      <c r="G911" s="112" t="s">
        <v>225</v>
      </c>
      <c r="H911" s="112" t="s">
        <v>125</v>
      </c>
      <c r="I911" s="112" t="s">
        <v>114</v>
      </c>
      <c r="J911" s="113" t="s">
        <v>25</v>
      </c>
      <c r="K911" s="112" t="s">
        <v>4151</v>
      </c>
      <c r="L911" s="113" t="s">
        <v>4291</v>
      </c>
      <c r="M911" s="113" t="s">
        <v>4292</v>
      </c>
      <c r="N911" s="113" t="s">
        <v>4293</v>
      </c>
      <c r="O911" s="113" t="s">
        <v>276</v>
      </c>
      <c r="P911" s="113" t="s">
        <v>239</v>
      </c>
      <c r="Q911" s="142" t="s">
        <v>276</v>
      </c>
      <c r="R911" s="113" t="s">
        <v>733</v>
      </c>
      <c r="S911" s="113" t="s">
        <v>276</v>
      </c>
      <c r="T911" s="113" t="s">
        <v>276</v>
      </c>
      <c r="U911" s="113">
        <v>5</v>
      </c>
      <c r="V911" s="112" t="s">
        <v>14</v>
      </c>
      <c r="W911" s="112" t="s">
        <v>98</v>
      </c>
      <c r="X911" s="113" t="s">
        <v>207</v>
      </c>
      <c r="Y911" s="118">
        <v>2029</v>
      </c>
      <c r="Z911" s="113">
        <v>2023</v>
      </c>
      <c r="AA911" s="113" t="s">
        <v>276</v>
      </c>
      <c r="AB911" s="113" t="s">
        <v>276</v>
      </c>
      <c r="AC911" s="112">
        <v>1</v>
      </c>
      <c r="AD911" s="112" t="s">
        <v>4294</v>
      </c>
      <c r="AE911" s="112" t="s">
        <v>276</v>
      </c>
      <c r="AF911" s="112" t="s">
        <v>4294</v>
      </c>
      <c r="AG911" s="113" t="s">
        <v>4336</v>
      </c>
      <c r="AH911" s="113" t="s">
        <v>866</v>
      </c>
      <c r="AI911" s="119">
        <v>22</v>
      </c>
      <c r="AJ911" s="119">
        <v>39</v>
      </c>
      <c r="AK911" s="119">
        <v>2029</v>
      </c>
      <c r="AL911" s="119">
        <v>2023</v>
      </c>
      <c r="AM911" s="119" t="s">
        <v>292</v>
      </c>
      <c r="AN911" s="112" t="s">
        <v>276</v>
      </c>
      <c r="AO911" s="121">
        <f t="shared" ref="AO911:AO971" si="293">AI911*100/AK911</f>
        <v>1.0842779694430753</v>
      </c>
      <c r="AP911" s="112" t="s">
        <v>276</v>
      </c>
      <c r="AQ911" s="112" t="s">
        <v>276</v>
      </c>
      <c r="AR911" s="112" t="s">
        <v>276</v>
      </c>
      <c r="AS911" s="121">
        <f t="shared" si="269"/>
        <v>1.9278299555116165</v>
      </c>
      <c r="AT911" s="112" t="s">
        <v>276</v>
      </c>
      <c r="AU911" s="112" t="s">
        <v>276</v>
      </c>
      <c r="AV911" s="113" t="s">
        <v>268</v>
      </c>
      <c r="AW911" s="143" t="s">
        <v>276</v>
      </c>
      <c r="AX911" s="143">
        <f t="shared" ref="AX911:AX915" si="294">AO911/AS911</f>
        <v>0.56243444414957466</v>
      </c>
      <c r="AY911" s="113" t="s">
        <v>276</v>
      </c>
      <c r="AZ911" s="113" t="s">
        <v>276</v>
      </c>
      <c r="BA911" s="113" t="s">
        <v>276</v>
      </c>
      <c r="BB911" s="113" t="s">
        <v>282</v>
      </c>
      <c r="BC911" s="113" t="s">
        <v>276</v>
      </c>
      <c r="BD911" s="113" t="s">
        <v>276</v>
      </c>
      <c r="BE911" s="113" t="s">
        <v>276</v>
      </c>
      <c r="BF911" s="113" t="s">
        <v>4296</v>
      </c>
      <c r="BG911" s="113" t="s">
        <v>4297</v>
      </c>
      <c r="BH911" s="9" t="s">
        <v>100</v>
      </c>
      <c r="BI911" s="9" t="s">
        <v>100</v>
      </c>
      <c r="BJ911" s="123"/>
      <c r="BN911" s="123"/>
      <c r="BO911" s="123"/>
    </row>
    <row r="912" spans="1:67" s="124" customFormat="1" ht="78" hidden="1" x14ac:dyDescent="0.35">
      <c r="A912" s="112">
        <v>433</v>
      </c>
      <c r="B912" s="112" t="s">
        <v>4163</v>
      </c>
      <c r="C912" s="112" t="s">
        <v>74</v>
      </c>
      <c r="D912" s="113" t="s">
        <v>4337</v>
      </c>
      <c r="E912" s="112" t="s">
        <v>39</v>
      </c>
      <c r="F912" s="112" t="s">
        <v>143</v>
      </c>
      <c r="G912" s="112" t="s">
        <v>225</v>
      </c>
      <c r="H912" s="112" t="s">
        <v>125</v>
      </c>
      <c r="I912" s="112" t="s">
        <v>114</v>
      </c>
      <c r="J912" s="113" t="s">
        <v>25</v>
      </c>
      <c r="K912" s="112" t="s">
        <v>4151</v>
      </c>
      <c r="L912" s="113" t="s">
        <v>4291</v>
      </c>
      <c r="M912" s="113" t="s">
        <v>4292</v>
      </c>
      <c r="N912" s="113" t="s">
        <v>4293</v>
      </c>
      <c r="O912" s="113" t="s">
        <v>276</v>
      </c>
      <c r="P912" s="113" t="s">
        <v>239</v>
      </c>
      <c r="Q912" s="142" t="s">
        <v>276</v>
      </c>
      <c r="R912" s="113" t="s">
        <v>741</v>
      </c>
      <c r="S912" s="113" t="s">
        <v>276</v>
      </c>
      <c r="T912" s="113" t="s">
        <v>276</v>
      </c>
      <c r="U912" s="113">
        <v>5</v>
      </c>
      <c r="V912" s="112" t="s">
        <v>14</v>
      </c>
      <c r="W912" s="112" t="s">
        <v>98</v>
      </c>
      <c r="X912" s="113" t="s">
        <v>207</v>
      </c>
      <c r="Y912" s="118">
        <v>2029</v>
      </c>
      <c r="Z912" s="113">
        <v>2023</v>
      </c>
      <c r="AA912" s="113" t="s">
        <v>276</v>
      </c>
      <c r="AB912" s="113" t="s">
        <v>276</v>
      </c>
      <c r="AC912" s="112">
        <v>1</v>
      </c>
      <c r="AD912" s="112" t="s">
        <v>4294</v>
      </c>
      <c r="AE912" s="112" t="s">
        <v>276</v>
      </c>
      <c r="AF912" s="112" t="s">
        <v>4294</v>
      </c>
      <c r="AG912" s="113" t="s">
        <v>4338</v>
      </c>
      <c r="AH912" s="113" t="s">
        <v>866</v>
      </c>
      <c r="AI912" s="119">
        <v>27</v>
      </c>
      <c r="AJ912" s="119">
        <v>49</v>
      </c>
      <c r="AK912" s="119">
        <v>2029</v>
      </c>
      <c r="AL912" s="119">
        <v>2023</v>
      </c>
      <c r="AM912" s="119" t="s">
        <v>292</v>
      </c>
      <c r="AN912" s="112" t="s">
        <v>276</v>
      </c>
      <c r="AO912" s="121">
        <f t="shared" si="293"/>
        <v>1.330704780680138</v>
      </c>
      <c r="AP912" s="112" t="s">
        <v>276</v>
      </c>
      <c r="AQ912" s="112" t="s">
        <v>276</v>
      </c>
      <c r="AR912" s="112" t="s">
        <v>276</v>
      </c>
      <c r="AS912" s="121">
        <f t="shared" si="269"/>
        <v>2.422145328719723</v>
      </c>
      <c r="AT912" s="112" t="s">
        <v>276</v>
      </c>
      <c r="AU912" s="112" t="s">
        <v>276</v>
      </c>
      <c r="AV912" s="113" t="s">
        <v>268</v>
      </c>
      <c r="AW912" s="143" t="s">
        <v>276</v>
      </c>
      <c r="AX912" s="143">
        <f t="shared" si="294"/>
        <v>0.54939097373794277</v>
      </c>
      <c r="AY912" s="113" t="s">
        <v>276</v>
      </c>
      <c r="AZ912" s="113" t="s">
        <v>276</v>
      </c>
      <c r="BA912" s="113" t="s">
        <v>276</v>
      </c>
      <c r="BB912" s="113" t="s">
        <v>282</v>
      </c>
      <c r="BC912" s="113" t="s">
        <v>276</v>
      </c>
      <c r="BD912" s="113" t="s">
        <v>276</v>
      </c>
      <c r="BE912" s="113" t="s">
        <v>276</v>
      </c>
      <c r="BF912" s="113" t="s">
        <v>4296</v>
      </c>
      <c r="BG912" s="113" t="s">
        <v>4297</v>
      </c>
      <c r="BH912" s="9" t="s">
        <v>100</v>
      </c>
      <c r="BI912" s="9" t="s">
        <v>100</v>
      </c>
      <c r="BJ912" s="123"/>
      <c r="BN912" s="123"/>
      <c r="BO912" s="123"/>
    </row>
    <row r="913" spans="1:67" s="797" customFormat="1" ht="78" hidden="1" x14ac:dyDescent="0.35">
      <c r="A913" s="789">
        <v>433</v>
      </c>
      <c r="B913" s="789" t="s">
        <v>4163</v>
      </c>
      <c r="C913" s="789" t="s">
        <v>74</v>
      </c>
      <c r="D913" s="790" t="s">
        <v>11551</v>
      </c>
      <c r="E913" s="789" t="s">
        <v>39</v>
      </c>
      <c r="F913" s="789" t="s">
        <v>143</v>
      </c>
      <c r="G913" s="789" t="s">
        <v>225</v>
      </c>
      <c r="H913" s="789" t="s">
        <v>125</v>
      </c>
      <c r="I913" s="789" t="s">
        <v>114</v>
      </c>
      <c r="J913" s="790" t="s">
        <v>25</v>
      </c>
      <c r="K913" s="789" t="s">
        <v>4151</v>
      </c>
      <c r="L913" s="790" t="s">
        <v>4291</v>
      </c>
      <c r="M913" s="790" t="s">
        <v>4292</v>
      </c>
      <c r="N913" s="790" t="s">
        <v>4293</v>
      </c>
      <c r="O913" s="790" t="s">
        <v>276</v>
      </c>
      <c r="P913" s="790" t="s">
        <v>235</v>
      </c>
      <c r="Q913" s="791" t="s">
        <v>276</v>
      </c>
      <c r="R913" s="790" t="s">
        <v>741</v>
      </c>
      <c r="S913" s="790" t="s">
        <v>276</v>
      </c>
      <c r="T913" s="790" t="s">
        <v>276</v>
      </c>
      <c r="U913" s="790">
        <v>5</v>
      </c>
      <c r="V913" s="789" t="s">
        <v>14</v>
      </c>
      <c r="W913" s="789" t="s">
        <v>98</v>
      </c>
      <c r="X913" s="790" t="s">
        <v>207</v>
      </c>
      <c r="Y913" s="792" t="s">
        <v>98</v>
      </c>
      <c r="Z913" s="790" t="s">
        <v>98</v>
      </c>
      <c r="AA913" s="790" t="s">
        <v>276</v>
      </c>
      <c r="AB913" s="790" t="s">
        <v>276</v>
      </c>
      <c r="AC913" s="789">
        <v>1</v>
      </c>
      <c r="AD913" s="789" t="s">
        <v>4294</v>
      </c>
      <c r="AE913" s="789" t="s">
        <v>276</v>
      </c>
      <c r="AF913" s="789" t="s">
        <v>4294</v>
      </c>
      <c r="AG913" s="790" t="s">
        <v>4338</v>
      </c>
      <c r="AH913" s="790" t="s">
        <v>11553</v>
      </c>
      <c r="AI913" s="793">
        <v>27</v>
      </c>
      <c r="AJ913" s="793">
        <v>49</v>
      </c>
      <c r="AK913" s="793">
        <v>74</v>
      </c>
      <c r="AL913" s="793">
        <v>53</v>
      </c>
      <c r="AM913" s="793" t="s">
        <v>292</v>
      </c>
      <c r="AN913" s="789" t="s">
        <v>276</v>
      </c>
      <c r="AO913" s="794">
        <f t="shared" ref="AO913" si="295">AI913*100/AK913</f>
        <v>36.486486486486484</v>
      </c>
      <c r="AP913" s="789" t="s">
        <v>276</v>
      </c>
      <c r="AQ913" s="789" t="s">
        <v>276</v>
      </c>
      <c r="AR913" s="789" t="s">
        <v>276</v>
      </c>
      <c r="AS913" s="794">
        <f t="shared" ref="AS913" si="296">AJ913*100/AL913</f>
        <v>92.452830188679243</v>
      </c>
      <c r="AT913" s="789" t="s">
        <v>276</v>
      </c>
      <c r="AU913" s="789" t="s">
        <v>276</v>
      </c>
      <c r="AV913" s="790" t="s">
        <v>268</v>
      </c>
      <c r="AW913" s="795" t="s">
        <v>276</v>
      </c>
      <c r="AX913" s="795">
        <f t="shared" ref="AX913" si="297">AO913/AS913</f>
        <v>0.39464975179260892</v>
      </c>
      <c r="AY913" s="790" t="s">
        <v>276</v>
      </c>
      <c r="AZ913" s="790" t="s">
        <v>276</v>
      </c>
      <c r="BA913" s="790" t="s">
        <v>276</v>
      </c>
      <c r="BB913" s="790" t="s">
        <v>282</v>
      </c>
      <c r="BC913" s="790" t="s">
        <v>276</v>
      </c>
      <c r="BD913" s="790" t="s">
        <v>276</v>
      </c>
      <c r="BE913" s="790" t="s">
        <v>276</v>
      </c>
      <c r="BF913" s="790" t="s">
        <v>11552</v>
      </c>
      <c r="BG913" s="790" t="s">
        <v>4297</v>
      </c>
      <c r="BH913" s="9" t="s">
        <v>100</v>
      </c>
      <c r="BI913" s="9" t="s">
        <v>100</v>
      </c>
      <c r="BJ913" s="796"/>
      <c r="BN913" s="796"/>
      <c r="BO913" s="796"/>
    </row>
    <row r="914" spans="1:67" s="124" customFormat="1" ht="78" hidden="1" x14ac:dyDescent="0.35">
      <c r="A914" s="112">
        <v>433</v>
      </c>
      <c r="B914" s="112" t="s">
        <v>4163</v>
      </c>
      <c r="C914" s="112" t="s">
        <v>74</v>
      </c>
      <c r="D914" s="113" t="s">
        <v>4339</v>
      </c>
      <c r="E914" s="112" t="s">
        <v>39</v>
      </c>
      <c r="F914" s="112" t="s">
        <v>143</v>
      </c>
      <c r="G914" s="112" t="s">
        <v>225</v>
      </c>
      <c r="H914" s="112" t="s">
        <v>125</v>
      </c>
      <c r="I914" s="112" t="s">
        <v>114</v>
      </c>
      <c r="J914" s="113" t="s">
        <v>25</v>
      </c>
      <c r="K914" s="112" t="s">
        <v>4151</v>
      </c>
      <c r="L914" s="113" t="s">
        <v>4291</v>
      </c>
      <c r="M914" s="113" t="s">
        <v>4292</v>
      </c>
      <c r="N914" s="113" t="s">
        <v>4293</v>
      </c>
      <c r="O914" s="113" t="s">
        <v>276</v>
      </c>
      <c r="P914" s="113" t="s">
        <v>239</v>
      </c>
      <c r="Q914" s="142" t="s">
        <v>276</v>
      </c>
      <c r="R914" s="113" t="s">
        <v>746</v>
      </c>
      <c r="S914" s="113" t="s">
        <v>276</v>
      </c>
      <c r="T914" s="113" t="s">
        <v>276</v>
      </c>
      <c r="U914" s="113">
        <v>5</v>
      </c>
      <c r="V914" s="112" t="s">
        <v>14</v>
      </c>
      <c r="W914" s="112" t="s">
        <v>98</v>
      </c>
      <c r="X914" s="113" t="s">
        <v>207</v>
      </c>
      <c r="Y914" s="118">
        <v>2029</v>
      </c>
      <c r="Z914" s="113">
        <v>2023</v>
      </c>
      <c r="AA914" s="113" t="s">
        <v>276</v>
      </c>
      <c r="AB914" s="113" t="s">
        <v>276</v>
      </c>
      <c r="AC914" s="112">
        <v>1</v>
      </c>
      <c r="AD914" s="112" t="s">
        <v>4294</v>
      </c>
      <c r="AE914" s="112" t="s">
        <v>276</v>
      </c>
      <c r="AF914" s="112" t="s">
        <v>4294</v>
      </c>
      <c r="AG914" s="113" t="s">
        <v>4340</v>
      </c>
      <c r="AH914" s="113" t="s">
        <v>866</v>
      </c>
      <c r="AI914" s="119">
        <v>32</v>
      </c>
      <c r="AJ914" s="119">
        <v>55</v>
      </c>
      <c r="AK914" s="119">
        <v>2029</v>
      </c>
      <c r="AL914" s="119">
        <v>2023</v>
      </c>
      <c r="AM914" s="119" t="s">
        <v>292</v>
      </c>
      <c r="AN914" s="112" t="s">
        <v>276</v>
      </c>
      <c r="AO914" s="121">
        <f t="shared" si="293"/>
        <v>1.5771315919172006</v>
      </c>
      <c r="AP914" s="112" t="s">
        <v>276</v>
      </c>
      <c r="AQ914" s="112" t="s">
        <v>276</v>
      </c>
      <c r="AR914" s="112" t="s">
        <v>276</v>
      </c>
      <c r="AS914" s="121">
        <f t="shared" si="269"/>
        <v>2.7187345526445874</v>
      </c>
      <c r="AT914" s="112" t="s">
        <v>276</v>
      </c>
      <c r="AU914" s="112" t="s">
        <v>276</v>
      </c>
      <c r="AV914" s="113" t="s">
        <v>268</v>
      </c>
      <c r="AW914" s="143" t="s">
        <v>276</v>
      </c>
      <c r="AX914" s="143">
        <f t="shared" si="294"/>
        <v>0.58009767462699935</v>
      </c>
      <c r="AY914" s="113" t="s">
        <v>276</v>
      </c>
      <c r="AZ914" s="113" t="s">
        <v>276</v>
      </c>
      <c r="BA914" s="113" t="s">
        <v>276</v>
      </c>
      <c r="BB914" s="113" t="s">
        <v>282</v>
      </c>
      <c r="BC914" s="113" t="s">
        <v>276</v>
      </c>
      <c r="BD914" s="113" t="s">
        <v>276</v>
      </c>
      <c r="BE914" s="113" t="s">
        <v>276</v>
      </c>
      <c r="BF914" s="113" t="s">
        <v>4296</v>
      </c>
      <c r="BG914" s="113" t="s">
        <v>4297</v>
      </c>
      <c r="BH914" s="9" t="s">
        <v>100</v>
      </c>
      <c r="BI914" s="9" t="s">
        <v>100</v>
      </c>
      <c r="BJ914" s="123"/>
      <c r="BN914" s="123"/>
      <c r="BO914" s="123"/>
    </row>
    <row r="915" spans="1:67" s="124" customFormat="1" ht="78" hidden="1" x14ac:dyDescent="0.35">
      <c r="A915" s="112">
        <v>433</v>
      </c>
      <c r="B915" s="112" t="s">
        <v>4163</v>
      </c>
      <c r="C915" s="112" t="s">
        <v>74</v>
      </c>
      <c r="D915" s="113" t="s">
        <v>4341</v>
      </c>
      <c r="E915" s="112" t="s">
        <v>39</v>
      </c>
      <c r="F915" s="112" t="s">
        <v>143</v>
      </c>
      <c r="G915" s="112" t="s">
        <v>225</v>
      </c>
      <c r="H915" s="112" t="s">
        <v>125</v>
      </c>
      <c r="I915" s="112" t="s">
        <v>114</v>
      </c>
      <c r="J915" s="113" t="s">
        <v>25</v>
      </c>
      <c r="K915" s="112" t="s">
        <v>4151</v>
      </c>
      <c r="L915" s="113" t="s">
        <v>4291</v>
      </c>
      <c r="M915" s="113" t="s">
        <v>4292</v>
      </c>
      <c r="N915" s="113" t="s">
        <v>4293</v>
      </c>
      <c r="O915" s="113" t="s">
        <v>276</v>
      </c>
      <c r="P915" s="113" t="s">
        <v>239</v>
      </c>
      <c r="Q915" s="142" t="s">
        <v>276</v>
      </c>
      <c r="R915" s="113" t="s">
        <v>752</v>
      </c>
      <c r="S915" s="113" t="s">
        <v>276</v>
      </c>
      <c r="T915" s="113" t="s">
        <v>276</v>
      </c>
      <c r="U915" s="113">
        <v>5</v>
      </c>
      <c r="V915" s="112" t="s">
        <v>14</v>
      </c>
      <c r="W915" s="112" t="s">
        <v>98</v>
      </c>
      <c r="X915" s="113" t="s">
        <v>207</v>
      </c>
      <c r="Y915" s="118">
        <v>2029</v>
      </c>
      <c r="Z915" s="113">
        <v>2023</v>
      </c>
      <c r="AA915" s="113" t="s">
        <v>276</v>
      </c>
      <c r="AB915" s="113" t="s">
        <v>276</v>
      </c>
      <c r="AC915" s="112">
        <v>1</v>
      </c>
      <c r="AD915" s="112" t="s">
        <v>4294</v>
      </c>
      <c r="AE915" s="112" t="s">
        <v>276</v>
      </c>
      <c r="AF915" s="112" t="s">
        <v>4294</v>
      </c>
      <c r="AG915" s="113" t="s">
        <v>4342</v>
      </c>
      <c r="AH915" s="113" t="s">
        <v>866</v>
      </c>
      <c r="AI915" s="119">
        <v>34</v>
      </c>
      <c r="AJ915" s="119">
        <v>58</v>
      </c>
      <c r="AK915" s="119">
        <v>2029</v>
      </c>
      <c r="AL915" s="119">
        <v>2023</v>
      </c>
      <c r="AM915" s="119" t="s">
        <v>292</v>
      </c>
      <c r="AN915" s="112" t="s">
        <v>276</v>
      </c>
      <c r="AO915" s="121">
        <f t="shared" si="293"/>
        <v>1.6757023164120257</v>
      </c>
      <c r="AP915" s="112" t="s">
        <v>276</v>
      </c>
      <c r="AQ915" s="112" t="s">
        <v>276</v>
      </c>
      <c r="AR915" s="112" t="s">
        <v>276</v>
      </c>
      <c r="AS915" s="121">
        <f t="shared" si="269"/>
        <v>2.8670291646070192</v>
      </c>
      <c r="AT915" s="112" t="s">
        <v>276</v>
      </c>
      <c r="AU915" s="112" t="s">
        <v>276</v>
      </c>
      <c r="AV915" s="113" t="s">
        <v>268</v>
      </c>
      <c r="AW915" s="143" t="s">
        <v>276</v>
      </c>
      <c r="AX915" s="143">
        <f t="shared" si="294"/>
        <v>0.58447341139681519</v>
      </c>
      <c r="AY915" s="113" t="s">
        <v>276</v>
      </c>
      <c r="AZ915" s="113" t="s">
        <v>276</v>
      </c>
      <c r="BA915" s="113" t="s">
        <v>276</v>
      </c>
      <c r="BB915" s="113" t="s">
        <v>282</v>
      </c>
      <c r="BC915" s="113" t="s">
        <v>276</v>
      </c>
      <c r="BD915" s="113" t="s">
        <v>276</v>
      </c>
      <c r="BE915" s="113" t="s">
        <v>276</v>
      </c>
      <c r="BF915" s="113" t="s">
        <v>4296</v>
      </c>
      <c r="BG915" s="113" t="s">
        <v>4297</v>
      </c>
      <c r="BH915" s="9" t="s">
        <v>100</v>
      </c>
      <c r="BI915" s="9" t="s">
        <v>100</v>
      </c>
      <c r="BJ915" s="123"/>
      <c r="BN915" s="123"/>
      <c r="BO915" s="123"/>
    </row>
    <row r="916" spans="1:67" s="110" customFormat="1" ht="78" hidden="1" x14ac:dyDescent="0.35">
      <c r="A916" s="94">
        <v>433</v>
      </c>
      <c r="B916" s="94" t="s">
        <v>4163</v>
      </c>
      <c r="C916" s="94" t="s">
        <v>74</v>
      </c>
      <c r="D916" s="95" t="s">
        <v>4343</v>
      </c>
      <c r="E916" s="94" t="s">
        <v>39</v>
      </c>
      <c r="F916" s="94" t="s">
        <v>143</v>
      </c>
      <c r="G916" s="94" t="s">
        <v>225</v>
      </c>
      <c r="H916" s="94" t="s">
        <v>125</v>
      </c>
      <c r="I916" s="94" t="s">
        <v>114</v>
      </c>
      <c r="J916" s="95" t="s">
        <v>25</v>
      </c>
      <c r="K916" s="94" t="s">
        <v>300</v>
      </c>
      <c r="L916" s="95" t="s">
        <v>4291</v>
      </c>
      <c r="M916" s="95" t="s">
        <v>4292</v>
      </c>
      <c r="N916" s="95" t="s">
        <v>4293</v>
      </c>
      <c r="O916" s="95" t="s">
        <v>276</v>
      </c>
      <c r="P916" s="95" t="s">
        <v>239</v>
      </c>
      <c r="Q916" s="140" t="s">
        <v>276</v>
      </c>
      <c r="R916" s="95" t="s">
        <v>705</v>
      </c>
      <c r="S916" s="95" t="s">
        <v>276</v>
      </c>
      <c r="T916" s="95" t="s">
        <v>276</v>
      </c>
      <c r="U916" s="95">
        <v>1</v>
      </c>
      <c r="V916" s="94" t="s">
        <v>14</v>
      </c>
      <c r="W916" s="94" t="s">
        <v>98</v>
      </c>
      <c r="X916" s="95" t="s">
        <v>207</v>
      </c>
      <c r="Y916" s="98">
        <v>2029</v>
      </c>
      <c r="Z916" s="95">
        <v>2023</v>
      </c>
      <c r="AA916" s="95" t="s">
        <v>276</v>
      </c>
      <c r="AB916" s="95" t="s">
        <v>276</v>
      </c>
      <c r="AC916" s="94" t="s">
        <v>276</v>
      </c>
      <c r="AD916" s="94" t="s">
        <v>4294</v>
      </c>
      <c r="AE916" s="94">
        <v>0</v>
      </c>
      <c r="AF916" s="94" t="s">
        <v>4294</v>
      </c>
      <c r="AG916" s="95" t="s">
        <v>4344</v>
      </c>
      <c r="AH916" s="95" t="s">
        <v>866</v>
      </c>
      <c r="AI916" s="99">
        <v>14</v>
      </c>
      <c r="AJ916" s="99">
        <v>0</v>
      </c>
      <c r="AK916" s="99">
        <v>2029</v>
      </c>
      <c r="AL916" s="99">
        <v>2023</v>
      </c>
      <c r="AM916" s="99" t="s">
        <v>292</v>
      </c>
      <c r="AN916" s="94" t="s">
        <v>276</v>
      </c>
      <c r="AO916" s="102">
        <f t="shared" si="293"/>
        <v>0.68999507146377526</v>
      </c>
      <c r="AP916" s="94" t="s">
        <v>276</v>
      </c>
      <c r="AQ916" s="94" t="s">
        <v>276</v>
      </c>
      <c r="AR916" s="94" t="s">
        <v>276</v>
      </c>
      <c r="AS916" s="102">
        <f t="shared" si="269"/>
        <v>0</v>
      </c>
      <c r="AT916" s="94" t="s">
        <v>276</v>
      </c>
      <c r="AU916" s="94" t="s">
        <v>276</v>
      </c>
      <c r="AV916" s="95" t="s">
        <v>268</v>
      </c>
      <c r="AW916" s="141" t="s">
        <v>276</v>
      </c>
      <c r="AX916" s="141" t="s">
        <v>98</v>
      </c>
      <c r="AY916" s="95" t="s">
        <v>276</v>
      </c>
      <c r="AZ916" s="95" t="s">
        <v>276</v>
      </c>
      <c r="BA916" s="95" t="s">
        <v>276</v>
      </c>
      <c r="BB916" s="95" t="s">
        <v>282</v>
      </c>
      <c r="BC916" s="95" t="s">
        <v>276</v>
      </c>
      <c r="BD916" s="95" t="s">
        <v>276</v>
      </c>
      <c r="BE916" s="95" t="s">
        <v>276</v>
      </c>
      <c r="BF916" s="95" t="s">
        <v>4345</v>
      </c>
      <c r="BG916" s="95" t="s">
        <v>4297</v>
      </c>
      <c r="BH916" s="9" t="s">
        <v>100</v>
      </c>
      <c r="BI916" s="9" t="s">
        <v>100</v>
      </c>
      <c r="BJ916" s="109"/>
      <c r="BN916" s="109"/>
      <c r="BO916" s="109"/>
    </row>
    <row r="917" spans="1:67" s="110" customFormat="1" ht="78" hidden="1" x14ac:dyDescent="0.35">
      <c r="A917" s="94">
        <v>433</v>
      </c>
      <c r="B917" s="94" t="s">
        <v>4163</v>
      </c>
      <c r="C917" s="94" t="s">
        <v>74</v>
      </c>
      <c r="D917" s="95" t="s">
        <v>4346</v>
      </c>
      <c r="E917" s="94" t="s">
        <v>39</v>
      </c>
      <c r="F917" s="94" t="s">
        <v>143</v>
      </c>
      <c r="G917" s="94" t="s">
        <v>225</v>
      </c>
      <c r="H917" s="94" t="s">
        <v>125</v>
      </c>
      <c r="I917" s="94" t="s">
        <v>114</v>
      </c>
      <c r="J917" s="95" t="s">
        <v>25</v>
      </c>
      <c r="K917" s="94" t="s">
        <v>300</v>
      </c>
      <c r="L917" s="95" t="s">
        <v>4291</v>
      </c>
      <c r="M917" s="95" t="s">
        <v>4292</v>
      </c>
      <c r="N917" s="95" t="s">
        <v>4293</v>
      </c>
      <c r="O917" s="95" t="s">
        <v>276</v>
      </c>
      <c r="P917" s="95" t="s">
        <v>239</v>
      </c>
      <c r="Q917" s="140" t="s">
        <v>276</v>
      </c>
      <c r="R917" s="95" t="s">
        <v>710</v>
      </c>
      <c r="S917" s="95" t="s">
        <v>276</v>
      </c>
      <c r="T917" s="95" t="s">
        <v>276</v>
      </c>
      <c r="U917" s="95">
        <v>2</v>
      </c>
      <c r="V917" s="94" t="s">
        <v>14</v>
      </c>
      <c r="W917" s="94" t="s">
        <v>98</v>
      </c>
      <c r="X917" s="95" t="s">
        <v>207</v>
      </c>
      <c r="Y917" s="98">
        <v>2029</v>
      </c>
      <c r="Z917" s="95">
        <v>2023</v>
      </c>
      <c r="AA917" s="95" t="s">
        <v>276</v>
      </c>
      <c r="AB917" s="95" t="s">
        <v>276</v>
      </c>
      <c r="AC917" s="94" t="s">
        <v>276</v>
      </c>
      <c r="AD917" s="94" t="s">
        <v>4294</v>
      </c>
      <c r="AE917" s="94">
        <v>0</v>
      </c>
      <c r="AF917" s="94" t="s">
        <v>4294</v>
      </c>
      <c r="AG917" s="95" t="s">
        <v>4347</v>
      </c>
      <c r="AH917" s="95" t="s">
        <v>866</v>
      </c>
      <c r="AI917" s="99">
        <v>22</v>
      </c>
      <c r="AJ917" s="99">
        <v>0</v>
      </c>
      <c r="AK917" s="99">
        <v>2029</v>
      </c>
      <c r="AL917" s="99">
        <v>2023</v>
      </c>
      <c r="AM917" s="99" t="s">
        <v>292</v>
      </c>
      <c r="AN917" s="94" t="s">
        <v>276</v>
      </c>
      <c r="AO917" s="102">
        <f t="shared" si="293"/>
        <v>1.0842779694430753</v>
      </c>
      <c r="AP917" s="94" t="s">
        <v>276</v>
      </c>
      <c r="AQ917" s="94" t="s">
        <v>276</v>
      </c>
      <c r="AR917" s="94" t="s">
        <v>276</v>
      </c>
      <c r="AS917" s="102">
        <f t="shared" si="269"/>
        <v>0</v>
      </c>
      <c r="AT917" s="94" t="s">
        <v>276</v>
      </c>
      <c r="AU917" s="94" t="s">
        <v>276</v>
      </c>
      <c r="AV917" s="95" t="s">
        <v>268</v>
      </c>
      <c r="AW917" s="141" t="s">
        <v>276</v>
      </c>
      <c r="AX917" s="141" t="s">
        <v>98</v>
      </c>
      <c r="AY917" s="95" t="s">
        <v>276</v>
      </c>
      <c r="AZ917" s="95" t="s">
        <v>276</v>
      </c>
      <c r="BA917" s="95" t="s">
        <v>276</v>
      </c>
      <c r="BB917" s="95" t="s">
        <v>282</v>
      </c>
      <c r="BC917" s="95" t="s">
        <v>276</v>
      </c>
      <c r="BD917" s="95" t="s">
        <v>276</v>
      </c>
      <c r="BE917" s="95" t="s">
        <v>276</v>
      </c>
      <c r="BF917" s="95" t="s">
        <v>4345</v>
      </c>
      <c r="BG917" s="95" t="s">
        <v>4297</v>
      </c>
      <c r="BH917" s="9" t="s">
        <v>100</v>
      </c>
      <c r="BI917" s="9" t="s">
        <v>100</v>
      </c>
      <c r="BJ917" s="109"/>
      <c r="BN917" s="109"/>
      <c r="BO917" s="109"/>
    </row>
    <row r="918" spans="1:67" s="110" customFormat="1" ht="78" hidden="1" x14ac:dyDescent="0.35">
      <c r="A918" s="94">
        <v>433</v>
      </c>
      <c r="B918" s="94" t="s">
        <v>4163</v>
      </c>
      <c r="C918" s="94" t="s">
        <v>74</v>
      </c>
      <c r="D918" s="95" t="s">
        <v>4348</v>
      </c>
      <c r="E918" s="94" t="s">
        <v>39</v>
      </c>
      <c r="F918" s="94" t="s">
        <v>143</v>
      </c>
      <c r="G918" s="94" t="s">
        <v>225</v>
      </c>
      <c r="H918" s="94" t="s">
        <v>125</v>
      </c>
      <c r="I918" s="94" t="s">
        <v>114</v>
      </c>
      <c r="J918" s="95" t="s">
        <v>25</v>
      </c>
      <c r="K918" s="94" t="s">
        <v>300</v>
      </c>
      <c r="L918" s="95" t="s">
        <v>4291</v>
      </c>
      <c r="M918" s="95" t="s">
        <v>4292</v>
      </c>
      <c r="N918" s="95" t="s">
        <v>4293</v>
      </c>
      <c r="O918" s="95" t="s">
        <v>276</v>
      </c>
      <c r="P918" s="95" t="s">
        <v>239</v>
      </c>
      <c r="Q918" s="140" t="s">
        <v>276</v>
      </c>
      <c r="R918" s="95" t="s">
        <v>686</v>
      </c>
      <c r="S918" s="95" t="s">
        <v>276</v>
      </c>
      <c r="T918" s="95" t="s">
        <v>276</v>
      </c>
      <c r="U918" s="95">
        <v>3</v>
      </c>
      <c r="V918" s="94" t="s">
        <v>14</v>
      </c>
      <c r="W918" s="94" t="s">
        <v>98</v>
      </c>
      <c r="X918" s="95" t="s">
        <v>207</v>
      </c>
      <c r="Y918" s="98">
        <v>2029</v>
      </c>
      <c r="Z918" s="95">
        <v>2023</v>
      </c>
      <c r="AA918" s="95" t="s">
        <v>276</v>
      </c>
      <c r="AB918" s="95" t="s">
        <v>276</v>
      </c>
      <c r="AC918" s="94" t="s">
        <v>276</v>
      </c>
      <c r="AD918" s="94" t="s">
        <v>4294</v>
      </c>
      <c r="AE918" s="94">
        <v>0</v>
      </c>
      <c r="AF918" s="94" t="s">
        <v>4294</v>
      </c>
      <c r="AG918" s="95" t="s">
        <v>4349</v>
      </c>
      <c r="AH918" s="95" t="s">
        <v>866</v>
      </c>
      <c r="AI918" s="99">
        <v>31</v>
      </c>
      <c r="AJ918" s="99">
        <v>1</v>
      </c>
      <c r="AK918" s="99">
        <v>2029</v>
      </c>
      <c r="AL918" s="99">
        <v>2023</v>
      </c>
      <c r="AM918" s="99" t="s">
        <v>292</v>
      </c>
      <c r="AN918" s="94" t="s">
        <v>276</v>
      </c>
      <c r="AO918" s="102">
        <f t="shared" si="293"/>
        <v>1.5278462296697881</v>
      </c>
      <c r="AP918" s="94" t="s">
        <v>276</v>
      </c>
      <c r="AQ918" s="94" t="s">
        <v>276</v>
      </c>
      <c r="AR918" s="94" t="s">
        <v>276</v>
      </c>
      <c r="AS918" s="102">
        <f t="shared" si="269"/>
        <v>4.9431537320810674E-2</v>
      </c>
      <c r="AT918" s="94" t="s">
        <v>276</v>
      </c>
      <c r="AU918" s="94" t="s">
        <v>276</v>
      </c>
      <c r="AV918" s="95" t="s">
        <v>268</v>
      </c>
      <c r="AW918" s="141" t="s">
        <v>276</v>
      </c>
      <c r="AX918" s="141">
        <f t="shared" ref="AX918:AX920" si="298">AO918/AS918</f>
        <v>30.908329226219816</v>
      </c>
      <c r="AY918" s="95" t="s">
        <v>276</v>
      </c>
      <c r="AZ918" s="95" t="s">
        <v>276</v>
      </c>
      <c r="BA918" s="95" t="s">
        <v>276</v>
      </c>
      <c r="BB918" s="95" t="s">
        <v>282</v>
      </c>
      <c r="BC918" s="95" t="s">
        <v>276</v>
      </c>
      <c r="BD918" s="95" t="s">
        <v>276</v>
      </c>
      <c r="BE918" s="95" t="s">
        <v>276</v>
      </c>
      <c r="BF918" s="95" t="s">
        <v>4345</v>
      </c>
      <c r="BG918" s="95" t="s">
        <v>4297</v>
      </c>
      <c r="BH918" s="9" t="s">
        <v>100</v>
      </c>
      <c r="BI918" s="9" t="s">
        <v>100</v>
      </c>
      <c r="BJ918" s="109"/>
      <c r="BN918" s="109"/>
      <c r="BO918" s="109"/>
    </row>
    <row r="919" spans="1:67" s="110" customFormat="1" ht="78" hidden="1" x14ac:dyDescent="0.35">
      <c r="A919" s="94">
        <v>433</v>
      </c>
      <c r="B919" s="94" t="s">
        <v>4163</v>
      </c>
      <c r="C919" s="94" t="s">
        <v>74</v>
      </c>
      <c r="D919" s="95" t="s">
        <v>4350</v>
      </c>
      <c r="E919" s="94" t="s">
        <v>39</v>
      </c>
      <c r="F919" s="94" t="s">
        <v>143</v>
      </c>
      <c r="G919" s="94" t="s">
        <v>225</v>
      </c>
      <c r="H919" s="94" t="s">
        <v>125</v>
      </c>
      <c r="I919" s="94" t="s">
        <v>114</v>
      </c>
      <c r="J919" s="95" t="s">
        <v>25</v>
      </c>
      <c r="K919" s="94" t="s">
        <v>300</v>
      </c>
      <c r="L919" s="95" t="s">
        <v>4291</v>
      </c>
      <c r="M919" s="95" t="s">
        <v>4292</v>
      </c>
      <c r="N919" s="95" t="s">
        <v>4293</v>
      </c>
      <c r="O919" s="95" t="s">
        <v>276</v>
      </c>
      <c r="P919" s="95" t="s">
        <v>239</v>
      </c>
      <c r="Q919" s="140" t="s">
        <v>276</v>
      </c>
      <c r="R919" s="95" t="s">
        <v>721</v>
      </c>
      <c r="S919" s="95" t="s">
        <v>276</v>
      </c>
      <c r="T919" s="95" t="s">
        <v>276</v>
      </c>
      <c r="U919" s="95">
        <v>4</v>
      </c>
      <c r="V919" s="94" t="s">
        <v>14</v>
      </c>
      <c r="W919" s="94" t="s">
        <v>98</v>
      </c>
      <c r="X919" s="95" t="s">
        <v>207</v>
      </c>
      <c r="Y919" s="98">
        <v>2029</v>
      </c>
      <c r="Z919" s="95">
        <v>2023</v>
      </c>
      <c r="AA919" s="95" t="s">
        <v>276</v>
      </c>
      <c r="AB919" s="95" t="s">
        <v>276</v>
      </c>
      <c r="AC919" s="94" t="s">
        <v>276</v>
      </c>
      <c r="AD919" s="94" t="s">
        <v>4294</v>
      </c>
      <c r="AE919" s="94">
        <v>0</v>
      </c>
      <c r="AF919" s="94" t="s">
        <v>4294</v>
      </c>
      <c r="AG919" s="95" t="s">
        <v>4351</v>
      </c>
      <c r="AH919" s="95" t="s">
        <v>866</v>
      </c>
      <c r="AI919" s="99">
        <v>38</v>
      </c>
      <c r="AJ919" s="99">
        <v>2</v>
      </c>
      <c r="AK919" s="99">
        <v>2029</v>
      </c>
      <c r="AL919" s="99">
        <v>2023</v>
      </c>
      <c r="AM919" s="99" t="s">
        <v>292</v>
      </c>
      <c r="AN919" s="94" t="s">
        <v>276</v>
      </c>
      <c r="AO919" s="102">
        <f t="shared" si="293"/>
        <v>1.8728437654016756</v>
      </c>
      <c r="AP919" s="94" t="s">
        <v>276</v>
      </c>
      <c r="AQ919" s="94" t="s">
        <v>276</v>
      </c>
      <c r="AR919" s="94" t="s">
        <v>276</v>
      </c>
      <c r="AS919" s="102">
        <f t="shared" si="269"/>
        <v>9.8863074641621349E-2</v>
      </c>
      <c r="AT919" s="94" t="s">
        <v>276</v>
      </c>
      <c r="AU919" s="94" t="s">
        <v>276</v>
      </c>
      <c r="AV919" s="95" t="s">
        <v>268</v>
      </c>
      <c r="AW919" s="141" t="s">
        <v>276</v>
      </c>
      <c r="AX919" s="141">
        <f t="shared" si="298"/>
        <v>18.94381468703795</v>
      </c>
      <c r="AY919" s="95" t="s">
        <v>276</v>
      </c>
      <c r="AZ919" s="95" t="s">
        <v>276</v>
      </c>
      <c r="BA919" s="95" t="s">
        <v>276</v>
      </c>
      <c r="BB919" s="95" t="s">
        <v>282</v>
      </c>
      <c r="BC919" s="95" t="s">
        <v>276</v>
      </c>
      <c r="BD919" s="95" t="s">
        <v>276</v>
      </c>
      <c r="BE919" s="95" t="s">
        <v>276</v>
      </c>
      <c r="BF919" s="95" t="s">
        <v>4345</v>
      </c>
      <c r="BG919" s="95" t="s">
        <v>4297</v>
      </c>
      <c r="BH919" s="9" t="s">
        <v>100</v>
      </c>
      <c r="BI919" s="9" t="s">
        <v>100</v>
      </c>
      <c r="BJ919" s="109"/>
      <c r="BN919" s="109"/>
      <c r="BO919" s="109"/>
    </row>
    <row r="920" spans="1:67" s="124" customFormat="1" ht="78" hidden="1" x14ac:dyDescent="0.35">
      <c r="A920" s="112">
        <v>433</v>
      </c>
      <c r="B920" s="112" t="s">
        <v>4163</v>
      </c>
      <c r="C920" s="112" t="s">
        <v>74</v>
      </c>
      <c r="D920" s="113" t="s">
        <v>4352</v>
      </c>
      <c r="E920" s="112" t="s">
        <v>39</v>
      </c>
      <c r="F920" s="112" t="s">
        <v>143</v>
      </c>
      <c r="G920" s="112" t="s">
        <v>225</v>
      </c>
      <c r="H920" s="112" t="s">
        <v>125</v>
      </c>
      <c r="I920" s="112" t="s">
        <v>114</v>
      </c>
      <c r="J920" s="113" t="s">
        <v>25</v>
      </c>
      <c r="K920" s="112" t="s">
        <v>300</v>
      </c>
      <c r="L920" s="113" t="s">
        <v>4291</v>
      </c>
      <c r="M920" s="113" t="s">
        <v>4292</v>
      </c>
      <c r="N920" s="113" t="s">
        <v>4293</v>
      </c>
      <c r="O920" s="113" t="s">
        <v>276</v>
      </c>
      <c r="P920" s="113" t="s">
        <v>239</v>
      </c>
      <c r="Q920" s="142" t="s">
        <v>276</v>
      </c>
      <c r="R920" s="113" t="s">
        <v>728</v>
      </c>
      <c r="S920" s="113" t="s">
        <v>276</v>
      </c>
      <c r="T920" s="113" t="s">
        <v>276</v>
      </c>
      <c r="U920" s="113">
        <v>5</v>
      </c>
      <c r="V920" s="112" t="s">
        <v>14</v>
      </c>
      <c r="W920" s="112" t="s">
        <v>98</v>
      </c>
      <c r="X920" s="113" t="s">
        <v>207</v>
      </c>
      <c r="Y920" s="118">
        <v>2029</v>
      </c>
      <c r="Z920" s="113">
        <v>2023</v>
      </c>
      <c r="AA920" s="113" t="s">
        <v>276</v>
      </c>
      <c r="AB920" s="113" t="s">
        <v>276</v>
      </c>
      <c r="AC920" s="112">
        <v>1</v>
      </c>
      <c r="AD920" s="112" t="s">
        <v>4294</v>
      </c>
      <c r="AE920" s="112">
        <v>0</v>
      </c>
      <c r="AF920" s="112" t="s">
        <v>4294</v>
      </c>
      <c r="AG920" s="113" t="s">
        <v>4353</v>
      </c>
      <c r="AH920" s="113" t="s">
        <v>866</v>
      </c>
      <c r="AI920" s="119">
        <v>42</v>
      </c>
      <c r="AJ920" s="119">
        <v>3</v>
      </c>
      <c r="AK920" s="119">
        <v>2029</v>
      </c>
      <c r="AL920" s="119">
        <v>2023</v>
      </c>
      <c r="AM920" s="119" t="s">
        <v>292</v>
      </c>
      <c r="AN920" s="112" t="s">
        <v>276</v>
      </c>
      <c r="AO920" s="121">
        <f t="shared" si="293"/>
        <v>2.069985214391326</v>
      </c>
      <c r="AP920" s="112" t="s">
        <v>276</v>
      </c>
      <c r="AQ920" s="112" t="s">
        <v>276</v>
      </c>
      <c r="AR920" s="112" t="s">
        <v>276</v>
      </c>
      <c r="AS920" s="121">
        <f t="shared" si="269"/>
        <v>0.14829461196243204</v>
      </c>
      <c r="AT920" s="112" t="s">
        <v>276</v>
      </c>
      <c r="AU920" s="112" t="s">
        <v>276</v>
      </c>
      <c r="AV920" s="113" t="s">
        <v>268</v>
      </c>
      <c r="AW920" s="143" t="s">
        <v>276</v>
      </c>
      <c r="AX920" s="143">
        <f t="shared" si="298"/>
        <v>13.958600295712174</v>
      </c>
      <c r="AY920" s="113" t="s">
        <v>276</v>
      </c>
      <c r="AZ920" s="113" t="s">
        <v>276</v>
      </c>
      <c r="BA920" s="113" t="s">
        <v>276</v>
      </c>
      <c r="BB920" s="113" t="s">
        <v>282</v>
      </c>
      <c r="BC920" s="113" t="s">
        <v>276</v>
      </c>
      <c r="BD920" s="113" t="s">
        <v>276</v>
      </c>
      <c r="BE920" s="113" t="s">
        <v>276</v>
      </c>
      <c r="BF920" s="113" t="s">
        <v>4345</v>
      </c>
      <c r="BG920" s="113" t="s">
        <v>4297</v>
      </c>
      <c r="BH920" s="9" t="s">
        <v>100</v>
      </c>
      <c r="BI920" s="9" t="s">
        <v>100</v>
      </c>
      <c r="BJ920" s="123"/>
      <c r="BN920" s="123"/>
      <c r="BO920" s="123"/>
    </row>
    <row r="921" spans="1:67" s="124" customFormat="1" ht="78" hidden="1" x14ac:dyDescent="0.35">
      <c r="A921" s="112">
        <v>433</v>
      </c>
      <c r="B921" s="112" t="s">
        <v>4163</v>
      </c>
      <c r="C921" s="112" t="s">
        <v>74</v>
      </c>
      <c r="D921" s="113" t="s">
        <v>4354</v>
      </c>
      <c r="E921" s="112" t="s">
        <v>39</v>
      </c>
      <c r="F921" s="112" t="s">
        <v>143</v>
      </c>
      <c r="G921" s="112" t="s">
        <v>225</v>
      </c>
      <c r="H921" s="112" t="s">
        <v>125</v>
      </c>
      <c r="I921" s="112" t="s">
        <v>114</v>
      </c>
      <c r="J921" s="113" t="s">
        <v>25</v>
      </c>
      <c r="K921" s="112" t="s">
        <v>300</v>
      </c>
      <c r="L921" s="113" t="s">
        <v>4291</v>
      </c>
      <c r="M921" s="113" t="s">
        <v>4292</v>
      </c>
      <c r="N921" s="113" t="s">
        <v>4293</v>
      </c>
      <c r="O921" s="113" t="s">
        <v>276</v>
      </c>
      <c r="P921" s="113" t="s">
        <v>239</v>
      </c>
      <c r="Q921" s="142" t="s">
        <v>276</v>
      </c>
      <c r="R921" s="113" t="s">
        <v>728</v>
      </c>
      <c r="S921" s="113" t="s">
        <v>276</v>
      </c>
      <c r="T921" s="113" t="s">
        <v>276</v>
      </c>
      <c r="U921" s="113">
        <v>5</v>
      </c>
      <c r="V921" s="112" t="s">
        <v>14</v>
      </c>
      <c r="W921" s="112" t="s">
        <v>98</v>
      </c>
      <c r="X921" s="113" t="s">
        <v>207</v>
      </c>
      <c r="Y921" s="118">
        <v>2029</v>
      </c>
      <c r="Z921" s="113">
        <v>2023</v>
      </c>
      <c r="AA921" s="113" t="s">
        <v>276</v>
      </c>
      <c r="AB921" s="113" t="s">
        <v>276</v>
      </c>
      <c r="AC921" s="112">
        <v>1</v>
      </c>
      <c r="AD921" s="112" t="s">
        <v>4294</v>
      </c>
      <c r="AE921" s="112">
        <v>0</v>
      </c>
      <c r="AF921" s="112" t="s">
        <v>4294</v>
      </c>
      <c r="AG921" s="113" t="s">
        <v>4353</v>
      </c>
      <c r="AH921" s="113" t="s">
        <v>866</v>
      </c>
      <c r="AI921" s="119">
        <v>42</v>
      </c>
      <c r="AJ921" s="119">
        <v>3</v>
      </c>
      <c r="AK921" s="119">
        <v>2029</v>
      </c>
      <c r="AL921" s="119">
        <v>2023</v>
      </c>
      <c r="AM921" s="119" t="s">
        <v>292</v>
      </c>
      <c r="AN921" s="112" t="s">
        <v>276</v>
      </c>
      <c r="AO921" s="121">
        <f t="shared" si="293"/>
        <v>2.069985214391326</v>
      </c>
      <c r="AP921" s="112" t="s">
        <v>276</v>
      </c>
      <c r="AQ921" s="112" t="s">
        <v>276</v>
      </c>
      <c r="AR921" s="112" t="s">
        <v>276</v>
      </c>
      <c r="AS921" s="121">
        <f t="shared" si="269"/>
        <v>0.14829461196243204</v>
      </c>
      <c r="AT921" s="112" t="s">
        <v>276</v>
      </c>
      <c r="AU921" s="112" t="s">
        <v>276</v>
      </c>
      <c r="AV921" s="113" t="s">
        <v>270</v>
      </c>
      <c r="AW921" s="143" t="s">
        <v>276</v>
      </c>
      <c r="AX921" s="143" t="s">
        <v>276</v>
      </c>
      <c r="AY921" s="143" t="s">
        <v>276</v>
      </c>
      <c r="AZ921" s="143" t="s">
        <v>276</v>
      </c>
      <c r="BA921" s="143" t="s">
        <v>276</v>
      </c>
      <c r="BB921" s="113" t="s">
        <v>1488</v>
      </c>
      <c r="BC921" s="334">
        <v>14.1</v>
      </c>
      <c r="BD921" s="113">
        <v>4.37</v>
      </c>
      <c r="BE921" s="113">
        <v>45.5</v>
      </c>
      <c r="BF921" s="113" t="s">
        <v>4355</v>
      </c>
      <c r="BG921" s="113" t="s">
        <v>4297</v>
      </c>
      <c r="BH921" s="9" t="s">
        <v>100</v>
      </c>
      <c r="BI921" s="9" t="s">
        <v>100</v>
      </c>
      <c r="BJ921" s="123"/>
      <c r="BN921" s="123"/>
      <c r="BO921" s="123"/>
    </row>
    <row r="922" spans="1:67" s="124" customFormat="1" ht="78" hidden="1" x14ac:dyDescent="0.35">
      <c r="A922" s="112">
        <v>433</v>
      </c>
      <c r="B922" s="112" t="s">
        <v>4163</v>
      </c>
      <c r="C922" s="112" t="s">
        <v>74</v>
      </c>
      <c r="D922" s="113" t="s">
        <v>4356</v>
      </c>
      <c r="E922" s="112" t="s">
        <v>39</v>
      </c>
      <c r="F922" s="112" t="s">
        <v>143</v>
      </c>
      <c r="G922" s="112" t="s">
        <v>225</v>
      </c>
      <c r="H922" s="112" t="s">
        <v>125</v>
      </c>
      <c r="I922" s="112" t="s">
        <v>114</v>
      </c>
      <c r="J922" s="113" t="s">
        <v>25</v>
      </c>
      <c r="K922" s="112" t="s">
        <v>300</v>
      </c>
      <c r="L922" s="113" t="s">
        <v>4291</v>
      </c>
      <c r="M922" s="113" t="s">
        <v>4292</v>
      </c>
      <c r="N922" s="113" t="s">
        <v>4293</v>
      </c>
      <c r="O922" s="113" t="s">
        <v>276</v>
      </c>
      <c r="P922" s="113" t="s">
        <v>239</v>
      </c>
      <c r="Q922" s="142" t="s">
        <v>276</v>
      </c>
      <c r="R922" s="113" t="s">
        <v>728</v>
      </c>
      <c r="S922" s="113" t="s">
        <v>276</v>
      </c>
      <c r="T922" s="113" t="s">
        <v>276</v>
      </c>
      <c r="U922" s="113">
        <v>5</v>
      </c>
      <c r="V922" s="112" t="s">
        <v>16</v>
      </c>
      <c r="W922" s="112" t="s">
        <v>170</v>
      </c>
      <c r="X922" s="113" t="s">
        <v>207</v>
      </c>
      <c r="Y922" s="118">
        <v>1315</v>
      </c>
      <c r="Z922" s="113">
        <v>1307</v>
      </c>
      <c r="AA922" s="113" t="s">
        <v>276</v>
      </c>
      <c r="AB922" s="113" t="s">
        <v>276</v>
      </c>
      <c r="AC922" s="112">
        <v>1</v>
      </c>
      <c r="AD922" s="112" t="s">
        <v>4294</v>
      </c>
      <c r="AE922" s="112">
        <v>0</v>
      </c>
      <c r="AF922" s="112" t="s">
        <v>4294</v>
      </c>
      <c r="AG922" s="113" t="s">
        <v>4357</v>
      </c>
      <c r="AH922" s="113" t="s">
        <v>689</v>
      </c>
      <c r="AI922" s="119">
        <f>19+7</f>
        <v>26</v>
      </c>
      <c r="AJ922" s="119">
        <f>1+1</f>
        <v>2</v>
      </c>
      <c r="AK922" s="119">
        <v>1315</v>
      </c>
      <c r="AL922" s="119">
        <v>1307</v>
      </c>
      <c r="AM922" s="119" t="s">
        <v>292</v>
      </c>
      <c r="AN922" s="112" t="s">
        <v>276</v>
      </c>
      <c r="AO922" s="121">
        <f t="shared" si="293"/>
        <v>1.9771863117870723</v>
      </c>
      <c r="AP922" s="112" t="s">
        <v>276</v>
      </c>
      <c r="AQ922" s="112" t="s">
        <v>276</v>
      </c>
      <c r="AR922" s="112" t="s">
        <v>276</v>
      </c>
      <c r="AS922" s="121">
        <f t="shared" si="269"/>
        <v>0.15302218821729149</v>
      </c>
      <c r="AT922" s="112" t="s">
        <v>276</v>
      </c>
      <c r="AU922" s="112" t="s">
        <v>276</v>
      </c>
      <c r="AV922" s="113" t="s">
        <v>268</v>
      </c>
      <c r="AW922" s="143" t="s">
        <v>276</v>
      </c>
      <c r="AX922" s="143">
        <f t="shared" ref="AX922:AX935" si="299">AO922/AS922</f>
        <v>12.920912547528518</v>
      </c>
      <c r="AY922" s="113" t="s">
        <v>276</v>
      </c>
      <c r="AZ922" s="113" t="s">
        <v>276</v>
      </c>
      <c r="BA922" s="113" t="s">
        <v>276</v>
      </c>
      <c r="BB922" s="113" t="s">
        <v>282</v>
      </c>
      <c r="BC922" s="113" t="s">
        <v>276</v>
      </c>
      <c r="BD922" s="113" t="s">
        <v>276</v>
      </c>
      <c r="BE922" s="113" t="s">
        <v>276</v>
      </c>
      <c r="BF922" s="113" t="s">
        <v>4302</v>
      </c>
      <c r="BG922" s="113" t="s">
        <v>4297</v>
      </c>
      <c r="BH922" s="9" t="s">
        <v>100</v>
      </c>
      <c r="BI922" s="9" t="s">
        <v>100</v>
      </c>
      <c r="BJ922" s="123"/>
      <c r="BN922" s="123"/>
      <c r="BO922" s="123"/>
    </row>
    <row r="923" spans="1:67" s="124" customFormat="1" ht="78" hidden="1" x14ac:dyDescent="0.35">
      <c r="A923" s="112">
        <v>433</v>
      </c>
      <c r="B923" s="112" t="s">
        <v>4163</v>
      </c>
      <c r="C923" s="112" t="s">
        <v>74</v>
      </c>
      <c r="D923" s="113" t="s">
        <v>4358</v>
      </c>
      <c r="E923" s="112" t="s">
        <v>39</v>
      </c>
      <c r="F923" s="112" t="s">
        <v>143</v>
      </c>
      <c r="G923" s="112" t="s">
        <v>225</v>
      </c>
      <c r="H923" s="112" t="s">
        <v>125</v>
      </c>
      <c r="I923" s="112" t="s">
        <v>114</v>
      </c>
      <c r="J923" s="113" t="s">
        <v>25</v>
      </c>
      <c r="K923" s="112" t="s">
        <v>300</v>
      </c>
      <c r="L923" s="113" t="s">
        <v>4291</v>
      </c>
      <c r="M923" s="113" t="s">
        <v>4292</v>
      </c>
      <c r="N923" s="113" t="s">
        <v>4293</v>
      </c>
      <c r="O923" s="113" t="s">
        <v>276</v>
      </c>
      <c r="P923" s="113" t="s">
        <v>239</v>
      </c>
      <c r="Q923" s="142" t="s">
        <v>276</v>
      </c>
      <c r="R923" s="113" t="s">
        <v>728</v>
      </c>
      <c r="S923" s="113" t="s">
        <v>276</v>
      </c>
      <c r="T923" s="113" t="s">
        <v>276</v>
      </c>
      <c r="U923" s="113">
        <v>5</v>
      </c>
      <c r="V923" s="112" t="s">
        <v>16</v>
      </c>
      <c r="W923" s="112" t="s">
        <v>171</v>
      </c>
      <c r="X923" s="113" t="s">
        <v>207</v>
      </c>
      <c r="Y923" s="118">
        <v>714</v>
      </c>
      <c r="Z923" s="113">
        <v>716</v>
      </c>
      <c r="AA923" s="113" t="s">
        <v>276</v>
      </c>
      <c r="AB923" s="113" t="s">
        <v>276</v>
      </c>
      <c r="AC923" s="112">
        <v>0</v>
      </c>
      <c r="AD923" s="112" t="s">
        <v>4294</v>
      </c>
      <c r="AE923" s="112">
        <v>0</v>
      </c>
      <c r="AF923" s="112" t="s">
        <v>4294</v>
      </c>
      <c r="AG923" s="113" t="s">
        <v>4359</v>
      </c>
      <c r="AH923" s="113" t="s">
        <v>280</v>
      </c>
      <c r="AI923" s="119">
        <f>13+3</f>
        <v>16</v>
      </c>
      <c r="AJ923" s="119">
        <f>1</f>
        <v>1</v>
      </c>
      <c r="AK923" s="119">
        <v>714</v>
      </c>
      <c r="AL923" s="119">
        <v>716</v>
      </c>
      <c r="AM923" s="119" t="s">
        <v>292</v>
      </c>
      <c r="AN923" s="112" t="s">
        <v>276</v>
      </c>
      <c r="AO923" s="121">
        <f t="shared" si="293"/>
        <v>2.2408963585434174</v>
      </c>
      <c r="AP923" s="112" t="s">
        <v>276</v>
      </c>
      <c r="AQ923" s="112" t="s">
        <v>276</v>
      </c>
      <c r="AR923" s="112" t="s">
        <v>276</v>
      </c>
      <c r="AS923" s="121">
        <f t="shared" si="269"/>
        <v>0.13966480446927373</v>
      </c>
      <c r="AT923" s="112" t="s">
        <v>276</v>
      </c>
      <c r="AU923" s="112" t="s">
        <v>276</v>
      </c>
      <c r="AV923" s="113" t="s">
        <v>268</v>
      </c>
      <c r="AW923" s="143" t="s">
        <v>276</v>
      </c>
      <c r="AX923" s="143">
        <f t="shared" si="299"/>
        <v>16.044817927170868</v>
      </c>
      <c r="AY923" s="113" t="s">
        <v>276</v>
      </c>
      <c r="AZ923" s="113" t="s">
        <v>276</v>
      </c>
      <c r="BA923" s="113" t="s">
        <v>276</v>
      </c>
      <c r="BB923" s="113" t="s">
        <v>282</v>
      </c>
      <c r="BC923" s="113" t="s">
        <v>276</v>
      </c>
      <c r="BD923" s="113" t="s">
        <v>276</v>
      </c>
      <c r="BE923" s="113" t="s">
        <v>276</v>
      </c>
      <c r="BF923" s="113" t="s">
        <v>4302</v>
      </c>
      <c r="BG923" s="113" t="s">
        <v>4297</v>
      </c>
      <c r="BH923" s="9" t="s">
        <v>100</v>
      </c>
      <c r="BI923" s="9" t="s">
        <v>100</v>
      </c>
      <c r="BJ923" s="123"/>
      <c r="BN923" s="123"/>
      <c r="BO923" s="123"/>
    </row>
    <row r="924" spans="1:67" s="110" customFormat="1" ht="78" hidden="1" x14ac:dyDescent="0.35">
      <c r="A924" s="94">
        <v>433</v>
      </c>
      <c r="B924" s="94" t="s">
        <v>4163</v>
      </c>
      <c r="C924" s="94" t="s">
        <v>74</v>
      </c>
      <c r="D924" s="95" t="s">
        <v>4360</v>
      </c>
      <c r="E924" s="94" t="s">
        <v>39</v>
      </c>
      <c r="F924" s="94" t="s">
        <v>143</v>
      </c>
      <c r="G924" s="94" t="s">
        <v>225</v>
      </c>
      <c r="H924" s="94" t="s">
        <v>125</v>
      </c>
      <c r="I924" s="94" t="s">
        <v>114</v>
      </c>
      <c r="J924" s="95" t="s">
        <v>25</v>
      </c>
      <c r="K924" s="94" t="s">
        <v>300</v>
      </c>
      <c r="L924" s="95" t="s">
        <v>4291</v>
      </c>
      <c r="M924" s="95" t="s">
        <v>4292</v>
      </c>
      <c r="N924" s="95" t="s">
        <v>4293</v>
      </c>
      <c r="O924" s="95" t="s">
        <v>276</v>
      </c>
      <c r="P924" s="95" t="s">
        <v>239</v>
      </c>
      <c r="Q924" s="140" t="s">
        <v>276</v>
      </c>
      <c r="R924" s="95" t="s">
        <v>733</v>
      </c>
      <c r="S924" s="95" t="s">
        <v>276</v>
      </c>
      <c r="T924" s="95" t="s">
        <v>276</v>
      </c>
      <c r="U924" s="95">
        <v>5</v>
      </c>
      <c r="V924" s="94" t="s">
        <v>14</v>
      </c>
      <c r="W924" s="94" t="s">
        <v>98</v>
      </c>
      <c r="X924" s="95" t="s">
        <v>207</v>
      </c>
      <c r="Y924" s="98">
        <v>2029</v>
      </c>
      <c r="Z924" s="95">
        <v>2023</v>
      </c>
      <c r="AA924" s="95" t="s">
        <v>276</v>
      </c>
      <c r="AB924" s="95" t="s">
        <v>276</v>
      </c>
      <c r="AC924" s="94">
        <v>1</v>
      </c>
      <c r="AD924" s="94" t="s">
        <v>4294</v>
      </c>
      <c r="AE924" s="94" t="s">
        <v>276</v>
      </c>
      <c r="AF924" s="94" t="s">
        <v>4294</v>
      </c>
      <c r="AG924" s="95" t="s">
        <v>4361</v>
      </c>
      <c r="AH924" s="95" t="s">
        <v>866</v>
      </c>
      <c r="AI924" s="99">
        <v>45</v>
      </c>
      <c r="AJ924" s="99">
        <v>3</v>
      </c>
      <c r="AK924" s="99">
        <v>2029</v>
      </c>
      <c r="AL924" s="99">
        <v>2023</v>
      </c>
      <c r="AM924" s="99" t="s">
        <v>292</v>
      </c>
      <c r="AN924" s="94" t="s">
        <v>276</v>
      </c>
      <c r="AO924" s="102">
        <f t="shared" si="293"/>
        <v>2.2178413011335634</v>
      </c>
      <c r="AP924" s="94" t="s">
        <v>276</v>
      </c>
      <c r="AQ924" s="94" t="s">
        <v>276</v>
      </c>
      <c r="AR924" s="94" t="s">
        <v>276</v>
      </c>
      <c r="AS924" s="102">
        <f t="shared" si="269"/>
        <v>0.14829461196243204</v>
      </c>
      <c r="AT924" s="94" t="s">
        <v>276</v>
      </c>
      <c r="AU924" s="94" t="s">
        <v>276</v>
      </c>
      <c r="AV924" s="95" t="s">
        <v>268</v>
      </c>
      <c r="AW924" s="141" t="s">
        <v>276</v>
      </c>
      <c r="AX924" s="141">
        <f t="shared" si="299"/>
        <v>14.955643173977327</v>
      </c>
      <c r="AY924" s="95" t="s">
        <v>276</v>
      </c>
      <c r="AZ924" s="95" t="s">
        <v>276</v>
      </c>
      <c r="BA924" s="95" t="s">
        <v>276</v>
      </c>
      <c r="BB924" s="95" t="s">
        <v>282</v>
      </c>
      <c r="BC924" s="95" t="s">
        <v>276</v>
      </c>
      <c r="BD924" s="95" t="s">
        <v>276</v>
      </c>
      <c r="BE924" s="95" t="s">
        <v>276</v>
      </c>
      <c r="BF924" s="95" t="s">
        <v>4345</v>
      </c>
      <c r="BG924" s="95" t="s">
        <v>4297</v>
      </c>
      <c r="BH924" s="9" t="s">
        <v>100</v>
      </c>
      <c r="BI924" s="9" t="s">
        <v>100</v>
      </c>
      <c r="BJ924" s="109"/>
      <c r="BN924" s="109"/>
      <c r="BO924" s="109"/>
    </row>
    <row r="925" spans="1:67" s="110" customFormat="1" ht="78" hidden="1" x14ac:dyDescent="0.35">
      <c r="A925" s="94">
        <v>433</v>
      </c>
      <c r="B925" s="94" t="s">
        <v>4163</v>
      </c>
      <c r="C925" s="94" t="s">
        <v>74</v>
      </c>
      <c r="D925" s="95" t="s">
        <v>4362</v>
      </c>
      <c r="E925" s="94" t="s">
        <v>39</v>
      </c>
      <c r="F925" s="94" t="s">
        <v>143</v>
      </c>
      <c r="G925" s="94" t="s">
        <v>225</v>
      </c>
      <c r="H925" s="94" t="s">
        <v>125</v>
      </c>
      <c r="I925" s="94" t="s">
        <v>114</v>
      </c>
      <c r="J925" s="95" t="s">
        <v>25</v>
      </c>
      <c r="K925" s="94" t="s">
        <v>300</v>
      </c>
      <c r="L925" s="95" t="s">
        <v>4291</v>
      </c>
      <c r="M925" s="95" t="s">
        <v>4292</v>
      </c>
      <c r="N925" s="95" t="s">
        <v>4293</v>
      </c>
      <c r="O925" s="95" t="s">
        <v>276</v>
      </c>
      <c r="P925" s="95" t="s">
        <v>239</v>
      </c>
      <c r="Q925" s="140" t="s">
        <v>276</v>
      </c>
      <c r="R925" s="95" t="s">
        <v>741</v>
      </c>
      <c r="S925" s="95" t="s">
        <v>276</v>
      </c>
      <c r="T925" s="95" t="s">
        <v>276</v>
      </c>
      <c r="U925" s="95">
        <v>5</v>
      </c>
      <c r="V925" s="94" t="s">
        <v>14</v>
      </c>
      <c r="W925" s="94" t="s">
        <v>98</v>
      </c>
      <c r="X925" s="95" t="s">
        <v>207</v>
      </c>
      <c r="Y925" s="98">
        <v>2029</v>
      </c>
      <c r="Z925" s="95">
        <v>2023</v>
      </c>
      <c r="AA925" s="95" t="s">
        <v>276</v>
      </c>
      <c r="AB925" s="95" t="s">
        <v>276</v>
      </c>
      <c r="AC925" s="94">
        <v>1</v>
      </c>
      <c r="AD925" s="94" t="s">
        <v>4294</v>
      </c>
      <c r="AE925" s="94" t="s">
        <v>276</v>
      </c>
      <c r="AF925" s="94" t="s">
        <v>4294</v>
      </c>
      <c r="AG925" s="95" t="s">
        <v>4363</v>
      </c>
      <c r="AH925" s="95" t="s">
        <v>866</v>
      </c>
      <c r="AI925" s="99">
        <v>46</v>
      </c>
      <c r="AJ925" s="99">
        <v>4</v>
      </c>
      <c r="AK925" s="99">
        <v>2029</v>
      </c>
      <c r="AL925" s="99">
        <v>2023</v>
      </c>
      <c r="AM925" s="99" t="s">
        <v>292</v>
      </c>
      <c r="AN925" s="94" t="s">
        <v>276</v>
      </c>
      <c r="AO925" s="102">
        <f t="shared" si="293"/>
        <v>2.2671266633809757</v>
      </c>
      <c r="AP925" s="94" t="s">
        <v>276</v>
      </c>
      <c r="AQ925" s="94" t="s">
        <v>276</v>
      </c>
      <c r="AR925" s="94" t="s">
        <v>276</v>
      </c>
      <c r="AS925" s="102">
        <f t="shared" si="269"/>
        <v>0.1977261492832427</v>
      </c>
      <c r="AT925" s="94" t="s">
        <v>276</v>
      </c>
      <c r="AU925" s="94" t="s">
        <v>276</v>
      </c>
      <c r="AV925" s="95" t="s">
        <v>268</v>
      </c>
      <c r="AW925" s="141" t="s">
        <v>276</v>
      </c>
      <c r="AX925" s="141">
        <f t="shared" si="299"/>
        <v>11.465993100049285</v>
      </c>
      <c r="AY925" s="95" t="s">
        <v>276</v>
      </c>
      <c r="AZ925" s="95" t="s">
        <v>276</v>
      </c>
      <c r="BA925" s="95" t="s">
        <v>276</v>
      </c>
      <c r="BB925" s="95" t="s">
        <v>282</v>
      </c>
      <c r="BC925" s="95" t="s">
        <v>276</v>
      </c>
      <c r="BD925" s="95" t="s">
        <v>276</v>
      </c>
      <c r="BE925" s="95" t="s">
        <v>276</v>
      </c>
      <c r="BF925" s="95" t="s">
        <v>4345</v>
      </c>
      <c r="BG925" s="95" t="s">
        <v>4297</v>
      </c>
      <c r="BH925" s="9" t="s">
        <v>100</v>
      </c>
      <c r="BI925" s="9" t="s">
        <v>100</v>
      </c>
      <c r="BJ925" s="109"/>
      <c r="BN925" s="109"/>
      <c r="BO925" s="109"/>
    </row>
    <row r="926" spans="1:67" s="110" customFormat="1" ht="78" hidden="1" x14ac:dyDescent="0.35">
      <c r="A926" s="94">
        <v>433</v>
      </c>
      <c r="B926" s="94" t="s">
        <v>4163</v>
      </c>
      <c r="C926" s="94" t="s">
        <v>74</v>
      </c>
      <c r="D926" s="95" t="s">
        <v>4364</v>
      </c>
      <c r="E926" s="94" t="s">
        <v>39</v>
      </c>
      <c r="F926" s="94" t="s">
        <v>143</v>
      </c>
      <c r="G926" s="94" t="s">
        <v>225</v>
      </c>
      <c r="H926" s="94" t="s">
        <v>125</v>
      </c>
      <c r="I926" s="94" t="s">
        <v>114</v>
      </c>
      <c r="J926" s="95" t="s">
        <v>25</v>
      </c>
      <c r="K926" s="94" t="s">
        <v>300</v>
      </c>
      <c r="L926" s="95" t="s">
        <v>4291</v>
      </c>
      <c r="M926" s="95" t="s">
        <v>4292</v>
      </c>
      <c r="N926" s="95" t="s">
        <v>4293</v>
      </c>
      <c r="O926" s="95" t="s">
        <v>276</v>
      </c>
      <c r="P926" s="95" t="s">
        <v>239</v>
      </c>
      <c r="Q926" s="140" t="s">
        <v>276</v>
      </c>
      <c r="R926" s="95" t="s">
        <v>746</v>
      </c>
      <c r="S926" s="95" t="s">
        <v>276</v>
      </c>
      <c r="T926" s="95" t="s">
        <v>276</v>
      </c>
      <c r="U926" s="95">
        <v>5</v>
      </c>
      <c r="V926" s="94" t="s">
        <v>14</v>
      </c>
      <c r="W926" s="94" t="s">
        <v>98</v>
      </c>
      <c r="X926" s="95" t="s">
        <v>207</v>
      </c>
      <c r="Y926" s="98">
        <v>2029</v>
      </c>
      <c r="Z926" s="95">
        <v>2023</v>
      </c>
      <c r="AA926" s="95" t="s">
        <v>276</v>
      </c>
      <c r="AB926" s="95" t="s">
        <v>276</v>
      </c>
      <c r="AC926" s="94">
        <v>1</v>
      </c>
      <c r="AD926" s="94" t="s">
        <v>4294</v>
      </c>
      <c r="AE926" s="94" t="s">
        <v>276</v>
      </c>
      <c r="AF926" s="94" t="s">
        <v>4294</v>
      </c>
      <c r="AG926" s="95" t="s">
        <v>4365</v>
      </c>
      <c r="AH926" s="95" t="s">
        <v>866</v>
      </c>
      <c r="AI926" s="99">
        <v>47</v>
      </c>
      <c r="AJ926" s="99">
        <v>5</v>
      </c>
      <c r="AK926" s="99">
        <v>2029</v>
      </c>
      <c r="AL926" s="99">
        <v>2023</v>
      </c>
      <c r="AM926" s="99" t="s">
        <v>292</v>
      </c>
      <c r="AN926" s="94" t="s">
        <v>276</v>
      </c>
      <c r="AO926" s="102">
        <f t="shared" si="293"/>
        <v>2.3164120256283884</v>
      </c>
      <c r="AP926" s="94" t="s">
        <v>276</v>
      </c>
      <c r="AQ926" s="94" t="s">
        <v>276</v>
      </c>
      <c r="AR926" s="94" t="s">
        <v>276</v>
      </c>
      <c r="AS926" s="102">
        <f t="shared" si="269"/>
        <v>0.24715768660405338</v>
      </c>
      <c r="AT926" s="94" t="s">
        <v>276</v>
      </c>
      <c r="AU926" s="94" t="s">
        <v>276</v>
      </c>
      <c r="AV926" s="95" t="s">
        <v>268</v>
      </c>
      <c r="AW926" s="141" t="s">
        <v>276</v>
      </c>
      <c r="AX926" s="141">
        <f t="shared" si="299"/>
        <v>9.3722030556924594</v>
      </c>
      <c r="AY926" s="95" t="s">
        <v>276</v>
      </c>
      <c r="AZ926" s="95" t="s">
        <v>276</v>
      </c>
      <c r="BA926" s="95" t="s">
        <v>276</v>
      </c>
      <c r="BB926" s="95" t="s">
        <v>282</v>
      </c>
      <c r="BC926" s="95" t="s">
        <v>276</v>
      </c>
      <c r="BD926" s="95" t="s">
        <v>276</v>
      </c>
      <c r="BE926" s="95" t="s">
        <v>276</v>
      </c>
      <c r="BF926" s="95" t="s">
        <v>4345</v>
      </c>
      <c r="BG926" s="95" t="s">
        <v>4297</v>
      </c>
      <c r="BH926" s="9" t="s">
        <v>100</v>
      </c>
      <c r="BI926" s="9" t="s">
        <v>100</v>
      </c>
      <c r="BJ926" s="109"/>
      <c r="BN926" s="109"/>
      <c r="BO926" s="109"/>
    </row>
    <row r="927" spans="1:67" s="110" customFormat="1" ht="78" hidden="1" x14ac:dyDescent="0.35">
      <c r="A927" s="94">
        <v>433</v>
      </c>
      <c r="B927" s="94" t="s">
        <v>4163</v>
      </c>
      <c r="C927" s="94" t="s">
        <v>74</v>
      </c>
      <c r="D927" s="95" t="s">
        <v>4366</v>
      </c>
      <c r="E927" s="94" t="s">
        <v>39</v>
      </c>
      <c r="F927" s="94" t="s">
        <v>143</v>
      </c>
      <c r="G927" s="94" t="s">
        <v>225</v>
      </c>
      <c r="H927" s="94" t="s">
        <v>125</v>
      </c>
      <c r="I927" s="94" t="s">
        <v>114</v>
      </c>
      <c r="J927" s="95" t="s">
        <v>25</v>
      </c>
      <c r="K927" s="94" t="s">
        <v>300</v>
      </c>
      <c r="L927" s="95" t="s">
        <v>4291</v>
      </c>
      <c r="M927" s="95" t="s">
        <v>4292</v>
      </c>
      <c r="N927" s="95" t="s">
        <v>4293</v>
      </c>
      <c r="O927" s="95" t="s">
        <v>276</v>
      </c>
      <c r="P927" s="95" t="s">
        <v>239</v>
      </c>
      <c r="Q927" s="140" t="s">
        <v>276</v>
      </c>
      <c r="R927" s="95" t="s">
        <v>752</v>
      </c>
      <c r="S927" s="95" t="s">
        <v>276</v>
      </c>
      <c r="T927" s="95" t="s">
        <v>276</v>
      </c>
      <c r="U927" s="95">
        <v>5</v>
      </c>
      <c r="V927" s="94" t="s">
        <v>14</v>
      </c>
      <c r="W927" s="94" t="s">
        <v>98</v>
      </c>
      <c r="X927" s="95" t="s">
        <v>207</v>
      </c>
      <c r="Y927" s="98">
        <v>2029</v>
      </c>
      <c r="Z927" s="95">
        <v>2023</v>
      </c>
      <c r="AA927" s="95" t="s">
        <v>276</v>
      </c>
      <c r="AB927" s="95" t="s">
        <v>276</v>
      </c>
      <c r="AC927" s="94">
        <v>1</v>
      </c>
      <c r="AD927" s="94" t="s">
        <v>4294</v>
      </c>
      <c r="AE927" s="94" t="s">
        <v>276</v>
      </c>
      <c r="AF927" s="94" t="s">
        <v>4294</v>
      </c>
      <c r="AG927" s="95" t="s">
        <v>4367</v>
      </c>
      <c r="AH927" s="95" t="s">
        <v>866</v>
      </c>
      <c r="AI927" s="99">
        <v>47</v>
      </c>
      <c r="AJ927" s="99">
        <v>6</v>
      </c>
      <c r="AK927" s="99">
        <v>2029</v>
      </c>
      <c r="AL927" s="99">
        <v>2023</v>
      </c>
      <c r="AM927" s="99" t="s">
        <v>292</v>
      </c>
      <c r="AN927" s="94" t="s">
        <v>276</v>
      </c>
      <c r="AO927" s="102">
        <f t="shared" si="293"/>
        <v>2.3164120256283884</v>
      </c>
      <c r="AP927" s="94" t="s">
        <v>276</v>
      </c>
      <c r="AQ927" s="94" t="s">
        <v>276</v>
      </c>
      <c r="AR927" s="94" t="s">
        <v>276</v>
      </c>
      <c r="AS927" s="102">
        <f t="shared" si="269"/>
        <v>0.29658922392486409</v>
      </c>
      <c r="AT927" s="94" t="s">
        <v>276</v>
      </c>
      <c r="AU927" s="94" t="s">
        <v>276</v>
      </c>
      <c r="AV927" s="95" t="s">
        <v>268</v>
      </c>
      <c r="AW927" s="141" t="s">
        <v>276</v>
      </c>
      <c r="AX927" s="141">
        <f t="shared" si="299"/>
        <v>7.8101692130770495</v>
      </c>
      <c r="AY927" s="95" t="s">
        <v>276</v>
      </c>
      <c r="AZ927" s="95" t="s">
        <v>276</v>
      </c>
      <c r="BA927" s="95" t="s">
        <v>276</v>
      </c>
      <c r="BB927" s="95" t="s">
        <v>282</v>
      </c>
      <c r="BC927" s="95" t="s">
        <v>276</v>
      </c>
      <c r="BD927" s="95" t="s">
        <v>276</v>
      </c>
      <c r="BE927" s="95" t="s">
        <v>276</v>
      </c>
      <c r="BF927" s="95" t="s">
        <v>4345</v>
      </c>
      <c r="BG927" s="95" t="s">
        <v>4297</v>
      </c>
      <c r="BH927" s="9" t="s">
        <v>100</v>
      </c>
      <c r="BI927" s="9" t="s">
        <v>100</v>
      </c>
      <c r="BJ927" s="109"/>
      <c r="BN927" s="109"/>
      <c r="BO927" s="109"/>
    </row>
    <row r="928" spans="1:67" s="110" customFormat="1" ht="78" hidden="1" x14ac:dyDescent="0.35">
      <c r="A928" s="94">
        <v>433</v>
      </c>
      <c r="B928" s="94" t="s">
        <v>4163</v>
      </c>
      <c r="C928" s="94" t="s">
        <v>74</v>
      </c>
      <c r="D928" s="95" t="s">
        <v>4368</v>
      </c>
      <c r="E928" s="94" t="s">
        <v>39</v>
      </c>
      <c r="F928" s="94" t="s">
        <v>143</v>
      </c>
      <c r="G928" s="94" t="s">
        <v>225</v>
      </c>
      <c r="H928" s="94" t="s">
        <v>125</v>
      </c>
      <c r="I928" s="94" t="s">
        <v>114</v>
      </c>
      <c r="J928" s="95" t="s">
        <v>25</v>
      </c>
      <c r="K928" s="94" t="s">
        <v>300</v>
      </c>
      <c r="L928" s="95" t="s">
        <v>4291</v>
      </c>
      <c r="M928" s="95" t="s">
        <v>4292</v>
      </c>
      <c r="N928" s="95" t="s">
        <v>4293</v>
      </c>
      <c r="O928" s="95" t="s">
        <v>276</v>
      </c>
      <c r="P928" s="95" t="s">
        <v>239</v>
      </c>
      <c r="Q928" s="140" t="s">
        <v>276</v>
      </c>
      <c r="R928" s="95" t="s">
        <v>766</v>
      </c>
      <c r="S928" s="95" t="s">
        <v>276</v>
      </c>
      <c r="T928" s="95" t="s">
        <v>276</v>
      </c>
      <c r="U928" s="95">
        <v>5</v>
      </c>
      <c r="V928" s="94" t="s">
        <v>14</v>
      </c>
      <c r="W928" s="94" t="s">
        <v>98</v>
      </c>
      <c r="X928" s="95" t="s">
        <v>207</v>
      </c>
      <c r="Y928" s="98">
        <v>2029</v>
      </c>
      <c r="Z928" s="95">
        <v>2023</v>
      </c>
      <c r="AA928" s="95" t="s">
        <v>276</v>
      </c>
      <c r="AB928" s="95" t="s">
        <v>276</v>
      </c>
      <c r="AC928" s="94">
        <v>1</v>
      </c>
      <c r="AD928" s="94" t="s">
        <v>4294</v>
      </c>
      <c r="AE928" s="94">
        <v>1</v>
      </c>
      <c r="AF928" s="94" t="s">
        <v>4294</v>
      </c>
      <c r="AG928" s="95" t="s">
        <v>4369</v>
      </c>
      <c r="AH928" s="95" t="s">
        <v>866</v>
      </c>
      <c r="AI928" s="99">
        <v>48</v>
      </c>
      <c r="AJ928" s="99">
        <v>6</v>
      </c>
      <c r="AK928" s="99">
        <v>2029</v>
      </c>
      <c r="AL928" s="99">
        <v>2023</v>
      </c>
      <c r="AM928" s="99" t="s">
        <v>292</v>
      </c>
      <c r="AN928" s="94" t="s">
        <v>276</v>
      </c>
      <c r="AO928" s="102">
        <f t="shared" si="293"/>
        <v>2.3656973878758008</v>
      </c>
      <c r="AP928" s="94" t="s">
        <v>276</v>
      </c>
      <c r="AQ928" s="94" t="s">
        <v>276</v>
      </c>
      <c r="AR928" s="94" t="s">
        <v>276</v>
      </c>
      <c r="AS928" s="102">
        <f t="shared" si="269"/>
        <v>0.29658922392486409</v>
      </c>
      <c r="AT928" s="94" t="s">
        <v>276</v>
      </c>
      <c r="AU928" s="94" t="s">
        <v>276</v>
      </c>
      <c r="AV928" s="95" t="s">
        <v>268</v>
      </c>
      <c r="AW928" s="141" t="s">
        <v>276</v>
      </c>
      <c r="AX928" s="141">
        <f t="shared" si="299"/>
        <v>7.9763430261212411</v>
      </c>
      <c r="AY928" s="95" t="s">
        <v>276</v>
      </c>
      <c r="AZ928" s="95" t="s">
        <v>276</v>
      </c>
      <c r="BA928" s="95" t="s">
        <v>276</v>
      </c>
      <c r="BB928" s="95" t="s">
        <v>282</v>
      </c>
      <c r="BC928" s="95" t="s">
        <v>276</v>
      </c>
      <c r="BD928" s="95" t="s">
        <v>276</v>
      </c>
      <c r="BE928" s="95" t="s">
        <v>276</v>
      </c>
      <c r="BF928" s="95" t="s">
        <v>4345</v>
      </c>
      <c r="BG928" s="95" t="s">
        <v>4297</v>
      </c>
      <c r="BH928" s="9" t="s">
        <v>100</v>
      </c>
      <c r="BI928" s="9" t="s">
        <v>100</v>
      </c>
      <c r="BJ928" s="109"/>
      <c r="BN928" s="109"/>
      <c r="BO928" s="109"/>
    </row>
    <row r="929" spans="1:67" s="110" customFormat="1" ht="78" hidden="1" x14ac:dyDescent="0.35">
      <c r="A929" s="94">
        <v>433</v>
      </c>
      <c r="B929" s="94" t="s">
        <v>4163</v>
      </c>
      <c r="C929" s="94" t="s">
        <v>74</v>
      </c>
      <c r="D929" s="95" t="s">
        <v>4370</v>
      </c>
      <c r="E929" s="94" t="s">
        <v>39</v>
      </c>
      <c r="F929" s="94" t="s">
        <v>143</v>
      </c>
      <c r="G929" s="94" t="s">
        <v>225</v>
      </c>
      <c r="H929" s="94" t="s">
        <v>125</v>
      </c>
      <c r="I929" s="94" t="s">
        <v>114</v>
      </c>
      <c r="J929" s="95" t="s">
        <v>25</v>
      </c>
      <c r="K929" s="94" t="s">
        <v>300</v>
      </c>
      <c r="L929" s="95" t="s">
        <v>4291</v>
      </c>
      <c r="M929" s="95" t="s">
        <v>4292</v>
      </c>
      <c r="N929" s="95" t="s">
        <v>4293</v>
      </c>
      <c r="O929" s="95" t="s">
        <v>276</v>
      </c>
      <c r="P929" s="95" t="s">
        <v>239</v>
      </c>
      <c r="Q929" s="140">
        <v>43220</v>
      </c>
      <c r="R929" s="95" t="s">
        <v>766</v>
      </c>
      <c r="S929" s="95" t="s">
        <v>276</v>
      </c>
      <c r="T929" s="95" t="s">
        <v>276</v>
      </c>
      <c r="U929" s="95">
        <v>5</v>
      </c>
      <c r="V929" s="94" t="s">
        <v>16</v>
      </c>
      <c r="W929" s="94" t="s">
        <v>170</v>
      </c>
      <c r="X929" s="95" t="s">
        <v>207</v>
      </c>
      <c r="Y929" s="98">
        <v>1315</v>
      </c>
      <c r="Z929" s="95">
        <v>1307</v>
      </c>
      <c r="AA929" s="95" t="s">
        <v>276</v>
      </c>
      <c r="AB929" s="95" t="s">
        <v>276</v>
      </c>
      <c r="AC929" s="94">
        <v>1</v>
      </c>
      <c r="AD929" s="94" t="s">
        <v>4294</v>
      </c>
      <c r="AE929" s="94">
        <v>1</v>
      </c>
      <c r="AF929" s="94" t="s">
        <v>4294</v>
      </c>
      <c r="AG929" s="95" t="s">
        <v>4371</v>
      </c>
      <c r="AH929" s="95" t="s">
        <v>689</v>
      </c>
      <c r="AI929" s="99">
        <f>19+7+3+1+1</f>
        <v>31</v>
      </c>
      <c r="AJ929" s="99">
        <f>1+1+1+2</f>
        <v>5</v>
      </c>
      <c r="AK929" s="99">
        <v>1315</v>
      </c>
      <c r="AL929" s="99">
        <v>1307</v>
      </c>
      <c r="AM929" s="99" t="s">
        <v>292</v>
      </c>
      <c r="AN929" s="94" t="s">
        <v>276</v>
      </c>
      <c r="AO929" s="102">
        <f t="shared" si="293"/>
        <v>2.3574144486692017</v>
      </c>
      <c r="AP929" s="94" t="s">
        <v>276</v>
      </c>
      <c r="AQ929" s="94" t="s">
        <v>276</v>
      </c>
      <c r="AR929" s="94" t="s">
        <v>276</v>
      </c>
      <c r="AS929" s="102">
        <f t="shared" si="269"/>
        <v>0.38255547054322875</v>
      </c>
      <c r="AT929" s="94" t="s">
        <v>276</v>
      </c>
      <c r="AU929" s="94" t="s">
        <v>276</v>
      </c>
      <c r="AV929" s="95" t="s">
        <v>268</v>
      </c>
      <c r="AW929" s="141" t="s">
        <v>276</v>
      </c>
      <c r="AX929" s="141">
        <f t="shared" si="299"/>
        <v>6.1622813688212936</v>
      </c>
      <c r="AY929" s="95" t="s">
        <v>276</v>
      </c>
      <c r="AZ929" s="95" t="s">
        <v>276</v>
      </c>
      <c r="BA929" s="95" t="s">
        <v>276</v>
      </c>
      <c r="BB929" s="95" t="s">
        <v>282</v>
      </c>
      <c r="BC929" s="95" t="s">
        <v>276</v>
      </c>
      <c r="BD929" s="95" t="s">
        <v>276</v>
      </c>
      <c r="BE929" s="95" t="s">
        <v>276</v>
      </c>
      <c r="BF929" s="95" t="s">
        <v>4302</v>
      </c>
      <c r="BG929" s="95" t="s">
        <v>4297</v>
      </c>
      <c r="BH929" s="9" t="s">
        <v>100</v>
      </c>
      <c r="BI929" s="9" t="s">
        <v>100</v>
      </c>
      <c r="BJ929" s="109"/>
      <c r="BN929" s="109"/>
      <c r="BO929" s="109"/>
    </row>
    <row r="930" spans="1:67" s="110" customFormat="1" ht="78" hidden="1" x14ac:dyDescent="0.35">
      <c r="A930" s="94">
        <v>433</v>
      </c>
      <c r="B930" s="94" t="s">
        <v>4163</v>
      </c>
      <c r="C930" s="94" t="s">
        <v>74</v>
      </c>
      <c r="D930" s="95" t="s">
        <v>4372</v>
      </c>
      <c r="E930" s="94" t="s">
        <v>39</v>
      </c>
      <c r="F930" s="94" t="s">
        <v>143</v>
      </c>
      <c r="G930" s="94" t="s">
        <v>225</v>
      </c>
      <c r="H930" s="94" t="s">
        <v>125</v>
      </c>
      <c r="I930" s="94" t="s">
        <v>114</v>
      </c>
      <c r="J930" s="95" t="s">
        <v>25</v>
      </c>
      <c r="K930" s="94" t="s">
        <v>300</v>
      </c>
      <c r="L930" s="95" t="s">
        <v>4291</v>
      </c>
      <c r="M930" s="95" t="s">
        <v>4292</v>
      </c>
      <c r="N930" s="95" t="s">
        <v>4293</v>
      </c>
      <c r="O930" s="95" t="s">
        <v>276</v>
      </c>
      <c r="P930" s="95" t="s">
        <v>239</v>
      </c>
      <c r="Q930" s="140">
        <v>43220</v>
      </c>
      <c r="R930" s="95" t="s">
        <v>766</v>
      </c>
      <c r="S930" s="95" t="s">
        <v>276</v>
      </c>
      <c r="T930" s="95" t="s">
        <v>276</v>
      </c>
      <c r="U930" s="95">
        <v>5</v>
      </c>
      <c r="V930" s="94" t="s">
        <v>16</v>
      </c>
      <c r="W930" s="94" t="s">
        <v>171</v>
      </c>
      <c r="X930" s="95" t="s">
        <v>207</v>
      </c>
      <c r="Y930" s="98">
        <v>714</v>
      </c>
      <c r="Z930" s="95">
        <v>716</v>
      </c>
      <c r="AA930" s="95" t="s">
        <v>276</v>
      </c>
      <c r="AB930" s="95" t="s">
        <v>276</v>
      </c>
      <c r="AC930" s="94">
        <v>0</v>
      </c>
      <c r="AD930" s="94" t="s">
        <v>4294</v>
      </c>
      <c r="AE930" s="94">
        <v>0</v>
      </c>
      <c r="AF930" s="94" t="s">
        <v>4294</v>
      </c>
      <c r="AG930" s="95" t="s">
        <v>4373</v>
      </c>
      <c r="AH930" s="95" t="s">
        <v>280</v>
      </c>
      <c r="AI930" s="99">
        <f>13+3+1</f>
        <v>17</v>
      </c>
      <c r="AJ930" s="99">
        <f>1</f>
        <v>1</v>
      </c>
      <c r="AK930" s="99">
        <v>714</v>
      </c>
      <c r="AL930" s="99">
        <v>716</v>
      </c>
      <c r="AM930" s="99" t="s">
        <v>292</v>
      </c>
      <c r="AN930" s="94" t="s">
        <v>276</v>
      </c>
      <c r="AO930" s="102">
        <f t="shared" si="293"/>
        <v>2.3809523809523809</v>
      </c>
      <c r="AP930" s="94" t="s">
        <v>276</v>
      </c>
      <c r="AQ930" s="94" t="s">
        <v>276</v>
      </c>
      <c r="AR930" s="94" t="s">
        <v>276</v>
      </c>
      <c r="AS930" s="102">
        <f t="shared" si="269"/>
        <v>0.13966480446927373</v>
      </c>
      <c r="AT930" s="94" t="s">
        <v>276</v>
      </c>
      <c r="AU930" s="94" t="s">
        <v>276</v>
      </c>
      <c r="AV930" s="95" t="s">
        <v>268</v>
      </c>
      <c r="AW930" s="141" t="s">
        <v>276</v>
      </c>
      <c r="AX930" s="141">
        <f t="shared" si="299"/>
        <v>17.047619047619047</v>
      </c>
      <c r="AY930" s="95" t="s">
        <v>276</v>
      </c>
      <c r="AZ930" s="95" t="s">
        <v>276</v>
      </c>
      <c r="BA930" s="95" t="s">
        <v>276</v>
      </c>
      <c r="BB930" s="95" t="s">
        <v>282</v>
      </c>
      <c r="BC930" s="95" t="s">
        <v>276</v>
      </c>
      <c r="BD930" s="95" t="s">
        <v>276</v>
      </c>
      <c r="BE930" s="95" t="s">
        <v>276</v>
      </c>
      <c r="BF930" s="95" t="s">
        <v>4302</v>
      </c>
      <c r="BG930" s="95" t="s">
        <v>4297</v>
      </c>
      <c r="BH930" s="9" t="s">
        <v>100</v>
      </c>
      <c r="BI930" s="9" t="s">
        <v>100</v>
      </c>
      <c r="BJ930" s="109"/>
      <c r="BN930" s="109"/>
      <c r="BO930" s="109"/>
    </row>
    <row r="931" spans="1:67" s="124" customFormat="1" ht="78" hidden="1" x14ac:dyDescent="0.35">
      <c r="A931" s="112">
        <v>433</v>
      </c>
      <c r="B931" s="112" t="s">
        <v>4163</v>
      </c>
      <c r="C931" s="112" t="s">
        <v>74</v>
      </c>
      <c r="D931" s="113" t="s">
        <v>4374</v>
      </c>
      <c r="E931" s="112" t="s">
        <v>39</v>
      </c>
      <c r="F931" s="112" t="s">
        <v>143</v>
      </c>
      <c r="G931" s="112" t="s">
        <v>225</v>
      </c>
      <c r="H931" s="112" t="s">
        <v>125</v>
      </c>
      <c r="I931" s="112" t="s">
        <v>114</v>
      </c>
      <c r="J931" s="113" t="s">
        <v>25</v>
      </c>
      <c r="K931" s="112" t="s">
        <v>307</v>
      </c>
      <c r="L931" s="113" t="s">
        <v>4291</v>
      </c>
      <c r="M931" s="113" t="s">
        <v>4292</v>
      </c>
      <c r="N931" s="113" t="s">
        <v>4293</v>
      </c>
      <c r="O931" s="113" t="s">
        <v>276</v>
      </c>
      <c r="P931" s="113" t="s">
        <v>239</v>
      </c>
      <c r="Q931" s="142" t="s">
        <v>276</v>
      </c>
      <c r="R931" s="113" t="s">
        <v>705</v>
      </c>
      <c r="S931" s="113" t="s">
        <v>276</v>
      </c>
      <c r="T931" s="113" t="s">
        <v>276</v>
      </c>
      <c r="U931" s="113">
        <v>1</v>
      </c>
      <c r="V931" s="112" t="s">
        <v>14</v>
      </c>
      <c r="W931" s="112" t="s">
        <v>98</v>
      </c>
      <c r="X931" s="113" t="s">
        <v>207</v>
      </c>
      <c r="Y931" s="118">
        <v>2029</v>
      </c>
      <c r="Z931" s="113">
        <v>2023</v>
      </c>
      <c r="AA931" s="113" t="s">
        <v>276</v>
      </c>
      <c r="AB931" s="113" t="s">
        <v>276</v>
      </c>
      <c r="AC931" s="112" t="s">
        <v>276</v>
      </c>
      <c r="AD931" s="112" t="s">
        <v>4294</v>
      </c>
      <c r="AE931" s="112">
        <v>0</v>
      </c>
      <c r="AF931" s="112" t="s">
        <v>4294</v>
      </c>
      <c r="AG931" s="113" t="s">
        <v>4375</v>
      </c>
      <c r="AH931" s="113" t="s">
        <v>866</v>
      </c>
      <c r="AI931" s="119">
        <v>15</v>
      </c>
      <c r="AJ931" s="119">
        <v>1</v>
      </c>
      <c r="AK931" s="119">
        <v>2029</v>
      </c>
      <c r="AL931" s="119">
        <v>2023</v>
      </c>
      <c r="AM931" s="119" t="s">
        <v>292</v>
      </c>
      <c r="AN931" s="112" t="s">
        <v>276</v>
      </c>
      <c r="AO931" s="121">
        <f t="shared" si="293"/>
        <v>0.73928043371118779</v>
      </c>
      <c r="AP931" s="112" t="s">
        <v>276</v>
      </c>
      <c r="AQ931" s="112" t="s">
        <v>276</v>
      </c>
      <c r="AR931" s="112" t="s">
        <v>276</v>
      </c>
      <c r="AS931" s="121">
        <f t="shared" si="269"/>
        <v>4.9431537320810674E-2</v>
      </c>
      <c r="AT931" s="112" t="s">
        <v>276</v>
      </c>
      <c r="AU931" s="112" t="s">
        <v>276</v>
      </c>
      <c r="AV931" s="113" t="s">
        <v>268</v>
      </c>
      <c r="AW931" s="143" t="s">
        <v>276</v>
      </c>
      <c r="AX931" s="143">
        <f t="shared" si="299"/>
        <v>14.955643173977331</v>
      </c>
      <c r="AY931" s="113" t="s">
        <v>276</v>
      </c>
      <c r="AZ931" s="113" t="s">
        <v>276</v>
      </c>
      <c r="BA931" s="113" t="s">
        <v>276</v>
      </c>
      <c r="BB931" s="113" t="s">
        <v>282</v>
      </c>
      <c r="BC931" s="113" t="s">
        <v>276</v>
      </c>
      <c r="BD931" s="113" t="s">
        <v>276</v>
      </c>
      <c r="BE931" s="113" t="s">
        <v>276</v>
      </c>
      <c r="BF931" s="113" t="s">
        <v>4376</v>
      </c>
      <c r="BG931" s="113" t="s">
        <v>4297</v>
      </c>
      <c r="BH931" s="9" t="s">
        <v>100</v>
      </c>
      <c r="BI931" s="9" t="s">
        <v>100</v>
      </c>
      <c r="BJ931" s="123"/>
      <c r="BN931" s="123"/>
      <c r="BO931" s="123"/>
    </row>
    <row r="932" spans="1:67" s="124" customFormat="1" ht="78" hidden="1" x14ac:dyDescent="0.35">
      <c r="A932" s="112">
        <v>433</v>
      </c>
      <c r="B932" s="112" t="s">
        <v>4163</v>
      </c>
      <c r="C932" s="112" t="s">
        <v>74</v>
      </c>
      <c r="D932" s="113" t="s">
        <v>4377</v>
      </c>
      <c r="E932" s="112" t="s">
        <v>39</v>
      </c>
      <c r="F932" s="112" t="s">
        <v>143</v>
      </c>
      <c r="G932" s="112" t="s">
        <v>225</v>
      </c>
      <c r="H932" s="112" t="s">
        <v>125</v>
      </c>
      <c r="I932" s="112" t="s">
        <v>114</v>
      </c>
      <c r="J932" s="113" t="s">
        <v>25</v>
      </c>
      <c r="K932" s="112" t="s">
        <v>307</v>
      </c>
      <c r="L932" s="113" t="s">
        <v>4291</v>
      </c>
      <c r="M932" s="113" t="s">
        <v>4292</v>
      </c>
      <c r="N932" s="113" t="s">
        <v>4293</v>
      </c>
      <c r="O932" s="113" t="s">
        <v>276</v>
      </c>
      <c r="P932" s="113" t="s">
        <v>239</v>
      </c>
      <c r="Q932" s="142" t="s">
        <v>276</v>
      </c>
      <c r="R932" s="113" t="s">
        <v>710</v>
      </c>
      <c r="S932" s="113" t="s">
        <v>276</v>
      </c>
      <c r="T932" s="113" t="s">
        <v>276</v>
      </c>
      <c r="U932" s="113">
        <v>2</v>
      </c>
      <c r="V932" s="112" t="s">
        <v>14</v>
      </c>
      <c r="W932" s="112" t="s">
        <v>98</v>
      </c>
      <c r="X932" s="113" t="s">
        <v>207</v>
      </c>
      <c r="Y932" s="118">
        <v>2029</v>
      </c>
      <c r="Z932" s="113">
        <v>2023</v>
      </c>
      <c r="AA932" s="113" t="s">
        <v>276</v>
      </c>
      <c r="AB932" s="113" t="s">
        <v>276</v>
      </c>
      <c r="AC932" s="112" t="s">
        <v>276</v>
      </c>
      <c r="AD932" s="112" t="s">
        <v>4294</v>
      </c>
      <c r="AE932" s="112">
        <v>0</v>
      </c>
      <c r="AF932" s="112" t="s">
        <v>4294</v>
      </c>
      <c r="AG932" s="113" t="s">
        <v>4378</v>
      </c>
      <c r="AH932" s="113" t="s">
        <v>866</v>
      </c>
      <c r="AI932" s="119">
        <v>25</v>
      </c>
      <c r="AJ932" s="119">
        <v>3</v>
      </c>
      <c r="AK932" s="119">
        <v>2029</v>
      </c>
      <c r="AL932" s="119">
        <v>2023</v>
      </c>
      <c r="AM932" s="119" t="s">
        <v>292</v>
      </c>
      <c r="AN932" s="112" t="s">
        <v>276</v>
      </c>
      <c r="AO932" s="121">
        <f t="shared" si="293"/>
        <v>1.2321340561853129</v>
      </c>
      <c r="AP932" s="112" t="s">
        <v>276</v>
      </c>
      <c r="AQ932" s="112" t="s">
        <v>276</v>
      </c>
      <c r="AR932" s="112" t="s">
        <v>276</v>
      </c>
      <c r="AS932" s="121">
        <f t="shared" si="269"/>
        <v>0.14829461196243204</v>
      </c>
      <c r="AT932" s="112" t="s">
        <v>276</v>
      </c>
      <c r="AU932" s="112" t="s">
        <v>276</v>
      </c>
      <c r="AV932" s="113" t="s">
        <v>268</v>
      </c>
      <c r="AW932" s="143" t="s">
        <v>276</v>
      </c>
      <c r="AX932" s="143">
        <f t="shared" si="299"/>
        <v>8.3086906522096253</v>
      </c>
      <c r="AY932" s="113" t="s">
        <v>276</v>
      </c>
      <c r="AZ932" s="113" t="s">
        <v>276</v>
      </c>
      <c r="BA932" s="113" t="s">
        <v>276</v>
      </c>
      <c r="BB932" s="113" t="s">
        <v>282</v>
      </c>
      <c r="BC932" s="113" t="s">
        <v>276</v>
      </c>
      <c r="BD932" s="113" t="s">
        <v>276</v>
      </c>
      <c r="BE932" s="113" t="s">
        <v>276</v>
      </c>
      <c r="BF932" s="113" t="s">
        <v>4376</v>
      </c>
      <c r="BG932" s="113" t="s">
        <v>4297</v>
      </c>
      <c r="BH932" s="9" t="s">
        <v>100</v>
      </c>
      <c r="BI932" s="9" t="s">
        <v>100</v>
      </c>
      <c r="BJ932" s="123"/>
      <c r="BN932" s="123"/>
      <c r="BO932" s="123"/>
    </row>
    <row r="933" spans="1:67" s="124" customFormat="1" ht="78" hidden="1" x14ac:dyDescent="0.35">
      <c r="A933" s="112">
        <v>433</v>
      </c>
      <c r="B933" s="112" t="s">
        <v>4163</v>
      </c>
      <c r="C933" s="112" t="s">
        <v>74</v>
      </c>
      <c r="D933" s="113" t="s">
        <v>4379</v>
      </c>
      <c r="E933" s="112" t="s">
        <v>39</v>
      </c>
      <c r="F933" s="112" t="s">
        <v>143</v>
      </c>
      <c r="G933" s="112" t="s">
        <v>225</v>
      </c>
      <c r="H933" s="112" t="s">
        <v>125</v>
      </c>
      <c r="I933" s="112" t="s">
        <v>114</v>
      </c>
      <c r="J933" s="113" t="s">
        <v>25</v>
      </c>
      <c r="K933" s="112" t="s">
        <v>307</v>
      </c>
      <c r="L933" s="113" t="s">
        <v>4291</v>
      </c>
      <c r="M933" s="113" t="s">
        <v>4292</v>
      </c>
      <c r="N933" s="113" t="s">
        <v>4293</v>
      </c>
      <c r="O933" s="113" t="s">
        <v>276</v>
      </c>
      <c r="P933" s="113" t="s">
        <v>239</v>
      </c>
      <c r="Q933" s="142" t="s">
        <v>276</v>
      </c>
      <c r="R933" s="113" t="s">
        <v>686</v>
      </c>
      <c r="S933" s="113" t="s">
        <v>276</v>
      </c>
      <c r="T933" s="113" t="s">
        <v>276</v>
      </c>
      <c r="U933" s="113">
        <v>3</v>
      </c>
      <c r="V933" s="112" t="s">
        <v>14</v>
      </c>
      <c r="W933" s="112" t="s">
        <v>98</v>
      </c>
      <c r="X933" s="113" t="s">
        <v>207</v>
      </c>
      <c r="Y933" s="118">
        <v>2029</v>
      </c>
      <c r="Z933" s="113">
        <v>2023</v>
      </c>
      <c r="AA933" s="113" t="s">
        <v>276</v>
      </c>
      <c r="AB933" s="113" t="s">
        <v>276</v>
      </c>
      <c r="AC933" s="112" t="s">
        <v>276</v>
      </c>
      <c r="AD933" s="112" t="s">
        <v>4294</v>
      </c>
      <c r="AE933" s="112">
        <v>0</v>
      </c>
      <c r="AF933" s="112" t="s">
        <v>4294</v>
      </c>
      <c r="AG933" s="113" t="s">
        <v>4380</v>
      </c>
      <c r="AH933" s="113" t="s">
        <v>866</v>
      </c>
      <c r="AI933" s="119">
        <v>35</v>
      </c>
      <c r="AJ933" s="119">
        <v>7</v>
      </c>
      <c r="AK933" s="119">
        <v>2029</v>
      </c>
      <c r="AL933" s="119">
        <v>2023</v>
      </c>
      <c r="AM933" s="119" t="s">
        <v>292</v>
      </c>
      <c r="AN933" s="112" t="s">
        <v>276</v>
      </c>
      <c r="AO933" s="121">
        <f t="shared" si="293"/>
        <v>1.7249876786594383</v>
      </c>
      <c r="AP933" s="112" t="s">
        <v>276</v>
      </c>
      <c r="AQ933" s="112" t="s">
        <v>276</v>
      </c>
      <c r="AR933" s="112" t="s">
        <v>276</v>
      </c>
      <c r="AS933" s="121">
        <f t="shared" ref="AS933:AS963" si="300">AJ933*100/AL933</f>
        <v>0.34602076124567471</v>
      </c>
      <c r="AT933" s="112" t="s">
        <v>276</v>
      </c>
      <c r="AU933" s="112" t="s">
        <v>276</v>
      </c>
      <c r="AV933" s="113" t="s">
        <v>268</v>
      </c>
      <c r="AW933" s="143" t="s">
        <v>276</v>
      </c>
      <c r="AX933" s="143">
        <f t="shared" si="299"/>
        <v>4.9852143913257772</v>
      </c>
      <c r="AY933" s="113" t="s">
        <v>276</v>
      </c>
      <c r="AZ933" s="113" t="s">
        <v>276</v>
      </c>
      <c r="BA933" s="113" t="s">
        <v>276</v>
      </c>
      <c r="BB933" s="113" t="s">
        <v>282</v>
      </c>
      <c r="BC933" s="113" t="s">
        <v>276</v>
      </c>
      <c r="BD933" s="113" t="s">
        <v>276</v>
      </c>
      <c r="BE933" s="113" t="s">
        <v>276</v>
      </c>
      <c r="BF933" s="113" t="s">
        <v>4376</v>
      </c>
      <c r="BG933" s="113" t="s">
        <v>4297</v>
      </c>
      <c r="BH933" s="9" t="s">
        <v>100</v>
      </c>
      <c r="BI933" s="9" t="s">
        <v>100</v>
      </c>
      <c r="BJ933" s="123"/>
      <c r="BN933" s="123"/>
      <c r="BO933" s="123"/>
    </row>
    <row r="934" spans="1:67" s="124" customFormat="1" ht="78" hidden="1" x14ac:dyDescent="0.35">
      <c r="A934" s="112">
        <v>433</v>
      </c>
      <c r="B934" s="112" t="s">
        <v>4163</v>
      </c>
      <c r="C934" s="112" t="s">
        <v>74</v>
      </c>
      <c r="D934" s="113" t="s">
        <v>4381</v>
      </c>
      <c r="E934" s="112" t="s">
        <v>39</v>
      </c>
      <c r="F934" s="112" t="s">
        <v>143</v>
      </c>
      <c r="G934" s="112" t="s">
        <v>225</v>
      </c>
      <c r="H934" s="112" t="s">
        <v>125</v>
      </c>
      <c r="I934" s="112" t="s">
        <v>114</v>
      </c>
      <c r="J934" s="113" t="s">
        <v>25</v>
      </c>
      <c r="K934" s="112" t="s">
        <v>307</v>
      </c>
      <c r="L934" s="113" t="s">
        <v>4291</v>
      </c>
      <c r="M934" s="113" t="s">
        <v>4292</v>
      </c>
      <c r="N934" s="113" t="s">
        <v>4293</v>
      </c>
      <c r="O934" s="113" t="s">
        <v>276</v>
      </c>
      <c r="P934" s="113" t="s">
        <v>239</v>
      </c>
      <c r="Q934" s="142" t="s">
        <v>276</v>
      </c>
      <c r="R934" s="113" t="s">
        <v>721</v>
      </c>
      <c r="S934" s="113" t="s">
        <v>276</v>
      </c>
      <c r="T934" s="113" t="s">
        <v>276</v>
      </c>
      <c r="U934" s="113">
        <v>4</v>
      </c>
      <c r="V934" s="112" t="s">
        <v>14</v>
      </c>
      <c r="W934" s="112" t="s">
        <v>98</v>
      </c>
      <c r="X934" s="113" t="s">
        <v>207</v>
      </c>
      <c r="Y934" s="118">
        <v>2029</v>
      </c>
      <c r="Z934" s="113">
        <v>2023</v>
      </c>
      <c r="AA934" s="113" t="s">
        <v>276</v>
      </c>
      <c r="AB934" s="113" t="s">
        <v>276</v>
      </c>
      <c r="AC934" s="112" t="s">
        <v>276</v>
      </c>
      <c r="AD934" s="112" t="s">
        <v>4294</v>
      </c>
      <c r="AE934" s="112">
        <v>0</v>
      </c>
      <c r="AF934" s="112" t="s">
        <v>4294</v>
      </c>
      <c r="AG934" s="113" t="s">
        <v>4382</v>
      </c>
      <c r="AH934" s="113" t="s">
        <v>866</v>
      </c>
      <c r="AI934" s="119">
        <v>43</v>
      </c>
      <c r="AJ934" s="119">
        <v>8</v>
      </c>
      <c r="AK934" s="119">
        <v>2029</v>
      </c>
      <c r="AL934" s="119">
        <v>2023</v>
      </c>
      <c r="AM934" s="119" t="s">
        <v>292</v>
      </c>
      <c r="AN934" s="112" t="s">
        <v>276</v>
      </c>
      <c r="AO934" s="121">
        <f t="shared" si="293"/>
        <v>2.1192705766387383</v>
      </c>
      <c r="AP934" s="112" t="s">
        <v>276</v>
      </c>
      <c r="AQ934" s="112" t="s">
        <v>276</v>
      </c>
      <c r="AR934" s="112" t="s">
        <v>276</v>
      </c>
      <c r="AS934" s="121">
        <f t="shared" si="300"/>
        <v>0.39545229856648539</v>
      </c>
      <c r="AT934" s="112" t="s">
        <v>276</v>
      </c>
      <c r="AU934" s="112" t="s">
        <v>276</v>
      </c>
      <c r="AV934" s="113" t="s">
        <v>268</v>
      </c>
      <c r="AW934" s="143" t="s">
        <v>276</v>
      </c>
      <c r="AX934" s="143">
        <f t="shared" si="299"/>
        <v>5.3591054706752095</v>
      </c>
      <c r="AY934" s="113" t="s">
        <v>276</v>
      </c>
      <c r="AZ934" s="113" t="s">
        <v>276</v>
      </c>
      <c r="BA934" s="113" t="s">
        <v>276</v>
      </c>
      <c r="BB934" s="113" t="s">
        <v>282</v>
      </c>
      <c r="BC934" s="113" t="s">
        <v>276</v>
      </c>
      <c r="BD934" s="113" t="s">
        <v>276</v>
      </c>
      <c r="BE934" s="113" t="s">
        <v>276</v>
      </c>
      <c r="BF934" s="113" t="s">
        <v>4376</v>
      </c>
      <c r="BG934" s="113" t="s">
        <v>4297</v>
      </c>
      <c r="BH934" s="9" t="s">
        <v>100</v>
      </c>
      <c r="BI934" s="9" t="s">
        <v>100</v>
      </c>
      <c r="BJ934" s="123"/>
      <c r="BN934" s="123"/>
      <c r="BO934" s="123"/>
    </row>
    <row r="935" spans="1:67" s="110" customFormat="1" ht="78" hidden="1" x14ac:dyDescent="0.35">
      <c r="A935" s="94">
        <v>433</v>
      </c>
      <c r="B935" s="94" t="s">
        <v>4163</v>
      </c>
      <c r="C935" s="94" t="s">
        <v>74</v>
      </c>
      <c r="D935" s="95" t="s">
        <v>4383</v>
      </c>
      <c r="E935" s="94" t="s">
        <v>39</v>
      </c>
      <c r="F935" s="94" t="s">
        <v>143</v>
      </c>
      <c r="G935" s="94" t="s">
        <v>225</v>
      </c>
      <c r="H935" s="94" t="s">
        <v>125</v>
      </c>
      <c r="I935" s="94" t="s">
        <v>114</v>
      </c>
      <c r="J935" s="95" t="s">
        <v>25</v>
      </c>
      <c r="K935" s="94" t="s">
        <v>307</v>
      </c>
      <c r="L935" s="95" t="s">
        <v>4291</v>
      </c>
      <c r="M935" s="95" t="s">
        <v>4292</v>
      </c>
      <c r="N935" s="95" t="s">
        <v>4293</v>
      </c>
      <c r="O935" s="95" t="s">
        <v>276</v>
      </c>
      <c r="P935" s="95" t="s">
        <v>239</v>
      </c>
      <c r="Q935" s="140" t="s">
        <v>276</v>
      </c>
      <c r="R935" s="95" t="s">
        <v>728</v>
      </c>
      <c r="S935" s="95" t="s">
        <v>276</v>
      </c>
      <c r="T935" s="95" t="s">
        <v>276</v>
      </c>
      <c r="U935" s="95">
        <v>5</v>
      </c>
      <c r="V935" s="94" t="s">
        <v>14</v>
      </c>
      <c r="W935" s="94" t="s">
        <v>98</v>
      </c>
      <c r="X935" s="95" t="s">
        <v>207</v>
      </c>
      <c r="Y935" s="98">
        <v>2029</v>
      </c>
      <c r="Z935" s="95">
        <v>2023</v>
      </c>
      <c r="AA935" s="95" t="s">
        <v>276</v>
      </c>
      <c r="AB935" s="95" t="s">
        <v>276</v>
      </c>
      <c r="AC935" s="94">
        <v>1</v>
      </c>
      <c r="AD935" s="94" t="s">
        <v>4294</v>
      </c>
      <c r="AE935" s="94">
        <v>0</v>
      </c>
      <c r="AF935" s="94" t="s">
        <v>4294</v>
      </c>
      <c r="AG935" s="95" t="s">
        <v>4384</v>
      </c>
      <c r="AH935" s="95" t="s">
        <v>866</v>
      </c>
      <c r="AI935" s="99">
        <v>47</v>
      </c>
      <c r="AJ935" s="99">
        <v>9</v>
      </c>
      <c r="AK935" s="99">
        <v>2029</v>
      </c>
      <c r="AL935" s="99">
        <v>2023</v>
      </c>
      <c r="AM935" s="99" t="s">
        <v>292</v>
      </c>
      <c r="AN935" s="94" t="s">
        <v>276</v>
      </c>
      <c r="AO935" s="102">
        <f t="shared" si="293"/>
        <v>2.3164120256283884</v>
      </c>
      <c r="AP935" s="94" t="s">
        <v>276</v>
      </c>
      <c r="AQ935" s="94" t="s">
        <v>276</v>
      </c>
      <c r="AR935" s="94" t="s">
        <v>276</v>
      </c>
      <c r="AS935" s="102">
        <f t="shared" si="300"/>
        <v>0.44488383588729608</v>
      </c>
      <c r="AT935" s="94" t="s">
        <v>276</v>
      </c>
      <c r="AU935" s="94" t="s">
        <v>276</v>
      </c>
      <c r="AV935" s="95" t="s">
        <v>268</v>
      </c>
      <c r="AW935" s="141" t="s">
        <v>276</v>
      </c>
      <c r="AX935" s="141">
        <f t="shared" si="299"/>
        <v>5.2067794753846997</v>
      </c>
      <c r="AY935" s="95" t="s">
        <v>276</v>
      </c>
      <c r="AZ935" s="95" t="s">
        <v>276</v>
      </c>
      <c r="BA935" s="95" t="s">
        <v>276</v>
      </c>
      <c r="BB935" s="95" t="s">
        <v>282</v>
      </c>
      <c r="BC935" s="95" t="s">
        <v>276</v>
      </c>
      <c r="BD935" s="95" t="s">
        <v>276</v>
      </c>
      <c r="BE935" s="95" t="s">
        <v>276</v>
      </c>
      <c r="BF935" s="95" t="s">
        <v>4376</v>
      </c>
      <c r="BG935" s="95" t="s">
        <v>4297</v>
      </c>
      <c r="BH935" s="9" t="s">
        <v>100</v>
      </c>
      <c r="BI935" s="9" t="s">
        <v>100</v>
      </c>
      <c r="BJ935" s="109"/>
      <c r="BN935" s="109"/>
      <c r="BO935" s="109"/>
    </row>
    <row r="936" spans="1:67" s="110" customFormat="1" ht="78" hidden="1" x14ac:dyDescent="0.35">
      <c r="A936" s="94">
        <v>433</v>
      </c>
      <c r="B936" s="94" t="s">
        <v>4163</v>
      </c>
      <c r="C936" s="94" t="s">
        <v>74</v>
      </c>
      <c r="D936" s="95" t="s">
        <v>4385</v>
      </c>
      <c r="E936" s="94" t="s">
        <v>39</v>
      </c>
      <c r="F936" s="94" t="s">
        <v>143</v>
      </c>
      <c r="G936" s="94" t="s">
        <v>225</v>
      </c>
      <c r="H936" s="94" t="s">
        <v>125</v>
      </c>
      <c r="I936" s="94" t="s">
        <v>114</v>
      </c>
      <c r="J936" s="95" t="s">
        <v>25</v>
      </c>
      <c r="K936" s="94" t="s">
        <v>307</v>
      </c>
      <c r="L936" s="95" t="s">
        <v>4291</v>
      </c>
      <c r="M936" s="95" t="s">
        <v>4292</v>
      </c>
      <c r="N936" s="95" t="s">
        <v>4293</v>
      </c>
      <c r="O936" s="95" t="s">
        <v>276</v>
      </c>
      <c r="P936" s="95" t="s">
        <v>239</v>
      </c>
      <c r="Q936" s="140" t="s">
        <v>276</v>
      </c>
      <c r="R936" s="95" t="s">
        <v>728</v>
      </c>
      <c r="S936" s="95" t="s">
        <v>276</v>
      </c>
      <c r="T936" s="95" t="s">
        <v>276</v>
      </c>
      <c r="U936" s="95">
        <v>5</v>
      </c>
      <c r="V936" s="94" t="s">
        <v>14</v>
      </c>
      <c r="W936" s="94" t="s">
        <v>98</v>
      </c>
      <c r="X936" s="95" t="s">
        <v>207</v>
      </c>
      <c r="Y936" s="98">
        <v>2029</v>
      </c>
      <c r="Z936" s="95">
        <v>2023</v>
      </c>
      <c r="AA936" s="95" t="s">
        <v>276</v>
      </c>
      <c r="AB936" s="95" t="s">
        <v>276</v>
      </c>
      <c r="AC936" s="94">
        <v>1</v>
      </c>
      <c r="AD936" s="94" t="s">
        <v>4294</v>
      </c>
      <c r="AE936" s="94">
        <v>0</v>
      </c>
      <c r="AF936" s="94" t="s">
        <v>4294</v>
      </c>
      <c r="AG936" s="95" t="s">
        <v>4384</v>
      </c>
      <c r="AH936" s="95" t="s">
        <v>866</v>
      </c>
      <c r="AI936" s="99">
        <v>47</v>
      </c>
      <c r="AJ936" s="99">
        <v>9</v>
      </c>
      <c r="AK936" s="99">
        <v>2029</v>
      </c>
      <c r="AL936" s="99">
        <v>2023</v>
      </c>
      <c r="AM936" s="99" t="s">
        <v>292</v>
      </c>
      <c r="AN936" s="94" t="s">
        <v>276</v>
      </c>
      <c r="AO936" s="102">
        <f t="shared" si="293"/>
        <v>2.3164120256283884</v>
      </c>
      <c r="AP936" s="94" t="s">
        <v>276</v>
      </c>
      <c r="AQ936" s="94" t="s">
        <v>276</v>
      </c>
      <c r="AR936" s="94" t="s">
        <v>276</v>
      </c>
      <c r="AS936" s="102">
        <f t="shared" si="300"/>
        <v>0.44488383588729608</v>
      </c>
      <c r="AT936" s="94" t="s">
        <v>276</v>
      </c>
      <c r="AU936" s="94" t="s">
        <v>276</v>
      </c>
      <c r="AV936" s="95" t="s">
        <v>270</v>
      </c>
      <c r="AW936" s="141" t="s">
        <v>276</v>
      </c>
      <c r="AX936" s="141" t="s">
        <v>276</v>
      </c>
      <c r="AY936" s="141" t="s">
        <v>276</v>
      </c>
      <c r="AZ936" s="141" t="s">
        <v>276</v>
      </c>
      <c r="BA936" s="141" t="s">
        <v>276</v>
      </c>
      <c r="BB936" s="95" t="s">
        <v>1488</v>
      </c>
      <c r="BC936" s="141">
        <v>5.92</v>
      </c>
      <c r="BD936" s="95">
        <v>2.79</v>
      </c>
      <c r="BE936" s="95">
        <v>12.53</v>
      </c>
      <c r="BF936" s="95" t="s">
        <v>4386</v>
      </c>
      <c r="BG936" s="95" t="s">
        <v>4297</v>
      </c>
      <c r="BH936" s="9" t="s">
        <v>100</v>
      </c>
      <c r="BI936" s="9" t="s">
        <v>100</v>
      </c>
      <c r="BJ936" s="109"/>
      <c r="BN936" s="109"/>
      <c r="BO936" s="109"/>
    </row>
    <row r="937" spans="1:67" s="110" customFormat="1" ht="78" hidden="1" x14ac:dyDescent="0.35">
      <c r="A937" s="94">
        <v>433</v>
      </c>
      <c r="B937" s="94" t="s">
        <v>4163</v>
      </c>
      <c r="C937" s="94" t="s">
        <v>74</v>
      </c>
      <c r="D937" s="95" t="s">
        <v>4387</v>
      </c>
      <c r="E937" s="94" t="s">
        <v>39</v>
      </c>
      <c r="F937" s="94" t="s">
        <v>143</v>
      </c>
      <c r="G937" s="94" t="s">
        <v>225</v>
      </c>
      <c r="H937" s="94" t="s">
        <v>125</v>
      </c>
      <c r="I937" s="94" t="s">
        <v>114</v>
      </c>
      <c r="J937" s="95" t="s">
        <v>25</v>
      </c>
      <c r="K937" s="94" t="s">
        <v>307</v>
      </c>
      <c r="L937" s="95" t="s">
        <v>4291</v>
      </c>
      <c r="M937" s="95" t="s">
        <v>4292</v>
      </c>
      <c r="N937" s="95" t="s">
        <v>4293</v>
      </c>
      <c r="O937" s="95" t="s">
        <v>276</v>
      </c>
      <c r="P937" s="95" t="s">
        <v>239</v>
      </c>
      <c r="Q937" s="140" t="s">
        <v>276</v>
      </c>
      <c r="R937" s="95" t="s">
        <v>728</v>
      </c>
      <c r="S937" s="95" t="s">
        <v>276</v>
      </c>
      <c r="T937" s="95" t="s">
        <v>276</v>
      </c>
      <c r="U937" s="95">
        <v>5</v>
      </c>
      <c r="V937" s="94" t="s">
        <v>16</v>
      </c>
      <c r="W937" s="94" t="s">
        <v>170</v>
      </c>
      <c r="X937" s="95" t="s">
        <v>207</v>
      </c>
      <c r="Y937" s="98">
        <v>1315</v>
      </c>
      <c r="Z937" s="95">
        <v>1307</v>
      </c>
      <c r="AA937" s="95" t="s">
        <v>276</v>
      </c>
      <c r="AB937" s="95" t="s">
        <v>276</v>
      </c>
      <c r="AC937" s="94">
        <v>1</v>
      </c>
      <c r="AD937" s="94" t="s">
        <v>4294</v>
      </c>
      <c r="AE937" s="94">
        <v>0</v>
      </c>
      <c r="AF937" s="94" t="s">
        <v>4294</v>
      </c>
      <c r="AG937" s="95" t="s">
        <v>4388</v>
      </c>
      <c r="AH937" s="95" t="s">
        <v>689</v>
      </c>
      <c r="AI937" s="99">
        <f>19+7+2+2</f>
        <v>30</v>
      </c>
      <c r="AJ937" s="99">
        <f>1+1+2+1</f>
        <v>5</v>
      </c>
      <c r="AK937" s="99">
        <v>1315</v>
      </c>
      <c r="AL937" s="99">
        <v>1307</v>
      </c>
      <c r="AM937" s="99" t="s">
        <v>292</v>
      </c>
      <c r="AN937" s="94" t="s">
        <v>276</v>
      </c>
      <c r="AO937" s="102">
        <f t="shared" si="293"/>
        <v>2.2813688212927756</v>
      </c>
      <c r="AP937" s="94" t="s">
        <v>276</v>
      </c>
      <c r="AQ937" s="94" t="s">
        <v>276</v>
      </c>
      <c r="AR937" s="94" t="s">
        <v>276</v>
      </c>
      <c r="AS937" s="102">
        <f t="shared" si="300"/>
        <v>0.38255547054322875</v>
      </c>
      <c r="AT937" s="94" t="s">
        <v>276</v>
      </c>
      <c r="AU937" s="94" t="s">
        <v>276</v>
      </c>
      <c r="AV937" s="95" t="s">
        <v>268</v>
      </c>
      <c r="AW937" s="141" t="s">
        <v>276</v>
      </c>
      <c r="AX937" s="141">
        <f t="shared" ref="AX937:AX950" si="301">AO937/AS937</f>
        <v>5.9634980988593158</v>
      </c>
      <c r="AY937" s="95" t="s">
        <v>276</v>
      </c>
      <c r="AZ937" s="95" t="s">
        <v>276</v>
      </c>
      <c r="BA937" s="95" t="s">
        <v>276</v>
      </c>
      <c r="BB937" s="95" t="s">
        <v>282</v>
      </c>
      <c r="BC937" s="95" t="s">
        <v>276</v>
      </c>
      <c r="BD937" s="95" t="s">
        <v>276</v>
      </c>
      <c r="BE937" s="95" t="s">
        <v>276</v>
      </c>
      <c r="BF937" s="95" t="s">
        <v>4302</v>
      </c>
      <c r="BG937" s="95" t="s">
        <v>4389</v>
      </c>
      <c r="BH937" s="9" t="s">
        <v>100</v>
      </c>
      <c r="BI937" s="9" t="s">
        <v>100</v>
      </c>
      <c r="BJ937" s="109"/>
      <c r="BN937" s="109"/>
      <c r="BO937" s="109"/>
    </row>
    <row r="938" spans="1:67" s="110" customFormat="1" ht="78" hidden="1" x14ac:dyDescent="0.35">
      <c r="A938" s="94">
        <v>433</v>
      </c>
      <c r="B938" s="94" t="s">
        <v>4163</v>
      </c>
      <c r="C938" s="94" t="s">
        <v>74</v>
      </c>
      <c r="D938" s="95" t="s">
        <v>4390</v>
      </c>
      <c r="E938" s="94" t="s">
        <v>39</v>
      </c>
      <c r="F938" s="94" t="s">
        <v>143</v>
      </c>
      <c r="G938" s="94" t="s">
        <v>225</v>
      </c>
      <c r="H938" s="94" t="s">
        <v>125</v>
      </c>
      <c r="I938" s="94" t="s">
        <v>114</v>
      </c>
      <c r="J938" s="95" t="s">
        <v>25</v>
      </c>
      <c r="K938" s="94" t="s">
        <v>307</v>
      </c>
      <c r="L938" s="95" t="s">
        <v>4291</v>
      </c>
      <c r="M938" s="95" t="s">
        <v>4292</v>
      </c>
      <c r="N938" s="95" t="s">
        <v>4293</v>
      </c>
      <c r="O938" s="95" t="s">
        <v>276</v>
      </c>
      <c r="P938" s="95" t="s">
        <v>239</v>
      </c>
      <c r="Q938" s="140" t="s">
        <v>276</v>
      </c>
      <c r="R938" s="95" t="s">
        <v>728</v>
      </c>
      <c r="S938" s="95" t="s">
        <v>276</v>
      </c>
      <c r="T938" s="95" t="s">
        <v>276</v>
      </c>
      <c r="U938" s="95">
        <v>5</v>
      </c>
      <c r="V938" s="94" t="s">
        <v>16</v>
      </c>
      <c r="W938" s="94" t="s">
        <v>171</v>
      </c>
      <c r="X938" s="95" t="s">
        <v>207</v>
      </c>
      <c r="Y938" s="98">
        <v>714</v>
      </c>
      <c r="Z938" s="95">
        <v>716</v>
      </c>
      <c r="AA938" s="95" t="s">
        <v>276</v>
      </c>
      <c r="AB938" s="95" t="s">
        <v>276</v>
      </c>
      <c r="AC938" s="94">
        <v>0</v>
      </c>
      <c r="AD938" s="94" t="s">
        <v>4294</v>
      </c>
      <c r="AE938" s="94">
        <v>0</v>
      </c>
      <c r="AF938" s="94" t="s">
        <v>4294</v>
      </c>
      <c r="AG938" s="95" t="s">
        <v>4391</v>
      </c>
      <c r="AH938" s="95" t="s">
        <v>280</v>
      </c>
      <c r="AI938" s="99">
        <f>13+3+1</f>
        <v>17</v>
      </c>
      <c r="AJ938" s="99">
        <f>1+1+1</f>
        <v>3</v>
      </c>
      <c r="AK938" s="99">
        <v>714</v>
      </c>
      <c r="AL938" s="99">
        <v>716</v>
      </c>
      <c r="AM938" s="99" t="s">
        <v>292</v>
      </c>
      <c r="AN938" s="94" t="s">
        <v>276</v>
      </c>
      <c r="AO938" s="102">
        <f t="shared" si="293"/>
        <v>2.3809523809523809</v>
      </c>
      <c r="AP938" s="94" t="s">
        <v>276</v>
      </c>
      <c r="AQ938" s="94" t="s">
        <v>276</v>
      </c>
      <c r="AR938" s="94" t="s">
        <v>276</v>
      </c>
      <c r="AS938" s="102">
        <f t="shared" si="300"/>
        <v>0.41899441340782123</v>
      </c>
      <c r="AT938" s="94" t="s">
        <v>276</v>
      </c>
      <c r="AU938" s="94" t="s">
        <v>276</v>
      </c>
      <c r="AV938" s="95" t="s">
        <v>268</v>
      </c>
      <c r="AW938" s="141" t="s">
        <v>276</v>
      </c>
      <c r="AX938" s="141">
        <f t="shared" si="301"/>
        <v>5.6825396825396828</v>
      </c>
      <c r="AY938" s="95" t="s">
        <v>276</v>
      </c>
      <c r="AZ938" s="95" t="s">
        <v>276</v>
      </c>
      <c r="BA938" s="95" t="s">
        <v>276</v>
      </c>
      <c r="BB938" s="95" t="s">
        <v>282</v>
      </c>
      <c r="BC938" s="95" t="s">
        <v>276</v>
      </c>
      <c r="BD938" s="95" t="s">
        <v>276</v>
      </c>
      <c r="BE938" s="95" t="s">
        <v>276</v>
      </c>
      <c r="BF938" s="95" t="s">
        <v>4302</v>
      </c>
      <c r="BG938" s="95" t="s">
        <v>4389</v>
      </c>
      <c r="BH938" s="9" t="s">
        <v>100</v>
      </c>
      <c r="BI938" s="9" t="s">
        <v>100</v>
      </c>
      <c r="BJ938" s="109"/>
      <c r="BN938" s="109"/>
      <c r="BO938" s="109"/>
    </row>
    <row r="939" spans="1:67" s="124" customFormat="1" ht="78" hidden="1" x14ac:dyDescent="0.35">
      <c r="A939" s="112">
        <v>433</v>
      </c>
      <c r="B939" s="112" t="s">
        <v>4163</v>
      </c>
      <c r="C939" s="112" t="s">
        <v>74</v>
      </c>
      <c r="D939" s="113" t="s">
        <v>4392</v>
      </c>
      <c r="E939" s="112" t="s">
        <v>39</v>
      </c>
      <c r="F939" s="112" t="s">
        <v>143</v>
      </c>
      <c r="G939" s="112" t="s">
        <v>225</v>
      </c>
      <c r="H939" s="112" t="s">
        <v>125</v>
      </c>
      <c r="I939" s="112" t="s">
        <v>114</v>
      </c>
      <c r="J939" s="113" t="s">
        <v>25</v>
      </c>
      <c r="K939" s="112" t="s">
        <v>307</v>
      </c>
      <c r="L939" s="113" t="s">
        <v>4291</v>
      </c>
      <c r="M939" s="113" t="s">
        <v>4292</v>
      </c>
      <c r="N939" s="113" t="s">
        <v>4293</v>
      </c>
      <c r="O939" s="113" t="s">
        <v>276</v>
      </c>
      <c r="P939" s="113" t="s">
        <v>239</v>
      </c>
      <c r="Q939" s="142" t="s">
        <v>276</v>
      </c>
      <c r="R939" s="113" t="s">
        <v>733</v>
      </c>
      <c r="S939" s="113" t="s">
        <v>276</v>
      </c>
      <c r="T939" s="113" t="s">
        <v>276</v>
      </c>
      <c r="U939" s="113">
        <v>5</v>
      </c>
      <c r="V939" s="112" t="s">
        <v>14</v>
      </c>
      <c r="W939" s="112" t="s">
        <v>98</v>
      </c>
      <c r="X939" s="113" t="s">
        <v>207</v>
      </c>
      <c r="Y939" s="118">
        <v>2029</v>
      </c>
      <c r="Z939" s="113">
        <v>2023</v>
      </c>
      <c r="AA939" s="113" t="s">
        <v>276</v>
      </c>
      <c r="AB939" s="113" t="s">
        <v>276</v>
      </c>
      <c r="AC939" s="112">
        <v>1</v>
      </c>
      <c r="AD939" s="112" t="s">
        <v>4294</v>
      </c>
      <c r="AE939" s="112" t="s">
        <v>276</v>
      </c>
      <c r="AF939" s="112" t="s">
        <v>4294</v>
      </c>
      <c r="AG939" s="113" t="s">
        <v>4393</v>
      </c>
      <c r="AH939" s="113" t="s">
        <v>866</v>
      </c>
      <c r="AI939" s="119">
        <v>51</v>
      </c>
      <c r="AJ939" s="119">
        <v>11</v>
      </c>
      <c r="AK939" s="119">
        <v>2029</v>
      </c>
      <c r="AL939" s="119">
        <v>2023</v>
      </c>
      <c r="AM939" s="119" t="s">
        <v>292</v>
      </c>
      <c r="AN939" s="112" t="s">
        <v>276</v>
      </c>
      <c r="AO939" s="121">
        <f t="shared" si="293"/>
        <v>2.5135534746180386</v>
      </c>
      <c r="AP939" s="112" t="s">
        <v>276</v>
      </c>
      <c r="AQ939" s="112" t="s">
        <v>276</v>
      </c>
      <c r="AR939" s="112" t="s">
        <v>276</v>
      </c>
      <c r="AS939" s="121">
        <f t="shared" si="300"/>
        <v>0.54374691052891744</v>
      </c>
      <c r="AT939" s="112" t="s">
        <v>276</v>
      </c>
      <c r="AU939" s="112" t="s">
        <v>276</v>
      </c>
      <c r="AV939" s="113" t="s">
        <v>268</v>
      </c>
      <c r="AW939" s="143" t="s">
        <v>276</v>
      </c>
      <c r="AX939" s="143">
        <f t="shared" si="301"/>
        <v>4.6226533446839015</v>
      </c>
      <c r="AY939" s="113" t="s">
        <v>276</v>
      </c>
      <c r="AZ939" s="113" t="s">
        <v>276</v>
      </c>
      <c r="BA939" s="113" t="s">
        <v>276</v>
      </c>
      <c r="BB939" s="113" t="s">
        <v>282</v>
      </c>
      <c r="BC939" s="113" t="s">
        <v>276</v>
      </c>
      <c r="BD939" s="113" t="s">
        <v>276</v>
      </c>
      <c r="BE939" s="113" t="s">
        <v>276</v>
      </c>
      <c r="BF939" s="113" t="s">
        <v>4376</v>
      </c>
      <c r="BG939" s="113" t="s">
        <v>4297</v>
      </c>
      <c r="BH939" s="9" t="s">
        <v>100</v>
      </c>
      <c r="BI939" s="9" t="s">
        <v>100</v>
      </c>
      <c r="BJ939" s="123"/>
      <c r="BN939" s="123"/>
      <c r="BO939" s="123"/>
    </row>
    <row r="940" spans="1:67" s="124" customFormat="1" ht="78" hidden="1" x14ac:dyDescent="0.35">
      <c r="A940" s="112">
        <v>433</v>
      </c>
      <c r="B940" s="112" t="s">
        <v>4163</v>
      </c>
      <c r="C940" s="112" t="s">
        <v>74</v>
      </c>
      <c r="D940" s="113" t="s">
        <v>4394</v>
      </c>
      <c r="E940" s="112" t="s">
        <v>39</v>
      </c>
      <c r="F940" s="112" t="s">
        <v>143</v>
      </c>
      <c r="G940" s="112" t="s">
        <v>225</v>
      </c>
      <c r="H940" s="112" t="s">
        <v>125</v>
      </c>
      <c r="I940" s="112" t="s">
        <v>114</v>
      </c>
      <c r="J940" s="113" t="s">
        <v>25</v>
      </c>
      <c r="K940" s="112" t="s">
        <v>307</v>
      </c>
      <c r="L940" s="113" t="s">
        <v>4291</v>
      </c>
      <c r="M940" s="113" t="s">
        <v>4292</v>
      </c>
      <c r="N940" s="113" t="s">
        <v>4293</v>
      </c>
      <c r="O940" s="113" t="s">
        <v>276</v>
      </c>
      <c r="P940" s="113" t="s">
        <v>239</v>
      </c>
      <c r="Q940" s="142" t="s">
        <v>276</v>
      </c>
      <c r="R940" s="113" t="s">
        <v>741</v>
      </c>
      <c r="S940" s="113" t="s">
        <v>276</v>
      </c>
      <c r="T940" s="113" t="s">
        <v>276</v>
      </c>
      <c r="U940" s="113">
        <v>5</v>
      </c>
      <c r="V940" s="112" t="s">
        <v>14</v>
      </c>
      <c r="W940" s="112" t="s">
        <v>98</v>
      </c>
      <c r="X940" s="113" t="s">
        <v>207</v>
      </c>
      <c r="Y940" s="118">
        <v>2029</v>
      </c>
      <c r="Z940" s="113">
        <v>2023</v>
      </c>
      <c r="AA940" s="113" t="s">
        <v>276</v>
      </c>
      <c r="AB940" s="113" t="s">
        <v>276</v>
      </c>
      <c r="AC940" s="112">
        <v>1</v>
      </c>
      <c r="AD940" s="112" t="s">
        <v>4294</v>
      </c>
      <c r="AE940" s="112" t="s">
        <v>276</v>
      </c>
      <c r="AF940" s="112" t="s">
        <v>4294</v>
      </c>
      <c r="AG940" s="113" t="s">
        <v>4395</v>
      </c>
      <c r="AH940" s="113" t="s">
        <v>866</v>
      </c>
      <c r="AI940" s="119">
        <v>52</v>
      </c>
      <c r="AJ940" s="119">
        <v>13</v>
      </c>
      <c r="AK940" s="119">
        <v>2029</v>
      </c>
      <c r="AL940" s="119">
        <v>2023</v>
      </c>
      <c r="AM940" s="119" t="s">
        <v>292</v>
      </c>
      <c r="AN940" s="112" t="s">
        <v>276</v>
      </c>
      <c r="AO940" s="121">
        <f t="shared" si="293"/>
        <v>2.5628388368654509</v>
      </c>
      <c r="AP940" s="112" t="s">
        <v>276</v>
      </c>
      <c r="AQ940" s="112" t="s">
        <v>276</v>
      </c>
      <c r="AR940" s="112" t="s">
        <v>276</v>
      </c>
      <c r="AS940" s="121">
        <f t="shared" si="300"/>
        <v>0.6426099851705388</v>
      </c>
      <c r="AT940" s="112" t="s">
        <v>276</v>
      </c>
      <c r="AU940" s="112" t="s">
        <v>276</v>
      </c>
      <c r="AV940" s="113" t="s">
        <v>268</v>
      </c>
      <c r="AW940" s="143" t="s">
        <v>276</v>
      </c>
      <c r="AX940" s="143">
        <f t="shared" si="301"/>
        <v>3.988171513060621</v>
      </c>
      <c r="AY940" s="113" t="s">
        <v>276</v>
      </c>
      <c r="AZ940" s="113" t="s">
        <v>276</v>
      </c>
      <c r="BA940" s="113" t="s">
        <v>276</v>
      </c>
      <c r="BB940" s="113" t="s">
        <v>282</v>
      </c>
      <c r="BC940" s="113" t="s">
        <v>276</v>
      </c>
      <c r="BD940" s="113" t="s">
        <v>276</v>
      </c>
      <c r="BE940" s="113" t="s">
        <v>276</v>
      </c>
      <c r="BF940" s="113" t="s">
        <v>4376</v>
      </c>
      <c r="BG940" s="113" t="s">
        <v>4297</v>
      </c>
      <c r="BH940" s="9" t="s">
        <v>100</v>
      </c>
      <c r="BI940" s="9" t="s">
        <v>100</v>
      </c>
      <c r="BJ940" s="123"/>
      <c r="BN940" s="123"/>
      <c r="BO940" s="123"/>
    </row>
    <row r="941" spans="1:67" s="124" customFormat="1" ht="78" hidden="1" x14ac:dyDescent="0.35">
      <c r="A941" s="112">
        <v>433</v>
      </c>
      <c r="B941" s="112" t="s">
        <v>4163</v>
      </c>
      <c r="C941" s="112" t="s">
        <v>74</v>
      </c>
      <c r="D941" s="113" t="s">
        <v>4396</v>
      </c>
      <c r="E941" s="112" t="s">
        <v>39</v>
      </c>
      <c r="F941" s="112" t="s">
        <v>143</v>
      </c>
      <c r="G941" s="112" t="s">
        <v>225</v>
      </c>
      <c r="H941" s="112" t="s">
        <v>125</v>
      </c>
      <c r="I941" s="112" t="s">
        <v>114</v>
      </c>
      <c r="J941" s="113" t="s">
        <v>25</v>
      </c>
      <c r="K941" s="112" t="s">
        <v>307</v>
      </c>
      <c r="L941" s="113" t="s">
        <v>4291</v>
      </c>
      <c r="M941" s="113" t="s">
        <v>4292</v>
      </c>
      <c r="N941" s="113" t="s">
        <v>4293</v>
      </c>
      <c r="O941" s="113" t="s">
        <v>276</v>
      </c>
      <c r="P941" s="113" t="s">
        <v>239</v>
      </c>
      <c r="Q941" s="142" t="s">
        <v>276</v>
      </c>
      <c r="R941" s="113" t="s">
        <v>746</v>
      </c>
      <c r="S941" s="113" t="s">
        <v>276</v>
      </c>
      <c r="T941" s="113" t="s">
        <v>276</v>
      </c>
      <c r="U941" s="113">
        <v>5</v>
      </c>
      <c r="V941" s="112" t="s">
        <v>14</v>
      </c>
      <c r="W941" s="112" t="s">
        <v>98</v>
      </c>
      <c r="X941" s="113" t="s">
        <v>207</v>
      </c>
      <c r="Y941" s="118">
        <v>2029</v>
      </c>
      <c r="Z941" s="113">
        <v>2023</v>
      </c>
      <c r="AA941" s="113" t="s">
        <v>276</v>
      </c>
      <c r="AB941" s="113" t="s">
        <v>276</v>
      </c>
      <c r="AC941" s="112">
        <v>1</v>
      </c>
      <c r="AD941" s="112" t="s">
        <v>4294</v>
      </c>
      <c r="AE941" s="112" t="s">
        <v>276</v>
      </c>
      <c r="AF941" s="112" t="s">
        <v>4294</v>
      </c>
      <c r="AG941" s="113" t="s">
        <v>4397</v>
      </c>
      <c r="AH941" s="113" t="s">
        <v>866</v>
      </c>
      <c r="AI941" s="119">
        <v>53</v>
      </c>
      <c r="AJ941" s="119">
        <v>15</v>
      </c>
      <c r="AK941" s="119">
        <v>2029</v>
      </c>
      <c r="AL941" s="119">
        <v>2023</v>
      </c>
      <c r="AM941" s="119" t="s">
        <v>292</v>
      </c>
      <c r="AN941" s="112" t="s">
        <v>276</v>
      </c>
      <c r="AO941" s="121">
        <f t="shared" si="293"/>
        <v>2.6121241991128636</v>
      </c>
      <c r="AP941" s="112" t="s">
        <v>276</v>
      </c>
      <c r="AQ941" s="112" t="s">
        <v>276</v>
      </c>
      <c r="AR941" s="112" t="s">
        <v>276</v>
      </c>
      <c r="AS941" s="121">
        <f t="shared" si="300"/>
        <v>0.74147305981216016</v>
      </c>
      <c r="AT941" s="112" t="s">
        <v>276</v>
      </c>
      <c r="AU941" s="112" t="s">
        <v>276</v>
      </c>
      <c r="AV941" s="113" t="s">
        <v>268</v>
      </c>
      <c r="AW941" s="143" t="s">
        <v>276</v>
      </c>
      <c r="AX941" s="143">
        <f t="shared" si="301"/>
        <v>3.5228848365368819</v>
      </c>
      <c r="AY941" s="113" t="s">
        <v>276</v>
      </c>
      <c r="AZ941" s="113" t="s">
        <v>276</v>
      </c>
      <c r="BA941" s="113" t="s">
        <v>276</v>
      </c>
      <c r="BB941" s="113" t="s">
        <v>282</v>
      </c>
      <c r="BC941" s="113" t="s">
        <v>276</v>
      </c>
      <c r="BD941" s="113" t="s">
        <v>276</v>
      </c>
      <c r="BE941" s="113" t="s">
        <v>276</v>
      </c>
      <c r="BF941" s="113" t="s">
        <v>4376</v>
      </c>
      <c r="BG941" s="113" t="s">
        <v>4297</v>
      </c>
      <c r="BH941" s="9" t="s">
        <v>100</v>
      </c>
      <c r="BI941" s="9" t="s">
        <v>100</v>
      </c>
      <c r="BJ941" s="123"/>
      <c r="BN941" s="123"/>
      <c r="BO941" s="123"/>
    </row>
    <row r="942" spans="1:67" s="124" customFormat="1" ht="78" hidden="1" x14ac:dyDescent="0.35">
      <c r="A942" s="112">
        <v>433</v>
      </c>
      <c r="B942" s="112" t="s">
        <v>4163</v>
      </c>
      <c r="C942" s="112" t="s">
        <v>74</v>
      </c>
      <c r="D942" s="113" t="s">
        <v>4398</v>
      </c>
      <c r="E942" s="112" t="s">
        <v>39</v>
      </c>
      <c r="F942" s="112" t="s">
        <v>143</v>
      </c>
      <c r="G942" s="112" t="s">
        <v>225</v>
      </c>
      <c r="H942" s="112" t="s">
        <v>125</v>
      </c>
      <c r="I942" s="112" t="s">
        <v>114</v>
      </c>
      <c r="J942" s="113" t="s">
        <v>25</v>
      </c>
      <c r="K942" s="112" t="s">
        <v>307</v>
      </c>
      <c r="L942" s="113" t="s">
        <v>4291</v>
      </c>
      <c r="M942" s="113" t="s">
        <v>4292</v>
      </c>
      <c r="N942" s="113" t="s">
        <v>4293</v>
      </c>
      <c r="O942" s="113" t="s">
        <v>276</v>
      </c>
      <c r="P942" s="113" t="s">
        <v>239</v>
      </c>
      <c r="Q942" s="142" t="s">
        <v>276</v>
      </c>
      <c r="R942" s="113" t="s">
        <v>752</v>
      </c>
      <c r="S942" s="113" t="s">
        <v>276</v>
      </c>
      <c r="T942" s="113" t="s">
        <v>276</v>
      </c>
      <c r="U942" s="113">
        <v>5</v>
      </c>
      <c r="V942" s="112" t="s">
        <v>14</v>
      </c>
      <c r="W942" s="112" t="s">
        <v>98</v>
      </c>
      <c r="X942" s="113" t="s">
        <v>207</v>
      </c>
      <c r="Y942" s="118">
        <v>2029</v>
      </c>
      <c r="Z942" s="113">
        <v>2023</v>
      </c>
      <c r="AA942" s="113" t="s">
        <v>276</v>
      </c>
      <c r="AB942" s="113" t="s">
        <v>276</v>
      </c>
      <c r="AC942" s="112">
        <v>1</v>
      </c>
      <c r="AD942" s="112" t="s">
        <v>4294</v>
      </c>
      <c r="AE942" s="112" t="s">
        <v>276</v>
      </c>
      <c r="AF942" s="112" t="s">
        <v>4294</v>
      </c>
      <c r="AG942" s="113" t="s">
        <v>4399</v>
      </c>
      <c r="AH942" s="113" t="s">
        <v>866</v>
      </c>
      <c r="AI942" s="119">
        <v>54</v>
      </c>
      <c r="AJ942" s="119">
        <v>15</v>
      </c>
      <c r="AK942" s="119">
        <v>2029</v>
      </c>
      <c r="AL942" s="119">
        <v>2023</v>
      </c>
      <c r="AM942" s="119" t="s">
        <v>292</v>
      </c>
      <c r="AN942" s="112" t="s">
        <v>276</v>
      </c>
      <c r="AO942" s="121">
        <f t="shared" si="293"/>
        <v>2.661409561360276</v>
      </c>
      <c r="AP942" s="112" t="s">
        <v>276</v>
      </c>
      <c r="AQ942" s="112" t="s">
        <v>276</v>
      </c>
      <c r="AR942" s="112" t="s">
        <v>276</v>
      </c>
      <c r="AS942" s="121">
        <f t="shared" si="300"/>
        <v>0.74147305981216016</v>
      </c>
      <c r="AT942" s="112" t="s">
        <v>276</v>
      </c>
      <c r="AU942" s="112" t="s">
        <v>276</v>
      </c>
      <c r="AV942" s="113" t="s">
        <v>268</v>
      </c>
      <c r="AW942" s="143" t="s">
        <v>276</v>
      </c>
      <c r="AX942" s="143">
        <f t="shared" si="301"/>
        <v>3.5893543617545589</v>
      </c>
      <c r="AY942" s="113" t="s">
        <v>276</v>
      </c>
      <c r="AZ942" s="113" t="s">
        <v>276</v>
      </c>
      <c r="BA942" s="113" t="s">
        <v>276</v>
      </c>
      <c r="BB942" s="113" t="s">
        <v>282</v>
      </c>
      <c r="BC942" s="113" t="s">
        <v>276</v>
      </c>
      <c r="BD942" s="113" t="s">
        <v>276</v>
      </c>
      <c r="BE942" s="113" t="s">
        <v>276</v>
      </c>
      <c r="BF942" s="113" t="s">
        <v>4376</v>
      </c>
      <c r="BG942" s="113" t="s">
        <v>4297</v>
      </c>
      <c r="BH942" s="9" t="s">
        <v>100</v>
      </c>
      <c r="BI942" s="9" t="s">
        <v>100</v>
      </c>
      <c r="BJ942" s="123"/>
      <c r="BN942" s="123"/>
      <c r="BO942" s="123"/>
    </row>
    <row r="943" spans="1:67" s="110" customFormat="1" ht="78" hidden="1" x14ac:dyDescent="0.35">
      <c r="A943" s="94">
        <v>433</v>
      </c>
      <c r="B943" s="94" t="s">
        <v>4163</v>
      </c>
      <c r="C943" s="94" t="s">
        <v>74</v>
      </c>
      <c r="D943" s="95" t="s">
        <v>4400</v>
      </c>
      <c r="E943" s="94" t="s">
        <v>39</v>
      </c>
      <c r="F943" s="94" t="s">
        <v>143</v>
      </c>
      <c r="G943" s="94" t="s">
        <v>225</v>
      </c>
      <c r="H943" s="94" t="s">
        <v>125</v>
      </c>
      <c r="I943" s="94" t="s">
        <v>114</v>
      </c>
      <c r="J943" s="95" t="s">
        <v>25</v>
      </c>
      <c r="K943" s="94" t="s">
        <v>307</v>
      </c>
      <c r="L943" s="95" t="s">
        <v>4291</v>
      </c>
      <c r="M943" s="95" t="s">
        <v>4292</v>
      </c>
      <c r="N943" s="95" t="s">
        <v>4293</v>
      </c>
      <c r="O943" s="95" t="s">
        <v>276</v>
      </c>
      <c r="P943" s="95" t="s">
        <v>239</v>
      </c>
      <c r="Q943" s="140" t="s">
        <v>276</v>
      </c>
      <c r="R943" s="95" t="s">
        <v>766</v>
      </c>
      <c r="S943" s="95" t="s">
        <v>276</v>
      </c>
      <c r="T943" s="95" t="s">
        <v>276</v>
      </c>
      <c r="U943" s="95">
        <v>5</v>
      </c>
      <c r="V943" s="94" t="s">
        <v>14</v>
      </c>
      <c r="W943" s="94" t="s">
        <v>98</v>
      </c>
      <c r="X943" s="95" t="s">
        <v>207</v>
      </c>
      <c r="Y943" s="98">
        <v>2029</v>
      </c>
      <c r="Z943" s="95">
        <v>2023</v>
      </c>
      <c r="AA943" s="95" t="s">
        <v>276</v>
      </c>
      <c r="AB943" s="95" t="s">
        <v>276</v>
      </c>
      <c r="AC943" s="94">
        <v>1</v>
      </c>
      <c r="AD943" s="94" t="s">
        <v>4294</v>
      </c>
      <c r="AE943" s="94">
        <v>1</v>
      </c>
      <c r="AF943" s="94" t="s">
        <v>4294</v>
      </c>
      <c r="AG943" s="95" t="s">
        <v>4401</v>
      </c>
      <c r="AH943" s="95" t="s">
        <v>866</v>
      </c>
      <c r="AI943" s="99">
        <v>55</v>
      </c>
      <c r="AJ943" s="99">
        <v>15</v>
      </c>
      <c r="AK943" s="99">
        <v>2029</v>
      </c>
      <c r="AL943" s="99">
        <v>2023</v>
      </c>
      <c r="AM943" s="99" t="s">
        <v>292</v>
      </c>
      <c r="AN943" s="94" t="s">
        <v>276</v>
      </c>
      <c r="AO943" s="102">
        <f t="shared" si="293"/>
        <v>2.7106949236076887</v>
      </c>
      <c r="AP943" s="94" t="s">
        <v>276</v>
      </c>
      <c r="AQ943" s="94" t="s">
        <v>276</v>
      </c>
      <c r="AR943" s="94" t="s">
        <v>276</v>
      </c>
      <c r="AS943" s="102">
        <f t="shared" si="300"/>
        <v>0.74147305981216016</v>
      </c>
      <c r="AT943" s="94" t="s">
        <v>276</v>
      </c>
      <c r="AU943" s="94" t="s">
        <v>276</v>
      </c>
      <c r="AV943" s="95" t="s">
        <v>268</v>
      </c>
      <c r="AW943" s="141" t="s">
        <v>276</v>
      </c>
      <c r="AX943" s="141">
        <f t="shared" si="301"/>
        <v>3.6558238869722364</v>
      </c>
      <c r="AY943" s="95" t="s">
        <v>276</v>
      </c>
      <c r="AZ943" s="95" t="s">
        <v>276</v>
      </c>
      <c r="BA943" s="95" t="s">
        <v>276</v>
      </c>
      <c r="BB943" s="95" t="s">
        <v>282</v>
      </c>
      <c r="BC943" s="95" t="s">
        <v>276</v>
      </c>
      <c r="BD943" s="95" t="s">
        <v>276</v>
      </c>
      <c r="BE943" s="95" t="s">
        <v>276</v>
      </c>
      <c r="BF943" s="95" t="s">
        <v>4376</v>
      </c>
      <c r="BG943" s="95" t="s">
        <v>4297</v>
      </c>
      <c r="BH943" s="9" t="s">
        <v>100</v>
      </c>
      <c r="BI943" s="9" t="s">
        <v>100</v>
      </c>
      <c r="BJ943" s="109"/>
      <c r="BN943" s="109"/>
      <c r="BO943" s="109"/>
    </row>
    <row r="944" spans="1:67" s="110" customFormat="1" ht="78" hidden="1" x14ac:dyDescent="0.35">
      <c r="A944" s="94">
        <v>433</v>
      </c>
      <c r="B944" s="94" t="s">
        <v>4163</v>
      </c>
      <c r="C944" s="94" t="s">
        <v>74</v>
      </c>
      <c r="D944" s="95" t="s">
        <v>4402</v>
      </c>
      <c r="E944" s="94" t="s">
        <v>39</v>
      </c>
      <c r="F944" s="94" t="s">
        <v>143</v>
      </c>
      <c r="G944" s="94" t="s">
        <v>225</v>
      </c>
      <c r="H944" s="94" t="s">
        <v>125</v>
      </c>
      <c r="I944" s="94" t="s">
        <v>114</v>
      </c>
      <c r="J944" s="95" t="s">
        <v>25</v>
      </c>
      <c r="K944" s="94" t="s">
        <v>307</v>
      </c>
      <c r="L944" s="95" t="s">
        <v>4291</v>
      </c>
      <c r="M944" s="95" t="s">
        <v>4292</v>
      </c>
      <c r="N944" s="95" t="s">
        <v>4293</v>
      </c>
      <c r="O944" s="95" t="s">
        <v>276</v>
      </c>
      <c r="P944" s="95" t="s">
        <v>239</v>
      </c>
      <c r="Q944" s="140">
        <v>43220</v>
      </c>
      <c r="R944" s="95" t="s">
        <v>766</v>
      </c>
      <c r="S944" s="95" t="s">
        <v>276</v>
      </c>
      <c r="T944" s="95" t="s">
        <v>276</v>
      </c>
      <c r="U944" s="95">
        <v>5</v>
      </c>
      <c r="V944" s="94" t="s">
        <v>16</v>
      </c>
      <c r="W944" s="94" t="s">
        <v>170</v>
      </c>
      <c r="X944" s="95" t="s">
        <v>207</v>
      </c>
      <c r="Y944" s="98">
        <v>1315</v>
      </c>
      <c r="Z944" s="95">
        <v>1307</v>
      </c>
      <c r="AA944" s="95" t="s">
        <v>276</v>
      </c>
      <c r="AB944" s="95" t="s">
        <v>276</v>
      </c>
      <c r="AC944" s="94">
        <v>1</v>
      </c>
      <c r="AD944" s="94" t="s">
        <v>4294</v>
      </c>
      <c r="AE944" s="94">
        <v>1</v>
      </c>
      <c r="AF944" s="94" t="s">
        <v>4294</v>
      </c>
      <c r="AG944" s="95" t="s">
        <v>4403</v>
      </c>
      <c r="AH944" s="95" t="s">
        <v>689</v>
      </c>
      <c r="AI944" s="99">
        <f>19+7+3+1+1+2+2+1+1</f>
        <v>37</v>
      </c>
      <c r="AJ944" s="99">
        <f>1+1+1+2+2+1+2+1</f>
        <v>11</v>
      </c>
      <c r="AK944" s="99">
        <v>1315</v>
      </c>
      <c r="AL944" s="99">
        <v>1307</v>
      </c>
      <c r="AM944" s="99" t="s">
        <v>292</v>
      </c>
      <c r="AN944" s="94" t="s">
        <v>276</v>
      </c>
      <c r="AO944" s="102">
        <f t="shared" si="293"/>
        <v>2.8136882129277567</v>
      </c>
      <c r="AP944" s="94" t="s">
        <v>276</v>
      </c>
      <c r="AQ944" s="94" t="s">
        <v>276</v>
      </c>
      <c r="AR944" s="94" t="s">
        <v>276</v>
      </c>
      <c r="AS944" s="102">
        <f t="shared" si="300"/>
        <v>0.84162203519510326</v>
      </c>
      <c r="AT944" s="94" t="s">
        <v>276</v>
      </c>
      <c r="AU944" s="94" t="s">
        <v>276</v>
      </c>
      <c r="AV944" s="95" t="s">
        <v>268</v>
      </c>
      <c r="AW944" s="141" t="s">
        <v>276</v>
      </c>
      <c r="AX944" s="141">
        <f t="shared" si="301"/>
        <v>3.3431731766332531</v>
      </c>
      <c r="AY944" s="95" t="s">
        <v>276</v>
      </c>
      <c r="AZ944" s="95" t="s">
        <v>276</v>
      </c>
      <c r="BA944" s="95" t="s">
        <v>276</v>
      </c>
      <c r="BB944" s="95" t="s">
        <v>282</v>
      </c>
      <c r="BC944" s="95" t="s">
        <v>276</v>
      </c>
      <c r="BD944" s="95" t="s">
        <v>276</v>
      </c>
      <c r="BE944" s="95" t="s">
        <v>276</v>
      </c>
      <c r="BF944" s="95" t="s">
        <v>4302</v>
      </c>
      <c r="BG944" s="95" t="s">
        <v>4297</v>
      </c>
      <c r="BH944" s="9" t="s">
        <v>100</v>
      </c>
      <c r="BI944" s="9" t="s">
        <v>100</v>
      </c>
      <c r="BJ944" s="109"/>
      <c r="BN944" s="109"/>
      <c r="BO944" s="109"/>
    </row>
    <row r="945" spans="1:67" s="110" customFormat="1" ht="78" hidden="1" x14ac:dyDescent="0.35">
      <c r="A945" s="94">
        <v>433</v>
      </c>
      <c r="B945" s="94" t="s">
        <v>4163</v>
      </c>
      <c r="C945" s="94" t="s">
        <v>74</v>
      </c>
      <c r="D945" s="95" t="s">
        <v>4404</v>
      </c>
      <c r="E945" s="94" t="s">
        <v>39</v>
      </c>
      <c r="F945" s="94" t="s">
        <v>143</v>
      </c>
      <c r="G945" s="94" t="s">
        <v>225</v>
      </c>
      <c r="H945" s="94" t="s">
        <v>125</v>
      </c>
      <c r="I945" s="94" t="s">
        <v>114</v>
      </c>
      <c r="J945" s="95" t="s">
        <v>25</v>
      </c>
      <c r="K945" s="94" t="s">
        <v>307</v>
      </c>
      <c r="L945" s="95" t="s">
        <v>4291</v>
      </c>
      <c r="M945" s="95" t="s">
        <v>4292</v>
      </c>
      <c r="N945" s="95" t="s">
        <v>4293</v>
      </c>
      <c r="O945" s="95" t="s">
        <v>276</v>
      </c>
      <c r="P945" s="95" t="s">
        <v>239</v>
      </c>
      <c r="Q945" s="140">
        <v>43220</v>
      </c>
      <c r="R945" s="95" t="s">
        <v>766</v>
      </c>
      <c r="S945" s="95" t="s">
        <v>276</v>
      </c>
      <c r="T945" s="95" t="s">
        <v>276</v>
      </c>
      <c r="U945" s="95">
        <v>5</v>
      </c>
      <c r="V945" s="94" t="s">
        <v>16</v>
      </c>
      <c r="W945" s="94" t="s">
        <v>171</v>
      </c>
      <c r="X945" s="95" t="s">
        <v>207</v>
      </c>
      <c r="Y945" s="98">
        <v>714</v>
      </c>
      <c r="Z945" s="95">
        <v>716</v>
      </c>
      <c r="AA945" s="95" t="s">
        <v>276</v>
      </c>
      <c r="AB945" s="95" t="s">
        <v>276</v>
      </c>
      <c r="AC945" s="94">
        <v>0</v>
      </c>
      <c r="AD945" s="94" t="s">
        <v>98</v>
      </c>
      <c r="AE945" s="94">
        <v>0</v>
      </c>
      <c r="AF945" s="94" t="s">
        <v>98</v>
      </c>
      <c r="AG945" s="95" t="s">
        <v>4405</v>
      </c>
      <c r="AH945" s="95" t="s">
        <v>280</v>
      </c>
      <c r="AI945" s="99">
        <f>13+3+1+1</f>
        <v>18</v>
      </c>
      <c r="AJ945" s="99">
        <f>1+1+1+1</f>
        <v>4</v>
      </c>
      <c r="AK945" s="99">
        <v>714</v>
      </c>
      <c r="AL945" s="99">
        <v>716</v>
      </c>
      <c r="AM945" s="99" t="s">
        <v>292</v>
      </c>
      <c r="AN945" s="94" t="s">
        <v>276</v>
      </c>
      <c r="AO945" s="102">
        <f t="shared" si="293"/>
        <v>2.5210084033613445</v>
      </c>
      <c r="AP945" s="94" t="s">
        <v>276</v>
      </c>
      <c r="AQ945" s="94" t="s">
        <v>276</v>
      </c>
      <c r="AR945" s="94" t="s">
        <v>276</v>
      </c>
      <c r="AS945" s="102">
        <f t="shared" si="300"/>
        <v>0.55865921787709494</v>
      </c>
      <c r="AT945" s="94" t="s">
        <v>276</v>
      </c>
      <c r="AU945" s="94" t="s">
        <v>276</v>
      </c>
      <c r="AV945" s="95" t="s">
        <v>268</v>
      </c>
      <c r="AW945" s="141" t="s">
        <v>276</v>
      </c>
      <c r="AX945" s="141">
        <f t="shared" si="301"/>
        <v>4.5126050420168067</v>
      </c>
      <c r="AY945" s="95" t="s">
        <v>276</v>
      </c>
      <c r="AZ945" s="95" t="s">
        <v>276</v>
      </c>
      <c r="BA945" s="95" t="s">
        <v>276</v>
      </c>
      <c r="BB945" s="95" t="s">
        <v>282</v>
      </c>
      <c r="BC945" s="95" t="s">
        <v>276</v>
      </c>
      <c r="BD945" s="95" t="s">
        <v>276</v>
      </c>
      <c r="BE945" s="95" t="s">
        <v>276</v>
      </c>
      <c r="BF945" s="95" t="s">
        <v>4302</v>
      </c>
      <c r="BG945" s="95" t="s">
        <v>4297</v>
      </c>
      <c r="BH945" s="9" t="s">
        <v>100</v>
      </c>
      <c r="BI945" s="9" t="s">
        <v>100</v>
      </c>
      <c r="BJ945" s="109"/>
      <c r="BN945" s="109"/>
      <c r="BO945" s="109"/>
    </row>
    <row r="946" spans="1:67" s="124" customFormat="1" ht="78" hidden="1" x14ac:dyDescent="0.35">
      <c r="A946" s="112">
        <v>433</v>
      </c>
      <c r="B946" s="112" t="s">
        <v>4163</v>
      </c>
      <c r="C946" s="112" t="s">
        <v>74</v>
      </c>
      <c r="D946" s="113" t="s">
        <v>4406</v>
      </c>
      <c r="E946" s="112" t="s">
        <v>39</v>
      </c>
      <c r="F946" s="112" t="s">
        <v>143</v>
      </c>
      <c r="G946" s="112" t="s">
        <v>225</v>
      </c>
      <c r="H946" s="112" t="s">
        <v>125</v>
      </c>
      <c r="I946" s="112" t="s">
        <v>114</v>
      </c>
      <c r="J946" s="113" t="s">
        <v>25</v>
      </c>
      <c r="K946" s="112" t="s">
        <v>317</v>
      </c>
      <c r="L946" s="113" t="s">
        <v>4291</v>
      </c>
      <c r="M946" s="113" t="s">
        <v>4292</v>
      </c>
      <c r="N946" s="113" t="s">
        <v>4293</v>
      </c>
      <c r="O946" s="113" t="s">
        <v>276</v>
      </c>
      <c r="P946" s="113" t="s">
        <v>239</v>
      </c>
      <c r="Q946" s="142" t="s">
        <v>276</v>
      </c>
      <c r="R946" s="113" t="s">
        <v>705</v>
      </c>
      <c r="S946" s="113" t="s">
        <v>276</v>
      </c>
      <c r="T946" s="113" t="s">
        <v>276</v>
      </c>
      <c r="U946" s="113">
        <v>1</v>
      </c>
      <c r="V946" s="112" t="s">
        <v>14</v>
      </c>
      <c r="W946" s="112" t="s">
        <v>98</v>
      </c>
      <c r="X946" s="113" t="s">
        <v>207</v>
      </c>
      <c r="Y946" s="118">
        <v>2029</v>
      </c>
      <c r="Z946" s="113">
        <v>2023</v>
      </c>
      <c r="AA946" s="113" t="s">
        <v>276</v>
      </c>
      <c r="AB946" s="113" t="s">
        <v>276</v>
      </c>
      <c r="AC946" s="112" t="s">
        <v>276</v>
      </c>
      <c r="AD946" s="112" t="s">
        <v>4294</v>
      </c>
      <c r="AE946" s="112">
        <v>0</v>
      </c>
      <c r="AF946" s="112" t="s">
        <v>4294</v>
      </c>
      <c r="AG946" s="113" t="s">
        <v>4407</v>
      </c>
      <c r="AH946" s="113" t="s">
        <v>866</v>
      </c>
      <c r="AI946" s="119">
        <v>4</v>
      </c>
      <c r="AJ946" s="119">
        <v>4</v>
      </c>
      <c r="AK946" s="119">
        <v>2029</v>
      </c>
      <c r="AL946" s="119">
        <v>2023</v>
      </c>
      <c r="AM946" s="119" t="s">
        <v>292</v>
      </c>
      <c r="AN946" s="112" t="s">
        <v>276</v>
      </c>
      <c r="AO946" s="121">
        <f t="shared" si="293"/>
        <v>0.19714144898965008</v>
      </c>
      <c r="AP946" s="112" t="s">
        <v>276</v>
      </c>
      <c r="AQ946" s="112" t="s">
        <v>276</v>
      </c>
      <c r="AR946" s="112" t="s">
        <v>276</v>
      </c>
      <c r="AS946" s="121">
        <f t="shared" si="300"/>
        <v>0.1977261492832427</v>
      </c>
      <c r="AT946" s="112" t="s">
        <v>276</v>
      </c>
      <c r="AU946" s="112" t="s">
        <v>276</v>
      </c>
      <c r="AV946" s="113" t="s">
        <v>268</v>
      </c>
      <c r="AW946" s="143" t="s">
        <v>276</v>
      </c>
      <c r="AX946" s="143">
        <f t="shared" si="301"/>
        <v>0.99704287826515536</v>
      </c>
      <c r="AY946" s="113" t="s">
        <v>276</v>
      </c>
      <c r="AZ946" s="113" t="s">
        <v>276</v>
      </c>
      <c r="BA946" s="113" t="s">
        <v>276</v>
      </c>
      <c r="BB946" s="113" t="s">
        <v>282</v>
      </c>
      <c r="BC946" s="113" t="s">
        <v>276</v>
      </c>
      <c r="BD946" s="113" t="s">
        <v>276</v>
      </c>
      <c r="BE946" s="113" t="s">
        <v>276</v>
      </c>
      <c r="BF946" s="113" t="s">
        <v>4408</v>
      </c>
      <c r="BG946" s="113" t="s">
        <v>4297</v>
      </c>
      <c r="BH946" s="9" t="s">
        <v>100</v>
      </c>
      <c r="BI946" s="9" t="s">
        <v>100</v>
      </c>
      <c r="BJ946" s="123"/>
      <c r="BN946" s="123"/>
      <c r="BO946" s="123"/>
    </row>
    <row r="947" spans="1:67" s="124" customFormat="1" ht="78" hidden="1" x14ac:dyDescent="0.35">
      <c r="A947" s="112">
        <v>433</v>
      </c>
      <c r="B947" s="112" t="s">
        <v>4163</v>
      </c>
      <c r="C947" s="112" t="s">
        <v>74</v>
      </c>
      <c r="D947" s="113" t="s">
        <v>4409</v>
      </c>
      <c r="E947" s="112" t="s">
        <v>39</v>
      </c>
      <c r="F947" s="112" t="s">
        <v>143</v>
      </c>
      <c r="G947" s="112" t="s">
        <v>225</v>
      </c>
      <c r="H947" s="112" t="s">
        <v>125</v>
      </c>
      <c r="I947" s="112" t="s">
        <v>114</v>
      </c>
      <c r="J947" s="113" t="s">
        <v>25</v>
      </c>
      <c r="K947" s="112" t="s">
        <v>317</v>
      </c>
      <c r="L947" s="113" t="s">
        <v>4291</v>
      </c>
      <c r="M947" s="113" t="s">
        <v>4292</v>
      </c>
      <c r="N947" s="113" t="s">
        <v>4293</v>
      </c>
      <c r="O947" s="113" t="s">
        <v>276</v>
      </c>
      <c r="P947" s="113" t="s">
        <v>239</v>
      </c>
      <c r="Q947" s="142" t="s">
        <v>276</v>
      </c>
      <c r="R947" s="113" t="s">
        <v>710</v>
      </c>
      <c r="S947" s="113" t="s">
        <v>276</v>
      </c>
      <c r="T947" s="113" t="s">
        <v>276</v>
      </c>
      <c r="U947" s="113">
        <v>2</v>
      </c>
      <c r="V947" s="112" t="s">
        <v>14</v>
      </c>
      <c r="W947" s="112" t="s">
        <v>98</v>
      </c>
      <c r="X947" s="113" t="s">
        <v>207</v>
      </c>
      <c r="Y947" s="118">
        <v>2029</v>
      </c>
      <c r="Z947" s="113">
        <v>2023</v>
      </c>
      <c r="AA947" s="113" t="s">
        <v>276</v>
      </c>
      <c r="AB947" s="113" t="s">
        <v>276</v>
      </c>
      <c r="AC947" s="112" t="s">
        <v>276</v>
      </c>
      <c r="AD947" s="112" t="s">
        <v>4294</v>
      </c>
      <c r="AE947" s="112">
        <v>0</v>
      </c>
      <c r="AF947" s="112" t="s">
        <v>4294</v>
      </c>
      <c r="AG947" s="113" t="s">
        <v>4410</v>
      </c>
      <c r="AH947" s="113" t="s">
        <v>866</v>
      </c>
      <c r="AI947" s="119">
        <v>9</v>
      </c>
      <c r="AJ947" s="119">
        <v>10</v>
      </c>
      <c r="AK947" s="119">
        <v>2029</v>
      </c>
      <c r="AL947" s="119">
        <v>2023</v>
      </c>
      <c r="AM947" s="119" t="s">
        <v>292</v>
      </c>
      <c r="AN947" s="112" t="s">
        <v>276</v>
      </c>
      <c r="AO947" s="121">
        <f t="shared" si="293"/>
        <v>0.44356826022671264</v>
      </c>
      <c r="AP947" s="112" t="s">
        <v>276</v>
      </c>
      <c r="AQ947" s="112" t="s">
        <v>276</v>
      </c>
      <c r="AR947" s="112" t="s">
        <v>276</v>
      </c>
      <c r="AS947" s="121">
        <f t="shared" si="300"/>
        <v>0.49431537320810676</v>
      </c>
      <c r="AT947" s="112" t="s">
        <v>276</v>
      </c>
      <c r="AU947" s="112" t="s">
        <v>276</v>
      </c>
      <c r="AV947" s="113" t="s">
        <v>268</v>
      </c>
      <c r="AW947" s="143" t="s">
        <v>276</v>
      </c>
      <c r="AX947" s="143">
        <f t="shared" si="301"/>
        <v>0.89733859043863973</v>
      </c>
      <c r="AY947" s="113" t="s">
        <v>276</v>
      </c>
      <c r="AZ947" s="113" t="s">
        <v>276</v>
      </c>
      <c r="BA947" s="113" t="s">
        <v>276</v>
      </c>
      <c r="BB947" s="113" t="s">
        <v>282</v>
      </c>
      <c r="BC947" s="113" t="s">
        <v>276</v>
      </c>
      <c r="BD947" s="113" t="s">
        <v>276</v>
      </c>
      <c r="BE947" s="113" t="s">
        <v>276</v>
      </c>
      <c r="BF947" s="113" t="s">
        <v>4408</v>
      </c>
      <c r="BG947" s="113" t="s">
        <v>4297</v>
      </c>
      <c r="BH947" s="9" t="s">
        <v>100</v>
      </c>
      <c r="BI947" s="9" t="s">
        <v>100</v>
      </c>
      <c r="BJ947" s="123"/>
      <c r="BN947" s="123"/>
      <c r="BO947" s="123"/>
    </row>
    <row r="948" spans="1:67" s="124" customFormat="1" ht="78" hidden="1" x14ac:dyDescent="0.35">
      <c r="A948" s="112">
        <v>433</v>
      </c>
      <c r="B948" s="112" t="s">
        <v>4163</v>
      </c>
      <c r="C948" s="112" t="s">
        <v>74</v>
      </c>
      <c r="D948" s="113" t="s">
        <v>4411</v>
      </c>
      <c r="E948" s="112" t="s">
        <v>39</v>
      </c>
      <c r="F948" s="112" t="s">
        <v>143</v>
      </c>
      <c r="G948" s="112" t="s">
        <v>225</v>
      </c>
      <c r="H948" s="112" t="s">
        <v>125</v>
      </c>
      <c r="I948" s="112" t="s">
        <v>114</v>
      </c>
      <c r="J948" s="113" t="s">
        <v>25</v>
      </c>
      <c r="K948" s="112" t="s">
        <v>317</v>
      </c>
      <c r="L948" s="113" t="s">
        <v>4291</v>
      </c>
      <c r="M948" s="113" t="s">
        <v>4292</v>
      </c>
      <c r="N948" s="113" t="s">
        <v>4293</v>
      </c>
      <c r="O948" s="113" t="s">
        <v>276</v>
      </c>
      <c r="P948" s="113" t="s">
        <v>239</v>
      </c>
      <c r="Q948" s="142" t="s">
        <v>276</v>
      </c>
      <c r="R948" s="113" t="s">
        <v>686</v>
      </c>
      <c r="S948" s="113" t="s">
        <v>276</v>
      </c>
      <c r="T948" s="113" t="s">
        <v>276</v>
      </c>
      <c r="U948" s="113">
        <v>3</v>
      </c>
      <c r="V948" s="112" t="s">
        <v>14</v>
      </c>
      <c r="W948" s="112" t="s">
        <v>98</v>
      </c>
      <c r="X948" s="113" t="s">
        <v>207</v>
      </c>
      <c r="Y948" s="118">
        <v>2029</v>
      </c>
      <c r="Z948" s="113">
        <v>2023</v>
      </c>
      <c r="AA948" s="113" t="s">
        <v>276</v>
      </c>
      <c r="AB948" s="113" t="s">
        <v>276</v>
      </c>
      <c r="AC948" s="112" t="s">
        <v>276</v>
      </c>
      <c r="AD948" s="112" t="s">
        <v>4294</v>
      </c>
      <c r="AE948" s="112">
        <v>0</v>
      </c>
      <c r="AF948" s="112" t="s">
        <v>4294</v>
      </c>
      <c r="AG948" s="113" t="s">
        <v>4412</v>
      </c>
      <c r="AH948" s="113" t="s">
        <v>866</v>
      </c>
      <c r="AI948" s="119">
        <v>11</v>
      </c>
      <c r="AJ948" s="119">
        <v>16</v>
      </c>
      <c r="AK948" s="119">
        <v>2029</v>
      </c>
      <c r="AL948" s="119">
        <v>2023</v>
      </c>
      <c r="AM948" s="119" t="s">
        <v>292</v>
      </c>
      <c r="AN948" s="112" t="s">
        <v>276</v>
      </c>
      <c r="AO948" s="121">
        <f t="shared" si="293"/>
        <v>0.54213898472153765</v>
      </c>
      <c r="AP948" s="112" t="s">
        <v>276</v>
      </c>
      <c r="AQ948" s="112" t="s">
        <v>276</v>
      </c>
      <c r="AR948" s="112" t="s">
        <v>276</v>
      </c>
      <c r="AS948" s="121">
        <f t="shared" si="300"/>
        <v>0.79090459713297079</v>
      </c>
      <c r="AT948" s="112" t="s">
        <v>276</v>
      </c>
      <c r="AU948" s="112" t="s">
        <v>276</v>
      </c>
      <c r="AV948" s="113" t="s">
        <v>268</v>
      </c>
      <c r="AW948" s="143" t="s">
        <v>276</v>
      </c>
      <c r="AX948" s="143">
        <f t="shared" si="301"/>
        <v>0.68546697880729424</v>
      </c>
      <c r="AY948" s="113" t="s">
        <v>276</v>
      </c>
      <c r="AZ948" s="113" t="s">
        <v>276</v>
      </c>
      <c r="BA948" s="113" t="s">
        <v>276</v>
      </c>
      <c r="BB948" s="113" t="s">
        <v>282</v>
      </c>
      <c r="BC948" s="113" t="s">
        <v>276</v>
      </c>
      <c r="BD948" s="113" t="s">
        <v>276</v>
      </c>
      <c r="BE948" s="113" t="s">
        <v>276</v>
      </c>
      <c r="BF948" s="113" t="s">
        <v>4408</v>
      </c>
      <c r="BG948" s="113" t="s">
        <v>4297</v>
      </c>
      <c r="BH948" s="9" t="s">
        <v>100</v>
      </c>
      <c r="BI948" s="9" t="s">
        <v>100</v>
      </c>
      <c r="BJ948" s="123"/>
      <c r="BN948" s="123"/>
      <c r="BO948" s="123"/>
    </row>
    <row r="949" spans="1:67" s="124" customFormat="1" ht="78" hidden="1" x14ac:dyDescent="0.35">
      <c r="A949" s="112">
        <v>433</v>
      </c>
      <c r="B949" s="112" t="s">
        <v>4163</v>
      </c>
      <c r="C949" s="112" t="s">
        <v>74</v>
      </c>
      <c r="D949" s="113" t="s">
        <v>4413</v>
      </c>
      <c r="E949" s="112" t="s">
        <v>39</v>
      </c>
      <c r="F949" s="112" t="s">
        <v>143</v>
      </c>
      <c r="G949" s="112" t="s">
        <v>225</v>
      </c>
      <c r="H949" s="112" t="s">
        <v>125</v>
      </c>
      <c r="I949" s="112" t="s">
        <v>114</v>
      </c>
      <c r="J949" s="113" t="s">
        <v>25</v>
      </c>
      <c r="K949" s="112" t="s">
        <v>317</v>
      </c>
      <c r="L949" s="113" t="s">
        <v>4291</v>
      </c>
      <c r="M949" s="113" t="s">
        <v>4292</v>
      </c>
      <c r="N949" s="113" t="s">
        <v>4293</v>
      </c>
      <c r="O949" s="113" t="s">
        <v>276</v>
      </c>
      <c r="P949" s="113" t="s">
        <v>239</v>
      </c>
      <c r="Q949" s="142" t="s">
        <v>276</v>
      </c>
      <c r="R949" s="113" t="s">
        <v>721</v>
      </c>
      <c r="S949" s="113" t="s">
        <v>276</v>
      </c>
      <c r="T949" s="113" t="s">
        <v>276</v>
      </c>
      <c r="U949" s="113">
        <v>4</v>
      </c>
      <c r="V949" s="112" t="s">
        <v>14</v>
      </c>
      <c r="W949" s="112" t="s">
        <v>98</v>
      </c>
      <c r="X949" s="113" t="s">
        <v>207</v>
      </c>
      <c r="Y949" s="118">
        <v>2029</v>
      </c>
      <c r="Z949" s="113">
        <v>2023</v>
      </c>
      <c r="AA949" s="113" t="s">
        <v>276</v>
      </c>
      <c r="AB949" s="113" t="s">
        <v>276</v>
      </c>
      <c r="AC949" s="112" t="s">
        <v>276</v>
      </c>
      <c r="AD949" s="112" t="s">
        <v>4294</v>
      </c>
      <c r="AE949" s="112">
        <v>0</v>
      </c>
      <c r="AF949" s="112" t="s">
        <v>4294</v>
      </c>
      <c r="AG949" s="113" t="s">
        <v>4414</v>
      </c>
      <c r="AH949" s="113" t="s">
        <v>866</v>
      </c>
      <c r="AI949" s="119">
        <v>12</v>
      </c>
      <c r="AJ949" s="119">
        <v>25</v>
      </c>
      <c r="AK949" s="119">
        <v>2029</v>
      </c>
      <c r="AL949" s="119">
        <v>2023</v>
      </c>
      <c r="AM949" s="119" t="s">
        <v>292</v>
      </c>
      <c r="AN949" s="112" t="s">
        <v>276</v>
      </c>
      <c r="AO949" s="121">
        <f t="shared" si="293"/>
        <v>0.59142434696895019</v>
      </c>
      <c r="AP949" s="112" t="s">
        <v>276</v>
      </c>
      <c r="AQ949" s="112" t="s">
        <v>276</v>
      </c>
      <c r="AR949" s="112" t="s">
        <v>276</v>
      </c>
      <c r="AS949" s="121">
        <f t="shared" si="300"/>
        <v>1.2357884330202669</v>
      </c>
      <c r="AT949" s="112" t="s">
        <v>276</v>
      </c>
      <c r="AU949" s="112" t="s">
        <v>276</v>
      </c>
      <c r="AV949" s="113" t="s">
        <v>268</v>
      </c>
      <c r="AW949" s="143" t="s">
        <v>276</v>
      </c>
      <c r="AX949" s="143">
        <f t="shared" si="301"/>
        <v>0.47858058156727451</v>
      </c>
      <c r="AY949" s="113" t="s">
        <v>276</v>
      </c>
      <c r="AZ949" s="113" t="s">
        <v>276</v>
      </c>
      <c r="BA949" s="113" t="s">
        <v>276</v>
      </c>
      <c r="BB949" s="113" t="s">
        <v>282</v>
      </c>
      <c r="BC949" s="113" t="s">
        <v>276</v>
      </c>
      <c r="BD949" s="113" t="s">
        <v>276</v>
      </c>
      <c r="BE949" s="113" t="s">
        <v>276</v>
      </c>
      <c r="BF949" s="113" t="s">
        <v>4408</v>
      </c>
      <c r="BG949" s="113" t="s">
        <v>4297</v>
      </c>
      <c r="BH949" s="9" t="s">
        <v>100</v>
      </c>
      <c r="BI949" s="9" t="s">
        <v>100</v>
      </c>
      <c r="BJ949" s="123"/>
      <c r="BN949" s="123"/>
      <c r="BO949" s="123"/>
    </row>
    <row r="950" spans="1:67" s="110" customFormat="1" ht="78" hidden="1" x14ac:dyDescent="0.35">
      <c r="A950" s="94">
        <v>433</v>
      </c>
      <c r="B950" s="94" t="s">
        <v>4163</v>
      </c>
      <c r="C950" s="94" t="s">
        <v>74</v>
      </c>
      <c r="D950" s="95" t="s">
        <v>4415</v>
      </c>
      <c r="E950" s="94" t="s">
        <v>39</v>
      </c>
      <c r="F950" s="94" t="s">
        <v>143</v>
      </c>
      <c r="G950" s="94" t="s">
        <v>225</v>
      </c>
      <c r="H950" s="94" t="s">
        <v>125</v>
      </c>
      <c r="I950" s="94" t="s">
        <v>114</v>
      </c>
      <c r="J950" s="95" t="s">
        <v>25</v>
      </c>
      <c r="K950" s="94" t="s">
        <v>317</v>
      </c>
      <c r="L950" s="95" t="s">
        <v>4291</v>
      </c>
      <c r="M950" s="95" t="s">
        <v>4292</v>
      </c>
      <c r="N950" s="95" t="s">
        <v>4293</v>
      </c>
      <c r="O950" s="95" t="s">
        <v>276</v>
      </c>
      <c r="P950" s="95" t="s">
        <v>239</v>
      </c>
      <c r="Q950" s="140" t="s">
        <v>276</v>
      </c>
      <c r="R950" s="95" t="s">
        <v>728</v>
      </c>
      <c r="S950" s="95" t="s">
        <v>276</v>
      </c>
      <c r="T950" s="95" t="s">
        <v>276</v>
      </c>
      <c r="U950" s="95">
        <v>5</v>
      </c>
      <c r="V950" s="94" t="s">
        <v>14</v>
      </c>
      <c r="W950" s="94" t="s">
        <v>98</v>
      </c>
      <c r="X950" s="95" t="s">
        <v>207</v>
      </c>
      <c r="Y950" s="98">
        <v>2029</v>
      </c>
      <c r="Z950" s="95">
        <v>2023</v>
      </c>
      <c r="AA950" s="95" t="s">
        <v>276</v>
      </c>
      <c r="AB950" s="95" t="s">
        <v>276</v>
      </c>
      <c r="AC950" s="94">
        <v>1</v>
      </c>
      <c r="AD950" s="94" t="s">
        <v>4294</v>
      </c>
      <c r="AE950" s="94">
        <v>0</v>
      </c>
      <c r="AF950" s="94" t="s">
        <v>4294</v>
      </c>
      <c r="AG950" s="95" t="s">
        <v>4416</v>
      </c>
      <c r="AH950" s="95" t="s">
        <v>866</v>
      </c>
      <c r="AI950" s="99">
        <v>15</v>
      </c>
      <c r="AJ950" s="99">
        <v>28</v>
      </c>
      <c r="AK950" s="99">
        <v>2029</v>
      </c>
      <c r="AL950" s="99">
        <v>2023</v>
      </c>
      <c r="AM950" s="99" t="s">
        <v>292</v>
      </c>
      <c r="AN950" s="94" t="s">
        <v>276</v>
      </c>
      <c r="AO950" s="102">
        <f t="shared" si="293"/>
        <v>0.73928043371118779</v>
      </c>
      <c r="AP950" s="94" t="s">
        <v>276</v>
      </c>
      <c r="AQ950" s="94" t="s">
        <v>276</v>
      </c>
      <c r="AR950" s="94" t="s">
        <v>276</v>
      </c>
      <c r="AS950" s="102">
        <f t="shared" si="300"/>
        <v>1.3840830449826989</v>
      </c>
      <c r="AT950" s="94" t="s">
        <v>276</v>
      </c>
      <c r="AU950" s="94" t="s">
        <v>276</v>
      </c>
      <c r="AV950" s="95" t="s">
        <v>268</v>
      </c>
      <c r="AW950" s="141" t="s">
        <v>276</v>
      </c>
      <c r="AX950" s="141">
        <f t="shared" si="301"/>
        <v>0.5341301133563332</v>
      </c>
      <c r="AY950" s="95" t="s">
        <v>276</v>
      </c>
      <c r="AZ950" s="95" t="s">
        <v>276</v>
      </c>
      <c r="BA950" s="95" t="s">
        <v>276</v>
      </c>
      <c r="BB950" s="95" t="s">
        <v>282</v>
      </c>
      <c r="BC950" s="95" t="s">
        <v>276</v>
      </c>
      <c r="BD950" s="95" t="s">
        <v>276</v>
      </c>
      <c r="BE950" s="95" t="s">
        <v>276</v>
      </c>
      <c r="BF950" s="95" t="s">
        <v>4408</v>
      </c>
      <c r="BG950" s="95" t="s">
        <v>4297</v>
      </c>
      <c r="BH950" s="9" t="s">
        <v>100</v>
      </c>
      <c r="BI950" s="9" t="s">
        <v>100</v>
      </c>
      <c r="BJ950" s="109"/>
      <c r="BN950" s="109"/>
      <c r="BO950" s="109"/>
    </row>
    <row r="951" spans="1:67" s="110" customFormat="1" ht="78" hidden="1" x14ac:dyDescent="0.35">
      <c r="A951" s="94">
        <v>433</v>
      </c>
      <c r="B951" s="94" t="s">
        <v>4163</v>
      </c>
      <c r="C951" s="94" t="s">
        <v>74</v>
      </c>
      <c r="D951" s="95" t="s">
        <v>4417</v>
      </c>
      <c r="E951" s="94" t="s">
        <v>39</v>
      </c>
      <c r="F951" s="94" t="s">
        <v>143</v>
      </c>
      <c r="G951" s="94" t="s">
        <v>225</v>
      </c>
      <c r="H951" s="94" t="s">
        <v>125</v>
      </c>
      <c r="I951" s="94" t="s">
        <v>114</v>
      </c>
      <c r="J951" s="95" t="s">
        <v>25</v>
      </c>
      <c r="K951" s="94" t="s">
        <v>317</v>
      </c>
      <c r="L951" s="95" t="s">
        <v>4291</v>
      </c>
      <c r="M951" s="95" t="s">
        <v>4292</v>
      </c>
      <c r="N951" s="95" t="s">
        <v>4293</v>
      </c>
      <c r="O951" s="95" t="s">
        <v>276</v>
      </c>
      <c r="P951" s="95" t="s">
        <v>239</v>
      </c>
      <c r="Q951" s="140" t="s">
        <v>276</v>
      </c>
      <c r="R951" s="95" t="s">
        <v>728</v>
      </c>
      <c r="S951" s="95" t="s">
        <v>276</v>
      </c>
      <c r="T951" s="95" t="s">
        <v>276</v>
      </c>
      <c r="U951" s="95">
        <v>5</v>
      </c>
      <c r="V951" s="94" t="s">
        <v>14</v>
      </c>
      <c r="W951" s="94" t="s">
        <v>98</v>
      </c>
      <c r="X951" s="95" t="s">
        <v>207</v>
      </c>
      <c r="Y951" s="98">
        <v>2029</v>
      </c>
      <c r="Z951" s="95">
        <v>2023</v>
      </c>
      <c r="AA951" s="95" t="s">
        <v>276</v>
      </c>
      <c r="AB951" s="95" t="s">
        <v>276</v>
      </c>
      <c r="AC951" s="94">
        <v>1</v>
      </c>
      <c r="AD951" s="94" t="s">
        <v>4294</v>
      </c>
      <c r="AE951" s="94">
        <v>0</v>
      </c>
      <c r="AF951" s="94" t="s">
        <v>4294</v>
      </c>
      <c r="AG951" s="95" t="s">
        <v>4416</v>
      </c>
      <c r="AH951" s="95" t="s">
        <v>866</v>
      </c>
      <c r="AI951" s="99">
        <v>15</v>
      </c>
      <c r="AJ951" s="99">
        <v>28</v>
      </c>
      <c r="AK951" s="99">
        <v>2029</v>
      </c>
      <c r="AL951" s="99">
        <v>2023</v>
      </c>
      <c r="AM951" s="99" t="s">
        <v>292</v>
      </c>
      <c r="AN951" s="94" t="s">
        <v>276</v>
      </c>
      <c r="AO951" s="102">
        <f t="shared" si="293"/>
        <v>0.73928043371118779</v>
      </c>
      <c r="AP951" s="94" t="s">
        <v>276</v>
      </c>
      <c r="AQ951" s="94" t="s">
        <v>276</v>
      </c>
      <c r="AR951" s="94" t="s">
        <v>276</v>
      </c>
      <c r="AS951" s="102">
        <f t="shared" si="300"/>
        <v>1.3840830449826989</v>
      </c>
      <c r="AT951" s="94" t="s">
        <v>276</v>
      </c>
      <c r="AU951" s="94" t="s">
        <v>276</v>
      </c>
      <c r="AV951" s="95" t="s">
        <v>270</v>
      </c>
      <c r="AW951" s="141" t="s">
        <v>276</v>
      </c>
      <c r="AX951" s="141" t="s">
        <v>276</v>
      </c>
      <c r="AY951" s="141" t="s">
        <v>276</v>
      </c>
      <c r="AZ951" s="141" t="s">
        <v>276</v>
      </c>
      <c r="BA951" s="141" t="s">
        <v>276</v>
      </c>
      <c r="BB951" s="95" t="s">
        <v>1488</v>
      </c>
      <c r="BC951" s="141">
        <v>0.54</v>
      </c>
      <c r="BD951" s="95">
        <v>0.28999999999999998</v>
      </c>
      <c r="BE951" s="95">
        <v>1.01</v>
      </c>
      <c r="BF951" s="95" t="s">
        <v>4418</v>
      </c>
      <c r="BG951" s="95" t="s">
        <v>4297</v>
      </c>
      <c r="BH951" s="9" t="s">
        <v>100</v>
      </c>
      <c r="BI951" s="9" t="s">
        <v>100</v>
      </c>
      <c r="BJ951" s="109"/>
      <c r="BN951" s="109"/>
      <c r="BO951" s="109"/>
    </row>
    <row r="952" spans="1:67" s="110" customFormat="1" ht="78" hidden="1" x14ac:dyDescent="0.35">
      <c r="A952" s="94">
        <v>433</v>
      </c>
      <c r="B952" s="94" t="s">
        <v>4163</v>
      </c>
      <c r="C952" s="94" t="s">
        <v>74</v>
      </c>
      <c r="D952" s="95" t="s">
        <v>4419</v>
      </c>
      <c r="E952" s="94" t="s">
        <v>39</v>
      </c>
      <c r="F952" s="94" t="s">
        <v>143</v>
      </c>
      <c r="G952" s="94" t="s">
        <v>225</v>
      </c>
      <c r="H952" s="94" t="s">
        <v>125</v>
      </c>
      <c r="I952" s="94" t="s">
        <v>114</v>
      </c>
      <c r="J952" s="95" t="s">
        <v>25</v>
      </c>
      <c r="K952" s="94" t="s">
        <v>317</v>
      </c>
      <c r="L952" s="95" t="s">
        <v>4291</v>
      </c>
      <c r="M952" s="95" t="s">
        <v>4292</v>
      </c>
      <c r="N952" s="95" t="s">
        <v>4293</v>
      </c>
      <c r="O952" s="95" t="s">
        <v>276</v>
      </c>
      <c r="P952" s="95" t="s">
        <v>239</v>
      </c>
      <c r="Q952" s="140" t="s">
        <v>276</v>
      </c>
      <c r="R952" s="95" t="s">
        <v>728</v>
      </c>
      <c r="S952" s="95" t="s">
        <v>276</v>
      </c>
      <c r="T952" s="95" t="s">
        <v>276</v>
      </c>
      <c r="U952" s="95">
        <v>5</v>
      </c>
      <c r="V952" s="94" t="s">
        <v>16</v>
      </c>
      <c r="W952" s="94" t="s">
        <v>170</v>
      </c>
      <c r="X952" s="95" t="s">
        <v>207</v>
      </c>
      <c r="Y952" s="98">
        <v>1315</v>
      </c>
      <c r="Z952" s="95">
        <v>1307</v>
      </c>
      <c r="AA952" s="95" t="s">
        <v>276</v>
      </c>
      <c r="AB952" s="95" t="s">
        <v>276</v>
      </c>
      <c r="AC952" s="94">
        <v>1</v>
      </c>
      <c r="AD952" s="94" t="s">
        <v>4294</v>
      </c>
      <c r="AE952" s="94">
        <v>0</v>
      </c>
      <c r="AF952" s="94" t="s">
        <v>4294</v>
      </c>
      <c r="AG952" s="95" t="s">
        <v>4420</v>
      </c>
      <c r="AH952" s="95" t="s">
        <v>689</v>
      </c>
      <c r="AI952" s="99">
        <f>6+1+5</f>
        <v>12</v>
      </c>
      <c r="AJ952" s="99">
        <f>5+2+11</f>
        <v>18</v>
      </c>
      <c r="AK952" s="99">
        <v>1315</v>
      </c>
      <c r="AL952" s="99">
        <v>1307</v>
      </c>
      <c r="AM952" s="99" t="s">
        <v>292</v>
      </c>
      <c r="AN952" s="94" t="s">
        <v>276</v>
      </c>
      <c r="AO952" s="102">
        <f t="shared" si="293"/>
        <v>0.9125475285171103</v>
      </c>
      <c r="AP952" s="94" t="s">
        <v>276</v>
      </c>
      <c r="AQ952" s="94" t="s">
        <v>276</v>
      </c>
      <c r="AR952" s="94" t="s">
        <v>276</v>
      </c>
      <c r="AS952" s="102">
        <f t="shared" si="300"/>
        <v>1.3771996939556235</v>
      </c>
      <c r="AT952" s="94" t="s">
        <v>276</v>
      </c>
      <c r="AU952" s="94" t="s">
        <v>276</v>
      </c>
      <c r="AV952" s="95" t="s">
        <v>268</v>
      </c>
      <c r="AW952" s="141" t="s">
        <v>276</v>
      </c>
      <c r="AX952" s="141">
        <f t="shared" ref="AX952" si="302">AO952/AS952</f>
        <v>0.66261089987325739</v>
      </c>
      <c r="AY952" s="95" t="s">
        <v>276</v>
      </c>
      <c r="AZ952" s="95" t="s">
        <v>276</v>
      </c>
      <c r="BA952" s="95" t="s">
        <v>276</v>
      </c>
      <c r="BB952" s="95" t="s">
        <v>282</v>
      </c>
      <c r="BC952" s="95" t="s">
        <v>276</v>
      </c>
      <c r="BD952" s="95" t="s">
        <v>276</v>
      </c>
      <c r="BE952" s="95" t="s">
        <v>276</v>
      </c>
      <c r="BF952" s="95" t="s">
        <v>4302</v>
      </c>
      <c r="BG952" s="95" t="s">
        <v>4297</v>
      </c>
      <c r="BH952" s="9" t="s">
        <v>100</v>
      </c>
      <c r="BI952" s="9" t="s">
        <v>100</v>
      </c>
      <c r="BJ952" s="109"/>
      <c r="BN952" s="109"/>
      <c r="BO952" s="109"/>
    </row>
    <row r="953" spans="1:67" s="110" customFormat="1" ht="78" hidden="1" x14ac:dyDescent="0.35">
      <c r="A953" s="94">
        <v>433</v>
      </c>
      <c r="B953" s="94" t="s">
        <v>4163</v>
      </c>
      <c r="C953" s="94" t="s">
        <v>74</v>
      </c>
      <c r="D953" s="95" t="s">
        <v>4421</v>
      </c>
      <c r="E953" s="94" t="s">
        <v>39</v>
      </c>
      <c r="F953" s="94" t="s">
        <v>143</v>
      </c>
      <c r="G953" s="94" t="s">
        <v>225</v>
      </c>
      <c r="H953" s="94" t="s">
        <v>125</v>
      </c>
      <c r="I953" s="94" t="s">
        <v>114</v>
      </c>
      <c r="J953" s="95" t="s">
        <v>25</v>
      </c>
      <c r="K953" s="94" t="s">
        <v>317</v>
      </c>
      <c r="L953" s="95" t="s">
        <v>4291</v>
      </c>
      <c r="M953" s="95" t="s">
        <v>4292</v>
      </c>
      <c r="N953" s="95" t="s">
        <v>4293</v>
      </c>
      <c r="O953" s="95" t="s">
        <v>276</v>
      </c>
      <c r="P953" s="95" t="s">
        <v>239</v>
      </c>
      <c r="Q953" s="140" t="s">
        <v>276</v>
      </c>
      <c r="R953" s="95" t="s">
        <v>728</v>
      </c>
      <c r="S953" s="95" t="s">
        <v>276</v>
      </c>
      <c r="T953" s="95" t="s">
        <v>276</v>
      </c>
      <c r="U953" s="95">
        <v>5</v>
      </c>
      <c r="V953" s="94" t="s">
        <v>16</v>
      </c>
      <c r="W953" s="94" t="s">
        <v>171</v>
      </c>
      <c r="X953" s="95" t="s">
        <v>207</v>
      </c>
      <c r="Y953" s="98">
        <v>714</v>
      </c>
      <c r="Z953" s="95">
        <v>716</v>
      </c>
      <c r="AA953" s="95" t="s">
        <v>276</v>
      </c>
      <c r="AB953" s="95" t="s">
        <v>276</v>
      </c>
      <c r="AC953" s="94">
        <v>1</v>
      </c>
      <c r="AD953" s="94" t="s">
        <v>4294</v>
      </c>
      <c r="AE953" s="94">
        <v>0</v>
      </c>
      <c r="AF953" s="94" t="s">
        <v>4294</v>
      </c>
      <c r="AG953" s="95" t="s">
        <v>4422</v>
      </c>
      <c r="AH953" s="95" t="s">
        <v>280</v>
      </c>
      <c r="AI953" s="99">
        <f>1+2</f>
        <v>3</v>
      </c>
      <c r="AJ953" s="99">
        <f>5+1+4</f>
        <v>10</v>
      </c>
      <c r="AK953" s="99">
        <v>714</v>
      </c>
      <c r="AL953" s="99">
        <v>716</v>
      </c>
      <c r="AM953" s="99" t="s">
        <v>292</v>
      </c>
      <c r="AN953" s="94" t="s">
        <v>276</v>
      </c>
      <c r="AO953" s="102">
        <f>AI953*100/AK953</f>
        <v>0.42016806722689076</v>
      </c>
      <c r="AP953" s="94" t="s">
        <v>276</v>
      </c>
      <c r="AQ953" s="94" t="s">
        <v>276</v>
      </c>
      <c r="AR953" s="94" t="s">
        <v>276</v>
      </c>
      <c r="AS953" s="102">
        <f>AJ953*100/AL953</f>
        <v>1.3966480446927374</v>
      </c>
      <c r="AT953" s="94" t="s">
        <v>276</v>
      </c>
      <c r="AU953" s="94" t="s">
        <v>276</v>
      </c>
      <c r="AV953" s="95" t="s">
        <v>268</v>
      </c>
      <c r="AW953" s="141" t="s">
        <v>276</v>
      </c>
      <c r="AX953" s="141">
        <f>AO953/AS953</f>
        <v>0.30084033613445377</v>
      </c>
      <c r="AY953" s="95" t="s">
        <v>276</v>
      </c>
      <c r="AZ953" s="95" t="s">
        <v>276</v>
      </c>
      <c r="BA953" s="95" t="s">
        <v>276</v>
      </c>
      <c r="BB953" s="95" t="s">
        <v>282</v>
      </c>
      <c r="BC953" s="95" t="s">
        <v>276</v>
      </c>
      <c r="BD953" s="95" t="s">
        <v>276</v>
      </c>
      <c r="BE953" s="95" t="s">
        <v>276</v>
      </c>
      <c r="BF953" s="95" t="s">
        <v>4302</v>
      </c>
      <c r="BG953" s="95" t="s">
        <v>4297</v>
      </c>
      <c r="BH953" s="9" t="s">
        <v>100</v>
      </c>
      <c r="BI953" s="9" t="s">
        <v>100</v>
      </c>
      <c r="BJ953" s="109"/>
      <c r="BN953" s="109"/>
      <c r="BO953" s="109"/>
    </row>
    <row r="954" spans="1:67" s="137" customFormat="1" ht="78" hidden="1" x14ac:dyDescent="0.35">
      <c r="A954" s="126">
        <v>433</v>
      </c>
      <c r="B954" s="126" t="s">
        <v>4163</v>
      </c>
      <c r="C954" s="126" t="s">
        <v>74</v>
      </c>
      <c r="D954" s="127" t="s">
        <v>4423</v>
      </c>
      <c r="E954" s="126" t="s">
        <v>39</v>
      </c>
      <c r="F954" s="126" t="s">
        <v>143</v>
      </c>
      <c r="G954" s="126" t="s">
        <v>225</v>
      </c>
      <c r="H954" s="126" t="s">
        <v>125</v>
      </c>
      <c r="I954" s="126" t="s">
        <v>114</v>
      </c>
      <c r="J954" s="127" t="s">
        <v>25</v>
      </c>
      <c r="K954" s="126" t="s">
        <v>317</v>
      </c>
      <c r="L954" s="127" t="s">
        <v>4291</v>
      </c>
      <c r="M954" s="127" t="s">
        <v>4292</v>
      </c>
      <c r="N954" s="127" t="s">
        <v>4293</v>
      </c>
      <c r="O954" s="127" t="s">
        <v>276</v>
      </c>
      <c r="P954" s="127" t="s">
        <v>235</v>
      </c>
      <c r="Q954" s="146" t="s">
        <v>276</v>
      </c>
      <c r="R954" s="127" t="s">
        <v>728</v>
      </c>
      <c r="S954" s="127" t="s">
        <v>276</v>
      </c>
      <c r="T954" s="127" t="s">
        <v>276</v>
      </c>
      <c r="U954" s="127">
        <v>5</v>
      </c>
      <c r="V954" s="126" t="s">
        <v>14</v>
      </c>
      <c r="W954" s="126" t="s">
        <v>98</v>
      </c>
      <c r="X954" s="127" t="s">
        <v>207</v>
      </c>
      <c r="Y954" s="132" t="s">
        <v>98</v>
      </c>
      <c r="Z954" s="127" t="s">
        <v>98</v>
      </c>
      <c r="AA954" s="127" t="s">
        <v>276</v>
      </c>
      <c r="AB954" s="127" t="s">
        <v>276</v>
      </c>
      <c r="AC954" s="126">
        <v>1</v>
      </c>
      <c r="AD954" s="126" t="s">
        <v>4294</v>
      </c>
      <c r="AE954" s="126">
        <v>0</v>
      </c>
      <c r="AF954" s="126" t="s">
        <v>4294</v>
      </c>
      <c r="AG954" s="127" t="s">
        <v>4424</v>
      </c>
      <c r="AH954" s="127" t="s">
        <v>4329</v>
      </c>
      <c r="AI954" s="134">
        <v>15</v>
      </c>
      <c r="AJ954" s="134">
        <v>28</v>
      </c>
      <c r="AK954" s="134">
        <v>63</v>
      </c>
      <c r="AL954" s="134">
        <f>33+3</f>
        <v>36</v>
      </c>
      <c r="AM954" s="134" t="s">
        <v>292</v>
      </c>
      <c r="AN954" s="126" t="s">
        <v>276</v>
      </c>
      <c r="AO954" s="135">
        <f t="shared" ref="AO954:AO955" si="303">AI954*100/AK954</f>
        <v>23.80952380952381</v>
      </c>
      <c r="AP954" s="126" t="s">
        <v>276</v>
      </c>
      <c r="AQ954" s="126" t="s">
        <v>276</v>
      </c>
      <c r="AR954" s="126" t="s">
        <v>276</v>
      </c>
      <c r="AS954" s="135">
        <f t="shared" ref="AS954:AS955" si="304">AJ954*100/AL954</f>
        <v>77.777777777777771</v>
      </c>
      <c r="AT954" s="126" t="s">
        <v>276</v>
      </c>
      <c r="AU954" s="126" t="s">
        <v>276</v>
      </c>
      <c r="AV954" s="127" t="s">
        <v>268</v>
      </c>
      <c r="AW954" s="234" t="s">
        <v>276</v>
      </c>
      <c r="AX954" s="234">
        <f t="shared" ref="AX954:AX955" si="305">AO954/AS954</f>
        <v>0.30612244897959184</v>
      </c>
      <c r="AY954" s="127" t="s">
        <v>276</v>
      </c>
      <c r="AZ954" s="127" t="s">
        <v>276</v>
      </c>
      <c r="BA954" s="127" t="s">
        <v>276</v>
      </c>
      <c r="BB954" s="127" t="s">
        <v>282</v>
      </c>
      <c r="BC954" s="127" t="s">
        <v>276</v>
      </c>
      <c r="BD954" s="127" t="s">
        <v>276</v>
      </c>
      <c r="BE954" s="127" t="s">
        <v>276</v>
      </c>
      <c r="BF954" s="127" t="s">
        <v>4425</v>
      </c>
      <c r="BG954" s="127" t="s">
        <v>4297</v>
      </c>
      <c r="BH954" s="9" t="s">
        <v>100</v>
      </c>
      <c r="BI954" s="9" t="s">
        <v>100</v>
      </c>
      <c r="BJ954" s="136"/>
      <c r="BN954" s="136"/>
      <c r="BO954" s="136"/>
    </row>
    <row r="955" spans="1:67" s="137" customFormat="1" ht="78" hidden="1" x14ac:dyDescent="0.35">
      <c r="A955" s="126">
        <v>433</v>
      </c>
      <c r="B955" s="126" t="s">
        <v>4163</v>
      </c>
      <c r="C955" s="126" t="s">
        <v>74</v>
      </c>
      <c r="D955" s="127" t="s">
        <v>4426</v>
      </c>
      <c r="E955" s="126" t="s">
        <v>39</v>
      </c>
      <c r="F955" s="126" t="s">
        <v>143</v>
      </c>
      <c r="G955" s="126" t="s">
        <v>225</v>
      </c>
      <c r="H955" s="126" t="s">
        <v>125</v>
      </c>
      <c r="I955" s="126" t="s">
        <v>114</v>
      </c>
      <c r="J955" s="127" t="s">
        <v>25</v>
      </c>
      <c r="K955" s="126" t="s">
        <v>317</v>
      </c>
      <c r="L955" s="127" t="s">
        <v>4291</v>
      </c>
      <c r="M955" s="127" t="s">
        <v>4292</v>
      </c>
      <c r="N955" s="127" t="s">
        <v>4293</v>
      </c>
      <c r="O955" s="127" t="s">
        <v>276</v>
      </c>
      <c r="P955" s="127" t="s">
        <v>235</v>
      </c>
      <c r="Q955" s="146" t="s">
        <v>276</v>
      </c>
      <c r="R955" s="127" t="s">
        <v>728</v>
      </c>
      <c r="S955" s="127" t="s">
        <v>276</v>
      </c>
      <c r="T955" s="127" t="s">
        <v>276</v>
      </c>
      <c r="U955" s="127">
        <v>5</v>
      </c>
      <c r="V955" s="126" t="s">
        <v>16</v>
      </c>
      <c r="W955" s="126" t="s">
        <v>170</v>
      </c>
      <c r="X955" s="127" t="s">
        <v>207</v>
      </c>
      <c r="Y955" s="132" t="s">
        <v>98</v>
      </c>
      <c r="Z955" s="127" t="s">
        <v>98</v>
      </c>
      <c r="AA955" s="127" t="s">
        <v>276</v>
      </c>
      <c r="AB955" s="127" t="s">
        <v>276</v>
      </c>
      <c r="AC955" s="126">
        <v>1</v>
      </c>
      <c r="AD955" s="126" t="s">
        <v>4294</v>
      </c>
      <c r="AE955" s="126">
        <v>0</v>
      </c>
      <c r="AF955" s="126" t="s">
        <v>4294</v>
      </c>
      <c r="AG955" s="127" t="s">
        <v>4420</v>
      </c>
      <c r="AH955" s="127" t="s">
        <v>4332</v>
      </c>
      <c r="AI955" s="134">
        <f>6+1+5</f>
        <v>12</v>
      </c>
      <c r="AJ955" s="134">
        <f>5+2+11</f>
        <v>18</v>
      </c>
      <c r="AK955" s="134">
        <v>43</v>
      </c>
      <c r="AL955" s="134">
        <v>23</v>
      </c>
      <c r="AM955" s="134" t="s">
        <v>292</v>
      </c>
      <c r="AN955" s="126" t="s">
        <v>276</v>
      </c>
      <c r="AO955" s="135">
        <f t="shared" si="303"/>
        <v>27.906976744186046</v>
      </c>
      <c r="AP955" s="126" t="s">
        <v>276</v>
      </c>
      <c r="AQ955" s="126" t="s">
        <v>276</v>
      </c>
      <c r="AR955" s="126" t="s">
        <v>276</v>
      </c>
      <c r="AS955" s="135">
        <f t="shared" si="304"/>
        <v>78.260869565217391</v>
      </c>
      <c r="AT955" s="126" t="s">
        <v>276</v>
      </c>
      <c r="AU955" s="126" t="s">
        <v>276</v>
      </c>
      <c r="AV955" s="127" t="s">
        <v>268</v>
      </c>
      <c r="AW955" s="234" t="s">
        <v>276</v>
      </c>
      <c r="AX955" s="234">
        <f t="shared" si="305"/>
        <v>0.35658914728682173</v>
      </c>
      <c r="AY955" s="127" t="s">
        <v>276</v>
      </c>
      <c r="AZ955" s="127" t="s">
        <v>276</v>
      </c>
      <c r="BA955" s="127" t="s">
        <v>276</v>
      </c>
      <c r="BB955" s="127" t="s">
        <v>282</v>
      </c>
      <c r="BC955" s="127" t="s">
        <v>276</v>
      </c>
      <c r="BD955" s="127" t="s">
        <v>276</v>
      </c>
      <c r="BE955" s="127" t="s">
        <v>276</v>
      </c>
      <c r="BF955" s="127" t="s">
        <v>4302</v>
      </c>
      <c r="BG955" s="127" t="s">
        <v>4297</v>
      </c>
      <c r="BH955" s="9" t="s">
        <v>100</v>
      </c>
      <c r="BI955" s="9" t="s">
        <v>100</v>
      </c>
      <c r="BJ955" s="136"/>
      <c r="BN955" s="136"/>
      <c r="BO955" s="136"/>
    </row>
    <row r="956" spans="1:67" s="137" customFormat="1" ht="78" hidden="1" x14ac:dyDescent="0.35">
      <c r="A956" s="126">
        <v>433</v>
      </c>
      <c r="B956" s="126" t="s">
        <v>4163</v>
      </c>
      <c r="C956" s="126" t="s">
        <v>74</v>
      </c>
      <c r="D956" s="127" t="s">
        <v>4427</v>
      </c>
      <c r="E956" s="126" t="s">
        <v>39</v>
      </c>
      <c r="F956" s="126" t="s">
        <v>143</v>
      </c>
      <c r="G956" s="126" t="s">
        <v>225</v>
      </c>
      <c r="H956" s="126" t="s">
        <v>125</v>
      </c>
      <c r="I956" s="126" t="s">
        <v>114</v>
      </c>
      <c r="J956" s="127" t="s">
        <v>25</v>
      </c>
      <c r="K956" s="126" t="s">
        <v>317</v>
      </c>
      <c r="L956" s="127" t="s">
        <v>4291</v>
      </c>
      <c r="M956" s="127" t="s">
        <v>4292</v>
      </c>
      <c r="N956" s="127" t="s">
        <v>4293</v>
      </c>
      <c r="O956" s="127" t="s">
        <v>276</v>
      </c>
      <c r="P956" s="127" t="s">
        <v>235</v>
      </c>
      <c r="Q956" s="146" t="s">
        <v>276</v>
      </c>
      <c r="R956" s="127" t="s">
        <v>728</v>
      </c>
      <c r="S956" s="127" t="s">
        <v>276</v>
      </c>
      <c r="T956" s="127" t="s">
        <v>276</v>
      </c>
      <c r="U956" s="127">
        <v>5</v>
      </c>
      <c r="V956" s="126" t="s">
        <v>16</v>
      </c>
      <c r="W956" s="126" t="s">
        <v>171</v>
      </c>
      <c r="X956" s="127" t="s">
        <v>207</v>
      </c>
      <c r="Y956" s="132" t="s">
        <v>98</v>
      </c>
      <c r="Z956" s="127" t="s">
        <v>98</v>
      </c>
      <c r="AA956" s="127" t="s">
        <v>276</v>
      </c>
      <c r="AB956" s="127" t="s">
        <v>276</v>
      </c>
      <c r="AC956" s="126">
        <v>0</v>
      </c>
      <c r="AD956" s="126" t="s">
        <v>4294</v>
      </c>
      <c r="AE956" s="126">
        <v>0</v>
      </c>
      <c r="AF956" s="126" t="s">
        <v>4294</v>
      </c>
      <c r="AG956" s="127" t="s">
        <v>4422</v>
      </c>
      <c r="AH956" s="127" t="s">
        <v>4334</v>
      </c>
      <c r="AI956" s="134">
        <f>1+2</f>
        <v>3</v>
      </c>
      <c r="AJ956" s="134">
        <f>5+1+4</f>
        <v>10</v>
      </c>
      <c r="AK956" s="134">
        <v>20</v>
      </c>
      <c r="AL956" s="134">
        <v>13</v>
      </c>
      <c r="AM956" s="134" t="s">
        <v>292</v>
      </c>
      <c r="AN956" s="126" t="s">
        <v>276</v>
      </c>
      <c r="AO956" s="135">
        <f>AI956*100/AK956</f>
        <v>15</v>
      </c>
      <c r="AP956" s="126" t="s">
        <v>276</v>
      </c>
      <c r="AQ956" s="126" t="s">
        <v>276</v>
      </c>
      <c r="AR956" s="126" t="s">
        <v>276</v>
      </c>
      <c r="AS956" s="135">
        <f>AJ956*100/AL956</f>
        <v>76.92307692307692</v>
      </c>
      <c r="AT956" s="126" t="s">
        <v>276</v>
      </c>
      <c r="AU956" s="126" t="s">
        <v>276</v>
      </c>
      <c r="AV956" s="127" t="s">
        <v>268</v>
      </c>
      <c r="AW956" s="234" t="s">
        <v>276</v>
      </c>
      <c r="AX956" s="234">
        <f>AO956/AS956</f>
        <v>0.19500000000000001</v>
      </c>
      <c r="AY956" s="127" t="s">
        <v>276</v>
      </c>
      <c r="AZ956" s="127" t="s">
        <v>276</v>
      </c>
      <c r="BA956" s="127" t="s">
        <v>276</v>
      </c>
      <c r="BB956" s="127" t="s">
        <v>282</v>
      </c>
      <c r="BC956" s="127" t="s">
        <v>276</v>
      </c>
      <c r="BD956" s="127" t="s">
        <v>276</v>
      </c>
      <c r="BE956" s="127" t="s">
        <v>276</v>
      </c>
      <c r="BF956" s="127" t="s">
        <v>4302</v>
      </c>
      <c r="BG956" s="127" t="s">
        <v>4297</v>
      </c>
      <c r="BH956" s="9" t="s">
        <v>100</v>
      </c>
      <c r="BI956" s="9" t="s">
        <v>100</v>
      </c>
      <c r="BJ956" s="136"/>
      <c r="BN956" s="136"/>
      <c r="BO956" s="136"/>
    </row>
    <row r="957" spans="1:67" s="124" customFormat="1" ht="78" hidden="1" x14ac:dyDescent="0.35">
      <c r="A957" s="112">
        <v>433</v>
      </c>
      <c r="B957" s="112" t="s">
        <v>4163</v>
      </c>
      <c r="C957" s="112" t="s">
        <v>74</v>
      </c>
      <c r="D957" s="113" t="s">
        <v>4428</v>
      </c>
      <c r="E957" s="112" t="s">
        <v>39</v>
      </c>
      <c r="F957" s="112" t="s">
        <v>143</v>
      </c>
      <c r="G957" s="112" t="s">
        <v>225</v>
      </c>
      <c r="H957" s="112" t="s">
        <v>125</v>
      </c>
      <c r="I957" s="112" t="s">
        <v>114</v>
      </c>
      <c r="J957" s="113" t="s">
        <v>25</v>
      </c>
      <c r="K957" s="112" t="s">
        <v>317</v>
      </c>
      <c r="L957" s="113" t="s">
        <v>4291</v>
      </c>
      <c r="M957" s="113" t="s">
        <v>4292</v>
      </c>
      <c r="N957" s="113" t="s">
        <v>4293</v>
      </c>
      <c r="O957" s="113" t="s">
        <v>276</v>
      </c>
      <c r="P957" s="113" t="s">
        <v>239</v>
      </c>
      <c r="Q957" s="142" t="s">
        <v>276</v>
      </c>
      <c r="R957" s="113" t="s">
        <v>733</v>
      </c>
      <c r="S957" s="113" t="s">
        <v>276</v>
      </c>
      <c r="T957" s="113" t="s">
        <v>276</v>
      </c>
      <c r="U957" s="113">
        <v>5</v>
      </c>
      <c r="V957" s="112" t="s">
        <v>14</v>
      </c>
      <c r="W957" s="112" t="s">
        <v>98</v>
      </c>
      <c r="X957" s="113" t="s">
        <v>207</v>
      </c>
      <c r="Y957" s="118">
        <v>2029</v>
      </c>
      <c r="Z957" s="113">
        <v>2023</v>
      </c>
      <c r="AA957" s="113" t="s">
        <v>276</v>
      </c>
      <c r="AB957" s="113" t="s">
        <v>276</v>
      </c>
      <c r="AC957" s="112">
        <v>1</v>
      </c>
      <c r="AD957" s="112" t="s">
        <v>4294</v>
      </c>
      <c r="AE957" s="112" t="s">
        <v>276</v>
      </c>
      <c r="AF957" s="112" t="s">
        <v>4294</v>
      </c>
      <c r="AG957" s="113" t="s">
        <v>4429</v>
      </c>
      <c r="AH957" s="113" t="s">
        <v>866</v>
      </c>
      <c r="AI957" s="119">
        <v>16</v>
      </c>
      <c r="AJ957" s="119">
        <v>33</v>
      </c>
      <c r="AK957" s="119">
        <v>2029</v>
      </c>
      <c r="AL957" s="119">
        <v>2023</v>
      </c>
      <c r="AM957" s="119" t="s">
        <v>292</v>
      </c>
      <c r="AN957" s="112" t="s">
        <v>276</v>
      </c>
      <c r="AO957" s="121">
        <f t="shared" si="293"/>
        <v>0.78856579595860032</v>
      </c>
      <c r="AP957" s="112" t="s">
        <v>276</v>
      </c>
      <c r="AQ957" s="112" t="s">
        <v>276</v>
      </c>
      <c r="AR957" s="112" t="s">
        <v>276</v>
      </c>
      <c r="AS957" s="121">
        <f t="shared" si="300"/>
        <v>1.6312407315867523</v>
      </c>
      <c r="AT957" s="112" t="s">
        <v>276</v>
      </c>
      <c r="AU957" s="112" t="s">
        <v>276</v>
      </c>
      <c r="AV957" s="113" t="s">
        <v>268</v>
      </c>
      <c r="AW957" s="143" t="s">
        <v>276</v>
      </c>
      <c r="AX957" s="143">
        <f t="shared" ref="AX957:AX961" si="306">AO957/AS957</f>
        <v>0.48341472885583286</v>
      </c>
      <c r="AY957" s="113" t="s">
        <v>276</v>
      </c>
      <c r="AZ957" s="113" t="s">
        <v>276</v>
      </c>
      <c r="BA957" s="113" t="s">
        <v>276</v>
      </c>
      <c r="BB957" s="113" t="s">
        <v>282</v>
      </c>
      <c r="BC957" s="113" t="s">
        <v>276</v>
      </c>
      <c r="BD957" s="113" t="s">
        <v>276</v>
      </c>
      <c r="BE957" s="113" t="s">
        <v>276</v>
      </c>
      <c r="BF957" s="113" t="s">
        <v>4408</v>
      </c>
      <c r="BG957" s="113" t="s">
        <v>4297</v>
      </c>
      <c r="BH957" s="9" t="s">
        <v>100</v>
      </c>
      <c r="BI957" s="9" t="s">
        <v>100</v>
      </c>
      <c r="BJ957" s="123"/>
      <c r="BN957" s="123"/>
      <c r="BO957" s="123"/>
    </row>
    <row r="958" spans="1:67" s="124" customFormat="1" ht="78" hidden="1" x14ac:dyDescent="0.35">
      <c r="A958" s="112">
        <v>433</v>
      </c>
      <c r="B958" s="112" t="s">
        <v>4163</v>
      </c>
      <c r="C958" s="112" t="s">
        <v>74</v>
      </c>
      <c r="D958" s="113" t="s">
        <v>4430</v>
      </c>
      <c r="E958" s="112" t="s">
        <v>39</v>
      </c>
      <c r="F958" s="112" t="s">
        <v>143</v>
      </c>
      <c r="G958" s="112" t="s">
        <v>225</v>
      </c>
      <c r="H958" s="112" t="s">
        <v>125</v>
      </c>
      <c r="I958" s="112" t="s">
        <v>114</v>
      </c>
      <c r="J958" s="113" t="s">
        <v>25</v>
      </c>
      <c r="K958" s="112" t="s">
        <v>317</v>
      </c>
      <c r="L958" s="113" t="s">
        <v>4291</v>
      </c>
      <c r="M958" s="113" t="s">
        <v>4292</v>
      </c>
      <c r="N958" s="113" t="s">
        <v>4293</v>
      </c>
      <c r="O958" s="113" t="s">
        <v>276</v>
      </c>
      <c r="P958" s="113" t="s">
        <v>239</v>
      </c>
      <c r="Q958" s="142" t="s">
        <v>276</v>
      </c>
      <c r="R958" s="113" t="s">
        <v>741</v>
      </c>
      <c r="S958" s="113" t="s">
        <v>276</v>
      </c>
      <c r="T958" s="113" t="s">
        <v>276</v>
      </c>
      <c r="U958" s="113">
        <v>5</v>
      </c>
      <c r="V958" s="112" t="s">
        <v>14</v>
      </c>
      <c r="W958" s="112" t="s">
        <v>98</v>
      </c>
      <c r="X958" s="113" t="s">
        <v>207</v>
      </c>
      <c r="Y958" s="118">
        <v>2029</v>
      </c>
      <c r="Z958" s="113">
        <v>2023</v>
      </c>
      <c r="AA958" s="113" t="s">
        <v>276</v>
      </c>
      <c r="AB958" s="113" t="s">
        <v>276</v>
      </c>
      <c r="AC958" s="112">
        <v>1</v>
      </c>
      <c r="AD958" s="112" t="s">
        <v>4294</v>
      </c>
      <c r="AE958" s="112" t="s">
        <v>276</v>
      </c>
      <c r="AF958" s="112" t="s">
        <v>4294</v>
      </c>
      <c r="AG958" s="113" t="s">
        <v>4431</v>
      </c>
      <c r="AH958" s="113" t="s">
        <v>866</v>
      </c>
      <c r="AI958" s="119">
        <v>21</v>
      </c>
      <c r="AJ958" s="119">
        <v>42</v>
      </c>
      <c r="AK958" s="119">
        <v>2029</v>
      </c>
      <c r="AL958" s="119">
        <v>2023</v>
      </c>
      <c r="AM958" s="119" t="s">
        <v>292</v>
      </c>
      <c r="AN958" s="112" t="s">
        <v>276</v>
      </c>
      <c r="AO958" s="121">
        <f t="shared" si="293"/>
        <v>1.034992607195663</v>
      </c>
      <c r="AP958" s="112" t="s">
        <v>276</v>
      </c>
      <c r="AQ958" s="112" t="s">
        <v>276</v>
      </c>
      <c r="AR958" s="112" t="s">
        <v>276</v>
      </c>
      <c r="AS958" s="121">
        <f t="shared" si="300"/>
        <v>2.0761245674740483</v>
      </c>
      <c r="AT958" s="112" t="s">
        <v>276</v>
      </c>
      <c r="AU958" s="112" t="s">
        <v>276</v>
      </c>
      <c r="AV958" s="113" t="s">
        <v>268</v>
      </c>
      <c r="AW958" s="143" t="s">
        <v>276</v>
      </c>
      <c r="AX958" s="143">
        <f t="shared" si="306"/>
        <v>0.49852143913257774</v>
      </c>
      <c r="AY958" s="113" t="s">
        <v>276</v>
      </c>
      <c r="AZ958" s="113" t="s">
        <v>276</v>
      </c>
      <c r="BA958" s="113" t="s">
        <v>276</v>
      </c>
      <c r="BB958" s="113" t="s">
        <v>282</v>
      </c>
      <c r="BC958" s="113" t="s">
        <v>276</v>
      </c>
      <c r="BD958" s="113" t="s">
        <v>276</v>
      </c>
      <c r="BE958" s="113" t="s">
        <v>276</v>
      </c>
      <c r="BF958" s="113" t="s">
        <v>4408</v>
      </c>
      <c r="BG958" s="113" t="s">
        <v>4297</v>
      </c>
      <c r="BH958" s="9" t="s">
        <v>100</v>
      </c>
      <c r="BI958" s="9" t="s">
        <v>100</v>
      </c>
      <c r="BJ958" s="123"/>
      <c r="BN958" s="123"/>
      <c r="BO958" s="123"/>
    </row>
    <row r="959" spans="1:67" s="124" customFormat="1" ht="78" hidden="1" x14ac:dyDescent="0.35">
      <c r="A959" s="112">
        <v>433</v>
      </c>
      <c r="B959" s="112" t="s">
        <v>4163</v>
      </c>
      <c r="C959" s="112" t="s">
        <v>74</v>
      </c>
      <c r="D959" s="113" t="s">
        <v>4432</v>
      </c>
      <c r="E959" s="112" t="s">
        <v>39</v>
      </c>
      <c r="F959" s="112" t="s">
        <v>143</v>
      </c>
      <c r="G959" s="112" t="s">
        <v>225</v>
      </c>
      <c r="H959" s="112" t="s">
        <v>125</v>
      </c>
      <c r="I959" s="112" t="s">
        <v>114</v>
      </c>
      <c r="J959" s="113" t="s">
        <v>25</v>
      </c>
      <c r="K959" s="112" t="s">
        <v>317</v>
      </c>
      <c r="L959" s="113" t="s">
        <v>4291</v>
      </c>
      <c r="M959" s="113" t="s">
        <v>4292</v>
      </c>
      <c r="N959" s="113" t="s">
        <v>4293</v>
      </c>
      <c r="O959" s="113" t="s">
        <v>276</v>
      </c>
      <c r="P959" s="113" t="s">
        <v>239</v>
      </c>
      <c r="Q959" s="142" t="s">
        <v>276</v>
      </c>
      <c r="R959" s="113" t="s">
        <v>746</v>
      </c>
      <c r="S959" s="113" t="s">
        <v>276</v>
      </c>
      <c r="T959" s="113" t="s">
        <v>276</v>
      </c>
      <c r="U959" s="113">
        <v>5</v>
      </c>
      <c r="V959" s="112" t="s">
        <v>14</v>
      </c>
      <c r="W959" s="112" t="s">
        <v>98</v>
      </c>
      <c r="X959" s="113" t="s">
        <v>207</v>
      </c>
      <c r="Y959" s="118">
        <v>2029</v>
      </c>
      <c r="Z959" s="113">
        <v>2023</v>
      </c>
      <c r="AA959" s="113" t="s">
        <v>276</v>
      </c>
      <c r="AB959" s="113" t="s">
        <v>276</v>
      </c>
      <c r="AC959" s="112">
        <v>1</v>
      </c>
      <c r="AD959" s="112" t="s">
        <v>4294</v>
      </c>
      <c r="AE959" s="112" t="s">
        <v>276</v>
      </c>
      <c r="AF959" s="112" t="s">
        <v>4294</v>
      </c>
      <c r="AG959" s="113" t="s">
        <v>4433</v>
      </c>
      <c r="AH959" s="113" t="s">
        <v>866</v>
      </c>
      <c r="AI959" s="119">
        <v>26</v>
      </c>
      <c r="AJ959" s="119">
        <v>47</v>
      </c>
      <c r="AK959" s="119">
        <v>2029</v>
      </c>
      <c r="AL959" s="119">
        <v>2023</v>
      </c>
      <c r="AM959" s="119" t="s">
        <v>292</v>
      </c>
      <c r="AN959" s="112" t="s">
        <v>276</v>
      </c>
      <c r="AO959" s="121">
        <f t="shared" si="293"/>
        <v>1.2814194184327254</v>
      </c>
      <c r="AP959" s="112" t="s">
        <v>276</v>
      </c>
      <c r="AQ959" s="112" t="s">
        <v>276</v>
      </c>
      <c r="AR959" s="112" t="s">
        <v>276</v>
      </c>
      <c r="AS959" s="121">
        <f t="shared" si="300"/>
        <v>2.323282254078102</v>
      </c>
      <c r="AT959" s="112" t="s">
        <v>276</v>
      </c>
      <c r="AU959" s="112" t="s">
        <v>276</v>
      </c>
      <c r="AV959" s="113" t="s">
        <v>268</v>
      </c>
      <c r="AW959" s="143" t="s">
        <v>276</v>
      </c>
      <c r="AX959" s="143">
        <f t="shared" si="306"/>
        <v>0.55155563478497949</v>
      </c>
      <c r="AY959" s="113" t="s">
        <v>276</v>
      </c>
      <c r="AZ959" s="113" t="s">
        <v>276</v>
      </c>
      <c r="BA959" s="113" t="s">
        <v>276</v>
      </c>
      <c r="BB959" s="113" t="s">
        <v>282</v>
      </c>
      <c r="BC959" s="113" t="s">
        <v>276</v>
      </c>
      <c r="BD959" s="113" t="s">
        <v>276</v>
      </c>
      <c r="BE959" s="113" t="s">
        <v>276</v>
      </c>
      <c r="BF959" s="113" t="s">
        <v>4408</v>
      </c>
      <c r="BG959" s="113" t="s">
        <v>4297</v>
      </c>
      <c r="BH959" s="9" t="s">
        <v>100</v>
      </c>
      <c r="BI959" s="9" t="s">
        <v>100</v>
      </c>
      <c r="BJ959" s="123"/>
      <c r="BN959" s="123"/>
      <c r="BO959" s="123"/>
    </row>
    <row r="960" spans="1:67" s="124" customFormat="1" ht="78" hidden="1" x14ac:dyDescent="0.35">
      <c r="A960" s="112">
        <v>433</v>
      </c>
      <c r="B960" s="112" t="s">
        <v>4163</v>
      </c>
      <c r="C960" s="112" t="s">
        <v>74</v>
      </c>
      <c r="D960" s="113" t="s">
        <v>4434</v>
      </c>
      <c r="E960" s="112" t="s">
        <v>39</v>
      </c>
      <c r="F960" s="112" t="s">
        <v>143</v>
      </c>
      <c r="G960" s="112" t="s">
        <v>225</v>
      </c>
      <c r="H960" s="112" t="s">
        <v>125</v>
      </c>
      <c r="I960" s="112" t="s">
        <v>114</v>
      </c>
      <c r="J960" s="113" t="s">
        <v>25</v>
      </c>
      <c r="K960" s="112" t="s">
        <v>317</v>
      </c>
      <c r="L960" s="113" t="s">
        <v>4291</v>
      </c>
      <c r="M960" s="113" t="s">
        <v>4292</v>
      </c>
      <c r="N960" s="113" t="s">
        <v>4293</v>
      </c>
      <c r="O960" s="113" t="s">
        <v>276</v>
      </c>
      <c r="P960" s="113" t="s">
        <v>239</v>
      </c>
      <c r="Q960" s="142" t="s">
        <v>276</v>
      </c>
      <c r="R960" s="113" t="s">
        <v>752</v>
      </c>
      <c r="S960" s="113" t="s">
        <v>276</v>
      </c>
      <c r="T960" s="113" t="s">
        <v>276</v>
      </c>
      <c r="U960" s="113">
        <v>5</v>
      </c>
      <c r="V960" s="112" t="s">
        <v>14</v>
      </c>
      <c r="W960" s="112" t="s">
        <v>98</v>
      </c>
      <c r="X960" s="113" t="s">
        <v>207</v>
      </c>
      <c r="Y960" s="118">
        <v>2029</v>
      </c>
      <c r="Z960" s="113">
        <v>2023</v>
      </c>
      <c r="AA960" s="113" t="s">
        <v>276</v>
      </c>
      <c r="AB960" s="113" t="s">
        <v>276</v>
      </c>
      <c r="AC960" s="112">
        <v>1</v>
      </c>
      <c r="AD960" s="112" t="s">
        <v>4294</v>
      </c>
      <c r="AE960" s="112" t="s">
        <v>276</v>
      </c>
      <c r="AF960" s="112" t="s">
        <v>4294</v>
      </c>
      <c r="AG960" s="113" t="s">
        <v>4435</v>
      </c>
      <c r="AH960" s="113" t="s">
        <v>866</v>
      </c>
      <c r="AI960" s="119">
        <v>27</v>
      </c>
      <c r="AJ960" s="119">
        <v>49</v>
      </c>
      <c r="AK960" s="119">
        <v>2029</v>
      </c>
      <c r="AL960" s="119">
        <v>2023</v>
      </c>
      <c r="AM960" s="119" t="s">
        <v>292</v>
      </c>
      <c r="AN960" s="112" t="s">
        <v>276</v>
      </c>
      <c r="AO960" s="121">
        <f t="shared" si="293"/>
        <v>1.330704780680138</v>
      </c>
      <c r="AP960" s="112" t="s">
        <v>276</v>
      </c>
      <c r="AQ960" s="112" t="s">
        <v>276</v>
      </c>
      <c r="AR960" s="112" t="s">
        <v>276</v>
      </c>
      <c r="AS960" s="121">
        <f t="shared" si="300"/>
        <v>2.422145328719723</v>
      </c>
      <c r="AT960" s="112" t="s">
        <v>276</v>
      </c>
      <c r="AU960" s="112" t="s">
        <v>276</v>
      </c>
      <c r="AV960" s="113" t="s">
        <v>268</v>
      </c>
      <c r="AW960" s="143" t="s">
        <v>276</v>
      </c>
      <c r="AX960" s="143">
        <f t="shared" si="306"/>
        <v>0.54939097373794277</v>
      </c>
      <c r="AY960" s="113" t="s">
        <v>276</v>
      </c>
      <c r="AZ960" s="113" t="s">
        <v>276</v>
      </c>
      <c r="BA960" s="113" t="s">
        <v>276</v>
      </c>
      <c r="BB960" s="113" t="s">
        <v>282</v>
      </c>
      <c r="BC960" s="113" t="s">
        <v>276</v>
      </c>
      <c r="BD960" s="113" t="s">
        <v>276</v>
      </c>
      <c r="BE960" s="113" t="s">
        <v>276</v>
      </c>
      <c r="BF960" s="113" t="s">
        <v>4408</v>
      </c>
      <c r="BG960" s="113" t="s">
        <v>4297</v>
      </c>
      <c r="BH960" s="9" t="s">
        <v>100</v>
      </c>
      <c r="BI960" s="9" t="s">
        <v>100</v>
      </c>
      <c r="BJ960" s="123"/>
      <c r="BN960" s="123"/>
      <c r="BO960" s="123"/>
    </row>
    <row r="961" spans="1:67" s="110" customFormat="1" ht="78" hidden="1" x14ac:dyDescent="0.35">
      <c r="A961" s="94">
        <v>433</v>
      </c>
      <c r="B961" s="94" t="s">
        <v>4163</v>
      </c>
      <c r="C961" s="94" t="s">
        <v>74</v>
      </c>
      <c r="D961" s="95" t="s">
        <v>4436</v>
      </c>
      <c r="E961" s="94" t="s">
        <v>39</v>
      </c>
      <c r="F961" s="94" t="s">
        <v>143</v>
      </c>
      <c r="G961" s="94" t="s">
        <v>225</v>
      </c>
      <c r="H961" s="94" t="s">
        <v>125</v>
      </c>
      <c r="I961" s="94" t="s">
        <v>114</v>
      </c>
      <c r="J961" s="95" t="s">
        <v>25</v>
      </c>
      <c r="K961" s="94" t="s">
        <v>317</v>
      </c>
      <c r="L961" s="95" t="s">
        <v>4291</v>
      </c>
      <c r="M961" s="95" t="s">
        <v>4292</v>
      </c>
      <c r="N961" s="95" t="s">
        <v>4293</v>
      </c>
      <c r="O961" s="95" t="s">
        <v>276</v>
      </c>
      <c r="P961" s="95" t="s">
        <v>239</v>
      </c>
      <c r="Q961" s="140" t="s">
        <v>276</v>
      </c>
      <c r="R961" s="95" t="s">
        <v>766</v>
      </c>
      <c r="S961" s="95" t="s">
        <v>276</v>
      </c>
      <c r="T961" s="95" t="s">
        <v>276</v>
      </c>
      <c r="U961" s="95">
        <v>5</v>
      </c>
      <c r="V961" s="94" t="s">
        <v>14</v>
      </c>
      <c r="W961" s="94" t="s">
        <v>98</v>
      </c>
      <c r="X961" s="95" t="s">
        <v>207</v>
      </c>
      <c r="Y961" s="98">
        <v>2029</v>
      </c>
      <c r="Z961" s="95">
        <v>2023</v>
      </c>
      <c r="AA961" s="95" t="s">
        <v>276</v>
      </c>
      <c r="AB961" s="95" t="s">
        <v>276</v>
      </c>
      <c r="AC961" s="94">
        <v>1</v>
      </c>
      <c r="AD961" s="94" t="s">
        <v>4294</v>
      </c>
      <c r="AE961" s="94">
        <v>1</v>
      </c>
      <c r="AF961" s="94" t="s">
        <v>4294</v>
      </c>
      <c r="AG961" s="95" t="s">
        <v>4437</v>
      </c>
      <c r="AH961" s="95" t="s">
        <v>866</v>
      </c>
      <c r="AI961" s="99">
        <v>29</v>
      </c>
      <c r="AJ961" s="99">
        <v>51</v>
      </c>
      <c r="AK961" s="99">
        <v>2029</v>
      </c>
      <c r="AL961" s="99">
        <v>2023</v>
      </c>
      <c r="AM961" s="99" t="s">
        <v>292</v>
      </c>
      <c r="AN961" s="94" t="s">
        <v>276</v>
      </c>
      <c r="AO961" s="102">
        <f t="shared" si="293"/>
        <v>1.429275505174963</v>
      </c>
      <c r="AP961" s="94" t="s">
        <v>276</v>
      </c>
      <c r="AQ961" s="94" t="s">
        <v>276</v>
      </c>
      <c r="AR961" s="94" t="s">
        <v>276</v>
      </c>
      <c r="AS961" s="102">
        <f t="shared" si="300"/>
        <v>2.5210084033613445</v>
      </c>
      <c r="AT961" s="94" t="s">
        <v>276</v>
      </c>
      <c r="AU961" s="94" t="s">
        <v>276</v>
      </c>
      <c r="AV961" s="95" t="s">
        <v>268</v>
      </c>
      <c r="AW961" s="141" t="s">
        <v>276</v>
      </c>
      <c r="AX961" s="141">
        <f t="shared" si="306"/>
        <v>0.56694595038606865</v>
      </c>
      <c r="AY961" s="95" t="s">
        <v>276</v>
      </c>
      <c r="AZ961" s="95" t="s">
        <v>276</v>
      </c>
      <c r="BA961" s="95" t="s">
        <v>276</v>
      </c>
      <c r="BB961" s="95" t="s">
        <v>282</v>
      </c>
      <c r="BC961" s="95" t="s">
        <v>276</v>
      </c>
      <c r="BD961" s="95" t="s">
        <v>276</v>
      </c>
      <c r="BE961" s="95" t="s">
        <v>276</v>
      </c>
      <c r="BF961" s="95" t="s">
        <v>4408</v>
      </c>
      <c r="BG961" s="95" t="s">
        <v>4297</v>
      </c>
      <c r="BH961" s="9" t="s">
        <v>100</v>
      </c>
      <c r="BI961" s="9" t="s">
        <v>100</v>
      </c>
      <c r="BJ961" s="109"/>
      <c r="BN961" s="109"/>
      <c r="BO961" s="109"/>
    </row>
    <row r="962" spans="1:67" s="110" customFormat="1" ht="78" hidden="1" x14ac:dyDescent="0.35">
      <c r="A962" s="94">
        <v>433</v>
      </c>
      <c r="B962" s="94" t="s">
        <v>4163</v>
      </c>
      <c r="C962" s="94" t="s">
        <v>74</v>
      </c>
      <c r="D962" s="95" t="s">
        <v>4438</v>
      </c>
      <c r="E962" s="94" t="s">
        <v>39</v>
      </c>
      <c r="F962" s="94" t="s">
        <v>143</v>
      </c>
      <c r="G962" s="94" t="s">
        <v>225</v>
      </c>
      <c r="H962" s="94" t="s">
        <v>125</v>
      </c>
      <c r="I962" s="94" t="s">
        <v>114</v>
      </c>
      <c r="J962" s="95" t="s">
        <v>25</v>
      </c>
      <c r="K962" s="94" t="s">
        <v>317</v>
      </c>
      <c r="L962" s="95" t="s">
        <v>4291</v>
      </c>
      <c r="M962" s="95" t="s">
        <v>4292</v>
      </c>
      <c r="N962" s="95" t="s">
        <v>4293</v>
      </c>
      <c r="O962" s="95" t="s">
        <v>276</v>
      </c>
      <c r="P962" s="95" t="s">
        <v>239</v>
      </c>
      <c r="Q962" s="140" t="s">
        <v>276</v>
      </c>
      <c r="R962" s="95" t="s">
        <v>766</v>
      </c>
      <c r="S962" s="95" t="s">
        <v>276</v>
      </c>
      <c r="T962" s="95" t="s">
        <v>276</v>
      </c>
      <c r="U962" s="95">
        <v>5</v>
      </c>
      <c r="V962" s="94" t="s">
        <v>14</v>
      </c>
      <c r="W962" s="94" t="s">
        <v>98</v>
      </c>
      <c r="X962" s="95" t="s">
        <v>207</v>
      </c>
      <c r="Y962" s="98">
        <v>2029</v>
      </c>
      <c r="Z962" s="95">
        <v>2023</v>
      </c>
      <c r="AA962" s="95" t="s">
        <v>276</v>
      </c>
      <c r="AB962" s="95" t="s">
        <v>276</v>
      </c>
      <c r="AC962" s="94">
        <v>1</v>
      </c>
      <c r="AD962" s="94" t="s">
        <v>4294</v>
      </c>
      <c r="AE962" s="94">
        <v>1</v>
      </c>
      <c r="AF962" s="94" t="s">
        <v>4294</v>
      </c>
      <c r="AG962" s="95" t="s">
        <v>4437</v>
      </c>
      <c r="AH962" s="95" t="s">
        <v>866</v>
      </c>
      <c r="AI962" s="99">
        <v>29</v>
      </c>
      <c r="AJ962" s="99">
        <v>51</v>
      </c>
      <c r="AK962" s="99">
        <v>2029</v>
      </c>
      <c r="AL962" s="99">
        <v>2023</v>
      </c>
      <c r="AM962" s="99" t="s">
        <v>292</v>
      </c>
      <c r="AN962" s="94" t="s">
        <v>276</v>
      </c>
      <c r="AO962" s="102">
        <f t="shared" si="293"/>
        <v>1.429275505174963</v>
      </c>
      <c r="AP962" s="94" t="s">
        <v>276</v>
      </c>
      <c r="AQ962" s="94" t="s">
        <v>276</v>
      </c>
      <c r="AR962" s="94" t="s">
        <v>276</v>
      </c>
      <c r="AS962" s="102">
        <f t="shared" si="300"/>
        <v>2.5210084033613445</v>
      </c>
      <c r="AT962" s="94" t="s">
        <v>276</v>
      </c>
      <c r="AU962" s="94" t="s">
        <v>276</v>
      </c>
      <c r="AV962" s="95" t="s">
        <v>270</v>
      </c>
      <c r="AW962" s="141" t="s">
        <v>276</v>
      </c>
      <c r="AX962" s="141" t="s">
        <v>276</v>
      </c>
      <c r="AY962" s="141" t="s">
        <v>276</v>
      </c>
      <c r="AZ962" s="141" t="s">
        <v>276</v>
      </c>
      <c r="BA962" s="141" t="s">
        <v>276</v>
      </c>
      <c r="BB962" s="95" t="s">
        <v>1488</v>
      </c>
      <c r="BC962" s="141">
        <v>0.57999999999999996</v>
      </c>
      <c r="BD962" s="95">
        <v>0.37</v>
      </c>
      <c r="BE962" s="95">
        <v>0.91</v>
      </c>
      <c r="BF962" s="95" t="s">
        <v>4439</v>
      </c>
      <c r="BG962" s="95" t="s">
        <v>4297</v>
      </c>
      <c r="BH962" s="9" t="s">
        <v>100</v>
      </c>
      <c r="BI962" s="9" t="s">
        <v>100</v>
      </c>
      <c r="BJ962" s="109"/>
      <c r="BN962" s="109"/>
      <c r="BO962" s="109"/>
    </row>
    <row r="963" spans="1:67" s="110" customFormat="1" ht="78" hidden="1" x14ac:dyDescent="0.35">
      <c r="A963" s="94">
        <v>433</v>
      </c>
      <c r="B963" s="94" t="s">
        <v>4163</v>
      </c>
      <c r="C963" s="94" t="s">
        <v>74</v>
      </c>
      <c r="D963" s="95" t="s">
        <v>4440</v>
      </c>
      <c r="E963" s="94" t="s">
        <v>39</v>
      </c>
      <c r="F963" s="94" t="s">
        <v>143</v>
      </c>
      <c r="G963" s="94" t="s">
        <v>225</v>
      </c>
      <c r="H963" s="94" t="s">
        <v>125</v>
      </c>
      <c r="I963" s="94" t="s">
        <v>114</v>
      </c>
      <c r="J963" s="95" t="s">
        <v>25</v>
      </c>
      <c r="K963" s="94" t="s">
        <v>317</v>
      </c>
      <c r="L963" s="95" t="s">
        <v>4291</v>
      </c>
      <c r="M963" s="95" t="s">
        <v>4292</v>
      </c>
      <c r="N963" s="95" t="s">
        <v>4293</v>
      </c>
      <c r="O963" s="95" t="s">
        <v>276</v>
      </c>
      <c r="P963" s="95" t="s">
        <v>239</v>
      </c>
      <c r="Q963" s="140">
        <v>43220</v>
      </c>
      <c r="R963" s="95" t="s">
        <v>766</v>
      </c>
      <c r="S963" s="95" t="s">
        <v>276</v>
      </c>
      <c r="T963" s="95" t="s">
        <v>276</v>
      </c>
      <c r="U963" s="95">
        <v>5</v>
      </c>
      <c r="V963" s="94" t="s">
        <v>16</v>
      </c>
      <c r="W963" s="94" t="s">
        <v>170</v>
      </c>
      <c r="X963" s="95" t="s">
        <v>207</v>
      </c>
      <c r="Y963" s="98">
        <v>1315</v>
      </c>
      <c r="Z963" s="95">
        <v>1307</v>
      </c>
      <c r="AA963" s="95" t="s">
        <v>276</v>
      </c>
      <c r="AB963" s="95" t="s">
        <v>276</v>
      </c>
      <c r="AC963" s="94">
        <v>1</v>
      </c>
      <c r="AD963" s="94" t="s">
        <v>4294</v>
      </c>
      <c r="AE963" s="94">
        <v>1</v>
      </c>
      <c r="AF963" s="94" t="s">
        <v>4294</v>
      </c>
      <c r="AG963" s="95" t="s">
        <v>4441</v>
      </c>
      <c r="AH963" s="95" t="s">
        <v>689</v>
      </c>
      <c r="AI963" s="99">
        <f>6+1+5+1+8</f>
        <v>21</v>
      </c>
      <c r="AJ963" s="99">
        <f>5+2+11+3+2+10+1</f>
        <v>34</v>
      </c>
      <c r="AK963" s="99">
        <v>1315</v>
      </c>
      <c r="AL963" s="99">
        <v>1307</v>
      </c>
      <c r="AM963" s="99" t="s">
        <v>292</v>
      </c>
      <c r="AN963" s="94" t="s">
        <v>276</v>
      </c>
      <c r="AO963" s="102">
        <f t="shared" si="293"/>
        <v>1.5969581749049431</v>
      </c>
      <c r="AP963" s="94" t="s">
        <v>276</v>
      </c>
      <c r="AQ963" s="94" t="s">
        <v>276</v>
      </c>
      <c r="AR963" s="94" t="s">
        <v>276</v>
      </c>
      <c r="AS963" s="102">
        <f t="shared" si="300"/>
        <v>2.6013771996939554</v>
      </c>
      <c r="AT963" s="94" t="s">
        <v>276</v>
      </c>
      <c r="AU963" s="94" t="s">
        <v>276</v>
      </c>
      <c r="AV963" s="95" t="s">
        <v>268</v>
      </c>
      <c r="AW963" s="141" t="s">
        <v>276</v>
      </c>
      <c r="AX963" s="141">
        <f t="shared" ref="AX963" si="307">AO963/AS963</f>
        <v>0.61388951017669435</v>
      </c>
      <c r="AY963" s="95" t="s">
        <v>276</v>
      </c>
      <c r="AZ963" s="95" t="s">
        <v>276</v>
      </c>
      <c r="BA963" s="95" t="s">
        <v>276</v>
      </c>
      <c r="BB963" s="95" t="s">
        <v>282</v>
      </c>
      <c r="BC963" s="95" t="s">
        <v>276</v>
      </c>
      <c r="BD963" s="95" t="s">
        <v>276</v>
      </c>
      <c r="BE963" s="95" t="s">
        <v>276</v>
      </c>
      <c r="BF963" s="95" t="s">
        <v>4302</v>
      </c>
      <c r="BG963" s="95" t="s">
        <v>4297</v>
      </c>
      <c r="BH963" s="9" t="s">
        <v>100</v>
      </c>
      <c r="BI963" s="9" t="s">
        <v>100</v>
      </c>
      <c r="BJ963" s="109"/>
      <c r="BN963" s="109"/>
      <c r="BO963" s="109"/>
    </row>
    <row r="964" spans="1:67" s="110" customFormat="1" ht="78" hidden="1" x14ac:dyDescent="0.35">
      <c r="A964" s="94">
        <v>433</v>
      </c>
      <c r="B964" s="94" t="s">
        <v>4163</v>
      </c>
      <c r="C964" s="94" t="s">
        <v>74</v>
      </c>
      <c r="D964" s="95" t="s">
        <v>4442</v>
      </c>
      <c r="E964" s="94" t="s">
        <v>39</v>
      </c>
      <c r="F964" s="94" t="s">
        <v>143</v>
      </c>
      <c r="G964" s="94" t="s">
        <v>225</v>
      </c>
      <c r="H964" s="94" t="s">
        <v>125</v>
      </c>
      <c r="I964" s="94" t="s">
        <v>114</v>
      </c>
      <c r="J964" s="95" t="s">
        <v>25</v>
      </c>
      <c r="K964" s="94" t="s">
        <v>317</v>
      </c>
      <c r="L964" s="95" t="s">
        <v>4291</v>
      </c>
      <c r="M964" s="95" t="s">
        <v>4292</v>
      </c>
      <c r="N964" s="95" t="s">
        <v>4293</v>
      </c>
      <c r="O964" s="95" t="s">
        <v>276</v>
      </c>
      <c r="P964" s="95" t="s">
        <v>239</v>
      </c>
      <c r="Q964" s="140">
        <v>43220</v>
      </c>
      <c r="R964" s="95" t="s">
        <v>766</v>
      </c>
      <c r="S964" s="95" t="s">
        <v>276</v>
      </c>
      <c r="T964" s="95" t="s">
        <v>276</v>
      </c>
      <c r="U964" s="95">
        <v>5</v>
      </c>
      <c r="V964" s="94" t="s">
        <v>16</v>
      </c>
      <c r="W964" s="94" t="s">
        <v>171</v>
      </c>
      <c r="X964" s="95" t="s">
        <v>207</v>
      </c>
      <c r="Y964" s="98">
        <v>714</v>
      </c>
      <c r="Z964" s="95">
        <v>716</v>
      </c>
      <c r="AA964" s="95" t="s">
        <v>276</v>
      </c>
      <c r="AB964" s="95" t="s">
        <v>276</v>
      </c>
      <c r="AC964" s="94">
        <v>1</v>
      </c>
      <c r="AD964" s="94" t="s">
        <v>4294</v>
      </c>
      <c r="AE964" s="94">
        <v>1</v>
      </c>
      <c r="AF964" s="94" t="s">
        <v>4294</v>
      </c>
      <c r="AG964" s="95" t="s">
        <v>4443</v>
      </c>
      <c r="AH964" s="95" t="s">
        <v>280</v>
      </c>
      <c r="AI964" s="99">
        <f>1+2+2+1+2</f>
        <v>8</v>
      </c>
      <c r="AJ964" s="99">
        <f>5+1+4+3+3+1</f>
        <v>17</v>
      </c>
      <c r="AK964" s="99">
        <v>714</v>
      </c>
      <c r="AL964" s="99">
        <v>716</v>
      </c>
      <c r="AM964" s="99" t="s">
        <v>292</v>
      </c>
      <c r="AN964" s="94" t="s">
        <v>276</v>
      </c>
      <c r="AO964" s="102">
        <f>AI964*100/AK964</f>
        <v>1.1204481792717087</v>
      </c>
      <c r="AP964" s="94" t="s">
        <v>276</v>
      </c>
      <c r="AQ964" s="94" t="s">
        <v>276</v>
      </c>
      <c r="AR964" s="94" t="s">
        <v>276</v>
      </c>
      <c r="AS964" s="102">
        <f>AJ964*100/AL964</f>
        <v>2.3743016759776538</v>
      </c>
      <c r="AT964" s="94" t="s">
        <v>276</v>
      </c>
      <c r="AU964" s="94" t="s">
        <v>276</v>
      </c>
      <c r="AV964" s="95" t="s">
        <v>268</v>
      </c>
      <c r="AW964" s="141" t="s">
        <v>276</v>
      </c>
      <c r="AX964" s="141">
        <f>AO964/AS964</f>
        <v>0.47190640962267255</v>
      </c>
      <c r="AY964" s="95" t="s">
        <v>276</v>
      </c>
      <c r="AZ964" s="95" t="s">
        <v>276</v>
      </c>
      <c r="BA964" s="95" t="s">
        <v>276</v>
      </c>
      <c r="BB964" s="95" t="s">
        <v>282</v>
      </c>
      <c r="BC964" s="95" t="s">
        <v>276</v>
      </c>
      <c r="BD964" s="95" t="s">
        <v>276</v>
      </c>
      <c r="BE964" s="95" t="s">
        <v>276</v>
      </c>
      <c r="BF964" s="95" t="s">
        <v>4302</v>
      </c>
      <c r="BG964" s="95" t="s">
        <v>4297</v>
      </c>
      <c r="BH964" s="9" t="s">
        <v>100</v>
      </c>
      <c r="BI964" s="9" t="s">
        <v>100</v>
      </c>
      <c r="BJ964" s="109"/>
      <c r="BN964" s="109"/>
      <c r="BO964" s="109"/>
    </row>
    <row r="965" spans="1:67" s="137" customFormat="1" ht="78" hidden="1" x14ac:dyDescent="0.35">
      <c r="A965" s="126">
        <v>433</v>
      </c>
      <c r="B965" s="126" t="s">
        <v>4163</v>
      </c>
      <c r="C965" s="126" t="s">
        <v>74</v>
      </c>
      <c r="D965" s="127" t="s">
        <v>4444</v>
      </c>
      <c r="E965" s="126" t="s">
        <v>39</v>
      </c>
      <c r="F965" s="126" t="s">
        <v>143</v>
      </c>
      <c r="G965" s="126" t="s">
        <v>225</v>
      </c>
      <c r="H965" s="126" t="s">
        <v>125</v>
      </c>
      <c r="I965" s="126" t="s">
        <v>114</v>
      </c>
      <c r="J965" s="127" t="s">
        <v>25</v>
      </c>
      <c r="K965" s="126" t="s">
        <v>317</v>
      </c>
      <c r="L965" s="127" t="s">
        <v>4291</v>
      </c>
      <c r="M965" s="127" t="s">
        <v>4292</v>
      </c>
      <c r="N965" s="127" t="s">
        <v>4293</v>
      </c>
      <c r="O965" s="127" t="s">
        <v>276</v>
      </c>
      <c r="P965" s="127" t="s">
        <v>235</v>
      </c>
      <c r="Q965" s="146">
        <v>43220</v>
      </c>
      <c r="R965" s="127" t="s">
        <v>766</v>
      </c>
      <c r="S965" s="127" t="s">
        <v>4190</v>
      </c>
      <c r="T965" s="127" t="s">
        <v>4190</v>
      </c>
      <c r="U965" s="127">
        <v>5</v>
      </c>
      <c r="V965" s="126" t="s">
        <v>14</v>
      </c>
      <c r="W965" s="126" t="s">
        <v>98</v>
      </c>
      <c r="X965" s="127" t="s">
        <v>207</v>
      </c>
      <c r="Y965" s="132" t="s">
        <v>98</v>
      </c>
      <c r="Z965" s="127" t="s">
        <v>98</v>
      </c>
      <c r="AA965" s="127" t="s">
        <v>276</v>
      </c>
      <c r="AB965" s="127" t="s">
        <v>276</v>
      </c>
      <c r="AC965" s="126">
        <v>1</v>
      </c>
      <c r="AD965" s="126" t="s">
        <v>4294</v>
      </c>
      <c r="AE965" s="126">
        <v>1</v>
      </c>
      <c r="AF965" s="126" t="s">
        <v>4294</v>
      </c>
      <c r="AG965" s="127" t="s">
        <v>4445</v>
      </c>
      <c r="AH965" s="127" t="s">
        <v>4306</v>
      </c>
      <c r="AI965" s="134">
        <v>29</v>
      </c>
      <c r="AJ965" s="134">
        <v>51</v>
      </c>
      <c r="AK965" s="134">
        <f>43+20+16+6</f>
        <v>85</v>
      </c>
      <c r="AL965" s="134">
        <f>23+13+23+8</f>
        <v>67</v>
      </c>
      <c r="AM965" s="134" t="s">
        <v>292</v>
      </c>
      <c r="AN965" s="126" t="s">
        <v>276</v>
      </c>
      <c r="AO965" s="135">
        <f t="shared" ref="AO965:AO967" si="308">AI965*100/AK965</f>
        <v>34.117647058823529</v>
      </c>
      <c r="AP965" s="126" t="s">
        <v>276</v>
      </c>
      <c r="AQ965" s="126" t="s">
        <v>276</v>
      </c>
      <c r="AR965" s="126" t="s">
        <v>276</v>
      </c>
      <c r="AS965" s="135">
        <f t="shared" ref="AS965:AS967" si="309">AJ965*100/AL965</f>
        <v>76.119402985074629</v>
      </c>
      <c r="AT965" s="126" t="s">
        <v>276</v>
      </c>
      <c r="AU965" s="126" t="s">
        <v>276</v>
      </c>
      <c r="AV965" s="127" t="s">
        <v>268</v>
      </c>
      <c r="AW965" s="234" t="s">
        <v>276</v>
      </c>
      <c r="AX965" s="234">
        <f t="shared" ref="AX965:AX967" si="310">AO965/AS965</f>
        <v>0.44821222606689731</v>
      </c>
      <c r="AY965" s="127" t="s">
        <v>276</v>
      </c>
      <c r="AZ965" s="127" t="s">
        <v>276</v>
      </c>
      <c r="BA965" s="127" t="s">
        <v>276</v>
      </c>
      <c r="BB965" s="127" t="s">
        <v>282</v>
      </c>
      <c r="BC965" s="127" t="s">
        <v>276</v>
      </c>
      <c r="BD965" s="127" t="s">
        <v>276</v>
      </c>
      <c r="BE965" s="127" t="s">
        <v>276</v>
      </c>
      <c r="BF965" s="127" t="s">
        <v>4296</v>
      </c>
      <c r="BG965" s="127" t="s">
        <v>4297</v>
      </c>
      <c r="BH965" s="9" t="s">
        <v>100</v>
      </c>
      <c r="BI965" s="9" t="s">
        <v>100</v>
      </c>
      <c r="BJ965" s="136"/>
      <c r="BN965" s="136"/>
      <c r="BO965" s="136"/>
    </row>
    <row r="966" spans="1:67" s="137" customFormat="1" ht="78" hidden="1" x14ac:dyDescent="0.35">
      <c r="A966" s="126">
        <v>433</v>
      </c>
      <c r="B966" s="126" t="s">
        <v>4163</v>
      </c>
      <c r="C966" s="126" t="s">
        <v>74</v>
      </c>
      <c r="D966" s="127" t="s">
        <v>4446</v>
      </c>
      <c r="E966" s="126" t="s">
        <v>39</v>
      </c>
      <c r="F966" s="126" t="s">
        <v>143</v>
      </c>
      <c r="G966" s="126" t="s">
        <v>225</v>
      </c>
      <c r="H966" s="126" t="s">
        <v>125</v>
      </c>
      <c r="I966" s="126" t="s">
        <v>114</v>
      </c>
      <c r="J966" s="127" t="s">
        <v>25</v>
      </c>
      <c r="K966" s="126" t="s">
        <v>317</v>
      </c>
      <c r="L966" s="127" t="s">
        <v>4291</v>
      </c>
      <c r="M966" s="127" t="s">
        <v>4292</v>
      </c>
      <c r="N966" s="127" t="s">
        <v>4293</v>
      </c>
      <c r="O966" s="127" t="s">
        <v>276</v>
      </c>
      <c r="P966" s="127" t="s">
        <v>235</v>
      </c>
      <c r="Q966" s="146">
        <v>43220</v>
      </c>
      <c r="R966" s="127" t="s">
        <v>766</v>
      </c>
      <c r="S966" s="127" t="s">
        <v>276</v>
      </c>
      <c r="T966" s="127" t="s">
        <v>276</v>
      </c>
      <c r="U966" s="127">
        <v>5</v>
      </c>
      <c r="V966" s="126" t="s">
        <v>16</v>
      </c>
      <c r="W966" s="126" t="s">
        <v>170</v>
      </c>
      <c r="X966" s="127" t="s">
        <v>207</v>
      </c>
      <c r="Y966" s="132" t="s">
        <v>98</v>
      </c>
      <c r="Z966" s="132" t="s">
        <v>98</v>
      </c>
      <c r="AA966" s="127" t="s">
        <v>276</v>
      </c>
      <c r="AB966" s="127" t="s">
        <v>276</v>
      </c>
      <c r="AC966" s="126">
        <v>1</v>
      </c>
      <c r="AD966" s="126" t="s">
        <v>4294</v>
      </c>
      <c r="AE966" s="126">
        <v>1</v>
      </c>
      <c r="AF966" s="126" t="s">
        <v>4294</v>
      </c>
      <c r="AG966" s="127" t="s">
        <v>4447</v>
      </c>
      <c r="AH966" s="127" t="s">
        <v>4308</v>
      </c>
      <c r="AI966" s="134">
        <f>6+1+5+1+8</f>
        <v>21</v>
      </c>
      <c r="AJ966" s="134">
        <f>5+2+11+3+2+10+1</f>
        <v>34</v>
      </c>
      <c r="AK966" s="134">
        <f>43+16</f>
        <v>59</v>
      </c>
      <c r="AL966" s="134">
        <f>23+23</f>
        <v>46</v>
      </c>
      <c r="AM966" s="134" t="s">
        <v>292</v>
      </c>
      <c r="AN966" s="126" t="s">
        <v>276</v>
      </c>
      <c r="AO966" s="135">
        <f t="shared" si="308"/>
        <v>35.593220338983052</v>
      </c>
      <c r="AP966" s="126" t="s">
        <v>276</v>
      </c>
      <c r="AQ966" s="126" t="s">
        <v>276</v>
      </c>
      <c r="AR966" s="126" t="s">
        <v>276</v>
      </c>
      <c r="AS966" s="135">
        <f t="shared" si="309"/>
        <v>73.913043478260875</v>
      </c>
      <c r="AT966" s="126" t="s">
        <v>276</v>
      </c>
      <c r="AU966" s="126" t="s">
        <v>276</v>
      </c>
      <c r="AV966" s="127" t="s">
        <v>268</v>
      </c>
      <c r="AW966" s="234" t="s">
        <v>276</v>
      </c>
      <c r="AX966" s="234">
        <f t="shared" si="310"/>
        <v>0.48155533399800599</v>
      </c>
      <c r="AY966" s="127" t="s">
        <v>276</v>
      </c>
      <c r="AZ966" s="127" t="s">
        <v>276</v>
      </c>
      <c r="BA966" s="127" t="s">
        <v>276</v>
      </c>
      <c r="BB966" s="127" t="s">
        <v>282</v>
      </c>
      <c r="BC966" s="127" t="s">
        <v>276</v>
      </c>
      <c r="BD966" s="127" t="s">
        <v>276</v>
      </c>
      <c r="BE966" s="127" t="s">
        <v>276</v>
      </c>
      <c r="BF966" s="127" t="s">
        <v>4302</v>
      </c>
      <c r="BG966" s="127" t="s">
        <v>4297</v>
      </c>
      <c r="BH966" s="9" t="s">
        <v>100</v>
      </c>
      <c r="BI966" s="9" t="s">
        <v>100</v>
      </c>
      <c r="BJ966" s="136"/>
      <c r="BN966" s="136"/>
      <c r="BO966" s="136"/>
    </row>
    <row r="967" spans="1:67" s="137" customFormat="1" ht="78" hidden="1" x14ac:dyDescent="0.35">
      <c r="A967" s="126">
        <v>433</v>
      </c>
      <c r="B967" s="126" t="s">
        <v>4163</v>
      </c>
      <c r="C967" s="126" t="s">
        <v>74</v>
      </c>
      <c r="D967" s="127" t="s">
        <v>4448</v>
      </c>
      <c r="E967" s="126" t="s">
        <v>39</v>
      </c>
      <c r="F967" s="126" t="s">
        <v>143</v>
      </c>
      <c r="G967" s="126" t="s">
        <v>225</v>
      </c>
      <c r="H967" s="126" t="s">
        <v>125</v>
      </c>
      <c r="I967" s="126" t="s">
        <v>114</v>
      </c>
      <c r="J967" s="127" t="s">
        <v>25</v>
      </c>
      <c r="K967" s="126" t="s">
        <v>317</v>
      </c>
      <c r="L967" s="127" t="s">
        <v>4291</v>
      </c>
      <c r="M967" s="127" t="s">
        <v>4292</v>
      </c>
      <c r="N967" s="127" t="s">
        <v>4293</v>
      </c>
      <c r="O967" s="127" t="s">
        <v>276</v>
      </c>
      <c r="P967" s="127" t="s">
        <v>235</v>
      </c>
      <c r="Q967" s="146">
        <v>43220</v>
      </c>
      <c r="R967" s="127" t="s">
        <v>766</v>
      </c>
      <c r="S967" s="127" t="s">
        <v>276</v>
      </c>
      <c r="T967" s="127" t="s">
        <v>276</v>
      </c>
      <c r="U967" s="127">
        <v>5</v>
      </c>
      <c r="V967" s="126" t="s">
        <v>16</v>
      </c>
      <c r="W967" s="126" t="s">
        <v>171</v>
      </c>
      <c r="X967" s="127" t="s">
        <v>207</v>
      </c>
      <c r="Y967" s="132" t="s">
        <v>98</v>
      </c>
      <c r="Z967" s="132" t="s">
        <v>98</v>
      </c>
      <c r="AA967" s="127" t="s">
        <v>276</v>
      </c>
      <c r="AB967" s="127" t="s">
        <v>276</v>
      </c>
      <c r="AC967" s="126">
        <v>0</v>
      </c>
      <c r="AD967" s="126" t="s">
        <v>4294</v>
      </c>
      <c r="AE967" s="126">
        <v>0</v>
      </c>
      <c r="AF967" s="126" t="s">
        <v>4294</v>
      </c>
      <c r="AG967" s="127" t="s">
        <v>4449</v>
      </c>
      <c r="AH967" s="127" t="s">
        <v>4310</v>
      </c>
      <c r="AI967" s="134">
        <f>1+2+2+1+2</f>
        <v>8</v>
      </c>
      <c r="AJ967" s="134">
        <f>5+1+4+3+3+1</f>
        <v>17</v>
      </c>
      <c r="AK967" s="134">
        <f>20+6</f>
        <v>26</v>
      </c>
      <c r="AL967" s="134">
        <f>13+8</f>
        <v>21</v>
      </c>
      <c r="AM967" s="134" t="s">
        <v>292</v>
      </c>
      <c r="AN967" s="126" t="s">
        <v>276</v>
      </c>
      <c r="AO967" s="135">
        <f t="shared" si="308"/>
        <v>30.76923076923077</v>
      </c>
      <c r="AP967" s="126" t="s">
        <v>276</v>
      </c>
      <c r="AQ967" s="126" t="s">
        <v>276</v>
      </c>
      <c r="AR967" s="126" t="s">
        <v>276</v>
      </c>
      <c r="AS967" s="135">
        <f t="shared" si="309"/>
        <v>80.952380952380949</v>
      </c>
      <c r="AT967" s="126" t="s">
        <v>276</v>
      </c>
      <c r="AU967" s="126" t="s">
        <v>276</v>
      </c>
      <c r="AV967" s="127" t="s">
        <v>268</v>
      </c>
      <c r="AW967" s="234" t="s">
        <v>276</v>
      </c>
      <c r="AX967" s="234">
        <f t="shared" si="310"/>
        <v>0.3800904977375566</v>
      </c>
      <c r="AY967" s="127" t="s">
        <v>276</v>
      </c>
      <c r="AZ967" s="127" t="s">
        <v>276</v>
      </c>
      <c r="BA967" s="127" t="s">
        <v>276</v>
      </c>
      <c r="BB967" s="127" t="s">
        <v>282</v>
      </c>
      <c r="BC967" s="127" t="s">
        <v>276</v>
      </c>
      <c r="BD967" s="127" t="s">
        <v>276</v>
      </c>
      <c r="BE967" s="127" t="s">
        <v>276</v>
      </c>
      <c r="BF967" s="127" t="s">
        <v>4302</v>
      </c>
      <c r="BG967" s="127" t="s">
        <v>4297</v>
      </c>
      <c r="BH967" s="9" t="s">
        <v>100</v>
      </c>
      <c r="BI967" s="9" t="s">
        <v>100</v>
      </c>
      <c r="BJ967" s="136"/>
      <c r="BN967" s="136"/>
      <c r="BO967" s="136"/>
    </row>
    <row r="968" spans="1:67" s="124" customFormat="1" ht="78" hidden="1" x14ac:dyDescent="0.35">
      <c r="A968" s="112">
        <v>433</v>
      </c>
      <c r="B968" s="112" t="s">
        <v>4163</v>
      </c>
      <c r="C968" s="112" t="s">
        <v>74</v>
      </c>
      <c r="D968" s="113" t="s">
        <v>4450</v>
      </c>
      <c r="E968" s="112" t="s">
        <v>39</v>
      </c>
      <c r="F968" s="112" t="s">
        <v>143</v>
      </c>
      <c r="G968" s="112" t="s">
        <v>225</v>
      </c>
      <c r="H968" s="112" t="s">
        <v>125</v>
      </c>
      <c r="I968" s="112" t="s">
        <v>114</v>
      </c>
      <c r="J968" s="113" t="s">
        <v>98</v>
      </c>
      <c r="K968" s="112" t="s">
        <v>98</v>
      </c>
      <c r="L968" s="112" t="s">
        <v>98</v>
      </c>
      <c r="M968" s="112" t="s">
        <v>98</v>
      </c>
      <c r="N968" s="113" t="s">
        <v>4293</v>
      </c>
      <c r="O968" s="113" t="s">
        <v>276</v>
      </c>
      <c r="P968" s="113" t="s">
        <v>238</v>
      </c>
      <c r="Q968" s="142" t="s">
        <v>276</v>
      </c>
      <c r="R968" s="328" t="s">
        <v>276</v>
      </c>
      <c r="S968" s="113" t="s">
        <v>276</v>
      </c>
      <c r="T968" s="113" t="s">
        <v>98</v>
      </c>
      <c r="U968" s="162" t="s">
        <v>1224</v>
      </c>
      <c r="V968" s="112" t="s">
        <v>14</v>
      </c>
      <c r="W968" s="112" t="s">
        <v>98</v>
      </c>
      <c r="X968" s="113" t="s">
        <v>209</v>
      </c>
      <c r="Y968" s="118">
        <v>2029</v>
      </c>
      <c r="Z968" s="113" t="s">
        <v>98</v>
      </c>
      <c r="AA968" s="113" t="s">
        <v>276</v>
      </c>
      <c r="AB968" s="113" t="s">
        <v>98</v>
      </c>
      <c r="AC968" s="112">
        <v>0</v>
      </c>
      <c r="AD968" s="113" t="s">
        <v>4451</v>
      </c>
      <c r="AE968" s="112" t="s">
        <v>98</v>
      </c>
      <c r="AF968" s="112" t="s">
        <v>98</v>
      </c>
      <c r="AG968" s="113" t="s">
        <v>4452</v>
      </c>
      <c r="AH968" s="113" t="s">
        <v>866</v>
      </c>
      <c r="AI968" s="119">
        <v>63</v>
      </c>
      <c r="AJ968" s="119" t="s">
        <v>98</v>
      </c>
      <c r="AK968" s="119">
        <v>2029</v>
      </c>
      <c r="AL968" s="119" t="s">
        <v>98</v>
      </c>
      <c r="AM968" s="119" t="s">
        <v>292</v>
      </c>
      <c r="AN968" s="112" t="s">
        <v>276</v>
      </c>
      <c r="AO968" s="207">
        <f t="shared" si="293"/>
        <v>3.1049778215869885</v>
      </c>
      <c r="AP968" s="112" t="s">
        <v>276</v>
      </c>
      <c r="AQ968" s="112" t="s">
        <v>276</v>
      </c>
      <c r="AR968" s="112" t="s">
        <v>98</v>
      </c>
      <c r="AS968" s="112" t="s">
        <v>98</v>
      </c>
      <c r="AT968" s="112" t="s">
        <v>98</v>
      </c>
      <c r="AU968" s="112" t="s">
        <v>98</v>
      </c>
      <c r="AV968" s="112" t="s">
        <v>98</v>
      </c>
      <c r="AW968" s="112" t="s">
        <v>98</v>
      </c>
      <c r="AX968" s="112" t="s">
        <v>98</v>
      </c>
      <c r="AY968" s="112" t="s">
        <v>98</v>
      </c>
      <c r="AZ968" s="112" t="s">
        <v>98</v>
      </c>
      <c r="BA968" s="112" t="s">
        <v>98</v>
      </c>
      <c r="BB968" s="112" t="s">
        <v>98</v>
      </c>
      <c r="BC968" s="112" t="s">
        <v>98</v>
      </c>
      <c r="BD968" s="112" t="s">
        <v>98</v>
      </c>
      <c r="BE968" s="112" t="s">
        <v>98</v>
      </c>
      <c r="BF968" s="113" t="s">
        <v>4453</v>
      </c>
      <c r="BG968" s="113" t="s">
        <v>4454</v>
      </c>
      <c r="BH968" s="9" t="s">
        <v>100</v>
      </c>
      <c r="BI968" s="9" t="s">
        <v>100</v>
      </c>
      <c r="BJ968" s="123"/>
      <c r="BN968" s="123"/>
      <c r="BO968" s="123"/>
    </row>
    <row r="969" spans="1:67" s="124" customFormat="1" ht="78" hidden="1" x14ac:dyDescent="0.35">
      <c r="A969" s="112">
        <v>433</v>
      </c>
      <c r="B969" s="112" t="s">
        <v>4163</v>
      </c>
      <c r="C969" s="112" t="s">
        <v>74</v>
      </c>
      <c r="D969" s="113" t="s">
        <v>4455</v>
      </c>
      <c r="E969" s="112" t="s">
        <v>39</v>
      </c>
      <c r="F969" s="112" t="s">
        <v>143</v>
      </c>
      <c r="G969" s="112" t="s">
        <v>225</v>
      </c>
      <c r="H969" s="112" t="s">
        <v>125</v>
      </c>
      <c r="I969" s="112" t="s">
        <v>114</v>
      </c>
      <c r="J969" s="113" t="s">
        <v>98</v>
      </c>
      <c r="K969" s="112" t="s">
        <v>98</v>
      </c>
      <c r="L969" s="112" t="s">
        <v>98</v>
      </c>
      <c r="M969" s="112" t="s">
        <v>98</v>
      </c>
      <c r="N969" s="113" t="s">
        <v>4293</v>
      </c>
      <c r="O969" s="113" t="s">
        <v>276</v>
      </c>
      <c r="P969" s="113" t="s">
        <v>236</v>
      </c>
      <c r="Q969" s="142">
        <v>43220</v>
      </c>
      <c r="R969" s="328" t="s">
        <v>276</v>
      </c>
      <c r="S969" s="113" t="s">
        <v>276</v>
      </c>
      <c r="T969" s="113" t="s">
        <v>98</v>
      </c>
      <c r="U969" s="162" t="s">
        <v>1224</v>
      </c>
      <c r="V969" s="112" t="s">
        <v>14</v>
      </c>
      <c r="W969" s="112" t="s">
        <v>98</v>
      </c>
      <c r="X969" s="113" t="s">
        <v>209</v>
      </c>
      <c r="Y969" s="118" t="s">
        <v>98</v>
      </c>
      <c r="Z969" s="113" t="s">
        <v>98</v>
      </c>
      <c r="AA969" s="113" t="s">
        <v>276</v>
      </c>
      <c r="AB969" s="113" t="s">
        <v>98</v>
      </c>
      <c r="AC969" s="112">
        <v>0</v>
      </c>
      <c r="AD969" s="113" t="s">
        <v>4451</v>
      </c>
      <c r="AE969" s="112" t="s">
        <v>98</v>
      </c>
      <c r="AF969" s="112" t="s">
        <v>98</v>
      </c>
      <c r="AG969" s="113" t="s">
        <v>4452</v>
      </c>
      <c r="AH969" s="113" t="s">
        <v>4456</v>
      </c>
      <c r="AI969" s="119">
        <v>63</v>
      </c>
      <c r="AJ969" s="119" t="s">
        <v>98</v>
      </c>
      <c r="AK969" s="119">
        <v>85</v>
      </c>
      <c r="AL969" s="119" t="s">
        <v>98</v>
      </c>
      <c r="AM969" s="119" t="s">
        <v>292</v>
      </c>
      <c r="AN969" s="112" t="s">
        <v>276</v>
      </c>
      <c r="AO969" s="121">
        <f t="shared" ref="AO969" si="311">AI969*100/AK969</f>
        <v>74.117647058823536</v>
      </c>
      <c r="AP969" s="112" t="s">
        <v>276</v>
      </c>
      <c r="AQ969" s="112" t="s">
        <v>276</v>
      </c>
      <c r="AR969" s="112" t="s">
        <v>98</v>
      </c>
      <c r="AS969" s="112" t="s">
        <v>98</v>
      </c>
      <c r="AT969" s="112" t="s">
        <v>98</v>
      </c>
      <c r="AU969" s="112" t="s">
        <v>98</v>
      </c>
      <c r="AV969" s="112" t="s">
        <v>98</v>
      </c>
      <c r="AW969" s="112" t="s">
        <v>98</v>
      </c>
      <c r="AX969" s="112" t="s">
        <v>98</v>
      </c>
      <c r="AY969" s="112" t="s">
        <v>98</v>
      </c>
      <c r="AZ969" s="112" t="s">
        <v>98</v>
      </c>
      <c r="BA969" s="112" t="s">
        <v>98</v>
      </c>
      <c r="BB969" s="112" t="s">
        <v>98</v>
      </c>
      <c r="BC969" s="112" t="s">
        <v>98</v>
      </c>
      <c r="BD969" s="112" t="s">
        <v>98</v>
      </c>
      <c r="BE969" s="112" t="s">
        <v>98</v>
      </c>
      <c r="BF969" s="113" t="s">
        <v>4453</v>
      </c>
      <c r="BG969" s="113" t="s">
        <v>4454</v>
      </c>
      <c r="BH969" s="9" t="s">
        <v>100</v>
      </c>
      <c r="BI969" s="9" t="s">
        <v>100</v>
      </c>
      <c r="BJ969" s="123"/>
      <c r="BN969" s="123"/>
      <c r="BO969" s="123"/>
    </row>
    <row r="970" spans="1:67" s="124" customFormat="1" ht="78" x14ac:dyDescent="0.35">
      <c r="A970" s="112">
        <v>433</v>
      </c>
      <c r="B970" s="112" t="s">
        <v>4163</v>
      </c>
      <c r="C970" s="112" t="s">
        <v>74</v>
      </c>
      <c r="D970" s="113" t="s">
        <v>11667</v>
      </c>
      <c r="E970" s="112" t="s">
        <v>39</v>
      </c>
      <c r="F970" s="112" t="s">
        <v>143</v>
      </c>
      <c r="G970" s="112" t="s">
        <v>225</v>
      </c>
      <c r="H970" s="112" t="s">
        <v>125</v>
      </c>
      <c r="I970" s="112" t="s">
        <v>114</v>
      </c>
      <c r="J970" s="113" t="s">
        <v>98</v>
      </c>
      <c r="K970" s="112" t="s">
        <v>98</v>
      </c>
      <c r="L970" s="112" t="s">
        <v>98</v>
      </c>
      <c r="M970" s="112" t="s">
        <v>98</v>
      </c>
      <c r="N970" s="113" t="s">
        <v>4293</v>
      </c>
      <c r="O970" s="113" t="s">
        <v>276</v>
      </c>
      <c r="P970" s="113" t="s">
        <v>236</v>
      </c>
      <c r="Q970" s="142" t="s">
        <v>741</v>
      </c>
      <c r="R970" s="328" t="s">
        <v>276</v>
      </c>
      <c r="S970" s="113" t="s">
        <v>276</v>
      </c>
      <c r="T970" s="113" t="s">
        <v>98</v>
      </c>
      <c r="U970" s="162" t="s">
        <v>1224</v>
      </c>
      <c r="V970" s="112" t="s">
        <v>14</v>
      </c>
      <c r="W970" s="112" t="s">
        <v>98</v>
      </c>
      <c r="X970" s="113" t="s">
        <v>209</v>
      </c>
      <c r="Y970" s="118" t="s">
        <v>98</v>
      </c>
      <c r="Z970" s="113" t="s">
        <v>98</v>
      </c>
      <c r="AA970" s="113" t="s">
        <v>276</v>
      </c>
      <c r="AB970" s="113" t="s">
        <v>98</v>
      </c>
      <c r="AC970" s="112">
        <v>0</v>
      </c>
      <c r="AD970" s="113" t="s">
        <v>4451</v>
      </c>
      <c r="AE970" s="112" t="s">
        <v>98</v>
      </c>
      <c r="AF970" s="112" t="s">
        <v>98</v>
      </c>
      <c r="AG970" s="113" t="s">
        <v>4452</v>
      </c>
      <c r="AH970" s="113" t="s">
        <v>11668</v>
      </c>
      <c r="AI970" s="119">
        <v>63</v>
      </c>
      <c r="AJ970" s="119" t="s">
        <v>98</v>
      </c>
      <c r="AK970" s="119">
        <v>74</v>
      </c>
      <c r="AL970" s="119" t="s">
        <v>98</v>
      </c>
      <c r="AM970" s="119" t="s">
        <v>292</v>
      </c>
      <c r="AN970" s="112" t="s">
        <v>276</v>
      </c>
      <c r="AO970" s="121">
        <f t="shared" si="293"/>
        <v>85.13513513513513</v>
      </c>
      <c r="AP970" s="112" t="s">
        <v>276</v>
      </c>
      <c r="AQ970" s="112" t="s">
        <v>276</v>
      </c>
      <c r="AR970" s="112" t="s">
        <v>98</v>
      </c>
      <c r="AS970" s="112" t="s">
        <v>98</v>
      </c>
      <c r="AT970" s="112" t="s">
        <v>98</v>
      </c>
      <c r="AU970" s="112" t="s">
        <v>98</v>
      </c>
      <c r="AV970" s="112" t="s">
        <v>98</v>
      </c>
      <c r="AW970" s="112" t="s">
        <v>98</v>
      </c>
      <c r="AX970" s="112" t="s">
        <v>98</v>
      </c>
      <c r="AY970" s="112" t="s">
        <v>98</v>
      </c>
      <c r="AZ970" s="112" t="s">
        <v>98</v>
      </c>
      <c r="BA970" s="112" t="s">
        <v>98</v>
      </c>
      <c r="BB970" s="112" t="s">
        <v>98</v>
      </c>
      <c r="BC970" s="112" t="s">
        <v>98</v>
      </c>
      <c r="BD970" s="112" t="s">
        <v>98</v>
      </c>
      <c r="BE970" s="112" t="s">
        <v>98</v>
      </c>
      <c r="BF970" s="113" t="s">
        <v>4453</v>
      </c>
      <c r="BG970" s="113" t="s">
        <v>4454</v>
      </c>
      <c r="BH970" s="9" t="s">
        <v>99</v>
      </c>
      <c r="BI970" s="9" t="s">
        <v>99</v>
      </c>
      <c r="BJ970" s="123"/>
      <c r="BN970" s="123"/>
      <c r="BO970" s="123"/>
    </row>
    <row r="971" spans="1:67" s="124" customFormat="1" ht="78" hidden="1" x14ac:dyDescent="0.35">
      <c r="A971" s="112">
        <v>433</v>
      </c>
      <c r="B971" s="112" t="s">
        <v>4163</v>
      </c>
      <c r="C971" s="112" t="s">
        <v>74</v>
      </c>
      <c r="D971" s="113" t="s">
        <v>4457</v>
      </c>
      <c r="E971" s="112" t="s">
        <v>39</v>
      </c>
      <c r="F971" s="112" t="s">
        <v>143</v>
      </c>
      <c r="G971" s="112" t="s">
        <v>225</v>
      </c>
      <c r="H971" s="112" t="s">
        <v>125</v>
      </c>
      <c r="I971" s="112" t="s">
        <v>114</v>
      </c>
      <c r="J971" s="113" t="s">
        <v>98</v>
      </c>
      <c r="K971" s="112" t="s">
        <v>98</v>
      </c>
      <c r="L971" s="112" t="s">
        <v>98</v>
      </c>
      <c r="M971" s="112" t="s">
        <v>98</v>
      </c>
      <c r="N971" s="113" t="s">
        <v>4293</v>
      </c>
      <c r="O971" s="113" t="s">
        <v>276</v>
      </c>
      <c r="P971" s="113" t="s">
        <v>236</v>
      </c>
      <c r="Q971" s="142" t="s">
        <v>4458</v>
      </c>
      <c r="R971" s="328" t="s">
        <v>276</v>
      </c>
      <c r="S971" s="113" t="s">
        <v>276</v>
      </c>
      <c r="T971" s="113" t="s">
        <v>98</v>
      </c>
      <c r="U971" s="162" t="s">
        <v>1224</v>
      </c>
      <c r="V971" s="112" t="s">
        <v>14</v>
      </c>
      <c r="W971" s="112" t="s">
        <v>98</v>
      </c>
      <c r="X971" s="113" t="s">
        <v>209</v>
      </c>
      <c r="Y971" s="118" t="s">
        <v>98</v>
      </c>
      <c r="Z971" s="113" t="s">
        <v>98</v>
      </c>
      <c r="AA971" s="113" t="s">
        <v>276</v>
      </c>
      <c r="AB971" s="113" t="s">
        <v>98</v>
      </c>
      <c r="AC971" s="112">
        <v>0</v>
      </c>
      <c r="AD971" s="113" t="s">
        <v>4451</v>
      </c>
      <c r="AE971" s="112" t="s">
        <v>98</v>
      </c>
      <c r="AF971" s="112" t="s">
        <v>98</v>
      </c>
      <c r="AG971" s="113" t="s">
        <v>4452</v>
      </c>
      <c r="AH971" s="113" t="s">
        <v>4459</v>
      </c>
      <c r="AI971" s="119">
        <v>63</v>
      </c>
      <c r="AJ971" s="119" t="s">
        <v>98</v>
      </c>
      <c r="AK971" s="119">
        <f>63+6</f>
        <v>69</v>
      </c>
      <c r="AL971" s="119" t="s">
        <v>98</v>
      </c>
      <c r="AM971" s="119" t="s">
        <v>292</v>
      </c>
      <c r="AN971" s="112" t="s">
        <v>276</v>
      </c>
      <c r="AO971" s="121">
        <f t="shared" si="293"/>
        <v>91.304347826086953</v>
      </c>
      <c r="AP971" s="112" t="s">
        <v>276</v>
      </c>
      <c r="AQ971" s="112" t="s">
        <v>276</v>
      </c>
      <c r="AR971" s="112" t="s">
        <v>98</v>
      </c>
      <c r="AS971" s="112" t="s">
        <v>98</v>
      </c>
      <c r="AT971" s="112" t="s">
        <v>98</v>
      </c>
      <c r="AU971" s="112" t="s">
        <v>98</v>
      </c>
      <c r="AV971" s="112" t="s">
        <v>98</v>
      </c>
      <c r="AW971" s="112" t="s">
        <v>98</v>
      </c>
      <c r="AX971" s="112" t="s">
        <v>98</v>
      </c>
      <c r="AY971" s="112" t="s">
        <v>98</v>
      </c>
      <c r="AZ971" s="112" t="s">
        <v>98</v>
      </c>
      <c r="BA971" s="112" t="s">
        <v>98</v>
      </c>
      <c r="BB971" s="112" t="s">
        <v>98</v>
      </c>
      <c r="BC971" s="112" t="s">
        <v>98</v>
      </c>
      <c r="BD971" s="112" t="s">
        <v>98</v>
      </c>
      <c r="BE971" s="112" t="s">
        <v>98</v>
      </c>
      <c r="BF971" s="113" t="s">
        <v>4460</v>
      </c>
      <c r="BG971" s="113" t="s">
        <v>4454</v>
      </c>
      <c r="BH971" s="9" t="s">
        <v>100</v>
      </c>
      <c r="BI971" s="9" t="s">
        <v>100</v>
      </c>
      <c r="BJ971" s="123"/>
      <c r="BN971" s="123"/>
      <c r="BO971" s="123"/>
    </row>
    <row r="972" spans="1:67" s="277" customFormat="1" ht="78" hidden="1" x14ac:dyDescent="0.35">
      <c r="A972" s="244">
        <v>432</v>
      </c>
      <c r="B972" s="244" t="s">
        <v>4269</v>
      </c>
      <c r="C972" s="244" t="s">
        <v>74</v>
      </c>
      <c r="D972" s="245" t="s">
        <v>4461</v>
      </c>
      <c r="E972" s="244" t="s">
        <v>39</v>
      </c>
      <c r="F972" s="244" t="s">
        <v>143</v>
      </c>
      <c r="G972" s="244" t="s">
        <v>225</v>
      </c>
      <c r="H972" s="244" t="s">
        <v>125</v>
      </c>
      <c r="I972" s="244" t="s">
        <v>114</v>
      </c>
      <c r="J972" s="245" t="s">
        <v>98</v>
      </c>
      <c r="K972" s="244" t="s">
        <v>98</v>
      </c>
      <c r="L972" s="244" t="s">
        <v>98</v>
      </c>
      <c r="M972" s="244" t="s">
        <v>98</v>
      </c>
      <c r="N972" s="245" t="s">
        <v>4462</v>
      </c>
      <c r="O972" s="245" t="s">
        <v>4463</v>
      </c>
      <c r="P972" s="245" t="s">
        <v>236</v>
      </c>
      <c r="Q972" s="335">
        <v>43585</v>
      </c>
      <c r="R972" s="245" t="s">
        <v>770</v>
      </c>
      <c r="S972" s="245" t="s">
        <v>4464</v>
      </c>
      <c r="T972" s="245" t="s">
        <v>98</v>
      </c>
      <c r="U972" s="245">
        <v>5</v>
      </c>
      <c r="V972" s="244" t="s">
        <v>14</v>
      </c>
      <c r="W972" s="244" t="s">
        <v>98</v>
      </c>
      <c r="X972" s="245" t="s">
        <v>209</v>
      </c>
      <c r="Y972" s="249" t="s">
        <v>98</v>
      </c>
      <c r="Z972" s="245" t="s">
        <v>98</v>
      </c>
      <c r="AA972" s="245" t="s">
        <v>276</v>
      </c>
      <c r="AB972" s="245" t="s">
        <v>98</v>
      </c>
      <c r="AC972" s="244">
        <v>0</v>
      </c>
      <c r="AD972" s="245" t="s">
        <v>4451</v>
      </c>
      <c r="AE972" s="244" t="s">
        <v>98</v>
      </c>
      <c r="AF972" s="244" t="s">
        <v>98</v>
      </c>
      <c r="AG972" s="245" t="s">
        <v>4452</v>
      </c>
      <c r="AH972" s="245" t="s">
        <v>4465</v>
      </c>
      <c r="AI972" s="250">
        <v>63</v>
      </c>
      <c r="AJ972" s="250" t="s">
        <v>98</v>
      </c>
      <c r="AK972" s="250">
        <v>90</v>
      </c>
      <c r="AL972" s="250" t="s">
        <v>98</v>
      </c>
      <c r="AM972" s="250" t="s">
        <v>292</v>
      </c>
      <c r="AN972" s="244" t="s">
        <v>276</v>
      </c>
      <c r="AO972" s="251">
        <f>AI972*100/AK972</f>
        <v>70</v>
      </c>
      <c r="AP972" s="244" t="s">
        <v>276</v>
      </c>
      <c r="AQ972" s="244" t="s">
        <v>276</v>
      </c>
      <c r="AR972" s="244" t="s">
        <v>98</v>
      </c>
      <c r="AS972" s="244" t="s">
        <v>98</v>
      </c>
      <c r="AT972" s="244" t="s">
        <v>98</v>
      </c>
      <c r="AU972" s="244" t="s">
        <v>98</v>
      </c>
      <c r="AV972" s="244" t="s">
        <v>98</v>
      </c>
      <c r="AW972" s="244" t="s">
        <v>98</v>
      </c>
      <c r="AX972" s="244" t="s">
        <v>98</v>
      </c>
      <c r="AY972" s="244" t="s">
        <v>98</v>
      </c>
      <c r="AZ972" s="244" t="s">
        <v>98</v>
      </c>
      <c r="BA972" s="244" t="s">
        <v>98</v>
      </c>
      <c r="BB972" s="244" t="s">
        <v>98</v>
      </c>
      <c r="BC972" s="244" t="s">
        <v>98</v>
      </c>
      <c r="BD972" s="244" t="s">
        <v>98</v>
      </c>
      <c r="BE972" s="244" t="s">
        <v>98</v>
      </c>
      <c r="BF972" s="245" t="s">
        <v>4466</v>
      </c>
      <c r="BG972" s="245" t="s">
        <v>4467</v>
      </c>
      <c r="BH972" s="9" t="s">
        <v>100</v>
      </c>
      <c r="BI972" s="9" t="s">
        <v>100</v>
      </c>
      <c r="BJ972" s="276"/>
      <c r="BN972" s="276"/>
      <c r="BO972" s="276"/>
    </row>
    <row r="973" spans="1:67" s="33" customFormat="1" ht="65" hidden="1" x14ac:dyDescent="0.35">
      <c r="A973" s="8">
        <v>3757</v>
      </c>
      <c r="B973" s="9" t="s">
        <v>4468</v>
      </c>
      <c r="C973" s="8" t="s">
        <v>63</v>
      </c>
      <c r="D973" s="9" t="s">
        <v>4551</v>
      </c>
      <c r="E973" s="8" t="s">
        <v>35</v>
      </c>
      <c r="F973" s="9" t="s">
        <v>131</v>
      </c>
      <c r="G973" s="8" t="s">
        <v>225</v>
      </c>
      <c r="H973" s="8" t="s">
        <v>125</v>
      </c>
      <c r="I973" s="8" t="s">
        <v>114</v>
      </c>
      <c r="J973" s="9" t="s">
        <v>25</v>
      </c>
      <c r="K973" s="9" t="s">
        <v>4552</v>
      </c>
      <c r="L973" s="9" t="s">
        <v>4553</v>
      </c>
      <c r="M973" s="8" t="s">
        <v>276</v>
      </c>
      <c r="N973" s="9" t="s">
        <v>4554</v>
      </c>
      <c r="O973" s="9" t="s">
        <v>276</v>
      </c>
      <c r="P973" s="9" t="s">
        <v>239</v>
      </c>
      <c r="Q973" s="52" t="s">
        <v>276</v>
      </c>
      <c r="R973" s="9" t="s">
        <v>741</v>
      </c>
      <c r="S973" s="9" t="s">
        <v>4474</v>
      </c>
      <c r="T973" s="9" t="s">
        <v>4475</v>
      </c>
      <c r="U973" s="9">
        <v>7</v>
      </c>
      <c r="V973" s="8" t="s">
        <v>14</v>
      </c>
      <c r="W973" s="9" t="s">
        <v>4472</v>
      </c>
      <c r="X973" s="9" t="s">
        <v>207</v>
      </c>
      <c r="Y973" s="13">
        <v>23226</v>
      </c>
      <c r="Z973" s="38">
        <v>21904</v>
      </c>
      <c r="AA973" s="9" t="s">
        <v>276</v>
      </c>
      <c r="AB973" s="9" t="s">
        <v>276</v>
      </c>
      <c r="AC973" s="8">
        <v>1</v>
      </c>
      <c r="AD973" s="8" t="s">
        <v>4555</v>
      </c>
      <c r="AE973" s="8">
        <v>5</v>
      </c>
      <c r="AF973" s="8" t="s">
        <v>4555</v>
      </c>
      <c r="AG973" s="9" t="s">
        <v>4556</v>
      </c>
      <c r="AH973" s="9" t="s">
        <v>4557</v>
      </c>
      <c r="AI973" s="38">
        <v>40</v>
      </c>
      <c r="AJ973" s="38">
        <v>7</v>
      </c>
      <c r="AK973" s="38">
        <v>23226</v>
      </c>
      <c r="AL973" s="38">
        <v>21904</v>
      </c>
      <c r="AM973" s="38" t="s">
        <v>4558</v>
      </c>
      <c r="AN973" s="8" t="s">
        <v>276</v>
      </c>
      <c r="AO973" s="31">
        <f>AI973/AK973*1000</f>
        <v>1.7222078704899682</v>
      </c>
      <c r="AP973" s="8" t="s">
        <v>276</v>
      </c>
      <c r="AQ973" s="8" t="s">
        <v>276</v>
      </c>
      <c r="AR973" s="8" t="s">
        <v>276</v>
      </c>
      <c r="AS973" s="31">
        <f>AJ973/AL973*1000</f>
        <v>0.31957633308984662</v>
      </c>
      <c r="AT973" s="8" t="s">
        <v>276</v>
      </c>
      <c r="AU973" s="8" t="s">
        <v>276</v>
      </c>
      <c r="AV973" s="9" t="s">
        <v>268</v>
      </c>
      <c r="AW973" s="40" t="s">
        <v>276</v>
      </c>
      <c r="AX973" s="53">
        <f>AO973/AS973</f>
        <v>5.3890344564588943</v>
      </c>
      <c r="AY973" s="9" t="s">
        <v>276</v>
      </c>
      <c r="AZ973" s="9" t="s">
        <v>276</v>
      </c>
      <c r="BA973" s="9" t="s">
        <v>276</v>
      </c>
      <c r="BB973" s="9" t="s">
        <v>282</v>
      </c>
      <c r="BC973" s="9" t="s">
        <v>276</v>
      </c>
      <c r="BD973" s="9" t="s">
        <v>276</v>
      </c>
      <c r="BE973" s="9" t="s">
        <v>276</v>
      </c>
      <c r="BF973" s="9" t="s">
        <v>4559</v>
      </c>
      <c r="BG973" s="9"/>
      <c r="BH973" s="9" t="s">
        <v>100</v>
      </c>
      <c r="BI973" s="9" t="s">
        <v>100</v>
      </c>
      <c r="BJ973" s="32"/>
      <c r="BN973" s="32"/>
      <c r="BO973" s="32"/>
    </row>
    <row r="974" spans="1:67" s="33" customFormat="1" ht="65" hidden="1" x14ac:dyDescent="0.35">
      <c r="A974" s="8">
        <v>3757</v>
      </c>
      <c r="B974" s="9" t="s">
        <v>4468</v>
      </c>
      <c r="C974" s="8" t="s">
        <v>63</v>
      </c>
      <c r="D974" s="9" t="s">
        <v>4560</v>
      </c>
      <c r="E974" s="8" t="s">
        <v>35</v>
      </c>
      <c r="F974" s="9" t="s">
        <v>131</v>
      </c>
      <c r="G974" s="8" t="s">
        <v>225</v>
      </c>
      <c r="H974" s="8" t="s">
        <v>125</v>
      </c>
      <c r="I974" s="8" t="s">
        <v>114</v>
      </c>
      <c r="J974" s="9" t="s">
        <v>25</v>
      </c>
      <c r="K974" s="9" t="s">
        <v>4552</v>
      </c>
      <c r="L974" s="9" t="s">
        <v>4553</v>
      </c>
      <c r="M974" s="8" t="s">
        <v>276</v>
      </c>
      <c r="N974" s="9" t="s">
        <v>4554</v>
      </c>
      <c r="O974" s="9" t="s">
        <v>276</v>
      </c>
      <c r="P974" s="9" t="s">
        <v>239</v>
      </c>
      <c r="Q974" s="52" t="s">
        <v>276</v>
      </c>
      <c r="R974" s="9" t="s">
        <v>741</v>
      </c>
      <c r="S974" s="9" t="s">
        <v>4474</v>
      </c>
      <c r="T974" s="9" t="s">
        <v>4475</v>
      </c>
      <c r="U974" s="9">
        <v>7</v>
      </c>
      <c r="V974" s="8" t="s">
        <v>14</v>
      </c>
      <c r="W974" s="9" t="s">
        <v>4472</v>
      </c>
      <c r="X974" s="9" t="s">
        <v>207</v>
      </c>
      <c r="Y974" s="13">
        <v>23226</v>
      </c>
      <c r="Z974" s="38">
        <v>21904</v>
      </c>
      <c r="AA974" s="9" t="s">
        <v>276</v>
      </c>
      <c r="AB974" s="9" t="s">
        <v>276</v>
      </c>
      <c r="AC974" s="8">
        <v>1</v>
      </c>
      <c r="AD974" s="8" t="s">
        <v>4555</v>
      </c>
      <c r="AE974" s="8">
        <v>5</v>
      </c>
      <c r="AF974" s="8" t="s">
        <v>4555</v>
      </c>
      <c r="AG974" s="9" t="s">
        <v>4556</v>
      </c>
      <c r="AH974" s="9" t="s">
        <v>4561</v>
      </c>
      <c r="AI974" s="38">
        <v>40</v>
      </c>
      <c r="AJ974" s="38">
        <v>7</v>
      </c>
      <c r="AK974" s="38">
        <v>157946</v>
      </c>
      <c r="AL974" s="38">
        <v>147854</v>
      </c>
      <c r="AM974" s="38" t="s">
        <v>4562</v>
      </c>
      <c r="AN974" s="8" t="s">
        <v>276</v>
      </c>
      <c r="AO974" s="31">
        <f>AI974/AK974*10000</f>
        <v>2.532511111392501</v>
      </c>
      <c r="AP974" s="8" t="s">
        <v>276</v>
      </c>
      <c r="AQ974" s="8" t="s">
        <v>276</v>
      </c>
      <c r="AR974" s="8" t="s">
        <v>276</v>
      </c>
      <c r="AS974" s="31">
        <f>AJ974/AL974*10000</f>
        <v>0.4734400151500805</v>
      </c>
      <c r="AT974" s="8" t="s">
        <v>276</v>
      </c>
      <c r="AU974" s="8" t="s">
        <v>276</v>
      </c>
      <c r="AV974" s="9" t="s">
        <v>269</v>
      </c>
      <c r="AW974" s="40" t="s">
        <v>276</v>
      </c>
      <c r="AX974" s="53">
        <f t="shared" ref="AX974:AX983" si="312">AO974/AS974</f>
        <v>5.3491699694832402</v>
      </c>
      <c r="AY974" s="9" t="s">
        <v>276</v>
      </c>
      <c r="AZ974" s="9" t="s">
        <v>276</v>
      </c>
      <c r="BA974" s="9" t="s">
        <v>276</v>
      </c>
      <c r="BB974" s="9" t="s">
        <v>282</v>
      </c>
      <c r="BC974" s="9" t="s">
        <v>276</v>
      </c>
      <c r="BD974" s="9" t="s">
        <v>276</v>
      </c>
      <c r="BE974" s="9" t="s">
        <v>276</v>
      </c>
      <c r="BF974" s="9" t="s">
        <v>4559</v>
      </c>
      <c r="BG974" s="9"/>
      <c r="BH974" s="9" t="s">
        <v>100</v>
      </c>
      <c r="BI974" s="9" t="s">
        <v>100</v>
      </c>
      <c r="BJ974" s="32"/>
      <c r="BN974" s="32"/>
      <c r="BO974" s="32"/>
    </row>
    <row r="975" spans="1:67" s="33" customFormat="1" ht="65" hidden="1" x14ac:dyDescent="0.35">
      <c r="A975" s="8">
        <v>3757</v>
      </c>
      <c r="B975" s="9" t="s">
        <v>4468</v>
      </c>
      <c r="C975" s="8" t="s">
        <v>63</v>
      </c>
      <c r="D975" s="9" t="s">
        <v>4563</v>
      </c>
      <c r="E975" s="8" t="s">
        <v>35</v>
      </c>
      <c r="F975" s="9" t="s">
        <v>131</v>
      </c>
      <c r="G975" s="8" t="s">
        <v>225</v>
      </c>
      <c r="H975" s="8" t="s">
        <v>125</v>
      </c>
      <c r="I975" s="8" t="s">
        <v>114</v>
      </c>
      <c r="J975" s="9" t="s">
        <v>25</v>
      </c>
      <c r="K975" s="8" t="s">
        <v>1499</v>
      </c>
      <c r="L975" s="9" t="s">
        <v>4553</v>
      </c>
      <c r="M975" s="8" t="s">
        <v>276</v>
      </c>
      <c r="N975" s="9" t="s">
        <v>4554</v>
      </c>
      <c r="O975" s="9" t="s">
        <v>276</v>
      </c>
      <c r="P975" s="9" t="s">
        <v>239</v>
      </c>
      <c r="Q975" s="52" t="s">
        <v>276</v>
      </c>
      <c r="R975" s="9" t="s">
        <v>741</v>
      </c>
      <c r="S975" s="9" t="s">
        <v>4474</v>
      </c>
      <c r="T975" s="9" t="s">
        <v>4475</v>
      </c>
      <c r="U975" s="9">
        <v>7</v>
      </c>
      <c r="V975" s="8" t="s">
        <v>14</v>
      </c>
      <c r="W975" s="9" t="s">
        <v>4472</v>
      </c>
      <c r="X975" s="9" t="s">
        <v>207</v>
      </c>
      <c r="Y975" s="13">
        <v>23226</v>
      </c>
      <c r="Z975" s="9">
        <v>21904</v>
      </c>
      <c r="AA975" s="9" t="s">
        <v>276</v>
      </c>
      <c r="AB975" s="9" t="s">
        <v>276</v>
      </c>
      <c r="AC975" s="8">
        <v>1</v>
      </c>
      <c r="AD975" s="8" t="s">
        <v>4555</v>
      </c>
      <c r="AE975" s="8">
        <v>5</v>
      </c>
      <c r="AF975" s="8" t="s">
        <v>4555</v>
      </c>
      <c r="AG975" s="9" t="s">
        <v>4564</v>
      </c>
      <c r="AH975" s="9" t="s">
        <v>4557</v>
      </c>
      <c r="AI975" s="38">
        <v>126</v>
      </c>
      <c r="AJ975" s="38">
        <v>35</v>
      </c>
      <c r="AK975" s="38">
        <v>23226</v>
      </c>
      <c r="AL975" s="38">
        <v>21904</v>
      </c>
      <c r="AM975" s="38" t="s">
        <v>4558</v>
      </c>
      <c r="AN975" s="8" t="s">
        <v>276</v>
      </c>
      <c r="AO975" s="31">
        <f>AI975/AK975*1000</f>
        <v>5.4249547920433994</v>
      </c>
      <c r="AP975" s="8" t="s">
        <v>276</v>
      </c>
      <c r="AQ975" s="8" t="s">
        <v>276</v>
      </c>
      <c r="AR975" s="8" t="s">
        <v>276</v>
      </c>
      <c r="AS975" s="31">
        <f>AJ975/AL975*1000</f>
        <v>1.5978816654492329</v>
      </c>
      <c r="AT975" s="8" t="s">
        <v>276</v>
      </c>
      <c r="AU975" s="8" t="s">
        <v>276</v>
      </c>
      <c r="AV975" s="9" t="s">
        <v>268</v>
      </c>
      <c r="AW975" s="40" t="s">
        <v>276</v>
      </c>
      <c r="AX975" s="53">
        <f t="shared" si="312"/>
        <v>3.3950917075691036</v>
      </c>
      <c r="AY975" s="9" t="s">
        <v>276</v>
      </c>
      <c r="AZ975" s="9" t="s">
        <v>276</v>
      </c>
      <c r="BA975" s="9" t="s">
        <v>276</v>
      </c>
      <c r="BB975" s="9" t="s">
        <v>282</v>
      </c>
      <c r="BC975" s="9" t="s">
        <v>276</v>
      </c>
      <c r="BD975" s="9" t="s">
        <v>276</v>
      </c>
      <c r="BE975" s="9" t="s">
        <v>276</v>
      </c>
      <c r="BF975" s="9" t="s">
        <v>4559</v>
      </c>
      <c r="BG975" s="9"/>
      <c r="BH975" s="9" t="s">
        <v>100</v>
      </c>
      <c r="BI975" s="9" t="s">
        <v>100</v>
      </c>
      <c r="BJ975" s="32"/>
      <c r="BN975" s="32"/>
      <c r="BO975" s="32"/>
    </row>
    <row r="976" spans="1:67" s="33" customFormat="1" ht="65" hidden="1" x14ac:dyDescent="0.35">
      <c r="A976" s="8">
        <v>3757</v>
      </c>
      <c r="B976" s="9" t="s">
        <v>4468</v>
      </c>
      <c r="C976" s="8" t="s">
        <v>63</v>
      </c>
      <c r="D976" s="9" t="s">
        <v>4565</v>
      </c>
      <c r="E976" s="8" t="s">
        <v>35</v>
      </c>
      <c r="F976" s="9" t="s">
        <v>131</v>
      </c>
      <c r="G976" s="8" t="s">
        <v>225</v>
      </c>
      <c r="H976" s="8" t="s">
        <v>125</v>
      </c>
      <c r="I976" s="8" t="s">
        <v>114</v>
      </c>
      <c r="J976" s="9" t="s">
        <v>25</v>
      </c>
      <c r="K976" s="8" t="s">
        <v>1499</v>
      </c>
      <c r="L976" s="9" t="s">
        <v>4553</v>
      </c>
      <c r="M976" s="8" t="s">
        <v>276</v>
      </c>
      <c r="N976" s="9" t="s">
        <v>4554</v>
      </c>
      <c r="O976" s="9" t="s">
        <v>276</v>
      </c>
      <c r="P976" s="9" t="s">
        <v>239</v>
      </c>
      <c r="Q976" s="52" t="s">
        <v>276</v>
      </c>
      <c r="R976" s="9" t="s">
        <v>741</v>
      </c>
      <c r="S976" s="9" t="s">
        <v>4474</v>
      </c>
      <c r="T976" s="9" t="s">
        <v>4475</v>
      </c>
      <c r="U976" s="9">
        <v>7</v>
      </c>
      <c r="V976" s="8" t="s">
        <v>14</v>
      </c>
      <c r="W976" s="9" t="s">
        <v>4472</v>
      </c>
      <c r="X976" s="9" t="s">
        <v>207</v>
      </c>
      <c r="Y976" s="13">
        <v>23226</v>
      </c>
      <c r="Z976" s="38">
        <v>21904</v>
      </c>
      <c r="AA976" s="9" t="s">
        <v>276</v>
      </c>
      <c r="AB976" s="9" t="s">
        <v>276</v>
      </c>
      <c r="AC976" s="8">
        <v>1</v>
      </c>
      <c r="AD976" s="8" t="s">
        <v>4555</v>
      </c>
      <c r="AE976" s="8">
        <v>5</v>
      </c>
      <c r="AF976" s="8" t="s">
        <v>4555</v>
      </c>
      <c r="AG976" s="9" t="s">
        <v>4564</v>
      </c>
      <c r="AH976" s="9" t="s">
        <v>4561</v>
      </c>
      <c r="AI976" s="38">
        <v>126</v>
      </c>
      <c r="AJ976" s="38">
        <v>35</v>
      </c>
      <c r="AK976" s="38">
        <v>157946</v>
      </c>
      <c r="AL976" s="38">
        <v>147854</v>
      </c>
      <c r="AM976" s="38" t="s">
        <v>4562</v>
      </c>
      <c r="AN976" s="8" t="s">
        <v>276</v>
      </c>
      <c r="AO976" s="31">
        <f>AI976/AK976*10000</f>
        <v>7.9774100008863789</v>
      </c>
      <c r="AP976" s="8" t="s">
        <v>276</v>
      </c>
      <c r="AQ976" s="8" t="s">
        <v>276</v>
      </c>
      <c r="AR976" s="8" t="s">
        <v>276</v>
      </c>
      <c r="AS976" s="31">
        <f>AJ976/AL976*10000</f>
        <v>2.3672000757504024</v>
      </c>
      <c r="AT976" s="8" t="s">
        <v>276</v>
      </c>
      <c r="AU976" s="8" t="s">
        <v>276</v>
      </c>
      <c r="AV976" s="9" t="s">
        <v>269</v>
      </c>
      <c r="AW976" s="40" t="s">
        <v>276</v>
      </c>
      <c r="AX976" s="53">
        <f t="shared" si="312"/>
        <v>3.3699770807744418</v>
      </c>
      <c r="AY976" s="9" t="s">
        <v>276</v>
      </c>
      <c r="AZ976" s="9" t="s">
        <v>276</v>
      </c>
      <c r="BA976" s="9" t="s">
        <v>276</v>
      </c>
      <c r="BB976" s="9" t="s">
        <v>282</v>
      </c>
      <c r="BC976" s="9" t="s">
        <v>276</v>
      </c>
      <c r="BD976" s="9" t="s">
        <v>276</v>
      </c>
      <c r="BE976" s="9" t="s">
        <v>276</v>
      </c>
      <c r="BF976" s="9" t="s">
        <v>4559</v>
      </c>
      <c r="BG976" s="9"/>
      <c r="BH976" s="9" t="s">
        <v>100</v>
      </c>
      <c r="BI976" s="9" t="s">
        <v>100</v>
      </c>
      <c r="BJ976" s="32"/>
      <c r="BN976" s="32"/>
      <c r="BO976" s="32"/>
    </row>
    <row r="977" spans="1:67" s="33" customFormat="1" ht="65" hidden="1" x14ac:dyDescent="0.35">
      <c r="A977" s="8">
        <v>3757</v>
      </c>
      <c r="B977" s="9" t="s">
        <v>4468</v>
      </c>
      <c r="C977" s="8" t="s">
        <v>63</v>
      </c>
      <c r="D977" s="9" t="s">
        <v>4566</v>
      </c>
      <c r="E977" s="8" t="s">
        <v>35</v>
      </c>
      <c r="F977" s="9" t="s">
        <v>131</v>
      </c>
      <c r="G977" s="8" t="s">
        <v>225</v>
      </c>
      <c r="H977" s="8" t="s">
        <v>125</v>
      </c>
      <c r="I977" s="8" t="s">
        <v>114</v>
      </c>
      <c r="J977" s="9" t="s">
        <v>25</v>
      </c>
      <c r="K977" s="8" t="s">
        <v>1510</v>
      </c>
      <c r="L977" s="9" t="s">
        <v>4553</v>
      </c>
      <c r="M977" s="8" t="s">
        <v>276</v>
      </c>
      <c r="N977" s="9" t="s">
        <v>4554</v>
      </c>
      <c r="O977" s="9" t="s">
        <v>276</v>
      </c>
      <c r="P977" s="9" t="s">
        <v>239</v>
      </c>
      <c r="Q977" s="52" t="s">
        <v>276</v>
      </c>
      <c r="R977" s="9" t="s">
        <v>741</v>
      </c>
      <c r="S977" s="9" t="s">
        <v>4474</v>
      </c>
      <c r="T977" s="9" t="s">
        <v>4475</v>
      </c>
      <c r="U977" s="9">
        <v>7</v>
      </c>
      <c r="V977" s="8" t="s">
        <v>14</v>
      </c>
      <c r="W977" s="9" t="s">
        <v>4472</v>
      </c>
      <c r="X977" s="9" t="s">
        <v>207</v>
      </c>
      <c r="Y977" s="13">
        <v>23226</v>
      </c>
      <c r="Z977" s="9">
        <v>21904</v>
      </c>
      <c r="AA977" s="9" t="s">
        <v>276</v>
      </c>
      <c r="AB977" s="9" t="s">
        <v>276</v>
      </c>
      <c r="AC977" s="8">
        <v>1</v>
      </c>
      <c r="AD977" s="8" t="s">
        <v>4555</v>
      </c>
      <c r="AE977" s="8">
        <v>5</v>
      </c>
      <c r="AF977" s="8" t="s">
        <v>4555</v>
      </c>
      <c r="AG977" s="9" t="s">
        <v>4567</v>
      </c>
      <c r="AH977" s="9" t="s">
        <v>4557</v>
      </c>
      <c r="AI977" s="38">
        <v>165</v>
      </c>
      <c r="AJ977" s="38">
        <v>128</v>
      </c>
      <c r="AK977" s="38">
        <v>23226</v>
      </c>
      <c r="AL977" s="38">
        <v>21904</v>
      </c>
      <c r="AM977" s="38" t="s">
        <v>4558</v>
      </c>
      <c r="AN977" s="8" t="s">
        <v>276</v>
      </c>
      <c r="AO977" s="31">
        <f>AI977/AK977*1000</f>
        <v>7.1041074657711185</v>
      </c>
      <c r="AP977" s="8" t="s">
        <v>276</v>
      </c>
      <c r="AQ977" s="8" t="s">
        <v>276</v>
      </c>
      <c r="AR977" s="8" t="s">
        <v>276</v>
      </c>
      <c r="AS977" s="31">
        <f>AJ977/AL977*1000</f>
        <v>5.8436815193571947</v>
      </c>
      <c r="AT977" s="8" t="s">
        <v>276</v>
      </c>
      <c r="AU977" s="8" t="s">
        <v>276</v>
      </c>
      <c r="AV977" s="9" t="s">
        <v>268</v>
      </c>
      <c r="AW977" s="40" t="s">
        <v>276</v>
      </c>
      <c r="AX977" s="53">
        <f t="shared" si="312"/>
        <v>1.2156903900800826</v>
      </c>
      <c r="AY977" s="9" t="s">
        <v>276</v>
      </c>
      <c r="AZ977" s="9" t="s">
        <v>276</v>
      </c>
      <c r="BA977" s="9" t="s">
        <v>276</v>
      </c>
      <c r="BB977" s="9" t="s">
        <v>282</v>
      </c>
      <c r="BC977" s="9" t="s">
        <v>276</v>
      </c>
      <c r="BD977" s="9" t="s">
        <v>276</v>
      </c>
      <c r="BE977" s="9" t="s">
        <v>276</v>
      </c>
      <c r="BF977" s="9" t="s">
        <v>4559</v>
      </c>
      <c r="BG977" s="9"/>
      <c r="BH977" s="9" t="s">
        <v>100</v>
      </c>
      <c r="BI977" s="9" t="s">
        <v>100</v>
      </c>
      <c r="BJ977" s="32"/>
      <c r="BN977" s="32"/>
      <c r="BO977" s="32"/>
    </row>
    <row r="978" spans="1:67" s="33" customFormat="1" ht="65" hidden="1" x14ac:dyDescent="0.35">
      <c r="A978" s="8">
        <v>3757</v>
      </c>
      <c r="B978" s="9" t="s">
        <v>4468</v>
      </c>
      <c r="C978" s="8" t="s">
        <v>63</v>
      </c>
      <c r="D978" s="9" t="s">
        <v>4568</v>
      </c>
      <c r="E978" s="8" t="s">
        <v>35</v>
      </c>
      <c r="F978" s="9" t="s">
        <v>131</v>
      </c>
      <c r="G978" s="8" t="s">
        <v>225</v>
      </c>
      <c r="H978" s="8" t="s">
        <v>125</v>
      </c>
      <c r="I978" s="8" t="s">
        <v>114</v>
      </c>
      <c r="J978" s="9" t="s">
        <v>25</v>
      </c>
      <c r="K978" s="8" t="s">
        <v>1510</v>
      </c>
      <c r="L978" s="9" t="s">
        <v>4553</v>
      </c>
      <c r="M978" s="8" t="s">
        <v>276</v>
      </c>
      <c r="N978" s="9" t="s">
        <v>4554</v>
      </c>
      <c r="O978" s="9" t="s">
        <v>276</v>
      </c>
      <c r="P978" s="9" t="s">
        <v>239</v>
      </c>
      <c r="Q978" s="52" t="s">
        <v>276</v>
      </c>
      <c r="R978" s="9" t="s">
        <v>741</v>
      </c>
      <c r="S978" s="9" t="s">
        <v>4474</v>
      </c>
      <c r="T978" s="9" t="s">
        <v>4475</v>
      </c>
      <c r="U978" s="9">
        <v>7</v>
      </c>
      <c r="V978" s="8" t="s">
        <v>14</v>
      </c>
      <c r="W978" s="9" t="s">
        <v>4472</v>
      </c>
      <c r="X978" s="9" t="s">
        <v>207</v>
      </c>
      <c r="Y978" s="13">
        <v>23226</v>
      </c>
      <c r="Z978" s="38">
        <v>21904</v>
      </c>
      <c r="AA978" s="9" t="s">
        <v>276</v>
      </c>
      <c r="AB978" s="9" t="s">
        <v>276</v>
      </c>
      <c r="AC978" s="8">
        <v>1</v>
      </c>
      <c r="AD978" s="8" t="s">
        <v>4555</v>
      </c>
      <c r="AE978" s="8">
        <v>5</v>
      </c>
      <c r="AF978" s="8" t="s">
        <v>4555</v>
      </c>
      <c r="AG978" s="9" t="s">
        <v>4567</v>
      </c>
      <c r="AH978" s="9" t="s">
        <v>4561</v>
      </c>
      <c r="AI978" s="38">
        <v>165</v>
      </c>
      <c r="AJ978" s="38">
        <v>128</v>
      </c>
      <c r="AK978" s="38">
        <v>157946</v>
      </c>
      <c r="AL978" s="38">
        <v>147854</v>
      </c>
      <c r="AM978" s="38" t="s">
        <v>4562</v>
      </c>
      <c r="AN978" s="8" t="s">
        <v>276</v>
      </c>
      <c r="AO978" s="31">
        <f>AI978/AK978*10000</f>
        <v>10.446608334494067</v>
      </c>
      <c r="AP978" s="8" t="s">
        <v>276</v>
      </c>
      <c r="AQ978" s="8" t="s">
        <v>276</v>
      </c>
      <c r="AR978" s="8" t="s">
        <v>276</v>
      </c>
      <c r="AS978" s="31">
        <f>AJ978/AL978*10000</f>
        <v>8.657188848458615</v>
      </c>
      <c r="AT978" s="8" t="s">
        <v>276</v>
      </c>
      <c r="AU978" s="8" t="s">
        <v>276</v>
      </c>
      <c r="AV978" s="9" t="s">
        <v>269</v>
      </c>
      <c r="AW978" s="40" t="s">
        <v>276</v>
      </c>
      <c r="AX978" s="53">
        <f t="shared" ref="AX978" si="313">AO978/AS978</f>
        <v>1.2066975224127232</v>
      </c>
      <c r="AY978" s="9" t="s">
        <v>276</v>
      </c>
      <c r="AZ978" s="9" t="s">
        <v>276</v>
      </c>
      <c r="BA978" s="9" t="s">
        <v>276</v>
      </c>
      <c r="BB978" s="9" t="s">
        <v>282</v>
      </c>
      <c r="BC978" s="9" t="s">
        <v>276</v>
      </c>
      <c r="BD978" s="9" t="s">
        <v>276</v>
      </c>
      <c r="BE978" s="9" t="s">
        <v>276</v>
      </c>
      <c r="BF978" s="9" t="s">
        <v>4559</v>
      </c>
      <c r="BG978" s="9"/>
      <c r="BH978" s="9" t="s">
        <v>100</v>
      </c>
      <c r="BI978" s="9" t="s">
        <v>100</v>
      </c>
      <c r="BJ978" s="32"/>
      <c r="BN978" s="32"/>
      <c r="BO978" s="32"/>
    </row>
    <row r="979" spans="1:67" s="33" customFormat="1" ht="65" hidden="1" x14ac:dyDescent="0.35">
      <c r="A979" s="8">
        <v>3757</v>
      </c>
      <c r="B979" s="9" t="s">
        <v>4468</v>
      </c>
      <c r="C979" s="8" t="s">
        <v>63</v>
      </c>
      <c r="D979" s="9" t="s">
        <v>11617</v>
      </c>
      <c r="E979" s="8" t="s">
        <v>35</v>
      </c>
      <c r="F979" s="9" t="s">
        <v>131</v>
      </c>
      <c r="G979" s="8" t="s">
        <v>225</v>
      </c>
      <c r="H979" s="8" t="s">
        <v>125</v>
      </c>
      <c r="I979" s="8" t="s">
        <v>114</v>
      </c>
      <c r="J979" s="9" t="s">
        <v>25</v>
      </c>
      <c r="K979" s="8" t="s">
        <v>11618</v>
      </c>
      <c r="L979" s="9" t="s">
        <v>4553</v>
      </c>
      <c r="M979" s="8" t="s">
        <v>276</v>
      </c>
      <c r="N979" s="9" t="s">
        <v>4554</v>
      </c>
      <c r="O979" s="9" t="s">
        <v>276</v>
      </c>
      <c r="P979" s="9" t="s">
        <v>239</v>
      </c>
      <c r="Q979" s="52" t="s">
        <v>276</v>
      </c>
      <c r="R979" s="9" t="s">
        <v>741</v>
      </c>
      <c r="S979" s="9" t="s">
        <v>4474</v>
      </c>
      <c r="T979" s="9" t="s">
        <v>4475</v>
      </c>
      <c r="U979" s="9">
        <v>7</v>
      </c>
      <c r="V979" s="8" t="s">
        <v>14</v>
      </c>
      <c r="W979" s="9" t="s">
        <v>4472</v>
      </c>
      <c r="X979" s="9" t="s">
        <v>207</v>
      </c>
      <c r="Y979" s="13">
        <v>23226</v>
      </c>
      <c r="Z979" s="38">
        <v>21904</v>
      </c>
      <c r="AA979" s="9" t="s">
        <v>276</v>
      </c>
      <c r="AB979" s="9" t="s">
        <v>276</v>
      </c>
      <c r="AC979" s="8">
        <v>1</v>
      </c>
      <c r="AD979" s="8" t="s">
        <v>4555</v>
      </c>
      <c r="AE979" s="8">
        <v>5</v>
      </c>
      <c r="AF979" s="8" t="s">
        <v>4555</v>
      </c>
      <c r="AG979" s="9" t="s">
        <v>11619</v>
      </c>
      <c r="AH979" s="9" t="s">
        <v>4561</v>
      </c>
      <c r="AI979" s="38">
        <f>165+126+40</f>
        <v>331</v>
      </c>
      <c r="AJ979" s="38">
        <f>128+35+7</f>
        <v>170</v>
      </c>
      <c r="AK979" s="38">
        <v>157946</v>
      </c>
      <c r="AL979" s="38">
        <v>147854</v>
      </c>
      <c r="AM979" s="38" t="s">
        <v>4562</v>
      </c>
      <c r="AN979" s="8" t="s">
        <v>276</v>
      </c>
      <c r="AO979" s="31">
        <f>AI979/AK979*10000</f>
        <v>20.956529446772947</v>
      </c>
      <c r="AP979" s="8" t="s">
        <v>276</v>
      </c>
      <c r="AQ979" s="8" t="s">
        <v>276</v>
      </c>
      <c r="AR979" s="8" t="s">
        <v>276</v>
      </c>
      <c r="AS979" s="31">
        <f>AJ979/AL979*10000</f>
        <v>11.497828939359097</v>
      </c>
      <c r="AT979" s="8" t="s">
        <v>276</v>
      </c>
      <c r="AU979" s="8" t="s">
        <v>276</v>
      </c>
      <c r="AV979" s="9" t="s">
        <v>269</v>
      </c>
      <c r="AW979" s="40" t="s">
        <v>276</v>
      </c>
      <c r="AX979" s="53">
        <f t="shared" si="312"/>
        <v>1.8226510028371572</v>
      </c>
      <c r="AY979" s="9" t="s">
        <v>276</v>
      </c>
      <c r="AZ979" s="9" t="s">
        <v>276</v>
      </c>
      <c r="BA979" s="9" t="s">
        <v>276</v>
      </c>
      <c r="BB979" s="9" t="s">
        <v>282</v>
      </c>
      <c r="BC979" s="9" t="s">
        <v>276</v>
      </c>
      <c r="BD979" s="9" t="s">
        <v>276</v>
      </c>
      <c r="BE979" s="9" t="s">
        <v>276</v>
      </c>
      <c r="BF979" s="9" t="s">
        <v>4559</v>
      </c>
      <c r="BG979" s="9"/>
      <c r="BH979" s="9" t="s">
        <v>100</v>
      </c>
      <c r="BI979" s="9" t="s">
        <v>100</v>
      </c>
      <c r="BJ979" s="32"/>
      <c r="BN979" s="32"/>
      <c r="BO979" s="32"/>
    </row>
    <row r="980" spans="1:67" s="33" customFormat="1" ht="65" hidden="1" x14ac:dyDescent="0.35">
      <c r="A980" s="8">
        <v>3757</v>
      </c>
      <c r="B980" s="9" t="s">
        <v>4468</v>
      </c>
      <c r="C980" s="8" t="s">
        <v>63</v>
      </c>
      <c r="D980" s="9" t="s">
        <v>4569</v>
      </c>
      <c r="E980" s="8" t="s">
        <v>35</v>
      </c>
      <c r="F980" s="9" t="s">
        <v>131</v>
      </c>
      <c r="G980" s="8" t="s">
        <v>225</v>
      </c>
      <c r="H980" s="8" t="s">
        <v>125</v>
      </c>
      <c r="I980" s="8" t="s">
        <v>114</v>
      </c>
      <c r="J980" s="9" t="s">
        <v>25</v>
      </c>
      <c r="K980" s="8" t="s">
        <v>1513</v>
      </c>
      <c r="L980" s="9" t="s">
        <v>4553</v>
      </c>
      <c r="M980" s="8" t="s">
        <v>276</v>
      </c>
      <c r="N980" s="9" t="s">
        <v>4554</v>
      </c>
      <c r="O980" s="9" t="s">
        <v>276</v>
      </c>
      <c r="P980" s="9" t="s">
        <v>239</v>
      </c>
      <c r="Q980" s="52" t="s">
        <v>276</v>
      </c>
      <c r="R980" s="9" t="s">
        <v>741</v>
      </c>
      <c r="S980" s="9" t="s">
        <v>4474</v>
      </c>
      <c r="T980" s="9" t="s">
        <v>4475</v>
      </c>
      <c r="U980" s="9">
        <v>7</v>
      </c>
      <c r="V980" s="8" t="s">
        <v>14</v>
      </c>
      <c r="W980" s="9" t="s">
        <v>4472</v>
      </c>
      <c r="X980" s="9" t="s">
        <v>207</v>
      </c>
      <c r="Y980" s="13">
        <v>23226</v>
      </c>
      <c r="Z980" s="9">
        <v>21904</v>
      </c>
      <c r="AA980" s="9" t="s">
        <v>276</v>
      </c>
      <c r="AB980" s="9" t="s">
        <v>276</v>
      </c>
      <c r="AC980" s="8">
        <v>1</v>
      </c>
      <c r="AD980" s="8" t="s">
        <v>4555</v>
      </c>
      <c r="AE980" s="8">
        <v>5</v>
      </c>
      <c r="AF980" s="8" t="s">
        <v>4555</v>
      </c>
      <c r="AG980" s="9" t="s">
        <v>4570</v>
      </c>
      <c r="AH980" s="9" t="s">
        <v>4557</v>
      </c>
      <c r="AI980" s="38">
        <v>50</v>
      </c>
      <c r="AJ980" s="38">
        <v>80</v>
      </c>
      <c r="AK980" s="38">
        <v>23226</v>
      </c>
      <c r="AL980" s="38">
        <v>21904</v>
      </c>
      <c r="AM980" s="38" t="s">
        <v>4558</v>
      </c>
      <c r="AN980" s="8" t="s">
        <v>276</v>
      </c>
      <c r="AO980" s="31">
        <f>AI980/AK980*1000</f>
        <v>2.1527598381124604</v>
      </c>
      <c r="AP980" s="8" t="s">
        <v>276</v>
      </c>
      <c r="AQ980" s="8" t="s">
        <v>276</v>
      </c>
      <c r="AR980" s="8" t="s">
        <v>276</v>
      </c>
      <c r="AS980" s="31">
        <f>AJ980/AL980*1000</f>
        <v>3.652300949598247</v>
      </c>
      <c r="AT980" s="8" t="s">
        <v>276</v>
      </c>
      <c r="AU980" s="8" t="s">
        <v>276</v>
      </c>
      <c r="AV980" s="9" t="s">
        <v>268</v>
      </c>
      <c r="AW980" s="40" t="s">
        <v>276</v>
      </c>
      <c r="AX980" s="53">
        <f t="shared" si="312"/>
        <v>0.58942564367519168</v>
      </c>
      <c r="AY980" s="9" t="s">
        <v>276</v>
      </c>
      <c r="AZ980" s="9" t="s">
        <v>276</v>
      </c>
      <c r="BA980" s="9" t="s">
        <v>276</v>
      </c>
      <c r="BB980" s="9" t="s">
        <v>282</v>
      </c>
      <c r="BC980" s="9" t="s">
        <v>276</v>
      </c>
      <c r="BD980" s="9" t="s">
        <v>276</v>
      </c>
      <c r="BE980" s="9" t="s">
        <v>276</v>
      </c>
      <c r="BF980" s="9" t="s">
        <v>4559</v>
      </c>
      <c r="BG980" s="9"/>
      <c r="BH980" s="9" t="s">
        <v>100</v>
      </c>
      <c r="BI980" s="9" t="s">
        <v>100</v>
      </c>
      <c r="BJ980" s="32"/>
      <c r="BN980" s="32"/>
      <c r="BO980" s="32"/>
    </row>
    <row r="981" spans="1:67" s="33" customFormat="1" ht="65" hidden="1" x14ac:dyDescent="0.35">
      <c r="A981" s="8">
        <v>3757</v>
      </c>
      <c r="B981" s="9" t="s">
        <v>4468</v>
      </c>
      <c r="C981" s="8" t="s">
        <v>63</v>
      </c>
      <c r="D981" s="9" t="s">
        <v>4571</v>
      </c>
      <c r="E981" s="8" t="s">
        <v>35</v>
      </c>
      <c r="F981" s="9" t="s">
        <v>131</v>
      </c>
      <c r="G981" s="8" t="s">
        <v>225</v>
      </c>
      <c r="H981" s="8" t="s">
        <v>125</v>
      </c>
      <c r="I981" s="8" t="s">
        <v>114</v>
      </c>
      <c r="J981" s="9" t="s">
        <v>25</v>
      </c>
      <c r="K981" s="8" t="s">
        <v>1513</v>
      </c>
      <c r="L981" s="9" t="s">
        <v>4553</v>
      </c>
      <c r="M981" s="8" t="s">
        <v>276</v>
      </c>
      <c r="N981" s="9" t="s">
        <v>4554</v>
      </c>
      <c r="O981" s="9" t="s">
        <v>276</v>
      </c>
      <c r="P981" s="9" t="s">
        <v>239</v>
      </c>
      <c r="Q981" s="52" t="s">
        <v>276</v>
      </c>
      <c r="R981" s="9" t="s">
        <v>741</v>
      </c>
      <c r="S981" s="9" t="s">
        <v>4474</v>
      </c>
      <c r="T981" s="9" t="s">
        <v>4475</v>
      </c>
      <c r="U981" s="9">
        <v>7</v>
      </c>
      <c r="V981" s="8" t="s">
        <v>14</v>
      </c>
      <c r="W981" s="9" t="s">
        <v>4472</v>
      </c>
      <c r="X981" s="9" t="s">
        <v>207</v>
      </c>
      <c r="Y981" s="13">
        <v>23226</v>
      </c>
      <c r="Z981" s="38">
        <v>21904</v>
      </c>
      <c r="AA981" s="9" t="s">
        <v>276</v>
      </c>
      <c r="AB981" s="9" t="s">
        <v>276</v>
      </c>
      <c r="AC981" s="8">
        <v>1</v>
      </c>
      <c r="AD981" s="8" t="s">
        <v>4555</v>
      </c>
      <c r="AE981" s="8">
        <v>5</v>
      </c>
      <c r="AF981" s="8" t="s">
        <v>4555</v>
      </c>
      <c r="AG981" s="9" t="s">
        <v>4570</v>
      </c>
      <c r="AH981" s="9" t="s">
        <v>4561</v>
      </c>
      <c r="AI981" s="38">
        <v>50</v>
      </c>
      <c r="AJ981" s="38">
        <v>80</v>
      </c>
      <c r="AK981" s="38">
        <v>157946</v>
      </c>
      <c r="AL981" s="38">
        <v>147854</v>
      </c>
      <c r="AM981" s="38" t="s">
        <v>4562</v>
      </c>
      <c r="AN981" s="8" t="s">
        <v>276</v>
      </c>
      <c r="AO981" s="31">
        <f>AI981/AK981*10000</f>
        <v>3.1656388892406269</v>
      </c>
      <c r="AP981" s="8" t="s">
        <v>276</v>
      </c>
      <c r="AQ981" s="8" t="s">
        <v>276</v>
      </c>
      <c r="AR981" s="8" t="s">
        <v>276</v>
      </c>
      <c r="AS981" s="31">
        <f>AJ981/AL981*10000</f>
        <v>5.4107430302866337</v>
      </c>
      <c r="AT981" s="8" t="s">
        <v>276</v>
      </c>
      <c r="AU981" s="8" t="s">
        <v>276</v>
      </c>
      <c r="AV981" s="9" t="s">
        <v>269</v>
      </c>
      <c r="AW981" s="40" t="s">
        <v>276</v>
      </c>
      <c r="AX981" s="53">
        <f t="shared" si="312"/>
        <v>0.58506546541222959</v>
      </c>
      <c r="AY981" s="9" t="s">
        <v>276</v>
      </c>
      <c r="AZ981" s="9" t="s">
        <v>276</v>
      </c>
      <c r="BA981" s="9" t="s">
        <v>276</v>
      </c>
      <c r="BB981" s="9" t="s">
        <v>282</v>
      </c>
      <c r="BC981" s="9" t="s">
        <v>276</v>
      </c>
      <c r="BD981" s="9" t="s">
        <v>276</v>
      </c>
      <c r="BE981" s="9" t="s">
        <v>276</v>
      </c>
      <c r="BF981" s="9" t="s">
        <v>4559</v>
      </c>
      <c r="BG981" s="9"/>
      <c r="BH981" s="9" t="s">
        <v>100</v>
      </c>
      <c r="BI981" s="9" t="s">
        <v>100</v>
      </c>
      <c r="BJ981" s="32"/>
      <c r="BN981" s="32"/>
      <c r="BO981" s="32"/>
    </row>
    <row r="982" spans="1:67" s="33" customFormat="1" ht="65" hidden="1" x14ac:dyDescent="0.35">
      <c r="A982" s="8">
        <v>3757</v>
      </c>
      <c r="B982" s="9" t="s">
        <v>4468</v>
      </c>
      <c r="C982" s="8" t="s">
        <v>63</v>
      </c>
      <c r="D982" s="9" t="s">
        <v>4572</v>
      </c>
      <c r="E982" s="8" t="s">
        <v>35</v>
      </c>
      <c r="F982" s="9" t="s">
        <v>131</v>
      </c>
      <c r="G982" s="8" t="s">
        <v>225</v>
      </c>
      <c r="H982" s="8" t="s">
        <v>125</v>
      </c>
      <c r="I982" s="8" t="s">
        <v>114</v>
      </c>
      <c r="J982" s="9" t="s">
        <v>25</v>
      </c>
      <c r="K982" s="8" t="s">
        <v>1516</v>
      </c>
      <c r="L982" s="9" t="s">
        <v>4553</v>
      </c>
      <c r="M982" s="8" t="s">
        <v>276</v>
      </c>
      <c r="N982" s="9" t="s">
        <v>4554</v>
      </c>
      <c r="O982" s="9" t="s">
        <v>276</v>
      </c>
      <c r="P982" s="9" t="s">
        <v>239</v>
      </c>
      <c r="Q982" s="52" t="s">
        <v>276</v>
      </c>
      <c r="R982" s="9" t="s">
        <v>741</v>
      </c>
      <c r="S982" s="9" t="s">
        <v>4474</v>
      </c>
      <c r="T982" s="9" t="s">
        <v>4475</v>
      </c>
      <c r="U982" s="9">
        <v>7</v>
      </c>
      <c r="V982" s="8" t="s">
        <v>14</v>
      </c>
      <c r="W982" s="9" t="s">
        <v>4472</v>
      </c>
      <c r="X982" s="9" t="s">
        <v>207</v>
      </c>
      <c r="Y982" s="13">
        <v>23226</v>
      </c>
      <c r="Z982" s="9">
        <v>21904</v>
      </c>
      <c r="AA982" s="9" t="s">
        <v>276</v>
      </c>
      <c r="AB982" s="9" t="s">
        <v>276</v>
      </c>
      <c r="AC982" s="8">
        <v>1</v>
      </c>
      <c r="AD982" s="8" t="s">
        <v>4555</v>
      </c>
      <c r="AE982" s="8">
        <v>5</v>
      </c>
      <c r="AF982" s="8" t="s">
        <v>4555</v>
      </c>
      <c r="AG982" s="9" t="s">
        <v>4573</v>
      </c>
      <c r="AH982" s="9" t="s">
        <v>4557</v>
      </c>
      <c r="AI982" s="38">
        <v>13</v>
      </c>
      <c r="AJ982" s="38">
        <v>13</v>
      </c>
      <c r="AK982" s="38">
        <v>23226</v>
      </c>
      <c r="AL982" s="38">
        <v>21904</v>
      </c>
      <c r="AM982" s="38" t="s">
        <v>4558</v>
      </c>
      <c r="AN982" s="8" t="s">
        <v>276</v>
      </c>
      <c r="AO982" s="31">
        <f>AI982/AK982*1000</f>
        <v>0.55971755790923972</v>
      </c>
      <c r="AP982" s="8" t="s">
        <v>276</v>
      </c>
      <c r="AQ982" s="8" t="s">
        <v>276</v>
      </c>
      <c r="AR982" s="8" t="s">
        <v>276</v>
      </c>
      <c r="AS982" s="31">
        <f>AJ982/AL982*1000</f>
        <v>0.59349890430971519</v>
      </c>
      <c r="AT982" s="8" t="s">
        <v>276</v>
      </c>
      <c r="AU982" s="8" t="s">
        <v>276</v>
      </c>
      <c r="AV982" s="9" t="s">
        <v>268</v>
      </c>
      <c r="AW982" s="40" t="s">
        <v>276</v>
      </c>
      <c r="AX982" s="53">
        <f t="shared" si="312"/>
        <v>0.94308102988030651</v>
      </c>
      <c r="AY982" s="9" t="s">
        <v>276</v>
      </c>
      <c r="AZ982" s="9" t="s">
        <v>276</v>
      </c>
      <c r="BA982" s="9" t="s">
        <v>276</v>
      </c>
      <c r="BB982" s="9" t="s">
        <v>282</v>
      </c>
      <c r="BC982" s="9" t="s">
        <v>276</v>
      </c>
      <c r="BD982" s="9" t="s">
        <v>276</v>
      </c>
      <c r="BE982" s="9" t="s">
        <v>276</v>
      </c>
      <c r="BF982" s="9" t="s">
        <v>4559</v>
      </c>
      <c r="BG982" s="9"/>
      <c r="BH982" s="9" t="s">
        <v>100</v>
      </c>
      <c r="BI982" s="9" t="s">
        <v>100</v>
      </c>
      <c r="BJ982" s="32"/>
      <c r="BN982" s="32"/>
      <c r="BO982" s="32"/>
    </row>
    <row r="983" spans="1:67" s="33" customFormat="1" ht="65" hidden="1" x14ac:dyDescent="0.35">
      <c r="A983" s="8">
        <v>3757</v>
      </c>
      <c r="B983" s="9" t="s">
        <v>4468</v>
      </c>
      <c r="C983" s="8" t="s">
        <v>63</v>
      </c>
      <c r="D983" s="9" t="s">
        <v>4574</v>
      </c>
      <c r="E983" s="8" t="s">
        <v>35</v>
      </c>
      <c r="F983" s="9" t="s">
        <v>131</v>
      </c>
      <c r="G983" s="8" t="s">
        <v>225</v>
      </c>
      <c r="H983" s="8" t="s">
        <v>125</v>
      </c>
      <c r="I983" s="8" t="s">
        <v>114</v>
      </c>
      <c r="J983" s="9" t="s">
        <v>25</v>
      </c>
      <c r="K983" s="8" t="s">
        <v>1516</v>
      </c>
      <c r="L983" s="9" t="s">
        <v>4553</v>
      </c>
      <c r="M983" s="8" t="s">
        <v>276</v>
      </c>
      <c r="N983" s="9" t="s">
        <v>4554</v>
      </c>
      <c r="O983" s="9" t="s">
        <v>276</v>
      </c>
      <c r="P983" s="9" t="s">
        <v>239</v>
      </c>
      <c r="Q983" s="52" t="s">
        <v>276</v>
      </c>
      <c r="R983" s="9" t="s">
        <v>741</v>
      </c>
      <c r="S983" s="9" t="s">
        <v>4474</v>
      </c>
      <c r="T983" s="9" t="s">
        <v>4475</v>
      </c>
      <c r="U983" s="9">
        <v>7</v>
      </c>
      <c r="V983" s="8" t="s">
        <v>14</v>
      </c>
      <c r="W983" s="9" t="s">
        <v>4472</v>
      </c>
      <c r="X983" s="9" t="s">
        <v>207</v>
      </c>
      <c r="Y983" s="13">
        <v>23226</v>
      </c>
      <c r="Z983" s="38">
        <v>21904</v>
      </c>
      <c r="AA983" s="9" t="s">
        <v>276</v>
      </c>
      <c r="AB983" s="9" t="s">
        <v>276</v>
      </c>
      <c r="AC983" s="8">
        <v>1</v>
      </c>
      <c r="AD983" s="8" t="s">
        <v>4555</v>
      </c>
      <c r="AE983" s="8">
        <v>5</v>
      </c>
      <c r="AF983" s="8" t="s">
        <v>4555</v>
      </c>
      <c r="AG983" s="9" t="s">
        <v>4573</v>
      </c>
      <c r="AH983" s="9" t="s">
        <v>4561</v>
      </c>
      <c r="AI983" s="38">
        <v>13</v>
      </c>
      <c r="AJ983" s="38">
        <v>13</v>
      </c>
      <c r="AK983" s="38">
        <v>157946</v>
      </c>
      <c r="AL983" s="38">
        <v>147854</v>
      </c>
      <c r="AM983" s="38" t="s">
        <v>4562</v>
      </c>
      <c r="AN983" s="8" t="s">
        <v>276</v>
      </c>
      <c r="AO983" s="31">
        <f>AI983/AK983*10000</f>
        <v>0.82306611120256301</v>
      </c>
      <c r="AP983" s="8" t="s">
        <v>276</v>
      </c>
      <c r="AQ983" s="8" t="s">
        <v>276</v>
      </c>
      <c r="AR983" s="8" t="s">
        <v>276</v>
      </c>
      <c r="AS983" s="31">
        <f>AJ983/AL983*10000</f>
        <v>0.87924574242157805</v>
      </c>
      <c r="AT983" s="8" t="s">
        <v>276</v>
      </c>
      <c r="AU983" s="8" t="s">
        <v>276</v>
      </c>
      <c r="AV983" s="9" t="s">
        <v>269</v>
      </c>
      <c r="AW983" s="40" t="s">
        <v>276</v>
      </c>
      <c r="AX983" s="53">
        <f t="shared" si="312"/>
        <v>0.93610474465956728</v>
      </c>
      <c r="AY983" s="9" t="s">
        <v>276</v>
      </c>
      <c r="AZ983" s="9" t="s">
        <v>276</v>
      </c>
      <c r="BA983" s="9" t="s">
        <v>276</v>
      </c>
      <c r="BB983" s="9" t="s">
        <v>282</v>
      </c>
      <c r="BC983" s="9" t="s">
        <v>276</v>
      </c>
      <c r="BD983" s="9" t="s">
        <v>276</v>
      </c>
      <c r="BE983" s="9" t="s">
        <v>276</v>
      </c>
      <c r="BF983" s="9" t="s">
        <v>4559</v>
      </c>
      <c r="BG983" s="9"/>
      <c r="BH983" s="9" t="s">
        <v>100</v>
      </c>
      <c r="BI983" s="9" t="s">
        <v>100</v>
      </c>
      <c r="BJ983" s="32"/>
      <c r="BN983" s="32"/>
      <c r="BO983" s="32"/>
    </row>
    <row r="984" spans="1:67" s="33" customFormat="1" ht="65" hidden="1" x14ac:dyDescent="0.35">
      <c r="A984" s="8">
        <v>3757</v>
      </c>
      <c r="B984" s="9" t="s">
        <v>4468</v>
      </c>
      <c r="C984" s="8" t="s">
        <v>63</v>
      </c>
      <c r="D984" s="9" t="s">
        <v>4575</v>
      </c>
      <c r="E984" s="8" t="s">
        <v>35</v>
      </c>
      <c r="F984" s="9" t="s">
        <v>131</v>
      </c>
      <c r="G984" s="8" t="s">
        <v>225</v>
      </c>
      <c r="H984" s="8" t="s">
        <v>125</v>
      </c>
      <c r="I984" s="8" t="s">
        <v>114</v>
      </c>
      <c r="J984" s="9" t="s">
        <v>25</v>
      </c>
      <c r="K984" s="8" t="s">
        <v>1519</v>
      </c>
      <c r="L984" s="9" t="s">
        <v>4553</v>
      </c>
      <c r="M984" s="8" t="s">
        <v>276</v>
      </c>
      <c r="N984" s="9" t="s">
        <v>4554</v>
      </c>
      <c r="O984" s="9" t="s">
        <v>276</v>
      </c>
      <c r="P984" s="9" t="s">
        <v>239</v>
      </c>
      <c r="Q984" s="52" t="s">
        <v>276</v>
      </c>
      <c r="R984" s="9" t="s">
        <v>741</v>
      </c>
      <c r="S984" s="9" t="s">
        <v>4474</v>
      </c>
      <c r="T984" s="9" t="s">
        <v>4475</v>
      </c>
      <c r="U984" s="9">
        <v>7</v>
      </c>
      <c r="V984" s="8" t="s">
        <v>14</v>
      </c>
      <c r="W984" s="9" t="s">
        <v>4472</v>
      </c>
      <c r="X984" s="9" t="s">
        <v>207</v>
      </c>
      <c r="Y984" s="13">
        <v>23226</v>
      </c>
      <c r="Z984" s="38">
        <v>21904</v>
      </c>
      <c r="AA984" s="9" t="s">
        <v>276</v>
      </c>
      <c r="AB984" s="9" t="s">
        <v>276</v>
      </c>
      <c r="AC984" s="8">
        <v>1</v>
      </c>
      <c r="AD984" s="8" t="s">
        <v>4555</v>
      </c>
      <c r="AE984" s="8">
        <v>5</v>
      </c>
      <c r="AF984" s="8" t="s">
        <v>4555</v>
      </c>
      <c r="AG984" s="9" t="s">
        <v>4576</v>
      </c>
      <c r="AH984" s="9" t="s">
        <v>4561</v>
      </c>
      <c r="AI984" s="38">
        <f>50+13</f>
        <v>63</v>
      </c>
      <c r="AJ984" s="38">
        <f>80+13</f>
        <v>93</v>
      </c>
      <c r="AK984" s="38">
        <v>157946</v>
      </c>
      <c r="AL984" s="38">
        <v>147854</v>
      </c>
      <c r="AM984" s="38" t="s">
        <v>4562</v>
      </c>
      <c r="AN984" s="8" t="s">
        <v>276</v>
      </c>
      <c r="AO984" s="31">
        <f>AI984/AK984*10000</f>
        <v>3.9887050004431894</v>
      </c>
      <c r="AP984" s="8" t="s">
        <v>276</v>
      </c>
      <c r="AQ984" s="8" t="s">
        <v>276</v>
      </c>
      <c r="AR984" s="8" t="s">
        <v>276</v>
      </c>
      <c r="AS984" s="31">
        <f>AJ984/AL984*10000</f>
        <v>6.2899887727082113</v>
      </c>
      <c r="AT984" s="8" t="s">
        <v>276</v>
      </c>
      <c r="AU984" s="8" t="s">
        <v>276</v>
      </c>
      <c r="AV984" s="9" t="s">
        <v>269</v>
      </c>
      <c r="AW984" s="40" t="s">
        <v>276</v>
      </c>
      <c r="AX984" s="53">
        <f>AO984/AS984</f>
        <v>0.63413547218873911</v>
      </c>
      <c r="AY984" s="9" t="s">
        <v>276</v>
      </c>
      <c r="AZ984" s="9" t="s">
        <v>276</v>
      </c>
      <c r="BA984" s="9" t="s">
        <v>276</v>
      </c>
      <c r="BB984" s="9" t="s">
        <v>282</v>
      </c>
      <c r="BC984" s="9" t="s">
        <v>276</v>
      </c>
      <c r="BD984" s="9" t="s">
        <v>276</v>
      </c>
      <c r="BE984" s="9" t="s">
        <v>276</v>
      </c>
      <c r="BF984" s="9" t="s">
        <v>4559</v>
      </c>
      <c r="BG984" s="9"/>
      <c r="BH984" s="9" t="s">
        <v>100</v>
      </c>
      <c r="BI984" s="9" t="s">
        <v>100</v>
      </c>
      <c r="BJ984" s="32"/>
      <c r="BN984" s="32"/>
      <c r="BO984" s="32"/>
    </row>
    <row r="985" spans="1:67" s="33" customFormat="1" ht="65" hidden="1" x14ac:dyDescent="0.35">
      <c r="A985" s="8">
        <v>3757</v>
      </c>
      <c r="B985" s="9" t="s">
        <v>4468</v>
      </c>
      <c r="C985" s="8" t="s">
        <v>63</v>
      </c>
      <c r="D985" s="9" t="s">
        <v>4577</v>
      </c>
      <c r="E985" s="8" t="s">
        <v>35</v>
      </c>
      <c r="F985" s="9" t="s">
        <v>131</v>
      </c>
      <c r="G985" s="8" t="s">
        <v>225</v>
      </c>
      <c r="H985" s="8" t="s">
        <v>125</v>
      </c>
      <c r="I985" s="8" t="s">
        <v>114</v>
      </c>
      <c r="J985" s="9" t="s">
        <v>25</v>
      </c>
      <c r="K985" s="8" t="s">
        <v>1513</v>
      </c>
      <c r="L985" s="9" t="s">
        <v>4553</v>
      </c>
      <c r="M985" s="8" t="s">
        <v>276</v>
      </c>
      <c r="N985" s="9" t="s">
        <v>4554</v>
      </c>
      <c r="O985" s="9" t="s">
        <v>276</v>
      </c>
      <c r="P985" s="9" t="s">
        <v>235</v>
      </c>
      <c r="Q985" s="52" t="s">
        <v>276</v>
      </c>
      <c r="R985" s="9" t="s">
        <v>741</v>
      </c>
      <c r="S985" s="9" t="s">
        <v>4474</v>
      </c>
      <c r="T985" s="9" t="s">
        <v>4475</v>
      </c>
      <c r="U985" s="9">
        <v>7</v>
      </c>
      <c r="V985" s="8" t="s">
        <v>14</v>
      </c>
      <c r="W985" s="9" t="s">
        <v>4472</v>
      </c>
      <c r="X985" s="9" t="s">
        <v>207</v>
      </c>
      <c r="Y985" s="13" t="s">
        <v>98</v>
      </c>
      <c r="Z985" s="9" t="s">
        <v>98</v>
      </c>
      <c r="AA985" s="9" t="s">
        <v>276</v>
      </c>
      <c r="AB985" s="9" t="s">
        <v>276</v>
      </c>
      <c r="AC985" s="8">
        <v>1</v>
      </c>
      <c r="AD985" s="8" t="s">
        <v>4555</v>
      </c>
      <c r="AE985" s="8">
        <v>5</v>
      </c>
      <c r="AF985" s="8" t="s">
        <v>4555</v>
      </c>
      <c r="AG985" s="9" t="s">
        <v>4570</v>
      </c>
      <c r="AH985" s="9" t="s">
        <v>4578</v>
      </c>
      <c r="AI985" s="38">
        <v>50</v>
      </c>
      <c r="AJ985" s="38">
        <v>80</v>
      </c>
      <c r="AK985" s="38">
        <v>395</v>
      </c>
      <c r="AL985" s="38">
        <v>268</v>
      </c>
      <c r="AM985" s="38" t="s">
        <v>292</v>
      </c>
      <c r="AN985" s="8">
        <v>12.7</v>
      </c>
      <c r="AO985" s="31">
        <f>AI985/AK985*100</f>
        <v>12.658227848101266</v>
      </c>
      <c r="AP985" s="8" t="s">
        <v>276</v>
      </c>
      <c r="AQ985" s="8" t="s">
        <v>276</v>
      </c>
      <c r="AR985" s="8">
        <v>29.9</v>
      </c>
      <c r="AS985" s="31">
        <f>AJ985/AL985*100</f>
        <v>29.850746268656714</v>
      </c>
      <c r="AT985" s="8" t="s">
        <v>276</v>
      </c>
      <c r="AU985" s="8" t="s">
        <v>276</v>
      </c>
      <c r="AV985" s="9" t="s">
        <v>268</v>
      </c>
      <c r="AW985" s="40" t="s">
        <v>276</v>
      </c>
      <c r="AX985" s="53">
        <f>AO985/AS985</f>
        <v>0.42405063291139244</v>
      </c>
      <c r="AY985" s="9" t="s">
        <v>276</v>
      </c>
      <c r="AZ985" s="9" t="s">
        <v>276</v>
      </c>
      <c r="BA985" s="9" t="s">
        <v>276</v>
      </c>
      <c r="BB985" s="9" t="s">
        <v>282</v>
      </c>
      <c r="BC985" s="9" t="s">
        <v>276</v>
      </c>
      <c r="BD985" s="9" t="s">
        <v>276</v>
      </c>
      <c r="BE985" s="9" t="s">
        <v>276</v>
      </c>
      <c r="BF985" s="9" t="s">
        <v>4579</v>
      </c>
      <c r="BG985" s="9"/>
      <c r="BH985" s="9" t="s">
        <v>100</v>
      </c>
      <c r="BI985" s="9" t="s">
        <v>100</v>
      </c>
      <c r="BJ985" s="32"/>
      <c r="BN985" s="32"/>
      <c r="BO985" s="32"/>
    </row>
    <row r="986" spans="1:67" s="33" customFormat="1" ht="65" hidden="1" x14ac:dyDescent="0.35">
      <c r="A986" s="8">
        <v>3757</v>
      </c>
      <c r="B986" s="9" t="s">
        <v>4468</v>
      </c>
      <c r="C986" s="8" t="s">
        <v>63</v>
      </c>
      <c r="D986" s="9" t="s">
        <v>4580</v>
      </c>
      <c r="E986" s="8" t="s">
        <v>35</v>
      </c>
      <c r="F986" s="9" t="s">
        <v>131</v>
      </c>
      <c r="G986" s="8" t="s">
        <v>225</v>
      </c>
      <c r="H986" s="8" t="s">
        <v>125</v>
      </c>
      <c r="I986" s="8" t="s">
        <v>114</v>
      </c>
      <c r="J986" s="9" t="s">
        <v>25</v>
      </c>
      <c r="K986" s="8" t="s">
        <v>1516</v>
      </c>
      <c r="L986" s="9" t="s">
        <v>4553</v>
      </c>
      <c r="M986" s="8" t="s">
        <v>276</v>
      </c>
      <c r="N986" s="9" t="s">
        <v>4554</v>
      </c>
      <c r="O986" s="9" t="s">
        <v>276</v>
      </c>
      <c r="P986" s="9" t="s">
        <v>235</v>
      </c>
      <c r="Q986" s="52" t="s">
        <v>276</v>
      </c>
      <c r="R986" s="9" t="s">
        <v>741</v>
      </c>
      <c r="S986" s="9" t="s">
        <v>4474</v>
      </c>
      <c r="T986" s="9" t="s">
        <v>4475</v>
      </c>
      <c r="U986" s="9">
        <v>7</v>
      </c>
      <c r="V986" s="8" t="s">
        <v>14</v>
      </c>
      <c r="W986" s="9" t="s">
        <v>4472</v>
      </c>
      <c r="X986" s="9" t="s">
        <v>207</v>
      </c>
      <c r="Y986" s="13" t="s">
        <v>98</v>
      </c>
      <c r="Z986" s="9" t="s">
        <v>98</v>
      </c>
      <c r="AA986" s="9" t="s">
        <v>276</v>
      </c>
      <c r="AB986" s="9" t="s">
        <v>276</v>
      </c>
      <c r="AC986" s="8">
        <v>1</v>
      </c>
      <c r="AD986" s="8" t="s">
        <v>4555</v>
      </c>
      <c r="AE986" s="8">
        <v>5</v>
      </c>
      <c r="AF986" s="8" t="s">
        <v>4555</v>
      </c>
      <c r="AG986" s="9" t="s">
        <v>4573</v>
      </c>
      <c r="AH986" s="9" t="s">
        <v>4578</v>
      </c>
      <c r="AI986" s="38">
        <v>13</v>
      </c>
      <c r="AJ986" s="38">
        <v>13</v>
      </c>
      <c r="AK986" s="38">
        <v>395</v>
      </c>
      <c r="AL986" s="38">
        <v>268</v>
      </c>
      <c r="AM986" s="38" t="s">
        <v>292</v>
      </c>
      <c r="AN986" s="8">
        <v>3.3</v>
      </c>
      <c r="AO986" s="31">
        <f>AI986/AK986*100</f>
        <v>3.2911392405063293</v>
      </c>
      <c r="AP986" s="8" t="s">
        <v>276</v>
      </c>
      <c r="AQ986" s="8" t="s">
        <v>276</v>
      </c>
      <c r="AR986" s="8">
        <v>4.9000000000000004</v>
      </c>
      <c r="AS986" s="31">
        <f>AJ986/AL986*100</f>
        <v>4.8507462686567164</v>
      </c>
      <c r="AT986" s="8" t="s">
        <v>276</v>
      </c>
      <c r="AU986" s="8" t="s">
        <v>276</v>
      </c>
      <c r="AV986" s="9" t="s">
        <v>268</v>
      </c>
      <c r="AW986" s="40" t="s">
        <v>276</v>
      </c>
      <c r="AX986" s="53">
        <f>AO986/AS986</f>
        <v>0.67848101265822791</v>
      </c>
      <c r="AY986" s="9" t="s">
        <v>276</v>
      </c>
      <c r="AZ986" s="9" t="s">
        <v>276</v>
      </c>
      <c r="BA986" s="9" t="s">
        <v>276</v>
      </c>
      <c r="BB986" s="9" t="s">
        <v>282</v>
      </c>
      <c r="BC986" s="9" t="s">
        <v>276</v>
      </c>
      <c r="BD986" s="9" t="s">
        <v>276</v>
      </c>
      <c r="BE986" s="9" t="s">
        <v>276</v>
      </c>
      <c r="BF986" s="9" t="s">
        <v>4579</v>
      </c>
      <c r="BG986" s="9"/>
      <c r="BH986" s="9" t="s">
        <v>100</v>
      </c>
      <c r="BI986" s="9" t="s">
        <v>100</v>
      </c>
      <c r="BJ986" s="32"/>
      <c r="BN986" s="32"/>
      <c r="BO986" s="32"/>
    </row>
    <row r="987" spans="1:67" s="33" customFormat="1" ht="65" hidden="1" x14ac:dyDescent="0.35">
      <c r="A987" s="8">
        <v>3757</v>
      </c>
      <c r="B987" s="9" t="s">
        <v>4468</v>
      </c>
      <c r="C987" s="8" t="s">
        <v>63</v>
      </c>
      <c r="D987" s="9" t="s">
        <v>4581</v>
      </c>
      <c r="E987" s="8" t="s">
        <v>35</v>
      </c>
      <c r="F987" s="9" t="s">
        <v>131</v>
      </c>
      <c r="G987" s="8" t="s">
        <v>225</v>
      </c>
      <c r="H987" s="8" t="s">
        <v>125</v>
      </c>
      <c r="I987" s="8" t="s">
        <v>114</v>
      </c>
      <c r="J987" s="9" t="s">
        <v>25</v>
      </c>
      <c r="K987" s="8" t="s">
        <v>1519</v>
      </c>
      <c r="L987" s="9" t="s">
        <v>4553</v>
      </c>
      <c r="M987" s="8" t="s">
        <v>276</v>
      </c>
      <c r="N987" s="9" t="s">
        <v>4554</v>
      </c>
      <c r="O987" s="9" t="s">
        <v>276</v>
      </c>
      <c r="P987" s="9" t="s">
        <v>235</v>
      </c>
      <c r="Q987" s="52" t="s">
        <v>276</v>
      </c>
      <c r="R987" s="9" t="s">
        <v>741</v>
      </c>
      <c r="S987" s="9" t="s">
        <v>4474</v>
      </c>
      <c r="T987" s="9" t="s">
        <v>4475</v>
      </c>
      <c r="U987" s="9">
        <v>7</v>
      </c>
      <c r="V987" s="8" t="s">
        <v>14</v>
      </c>
      <c r="W987" s="9" t="s">
        <v>4472</v>
      </c>
      <c r="X987" s="9" t="s">
        <v>207</v>
      </c>
      <c r="Y987" s="13" t="s">
        <v>98</v>
      </c>
      <c r="Z987" s="9" t="s">
        <v>98</v>
      </c>
      <c r="AA987" s="9" t="s">
        <v>276</v>
      </c>
      <c r="AB987" s="9" t="s">
        <v>276</v>
      </c>
      <c r="AC987" s="8">
        <v>1</v>
      </c>
      <c r="AD987" s="8" t="s">
        <v>4555</v>
      </c>
      <c r="AE987" s="8">
        <v>5</v>
      </c>
      <c r="AF987" s="8" t="s">
        <v>4555</v>
      </c>
      <c r="AG987" s="9" t="s">
        <v>4576</v>
      </c>
      <c r="AH987" s="9" t="s">
        <v>4578</v>
      </c>
      <c r="AI987" s="38">
        <f>50+13</f>
        <v>63</v>
      </c>
      <c r="AJ987" s="38">
        <f>80+13</f>
        <v>93</v>
      </c>
      <c r="AK987" s="38">
        <v>395</v>
      </c>
      <c r="AL987" s="38">
        <v>268</v>
      </c>
      <c r="AM987" s="38" t="s">
        <v>292</v>
      </c>
      <c r="AN987" s="8">
        <v>3.3</v>
      </c>
      <c r="AO987" s="31">
        <f>AI987/AK987*100</f>
        <v>15.949367088607595</v>
      </c>
      <c r="AP987" s="8" t="s">
        <v>276</v>
      </c>
      <c r="AQ987" s="8" t="s">
        <v>276</v>
      </c>
      <c r="AR987" s="8">
        <v>4.9000000000000004</v>
      </c>
      <c r="AS987" s="31">
        <f>AJ987/AL987*100</f>
        <v>34.701492537313435</v>
      </c>
      <c r="AT987" s="8" t="s">
        <v>276</v>
      </c>
      <c r="AU987" s="8" t="s">
        <v>276</v>
      </c>
      <c r="AV987" s="9" t="s">
        <v>268</v>
      </c>
      <c r="AW987" s="40" t="s">
        <v>276</v>
      </c>
      <c r="AX987" s="53">
        <f>AO987/AS987</f>
        <v>0.45961616986525111</v>
      </c>
      <c r="AY987" s="9" t="s">
        <v>276</v>
      </c>
      <c r="AZ987" s="9" t="s">
        <v>276</v>
      </c>
      <c r="BA987" s="9" t="s">
        <v>276</v>
      </c>
      <c r="BB987" s="9" t="s">
        <v>282</v>
      </c>
      <c r="BC987" s="9" t="s">
        <v>276</v>
      </c>
      <c r="BD987" s="9" t="s">
        <v>276</v>
      </c>
      <c r="BE987" s="9" t="s">
        <v>276</v>
      </c>
      <c r="BF987" s="9" t="s">
        <v>4579</v>
      </c>
      <c r="BG987" s="9"/>
      <c r="BH987" s="9" t="s">
        <v>100</v>
      </c>
      <c r="BI987" s="9" t="s">
        <v>100</v>
      </c>
      <c r="BJ987" s="32"/>
      <c r="BN987" s="32"/>
      <c r="BO987" s="32"/>
    </row>
    <row r="988" spans="1:67" s="33" customFormat="1" ht="39" hidden="1" x14ac:dyDescent="0.35">
      <c r="A988" s="8">
        <v>3757</v>
      </c>
      <c r="B988" s="9" t="s">
        <v>4468</v>
      </c>
      <c r="C988" s="8" t="s">
        <v>63</v>
      </c>
      <c r="D988" s="9" t="s">
        <v>4582</v>
      </c>
      <c r="E988" s="8" t="s">
        <v>35</v>
      </c>
      <c r="F988" s="9" t="s">
        <v>131</v>
      </c>
      <c r="G988" s="8" t="s">
        <v>225</v>
      </c>
      <c r="H988" s="8" t="s">
        <v>225</v>
      </c>
      <c r="I988" s="8" t="s">
        <v>114</v>
      </c>
      <c r="J988" s="9" t="s">
        <v>98</v>
      </c>
      <c r="K988" s="8" t="s">
        <v>98</v>
      </c>
      <c r="L988" s="8" t="s">
        <v>98</v>
      </c>
      <c r="M988" s="8" t="s">
        <v>98</v>
      </c>
      <c r="N988" s="9" t="s">
        <v>276</v>
      </c>
      <c r="O988" s="9" t="s">
        <v>276</v>
      </c>
      <c r="P988" s="9" t="s">
        <v>238</v>
      </c>
      <c r="Q988" s="52" t="s">
        <v>276</v>
      </c>
      <c r="R988" s="9" t="s">
        <v>741</v>
      </c>
      <c r="S988" s="9" t="s">
        <v>4474</v>
      </c>
      <c r="T988" s="9" t="s">
        <v>98</v>
      </c>
      <c r="U988" s="9">
        <v>7</v>
      </c>
      <c r="V988" s="8" t="s">
        <v>14</v>
      </c>
      <c r="W988" s="9" t="s">
        <v>4472</v>
      </c>
      <c r="X988" s="9" t="s">
        <v>209</v>
      </c>
      <c r="Y988" s="13">
        <v>23226</v>
      </c>
      <c r="Z988" s="9" t="s">
        <v>98</v>
      </c>
      <c r="AA988" s="9" t="s">
        <v>276</v>
      </c>
      <c r="AB988" s="9" t="s">
        <v>98</v>
      </c>
      <c r="AC988" s="8">
        <v>0</v>
      </c>
      <c r="AD988" s="8" t="s">
        <v>98</v>
      </c>
      <c r="AE988" s="8" t="s">
        <v>98</v>
      </c>
      <c r="AF988" s="8" t="s">
        <v>98</v>
      </c>
      <c r="AG988" s="9" t="s">
        <v>4583</v>
      </c>
      <c r="AH988" s="9" t="s">
        <v>4584</v>
      </c>
      <c r="AI988" s="38">
        <v>243</v>
      </c>
      <c r="AJ988" s="38" t="s">
        <v>98</v>
      </c>
      <c r="AK988" s="38">
        <v>23226</v>
      </c>
      <c r="AL988" s="38" t="s">
        <v>98</v>
      </c>
      <c r="AM988" s="38" t="s">
        <v>4585</v>
      </c>
      <c r="AN988" s="8" t="s">
        <v>98</v>
      </c>
      <c r="AO988" s="14">
        <f>AI988/AK988*1000</f>
        <v>10.462412813226557</v>
      </c>
      <c r="AP988" s="8" t="s">
        <v>276</v>
      </c>
      <c r="AQ988" s="8" t="s">
        <v>276</v>
      </c>
      <c r="AR988" s="8" t="s">
        <v>98</v>
      </c>
      <c r="AS988" s="14" t="s">
        <v>98</v>
      </c>
      <c r="AT988" s="8" t="s">
        <v>98</v>
      </c>
      <c r="AU988" s="8" t="s">
        <v>98</v>
      </c>
      <c r="AV988" s="9" t="s">
        <v>98</v>
      </c>
      <c r="AW988" s="40" t="s">
        <v>98</v>
      </c>
      <c r="AX988" s="40" t="s">
        <v>98</v>
      </c>
      <c r="AY988" s="9" t="s">
        <v>98</v>
      </c>
      <c r="AZ988" s="9" t="s">
        <v>98</v>
      </c>
      <c r="BA988" s="9" t="s">
        <v>98</v>
      </c>
      <c r="BB988" s="9" t="s">
        <v>98</v>
      </c>
      <c r="BC988" s="9" t="s">
        <v>98</v>
      </c>
      <c r="BD988" s="9" t="s">
        <v>98</v>
      </c>
      <c r="BE988" s="9" t="s">
        <v>98</v>
      </c>
      <c r="BF988" s="9" t="s">
        <v>4579</v>
      </c>
      <c r="BG988" s="9" t="s">
        <v>4586</v>
      </c>
      <c r="BH988" s="9" t="s">
        <v>100</v>
      </c>
      <c r="BI988" s="9" t="s">
        <v>100</v>
      </c>
      <c r="BJ988" s="32"/>
      <c r="BN988" s="32"/>
      <c r="BO988" s="32"/>
    </row>
    <row r="989" spans="1:67" s="33" customFormat="1" ht="52" x14ac:dyDescent="0.35">
      <c r="A989" s="8">
        <v>3757</v>
      </c>
      <c r="B989" s="9" t="s">
        <v>4468</v>
      </c>
      <c r="C989" s="8" t="s">
        <v>63</v>
      </c>
      <c r="D989" s="9" t="s">
        <v>4587</v>
      </c>
      <c r="E989" s="8" t="s">
        <v>35</v>
      </c>
      <c r="F989" s="9" t="s">
        <v>131</v>
      </c>
      <c r="G989" s="8" t="s">
        <v>225</v>
      </c>
      <c r="H989" s="8" t="s">
        <v>225</v>
      </c>
      <c r="I989" s="8" t="s">
        <v>114</v>
      </c>
      <c r="J989" s="9" t="s">
        <v>98</v>
      </c>
      <c r="K989" s="8" t="s">
        <v>98</v>
      </c>
      <c r="L989" s="8" t="s">
        <v>98</v>
      </c>
      <c r="M989" s="8" t="s">
        <v>98</v>
      </c>
      <c r="N989" s="9" t="s">
        <v>276</v>
      </c>
      <c r="O989" s="9" t="s">
        <v>276</v>
      </c>
      <c r="P989" s="9" t="s">
        <v>236</v>
      </c>
      <c r="Q989" s="52" t="s">
        <v>276</v>
      </c>
      <c r="R989" s="9" t="s">
        <v>741</v>
      </c>
      <c r="S989" s="9" t="s">
        <v>4474</v>
      </c>
      <c r="T989" s="9" t="s">
        <v>98</v>
      </c>
      <c r="U989" s="9">
        <v>7</v>
      </c>
      <c r="V989" s="8" t="s">
        <v>14</v>
      </c>
      <c r="W989" s="9" t="s">
        <v>4472</v>
      </c>
      <c r="X989" s="9" t="s">
        <v>209</v>
      </c>
      <c r="Y989" s="13" t="s">
        <v>98</v>
      </c>
      <c r="Z989" s="9" t="s">
        <v>98</v>
      </c>
      <c r="AA989" s="9" t="s">
        <v>276</v>
      </c>
      <c r="AB989" s="9" t="s">
        <v>98</v>
      </c>
      <c r="AC989" s="8">
        <v>0</v>
      </c>
      <c r="AD989" s="8" t="s">
        <v>98</v>
      </c>
      <c r="AE989" s="8" t="s">
        <v>98</v>
      </c>
      <c r="AF989" s="8" t="s">
        <v>98</v>
      </c>
      <c r="AG989" s="9" t="s">
        <v>4583</v>
      </c>
      <c r="AH989" s="9" t="s">
        <v>4588</v>
      </c>
      <c r="AI989" s="38">
        <v>243</v>
      </c>
      <c r="AJ989" s="38" t="s">
        <v>98</v>
      </c>
      <c r="AK989" s="38">
        <v>395</v>
      </c>
      <c r="AL989" s="38" t="s">
        <v>98</v>
      </c>
      <c r="AM989" s="38" t="s">
        <v>292</v>
      </c>
      <c r="AN989" s="8" t="s">
        <v>276</v>
      </c>
      <c r="AO989" s="14">
        <f>AI989/AK989*100</f>
        <v>61.518987341772146</v>
      </c>
      <c r="AP989" s="8" t="s">
        <v>276</v>
      </c>
      <c r="AQ989" s="8" t="s">
        <v>276</v>
      </c>
      <c r="AR989" s="8" t="s">
        <v>98</v>
      </c>
      <c r="AS989" s="14" t="s">
        <v>98</v>
      </c>
      <c r="AT989" s="8" t="s">
        <v>98</v>
      </c>
      <c r="AU989" s="8" t="s">
        <v>98</v>
      </c>
      <c r="AV989" s="9" t="s">
        <v>98</v>
      </c>
      <c r="AW989" s="40" t="s">
        <v>98</v>
      </c>
      <c r="AX989" s="40" t="s">
        <v>98</v>
      </c>
      <c r="AY989" s="9" t="s">
        <v>98</v>
      </c>
      <c r="AZ989" s="9" t="s">
        <v>98</v>
      </c>
      <c r="BA989" s="9" t="s">
        <v>98</v>
      </c>
      <c r="BB989" s="9" t="s">
        <v>98</v>
      </c>
      <c r="BC989" s="9" t="s">
        <v>98</v>
      </c>
      <c r="BD989" s="9" t="s">
        <v>98</v>
      </c>
      <c r="BE989" s="9" t="s">
        <v>98</v>
      </c>
      <c r="BF989" s="9" t="s">
        <v>4579</v>
      </c>
      <c r="BG989" s="9" t="s">
        <v>4589</v>
      </c>
      <c r="BH989" s="9" t="s">
        <v>99</v>
      </c>
      <c r="BI989" s="9" t="s">
        <v>100</v>
      </c>
      <c r="BJ989" s="32"/>
      <c r="BN989" s="32"/>
      <c r="BO989" s="32"/>
    </row>
    <row r="990" spans="1:67" s="110" customFormat="1" ht="78" hidden="1" x14ac:dyDescent="0.35">
      <c r="A990" s="94">
        <v>3773</v>
      </c>
      <c r="B990" s="95" t="s">
        <v>4493</v>
      </c>
      <c r="C990" s="94" t="s">
        <v>63</v>
      </c>
      <c r="D990" s="95" t="s">
        <v>4590</v>
      </c>
      <c r="E990" s="94" t="s">
        <v>35</v>
      </c>
      <c r="F990" s="95" t="s">
        <v>131</v>
      </c>
      <c r="G990" s="94" t="s">
        <v>225</v>
      </c>
      <c r="H990" s="94" t="s">
        <v>125</v>
      </c>
      <c r="I990" s="94" t="s">
        <v>114</v>
      </c>
      <c r="J990" s="95" t="s">
        <v>25</v>
      </c>
      <c r="K990" s="94">
        <v>0</v>
      </c>
      <c r="L990" s="95" t="s">
        <v>4591</v>
      </c>
      <c r="M990" s="94" t="s">
        <v>276</v>
      </c>
      <c r="N990" s="95" t="s">
        <v>4592</v>
      </c>
      <c r="O990" s="95" t="s">
        <v>276</v>
      </c>
      <c r="P990" s="95" t="s">
        <v>239</v>
      </c>
      <c r="Q990" s="140" t="s">
        <v>276</v>
      </c>
      <c r="R990" s="95" t="s">
        <v>766</v>
      </c>
      <c r="S990" s="95" t="s">
        <v>4496</v>
      </c>
      <c r="T990" s="95" t="s">
        <v>4497</v>
      </c>
      <c r="U990" s="95">
        <v>7</v>
      </c>
      <c r="V990" s="94" t="s">
        <v>14</v>
      </c>
      <c r="W990" s="95" t="s">
        <v>4472</v>
      </c>
      <c r="X990" s="95" t="s">
        <v>207</v>
      </c>
      <c r="Y990" s="98">
        <v>22944</v>
      </c>
      <c r="Z990" s="95">
        <v>21344</v>
      </c>
      <c r="AA990" s="95" t="s">
        <v>276</v>
      </c>
      <c r="AB990" s="95" t="s">
        <v>276</v>
      </c>
      <c r="AC990" s="94" t="s">
        <v>4593</v>
      </c>
      <c r="AD990" s="94" t="s">
        <v>4594</v>
      </c>
      <c r="AE990" s="94" t="s">
        <v>4595</v>
      </c>
      <c r="AF990" s="94" t="s">
        <v>4594</v>
      </c>
      <c r="AG990" s="95" t="s">
        <v>4596</v>
      </c>
      <c r="AH990" s="95" t="s">
        <v>4597</v>
      </c>
      <c r="AI990" s="99">
        <v>42</v>
      </c>
      <c r="AJ990" s="99">
        <v>11</v>
      </c>
      <c r="AK990" s="98">
        <v>22944</v>
      </c>
      <c r="AL990" s="95">
        <v>21344</v>
      </c>
      <c r="AM990" s="99" t="s">
        <v>292</v>
      </c>
      <c r="AN990" s="94" t="s">
        <v>276</v>
      </c>
      <c r="AO990" s="101">
        <f>AI990/AK990*100</f>
        <v>0.18305439330543932</v>
      </c>
      <c r="AP990" s="94" t="s">
        <v>276</v>
      </c>
      <c r="AQ990" s="94" t="s">
        <v>276</v>
      </c>
      <c r="AR990" s="94" t="s">
        <v>276</v>
      </c>
      <c r="AS990" s="101">
        <f>AJ990/AL990*100</f>
        <v>5.153673163418291E-2</v>
      </c>
      <c r="AT990" s="94" t="s">
        <v>276</v>
      </c>
      <c r="AU990" s="94" t="s">
        <v>276</v>
      </c>
      <c r="AV990" s="95" t="s">
        <v>268</v>
      </c>
      <c r="AW990" s="141" t="s">
        <v>276</v>
      </c>
      <c r="AX990" s="233">
        <f t="shared" ref="AX990:AX999" si="314">AO990/AS990</f>
        <v>3.5519208824648154</v>
      </c>
      <c r="AY990" s="95" t="s">
        <v>276</v>
      </c>
      <c r="AZ990" s="95" t="s">
        <v>276</v>
      </c>
      <c r="BA990" s="95" t="s">
        <v>276</v>
      </c>
      <c r="BB990" s="95" t="s">
        <v>282</v>
      </c>
      <c r="BC990" s="95" t="s">
        <v>276</v>
      </c>
      <c r="BD990" s="95" t="s">
        <v>276</v>
      </c>
      <c r="BE990" s="95" t="s">
        <v>276</v>
      </c>
      <c r="BF990" s="95" t="s">
        <v>4598</v>
      </c>
      <c r="BG990" s="95" t="s">
        <v>4599</v>
      </c>
      <c r="BH990" s="9" t="s">
        <v>100</v>
      </c>
      <c r="BI990" s="9" t="s">
        <v>100</v>
      </c>
      <c r="BJ990" s="109"/>
      <c r="BN990" s="109"/>
      <c r="BO990" s="109"/>
    </row>
    <row r="991" spans="1:67" s="110" customFormat="1" ht="78" hidden="1" x14ac:dyDescent="0.35">
      <c r="A991" s="94">
        <v>3773</v>
      </c>
      <c r="B991" s="95" t="s">
        <v>4493</v>
      </c>
      <c r="C991" s="94" t="s">
        <v>63</v>
      </c>
      <c r="D991" s="95" t="s">
        <v>4600</v>
      </c>
      <c r="E991" s="94" t="s">
        <v>35</v>
      </c>
      <c r="F991" s="95" t="s">
        <v>131</v>
      </c>
      <c r="G991" s="94" t="s">
        <v>225</v>
      </c>
      <c r="H991" s="94" t="s">
        <v>125</v>
      </c>
      <c r="I991" s="94" t="s">
        <v>114</v>
      </c>
      <c r="J991" s="95" t="s">
        <v>25</v>
      </c>
      <c r="K991" s="94">
        <v>0</v>
      </c>
      <c r="L991" s="95" t="s">
        <v>4591</v>
      </c>
      <c r="M991" s="94" t="s">
        <v>276</v>
      </c>
      <c r="N991" s="95" t="s">
        <v>4592</v>
      </c>
      <c r="O991" s="95" t="s">
        <v>276</v>
      </c>
      <c r="P991" s="95" t="s">
        <v>239</v>
      </c>
      <c r="Q991" s="140" t="s">
        <v>276</v>
      </c>
      <c r="R991" s="95" t="s">
        <v>766</v>
      </c>
      <c r="S991" s="95" t="s">
        <v>4496</v>
      </c>
      <c r="T991" s="95" t="s">
        <v>4497</v>
      </c>
      <c r="U991" s="95">
        <v>7</v>
      </c>
      <c r="V991" s="94" t="s">
        <v>14</v>
      </c>
      <c r="W991" s="95" t="s">
        <v>4472</v>
      </c>
      <c r="X991" s="95" t="s">
        <v>207</v>
      </c>
      <c r="Y991" s="98">
        <v>22944</v>
      </c>
      <c r="Z991" s="95">
        <v>21344</v>
      </c>
      <c r="AA991" s="95" t="s">
        <v>276</v>
      </c>
      <c r="AB991" s="95" t="s">
        <v>276</v>
      </c>
      <c r="AC991" s="94" t="s">
        <v>4593</v>
      </c>
      <c r="AD991" s="94" t="s">
        <v>4594</v>
      </c>
      <c r="AE991" s="94" t="s">
        <v>4595</v>
      </c>
      <c r="AF991" s="94" t="s">
        <v>4594</v>
      </c>
      <c r="AG991" s="95" t="s">
        <v>4596</v>
      </c>
      <c r="AH991" s="95" t="s">
        <v>4561</v>
      </c>
      <c r="AI991" s="99">
        <v>42</v>
      </c>
      <c r="AJ991" s="99">
        <v>11</v>
      </c>
      <c r="AK991" s="98">
        <v>219215</v>
      </c>
      <c r="AL991" s="95">
        <v>201821</v>
      </c>
      <c r="AM991" s="99" t="s">
        <v>4601</v>
      </c>
      <c r="AN991" s="94" t="s">
        <v>276</v>
      </c>
      <c r="AO991" s="101">
        <f>AI991/AK991*10000</f>
        <v>1.9159272859977647</v>
      </c>
      <c r="AP991" s="94" t="s">
        <v>276</v>
      </c>
      <c r="AQ991" s="94" t="s">
        <v>276</v>
      </c>
      <c r="AR991" s="94" t="s">
        <v>276</v>
      </c>
      <c r="AS991" s="101">
        <f>AJ991/AL991*10000</f>
        <v>0.54503743416195538</v>
      </c>
      <c r="AT991" s="94" t="s">
        <v>276</v>
      </c>
      <c r="AU991" s="94" t="s">
        <v>276</v>
      </c>
      <c r="AV991" s="95" t="s">
        <v>269</v>
      </c>
      <c r="AW991" s="141" t="s">
        <v>276</v>
      </c>
      <c r="AX991" s="233">
        <f t="shared" si="314"/>
        <v>3.5152214617032262</v>
      </c>
      <c r="AY991" s="95" t="s">
        <v>276</v>
      </c>
      <c r="AZ991" s="95" t="s">
        <v>276</v>
      </c>
      <c r="BA991" s="95" t="s">
        <v>276</v>
      </c>
      <c r="BB991" s="95" t="s">
        <v>282</v>
      </c>
      <c r="BC991" s="95" t="s">
        <v>276</v>
      </c>
      <c r="BD991" s="95" t="s">
        <v>276</v>
      </c>
      <c r="BE991" s="95" t="s">
        <v>276</v>
      </c>
      <c r="BF991" s="95" t="s">
        <v>4602</v>
      </c>
      <c r="BG991" s="95"/>
      <c r="BH991" s="9" t="s">
        <v>100</v>
      </c>
      <c r="BI991" s="9" t="s">
        <v>100</v>
      </c>
      <c r="BJ991" s="109"/>
      <c r="BN991" s="109"/>
      <c r="BO991" s="109"/>
    </row>
    <row r="992" spans="1:67" s="110" customFormat="1" ht="78" hidden="1" x14ac:dyDescent="0.35">
      <c r="A992" s="94">
        <v>3773</v>
      </c>
      <c r="B992" s="95" t="s">
        <v>4493</v>
      </c>
      <c r="C992" s="94" t="s">
        <v>63</v>
      </c>
      <c r="D992" s="95" t="s">
        <v>4603</v>
      </c>
      <c r="E992" s="94" t="s">
        <v>35</v>
      </c>
      <c r="F992" s="95" t="s">
        <v>131</v>
      </c>
      <c r="G992" s="94" t="s">
        <v>225</v>
      </c>
      <c r="H992" s="94" t="s">
        <v>125</v>
      </c>
      <c r="I992" s="94" t="s">
        <v>114</v>
      </c>
      <c r="J992" s="95" t="s">
        <v>25</v>
      </c>
      <c r="K992" s="94" t="s">
        <v>4604</v>
      </c>
      <c r="L992" s="95" t="s">
        <v>4591</v>
      </c>
      <c r="M992" s="94" t="s">
        <v>276</v>
      </c>
      <c r="N992" s="95" t="s">
        <v>4592</v>
      </c>
      <c r="O992" s="95" t="s">
        <v>276</v>
      </c>
      <c r="P992" s="95" t="s">
        <v>239</v>
      </c>
      <c r="Q992" s="140" t="s">
        <v>276</v>
      </c>
      <c r="R992" s="95" t="s">
        <v>766</v>
      </c>
      <c r="S992" s="95" t="s">
        <v>4496</v>
      </c>
      <c r="T992" s="95" t="s">
        <v>4497</v>
      </c>
      <c r="U992" s="95">
        <v>7</v>
      </c>
      <c r="V992" s="94" t="s">
        <v>14</v>
      </c>
      <c r="W992" s="95" t="s">
        <v>4472</v>
      </c>
      <c r="X992" s="95" t="s">
        <v>207</v>
      </c>
      <c r="Y992" s="98">
        <v>22944</v>
      </c>
      <c r="Z992" s="95">
        <v>21344</v>
      </c>
      <c r="AA992" s="95" t="s">
        <v>276</v>
      </c>
      <c r="AB992" s="95" t="s">
        <v>276</v>
      </c>
      <c r="AC992" s="94" t="s">
        <v>4593</v>
      </c>
      <c r="AD992" s="94" t="s">
        <v>4594</v>
      </c>
      <c r="AE992" s="94" t="s">
        <v>4595</v>
      </c>
      <c r="AF992" s="94" t="s">
        <v>4594</v>
      </c>
      <c r="AG992" s="95" t="s">
        <v>4605</v>
      </c>
      <c r="AH992" s="95" t="s">
        <v>4597</v>
      </c>
      <c r="AI992" s="99">
        <v>355</v>
      </c>
      <c r="AJ992" s="99">
        <v>229</v>
      </c>
      <c r="AK992" s="98">
        <v>22944</v>
      </c>
      <c r="AL992" s="95">
        <v>21344</v>
      </c>
      <c r="AM992" s="99" t="s">
        <v>292</v>
      </c>
      <c r="AN992" s="94" t="s">
        <v>276</v>
      </c>
      <c r="AO992" s="101">
        <f>AI992/AK992*100</f>
        <v>1.5472454672245468</v>
      </c>
      <c r="AP992" s="94" t="s">
        <v>276</v>
      </c>
      <c r="AQ992" s="94" t="s">
        <v>276</v>
      </c>
      <c r="AR992" s="94" t="s">
        <v>276</v>
      </c>
      <c r="AS992" s="101">
        <f>AJ992/AL992*100</f>
        <v>1.0729010494752622</v>
      </c>
      <c r="AT992" s="94" t="s">
        <v>276</v>
      </c>
      <c r="AU992" s="94" t="s">
        <v>276</v>
      </c>
      <c r="AV992" s="95" t="s">
        <v>268</v>
      </c>
      <c r="AW992" s="141" t="s">
        <v>276</v>
      </c>
      <c r="AX992" s="233">
        <f t="shared" si="314"/>
        <v>1.4421138538183726</v>
      </c>
      <c r="AY992" s="95" t="s">
        <v>276</v>
      </c>
      <c r="AZ992" s="95" t="s">
        <v>276</v>
      </c>
      <c r="BA992" s="95" t="s">
        <v>276</v>
      </c>
      <c r="BB992" s="95" t="s">
        <v>282</v>
      </c>
      <c r="BC992" s="95" t="s">
        <v>98</v>
      </c>
      <c r="BD992" s="95" t="s">
        <v>98</v>
      </c>
      <c r="BE992" s="95" t="s">
        <v>98</v>
      </c>
      <c r="BF992" s="95" t="s">
        <v>4598</v>
      </c>
      <c r="BG992" s="95" t="s">
        <v>4606</v>
      </c>
      <c r="BH992" s="9" t="s">
        <v>100</v>
      </c>
      <c r="BI992" s="9" t="s">
        <v>100</v>
      </c>
      <c r="BJ992" s="109"/>
      <c r="BN992" s="109"/>
      <c r="BO992" s="109"/>
    </row>
    <row r="993" spans="1:67" s="110" customFormat="1" ht="78" hidden="1" x14ac:dyDescent="0.35">
      <c r="A993" s="94">
        <v>3773</v>
      </c>
      <c r="B993" s="95" t="s">
        <v>4493</v>
      </c>
      <c r="C993" s="94" t="s">
        <v>63</v>
      </c>
      <c r="D993" s="95" t="s">
        <v>4607</v>
      </c>
      <c r="E993" s="94" t="s">
        <v>35</v>
      </c>
      <c r="F993" s="95" t="s">
        <v>131</v>
      </c>
      <c r="G993" s="94" t="s">
        <v>225</v>
      </c>
      <c r="H993" s="94" t="s">
        <v>125</v>
      </c>
      <c r="I993" s="94" t="s">
        <v>114</v>
      </c>
      <c r="J993" s="95" t="s">
        <v>25</v>
      </c>
      <c r="K993" s="94" t="s">
        <v>4604</v>
      </c>
      <c r="L993" s="95" t="s">
        <v>4591</v>
      </c>
      <c r="M993" s="94" t="s">
        <v>276</v>
      </c>
      <c r="N993" s="95" t="s">
        <v>4592</v>
      </c>
      <c r="O993" s="95" t="s">
        <v>276</v>
      </c>
      <c r="P993" s="95" t="s">
        <v>239</v>
      </c>
      <c r="Q993" s="140" t="s">
        <v>276</v>
      </c>
      <c r="R993" s="95" t="s">
        <v>766</v>
      </c>
      <c r="S993" s="95" t="s">
        <v>4496</v>
      </c>
      <c r="T993" s="95" t="s">
        <v>4497</v>
      </c>
      <c r="U993" s="95">
        <v>7</v>
      </c>
      <c r="V993" s="94" t="s">
        <v>14</v>
      </c>
      <c r="W993" s="95" t="s">
        <v>4472</v>
      </c>
      <c r="X993" s="95" t="s">
        <v>207</v>
      </c>
      <c r="Y993" s="98">
        <v>22944</v>
      </c>
      <c r="Z993" s="95">
        <v>21344</v>
      </c>
      <c r="AA993" s="95" t="s">
        <v>276</v>
      </c>
      <c r="AB993" s="95" t="s">
        <v>276</v>
      </c>
      <c r="AC993" s="94" t="s">
        <v>4593</v>
      </c>
      <c r="AD993" s="94" t="s">
        <v>4594</v>
      </c>
      <c r="AE993" s="94" t="s">
        <v>4595</v>
      </c>
      <c r="AF993" s="94" t="s">
        <v>4594</v>
      </c>
      <c r="AG993" s="95" t="s">
        <v>4605</v>
      </c>
      <c r="AH993" s="95" t="s">
        <v>4561</v>
      </c>
      <c r="AI993" s="99">
        <v>355</v>
      </c>
      <c r="AJ993" s="99">
        <v>229</v>
      </c>
      <c r="AK993" s="99">
        <f t="shared" ref="AK993:AM994" si="315">AK991</f>
        <v>219215</v>
      </c>
      <c r="AL993" s="99">
        <f t="shared" si="315"/>
        <v>201821</v>
      </c>
      <c r="AM993" s="99" t="str">
        <f t="shared" si="315"/>
        <v>per 10000 women years</v>
      </c>
      <c r="AN993" s="94" t="s">
        <v>276</v>
      </c>
      <c r="AO993" s="101">
        <f>AI993/AK993*10000</f>
        <v>16.194147298314441</v>
      </c>
      <c r="AP993" s="94" t="s">
        <v>276</v>
      </c>
      <c r="AQ993" s="94" t="s">
        <v>276</v>
      </c>
      <c r="AR993" s="94" t="s">
        <v>276</v>
      </c>
      <c r="AS993" s="101">
        <f>AJ993/AL993*10000</f>
        <v>11.34668840209889</v>
      </c>
      <c r="AT993" s="94" t="s">
        <v>276</v>
      </c>
      <c r="AU993" s="94" t="s">
        <v>276</v>
      </c>
      <c r="AV993" s="95" t="s">
        <v>269</v>
      </c>
      <c r="AW993" s="141" t="s">
        <v>276</v>
      </c>
      <c r="AX993" s="233">
        <f t="shared" si="314"/>
        <v>1.4272135379445934</v>
      </c>
      <c r="AY993" s="95" t="s">
        <v>276</v>
      </c>
      <c r="AZ993" s="95" t="s">
        <v>276</v>
      </c>
      <c r="BA993" s="95" t="s">
        <v>276</v>
      </c>
      <c r="BB993" s="95" t="s">
        <v>282</v>
      </c>
      <c r="BC993" s="95" t="s">
        <v>98</v>
      </c>
      <c r="BD993" s="95" t="s">
        <v>98</v>
      </c>
      <c r="BE993" s="95" t="s">
        <v>98</v>
      </c>
      <c r="BF993" s="95" t="s">
        <v>4602</v>
      </c>
      <c r="BG993" s="95"/>
      <c r="BH993" s="9" t="s">
        <v>100</v>
      </c>
      <c r="BI993" s="9" t="s">
        <v>100</v>
      </c>
      <c r="BJ993" s="109"/>
      <c r="BN993" s="109"/>
      <c r="BO993" s="109"/>
    </row>
    <row r="994" spans="1:67" s="110" customFormat="1" ht="78" hidden="1" x14ac:dyDescent="0.35">
      <c r="A994" s="94">
        <v>3773</v>
      </c>
      <c r="B994" s="95" t="s">
        <v>4493</v>
      </c>
      <c r="C994" s="94" t="s">
        <v>63</v>
      </c>
      <c r="D994" s="95" t="s">
        <v>4608</v>
      </c>
      <c r="E994" s="94" t="s">
        <v>35</v>
      </c>
      <c r="F994" s="95" t="s">
        <v>131</v>
      </c>
      <c r="G994" s="94" t="s">
        <v>225</v>
      </c>
      <c r="H994" s="94" t="s">
        <v>125</v>
      </c>
      <c r="I994" s="94" t="s">
        <v>114</v>
      </c>
      <c r="J994" s="95" t="s">
        <v>25</v>
      </c>
      <c r="K994" s="94" t="s">
        <v>1513</v>
      </c>
      <c r="L994" s="95" t="s">
        <v>4591</v>
      </c>
      <c r="M994" s="94" t="s">
        <v>276</v>
      </c>
      <c r="N994" s="95" t="s">
        <v>4592</v>
      </c>
      <c r="O994" s="95" t="s">
        <v>276</v>
      </c>
      <c r="P994" s="95" t="s">
        <v>239</v>
      </c>
      <c r="Q994" s="140" t="s">
        <v>276</v>
      </c>
      <c r="R994" s="95" t="s">
        <v>766</v>
      </c>
      <c r="S994" s="95" t="s">
        <v>4496</v>
      </c>
      <c r="T994" s="95" t="s">
        <v>4497</v>
      </c>
      <c r="U994" s="95">
        <v>7</v>
      </c>
      <c r="V994" s="94" t="s">
        <v>14</v>
      </c>
      <c r="W994" s="95" t="s">
        <v>4472</v>
      </c>
      <c r="X994" s="95" t="s">
        <v>207</v>
      </c>
      <c r="Y994" s="98">
        <v>22944</v>
      </c>
      <c r="Z994" s="95">
        <v>21344</v>
      </c>
      <c r="AA994" s="95" t="s">
        <v>276</v>
      </c>
      <c r="AB994" s="95" t="s">
        <v>276</v>
      </c>
      <c r="AC994" s="94" t="s">
        <v>4593</v>
      </c>
      <c r="AD994" s="94" t="s">
        <v>4594</v>
      </c>
      <c r="AE994" s="94" t="s">
        <v>4595</v>
      </c>
      <c r="AF994" s="94" t="s">
        <v>4594</v>
      </c>
      <c r="AG994" s="95" t="s">
        <v>4609</v>
      </c>
      <c r="AH994" s="95" t="s">
        <v>4597</v>
      </c>
      <c r="AI994" s="99">
        <v>43</v>
      </c>
      <c r="AJ994" s="99">
        <v>76</v>
      </c>
      <c r="AK994" s="99">
        <f t="shared" si="315"/>
        <v>22944</v>
      </c>
      <c r="AL994" s="99">
        <f t="shared" si="315"/>
        <v>21344</v>
      </c>
      <c r="AM994" s="99" t="str">
        <f t="shared" si="315"/>
        <v>%</v>
      </c>
      <c r="AN994" s="94" t="s">
        <v>276</v>
      </c>
      <c r="AO994" s="101">
        <f>AI994/AK994*100</f>
        <v>0.18741283124128311</v>
      </c>
      <c r="AP994" s="94" t="s">
        <v>276</v>
      </c>
      <c r="AQ994" s="94" t="s">
        <v>276</v>
      </c>
      <c r="AR994" s="94" t="s">
        <v>276</v>
      </c>
      <c r="AS994" s="101">
        <f>AJ994/AL994*100</f>
        <v>0.35607196401799102</v>
      </c>
      <c r="AT994" s="94" t="s">
        <v>276</v>
      </c>
      <c r="AU994" s="94" t="s">
        <v>276</v>
      </c>
      <c r="AV994" s="95" t="s">
        <v>268</v>
      </c>
      <c r="AW994" s="141" t="s">
        <v>276</v>
      </c>
      <c r="AX994" s="233">
        <f t="shared" si="314"/>
        <v>0.5263341407913088</v>
      </c>
      <c r="AY994" s="95" t="s">
        <v>276</v>
      </c>
      <c r="AZ994" s="95" t="s">
        <v>276</v>
      </c>
      <c r="BA994" s="95" t="s">
        <v>276</v>
      </c>
      <c r="BB994" s="95" t="s">
        <v>282</v>
      </c>
      <c r="BC994" s="95" t="s">
        <v>98</v>
      </c>
      <c r="BD994" s="95" t="s">
        <v>98</v>
      </c>
      <c r="BE994" s="95" t="s">
        <v>98</v>
      </c>
      <c r="BF994" s="95" t="s">
        <v>4598</v>
      </c>
      <c r="BG994" s="95"/>
      <c r="BH994" s="9" t="s">
        <v>100</v>
      </c>
      <c r="BI994" s="9" t="s">
        <v>100</v>
      </c>
      <c r="BJ994" s="109"/>
      <c r="BN994" s="109"/>
      <c r="BO994" s="109"/>
    </row>
    <row r="995" spans="1:67" s="110" customFormat="1" ht="78" hidden="1" x14ac:dyDescent="0.35">
      <c r="A995" s="94">
        <v>3773</v>
      </c>
      <c r="B995" s="95" t="s">
        <v>4493</v>
      </c>
      <c r="C995" s="94" t="s">
        <v>63</v>
      </c>
      <c r="D995" s="95" t="s">
        <v>4610</v>
      </c>
      <c r="E995" s="94" t="s">
        <v>35</v>
      </c>
      <c r="F995" s="95" t="s">
        <v>131</v>
      </c>
      <c r="G995" s="94" t="s">
        <v>225</v>
      </c>
      <c r="H995" s="94" t="s">
        <v>125</v>
      </c>
      <c r="I995" s="94" t="s">
        <v>114</v>
      </c>
      <c r="J995" s="95" t="s">
        <v>25</v>
      </c>
      <c r="K995" s="94" t="s">
        <v>1513</v>
      </c>
      <c r="L995" s="95" t="s">
        <v>4591</v>
      </c>
      <c r="M995" s="94" t="s">
        <v>276</v>
      </c>
      <c r="N995" s="95" t="s">
        <v>4592</v>
      </c>
      <c r="O995" s="95" t="s">
        <v>276</v>
      </c>
      <c r="P995" s="95" t="s">
        <v>239</v>
      </c>
      <c r="Q995" s="140" t="s">
        <v>276</v>
      </c>
      <c r="R995" s="95" t="s">
        <v>766</v>
      </c>
      <c r="S995" s="95" t="s">
        <v>4496</v>
      </c>
      <c r="T995" s="95" t="s">
        <v>4497</v>
      </c>
      <c r="U995" s="95">
        <v>7</v>
      </c>
      <c r="V995" s="94" t="s">
        <v>14</v>
      </c>
      <c r="W995" s="95" t="s">
        <v>4472</v>
      </c>
      <c r="X995" s="95" t="s">
        <v>207</v>
      </c>
      <c r="Y995" s="98">
        <v>22944</v>
      </c>
      <c r="Z995" s="95">
        <v>21344</v>
      </c>
      <c r="AA995" s="95" t="s">
        <v>276</v>
      </c>
      <c r="AB995" s="95" t="s">
        <v>276</v>
      </c>
      <c r="AC995" s="94" t="s">
        <v>4593</v>
      </c>
      <c r="AD995" s="94" t="s">
        <v>4594</v>
      </c>
      <c r="AE995" s="94" t="s">
        <v>4595</v>
      </c>
      <c r="AF995" s="94" t="s">
        <v>4594</v>
      </c>
      <c r="AG995" s="95" t="s">
        <v>4609</v>
      </c>
      <c r="AH995" s="95" t="s">
        <v>4561</v>
      </c>
      <c r="AI995" s="99">
        <v>43</v>
      </c>
      <c r="AJ995" s="99">
        <v>76</v>
      </c>
      <c r="AK995" s="99">
        <f t="shared" ref="AK995:AM996" si="316">AK991</f>
        <v>219215</v>
      </c>
      <c r="AL995" s="99">
        <f t="shared" si="316"/>
        <v>201821</v>
      </c>
      <c r="AM995" s="99" t="str">
        <f t="shared" si="316"/>
        <v>per 10000 women years</v>
      </c>
      <c r="AN995" s="94" t="s">
        <v>276</v>
      </c>
      <c r="AO995" s="101">
        <f>AI995/AK995*10000</f>
        <v>1.9615446023310448</v>
      </c>
      <c r="AP995" s="94" t="s">
        <v>276</v>
      </c>
      <c r="AQ995" s="94" t="s">
        <v>276</v>
      </c>
      <c r="AR995" s="94" t="s">
        <v>276</v>
      </c>
      <c r="AS995" s="101">
        <f>AJ995/AL995*10000</f>
        <v>3.7657131814826008</v>
      </c>
      <c r="AT995" s="94" t="s">
        <v>276</v>
      </c>
      <c r="AU995" s="94" t="s">
        <v>276</v>
      </c>
      <c r="AV995" s="95" t="s">
        <v>269</v>
      </c>
      <c r="AW995" s="141" t="s">
        <v>276</v>
      </c>
      <c r="AX995" s="233">
        <f t="shared" si="314"/>
        <v>0.52089591208822872</v>
      </c>
      <c r="AY995" s="95" t="s">
        <v>276</v>
      </c>
      <c r="AZ995" s="95" t="s">
        <v>276</v>
      </c>
      <c r="BA995" s="95" t="s">
        <v>276</v>
      </c>
      <c r="BB995" s="95" t="s">
        <v>282</v>
      </c>
      <c r="BC995" s="95" t="s">
        <v>98</v>
      </c>
      <c r="BD995" s="95" t="s">
        <v>98</v>
      </c>
      <c r="BE995" s="95" t="s">
        <v>98</v>
      </c>
      <c r="BF995" s="95" t="s">
        <v>4602</v>
      </c>
      <c r="BG995" s="95"/>
      <c r="BH995" s="9" t="s">
        <v>100</v>
      </c>
      <c r="BI995" s="9" t="s">
        <v>100</v>
      </c>
      <c r="BJ995" s="109"/>
      <c r="BN995" s="109"/>
      <c r="BO995" s="109"/>
    </row>
    <row r="996" spans="1:67" s="110" customFormat="1" ht="78" hidden="1" x14ac:dyDescent="0.35">
      <c r="A996" s="94">
        <v>3773</v>
      </c>
      <c r="B996" s="95" t="s">
        <v>4493</v>
      </c>
      <c r="C996" s="94" t="s">
        <v>63</v>
      </c>
      <c r="D996" s="95" t="s">
        <v>4611</v>
      </c>
      <c r="E996" s="94" t="s">
        <v>35</v>
      </c>
      <c r="F996" s="95" t="s">
        <v>131</v>
      </c>
      <c r="G996" s="94" t="s">
        <v>225</v>
      </c>
      <c r="H996" s="94" t="s">
        <v>125</v>
      </c>
      <c r="I996" s="94" t="s">
        <v>114</v>
      </c>
      <c r="J996" s="95" t="s">
        <v>25</v>
      </c>
      <c r="K996" s="94" t="s">
        <v>1516</v>
      </c>
      <c r="L996" s="95" t="s">
        <v>4591</v>
      </c>
      <c r="M996" s="94" t="s">
        <v>276</v>
      </c>
      <c r="N996" s="95" t="s">
        <v>4592</v>
      </c>
      <c r="O996" s="95" t="s">
        <v>276</v>
      </c>
      <c r="P996" s="95" t="s">
        <v>239</v>
      </c>
      <c r="Q996" s="140" t="s">
        <v>276</v>
      </c>
      <c r="R996" s="95" t="s">
        <v>766</v>
      </c>
      <c r="S996" s="95" t="s">
        <v>4496</v>
      </c>
      <c r="T996" s="95" t="s">
        <v>4497</v>
      </c>
      <c r="U996" s="95">
        <v>7</v>
      </c>
      <c r="V996" s="94" t="s">
        <v>14</v>
      </c>
      <c r="W996" s="95" t="s">
        <v>4472</v>
      </c>
      <c r="X996" s="95" t="s">
        <v>207</v>
      </c>
      <c r="Y996" s="98">
        <v>22944</v>
      </c>
      <c r="Z996" s="95">
        <v>21344</v>
      </c>
      <c r="AA996" s="95" t="s">
        <v>276</v>
      </c>
      <c r="AB996" s="95" t="s">
        <v>276</v>
      </c>
      <c r="AC996" s="94" t="s">
        <v>4593</v>
      </c>
      <c r="AD996" s="94" t="s">
        <v>4594</v>
      </c>
      <c r="AE996" s="94" t="s">
        <v>4595</v>
      </c>
      <c r="AF996" s="94" t="s">
        <v>4594</v>
      </c>
      <c r="AG996" s="95" t="s">
        <v>4612</v>
      </c>
      <c r="AH996" s="95" t="s">
        <v>4597</v>
      </c>
      <c r="AI996" s="99">
        <v>31</v>
      </c>
      <c r="AJ996" s="99">
        <v>49</v>
      </c>
      <c r="AK996" s="99">
        <f t="shared" si="316"/>
        <v>22944</v>
      </c>
      <c r="AL996" s="99">
        <f t="shared" si="316"/>
        <v>21344</v>
      </c>
      <c r="AM996" s="99" t="str">
        <f t="shared" si="316"/>
        <v>%</v>
      </c>
      <c r="AN996" s="94" t="s">
        <v>276</v>
      </c>
      <c r="AO996" s="101">
        <f>AI996/AK996*100</f>
        <v>0.13511157601115761</v>
      </c>
      <c r="AP996" s="94" t="s">
        <v>276</v>
      </c>
      <c r="AQ996" s="94" t="s">
        <v>276</v>
      </c>
      <c r="AR996" s="94" t="s">
        <v>276</v>
      </c>
      <c r="AS996" s="101">
        <f>AJ996/AL996*100</f>
        <v>0.22957271364317844</v>
      </c>
      <c r="AT996" s="94" t="s">
        <v>276</v>
      </c>
      <c r="AU996" s="94" t="s">
        <v>276</v>
      </c>
      <c r="AV996" s="95" t="s">
        <v>268</v>
      </c>
      <c r="AW996" s="141" t="s">
        <v>276</v>
      </c>
      <c r="AX996" s="233">
        <f t="shared" si="314"/>
        <v>0.58853499558819344</v>
      </c>
      <c r="AY996" s="95" t="s">
        <v>276</v>
      </c>
      <c r="AZ996" s="95" t="s">
        <v>276</v>
      </c>
      <c r="BA996" s="95" t="s">
        <v>276</v>
      </c>
      <c r="BB996" s="95" t="s">
        <v>282</v>
      </c>
      <c r="BC996" s="95" t="s">
        <v>98</v>
      </c>
      <c r="BD996" s="95" t="s">
        <v>98</v>
      </c>
      <c r="BE996" s="95" t="s">
        <v>98</v>
      </c>
      <c r="BF996" s="95" t="s">
        <v>4598</v>
      </c>
      <c r="BG996" s="95"/>
      <c r="BH996" s="9" t="s">
        <v>100</v>
      </c>
      <c r="BI996" s="9" t="s">
        <v>100</v>
      </c>
      <c r="BJ996" s="109"/>
      <c r="BN996" s="109"/>
      <c r="BO996" s="109"/>
    </row>
    <row r="997" spans="1:67" s="110" customFormat="1" ht="78" hidden="1" x14ac:dyDescent="0.35">
      <c r="A997" s="94">
        <v>3773</v>
      </c>
      <c r="B997" s="95" t="s">
        <v>4493</v>
      </c>
      <c r="C997" s="94" t="s">
        <v>63</v>
      </c>
      <c r="D997" s="95" t="s">
        <v>4613</v>
      </c>
      <c r="E997" s="94" t="s">
        <v>35</v>
      </c>
      <c r="F997" s="95" t="s">
        <v>131</v>
      </c>
      <c r="G997" s="94" t="s">
        <v>225</v>
      </c>
      <c r="H997" s="94" t="s">
        <v>125</v>
      </c>
      <c r="I997" s="94" t="s">
        <v>114</v>
      </c>
      <c r="J997" s="95" t="s">
        <v>25</v>
      </c>
      <c r="K997" s="94" t="s">
        <v>1516</v>
      </c>
      <c r="L997" s="95" t="s">
        <v>4591</v>
      </c>
      <c r="M997" s="94" t="s">
        <v>276</v>
      </c>
      <c r="N997" s="95" t="s">
        <v>4592</v>
      </c>
      <c r="O997" s="95" t="s">
        <v>276</v>
      </c>
      <c r="P997" s="95" t="s">
        <v>239</v>
      </c>
      <c r="Q997" s="140" t="s">
        <v>276</v>
      </c>
      <c r="R997" s="95" t="s">
        <v>4614</v>
      </c>
      <c r="S997" s="95" t="s">
        <v>4496</v>
      </c>
      <c r="T997" s="95" t="s">
        <v>4497</v>
      </c>
      <c r="U997" s="95">
        <v>7</v>
      </c>
      <c r="V997" s="94" t="s">
        <v>14</v>
      </c>
      <c r="W997" s="95" t="s">
        <v>4472</v>
      </c>
      <c r="X997" s="95" t="s">
        <v>207</v>
      </c>
      <c r="Y997" s="98">
        <v>22944</v>
      </c>
      <c r="Z997" s="95">
        <v>21344</v>
      </c>
      <c r="AA997" s="95" t="s">
        <v>276</v>
      </c>
      <c r="AB997" s="95" t="s">
        <v>276</v>
      </c>
      <c r="AC997" s="94" t="s">
        <v>4593</v>
      </c>
      <c r="AD997" s="94" t="s">
        <v>4594</v>
      </c>
      <c r="AE997" s="94" t="s">
        <v>4595</v>
      </c>
      <c r="AF997" s="94" t="s">
        <v>4594</v>
      </c>
      <c r="AG997" s="95" t="s">
        <v>4612</v>
      </c>
      <c r="AH997" s="95" t="s">
        <v>4561</v>
      </c>
      <c r="AI997" s="99">
        <v>31</v>
      </c>
      <c r="AJ997" s="99">
        <v>49</v>
      </c>
      <c r="AK997" s="99">
        <f t="shared" ref="AK997:AM998" si="317">AK991</f>
        <v>219215</v>
      </c>
      <c r="AL997" s="99">
        <f t="shared" si="317"/>
        <v>201821</v>
      </c>
      <c r="AM997" s="99" t="str">
        <f t="shared" si="317"/>
        <v>per 10000 women years</v>
      </c>
      <c r="AN997" s="94" t="s">
        <v>276</v>
      </c>
      <c r="AO997" s="101">
        <f>AI997/AK997*10000</f>
        <v>1.4141368063316835</v>
      </c>
      <c r="AP997" s="94" t="s">
        <v>276</v>
      </c>
      <c r="AQ997" s="94" t="s">
        <v>276</v>
      </c>
      <c r="AR997" s="94" t="s">
        <v>276</v>
      </c>
      <c r="AS997" s="101">
        <f>AJ997/AL997*10000</f>
        <v>2.4278940249032557</v>
      </c>
      <c r="AT997" s="94" t="s">
        <v>276</v>
      </c>
      <c r="AU997" s="94" t="s">
        <v>276</v>
      </c>
      <c r="AV997" s="95" t="s">
        <v>269</v>
      </c>
      <c r="AW997" s="141" t="s">
        <v>276</v>
      </c>
      <c r="AX997" s="233">
        <f t="shared" si="314"/>
        <v>0.58245409059319742</v>
      </c>
      <c r="AY997" s="95" t="s">
        <v>276</v>
      </c>
      <c r="AZ997" s="95" t="s">
        <v>276</v>
      </c>
      <c r="BA997" s="95" t="s">
        <v>276</v>
      </c>
      <c r="BB997" s="95" t="s">
        <v>282</v>
      </c>
      <c r="BC997" s="95" t="s">
        <v>98</v>
      </c>
      <c r="BD997" s="95" t="s">
        <v>98</v>
      </c>
      <c r="BE997" s="95" t="s">
        <v>98</v>
      </c>
      <c r="BF997" s="95" t="s">
        <v>4602</v>
      </c>
      <c r="BG997" s="95"/>
      <c r="BH997" s="9" t="s">
        <v>100</v>
      </c>
      <c r="BI997" s="9" t="s">
        <v>100</v>
      </c>
      <c r="BJ997" s="109"/>
      <c r="BN997" s="109"/>
      <c r="BO997" s="109"/>
    </row>
    <row r="998" spans="1:67" s="110" customFormat="1" ht="78" hidden="1" x14ac:dyDescent="0.35">
      <c r="A998" s="94">
        <v>3773</v>
      </c>
      <c r="B998" s="95" t="s">
        <v>4493</v>
      </c>
      <c r="C998" s="94" t="s">
        <v>63</v>
      </c>
      <c r="D998" s="95" t="s">
        <v>4615</v>
      </c>
      <c r="E998" s="94" t="s">
        <v>35</v>
      </c>
      <c r="F998" s="95" t="s">
        <v>131</v>
      </c>
      <c r="G998" s="94" t="s">
        <v>225</v>
      </c>
      <c r="H998" s="94" t="s">
        <v>125</v>
      </c>
      <c r="I998" s="94" t="s">
        <v>114</v>
      </c>
      <c r="J998" s="95" t="s">
        <v>25</v>
      </c>
      <c r="K998" s="94" t="s">
        <v>4616</v>
      </c>
      <c r="L998" s="95" t="s">
        <v>4591</v>
      </c>
      <c r="M998" s="94" t="s">
        <v>276</v>
      </c>
      <c r="N998" s="95" t="s">
        <v>4592</v>
      </c>
      <c r="O998" s="95" t="s">
        <v>276</v>
      </c>
      <c r="P998" s="95" t="s">
        <v>239</v>
      </c>
      <c r="Q998" s="140" t="s">
        <v>276</v>
      </c>
      <c r="R998" s="95" t="s">
        <v>4614</v>
      </c>
      <c r="S998" s="95" t="s">
        <v>4496</v>
      </c>
      <c r="T998" s="95" t="s">
        <v>4497</v>
      </c>
      <c r="U998" s="95">
        <v>7</v>
      </c>
      <c r="V998" s="94" t="s">
        <v>14</v>
      </c>
      <c r="W998" s="95" t="s">
        <v>4472</v>
      </c>
      <c r="X998" s="95" t="s">
        <v>207</v>
      </c>
      <c r="Y998" s="98">
        <v>22944</v>
      </c>
      <c r="Z998" s="95">
        <v>21344</v>
      </c>
      <c r="AA998" s="95" t="s">
        <v>276</v>
      </c>
      <c r="AB998" s="95" t="s">
        <v>276</v>
      </c>
      <c r="AC998" s="94" t="s">
        <v>4593</v>
      </c>
      <c r="AD998" s="94" t="s">
        <v>4594</v>
      </c>
      <c r="AE998" s="94" t="s">
        <v>4595</v>
      </c>
      <c r="AF998" s="94" t="s">
        <v>4594</v>
      </c>
      <c r="AG998" s="95" t="s">
        <v>4617</v>
      </c>
      <c r="AH998" s="95" t="s">
        <v>4597</v>
      </c>
      <c r="AI998" s="99">
        <v>74</v>
      </c>
      <c r="AJ998" s="99">
        <v>125</v>
      </c>
      <c r="AK998" s="99">
        <f t="shared" si="317"/>
        <v>22944</v>
      </c>
      <c r="AL998" s="99">
        <f t="shared" si="317"/>
        <v>21344</v>
      </c>
      <c r="AM998" s="99" t="str">
        <f t="shared" si="317"/>
        <v>%</v>
      </c>
      <c r="AN998" s="94" t="s">
        <v>276</v>
      </c>
      <c r="AO998" s="101">
        <f>AI998/AK998*100</f>
        <v>0.32252440725244075</v>
      </c>
      <c r="AP998" s="94" t="s">
        <v>276</v>
      </c>
      <c r="AQ998" s="94" t="s">
        <v>276</v>
      </c>
      <c r="AR998" s="94" t="s">
        <v>276</v>
      </c>
      <c r="AS998" s="101">
        <f>AJ998/AL998*100</f>
        <v>0.58564467766116934</v>
      </c>
      <c r="AT998" s="94" t="s">
        <v>276</v>
      </c>
      <c r="AU998" s="94" t="s">
        <v>276</v>
      </c>
      <c r="AV998" s="95" t="s">
        <v>268</v>
      </c>
      <c r="AW998" s="141" t="s">
        <v>276</v>
      </c>
      <c r="AX998" s="233">
        <f t="shared" si="314"/>
        <v>0.55071687587168772</v>
      </c>
      <c r="AY998" s="141" t="s">
        <v>276</v>
      </c>
      <c r="AZ998" s="141" t="s">
        <v>276</v>
      </c>
      <c r="BA998" s="141" t="s">
        <v>276</v>
      </c>
      <c r="BB998" s="95" t="s">
        <v>282</v>
      </c>
      <c r="BC998" s="95" t="s">
        <v>98</v>
      </c>
      <c r="BD998" s="95" t="s">
        <v>98</v>
      </c>
      <c r="BE998" s="95" t="s">
        <v>98</v>
      </c>
      <c r="BF998" s="95" t="s">
        <v>4598</v>
      </c>
      <c r="BG998" s="95"/>
      <c r="BH998" s="9" t="s">
        <v>100</v>
      </c>
      <c r="BI998" s="9" t="s">
        <v>100</v>
      </c>
      <c r="BJ998" s="109"/>
      <c r="BN998" s="109"/>
      <c r="BO998" s="109"/>
    </row>
    <row r="999" spans="1:67" s="110" customFormat="1" ht="78" hidden="1" x14ac:dyDescent="0.35">
      <c r="A999" s="94">
        <v>3773</v>
      </c>
      <c r="B999" s="95" t="s">
        <v>4493</v>
      </c>
      <c r="C999" s="94" t="s">
        <v>63</v>
      </c>
      <c r="D999" s="95" t="s">
        <v>4618</v>
      </c>
      <c r="E999" s="94" t="s">
        <v>35</v>
      </c>
      <c r="F999" s="95" t="s">
        <v>131</v>
      </c>
      <c r="G999" s="94" t="s">
        <v>225</v>
      </c>
      <c r="H999" s="94" t="s">
        <v>125</v>
      </c>
      <c r="I999" s="94" t="s">
        <v>114</v>
      </c>
      <c r="J999" s="95" t="s">
        <v>25</v>
      </c>
      <c r="K999" s="94" t="s">
        <v>4616</v>
      </c>
      <c r="L999" s="95" t="s">
        <v>4591</v>
      </c>
      <c r="M999" s="94" t="s">
        <v>276</v>
      </c>
      <c r="N999" s="95" t="s">
        <v>4592</v>
      </c>
      <c r="O999" s="95" t="s">
        <v>276</v>
      </c>
      <c r="P999" s="95" t="s">
        <v>239</v>
      </c>
      <c r="Q999" s="140" t="s">
        <v>4619</v>
      </c>
      <c r="R999" s="95" t="s">
        <v>766</v>
      </c>
      <c r="S999" s="95" t="s">
        <v>4496</v>
      </c>
      <c r="T999" s="95" t="s">
        <v>4497</v>
      </c>
      <c r="U999" s="95">
        <v>7</v>
      </c>
      <c r="V999" s="94" t="s">
        <v>14</v>
      </c>
      <c r="W999" s="95" t="s">
        <v>4472</v>
      </c>
      <c r="X999" s="95" t="s">
        <v>207</v>
      </c>
      <c r="Y999" s="98">
        <v>22944</v>
      </c>
      <c r="Z999" s="95">
        <v>21344</v>
      </c>
      <c r="AA999" s="95" t="s">
        <v>276</v>
      </c>
      <c r="AB999" s="95" t="s">
        <v>276</v>
      </c>
      <c r="AC999" s="94" t="s">
        <v>4593</v>
      </c>
      <c r="AD999" s="94" t="s">
        <v>4594</v>
      </c>
      <c r="AE999" s="94" t="s">
        <v>4595</v>
      </c>
      <c r="AF999" s="94" t="s">
        <v>4594</v>
      </c>
      <c r="AG999" s="95" t="s">
        <v>4617</v>
      </c>
      <c r="AH999" s="95" t="s">
        <v>4561</v>
      </c>
      <c r="AI999" s="99">
        <v>74</v>
      </c>
      <c r="AJ999" s="99">
        <v>125</v>
      </c>
      <c r="AK999" s="99">
        <f>AK991</f>
        <v>219215</v>
      </c>
      <c r="AL999" s="99">
        <f>AL991</f>
        <v>201821</v>
      </c>
      <c r="AM999" s="99" t="str">
        <f>AM991</f>
        <v>per 10000 women years</v>
      </c>
      <c r="AN999" s="94" t="s">
        <v>276</v>
      </c>
      <c r="AO999" s="101">
        <f>AI999/AK999*10000</f>
        <v>3.3756814086627287</v>
      </c>
      <c r="AP999" s="94" t="s">
        <v>276</v>
      </c>
      <c r="AQ999" s="94" t="s">
        <v>276</v>
      </c>
      <c r="AR999" s="94" t="s">
        <v>276</v>
      </c>
      <c r="AS999" s="101">
        <f>AJ999/AL999*10000</f>
        <v>6.1936072063858569</v>
      </c>
      <c r="AT999" s="94" t="s">
        <v>276</v>
      </c>
      <c r="AU999" s="94" t="s">
        <v>276</v>
      </c>
      <c r="AV999" s="95" t="s">
        <v>269</v>
      </c>
      <c r="AW999" s="141" t="s">
        <v>276</v>
      </c>
      <c r="AX999" s="233">
        <f t="shared" si="314"/>
        <v>0.5450267180621764</v>
      </c>
      <c r="AY999" s="141" t="s">
        <v>276</v>
      </c>
      <c r="AZ999" s="141" t="s">
        <v>276</v>
      </c>
      <c r="BA999" s="141" t="s">
        <v>276</v>
      </c>
      <c r="BB999" s="95" t="s">
        <v>282</v>
      </c>
      <c r="BC999" s="95" t="s">
        <v>98</v>
      </c>
      <c r="BD999" s="95" t="s">
        <v>98</v>
      </c>
      <c r="BE999" s="95" t="s">
        <v>98</v>
      </c>
      <c r="BF999" s="95" t="s">
        <v>4602</v>
      </c>
      <c r="BG999" s="95"/>
      <c r="BH999" s="9" t="s">
        <v>100</v>
      </c>
      <c r="BI999" s="9" t="s">
        <v>100</v>
      </c>
      <c r="BJ999" s="109"/>
      <c r="BN999" s="109"/>
      <c r="BO999" s="109"/>
    </row>
    <row r="1000" spans="1:67" s="110" customFormat="1" ht="78" hidden="1" x14ac:dyDescent="0.35">
      <c r="A1000" s="94">
        <v>3773</v>
      </c>
      <c r="B1000" s="95" t="s">
        <v>4493</v>
      </c>
      <c r="C1000" s="94" t="s">
        <v>63</v>
      </c>
      <c r="D1000" s="95" t="s">
        <v>4620</v>
      </c>
      <c r="E1000" s="94" t="s">
        <v>35</v>
      </c>
      <c r="F1000" s="95" t="s">
        <v>131</v>
      </c>
      <c r="G1000" s="94" t="s">
        <v>225</v>
      </c>
      <c r="H1000" s="94" t="s">
        <v>125</v>
      </c>
      <c r="I1000" s="94" t="s">
        <v>114</v>
      </c>
      <c r="J1000" s="95" t="s">
        <v>25</v>
      </c>
      <c r="K1000" s="94" t="s">
        <v>4616</v>
      </c>
      <c r="L1000" s="95" t="s">
        <v>4591</v>
      </c>
      <c r="M1000" s="94" t="s">
        <v>276</v>
      </c>
      <c r="N1000" s="95" t="s">
        <v>4592</v>
      </c>
      <c r="O1000" s="95" t="s">
        <v>276</v>
      </c>
      <c r="P1000" s="95" t="s">
        <v>235</v>
      </c>
      <c r="Q1000" s="140" t="s">
        <v>276</v>
      </c>
      <c r="R1000" s="95" t="s">
        <v>766</v>
      </c>
      <c r="S1000" s="95" t="s">
        <v>4496</v>
      </c>
      <c r="T1000" s="95" t="s">
        <v>4497</v>
      </c>
      <c r="U1000" s="95">
        <v>7</v>
      </c>
      <c r="V1000" s="94" t="s">
        <v>14</v>
      </c>
      <c r="W1000" s="95" t="s">
        <v>4472</v>
      </c>
      <c r="X1000" s="95" t="s">
        <v>207</v>
      </c>
      <c r="Y1000" s="98" t="s">
        <v>98</v>
      </c>
      <c r="Z1000" s="95" t="s">
        <v>98</v>
      </c>
      <c r="AA1000" s="95" t="s">
        <v>276</v>
      </c>
      <c r="AB1000" s="95" t="s">
        <v>276</v>
      </c>
      <c r="AC1000" s="94">
        <v>18</v>
      </c>
      <c r="AD1000" s="94" t="s">
        <v>4594</v>
      </c>
      <c r="AE1000" s="94">
        <v>35</v>
      </c>
      <c r="AF1000" s="94" t="s">
        <v>4594</v>
      </c>
      <c r="AG1000" s="95" t="s">
        <v>4621</v>
      </c>
      <c r="AH1000" s="95" t="s">
        <v>4622</v>
      </c>
      <c r="AI1000" s="99">
        <v>74</v>
      </c>
      <c r="AJ1000" s="99">
        <v>125</v>
      </c>
      <c r="AK1000" s="99">
        <v>489</v>
      </c>
      <c r="AL1000" s="99">
        <v>400</v>
      </c>
      <c r="AM1000" s="99" t="str">
        <f>AM998</f>
        <v>%</v>
      </c>
      <c r="AN1000" s="94" t="s">
        <v>276</v>
      </c>
      <c r="AO1000" s="101">
        <f>AI1000/AK1000*100</f>
        <v>15.132924335378323</v>
      </c>
      <c r="AP1000" s="94" t="s">
        <v>276</v>
      </c>
      <c r="AQ1000" s="94" t="s">
        <v>276</v>
      </c>
      <c r="AR1000" s="94" t="s">
        <v>276</v>
      </c>
      <c r="AS1000" s="101">
        <f>AJ1000/AL1000*100</f>
        <v>31.25</v>
      </c>
      <c r="AT1000" s="94" t="s">
        <v>276</v>
      </c>
      <c r="AU1000" s="94" t="s">
        <v>276</v>
      </c>
      <c r="AV1000" s="95" t="s">
        <v>268</v>
      </c>
      <c r="AW1000" s="141" t="s">
        <v>276</v>
      </c>
      <c r="AX1000" s="233">
        <f>AO1000/AS1000</f>
        <v>0.48425357873210634</v>
      </c>
      <c r="AY1000" s="95" t="s">
        <v>276</v>
      </c>
      <c r="AZ1000" s="95" t="s">
        <v>276</v>
      </c>
      <c r="BA1000" s="95" t="s">
        <v>276</v>
      </c>
      <c r="BB1000" s="95" t="s">
        <v>282</v>
      </c>
      <c r="BC1000" s="95" t="s">
        <v>98</v>
      </c>
      <c r="BD1000" s="95" t="s">
        <v>98</v>
      </c>
      <c r="BE1000" s="95" t="s">
        <v>98</v>
      </c>
      <c r="BF1000" s="95" t="s">
        <v>4623</v>
      </c>
      <c r="BG1000" s="95" t="s">
        <v>4624</v>
      </c>
      <c r="BH1000" s="9" t="s">
        <v>100</v>
      </c>
      <c r="BI1000" s="9" t="s">
        <v>100</v>
      </c>
      <c r="BJ1000" s="109"/>
      <c r="BN1000" s="109"/>
      <c r="BO1000" s="109"/>
    </row>
    <row r="1001" spans="1:67" s="110" customFormat="1" ht="78" hidden="1" x14ac:dyDescent="0.35">
      <c r="A1001" s="94">
        <v>3773</v>
      </c>
      <c r="B1001" s="95" t="s">
        <v>4493</v>
      </c>
      <c r="C1001" s="94" t="s">
        <v>63</v>
      </c>
      <c r="D1001" s="95" t="s">
        <v>4625</v>
      </c>
      <c r="E1001" s="94" t="s">
        <v>35</v>
      </c>
      <c r="F1001" s="95" t="s">
        <v>131</v>
      </c>
      <c r="G1001" s="94" t="s">
        <v>225</v>
      </c>
      <c r="H1001" s="94" t="s">
        <v>125</v>
      </c>
      <c r="I1001" s="94" t="s">
        <v>114</v>
      </c>
      <c r="J1001" s="95" t="s">
        <v>25</v>
      </c>
      <c r="K1001" s="94" t="s">
        <v>4616</v>
      </c>
      <c r="L1001" s="95" t="s">
        <v>4591</v>
      </c>
      <c r="M1001" s="94" t="s">
        <v>276</v>
      </c>
      <c r="N1001" s="95" t="s">
        <v>4592</v>
      </c>
      <c r="O1001" s="95" t="s">
        <v>276</v>
      </c>
      <c r="P1001" s="95" t="s">
        <v>235</v>
      </c>
      <c r="Q1001" s="140" t="s">
        <v>276</v>
      </c>
      <c r="R1001" s="95" t="s">
        <v>766</v>
      </c>
      <c r="S1001" s="95" t="s">
        <v>4496</v>
      </c>
      <c r="T1001" s="95" t="s">
        <v>4497</v>
      </c>
      <c r="U1001" s="95">
        <v>7</v>
      </c>
      <c r="V1001" s="94" t="s">
        <v>14</v>
      </c>
      <c r="W1001" s="95" t="s">
        <v>4472</v>
      </c>
      <c r="X1001" s="95" t="s">
        <v>207</v>
      </c>
      <c r="Y1001" s="98" t="s">
        <v>98</v>
      </c>
      <c r="Z1001" s="95" t="s">
        <v>98</v>
      </c>
      <c r="AA1001" s="95" t="s">
        <v>276</v>
      </c>
      <c r="AB1001" s="95" t="s">
        <v>276</v>
      </c>
      <c r="AC1001" s="94">
        <v>18</v>
      </c>
      <c r="AD1001" s="94" t="s">
        <v>4594</v>
      </c>
      <c r="AE1001" s="94">
        <v>35</v>
      </c>
      <c r="AF1001" s="94" t="s">
        <v>4594</v>
      </c>
      <c r="AG1001" s="95" t="s">
        <v>4621</v>
      </c>
      <c r="AH1001" s="95" t="s">
        <v>4626</v>
      </c>
      <c r="AI1001" s="99">
        <v>74</v>
      </c>
      <c r="AJ1001" s="99">
        <v>125</v>
      </c>
      <c r="AK1001" s="99">
        <v>447</v>
      </c>
      <c r="AL1001" s="99">
        <v>389</v>
      </c>
      <c r="AM1001" s="99" t="s">
        <v>292</v>
      </c>
      <c r="AN1001" s="94">
        <v>17</v>
      </c>
      <c r="AO1001" s="101">
        <f>AI1001/AK1001*100</f>
        <v>16.554809843400449</v>
      </c>
      <c r="AP1001" s="94" t="s">
        <v>276</v>
      </c>
      <c r="AQ1001" s="94" t="s">
        <v>276</v>
      </c>
      <c r="AR1001" s="94">
        <v>32</v>
      </c>
      <c r="AS1001" s="101">
        <f>AJ1001/AL1001*100</f>
        <v>32.133676092544988</v>
      </c>
      <c r="AT1001" s="94" t="s">
        <v>276</v>
      </c>
      <c r="AU1001" s="94" t="s">
        <v>276</v>
      </c>
      <c r="AV1001" s="95" t="s">
        <v>268</v>
      </c>
      <c r="AW1001" s="141" t="s">
        <v>276</v>
      </c>
      <c r="AX1001" s="233">
        <f>AO1001/AS1001</f>
        <v>0.51518568232662199</v>
      </c>
      <c r="AY1001" s="95" t="s">
        <v>276</v>
      </c>
      <c r="AZ1001" s="95" t="s">
        <v>276</v>
      </c>
      <c r="BA1001" s="95" t="s">
        <v>276</v>
      </c>
      <c r="BB1001" s="95" t="s">
        <v>282</v>
      </c>
      <c r="BC1001" s="95" t="s">
        <v>98</v>
      </c>
      <c r="BD1001" s="95" t="s">
        <v>98</v>
      </c>
      <c r="BE1001" s="95" t="s">
        <v>98</v>
      </c>
      <c r="BF1001" s="95" t="s">
        <v>4623</v>
      </c>
      <c r="BG1001" s="95" t="s">
        <v>4624</v>
      </c>
      <c r="BH1001" s="9" t="s">
        <v>100</v>
      </c>
      <c r="BI1001" s="9" t="s">
        <v>100</v>
      </c>
      <c r="BJ1001" s="109"/>
      <c r="BN1001" s="109"/>
      <c r="BO1001" s="109"/>
    </row>
    <row r="1002" spans="1:67" s="124" customFormat="1" ht="78" hidden="1" x14ac:dyDescent="0.35">
      <c r="A1002" s="112">
        <v>3773</v>
      </c>
      <c r="B1002" s="113" t="s">
        <v>4493</v>
      </c>
      <c r="C1002" s="112" t="s">
        <v>63</v>
      </c>
      <c r="D1002" s="113" t="s">
        <v>4627</v>
      </c>
      <c r="E1002" s="112" t="s">
        <v>35</v>
      </c>
      <c r="F1002" s="113" t="s">
        <v>131</v>
      </c>
      <c r="G1002" s="112" t="s">
        <v>225</v>
      </c>
      <c r="H1002" s="112" t="s">
        <v>125</v>
      </c>
      <c r="I1002" s="112" t="s">
        <v>114</v>
      </c>
      <c r="J1002" s="113" t="s">
        <v>103</v>
      </c>
      <c r="K1002" s="113" t="s">
        <v>4628</v>
      </c>
      <c r="L1002" s="113" t="s">
        <v>4591</v>
      </c>
      <c r="M1002" s="112" t="s">
        <v>276</v>
      </c>
      <c r="N1002" s="113" t="s">
        <v>4592</v>
      </c>
      <c r="O1002" s="113" t="s">
        <v>276</v>
      </c>
      <c r="P1002" s="113" t="s">
        <v>239</v>
      </c>
      <c r="Q1002" s="142" t="s">
        <v>276</v>
      </c>
      <c r="R1002" s="113" t="s">
        <v>766</v>
      </c>
      <c r="S1002" s="113" t="s">
        <v>4496</v>
      </c>
      <c r="T1002" s="113" t="s">
        <v>4497</v>
      </c>
      <c r="U1002" s="113">
        <v>7</v>
      </c>
      <c r="V1002" s="112" t="s">
        <v>14</v>
      </c>
      <c r="W1002" s="113" t="s">
        <v>4472</v>
      </c>
      <c r="X1002" s="113" t="s">
        <v>207</v>
      </c>
      <c r="Y1002" s="118">
        <v>22944</v>
      </c>
      <c r="Z1002" s="113">
        <v>21344</v>
      </c>
      <c r="AA1002" s="113" t="s">
        <v>276</v>
      </c>
      <c r="AB1002" s="113" t="s">
        <v>276</v>
      </c>
      <c r="AC1002" s="112">
        <v>10</v>
      </c>
      <c r="AD1002" s="112" t="s">
        <v>4629</v>
      </c>
      <c r="AE1002" s="112">
        <v>7</v>
      </c>
      <c r="AF1002" s="112" t="s">
        <v>4629</v>
      </c>
      <c r="AG1002" s="113" t="s">
        <v>4630</v>
      </c>
      <c r="AH1002" s="113" t="s">
        <v>4597</v>
      </c>
      <c r="AI1002" s="119">
        <v>239</v>
      </c>
      <c r="AJ1002" s="119">
        <v>255</v>
      </c>
      <c r="AK1002" s="119">
        <f>AK994</f>
        <v>22944</v>
      </c>
      <c r="AL1002" s="119">
        <f>AL994</f>
        <v>21344</v>
      </c>
      <c r="AM1002" s="119" t="str">
        <f>AM994</f>
        <v>%</v>
      </c>
      <c r="AN1002" s="112" t="s">
        <v>276</v>
      </c>
      <c r="AO1002" s="207">
        <f>AI1002/AK1002*100</f>
        <v>1.0416666666666665</v>
      </c>
      <c r="AP1002" s="112" t="s">
        <v>276</v>
      </c>
      <c r="AQ1002" s="112" t="s">
        <v>276</v>
      </c>
      <c r="AR1002" s="112" t="s">
        <v>276</v>
      </c>
      <c r="AS1002" s="207">
        <f>AJ1002/AL1002*100</f>
        <v>1.1947151424287856</v>
      </c>
      <c r="AT1002" s="112" t="s">
        <v>276</v>
      </c>
      <c r="AU1002" s="112" t="s">
        <v>276</v>
      </c>
      <c r="AV1002" s="113" t="s">
        <v>268</v>
      </c>
      <c r="AW1002" s="143" t="s">
        <v>276</v>
      </c>
      <c r="AX1002" s="232">
        <f t="shared" ref="AX1002:AX1012" si="318">AO1002/AS1002</f>
        <v>0.87189542483660121</v>
      </c>
      <c r="AY1002" s="143" t="s">
        <v>276</v>
      </c>
      <c r="AZ1002" s="143" t="s">
        <v>276</v>
      </c>
      <c r="BA1002" s="143" t="s">
        <v>276</v>
      </c>
      <c r="BB1002" s="113" t="s">
        <v>282</v>
      </c>
      <c r="BC1002" s="113" t="s">
        <v>98</v>
      </c>
      <c r="BD1002" s="113" t="s">
        <v>98</v>
      </c>
      <c r="BE1002" s="113" t="s">
        <v>98</v>
      </c>
      <c r="BF1002" s="113" t="s">
        <v>4598</v>
      </c>
      <c r="BG1002" s="113"/>
      <c r="BH1002" s="9" t="s">
        <v>100</v>
      </c>
      <c r="BI1002" s="9" t="s">
        <v>100</v>
      </c>
      <c r="BJ1002" s="123"/>
      <c r="BN1002" s="123"/>
      <c r="BO1002" s="123"/>
    </row>
    <row r="1003" spans="1:67" s="124" customFormat="1" ht="78" hidden="1" x14ac:dyDescent="0.35">
      <c r="A1003" s="112">
        <v>3773</v>
      </c>
      <c r="B1003" s="113" t="s">
        <v>4493</v>
      </c>
      <c r="C1003" s="112" t="s">
        <v>63</v>
      </c>
      <c r="D1003" s="113" t="s">
        <v>4631</v>
      </c>
      <c r="E1003" s="112" t="s">
        <v>35</v>
      </c>
      <c r="F1003" s="113" t="s">
        <v>131</v>
      </c>
      <c r="G1003" s="112" t="s">
        <v>225</v>
      </c>
      <c r="H1003" s="112" t="s">
        <v>125</v>
      </c>
      <c r="I1003" s="112" t="s">
        <v>114</v>
      </c>
      <c r="J1003" s="113" t="s">
        <v>103</v>
      </c>
      <c r="K1003" s="113" t="s">
        <v>4628</v>
      </c>
      <c r="L1003" s="113" t="s">
        <v>4591</v>
      </c>
      <c r="M1003" s="112" t="s">
        <v>276</v>
      </c>
      <c r="N1003" s="113" t="s">
        <v>4592</v>
      </c>
      <c r="O1003" s="113" t="s">
        <v>276</v>
      </c>
      <c r="P1003" s="113" t="s">
        <v>239</v>
      </c>
      <c r="Q1003" s="142" t="s">
        <v>276</v>
      </c>
      <c r="R1003" s="113" t="s">
        <v>766</v>
      </c>
      <c r="S1003" s="113" t="s">
        <v>4496</v>
      </c>
      <c r="T1003" s="113" t="s">
        <v>4497</v>
      </c>
      <c r="U1003" s="113">
        <v>7</v>
      </c>
      <c r="V1003" s="112" t="s">
        <v>14</v>
      </c>
      <c r="W1003" s="113" t="s">
        <v>4472</v>
      </c>
      <c r="X1003" s="113" t="s">
        <v>207</v>
      </c>
      <c r="Y1003" s="118">
        <v>22944</v>
      </c>
      <c r="Z1003" s="113">
        <v>21344</v>
      </c>
      <c r="AA1003" s="113" t="s">
        <v>276</v>
      </c>
      <c r="AB1003" s="113" t="s">
        <v>276</v>
      </c>
      <c r="AC1003" s="112">
        <v>10</v>
      </c>
      <c r="AD1003" s="112" t="s">
        <v>4629</v>
      </c>
      <c r="AE1003" s="112">
        <v>7</v>
      </c>
      <c r="AF1003" s="112" t="s">
        <v>4629</v>
      </c>
      <c r="AG1003" s="113" t="s">
        <v>4630</v>
      </c>
      <c r="AH1003" s="113" t="s">
        <v>4561</v>
      </c>
      <c r="AI1003" s="119">
        <v>239</v>
      </c>
      <c r="AJ1003" s="119">
        <v>255</v>
      </c>
      <c r="AK1003" s="119">
        <f>AK993</f>
        <v>219215</v>
      </c>
      <c r="AL1003" s="119">
        <f>AL993</f>
        <v>201821</v>
      </c>
      <c r="AM1003" s="119" t="str">
        <f>AM993</f>
        <v>per 10000 women years</v>
      </c>
      <c r="AN1003" s="112" t="s">
        <v>276</v>
      </c>
      <c r="AO1003" s="207">
        <f>AI1003/AK1003*10000</f>
        <v>10.902538603653946</v>
      </c>
      <c r="AP1003" s="112" t="s">
        <v>276</v>
      </c>
      <c r="AQ1003" s="112" t="s">
        <v>276</v>
      </c>
      <c r="AR1003" s="112" t="s">
        <v>276</v>
      </c>
      <c r="AS1003" s="207">
        <f>AJ1003/AL1003*10000</f>
        <v>12.634958701027148</v>
      </c>
      <c r="AT1003" s="112" t="s">
        <v>276</v>
      </c>
      <c r="AU1003" s="112" t="s">
        <v>276</v>
      </c>
      <c r="AV1003" s="113" t="s">
        <v>269</v>
      </c>
      <c r="AW1003" s="143" t="s">
        <v>276</v>
      </c>
      <c r="AX1003" s="232">
        <f t="shared" si="318"/>
        <v>0.86288676216785998</v>
      </c>
      <c r="AY1003" s="143" t="s">
        <v>276</v>
      </c>
      <c r="AZ1003" s="143" t="s">
        <v>276</v>
      </c>
      <c r="BA1003" s="143" t="s">
        <v>276</v>
      </c>
      <c r="BB1003" s="113" t="s">
        <v>282</v>
      </c>
      <c r="BC1003" s="113" t="s">
        <v>98</v>
      </c>
      <c r="BD1003" s="113" t="s">
        <v>98</v>
      </c>
      <c r="BE1003" s="113" t="s">
        <v>98</v>
      </c>
      <c r="BF1003" s="113" t="s">
        <v>4602</v>
      </c>
      <c r="BG1003" s="113"/>
      <c r="BH1003" s="9" t="s">
        <v>100</v>
      </c>
      <c r="BI1003" s="9" t="s">
        <v>100</v>
      </c>
      <c r="BJ1003" s="123"/>
      <c r="BN1003" s="123"/>
      <c r="BO1003" s="123"/>
    </row>
    <row r="1004" spans="1:67" s="124" customFormat="1" ht="78" hidden="1" x14ac:dyDescent="0.35">
      <c r="A1004" s="112">
        <v>3773</v>
      </c>
      <c r="B1004" s="113" t="s">
        <v>4493</v>
      </c>
      <c r="C1004" s="112" t="s">
        <v>63</v>
      </c>
      <c r="D1004" s="113" t="s">
        <v>4632</v>
      </c>
      <c r="E1004" s="112" t="s">
        <v>35</v>
      </c>
      <c r="F1004" s="113" t="s">
        <v>131</v>
      </c>
      <c r="G1004" s="112" t="s">
        <v>225</v>
      </c>
      <c r="H1004" s="112" t="s">
        <v>125</v>
      </c>
      <c r="I1004" s="112" t="s">
        <v>114</v>
      </c>
      <c r="J1004" s="113" t="s">
        <v>25</v>
      </c>
      <c r="K1004" s="113" t="s">
        <v>4633</v>
      </c>
      <c r="L1004" s="113" t="s">
        <v>4591</v>
      </c>
      <c r="M1004" s="112" t="s">
        <v>276</v>
      </c>
      <c r="N1004" s="113" t="s">
        <v>4592</v>
      </c>
      <c r="O1004" s="113" t="s">
        <v>276</v>
      </c>
      <c r="P1004" s="113" t="s">
        <v>235</v>
      </c>
      <c r="Q1004" s="142" t="s">
        <v>276</v>
      </c>
      <c r="R1004" s="113" t="s">
        <v>766</v>
      </c>
      <c r="S1004" s="113" t="s">
        <v>4496</v>
      </c>
      <c r="T1004" s="113" t="s">
        <v>4497</v>
      </c>
      <c r="U1004" s="113">
        <v>7</v>
      </c>
      <c r="V1004" s="112" t="s">
        <v>14</v>
      </c>
      <c r="W1004" s="113" t="s">
        <v>4472</v>
      </c>
      <c r="X1004" s="113" t="s">
        <v>207</v>
      </c>
      <c r="Y1004" s="118" t="s">
        <v>98</v>
      </c>
      <c r="Z1004" s="113" t="s">
        <v>98</v>
      </c>
      <c r="AA1004" s="113" t="s">
        <v>276</v>
      </c>
      <c r="AB1004" s="113" t="s">
        <v>276</v>
      </c>
      <c r="AC1004" s="112">
        <v>10</v>
      </c>
      <c r="AD1004" s="112" t="s">
        <v>4629</v>
      </c>
      <c r="AE1004" s="112">
        <v>7</v>
      </c>
      <c r="AF1004" s="112" t="s">
        <v>4629</v>
      </c>
      <c r="AG1004" s="113" t="s">
        <v>4630</v>
      </c>
      <c r="AH1004" s="113" t="s">
        <v>4634</v>
      </c>
      <c r="AI1004" s="119">
        <v>239</v>
      </c>
      <c r="AJ1004" s="119">
        <v>255</v>
      </c>
      <c r="AK1004" s="119">
        <v>489</v>
      </c>
      <c r="AL1004" s="119">
        <v>400</v>
      </c>
      <c r="AM1004" s="119" t="str">
        <f>AM1002</f>
        <v>%</v>
      </c>
      <c r="AN1004" s="112" t="s">
        <v>276</v>
      </c>
      <c r="AO1004" s="207">
        <f>AI1004/AK1004*100</f>
        <v>48.875255623721884</v>
      </c>
      <c r="AP1004" s="112" t="s">
        <v>276</v>
      </c>
      <c r="AQ1004" s="112" t="s">
        <v>276</v>
      </c>
      <c r="AR1004" s="112" t="s">
        <v>276</v>
      </c>
      <c r="AS1004" s="207">
        <f t="shared" ref="AS1004:AS1006" si="319">AJ1004/AL1004*100</f>
        <v>63.749999999999993</v>
      </c>
      <c r="AT1004" s="112" t="s">
        <v>276</v>
      </c>
      <c r="AU1004" s="112" t="s">
        <v>276</v>
      </c>
      <c r="AV1004" s="113" t="s">
        <v>268</v>
      </c>
      <c r="AW1004" s="143" t="s">
        <v>276</v>
      </c>
      <c r="AX1004" s="232">
        <f t="shared" si="318"/>
        <v>0.76667067645053943</v>
      </c>
      <c r="AY1004" s="113" t="s">
        <v>276</v>
      </c>
      <c r="AZ1004" s="113" t="s">
        <v>276</v>
      </c>
      <c r="BA1004" s="113" t="s">
        <v>276</v>
      </c>
      <c r="BB1004" s="113" t="s">
        <v>282</v>
      </c>
      <c r="BC1004" s="113" t="s">
        <v>98</v>
      </c>
      <c r="BD1004" s="113" t="s">
        <v>98</v>
      </c>
      <c r="BE1004" s="113" t="s">
        <v>98</v>
      </c>
      <c r="BF1004" s="113" t="s">
        <v>4635</v>
      </c>
      <c r="BG1004" s="113" t="s">
        <v>4624</v>
      </c>
      <c r="BH1004" s="9" t="s">
        <v>100</v>
      </c>
      <c r="BI1004" s="9" t="s">
        <v>100</v>
      </c>
      <c r="BJ1004" s="123"/>
      <c r="BN1004" s="123"/>
      <c r="BO1004" s="123"/>
    </row>
    <row r="1005" spans="1:67" s="124" customFormat="1" ht="78" hidden="1" x14ac:dyDescent="0.35">
      <c r="A1005" s="112">
        <v>3773</v>
      </c>
      <c r="B1005" s="113" t="s">
        <v>4493</v>
      </c>
      <c r="C1005" s="112" t="s">
        <v>63</v>
      </c>
      <c r="D1005" s="113" t="s">
        <v>4636</v>
      </c>
      <c r="E1005" s="112" t="s">
        <v>35</v>
      </c>
      <c r="F1005" s="113" t="s">
        <v>131</v>
      </c>
      <c r="G1005" s="112" t="s">
        <v>225</v>
      </c>
      <c r="H1005" s="112" t="s">
        <v>125</v>
      </c>
      <c r="I1005" s="112" t="s">
        <v>114</v>
      </c>
      <c r="J1005" s="113" t="s">
        <v>25</v>
      </c>
      <c r="K1005" s="113" t="s">
        <v>4633</v>
      </c>
      <c r="L1005" s="113" t="s">
        <v>4591</v>
      </c>
      <c r="M1005" s="112" t="s">
        <v>276</v>
      </c>
      <c r="N1005" s="113" t="s">
        <v>4592</v>
      </c>
      <c r="O1005" s="113" t="s">
        <v>276</v>
      </c>
      <c r="P1005" s="113" t="s">
        <v>235</v>
      </c>
      <c r="Q1005" s="142" t="s">
        <v>276</v>
      </c>
      <c r="R1005" s="113" t="s">
        <v>766</v>
      </c>
      <c r="S1005" s="113" t="s">
        <v>4496</v>
      </c>
      <c r="T1005" s="113" t="s">
        <v>4497</v>
      </c>
      <c r="U1005" s="113">
        <v>7</v>
      </c>
      <c r="V1005" s="112" t="s">
        <v>14</v>
      </c>
      <c r="W1005" s="113" t="s">
        <v>4472</v>
      </c>
      <c r="X1005" s="113" t="s">
        <v>207</v>
      </c>
      <c r="Y1005" s="118" t="s">
        <v>98</v>
      </c>
      <c r="Z1005" s="113" t="s">
        <v>98</v>
      </c>
      <c r="AA1005" s="113" t="s">
        <v>276</v>
      </c>
      <c r="AB1005" s="113" t="s">
        <v>276</v>
      </c>
      <c r="AC1005" s="112">
        <v>10</v>
      </c>
      <c r="AD1005" s="112" t="s">
        <v>4629</v>
      </c>
      <c r="AE1005" s="112">
        <v>7</v>
      </c>
      <c r="AF1005" s="112" t="s">
        <v>4629</v>
      </c>
      <c r="AG1005" s="113" t="s">
        <v>4630</v>
      </c>
      <c r="AH1005" s="113" t="s">
        <v>4637</v>
      </c>
      <c r="AI1005" s="119">
        <v>239</v>
      </c>
      <c r="AJ1005" s="119">
        <v>255</v>
      </c>
      <c r="AK1005" s="119">
        <v>447</v>
      </c>
      <c r="AL1005" s="119">
        <v>389</v>
      </c>
      <c r="AM1005" s="119" t="s">
        <v>292</v>
      </c>
      <c r="AN1005" s="112">
        <v>53.5</v>
      </c>
      <c r="AO1005" s="207">
        <f>AI1005/AK1005*100</f>
        <v>53.46756152125279</v>
      </c>
      <c r="AP1005" s="112" t="s">
        <v>276</v>
      </c>
      <c r="AQ1005" s="112" t="s">
        <v>276</v>
      </c>
      <c r="AR1005" s="112">
        <v>73.5</v>
      </c>
      <c r="AS1005" s="207">
        <f t="shared" si="319"/>
        <v>65.552699228791781</v>
      </c>
      <c r="AT1005" s="112" t="s">
        <v>276</v>
      </c>
      <c r="AU1005" s="112" t="s">
        <v>276</v>
      </c>
      <c r="AV1005" s="113" t="s">
        <v>268</v>
      </c>
      <c r="AW1005" s="143" t="s">
        <v>276</v>
      </c>
      <c r="AX1005" s="232">
        <f t="shared" si="318"/>
        <v>0.81564240908891505</v>
      </c>
      <c r="AY1005" s="113" t="s">
        <v>276</v>
      </c>
      <c r="AZ1005" s="113" t="s">
        <v>276</v>
      </c>
      <c r="BA1005" s="113" t="s">
        <v>276</v>
      </c>
      <c r="BB1005" s="113" t="s">
        <v>282</v>
      </c>
      <c r="BC1005" s="113" t="s">
        <v>98</v>
      </c>
      <c r="BD1005" s="113" t="s">
        <v>98</v>
      </c>
      <c r="BE1005" s="113" t="s">
        <v>98</v>
      </c>
      <c r="BF1005" s="113" t="s">
        <v>4635</v>
      </c>
      <c r="BG1005" s="113" t="s">
        <v>4624</v>
      </c>
      <c r="BH1005" s="9" t="s">
        <v>100</v>
      </c>
      <c r="BI1005" s="9" t="s">
        <v>100</v>
      </c>
      <c r="BJ1005" s="123"/>
      <c r="BN1005" s="123"/>
      <c r="BO1005" s="123"/>
    </row>
    <row r="1006" spans="1:67" s="137" customFormat="1" ht="104" hidden="1" x14ac:dyDescent="0.35">
      <c r="A1006" s="126">
        <v>3769</v>
      </c>
      <c r="B1006" s="127" t="s">
        <v>4638</v>
      </c>
      <c r="C1006" s="126" t="s">
        <v>63</v>
      </c>
      <c r="D1006" s="127" t="s">
        <v>4639</v>
      </c>
      <c r="E1006" s="126" t="s">
        <v>35</v>
      </c>
      <c r="F1006" s="127" t="s">
        <v>131</v>
      </c>
      <c r="G1006" s="126" t="s">
        <v>225</v>
      </c>
      <c r="H1006" s="126" t="s">
        <v>125</v>
      </c>
      <c r="I1006" s="126" t="s">
        <v>114</v>
      </c>
      <c r="J1006" s="127" t="s">
        <v>103</v>
      </c>
      <c r="K1006" s="127" t="s">
        <v>4640</v>
      </c>
      <c r="L1006" s="126" t="s">
        <v>4641</v>
      </c>
      <c r="M1006" s="126" t="s">
        <v>276</v>
      </c>
      <c r="N1006" s="127" t="s">
        <v>4642</v>
      </c>
      <c r="O1006" s="127" t="s">
        <v>276</v>
      </c>
      <c r="P1006" s="127" t="s">
        <v>235</v>
      </c>
      <c r="Q1006" s="146" t="s">
        <v>98</v>
      </c>
      <c r="R1006" s="127" t="s">
        <v>766</v>
      </c>
      <c r="S1006" s="127" t="s">
        <v>276</v>
      </c>
      <c r="T1006" s="127" t="s">
        <v>276</v>
      </c>
      <c r="U1006" s="127" t="s">
        <v>276</v>
      </c>
      <c r="V1006" s="126" t="s">
        <v>14</v>
      </c>
      <c r="W1006" s="126" t="s">
        <v>4643</v>
      </c>
      <c r="X1006" s="127" t="s">
        <v>207</v>
      </c>
      <c r="Y1006" s="132" t="s">
        <v>98</v>
      </c>
      <c r="Z1006" s="127" t="s">
        <v>98</v>
      </c>
      <c r="AA1006" s="127" t="s">
        <v>276</v>
      </c>
      <c r="AB1006" s="127" t="s">
        <v>276</v>
      </c>
      <c r="AC1006" s="126" t="s">
        <v>276</v>
      </c>
      <c r="AD1006" s="127" t="s">
        <v>4644</v>
      </c>
      <c r="AE1006" s="126" t="s">
        <v>276</v>
      </c>
      <c r="AF1006" s="127" t="s">
        <v>4644</v>
      </c>
      <c r="AG1006" s="127" t="s">
        <v>4645</v>
      </c>
      <c r="AH1006" s="127" t="s">
        <v>4646</v>
      </c>
      <c r="AI1006" s="134">
        <v>107</v>
      </c>
      <c r="AJ1006" s="134">
        <v>168</v>
      </c>
      <c r="AK1006" s="134">
        <v>573</v>
      </c>
      <c r="AL1006" s="134">
        <v>456</v>
      </c>
      <c r="AM1006" s="134" t="s">
        <v>292</v>
      </c>
      <c r="AN1006" s="126">
        <v>19.7</v>
      </c>
      <c r="AO1006" s="135">
        <f>AI1006*100/AK1006</f>
        <v>18.673647469458988</v>
      </c>
      <c r="AP1006" s="126" t="s">
        <v>276</v>
      </c>
      <c r="AQ1006" s="126" t="s">
        <v>276</v>
      </c>
      <c r="AR1006" s="126">
        <v>36.799999999999997</v>
      </c>
      <c r="AS1006" s="135">
        <f t="shared" si="319"/>
        <v>36.84210526315789</v>
      </c>
      <c r="AT1006" s="126" t="s">
        <v>276</v>
      </c>
      <c r="AU1006" s="126" t="s">
        <v>276</v>
      </c>
      <c r="AV1006" s="127" t="s">
        <v>268</v>
      </c>
      <c r="AW1006" s="234" t="s">
        <v>276</v>
      </c>
      <c r="AX1006" s="234">
        <f t="shared" si="318"/>
        <v>0.50685614559960113</v>
      </c>
      <c r="AY1006" s="127" t="s">
        <v>276</v>
      </c>
      <c r="AZ1006" s="127" t="s">
        <v>276</v>
      </c>
      <c r="BA1006" s="127" t="s">
        <v>276</v>
      </c>
      <c r="BB1006" s="127" t="s">
        <v>282</v>
      </c>
      <c r="BC1006" s="127" t="s">
        <v>98</v>
      </c>
      <c r="BD1006" s="127" t="s">
        <v>98</v>
      </c>
      <c r="BE1006" s="127" t="s">
        <v>98</v>
      </c>
      <c r="BF1006" s="127" t="s">
        <v>4647</v>
      </c>
      <c r="BG1006" s="127" t="s">
        <v>4648</v>
      </c>
      <c r="BH1006" s="9" t="s">
        <v>100</v>
      </c>
      <c r="BI1006" s="9" t="s">
        <v>100</v>
      </c>
      <c r="BJ1006" s="136"/>
      <c r="BN1006" s="136"/>
      <c r="BO1006" s="136"/>
    </row>
    <row r="1007" spans="1:67" s="33" customFormat="1" ht="130" hidden="1" x14ac:dyDescent="0.35">
      <c r="A1007" s="8">
        <v>11147</v>
      </c>
      <c r="B1007" s="9" t="s">
        <v>4649</v>
      </c>
      <c r="C1007" s="8" t="s">
        <v>63</v>
      </c>
      <c r="D1007" s="9" t="s">
        <v>4650</v>
      </c>
      <c r="E1007" s="8" t="s">
        <v>35</v>
      </c>
      <c r="F1007" s="9" t="s">
        <v>131</v>
      </c>
      <c r="G1007" s="8" t="s">
        <v>225</v>
      </c>
      <c r="H1007" s="8" t="s">
        <v>125</v>
      </c>
      <c r="I1007" s="8" t="s">
        <v>114</v>
      </c>
      <c r="J1007" s="9" t="s">
        <v>31</v>
      </c>
      <c r="K1007" s="9" t="s">
        <v>4651</v>
      </c>
      <c r="L1007" s="8" t="s">
        <v>4652</v>
      </c>
      <c r="M1007" s="9" t="s">
        <v>4653</v>
      </c>
      <c r="N1007" s="9" t="s">
        <v>4654</v>
      </c>
      <c r="O1007" s="9" t="s">
        <v>276</v>
      </c>
      <c r="P1007" s="9" t="s">
        <v>239</v>
      </c>
      <c r="Q1007" s="52" t="s">
        <v>98</v>
      </c>
      <c r="R1007" s="52">
        <v>32508</v>
      </c>
      <c r="S1007" s="9" t="s">
        <v>276</v>
      </c>
      <c r="T1007" s="9" t="s">
        <v>276</v>
      </c>
      <c r="U1007" s="9" t="s">
        <v>276</v>
      </c>
      <c r="V1007" s="8" t="s">
        <v>14</v>
      </c>
      <c r="W1007" s="8" t="s">
        <v>4643</v>
      </c>
      <c r="X1007" s="9" t="s">
        <v>207</v>
      </c>
      <c r="Y1007" s="13">
        <v>30432</v>
      </c>
      <c r="Z1007" s="9">
        <v>27480</v>
      </c>
      <c r="AA1007" s="9" t="s">
        <v>276</v>
      </c>
      <c r="AB1007" s="9" t="s">
        <v>276</v>
      </c>
      <c r="AC1007" s="9">
        <v>74</v>
      </c>
      <c r="AD1007" s="9" t="s">
        <v>4655</v>
      </c>
      <c r="AE1007" s="8">
        <v>28</v>
      </c>
      <c r="AF1007" s="9" t="s">
        <v>4656</v>
      </c>
      <c r="AG1007" s="9" t="s">
        <v>4657</v>
      </c>
      <c r="AH1007" s="9" t="s">
        <v>4658</v>
      </c>
      <c r="AI1007" s="38">
        <v>228</v>
      </c>
      <c r="AJ1007" s="38">
        <v>104</v>
      </c>
      <c r="AK1007" s="13">
        <v>30432</v>
      </c>
      <c r="AL1007" s="9">
        <v>27480</v>
      </c>
      <c r="AM1007" s="38" t="s">
        <v>281</v>
      </c>
      <c r="AN1007" s="8" t="s">
        <v>276</v>
      </c>
      <c r="AO1007" s="14">
        <f t="shared" ref="AO1007:AO1015" si="320">AI1007*1000/AK1007</f>
        <v>7.4921135646687693</v>
      </c>
      <c r="AP1007" s="8" t="s">
        <v>276</v>
      </c>
      <c r="AQ1007" s="8" t="s">
        <v>276</v>
      </c>
      <c r="AR1007" s="8" t="s">
        <v>276</v>
      </c>
      <c r="AS1007" s="14">
        <f t="shared" ref="AS1007:AS1012" si="321">AJ1007/AL1007*1000</f>
        <v>3.7845705967976708</v>
      </c>
      <c r="AT1007" s="8" t="s">
        <v>276</v>
      </c>
      <c r="AU1007" s="8" t="s">
        <v>276</v>
      </c>
      <c r="AV1007" s="9" t="s">
        <v>268</v>
      </c>
      <c r="AW1007" s="40" t="s">
        <v>276</v>
      </c>
      <c r="AX1007" s="40">
        <f t="shared" si="318"/>
        <v>1.9796469303567095</v>
      </c>
      <c r="AY1007" s="9" t="s">
        <v>276</v>
      </c>
      <c r="AZ1007" s="9" t="s">
        <v>276</v>
      </c>
      <c r="BA1007" s="9" t="s">
        <v>276</v>
      </c>
      <c r="BB1007" s="9" t="s">
        <v>282</v>
      </c>
      <c r="BC1007" s="9" t="s">
        <v>98</v>
      </c>
      <c r="BD1007" s="9" t="s">
        <v>98</v>
      </c>
      <c r="BE1007" s="9" t="s">
        <v>98</v>
      </c>
      <c r="BF1007" s="9" t="s">
        <v>3863</v>
      </c>
      <c r="BG1007" s="9"/>
      <c r="BH1007" s="9" t="s">
        <v>100</v>
      </c>
      <c r="BI1007" s="9" t="s">
        <v>100</v>
      </c>
      <c r="BJ1007" s="32"/>
      <c r="BN1007" s="32"/>
      <c r="BO1007" s="32"/>
    </row>
    <row r="1008" spans="1:67" s="33" customFormat="1" ht="130" hidden="1" x14ac:dyDescent="0.35">
      <c r="A1008" s="8">
        <v>11147</v>
      </c>
      <c r="B1008" s="9" t="s">
        <v>4649</v>
      </c>
      <c r="C1008" s="8" t="s">
        <v>63</v>
      </c>
      <c r="D1008" s="9" t="s">
        <v>4659</v>
      </c>
      <c r="E1008" s="8" t="s">
        <v>35</v>
      </c>
      <c r="F1008" s="9" t="s">
        <v>131</v>
      </c>
      <c r="G1008" s="8" t="s">
        <v>225</v>
      </c>
      <c r="H1008" s="8" t="s">
        <v>125</v>
      </c>
      <c r="I1008" s="8" t="s">
        <v>114</v>
      </c>
      <c r="J1008" s="9" t="s">
        <v>31</v>
      </c>
      <c r="K1008" s="9" t="s">
        <v>4660</v>
      </c>
      <c r="L1008" s="8" t="s">
        <v>4652</v>
      </c>
      <c r="M1008" s="9" t="s">
        <v>4653</v>
      </c>
      <c r="N1008" s="9" t="s">
        <v>4654</v>
      </c>
      <c r="O1008" s="9" t="s">
        <v>276</v>
      </c>
      <c r="P1008" s="9" t="s">
        <v>239</v>
      </c>
      <c r="Q1008" s="52" t="s">
        <v>98</v>
      </c>
      <c r="R1008" s="52">
        <v>32508</v>
      </c>
      <c r="S1008" s="9" t="s">
        <v>276</v>
      </c>
      <c r="T1008" s="9" t="s">
        <v>276</v>
      </c>
      <c r="U1008" s="9" t="s">
        <v>276</v>
      </c>
      <c r="V1008" s="8" t="s">
        <v>14</v>
      </c>
      <c r="W1008" s="8" t="s">
        <v>4643</v>
      </c>
      <c r="X1008" s="9" t="s">
        <v>207</v>
      </c>
      <c r="Y1008" s="13">
        <v>30432</v>
      </c>
      <c r="Z1008" s="9">
        <v>27480</v>
      </c>
      <c r="AA1008" s="9" t="s">
        <v>276</v>
      </c>
      <c r="AB1008" s="9" t="s">
        <v>276</v>
      </c>
      <c r="AC1008" s="9">
        <v>74</v>
      </c>
      <c r="AD1008" s="9" t="s">
        <v>4655</v>
      </c>
      <c r="AE1008" s="8">
        <v>28</v>
      </c>
      <c r="AF1008" s="9" t="s">
        <v>4656</v>
      </c>
      <c r="AG1008" s="9" t="s">
        <v>4661</v>
      </c>
      <c r="AH1008" s="9" t="s">
        <v>4658</v>
      </c>
      <c r="AI1008" s="38">
        <v>111</v>
      </c>
      <c r="AJ1008" s="38">
        <v>86</v>
      </c>
      <c r="AK1008" s="13">
        <v>30432</v>
      </c>
      <c r="AL1008" s="9">
        <v>27480</v>
      </c>
      <c r="AM1008" s="38" t="s">
        <v>281</v>
      </c>
      <c r="AN1008" s="8" t="s">
        <v>276</v>
      </c>
      <c r="AO1008" s="14">
        <f t="shared" si="320"/>
        <v>3.6474763406940065</v>
      </c>
      <c r="AP1008" s="8" t="s">
        <v>276</v>
      </c>
      <c r="AQ1008" s="8" t="s">
        <v>276</v>
      </c>
      <c r="AR1008" s="8" t="s">
        <v>276</v>
      </c>
      <c r="AS1008" s="14">
        <f t="shared" si="321"/>
        <v>3.1295487627365355</v>
      </c>
      <c r="AT1008" s="8" t="s">
        <v>276</v>
      </c>
      <c r="AU1008" s="8" t="s">
        <v>276</v>
      </c>
      <c r="AV1008" s="9" t="s">
        <v>268</v>
      </c>
      <c r="AW1008" s="40" t="s">
        <v>276</v>
      </c>
      <c r="AX1008" s="40">
        <f t="shared" si="318"/>
        <v>1.1654959283985036</v>
      </c>
      <c r="AY1008" s="9" t="s">
        <v>276</v>
      </c>
      <c r="AZ1008" s="9" t="s">
        <v>276</v>
      </c>
      <c r="BA1008" s="9" t="s">
        <v>276</v>
      </c>
      <c r="BB1008" s="9" t="s">
        <v>282</v>
      </c>
      <c r="BC1008" s="9" t="s">
        <v>98</v>
      </c>
      <c r="BD1008" s="9" t="s">
        <v>98</v>
      </c>
      <c r="BE1008" s="9" t="s">
        <v>98</v>
      </c>
      <c r="BF1008" s="9" t="s">
        <v>3863</v>
      </c>
      <c r="BG1008" s="9"/>
      <c r="BH1008" s="9" t="s">
        <v>100</v>
      </c>
      <c r="BI1008" s="9" t="s">
        <v>100</v>
      </c>
      <c r="BJ1008" s="32"/>
      <c r="BN1008" s="32"/>
      <c r="BO1008" s="32"/>
    </row>
    <row r="1009" spans="1:67" s="33" customFormat="1" ht="130" hidden="1" x14ac:dyDescent="0.35">
      <c r="A1009" s="8">
        <v>11147</v>
      </c>
      <c r="B1009" s="9" t="s">
        <v>4649</v>
      </c>
      <c r="C1009" s="8" t="s">
        <v>63</v>
      </c>
      <c r="D1009" s="9" t="s">
        <v>4662</v>
      </c>
      <c r="E1009" s="8" t="s">
        <v>35</v>
      </c>
      <c r="F1009" s="9" t="s">
        <v>131</v>
      </c>
      <c r="G1009" s="8" t="s">
        <v>225</v>
      </c>
      <c r="H1009" s="8" t="s">
        <v>125</v>
      </c>
      <c r="I1009" s="8" t="s">
        <v>114</v>
      </c>
      <c r="J1009" s="9" t="s">
        <v>31</v>
      </c>
      <c r="K1009" s="9" t="s">
        <v>4663</v>
      </c>
      <c r="L1009" s="8" t="s">
        <v>4652</v>
      </c>
      <c r="M1009" s="9" t="s">
        <v>4653</v>
      </c>
      <c r="N1009" s="9" t="s">
        <v>4654</v>
      </c>
      <c r="O1009" s="9" t="s">
        <v>276</v>
      </c>
      <c r="P1009" s="9" t="s">
        <v>239</v>
      </c>
      <c r="Q1009" s="52" t="s">
        <v>98</v>
      </c>
      <c r="R1009" s="52">
        <v>32508</v>
      </c>
      <c r="S1009" s="9" t="s">
        <v>276</v>
      </c>
      <c r="T1009" s="9" t="s">
        <v>276</v>
      </c>
      <c r="U1009" s="9" t="s">
        <v>276</v>
      </c>
      <c r="V1009" s="8" t="s">
        <v>14</v>
      </c>
      <c r="W1009" s="8" t="s">
        <v>4643</v>
      </c>
      <c r="X1009" s="9" t="s">
        <v>207</v>
      </c>
      <c r="Y1009" s="13">
        <v>30432</v>
      </c>
      <c r="Z1009" s="9">
        <v>27480</v>
      </c>
      <c r="AA1009" s="9" t="s">
        <v>276</v>
      </c>
      <c r="AB1009" s="9" t="s">
        <v>276</v>
      </c>
      <c r="AC1009" s="9">
        <v>74</v>
      </c>
      <c r="AD1009" s="9" t="s">
        <v>4655</v>
      </c>
      <c r="AE1009" s="8">
        <v>28</v>
      </c>
      <c r="AF1009" s="9" t="s">
        <v>4656</v>
      </c>
      <c r="AG1009" s="9" t="s">
        <v>4664</v>
      </c>
      <c r="AH1009" s="9" t="s">
        <v>4658</v>
      </c>
      <c r="AI1009" s="38">
        <v>87</v>
      </c>
      <c r="AJ1009" s="38">
        <v>122</v>
      </c>
      <c r="AK1009" s="13">
        <v>30432</v>
      </c>
      <c r="AL1009" s="9">
        <v>27480</v>
      </c>
      <c r="AM1009" s="38" t="s">
        <v>281</v>
      </c>
      <c r="AN1009" s="8" t="s">
        <v>276</v>
      </c>
      <c r="AO1009" s="14">
        <f t="shared" si="320"/>
        <v>2.8588328075709781</v>
      </c>
      <c r="AP1009" s="8" t="s">
        <v>276</v>
      </c>
      <c r="AQ1009" s="8" t="s">
        <v>276</v>
      </c>
      <c r="AR1009" s="8" t="s">
        <v>276</v>
      </c>
      <c r="AS1009" s="14">
        <f t="shared" si="321"/>
        <v>4.4395924308588057</v>
      </c>
      <c r="AT1009" s="8" t="s">
        <v>276</v>
      </c>
      <c r="AU1009" s="8" t="s">
        <v>276</v>
      </c>
      <c r="AV1009" s="9" t="s">
        <v>268</v>
      </c>
      <c r="AW1009" s="40" t="s">
        <v>276</v>
      </c>
      <c r="AX1009" s="40">
        <f t="shared" si="318"/>
        <v>0.64394037337746302</v>
      </c>
      <c r="AY1009" s="9" t="s">
        <v>276</v>
      </c>
      <c r="AZ1009" s="9" t="s">
        <v>276</v>
      </c>
      <c r="BA1009" s="9" t="s">
        <v>276</v>
      </c>
      <c r="BB1009" s="9" t="s">
        <v>282</v>
      </c>
      <c r="BC1009" s="9" t="s">
        <v>98</v>
      </c>
      <c r="BD1009" s="9" t="s">
        <v>98</v>
      </c>
      <c r="BE1009" s="9" t="s">
        <v>98</v>
      </c>
      <c r="BF1009" s="9" t="s">
        <v>3863</v>
      </c>
      <c r="BG1009" s="9"/>
      <c r="BH1009" s="9" t="s">
        <v>100</v>
      </c>
      <c r="BI1009" s="9" t="s">
        <v>100</v>
      </c>
      <c r="BJ1009" s="32"/>
      <c r="BN1009" s="32"/>
      <c r="BO1009" s="32"/>
    </row>
    <row r="1010" spans="1:67" s="33" customFormat="1" ht="117" hidden="1" x14ac:dyDescent="0.35">
      <c r="A1010" s="8">
        <v>11147</v>
      </c>
      <c r="B1010" s="9" t="s">
        <v>4649</v>
      </c>
      <c r="C1010" s="8" t="s">
        <v>63</v>
      </c>
      <c r="D1010" s="9" t="s">
        <v>4665</v>
      </c>
      <c r="E1010" s="8" t="s">
        <v>35</v>
      </c>
      <c r="F1010" s="9" t="s">
        <v>131</v>
      </c>
      <c r="G1010" s="8" t="s">
        <v>225</v>
      </c>
      <c r="H1010" s="8" t="s">
        <v>125</v>
      </c>
      <c r="I1010" s="8" t="s">
        <v>114</v>
      </c>
      <c r="J1010" s="9" t="s">
        <v>117</v>
      </c>
      <c r="K1010" s="9" t="s">
        <v>3830</v>
      </c>
      <c r="L1010" s="8" t="s">
        <v>4652</v>
      </c>
      <c r="M1010" s="9" t="s">
        <v>4653</v>
      </c>
      <c r="N1010" s="9" t="s">
        <v>4654</v>
      </c>
      <c r="O1010" s="9" t="s">
        <v>276</v>
      </c>
      <c r="P1010" s="9" t="s">
        <v>239</v>
      </c>
      <c r="Q1010" s="52" t="s">
        <v>98</v>
      </c>
      <c r="R1010" s="52">
        <v>32508</v>
      </c>
      <c r="S1010" s="9" t="s">
        <v>276</v>
      </c>
      <c r="T1010" s="9" t="s">
        <v>276</v>
      </c>
      <c r="U1010" s="9" t="s">
        <v>276</v>
      </c>
      <c r="V1010" s="8" t="s">
        <v>14</v>
      </c>
      <c r="W1010" s="8" t="s">
        <v>4643</v>
      </c>
      <c r="X1010" s="9" t="s">
        <v>207</v>
      </c>
      <c r="Y1010" s="13">
        <v>30432</v>
      </c>
      <c r="Z1010" s="9">
        <v>27480</v>
      </c>
      <c r="AA1010" s="9" t="s">
        <v>276</v>
      </c>
      <c r="AB1010" s="9" t="s">
        <v>276</v>
      </c>
      <c r="AC1010" s="8">
        <v>101</v>
      </c>
      <c r="AD1010" s="9" t="s">
        <v>4666</v>
      </c>
      <c r="AE1010" s="9">
        <v>120</v>
      </c>
      <c r="AF1010" s="9" t="s">
        <v>4667</v>
      </c>
      <c r="AG1010" s="9" t="s">
        <v>4668</v>
      </c>
      <c r="AH1010" s="9" t="s">
        <v>4658</v>
      </c>
      <c r="AI1010" s="38">
        <f>199+28+45</f>
        <v>272</v>
      </c>
      <c r="AJ1010" s="38">
        <v>126</v>
      </c>
      <c r="AK1010" s="13">
        <v>30432</v>
      </c>
      <c r="AL1010" s="9">
        <v>27480</v>
      </c>
      <c r="AM1010" s="38" t="s">
        <v>281</v>
      </c>
      <c r="AN1010" s="8" t="s">
        <v>276</v>
      </c>
      <c r="AO1010" s="14">
        <f t="shared" si="320"/>
        <v>8.9379600420609879</v>
      </c>
      <c r="AP1010" s="8" t="s">
        <v>276</v>
      </c>
      <c r="AQ1010" s="8" t="s">
        <v>276</v>
      </c>
      <c r="AR1010" s="8" t="s">
        <v>276</v>
      </c>
      <c r="AS1010" s="14">
        <f t="shared" si="321"/>
        <v>4.5851528384279474</v>
      </c>
      <c r="AT1010" s="8" t="s">
        <v>276</v>
      </c>
      <c r="AU1010" s="8" t="s">
        <v>276</v>
      </c>
      <c r="AV1010" s="9" t="s">
        <v>268</v>
      </c>
      <c r="AW1010" s="40" t="s">
        <v>276</v>
      </c>
      <c r="AX1010" s="40">
        <f t="shared" si="318"/>
        <v>1.9493265234590156</v>
      </c>
      <c r="AY1010" s="9" t="s">
        <v>276</v>
      </c>
      <c r="AZ1010" s="9" t="s">
        <v>276</v>
      </c>
      <c r="BA1010" s="9" t="s">
        <v>276</v>
      </c>
      <c r="BB1010" s="9" t="s">
        <v>282</v>
      </c>
      <c r="BC1010" s="9" t="s">
        <v>98</v>
      </c>
      <c r="BD1010" s="9" t="s">
        <v>98</v>
      </c>
      <c r="BE1010" s="9" t="s">
        <v>98</v>
      </c>
      <c r="BF1010" s="9" t="s">
        <v>3863</v>
      </c>
      <c r="BG1010" s="9"/>
      <c r="BH1010" s="9" t="s">
        <v>100</v>
      </c>
      <c r="BI1010" s="9" t="s">
        <v>100</v>
      </c>
      <c r="BJ1010" s="32"/>
      <c r="BN1010" s="32"/>
      <c r="BO1010" s="32"/>
    </row>
    <row r="1011" spans="1:67" s="33" customFormat="1" ht="117" hidden="1" x14ac:dyDescent="0.35">
      <c r="A1011" s="8">
        <v>11147</v>
      </c>
      <c r="B1011" s="9" t="s">
        <v>4649</v>
      </c>
      <c r="C1011" s="8" t="s">
        <v>63</v>
      </c>
      <c r="D1011" s="9" t="s">
        <v>4669</v>
      </c>
      <c r="E1011" s="8" t="s">
        <v>35</v>
      </c>
      <c r="F1011" s="9" t="s">
        <v>131</v>
      </c>
      <c r="G1011" s="8" t="s">
        <v>225</v>
      </c>
      <c r="H1011" s="8" t="s">
        <v>125</v>
      </c>
      <c r="I1011" s="8" t="s">
        <v>114</v>
      </c>
      <c r="J1011" s="9" t="s">
        <v>117</v>
      </c>
      <c r="K1011" s="9" t="s">
        <v>3836</v>
      </c>
      <c r="L1011" s="8" t="s">
        <v>4652</v>
      </c>
      <c r="M1011" s="9" t="s">
        <v>4653</v>
      </c>
      <c r="N1011" s="9" t="s">
        <v>4654</v>
      </c>
      <c r="O1011" s="9" t="s">
        <v>276</v>
      </c>
      <c r="P1011" s="9" t="s">
        <v>239</v>
      </c>
      <c r="Q1011" s="52" t="s">
        <v>98</v>
      </c>
      <c r="R1011" s="52">
        <v>32508</v>
      </c>
      <c r="S1011" s="9" t="s">
        <v>276</v>
      </c>
      <c r="T1011" s="9" t="s">
        <v>276</v>
      </c>
      <c r="U1011" s="9" t="s">
        <v>276</v>
      </c>
      <c r="V1011" s="8" t="s">
        <v>14</v>
      </c>
      <c r="W1011" s="8" t="s">
        <v>4643</v>
      </c>
      <c r="X1011" s="9" t="s">
        <v>207</v>
      </c>
      <c r="Y1011" s="13">
        <v>30432</v>
      </c>
      <c r="Z1011" s="9">
        <v>27480</v>
      </c>
      <c r="AA1011" s="9" t="s">
        <v>276</v>
      </c>
      <c r="AB1011" s="9" t="s">
        <v>276</v>
      </c>
      <c r="AC1011" s="8">
        <v>101</v>
      </c>
      <c r="AD1011" s="9" t="s">
        <v>4666</v>
      </c>
      <c r="AE1011" s="9">
        <v>120</v>
      </c>
      <c r="AF1011" s="9" t="s">
        <v>4667</v>
      </c>
      <c r="AG1011" s="9" t="s">
        <v>4670</v>
      </c>
      <c r="AH1011" s="9" t="s">
        <v>4658</v>
      </c>
      <c r="AI1011" s="38">
        <f>60+36+31</f>
        <v>127</v>
      </c>
      <c r="AJ1011" s="38">
        <v>94</v>
      </c>
      <c r="AK1011" s="13">
        <v>30432</v>
      </c>
      <c r="AL1011" s="9">
        <v>27480</v>
      </c>
      <c r="AM1011" s="38" t="s">
        <v>281</v>
      </c>
      <c r="AN1011" s="8" t="s">
        <v>276</v>
      </c>
      <c r="AO1011" s="14">
        <f t="shared" si="320"/>
        <v>4.1732386961093582</v>
      </c>
      <c r="AP1011" s="8" t="s">
        <v>276</v>
      </c>
      <c r="AQ1011" s="8" t="s">
        <v>276</v>
      </c>
      <c r="AR1011" s="8" t="s">
        <v>276</v>
      </c>
      <c r="AS1011" s="14">
        <f t="shared" si="321"/>
        <v>3.4206695778748184</v>
      </c>
      <c r="AT1011" s="8" t="s">
        <v>276</v>
      </c>
      <c r="AU1011" s="8" t="s">
        <v>276</v>
      </c>
      <c r="AV1011" s="9" t="s">
        <v>268</v>
      </c>
      <c r="AW1011" s="40" t="s">
        <v>276</v>
      </c>
      <c r="AX1011" s="40">
        <f t="shared" si="318"/>
        <v>1.2200063762668634</v>
      </c>
      <c r="AY1011" s="9" t="s">
        <v>276</v>
      </c>
      <c r="AZ1011" s="9" t="s">
        <v>276</v>
      </c>
      <c r="BA1011" s="9" t="s">
        <v>276</v>
      </c>
      <c r="BB1011" s="9" t="s">
        <v>282</v>
      </c>
      <c r="BC1011" s="9" t="s">
        <v>98</v>
      </c>
      <c r="BD1011" s="9" t="s">
        <v>98</v>
      </c>
      <c r="BE1011" s="9" t="s">
        <v>98</v>
      </c>
      <c r="BF1011" s="9" t="s">
        <v>3863</v>
      </c>
      <c r="BG1011" s="9"/>
      <c r="BH1011" s="9" t="s">
        <v>100</v>
      </c>
      <c r="BI1011" s="9" t="s">
        <v>100</v>
      </c>
      <c r="BJ1011" s="32"/>
      <c r="BN1011" s="32"/>
      <c r="BO1011" s="32"/>
    </row>
    <row r="1012" spans="1:67" s="33" customFormat="1" ht="156" hidden="1" x14ac:dyDescent="0.35">
      <c r="A1012" s="8">
        <v>11147</v>
      </c>
      <c r="B1012" s="9" t="s">
        <v>4649</v>
      </c>
      <c r="C1012" s="8" t="s">
        <v>63</v>
      </c>
      <c r="D1012" s="9" t="s">
        <v>4671</v>
      </c>
      <c r="E1012" s="8" t="s">
        <v>35</v>
      </c>
      <c r="F1012" s="9" t="s">
        <v>131</v>
      </c>
      <c r="G1012" s="8" t="s">
        <v>225</v>
      </c>
      <c r="H1012" s="8" t="s">
        <v>125</v>
      </c>
      <c r="I1012" s="8" t="s">
        <v>114</v>
      </c>
      <c r="J1012" s="9" t="s">
        <v>25</v>
      </c>
      <c r="K1012" s="9" t="s">
        <v>1499</v>
      </c>
      <c r="L1012" s="8" t="s">
        <v>4652</v>
      </c>
      <c r="M1012" s="9" t="s">
        <v>4653</v>
      </c>
      <c r="N1012" s="9" t="s">
        <v>4654</v>
      </c>
      <c r="O1012" s="9" t="s">
        <v>276</v>
      </c>
      <c r="P1012" s="9" t="s">
        <v>239</v>
      </c>
      <c r="Q1012" s="52" t="s">
        <v>98</v>
      </c>
      <c r="R1012" s="52">
        <v>32508</v>
      </c>
      <c r="S1012" s="9" t="s">
        <v>276</v>
      </c>
      <c r="T1012" s="9" t="s">
        <v>276</v>
      </c>
      <c r="U1012" s="9" t="s">
        <v>276</v>
      </c>
      <c r="V1012" s="8" t="s">
        <v>14</v>
      </c>
      <c r="W1012" s="8" t="s">
        <v>4643</v>
      </c>
      <c r="X1012" s="9" t="s">
        <v>207</v>
      </c>
      <c r="Y1012" s="13">
        <v>30432</v>
      </c>
      <c r="Z1012" s="9">
        <v>27480</v>
      </c>
      <c r="AA1012" s="9" t="s">
        <v>276</v>
      </c>
      <c r="AB1012" s="9" t="s">
        <v>276</v>
      </c>
      <c r="AC1012" s="9">
        <f>8+55+91+2</f>
        <v>156</v>
      </c>
      <c r="AD1012" s="9" t="s">
        <v>4672</v>
      </c>
      <c r="AE1012" s="8">
        <f>11+119+1</f>
        <v>131</v>
      </c>
      <c r="AF1012" s="9" t="s">
        <v>4673</v>
      </c>
      <c r="AG1012" s="9" t="s">
        <v>4674</v>
      </c>
      <c r="AH1012" s="9" t="s">
        <v>4658</v>
      </c>
      <c r="AI1012" s="38">
        <f>120+14+22</f>
        <v>156</v>
      </c>
      <c r="AJ1012" s="38">
        <v>63</v>
      </c>
      <c r="AK1012" s="13">
        <v>30432</v>
      </c>
      <c r="AL1012" s="9">
        <v>27480</v>
      </c>
      <c r="AM1012" s="38" t="s">
        <v>281</v>
      </c>
      <c r="AN1012" s="8" t="s">
        <v>276</v>
      </c>
      <c r="AO1012" s="14">
        <f t="shared" si="320"/>
        <v>5.1261829652996846</v>
      </c>
      <c r="AP1012" s="8" t="s">
        <v>276</v>
      </c>
      <c r="AQ1012" s="8" t="s">
        <v>276</v>
      </c>
      <c r="AR1012" s="8" t="s">
        <v>276</v>
      </c>
      <c r="AS1012" s="14">
        <f t="shared" si="321"/>
        <v>2.2925764192139737</v>
      </c>
      <c r="AT1012" s="8" t="s">
        <v>276</v>
      </c>
      <c r="AU1012" s="8" t="s">
        <v>276</v>
      </c>
      <c r="AV1012" s="9" t="s">
        <v>268</v>
      </c>
      <c r="AW1012" s="40" t="s">
        <v>276</v>
      </c>
      <c r="AX1012" s="40">
        <f t="shared" si="318"/>
        <v>2.2359921886735767</v>
      </c>
      <c r="AY1012" s="9" t="s">
        <v>276</v>
      </c>
      <c r="AZ1012" s="9" t="s">
        <v>276</v>
      </c>
      <c r="BA1012" s="9" t="s">
        <v>276</v>
      </c>
      <c r="BB1012" s="9" t="s">
        <v>282</v>
      </c>
      <c r="BC1012" s="9" t="s">
        <v>98</v>
      </c>
      <c r="BD1012" s="9" t="s">
        <v>98</v>
      </c>
      <c r="BE1012" s="9" t="s">
        <v>98</v>
      </c>
      <c r="BF1012" s="9" t="s">
        <v>3863</v>
      </c>
      <c r="BG1012" s="9"/>
      <c r="BH1012" s="9" t="s">
        <v>100</v>
      </c>
      <c r="BI1012" s="9" t="s">
        <v>100</v>
      </c>
      <c r="BJ1012" s="32"/>
      <c r="BN1012" s="32"/>
      <c r="BO1012" s="32"/>
    </row>
    <row r="1013" spans="1:67" s="33" customFormat="1" ht="78" hidden="1" x14ac:dyDescent="0.35">
      <c r="A1013" s="8">
        <v>11147</v>
      </c>
      <c r="B1013" s="9" t="s">
        <v>4649</v>
      </c>
      <c r="C1013" s="8" t="s">
        <v>63</v>
      </c>
      <c r="D1013" s="9" t="s">
        <v>4675</v>
      </c>
      <c r="E1013" s="8" t="s">
        <v>35</v>
      </c>
      <c r="F1013" s="9" t="s">
        <v>131</v>
      </c>
      <c r="G1013" s="8" t="s">
        <v>225</v>
      </c>
      <c r="H1013" s="8" t="s">
        <v>225</v>
      </c>
      <c r="I1013" s="8" t="s">
        <v>98</v>
      </c>
      <c r="J1013" s="9" t="s">
        <v>98</v>
      </c>
      <c r="K1013" s="9" t="s">
        <v>98</v>
      </c>
      <c r="L1013" s="8" t="s">
        <v>98</v>
      </c>
      <c r="M1013" s="8" t="s">
        <v>98</v>
      </c>
      <c r="N1013" s="9" t="s">
        <v>4654</v>
      </c>
      <c r="O1013" s="9" t="s">
        <v>276</v>
      </c>
      <c r="P1013" s="9" t="s">
        <v>238</v>
      </c>
      <c r="Q1013" s="52" t="s">
        <v>98</v>
      </c>
      <c r="R1013" s="52">
        <v>32508</v>
      </c>
      <c r="S1013" s="9" t="s">
        <v>276</v>
      </c>
      <c r="T1013" s="9" t="s">
        <v>276</v>
      </c>
      <c r="U1013" s="9" t="s">
        <v>276</v>
      </c>
      <c r="V1013" s="8" t="s">
        <v>14</v>
      </c>
      <c r="W1013" s="8" t="s">
        <v>4643</v>
      </c>
      <c r="X1013" s="9" t="s">
        <v>207</v>
      </c>
      <c r="Y1013" s="13">
        <v>30432</v>
      </c>
      <c r="Z1013" s="9" t="s">
        <v>98</v>
      </c>
      <c r="AA1013" s="9" t="s">
        <v>276</v>
      </c>
      <c r="AB1013" s="9" t="s">
        <v>276</v>
      </c>
      <c r="AC1013" s="8">
        <v>10</v>
      </c>
      <c r="AD1013" s="9" t="s">
        <v>4676</v>
      </c>
      <c r="AE1013" s="8" t="s">
        <v>98</v>
      </c>
      <c r="AF1013" s="9" t="s">
        <v>98</v>
      </c>
      <c r="AG1013" s="9" t="s">
        <v>4677</v>
      </c>
      <c r="AH1013" s="9" t="s">
        <v>4678</v>
      </c>
      <c r="AI1013" s="38">
        <f>199+60+29</f>
        <v>288</v>
      </c>
      <c r="AJ1013" s="38" t="s">
        <v>98</v>
      </c>
      <c r="AK1013" s="13">
        <v>30432</v>
      </c>
      <c r="AL1013" s="9" t="s">
        <v>98</v>
      </c>
      <c r="AM1013" s="38" t="s">
        <v>281</v>
      </c>
      <c r="AN1013" s="8" t="s">
        <v>276</v>
      </c>
      <c r="AO1013" s="14">
        <f t="shared" si="320"/>
        <v>9.4637223974763405</v>
      </c>
      <c r="AP1013" s="8" t="s">
        <v>276</v>
      </c>
      <c r="AQ1013" s="8" t="s">
        <v>276</v>
      </c>
      <c r="AR1013" s="8" t="s">
        <v>98</v>
      </c>
      <c r="AS1013" s="14" t="s">
        <v>98</v>
      </c>
      <c r="AT1013" s="8" t="s">
        <v>98</v>
      </c>
      <c r="AU1013" s="8" t="s">
        <v>98</v>
      </c>
      <c r="AV1013" s="9" t="s">
        <v>98</v>
      </c>
      <c r="AW1013" s="40" t="s">
        <v>98</v>
      </c>
      <c r="AX1013" s="40" t="s">
        <v>98</v>
      </c>
      <c r="AY1013" s="9" t="s">
        <v>98</v>
      </c>
      <c r="AZ1013" s="9" t="s">
        <v>98</v>
      </c>
      <c r="BA1013" s="9" t="s">
        <v>98</v>
      </c>
      <c r="BB1013" s="9" t="s">
        <v>98</v>
      </c>
      <c r="BC1013" s="9" t="s">
        <v>98</v>
      </c>
      <c r="BD1013" s="9" t="s">
        <v>98</v>
      </c>
      <c r="BE1013" s="9" t="s">
        <v>98</v>
      </c>
      <c r="BF1013" s="9" t="s">
        <v>4679</v>
      </c>
      <c r="BG1013" s="9"/>
      <c r="BH1013" s="9" t="s">
        <v>100</v>
      </c>
      <c r="BI1013" s="9" t="s">
        <v>100</v>
      </c>
      <c r="BJ1013" s="32"/>
      <c r="BN1013" s="32"/>
      <c r="BO1013" s="32"/>
    </row>
    <row r="1014" spans="1:67" s="33" customFormat="1" ht="65" hidden="1" x14ac:dyDescent="0.35">
      <c r="A1014" s="8">
        <v>11147</v>
      </c>
      <c r="B1014" s="9" t="s">
        <v>4649</v>
      </c>
      <c r="C1014" s="8" t="s">
        <v>63</v>
      </c>
      <c r="D1014" s="9" t="s">
        <v>4680</v>
      </c>
      <c r="E1014" s="8" t="s">
        <v>35</v>
      </c>
      <c r="F1014" s="9" t="s">
        <v>131</v>
      </c>
      <c r="G1014" s="8" t="s">
        <v>225</v>
      </c>
      <c r="H1014" s="8" t="s">
        <v>225</v>
      </c>
      <c r="I1014" s="8" t="s">
        <v>98</v>
      </c>
      <c r="J1014" s="9" t="s">
        <v>32</v>
      </c>
      <c r="K1014" s="9" t="s">
        <v>4681</v>
      </c>
      <c r="L1014" s="8" t="s">
        <v>98</v>
      </c>
      <c r="M1014" s="8" t="s">
        <v>98</v>
      </c>
      <c r="N1014" s="9" t="s">
        <v>4654</v>
      </c>
      <c r="O1014" s="9" t="s">
        <v>276</v>
      </c>
      <c r="P1014" s="9" t="s">
        <v>238</v>
      </c>
      <c r="Q1014" s="52" t="s">
        <v>98</v>
      </c>
      <c r="R1014" s="52">
        <v>32508</v>
      </c>
      <c r="S1014" s="9" t="s">
        <v>276</v>
      </c>
      <c r="T1014" s="9" t="s">
        <v>276</v>
      </c>
      <c r="U1014" s="9" t="s">
        <v>276</v>
      </c>
      <c r="V1014" s="8" t="s">
        <v>14</v>
      </c>
      <c r="W1014" s="8" t="s">
        <v>4643</v>
      </c>
      <c r="X1014" s="9" t="s">
        <v>207</v>
      </c>
      <c r="Y1014" s="13">
        <v>30432</v>
      </c>
      <c r="Z1014" s="9" t="s">
        <v>98</v>
      </c>
      <c r="AA1014" s="9" t="s">
        <v>276</v>
      </c>
      <c r="AB1014" s="9" t="s">
        <v>276</v>
      </c>
      <c r="AC1014" s="8">
        <v>10</v>
      </c>
      <c r="AD1014" s="9" t="s">
        <v>4676</v>
      </c>
      <c r="AE1014" s="8" t="s">
        <v>98</v>
      </c>
      <c r="AF1014" s="9" t="s">
        <v>98</v>
      </c>
      <c r="AG1014" s="9" t="s">
        <v>4682</v>
      </c>
      <c r="AH1014" s="9" t="s">
        <v>4678</v>
      </c>
      <c r="AI1014" s="38">
        <f>35+9</f>
        <v>44</v>
      </c>
      <c r="AJ1014" s="38" t="s">
        <v>98</v>
      </c>
      <c r="AK1014" s="13">
        <v>30432</v>
      </c>
      <c r="AL1014" s="9" t="s">
        <v>98</v>
      </c>
      <c r="AM1014" s="38" t="s">
        <v>281</v>
      </c>
      <c r="AN1014" s="8" t="s">
        <v>276</v>
      </c>
      <c r="AO1014" s="14">
        <f t="shared" si="320"/>
        <v>1.4458464773922186</v>
      </c>
      <c r="AP1014" s="8" t="s">
        <v>276</v>
      </c>
      <c r="AQ1014" s="8" t="s">
        <v>276</v>
      </c>
      <c r="AR1014" s="8" t="s">
        <v>98</v>
      </c>
      <c r="AS1014" s="14" t="s">
        <v>98</v>
      </c>
      <c r="AT1014" s="8" t="s">
        <v>98</v>
      </c>
      <c r="AU1014" s="8" t="s">
        <v>98</v>
      </c>
      <c r="AV1014" s="9" t="s">
        <v>98</v>
      </c>
      <c r="AW1014" s="40" t="s">
        <v>98</v>
      </c>
      <c r="AX1014" s="40" t="s">
        <v>98</v>
      </c>
      <c r="AY1014" s="9" t="s">
        <v>98</v>
      </c>
      <c r="AZ1014" s="9" t="s">
        <v>98</v>
      </c>
      <c r="BA1014" s="9" t="s">
        <v>98</v>
      </c>
      <c r="BB1014" s="9" t="s">
        <v>98</v>
      </c>
      <c r="BC1014" s="9" t="s">
        <v>98</v>
      </c>
      <c r="BD1014" s="9" t="s">
        <v>98</v>
      </c>
      <c r="BE1014" s="9" t="s">
        <v>98</v>
      </c>
      <c r="BF1014" s="9" t="s">
        <v>4679</v>
      </c>
      <c r="BG1014" s="9"/>
      <c r="BH1014" s="9" t="s">
        <v>100</v>
      </c>
      <c r="BI1014" s="9" t="s">
        <v>100</v>
      </c>
      <c r="BJ1014" s="32"/>
      <c r="BN1014" s="32"/>
      <c r="BO1014" s="32"/>
    </row>
    <row r="1015" spans="1:67" s="33" customFormat="1" ht="65" hidden="1" x14ac:dyDescent="0.35">
      <c r="A1015" s="8">
        <v>11147</v>
      </c>
      <c r="B1015" s="9" t="s">
        <v>4649</v>
      </c>
      <c r="C1015" s="8" t="s">
        <v>63</v>
      </c>
      <c r="D1015" s="9" t="s">
        <v>4683</v>
      </c>
      <c r="E1015" s="8" t="s">
        <v>35</v>
      </c>
      <c r="F1015" s="9" t="s">
        <v>131</v>
      </c>
      <c r="G1015" s="8" t="s">
        <v>225</v>
      </c>
      <c r="H1015" s="8" t="s">
        <v>225</v>
      </c>
      <c r="I1015" s="8" t="s">
        <v>98</v>
      </c>
      <c r="J1015" s="9" t="s">
        <v>32</v>
      </c>
      <c r="K1015" s="9" t="s">
        <v>2345</v>
      </c>
      <c r="L1015" s="8" t="s">
        <v>98</v>
      </c>
      <c r="M1015" s="8" t="s">
        <v>98</v>
      </c>
      <c r="N1015" s="9" t="s">
        <v>4654</v>
      </c>
      <c r="O1015" s="9" t="s">
        <v>276</v>
      </c>
      <c r="P1015" s="9" t="s">
        <v>238</v>
      </c>
      <c r="Q1015" s="52" t="s">
        <v>98</v>
      </c>
      <c r="R1015" s="52">
        <v>32508</v>
      </c>
      <c r="S1015" s="9" t="s">
        <v>276</v>
      </c>
      <c r="T1015" s="9" t="s">
        <v>276</v>
      </c>
      <c r="U1015" s="9" t="s">
        <v>276</v>
      </c>
      <c r="V1015" s="8" t="s">
        <v>14</v>
      </c>
      <c r="W1015" s="8" t="s">
        <v>4643</v>
      </c>
      <c r="X1015" s="9" t="s">
        <v>207</v>
      </c>
      <c r="Y1015" s="13">
        <v>30432</v>
      </c>
      <c r="Z1015" s="9" t="s">
        <v>98</v>
      </c>
      <c r="AA1015" s="9" t="s">
        <v>276</v>
      </c>
      <c r="AB1015" s="9" t="s">
        <v>276</v>
      </c>
      <c r="AC1015" s="8">
        <v>10</v>
      </c>
      <c r="AD1015" s="9" t="s">
        <v>4676</v>
      </c>
      <c r="AE1015" s="8" t="s">
        <v>98</v>
      </c>
      <c r="AF1015" s="9" t="s">
        <v>98</v>
      </c>
      <c r="AG1015" s="9" t="s">
        <v>4684</v>
      </c>
      <c r="AH1015" s="9" t="s">
        <v>4678</v>
      </c>
      <c r="AI1015" s="38">
        <f>288-44</f>
        <v>244</v>
      </c>
      <c r="AJ1015" s="38" t="s">
        <v>98</v>
      </c>
      <c r="AK1015" s="13">
        <v>30432</v>
      </c>
      <c r="AL1015" s="9" t="s">
        <v>98</v>
      </c>
      <c r="AM1015" s="38" t="s">
        <v>281</v>
      </c>
      <c r="AN1015" s="8" t="s">
        <v>276</v>
      </c>
      <c r="AO1015" s="14">
        <f t="shared" si="320"/>
        <v>8.0178759200841228</v>
      </c>
      <c r="AP1015" s="8" t="s">
        <v>276</v>
      </c>
      <c r="AQ1015" s="8" t="s">
        <v>276</v>
      </c>
      <c r="AR1015" s="8" t="s">
        <v>98</v>
      </c>
      <c r="AS1015" s="14" t="s">
        <v>98</v>
      </c>
      <c r="AT1015" s="8" t="s">
        <v>98</v>
      </c>
      <c r="AU1015" s="8" t="s">
        <v>98</v>
      </c>
      <c r="AV1015" s="9" t="s">
        <v>98</v>
      </c>
      <c r="AW1015" s="40" t="s">
        <v>98</v>
      </c>
      <c r="AX1015" s="40" t="s">
        <v>98</v>
      </c>
      <c r="AY1015" s="9" t="s">
        <v>98</v>
      </c>
      <c r="AZ1015" s="9" t="s">
        <v>98</v>
      </c>
      <c r="BA1015" s="9" t="s">
        <v>98</v>
      </c>
      <c r="BB1015" s="9" t="s">
        <v>98</v>
      </c>
      <c r="BC1015" s="9" t="s">
        <v>98</v>
      </c>
      <c r="BD1015" s="9" t="s">
        <v>98</v>
      </c>
      <c r="BE1015" s="9" t="s">
        <v>98</v>
      </c>
      <c r="BF1015" s="9" t="s">
        <v>4679</v>
      </c>
      <c r="BG1015" s="9"/>
      <c r="BH1015" s="9" t="s">
        <v>100</v>
      </c>
      <c r="BI1015" s="9" t="s">
        <v>100</v>
      </c>
      <c r="BJ1015" s="32"/>
      <c r="BN1015" s="32"/>
      <c r="BO1015" s="32"/>
    </row>
    <row r="1016" spans="1:67" s="33" customFormat="1" ht="78" hidden="1" x14ac:dyDescent="0.35">
      <c r="A1016" s="8">
        <v>11147</v>
      </c>
      <c r="B1016" s="9" t="s">
        <v>4649</v>
      </c>
      <c r="C1016" s="8" t="s">
        <v>63</v>
      </c>
      <c r="D1016" s="9" t="s">
        <v>4685</v>
      </c>
      <c r="E1016" s="8" t="s">
        <v>35</v>
      </c>
      <c r="F1016" s="9" t="s">
        <v>131</v>
      </c>
      <c r="G1016" s="8" t="s">
        <v>225</v>
      </c>
      <c r="H1016" s="8" t="s">
        <v>225</v>
      </c>
      <c r="I1016" s="8" t="s">
        <v>98</v>
      </c>
      <c r="J1016" s="9" t="s">
        <v>98</v>
      </c>
      <c r="K1016" s="9" t="s">
        <v>98</v>
      </c>
      <c r="L1016" s="8" t="s">
        <v>98</v>
      </c>
      <c r="M1016" s="8" t="s">
        <v>98</v>
      </c>
      <c r="N1016" s="9" t="s">
        <v>4654</v>
      </c>
      <c r="O1016" s="9" t="s">
        <v>276</v>
      </c>
      <c r="P1016" s="9" t="s">
        <v>236</v>
      </c>
      <c r="Q1016" s="52" t="s">
        <v>98</v>
      </c>
      <c r="R1016" s="52">
        <v>32508</v>
      </c>
      <c r="S1016" s="9" t="s">
        <v>276</v>
      </c>
      <c r="T1016" s="9" t="s">
        <v>276</v>
      </c>
      <c r="U1016" s="9" t="s">
        <v>276</v>
      </c>
      <c r="V1016" s="8" t="s">
        <v>14</v>
      </c>
      <c r="W1016" s="8" t="s">
        <v>4643</v>
      </c>
      <c r="X1016" s="9" t="s">
        <v>207</v>
      </c>
      <c r="Y1016" s="13">
        <v>30432</v>
      </c>
      <c r="Z1016" s="9" t="s">
        <v>98</v>
      </c>
      <c r="AA1016" s="9" t="s">
        <v>276</v>
      </c>
      <c r="AB1016" s="9" t="s">
        <v>276</v>
      </c>
      <c r="AC1016" s="8">
        <v>10</v>
      </c>
      <c r="AD1016" s="9" t="s">
        <v>4676</v>
      </c>
      <c r="AE1016" s="8" t="s">
        <v>98</v>
      </c>
      <c r="AF1016" s="9" t="s">
        <v>98</v>
      </c>
      <c r="AG1016" s="9" t="s">
        <v>4677</v>
      </c>
      <c r="AH1016" s="9" t="s">
        <v>4686</v>
      </c>
      <c r="AI1016" s="38">
        <f>199+60+29</f>
        <v>288</v>
      </c>
      <c r="AJ1016" s="38" t="s">
        <v>98</v>
      </c>
      <c r="AK1016" s="13">
        <f>500-2-8</f>
        <v>490</v>
      </c>
      <c r="AL1016" s="9" t="s">
        <v>98</v>
      </c>
      <c r="AM1016" s="38" t="s">
        <v>292</v>
      </c>
      <c r="AN1016" s="8" t="s">
        <v>276</v>
      </c>
      <c r="AO1016" s="14">
        <f>AI1016*100/AK1016</f>
        <v>58.775510204081634</v>
      </c>
      <c r="AP1016" s="8" t="s">
        <v>276</v>
      </c>
      <c r="AQ1016" s="8" t="s">
        <v>276</v>
      </c>
      <c r="AR1016" s="8" t="s">
        <v>98</v>
      </c>
      <c r="AS1016" s="14" t="s">
        <v>98</v>
      </c>
      <c r="AT1016" s="8" t="s">
        <v>98</v>
      </c>
      <c r="AU1016" s="8" t="s">
        <v>98</v>
      </c>
      <c r="AV1016" s="9" t="s">
        <v>98</v>
      </c>
      <c r="AW1016" s="40" t="s">
        <v>98</v>
      </c>
      <c r="AX1016" s="40" t="s">
        <v>98</v>
      </c>
      <c r="AY1016" s="9" t="s">
        <v>98</v>
      </c>
      <c r="AZ1016" s="9" t="s">
        <v>98</v>
      </c>
      <c r="BA1016" s="9" t="s">
        <v>98</v>
      </c>
      <c r="BB1016" s="9" t="s">
        <v>98</v>
      </c>
      <c r="BC1016" s="9" t="s">
        <v>98</v>
      </c>
      <c r="BD1016" s="9" t="s">
        <v>98</v>
      </c>
      <c r="BE1016" s="9" t="s">
        <v>98</v>
      </c>
      <c r="BF1016" s="9" t="s">
        <v>4679</v>
      </c>
      <c r="BG1016" s="9"/>
      <c r="BH1016" s="9" t="s">
        <v>100</v>
      </c>
      <c r="BI1016" s="9" t="s">
        <v>100</v>
      </c>
      <c r="BJ1016" s="32"/>
      <c r="BN1016" s="32"/>
      <c r="BO1016" s="32"/>
    </row>
    <row r="1017" spans="1:67" s="33" customFormat="1" ht="65" hidden="1" x14ac:dyDescent="0.35">
      <c r="A1017" s="8">
        <v>11147</v>
      </c>
      <c r="B1017" s="9" t="s">
        <v>4649</v>
      </c>
      <c r="C1017" s="8" t="s">
        <v>63</v>
      </c>
      <c r="D1017" s="9" t="s">
        <v>4687</v>
      </c>
      <c r="E1017" s="8" t="s">
        <v>35</v>
      </c>
      <c r="F1017" s="9" t="s">
        <v>131</v>
      </c>
      <c r="G1017" s="8" t="s">
        <v>225</v>
      </c>
      <c r="H1017" s="8" t="s">
        <v>225</v>
      </c>
      <c r="I1017" s="8" t="s">
        <v>98</v>
      </c>
      <c r="J1017" s="9" t="s">
        <v>32</v>
      </c>
      <c r="K1017" s="9" t="s">
        <v>2345</v>
      </c>
      <c r="L1017" s="8" t="s">
        <v>98</v>
      </c>
      <c r="M1017" s="8" t="s">
        <v>98</v>
      </c>
      <c r="N1017" s="9" t="s">
        <v>4654</v>
      </c>
      <c r="O1017" s="9" t="s">
        <v>276</v>
      </c>
      <c r="P1017" s="9" t="s">
        <v>236</v>
      </c>
      <c r="Q1017" s="52" t="s">
        <v>98</v>
      </c>
      <c r="R1017" s="52">
        <v>32508</v>
      </c>
      <c r="S1017" s="9" t="s">
        <v>276</v>
      </c>
      <c r="T1017" s="9" t="s">
        <v>276</v>
      </c>
      <c r="U1017" s="9" t="s">
        <v>276</v>
      </c>
      <c r="V1017" s="8" t="s">
        <v>14</v>
      </c>
      <c r="W1017" s="8" t="s">
        <v>4643</v>
      </c>
      <c r="X1017" s="9" t="s">
        <v>207</v>
      </c>
      <c r="Y1017" s="13">
        <v>30432</v>
      </c>
      <c r="Z1017" s="9" t="s">
        <v>98</v>
      </c>
      <c r="AA1017" s="9" t="s">
        <v>276</v>
      </c>
      <c r="AB1017" s="9" t="s">
        <v>276</v>
      </c>
      <c r="AC1017" s="8">
        <v>10</v>
      </c>
      <c r="AD1017" s="9" t="s">
        <v>4676</v>
      </c>
      <c r="AE1017" s="8" t="s">
        <v>98</v>
      </c>
      <c r="AF1017" s="9" t="s">
        <v>98</v>
      </c>
      <c r="AG1017" s="9" t="s">
        <v>4684</v>
      </c>
      <c r="AH1017" s="9" t="s">
        <v>4688</v>
      </c>
      <c r="AI1017" s="38">
        <f>288-44</f>
        <v>244</v>
      </c>
      <c r="AJ1017" s="38" t="s">
        <v>98</v>
      </c>
      <c r="AK1017" s="13">
        <f>500-2-8-55</f>
        <v>435</v>
      </c>
      <c r="AL1017" s="9" t="s">
        <v>98</v>
      </c>
      <c r="AM1017" s="38" t="s">
        <v>292</v>
      </c>
      <c r="AN1017" s="8" t="s">
        <v>276</v>
      </c>
      <c r="AO1017" s="14">
        <f>AI1017*100/AK1017</f>
        <v>56.091954022988503</v>
      </c>
      <c r="AP1017" s="8" t="s">
        <v>276</v>
      </c>
      <c r="AQ1017" s="8" t="s">
        <v>276</v>
      </c>
      <c r="AR1017" s="8" t="s">
        <v>98</v>
      </c>
      <c r="AS1017" s="14" t="s">
        <v>98</v>
      </c>
      <c r="AT1017" s="8" t="s">
        <v>98</v>
      </c>
      <c r="AU1017" s="8" t="s">
        <v>98</v>
      </c>
      <c r="AV1017" s="9" t="s">
        <v>98</v>
      </c>
      <c r="AW1017" s="40" t="s">
        <v>98</v>
      </c>
      <c r="AX1017" s="40" t="s">
        <v>98</v>
      </c>
      <c r="AY1017" s="9" t="s">
        <v>98</v>
      </c>
      <c r="AZ1017" s="9" t="s">
        <v>98</v>
      </c>
      <c r="BA1017" s="9" t="s">
        <v>98</v>
      </c>
      <c r="BB1017" s="9" t="s">
        <v>98</v>
      </c>
      <c r="BC1017" s="9" t="s">
        <v>98</v>
      </c>
      <c r="BD1017" s="9" t="s">
        <v>98</v>
      </c>
      <c r="BE1017" s="9" t="s">
        <v>98</v>
      </c>
      <c r="BF1017" s="9" t="s">
        <v>4679</v>
      </c>
      <c r="BG1017" s="9"/>
      <c r="BH1017" s="9" t="s">
        <v>100</v>
      </c>
      <c r="BI1017" s="9" t="s">
        <v>100</v>
      </c>
      <c r="BJ1017" s="32"/>
      <c r="BN1017" s="32"/>
      <c r="BO1017" s="32"/>
    </row>
    <row r="1018" spans="1:67" s="33" customFormat="1" ht="65" hidden="1" x14ac:dyDescent="0.35">
      <c r="A1018" s="8">
        <v>11147</v>
      </c>
      <c r="B1018" s="9" t="s">
        <v>4649</v>
      </c>
      <c r="C1018" s="8" t="s">
        <v>63</v>
      </c>
      <c r="D1018" s="9" t="s">
        <v>4689</v>
      </c>
      <c r="E1018" s="8" t="s">
        <v>35</v>
      </c>
      <c r="F1018" s="9" t="s">
        <v>131</v>
      </c>
      <c r="G1018" s="8" t="s">
        <v>225</v>
      </c>
      <c r="H1018" s="8" t="s">
        <v>125</v>
      </c>
      <c r="I1018" s="8" t="s">
        <v>114</v>
      </c>
      <c r="J1018" s="9" t="s">
        <v>31</v>
      </c>
      <c r="K1018" s="9" t="s">
        <v>4651</v>
      </c>
      <c r="L1018" s="8" t="s">
        <v>4652</v>
      </c>
      <c r="M1018" s="9" t="s">
        <v>4653</v>
      </c>
      <c r="N1018" s="9" t="s">
        <v>4654</v>
      </c>
      <c r="O1018" s="9" t="s">
        <v>276</v>
      </c>
      <c r="P1018" s="9" t="s">
        <v>239</v>
      </c>
      <c r="Q1018" s="52" t="s">
        <v>98</v>
      </c>
      <c r="R1018" s="52">
        <v>32508</v>
      </c>
      <c r="S1018" s="9" t="s">
        <v>276</v>
      </c>
      <c r="T1018" s="9" t="s">
        <v>276</v>
      </c>
      <c r="U1018" s="9" t="s">
        <v>276</v>
      </c>
      <c r="V1018" s="8" t="s">
        <v>14</v>
      </c>
      <c r="W1018" s="9" t="s">
        <v>4472</v>
      </c>
      <c r="X1018" s="9" t="s">
        <v>207</v>
      </c>
      <c r="Y1018" s="13">
        <v>23226</v>
      </c>
      <c r="Z1018" s="9">
        <v>21904</v>
      </c>
      <c r="AA1018" s="9" t="s">
        <v>276</v>
      </c>
      <c r="AB1018" s="9" t="s">
        <v>276</v>
      </c>
      <c r="AC1018" s="9" t="s">
        <v>276</v>
      </c>
      <c r="AD1018" s="9" t="s">
        <v>4690</v>
      </c>
      <c r="AE1018" s="8" t="s">
        <v>276</v>
      </c>
      <c r="AF1018" s="9" t="s">
        <v>4691</v>
      </c>
      <c r="AG1018" s="9" t="s">
        <v>4692</v>
      </c>
      <c r="AH1018" s="9" t="s">
        <v>4693</v>
      </c>
      <c r="AI1018" s="38">
        <v>184</v>
      </c>
      <c r="AJ1018" s="38">
        <v>85</v>
      </c>
      <c r="AK1018" s="13">
        <v>23226</v>
      </c>
      <c r="AL1018" s="9">
        <v>21904</v>
      </c>
      <c r="AM1018" s="38" t="s">
        <v>281</v>
      </c>
      <c r="AN1018" s="8" t="s">
        <v>276</v>
      </c>
      <c r="AO1018" s="14">
        <f>AI1018*1000/AK1018</f>
        <v>7.9221562042538531</v>
      </c>
      <c r="AP1018" s="8" t="s">
        <v>276</v>
      </c>
      <c r="AQ1018" s="8" t="s">
        <v>276</v>
      </c>
      <c r="AR1018" s="8" t="s">
        <v>276</v>
      </c>
      <c r="AS1018" s="14">
        <f>AJ1018/AL1018*1000</f>
        <v>3.8805697589481372</v>
      </c>
      <c r="AT1018" s="8" t="s">
        <v>276</v>
      </c>
      <c r="AU1018" s="8" t="s">
        <v>276</v>
      </c>
      <c r="AV1018" s="9" t="s">
        <v>268</v>
      </c>
      <c r="AW1018" s="40" t="s">
        <v>276</v>
      </c>
      <c r="AX1018" s="40">
        <f t="shared" ref="AX1018:AX1081" si="322">AO1018/AS1018</f>
        <v>2.0414930529173696</v>
      </c>
      <c r="AY1018" s="9" t="s">
        <v>276</v>
      </c>
      <c r="AZ1018" s="9" t="s">
        <v>276</v>
      </c>
      <c r="BA1018" s="9" t="s">
        <v>276</v>
      </c>
      <c r="BB1018" s="9" t="s">
        <v>282</v>
      </c>
      <c r="BC1018" s="9" t="s">
        <v>98</v>
      </c>
      <c r="BD1018" s="9" t="s">
        <v>98</v>
      </c>
      <c r="BE1018" s="9" t="s">
        <v>98</v>
      </c>
      <c r="BF1018" s="9" t="s">
        <v>4694</v>
      </c>
      <c r="BG1018" s="9"/>
      <c r="BH1018" s="9" t="s">
        <v>100</v>
      </c>
      <c r="BI1018" s="9" t="s">
        <v>100</v>
      </c>
      <c r="BJ1018" s="32"/>
      <c r="BN1018" s="32"/>
      <c r="BO1018" s="32"/>
    </row>
    <row r="1019" spans="1:67" s="33" customFormat="1" ht="65" hidden="1" x14ac:dyDescent="0.35">
      <c r="A1019" s="8">
        <v>11147</v>
      </c>
      <c r="B1019" s="9" t="s">
        <v>4649</v>
      </c>
      <c r="C1019" s="8" t="s">
        <v>63</v>
      </c>
      <c r="D1019" s="9" t="s">
        <v>4695</v>
      </c>
      <c r="E1019" s="8" t="s">
        <v>35</v>
      </c>
      <c r="F1019" s="9" t="s">
        <v>131</v>
      </c>
      <c r="G1019" s="8" t="s">
        <v>225</v>
      </c>
      <c r="H1019" s="8" t="s">
        <v>125</v>
      </c>
      <c r="I1019" s="8" t="s">
        <v>114</v>
      </c>
      <c r="J1019" s="9" t="s">
        <v>31</v>
      </c>
      <c r="K1019" s="9" t="s">
        <v>4660</v>
      </c>
      <c r="L1019" s="8" t="s">
        <v>4652</v>
      </c>
      <c r="M1019" s="9" t="s">
        <v>4653</v>
      </c>
      <c r="N1019" s="9" t="s">
        <v>4654</v>
      </c>
      <c r="O1019" s="9" t="s">
        <v>276</v>
      </c>
      <c r="P1019" s="9" t="s">
        <v>239</v>
      </c>
      <c r="Q1019" s="52" t="s">
        <v>98</v>
      </c>
      <c r="R1019" s="52">
        <v>32508</v>
      </c>
      <c r="S1019" s="9" t="s">
        <v>276</v>
      </c>
      <c r="T1019" s="9" t="s">
        <v>276</v>
      </c>
      <c r="U1019" s="9" t="s">
        <v>276</v>
      </c>
      <c r="V1019" s="8" t="s">
        <v>14</v>
      </c>
      <c r="W1019" s="9" t="s">
        <v>4472</v>
      </c>
      <c r="X1019" s="9" t="s">
        <v>207</v>
      </c>
      <c r="Y1019" s="13">
        <v>23226</v>
      </c>
      <c r="Z1019" s="9">
        <v>21904</v>
      </c>
      <c r="AA1019" s="9" t="s">
        <v>276</v>
      </c>
      <c r="AB1019" s="9" t="s">
        <v>276</v>
      </c>
      <c r="AC1019" s="9" t="s">
        <v>276</v>
      </c>
      <c r="AD1019" s="9" t="s">
        <v>4690</v>
      </c>
      <c r="AE1019" s="8" t="s">
        <v>276</v>
      </c>
      <c r="AF1019" s="9" t="s">
        <v>4691</v>
      </c>
      <c r="AG1019" s="9" t="s">
        <v>4696</v>
      </c>
      <c r="AH1019" s="9" t="s">
        <v>4693</v>
      </c>
      <c r="AI1019" s="38">
        <v>92</v>
      </c>
      <c r="AJ1019" s="38">
        <v>65</v>
      </c>
      <c r="AK1019" s="13">
        <v>23226</v>
      </c>
      <c r="AL1019" s="9">
        <v>21904</v>
      </c>
      <c r="AM1019" s="38" t="s">
        <v>281</v>
      </c>
      <c r="AN1019" s="8" t="s">
        <v>276</v>
      </c>
      <c r="AO1019" s="14">
        <f>AI1019*1000/AK1019</f>
        <v>3.9610781021269266</v>
      </c>
      <c r="AP1019" s="8" t="s">
        <v>276</v>
      </c>
      <c r="AQ1019" s="8" t="s">
        <v>276</v>
      </c>
      <c r="AR1019" s="8" t="s">
        <v>276</v>
      </c>
      <c r="AS1019" s="14">
        <f>AJ1019/AL1019*1000</f>
        <v>2.9674945215485757</v>
      </c>
      <c r="AT1019" s="8" t="s">
        <v>276</v>
      </c>
      <c r="AU1019" s="8" t="s">
        <v>276</v>
      </c>
      <c r="AV1019" s="9" t="s">
        <v>268</v>
      </c>
      <c r="AW1019" s="40" t="s">
        <v>276</v>
      </c>
      <c r="AX1019" s="40">
        <f t="shared" si="322"/>
        <v>1.3348223807536646</v>
      </c>
      <c r="AY1019" s="9" t="s">
        <v>276</v>
      </c>
      <c r="AZ1019" s="9" t="s">
        <v>276</v>
      </c>
      <c r="BA1019" s="9" t="s">
        <v>276</v>
      </c>
      <c r="BB1019" s="9" t="s">
        <v>282</v>
      </c>
      <c r="BC1019" s="9" t="s">
        <v>98</v>
      </c>
      <c r="BD1019" s="9" t="s">
        <v>98</v>
      </c>
      <c r="BE1019" s="9" t="s">
        <v>98</v>
      </c>
      <c r="BF1019" s="9" t="s">
        <v>4694</v>
      </c>
      <c r="BG1019" s="9"/>
      <c r="BH1019" s="9" t="s">
        <v>100</v>
      </c>
      <c r="BI1019" s="9" t="s">
        <v>100</v>
      </c>
      <c r="BJ1019" s="32"/>
      <c r="BN1019" s="32"/>
      <c r="BO1019" s="32"/>
    </row>
    <row r="1020" spans="1:67" s="33" customFormat="1" ht="52" hidden="1" x14ac:dyDescent="0.35">
      <c r="A1020" s="8">
        <v>4473</v>
      </c>
      <c r="B1020" s="8" t="s">
        <v>4697</v>
      </c>
      <c r="C1020" s="8" t="s">
        <v>4698</v>
      </c>
      <c r="D1020" s="9" t="s">
        <v>4813</v>
      </c>
      <c r="E1020" s="8" t="s">
        <v>35</v>
      </c>
      <c r="F1020" s="9" t="s">
        <v>131</v>
      </c>
      <c r="G1020" s="9" t="s">
        <v>130</v>
      </c>
      <c r="H1020" s="8" t="s">
        <v>225</v>
      </c>
      <c r="I1020" s="8" t="s">
        <v>98</v>
      </c>
      <c r="J1020" s="9" t="s">
        <v>98</v>
      </c>
      <c r="K1020" s="8" t="s">
        <v>98</v>
      </c>
      <c r="L1020" s="8" t="s">
        <v>98</v>
      </c>
      <c r="M1020" s="8" t="s">
        <v>98</v>
      </c>
      <c r="N1020" s="9" t="s">
        <v>4814</v>
      </c>
      <c r="O1020" s="9" t="s">
        <v>276</v>
      </c>
      <c r="P1020" s="9" t="s">
        <v>238</v>
      </c>
      <c r="Q1020" s="52" t="s">
        <v>4815</v>
      </c>
      <c r="R1020" s="9" t="s">
        <v>728</v>
      </c>
      <c r="S1020" s="9" t="s">
        <v>276</v>
      </c>
      <c r="T1020" s="9" t="s">
        <v>276</v>
      </c>
      <c r="U1020" s="51" t="s">
        <v>4284</v>
      </c>
      <c r="V1020" s="8" t="s">
        <v>14</v>
      </c>
      <c r="W1020" s="9" t="s">
        <v>98</v>
      </c>
      <c r="X1020" s="9" t="s">
        <v>208</v>
      </c>
      <c r="Y1020" s="13">
        <v>19711</v>
      </c>
      <c r="Z1020" s="38">
        <v>19694</v>
      </c>
      <c r="AA1020" s="9" t="s">
        <v>276</v>
      </c>
      <c r="AB1020" s="9" t="s">
        <v>276</v>
      </c>
      <c r="AC1020" s="8">
        <v>0</v>
      </c>
      <c r="AD1020" s="8" t="s">
        <v>98</v>
      </c>
      <c r="AE1020" s="8">
        <v>0</v>
      </c>
      <c r="AF1020" s="8" t="s">
        <v>98</v>
      </c>
      <c r="AG1020" s="9" t="s">
        <v>4816</v>
      </c>
      <c r="AH1020" s="9" t="s">
        <v>2034</v>
      </c>
      <c r="AI1020" s="38">
        <v>268</v>
      </c>
      <c r="AJ1020" s="38">
        <v>148</v>
      </c>
      <c r="AK1020" s="38">
        <v>19711</v>
      </c>
      <c r="AL1020" s="38">
        <v>19694</v>
      </c>
      <c r="AM1020" s="38" t="s">
        <v>281</v>
      </c>
      <c r="AN1020" s="8" t="s">
        <v>276</v>
      </c>
      <c r="AO1020" s="14">
        <f>AI1020*1000/AK1020</f>
        <v>13.59646897671351</v>
      </c>
      <c r="AP1020" s="8" t="s">
        <v>276</v>
      </c>
      <c r="AQ1020" s="8" t="s">
        <v>276</v>
      </c>
      <c r="AR1020" s="8" t="s">
        <v>276</v>
      </c>
      <c r="AS1020" s="14">
        <f>AJ1020*1000/AL1020</f>
        <v>7.5149791814765923</v>
      </c>
      <c r="AT1020" s="8" t="s">
        <v>276</v>
      </c>
      <c r="AU1020" s="8" t="s">
        <v>276</v>
      </c>
      <c r="AV1020" s="8" t="s">
        <v>268</v>
      </c>
      <c r="AW1020" s="40" t="s">
        <v>276</v>
      </c>
      <c r="AX1020" s="40">
        <f t="shared" si="322"/>
        <v>1.809249054239161</v>
      </c>
      <c r="AY1020" s="9" t="s">
        <v>276</v>
      </c>
      <c r="AZ1020" s="9" t="s">
        <v>276</v>
      </c>
      <c r="BA1020" s="9" t="s">
        <v>276</v>
      </c>
      <c r="BB1020" s="9" t="s">
        <v>282</v>
      </c>
      <c r="BC1020" s="9" t="s">
        <v>276</v>
      </c>
      <c r="BD1020" s="9" t="s">
        <v>276</v>
      </c>
      <c r="BE1020" s="9" t="s">
        <v>276</v>
      </c>
      <c r="BF1020" s="9" t="s">
        <v>3834</v>
      </c>
      <c r="BG1020" s="9" t="s">
        <v>4817</v>
      </c>
      <c r="BH1020" s="9" t="s">
        <v>100</v>
      </c>
      <c r="BI1020" s="9" t="s">
        <v>100</v>
      </c>
      <c r="BJ1020" s="32"/>
      <c r="BN1020" s="32"/>
      <c r="BO1020" s="32"/>
    </row>
    <row r="1021" spans="1:67" s="33" customFormat="1" ht="52" hidden="1" x14ac:dyDescent="0.35">
      <c r="A1021" s="8">
        <v>4473</v>
      </c>
      <c r="B1021" s="8" t="s">
        <v>4697</v>
      </c>
      <c r="C1021" s="8" t="s">
        <v>4698</v>
      </c>
      <c r="D1021" s="9" t="s">
        <v>4818</v>
      </c>
      <c r="E1021" s="8" t="s">
        <v>35</v>
      </c>
      <c r="F1021" s="9" t="s">
        <v>131</v>
      </c>
      <c r="G1021" s="9" t="s">
        <v>130</v>
      </c>
      <c r="H1021" s="8" t="s">
        <v>225</v>
      </c>
      <c r="I1021" s="8" t="s">
        <v>98</v>
      </c>
      <c r="J1021" s="9" t="s">
        <v>98</v>
      </c>
      <c r="K1021" s="8" t="s">
        <v>98</v>
      </c>
      <c r="L1021" s="8" t="s">
        <v>98</v>
      </c>
      <c r="M1021" s="8" t="s">
        <v>98</v>
      </c>
      <c r="N1021" s="9" t="s">
        <v>4814</v>
      </c>
      <c r="O1021" s="9" t="s">
        <v>276</v>
      </c>
      <c r="P1021" s="9" t="s">
        <v>236</v>
      </c>
      <c r="Q1021" s="52" t="s">
        <v>276</v>
      </c>
      <c r="R1021" s="9" t="s">
        <v>741</v>
      </c>
      <c r="S1021" s="9" t="s">
        <v>276</v>
      </c>
      <c r="T1021" s="9" t="s">
        <v>276</v>
      </c>
      <c r="U1021" s="51" t="s">
        <v>4284</v>
      </c>
      <c r="V1021" s="8" t="s">
        <v>14</v>
      </c>
      <c r="W1021" s="9" t="s">
        <v>98</v>
      </c>
      <c r="X1021" s="9" t="s">
        <v>208</v>
      </c>
      <c r="Y1021" s="13" t="s">
        <v>98</v>
      </c>
      <c r="Z1021" s="38" t="s">
        <v>98</v>
      </c>
      <c r="AA1021" s="9" t="s">
        <v>276</v>
      </c>
      <c r="AB1021" s="9" t="s">
        <v>276</v>
      </c>
      <c r="AC1021" s="8">
        <v>0</v>
      </c>
      <c r="AD1021" s="8" t="s">
        <v>98</v>
      </c>
      <c r="AE1021" s="8">
        <v>0</v>
      </c>
      <c r="AF1021" s="8" t="s">
        <v>98</v>
      </c>
      <c r="AG1021" s="9" t="s">
        <v>4816</v>
      </c>
      <c r="AH1021" s="9" t="s">
        <v>4819</v>
      </c>
      <c r="AI1021" s="38">
        <v>268</v>
      </c>
      <c r="AJ1021" s="38">
        <v>148</v>
      </c>
      <c r="AK1021" s="38">
        <v>370</v>
      </c>
      <c r="AL1021" s="38">
        <v>320</v>
      </c>
      <c r="AM1021" s="38" t="s">
        <v>292</v>
      </c>
      <c r="AN1021" s="8" t="s">
        <v>276</v>
      </c>
      <c r="AO1021" s="14">
        <f>AI1021*100/AK1021</f>
        <v>72.432432432432435</v>
      </c>
      <c r="AP1021" s="8" t="s">
        <v>276</v>
      </c>
      <c r="AQ1021" s="8" t="s">
        <v>276</v>
      </c>
      <c r="AR1021" s="8" t="s">
        <v>276</v>
      </c>
      <c r="AS1021" s="14">
        <f>AJ1021*100/AL1021</f>
        <v>46.25</v>
      </c>
      <c r="AT1021" s="8" t="s">
        <v>276</v>
      </c>
      <c r="AU1021" s="8" t="s">
        <v>276</v>
      </c>
      <c r="AV1021" s="8" t="s">
        <v>268</v>
      </c>
      <c r="AW1021" s="40" t="s">
        <v>276</v>
      </c>
      <c r="AX1021" s="40">
        <f t="shared" si="322"/>
        <v>1.5661066471877283</v>
      </c>
      <c r="AY1021" s="9" t="s">
        <v>276</v>
      </c>
      <c r="AZ1021" s="9" t="s">
        <v>276</v>
      </c>
      <c r="BA1021" s="9" t="s">
        <v>276</v>
      </c>
      <c r="BB1021" s="9" t="s">
        <v>282</v>
      </c>
      <c r="BC1021" s="9" t="s">
        <v>276</v>
      </c>
      <c r="BD1021" s="9" t="s">
        <v>276</v>
      </c>
      <c r="BE1021" s="9" t="s">
        <v>276</v>
      </c>
      <c r="BF1021" s="9" t="s">
        <v>3834</v>
      </c>
      <c r="BG1021" s="9" t="s">
        <v>4817</v>
      </c>
      <c r="BH1021" s="9" t="s">
        <v>100</v>
      </c>
      <c r="BI1021" s="9" t="s">
        <v>100</v>
      </c>
      <c r="BJ1021" s="32"/>
      <c r="BN1021" s="32"/>
      <c r="BO1021" s="32"/>
    </row>
    <row r="1022" spans="1:67" s="33" customFormat="1" ht="52" hidden="1" x14ac:dyDescent="0.35">
      <c r="A1022" s="8">
        <v>4473</v>
      </c>
      <c r="B1022" s="8" t="s">
        <v>4697</v>
      </c>
      <c r="C1022" s="8" t="s">
        <v>4698</v>
      </c>
      <c r="D1022" s="9" t="s">
        <v>4820</v>
      </c>
      <c r="E1022" s="8" t="s">
        <v>35</v>
      </c>
      <c r="F1022" s="9" t="s">
        <v>131</v>
      </c>
      <c r="G1022" s="9" t="s">
        <v>130</v>
      </c>
      <c r="H1022" s="8" t="s">
        <v>225</v>
      </c>
      <c r="I1022" s="8" t="s">
        <v>98</v>
      </c>
      <c r="J1022" s="9" t="s">
        <v>117</v>
      </c>
      <c r="K1022" s="9" t="s">
        <v>4821</v>
      </c>
      <c r="L1022" s="8" t="s">
        <v>276</v>
      </c>
      <c r="M1022" s="8" t="s">
        <v>276</v>
      </c>
      <c r="N1022" s="9" t="s">
        <v>4814</v>
      </c>
      <c r="O1022" s="9" t="s">
        <v>276</v>
      </c>
      <c r="P1022" s="9" t="s">
        <v>239</v>
      </c>
      <c r="Q1022" s="52" t="s">
        <v>276</v>
      </c>
      <c r="R1022" s="9" t="s">
        <v>741</v>
      </c>
      <c r="S1022" s="9" t="s">
        <v>276</v>
      </c>
      <c r="T1022" s="9" t="s">
        <v>276</v>
      </c>
      <c r="U1022" s="51" t="s">
        <v>4284</v>
      </c>
      <c r="V1022" s="8" t="s">
        <v>14</v>
      </c>
      <c r="W1022" s="9" t="s">
        <v>98</v>
      </c>
      <c r="X1022" s="9" t="s">
        <v>208</v>
      </c>
      <c r="Y1022" s="13">
        <v>19711</v>
      </c>
      <c r="Z1022" s="38">
        <v>19694</v>
      </c>
      <c r="AA1022" s="9" t="s">
        <v>276</v>
      </c>
      <c r="AB1022" s="9" t="s">
        <v>276</v>
      </c>
      <c r="AC1022" s="8">
        <v>55</v>
      </c>
      <c r="AD1022" s="9" t="s">
        <v>4822</v>
      </c>
      <c r="AE1022" s="8">
        <v>46</v>
      </c>
      <c r="AF1022" s="9" t="s">
        <v>4822</v>
      </c>
      <c r="AG1022" s="9" t="s">
        <v>4823</v>
      </c>
      <c r="AH1022" s="9" t="s">
        <v>2034</v>
      </c>
      <c r="AI1022" s="38">
        <v>217</v>
      </c>
      <c r="AJ1022" s="38">
        <v>184</v>
      </c>
      <c r="AK1022" s="38">
        <v>19711</v>
      </c>
      <c r="AL1022" s="38">
        <v>19694</v>
      </c>
      <c r="AM1022" s="38" t="s">
        <v>281</v>
      </c>
      <c r="AN1022" s="8" t="s">
        <v>276</v>
      </c>
      <c r="AO1022" s="14">
        <f t="shared" ref="AO1022:AO1028" si="323">AI1022*1000/AK1022</f>
        <v>11.009081223682207</v>
      </c>
      <c r="AP1022" s="8" t="s">
        <v>276</v>
      </c>
      <c r="AQ1022" s="8" t="s">
        <v>276</v>
      </c>
      <c r="AR1022" s="8" t="s">
        <v>276</v>
      </c>
      <c r="AS1022" s="14">
        <f t="shared" ref="AS1022:AS1028" si="324">AJ1022*1000/AL1022</f>
        <v>9.3429470904844116</v>
      </c>
      <c r="AT1022" s="8" t="s">
        <v>276</v>
      </c>
      <c r="AU1022" s="8" t="s">
        <v>276</v>
      </c>
      <c r="AV1022" s="8" t="s">
        <v>268</v>
      </c>
      <c r="AW1022" s="40" t="s">
        <v>276</v>
      </c>
      <c r="AX1022" s="40">
        <f t="shared" si="322"/>
        <v>1.1783306827130293</v>
      </c>
      <c r="AY1022" s="9" t="s">
        <v>276</v>
      </c>
      <c r="AZ1022" s="9" t="s">
        <v>276</v>
      </c>
      <c r="BA1022" s="9" t="s">
        <v>276</v>
      </c>
      <c r="BB1022" s="9" t="s">
        <v>282</v>
      </c>
      <c r="BC1022" s="9" t="s">
        <v>276</v>
      </c>
      <c r="BD1022" s="9" t="s">
        <v>276</v>
      </c>
      <c r="BE1022" s="9" t="s">
        <v>276</v>
      </c>
      <c r="BF1022" s="9" t="s">
        <v>3834</v>
      </c>
      <c r="BG1022" s="9"/>
      <c r="BH1022" s="9" t="s">
        <v>100</v>
      </c>
      <c r="BI1022" s="9" t="s">
        <v>100</v>
      </c>
      <c r="BJ1022" s="32"/>
      <c r="BN1022" s="32"/>
      <c r="BO1022" s="32"/>
    </row>
    <row r="1023" spans="1:67" s="33" customFormat="1" ht="52" hidden="1" x14ac:dyDescent="0.35">
      <c r="A1023" s="8">
        <v>4473</v>
      </c>
      <c r="B1023" s="8" t="s">
        <v>4697</v>
      </c>
      <c r="C1023" s="8" t="s">
        <v>4698</v>
      </c>
      <c r="D1023" s="9" t="s">
        <v>4824</v>
      </c>
      <c r="E1023" s="8" t="s">
        <v>35</v>
      </c>
      <c r="F1023" s="9" t="s">
        <v>131</v>
      </c>
      <c r="G1023" s="9" t="s">
        <v>130</v>
      </c>
      <c r="H1023" s="8" t="s">
        <v>225</v>
      </c>
      <c r="I1023" s="8" t="s">
        <v>98</v>
      </c>
      <c r="J1023" s="9" t="s">
        <v>117</v>
      </c>
      <c r="K1023" s="9" t="s">
        <v>4825</v>
      </c>
      <c r="L1023" s="8" t="s">
        <v>276</v>
      </c>
      <c r="M1023" s="8" t="s">
        <v>276</v>
      </c>
      <c r="N1023" s="9" t="s">
        <v>4814</v>
      </c>
      <c r="O1023" s="9" t="s">
        <v>276</v>
      </c>
      <c r="P1023" s="9" t="s">
        <v>239</v>
      </c>
      <c r="Q1023" s="52" t="s">
        <v>276</v>
      </c>
      <c r="R1023" s="9" t="s">
        <v>741</v>
      </c>
      <c r="S1023" s="9" t="s">
        <v>276</v>
      </c>
      <c r="T1023" s="9" t="s">
        <v>276</v>
      </c>
      <c r="U1023" s="51" t="s">
        <v>4284</v>
      </c>
      <c r="V1023" s="8" t="s">
        <v>14</v>
      </c>
      <c r="W1023" s="9" t="s">
        <v>98</v>
      </c>
      <c r="X1023" s="9" t="s">
        <v>208</v>
      </c>
      <c r="Y1023" s="13">
        <v>19711</v>
      </c>
      <c r="Z1023" s="38">
        <v>19694</v>
      </c>
      <c r="AA1023" s="9" t="s">
        <v>276</v>
      </c>
      <c r="AB1023" s="9" t="s">
        <v>276</v>
      </c>
      <c r="AC1023" s="8">
        <v>55</v>
      </c>
      <c r="AD1023" s="9" t="s">
        <v>4822</v>
      </c>
      <c r="AE1023" s="8">
        <v>46</v>
      </c>
      <c r="AF1023" s="9" t="s">
        <v>4822</v>
      </c>
      <c r="AG1023" s="9" t="s">
        <v>4826</v>
      </c>
      <c r="AH1023" s="9" t="s">
        <v>2034</v>
      </c>
      <c r="AI1023" s="38">
        <v>98</v>
      </c>
      <c r="AJ1023" s="38">
        <v>90</v>
      </c>
      <c r="AK1023" s="38">
        <v>19711</v>
      </c>
      <c r="AL1023" s="38">
        <v>19694</v>
      </c>
      <c r="AM1023" s="38" t="s">
        <v>281</v>
      </c>
      <c r="AN1023" s="8" t="s">
        <v>276</v>
      </c>
      <c r="AO1023" s="14">
        <f t="shared" si="323"/>
        <v>4.9718431332758355</v>
      </c>
      <c r="AP1023" s="8" t="s">
        <v>276</v>
      </c>
      <c r="AQ1023" s="8" t="s">
        <v>276</v>
      </c>
      <c r="AR1023" s="8" t="s">
        <v>276</v>
      </c>
      <c r="AS1023" s="14">
        <f t="shared" si="324"/>
        <v>4.5699197725195493</v>
      </c>
      <c r="AT1023" s="8" t="s">
        <v>276</v>
      </c>
      <c r="AU1023" s="8" t="s">
        <v>276</v>
      </c>
      <c r="AV1023" s="8" t="s">
        <v>268</v>
      </c>
      <c r="AW1023" s="40" t="s">
        <v>276</v>
      </c>
      <c r="AX1023" s="40">
        <f t="shared" si="322"/>
        <v>1.0879497629637145</v>
      </c>
      <c r="AY1023" s="9" t="s">
        <v>276</v>
      </c>
      <c r="AZ1023" s="9" t="s">
        <v>276</v>
      </c>
      <c r="BA1023" s="9" t="s">
        <v>276</v>
      </c>
      <c r="BB1023" s="9" t="s">
        <v>282</v>
      </c>
      <c r="BC1023" s="9" t="s">
        <v>276</v>
      </c>
      <c r="BD1023" s="9" t="s">
        <v>276</v>
      </c>
      <c r="BE1023" s="9" t="s">
        <v>276</v>
      </c>
      <c r="BF1023" s="9" t="s">
        <v>4827</v>
      </c>
      <c r="BG1023" s="9"/>
      <c r="BH1023" s="9" t="s">
        <v>100</v>
      </c>
      <c r="BI1023" s="9" t="s">
        <v>100</v>
      </c>
      <c r="BJ1023" s="32"/>
      <c r="BN1023" s="32"/>
      <c r="BO1023" s="32"/>
    </row>
    <row r="1024" spans="1:67" s="33" customFormat="1" ht="52" hidden="1" x14ac:dyDescent="0.35">
      <c r="A1024" s="8">
        <v>4473</v>
      </c>
      <c r="B1024" s="8" t="s">
        <v>4697</v>
      </c>
      <c r="C1024" s="8" t="s">
        <v>4698</v>
      </c>
      <c r="D1024" s="9" t="s">
        <v>4828</v>
      </c>
      <c r="E1024" s="8" t="s">
        <v>35</v>
      </c>
      <c r="F1024" s="9" t="s">
        <v>131</v>
      </c>
      <c r="G1024" s="9" t="s">
        <v>130</v>
      </c>
      <c r="H1024" s="8" t="s">
        <v>225</v>
      </c>
      <c r="I1024" s="8" t="s">
        <v>98</v>
      </c>
      <c r="J1024" s="9" t="s">
        <v>117</v>
      </c>
      <c r="K1024" s="9" t="s">
        <v>4829</v>
      </c>
      <c r="L1024" s="8" t="s">
        <v>276</v>
      </c>
      <c r="M1024" s="8" t="s">
        <v>276</v>
      </c>
      <c r="N1024" s="9" t="s">
        <v>4814</v>
      </c>
      <c r="O1024" s="9" t="s">
        <v>276</v>
      </c>
      <c r="P1024" s="9" t="s">
        <v>239</v>
      </c>
      <c r="Q1024" s="52" t="s">
        <v>276</v>
      </c>
      <c r="R1024" s="9" t="s">
        <v>741</v>
      </c>
      <c r="S1024" s="9" t="s">
        <v>276</v>
      </c>
      <c r="T1024" s="9" t="s">
        <v>276</v>
      </c>
      <c r="U1024" s="51" t="s">
        <v>4284</v>
      </c>
      <c r="V1024" s="8" t="s">
        <v>14</v>
      </c>
      <c r="W1024" s="9" t="s">
        <v>98</v>
      </c>
      <c r="X1024" s="9" t="s">
        <v>208</v>
      </c>
      <c r="Y1024" s="13">
        <v>19711</v>
      </c>
      <c r="Z1024" s="38">
        <v>19694</v>
      </c>
      <c r="AA1024" s="9" t="s">
        <v>276</v>
      </c>
      <c r="AB1024" s="9" t="s">
        <v>276</v>
      </c>
      <c r="AC1024" s="8">
        <v>55</v>
      </c>
      <c r="AD1024" s="9" t="s">
        <v>4822</v>
      </c>
      <c r="AE1024" s="8">
        <v>46</v>
      </c>
      <c r="AF1024" s="9" t="s">
        <v>4822</v>
      </c>
      <c r="AG1024" s="9" t="s">
        <v>4830</v>
      </c>
      <c r="AH1024" s="9" t="s">
        <v>2034</v>
      </c>
      <c r="AI1024" s="38">
        <v>66</v>
      </c>
      <c r="AJ1024" s="38">
        <v>56</v>
      </c>
      <c r="AK1024" s="38">
        <v>19711</v>
      </c>
      <c r="AL1024" s="38">
        <v>19694</v>
      </c>
      <c r="AM1024" s="38" t="s">
        <v>281</v>
      </c>
      <c r="AN1024" s="8" t="s">
        <v>276</v>
      </c>
      <c r="AO1024" s="14">
        <f t="shared" si="323"/>
        <v>3.3483841509816852</v>
      </c>
      <c r="AP1024" s="8" t="s">
        <v>276</v>
      </c>
      <c r="AQ1024" s="8" t="s">
        <v>276</v>
      </c>
      <c r="AR1024" s="8" t="s">
        <v>276</v>
      </c>
      <c r="AS1024" s="14">
        <f t="shared" si="324"/>
        <v>2.843505636234386</v>
      </c>
      <c r="AT1024" s="8" t="s">
        <v>276</v>
      </c>
      <c r="AU1024" s="8" t="s">
        <v>276</v>
      </c>
      <c r="AV1024" s="8" t="s">
        <v>268</v>
      </c>
      <c r="AW1024" s="40" t="s">
        <v>276</v>
      </c>
      <c r="AX1024" s="40">
        <f t="shared" si="322"/>
        <v>1.1775549548113091</v>
      </c>
      <c r="AY1024" s="9" t="s">
        <v>276</v>
      </c>
      <c r="AZ1024" s="9" t="s">
        <v>276</v>
      </c>
      <c r="BA1024" s="9" t="s">
        <v>276</v>
      </c>
      <c r="BB1024" s="9" t="s">
        <v>282</v>
      </c>
      <c r="BC1024" s="9" t="s">
        <v>276</v>
      </c>
      <c r="BD1024" s="9" t="s">
        <v>276</v>
      </c>
      <c r="BE1024" s="9" t="s">
        <v>276</v>
      </c>
      <c r="BF1024" s="9" t="s">
        <v>3834</v>
      </c>
      <c r="BG1024" s="9"/>
      <c r="BH1024" s="9" t="s">
        <v>100</v>
      </c>
      <c r="BI1024" s="9" t="s">
        <v>100</v>
      </c>
      <c r="BJ1024" s="32"/>
      <c r="BN1024" s="32"/>
      <c r="BO1024" s="32"/>
    </row>
    <row r="1025" spans="1:67" s="33" customFormat="1" ht="52" hidden="1" x14ac:dyDescent="0.35">
      <c r="A1025" s="8">
        <v>4473</v>
      </c>
      <c r="B1025" s="8" t="s">
        <v>4697</v>
      </c>
      <c r="C1025" s="8" t="s">
        <v>4698</v>
      </c>
      <c r="D1025" s="9" t="s">
        <v>4831</v>
      </c>
      <c r="E1025" s="8" t="s">
        <v>35</v>
      </c>
      <c r="F1025" s="9" t="s">
        <v>131</v>
      </c>
      <c r="G1025" s="9" t="s">
        <v>130</v>
      </c>
      <c r="H1025" s="8" t="s">
        <v>225</v>
      </c>
      <c r="I1025" s="8" t="s">
        <v>98</v>
      </c>
      <c r="J1025" s="9" t="s">
        <v>117</v>
      </c>
      <c r="K1025" s="9" t="s">
        <v>4832</v>
      </c>
      <c r="L1025" s="8" t="s">
        <v>276</v>
      </c>
      <c r="M1025" s="8" t="s">
        <v>276</v>
      </c>
      <c r="N1025" s="9" t="s">
        <v>4814</v>
      </c>
      <c r="O1025" s="9" t="s">
        <v>276</v>
      </c>
      <c r="P1025" s="9" t="s">
        <v>239</v>
      </c>
      <c r="Q1025" s="52" t="s">
        <v>276</v>
      </c>
      <c r="R1025" s="9" t="s">
        <v>741</v>
      </c>
      <c r="S1025" s="9" t="s">
        <v>276</v>
      </c>
      <c r="T1025" s="9" t="s">
        <v>276</v>
      </c>
      <c r="U1025" s="51" t="s">
        <v>4284</v>
      </c>
      <c r="V1025" s="8" t="s">
        <v>14</v>
      </c>
      <c r="W1025" s="9" t="s">
        <v>98</v>
      </c>
      <c r="X1025" s="9" t="s">
        <v>208</v>
      </c>
      <c r="Y1025" s="13">
        <v>19711</v>
      </c>
      <c r="Z1025" s="38">
        <v>19694</v>
      </c>
      <c r="AA1025" s="9" t="s">
        <v>276</v>
      </c>
      <c r="AB1025" s="9" t="s">
        <v>276</v>
      </c>
      <c r="AC1025" s="8">
        <v>55</v>
      </c>
      <c r="AD1025" s="9" t="s">
        <v>4822</v>
      </c>
      <c r="AE1025" s="8">
        <v>46</v>
      </c>
      <c r="AF1025" s="9" t="s">
        <v>4822</v>
      </c>
      <c r="AG1025" s="9" t="s">
        <v>4833</v>
      </c>
      <c r="AH1025" s="9" t="s">
        <v>2034</v>
      </c>
      <c r="AI1025" s="38">
        <v>32</v>
      </c>
      <c r="AJ1025" s="38">
        <v>34</v>
      </c>
      <c r="AK1025" s="38">
        <v>19711</v>
      </c>
      <c r="AL1025" s="38">
        <v>19694</v>
      </c>
      <c r="AM1025" s="38" t="s">
        <v>281</v>
      </c>
      <c r="AN1025" s="8" t="s">
        <v>276</v>
      </c>
      <c r="AO1025" s="14">
        <f t="shared" si="323"/>
        <v>1.6234589822941505</v>
      </c>
      <c r="AP1025" s="8" t="s">
        <v>276</v>
      </c>
      <c r="AQ1025" s="8" t="s">
        <v>276</v>
      </c>
      <c r="AR1025" s="8" t="s">
        <v>276</v>
      </c>
      <c r="AS1025" s="14">
        <f t="shared" si="324"/>
        <v>1.726414136285163</v>
      </c>
      <c r="AT1025" s="8" t="s">
        <v>276</v>
      </c>
      <c r="AU1025" s="8" t="s">
        <v>276</v>
      </c>
      <c r="AV1025" s="8" t="s">
        <v>268</v>
      </c>
      <c r="AW1025" s="40" t="s">
        <v>276</v>
      </c>
      <c r="AX1025" s="40">
        <f t="shared" si="322"/>
        <v>0.94036474109708823</v>
      </c>
      <c r="AY1025" s="9" t="s">
        <v>276</v>
      </c>
      <c r="AZ1025" s="9" t="s">
        <v>276</v>
      </c>
      <c r="BA1025" s="9" t="s">
        <v>276</v>
      </c>
      <c r="BB1025" s="9" t="s">
        <v>282</v>
      </c>
      <c r="BC1025" s="9" t="s">
        <v>276</v>
      </c>
      <c r="BD1025" s="9" t="s">
        <v>276</v>
      </c>
      <c r="BE1025" s="9" t="s">
        <v>276</v>
      </c>
      <c r="BF1025" s="9" t="s">
        <v>3834</v>
      </c>
      <c r="BG1025" s="9"/>
      <c r="BH1025" s="9" t="s">
        <v>100</v>
      </c>
      <c r="BI1025" s="9" t="s">
        <v>100</v>
      </c>
      <c r="BJ1025" s="32"/>
      <c r="BN1025" s="32"/>
      <c r="BO1025" s="32"/>
    </row>
    <row r="1026" spans="1:67" s="79" customFormat="1" ht="52" hidden="1" x14ac:dyDescent="0.35">
      <c r="A1026" s="72">
        <v>4473</v>
      </c>
      <c r="B1026" s="72" t="s">
        <v>4697</v>
      </c>
      <c r="C1026" s="72" t="s">
        <v>4698</v>
      </c>
      <c r="D1026" s="73" t="s">
        <v>4834</v>
      </c>
      <c r="E1026" s="72" t="s">
        <v>35</v>
      </c>
      <c r="F1026" s="73" t="s">
        <v>131</v>
      </c>
      <c r="G1026" s="73" t="s">
        <v>130</v>
      </c>
      <c r="H1026" s="72" t="s">
        <v>225</v>
      </c>
      <c r="I1026" s="72" t="s">
        <v>98</v>
      </c>
      <c r="J1026" s="73" t="s">
        <v>31</v>
      </c>
      <c r="K1026" s="73" t="s">
        <v>3171</v>
      </c>
      <c r="L1026" s="72" t="s">
        <v>276</v>
      </c>
      <c r="M1026" s="72" t="s">
        <v>276</v>
      </c>
      <c r="N1026" s="73" t="s">
        <v>4814</v>
      </c>
      <c r="O1026" s="73" t="s">
        <v>276</v>
      </c>
      <c r="P1026" s="73" t="s">
        <v>239</v>
      </c>
      <c r="Q1026" s="77" t="s">
        <v>276</v>
      </c>
      <c r="R1026" s="73" t="s">
        <v>741</v>
      </c>
      <c r="S1026" s="73" t="s">
        <v>276</v>
      </c>
      <c r="T1026" s="73" t="s">
        <v>276</v>
      </c>
      <c r="U1026" s="89" t="s">
        <v>4284</v>
      </c>
      <c r="V1026" s="72" t="s">
        <v>14</v>
      </c>
      <c r="W1026" s="73" t="s">
        <v>98</v>
      </c>
      <c r="X1026" s="73" t="s">
        <v>208</v>
      </c>
      <c r="Y1026" s="74">
        <v>19711</v>
      </c>
      <c r="Z1026" s="75">
        <v>19694</v>
      </c>
      <c r="AA1026" s="73" t="s">
        <v>276</v>
      </c>
      <c r="AB1026" s="73" t="s">
        <v>276</v>
      </c>
      <c r="AC1026" s="72">
        <v>64</v>
      </c>
      <c r="AD1026" s="73" t="s">
        <v>4835</v>
      </c>
      <c r="AE1026" s="72">
        <v>48</v>
      </c>
      <c r="AF1026" s="73" t="s">
        <v>4835</v>
      </c>
      <c r="AG1026" s="73" t="s">
        <v>4836</v>
      </c>
      <c r="AH1026" s="73" t="s">
        <v>2034</v>
      </c>
      <c r="AI1026" s="75">
        <v>202</v>
      </c>
      <c r="AJ1026" s="75">
        <v>144</v>
      </c>
      <c r="AK1026" s="75">
        <v>19711</v>
      </c>
      <c r="AL1026" s="75">
        <v>19694</v>
      </c>
      <c r="AM1026" s="75" t="s">
        <v>281</v>
      </c>
      <c r="AN1026" s="72" t="s">
        <v>276</v>
      </c>
      <c r="AO1026" s="76">
        <f t="shared" si="323"/>
        <v>10.248084825731825</v>
      </c>
      <c r="AP1026" s="72" t="s">
        <v>276</v>
      </c>
      <c r="AQ1026" s="72" t="s">
        <v>276</v>
      </c>
      <c r="AR1026" s="72" t="s">
        <v>276</v>
      </c>
      <c r="AS1026" s="76">
        <f t="shared" si="324"/>
        <v>7.3118716360312783</v>
      </c>
      <c r="AT1026" s="72" t="s">
        <v>276</v>
      </c>
      <c r="AU1026" s="72" t="s">
        <v>276</v>
      </c>
      <c r="AV1026" s="72" t="s">
        <v>268</v>
      </c>
      <c r="AW1026" s="83" t="s">
        <v>276</v>
      </c>
      <c r="AX1026" s="83">
        <f t="shared" si="322"/>
        <v>1.4015679344302956</v>
      </c>
      <c r="AY1026" s="73" t="s">
        <v>276</v>
      </c>
      <c r="AZ1026" s="73" t="s">
        <v>276</v>
      </c>
      <c r="BA1026" s="73" t="s">
        <v>276</v>
      </c>
      <c r="BB1026" s="73" t="s">
        <v>282</v>
      </c>
      <c r="BC1026" s="73" t="s">
        <v>276</v>
      </c>
      <c r="BD1026" s="73" t="s">
        <v>276</v>
      </c>
      <c r="BE1026" s="73" t="s">
        <v>276</v>
      </c>
      <c r="BF1026" s="73" t="s">
        <v>4837</v>
      </c>
      <c r="BG1026" s="73"/>
      <c r="BH1026" s="9" t="s">
        <v>100</v>
      </c>
      <c r="BI1026" s="9" t="s">
        <v>100</v>
      </c>
      <c r="BJ1026" s="78"/>
      <c r="BN1026" s="78"/>
      <c r="BO1026" s="78"/>
    </row>
    <row r="1027" spans="1:67" s="79" customFormat="1" ht="52" hidden="1" x14ac:dyDescent="0.35">
      <c r="A1027" s="72">
        <v>4473</v>
      </c>
      <c r="B1027" s="72" t="s">
        <v>4697</v>
      </c>
      <c r="C1027" s="72" t="s">
        <v>4698</v>
      </c>
      <c r="D1027" s="73" t="s">
        <v>4838</v>
      </c>
      <c r="E1027" s="72" t="s">
        <v>35</v>
      </c>
      <c r="F1027" s="73" t="s">
        <v>131</v>
      </c>
      <c r="G1027" s="73" t="s">
        <v>130</v>
      </c>
      <c r="H1027" s="72" t="s">
        <v>225</v>
      </c>
      <c r="I1027" s="72" t="s">
        <v>98</v>
      </c>
      <c r="J1027" s="73" t="s">
        <v>31</v>
      </c>
      <c r="K1027" s="73" t="s">
        <v>4839</v>
      </c>
      <c r="L1027" s="72" t="s">
        <v>276</v>
      </c>
      <c r="M1027" s="72" t="s">
        <v>276</v>
      </c>
      <c r="N1027" s="73" t="s">
        <v>4814</v>
      </c>
      <c r="O1027" s="73" t="s">
        <v>276</v>
      </c>
      <c r="P1027" s="73" t="s">
        <v>239</v>
      </c>
      <c r="Q1027" s="77" t="s">
        <v>276</v>
      </c>
      <c r="R1027" s="73" t="s">
        <v>741</v>
      </c>
      <c r="S1027" s="73" t="s">
        <v>276</v>
      </c>
      <c r="T1027" s="73" t="s">
        <v>276</v>
      </c>
      <c r="U1027" s="89" t="s">
        <v>4284</v>
      </c>
      <c r="V1027" s="72" t="s">
        <v>14</v>
      </c>
      <c r="W1027" s="73" t="s">
        <v>98</v>
      </c>
      <c r="X1027" s="73" t="s">
        <v>208</v>
      </c>
      <c r="Y1027" s="74">
        <v>19711</v>
      </c>
      <c r="Z1027" s="75">
        <v>19694</v>
      </c>
      <c r="AA1027" s="73" t="s">
        <v>276</v>
      </c>
      <c r="AB1027" s="73" t="s">
        <v>276</v>
      </c>
      <c r="AC1027" s="72">
        <v>64</v>
      </c>
      <c r="AD1027" s="73" t="s">
        <v>4835</v>
      </c>
      <c r="AE1027" s="72">
        <v>48</v>
      </c>
      <c r="AF1027" s="73" t="s">
        <v>4835</v>
      </c>
      <c r="AG1027" s="73" t="s">
        <v>4840</v>
      </c>
      <c r="AH1027" s="73" t="s">
        <v>2034</v>
      </c>
      <c r="AI1027" s="75">
        <v>104</v>
      </c>
      <c r="AJ1027" s="75">
        <v>128</v>
      </c>
      <c r="AK1027" s="75">
        <v>19711</v>
      </c>
      <c r="AL1027" s="75">
        <v>19694</v>
      </c>
      <c r="AM1027" s="75" t="s">
        <v>281</v>
      </c>
      <c r="AN1027" s="72" t="s">
        <v>276</v>
      </c>
      <c r="AO1027" s="76">
        <f t="shared" si="323"/>
        <v>5.2762416924559892</v>
      </c>
      <c r="AP1027" s="72" t="s">
        <v>276</v>
      </c>
      <c r="AQ1027" s="72" t="s">
        <v>276</v>
      </c>
      <c r="AR1027" s="72" t="s">
        <v>276</v>
      </c>
      <c r="AS1027" s="76">
        <f t="shared" si="324"/>
        <v>6.4994414542500252</v>
      </c>
      <c r="AT1027" s="72" t="s">
        <v>276</v>
      </c>
      <c r="AU1027" s="72" t="s">
        <v>276</v>
      </c>
      <c r="AV1027" s="72" t="s">
        <v>268</v>
      </c>
      <c r="AW1027" s="83" t="s">
        <v>276</v>
      </c>
      <c r="AX1027" s="83">
        <f t="shared" si="322"/>
        <v>0.81179924915022073</v>
      </c>
      <c r="AY1027" s="73" t="s">
        <v>276</v>
      </c>
      <c r="AZ1027" s="73" t="s">
        <v>276</v>
      </c>
      <c r="BA1027" s="73" t="s">
        <v>276</v>
      </c>
      <c r="BB1027" s="73" t="s">
        <v>282</v>
      </c>
      <c r="BC1027" s="73" t="s">
        <v>276</v>
      </c>
      <c r="BD1027" s="73" t="s">
        <v>276</v>
      </c>
      <c r="BE1027" s="73" t="s">
        <v>276</v>
      </c>
      <c r="BF1027" s="73" t="s">
        <v>4841</v>
      </c>
      <c r="BG1027" s="73"/>
      <c r="BH1027" s="9" t="s">
        <v>100</v>
      </c>
      <c r="BI1027" s="9" t="s">
        <v>100</v>
      </c>
      <c r="BJ1027" s="78"/>
      <c r="BN1027" s="78"/>
      <c r="BO1027" s="78"/>
    </row>
    <row r="1028" spans="1:67" s="110" customFormat="1" ht="78" hidden="1" x14ac:dyDescent="0.35">
      <c r="A1028" s="94">
        <v>4474</v>
      </c>
      <c r="B1028" s="94" t="s">
        <v>4697</v>
      </c>
      <c r="C1028" s="94" t="s">
        <v>4714</v>
      </c>
      <c r="D1028" s="95" t="s">
        <v>4842</v>
      </c>
      <c r="E1028" s="94" t="s">
        <v>35</v>
      </c>
      <c r="F1028" s="95" t="s">
        <v>131</v>
      </c>
      <c r="G1028" s="95" t="s">
        <v>132</v>
      </c>
      <c r="H1028" s="94" t="s">
        <v>225</v>
      </c>
      <c r="I1028" s="94" t="s">
        <v>98</v>
      </c>
      <c r="J1028" s="95" t="s">
        <v>98</v>
      </c>
      <c r="K1028" s="94" t="s">
        <v>98</v>
      </c>
      <c r="L1028" s="94" t="s">
        <v>98</v>
      </c>
      <c r="M1028" s="94" t="s">
        <v>98</v>
      </c>
      <c r="N1028" s="95" t="s">
        <v>4843</v>
      </c>
      <c r="O1028" s="95" t="s">
        <v>276</v>
      </c>
      <c r="P1028" s="95" t="s">
        <v>238</v>
      </c>
      <c r="Q1028" s="140" t="s">
        <v>4815</v>
      </c>
      <c r="R1028" s="95" t="s">
        <v>728</v>
      </c>
      <c r="S1028" s="95" t="s">
        <v>276</v>
      </c>
      <c r="T1028" s="95" t="s">
        <v>276</v>
      </c>
      <c r="U1028" s="95" t="s">
        <v>4717</v>
      </c>
      <c r="V1028" s="94" t="s">
        <v>14</v>
      </c>
      <c r="W1028" s="95" t="s">
        <v>98</v>
      </c>
      <c r="X1028" s="95" t="s">
        <v>208</v>
      </c>
      <c r="Y1028" s="98">
        <v>25214</v>
      </c>
      <c r="Z1028" s="99">
        <v>25216</v>
      </c>
      <c r="AA1028" s="95" t="s">
        <v>276</v>
      </c>
      <c r="AB1028" s="95" t="s">
        <v>276</v>
      </c>
      <c r="AC1028" s="94">
        <v>0</v>
      </c>
      <c r="AD1028" s="94" t="s">
        <v>98</v>
      </c>
      <c r="AE1028" s="94">
        <v>0</v>
      </c>
      <c r="AF1028" s="94" t="s">
        <v>98</v>
      </c>
      <c r="AG1028" s="95" t="s">
        <v>4816</v>
      </c>
      <c r="AH1028" s="95" t="s">
        <v>2034</v>
      </c>
      <c r="AI1028" s="99">
        <v>205</v>
      </c>
      <c r="AJ1028" s="99">
        <v>60</v>
      </c>
      <c r="AK1028" s="98">
        <v>25214</v>
      </c>
      <c r="AL1028" s="99">
        <v>25216</v>
      </c>
      <c r="AM1028" s="99" t="s">
        <v>281</v>
      </c>
      <c r="AN1028" s="94" t="s">
        <v>276</v>
      </c>
      <c r="AO1028" s="102">
        <f t="shared" si="323"/>
        <v>8.1304037439517725</v>
      </c>
      <c r="AP1028" s="94" t="s">
        <v>276</v>
      </c>
      <c r="AQ1028" s="94" t="s">
        <v>276</v>
      </c>
      <c r="AR1028" s="94" t="s">
        <v>276</v>
      </c>
      <c r="AS1028" s="102">
        <f t="shared" si="324"/>
        <v>2.3794416243654823</v>
      </c>
      <c r="AT1028" s="94" t="s">
        <v>276</v>
      </c>
      <c r="AU1028" s="94" t="s">
        <v>276</v>
      </c>
      <c r="AV1028" s="94" t="s">
        <v>268</v>
      </c>
      <c r="AW1028" s="141" t="s">
        <v>276</v>
      </c>
      <c r="AX1028" s="141">
        <f t="shared" si="322"/>
        <v>3.4169376801247981</v>
      </c>
      <c r="AY1028" s="95" t="s">
        <v>276</v>
      </c>
      <c r="AZ1028" s="95" t="s">
        <v>276</v>
      </c>
      <c r="BA1028" s="95" t="s">
        <v>276</v>
      </c>
      <c r="BB1028" s="95" t="s">
        <v>282</v>
      </c>
      <c r="BC1028" s="95" t="s">
        <v>276</v>
      </c>
      <c r="BD1028" s="95" t="s">
        <v>276</v>
      </c>
      <c r="BE1028" s="95" t="s">
        <v>276</v>
      </c>
      <c r="BF1028" s="95" t="s">
        <v>3834</v>
      </c>
      <c r="BG1028" s="95" t="s">
        <v>4844</v>
      </c>
      <c r="BH1028" s="9" t="s">
        <v>100</v>
      </c>
      <c r="BI1028" s="9" t="s">
        <v>100</v>
      </c>
      <c r="BJ1028" s="109"/>
      <c r="BN1028" s="109"/>
      <c r="BO1028" s="109"/>
    </row>
    <row r="1029" spans="1:67" s="110" customFormat="1" ht="78" hidden="1" x14ac:dyDescent="0.35">
      <c r="A1029" s="94">
        <v>4474</v>
      </c>
      <c r="B1029" s="94" t="s">
        <v>4697</v>
      </c>
      <c r="C1029" s="94" t="s">
        <v>4714</v>
      </c>
      <c r="D1029" s="95" t="s">
        <v>4845</v>
      </c>
      <c r="E1029" s="94" t="s">
        <v>35</v>
      </c>
      <c r="F1029" s="95" t="s">
        <v>131</v>
      </c>
      <c r="G1029" s="95" t="s">
        <v>132</v>
      </c>
      <c r="H1029" s="94" t="s">
        <v>225</v>
      </c>
      <c r="I1029" s="94" t="s">
        <v>98</v>
      </c>
      <c r="J1029" s="95" t="s">
        <v>98</v>
      </c>
      <c r="K1029" s="94" t="s">
        <v>98</v>
      </c>
      <c r="L1029" s="94" t="s">
        <v>98</v>
      </c>
      <c r="M1029" s="94" t="s">
        <v>98</v>
      </c>
      <c r="N1029" s="95" t="s">
        <v>4843</v>
      </c>
      <c r="O1029" s="95" t="s">
        <v>276</v>
      </c>
      <c r="P1029" s="95" t="s">
        <v>236</v>
      </c>
      <c r="Q1029" s="140" t="s">
        <v>276</v>
      </c>
      <c r="R1029" s="95" t="s">
        <v>741</v>
      </c>
      <c r="S1029" s="95" t="s">
        <v>276</v>
      </c>
      <c r="T1029" s="95" t="s">
        <v>276</v>
      </c>
      <c r="U1029" s="95" t="s">
        <v>4717</v>
      </c>
      <c r="V1029" s="94" t="s">
        <v>14</v>
      </c>
      <c r="W1029" s="95" t="s">
        <v>98</v>
      </c>
      <c r="X1029" s="95" t="s">
        <v>208</v>
      </c>
      <c r="Y1029" s="98" t="s">
        <v>98</v>
      </c>
      <c r="Z1029" s="99" t="s">
        <v>98</v>
      </c>
      <c r="AA1029" s="95" t="s">
        <v>276</v>
      </c>
      <c r="AB1029" s="95" t="s">
        <v>276</v>
      </c>
      <c r="AC1029" s="94">
        <v>0</v>
      </c>
      <c r="AD1029" s="94" t="s">
        <v>98</v>
      </c>
      <c r="AE1029" s="94">
        <v>0</v>
      </c>
      <c r="AF1029" s="94" t="s">
        <v>98</v>
      </c>
      <c r="AG1029" s="95" t="s">
        <v>4816</v>
      </c>
      <c r="AH1029" s="95" t="s">
        <v>4819</v>
      </c>
      <c r="AI1029" s="99">
        <v>205</v>
      </c>
      <c r="AJ1029" s="99">
        <v>60</v>
      </c>
      <c r="AK1029" s="99">
        <v>331</v>
      </c>
      <c r="AL1029" s="99">
        <v>272</v>
      </c>
      <c r="AM1029" s="99" t="s">
        <v>292</v>
      </c>
      <c r="AN1029" s="94" t="s">
        <v>276</v>
      </c>
      <c r="AO1029" s="102">
        <f>AI1029*100/AK1029</f>
        <v>61.933534743202415</v>
      </c>
      <c r="AP1029" s="94" t="s">
        <v>276</v>
      </c>
      <c r="AQ1029" s="94" t="s">
        <v>276</v>
      </c>
      <c r="AR1029" s="94" t="s">
        <v>276</v>
      </c>
      <c r="AS1029" s="102">
        <f>AJ1029*100/AL1029</f>
        <v>22.058823529411764</v>
      </c>
      <c r="AT1029" s="94" t="s">
        <v>276</v>
      </c>
      <c r="AU1029" s="94" t="s">
        <v>276</v>
      </c>
      <c r="AV1029" s="94" t="s">
        <v>268</v>
      </c>
      <c r="AW1029" s="141" t="s">
        <v>276</v>
      </c>
      <c r="AX1029" s="141">
        <f t="shared" si="322"/>
        <v>2.8076535750251761</v>
      </c>
      <c r="AY1029" s="95" t="s">
        <v>276</v>
      </c>
      <c r="AZ1029" s="95" t="s">
        <v>276</v>
      </c>
      <c r="BA1029" s="95" t="s">
        <v>276</v>
      </c>
      <c r="BB1029" s="95" t="s">
        <v>282</v>
      </c>
      <c r="BC1029" s="95" t="s">
        <v>276</v>
      </c>
      <c r="BD1029" s="95" t="s">
        <v>276</v>
      </c>
      <c r="BE1029" s="95" t="s">
        <v>276</v>
      </c>
      <c r="BF1029" s="95" t="s">
        <v>3834</v>
      </c>
      <c r="BG1029" s="95" t="s">
        <v>4844</v>
      </c>
      <c r="BH1029" s="9" t="s">
        <v>100</v>
      </c>
      <c r="BI1029" s="9" t="s">
        <v>100</v>
      </c>
      <c r="BJ1029" s="109"/>
      <c r="BN1029" s="109"/>
      <c r="BO1029" s="109"/>
    </row>
    <row r="1030" spans="1:67" s="124" customFormat="1" ht="78" hidden="1" x14ac:dyDescent="0.35">
      <c r="A1030" s="112">
        <v>4474</v>
      </c>
      <c r="B1030" s="112" t="s">
        <v>4697</v>
      </c>
      <c r="C1030" s="112" t="s">
        <v>4714</v>
      </c>
      <c r="D1030" s="113" t="s">
        <v>4846</v>
      </c>
      <c r="E1030" s="112" t="s">
        <v>35</v>
      </c>
      <c r="F1030" s="113" t="s">
        <v>131</v>
      </c>
      <c r="G1030" s="113" t="s">
        <v>132</v>
      </c>
      <c r="H1030" s="112" t="s">
        <v>225</v>
      </c>
      <c r="I1030" s="112" t="s">
        <v>98</v>
      </c>
      <c r="J1030" s="113" t="s">
        <v>117</v>
      </c>
      <c r="K1030" s="113" t="s">
        <v>4821</v>
      </c>
      <c r="L1030" s="112" t="s">
        <v>276</v>
      </c>
      <c r="M1030" s="112" t="s">
        <v>276</v>
      </c>
      <c r="N1030" s="113" t="s">
        <v>4843</v>
      </c>
      <c r="O1030" s="113" t="s">
        <v>276</v>
      </c>
      <c r="P1030" s="113" t="s">
        <v>239</v>
      </c>
      <c r="Q1030" s="142" t="s">
        <v>276</v>
      </c>
      <c r="R1030" s="113" t="s">
        <v>741</v>
      </c>
      <c r="S1030" s="113" t="s">
        <v>276</v>
      </c>
      <c r="T1030" s="113" t="s">
        <v>276</v>
      </c>
      <c r="U1030" s="113" t="s">
        <v>4717</v>
      </c>
      <c r="V1030" s="112" t="s">
        <v>14</v>
      </c>
      <c r="W1030" s="113" t="s">
        <v>98</v>
      </c>
      <c r="X1030" s="113" t="s">
        <v>208</v>
      </c>
      <c r="Y1030" s="118">
        <v>25214</v>
      </c>
      <c r="Z1030" s="119">
        <v>25216</v>
      </c>
      <c r="AA1030" s="113" t="s">
        <v>276</v>
      </c>
      <c r="AB1030" s="113" t="s">
        <v>276</v>
      </c>
      <c r="AC1030" s="112">
        <v>38</v>
      </c>
      <c r="AD1030" s="113" t="s">
        <v>4822</v>
      </c>
      <c r="AE1030" s="112">
        <v>49</v>
      </c>
      <c r="AF1030" s="113" t="s">
        <v>4822</v>
      </c>
      <c r="AG1030" s="113" t="s">
        <v>4823</v>
      </c>
      <c r="AH1030" s="113" t="s">
        <v>2034</v>
      </c>
      <c r="AI1030" s="119">
        <v>191</v>
      </c>
      <c r="AJ1030" s="119">
        <v>157</v>
      </c>
      <c r="AK1030" s="118">
        <v>25214</v>
      </c>
      <c r="AL1030" s="119">
        <v>25216</v>
      </c>
      <c r="AM1030" s="119" t="s">
        <v>281</v>
      </c>
      <c r="AN1030" s="112" t="s">
        <v>276</v>
      </c>
      <c r="AO1030" s="121">
        <f t="shared" ref="AO1030:AO1057" si="325">AI1030*1000/AK1030</f>
        <v>7.575156658998969</v>
      </c>
      <c r="AP1030" s="112" t="s">
        <v>276</v>
      </c>
      <c r="AQ1030" s="112" t="s">
        <v>276</v>
      </c>
      <c r="AR1030" s="112" t="s">
        <v>276</v>
      </c>
      <c r="AS1030" s="121">
        <f t="shared" ref="AS1030:AS1057" si="326">AJ1030*1000/AL1030</f>
        <v>6.2262055837563448</v>
      </c>
      <c r="AT1030" s="112" t="s">
        <v>276</v>
      </c>
      <c r="AU1030" s="112" t="s">
        <v>276</v>
      </c>
      <c r="AV1030" s="112" t="s">
        <v>268</v>
      </c>
      <c r="AW1030" s="143" t="s">
        <v>276</v>
      </c>
      <c r="AX1030" s="143">
        <f t="shared" si="322"/>
        <v>1.2166570083650829</v>
      </c>
      <c r="AY1030" s="113" t="s">
        <v>276</v>
      </c>
      <c r="AZ1030" s="113" t="s">
        <v>276</v>
      </c>
      <c r="BA1030" s="113" t="s">
        <v>276</v>
      </c>
      <c r="BB1030" s="113" t="s">
        <v>282</v>
      </c>
      <c r="BC1030" s="113" t="s">
        <v>276</v>
      </c>
      <c r="BD1030" s="113" t="s">
        <v>276</v>
      </c>
      <c r="BE1030" s="113" t="s">
        <v>276</v>
      </c>
      <c r="BF1030" s="113" t="s">
        <v>4847</v>
      </c>
      <c r="BG1030" s="113"/>
      <c r="BH1030" s="9" t="s">
        <v>100</v>
      </c>
      <c r="BI1030" s="9" t="s">
        <v>100</v>
      </c>
      <c r="BJ1030" s="123"/>
      <c r="BN1030" s="123"/>
      <c r="BO1030" s="123"/>
    </row>
    <row r="1031" spans="1:67" s="124" customFormat="1" ht="78" hidden="1" x14ac:dyDescent="0.35">
      <c r="A1031" s="112">
        <v>4474</v>
      </c>
      <c r="B1031" s="112" t="s">
        <v>4697</v>
      </c>
      <c r="C1031" s="112" t="s">
        <v>4714</v>
      </c>
      <c r="D1031" s="113" t="s">
        <v>4848</v>
      </c>
      <c r="E1031" s="112" t="s">
        <v>35</v>
      </c>
      <c r="F1031" s="113" t="s">
        <v>131</v>
      </c>
      <c r="G1031" s="113" t="s">
        <v>132</v>
      </c>
      <c r="H1031" s="112" t="s">
        <v>225</v>
      </c>
      <c r="I1031" s="112" t="s">
        <v>98</v>
      </c>
      <c r="J1031" s="113" t="s">
        <v>117</v>
      </c>
      <c r="K1031" s="113" t="s">
        <v>4825</v>
      </c>
      <c r="L1031" s="112" t="s">
        <v>276</v>
      </c>
      <c r="M1031" s="112" t="s">
        <v>276</v>
      </c>
      <c r="N1031" s="113" t="s">
        <v>4843</v>
      </c>
      <c r="O1031" s="113" t="s">
        <v>276</v>
      </c>
      <c r="P1031" s="113" t="s">
        <v>239</v>
      </c>
      <c r="Q1031" s="142" t="s">
        <v>276</v>
      </c>
      <c r="R1031" s="113" t="s">
        <v>741</v>
      </c>
      <c r="S1031" s="113" t="s">
        <v>276</v>
      </c>
      <c r="T1031" s="113" t="s">
        <v>276</v>
      </c>
      <c r="U1031" s="113" t="s">
        <v>4717</v>
      </c>
      <c r="V1031" s="112" t="s">
        <v>14</v>
      </c>
      <c r="W1031" s="113" t="s">
        <v>98</v>
      </c>
      <c r="X1031" s="113" t="s">
        <v>208</v>
      </c>
      <c r="Y1031" s="118">
        <v>25214</v>
      </c>
      <c r="Z1031" s="119">
        <v>25216</v>
      </c>
      <c r="AA1031" s="113" t="s">
        <v>276</v>
      </c>
      <c r="AB1031" s="113" t="s">
        <v>276</v>
      </c>
      <c r="AC1031" s="112">
        <v>38</v>
      </c>
      <c r="AD1031" s="113" t="s">
        <v>4822</v>
      </c>
      <c r="AE1031" s="112">
        <v>49</v>
      </c>
      <c r="AF1031" s="113" t="s">
        <v>4822</v>
      </c>
      <c r="AG1031" s="113" t="s">
        <v>4826</v>
      </c>
      <c r="AH1031" s="113" t="s">
        <v>2034</v>
      </c>
      <c r="AI1031" s="119">
        <v>102</v>
      </c>
      <c r="AJ1031" s="119">
        <v>66</v>
      </c>
      <c r="AK1031" s="118">
        <v>25214</v>
      </c>
      <c r="AL1031" s="119">
        <v>25216</v>
      </c>
      <c r="AM1031" s="119" t="s">
        <v>281</v>
      </c>
      <c r="AN1031" s="112" t="s">
        <v>276</v>
      </c>
      <c r="AO1031" s="121">
        <f t="shared" si="325"/>
        <v>4.045371618941858</v>
      </c>
      <c r="AP1031" s="112" t="s">
        <v>276</v>
      </c>
      <c r="AQ1031" s="112" t="s">
        <v>276</v>
      </c>
      <c r="AR1031" s="112" t="s">
        <v>276</v>
      </c>
      <c r="AS1031" s="121">
        <f t="shared" si="326"/>
        <v>2.6173857868020303</v>
      </c>
      <c r="AT1031" s="112" t="s">
        <v>276</v>
      </c>
      <c r="AU1031" s="112" t="s">
        <v>276</v>
      </c>
      <c r="AV1031" s="112" t="s">
        <v>268</v>
      </c>
      <c r="AW1031" s="143" t="s">
        <v>276</v>
      </c>
      <c r="AX1031" s="143">
        <f t="shared" si="322"/>
        <v>1.5455771324733014</v>
      </c>
      <c r="AY1031" s="113" t="s">
        <v>276</v>
      </c>
      <c r="AZ1031" s="113" t="s">
        <v>276</v>
      </c>
      <c r="BA1031" s="113" t="s">
        <v>276</v>
      </c>
      <c r="BB1031" s="113" t="s">
        <v>282</v>
      </c>
      <c r="BC1031" s="113" t="s">
        <v>276</v>
      </c>
      <c r="BD1031" s="113" t="s">
        <v>276</v>
      </c>
      <c r="BE1031" s="113" t="s">
        <v>276</v>
      </c>
      <c r="BF1031" s="113" t="s">
        <v>4827</v>
      </c>
      <c r="BG1031" s="113"/>
      <c r="BH1031" s="9" t="s">
        <v>100</v>
      </c>
      <c r="BI1031" s="9" t="s">
        <v>100</v>
      </c>
      <c r="BJ1031" s="123"/>
      <c r="BN1031" s="123"/>
      <c r="BO1031" s="123"/>
    </row>
    <row r="1032" spans="1:67" s="124" customFormat="1" ht="78" hidden="1" x14ac:dyDescent="0.35">
      <c r="A1032" s="112">
        <v>4474</v>
      </c>
      <c r="B1032" s="112" t="s">
        <v>4697</v>
      </c>
      <c r="C1032" s="112" t="s">
        <v>4714</v>
      </c>
      <c r="D1032" s="113" t="s">
        <v>4849</v>
      </c>
      <c r="E1032" s="112" t="s">
        <v>35</v>
      </c>
      <c r="F1032" s="113" t="s">
        <v>131</v>
      </c>
      <c r="G1032" s="113" t="s">
        <v>132</v>
      </c>
      <c r="H1032" s="112" t="s">
        <v>225</v>
      </c>
      <c r="I1032" s="112" t="s">
        <v>98</v>
      </c>
      <c r="J1032" s="113" t="s">
        <v>117</v>
      </c>
      <c r="K1032" s="113" t="s">
        <v>4829</v>
      </c>
      <c r="L1032" s="112" t="s">
        <v>276</v>
      </c>
      <c r="M1032" s="112" t="s">
        <v>276</v>
      </c>
      <c r="N1032" s="113" t="s">
        <v>4843</v>
      </c>
      <c r="O1032" s="113" t="s">
        <v>276</v>
      </c>
      <c r="P1032" s="113" t="s">
        <v>239</v>
      </c>
      <c r="Q1032" s="142" t="s">
        <v>276</v>
      </c>
      <c r="R1032" s="113" t="s">
        <v>741</v>
      </c>
      <c r="S1032" s="113" t="s">
        <v>276</v>
      </c>
      <c r="T1032" s="113" t="s">
        <v>276</v>
      </c>
      <c r="U1032" s="113" t="s">
        <v>4717</v>
      </c>
      <c r="V1032" s="112" t="s">
        <v>14</v>
      </c>
      <c r="W1032" s="113" t="s">
        <v>98</v>
      </c>
      <c r="X1032" s="113" t="s">
        <v>208</v>
      </c>
      <c r="Y1032" s="118">
        <v>25214</v>
      </c>
      <c r="Z1032" s="119">
        <v>25216</v>
      </c>
      <c r="AA1032" s="113" t="s">
        <v>276</v>
      </c>
      <c r="AB1032" s="113" t="s">
        <v>276</v>
      </c>
      <c r="AC1032" s="112">
        <v>38</v>
      </c>
      <c r="AD1032" s="113" t="s">
        <v>4822</v>
      </c>
      <c r="AE1032" s="112">
        <v>49</v>
      </c>
      <c r="AF1032" s="113" t="s">
        <v>4822</v>
      </c>
      <c r="AG1032" s="113" t="s">
        <v>4830</v>
      </c>
      <c r="AH1032" s="113" t="s">
        <v>2034</v>
      </c>
      <c r="AI1032" s="119">
        <v>55</v>
      </c>
      <c r="AJ1032" s="119">
        <v>43</v>
      </c>
      <c r="AK1032" s="118">
        <v>25214</v>
      </c>
      <c r="AL1032" s="119">
        <v>25216</v>
      </c>
      <c r="AM1032" s="119" t="s">
        <v>281</v>
      </c>
      <c r="AN1032" s="112" t="s">
        <v>276</v>
      </c>
      <c r="AO1032" s="121">
        <f t="shared" si="325"/>
        <v>2.1813278337431585</v>
      </c>
      <c r="AP1032" s="112" t="s">
        <v>276</v>
      </c>
      <c r="AQ1032" s="112" t="s">
        <v>276</v>
      </c>
      <c r="AR1032" s="112" t="s">
        <v>276</v>
      </c>
      <c r="AS1032" s="121">
        <f t="shared" si="326"/>
        <v>1.7052664974619289</v>
      </c>
      <c r="AT1032" s="112" t="s">
        <v>276</v>
      </c>
      <c r="AU1032" s="112" t="s">
        <v>276</v>
      </c>
      <c r="AV1032" s="112" t="s">
        <v>268</v>
      </c>
      <c r="AW1032" s="143" t="s">
        <v>276</v>
      </c>
      <c r="AX1032" s="143">
        <f t="shared" si="322"/>
        <v>1.2791712245504065</v>
      </c>
      <c r="AY1032" s="113" t="s">
        <v>276</v>
      </c>
      <c r="AZ1032" s="113" t="s">
        <v>276</v>
      </c>
      <c r="BA1032" s="113" t="s">
        <v>276</v>
      </c>
      <c r="BB1032" s="113" t="s">
        <v>282</v>
      </c>
      <c r="BC1032" s="113" t="s">
        <v>276</v>
      </c>
      <c r="BD1032" s="113" t="s">
        <v>276</v>
      </c>
      <c r="BE1032" s="113" t="s">
        <v>276</v>
      </c>
      <c r="BF1032" s="113" t="s">
        <v>4850</v>
      </c>
      <c r="BG1032" s="113"/>
      <c r="BH1032" s="9" t="s">
        <v>100</v>
      </c>
      <c r="BI1032" s="9" t="s">
        <v>100</v>
      </c>
      <c r="BJ1032" s="123"/>
      <c r="BN1032" s="123"/>
      <c r="BO1032" s="123"/>
    </row>
    <row r="1033" spans="1:67" s="124" customFormat="1" ht="78" hidden="1" x14ac:dyDescent="0.35">
      <c r="A1033" s="112">
        <v>4474</v>
      </c>
      <c r="B1033" s="112" t="s">
        <v>4697</v>
      </c>
      <c r="C1033" s="112" t="s">
        <v>4714</v>
      </c>
      <c r="D1033" s="113" t="s">
        <v>4851</v>
      </c>
      <c r="E1033" s="112" t="s">
        <v>35</v>
      </c>
      <c r="F1033" s="113" t="s">
        <v>131</v>
      </c>
      <c r="G1033" s="113" t="s">
        <v>132</v>
      </c>
      <c r="H1033" s="112" t="s">
        <v>225</v>
      </c>
      <c r="I1033" s="112" t="s">
        <v>98</v>
      </c>
      <c r="J1033" s="113" t="s">
        <v>117</v>
      </c>
      <c r="K1033" s="113" t="s">
        <v>4832</v>
      </c>
      <c r="L1033" s="112" t="s">
        <v>276</v>
      </c>
      <c r="M1033" s="112" t="s">
        <v>276</v>
      </c>
      <c r="N1033" s="113" t="s">
        <v>4843</v>
      </c>
      <c r="O1033" s="113" t="s">
        <v>276</v>
      </c>
      <c r="P1033" s="113" t="s">
        <v>239</v>
      </c>
      <c r="Q1033" s="142" t="s">
        <v>276</v>
      </c>
      <c r="R1033" s="113" t="s">
        <v>741</v>
      </c>
      <c r="S1033" s="113" t="s">
        <v>276</v>
      </c>
      <c r="T1033" s="113" t="s">
        <v>276</v>
      </c>
      <c r="U1033" s="113" t="s">
        <v>4717</v>
      </c>
      <c r="V1033" s="112" t="s">
        <v>14</v>
      </c>
      <c r="W1033" s="113" t="s">
        <v>98</v>
      </c>
      <c r="X1033" s="113" t="s">
        <v>208</v>
      </c>
      <c r="Y1033" s="118">
        <v>25214</v>
      </c>
      <c r="Z1033" s="119">
        <v>25216</v>
      </c>
      <c r="AA1033" s="113" t="s">
        <v>276</v>
      </c>
      <c r="AB1033" s="113" t="s">
        <v>276</v>
      </c>
      <c r="AC1033" s="112">
        <v>38</v>
      </c>
      <c r="AD1033" s="113" t="s">
        <v>4822</v>
      </c>
      <c r="AE1033" s="112">
        <v>49</v>
      </c>
      <c r="AF1033" s="113" t="s">
        <v>4822</v>
      </c>
      <c r="AG1033" s="113" t="s">
        <v>4833</v>
      </c>
      <c r="AH1033" s="113" t="s">
        <v>2034</v>
      </c>
      <c r="AI1033" s="119">
        <v>47</v>
      </c>
      <c r="AJ1033" s="119">
        <v>23</v>
      </c>
      <c r="AK1033" s="118">
        <v>25214</v>
      </c>
      <c r="AL1033" s="119">
        <v>25216</v>
      </c>
      <c r="AM1033" s="119" t="s">
        <v>281</v>
      </c>
      <c r="AN1033" s="112" t="s">
        <v>276</v>
      </c>
      <c r="AO1033" s="121">
        <f t="shared" si="325"/>
        <v>1.8640437851986991</v>
      </c>
      <c r="AP1033" s="112" t="s">
        <v>276</v>
      </c>
      <c r="AQ1033" s="112" t="s">
        <v>276</v>
      </c>
      <c r="AR1033" s="112" t="s">
        <v>276</v>
      </c>
      <c r="AS1033" s="121">
        <f t="shared" si="326"/>
        <v>0.91211928934010156</v>
      </c>
      <c r="AT1033" s="112" t="s">
        <v>276</v>
      </c>
      <c r="AU1033" s="112" t="s">
        <v>276</v>
      </c>
      <c r="AV1033" s="112" t="s">
        <v>268</v>
      </c>
      <c r="AW1033" s="143" t="s">
        <v>276</v>
      </c>
      <c r="AX1033" s="143">
        <f t="shared" si="322"/>
        <v>2.0436403516334956</v>
      </c>
      <c r="AY1033" s="113" t="s">
        <v>276</v>
      </c>
      <c r="AZ1033" s="113" t="s">
        <v>276</v>
      </c>
      <c r="BA1033" s="113" t="s">
        <v>276</v>
      </c>
      <c r="BB1033" s="113" t="s">
        <v>282</v>
      </c>
      <c r="BC1033" s="113" t="s">
        <v>276</v>
      </c>
      <c r="BD1033" s="113" t="s">
        <v>276</v>
      </c>
      <c r="BE1033" s="113" t="s">
        <v>276</v>
      </c>
      <c r="BF1033" s="113" t="s">
        <v>4852</v>
      </c>
      <c r="BG1033" s="113"/>
      <c r="BH1033" s="9" t="s">
        <v>100</v>
      </c>
      <c r="BI1033" s="9" t="s">
        <v>100</v>
      </c>
      <c r="BJ1033" s="123"/>
      <c r="BN1033" s="123"/>
      <c r="BO1033" s="123"/>
    </row>
    <row r="1034" spans="1:67" s="110" customFormat="1" ht="78" hidden="1" x14ac:dyDescent="0.35">
      <c r="A1034" s="94">
        <v>4474</v>
      </c>
      <c r="B1034" s="94" t="s">
        <v>4697</v>
      </c>
      <c r="C1034" s="94" t="s">
        <v>4714</v>
      </c>
      <c r="D1034" s="95" t="s">
        <v>4853</v>
      </c>
      <c r="E1034" s="94" t="s">
        <v>35</v>
      </c>
      <c r="F1034" s="95" t="s">
        <v>131</v>
      </c>
      <c r="G1034" s="95" t="s">
        <v>132</v>
      </c>
      <c r="H1034" s="94" t="s">
        <v>225</v>
      </c>
      <c r="I1034" s="94" t="s">
        <v>98</v>
      </c>
      <c r="J1034" s="95" t="s">
        <v>31</v>
      </c>
      <c r="K1034" s="95" t="s">
        <v>3171</v>
      </c>
      <c r="L1034" s="94" t="s">
        <v>276</v>
      </c>
      <c r="M1034" s="94" t="s">
        <v>276</v>
      </c>
      <c r="N1034" s="95" t="s">
        <v>4843</v>
      </c>
      <c r="O1034" s="95" t="s">
        <v>276</v>
      </c>
      <c r="P1034" s="95" t="s">
        <v>239</v>
      </c>
      <c r="Q1034" s="140" t="s">
        <v>276</v>
      </c>
      <c r="R1034" s="95" t="s">
        <v>741</v>
      </c>
      <c r="S1034" s="95" t="s">
        <v>276</v>
      </c>
      <c r="T1034" s="95" t="s">
        <v>276</v>
      </c>
      <c r="U1034" s="95" t="s">
        <v>4717</v>
      </c>
      <c r="V1034" s="94" t="s">
        <v>14</v>
      </c>
      <c r="W1034" s="95" t="s">
        <v>98</v>
      </c>
      <c r="X1034" s="95" t="s">
        <v>208</v>
      </c>
      <c r="Y1034" s="98">
        <v>25214</v>
      </c>
      <c r="Z1034" s="99">
        <v>25216</v>
      </c>
      <c r="AA1034" s="95" t="s">
        <v>276</v>
      </c>
      <c r="AB1034" s="95" t="s">
        <v>276</v>
      </c>
      <c r="AC1034" s="94">
        <f>331-275</f>
        <v>56</v>
      </c>
      <c r="AD1034" s="95" t="s">
        <v>4835</v>
      </c>
      <c r="AE1034" s="94">
        <f>272-217</f>
        <v>55</v>
      </c>
      <c r="AF1034" s="95" t="s">
        <v>4835</v>
      </c>
      <c r="AG1034" s="95" t="s">
        <v>4836</v>
      </c>
      <c r="AH1034" s="95" t="s">
        <v>2034</v>
      </c>
      <c r="AI1034" s="99">
        <v>156</v>
      </c>
      <c r="AJ1034" s="99">
        <v>116</v>
      </c>
      <c r="AK1034" s="98">
        <v>25214</v>
      </c>
      <c r="AL1034" s="99">
        <v>25216</v>
      </c>
      <c r="AM1034" s="99" t="s">
        <v>281</v>
      </c>
      <c r="AN1034" s="94" t="s">
        <v>276</v>
      </c>
      <c r="AO1034" s="102">
        <f t="shared" si="325"/>
        <v>6.1870389466169584</v>
      </c>
      <c r="AP1034" s="94" t="s">
        <v>276</v>
      </c>
      <c r="AQ1034" s="94" t="s">
        <v>276</v>
      </c>
      <c r="AR1034" s="94" t="s">
        <v>276</v>
      </c>
      <c r="AS1034" s="102">
        <f t="shared" si="326"/>
        <v>4.6002538071065988</v>
      </c>
      <c r="AT1034" s="94" t="s">
        <v>276</v>
      </c>
      <c r="AU1034" s="94" t="s">
        <v>276</v>
      </c>
      <c r="AV1034" s="94" t="s">
        <v>268</v>
      </c>
      <c r="AW1034" s="141" t="s">
        <v>276</v>
      </c>
      <c r="AX1034" s="141">
        <f t="shared" si="322"/>
        <v>1.3449342592921829</v>
      </c>
      <c r="AY1034" s="95" t="s">
        <v>276</v>
      </c>
      <c r="AZ1034" s="95" t="s">
        <v>276</v>
      </c>
      <c r="BA1034" s="95" t="s">
        <v>276</v>
      </c>
      <c r="BB1034" s="95" t="s">
        <v>282</v>
      </c>
      <c r="BC1034" s="95" t="s">
        <v>276</v>
      </c>
      <c r="BD1034" s="95" t="s">
        <v>276</v>
      </c>
      <c r="BE1034" s="95" t="s">
        <v>276</v>
      </c>
      <c r="BF1034" s="95" t="s">
        <v>4854</v>
      </c>
      <c r="BG1034" s="95"/>
      <c r="BH1034" s="9" t="s">
        <v>100</v>
      </c>
      <c r="BI1034" s="9" t="s">
        <v>100</v>
      </c>
      <c r="BJ1034" s="109"/>
      <c r="BN1034" s="109"/>
      <c r="BO1034" s="109"/>
    </row>
    <row r="1035" spans="1:67" s="110" customFormat="1" ht="78" hidden="1" x14ac:dyDescent="0.35">
      <c r="A1035" s="94">
        <v>4474</v>
      </c>
      <c r="B1035" s="94" t="s">
        <v>4697</v>
      </c>
      <c r="C1035" s="94" t="s">
        <v>4714</v>
      </c>
      <c r="D1035" s="95" t="s">
        <v>4855</v>
      </c>
      <c r="E1035" s="94" t="s">
        <v>35</v>
      </c>
      <c r="F1035" s="95" t="s">
        <v>131</v>
      </c>
      <c r="G1035" s="95" t="s">
        <v>132</v>
      </c>
      <c r="H1035" s="94" t="s">
        <v>225</v>
      </c>
      <c r="I1035" s="94" t="s">
        <v>98</v>
      </c>
      <c r="J1035" s="95" t="s">
        <v>31</v>
      </c>
      <c r="K1035" s="95" t="s">
        <v>4839</v>
      </c>
      <c r="L1035" s="94" t="s">
        <v>276</v>
      </c>
      <c r="M1035" s="94" t="s">
        <v>276</v>
      </c>
      <c r="N1035" s="95" t="s">
        <v>4843</v>
      </c>
      <c r="O1035" s="95" t="s">
        <v>276</v>
      </c>
      <c r="P1035" s="95" t="s">
        <v>239</v>
      </c>
      <c r="Q1035" s="140" t="s">
        <v>276</v>
      </c>
      <c r="R1035" s="95" t="s">
        <v>741</v>
      </c>
      <c r="S1035" s="95" t="s">
        <v>276</v>
      </c>
      <c r="T1035" s="95" t="s">
        <v>276</v>
      </c>
      <c r="U1035" s="95" t="s">
        <v>4717</v>
      </c>
      <c r="V1035" s="94" t="s">
        <v>14</v>
      </c>
      <c r="W1035" s="95" t="s">
        <v>98</v>
      </c>
      <c r="X1035" s="95" t="s">
        <v>208</v>
      </c>
      <c r="Y1035" s="98">
        <v>25214</v>
      </c>
      <c r="Z1035" s="99">
        <v>25216</v>
      </c>
      <c r="AA1035" s="95" t="s">
        <v>276</v>
      </c>
      <c r="AB1035" s="95" t="s">
        <v>276</v>
      </c>
      <c r="AC1035" s="94">
        <f>331-275</f>
        <v>56</v>
      </c>
      <c r="AD1035" s="95" t="s">
        <v>4835</v>
      </c>
      <c r="AE1035" s="94">
        <f>272-217</f>
        <v>55</v>
      </c>
      <c r="AF1035" s="95" t="s">
        <v>4835</v>
      </c>
      <c r="AG1035" s="95" t="s">
        <v>4840</v>
      </c>
      <c r="AH1035" s="95" t="s">
        <v>2034</v>
      </c>
      <c r="AI1035" s="99">
        <v>119</v>
      </c>
      <c r="AJ1035" s="99">
        <v>101</v>
      </c>
      <c r="AK1035" s="98">
        <v>25214</v>
      </c>
      <c r="AL1035" s="99">
        <v>25216</v>
      </c>
      <c r="AM1035" s="99" t="s">
        <v>281</v>
      </c>
      <c r="AN1035" s="94" t="s">
        <v>276</v>
      </c>
      <c r="AO1035" s="102">
        <f t="shared" si="325"/>
        <v>4.7196002220988342</v>
      </c>
      <c r="AP1035" s="94" t="s">
        <v>276</v>
      </c>
      <c r="AQ1035" s="94" t="s">
        <v>276</v>
      </c>
      <c r="AR1035" s="94" t="s">
        <v>276</v>
      </c>
      <c r="AS1035" s="102">
        <f t="shared" si="326"/>
        <v>4.0053934010152288</v>
      </c>
      <c r="AT1035" s="94" t="s">
        <v>276</v>
      </c>
      <c r="AU1035" s="94" t="s">
        <v>276</v>
      </c>
      <c r="AV1035" s="94" t="s">
        <v>268</v>
      </c>
      <c r="AW1035" s="141" t="s">
        <v>276</v>
      </c>
      <c r="AX1035" s="141">
        <f t="shared" si="322"/>
        <v>1.1783112792123187</v>
      </c>
      <c r="AY1035" s="95" t="s">
        <v>276</v>
      </c>
      <c r="AZ1035" s="95" t="s">
        <v>276</v>
      </c>
      <c r="BA1035" s="95" t="s">
        <v>276</v>
      </c>
      <c r="BB1035" s="95" t="s">
        <v>282</v>
      </c>
      <c r="BC1035" s="95" t="s">
        <v>276</v>
      </c>
      <c r="BD1035" s="95" t="s">
        <v>276</v>
      </c>
      <c r="BE1035" s="95" t="s">
        <v>276</v>
      </c>
      <c r="BF1035" s="95" t="s">
        <v>4856</v>
      </c>
      <c r="BG1035" s="95"/>
      <c r="BH1035" s="9" t="s">
        <v>100</v>
      </c>
      <c r="BI1035" s="9" t="s">
        <v>100</v>
      </c>
      <c r="BJ1035" s="109"/>
      <c r="BN1035" s="109"/>
      <c r="BO1035" s="109"/>
    </row>
    <row r="1036" spans="1:67" s="285" customFormat="1" ht="104" hidden="1" x14ac:dyDescent="0.35">
      <c r="A1036" s="254">
        <v>4468</v>
      </c>
      <c r="B1036" s="254" t="s">
        <v>4736</v>
      </c>
      <c r="C1036" s="254" t="s">
        <v>4698</v>
      </c>
      <c r="D1036" s="255" t="s">
        <v>4857</v>
      </c>
      <c r="E1036" s="254" t="s">
        <v>35</v>
      </c>
      <c r="F1036" s="255" t="s">
        <v>131</v>
      </c>
      <c r="G1036" s="255" t="s">
        <v>130</v>
      </c>
      <c r="H1036" s="254" t="s">
        <v>225</v>
      </c>
      <c r="I1036" s="254" t="s">
        <v>98</v>
      </c>
      <c r="J1036" s="255" t="s">
        <v>31</v>
      </c>
      <c r="K1036" s="254" t="s">
        <v>4858</v>
      </c>
      <c r="L1036" s="254" t="s">
        <v>276</v>
      </c>
      <c r="M1036" s="254" t="s">
        <v>276</v>
      </c>
      <c r="N1036" s="255" t="s">
        <v>4859</v>
      </c>
      <c r="O1036" s="255" t="s">
        <v>276</v>
      </c>
      <c r="P1036" s="255" t="s">
        <v>239</v>
      </c>
      <c r="Q1036" s="343" t="s">
        <v>276</v>
      </c>
      <c r="R1036" s="255" t="s">
        <v>705</v>
      </c>
      <c r="S1036" s="255" t="s">
        <v>276</v>
      </c>
      <c r="T1036" s="255" t="s">
        <v>276</v>
      </c>
      <c r="U1036" s="341" t="s">
        <v>1212</v>
      </c>
      <c r="V1036" s="254" t="s">
        <v>14</v>
      </c>
      <c r="W1036" s="254" t="s">
        <v>98</v>
      </c>
      <c r="X1036" s="255" t="s">
        <v>208</v>
      </c>
      <c r="Y1036" s="259">
        <v>19711</v>
      </c>
      <c r="Z1036" s="260">
        <v>19694</v>
      </c>
      <c r="AA1036" s="255" t="s">
        <v>276</v>
      </c>
      <c r="AB1036" s="255" t="s">
        <v>276</v>
      </c>
      <c r="AC1036" s="254">
        <v>14</v>
      </c>
      <c r="AD1036" s="254" t="s">
        <v>3921</v>
      </c>
      <c r="AE1036" s="254">
        <v>6</v>
      </c>
      <c r="AF1036" s="254" t="s">
        <v>3921</v>
      </c>
      <c r="AG1036" s="255" t="s">
        <v>4860</v>
      </c>
      <c r="AH1036" s="255" t="s">
        <v>2034</v>
      </c>
      <c r="AI1036" s="260">
        <v>17</v>
      </c>
      <c r="AJ1036" s="260">
        <v>4</v>
      </c>
      <c r="AK1036" s="259">
        <v>19711</v>
      </c>
      <c r="AL1036" s="260">
        <v>19694</v>
      </c>
      <c r="AM1036" s="260" t="s">
        <v>281</v>
      </c>
      <c r="AN1036" s="254" t="s">
        <v>276</v>
      </c>
      <c r="AO1036" s="261">
        <f t="shared" si="325"/>
        <v>0.86246258434376744</v>
      </c>
      <c r="AP1036" s="254" t="s">
        <v>276</v>
      </c>
      <c r="AQ1036" s="254" t="s">
        <v>276</v>
      </c>
      <c r="AR1036" s="254" t="s">
        <v>276</v>
      </c>
      <c r="AS1036" s="261">
        <f t="shared" si="326"/>
        <v>0.20310754544531329</v>
      </c>
      <c r="AT1036" s="254" t="s">
        <v>276</v>
      </c>
      <c r="AU1036" s="254" t="s">
        <v>276</v>
      </c>
      <c r="AV1036" s="254" t="s">
        <v>268</v>
      </c>
      <c r="AW1036" s="344" t="s">
        <v>276</v>
      </c>
      <c r="AX1036" s="344">
        <f t="shared" si="322"/>
        <v>4.2463345340165395</v>
      </c>
      <c r="AY1036" s="255" t="s">
        <v>276</v>
      </c>
      <c r="AZ1036" s="255" t="s">
        <v>276</v>
      </c>
      <c r="BA1036" s="255" t="s">
        <v>276</v>
      </c>
      <c r="BB1036" s="255" t="s">
        <v>282</v>
      </c>
      <c r="BC1036" s="255" t="s">
        <v>276</v>
      </c>
      <c r="BD1036" s="255" t="s">
        <v>276</v>
      </c>
      <c r="BE1036" s="255" t="s">
        <v>276</v>
      </c>
      <c r="BF1036" s="255" t="s">
        <v>1358</v>
      </c>
      <c r="BG1036" s="255"/>
      <c r="BH1036" s="9" t="s">
        <v>100</v>
      </c>
      <c r="BI1036" s="9" t="s">
        <v>100</v>
      </c>
      <c r="BJ1036" s="284"/>
      <c r="BN1036" s="284"/>
      <c r="BO1036" s="284"/>
    </row>
    <row r="1037" spans="1:67" s="285" customFormat="1" ht="104" hidden="1" x14ac:dyDescent="0.35">
      <c r="A1037" s="254">
        <v>4468</v>
      </c>
      <c r="B1037" s="254" t="s">
        <v>4736</v>
      </c>
      <c r="C1037" s="254" t="s">
        <v>4698</v>
      </c>
      <c r="D1037" s="255" t="s">
        <v>4861</v>
      </c>
      <c r="E1037" s="254" t="s">
        <v>35</v>
      </c>
      <c r="F1037" s="255" t="s">
        <v>131</v>
      </c>
      <c r="G1037" s="255" t="s">
        <v>130</v>
      </c>
      <c r="H1037" s="254" t="s">
        <v>225</v>
      </c>
      <c r="I1037" s="254" t="s">
        <v>98</v>
      </c>
      <c r="J1037" s="255" t="s">
        <v>31</v>
      </c>
      <c r="K1037" s="254" t="s">
        <v>3805</v>
      </c>
      <c r="L1037" s="254" t="s">
        <v>276</v>
      </c>
      <c r="M1037" s="254" t="s">
        <v>276</v>
      </c>
      <c r="N1037" s="255" t="s">
        <v>4862</v>
      </c>
      <c r="O1037" s="255" t="s">
        <v>276</v>
      </c>
      <c r="P1037" s="255" t="s">
        <v>239</v>
      </c>
      <c r="Q1037" s="343" t="s">
        <v>276</v>
      </c>
      <c r="R1037" s="255" t="s">
        <v>705</v>
      </c>
      <c r="S1037" s="255" t="s">
        <v>276</v>
      </c>
      <c r="T1037" s="255" t="s">
        <v>276</v>
      </c>
      <c r="U1037" s="341" t="s">
        <v>1212</v>
      </c>
      <c r="V1037" s="254" t="s">
        <v>14</v>
      </c>
      <c r="W1037" s="254" t="s">
        <v>98</v>
      </c>
      <c r="X1037" s="255" t="s">
        <v>208</v>
      </c>
      <c r="Y1037" s="259">
        <v>19711</v>
      </c>
      <c r="Z1037" s="260">
        <v>19694</v>
      </c>
      <c r="AA1037" s="255" t="s">
        <v>276</v>
      </c>
      <c r="AB1037" s="255" t="s">
        <v>276</v>
      </c>
      <c r="AC1037" s="254">
        <v>14</v>
      </c>
      <c r="AD1037" s="254" t="s">
        <v>3921</v>
      </c>
      <c r="AE1037" s="254">
        <v>6</v>
      </c>
      <c r="AF1037" s="254" t="s">
        <v>3921</v>
      </c>
      <c r="AG1037" s="255" t="s">
        <v>4863</v>
      </c>
      <c r="AH1037" s="255" t="s">
        <v>2034</v>
      </c>
      <c r="AI1037" s="260">
        <v>19</v>
      </c>
      <c r="AJ1037" s="260">
        <v>12</v>
      </c>
      <c r="AK1037" s="259">
        <v>19711</v>
      </c>
      <c r="AL1037" s="260">
        <v>19694</v>
      </c>
      <c r="AM1037" s="260" t="s">
        <v>281</v>
      </c>
      <c r="AN1037" s="254" t="s">
        <v>276</v>
      </c>
      <c r="AO1037" s="261">
        <f t="shared" si="325"/>
        <v>0.96392877073715189</v>
      </c>
      <c r="AP1037" s="254" t="s">
        <v>276</v>
      </c>
      <c r="AQ1037" s="254" t="s">
        <v>276</v>
      </c>
      <c r="AR1037" s="254" t="s">
        <v>276</v>
      </c>
      <c r="AS1037" s="261">
        <f t="shared" si="326"/>
        <v>0.60932263633593986</v>
      </c>
      <c r="AT1037" s="254" t="s">
        <v>276</v>
      </c>
      <c r="AU1037" s="254" t="s">
        <v>276</v>
      </c>
      <c r="AV1037" s="254" t="s">
        <v>268</v>
      </c>
      <c r="AW1037" s="344" t="s">
        <v>276</v>
      </c>
      <c r="AX1037" s="344">
        <f t="shared" si="322"/>
        <v>1.5819677675747892</v>
      </c>
      <c r="AY1037" s="255" t="s">
        <v>276</v>
      </c>
      <c r="AZ1037" s="255" t="s">
        <v>276</v>
      </c>
      <c r="BA1037" s="255" t="s">
        <v>276</v>
      </c>
      <c r="BB1037" s="255" t="s">
        <v>282</v>
      </c>
      <c r="BC1037" s="255" t="s">
        <v>276</v>
      </c>
      <c r="BD1037" s="255" t="s">
        <v>276</v>
      </c>
      <c r="BE1037" s="255" t="s">
        <v>276</v>
      </c>
      <c r="BF1037" s="255" t="s">
        <v>1358</v>
      </c>
      <c r="BG1037" s="255"/>
      <c r="BH1037" s="9" t="s">
        <v>100</v>
      </c>
      <c r="BI1037" s="9" t="s">
        <v>100</v>
      </c>
      <c r="BJ1037" s="284"/>
      <c r="BN1037" s="284"/>
      <c r="BO1037" s="284"/>
    </row>
    <row r="1038" spans="1:67" s="285" customFormat="1" ht="104" hidden="1" x14ac:dyDescent="0.35">
      <c r="A1038" s="254">
        <v>4468</v>
      </c>
      <c r="B1038" s="254" t="s">
        <v>4736</v>
      </c>
      <c r="C1038" s="254" t="s">
        <v>4698</v>
      </c>
      <c r="D1038" s="255" t="s">
        <v>4864</v>
      </c>
      <c r="E1038" s="254" t="s">
        <v>35</v>
      </c>
      <c r="F1038" s="255" t="s">
        <v>131</v>
      </c>
      <c r="G1038" s="255" t="s">
        <v>130</v>
      </c>
      <c r="H1038" s="254" t="s">
        <v>225</v>
      </c>
      <c r="I1038" s="254" t="s">
        <v>98</v>
      </c>
      <c r="J1038" s="255" t="s">
        <v>31</v>
      </c>
      <c r="K1038" s="254" t="s">
        <v>3808</v>
      </c>
      <c r="L1038" s="254" t="s">
        <v>276</v>
      </c>
      <c r="M1038" s="254" t="s">
        <v>276</v>
      </c>
      <c r="N1038" s="255" t="s">
        <v>4862</v>
      </c>
      <c r="O1038" s="255" t="s">
        <v>276</v>
      </c>
      <c r="P1038" s="255" t="s">
        <v>239</v>
      </c>
      <c r="Q1038" s="343" t="s">
        <v>276</v>
      </c>
      <c r="R1038" s="255" t="s">
        <v>705</v>
      </c>
      <c r="S1038" s="255" t="s">
        <v>276</v>
      </c>
      <c r="T1038" s="255" t="s">
        <v>276</v>
      </c>
      <c r="U1038" s="341" t="s">
        <v>1212</v>
      </c>
      <c r="V1038" s="254" t="s">
        <v>14</v>
      </c>
      <c r="W1038" s="254" t="s">
        <v>98</v>
      </c>
      <c r="X1038" s="255" t="s">
        <v>208</v>
      </c>
      <c r="Y1038" s="259">
        <v>19711</v>
      </c>
      <c r="Z1038" s="260">
        <v>19694</v>
      </c>
      <c r="AA1038" s="255" t="s">
        <v>276</v>
      </c>
      <c r="AB1038" s="255" t="s">
        <v>276</v>
      </c>
      <c r="AC1038" s="254">
        <v>14</v>
      </c>
      <c r="AD1038" s="254" t="s">
        <v>3921</v>
      </c>
      <c r="AE1038" s="254">
        <v>6</v>
      </c>
      <c r="AF1038" s="254" t="s">
        <v>3921</v>
      </c>
      <c r="AG1038" s="255" t="s">
        <v>4865</v>
      </c>
      <c r="AH1038" s="255" t="s">
        <v>2034</v>
      </c>
      <c r="AI1038" s="260">
        <v>34</v>
      </c>
      <c r="AJ1038" s="260">
        <v>17</v>
      </c>
      <c r="AK1038" s="259">
        <v>19711</v>
      </c>
      <c r="AL1038" s="260">
        <v>19694</v>
      </c>
      <c r="AM1038" s="260" t="s">
        <v>281</v>
      </c>
      <c r="AN1038" s="254" t="s">
        <v>276</v>
      </c>
      <c r="AO1038" s="261">
        <f t="shared" si="325"/>
        <v>1.7249251686875349</v>
      </c>
      <c r="AP1038" s="254" t="s">
        <v>276</v>
      </c>
      <c r="AQ1038" s="254" t="s">
        <v>276</v>
      </c>
      <c r="AR1038" s="254" t="s">
        <v>276</v>
      </c>
      <c r="AS1038" s="261">
        <f t="shared" si="326"/>
        <v>0.86320706814258152</v>
      </c>
      <c r="AT1038" s="254" t="s">
        <v>276</v>
      </c>
      <c r="AU1038" s="254" t="s">
        <v>276</v>
      </c>
      <c r="AV1038" s="254" t="s">
        <v>268</v>
      </c>
      <c r="AW1038" s="344" t="s">
        <v>276</v>
      </c>
      <c r="AX1038" s="344">
        <f t="shared" si="322"/>
        <v>1.9982750748313125</v>
      </c>
      <c r="AY1038" s="255" t="s">
        <v>276</v>
      </c>
      <c r="AZ1038" s="255" t="s">
        <v>276</v>
      </c>
      <c r="BA1038" s="255" t="s">
        <v>276</v>
      </c>
      <c r="BB1038" s="255" t="s">
        <v>282</v>
      </c>
      <c r="BC1038" s="255" t="s">
        <v>276</v>
      </c>
      <c r="BD1038" s="255" t="s">
        <v>276</v>
      </c>
      <c r="BE1038" s="255" t="s">
        <v>276</v>
      </c>
      <c r="BF1038" s="255" t="s">
        <v>1358</v>
      </c>
      <c r="BG1038" s="255"/>
      <c r="BH1038" s="9" t="s">
        <v>100</v>
      </c>
      <c r="BI1038" s="9" t="s">
        <v>100</v>
      </c>
      <c r="BJ1038" s="284"/>
      <c r="BN1038" s="284"/>
      <c r="BO1038" s="284"/>
    </row>
    <row r="1039" spans="1:67" s="285" customFormat="1" ht="104" hidden="1" x14ac:dyDescent="0.35">
      <c r="A1039" s="254">
        <v>4468</v>
      </c>
      <c r="B1039" s="254" t="s">
        <v>4736</v>
      </c>
      <c r="C1039" s="254" t="s">
        <v>4698</v>
      </c>
      <c r="D1039" s="255" t="s">
        <v>4866</v>
      </c>
      <c r="E1039" s="254" t="s">
        <v>35</v>
      </c>
      <c r="F1039" s="255" t="s">
        <v>131</v>
      </c>
      <c r="G1039" s="255" t="s">
        <v>130</v>
      </c>
      <c r="H1039" s="254" t="s">
        <v>225</v>
      </c>
      <c r="I1039" s="254" t="s">
        <v>98</v>
      </c>
      <c r="J1039" s="255" t="s">
        <v>31</v>
      </c>
      <c r="K1039" s="254" t="s">
        <v>4867</v>
      </c>
      <c r="L1039" s="254" t="s">
        <v>276</v>
      </c>
      <c r="M1039" s="254" t="s">
        <v>276</v>
      </c>
      <c r="N1039" s="255" t="s">
        <v>4862</v>
      </c>
      <c r="O1039" s="255" t="s">
        <v>276</v>
      </c>
      <c r="P1039" s="255" t="s">
        <v>239</v>
      </c>
      <c r="Q1039" s="343" t="s">
        <v>276</v>
      </c>
      <c r="R1039" s="255" t="s">
        <v>705</v>
      </c>
      <c r="S1039" s="255" t="s">
        <v>276</v>
      </c>
      <c r="T1039" s="255" t="s">
        <v>276</v>
      </c>
      <c r="U1039" s="341" t="s">
        <v>1212</v>
      </c>
      <c r="V1039" s="254" t="s">
        <v>14</v>
      </c>
      <c r="W1039" s="254" t="s">
        <v>98</v>
      </c>
      <c r="X1039" s="255" t="s">
        <v>208</v>
      </c>
      <c r="Y1039" s="259">
        <v>19711</v>
      </c>
      <c r="Z1039" s="260">
        <v>19694</v>
      </c>
      <c r="AA1039" s="255" t="s">
        <v>276</v>
      </c>
      <c r="AB1039" s="255" t="s">
        <v>276</v>
      </c>
      <c r="AC1039" s="254">
        <v>14</v>
      </c>
      <c r="AD1039" s="254" t="s">
        <v>3921</v>
      </c>
      <c r="AE1039" s="254">
        <v>6</v>
      </c>
      <c r="AF1039" s="254" t="s">
        <v>3921</v>
      </c>
      <c r="AG1039" s="255" t="s">
        <v>4868</v>
      </c>
      <c r="AH1039" s="255" t="s">
        <v>2034</v>
      </c>
      <c r="AI1039" s="260">
        <v>46</v>
      </c>
      <c r="AJ1039" s="260">
        <v>36</v>
      </c>
      <c r="AK1039" s="259">
        <v>19711</v>
      </c>
      <c r="AL1039" s="260">
        <v>19694</v>
      </c>
      <c r="AM1039" s="260" t="s">
        <v>281</v>
      </c>
      <c r="AN1039" s="254" t="s">
        <v>276</v>
      </c>
      <c r="AO1039" s="261">
        <f t="shared" si="325"/>
        <v>2.3337222870478413</v>
      </c>
      <c r="AP1039" s="254" t="s">
        <v>276</v>
      </c>
      <c r="AQ1039" s="254" t="s">
        <v>276</v>
      </c>
      <c r="AR1039" s="254" t="s">
        <v>276</v>
      </c>
      <c r="AS1039" s="261">
        <f t="shared" si="326"/>
        <v>1.8279679090078196</v>
      </c>
      <c r="AT1039" s="254" t="s">
        <v>276</v>
      </c>
      <c r="AU1039" s="254" t="s">
        <v>276</v>
      </c>
      <c r="AV1039" s="254" t="s">
        <v>268</v>
      </c>
      <c r="AW1039" s="344" t="s">
        <v>276</v>
      </c>
      <c r="AX1039" s="344">
        <f t="shared" si="322"/>
        <v>1.2766757422533386</v>
      </c>
      <c r="AY1039" s="255" t="s">
        <v>276</v>
      </c>
      <c r="AZ1039" s="255" t="s">
        <v>276</v>
      </c>
      <c r="BA1039" s="255" t="s">
        <v>276</v>
      </c>
      <c r="BB1039" s="255" t="s">
        <v>282</v>
      </c>
      <c r="BC1039" s="255" t="s">
        <v>276</v>
      </c>
      <c r="BD1039" s="255" t="s">
        <v>276</v>
      </c>
      <c r="BE1039" s="255" t="s">
        <v>276</v>
      </c>
      <c r="BF1039" s="255" t="s">
        <v>1358</v>
      </c>
      <c r="BG1039" s="255"/>
      <c r="BH1039" s="9" t="s">
        <v>100</v>
      </c>
      <c r="BI1039" s="9" t="s">
        <v>100</v>
      </c>
      <c r="BJ1039" s="284"/>
      <c r="BN1039" s="284"/>
      <c r="BO1039" s="284"/>
    </row>
    <row r="1040" spans="1:67" s="285" customFormat="1" ht="104" hidden="1" x14ac:dyDescent="0.35">
      <c r="A1040" s="254">
        <v>4468</v>
      </c>
      <c r="B1040" s="254" t="s">
        <v>4736</v>
      </c>
      <c r="C1040" s="254" t="s">
        <v>4698</v>
      </c>
      <c r="D1040" s="255" t="s">
        <v>4869</v>
      </c>
      <c r="E1040" s="254" t="s">
        <v>35</v>
      </c>
      <c r="F1040" s="255" t="s">
        <v>131</v>
      </c>
      <c r="G1040" s="255" t="s">
        <v>130</v>
      </c>
      <c r="H1040" s="254" t="s">
        <v>225</v>
      </c>
      <c r="I1040" s="254" t="s">
        <v>98</v>
      </c>
      <c r="J1040" s="255" t="s">
        <v>31</v>
      </c>
      <c r="K1040" s="254" t="s">
        <v>4870</v>
      </c>
      <c r="L1040" s="254" t="s">
        <v>276</v>
      </c>
      <c r="M1040" s="254" t="s">
        <v>276</v>
      </c>
      <c r="N1040" s="255" t="s">
        <v>4862</v>
      </c>
      <c r="O1040" s="255" t="s">
        <v>276</v>
      </c>
      <c r="P1040" s="255" t="s">
        <v>239</v>
      </c>
      <c r="Q1040" s="343" t="s">
        <v>276</v>
      </c>
      <c r="R1040" s="255" t="s">
        <v>705</v>
      </c>
      <c r="S1040" s="255" t="s">
        <v>276</v>
      </c>
      <c r="T1040" s="255" t="s">
        <v>276</v>
      </c>
      <c r="U1040" s="341" t="s">
        <v>1212</v>
      </c>
      <c r="V1040" s="254" t="s">
        <v>14</v>
      </c>
      <c r="W1040" s="254" t="s">
        <v>98</v>
      </c>
      <c r="X1040" s="255" t="s">
        <v>208</v>
      </c>
      <c r="Y1040" s="259">
        <v>19711</v>
      </c>
      <c r="Z1040" s="260">
        <v>19694</v>
      </c>
      <c r="AA1040" s="255" t="s">
        <v>276</v>
      </c>
      <c r="AB1040" s="255" t="s">
        <v>276</v>
      </c>
      <c r="AC1040" s="254">
        <v>14</v>
      </c>
      <c r="AD1040" s="254" t="s">
        <v>3921</v>
      </c>
      <c r="AE1040" s="254">
        <v>6</v>
      </c>
      <c r="AF1040" s="254" t="s">
        <v>3921</v>
      </c>
      <c r="AG1040" s="255" t="s">
        <v>4871</v>
      </c>
      <c r="AH1040" s="255" t="s">
        <v>2034</v>
      </c>
      <c r="AI1040" s="260">
        <v>2</v>
      </c>
      <c r="AJ1040" s="260">
        <v>5</v>
      </c>
      <c r="AK1040" s="259">
        <v>19711</v>
      </c>
      <c r="AL1040" s="260">
        <v>19694</v>
      </c>
      <c r="AM1040" s="260" t="s">
        <v>281</v>
      </c>
      <c r="AN1040" s="254" t="s">
        <v>276</v>
      </c>
      <c r="AO1040" s="261">
        <f t="shared" si="325"/>
        <v>0.10146618639338441</v>
      </c>
      <c r="AP1040" s="254" t="s">
        <v>276</v>
      </c>
      <c r="AQ1040" s="254" t="s">
        <v>276</v>
      </c>
      <c r="AR1040" s="254" t="s">
        <v>276</v>
      </c>
      <c r="AS1040" s="261">
        <f t="shared" si="326"/>
        <v>0.25388443180664161</v>
      </c>
      <c r="AT1040" s="254" t="s">
        <v>276</v>
      </c>
      <c r="AU1040" s="254" t="s">
        <v>276</v>
      </c>
      <c r="AV1040" s="254" t="s">
        <v>268</v>
      </c>
      <c r="AW1040" s="344" t="s">
        <v>276</v>
      </c>
      <c r="AX1040" s="344">
        <f t="shared" si="322"/>
        <v>0.39965501496626255</v>
      </c>
      <c r="AY1040" s="255" t="s">
        <v>276</v>
      </c>
      <c r="AZ1040" s="255" t="s">
        <v>276</v>
      </c>
      <c r="BA1040" s="255" t="s">
        <v>276</v>
      </c>
      <c r="BB1040" s="255" t="s">
        <v>282</v>
      </c>
      <c r="BC1040" s="255" t="s">
        <v>276</v>
      </c>
      <c r="BD1040" s="255" t="s">
        <v>276</v>
      </c>
      <c r="BE1040" s="255" t="s">
        <v>276</v>
      </c>
      <c r="BF1040" s="255" t="s">
        <v>1358</v>
      </c>
      <c r="BG1040" s="255"/>
      <c r="BH1040" s="9" t="s">
        <v>100</v>
      </c>
      <c r="BI1040" s="9" t="s">
        <v>100</v>
      </c>
      <c r="BJ1040" s="284"/>
      <c r="BN1040" s="284"/>
      <c r="BO1040" s="284"/>
    </row>
    <row r="1041" spans="1:67" s="285" customFormat="1" ht="104" hidden="1" x14ac:dyDescent="0.35">
      <c r="A1041" s="254">
        <v>4468</v>
      </c>
      <c r="B1041" s="254" t="s">
        <v>4736</v>
      </c>
      <c r="C1041" s="254" t="s">
        <v>4698</v>
      </c>
      <c r="D1041" s="255" t="s">
        <v>4872</v>
      </c>
      <c r="E1041" s="254" t="s">
        <v>35</v>
      </c>
      <c r="F1041" s="255" t="s">
        <v>131</v>
      </c>
      <c r="G1041" s="255" t="s">
        <v>130</v>
      </c>
      <c r="H1041" s="254" t="s">
        <v>225</v>
      </c>
      <c r="I1041" s="254" t="s">
        <v>98</v>
      </c>
      <c r="J1041" s="255" t="s">
        <v>31</v>
      </c>
      <c r="K1041" s="254" t="s">
        <v>3824</v>
      </c>
      <c r="L1041" s="254" t="s">
        <v>276</v>
      </c>
      <c r="M1041" s="254" t="s">
        <v>276</v>
      </c>
      <c r="N1041" s="255" t="s">
        <v>4862</v>
      </c>
      <c r="O1041" s="255" t="s">
        <v>276</v>
      </c>
      <c r="P1041" s="255" t="s">
        <v>239</v>
      </c>
      <c r="Q1041" s="343" t="s">
        <v>276</v>
      </c>
      <c r="R1041" s="255" t="s">
        <v>705</v>
      </c>
      <c r="S1041" s="255" t="s">
        <v>276</v>
      </c>
      <c r="T1041" s="255" t="s">
        <v>276</v>
      </c>
      <c r="U1041" s="341" t="s">
        <v>1212</v>
      </c>
      <c r="V1041" s="254" t="s">
        <v>14</v>
      </c>
      <c r="W1041" s="254" t="s">
        <v>98</v>
      </c>
      <c r="X1041" s="255" t="s">
        <v>208</v>
      </c>
      <c r="Y1041" s="259">
        <v>19711</v>
      </c>
      <c r="Z1041" s="260">
        <v>19694</v>
      </c>
      <c r="AA1041" s="255" t="s">
        <v>276</v>
      </c>
      <c r="AB1041" s="255" t="s">
        <v>276</v>
      </c>
      <c r="AC1041" s="254">
        <v>14</v>
      </c>
      <c r="AD1041" s="254" t="s">
        <v>3921</v>
      </c>
      <c r="AE1041" s="254">
        <v>6</v>
      </c>
      <c r="AF1041" s="254" t="s">
        <v>3921</v>
      </c>
      <c r="AG1041" s="255" t="s">
        <v>4873</v>
      </c>
      <c r="AH1041" s="255" t="s">
        <v>2034</v>
      </c>
      <c r="AI1041" s="260">
        <f>17+19+34</f>
        <v>70</v>
      </c>
      <c r="AJ1041" s="260">
        <f>4+12+17</f>
        <v>33</v>
      </c>
      <c r="AK1041" s="259">
        <v>19711</v>
      </c>
      <c r="AL1041" s="260">
        <v>19694</v>
      </c>
      <c r="AM1041" s="260" t="s">
        <v>281</v>
      </c>
      <c r="AN1041" s="254" t="s">
        <v>276</v>
      </c>
      <c r="AO1041" s="261">
        <f t="shared" si="325"/>
        <v>3.5513165237684543</v>
      </c>
      <c r="AP1041" s="254" t="s">
        <v>276</v>
      </c>
      <c r="AQ1041" s="254" t="s">
        <v>276</v>
      </c>
      <c r="AR1041" s="254" t="s">
        <v>276</v>
      </c>
      <c r="AS1041" s="261">
        <f t="shared" si="326"/>
        <v>1.6756372499238346</v>
      </c>
      <c r="AT1041" s="254" t="s">
        <v>276</v>
      </c>
      <c r="AU1041" s="254" t="s">
        <v>276</v>
      </c>
      <c r="AV1041" s="254" t="s">
        <v>268</v>
      </c>
      <c r="AW1041" s="344" t="s">
        <v>276</v>
      </c>
      <c r="AX1041" s="344">
        <f t="shared" si="322"/>
        <v>2.1193826551241197</v>
      </c>
      <c r="AY1041" s="255" t="s">
        <v>276</v>
      </c>
      <c r="AZ1041" s="255" t="s">
        <v>276</v>
      </c>
      <c r="BA1041" s="255" t="s">
        <v>276</v>
      </c>
      <c r="BB1041" s="255" t="s">
        <v>282</v>
      </c>
      <c r="BC1041" s="255" t="s">
        <v>276</v>
      </c>
      <c r="BD1041" s="255" t="s">
        <v>276</v>
      </c>
      <c r="BE1041" s="255" t="s">
        <v>276</v>
      </c>
      <c r="BF1041" s="255" t="s">
        <v>1358</v>
      </c>
      <c r="BG1041" s="255"/>
      <c r="BH1041" s="9" t="s">
        <v>100</v>
      </c>
      <c r="BI1041" s="9" t="s">
        <v>100</v>
      </c>
      <c r="BJ1041" s="284"/>
      <c r="BN1041" s="284"/>
      <c r="BO1041" s="284"/>
    </row>
    <row r="1042" spans="1:67" s="285" customFormat="1" ht="104" hidden="1" x14ac:dyDescent="0.35">
      <c r="A1042" s="254">
        <v>4468</v>
      </c>
      <c r="B1042" s="254" t="s">
        <v>4736</v>
      </c>
      <c r="C1042" s="254" t="s">
        <v>4698</v>
      </c>
      <c r="D1042" s="255" t="s">
        <v>4874</v>
      </c>
      <c r="E1042" s="254" t="s">
        <v>35</v>
      </c>
      <c r="F1042" s="255" t="s">
        <v>131</v>
      </c>
      <c r="G1042" s="255" t="s">
        <v>130</v>
      </c>
      <c r="H1042" s="254" t="s">
        <v>225</v>
      </c>
      <c r="I1042" s="254" t="s">
        <v>98</v>
      </c>
      <c r="J1042" s="255" t="s">
        <v>31</v>
      </c>
      <c r="K1042" s="254" t="s">
        <v>3821</v>
      </c>
      <c r="L1042" s="254" t="s">
        <v>276</v>
      </c>
      <c r="M1042" s="254" t="s">
        <v>276</v>
      </c>
      <c r="N1042" s="255" t="s">
        <v>4862</v>
      </c>
      <c r="O1042" s="255" t="s">
        <v>276</v>
      </c>
      <c r="P1042" s="255" t="s">
        <v>239</v>
      </c>
      <c r="Q1042" s="343" t="s">
        <v>276</v>
      </c>
      <c r="R1042" s="255" t="s">
        <v>705</v>
      </c>
      <c r="S1042" s="255" t="s">
        <v>276</v>
      </c>
      <c r="T1042" s="255" t="s">
        <v>276</v>
      </c>
      <c r="U1042" s="341" t="s">
        <v>1212</v>
      </c>
      <c r="V1042" s="254" t="s">
        <v>14</v>
      </c>
      <c r="W1042" s="254" t="s">
        <v>98</v>
      </c>
      <c r="X1042" s="255" t="s">
        <v>208</v>
      </c>
      <c r="Y1042" s="259">
        <v>19711</v>
      </c>
      <c r="Z1042" s="260">
        <v>19694</v>
      </c>
      <c r="AA1042" s="255" t="s">
        <v>276</v>
      </c>
      <c r="AB1042" s="255" t="s">
        <v>276</v>
      </c>
      <c r="AC1042" s="254">
        <v>14</v>
      </c>
      <c r="AD1042" s="254" t="s">
        <v>3921</v>
      </c>
      <c r="AE1042" s="254">
        <v>6</v>
      </c>
      <c r="AF1042" s="254" t="s">
        <v>3921</v>
      </c>
      <c r="AG1042" s="255" t="s">
        <v>4875</v>
      </c>
      <c r="AH1042" s="255" t="s">
        <v>2034</v>
      </c>
      <c r="AI1042" s="260">
        <f>46+2</f>
        <v>48</v>
      </c>
      <c r="AJ1042" s="260">
        <f>36+5</f>
        <v>41</v>
      </c>
      <c r="AK1042" s="259">
        <v>19711</v>
      </c>
      <c r="AL1042" s="260">
        <v>19694</v>
      </c>
      <c r="AM1042" s="260" t="s">
        <v>281</v>
      </c>
      <c r="AN1042" s="254" t="s">
        <v>276</v>
      </c>
      <c r="AO1042" s="261">
        <f t="shared" si="325"/>
        <v>2.4351884734412259</v>
      </c>
      <c r="AP1042" s="254" t="s">
        <v>276</v>
      </c>
      <c r="AQ1042" s="254" t="s">
        <v>276</v>
      </c>
      <c r="AR1042" s="254" t="s">
        <v>276</v>
      </c>
      <c r="AS1042" s="261">
        <f t="shared" si="326"/>
        <v>2.0818523408144611</v>
      </c>
      <c r="AT1042" s="254" t="s">
        <v>276</v>
      </c>
      <c r="AU1042" s="254" t="s">
        <v>276</v>
      </c>
      <c r="AV1042" s="254" t="s">
        <v>268</v>
      </c>
      <c r="AW1042" s="344" t="s">
        <v>276</v>
      </c>
      <c r="AX1042" s="344">
        <f t="shared" si="322"/>
        <v>1.1697219950232074</v>
      </c>
      <c r="AY1042" s="255" t="s">
        <v>276</v>
      </c>
      <c r="AZ1042" s="255" t="s">
        <v>276</v>
      </c>
      <c r="BA1042" s="255" t="s">
        <v>276</v>
      </c>
      <c r="BB1042" s="255" t="s">
        <v>282</v>
      </c>
      <c r="BC1042" s="255" t="s">
        <v>276</v>
      </c>
      <c r="BD1042" s="255" t="s">
        <v>276</v>
      </c>
      <c r="BE1042" s="255" t="s">
        <v>276</v>
      </c>
      <c r="BF1042" s="255" t="s">
        <v>1358</v>
      </c>
      <c r="BG1042" s="255"/>
      <c r="BH1042" s="9" t="s">
        <v>100</v>
      </c>
      <c r="BI1042" s="9" t="s">
        <v>100</v>
      </c>
      <c r="BJ1042" s="284"/>
      <c r="BN1042" s="284"/>
      <c r="BO1042" s="284"/>
    </row>
    <row r="1043" spans="1:67" s="277" customFormat="1" ht="104" hidden="1" x14ac:dyDescent="0.35">
      <c r="A1043" s="244">
        <v>4468</v>
      </c>
      <c r="B1043" s="244" t="s">
        <v>4736</v>
      </c>
      <c r="C1043" s="244" t="s">
        <v>4698</v>
      </c>
      <c r="D1043" s="245" t="s">
        <v>4876</v>
      </c>
      <c r="E1043" s="244" t="s">
        <v>35</v>
      </c>
      <c r="F1043" s="245" t="s">
        <v>131</v>
      </c>
      <c r="G1043" s="245" t="s">
        <v>130</v>
      </c>
      <c r="H1043" s="244" t="s">
        <v>225</v>
      </c>
      <c r="I1043" s="244" t="s">
        <v>98</v>
      </c>
      <c r="J1043" s="245" t="s">
        <v>31</v>
      </c>
      <c r="K1043" s="244" t="s">
        <v>4858</v>
      </c>
      <c r="L1043" s="244" t="s">
        <v>276</v>
      </c>
      <c r="M1043" s="244" t="s">
        <v>276</v>
      </c>
      <c r="N1043" s="245" t="s">
        <v>4859</v>
      </c>
      <c r="O1043" s="245" t="s">
        <v>276</v>
      </c>
      <c r="P1043" s="245" t="s">
        <v>239</v>
      </c>
      <c r="Q1043" s="335" t="s">
        <v>276</v>
      </c>
      <c r="R1043" s="245" t="s">
        <v>728</v>
      </c>
      <c r="S1043" s="245" t="s">
        <v>276</v>
      </c>
      <c r="T1043" s="245" t="s">
        <v>276</v>
      </c>
      <c r="U1043" s="340" t="s">
        <v>4284</v>
      </c>
      <c r="V1043" s="244" t="s">
        <v>14</v>
      </c>
      <c r="W1043" s="244" t="s">
        <v>98</v>
      </c>
      <c r="X1043" s="245" t="s">
        <v>208</v>
      </c>
      <c r="Y1043" s="249">
        <v>19711</v>
      </c>
      <c r="Z1043" s="250">
        <v>19694</v>
      </c>
      <c r="AA1043" s="245" t="s">
        <v>276</v>
      </c>
      <c r="AB1043" s="245" t="s">
        <v>276</v>
      </c>
      <c r="AC1043" s="244">
        <f>14+21</f>
        <v>35</v>
      </c>
      <c r="AD1043" s="244" t="s">
        <v>3921</v>
      </c>
      <c r="AE1043" s="244">
        <f>6+24</f>
        <v>30</v>
      </c>
      <c r="AF1043" s="244" t="s">
        <v>3921</v>
      </c>
      <c r="AG1043" s="245" t="s">
        <v>4877</v>
      </c>
      <c r="AH1043" s="245" t="s">
        <v>2034</v>
      </c>
      <c r="AI1043" s="250">
        <f>17+36</f>
        <v>53</v>
      </c>
      <c r="AJ1043" s="250">
        <f>4+15</f>
        <v>19</v>
      </c>
      <c r="AK1043" s="249">
        <v>19711</v>
      </c>
      <c r="AL1043" s="250">
        <v>19694</v>
      </c>
      <c r="AM1043" s="250" t="s">
        <v>281</v>
      </c>
      <c r="AN1043" s="244" t="s">
        <v>276</v>
      </c>
      <c r="AO1043" s="251">
        <f t="shared" si="325"/>
        <v>2.6888539394246869</v>
      </c>
      <c r="AP1043" s="244" t="s">
        <v>276</v>
      </c>
      <c r="AQ1043" s="244" t="s">
        <v>276</v>
      </c>
      <c r="AR1043" s="244" t="s">
        <v>276</v>
      </c>
      <c r="AS1043" s="251">
        <f t="shared" si="326"/>
        <v>0.96476084086523817</v>
      </c>
      <c r="AT1043" s="244" t="s">
        <v>276</v>
      </c>
      <c r="AU1043" s="244" t="s">
        <v>276</v>
      </c>
      <c r="AV1043" s="244" t="s">
        <v>268</v>
      </c>
      <c r="AW1043" s="345" t="s">
        <v>276</v>
      </c>
      <c r="AX1043" s="345">
        <f t="shared" si="322"/>
        <v>2.7870678675278833</v>
      </c>
      <c r="AY1043" s="245" t="s">
        <v>276</v>
      </c>
      <c r="AZ1043" s="245" t="s">
        <v>276</v>
      </c>
      <c r="BA1043" s="245" t="s">
        <v>276</v>
      </c>
      <c r="BB1043" s="245" t="s">
        <v>282</v>
      </c>
      <c r="BC1043" s="245" t="s">
        <v>276</v>
      </c>
      <c r="BD1043" s="245" t="s">
        <v>276</v>
      </c>
      <c r="BE1043" s="245" t="s">
        <v>276</v>
      </c>
      <c r="BF1043" s="245" t="s">
        <v>1358</v>
      </c>
      <c r="BG1043" s="245"/>
      <c r="BH1043" s="9" t="s">
        <v>100</v>
      </c>
      <c r="BI1043" s="9" t="s">
        <v>100</v>
      </c>
      <c r="BJ1043" s="276"/>
      <c r="BN1043" s="276"/>
      <c r="BO1043" s="276"/>
    </row>
    <row r="1044" spans="1:67" s="277" customFormat="1" ht="104" hidden="1" x14ac:dyDescent="0.35">
      <c r="A1044" s="244">
        <v>4468</v>
      </c>
      <c r="B1044" s="244" t="s">
        <v>4736</v>
      </c>
      <c r="C1044" s="244" t="s">
        <v>4698</v>
      </c>
      <c r="D1044" s="245" t="s">
        <v>4878</v>
      </c>
      <c r="E1044" s="244" t="s">
        <v>35</v>
      </c>
      <c r="F1044" s="245" t="s">
        <v>131</v>
      </c>
      <c r="G1044" s="245" t="s">
        <v>130</v>
      </c>
      <c r="H1044" s="244" t="s">
        <v>225</v>
      </c>
      <c r="I1044" s="244" t="s">
        <v>98</v>
      </c>
      <c r="J1044" s="245" t="s">
        <v>31</v>
      </c>
      <c r="K1044" s="244" t="s">
        <v>3805</v>
      </c>
      <c r="L1044" s="244" t="s">
        <v>276</v>
      </c>
      <c r="M1044" s="244" t="s">
        <v>276</v>
      </c>
      <c r="N1044" s="245" t="s">
        <v>4862</v>
      </c>
      <c r="O1044" s="245" t="s">
        <v>276</v>
      </c>
      <c r="P1044" s="245" t="s">
        <v>239</v>
      </c>
      <c r="Q1044" s="335" t="s">
        <v>276</v>
      </c>
      <c r="R1044" s="245" t="s">
        <v>728</v>
      </c>
      <c r="S1044" s="245" t="s">
        <v>276</v>
      </c>
      <c r="T1044" s="245" t="s">
        <v>276</v>
      </c>
      <c r="U1044" s="340" t="s">
        <v>4284</v>
      </c>
      <c r="V1044" s="244" t="s">
        <v>14</v>
      </c>
      <c r="W1044" s="244" t="s">
        <v>98</v>
      </c>
      <c r="X1044" s="245" t="s">
        <v>208</v>
      </c>
      <c r="Y1044" s="249">
        <v>19711</v>
      </c>
      <c r="Z1044" s="250">
        <v>19694</v>
      </c>
      <c r="AA1044" s="245" t="s">
        <v>276</v>
      </c>
      <c r="AB1044" s="245" t="s">
        <v>276</v>
      </c>
      <c r="AC1044" s="244">
        <f t="shared" ref="AC1044:AC1049" si="327">14+21</f>
        <v>35</v>
      </c>
      <c r="AD1044" s="244" t="s">
        <v>3921</v>
      </c>
      <c r="AE1044" s="244">
        <f t="shared" ref="AE1044:AE1049" si="328">6+24</f>
        <v>30</v>
      </c>
      <c r="AF1044" s="244" t="s">
        <v>3921</v>
      </c>
      <c r="AG1044" s="245" t="s">
        <v>4879</v>
      </c>
      <c r="AH1044" s="245" t="s">
        <v>2034</v>
      </c>
      <c r="AI1044" s="250">
        <f>19+44</f>
        <v>63</v>
      </c>
      <c r="AJ1044" s="250">
        <f>12+37</f>
        <v>49</v>
      </c>
      <c r="AK1044" s="249">
        <v>19711</v>
      </c>
      <c r="AL1044" s="250">
        <v>19694</v>
      </c>
      <c r="AM1044" s="250" t="s">
        <v>281</v>
      </c>
      <c r="AN1044" s="244" t="s">
        <v>276</v>
      </c>
      <c r="AO1044" s="251">
        <f t="shared" si="325"/>
        <v>3.1961848713916088</v>
      </c>
      <c r="AP1044" s="244" t="s">
        <v>276</v>
      </c>
      <c r="AQ1044" s="244" t="s">
        <v>276</v>
      </c>
      <c r="AR1044" s="244" t="s">
        <v>276</v>
      </c>
      <c r="AS1044" s="251">
        <f t="shared" si="326"/>
        <v>2.4880674317050877</v>
      </c>
      <c r="AT1044" s="244" t="s">
        <v>276</v>
      </c>
      <c r="AU1044" s="244" t="s">
        <v>276</v>
      </c>
      <c r="AV1044" s="244" t="s">
        <v>268</v>
      </c>
      <c r="AW1044" s="345" t="s">
        <v>276</v>
      </c>
      <c r="AX1044" s="345">
        <f t="shared" si="322"/>
        <v>1.284605405248701</v>
      </c>
      <c r="AY1044" s="245" t="s">
        <v>276</v>
      </c>
      <c r="AZ1044" s="245" t="s">
        <v>276</v>
      </c>
      <c r="BA1044" s="245" t="s">
        <v>276</v>
      </c>
      <c r="BB1044" s="245" t="s">
        <v>282</v>
      </c>
      <c r="BC1044" s="245" t="s">
        <v>276</v>
      </c>
      <c r="BD1044" s="245" t="s">
        <v>276</v>
      </c>
      <c r="BE1044" s="245" t="s">
        <v>276</v>
      </c>
      <c r="BF1044" s="245" t="s">
        <v>1358</v>
      </c>
      <c r="BG1044" s="245"/>
      <c r="BH1044" s="9" t="s">
        <v>100</v>
      </c>
      <c r="BI1044" s="9" t="s">
        <v>100</v>
      </c>
      <c r="BJ1044" s="276"/>
      <c r="BN1044" s="276"/>
      <c r="BO1044" s="276"/>
    </row>
    <row r="1045" spans="1:67" s="277" customFormat="1" ht="104" hidden="1" x14ac:dyDescent="0.35">
      <c r="A1045" s="244">
        <v>4468</v>
      </c>
      <c r="B1045" s="244" t="s">
        <v>4736</v>
      </c>
      <c r="C1045" s="244" t="s">
        <v>4698</v>
      </c>
      <c r="D1045" s="245" t="s">
        <v>4880</v>
      </c>
      <c r="E1045" s="244" t="s">
        <v>35</v>
      </c>
      <c r="F1045" s="245" t="s">
        <v>131</v>
      </c>
      <c r="G1045" s="245" t="s">
        <v>130</v>
      </c>
      <c r="H1045" s="244" t="s">
        <v>225</v>
      </c>
      <c r="I1045" s="244" t="s">
        <v>98</v>
      </c>
      <c r="J1045" s="245" t="s">
        <v>31</v>
      </c>
      <c r="K1045" s="244" t="s">
        <v>3808</v>
      </c>
      <c r="L1045" s="244" t="s">
        <v>276</v>
      </c>
      <c r="M1045" s="244" t="s">
        <v>276</v>
      </c>
      <c r="N1045" s="245" t="s">
        <v>4862</v>
      </c>
      <c r="O1045" s="245" t="s">
        <v>276</v>
      </c>
      <c r="P1045" s="245" t="s">
        <v>239</v>
      </c>
      <c r="Q1045" s="335" t="s">
        <v>276</v>
      </c>
      <c r="R1045" s="245" t="s">
        <v>728</v>
      </c>
      <c r="S1045" s="245" t="s">
        <v>276</v>
      </c>
      <c r="T1045" s="245" t="s">
        <v>276</v>
      </c>
      <c r="U1045" s="340" t="s">
        <v>4284</v>
      </c>
      <c r="V1045" s="244" t="s">
        <v>14</v>
      </c>
      <c r="W1045" s="244" t="s">
        <v>98</v>
      </c>
      <c r="X1045" s="245" t="s">
        <v>208</v>
      </c>
      <c r="Y1045" s="249">
        <v>19711</v>
      </c>
      <c r="Z1045" s="250">
        <v>19694</v>
      </c>
      <c r="AA1045" s="245" t="s">
        <v>276</v>
      </c>
      <c r="AB1045" s="245" t="s">
        <v>276</v>
      </c>
      <c r="AC1045" s="244">
        <f t="shared" si="327"/>
        <v>35</v>
      </c>
      <c r="AD1045" s="244" t="s">
        <v>3921</v>
      </c>
      <c r="AE1045" s="244">
        <f t="shared" si="328"/>
        <v>30</v>
      </c>
      <c r="AF1045" s="244" t="s">
        <v>3921</v>
      </c>
      <c r="AG1045" s="245" t="s">
        <v>4881</v>
      </c>
      <c r="AH1045" s="245" t="s">
        <v>2034</v>
      </c>
      <c r="AI1045" s="250">
        <f>34+50</f>
        <v>84</v>
      </c>
      <c r="AJ1045" s="250">
        <f>17+32</f>
        <v>49</v>
      </c>
      <c r="AK1045" s="249">
        <v>19711</v>
      </c>
      <c r="AL1045" s="250">
        <v>19694</v>
      </c>
      <c r="AM1045" s="250" t="s">
        <v>281</v>
      </c>
      <c r="AN1045" s="244" t="s">
        <v>276</v>
      </c>
      <c r="AO1045" s="251">
        <f t="shared" si="325"/>
        <v>4.2615798285221453</v>
      </c>
      <c r="AP1045" s="244" t="s">
        <v>276</v>
      </c>
      <c r="AQ1045" s="244" t="s">
        <v>276</v>
      </c>
      <c r="AR1045" s="244" t="s">
        <v>276</v>
      </c>
      <c r="AS1045" s="251">
        <f t="shared" si="326"/>
        <v>2.4880674317050877</v>
      </c>
      <c r="AT1045" s="244" t="s">
        <v>276</v>
      </c>
      <c r="AU1045" s="244" t="s">
        <v>276</v>
      </c>
      <c r="AV1045" s="244" t="s">
        <v>268</v>
      </c>
      <c r="AW1045" s="345" t="s">
        <v>276</v>
      </c>
      <c r="AX1045" s="345">
        <f t="shared" si="322"/>
        <v>1.7128072069982681</v>
      </c>
      <c r="AY1045" s="245" t="s">
        <v>276</v>
      </c>
      <c r="AZ1045" s="245" t="s">
        <v>276</v>
      </c>
      <c r="BA1045" s="245" t="s">
        <v>276</v>
      </c>
      <c r="BB1045" s="245" t="s">
        <v>282</v>
      </c>
      <c r="BC1045" s="245" t="s">
        <v>276</v>
      </c>
      <c r="BD1045" s="245" t="s">
        <v>276</v>
      </c>
      <c r="BE1045" s="245" t="s">
        <v>276</v>
      </c>
      <c r="BF1045" s="245" t="s">
        <v>1358</v>
      </c>
      <c r="BG1045" s="245"/>
      <c r="BH1045" s="9" t="s">
        <v>100</v>
      </c>
      <c r="BI1045" s="9" t="s">
        <v>100</v>
      </c>
      <c r="BJ1045" s="276"/>
      <c r="BN1045" s="276"/>
      <c r="BO1045" s="276"/>
    </row>
    <row r="1046" spans="1:67" s="277" customFormat="1" ht="104" hidden="1" x14ac:dyDescent="0.35">
      <c r="A1046" s="244">
        <v>4468</v>
      </c>
      <c r="B1046" s="244" t="s">
        <v>4736</v>
      </c>
      <c r="C1046" s="244" t="s">
        <v>4698</v>
      </c>
      <c r="D1046" s="245" t="s">
        <v>4882</v>
      </c>
      <c r="E1046" s="244" t="s">
        <v>35</v>
      </c>
      <c r="F1046" s="245" t="s">
        <v>131</v>
      </c>
      <c r="G1046" s="245" t="s">
        <v>130</v>
      </c>
      <c r="H1046" s="244" t="s">
        <v>225</v>
      </c>
      <c r="I1046" s="244" t="s">
        <v>98</v>
      </c>
      <c r="J1046" s="245" t="s">
        <v>31</v>
      </c>
      <c r="K1046" s="244" t="s">
        <v>4867</v>
      </c>
      <c r="L1046" s="244" t="s">
        <v>276</v>
      </c>
      <c r="M1046" s="244" t="s">
        <v>276</v>
      </c>
      <c r="N1046" s="245" t="s">
        <v>4862</v>
      </c>
      <c r="O1046" s="245" t="s">
        <v>276</v>
      </c>
      <c r="P1046" s="245" t="s">
        <v>239</v>
      </c>
      <c r="Q1046" s="335" t="s">
        <v>276</v>
      </c>
      <c r="R1046" s="245" t="s">
        <v>728</v>
      </c>
      <c r="S1046" s="245" t="s">
        <v>276</v>
      </c>
      <c r="T1046" s="245" t="s">
        <v>276</v>
      </c>
      <c r="U1046" s="340" t="s">
        <v>4284</v>
      </c>
      <c r="V1046" s="244" t="s">
        <v>14</v>
      </c>
      <c r="W1046" s="244" t="s">
        <v>98</v>
      </c>
      <c r="X1046" s="245" t="s">
        <v>208</v>
      </c>
      <c r="Y1046" s="249">
        <v>19711</v>
      </c>
      <c r="Z1046" s="250">
        <v>19694</v>
      </c>
      <c r="AA1046" s="245" t="s">
        <v>276</v>
      </c>
      <c r="AB1046" s="245" t="s">
        <v>276</v>
      </c>
      <c r="AC1046" s="244">
        <f t="shared" si="327"/>
        <v>35</v>
      </c>
      <c r="AD1046" s="244" t="s">
        <v>3921</v>
      </c>
      <c r="AE1046" s="244">
        <f t="shared" si="328"/>
        <v>30</v>
      </c>
      <c r="AF1046" s="244" t="s">
        <v>3921</v>
      </c>
      <c r="AG1046" s="245" t="s">
        <v>4883</v>
      </c>
      <c r="AH1046" s="245" t="s">
        <v>2034</v>
      </c>
      <c r="AI1046" s="250">
        <f>46+53</f>
        <v>99</v>
      </c>
      <c r="AJ1046" s="250">
        <f>36+80</f>
        <v>116</v>
      </c>
      <c r="AK1046" s="249">
        <v>19711</v>
      </c>
      <c r="AL1046" s="250">
        <v>19694</v>
      </c>
      <c r="AM1046" s="250" t="s">
        <v>281</v>
      </c>
      <c r="AN1046" s="244" t="s">
        <v>276</v>
      </c>
      <c r="AO1046" s="251">
        <f t="shared" si="325"/>
        <v>5.0225762264725278</v>
      </c>
      <c r="AP1046" s="244" t="s">
        <v>276</v>
      </c>
      <c r="AQ1046" s="244" t="s">
        <v>276</v>
      </c>
      <c r="AR1046" s="244" t="s">
        <v>276</v>
      </c>
      <c r="AS1046" s="251">
        <f t="shared" si="326"/>
        <v>5.8901188179140851</v>
      </c>
      <c r="AT1046" s="244" t="s">
        <v>276</v>
      </c>
      <c r="AU1046" s="244" t="s">
        <v>276</v>
      </c>
      <c r="AV1046" s="244" t="s">
        <v>268</v>
      </c>
      <c r="AW1046" s="345" t="s">
        <v>276</v>
      </c>
      <c r="AX1046" s="345">
        <f t="shared" si="322"/>
        <v>0.85271220865646524</v>
      </c>
      <c r="AY1046" s="245" t="s">
        <v>276</v>
      </c>
      <c r="AZ1046" s="245" t="s">
        <v>276</v>
      </c>
      <c r="BA1046" s="245" t="s">
        <v>276</v>
      </c>
      <c r="BB1046" s="245" t="s">
        <v>282</v>
      </c>
      <c r="BC1046" s="245" t="s">
        <v>276</v>
      </c>
      <c r="BD1046" s="245" t="s">
        <v>276</v>
      </c>
      <c r="BE1046" s="245" t="s">
        <v>276</v>
      </c>
      <c r="BF1046" s="245" t="s">
        <v>1358</v>
      </c>
      <c r="BG1046" s="245"/>
      <c r="BH1046" s="9" t="s">
        <v>100</v>
      </c>
      <c r="BI1046" s="9" t="s">
        <v>100</v>
      </c>
      <c r="BJ1046" s="276"/>
      <c r="BN1046" s="276"/>
      <c r="BO1046" s="276"/>
    </row>
    <row r="1047" spans="1:67" s="277" customFormat="1" ht="104" hidden="1" x14ac:dyDescent="0.35">
      <c r="A1047" s="244">
        <v>4468</v>
      </c>
      <c r="B1047" s="244" t="s">
        <v>4736</v>
      </c>
      <c r="C1047" s="244" t="s">
        <v>4698</v>
      </c>
      <c r="D1047" s="245" t="s">
        <v>4884</v>
      </c>
      <c r="E1047" s="244" t="s">
        <v>35</v>
      </c>
      <c r="F1047" s="245" t="s">
        <v>131</v>
      </c>
      <c r="G1047" s="245" t="s">
        <v>130</v>
      </c>
      <c r="H1047" s="244" t="s">
        <v>225</v>
      </c>
      <c r="I1047" s="244" t="s">
        <v>98</v>
      </c>
      <c r="J1047" s="245" t="s">
        <v>31</v>
      </c>
      <c r="K1047" s="244" t="s">
        <v>4870</v>
      </c>
      <c r="L1047" s="244" t="s">
        <v>276</v>
      </c>
      <c r="M1047" s="244" t="s">
        <v>276</v>
      </c>
      <c r="N1047" s="245" t="s">
        <v>4862</v>
      </c>
      <c r="O1047" s="245" t="s">
        <v>276</v>
      </c>
      <c r="P1047" s="245" t="s">
        <v>239</v>
      </c>
      <c r="Q1047" s="335" t="s">
        <v>276</v>
      </c>
      <c r="R1047" s="245" t="s">
        <v>728</v>
      </c>
      <c r="S1047" s="245" t="s">
        <v>276</v>
      </c>
      <c r="T1047" s="245" t="s">
        <v>276</v>
      </c>
      <c r="U1047" s="340" t="s">
        <v>4284</v>
      </c>
      <c r="V1047" s="244" t="s">
        <v>14</v>
      </c>
      <c r="W1047" s="244" t="s">
        <v>98</v>
      </c>
      <c r="X1047" s="245" t="s">
        <v>208</v>
      </c>
      <c r="Y1047" s="249">
        <v>19711</v>
      </c>
      <c r="Z1047" s="250">
        <v>19694</v>
      </c>
      <c r="AA1047" s="245" t="s">
        <v>276</v>
      </c>
      <c r="AB1047" s="245" t="s">
        <v>276</v>
      </c>
      <c r="AC1047" s="244">
        <f t="shared" si="327"/>
        <v>35</v>
      </c>
      <c r="AD1047" s="244" t="s">
        <v>3921</v>
      </c>
      <c r="AE1047" s="244">
        <f t="shared" si="328"/>
        <v>30</v>
      </c>
      <c r="AF1047" s="244" t="s">
        <v>3921</v>
      </c>
      <c r="AG1047" s="245" t="s">
        <v>4885</v>
      </c>
      <c r="AH1047" s="245" t="s">
        <v>2034</v>
      </c>
      <c r="AI1047" s="250">
        <f>2+13</f>
        <v>15</v>
      </c>
      <c r="AJ1047" s="250">
        <f>5+15</f>
        <v>20</v>
      </c>
      <c r="AK1047" s="249">
        <v>19711</v>
      </c>
      <c r="AL1047" s="250">
        <v>19694</v>
      </c>
      <c r="AM1047" s="250" t="s">
        <v>281</v>
      </c>
      <c r="AN1047" s="244" t="s">
        <v>276</v>
      </c>
      <c r="AO1047" s="251">
        <f t="shared" si="325"/>
        <v>0.76099639795038299</v>
      </c>
      <c r="AP1047" s="244" t="s">
        <v>276</v>
      </c>
      <c r="AQ1047" s="244" t="s">
        <v>276</v>
      </c>
      <c r="AR1047" s="244" t="s">
        <v>276</v>
      </c>
      <c r="AS1047" s="251">
        <f t="shared" si="326"/>
        <v>1.0155377272265664</v>
      </c>
      <c r="AT1047" s="244" t="s">
        <v>276</v>
      </c>
      <c r="AU1047" s="244" t="s">
        <v>276</v>
      </c>
      <c r="AV1047" s="244" t="s">
        <v>268</v>
      </c>
      <c r="AW1047" s="345" t="s">
        <v>276</v>
      </c>
      <c r="AX1047" s="345">
        <f t="shared" si="322"/>
        <v>0.74935315306174211</v>
      </c>
      <c r="AY1047" s="245" t="s">
        <v>276</v>
      </c>
      <c r="AZ1047" s="245" t="s">
        <v>276</v>
      </c>
      <c r="BA1047" s="245" t="s">
        <v>276</v>
      </c>
      <c r="BB1047" s="245" t="s">
        <v>282</v>
      </c>
      <c r="BC1047" s="245" t="s">
        <v>276</v>
      </c>
      <c r="BD1047" s="245" t="s">
        <v>276</v>
      </c>
      <c r="BE1047" s="245" t="s">
        <v>276</v>
      </c>
      <c r="BF1047" s="245" t="s">
        <v>1358</v>
      </c>
      <c r="BG1047" s="245"/>
      <c r="BH1047" s="9" t="s">
        <v>100</v>
      </c>
      <c r="BI1047" s="9" t="s">
        <v>100</v>
      </c>
      <c r="BJ1047" s="276"/>
      <c r="BN1047" s="276"/>
      <c r="BO1047" s="276"/>
    </row>
    <row r="1048" spans="1:67" s="277" customFormat="1" ht="104" hidden="1" x14ac:dyDescent="0.35">
      <c r="A1048" s="244">
        <v>4468</v>
      </c>
      <c r="B1048" s="244" t="s">
        <v>4736</v>
      </c>
      <c r="C1048" s="244" t="s">
        <v>4698</v>
      </c>
      <c r="D1048" s="245" t="s">
        <v>4886</v>
      </c>
      <c r="E1048" s="244" t="s">
        <v>35</v>
      </c>
      <c r="F1048" s="245" t="s">
        <v>131</v>
      </c>
      <c r="G1048" s="245" t="s">
        <v>130</v>
      </c>
      <c r="H1048" s="244" t="s">
        <v>225</v>
      </c>
      <c r="I1048" s="244" t="s">
        <v>98</v>
      </c>
      <c r="J1048" s="245" t="s">
        <v>31</v>
      </c>
      <c r="K1048" s="244" t="s">
        <v>3824</v>
      </c>
      <c r="L1048" s="244" t="s">
        <v>276</v>
      </c>
      <c r="M1048" s="244" t="s">
        <v>276</v>
      </c>
      <c r="N1048" s="245" t="s">
        <v>4862</v>
      </c>
      <c r="O1048" s="245" t="s">
        <v>276</v>
      </c>
      <c r="P1048" s="245" t="s">
        <v>239</v>
      </c>
      <c r="Q1048" s="335" t="s">
        <v>276</v>
      </c>
      <c r="R1048" s="245" t="s">
        <v>728</v>
      </c>
      <c r="S1048" s="245" t="s">
        <v>276</v>
      </c>
      <c r="T1048" s="245" t="s">
        <v>276</v>
      </c>
      <c r="U1048" s="340" t="s">
        <v>4284</v>
      </c>
      <c r="V1048" s="244" t="s">
        <v>14</v>
      </c>
      <c r="W1048" s="244" t="s">
        <v>98</v>
      </c>
      <c r="X1048" s="245" t="s">
        <v>208</v>
      </c>
      <c r="Y1048" s="249">
        <v>19711</v>
      </c>
      <c r="Z1048" s="250">
        <v>19694</v>
      </c>
      <c r="AA1048" s="245" t="s">
        <v>276</v>
      </c>
      <c r="AB1048" s="245" t="s">
        <v>276</v>
      </c>
      <c r="AC1048" s="244">
        <f t="shared" si="327"/>
        <v>35</v>
      </c>
      <c r="AD1048" s="244" t="s">
        <v>3921</v>
      </c>
      <c r="AE1048" s="244">
        <f t="shared" si="328"/>
        <v>30</v>
      </c>
      <c r="AF1048" s="244" t="s">
        <v>3921</v>
      </c>
      <c r="AG1048" s="245" t="s">
        <v>4887</v>
      </c>
      <c r="AH1048" s="245" t="s">
        <v>2034</v>
      </c>
      <c r="AI1048" s="250">
        <f>53+63+84</f>
        <v>200</v>
      </c>
      <c r="AJ1048" s="250">
        <f>19+49+49</f>
        <v>117</v>
      </c>
      <c r="AK1048" s="249">
        <v>19711</v>
      </c>
      <c r="AL1048" s="250">
        <v>19694</v>
      </c>
      <c r="AM1048" s="250" t="s">
        <v>281</v>
      </c>
      <c r="AN1048" s="244" t="s">
        <v>276</v>
      </c>
      <c r="AO1048" s="251">
        <f t="shared" si="325"/>
        <v>10.14661863933844</v>
      </c>
      <c r="AP1048" s="244" t="s">
        <v>276</v>
      </c>
      <c r="AQ1048" s="244" t="s">
        <v>276</v>
      </c>
      <c r="AR1048" s="244" t="s">
        <v>276</v>
      </c>
      <c r="AS1048" s="251">
        <f t="shared" si="326"/>
        <v>5.9408957042754142</v>
      </c>
      <c r="AT1048" s="244" t="s">
        <v>276</v>
      </c>
      <c r="AU1048" s="244" t="s">
        <v>276</v>
      </c>
      <c r="AV1048" s="244" t="s">
        <v>268</v>
      </c>
      <c r="AW1048" s="345" t="s">
        <v>276</v>
      </c>
      <c r="AX1048" s="345">
        <f t="shared" si="322"/>
        <v>1.707927414385737</v>
      </c>
      <c r="AY1048" s="245" t="s">
        <v>276</v>
      </c>
      <c r="AZ1048" s="245" t="s">
        <v>276</v>
      </c>
      <c r="BA1048" s="245" t="s">
        <v>276</v>
      </c>
      <c r="BB1048" s="245" t="s">
        <v>282</v>
      </c>
      <c r="BC1048" s="245" t="s">
        <v>276</v>
      </c>
      <c r="BD1048" s="245" t="s">
        <v>276</v>
      </c>
      <c r="BE1048" s="245" t="s">
        <v>276</v>
      </c>
      <c r="BF1048" s="245" t="s">
        <v>1358</v>
      </c>
      <c r="BG1048" s="245"/>
      <c r="BH1048" s="9" t="s">
        <v>100</v>
      </c>
      <c r="BI1048" s="9" t="s">
        <v>100</v>
      </c>
      <c r="BJ1048" s="276"/>
      <c r="BN1048" s="276"/>
      <c r="BO1048" s="276"/>
    </row>
    <row r="1049" spans="1:67" s="277" customFormat="1" ht="104" hidden="1" x14ac:dyDescent="0.35">
      <c r="A1049" s="244">
        <v>4468</v>
      </c>
      <c r="B1049" s="244" t="s">
        <v>4736</v>
      </c>
      <c r="C1049" s="244" t="s">
        <v>4698</v>
      </c>
      <c r="D1049" s="245" t="s">
        <v>4888</v>
      </c>
      <c r="E1049" s="244" t="s">
        <v>35</v>
      </c>
      <c r="F1049" s="245" t="s">
        <v>131</v>
      </c>
      <c r="G1049" s="245" t="s">
        <v>130</v>
      </c>
      <c r="H1049" s="244" t="s">
        <v>225</v>
      </c>
      <c r="I1049" s="244" t="s">
        <v>98</v>
      </c>
      <c r="J1049" s="245" t="s">
        <v>31</v>
      </c>
      <c r="K1049" s="244" t="s">
        <v>3821</v>
      </c>
      <c r="L1049" s="244" t="s">
        <v>276</v>
      </c>
      <c r="M1049" s="244" t="s">
        <v>276</v>
      </c>
      <c r="N1049" s="245" t="s">
        <v>4862</v>
      </c>
      <c r="O1049" s="245" t="s">
        <v>276</v>
      </c>
      <c r="P1049" s="245" t="s">
        <v>239</v>
      </c>
      <c r="Q1049" s="335" t="s">
        <v>276</v>
      </c>
      <c r="R1049" s="245" t="s">
        <v>728</v>
      </c>
      <c r="S1049" s="245" t="s">
        <v>276</v>
      </c>
      <c r="T1049" s="245" t="s">
        <v>276</v>
      </c>
      <c r="U1049" s="340" t="s">
        <v>4284</v>
      </c>
      <c r="V1049" s="244" t="s">
        <v>14</v>
      </c>
      <c r="W1049" s="244" t="s">
        <v>98</v>
      </c>
      <c r="X1049" s="245" t="s">
        <v>208</v>
      </c>
      <c r="Y1049" s="249">
        <v>19711</v>
      </c>
      <c r="Z1049" s="250">
        <v>19694</v>
      </c>
      <c r="AA1049" s="245" t="s">
        <v>276</v>
      </c>
      <c r="AB1049" s="245" t="s">
        <v>276</v>
      </c>
      <c r="AC1049" s="244">
        <f t="shared" si="327"/>
        <v>35</v>
      </c>
      <c r="AD1049" s="244" t="s">
        <v>3921</v>
      </c>
      <c r="AE1049" s="244">
        <f t="shared" si="328"/>
        <v>30</v>
      </c>
      <c r="AF1049" s="244" t="s">
        <v>3921</v>
      </c>
      <c r="AG1049" s="245" t="s">
        <v>4889</v>
      </c>
      <c r="AH1049" s="245" t="s">
        <v>2034</v>
      </c>
      <c r="AI1049" s="250">
        <f>99+15</f>
        <v>114</v>
      </c>
      <c r="AJ1049" s="250">
        <f>116+20</f>
        <v>136</v>
      </c>
      <c r="AK1049" s="249">
        <v>19711</v>
      </c>
      <c r="AL1049" s="250">
        <v>19694</v>
      </c>
      <c r="AM1049" s="250" t="s">
        <v>281</v>
      </c>
      <c r="AN1049" s="244" t="s">
        <v>276</v>
      </c>
      <c r="AO1049" s="251">
        <f t="shared" si="325"/>
        <v>5.7835726244229111</v>
      </c>
      <c r="AP1049" s="244" t="s">
        <v>276</v>
      </c>
      <c r="AQ1049" s="244" t="s">
        <v>276</v>
      </c>
      <c r="AR1049" s="244" t="s">
        <v>276</v>
      </c>
      <c r="AS1049" s="251">
        <f t="shared" si="326"/>
        <v>6.9056565451406522</v>
      </c>
      <c r="AT1049" s="244" t="s">
        <v>276</v>
      </c>
      <c r="AU1049" s="244" t="s">
        <v>276</v>
      </c>
      <c r="AV1049" s="244" t="s">
        <v>268</v>
      </c>
      <c r="AW1049" s="345" t="s">
        <v>276</v>
      </c>
      <c r="AX1049" s="345">
        <f t="shared" si="322"/>
        <v>0.83751234753959414</v>
      </c>
      <c r="AY1049" s="245" t="s">
        <v>276</v>
      </c>
      <c r="AZ1049" s="245" t="s">
        <v>276</v>
      </c>
      <c r="BA1049" s="245" t="s">
        <v>276</v>
      </c>
      <c r="BB1049" s="245" t="s">
        <v>282</v>
      </c>
      <c r="BC1049" s="245" t="s">
        <v>276</v>
      </c>
      <c r="BD1049" s="245" t="s">
        <v>276</v>
      </c>
      <c r="BE1049" s="245" t="s">
        <v>276</v>
      </c>
      <c r="BF1049" s="245" t="s">
        <v>1358</v>
      </c>
      <c r="BG1049" s="245"/>
      <c r="BH1049" s="9" t="s">
        <v>100</v>
      </c>
      <c r="BI1049" s="9" t="s">
        <v>100</v>
      </c>
      <c r="BJ1049" s="276"/>
      <c r="BN1049" s="276"/>
      <c r="BO1049" s="276"/>
    </row>
    <row r="1050" spans="1:67" s="285" customFormat="1" ht="104" hidden="1" x14ac:dyDescent="0.35">
      <c r="A1050" s="254">
        <v>4468</v>
      </c>
      <c r="B1050" s="254" t="s">
        <v>4736</v>
      </c>
      <c r="C1050" s="254" t="s">
        <v>4698</v>
      </c>
      <c r="D1050" s="255" t="s">
        <v>4890</v>
      </c>
      <c r="E1050" s="254" t="s">
        <v>35</v>
      </c>
      <c r="F1050" s="255" t="s">
        <v>131</v>
      </c>
      <c r="G1050" s="255" t="s">
        <v>130</v>
      </c>
      <c r="H1050" s="254" t="s">
        <v>225</v>
      </c>
      <c r="I1050" s="254" t="s">
        <v>98</v>
      </c>
      <c r="J1050" s="255" t="s">
        <v>31</v>
      </c>
      <c r="K1050" s="254" t="s">
        <v>4858</v>
      </c>
      <c r="L1050" s="254" t="s">
        <v>276</v>
      </c>
      <c r="M1050" s="254" t="s">
        <v>276</v>
      </c>
      <c r="N1050" s="255" t="s">
        <v>4859</v>
      </c>
      <c r="O1050" s="255" t="s">
        <v>276</v>
      </c>
      <c r="P1050" s="255" t="s">
        <v>239</v>
      </c>
      <c r="Q1050" s="343" t="s">
        <v>276</v>
      </c>
      <c r="R1050" s="255" t="s">
        <v>752</v>
      </c>
      <c r="S1050" s="255" t="s">
        <v>276</v>
      </c>
      <c r="T1050" s="255" t="s">
        <v>276</v>
      </c>
      <c r="U1050" s="341" t="s">
        <v>4284</v>
      </c>
      <c r="V1050" s="254" t="s">
        <v>14</v>
      </c>
      <c r="W1050" s="254" t="s">
        <v>98</v>
      </c>
      <c r="X1050" s="255" t="s">
        <v>208</v>
      </c>
      <c r="Y1050" s="259">
        <v>19711</v>
      </c>
      <c r="Z1050" s="260">
        <v>19694</v>
      </c>
      <c r="AA1050" s="255" t="s">
        <v>276</v>
      </c>
      <c r="AB1050" s="255" t="s">
        <v>276</v>
      </c>
      <c r="AC1050" s="254">
        <v>82</v>
      </c>
      <c r="AD1050" s="254" t="s">
        <v>3921</v>
      </c>
      <c r="AE1050" s="254">
        <v>105</v>
      </c>
      <c r="AF1050" s="254" t="s">
        <v>3921</v>
      </c>
      <c r="AG1050" s="255" t="s">
        <v>4891</v>
      </c>
      <c r="AH1050" s="255" t="s">
        <v>2034</v>
      </c>
      <c r="AI1050" s="260">
        <v>75</v>
      </c>
      <c r="AJ1050" s="260">
        <v>50</v>
      </c>
      <c r="AK1050" s="259">
        <v>19711</v>
      </c>
      <c r="AL1050" s="260">
        <v>19694</v>
      </c>
      <c r="AM1050" s="260" t="s">
        <v>281</v>
      </c>
      <c r="AN1050" s="254" t="s">
        <v>276</v>
      </c>
      <c r="AO1050" s="261">
        <f t="shared" si="325"/>
        <v>3.8049819897519153</v>
      </c>
      <c r="AP1050" s="254" t="s">
        <v>276</v>
      </c>
      <c r="AQ1050" s="254" t="s">
        <v>276</v>
      </c>
      <c r="AR1050" s="254" t="s">
        <v>276</v>
      </c>
      <c r="AS1050" s="261">
        <f t="shared" si="326"/>
        <v>2.538844318066416</v>
      </c>
      <c r="AT1050" s="254" t="s">
        <v>276</v>
      </c>
      <c r="AU1050" s="254" t="s">
        <v>276</v>
      </c>
      <c r="AV1050" s="254" t="s">
        <v>268</v>
      </c>
      <c r="AW1050" s="344" t="s">
        <v>276</v>
      </c>
      <c r="AX1050" s="344">
        <f t="shared" si="322"/>
        <v>1.4987063061234844</v>
      </c>
      <c r="AY1050" s="255" t="s">
        <v>276</v>
      </c>
      <c r="AZ1050" s="255" t="s">
        <v>276</v>
      </c>
      <c r="BA1050" s="255" t="s">
        <v>276</v>
      </c>
      <c r="BB1050" s="255" t="s">
        <v>282</v>
      </c>
      <c r="BC1050" s="255" t="s">
        <v>276</v>
      </c>
      <c r="BD1050" s="255" t="s">
        <v>276</v>
      </c>
      <c r="BE1050" s="255" t="s">
        <v>276</v>
      </c>
      <c r="BF1050" s="255" t="s">
        <v>1358</v>
      </c>
      <c r="BG1050" s="255"/>
      <c r="BH1050" s="9" t="s">
        <v>100</v>
      </c>
      <c r="BI1050" s="9" t="s">
        <v>100</v>
      </c>
      <c r="BJ1050" s="284"/>
      <c r="BN1050" s="284"/>
      <c r="BO1050" s="284"/>
    </row>
    <row r="1051" spans="1:67" s="285" customFormat="1" ht="104" hidden="1" x14ac:dyDescent="0.35">
      <c r="A1051" s="254">
        <v>4468</v>
      </c>
      <c r="B1051" s="254" t="s">
        <v>4736</v>
      </c>
      <c r="C1051" s="254" t="s">
        <v>4698</v>
      </c>
      <c r="D1051" s="255" t="s">
        <v>4892</v>
      </c>
      <c r="E1051" s="254" t="s">
        <v>35</v>
      </c>
      <c r="F1051" s="255" t="s">
        <v>131</v>
      </c>
      <c r="G1051" s="255" t="s">
        <v>130</v>
      </c>
      <c r="H1051" s="254" t="s">
        <v>225</v>
      </c>
      <c r="I1051" s="254" t="s">
        <v>98</v>
      </c>
      <c r="J1051" s="255" t="s">
        <v>31</v>
      </c>
      <c r="K1051" s="254" t="s">
        <v>3805</v>
      </c>
      <c r="L1051" s="254" t="s">
        <v>276</v>
      </c>
      <c r="M1051" s="254" t="s">
        <v>276</v>
      </c>
      <c r="N1051" s="255" t="s">
        <v>4862</v>
      </c>
      <c r="O1051" s="255" t="s">
        <v>276</v>
      </c>
      <c r="P1051" s="255" t="s">
        <v>239</v>
      </c>
      <c r="Q1051" s="343" t="s">
        <v>276</v>
      </c>
      <c r="R1051" s="255" t="s">
        <v>752</v>
      </c>
      <c r="S1051" s="255" t="s">
        <v>276</v>
      </c>
      <c r="T1051" s="255" t="s">
        <v>276</v>
      </c>
      <c r="U1051" s="341" t="s">
        <v>4284</v>
      </c>
      <c r="V1051" s="254" t="s">
        <v>14</v>
      </c>
      <c r="W1051" s="254" t="s">
        <v>98</v>
      </c>
      <c r="X1051" s="255" t="s">
        <v>208</v>
      </c>
      <c r="Y1051" s="259">
        <v>19711</v>
      </c>
      <c r="Z1051" s="260">
        <v>19694</v>
      </c>
      <c r="AA1051" s="255" t="s">
        <v>276</v>
      </c>
      <c r="AB1051" s="255" t="s">
        <v>276</v>
      </c>
      <c r="AC1051" s="254">
        <v>82</v>
      </c>
      <c r="AD1051" s="254" t="s">
        <v>3921</v>
      </c>
      <c r="AE1051" s="254">
        <v>105</v>
      </c>
      <c r="AF1051" s="254" t="s">
        <v>3921</v>
      </c>
      <c r="AG1051" s="255" t="s">
        <v>4893</v>
      </c>
      <c r="AH1051" s="255" t="s">
        <v>2034</v>
      </c>
      <c r="AI1051" s="260">
        <v>93</v>
      </c>
      <c r="AJ1051" s="260">
        <v>72</v>
      </c>
      <c r="AK1051" s="259">
        <v>19711</v>
      </c>
      <c r="AL1051" s="260">
        <v>19694</v>
      </c>
      <c r="AM1051" s="260" t="s">
        <v>281</v>
      </c>
      <c r="AN1051" s="254" t="s">
        <v>276</v>
      </c>
      <c r="AO1051" s="261">
        <f t="shared" si="325"/>
        <v>4.718177667292375</v>
      </c>
      <c r="AP1051" s="254" t="s">
        <v>276</v>
      </c>
      <c r="AQ1051" s="254" t="s">
        <v>276</v>
      </c>
      <c r="AR1051" s="254" t="s">
        <v>276</v>
      </c>
      <c r="AS1051" s="261">
        <f t="shared" si="326"/>
        <v>3.6559358180156392</v>
      </c>
      <c r="AT1051" s="254" t="s">
        <v>276</v>
      </c>
      <c r="AU1051" s="254" t="s">
        <v>276</v>
      </c>
      <c r="AV1051" s="254" t="s">
        <v>268</v>
      </c>
      <c r="AW1051" s="344" t="s">
        <v>276</v>
      </c>
      <c r="AX1051" s="344">
        <f t="shared" si="322"/>
        <v>1.2905526524952227</v>
      </c>
      <c r="AY1051" s="255" t="s">
        <v>276</v>
      </c>
      <c r="AZ1051" s="255" t="s">
        <v>276</v>
      </c>
      <c r="BA1051" s="255" t="s">
        <v>276</v>
      </c>
      <c r="BB1051" s="255" t="s">
        <v>282</v>
      </c>
      <c r="BC1051" s="255" t="s">
        <v>276</v>
      </c>
      <c r="BD1051" s="255" t="s">
        <v>276</v>
      </c>
      <c r="BE1051" s="255" t="s">
        <v>276</v>
      </c>
      <c r="BF1051" s="255" t="s">
        <v>1358</v>
      </c>
      <c r="BG1051" s="255"/>
      <c r="BH1051" s="9" t="s">
        <v>100</v>
      </c>
      <c r="BI1051" s="9" t="s">
        <v>100</v>
      </c>
      <c r="BJ1051" s="284"/>
      <c r="BN1051" s="284"/>
      <c r="BO1051" s="284"/>
    </row>
    <row r="1052" spans="1:67" s="285" customFormat="1" ht="104" hidden="1" x14ac:dyDescent="0.35">
      <c r="A1052" s="254">
        <v>4468</v>
      </c>
      <c r="B1052" s="254" t="s">
        <v>4736</v>
      </c>
      <c r="C1052" s="254" t="s">
        <v>4698</v>
      </c>
      <c r="D1052" s="255" t="s">
        <v>4894</v>
      </c>
      <c r="E1052" s="254" t="s">
        <v>35</v>
      </c>
      <c r="F1052" s="255" t="s">
        <v>131</v>
      </c>
      <c r="G1052" s="255" t="s">
        <v>130</v>
      </c>
      <c r="H1052" s="254" t="s">
        <v>225</v>
      </c>
      <c r="I1052" s="254" t="s">
        <v>98</v>
      </c>
      <c r="J1052" s="255" t="s">
        <v>31</v>
      </c>
      <c r="K1052" s="254" t="s">
        <v>3808</v>
      </c>
      <c r="L1052" s="254" t="s">
        <v>276</v>
      </c>
      <c r="M1052" s="254" t="s">
        <v>276</v>
      </c>
      <c r="N1052" s="255" t="s">
        <v>4862</v>
      </c>
      <c r="O1052" s="255" t="s">
        <v>276</v>
      </c>
      <c r="P1052" s="255" t="s">
        <v>239</v>
      </c>
      <c r="Q1052" s="343" t="s">
        <v>276</v>
      </c>
      <c r="R1052" s="255" t="s">
        <v>752</v>
      </c>
      <c r="S1052" s="255" t="s">
        <v>276</v>
      </c>
      <c r="T1052" s="255" t="s">
        <v>276</v>
      </c>
      <c r="U1052" s="341" t="s">
        <v>4284</v>
      </c>
      <c r="V1052" s="254" t="s">
        <v>14</v>
      </c>
      <c r="W1052" s="254" t="s">
        <v>98</v>
      </c>
      <c r="X1052" s="255" t="s">
        <v>208</v>
      </c>
      <c r="Y1052" s="259">
        <v>19711</v>
      </c>
      <c r="Z1052" s="260">
        <v>19694</v>
      </c>
      <c r="AA1052" s="255" t="s">
        <v>276</v>
      </c>
      <c r="AB1052" s="255" t="s">
        <v>276</v>
      </c>
      <c r="AC1052" s="254">
        <v>82</v>
      </c>
      <c r="AD1052" s="254" t="s">
        <v>3921</v>
      </c>
      <c r="AE1052" s="254">
        <v>105</v>
      </c>
      <c r="AF1052" s="254" t="s">
        <v>3921</v>
      </c>
      <c r="AG1052" s="255" t="s">
        <v>4895</v>
      </c>
      <c r="AH1052" s="255" t="s">
        <v>2034</v>
      </c>
      <c r="AI1052" s="260">
        <v>112</v>
      </c>
      <c r="AJ1052" s="260">
        <v>76</v>
      </c>
      <c r="AK1052" s="259">
        <v>19711</v>
      </c>
      <c r="AL1052" s="260">
        <v>19694</v>
      </c>
      <c r="AM1052" s="260" t="s">
        <v>281</v>
      </c>
      <c r="AN1052" s="254" t="s">
        <v>276</v>
      </c>
      <c r="AO1052" s="261">
        <f t="shared" si="325"/>
        <v>5.6821064380295265</v>
      </c>
      <c r="AP1052" s="254" t="s">
        <v>276</v>
      </c>
      <c r="AQ1052" s="254" t="s">
        <v>276</v>
      </c>
      <c r="AR1052" s="254" t="s">
        <v>276</v>
      </c>
      <c r="AS1052" s="261">
        <f t="shared" si="326"/>
        <v>3.8590433634609527</v>
      </c>
      <c r="AT1052" s="254" t="s">
        <v>276</v>
      </c>
      <c r="AU1052" s="254" t="s">
        <v>276</v>
      </c>
      <c r="AV1052" s="254" t="s">
        <v>268</v>
      </c>
      <c r="AW1052" s="344" t="s">
        <v>276</v>
      </c>
      <c r="AX1052" s="344">
        <f t="shared" si="322"/>
        <v>1.4724132130335985</v>
      </c>
      <c r="AY1052" s="255" t="s">
        <v>276</v>
      </c>
      <c r="AZ1052" s="255" t="s">
        <v>276</v>
      </c>
      <c r="BA1052" s="255" t="s">
        <v>276</v>
      </c>
      <c r="BB1052" s="255" t="s">
        <v>282</v>
      </c>
      <c r="BC1052" s="255" t="s">
        <v>276</v>
      </c>
      <c r="BD1052" s="255" t="s">
        <v>276</v>
      </c>
      <c r="BE1052" s="255" t="s">
        <v>276</v>
      </c>
      <c r="BF1052" s="255" t="s">
        <v>1358</v>
      </c>
      <c r="BG1052" s="255"/>
      <c r="BH1052" s="9" t="s">
        <v>100</v>
      </c>
      <c r="BI1052" s="9" t="s">
        <v>100</v>
      </c>
      <c r="BJ1052" s="284"/>
      <c r="BN1052" s="284"/>
      <c r="BO1052" s="284"/>
    </row>
    <row r="1053" spans="1:67" s="285" customFormat="1" ht="104" hidden="1" x14ac:dyDescent="0.35">
      <c r="A1053" s="254">
        <v>4468</v>
      </c>
      <c r="B1053" s="254" t="s">
        <v>4736</v>
      </c>
      <c r="C1053" s="254" t="s">
        <v>4698</v>
      </c>
      <c r="D1053" s="255" t="s">
        <v>4896</v>
      </c>
      <c r="E1053" s="254" t="s">
        <v>35</v>
      </c>
      <c r="F1053" s="255" t="s">
        <v>131</v>
      </c>
      <c r="G1053" s="255" t="s">
        <v>130</v>
      </c>
      <c r="H1053" s="254" t="s">
        <v>225</v>
      </c>
      <c r="I1053" s="254" t="s">
        <v>98</v>
      </c>
      <c r="J1053" s="255" t="s">
        <v>31</v>
      </c>
      <c r="K1053" s="254" t="s">
        <v>4867</v>
      </c>
      <c r="L1053" s="254" t="s">
        <v>276</v>
      </c>
      <c r="M1053" s="254" t="s">
        <v>276</v>
      </c>
      <c r="N1053" s="255" t="s">
        <v>4862</v>
      </c>
      <c r="O1053" s="255" t="s">
        <v>276</v>
      </c>
      <c r="P1053" s="255" t="s">
        <v>239</v>
      </c>
      <c r="Q1053" s="343" t="s">
        <v>276</v>
      </c>
      <c r="R1053" s="255" t="s">
        <v>752</v>
      </c>
      <c r="S1053" s="255" t="s">
        <v>276</v>
      </c>
      <c r="T1053" s="255" t="s">
        <v>276</v>
      </c>
      <c r="U1053" s="341" t="s">
        <v>4284</v>
      </c>
      <c r="V1053" s="254" t="s">
        <v>14</v>
      </c>
      <c r="W1053" s="254" t="s">
        <v>98</v>
      </c>
      <c r="X1053" s="255" t="s">
        <v>208</v>
      </c>
      <c r="Y1053" s="259">
        <v>19711</v>
      </c>
      <c r="Z1053" s="260">
        <v>19694</v>
      </c>
      <c r="AA1053" s="255" t="s">
        <v>276</v>
      </c>
      <c r="AB1053" s="255" t="s">
        <v>276</v>
      </c>
      <c r="AC1053" s="254">
        <v>82</v>
      </c>
      <c r="AD1053" s="254" t="s">
        <v>3921</v>
      </c>
      <c r="AE1053" s="254">
        <v>105</v>
      </c>
      <c r="AF1053" s="254" t="s">
        <v>3921</v>
      </c>
      <c r="AG1053" s="255" t="s">
        <v>4897</v>
      </c>
      <c r="AH1053" s="255" t="s">
        <v>2034</v>
      </c>
      <c r="AI1053" s="260">
        <v>141</v>
      </c>
      <c r="AJ1053" s="260">
        <v>166</v>
      </c>
      <c r="AK1053" s="259">
        <v>19711</v>
      </c>
      <c r="AL1053" s="260">
        <v>19694</v>
      </c>
      <c r="AM1053" s="260" t="s">
        <v>281</v>
      </c>
      <c r="AN1053" s="254" t="s">
        <v>276</v>
      </c>
      <c r="AO1053" s="261">
        <f t="shared" si="325"/>
        <v>7.1533661407336009</v>
      </c>
      <c r="AP1053" s="254" t="s">
        <v>276</v>
      </c>
      <c r="AQ1053" s="254" t="s">
        <v>276</v>
      </c>
      <c r="AR1053" s="254" t="s">
        <v>276</v>
      </c>
      <c r="AS1053" s="261">
        <f t="shared" si="326"/>
        <v>8.4289631359805011</v>
      </c>
      <c r="AT1053" s="254" t="s">
        <v>276</v>
      </c>
      <c r="AU1053" s="254" t="s">
        <v>276</v>
      </c>
      <c r="AV1053" s="254" t="s">
        <v>268</v>
      </c>
      <c r="AW1053" s="344" t="s">
        <v>276</v>
      </c>
      <c r="AX1053" s="344">
        <f t="shared" si="322"/>
        <v>0.84866501672052741</v>
      </c>
      <c r="AY1053" s="255" t="s">
        <v>276</v>
      </c>
      <c r="AZ1053" s="255" t="s">
        <v>276</v>
      </c>
      <c r="BA1053" s="255" t="s">
        <v>276</v>
      </c>
      <c r="BB1053" s="255" t="s">
        <v>282</v>
      </c>
      <c r="BC1053" s="255" t="s">
        <v>276</v>
      </c>
      <c r="BD1053" s="255" t="s">
        <v>276</v>
      </c>
      <c r="BE1053" s="255" t="s">
        <v>276</v>
      </c>
      <c r="BF1053" s="255" t="s">
        <v>1358</v>
      </c>
      <c r="BG1053" s="255"/>
      <c r="BH1053" s="9" t="s">
        <v>100</v>
      </c>
      <c r="BI1053" s="9" t="s">
        <v>100</v>
      </c>
      <c r="BJ1053" s="284"/>
      <c r="BN1053" s="284"/>
      <c r="BO1053" s="284"/>
    </row>
    <row r="1054" spans="1:67" s="285" customFormat="1" ht="104" hidden="1" x14ac:dyDescent="0.35">
      <c r="A1054" s="254">
        <v>4468</v>
      </c>
      <c r="B1054" s="254" t="s">
        <v>4736</v>
      </c>
      <c r="C1054" s="254" t="s">
        <v>4698</v>
      </c>
      <c r="D1054" s="255" t="s">
        <v>4898</v>
      </c>
      <c r="E1054" s="254" t="s">
        <v>35</v>
      </c>
      <c r="F1054" s="255" t="s">
        <v>131</v>
      </c>
      <c r="G1054" s="255" t="s">
        <v>130</v>
      </c>
      <c r="H1054" s="254" t="s">
        <v>225</v>
      </c>
      <c r="I1054" s="254" t="s">
        <v>98</v>
      </c>
      <c r="J1054" s="255" t="s">
        <v>31</v>
      </c>
      <c r="K1054" s="254" t="s">
        <v>4870</v>
      </c>
      <c r="L1054" s="254" t="s">
        <v>276</v>
      </c>
      <c r="M1054" s="254" t="s">
        <v>276</v>
      </c>
      <c r="N1054" s="255" t="s">
        <v>4862</v>
      </c>
      <c r="O1054" s="255" t="s">
        <v>276</v>
      </c>
      <c r="P1054" s="255" t="s">
        <v>239</v>
      </c>
      <c r="Q1054" s="343" t="s">
        <v>276</v>
      </c>
      <c r="R1054" s="255" t="s">
        <v>752</v>
      </c>
      <c r="S1054" s="255" t="s">
        <v>276</v>
      </c>
      <c r="T1054" s="255" t="s">
        <v>276</v>
      </c>
      <c r="U1054" s="341" t="s">
        <v>4284</v>
      </c>
      <c r="V1054" s="254" t="s">
        <v>14</v>
      </c>
      <c r="W1054" s="254" t="s">
        <v>98</v>
      </c>
      <c r="X1054" s="255" t="s">
        <v>208</v>
      </c>
      <c r="Y1054" s="259">
        <v>19711</v>
      </c>
      <c r="Z1054" s="260">
        <v>19694</v>
      </c>
      <c r="AA1054" s="255" t="s">
        <v>276</v>
      </c>
      <c r="AB1054" s="255" t="s">
        <v>276</v>
      </c>
      <c r="AC1054" s="254">
        <v>82</v>
      </c>
      <c r="AD1054" s="254" t="s">
        <v>3921</v>
      </c>
      <c r="AE1054" s="254">
        <v>105</v>
      </c>
      <c r="AF1054" s="254" t="s">
        <v>3921</v>
      </c>
      <c r="AG1054" s="255" t="s">
        <v>4899</v>
      </c>
      <c r="AH1054" s="255" t="s">
        <v>2034</v>
      </c>
      <c r="AI1054" s="260">
        <v>21</v>
      </c>
      <c r="AJ1054" s="260">
        <v>31</v>
      </c>
      <c r="AK1054" s="259">
        <v>19711</v>
      </c>
      <c r="AL1054" s="260">
        <v>19694</v>
      </c>
      <c r="AM1054" s="260" t="s">
        <v>281</v>
      </c>
      <c r="AN1054" s="254" t="s">
        <v>276</v>
      </c>
      <c r="AO1054" s="261">
        <f t="shared" si="325"/>
        <v>1.0653949571305363</v>
      </c>
      <c r="AP1054" s="254" t="s">
        <v>276</v>
      </c>
      <c r="AQ1054" s="254" t="s">
        <v>276</v>
      </c>
      <c r="AR1054" s="254" t="s">
        <v>276</v>
      </c>
      <c r="AS1054" s="261">
        <f t="shared" si="326"/>
        <v>1.574083477201178</v>
      </c>
      <c r="AT1054" s="254" t="s">
        <v>276</v>
      </c>
      <c r="AU1054" s="254" t="s">
        <v>276</v>
      </c>
      <c r="AV1054" s="254" t="s">
        <v>268</v>
      </c>
      <c r="AW1054" s="344" t="s">
        <v>276</v>
      </c>
      <c r="AX1054" s="344">
        <f t="shared" si="322"/>
        <v>0.67683510599125107</v>
      </c>
      <c r="AY1054" s="255" t="s">
        <v>276</v>
      </c>
      <c r="AZ1054" s="255" t="s">
        <v>276</v>
      </c>
      <c r="BA1054" s="255" t="s">
        <v>276</v>
      </c>
      <c r="BB1054" s="255" t="s">
        <v>282</v>
      </c>
      <c r="BC1054" s="255" t="s">
        <v>276</v>
      </c>
      <c r="BD1054" s="255" t="s">
        <v>276</v>
      </c>
      <c r="BE1054" s="255" t="s">
        <v>276</v>
      </c>
      <c r="BF1054" s="255" t="s">
        <v>1358</v>
      </c>
      <c r="BG1054" s="255"/>
      <c r="BH1054" s="9" t="s">
        <v>100</v>
      </c>
      <c r="BI1054" s="9" t="s">
        <v>100</v>
      </c>
      <c r="BJ1054" s="284"/>
      <c r="BN1054" s="284"/>
      <c r="BO1054" s="284"/>
    </row>
    <row r="1055" spans="1:67" s="285" customFormat="1" ht="104" hidden="1" x14ac:dyDescent="0.35">
      <c r="A1055" s="254">
        <v>4468</v>
      </c>
      <c r="B1055" s="254" t="s">
        <v>4736</v>
      </c>
      <c r="C1055" s="254" t="s">
        <v>4698</v>
      </c>
      <c r="D1055" s="255" t="s">
        <v>4900</v>
      </c>
      <c r="E1055" s="254" t="s">
        <v>35</v>
      </c>
      <c r="F1055" s="255" t="s">
        <v>131</v>
      </c>
      <c r="G1055" s="255" t="s">
        <v>130</v>
      </c>
      <c r="H1055" s="254" t="s">
        <v>225</v>
      </c>
      <c r="I1055" s="254" t="s">
        <v>98</v>
      </c>
      <c r="J1055" s="255" t="s">
        <v>31</v>
      </c>
      <c r="K1055" s="254" t="s">
        <v>3824</v>
      </c>
      <c r="L1055" s="254" t="s">
        <v>276</v>
      </c>
      <c r="M1055" s="254" t="s">
        <v>276</v>
      </c>
      <c r="N1055" s="255" t="s">
        <v>4862</v>
      </c>
      <c r="O1055" s="255" t="s">
        <v>276</v>
      </c>
      <c r="P1055" s="255" t="s">
        <v>239</v>
      </c>
      <c r="Q1055" s="343" t="s">
        <v>276</v>
      </c>
      <c r="R1055" s="255" t="s">
        <v>752</v>
      </c>
      <c r="S1055" s="255" t="s">
        <v>276</v>
      </c>
      <c r="T1055" s="255" t="s">
        <v>276</v>
      </c>
      <c r="U1055" s="341" t="s">
        <v>4284</v>
      </c>
      <c r="V1055" s="254" t="s">
        <v>14</v>
      </c>
      <c r="W1055" s="254" t="s">
        <v>98</v>
      </c>
      <c r="X1055" s="255" t="s">
        <v>208</v>
      </c>
      <c r="Y1055" s="259">
        <v>19711</v>
      </c>
      <c r="Z1055" s="260">
        <v>19694</v>
      </c>
      <c r="AA1055" s="255" t="s">
        <v>276</v>
      </c>
      <c r="AB1055" s="255" t="s">
        <v>276</v>
      </c>
      <c r="AC1055" s="254">
        <v>82</v>
      </c>
      <c r="AD1055" s="254" t="s">
        <v>3921</v>
      </c>
      <c r="AE1055" s="254">
        <v>105</v>
      </c>
      <c r="AF1055" s="254" t="s">
        <v>3921</v>
      </c>
      <c r="AG1055" s="255" t="s">
        <v>4901</v>
      </c>
      <c r="AH1055" s="255" t="s">
        <v>2034</v>
      </c>
      <c r="AI1055" s="260">
        <f>75+93+112</f>
        <v>280</v>
      </c>
      <c r="AJ1055" s="260">
        <f>50+72+76</f>
        <v>198</v>
      </c>
      <c r="AK1055" s="259">
        <v>19711</v>
      </c>
      <c r="AL1055" s="260">
        <v>19694</v>
      </c>
      <c r="AM1055" s="260" t="s">
        <v>281</v>
      </c>
      <c r="AN1055" s="254" t="s">
        <v>276</v>
      </c>
      <c r="AO1055" s="261">
        <f t="shared" si="325"/>
        <v>14.205266095073817</v>
      </c>
      <c r="AP1055" s="254" t="s">
        <v>276</v>
      </c>
      <c r="AQ1055" s="254" t="s">
        <v>276</v>
      </c>
      <c r="AR1055" s="254" t="s">
        <v>276</v>
      </c>
      <c r="AS1055" s="261">
        <f t="shared" si="326"/>
        <v>10.053823499543007</v>
      </c>
      <c r="AT1055" s="254" t="s">
        <v>276</v>
      </c>
      <c r="AU1055" s="254" t="s">
        <v>276</v>
      </c>
      <c r="AV1055" s="254" t="s">
        <v>268</v>
      </c>
      <c r="AW1055" s="344" t="s">
        <v>276</v>
      </c>
      <c r="AX1055" s="344">
        <f t="shared" si="322"/>
        <v>1.4129217700827463</v>
      </c>
      <c r="AY1055" s="255" t="s">
        <v>276</v>
      </c>
      <c r="AZ1055" s="255" t="s">
        <v>276</v>
      </c>
      <c r="BA1055" s="255" t="s">
        <v>276</v>
      </c>
      <c r="BB1055" s="255" t="s">
        <v>282</v>
      </c>
      <c r="BC1055" s="255" t="s">
        <v>276</v>
      </c>
      <c r="BD1055" s="255" t="s">
        <v>276</v>
      </c>
      <c r="BE1055" s="255" t="s">
        <v>276</v>
      </c>
      <c r="BF1055" s="255" t="s">
        <v>1358</v>
      </c>
      <c r="BG1055" s="255"/>
      <c r="BH1055" s="9" t="s">
        <v>100</v>
      </c>
      <c r="BI1055" s="9" t="s">
        <v>100</v>
      </c>
      <c r="BJ1055" s="284"/>
      <c r="BN1055" s="284"/>
      <c r="BO1055" s="284"/>
    </row>
    <row r="1056" spans="1:67" s="285" customFormat="1" ht="104" hidden="1" x14ac:dyDescent="0.35">
      <c r="A1056" s="254">
        <v>4468</v>
      </c>
      <c r="B1056" s="254" t="s">
        <v>4736</v>
      </c>
      <c r="C1056" s="254" t="s">
        <v>4698</v>
      </c>
      <c r="D1056" s="255" t="s">
        <v>4902</v>
      </c>
      <c r="E1056" s="254" t="s">
        <v>35</v>
      </c>
      <c r="F1056" s="255" t="s">
        <v>131</v>
      </c>
      <c r="G1056" s="255" t="s">
        <v>130</v>
      </c>
      <c r="H1056" s="254" t="s">
        <v>225</v>
      </c>
      <c r="I1056" s="254" t="s">
        <v>98</v>
      </c>
      <c r="J1056" s="255" t="s">
        <v>31</v>
      </c>
      <c r="K1056" s="254" t="s">
        <v>3821</v>
      </c>
      <c r="L1056" s="254" t="s">
        <v>276</v>
      </c>
      <c r="M1056" s="254" t="s">
        <v>276</v>
      </c>
      <c r="N1056" s="255" t="s">
        <v>4862</v>
      </c>
      <c r="O1056" s="255" t="s">
        <v>276</v>
      </c>
      <c r="P1056" s="255" t="s">
        <v>239</v>
      </c>
      <c r="Q1056" s="343" t="s">
        <v>276</v>
      </c>
      <c r="R1056" s="255" t="s">
        <v>752</v>
      </c>
      <c r="S1056" s="255" t="s">
        <v>276</v>
      </c>
      <c r="T1056" s="255" t="s">
        <v>276</v>
      </c>
      <c r="U1056" s="341" t="s">
        <v>4284</v>
      </c>
      <c r="V1056" s="254" t="s">
        <v>14</v>
      </c>
      <c r="W1056" s="254" t="s">
        <v>98</v>
      </c>
      <c r="X1056" s="255" t="s">
        <v>208</v>
      </c>
      <c r="Y1056" s="259">
        <v>19711</v>
      </c>
      <c r="Z1056" s="260">
        <v>19694</v>
      </c>
      <c r="AA1056" s="255" t="s">
        <v>276</v>
      </c>
      <c r="AB1056" s="255" t="s">
        <v>276</v>
      </c>
      <c r="AC1056" s="254">
        <v>82</v>
      </c>
      <c r="AD1056" s="254" t="s">
        <v>3921</v>
      </c>
      <c r="AE1056" s="254">
        <v>105</v>
      </c>
      <c r="AF1056" s="254" t="s">
        <v>3921</v>
      </c>
      <c r="AG1056" s="255" t="s">
        <v>4903</v>
      </c>
      <c r="AH1056" s="255" t="s">
        <v>2034</v>
      </c>
      <c r="AI1056" s="260">
        <f>141+21</f>
        <v>162</v>
      </c>
      <c r="AJ1056" s="260">
        <f>166+31</f>
        <v>197</v>
      </c>
      <c r="AK1056" s="259">
        <v>19711</v>
      </c>
      <c r="AL1056" s="260">
        <v>19694</v>
      </c>
      <c r="AM1056" s="260" t="s">
        <v>281</v>
      </c>
      <c r="AN1056" s="254" t="s">
        <v>276</v>
      </c>
      <c r="AO1056" s="261">
        <f t="shared" si="325"/>
        <v>8.218761097864137</v>
      </c>
      <c r="AP1056" s="254" t="s">
        <v>276</v>
      </c>
      <c r="AQ1056" s="254" t="s">
        <v>276</v>
      </c>
      <c r="AR1056" s="254" t="s">
        <v>276</v>
      </c>
      <c r="AS1056" s="261">
        <f t="shared" si="326"/>
        <v>10.003046613181679</v>
      </c>
      <c r="AT1056" s="254" t="s">
        <v>276</v>
      </c>
      <c r="AU1056" s="254" t="s">
        <v>276</v>
      </c>
      <c r="AV1056" s="254" t="s">
        <v>268</v>
      </c>
      <c r="AW1056" s="344" t="s">
        <v>276</v>
      </c>
      <c r="AX1056" s="344">
        <f t="shared" si="322"/>
        <v>0.82162579218952447</v>
      </c>
      <c r="AY1056" s="255" t="s">
        <v>276</v>
      </c>
      <c r="AZ1056" s="255" t="s">
        <v>276</v>
      </c>
      <c r="BA1056" s="255" t="s">
        <v>276</v>
      </c>
      <c r="BB1056" s="255" t="s">
        <v>282</v>
      </c>
      <c r="BC1056" s="255" t="s">
        <v>276</v>
      </c>
      <c r="BD1056" s="255" t="s">
        <v>276</v>
      </c>
      <c r="BE1056" s="255" t="s">
        <v>276</v>
      </c>
      <c r="BF1056" s="255" t="s">
        <v>1358</v>
      </c>
      <c r="BG1056" s="255"/>
      <c r="BH1056" s="9" t="s">
        <v>100</v>
      </c>
      <c r="BI1056" s="9" t="s">
        <v>100</v>
      </c>
      <c r="BJ1056" s="284"/>
      <c r="BN1056" s="284"/>
      <c r="BO1056" s="284"/>
    </row>
    <row r="1057" spans="1:67" s="277" customFormat="1" ht="104" hidden="1" x14ac:dyDescent="0.35">
      <c r="A1057" s="244">
        <v>4468</v>
      </c>
      <c r="B1057" s="244" t="s">
        <v>4736</v>
      </c>
      <c r="C1057" s="244" t="s">
        <v>4698</v>
      </c>
      <c r="D1057" s="245" t="s">
        <v>4904</v>
      </c>
      <c r="E1057" s="244" t="s">
        <v>35</v>
      </c>
      <c r="F1057" s="245" t="s">
        <v>131</v>
      </c>
      <c r="G1057" s="245" t="s">
        <v>130</v>
      </c>
      <c r="H1057" s="244" t="s">
        <v>225</v>
      </c>
      <c r="I1057" s="244" t="s">
        <v>98</v>
      </c>
      <c r="J1057" s="245" t="s">
        <v>117</v>
      </c>
      <c r="K1057" s="244" t="s">
        <v>4905</v>
      </c>
      <c r="L1057" s="244" t="s">
        <v>276</v>
      </c>
      <c r="M1057" s="244" t="s">
        <v>276</v>
      </c>
      <c r="N1057" s="245" t="s">
        <v>4862</v>
      </c>
      <c r="O1057" s="245" t="s">
        <v>276</v>
      </c>
      <c r="P1057" s="245" t="s">
        <v>239</v>
      </c>
      <c r="Q1057" s="335" t="s">
        <v>276</v>
      </c>
      <c r="R1057" s="245" t="s">
        <v>752</v>
      </c>
      <c r="S1057" s="245" t="s">
        <v>276</v>
      </c>
      <c r="T1057" s="245" t="s">
        <v>276</v>
      </c>
      <c r="U1057" s="340" t="s">
        <v>4284</v>
      </c>
      <c r="V1057" s="244" t="s">
        <v>14</v>
      </c>
      <c r="W1057" s="244" t="s">
        <v>98</v>
      </c>
      <c r="X1057" s="245" t="s">
        <v>208</v>
      </c>
      <c r="Y1057" s="249">
        <v>19711</v>
      </c>
      <c r="Z1057" s="250">
        <v>19694</v>
      </c>
      <c r="AA1057" s="245" t="s">
        <v>276</v>
      </c>
      <c r="AB1057" s="245" t="s">
        <v>276</v>
      </c>
      <c r="AC1057" s="244" t="s">
        <v>276</v>
      </c>
      <c r="AD1057" s="245" t="s">
        <v>4906</v>
      </c>
      <c r="AE1057" s="244" t="s">
        <v>276</v>
      </c>
      <c r="AF1057" s="245" t="s">
        <v>4906</v>
      </c>
      <c r="AG1057" s="245" t="s">
        <v>4907</v>
      </c>
      <c r="AH1057" s="245" t="s">
        <v>2034</v>
      </c>
      <c r="AI1057" s="250">
        <v>163</v>
      </c>
      <c r="AJ1057" s="250">
        <v>173</v>
      </c>
      <c r="AK1057" s="249">
        <v>19711</v>
      </c>
      <c r="AL1057" s="250">
        <v>19694</v>
      </c>
      <c r="AM1057" s="250" t="s">
        <v>281</v>
      </c>
      <c r="AN1057" s="244" t="s">
        <v>276</v>
      </c>
      <c r="AO1057" s="251">
        <f t="shared" si="325"/>
        <v>8.2694941910608293</v>
      </c>
      <c r="AP1057" s="244" t="s">
        <v>276</v>
      </c>
      <c r="AQ1057" s="244" t="s">
        <v>276</v>
      </c>
      <c r="AR1057" s="244" t="s">
        <v>276</v>
      </c>
      <c r="AS1057" s="251">
        <f t="shared" si="326"/>
        <v>8.7844013405098007</v>
      </c>
      <c r="AT1057" s="244" t="s">
        <v>276</v>
      </c>
      <c r="AU1057" s="244" t="s">
        <v>276</v>
      </c>
      <c r="AV1057" s="244" t="s">
        <v>268</v>
      </c>
      <c r="AW1057" s="345" t="s">
        <v>276</v>
      </c>
      <c r="AX1057" s="345">
        <f t="shared" si="322"/>
        <v>0.94138392253613845</v>
      </c>
      <c r="AY1057" s="245" t="s">
        <v>276</v>
      </c>
      <c r="AZ1057" s="245" t="s">
        <v>276</v>
      </c>
      <c r="BA1057" s="245" t="s">
        <v>276</v>
      </c>
      <c r="BB1057" s="245" t="s">
        <v>282</v>
      </c>
      <c r="BC1057" s="245" t="s">
        <v>276</v>
      </c>
      <c r="BD1057" s="245" t="s">
        <v>276</v>
      </c>
      <c r="BE1057" s="245" t="s">
        <v>276</v>
      </c>
      <c r="BF1057" s="245" t="s">
        <v>4908</v>
      </c>
      <c r="BG1057" s="245"/>
      <c r="BH1057" s="9" t="s">
        <v>100</v>
      </c>
      <c r="BI1057" s="9" t="s">
        <v>100</v>
      </c>
      <c r="BJ1057" s="276"/>
      <c r="BN1057" s="276"/>
      <c r="BO1057" s="276"/>
    </row>
    <row r="1058" spans="1:67" s="277" customFormat="1" ht="104" hidden="1" x14ac:dyDescent="0.35">
      <c r="A1058" s="244">
        <v>4468</v>
      </c>
      <c r="B1058" s="244" t="s">
        <v>4736</v>
      </c>
      <c r="C1058" s="244" t="s">
        <v>4698</v>
      </c>
      <c r="D1058" s="245" t="s">
        <v>4909</v>
      </c>
      <c r="E1058" s="244" t="s">
        <v>35</v>
      </c>
      <c r="F1058" s="245" t="s">
        <v>131</v>
      </c>
      <c r="G1058" s="245" t="s">
        <v>130</v>
      </c>
      <c r="H1058" s="244" t="s">
        <v>225</v>
      </c>
      <c r="I1058" s="244" t="s">
        <v>98</v>
      </c>
      <c r="J1058" s="245" t="s">
        <v>117</v>
      </c>
      <c r="K1058" s="244" t="s">
        <v>4905</v>
      </c>
      <c r="L1058" s="244" t="s">
        <v>276</v>
      </c>
      <c r="M1058" s="244" t="s">
        <v>276</v>
      </c>
      <c r="N1058" s="245" t="s">
        <v>4862</v>
      </c>
      <c r="O1058" s="245" t="s">
        <v>276</v>
      </c>
      <c r="P1058" s="245" t="s">
        <v>235</v>
      </c>
      <c r="Q1058" s="335" t="s">
        <v>276</v>
      </c>
      <c r="R1058" s="245" t="s">
        <v>752</v>
      </c>
      <c r="S1058" s="245" t="s">
        <v>276</v>
      </c>
      <c r="T1058" s="245" t="s">
        <v>276</v>
      </c>
      <c r="U1058" s="340" t="s">
        <v>4284</v>
      </c>
      <c r="V1058" s="244" t="s">
        <v>14</v>
      </c>
      <c r="W1058" s="244" t="s">
        <v>98</v>
      </c>
      <c r="X1058" s="245" t="s">
        <v>208</v>
      </c>
      <c r="Y1058" s="249" t="s">
        <v>98</v>
      </c>
      <c r="Z1058" s="250" t="s">
        <v>98</v>
      </c>
      <c r="AA1058" s="245" t="s">
        <v>276</v>
      </c>
      <c r="AB1058" s="245" t="s">
        <v>276</v>
      </c>
      <c r="AC1058" s="244" t="s">
        <v>276</v>
      </c>
      <c r="AD1058" s="245" t="s">
        <v>4906</v>
      </c>
      <c r="AE1058" s="244" t="s">
        <v>276</v>
      </c>
      <c r="AF1058" s="245" t="s">
        <v>4906</v>
      </c>
      <c r="AG1058" s="245" t="s">
        <v>4907</v>
      </c>
      <c r="AH1058" s="245" t="s">
        <v>4910</v>
      </c>
      <c r="AI1058" s="250">
        <v>163</v>
      </c>
      <c r="AJ1058" s="250">
        <v>173</v>
      </c>
      <c r="AK1058" s="249">
        <v>524</v>
      </c>
      <c r="AL1058" s="250">
        <v>500</v>
      </c>
      <c r="AM1058" s="250" t="s">
        <v>292</v>
      </c>
      <c r="AN1058" s="244">
        <v>31</v>
      </c>
      <c r="AO1058" s="251">
        <f>AI1058*100/AK1058</f>
        <v>31.106870229007633</v>
      </c>
      <c r="AP1058" s="244" t="s">
        <v>276</v>
      </c>
      <c r="AQ1058" s="244" t="s">
        <v>276</v>
      </c>
      <c r="AR1058" s="244">
        <v>35</v>
      </c>
      <c r="AS1058" s="251">
        <f>AJ1058*100/AL1058</f>
        <v>34.6</v>
      </c>
      <c r="AT1058" s="244" t="s">
        <v>276</v>
      </c>
      <c r="AU1058" s="244" t="s">
        <v>276</v>
      </c>
      <c r="AV1058" s="244" t="s">
        <v>268</v>
      </c>
      <c r="AW1058" s="345" t="s">
        <v>276</v>
      </c>
      <c r="AX1058" s="345">
        <f t="shared" si="322"/>
        <v>0.89904249216785059</v>
      </c>
      <c r="AY1058" s="245" t="s">
        <v>276</v>
      </c>
      <c r="AZ1058" s="245" t="s">
        <v>276</v>
      </c>
      <c r="BA1058" s="245" t="s">
        <v>4911</v>
      </c>
      <c r="BB1058" s="245" t="s">
        <v>282</v>
      </c>
      <c r="BC1058" s="245" t="s">
        <v>276</v>
      </c>
      <c r="BD1058" s="245" t="s">
        <v>276</v>
      </c>
      <c r="BE1058" s="245" t="s">
        <v>276</v>
      </c>
      <c r="BF1058" s="245" t="s">
        <v>4908</v>
      </c>
      <c r="BG1058" s="245"/>
      <c r="BH1058" s="9" t="s">
        <v>100</v>
      </c>
      <c r="BI1058" s="9" t="s">
        <v>100</v>
      </c>
      <c r="BJ1058" s="276"/>
      <c r="BN1058" s="276"/>
      <c r="BO1058" s="276"/>
    </row>
    <row r="1059" spans="1:67" s="110" customFormat="1" ht="52" hidden="1" x14ac:dyDescent="0.35">
      <c r="A1059" s="94">
        <v>4467</v>
      </c>
      <c r="B1059" s="94" t="s">
        <v>4759</v>
      </c>
      <c r="C1059" s="94" t="s">
        <v>4714</v>
      </c>
      <c r="D1059" s="95" t="s">
        <v>4912</v>
      </c>
      <c r="E1059" s="94" t="s">
        <v>35</v>
      </c>
      <c r="F1059" s="95" t="s">
        <v>131</v>
      </c>
      <c r="G1059" s="95" t="s">
        <v>132</v>
      </c>
      <c r="H1059" s="94" t="s">
        <v>225</v>
      </c>
      <c r="I1059" s="94" t="s">
        <v>98</v>
      </c>
      <c r="J1059" s="95" t="s">
        <v>98</v>
      </c>
      <c r="K1059" s="94" t="s">
        <v>98</v>
      </c>
      <c r="L1059" s="94" t="s">
        <v>98</v>
      </c>
      <c r="M1059" s="94" t="s">
        <v>98</v>
      </c>
      <c r="N1059" s="95" t="s">
        <v>4913</v>
      </c>
      <c r="O1059" s="95" t="s">
        <v>276</v>
      </c>
      <c r="P1059" s="95" t="s">
        <v>238</v>
      </c>
      <c r="Q1059" s="140">
        <v>32873</v>
      </c>
      <c r="R1059" s="95" t="s">
        <v>4914</v>
      </c>
      <c r="S1059" s="95" t="s">
        <v>276</v>
      </c>
      <c r="T1059" s="95" t="s">
        <v>276</v>
      </c>
      <c r="U1059" s="95" t="s">
        <v>4717</v>
      </c>
      <c r="V1059" s="94" t="s">
        <v>14</v>
      </c>
      <c r="W1059" s="95" t="s">
        <v>98</v>
      </c>
      <c r="X1059" s="95" t="s">
        <v>208</v>
      </c>
      <c r="Y1059" s="98">
        <v>25214</v>
      </c>
      <c r="Z1059" s="99">
        <v>25216</v>
      </c>
      <c r="AA1059" s="95" t="s">
        <v>276</v>
      </c>
      <c r="AB1059" s="95" t="s">
        <v>276</v>
      </c>
      <c r="AC1059" s="94">
        <v>0</v>
      </c>
      <c r="AD1059" s="94" t="s">
        <v>98</v>
      </c>
      <c r="AE1059" s="94">
        <v>0</v>
      </c>
      <c r="AF1059" s="94" t="s">
        <v>98</v>
      </c>
      <c r="AG1059" s="95" t="s">
        <v>4816</v>
      </c>
      <c r="AH1059" s="95" t="s">
        <v>2034</v>
      </c>
      <c r="AI1059" s="99">
        <v>208</v>
      </c>
      <c r="AJ1059" s="99">
        <v>58</v>
      </c>
      <c r="AK1059" s="98">
        <v>25214</v>
      </c>
      <c r="AL1059" s="99">
        <v>25216</v>
      </c>
      <c r="AM1059" s="99" t="s">
        <v>281</v>
      </c>
      <c r="AN1059" s="94" t="s">
        <v>276</v>
      </c>
      <c r="AO1059" s="102">
        <f>AI1059*1000/AK1059</f>
        <v>8.2493852621559451</v>
      </c>
      <c r="AP1059" s="94" t="s">
        <v>276</v>
      </c>
      <c r="AQ1059" s="94" t="s">
        <v>276</v>
      </c>
      <c r="AR1059" s="94" t="s">
        <v>276</v>
      </c>
      <c r="AS1059" s="102">
        <f>AJ1059*1000/AL1059</f>
        <v>2.3001269035532994</v>
      </c>
      <c r="AT1059" s="94" t="s">
        <v>276</v>
      </c>
      <c r="AU1059" s="94" t="s">
        <v>276</v>
      </c>
      <c r="AV1059" s="94" t="s">
        <v>268</v>
      </c>
      <c r="AW1059" s="141" t="s">
        <v>276</v>
      </c>
      <c r="AX1059" s="141">
        <f t="shared" si="322"/>
        <v>3.5864913581124882</v>
      </c>
      <c r="AY1059" s="95" t="s">
        <v>276</v>
      </c>
      <c r="AZ1059" s="95" t="s">
        <v>276</v>
      </c>
      <c r="BA1059" s="95" t="s">
        <v>276</v>
      </c>
      <c r="BB1059" s="95" t="s">
        <v>282</v>
      </c>
      <c r="BC1059" s="95" t="s">
        <v>276</v>
      </c>
      <c r="BD1059" s="95" t="s">
        <v>276</v>
      </c>
      <c r="BE1059" s="95" t="s">
        <v>276</v>
      </c>
      <c r="BF1059" s="95" t="s">
        <v>4915</v>
      </c>
      <c r="BG1059" s="95" t="s">
        <v>4844</v>
      </c>
      <c r="BH1059" s="9" t="s">
        <v>100</v>
      </c>
      <c r="BI1059" s="9" t="s">
        <v>100</v>
      </c>
      <c r="BJ1059" s="109"/>
      <c r="BN1059" s="109"/>
      <c r="BO1059" s="109"/>
    </row>
    <row r="1060" spans="1:67" s="110" customFormat="1" ht="117" hidden="1" x14ac:dyDescent="0.35">
      <c r="A1060" s="94">
        <v>4467</v>
      </c>
      <c r="B1060" s="94" t="s">
        <v>4759</v>
      </c>
      <c r="C1060" s="94" t="s">
        <v>4714</v>
      </c>
      <c r="D1060" s="95" t="s">
        <v>4916</v>
      </c>
      <c r="E1060" s="94" t="s">
        <v>35</v>
      </c>
      <c r="F1060" s="95" t="s">
        <v>131</v>
      </c>
      <c r="G1060" s="95" t="s">
        <v>132</v>
      </c>
      <c r="H1060" s="94" t="s">
        <v>225</v>
      </c>
      <c r="I1060" s="94" t="s">
        <v>98</v>
      </c>
      <c r="J1060" s="95" t="s">
        <v>98</v>
      </c>
      <c r="K1060" s="94" t="s">
        <v>98</v>
      </c>
      <c r="L1060" s="94" t="s">
        <v>98</v>
      </c>
      <c r="M1060" s="94" t="s">
        <v>98</v>
      </c>
      <c r="N1060" s="95" t="s">
        <v>4917</v>
      </c>
      <c r="O1060" s="95" t="s">
        <v>276</v>
      </c>
      <c r="P1060" s="95" t="s">
        <v>236</v>
      </c>
      <c r="Q1060" s="140">
        <v>34334</v>
      </c>
      <c r="R1060" s="95" t="s">
        <v>276</v>
      </c>
      <c r="S1060" s="95" t="s">
        <v>276</v>
      </c>
      <c r="T1060" s="95" t="s">
        <v>276</v>
      </c>
      <c r="U1060" s="95" t="s">
        <v>4717</v>
      </c>
      <c r="V1060" s="94" t="s">
        <v>14</v>
      </c>
      <c r="W1060" s="95" t="s">
        <v>98</v>
      </c>
      <c r="X1060" s="95" t="s">
        <v>208</v>
      </c>
      <c r="Y1060" s="98" t="s">
        <v>98</v>
      </c>
      <c r="Z1060" s="99" t="s">
        <v>98</v>
      </c>
      <c r="AA1060" s="95" t="s">
        <v>276</v>
      </c>
      <c r="AB1060" s="95" t="s">
        <v>276</v>
      </c>
      <c r="AC1060" s="94">
        <v>0</v>
      </c>
      <c r="AD1060" s="94" t="s">
        <v>98</v>
      </c>
      <c r="AE1060" s="94">
        <v>0</v>
      </c>
      <c r="AF1060" s="94" t="s">
        <v>98</v>
      </c>
      <c r="AG1060" s="95" t="s">
        <v>4816</v>
      </c>
      <c r="AH1060" s="95" t="s">
        <v>4819</v>
      </c>
      <c r="AI1060" s="99">
        <v>208</v>
      </c>
      <c r="AJ1060" s="99">
        <v>58</v>
      </c>
      <c r="AK1060" s="99">
        <v>494</v>
      </c>
      <c r="AL1060" s="99">
        <v>440</v>
      </c>
      <c r="AM1060" s="99" t="s">
        <v>292</v>
      </c>
      <c r="AN1060" s="94" t="s">
        <v>276</v>
      </c>
      <c r="AO1060" s="102">
        <f>AI1060*100/AK1060</f>
        <v>42.10526315789474</v>
      </c>
      <c r="AP1060" s="94" t="s">
        <v>276</v>
      </c>
      <c r="AQ1060" s="94" t="s">
        <v>276</v>
      </c>
      <c r="AR1060" s="94" t="s">
        <v>276</v>
      </c>
      <c r="AS1060" s="102">
        <f>AJ1060*100/AL1060</f>
        <v>13.181818181818182</v>
      </c>
      <c r="AT1060" s="94" t="s">
        <v>276</v>
      </c>
      <c r="AU1060" s="94" t="s">
        <v>276</v>
      </c>
      <c r="AV1060" s="94" t="s">
        <v>268</v>
      </c>
      <c r="AW1060" s="141" t="s">
        <v>276</v>
      </c>
      <c r="AX1060" s="141">
        <f t="shared" si="322"/>
        <v>3.194192377495463</v>
      </c>
      <c r="AY1060" s="95" t="s">
        <v>276</v>
      </c>
      <c r="AZ1060" s="95" t="s">
        <v>276</v>
      </c>
      <c r="BA1060" s="95" t="s">
        <v>276</v>
      </c>
      <c r="BB1060" s="95" t="s">
        <v>282</v>
      </c>
      <c r="BC1060" s="95" t="s">
        <v>276</v>
      </c>
      <c r="BD1060" s="95" t="s">
        <v>276</v>
      </c>
      <c r="BE1060" s="95" t="s">
        <v>276</v>
      </c>
      <c r="BF1060" s="95" t="s">
        <v>4915</v>
      </c>
      <c r="BG1060" s="95" t="s">
        <v>4844</v>
      </c>
      <c r="BH1060" s="9" t="s">
        <v>100</v>
      </c>
      <c r="BI1060" s="9" t="s">
        <v>100</v>
      </c>
      <c r="BJ1060" s="109"/>
      <c r="BN1060" s="109"/>
      <c r="BO1060" s="109"/>
    </row>
    <row r="1061" spans="1:67" s="124" customFormat="1" ht="104" hidden="1" x14ac:dyDescent="0.35">
      <c r="A1061" s="112">
        <v>4467</v>
      </c>
      <c r="B1061" s="112" t="s">
        <v>4759</v>
      </c>
      <c r="C1061" s="112" t="s">
        <v>4714</v>
      </c>
      <c r="D1061" s="113" t="s">
        <v>4918</v>
      </c>
      <c r="E1061" s="112" t="s">
        <v>35</v>
      </c>
      <c r="F1061" s="113" t="s">
        <v>131</v>
      </c>
      <c r="G1061" s="113" t="s">
        <v>132</v>
      </c>
      <c r="H1061" s="112" t="s">
        <v>225</v>
      </c>
      <c r="I1061" s="112" t="s">
        <v>98</v>
      </c>
      <c r="J1061" s="113" t="s">
        <v>31</v>
      </c>
      <c r="K1061" s="112" t="s">
        <v>4858</v>
      </c>
      <c r="L1061" s="112" t="s">
        <v>276</v>
      </c>
      <c r="M1061" s="112" t="s">
        <v>276</v>
      </c>
      <c r="N1061" s="113" t="s">
        <v>4859</v>
      </c>
      <c r="O1061" s="113" t="s">
        <v>276</v>
      </c>
      <c r="P1061" s="113" t="s">
        <v>239</v>
      </c>
      <c r="Q1061" s="142" t="s">
        <v>276</v>
      </c>
      <c r="R1061" s="113" t="s">
        <v>752</v>
      </c>
      <c r="S1061" s="113" t="s">
        <v>276</v>
      </c>
      <c r="T1061" s="113" t="s">
        <v>276</v>
      </c>
      <c r="U1061" s="162" t="s">
        <v>4717</v>
      </c>
      <c r="V1061" s="112" t="s">
        <v>14</v>
      </c>
      <c r="W1061" s="112" t="s">
        <v>98</v>
      </c>
      <c r="X1061" s="113" t="s">
        <v>208</v>
      </c>
      <c r="Y1061" s="118">
        <v>25214</v>
      </c>
      <c r="Z1061" s="119">
        <v>25216</v>
      </c>
      <c r="AA1061" s="113" t="s">
        <v>276</v>
      </c>
      <c r="AB1061" s="113" t="s">
        <v>276</v>
      </c>
      <c r="AC1061" s="112">
        <v>93</v>
      </c>
      <c r="AD1061" s="112" t="s">
        <v>3921</v>
      </c>
      <c r="AE1061" s="112">
        <v>93</v>
      </c>
      <c r="AF1061" s="112" t="s">
        <v>3921</v>
      </c>
      <c r="AG1061" s="113" t="s">
        <v>4919</v>
      </c>
      <c r="AH1061" s="113" t="s">
        <v>2034</v>
      </c>
      <c r="AI1061" s="119">
        <f>34+5+20</f>
        <v>59</v>
      </c>
      <c r="AJ1061" s="119">
        <f>7+2+24</f>
        <v>33</v>
      </c>
      <c r="AK1061" s="118">
        <v>25214</v>
      </c>
      <c r="AL1061" s="119">
        <v>25216</v>
      </c>
      <c r="AM1061" s="119" t="s">
        <v>281</v>
      </c>
      <c r="AN1061" s="112" t="s">
        <v>276</v>
      </c>
      <c r="AO1061" s="121">
        <f t="shared" ref="AO1061:AO1081" si="329">AI1061*1000/AK1061</f>
        <v>2.3399698580153885</v>
      </c>
      <c r="AP1061" s="112" t="s">
        <v>276</v>
      </c>
      <c r="AQ1061" s="112" t="s">
        <v>276</v>
      </c>
      <c r="AR1061" s="112" t="s">
        <v>276</v>
      </c>
      <c r="AS1061" s="121">
        <f t="shared" ref="AS1061:AS1081" si="330">AJ1061*1000/AL1061</f>
        <v>1.3086928934010151</v>
      </c>
      <c r="AT1061" s="112" t="s">
        <v>276</v>
      </c>
      <c r="AU1061" s="112" t="s">
        <v>276</v>
      </c>
      <c r="AV1061" s="112" t="s">
        <v>268</v>
      </c>
      <c r="AW1061" s="143" t="s">
        <v>276</v>
      </c>
      <c r="AX1061" s="143">
        <f t="shared" si="322"/>
        <v>1.7880206042338194</v>
      </c>
      <c r="AY1061" s="113" t="s">
        <v>276</v>
      </c>
      <c r="AZ1061" s="113" t="s">
        <v>276</v>
      </c>
      <c r="BA1061" s="113" t="s">
        <v>276</v>
      </c>
      <c r="BB1061" s="113" t="s">
        <v>282</v>
      </c>
      <c r="BC1061" s="113" t="s">
        <v>276</v>
      </c>
      <c r="BD1061" s="113" t="s">
        <v>276</v>
      </c>
      <c r="BE1061" s="113" t="s">
        <v>276</v>
      </c>
      <c r="BF1061" s="113" t="s">
        <v>4915</v>
      </c>
      <c r="BG1061" s="113"/>
      <c r="BH1061" s="9" t="s">
        <v>100</v>
      </c>
      <c r="BI1061" s="9" t="s">
        <v>100</v>
      </c>
      <c r="BJ1061" s="123"/>
      <c r="BN1061" s="123"/>
      <c r="BO1061" s="123"/>
    </row>
    <row r="1062" spans="1:67" s="124" customFormat="1" ht="104" hidden="1" x14ac:dyDescent="0.35">
      <c r="A1062" s="112">
        <v>4467</v>
      </c>
      <c r="B1062" s="112" t="s">
        <v>4759</v>
      </c>
      <c r="C1062" s="112" t="s">
        <v>4714</v>
      </c>
      <c r="D1062" s="113" t="s">
        <v>4920</v>
      </c>
      <c r="E1062" s="112" t="s">
        <v>35</v>
      </c>
      <c r="F1062" s="113" t="s">
        <v>131</v>
      </c>
      <c r="G1062" s="113" t="s">
        <v>132</v>
      </c>
      <c r="H1062" s="112" t="s">
        <v>225</v>
      </c>
      <c r="I1062" s="112" t="s">
        <v>98</v>
      </c>
      <c r="J1062" s="113" t="s">
        <v>31</v>
      </c>
      <c r="K1062" s="112" t="s">
        <v>3805</v>
      </c>
      <c r="L1062" s="112" t="s">
        <v>276</v>
      </c>
      <c r="M1062" s="112" t="s">
        <v>276</v>
      </c>
      <c r="N1062" s="113" t="s">
        <v>4862</v>
      </c>
      <c r="O1062" s="113" t="s">
        <v>276</v>
      </c>
      <c r="P1062" s="113" t="s">
        <v>239</v>
      </c>
      <c r="Q1062" s="142" t="s">
        <v>276</v>
      </c>
      <c r="R1062" s="113" t="s">
        <v>752</v>
      </c>
      <c r="S1062" s="113" t="s">
        <v>276</v>
      </c>
      <c r="T1062" s="113" t="s">
        <v>276</v>
      </c>
      <c r="U1062" s="162" t="s">
        <v>4717</v>
      </c>
      <c r="V1062" s="112" t="s">
        <v>14</v>
      </c>
      <c r="W1062" s="112" t="s">
        <v>98</v>
      </c>
      <c r="X1062" s="113" t="s">
        <v>208</v>
      </c>
      <c r="Y1062" s="118">
        <v>25214</v>
      </c>
      <c r="Z1062" s="119">
        <v>25216</v>
      </c>
      <c r="AA1062" s="113" t="s">
        <v>276</v>
      </c>
      <c r="AB1062" s="113" t="s">
        <v>276</v>
      </c>
      <c r="AC1062" s="112">
        <v>93</v>
      </c>
      <c r="AD1062" s="112" t="s">
        <v>3921</v>
      </c>
      <c r="AE1062" s="112">
        <v>93</v>
      </c>
      <c r="AF1062" s="112" t="s">
        <v>3921</v>
      </c>
      <c r="AG1062" s="113" t="s">
        <v>4921</v>
      </c>
      <c r="AH1062" s="113" t="s">
        <v>2034</v>
      </c>
      <c r="AI1062" s="119">
        <f>35+8+25</f>
        <v>68</v>
      </c>
      <c r="AJ1062" s="119">
        <f>6+4+56</f>
        <v>66</v>
      </c>
      <c r="AK1062" s="118">
        <v>25214</v>
      </c>
      <c r="AL1062" s="119">
        <v>25216</v>
      </c>
      <c r="AM1062" s="119" t="s">
        <v>281</v>
      </c>
      <c r="AN1062" s="112" t="s">
        <v>276</v>
      </c>
      <c r="AO1062" s="121">
        <f t="shared" si="329"/>
        <v>2.6969144126279052</v>
      </c>
      <c r="AP1062" s="112" t="s">
        <v>276</v>
      </c>
      <c r="AQ1062" s="112" t="s">
        <v>276</v>
      </c>
      <c r="AR1062" s="112" t="s">
        <v>276</v>
      </c>
      <c r="AS1062" s="121">
        <f t="shared" si="330"/>
        <v>2.6173857868020303</v>
      </c>
      <c r="AT1062" s="112" t="s">
        <v>276</v>
      </c>
      <c r="AU1062" s="112" t="s">
        <v>276</v>
      </c>
      <c r="AV1062" s="112" t="s">
        <v>268</v>
      </c>
      <c r="AW1062" s="143" t="s">
        <v>276</v>
      </c>
      <c r="AX1062" s="143">
        <f t="shared" si="322"/>
        <v>1.0303847549822009</v>
      </c>
      <c r="AY1062" s="113" t="s">
        <v>276</v>
      </c>
      <c r="AZ1062" s="113" t="s">
        <v>276</v>
      </c>
      <c r="BA1062" s="113" t="s">
        <v>276</v>
      </c>
      <c r="BB1062" s="113" t="s">
        <v>282</v>
      </c>
      <c r="BC1062" s="113" t="s">
        <v>276</v>
      </c>
      <c r="BD1062" s="113" t="s">
        <v>276</v>
      </c>
      <c r="BE1062" s="113" t="s">
        <v>276</v>
      </c>
      <c r="BF1062" s="113" t="s">
        <v>4915</v>
      </c>
      <c r="BG1062" s="113"/>
      <c r="BH1062" s="9" t="s">
        <v>100</v>
      </c>
      <c r="BI1062" s="9" t="s">
        <v>100</v>
      </c>
      <c r="BJ1062" s="123"/>
      <c r="BN1062" s="123"/>
      <c r="BO1062" s="123"/>
    </row>
    <row r="1063" spans="1:67" s="124" customFormat="1" ht="104" hidden="1" x14ac:dyDescent="0.35">
      <c r="A1063" s="112">
        <v>4467</v>
      </c>
      <c r="B1063" s="112" t="s">
        <v>4759</v>
      </c>
      <c r="C1063" s="112" t="s">
        <v>4714</v>
      </c>
      <c r="D1063" s="113" t="s">
        <v>4922</v>
      </c>
      <c r="E1063" s="112" t="s">
        <v>35</v>
      </c>
      <c r="F1063" s="113" t="s">
        <v>131</v>
      </c>
      <c r="G1063" s="113" t="s">
        <v>132</v>
      </c>
      <c r="H1063" s="112" t="s">
        <v>225</v>
      </c>
      <c r="I1063" s="112" t="s">
        <v>98</v>
      </c>
      <c r="J1063" s="113" t="s">
        <v>31</v>
      </c>
      <c r="K1063" s="112" t="s">
        <v>3808</v>
      </c>
      <c r="L1063" s="112" t="s">
        <v>276</v>
      </c>
      <c r="M1063" s="112" t="s">
        <v>276</v>
      </c>
      <c r="N1063" s="113" t="s">
        <v>4862</v>
      </c>
      <c r="O1063" s="113" t="s">
        <v>276</v>
      </c>
      <c r="P1063" s="113" t="s">
        <v>239</v>
      </c>
      <c r="Q1063" s="142" t="s">
        <v>276</v>
      </c>
      <c r="R1063" s="113" t="s">
        <v>752</v>
      </c>
      <c r="S1063" s="113" t="s">
        <v>276</v>
      </c>
      <c r="T1063" s="113" t="s">
        <v>276</v>
      </c>
      <c r="U1063" s="162" t="s">
        <v>4717</v>
      </c>
      <c r="V1063" s="112" t="s">
        <v>14</v>
      </c>
      <c r="W1063" s="112" t="s">
        <v>98</v>
      </c>
      <c r="X1063" s="113" t="s">
        <v>208</v>
      </c>
      <c r="Y1063" s="118">
        <v>25214</v>
      </c>
      <c r="Z1063" s="119">
        <v>25216</v>
      </c>
      <c r="AA1063" s="113" t="s">
        <v>276</v>
      </c>
      <c r="AB1063" s="113" t="s">
        <v>276</v>
      </c>
      <c r="AC1063" s="112">
        <v>93</v>
      </c>
      <c r="AD1063" s="112" t="s">
        <v>3921</v>
      </c>
      <c r="AE1063" s="112">
        <v>93</v>
      </c>
      <c r="AF1063" s="112" t="s">
        <v>3921</v>
      </c>
      <c r="AG1063" s="113" t="s">
        <v>4923</v>
      </c>
      <c r="AH1063" s="113" t="s">
        <v>2034</v>
      </c>
      <c r="AI1063" s="119">
        <f>42+11+32</f>
        <v>85</v>
      </c>
      <c r="AJ1063" s="119">
        <f>12+5+50</f>
        <v>67</v>
      </c>
      <c r="AK1063" s="118">
        <v>25214</v>
      </c>
      <c r="AL1063" s="119">
        <v>25216</v>
      </c>
      <c r="AM1063" s="119" t="s">
        <v>281</v>
      </c>
      <c r="AN1063" s="112" t="s">
        <v>276</v>
      </c>
      <c r="AO1063" s="121">
        <f t="shared" si="329"/>
        <v>3.3711430157848814</v>
      </c>
      <c r="AP1063" s="112" t="s">
        <v>276</v>
      </c>
      <c r="AQ1063" s="112" t="s">
        <v>276</v>
      </c>
      <c r="AR1063" s="112" t="s">
        <v>276</v>
      </c>
      <c r="AS1063" s="121">
        <f t="shared" si="330"/>
        <v>2.657043147208122</v>
      </c>
      <c r="AT1063" s="112" t="s">
        <v>276</v>
      </c>
      <c r="AU1063" s="112" t="s">
        <v>276</v>
      </c>
      <c r="AV1063" s="112" t="s">
        <v>268</v>
      </c>
      <c r="AW1063" s="143" t="s">
        <v>276</v>
      </c>
      <c r="AX1063" s="143">
        <f t="shared" si="322"/>
        <v>1.2687573475527099</v>
      </c>
      <c r="AY1063" s="113" t="s">
        <v>276</v>
      </c>
      <c r="AZ1063" s="113" t="s">
        <v>276</v>
      </c>
      <c r="BA1063" s="113" t="s">
        <v>276</v>
      </c>
      <c r="BB1063" s="113" t="s">
        <v>282</v>
      </c>
      <c r="BC1063" s="113" t="s">
        <v>276</v>
      </c>
      <c r="BD1063" s="113" t="s">
        <v>276</v>
      </c>
      <c r="BE1063" s="113" t="s">
        <v>276</v>
      </c>
      <c r="BF1063" s="113" t="s">
        <v>4915</v>
      </c>
      <c r="BG1063" s="113"/>
      <c r="BH1063" s="9" t="s">
        <v>100</v>
      </c>
      <c r="BI1063" s="9" t="s">
        <v>100</v>
      </c>
      <c r="BJ1063" s="123"/>
      <c r="BN1063" s="123"/>
      <c r="BO1063" s="123"/>
    </row>
    <row r="1064" spans="1:67" s="124" customFormat="1" ht="104" hidden="1" x14ac:dyDescent="0.35">
      <c r="A1064" s="112">
        <v>4467</v>
      </c>
      <c r="B1064" s="112" t="s">
        <v>4759</v>
      </c>
      <c r="C1064" s="112" t="s">
        <v>4714</v>
      </c>
      <c r="D1064" s="113" t="s">
        <v>4924</v>
      </c>
      <c r="E1064" s="112" t="s">
        <v>35</v>
      </c>
      <c r="F1064" s="113" t="s">
        <v>131</v>
      </c>
      <c r="G1064" s="113" t="s">
        <v>132</v>
      </c>
      <c r="H1064" s="112" t="s">
        <v>225</v>
      </c>
      <c r="I1064" s="112" t="s">
        <v>98</v>
      </c>
      <c r="J1064" s="113" t="s">
        <v>31</v>
      </c>
      <c r="K1064" s="112" t="s">
        <v>4867</v>
      </c>
      <c r="L1064" s="112" t="s">
        <v>276</v>
      </c>
      <c r="M1064" s="112" t="s">
        <v>276</v>
      </c>
      <c r="N1064" s="113" t="s">
        <v>4862</v>
      </c>
      <c r="O1064" s="113" t="s">
        <v>276</v>
      </c>
      <c r="P1064" s="113" t="s">
        <v>239</v>
      </c>
      <c r="Q1064" s="142" t="s">
        <v>276</v>
      </c>
      <c r="R1064" s="113" t="s">
        <v>752</v>
      </c>
      <c r="S1064" s="113" t="s">
        <v>276</v>
      </c>
      <c r="T1064" s="113" t="s">
        <v>276</v>
      </c>
      <c r="U1064" s="162" t="s">
        <v>4717</v>
      </c>
      <c r="V1064" s="112" t="s">
        <v>14</v>
      </c>
      <c r="W1064" s="112" t="s">
        <v>98</v>
      </c>
      <c r="X1064" s="113" t="s">
        <v>208</v>
      </c>
      <c r="Y1064" s="118">
        <v>25214</v>
      </c>
      <c r="Z1064" s="119">
        <v>25216</v>
      </c>
      <c r="AA1064" s="113" t="s">
        <v>276</v>
      </c>
      <c r="AB1064" s="113" t="s">
        <v>276</v>
      </c>
      <c r="AC1064" s="112">
        <v>93</v>
      </c>
      <c r="AD1064" s="112" t="s">
        <v>3921</v>
      </c>
      <c r="AE1064" s="112">
        <v>93</v>
      </c>
      <c r="AF1064" s="112" t="s">
        <v>3921</v>
      </c>
      <c r="AG1064" s="113" t="s">
        <v>4925</v>
      </c>
      <c r="AH1064" s="113" t="s">
        <v>2034</v>
      </c>
      <c r="AI1064" s="119">
        <f>60+17+71</f>
        <v>148</v>
      </c>
      <c r="AJ1064" s="119">
        <f>26+8+108</f>
        <v>142</v>
      </c>
      <c r="AK1064" s="118">
        <v>25214</v>
      </c>
      <c r="AL1064" s="119">
        <v>25216</v>
      </c>
      <c r="AM1064" s="119" t="s">
        <v>281</v>
      </c>
      <c r="AN1064" s="112" t="s">
        <v>276</v>
      </c>
      <c r="AO1064" s="121">
        <f t="shared" si="329"/>
        <v>5.8697548980724994</v>
      </c>
      <c r="AP1064" s="112" t="s">
        <v>276</v>
      </c>
      <c r="AQ1064" s="112" t="s">
        <v>276</v>
      </c>
      <c r="AR1064" s="112" t="s">
        <v>276</v>
      </c>
      <c r="AS1064" s="121">
        <f t="shared" si="330"/>
        <v>5.6313451776649748</v>
      </c>
      <c r="AT1064" s="112" t="s">
        <v>276</v>
      </c>
      <c r="AU1064" s="112" t="s">
        <v>276</v>
      </c>
      <c r="AV1064" s="112" t="s">
        <v>268</v>
      </c>
      <c r="AW1064" s="143" t="s">
        <v>276</v>
      </c>
      <c r="AX1064" s="143">
        <f t="shared" si="322"/>
        <v>1.0423361937309588</v>
      </c>
      <c r="AY1064" s="113" t="s">
        <v>276</v>
      </c>
      <c r="AZ1064" s="113" t="s">
        <v>276</v>
      </c>
      <c r="BA1064" s="113" t="s">
        <v>276</v>
      </c>
      <c r="BB1064" s="113" t="s">
        <v>282</v>
      </c>
      <c r="BC1064" s="113" t="s">
        <v>276</v>
      </c>
      <c r="BD1064" s="113" t="s">
        <v>276</v>
      </c>
      <c r="BE1064" s="113" t="s">
        <v>276</v>
      </c>
      <c r="BF1064" s="113" t="s">
        <v>4915</v>
      </c>
      <c r="BG1064" s="113"/>
      <c r="BH1064" s="9" t="s">
        <v>100</v>
      </c>
      <c r="BI1064" s="9" t="s">
        <v>100</v>
      </c>
      <c r="BJ1064" s="123"/>
      <c r="BN1064" s="123"/>
      <c r="BO1064" s="123"/>
    </row>
    <row r="1065" spans="1:67" s="124" customFormat="1" ht="104" hidden="1" x14ac:dyDescent="0.35">
      <c r="A1065" s="112">
        <v>4467</v>
      </c>
      <c r="B1065" s="112" t="s">
        <v>4759</v>
      </c>
      <c r="C1065" s="112" t="s">
        <v>4714</v>
      </c>
      <c r="D1065" s="113" t="s">
        <v>4926</v>
      </c>
      <c r="E1065" s="112" t="s">
        <v>35</v>
      </c>
      <c r="F1065" s="113" t="s">
        <v>131</v>
      </c>
      <c r="G1065" s="113" t="s">
        <v>132</v>
      </c>
      <c r="H1065" s="112" t="s">
        <v>225</v>
      </c>
      <c r="I1065" s="112" t="s">
        <v>98</v>
      </c>
      <c r="J1065" s="113" t="s">
        <v>31</v>
      </c>
      <c r="K1065" s="112" t="s">
        <v>4870</v>
      </c>
      <c r="L1065" s="112" t="s">
        <v>276</v>
      </c>
      <c r="M1065" s="112" t="s">
        <v>276</v>
      </c>
      <c r="N1065" s="113" t="s">
        <v>4862</v>
      </c>
      <c r="O1065" s="113" t="s">
        <v>276</v>
      </c>
      <c r="P1065" s="113" t="s">
        <v>239</v>
      </c>
      <c r="Q1065" s="142" t="s">
        <v>276</v>
      </c>
      <c r="R1065" s="113" t="s">
        <v>752</v>
      </c>
      <c r="S1065" s="113" t="s">
        <v>276</v>
      </c>
      <c r="T1065" s="113" t="s">
        <v>276</v>
      </c>
      <c r="U1065" s="162" t="s">
        <v>4717</v>
      </c>
      <c r="V1065" s="112" t="s">
        <v>14</v>
      </c>
      <c r="W1065" s="112" t="s">
        <v>98</v>
      </c>
      <c r="X1065" s="113" t="s">
        <v>208</v>
      </c>
      <c r="Y1065" s="118">
        <v>25214</v>
      </c>
      <c r="Z1065" s="119">
        <v>25216</v>
      </c>
      <c r="AA1065" s="113" t="s">
        <v>276</v>
      </c>
      <c r="AB1065" s="113" t="s">
        <v>276</v>
      </c>
      <c r="AC1065" s="112">
        <v>93</v>
      </c>
      <c r="AD1065" s="112" t="s">
        <v>3921</v>
      </c>
      <c r="AE1065" s="112">
        <v>93</v>
      </c>
      <c r="AF1065" s="112" t="s">
        <v>3921</v>
      </c>
      <c r="AG1065" s="113" t="s">
        <v>4927</v>
      </c>
      <c r="AH1065" s="113" t="s">
        <v>2034</v>
      </c>
      <c r="AI1065" s="119">
        <f>14+9+18</f>
        <v>41</v>
      </c>
      <c r="AJ1065" s="119">
        <f>3+3+33</f>
        <v>39</v>
      </c>
      <c r="AK1065" s="118">
        <v>25214</v>
      </c>
      <c r="AL1065" s="119">
        <v>25216</v>
      </c>
      <c r="AM1065" s="119" t="s">
        <v>281</v>
      </c>
      <c r="AN1065" s="112" t="s">
        <v>276</v>
      </c>
      <c r="AO1065" s="121">
        <f t="shared" si="329"/>
        <v>1.6260807487903546</v>
      </c>
      <c r="AP1065" s="112" t="s">
        <v>276</v>
      </c>
      <c r="AQ1065" s="112" t="s">
        <v>276</v>
      </c>
      <c r="AR1065" s="112" t="s">
        <v>276</v>
      </c>
      <c r="AS1065" s="121">
        <f t="shared" si="330"/>
        <v>1.5466370558375635</v>
      </c>
      <c r="AT1065" s="112" t="s">
        <v>276</v>
      </c>
      <c r="AU1065" s="112" t="s">
        <v>276</v>
      </c>
      <c r="AV1065" s="112" t="s">
        <v>268</v>
      </c>
      <c r="AW1065" s="143" t="s">
        <v>276</v>
      </c>
      <c r="AX1065" s="143">
        <f t="shared" si="322"/>
        <v>1.0513654400383994</v>
      </c>
      <c r="AY1065" s="113" t="s">
        <v>276</v>
      </c>
      <c r="AZ1065" s="113" t="s">
        <v>276</v>
      </c>
      <c r="BA1065" s="113" t="s">
        <v>276</v>
      </c>
      <c r="BB1065" s="113" t="s">
        <v>282</v>
      </c>
      <c r="BC1065" s="113" t="s">
        <v>276</v>
      </c>
      <c r="BD1065" s="113" t="s">
        <v>276</v>
      </c>
      <c r="BE1065" s="113" t="s">
        <v>276</v>
      </c>
      <c r="BF1065" s="113" t="s">
        <v>4915</v>
      </c>
      <c r="BG1065" s="113"/>
      <c r="BH1065" s="9" t="s">
        <v>100</v>
      </c>
      <c r="BI1065" s="9" t="s">
        <v>100</v>
      </c>
      <c r="BJ1065" s="123"/>
      <c r="BN1065" s="123"/>
      <c r="BO1065" s="123"/>
    </row>
    <row r="1066" spans="1:67" s="124" customFormat="1" ht="104" hidden="1" x14ac:dyDescent="0.35">
      <c r="A1066" s="112">
        <v>4467</v>
      </c>
      <c r="B1066" s="112" t="s">
        <v>4759</v>
      </c>
      <c r="C1066" s="112" t="s">
        <v>4714</v>
      </c>
      <c r="D1066" s="113" t="s">
        <v>4928</v>
      </c>
      <c r="E1066" s="112" t="s">
        <v>35</v>
      </c>
      <c r="F1066" s="113" t="s">
        <v>131</v>
      </c>
      <c r="G1066" s="113" t="s">
        <v>132</v>
      </c>
      <c r="H1066" s="112" t="s">
        <v>225</v>
      </c>
      <c r="I1066" s="112" t="s">
        <v>98</v>
      </c>
      <c r="J1066" s="113" t="s">
        <v>31</v>
      </c>
      <c r="K1066" s="112" t="s">
        <v>3824</v>
      </c>
      <c r="L1066" s="112" t="s">
        <v>276</v>
      </c>
      <c r="M1066" s="112" t="s">
        <v>276</v>
      </c>
      <c r="N1066" s="113" t="s">
        <v>4862</v>
      </c>
      <c r="O1066" s="113" t="s">
        <v>276</v>
      </c>
      <c r="P1066" s="113" t="s">
        <v>239</v>
      </c>
      <c r="Q1066" s="142" t="s">
        <v>276</v>
      </c>
      <c r="R1066" s="113" t="s">
        <v>752</v>
      </c>
      <c r="S1066" s="113" t="s">
        <v>276</v>
      </c>
      <c r="T1066" s="113" t="s">
        <v>276</v>
      </c>
      <c r="U1066" s="162" t="s">
        <v>4717</v>
      </c>
      <c r="V1066" s="112" t="s">
        <v>14</v>
      </c>
      <c r="W1066" s="112" t="s">
        <v>98</v>
      </c>
      <c r="X1066" s="113" t="s">
        <v>208</v>
      </c>
      <c r="Y1066" s="118">
        <v>25214</v>
      </c>
      <c r="Z1066" s="119">
        <v>25216</v>
      </c>
      <c r="AA1066" s="113" t="s">
        <v>276</v>
      </c>
      <c r="AB1066" s="113" t="s">
        <v>276</v>
      </c>
      <c r="AC1066" s="112">
        <v>93</v>
      </c>
      <c r="AD1066" s="112" t="s">
        <v>3921</v>
      </c>
      <c r="AE1066" s="112">
        <v>93</v>
      </c>
      <c r="AF1066" s="112" t="s">
        <v>3921</v>
      </c>
      <c r="AG1066" s="113" t="s">
        <v>4929</v>
      </c>
      <c r="AH1066" s="113" t="s">
        <v>2034</v>
      </c>
      <c r="AI1066" s="119">
        <f>59+68+85</f>
        <v>212</v>
      </c>
      <c r="AJ1066" s="119">
        <f>33+66+67</f>
        <v>166</v>
      </c>
      <c r="AK1066" s="118">
        <v>25214</v>
      </c>
      <c r="AL1066" s="119">
        <v>25216</v>
      </c>
      <c r="AM1066" s="119" t="s">
        <v>281</v>
      </c>
      <c r="AN1066" s="112" t="s">
        <v>276</v>
      </c>
      <c r="AO1066" s="121">
        <f t="shared" si="329"/>
        <v>8.4080272864281742</v>
      </c>
      <c r="AP1066" s="112" t="s">
        <v>276</v>
      </c>
      <c r="AQ1066" s="112" t="s">
        <v>276</v>
      </c>
      <c r="AR1066" s="112" t="s">
        <v>276</v>
      </c>
      <c r="AS1066" s="121">
        <f t="shared" si="330"/>
        <v>6.5831218274111674</v>
      </c>
      <c r="AT1066" s="112" t="s">
        <v>276</v>
      </c>
      <c r="AU1066" s="112" t="s">
        <v>276</v>
      </c>
      <c r="AV1066" s="112" t="s">
        <v>268</v>
      </c>
      <c r="AW1066" s="143" t="s">
        <v>276</v>
      </c>
      <c r="AX1066" s="143">
        <f t="shared" si="322"/>
        <v>1.2772097352685112</v>
      </c>
      <c r="AY1066" s="113" t="s">
        <v>276</v>
      </c>
      <c r="AZ1066" s="113" t="s">
        <v>276</v>
      </c>
      <c r="BA1066" s="113" t="s">
        <v>276</v>
      </c>
      <c r="BB1066" s="113" t="s">
        <v>282</v>
      </c>
      <c r="BC1066" s="113" t="s">
        <v>276</v>
      </c>
      <c r="BD1066" s="113" t="s">
        <v>276</v>
      </c>
      <c r="BE1066" s="113" t="s">
        <v>276</v>
      </c>
      <c r="BF1066" s="113" t="s">
        <v>4915</v>
      </c>
      <c r="BG1066" s="113"/>
      <c r="BH1066" s="9" t="s">
        <v>100</v>
      </c>
      <c r="BI1066" s="9" t="s">
        <v>100</v>
      </c>
      <c r="BJ1066" s="123"/>
      <c r="BN1066" s="123"/>
      <c r="BO1066" s="123"/>
    </row>
    <row r="1067" spans="1:67" s="124" customFormat="1" ht="104" hidden="1" x14ac:dyDescent="0.35">
      <c r="A1067" s="112">
        <v>4467</v>
      </c>
      <c r="B1067" s="112" t="s">
        <v>4759</v>
      </c>
      <c r="C1067" s="112" t="s">
        <v>4714</v>
      </c>
      <c r="D1067" s="113" t="s">
        <v>4930</v>
      </c>
      <c r="E1067" s="112" t="s">
        <v>35</v>
      </c>
      <c r="F1067" s="113" t="s">
        <v>131</v>
      </c>
      <c r="G1067" s="113" t="s">
        <v>132</v>
      </c>
      <c r="H1067" s="112" t="s">
        <v>225</v>
      </c>
      <c r="I1067" s="112" t="s">
        <v>98</v>
      </c>
      <c r="J1067" s="113" t="s">
        <v>31</v>
      </c>
      <c r="K1067" s="112" t="s">
        <v>3821</v>
      </c>
      <c r="L1067" s="112" t="s">
        <v>276</v>
      </c>
      <c r="M1067" s="112" t="s">
        <v>276</v>
      </c>
      <c r="N1067" s="113" t="s">
        <v>4862</v>
      </c>
      <c r="O1067" s="113" t="s">
        <v>276</v>
      </c>
      <c r="P1067" s="113" t="s">
        <v>239</v>
      </c>
      <c r="Q1067" s="142" t="s">
        <v>276</v>
      </c>
      <c r="R1067" s="113" t="s">
        <v>752</v>
      </c>
      <c r="S1067" s="113" t="s">
        <v>276</v>
      </c>
      <c r="T1067" s="113" t="s">
        <v>276</v>
      </c>
      <c r="U1067" s="162" t="s">
        <v>4717</v>
      </c>
      <c r="V1067" s="112" t="s">
        <v>14</v>
      </c>
      <c r="W1067" s="112" t="s">
        <v>98</v>
      </c>
      <c r="X1067" s="113" t="s">
        <v>208</v>
      </c>
      <c r="Y1067" s="118">
        <v>25214</v>
      </c>
      <c r="Z1067" s="119">
        <v>25216</v>
      </c>
      <c r="AA1067" s="113" t="s">
        <v>276</v>
      </c>
      <c r="AB1067" s="113" t="s">
        <v>276</v>
      </c>
      <c r="AC1067" s="112">
        <v>93</v>
      </c>
      <c r="AD1067" s="112" t="s">
        <v>3921</v>
      </c>
      <c r="AE1067" s="112">
        <v>93</v>
      </c>
      <c r="AF1067" s="112" t="s">
        <v>3921</v>
      </c>
      <c r="AG1067" s="113" t="s">
        <v>4931</v>
      </c>
      <c r="AH1067" s="113" t="s">
        <v>2034</v>
      </c>
      <c r="AI1067" s="119">
        <f>148+41</f>
        <v>189</v>
      </c>
      <c r="AJ1067" s="119">
        <f>142+39</f>
        <v>181</v>
      </c>
      <c r="AK1067" s="118">
        <v>25214</v>
      </c>
      <c r="AL1067" s="119">
        <v>25216</v>
      </c>
      <c r="AM1067" s="119" t="s">
        <v>281</v>
      </c>
      <c r="AN1067" s="112" t="s">
        <v>276</v>
      </c>
      <c r="AO1067" s="121">
        <f t="shared" si="329"/>
        <v>7.4958356468628535</v>
      </c>
      <c r="AP1067" s="112" t="s">
        <v>276</v>
      </c>
      <c r="AQ1067" s="112" t="s">
        <v>276</v>
      </c>
      <c r="AR1067" s="112" t="s">
        <v>276</v>
      </c>
      <c r="AS1067" s="121">
        <f t="shared" si="330"/>
        <v>7.1779822335025383</v>
      </c>
      <c r="AT1067" s="112" t="s">
        <v>276</v>
      </c>
      <c r="AU1067" s="112" t="s">
        <v>276</v>
      </c>
      <c r="AV1067" s="112" t="s">
        <v>268</v>
      </c>
      <c r="AW1067" s="143" t="s">
        <v>276</v>
      </c>
      <c r="AX1067" s="143">
        <f t="shared" si="322"/>
        <v>1.0442817219408491</v>
      </c>
      <c r="AY1067" s="113" t="s">
        <v>276</v>
      </c>
      <c r="AZ1067" s="113" t="s">
        <v>276</v>
      </c>
      <c r="BA1067" s="113" t="s">
        <v>276</v>
      </c>
      <c r="BB1067" s="113" t="s">
        <v>282</v>
      </c>
      <c r="BC1067" s="113" t="s">
        <v>276</v>
      </c>
      <c r="BD1067" s="113" t="s">
        <v>276</v>
      </c>
      <c r="BE1067" s="113" t="s">
        <v>276</v>
      </c>
      <c r="BF1067" s="113" t="s">
        <v>4915</v>
      </c>
      <c r="BG1067" s="113"/>
      <c r="BH1067" s="9" t="s">
        <v>100</v>
      </c>
      <c r="BI1067" s="9" t="s">
        <v>100</v>
      </c>
      <c r="BJ1067" s="123"/>
      <c r="BN1067" s="123"/>
      <c r="BO1067" s="123"/>
    </row>
    <row r="1068" spans="1:67" s="110" customFormat="1" ht="104" hidden="1" x14ac:dyDescent="0.35">
      <c r="A1068" s="94">
        <v>4467</v>
      </c>
      <c r="B1068" s="94" t="s">
        <v>4759</v>
      </c>
      <c r="C1068" s="94" t="s">
        <v>4714</v>
      </c>
      <c r="D1068" s="95" t="s">
        <v>4932</v>
      </c>
      <c r="E1068" s="94" t="s">
        <v>35</v>
      </c>
      <c r="F1068" s="95" t="s">
        <v>131</v>
      </c>
      <c r="G1068" s="95" t="s">
        <v>132</v>
      </c>
      <c r="H1068" s="94" t="s">
        <v>225</v>
      </c>
      <c r="I1068" s="94" t="s">
        <v>98</v>
      </c>
      <c r="J1068" s="95" t="s">
        <v>31</v>
      </c>
      <c r="K1068" s="94" t="s">
        <v>4858</v>
      </c>
      <c r="L1068" s="94" t="s">
        <v>276</v>
      </c>
      <c r="M1068" s="94" t="s">
        <v>276</v>
      </c>
      <c r="N1068" s="95" t="s">
        <v>4859</v>
      </c>
      <c r="O1068" s="95" t="s">
        <v>276</v>
      </c>
      <c r="P1068" s="95" t="s">
        <v>239</v>
      </c>
      <c r="Q1068" s="140" t="s">
        <v>276</v>
      </c>
      <c r="R1068" s="95" t="s">
        <v>705</v>
      </c>
      <c r="S1068" s="95" t="s">
        <v>276</v>
      </c>
      <c r="T1068" s="95" t="s">
        <v>276</v>
      </c>
      <c r="U1068" s="163" t="s">
        <v>1212</v>
      </c>
      <c r="V1068" s="94" t="s">
        <v>14</v>
      </c>
      <c r="W1068" s="94" t="s">
        <v>98</v>
      </c>
      <c r="X1068" s="95" t="s">
        <v>208</v>
      </c>
      <c r="Y1068" s="98">
        <v>25214</v>
      </c>
      <c r="Z1068" s="99">
        <v>25216</v>
      </c>
      <c r="AA1068" s="95" t="s">
        <v>276</v>
      </c>
      <c r="AB1068" s="95" t="s">
        <v>276</v>
      </c>
      <c r="AC1068" s="94">
        <f t="shared" ref="AC1068:AC1074" si="331">10+2+0</f>
        <v>12</v>
      </c>
      <c r="AD1068" s="94" t="s">
        <v>3921</v>
      </c>
      <c r="AE1068" s="94">
        <f t="shared" ref="AE1068:AE1074" si="332">4+2+0</f>
        <v>6</v>
      </c>
      <c r="AF1068" s="94" t="s">
        <v>3921</v>
      </c>
      <c r="AG1068" s="95" t="s">
        <v>4933</v>
      </c>
      <c r="AH1068" s="95" t="s">
        <v>2034</v>
      </c>
      <c r="AI1068" s="99">
        <f>7+3+0</f>
        <v>10</v>
      </c>
      <c r="AJ1068" s="99">
        <f>7+2+0</f>
        <v>9</v>
      </c>
      <c r="AK1068" s="98">
        <v>25214</v>
      </c>
      <c r="AL1068" s="99">
        <v>25216</v>
      </c>
      <c r="AM1068" s="99" t="s">
        <v>281</v>
      </c>
      <c r="AN1068" s="94" t="s">
        <v>276</v>
      </c>
      <c r="AO1068" s="102">
        <f t="shared" si="329"/>
        <v>0.39660506068057427</v>
      </c>
      <c r="AP1068" s="94" t="s">
        <v>276</v>
      </c>
      <c r="AQ1068" s="94" t="s">
        <v>276</v>
      </c>
      <c r="AR1068" s="94" t="s">
        <v>276</v>
      </c>
      <c r="AS1068" s="102">
        <f t="shared" si="330"/>
        <v>0.35691624365482233</v>
      </c>
      <c r="AT1068" s="94" t="s">
        <v>276</v>
      </c>
      <c r="AU1068" s="94" t="s">
        <v>276</v>
      </c>
      <c r="AV1068" s="94" t="s">
        <v>268</v>
      </c>
      <c r="AW1068" s="141" t="s">
        <v>276</v>
      </c>
      <c r="AX1068" s="141">
        <f t="shared" si="322"/>
        <v>1.11119924556904</v>
      </c>
      <c r="AY1068" s="95" t="s">
        <v>276</v>
      </c>
      <c r="AZ1068" s="95" t="s">
        <v>276</v>
      </c>
      <c r="BA1068" s="95" t="s">
        <v>276</v>
      </c>
      <c r="BB1068" s="95" t="s">
        <v>282</v>
      </c>
      <c r="BC1068" s="95" t="s">
        <v>276</v>
      </c>
      <c r="BD1068" s="95" t="s">
        <v>276</v>
      </c>
      <c r="BE1068" s="95" t="s">
        <v>276</v>
      </c>
      <c r="BF1068" s="95" t="s">
        <v>4915</v>
      </c>
      <c r="BG1068" s="95"/>
      <c r="BH1068" s="9" t="s">
        <v>100</v>
      </c>
      <c r="BI1068" s="9" t="s">
        <v>100</v>
      </c>
      <c r="BJ1068" s="109"/>
      <c r="BN1068" s="109"/>
      <c r="BO1068" s="109"/>
    </row>
    <row r="1069" spans="1:67" s="110" customFormat="1" ht="104" hidden="1" x14ac:dyDescent="0.35">
      <c r="A1069" s="94">
        <v>4467</v>
      </c>
      <c r="B1069" s="94" t="s">
        <v>4759</v>
      </c>
      <c r="C1069" s="94" t="s">
        <v>4714</v>
      </c>
      <c r="D1069" s="95" t="s">
        <v>4934</v>
      </c>
      <c r="E1069" s="94" t="s">
        <v>35</v>
      </c>
      <c r="F1069" s="95" t="s">
        <v>131</v>
      </c>
      <c r="G1069" s="95" t="s">
        <v>132</v>
      </c>
      <c r="H1069" s="94" t="s">
        <v>225</v>
      </c>
      <c r="I1069" s="94" t="s">
        <v>98</v>
      </c>
      <c r="J1069" s="95" t="s">
        <v>31</v>
      </c>
      <c r="K1069" s="94" t="s">
        <v>3805</v>
      </c>
      <c r="L1069" s="94" t="s">
        <v>276</v>
      </c>
      <c r="M1069" s="94" t="s">
        <v>276</v>
      </c>
      <c r="N1069" s="95" t="s">
        <v>4862</v>
      </c>
      <c r="O1069" s="95" t="s">
        <v>276</v>
      </c>
      <c r="P1069" s="95" t="s">
        <v>239</v>
      </c>
      <c r="Q1069" s="140" t="s">
        <v>276</v>
      </c>
      <c r="R1069" s="95" t="s">
        <v>705</v>
      </c>
      <c r="S1069" s="95" t="s">
        <v>276</v>
      </c>
      <c r="T1069" s="95" t="s">
        <v>276</v>
      </c>
      <c r="U1069" s="163" t="s">
        <v>1212</v>
      </c>
      <c r="V1069" s="94" t="s">
        <v>14</v>
      </c>
      <c r="W1069" s="94" t="s">
        <v>98</v>
      </c>
      <c r="X1069" s="95" t="s">
        <v>208</v>
      </c>
      <c r="Y1069" s="98">
        <v>25214</v>
      </c>
      <c r="Z1069" s="99">
        <v>25216</v>
      </c>
      <c r="AA1069" s="95" t="s">
        <v>276</v>
      </c>
      <c r="AB1069" s="95" t="s">
        <v>276</v>
      </c>
      <c r="AC1069" s="94">
        <f t="shared" si="331"/>
        <v>12</v>
      </c>
      <c r="AD1069" s="94" t="s">
        <v>3921</v>
      </c>
      <c r="AE1069" s="94">
        <f t="shared" si="332"/>
        <v>6</v>
      </c>
      <c r="AF1069" s="94" t="s">
        <v>3921</v>
      </c>
      <c r="AG1069" s="95" t="s">
        <v>4935</v>
      </c>
      <c r="AH1069" s="95" t="s">
        <v>2034</v>
      </c>
      <c r="AI1069" s="99">
        <f>17+1+0</f>
        <v>18</v>
      </c>
      <c r="AJ1069" s="99">
        <f>6+4+0</f>
        <v>10</v>
      </c>
      <c r="AK1069" s="98">
        <v>25214</v>
      </c>
      <c r="AL1069" s="99">
        <v>25216</v>
      </c>
      <c r="AM1069" s="99" t="s">
        <v>281</v>
      </c>
      <c r="AN1069" s="94" t="s">
        <v>276</v>
      </c>
      <c r="AO1069" s="102">
        <f t="shared" si="329"/>
        <v>0.71388910922503368</v>
      </c>
      <c r="AP1069" s="94" t="s">
        <v>276</v>
      </c>
      <c r="AQ1069" s="94" t="s">
        <v>276</v>
      </c>
      <c r="AR1069" s="94" t="s">
        <v>276</v>
      </c>
      <c r="AS1069" s="102">
        <f t="shared" si="330"/>
        <v>0.39657360406091369</v>
      </c>
      <c r="AT1069" s="94" t="s">
        <v>276</v>
      </c>
      <c r="AU1069" s="94" t="s">
        <v>276</v>
      </c>
      <c r="AV1069" s="94" t="s">
        <v>268</v>
      </c>
      <c r="AW1069" s="141" t="s">
        <v>276</v>
      </c>
      <c r="AX1069" s="141">
        <f t="shared" si="322"/>
        <v>1.8001427778218451</v>
      </c>
      <c r="AY1069" s="95" t="s">
        <v>276</v>
      </c>
      <c r="AZ1069" s="95" t="s">
        <v>276</v>
      </c>
      <c r="BA1069" s="95" t="s">
        <v>276</v>
      </c>
      <c r="BB1069" s="95" t="s">
        <v>282</v>
      </c>
      <c r="BC1069" s="95" t="s">
        <v>276</v>
      </c>
      <c r="BD1069" s="95" t="s">
        <v>276</v>
      </c>
      <c r="BE1069" s="95" t="s">
        <v>276</v>
      </c>
      <c r="BF1069" s="95" t="s">
        <v>4915</v>
      </c>
      <c r="BG1069" s="95"/>
      <c r="BH1069" s="9" t="s">
        <v>100</v>
      </c>
      <c r="BI1069" s="9" t="s">
        <v>100</v>
      </c>
      <c r="BJ1069" s="109"/>
      <c r="BN1069" s="109"/>
      <c r="BO1069" s="109"/>
    </row>
    <row r="1070" spans="1:67" s="110" customFormat="1" ht="104" hidden="1" x14ac:dyDescent="0.35">
      <c r="A1070" s="94">
        <v>4467</v>
      </c>
      <c r="B1070" s="94" t="s">
        <v>4759</v>
      </c>
      <c r="C1070" s="94" t="s">
        <v>4714</v>
      </c>
      <c r="D1070" s="95" t="s">
        <v>4936</v>
      </c>
      <c r="E1070" s="94" t="s">
        <v>35</v>
      </c>
      <c r="F1070" s="95" t="s">
        <v>131</v>
      </c>
      <c r="G1070" s="95" t="s">
        <v>132</v>
      </c>
      <c r="H1070" s="94" t="s">
        <v>225</v>
      </c>
      <c r="I1070" s="94" t="s">
        <v>98</v>
      </c>
      <c r="J1070" s="95" t="s">
        <v>31</v>
      </c>
      <c r="K1070" s="94" t="s">
        <v>3808</v>
      </c>
      <c r="L1070" s="94" t="s">
        <v>276</v>
      </c>
      <c r="M1070" s="94" t="s">
        <v>276</v>
      </c>
      <c r="N1070" s="95" t="s">
        <v>4862</v>
      </c>
      <c r="O1070" s="95" t="s">
        <v>276</v>
      </c>
      <c r="P1070" s="95" t="s">
        <v>239</v>
      </c>
      <c r="Q1070" s="140" t="s">
        <v>276</v>
      </c>
      <c r="R1070" s="95" t="s">
        <v>705</v>
      </c>
      <c r="S1070" s="95" t="s">
        <v>276</v>
      </c>
      <c r="T1070" s="95" t="s">
        <v>276</v>
      </c>
      <c r="U1070" s="163" t="s">
        <v>1212</v>
      </c>
      <c r="V1070" s="94" t="s">
        <v>14</v>
      </c>
      <c r="W1070" s="94" t="s">
        <v>98</v>
      </c>
      <c r="X1070" s="95" t="s">
        <v>208</v>
      </c>
      <c r="Y1070" s="98">
        <v>25214</v>
      </c>
      <c r="Z1070" s="99">
        <v>25216</v>
      </c>
      <c r="AA1070" s="95" t="s">
        <v>276</v>
      </c>
      <c r="AB1070" s="95" t="s">
        <v>276</v>
      </c>
      <c r="AC1070" s="94">
        <f t="shared" si="331"/>
        <v>12</v>
      </c>
      <c r="AD1070" s="94" t="s">
        <v>3921</v>
      </c>
      <c r="AE1070" s="94">
        <f t="shared" si="332"/>
        <v>6</v>
      </c>
      <c r="AF1070" s="94" t="s">
        <v>3921</v>
      </c>
      <c r="AG1070" s="95" t="s">
        <v>4937</v>
      </c>
      <c r="AH1070" s="95" t="s">
        <v>2034</v>
      </c>
      <c r="AI1070" s="99">
        <f>21+1+0</f>
        <v>22</v>
      </c>
      <c r="AJ1070" s="99">
        <f>12+5+0</f>
        <v>17</v>
      </c>
      <c r="AK1070" s="98">
        <v>25214</v>
      </c>
      <c r="AL1070" s="99">
        <v>25216</v>
      </c>
      <c r="AM1070" s="99" t="s">
        <v>281</v>
      </c>
      <c r="AN1070" s="94" t="s">
        <v>276</v>
      </c>
      <c r="AO1070" s="102">
        <f t="shared" si="329"/>
        <v>0.87253113349726341</v>
      </c>
      <c r="AP1070" s="94" t="s">
        <v>276</v>
      </c>
      <c r="AQ1070" s="94" t="s">
        <v>276</v>
      </c>
      <c r="AR1070" s="94" t="s">
        <v>276</v>
      </c>
      <c r="AS1070" s="102">
        <f t="shared" si="330"/>
        <v>0.6741751269035533</v>
      </c>
      <c r="AT1070" s="94" t="s">
        <v>276</v>
      </c>
      <c r="AU1070" s="94" t="s">
        <v>276</v>
      </c>
      <c r="AV1070" s="94" t="s">
        <v>268</v>
      </c>
      <c r="AW1070" s="141" t="s">
        <v>276</v>
      </c>
      <c r="AX1070" s="141">
        <f t="shared" si="322"/>
        <v>1.2942202977804114</v>
      </c>
      <c r="AY1070" s="95" t="s">
        <v>276</v>
      </c>
      <c r="AZ1070" s="95" t="s">
        <v>276</v>
      </c>
      <c r="BA1070" s="95" t="s">
        <v>276</v>
      </c>
      <c r="BB1070" s="95" t="s">
        <v>282</v>
      </c>
      <c r="BC1070" s="95" t="s">
        <v>276</v>
      </c>
      <c r="BD1070" s="95" t="s">
        <v>276</v>
      </c>
      <c r="BE1070" s="95" t="s">
        <v>276</v>
      </c>
      <c r="BF1070" s="95" t="s">
        <v>4915</v>
      </c>
      <c r="BG1070" s="95"/>
      <c r="BH1070" s="9" t="s">
        <v>100</v>
      </c>
      <c r="BI1070" s="9" t="s">
        <v>100</v>
      </c>
      <c r="BJ1070" s="109"/>
      <c r="BN1070" s="109"/>
      <c r="BO1070" s="109"/>
    </row>
    <row r="1071" spans="1:67" s="110" customFormat="1" ht="104" hidden="1" x14ac:dyDescent="0.35">
      <c r="A1071" s="94">
        <v>4467</v>
      </c>
      <c r="B1071" s="94" t="s">
        <v>4759</v>
      </c>
      <c r="C1071" s="94" t="s">
        <v>4714</v>
      </c>
      <c r="D1071" s="95" t="s">
        <v>4938</v>
      </c>
      <c r="E1071" s="94" t="s">
        <v>35</v>
      </c>
      <c r="F1071" s="95" t="s">
        <v>131</v>
      </c>
      <c r="G1071" s="95" t="s">
        <v>132</v>
      </c>
      <c r="H1071" s="94" t="s">
        <v>225</v>
      </c>
      <c r="I1071" s="94" t="s">
        <v>98</v>
      </c>
      <c r="J1071" s="95" t="s">
        <v>31</v>
      </c>
      <c r="K1071" s="94" t="s">
        <v>4867</v>
      </c>
      <c r="L1071" s="94" t="s">
        <v>276</v>
      </c>
      <c r="M1071" s="94" t="s">
        <v>276</v>
      </c>
      <c r="N1071" s="95" t="s">
        <v>4862</v>
      </c>
      <c r="O1071" s="95" t="s">
        <v>276</v>
      </c>
      <c r="P1071" s="95" t="s">
        <v>239</v>
      </c>
      <c r="Q1071" s="140" t="s">
        <v>276</v>
      </c>
      <c r="R1071" s="95" t="s">
        <v>705</v>
      </c>
      <c r="S1071" s="95" t="s">
        <v>276</v>
      </c>
      <c r="T1071" s="95" t="s">
        <v>276</v>
      </c>
      <c r="U1071" s="163" t="s">
        <v>1212</v>
      </c>
      <c r="V1071" s="94" t="s">
        <v>14</v>
      </c>
      <c r="W1071" s="94" t="s">
        <v>98</v>
      </c>
      <c r="X1071" s="95" t="s">
        <v>208</v>
      </c>
      <c r="Y1071" s="98">
        <v>25214</v>
      </c>
      <c r="Z1071" s="99">
        <v>25216</v>
      </c>
      <c r="AA1071" s="95" t="s">
        <v>276</v>
      </c>
      <c r="AB1071" s="95" t="s">
        <v>276</v>
      </c>
      <c r="AC1071" s="94">
        <f t="shared" si="331"/>
        <v>12</v>
      </c>
      <c r="AD1071" s="94" t="s">
        <v>3921</v>
      </c>
      <c r="AE1071" s="94">
        <f t="shared" si="332"/>
        <v>6</v>
      </c>
      <c r="AF1071" s="94" t="s">
        <v>3921</v>
      </c>
      <c r="AG1071" s="95" t="s">
        <v>4939</v>
      </c>
      <c r="AH1071" s="95" t="s">
        <v>2034</v>
      </c>
      <c r="AI1071" s="99">
        <f>28+4+0</f>
        <v>32</v>
      </c>
      <c r="AJ1071" s="99">
        <f>26+8+0</f>
        <v>34</v>
      </c>
      <c r="AK1071" s="98">
        <v>25214</v>
      </c>
      <c r="AL1071" s="99">
        <v>25216</v>
      </c>
      <c r="AM1071" s="99" t="s">
        <v>281</v>
      </c>
      <c r="AN1071" s="94" t="s">
        <v>276</v>
      </c>
      <c r="AO1071" s="102">
        <f t="shared" si="329"/>
        <v>1.2691361941778376</v>
      </c>
      <c r="AP1071" s="94" t="s">
        <v>276</v>
      </c>
      <c r="AQ1071" s="94" t="s">
        <v>276</v>
      </c>
      <c r="AR1071" s="94" t="s">
        <v>276</v>
      </c>
      <c r="AS1071" s="102">
        <f t="shared" si="330"/>
        <v>1.3483502538071066</v>
      </c>
      <c r="AT1071" s="94" t="s">
        <v>276</v>
      </c>
      <c r="AU1071" s="94" t="s">
        <v>276</v>
      </c>
      <c r="AV1071" s="94" t="s">
        <v>268</v>
      </c>
      <c r="AW1071" s="141" t="s">
        <v>276</v>
      </c>
      <c r="AX1071" s="141">
        <f t="shared" si="322"/>
        <v>0.94125112565848101</v>
      </c>
      <c r="AY1071" s="95" t="s">
        <v>276</v>
      </c>
      <c r="AZ1071" s="95" t="s">
        <v>276</v>
      </c>
      <c r="BA1071" s="95" t="s">
        <v>276</v>
      </c>
      <c r="BB1071" s="95" t="s">
        <v>282</v>
      </c>
      <c r="BC1071" s="95" t="s">
        <v>276</v>
      </c>
      <c r="BD1071" s="95" t="s">
        <v>276</v>
      </c>
      <c r="BE1071" s="95" t="s">
        <v>276</v>
      </c>
      <c r="BF1071" s="95" t="s">
        <v>4915</v>
      </c>
      <c r="BG1071" s="95"/>
      <c r="BH1071" s="9" t="s">
        <v>100</v>
      </c>
      <c r="BI1071" s="9" t="s">
        <v>100</v>
      </c>
      <c r="BJ1071" s="109"/>
      <c r="BN1071" s="109"/>
      <c r="BO1071" s="109"/>
    </row>
    <row r="1072" spans="1:67" s="110" customFormat="1" ht="104" hidden="1" x14ac:dyDescent="0.35">
      <c r="A1072" s="94">
        <v>4467</v>
      </c>
      <c r="B1072" s="94" t="s">
        <v>4759</v>
      </c>
      <c r="C1072" s="94" t="s">
        <v>4714</v>
      </c>
      <c r="D1072" s="95" t="s">
        <v>4940</v>
      </c>
      <c r="E1072" s="94" t="s">
        <v>35</v>
      </c>
      <c r="F1072" s="95" t="s">
        <v>131</v>
      </c>
      <c r="G1072" s="95" t="s">
        <v>132</v>
      </c>
      <c r="H1072" s="94" t="s">
        <v>225</v>
      </c>
      <c r="I1072" s="94" t="s">
        <v>98</v>
      </c>
      <c r="J1072" s="95" t="s">
        <v>31</v>
      </c>
      <c r="K1072" s="94" t="s">
        <v>4870</v>
      </c>
      <c r="L1072" s="94" t="s">
        <v>276</v>
      </c>
      <c r="M1072" s="94" t="s">
        <v>276</v>
      </c>
      <c r="N1072" s="95" t="s">
        <v>4862</v>
      </c>
      <c r="O1072" s="95" t="s">
        <v>276</v>
      </c>
      <c r="P1072" s="95" t="s">
        <v>239</v>
      </c>
      <c r="Q1072" s="140" t="s">
        <v>276</v>
      </c>
      <c r="R1072" s="95" t="s">
        <v>705</v>
      </c>
      <c r="S1072" s="95" t="s">
        <v>276</v>
      </c>
      <c r="T1072" s="95" t="s">
        <v>276</v>
      </c>
      <c r="U1072" s="163" t="s">
        <v>1212</v>
      </c>
      <c r="V1072" s="94" t="s">
        <v>14</v>
      </c>
      <c r="W1072" s="94" t="s">
        <v>98</v>
      </c>
      <c r="X1072" s="95" t="s">
        <v>208</v>
      </c>
      <c r="Y1072" s="98">
        <v>25214</v>
      </c>
      <c r="Z1072" s="99">
        <v>25216</v>
      </c>
      <c r="AA1072" s="95" t="s">
        <v>276</v>
      </c>
      <c r="AB1072" s="95" t="s">
        <v>276</v>
      </c>
      <c r="AC1072" s="94">
        <f t="shared" si="331"/>
        <v>12</v>
      </c>
      <c r="AD1072" s="94" t="s">
        <v>3921</v>
      </c>
      <c r="AE1072" s="94">
        <f t="shared" si="332"/>
        <v>6</v>
      </c>
      <c r="AF1072" s="94" t="s">
        <v>3921</v>
      </c>
      <c r="AG1072" s="95" t="s">
        <v>4941</v>
      </c>
      <c r="AH1072" s="95" t="s">
        <v>2034</v>
      </c>
      <c r="AI1072" s="99">
        <f>4+6+0</f>
        <v>10</v>
      </c>
      <c r="AJ1072" s="99">
        <f>3+3+0</f>
        <v>6</v>
      </c>
      <c r="AK1072" s="98">
        <v>25214</v>
      </c>
      <c r="AL1072" s="99">
        <v>25216</v>
      </c>
      <c r="AM1072" s="99" t="s">
        <v>281</v>
      </c>
      <c r="AN1072" s="94" t="s">
        <v>276</v>
      </c>
      <c r="AO1072" s="102">
        <f t="shared" si="329"/>
        <v>0.39660506068057427</v>
      </c>
      <c r="AP1072" s="94" t="s">
        <v>276</v>
      </c>
      <c r="AQ1072" s="94" t="s">
        <v>276</v>
      </c>
      <c r="AR1072" s="94" t="s">
        <v>276</v>
      </c>
      <c r="AS1072" s="102">
        <f t="shared" si="330"/>
        <v>0.23794416243654823</v>
      </c>
      <c r="AT1072" s="94" t="s">
        <v>276</v>
      </c>
      <c r="AU1072" s="94" t="s">
        <v>276</v>
      </c>
      <c r="AV1072" s="94" t="s">
        <v>268</v>
      </c>
      <c r="AW1072" s="141" t="s">
        <v>276</v>
      </c>
      <c r="AX1072" s="141">
        <f t="shared" si="322"/>
        <v>1.6667988683535602</v>
      </c>
      <c r="AY1072" s="95" t="s">
        <v>276</v>
      </c>
      <c r="AZ1072" s="95" t="s">
        <v>276</v>
      </c>
      <c r="BA1072" s="95" t="s">
        <v>276</v>
      </c>
      <c r="BB1072" s="95" t="s">
        <v>282</v>
      </c>
      <c r="BC1072" s="95" t="s">
        <v>276</v>
      </c>
      <c r="BD1072" s="95" t="s">
        <v>276</v>
      </c>
      <c r="BE1072" s="95" t="s">
        <v>276</v>
      </c>
      <c r="BF1072" s="95" t="s">
        <v>4915</v>
      </c>
      <c r="BG1072" s="95"/>
      <c r="BH1072" s="9" t="s">
        <v>100</v>
      </c>
      <c r="BI1072" s="9" t="s">
        <v>100</v>
      </c>
      <c r="BJ1072" s="109"/>
      <c r="BN1072" s="109"/>
      <c r="BO1072" s="109"/>
    </row>
    <row r="1073" spans="1:67" s="110" customFormat="1" ht="104" hidden="1" x14ac:dyDescent="0.35">
      <c r="A1073" s="94">
        <v>4467</v>
      </c>
      <c r="B1073" s="94" t="s">
        <v>4759</v>
      </c>
      <c r="C1073" s="94" t="s">
        <v>4714</v>
      </c>
      <c r="D1073" s="95" t="s">
        <v>4942</v>
      </c>
      <c r="E1073" s="94" t="s">
        <v>35</v>
      </c>
      <c r="F1073" s="95" t="s">
        <v>131</v>
      </c>
      <c r="G1073" s="95" t="s">
        <v>132</v>
      </c>
      <c r="H1073" s="94" t="s">
        <v>225</v>
      </c>
      <c r="I1073" s="94" t="s">
        <v>98</v>
      </c>
      <c r="J1073" s="95" t="s">
        <v>31</v>
      </c>
      <c r="K1073" s="94" t="s">
        <v>3824</v>
      </c>
      <c r="L1073" s="94" t="s">
        <v>276</v>
      </c>
      <c r="M1073" s="94" t="s">
        <v>276</v>
      </c>
      <c r="N1073" s="95" t="s">
        <v>4862</v>
      </c>
      <c r="O1073" s="95" t="s">
        <v>276</v>
      </c>
      <c r="P1073" s="95" t="s">
        <v>239</v>
      </c>
      <c r="Q1073" s="140" t="s">
        <v>276</v>
      </c>
      <c r="R1073" s="95" t="s">
        <v>705</v>
      </c>
      <c r="S1073" s="95" t="s">
        <v>276</v>
      </c>
      <c r="T1073" s="95" t="s">
        <v>276</v>
      </c>
      <c r="U1073" s="163" t="s">
        <v>1212</v>
      </c>
      <c r="V1073" s="94" t="s">
        <v>14</v>
      </c>
      <c r="W1073" s="94" t="s">
        <v>98</v>
      </c>
      <c r="X1073" s="95" t="s">
        <v>208</v>
      </c>
      <c r="Y1073" s="98">
        <v>25214</v>
      </c>
      <c r="Z1073" s="99">
        <v>25216</v>
      </c>
      <c r="AA1073" s="95" t="s">
        <v>276</v>
      </c>
      <c r="AB1073" s="95" t="s">
        <v>276</v>
      </c>
      <c r="AC1073" s="94">
        <f t="shared" si="331"/>
        <v>12</v>
      </c>
      <c r="AD1073" s="94" t="s">
        <v>3921</v>
      </c>
      <c r="AE1073" s="94">
        <f t="shared" si="332"/>
        <v>6</v>
      </c>
      <c r="AF1073" s="94" t="s">
        <v>3921</v>
      </c>
      <c r="AG1073" s="95" t="s">
        <v>4943</v>
      </c>
      <c r="AH1073" s="95" t="s">
        <v>2034</v>
      </c>
      <c r="AI1073" s="99">
        <f>10+18+22</f>
        <v>50</v>
      </c>
      <c r="AJ1073" s="99">
        <f>9+10+17</f>
        <v>36</v>
      </c>
      <c r="AK1073" s="98">
        <v>25214</v>
      </c>
      <c r="AL1073" s="99">
        <v>25216</v>
      </c>
      <c r="AM1073" s="99" t="s">
        <v>281</v>
      </c>
      <c r="AN1073" s="94" t="s">
        <v>276</v>
      </c>
      <c r="AO1073" s="102">
        <f t="shared" si="329"/>
        <v>1.9830253034028715</v>
      </c>
      <c r="AP1073" s="94" t="s">
        <v>276</v>
      </c>
      <c r="AQ1073" s="94" t="s">
        <v>276</v>
      </c>
      <c r="AR1073" s="94" t="s">
        <v>276</v>
      </c>
      <c r="AS1073" s="102">
        <f t="shared" si="330"/>
        <v>1.4276649746192893</v>
      </c>
      <c r="AT1073" s="94" t="s">
        <v>276</v>
      </c>
      <c r="AU1073" s="94" t="s">
        <v>276</v>
      </c>
      <c r="AV1073" s="94" t="s">
        <v>268</v>
      </c>
      <c r="AW1073" s="141" t="s">
        <v>276</v>
      </c>
      <c r="AX1073" s="141">
        <f t="shared" si="322"/>
        <v>1.3889990569613002</v>
      </c>
      <c r="AY1073" s="95" t="s">
        <v>276</v>
      </c>
      <c r="AZ1073" s="95" t="s">
        <v>276</v>
      </c>
      <c r="BA1073" s="95" t="s">
        <v>276</v>
      </c>
      <c r="BB1073" s="95" t="s">
        <v>282</v>
      </c>
      <c r="BC1073" s="95" t="s">
        <v>276</v>
      </c>
      <c r="BD1073" s="95" t="s">
        <v>276</v>
      </c>
      <c r="BE1073" s="95" t="s">
        <v>276</v>
      </c>
      <c r="BF1073" s="95" t="s">
        <v>4915</v>
      </c>
      <c r="BG1073" s="95"/>
      <c r="BH1073" s="9" t="s">
        <v>100</v>
      </c>
      <c r="BI1073" s="9" t="s">
        <v>100</v>
      </c>
      <c r="BJ1073" s="109"/>
      <c r="BN1073" s="109"/>
      <c r="BO1073" s="109"/>
    </row>
    <row r="1074" spans="1:67" s="110" customFormat="1" ht="104" hidden="1" x14ac:dyDescent="0.35">
      <c r="A1074" s="94">
        <v>4467</v>
      </c>
      <c r="B1074" s="94" t="s">
        <v>4759</v>
      </c>
      <c r="C1074" s="94" t="s">
        <v>4714</v>
      </c>
      <c r="D1074" s="95" t="s">
        <v>4944</v>
      </c>
      <c r="E1074" s="94" t="s">
        <v>35</v>
      </c>
      <c r="F1074" s="95" t="s">
        <v>131</v>
      </c>
      <c r="G1074" s="95" t="s">
        <v>132</v>
      </c>
      <c r="H1074" s="94" t="s">
        <v>225</v>
      </c>
      <c r="I1074" s="94" t="s">
        <v>98</v>
      </c>
      <c r="J1074" s="95" t="s">
        <v>31</v>
      </c>
      <c r="K1074" s="94" t="s">
        <v>3821</v>
      </c>
      <c r="L1074" s="94" t="s">
        <v>276</v>
      </c>
      <c r="M1074" s="94" t="s">
        <v>276</v>
      </c>
      <c r="N1074" s="95" t="s">
        <v>4862</v>
      </c>
      <c r="O1074" s="95" t="s">
        <v>276</v>
      </c>
      <c r="P1074" s="95" t="s">
        <v>239</v>
      </c>
      <c r="Q1074" s="140" t="s">
        <v>276</v>
      </c>
      <c r="R1074" s="95" t="s">
        <v>705</v>
      </c>
      <c r="S1074" s="95" t="s">
        <v>276</v>
      </c>
      <c r="T1074" s="95" t="s">
        <v>276</v>
      </c>
      <c r="U1074" s="163" t="s">
        <v>1212</v>
      </c>
      <c r="V1074" s="94" t="s">
        <v>14</v>
      </c>
      <c r="W1074" s="94" t="s">
        <v>98</v>
      </c>
      <c r="X1074" s="95" t="s">
        <v>208</v>
      </c>
      <c r="Y1074" s="98">
        <v>25214</v>
      </c>
      <c r="Z1074" s="99">
        <v>25216</v>
      </c>
      <c r="AA1074" s="95" t="s">
        <v>276</v>
      </c>
      <c r="AB1074" s="95" t="s">
        <v>276</v>
      </c>
      <c r="AC1074" s="94">
        <f t="shared" si="331"/>
        <v>12</v>
      </c>
      <c r="AD1074" s="94" t="s">
        <v>3921</v>
      </c>
      <c r="AE1074" s="94">
        <f t="shared" si="332"/>
        <v>6</v>
      </c>
      <c r="AF1074" s="94" t="s">
        <v>3921</v>
      </c>
      <c r="AG1074" s="95" t="s">
        <v>4945</v>
      </c>
      <c r="AH1074" s="95" t="s">
        <v>2034</v>
      </c>
      <c r="AI1074" s="99">
        <f>32+10</f>
        <v>42</v>
      </c>
      <c r="AJ1074" s="99">
        <f>34+6</f>
        <v>40</v>
      </c>
      <c r="AK1074" s="98">
        <v>25214</v>
      </c>
      <c r="AL1074" s="99">
        <v>25216</v>
      </c>
      <c r="AM1074" s="99" t="s">
        <v>281</v>
      </c>
      <c r="AN1074" s="94" t="s">
        <v>276</v>
      </c>
      <c r="AO1074" s="102">
        <f t="shared" si="329"/>
        <v>1.6657412548584121</v>
      </c>
      <c r="AP1074" s="94" t="s">
        <v>276</v>
      </c>
      <c r="AQ1074" s="94" t="s">
        <v>276</v>
      </c>
      <c r="AR1074" s="94" t="s">
        <v>276</v>
      </c>
      <c r="AS1074" s="102">
        <f t="shared" si="330"/>
        <v>1.5862944162436547</v>
      </c>
      <c r="AT1074" s="94" t="s">
        <v>276</v>
      </c>
      <c r="AU1074" s="94" t="s">
        <v>276</v>
      </c>
      <c r="AV1074" s="94" t="s">
        <v>268</v>
      </c>
      <c r="AW1074" s="141" t="s">
        <v>276</v>
      </c>
      <c r="AX1074" s="141">
        <f t="shared" si="322"/>
        <v>1.050083287062743</v>
      </c>
      <c r="AY1074" s="95" t="s">
        <v>276</v>
      </c>
      <c r="AZ1074" s="95" t="s">
        <v>276</v>
      </c>
      <c r="BA1074" s="95" t="s">
        <v>276</v>
      </c>
      <c r="BB1074" s="95" t="s">
        <v>282</v>
      </c>
      <c r="BC1074" s="95" t="s">
        <v>276</v>
      </c>
      <c r="BD1074" s="95" t="s">
        <v>276</v>
      </c>
      <c r="BE1074" s="95" t="s">
        <v>276</v>
      </c>
      <c r="BF1074" s="95" t="s">
        <v>4915</v>
      </c>
      <c r="BG1074" s="95"/>
      <c r="BH1074" s="9" t="s">
        <v>100</v>
      </c>
      <c r="BI1074" s="9" t="s">
        <v>100</v>
      </c>
      <c r="BJ1074" s="109"/>
      <c r="BN1074" s="109"/>
      <c r="BO1074" s="109"/>
    </row>
    <row r="1075" spans="1:67" s="124" customFormat="1" ht="104" hidden="1" x14ac:dyDescent="0.35">
      <c r="A1075" s="112">
        <v>4467</v>
      </c>
      <c r="B1075" s="112" t="s">
        <v>4759</v>
      </c>
      <c r="C1075" s="112" t="s">
        <v>4714</v>
      </c>
      <c r="D1075" s="113" t="s">
        <v>4946</v>
      </c>
      <c r="E1075" s="112" t="s">
        <v>35</v>
      </c>
      <c r="F1075" s="113" t="s">
        <v>131</v>
      </c>
      <c r="G1075" s="113" t="s">
        <v>132</v>
      </c>
      <c r="H1075" s="112" t="s">
        <v>225</v>
      </c>
      <c r="I1075" s="112" t="s">
        <v>98</v>
      </c>
      <c r="J1075" s="113" t="s">
        <v>31</v>
      </c>
      <c r="K1075" s="112" t="s">
        <v>4858</v>
      </c>
      <c r="L1075" s="112" t="s">
        <v>276</v>
      </c>
      <c r="M1075" s="112" t="s">
        <v>276</v>
      </c>
      <c r="N1075" s="113" t="s">
        <v>4859</v>
      </c>
      <c r="O1075" s="113" t="s">
        <v>276</v>
      </c>
      <c r="P1075" s="113" t="s">
        <v>239</v>
      </c>
      <c r="Q1075" s="142" t="s">
        <v>276</v>
      </c>
      <c r="R1075" s="113" t="s">
        <v>728</v>
      </c>
      <c r="S1075" s="113" t="s">
        <v>276</v>
      </c>
      <c r="T1075" s="113" t="s">
        <v>276</v>
      </c>
      <c r="U1075" s="162" t="s">
        <v>4717</v>
      </c>
      <c r="V1075" s="112" t="s">
        <v>14</v>
      </c>
      <c r="W1075" s="112" t="s">
        <v>98</v>
      </c>
      <c r="X1075" s="113" t="s">
        <v>208</v>
      </c>
      <c r="Y1075" s="118">
        <v>25214</v>
      </c>
      <c r="Z1075" s="119">
        <v>25216</v>
      </c>
      <c r="AA1075" s="113" t="s">
        <v>276</v>
      </c>
      <c r="AB1075" s="113" t="s">
        <v>276</v>
      </c>
      <c r="AC1075" s="112">
        <f>93-58</f>
        <v>35</v>
      </c>
      <c r="AD1075" s="112" t="s">
        <v>3921</v>
      </c>
      <c r="AE1075" s="112">
        <f>93-69</f>
        <v>24</v>
      </c>
      <c r="AF1075" s="112" t="s">
        <v>3921</v>
      </c>
      <c r="AG1075" s="113" t="s">
        <v>4947</v>
      </c>
      <c r="AH1075" s="113" t="s">
        <v>2034</v>
      </c>
      <c r="AI1075" s="119">
        <f>59-17</f>
        <v>42</v>
      </c>
      <c r="AJ1075" s="119">
        <f>33-14</f>
        <v>19</v>
      </c>
      <c r="AK1075" s="118">
        <v>25214</v>
      </c>
      <c r="AL1075" s="119">
        <v>25216</v>
      </c>
      <c r="AM1075" s="119" t="s">
        <v>281</v>
      </c>
      <c r="AN1075" s="112" t="s">
        <v>276</v>
      </c>
      <c r="AO1075" s="121">
        <f t="shared" si="329"/>
        <v>1.6657412548584121</v>
      </c>
      <c r="AP1075" s="112" t="s">
        <v>276</v>
      </c>
      <c r="AQ1075" s="112" t="s">
        <v>276</v>
      </c>
      <c r="AR1075" s="112" t="s">
        <v>276</v>
      </c>
      <c r="AS1075" s="121">
        <f t="shared" si="330"/>
        <v>0.75348984771573602</v>
      </c>
      <c r="AT1075" s="112" t="s">
        <v>276</v>
      </c>
      <c r="AU1075" s="112" t="s">
        <v>276</v>
      </c>
      <c r="AV1075" s="112" t="s">
        <v>268</v>
      </c>
      <c r="AW1075" s="143" t="s">
        <v>276</v>
      </c>
      <c r="AX1075" s="143">
        <f t="shared" si="322"/>
        <v>2.2107016569741957</v>
      </c>
      <c r="AY1075" s="113" t="s">
        <v>276</v>
      </c>
      <c r="AZ1075" s="113" t="s">
        <v>276</v>
      </c>
      <c r="BA1075" s="113" t="s">
        <v>276</v>
      </c>
      <c r="BB1075" s="113" t="s">
        <v>282</v>
      </c>
      <c r="BC1075" s="113" t="s">
        <v>276</v>
      </c>
      <c r="BD1075" s="113" t="s">
        <v>276</v>
      </c>
      <c r="BE1075" s="113" t="s">
        <v>276</v>
      </c>
      <c r="BF1075" s="113" t="s">
        <v>4915</v>
      </c>
      <c r="BG1075" s="113"/>
      <c r="BH1075" s="9" t="s">
        <v>100</v>
      </c>
      <c r="BI1075" s="9" t="s">
        <v>100</v>
      </c>
      <c r="BJ1075" s="123"/>
      <c r="BN1075" s="123"/>
      <c r="BO1075" s="123"/>
    </row>
    <row r="1076" spans="1:67" s="124" customFormat="1" ht="104" hidden="1" x14ac:dyDescent="0.35">
      <c r="A1076" s="112">
        <v>4467</v>
      </c>
      <c r="B1076" s="112" t="s">
        <v>4759</v>
      </c>
      <c r="C1076" s="112" t="s">
        <v>4714</v>
      </c>
      <c r="D1076" s="113" t="s">
        <v>4948</v>
      </c>
      <c r="E1076" s="112" t="s">
        <v>35</v>
      </c>
      <c r="F1076" s="113" t="s">
        <v>131</v>
      </c>
      <c r="G1076" s="113" t="s">
        <v>132</v>
      </c>
      <c r="H1076" s="112" t="s">
        <v>225</v>
      </c>
      <c r="I1076" s="112" t="s">
        <v>98</v>
      </c>
      <c r="J1076" s="113" t="s">
        <v>31</v>
      </c>
      <c r="K1076" s="112" t="s">
        <v>3805</v>
      </c>
      <c r="L1076" s="112" t="s">
        <v>276</v>
      </c>
      <c r="M1076" s="112" t="s">
        <v>276</v>
      </c>
      <c r="N1076" s="113" t="s">
        <v>4862</v>
      </c>
      <c r="O1076" s="113" t="s">
        <v>276</v>
      </c>
      <c r="P1076" s="113" t="s">
        <v>239</v>
      </c>
      <c r="Q1076" s="142" t="s">
        <v>276</v>
      </c>
      <c r="R1076" s="113" t="s">
        <v>728</v>
      </c>
      <c r="S1076" s="113" t="s">
        <v>276</v>
      </c>
      <c r="T1076" s="113" t="s">
        <v>276</v>
      </c>
      <c r="U1076" s="162" t="s">
        <v>4717</v>
      </c>
      <c r="V1076" s="112" t="s">
        <v>14</v>
      </c>
      <c r="W1076" s="112" t="s">
        <v>98</v>
      </c>
      <c r="X1076" s="113" t="s">
        <v>208</v>
      </c>
      <c r="Y1076" s="118">
        <v>25214</v>
      </c>
      <c r="Z1076" s="119">
        <v>25216</v>
      </c>
      <c r="AA1076" s="113" t="s">
        <v>276</v>
      </c>
      <c r="AB1076" s="113" t="s">
        <v>276</v>
      </c>
      <c r="AC1076" s="112">
        <f t="shared" ref="AC1076:AC1081" si="333">93-58</f>
        <v>35</v>
      </c>
      <c r="AD1076" s="112" t="s">
        <v>3921</v>
      </c>
      <c r="AE1076" s="112">
        <f t="shared" ref="AE1076:AE1081" si="334">93-69</f>
        <v>24</v>
      </c>
      <c r="AF1076" s="112" t="s">
        <v>3921</v>
      </c>
      <c r="AG1076" s="113" t="s">
        <v>4949</v>
      </c>
      <c r="AH1076" s="113" t="s">
        <v>2034</v>
      </c>
      <c r="AI1076" s="119">
        <f>68-22</f>
        <v>46</v>
      </c>
      <c r="AJ1076" s="119">
        <f>66-32</f>
        <v>34</v>
      </c>
      <c r="AK1076" s="118">
        <v>25214</v>
      </c>
      <c r="AL1076" s="119">
        <v>25216</v>
      </c>
      <c r="AM1076" s="119" t="s">
        <v>281</v>
      </c>
      <c r="AN1076" s="112" t="s">
        <v>276</v>
      </c>
      <c r="AO1076" s="121">
        <f t="shared" si="329"/>
        <v>1.8243832791306418</v>
      </c>
      <c r="AP1076" s="112" t="s">
        <v>276</v>
      </c>
      <c r="AQ1076" s="112" t="s">
        <v>276</v>
      </c>
      <c r="AR1076" s="112" t="s">
        <v>276</v>
      </c>
      <c r="AS1076" s="121">
        <f t="shared" si="330"/>
        <v>1.3483502538071066</v>
      </c>
      <c r="AT1076" s="112" t="s">
        <v>276</v>
      </c>
      <c r="AU1076" s="112" t="s">
        <v>276</v>
      </c>
      <c r="AV1076" s="112" t="s">
        <v>268</v>
      </c>
      <c r="AW1076" s="143" t="s">
        <v>276</v>
      </c>
      <c r="AX1076" s="143">
        <f t="shared" si="322"/>
        <v>1.3530484931340665</v>
      </c>
      <c r="AY1076" s="113" t="s">
        <v>276</v>
      </c>
      <c r="AZ1076" s="113" t="s">
        <v>276</v>
      </c>
      <c r="BA1076" s="113" t="s">
        <v>276</v>
      </c>
      <c r="BB1076" s="113" t="s">
        <v>282</v>
      </c>
      <c r="BC1076" s="113" t="s">
        <v>276</v>
      </c>
      <c r="BD1076" s="113" t="s">
        <v>276</v>
      </c>
      <c r="BE1076" s="113" t="s">
        <v>276</v>
      </c>
      <c r="BF1076" s="113" t="s">
        <v>4915</v>
      </c>
      <c r="BG1076" s="113"/>
      <c r="BH1076" s="9" t="s">
        <v>100</v>
      </c>
      <c r="BI1076" s="9" t="s">
        <v>100</v>
      </c>
      <c r="BJ1076" s="123"/>
      <c r="BN1076" s="123"/>
      <c r="BO1076" s="123"/>
    </row>
    <row r="1077" spans="1:67" s="124" customFormat="1" ht="104" hidden="1" x14ac:dyDescent="0.35">
      <c r="A1077" s="112">
        <v>4467</v>
      </c>
      <c r="B1077" s="112" t="s">
        <v>4759</v>
      </c>
      <c r="C1077" s="112" t="s">
        <v>4714</v>
      </c>
      <c r="D1077" s="113" t="s">
        <v>4950</v>
      </c>
      <c r="E1077" s="112" t="s">
        <v>35</v>
      </c>
      <c r="F1077" s="113" t="s">
        <v>131</v>
      </c>
      <c r="G1077" s="113" t="s">
        <v>132</v>
      </c>
      <c r="H1077" s="112" t="s">
        <v>225</v>
      </c>
      <c r="I1077" s="112" t="s">
        <v>98</v>
      </c>
      <c r="J1077" s="113" t="s">
        <v>31</v>
      </c>
      <c r="K1077" s="112" t="s">
        <v>3808</v>
      </c>
      <c r="L1077" s="112" t="s">
        <v>276</v>
      </c>
      <c r="M1077" s="112" t="s">
        <v>276</v>
      </c>
      <c r="N1077" s="113" t="s">
        <v>4862</v>
      </c>
      <c r="O1077" s="113" t="s">
        <v>276</v>
      </c>
      <c r="P1077" s="113" t="s">
        <v>239</v>
      </c>
      <c r="Q1077" s="142" t="s">
        <v>276</v>
      </c>
      <c r="R1077" s="113" t="s">
        <v>728</v>
      </c>
      <c r="S1077" s="113" t="s">
        <v>276</v>
      </c>
      <c r="T1077" s="113" t="s">
        <v>276</v>
      </c>
      <c r="U1077" s="162" t="s">
        <v>4717</v>
      </c>
      <c r="V1077" s="112" t="s">
        <v>14</v>
      </c>
      <c r="W1077" s="112" t="s">
        <v>98</v>
      </c>
      <c r="X1077" s="113" t="s">
        <v>208</v>
      </c>
      <c r="Y1077" s="118">
        <v>25214</v>
      </c>
      <c r="Z1077" s="119">
        <v>25216</v>
      </c>
      <c r="AA1077" s="113" t="s">
        <v>276</v>
      </c>
      <c r="AB1077" s="113" t="s">
        <v>276</v>
      </c>
      <c r="AC1077" s="112">
        <f t="shared" si="333"/>
        <v>35</v>
      </c>
      <c r="AD1077" s="112" t="s">
        <v>3921</v>
      </c>
      <c r="AE1077" s="112">
        <f t="shared" si="334"/>
        <v>24</v>
      </c>
      <c r="AF1077" s="112" t="s">
        <v>3921</v>
      </c>
      <c r="AG1077" s="113" t="s">
        <v>4951</v>
      </c>
      <c r="AH1077" s="113" t="s">
        <v>2034</v>
      </c>
      <c r="AI1077" s="119">
        <f>85-29</f>
        <v>56</v>
      </c>
      <c r="AJ1077" s="119">
        <f>67-22</f>
        <v>45</v>
      </c>
      <c r="AK1077" s="118">
        <v>25214</v>
      </c>
      <c r="AL1077" s="119">
        <v>25216</v>
      </c>
      <c r="AM1077" s="119" t="s">
        <v>281</v>
      </c>
      <c r="AN1077" s="112" t="s">
        <v>276</v>
      </c>
      <c r="AO1077" s="121">
        <f t="shared" si="329"/>
        <v>2.2209883398112158</v>
      </c>
      <c r="AP1077" s="112" t="s">
        <v>276</v>
      </c>
      <c r="AQ1077" s="112" t="s">
        <v>276</v>
      </c>
      <c r="AR1077" s="112" t="s">
        <v>276</v>
      </c>
      <c r="AS1077" s="121">
        <f t="shared" si="330"/>
        <v>1.7845812182741116</v>
      </c>
      <c r="AT1077" s="112" t="s">
        <v>276</v>
      </c>
      <c r="AU1077" s="112" t="s">
        <v>276</v>
      </c>
      <c r="AV1077" s="112" t="s">
        <v>268</v>
      </c>
      <c r="AW1077" s="143" t="s">
        <v>276</v>
      </c>
      <c r="AX1077" s="143">
        <f t="shared" si="322"/>
        <v>1.2445431550373249</v>
      </c>
      <c r="AY1077" s="113" t="s">
        <v>276</v>
      </c>
      <c r="AZ1077" s="113" t="s">
        <v>276</v>
      </c>
      <c r="BA1077" s="113" t="s">
        <v>276</v>
      </c>
      <c r="BB1077" s="113" t="s">
        <v>282</v>
      </c>
      <c r="BC1077" s="113" t="s">
        <v>276</v>
      </c>
      <c r="BD1077" s="113" t="s">
        <v>276</v>
      </c>
      <c r="BE1077" s="113" t="s">
        <v>276</v>
      </c>
      <c r="BF1077" s="113" t="s">
        <v>4915</v>
      </c>
      <c r="BG1077" s="113"/>
      <c r="BH1077" s="9" t="s">
        <v>100</v>
      </c>
      <c r="BI1077" s="9" t="s">
        <v>100</v>
      </c>
      <c r="BJ1077" s="123"/>
      <c r="BN1077" s="123"/>
      <c r="BO1077" s="123"/>
    </row>
    <row r="1078" spans="1:67" s="124" customFormat="1" ht="104" hidden="1" x14ac:dyDescent="0.35">
      <c r="A1078" s="112">
        <v>4467</v>
      </c>
      <c r="B1078" s="112" t="s">
        <v>4759</v>
      </c>
      <c r="C1078" s="112" t="s">
        <v>4714</v>
      </c>
      <c r="D1078" s="113" t="s">
        <v>4952</v>
      </c>
      <c r="E1078" s="112" t="s">
        <v>35</v>
      </c>
      <c r="F1078" s="113" t="s">
        <v>131</v>
      </c>
      <c r="G1078" s="113" t="s">
        <v>132</v>
      </c>
      <c r="H1078" s="112" t="s">
        <v>225</v>
      </c>
      <c r="I1078" s="112" t="s">
        <v>98</v>
      </c>
      <c r="J1078" s="113" t="s">
        <v>31</v>
      </c>
      <c r="K1078" s="112" t="s">
        <v>4867</v>
      </c>
      <c r="L1078" s="112" t="s">
        <v>276</v>
      </c>
      <c r="M1078" s="112" t="s">
        <v>276</v>
      </c>
      <c r="N1078" s="113" t="s">
        <v>4862</v>
      </c>
      <c r="O1078" s="113" t="s">
        <v>276</v>
      </c>
      <c r="P1078" s="113" t="s">
        <v>239</v>
      </c>
      <c r="Q1078" s="142" t="s">
        <v>276</v>
      </c>
      <c r="R1078" s="113" t="s">
        <v>728</v>
      </c>
      <c r="S1078" s="113" t="s">
        <v>276</v>
      </c>
      <c r="T1078" s="113" t="s">
        <v>276</v>
      </c>
      <c r="U1078" s="162" t="s">
        <v>4717</v>
      </c>
      <c r="V1078" s="112" t="s">
        <v>14</v>
      </c>
      <c r="W1078" s="112" t="s">
        <v>98</v>
      </c>
      <c r="X1078" s="113" t="s">
        <v>208</v>
      </c>
      <c r="Y1078" s="118">
        <v>25214</v>
      </c>
      <c r="Z1078" s="119">
        <v>25216</v>
      </c>
      <c r="AA1078" s="113" t="s">
        <v>276</v>
      </c>
      <c r="AB1078" s="113" t="s">
        <v>276</v>
      </c>
      <c r="AC1078" s="112">
        <f t="shared" si="333"/>
        <v>35</v>
      </c>
      <c r="AD1078" s="112" t="s">
        <v>3921</v>
      </c>
      <c r="AE1078" s="112">
        <f t="shared" si="334"/>
        <v>24</v>
      </c>
      <c r="AF1078" s="112" t="s">
        <v>3921</v>
      </c>
      <c r="AG1078" s="113" t="s">
        <v>4953</v>
      </c>
      <c r="AH1078" s="113" t="s">
        <v>2034</v>
      </c>
      <c r="AI1078" s="119">
        <f>148-63</f>
        <v>85</v>
      </c>
      <c r="AJ1078" s="119">
        <f>142-49</f>
        <v>93</v>
      </c>
      <c r="AK1078" s="118">
        <v>25214</v>
      </c>
      <c r="AL1078" s="119">
        <v>25216</v>
      </c>
      <c r="AM1078" s="119" t="s">
        <v>281</v>
      </c>
      <c r="AN1078" s="112" t="s">
        <v>276</v>
      </c>
      <c r="AO1078" s="121">
        <f t="shared" si="329"/>
        <v>3.3711430157848814</v>
      </c>
      <c r="AP1078" s="112" t="s">
        <v>276</v>
      </c>
      <c r="AQ1078" s="112" t="s">
        <v>276</v>
      </c>
      <c r="AR1078" s="112" t="s">
        <v>276</v>
      </c>
      <c r="AS1078" s="121">
        <f t="shared" si="330"/>
        <v>3.6881345177664975</v>
      </c>
      <c r="AT1078" s="112" t="s">
        <v>276</v>
      </c>
      <c r="AU1078" s="112" t="s">
        <v>276</v>
      </c>
      <c r="AV1078" s="112" t="s">
        <v>268</v>
      </c>
      <c r="AW1078" s="143" t="s">
        <v>276</v>
      </c>
      <c r="AX1078" s="143">
        <f t="shared" si="322"/>
        <v>0.91405099232292009</v>
      </c>
      <c r="AY1078" s="113" t="s">
        <v>276</v>
      </c>
      <c r="AZ1078" s="113" t="s">
        <v>276</v>
      </c>
      <c r="BA1078" s="113" t="s">
        <v>276</v>
      </c>
      <c r="BB1078" s="113" t="s">
        <v>282</v>
      </c>
      <c r="BC1078" s="113" t="s">
        <v>276</v>
      </c>
      <c r="BD1078" s="113" t="s">
        <v>276</v>
      </c>
      <c r="BE1078" s="113" t="s">
        <v>276</v>
      </c>
      <c r="BF1078" s="113" t="s">
        <v>4915</v>
      </c>
      <c r="BG1078" s="113"/>
      <c r="BH1078" s="9" t="s">
        <v>100</v>
      </c>
      <c r="BI1078" s="9" t="s">
        <v>100</v>
      </c>
      <c r="BJ1078" s="123"/>
      <c r="BN1078" s="123"/>
      <c r="BO1078" s="123"/>
    </row>
    <row r="1079" spans="1:67" s="124" customFormat="1" ht="104" hidden="1" x14ac:dyDescent="0.35">
      <c r="A1079" s="112">
        <v>4467</v>
      </c>
      <c r="B1079" s="112" t="s">
        <v>4759</v>
      </c>
      <c r="C1079" s="112" t="s">
        <v>4714</v>
      </c>
      <c r="D1079" s="113" t="s">
        <v>4954</v>
      </c>
      <c r="E1079" s="112" t="s">
        <v>35</v>
      </c>
      <c r="F1079" s="113" t="s">
        <v>131</v>
      </c>
      <c r="G1079" s="113" t="s">
        <v>132</v>
      </c>
      <c r="H1079" s="112" t="s">
        <v>225</v>
      </c>
      <c r="I1079" s="112" t="s">
        <v>98</v>
      </c>
      <c r="J1079" s="113" t="s">
        <v>31</v>
      </c>
      <c r="K1079" s="112" t="s">
        <v>4870</v>
      </c>
      <c r="L1079" s="112" t="s">
        <v>276</v>
      </c>
      <c r="M1079" s="112" t="s">
        <v>276</v>
      </c>
      <c r="N1079" s="113" t="s">
        <v>4862</v>
      </c>
      <c r="O1079" s="113" t="s">
        <v>276</v>
      </c>
      <c r="P1079" s="113" t="s">
        <v>239</v>
      </c>
      <c r="Q1079" s="142" t="s">
        <v>276</v>
      </c>
      <c r="R1079" s="113" t="s">
        <v>728</v>
      </c>
      <c r="S1079" s="113" t="s">
        <v>276</v>
      </c>
      <c r="T1079" s="113" t="s">
        <v>276</v>
      </c>
      <c r="U1079" s="162" t="s">
        <v>4717</v>
      </c>
      <c r="V1079" s="112" t="s">
        <v>14</v>
      </c>
      <c r="W1079" s="112" t="s">
        <v>98</v>
      </c>
      <c r="X1079" s="113" t="s">
        <v>208</v>
      </c>
      <c r="Y1079" s="118">
        <v>25214</v>
      </c>
      <c r="Z1079" s="119">
        <v>25216</v>
      </c>
      <c r="AA1079" s="113" t="s">
        <v>276</v>
      </c>
      <c r="AB1079" s="113" t="s">
        <v>276</v>
      </c>
      <c r="AC1079" s="112">
        <f t="shared" si="333"/>
        <v>35</v>
      </c>
      <c r="AD1079" s="112" t="s">
        <v>3921</v>
      </c>
      <c r="AE1079" s="112">
        <f t="shared" si="334"/>
        <v>24</v>
      </c>
      <c r="AF1079" s="112" t="s">
        <v>3921</v>
      </c>
      <c r="AG1079" s="113" t="s">
        <v>4955</v>
      </c>
      <c r="AH1079" s="113" t="s">
        <v>2034</v>
      </c>
      <c r="AI1079" s="119">
        <f>41-15</f>
        <v>26</v>
      </c>
      <c r="AJ1079" s="119">
        <f>39-17</f>
        <v>22</v>
      </c>
      <c r="AK1079" s="118">
        <v>25214</v>
      </c>
      <c r="AL1079" s="119">
        <v>25216</v>
      </c>
      <c r="AM1079" s="119" t="s">
        <v>281</v>
      </c>
      <c r="AN1079" s="112" t="s">
        <v>276</v>
      </c>
      <c r="AO1079" s="121">
        <f t="shared" si="329"/>
        <v>1.0311731577694931</v>
      </c>
      <c r="AP1079" s="112" t="s">
        <v>276</v>
      </c>
      <c r="AQ1079" s="112" t="s">
        <v>276</v>
      </c>
      <c r="AR1079" s="112" t="s">
        <v>276</v>
      </c>
      <c r="AS1079" s="121">
        <f t="shared" si="330"/>
        <v>0.8724619289340102</v>
      </c>
      <c r="AT1079" s="112" t="s">
        <v>276</v>
      </c>
      <c r="AU1079" s="112" t="s">
        <v>276</v>
      </c>
      <c r="AV1079" s="112" t="s">
        <v>268</v>
      </c>
      <c r="AW1079" s="143" t="s">
        <v>276</v>
      </c>
      <c r="AX1079" s="143">
        <f t="shared" si="322"/>
        <v>1.1819119248325245</v>
      </c>
      <c r="AY1079" s="113" t="s">
        <v>276</v>
      </c>
      <c r="AZ1079" s="113" t="s">
        <v>276</v>
      </c>
      <c r="BA1079" s="113" t="s">
        <v>276</v>
      </c>
      <c r="BB1079" s="113" t="s">
        <v>282</v>
      </c>
      <c r="BC1079" s="113" t="s">
        <v>276</v>
      </c>
      <c r="BD1079" s="113" t="s">
        <v>276</v>
      </c>
      <c r="BE1079" s="113" t="s">
        <v>276</v>
      </c>
      <c r="BF1079" s="113" t="s">
        <v>4915</v>
      </c>
      <c r="BG1079" s="113"/>
      <c r="BH1079" s="9" t="s">
        <v>100</v>
      </c>
      <c r="BI1079" s="9" t="s">
        <v>100</v>
      </c>
      <c r="BJ1079" s="123"/>
      <c r="BN1079" s="123"/>
      <c r="BO1079" s="123"/>
    </row>
    <row r="1080" spans="1:67" s="124" customFormat="1" ht="104" hidden="1" x14ac:dyDescent="0.35">
      <c r="A1080" s="112">
        <v>4467</v>
      </c>
      <c r="B1080" s="112" t="s">
        <v>4759</v>
      </c>
      <c r="C1080" s="112" t="s">
        <v>4714</v>
      </c>
      <c r="D1080" s="113" t="s">
        <v>4956</v>
      </c>
      <c r="E1080" s="112" t="s">
        <v>35</v>
      </c>
      <c r="F1080" s="113" t="s">
        <v>131</v>
      </c>
      <c r="G1080" s="113" t="s">
        <v>132</v>
      </c>
      <c r="H1080" s="112" t="s">
        <v>225</v>
      </c>
      <c r="I1080" s="112" t="s">
        <v>98</v>
      </c>
      <c r="J1080" s="113" t="s">
        <v>31</v>
      </c>
      <c r="K1080" s="112" t="s">
        <v>3824</v>
      </c>
      <c r="L1080" s="112" t="s">
        <v>276</v>
      </c>
      <c r="M1080" s="112" t="s">
        <v>276</v>
      </c>
      <c r="N1080" s="113" t="s">
        <v>4862</v>
      </c>
      <c r="O1080" s="113" t="s">
        <v>276</v>
      </c>
      <c r="P1080" s="113" t="s">
        <v>239</v>
      </c>
      <c r="Q1080" s="142" t="s">
        <v>276</v>
      </c>
      <c r="R1080" s="113" t="s">
        <v>728</v>
      </c>
      <c r="S1080" s="113" t="s">
        <v>276</v>
      </c>
      <c r="T1080" s="113" t="s">
        <v>276</v>
      </c>
      <c r="U1080" s="162" t="s">
        <v>4717</v>
      </c>
      <c r="V1080" s="112" t="s">
        <v>14</v>
      </c>
      <c r="W1080" s="112" t="s">
        <v>98</v>
      </c>
      <c r="X1080" s="113" t="s">
        <v>208</v>
      </c>
      <c r="Y1080" s="118">
        <v>25214</v>
      </c>
      <c r="Z1080" s="119">
        <v>25216</v>
      </c>
      <c r="AA1080" s="113" t="s">
        <v>276</v>
      </c>
      <c r="AB1080" s="113" t="s">
        <v>276</v>
      </c>
      <c r="AC1080" s="112">
        <f t="shared" si="333"/>
        <v>35</v>
      </c>
      <c r="AD1080" s="112" t="s">
        <v>3921</v>
      </c>
      <c r="AE1080" s="112">
        <f t="shared" si="334"/>
        <v>24</v>
      </c>
      <c r="AF1080" s="112" t="s">
        <v>3921</v>
      </c>
      <c r="AG1080" s="113" t="s">
        <v>4957</v>
      </c>
      <c r="AH1080" s="113" t="s">
        <v>2034</v>
      </c>
      <c r="AI1080" s="119">
        <f>42+46+56</f>
        <v>144</v>
      </c>
      <c r="AJ1080" s="119">
        <f>19+34+45</f>
        <v>98</v>
      </c>
      <c r="AK1080" s="118">
        <v>25214</v>
      </c>
      <c r="AL1080" s="119">
        <v>25216</v>
      </c>
      <c r="AM1080" s="119" t="s">
        <v>281</v>
      </c>
      <c r="AN1080" s="112" t="s">
        <v>276</v>
      </c>
      <c r="AO1080" s="121">
        <f t="shared" si="329"/>
        <v>5.7111128738002694</v>
      </c>
      <c r="AP1080" s="112" t="s">
        <v>276</v>
      </c>
      <c r="AQ1080" s="112" t="s">
        <v>276</v>
      </c>
      <c r="AR1080" s="112" t="s">
        <v>276</v>
      </c>
      <c r="AS1080" s="121">
        <f t="shared" si="330"/>
        <v>3.8864213197969542</v>
      </c>
      <c r="AT1080" s="112" t="s">
        <v>276</v>
      </c>
      <c r="AU1080" s="112" t="s">
        <v>276</v>
      </c>
      <c r="AV1080" s="112" t="s">
        <v>268</v>
      </c>
      <c r="AW1080" s="143" t="s">
        <v>276</v>
      </c>
      <c r="AX1080" s="143">
        <f t="shared" si="322"/>
        <v>1.469504308425996</v>
      </c>
      <c r="AY1080" s="113" t="s">
        <v>276</v>
      </c>
      <c r="AZ1080" s="113" t="s">
        <v>276</v>
      </c>
      <c r="BA1080" s="113" t="s">
        <v>276</v>
      </c>
      <c r="BB1080" s="113" t="s">
        <v>282</v>
      </c>
      <c r="BC1080" s="113" t="s">
        <v>276</v>
      </c>
      <c r="BD1080" s="113" t="s">
        <v>276</v>
      </c>
      <c r="BE1080" s="113" t="s">
        <v>276</v>
      </c>
      <c r="BF1080" s="113" t="s">
        <v>4915</v>
      </c>
      <c r="BG1080" s="113"/>
      <c r="BH1080" s="9" t="s">
        <v>100</v>
      </c>
      <c r="BI1080" s="9" t="s">
        <v>100</v>
      </c>
      <c r="BJ1080" s="123"/>
      <c r="BN1080" s="123"/>
      <c r="BO1080" s="123"/>
    </row>
    <row r="1081" spans="1:67" s="124" customFormat="1" ht="104" hidden="1" x14ac:dyDescent="0.35">
      <c r="A1081" s="112">
        <v>4467</v>
      </c>
      <c r="B1081" s="112" t="s">
        <v>4759</v>
      </c>
      <c r="C1081" s="112" t="s">
        <v>4714</v>
      </c>
      <c r="D1081" s="113" t="s">
        <v>4958</v>
      </c>
      <c r="E1081" s="112" t="s">
        <v>35</v>
      </c>
      <c r="F1081" s="113" t="s">
        <v>131</v>
      </c>
      <c r="G1081" s="113" t="s">
        <v>132</v>
      </c>
      <c r="H1081" s="112" t="s">
        <v>225</v>
      </c>
      <c r="I1081" s="112" t="s">
        <v>98</v>
      </c>
      <c r="J1081" s="113" t="s">
        <v>31</v>
      </c>
      <c r="K1081" s="112" t="s">
        <v>3821</v>
      </c>
      <c r="L1081" s="112" t="s">
        <v>276</v>
      </c>
      <c r="M1081" s="112" t="s">
        <v>276</v>
      </c>
      <c r="N1081" s="113" t="s">
        <v>4862</v>
      </c>
      <c r="O1081" s="113" t="s">
        <v>276</v>
      </c>
      <c r="P1081" s="113" t="s">
        <v>239</v>
      </c>
      <c r="Q1081" s="142" t="s">
        <v>276</v>
      </c>
      <c r="R1081" s="113" t="s">
        <v>728</v>
      </c>
      <c r="S1081" s="113" t="s">
        <v>276</v>
      </c>
      <c r="T1081" s="113" t="s">
        <v>276</v>
      </c>
      <c r="U1081" s="162" t="s">
        <v>4717</v>
      </c>
      <c r="V1081" s="112" t="s">
        <v>14</v>
      </c>
      <c r="W1081" s="112" t="s">
        <v>98</v>
      </c>
      <c r="X1081" s="113" t="s">
        <v>208</v>
      </c>
      <c r="Y1081" s="118">
        <v>25214</v>
      </c>
      <c r="Z1081" s="119">
        <v>25216</v>
      </c>
      <c r="AA1081" s="113" t="s">
        <v>276</v>
      </c>
      <c r="AB1081" s="113" t="s">
        <v>276</v>
      </c>
      <c r="AC1081" s="112">
        <f t="shared" si="333"/>
        <v>35</v>
      </c>
      <c r="AD1081" s="112" t="s">
        <v>3921</v>
      </c>
      <c r="AE1081" s="112">
        <f t="shared" si="334"/>
        <v>24</v>
      </c>
      <c r="AF1081" s="112" t="s">
        <v>3921</v>
      </c>
      <c r="AG1081" s="113" t="s">
        <v>4959</v>
      </c>
      <c r="AH1081" s="113" t="s">
        <v>2034</v>
      </c>
      <c r="AI1081" s="119">
        <f>85+26</f>
        <v>111</v>
      </c>
      <c r="AJ1081" s="119">
        <f>93+22</f>
        <v>115</v>
      </c>
      <c r="AK1081" s="118">
        <v>25214</v>
      </c>
      <c r="AL1081" s="119">
        <v>25216</v>
      </c>
      <c r="AM1081" s="119" t="s">
        <v>281</v>
      </c>
      <c r="AN1081" s="112" t="s">
        <v>276</v>
      </c>
      <c r="AO1081" s="121">
        <f t="shared" si="329"/>
        <v>4.4023161735543743</v>
      </c>
      <c r="AP1081" s="112" t="s">
        <v>276</v>
      </c>
      <c r="AQ1081" s="112" t="s">
        <v>276</v>
      </c>
      <c r="AR1081" s="112" t="s">
        <v>276</v>
      </c>
      <c r="AS1081" s="121">
        <f t="shared" si="330"/>
        <v>4.560596446700508</v>
      </c>
      <c r="AT1081" s="112" t="s">
        <v>276</v>
      </c>
      <c r="AU1081" s="112" t="s">
        <v>276</v>
      </c>
      <c r="AV1081" s="112" t="s">
        <v>268</v>
      </c>
      <c r="AW1081" s="143" t="s">
        <v>276</v>
      </c>
      <c r="AX1081" s="143">
        <f t="shared" si="322"/>
        <v>0.96529395332475731</v>
      </c>
      <c r="AY1081" s="113" t="s">
        <v>276</v>
      </c>
      <c r="AZ1081" s="113" t="s">
        <v>276</v>
      </c>
      <c r="BA1081" s="113" t="s">
        <v>276</v>
      </c>
      <c r="BB1081" s="113" t="s">
        <v>282</v>
      </c>
      <c r="BC1081" s="113" t="s">
        <v>276</v>
      </c>
      <c r="BD1081" s="113" t="s">
        <v>276</v>
      </c>
      <c r="BE1081" s="113" t="s">
        <v>276</v>
      </c>
      <c r="BF1081" s="113" t="s">
        <v>4915</v>
      </c>
      <c r="BG1081" s="113"/>
      <c r="BH1081" s="9" t="s">
        <v>100</v>
      </c>
      <c r="BI1081" s="9" t="s">
        <v>100</v>
      </c>
      <c r="BJ1081" s="123"/>
      <c r="BN1081" s="123"/>
      <c r="BO1081" s="123"/>
    </row>
    <row r="1082" spans="1:67" s="33" customFormat="1" ht="52" hidden="1" x14ac:dyDescent="0.35">
      <c r="A1082" s="8">
        <v>4436</v>
      </c>
      <c r="B1082" s="8" t="s">
        <v>4960</v>
      </c>
      <c r="C1082" s="8" t="s">
        <v>4714</v>
      </c>
      <c r="D1082" s="9" t="s">
        <v>4961</v>
      </c>
      <c r="E1082" s="8" t="s">
        <v>35</v>
      </c>
      <c r="F1082" s="9" t="s">
        <v>131</v>
      </c>
      <c r="G1082" s="9" t="s">
        <v>132</v>
      </c>
      <c r="H1082" s="8" t="s">
        <v>225</v>
      </c>
      <c r="I1082" s="8" t="s">
        <v>98</v>
      </c>
      <c r="J1082" s="9" t="s">
        <v>25</v>
      </c>
      <c r="K1082" s="8" t="s">
        <v>1499</v>
      </c>
      <c r="L1082" s="8" t="s">
        <v>317</v>
      </c>
      <c r="M1082" s="8" t="s">
        <v>307</v>
      </c>
      <c r="N1082" s="9" t="s">
        <v>4962</v>
      </c>
      <c r="O1082" s="9" t="s">
        <v>276</v>
      </c>
      <c r="P1082" s="9" t="s">
        <v>239</v>
      </c>
      <c r="Q1082" s="52" t="s">
        <v>276</v>
      </c>
      <c r="R1082" s="9" t="s">
        <v>728</v>
      </c>
      <c r="S1082" s="9" t="s">
        <v>276</v>
      </c>
      <c r="T1082" s="9" t="s">
        <v>276</v>
      </c>
      <c r="U1082" s="51" t="s">
        <v>4717</v>
      </c>
      <c r="V1082" s="8" t="s">
        <v>14</v>
      </c>
      <c r="W1082" s="8" t="s">
        <v>98</v>
      </c>
      <c r="X1082" s="9" t="s">
        <v>208</v>
      </c>
      <c r="Y1082" s="13" t="s">
        <v>276</v>
      </c>
      <c r="Z1082" s="9" t="s">
        <v>276</v>
      </c>
      <c r="AA1082" s="9" t="s">
        <v>276</v>
      </c>
      <c r="AB1082" s="9" t="s">
        <v>276</v>
      </c>
      <c r="AC1082" s="8">
        <v>2</v>
      </c>
      <c r="AD1082" s="8" t="s">
        <v>968</v>
      </c>
      <c r="AE1082" s="8">
        <v>3</v>
      </c>
      <c r="AF1082" s="8" t="s">
        <v>968</v>
      </c>
      <c r="AG1082" s="9" t="s">
        <v>4963</v>
      </c>
      <c r="AH1082" s="9" t="s">
        <v>4658</v>
      </c>
      <c r="AI1082" s="38">
        <f>115+34</f>
        <v>149</v>
      </c>
      <c r="AJ1082" s="38">
        <v>109</v>
      </c>
      <c r="AK1082" s="38">
        <v>25235</v>
      </c>
      <c r="AL1082" s="38">
        <v>25237</v>
      </c>
      <c r="AM1082" s="38" t="s">
        <v>281</v>
      </c>
      <c r="AN1082" s="8" t="s">
        <v>276</v>
      </c>
      <c r="AO1082" s="14">
        <f>AI1082*1000/AK1082</f>
        <v>5.9044977214186645</v>
      </c>
      <c r="AP1082" s="8" t="s">
        <v>276</v>
      </c>
      <c r="AQ1082" s="8" t="s">
        <v>276</v>
      </c>
      <c r="AR1082" s="8" t="s">
        <v>276</v>
      </c>
      <c r="AS1082" s="14">
        <f>AJ1082*1000/AL1082</f>
        <v>4.3190553552323969</v>
      </c>
      <c r="AT1082" s="8" t="s">
        <v>276</v>
      </c>
      <c r="AU1082" s="8" t="s">
        <v>276</v>
      </c>
      <c r="AV1082" s="8" t="s">
        <v>268</v>
      </c>
      <c r="AW1082" s="40" t="s">
        <v>276</v>
      </c>
      <c r="AX1082" s="40">
        <f t="shared" ref="AX1082:AX1099" si="335">AO1082/AS1082</f>
        <v>1.3670808164719526</v>
      </c>
      <c r="AY1082" s="9" t="s">
        <v>276</v>
      </c>
      <c r="AZ1082" s="9" t="s">
        <v>276</v>
      </c>
      <c r="BA1082" s="9" t="s">
        <v>276</v>
      </c>
      <c r="BB1082" s="9" t="s">
        <v>282</v>
      </c>
      <c r="BC1082" s="9" t="s">
        <v>276</v>
      </c>
      <c r="BD1082" s="9" t="s">
        <v>276</v>
      </c>
      <c r="BE1082" s="9" t="s">
        <v>276</v>
      </c>
      <c r="BF1082" s="9" t="s">
        <v>1358</v>
      </c>
      <c r="BG1082" s="9"/>
      <c r="BH1082" s="9" t="s">
        <v>100</v>
      </c>
      <c r="BI1082" s="9" t="s">
        <v>100</v>
      </c>
      <c r="BJ1082" s="32"/>
      <c r="BN1082" s="32"/>
      <c r="BO1082" s="32"/>
    </row>
    <row r="1083" spans="1:67" s="33" customFormat="1" ht="52" hidden="1" x14ac:dyDescent="0.35">
      <c r="A1083" s="8">
        <v>4436</v>
      </c>
      <c r="B1083" s="8" t="s">
        <v>4960</v>
      </c>
      <c r="C1083" s="8" t="s">
        <v>4714</v>
      </c>
      <c r="D1083" s="9" t="s">
        <v>4964</v>
      </c>
      <c r="E1083" s="8" t="s">
        <v>35</v>
      </c>
      <c r="F1083" s="9" t="s">
        <v>131</v>
      </c>
      <c r="G1083" s="9" t="s">
        <v>132</v>
      </c>
      <c r="H1083" s="8" t="s">
        <v>225</v>
      </c>
      <c r="I1083" s="8" t="s">
        <v>98</v>
      </c>
      <c r="J1083" s="9" t="s">
        <v>25</v>
      </c>
      <c r="K1083" s="8" t="s">
        <v>1510</v>
      </c>
      <c r="L1083" s="8" t="s">
        <v>317</v>
      </c>
      <c r="M1083" s="8" t="s">
        <v>307</v>
      </c>
      <c r="N1083" s="9" t="s">
        <v>4962</v>
      </c>
      <c r="O1083" s="9" t="s">
        <v>276</v>
      </c>
      <c r="P1083" s="9" t="s">
        <v>239</v>
      </c>
      <c r="Q1083" s="52" t="s">
        <v>276</v>
      </c>
      <c r="R1083" s="9" t="s">
        <v>728</v>
      </c>
      <c r="S1083" s="9" t="s">
        <v>276</v>
      </c>
      <c r="T1083" s="9" t="s">
        <v>276</v>
      </c>
      <c r="U1083" s="51" t="s">
        <v>4717</v>
      </c>
      <c r="V1083" s="8" t="s">
        <v>14</v>
      </c>
      <c r="W1083" s="8" t="s">
        <v>98</v>
      </c>
      <c r="X1083" s="9" t="s">
        <v>208</v>
      </c>
      <c r="Y1083" s="13" t="s">
        <v>276</v>
      </c>
      <c r="Z1083" s="9" t="s">
        <v>276</v>
      </c>
      <c r="AA1083" s="9" t="s">
        <v>276</v>
      </c>
      <c r="AB1083" s="9" t="s">
        <v>276</v>
      </c>
      <c r="AC1083" s="8">
        <v>2</v>
      </c>
      <c r="AD1083" s="8" t="s">
        <v>968</v>
      </c>
      <c r="AE1083" s="8">
        <v>3</v>
      </c>
      <c r="AF1083" s="8" t="s">
        <v>968</v>
      </c>
      <c r="AG1083" s="9" t="s">
        <v>4965</v>
      </c>
      <c r="AH1083" s="9" t="s">
        <v>4658</v>
      </c>
      <c r="AI1083" s="38">
        <f>62+33</f>
        <v>95</v>
      </c>
      <c r="AJ1083" s="38">
        <v>91</v>
      </c>
      <c r="AK1083" s="38">
        <v>25235</v>
      </c>
      <c r="AL1083" s="38">
        <v>25237</v>
      </c>
      <c r="AM1083" s="38" t="s">
        <v>281</v>
      </c>
      <c r="AN1083" s="8" t="s">
        <v>276</v>
      </c>
      <c r="AO1083" s="14">
        <f>AI1083*1000/AK1083</f>
        <v>3.7646126411729739</v>
      </c>
      <c r="AP1083" s="8" t="s">
        <v>276</v>
      </c>
      <c r="AQ1083" s="8" t="s">
        <v>276</v>
      </c>
      <c r="AR1083" s="8" t="s">
        <v>276</v>
      </c>
      <c r="AS1083" s="14">
        <f>AJ1083*1000/AL1083</f>
        <v>3.6058168562031936</v>
      </c>
      <c r="AT1083" s="8" t="s">
        <v>276</v>
      </c>
      <c r="AU1083" s="8" t="s">
        <v>276</v>
      </c>
      <c r="AV1083" s="8" t="s">
        <v>268</v>
      </c>
      <c r="AW1083" s="40" t="s">
        <v>276</v>
      </c>
      <c r="AX1083" s="40">
        <f t="shared" si="335"/>
        <v>1.0440387826954103</v>
      </c>
      <c r="AY1083" s="9" t="s">
        <v>276</v>
      </c>
      <c r="AZ1083" s="9" t="s">
        <v>276</v>
      </c>
      <c r="BA1083" s="9" t="s">
        <v>276</v>
      </c>
      <c r="BB1083" s="9" t="s">
        <v>282</v>
      </c>
      <c r="BC1083" s="9" t="s">
        <v>276</v>
      </c>
      <c r="BD1083" s="9" t="s">
        <v>276</v>
      </c>
      <c r="BE1083" s="9" t="s">
        <v>276</v>
      </c>
      <c r="BF1083" s="9" t="s">
        <v>1358</v>
      </c>
      <c r="BG1083" s="9"/>
      <c r="BH1083" s="9" t="s">
        <v>100</v>
      </c>
      <c r="BI1083" s="9" t="s">
        <v>100</v>
      </c>
      <c r="BJ1083" s="32"/>
      <c r="BN1083" s="32"/>
      <c r="BO1083" s="32"/>
    </row>
    <row r="1084" spans="1:67" s="33" customFormat="1" ht="52" hidden="1" x14ac:dyDescent="0.35">
      <c r="A1084" s="8">
        <v>4436</v>
      </c>
      <c r="B1084" s="8" t="s">
        <v>4960</v>
      </c>
      <c r="C1084" s="8" t="s">
        <v>4714</v>
      </c>
      <c r="D1084" s="9" t="s">
        <v>4966</v>
      </c>
      <c r="E1084" s="8" t="s">
        <v>35</v>
      </c>
      <c r="F1084" s="9" t="s">
        <v>131</v>
      </c>
      <c r="G1084" s="9" t="s">
        <v>132</v>
      </c>
      <c r="H1084" s="8" t="s">
        <v>225</v>
      </c>
      <c r="I1084" s="8" t="s">
        <v>98</v>
      </c>
      <c r="J1084" s="9" t="s">
        <v>25</v>
      </c>
      <c r="K1084" s="8" t="s">
        <v>1699</v>
      </c>
      <c r="L1084" s="8" t="s">
        <v>317</v>
      </c>
      <c r="M1084" s="8" t="s">
        <v>307</v>
      </c>
      <c r="N1084" s="9" t="s">
        <v>4962</v>
      </c>
      <c r="O1084" s="9" t="s">
        <v>276</v>
      </c>
      <c r="P1084" s="9" t="s">
        <v>239</v>
      </c>
      <c r="Q1084" s="52" t="s">
        <v>276</v>
      </c>
      <c r="R1084" s="9" t="s">
        <v>728</v>
      </c>
      <c r="S1084" s="9" t="s">
        <v>276</v>
      </c>
      <c r="T1084" s="9" t="s">
        <v>276</v>
      </c>
      <c r="U1084" s="51" t="s">
        <v>4717</v>
      </c>
      <c r="V1084" s="8" t="s">
        <v>14</v>
      </c>
      <c r="W1084" s="8" t="s">
        <v>98</v>
      </c>
      <c r="X1084" s="9" t="s">
        <v>208</v>
      </c>
      <c r="Y1084" s="13" t="s">
        <v>276</v>
      </c>
      <c r="Z1084" s="9" t="s">
        <v>276</v>
      </c>
      <c r="AA1084" s="9" t="s">
        <v>276</v>
      </c>
      <c r="AB1084" s="9" t="s">
        <v>276</v>
      </c>
      <c r="AC1084" s="8">
        <v>2</v>
      </c>
      <c r="AD1084" s="8" t="s">
        <v>968</v>
      </c>
      <c r="AE1084" s="8">
        <v>3</v>
      </c>
      <c r="AF1084" s="8" t="s">
        <v>968</v>
      </c>
      <c r="AG1084" s="9" t="s">
        <v>4967</v>
      </c>
      <c r="AH1084" s="9" t="s">
        <v>4658</v>
      </c>
      <c r="AI1084" s="38">
        <f>29+19</f>
        <v>48</v>
      </c>
      <c r="AJ1084" s="38">
        <v>29</v>
      </c>
      <c r="AK1084" s="38">
        <v>25235</v>
      </c>
      <c r="AL1084" s="38">
        <v>25237</v>
      </c>
      <c r="AM1084" s="38" t="s">
        <v>281</v>
      </c>
      <c r="AN1084" s="8" t="s">
        <v>276</v>
      </c>
      <c r="AO1084" s="14">
        <f>AI1084*1000/AK1084</f>
        <v>1.9021200713295028</v>
      </c>
      <c r="AP1084" s="8" t="s">
        <v>276</v>
      </c>
      <c r="AQ1084" s="8" t="s">
        <v>276</v>
      </c>
      <c r="AR1084" s="8" t="s">
        <v>276</v>
      </c>
      <c r="AS1084" s="14">
        <f>AJ1084*1000/AL1084</f>
        <v>1.1491064706581606</v>
      </c>
      <c r="AT1084" s="8" t="s">
        <v>276</v>
      </c>
      <c r="AU1084" s="8" t="s">
        <v>276</v>
      </c>
      <c r="AV1084" s="8" t="s">
        <v>268</v>
      </c>
      <c r="AW1084" s="40" t="s">
        <v>276</v>
      </c>
      <c r="AX1084" s="40">
        <f t="shared" si="335"/>
        <v>1.6553035944876779</v>
      </c>
      <c r="AY1084" s="9" t="s">
        <v>276</v>
      </c>
      <c r="AZ1084" s="9" t="s">
        <v>276</v>
      </c>
      <c r="BA1084" s="9" t="s">
        <v>276</v>
      </c>
      <c r="BB1084" s="9" t="s">
        <v>282</v>
      </c>
      <c r="BC1084" s="9" t="s">
        <v>276</v>
      </c>
      <c r="BD1084" s="9" t="s">
        <v>276</v>
      </c>
      <c r="BE1084" s="9" t="s">
        <v>276</v>
      </c>
      <c r="BF1084" s="9" t="s">
        <v>1358</v>
      </c>
      <c r="BG1084" s="9"/>
      <c r="BH1084" s="9" t="s">
        <v>100</v>
      </c>
      <c r="BI1084" s="9" t="s">
        <v>100</v>
      </c>
      <c r="BJ1084" s="32"/>
      <c r="BN1084" s="32"/>
      <c r="BO1084" s="32"/>
    </row>
    <row r="1085" spans="1:67" s="79" customFormat="1" ht="52" hidden="1" x14ac:dyDescent="0.35">
      <c r="A1085" s="72">
        <v>4436</v>
      </c>
      <c r="B1085" s="72" t="s">
        <v>4960</v>
      </c>
      <c r="C1085" s="72" t="s">
        <v>4714</v>
      </c>
      <c r="D1085" s="73" t="s">
        <v>4968</v>
      </c>
      <c r="E1085" s="72" t="s">
        <v>35</v>
      </c>
      <c r="F1085" s="73" t="s">
        <v>131</v>
      </c>
      <c r="G1085" s="73" t="s">
        <v>132</v>
      </c>
      <c r="H1085" s="72" t="s">
        <v>225</v>
      </c>
      <c r="I1085" s="72" t="s">
        <v>98</v>
      </c>
      <c r="J1085" s="73" t="s">
        <v>25</v>
      </c>
      <c r="K1085" s="72" t="s">
        <v>1699</v>
      </c>
      <c r="L1085" s="72" t="s">
        <v>307</v>
      </c>
      <c r="M1085" s="72" t="s">
        <v>317</v>
      </c>
      <c r="N1085" s="73" t="s">
        <v>4962</v>
      </c>
      <c r="O1085" s="73" t="s">
        <v>276</v>
      </c>
      <c r="P1085" s="73" t="s">
        <v>235</v>
      </c>
      <c r="Q1085" s="77" t="s">
        <v>276</v>
      </c>
      <c r="R1085" s="73" t="s">
        <v>728</v>
      </c>
      <c r="S1085" s="73" t="s">
        <v>276</v>
      </c>
      <c r="T1085" s="73" t="s">
        <v>276</v>
      </c>
      <c r="U1085" s="89" t="s">
        <v>4717</v>
      </c>
      <c r="V1085" s="72" t="s">
        <v>14</v>
      </c>
      <c r="W1085" s="72" t="s">
        <v>98</v>
      </c>
      <c r="X1085" s="73" t="s">
        <v>208</v>
      </c>
      <c r="Y1085" s="74" t="s">
        <v>98</v>
      </c>
      <c r="Z1085" s="73" t="s">
        <v>98</v>
      </c>
      <c r="AA1085" s="73" t="s">
        <v>276</v>
      </c>
      <c r="AB1085" s="73" t="s">
        <v>276</v>
      </c>
      <c r="AC1085" s="72">
        <v>2</v>
      </c>
      <c r="AD1085" s="72" t="s">
        <v>968</v>
      </c>
      <c r="AE1085" s="72">
        <v>3</v>
      </c>
      <c r="AF1085" s="72" t="s">
        <v>968</v>
      </c>
      <c r="AG1085" s="73" t="s">
        <v>4967</v>
      </c>
      <c r="AH1085" s="73" t="s">
        <v>4969</v>
      </c>
      <c r="AI1085" s="75">
        <f>29+19</f>
        <v>48</v>
      </c>
      <c r="AJ1085" s="75">
        <v>29</v>
      </c>
      <c r="AK1085" s="75">
        <v>294</v>
      </c>
      <c r="AL1085" s="75">
        <v>232</v>
      </c>
      <c r="AM1085" s="75" t="s">
        <v>292</v>
      </c>
      <c r="AN1085" s="72" t="s">
        <v>276</v>
      </c>
      <c r="AO1085" s="76">
        <f>AI1085*100/AK1085</f>
        <v>16.326530612244898</v>
      </c>
      <c r="AP1085" s="72" t="s">
        <v>276</v>
      </c>
      <c r="AQ1085" s="72" t="s">
        <v>276</v>
      </c>
      <c r="AR1085" s="72">
        <v>13</v>
      </c>
      <c r="AS1085" s="76">
        <f>AJ1085*100/AL1085</f>
        <v>12.5</v>
      </c>
      <c r="AT1085" s="72" t="s">
        <v>276</v>
      </c>
      <c r="AU1085" s="72" t="s">
        <v>276</v>
      </c>
      <c r="AV1085" s="72" t="s">
        <v>268</v>
      </c>
      <c r="AW1085" s="83" t="s">
        <v>276</v>
      </c>
      <c r="AX1085" s="83">
        <f t="shared" si="335"/>
        <v>1.306122448979592</v>
      </c>
      <c r="AY1085" s="73" t="s">
        <v>276</v>
      </c>
      <c r="AZ1085" s="73" t="s">
        <v>276</v>
      </c>
      <c r="BA1085" s="73" t="s">
        <v>276</v>
      </c>
      <c r="BB1085" s="73" t="s">
        <v>282</v>
      </c>
      <c r="BC1085" s="73" t="s">
        <v>276</v>
      </c>
      <c r="BD1085" s="73" t="s">
        <v>276</v>
      </c>
      <c r="BE1085" s="73" t="s">
        <v>276</v>
      </c>
      <c r="BF1085" s="73" t="s">
        <v>1358</v>
      </c>
      <c r="BG1085" s="73"/>
      <c r="BH1085" s="9" t="s">
        <v>100</v>
      </c>
      <c r="BI1085" s="9" t="s">
        <v>100</v>
      </c>
      <c r="BJ1085" s="78"/>
      <c r="BN1085" s="78"/>
      <c r="BO1085" s="78"/>
    </row>
    <row r="1086" spans="1:67" s="33" customFormat="1" ht="52" hidden="1" x14ac:dyDescent="0.35">
      <c r="A1086" s="8">
        <v>4436</v>
      </c>
      <c r="B1086" s="8" t="s">
        <v>4960</v>
      </c>
      <c r="C1086" s="8" t="s">
        <v>4698</v>
      </c>
      <c r="D1086" s="9" t="s">
        <v>4961</v>
      </c>
      <c r="E1086" s="8" t="s">
        <v>35</v>
      </c>
      <c r="F1086" s="9" t="s">
        <v>131</v>
      </c>
      <c r="G1086" s="9" t="s">
        <v>130</v>
      </c>
      <c r="H1086" s="8" t="s">
        <v>225</v>
      </c>
      <c r="I1086" s="8" t="s">
        <v>98</v>
      </c>
      <c r="J1086" s="9" t="s">
        <v>25</v>
      </c>
      <c r="K1086" s="8" t="s">
        <v>1499</v>
      </c>
      <c r="L1086" s="8" t="s">
        <v>307</v>
      </c>
      <c r="M1086" s="8" t="s">
        <v>317</v>
      </c>
      <c r="N1086" s="9" t="s">
        <v>4962</v>
      </c>
      <c r="O1086" s="9" t="s">
        <v>276</v>
      </c>
      <c r="P1086" s="9" t="s">
        <v>239</v>
      </c>
      <c r="Q1086" s="52" t="s">
        <v>276</v>
      </c>
      <c r="R1086" s="9" t="s">
        <v>728</v>
      </c>
      <c r="S1086" s="9" t="s">
        <v>276</v>
      </c>
      <c r="T1086" s="9" t="s">
        <v>276</v>
      </c>
      <c r="U1086" s="51" t="s">
        <v>4284</v>
      </c>
      <c r="V1086" s="8" t="s">
        <v>14</v>
      </c>
      <c r="W1086" s="8" t="s">
        <v>98</v>
      </c>
      <c r="X1086" s="9" t="s">
        <v>208</v>
      </c>
      <c r="Y1086" s="13" t="s">
        <v>276</v>
      </c>
      <c r="Z1086" s="9" t="s">
        <v>276</v>
      </c>
      <c r="AA1086" s="9" t="s">
        <v>276</v>
      </c>
      <c r="AB1086" s="9" t="s">
        <v>276</v>
      </c>
      <c r="AC1086" s="8">
        <v>5</v>
      </c>
      <c r="AD1086" s="8" t="s">
        <v>968</v>
      </c>
      <c r="AE1086" s="8">
        <v>0</v>
      </c>
      <c r="AF1086" s="8" t="s">
        <v>968</v>
      </c>
      <c r="AG1086" s="9" t="s">
        <v>4963</v>
      </c>
      <c r="AH1086" s="9" t="s">
        <v>4658</v>
      </c>
      <c r="AI1086" s="38">
        <f>169+34</f>
        <v>203</v>
      </c>
      <c r="AJ1086" s="38">
        <v>126</v>
      </c>
      <c r="AK1086" s="38">
        <v>19735</v>
      </c>
      <c r="AL1086" s="38">
        <v>19724</v>
      </c>
      <c r="AM1086" s="38" t="s">
        <v>281</v>
      </c>
      <c r="AN1086" s="8" t="s">
        <v>276</v>
      </c>
      <c r="AO1086" s="14">
        <f>AI1086*1000/AK1086</f>
        <v>10.286293387382823</v>
      </c>
      <c r="AP1086" s="8" t="s">
        <v>276</v>
      </c>
      <c r="AQ1086" s="8" t="s">
        <v>276</v>
      </c>
      <c r="AR1086" s="8" t="s">
        <v>276</v>
      </c>
      <c r="AS1086" s="14">
        <f>AJ1086*1000/AL1086</f>
        <v>6.3881565605353883</v>
      </c>
      <c r="AT1086" s="8" t="s">
        <v>276</v>
      </c>
      <c r="AU1086" s="8" t="s">
        <v>276</v>
      </c>
      <c r="AV1086" s="8" t="s">
        <v>268</v>
      </c>
      <c r="AW1086" s="40" t="s">
        <v>276</v>
      </c>
      <c r="AX1086" s="40">
        <f t="shared" si="335"/>
        <v>1.6102131013709429</v>
      </c>
      <c r="AY1086" s="9" t="s">
        <v>276</v>
      </c>
      <c r="AZ1086" s="9" t="s">
        <v>276</v>
      </c>
      <c r="BA1086" s="9" t="s">
        <v>276</v>
      </c>
      <c r="BB1086" s="9" t="s">
        <v>282</v>
      </c>
      <c r="BC1086" s="9" t="s">
        <v>276</v>
      </c>
      <c r="BD1086" s="9" t="s">
        <v>276</v>
      </c>
      <c r="BE1086" s="9" t="s">
        <v>276</v>
      </c>
      <c r="BF1086" s="9" t="s">
        <v>1358</v>
      </c>
      <c r="BG1086" s="9"/>
      <c r="BH1086" s="9" t="s">
        <v>100</v>
      </c>
      <c r="BI1086" s="9" t="s">
        <v>100</v>
      </c>
      <c r="BJ1086" s="32"/>
      <c r="BN1086" s="32"/>
      <c r="BO1086" s="32"/>
    </row>
    <row r="1087" spans="1:67" s="33" customFormat="1" ht="52" hidden="1" x14ac:dyDescent="0.35">
      <c r="A1087" s="8">
        <v>4436</v>
      </c>
      <c r="B1087" s="8" t="s">
        <v>4960</v>
      </c>
      <c r="C1087" s="8" t="s">
        <v>4698</v>
      </c>
      <c r="D1087" s="9" t="s">
        <v>4964</v>
      </c>
      <c r="E1087" s="8" t="s">
        <v>35</v>
      </c>
      <c r="F1087" s="9" t="s">
        <v>131</v>
      </c>
      <c r="G1087" s="9" t="s">
        <v>130</v>
      </c>
      <c r="H1087" s="8" t="s">
        <v>225</v>
      </c>
      <c r="I1087" s="8" t="s">
        <v>98</v>
      </c>
      <c r="J1087" s="9" t="s">
        <v>25</v>
      </c>
      <c r="K1087" s="8" t="s">
        <v>1510</v>
      </c>
      <c r="L1087" s="8" t="s">
        <v>307</v>
      </c>
      <c r="M1087" s="8" t="s">
        <v>317</v>
      </c>
      <c r="N1087" s="9" t="s">
        <v>4962</v>
      </c>
      <c r="O1087" s="9" t="s">
        <v>276</v>
      </c>
      <c r="P1087" s="9" t="s">
        <v>239</v>
      </c>
      <c r="Q1087" s="52" t="s">
        <v>276</v>
      </c>
      <c r="R1087" s="9" t="s">
        <v>728</v>
      </c>
      <c r="S1087" s="9" t="s">
        <v>276</v>
      </c>
      <c r="T1087" s="9" t="s">
        <v>276</v>
      </c>
      <c r="U1087" s="51" t="s">
        <v>4284</v>
      </c>
      <c r="V1087" s="8" t="s">
        <v>14</v>
      </c>
      <c r="W1087" s="8" t="s">
        <v>98</v>
      </c>
      <c r="X1087" s="9" t="s">
        <v>208</v>
      </c>
      <c r="Y1087" s="13" t="s">
        <v>276</v>
      </c>
      <c r="Z1087" s="9" t="s">
        <v>276</v>
      </c>
      <c r="AA1087" s="9" t="s">
        <v>276</v>
      </c>
      <c r="AB1087" s="9" t="s">
        <v>276</v>
      </c>
      <c r="AC1087" s="8">
        <v>5</v>
      </c>
      <c r="AD1087" s="8" t="s">
        <v>968</v>
      </c>
      <c r="AE1087" s="8">
        <v>0</v>
      </c>
      <c r="AF1087" s="8" t="s">
        <v>968</v>
      </c>
      <c r="AG1087" s="9" t="s">
        <v>4965</v>
      </c>
      <c r="AH1087" s="9" t="s">
        <v>4658</v>
      </c>
      <c r="AI1087" s="38">
        <f>79+30</f>
        <v>109</v>
      </c>
      <c r="AJ1087" s="38">
        <v>96</v>
      </c>
      <c r="AK1087" s="38">
        <v>19735</v>
      </c>
      <c r="AL1087" s="38">
        <v>19724</v>
      </c>
      <c r="AM1087" s="38" t="s">
        <v>281</v>
      </c>
      <c r="AN1087" s="8" t="s">
        <v>276</v>
      </c>
      <c r="AO1087" s="14">
        <f>AI1087*1000/AK1087</f>
        <v>5.5231821636686087</v>
      </c>
      <c r="AP1087" s="8" t="s">
        <v>276</v>
      </c>
      <c r="AQ1087" s="8" t="s">
        <v>276</v>
      </c>
      <c r="AR1087" s="8" t="s">
        <v>276</v>
      </c>
      <c r="AS1087" s="14">
        <f>AJ1087*1000/AL1087</f>
        <v>4.8671669032650575</v>
      </c>
      <c r="AT1087" s="8" t="s">
        <v>276</v>
      </c>
      <c r="AU1087" s="8" t="s">
        <v>276</v>
      </c>
      <c r="AV1087" s="8" t="s">
        <v>268</v>
      </c>
      <c r="AW1087" s="40" t="s">
        <v>276</v>
      </c>
      <c r="AX1087" s="40">
        <f t="shared" si="335"/>
        <v>1.1347838020437464</v>
      </c>
      <c r="AY1087" s="9" t="s">
        <v>276</v>
      </c>
      <c r="AZ1087" s="9" t="s">
        <v>276</v>
      </c>
      <c r="BA1087" s="9" t="s">
        <v>276</v>
      </c>
      <c r="BB1087" s="9" t="s">
        <v>282</v>
      </c>
      <c r="BC1087" s="9" t="s">
        <v>276</v>
      </c>
      <c r="BD1087" s="9" t="s">
        <v>276</v>
      </c>
      <c r="BE1087" s="9" t="s">
        <v>276</v>
      </c>
      <c r="BF1087" s="9" t="s">
        <v>1358</v>
      </c>
      <c r="BG1087" s="9"/>
      <c r="BH1087" s="9" t="s">
        <v>100</v>
      </c>
      <c r="BI1087" s="9" t="s">
        <v>100</v>
      </c>
      <c r="BJ1087" s="32"/>
      <c r="BN1087" s="32"/>
      <c r="BO1087" s="32"/>
    </row>
    <row r="1088" spans="1:67" s="33" customFormat="1" ht="52" hidden="1" x14ac:dyDescent="0.35">
      <c r="A1088" s="8">
        <v>4436</v>
      </c>
      <c r="B1088" s="8" t="s">
        <v>4960</v>
      </c>
      <c r="C1088" s="8" t="s">
        <v>4698</v>
      </c>
      <c r="D1088" s="9" t="s">
        <v>4966</v>
      </c>
      <c r="E1088" s="8" t="s">
        <v>35</v>
      </c>
      <c r="F1088" s="9" t="s">
        <v>131</v>
      </c>
      <c r="G1088" s="9" t="s">
        <v>130</v>
      </c>
      <c r="H1088" s="8" t="s">
        <v>225</v>
      </c>
      <c r="I1088" s="8" t="s">
        <v>98</v>
      </c>
      <c r="J1088" s="9" t="s">
        <v>25</v>
      </c>
      <c r="K1088" s="8" t="s">
        <v>1699</v>
      </c>
      <c r="L1088" s="8" t="s">
        <v>307</v>
      </c>
      <c r="M1088" s="8" t="s">
        <v>317</v>
      </c>
      <c r="N1088" s="9" t="s">
        <v>4962</v>
      </c>
      <c r="O1088" s="9" t="s">
        <v>276</v>
      </c>
      <c r="P1088" s="9" t="s">
        <v>239</v>
      </c>
      <c r="Q1088" s="52" t="s">
        <v>276</v>
      </c>
      <c r="R1088" s="9" t="s">
        <v>728</v>
      </c>
      <c r="S1088" s="9" t="s">
        <v>276</v>
      </c>
      <c r="T1088" s="9" t="s">
        <v>276</v>
      </c>
      <c r="U1088" s="51" t="s">
        <v>4284</v>
      </c>
      <c r="V1088" s="8" t="s">
        <v>14</v>
      </c>
      <c r="W1088" s="8" t="s">
        <v>98</v>
      </c>
      <c r="X1088" s="9" t="s">
        <v>208</v>
      </c>
      <c r="Y1088" s="13" t="s">
        <v>276</v>
      </c>
      <c r="Z1088" s="9" t="s">
        <v>276</v>
      </c>
      <c r="AA1088" s="9" t="s">
        <v>276</v>
      </c>
      <c r="AB1088" s="9" t="s">
        <v>276</v>
      </c>
      <c r="AC1088" s="8">
        <v>5</v>
      </c>
      <c r="AD1088" s="8" t="s">
        <v>968</v>
      </c>
      <c r="AE1088" s="8">
        <v>0</v>
      </c>
      <c r="AF1088" s="8" t="s">
        <v>968</v>
      </c>
      <c r="AG1088" s="9" t="s">
        <v>4967</v>
      </c>
      <c r="AH1088" s="9" t="s">
        <v>4658</v>
      </c>
      <c r="AI1088" s="38">
        <f>18+14</f>
        <v>32</v>
      </c>
      <c r="AJ1088" s="38">
        <v>46</v>
      </c>
      <c r="AK1088" s="38">
        <v>19735</v>
      </c>
      <c r="AL1088" s="38">
        <v>19724</v>
      </c>
      <c r="AM1088" s="38" t="s">
        <v>281</v>
      </c>
      <c r="AN1088" s="8" t="s">
        <v>276</v>
      </c>
      <c r="AO1088" s="14">
        <f>AI1088*1000/AK1088</f>
        <v>1.621484671902711</v>
      </c>
      <c r="AP1088" s="8" t="s">
        <v>276</v>
      </c>
      <c r="AQ1088" s="8" t="s">
        <v>276</v>
      </c>
      <c r="AR1088" s="8" t="s">
        <v>276</v>
      </c>
      <c r="AS1088" s="14">
        <f>AJ1088*1000/AL1088</f>
        <v>2.3321841411478403</v>
      </c>
      <c r="AT1088" s="8" t="s">
        <v>276</v>
      </c>
      <c r="AU1088" s="8" t="s">
        <v>276</v>
      </c>
      <c r="AV1088" s="8" t="s">
        <v>268</v>
      </c>
      <c r="AW1088" s="40" t="s">
        <v>276</v>
      </c>
      <c r="AX1088" s="40">
        <f t="shared" si="335"/>
        <v>0.69526442757845797</v>
      </c>
      <c r="AY1088" s="9" t="s">
        <v>276</v>
      </c>
      <c r="AZ1088" s="9" t="s">
        <v>276</v>
      </c>
      <c r="BA1088" s="9" t="s">
        <v>276</v>
      </c>
      <c r="BB1088" s="9" t="s">
        <v>282</v>
      </c>
      <c r="BC1088" s="9" t="s">
        <v>276</v>
      </c>
      <c r="BD1088" s="9" t="s">
        <v>276</v>
      </c>
      <c r="BE1088" s="9" t="s">
        <v>276</v>
      </c>
      <c r="BF1088" s="9" t="s">
        <v>1358</v>
      </c>
      <c r="BG1088" s="9"/>
      <c r="BH1088" s="9" t="s">
        <v>100</v>
      </c>
      <c r="BI1088" s="9" t="s">
        <v>100</v>
      </c>
      <c r="BJ1088" s="32"/>
      <c r="BN1088" s="32"/>
      <c r="BO1088" s="32"/>
    </row>
    <row r="1089" spans="1:67" s="79" customFormat="1" ht="52" hidden="1" x14ac:dyDescent="0.35">
      <c r="A1089" s="72">
        <v>4436</v>
      </c>
      <c r="B1089" s="72" t="s">
        <v>4960</v>
      </c>
      <c r="C1089" s="72" t="s">
        <v>4698</v>
      </c>
      <c r="D1089" s="73" t="s">
        <v>4968</v>
      </c>
      <c r="E1089" s="72" t="s">
        <v>35</v>
      </c>
      <c r="F1089" s="73" t="s">
        <v>131</v>
      </c>
      <c r="G1089" s="73" t="s">
        <v>130</v>
      </c>
      <c r="H1089" s="72" t="s">
        <v>225</v>
      </c>
      <c r="I1089" s="72" t="s">
        <v>98</v>
      </c>
      <c r="J1089" s="73" t="s">
        <v>25</v>
      </c>
      <c r="K1089" s="72" t="s">
        <v>1699</v>
      </c>
      <c r="L1089" s="72" t="s">
        <v>307</v>
      </c>
      <c r="M1089" s="72" t="s">
        <v>317</v>
      </c>
      <c r="N1089" s="73" t="s">
        <v>4962</v>
      </c>
      <c r="O1089" s="73" t="s">
        <v>276</v>
      </c>
      <c r="P1089" s="73" t="s">
        <v>235</v>
      </c>
      <c r="Q1089" s="77" t="s">
        <v>276</v>
      </c>
      <c r="R1089" s="73" t="s">
        <v>728</v>
      </c>
      <c r="S1089" s="73" t="s">
        <v>276</v>
      </c>
      <c r="T1089" s="73" t="s">
        <v>276</v>
      </c>
      <c r="U1089" s="89" t="s">
        <v>4284</v>
      </c>
      <c r="V1089" s="72" t="s">
        <v>14</v>
      </c>
      <c r="W1089" s="72" t="s">
        <v>98</v>
      </c>
      <c r="X1089" s="73" t="s">
        <v>208</v>
      </c>
      <c r="Y1089" s="74" t="s">
        <v>98</v>
      </c>
      <c r="Z1089" s="73" t="s">
        <v>98</v>
      </c>
      <c r="AA1089" s="73" t="s">
        <v>276</v>
      </c>
      <c r="AB1089" s="73" t="s">
        <v>276</v>
      </c>
      <c r="AC1089" s="72">
        <v>5</v>
      </c>
      <c r="AD1089" s="72" t="s">
        <v>968</v>
      </c>
      <c r="AE1089" s="72">
        <v>0</v>
      </c>
      <c r="AF1089" s="72" t="s">
        <v>968</v>
      </c>
      <c r="AG1089" s="73" t="s">
        <v>4967</v>
      </c>
      <c r="AH1089" s="73" t="s">
        <v>4969</v>
      </c>
      <c r="AI1089" s="75">
        <v>32</v>
      </c>
      <c r="AJ1089" s="75">
        <v>46</v>
      </c>
      <c r="AK1089" s="75">
        <v>271</v>
      </c>
      <c r="AL1089" s="75">
        <v>268</v>
      </c>
      <c r="AM1089" s="75" t="s">
        <v>292</v>
      </c>
      <c r="AN1089" s="72" t="s">
        <v>276</v>
      </c>
      <c r="AO1089" s="76">
        <f>AI1089*100/AK1089</f>
        <v>11.808118081180812</v>
      </c>
      <c r="AP1089" s="72" t="s">
        <v>276</v>
      </c>
      <c r="AQ1089" s="72" t="s">
        <v>276</v>
      </c>
      <c r="AR1089" s="72">
        <v>17</v>
      </c>
      <c r="AS1089" s="76">
        <f>AJ1089*100/AL1089</f>
        <v>17.164179104477611</v>
      </c>
      <c r="AT1089" s="72" t="s">
        <v>276</v>
      </c>
      <c r="AU1089" s="72" t="s">
        <v>276</v>
      </c>
      <c r="AV1089" s="72" t="s">
        <v>268</v>
      </c>
      <c r="AW1089" s="83" t="s">
        <v>276</v>
      </c>
      <c r="AX1089" s="83">
        <f t="shared" si="335"/>
        <v>0.68795122733836034</v>
      </c>
      <c r="AY1089" s="73" t="s">
        <v>276</v>
      </c>
      <c r="AZ1089" s="73" t="s">
        <v>276</v>
      </c>
      <c r="BA1089" s="73" t="s">
        <v>276</v>
      </c>
      <c r="BB1089" s="73" t="s">
        <v>282</v>
      </c>
      <c r="BC1089" s="73" t="s">
        <v>276</v>
      </c>
      <c r="BD1089" s="73" t="s">
        <v>276</v>
      </c>
      <c r="BE1089" s="73" t="s">
        <v>276</v>
      </c>
      <c r="BF1089" s="73" t="s">
        <v>1358</v>
      </c>
      <c r="BG1089" s="73"/>
      <c r="BH1089" s="9" t="s">
        <v>100</v>
      </c>
      <c r="BI1089" s="9" t="s">
        <v>100</v>
      </c>
      <c r="BJ1089" s="78"/>
      <c r="BN1089" s="78"/>
      <c r="BO1089" s="78"/>
    </row>
    <row r="1090" spans="1:67" s="33" customFormat="1" ht="52" hidden="1" x14ac:dyDescent="0.35">
      <c r="A1090" s="8">
        <v>4436</v>
      </c>
      <c r="B1090" s="8" t="s">
        <v>4960</v>
      </c>
      <c r="C1090" s="8" t="s">
        <v>4714</v>
      </c>
      <c r="D1090" s="9" t="s">
        <v>4970</v>
      </c>
      <c r="E1090" s="8" t="s">
        <v>35</v>
      </c>
      <c r="F1090" s="9" t="s">
        <v>131</v>
      </c>
      <c r="G1090" s="9" t="s">
        <v>132</v>
      </c>
      <c r="H1090" s="8" t="s">
        <v>225</v>
      </c>
      <c r="I1090" s="8" t="s">
        <v>98</v>
      </c>
      <c r="J1090" s="9" t="s">
        <v>31</v>
      </c>
      <c r="K1090" s="8" t="s">
        <v>4971</v>
      </c>
      <c r="L1090" s="8" t="s">
        <v>317</v>
      </c>
      <c r="M1090" s="8" t="s">
        <v>307</v>
      </c>
      <c r="N1090" s="9" t="s">
        <v>4962</v>
      </c>
      <c r="O1090" s="9" t="s">
        <v>276</v>
      </c>
      <c r="P1090" s="9" t="s">
        <v>239</v>
      </c>
      <c r="Q1090" s="52" t="s">
        <v>276</v>
      </c>
      <c r="R1090" s="9" t="s">
        <v>728</v>
      </c>
      <c r="S1090" s="9" t="s">
        <v>276</v>
      </c>
      <c r="T1090" s="9" t="s">
        <v>276</v>
      </c>
      <c r="U1090" s="51" t="s">
        <v>4717</v>
      </c>
      <c r="V1090" s="8" t="s">
        <v>14</v>
      </c>
      <c r="W1090" s="8" t="s">
        <v>98</v>
      </c>
      <c r="X1090" s="9" t="s">
        <v>208</v>
      </c>
      <c r="Y1090" s="13" t="s">
        <v>276</v>
      </c>
      <c r="Z1090" s="9" t="s">
        <v>276</v>
      </c>
      <c r="AA1090" s="9" t="s">
        <v>276</v>
      </c>
      <c r="AB1090" s="9" t="s">
        <v>276</v>
      </c>
      <c r="AC1090" s="8">
        <v>2</v>
      </c>
      <c r="AD1090" s="8" t="s">
        <v>3921</v>
      </c>
      <c r="AE1090" s="8">
        <v>3</v>
      </c>
      <c r="AF1090" s="8" t="s">
        <v>3921</v>
      </c>
      <c r="AG1090" s="9" t="s">
        <v>4972</v>
      </c>
      <c r="AH1090" s="9" t="s">
        <v>4658</v>
      </c>
      <c r="AI1090" s="38">
        <f>198+66</f>
        <v>264</v>
      </c>
      <c r="AJ1090" s="38">
        <v>174</v>
      </c>
      <c r="AK1090" s="38">
        <v>25235</v>
      </c>
      <c r="AL1090" s="38">
        <v>25237</v>
      </c>
      <c r="AM1090" s="38" t="s">
        <v>281</v>
      </c>
      <c r="AN1090" s="8" t="s">
        <v>276</v>
      </c>
      <c r="AO1090" s="14">
        <f t="shared" ref="AO1090:AO1099" si="336">AI1090*1000/AK1090</f>
        <v>10.461660392312265</v>
      </c>
      <c r="AP1090" s="8" t="s">
        <v>276</v>
      </c>
      <c r="AQ1090" s="8" t="s">
        <v>276</v>
      </c>
      <c r="AR1090" s="8" t="s">
        <v>276</v>
      </c>
      <c r="AS1090" s="14">
        <f t="shared" ref="AS1090:AS1099" si="337">AJ1090*1000/AL1090</f>
        <v>6.8946388239489638</v>
      </c>
      <c r="AT1090" s="8" t="s">
        <v>276</v>
      </c>
      <c r="AU1090" s="8" t="s">
        <v>276</v>
      </c>
      <c r="AV1090" s="8" t="s">
        <v>268</v>
      </c>
      <c r="AW1090" s="40" t="s">
        <v>276</v>
      </c>
      <c r="AX1090" s="40">
        <f t="shared" si="335"/>
        <v>1.5173616282803715</v>
      </c>
      <c r="AY1090" s="9" t="s">
        <v>276</v>
      </c>
      <c r="AZ1090" s="9" t="s">
        <v>276</v>
      </c>
      <c r="BA1090" s="9" t="s">
        <v>276</v>
      </c>
      <c r="BB1090" s="9" t="s">
        <v>282</v>
      </c>
      <c r="BC1090" s="9" t="s">
        <v>276</v>
      </c>
      <c r="BD1090" s="9" t="s">
        <v>276</v>
      </c>
      <c r="BE1090" s="9" t="s">
        <v>276</v>
      </c>
      <c r="BF1090" s="9" t="s">
        <v>1358</v>
      </c>
      <c r="BG1090" s="9"/>
      <c r="BH1090" s="9" t="s">
        <v>100</v>
      </c>
      <c r="BI1090" s="9" t="s">
        <v>100</v>
      </c>
      <c r="BJ1090" s="32"/>
      <c r="BN1090" s="32"/>
      <c r="BO1090" s="32"/>
    </row>
    <row r="1091" spans="1:67" s="33" customFormat="1" ht="52" hidden="1" x14ac:dyDescent="0.35">
      <c r="A1091" s="8">
        <v>4436</v>
      </c>
      <c r="B1091" s="8" t="s">
        <v>4960</v>
      </c>
      <c r="C1091" s="8" t="s">
        <v>4714</v>
      </c>
      <c r="D1091" s="9" t="s">
        <v>4973</v>
      </c>
      <c r="E1091" s="8" t="s">
        <v>35</v>
      </c>
      <c r="F1091" s="9" t="s">
        <v>131</v>
      </c>
      <c r="G1091" s="9" t="s">
        <v>132</v>
      </c>
      <c r="H1091" s="8" t="s">
        <v>225</v>
      </c>
      <c r="I1091" s="8" t="s">
        <v>98</v>
      </c>
      <c r="J1091" s="9" t="s">
        <v>31</v>
      </c>
      <c r="K1091" s="8" t="s">
        <v>4974</v>
      </c>
      <c r="L1091" s="8" t="s">
        <v>317</v>
      </c>
      <c r="M1091" s="8" t="s">
        <v>307</v>
      </c>
      <c r="N1091" s="9" t="s">
        <v>4962</v>
      </c>
      <c r="O1091" s="9" t="s">
        <v>276</v>
      </c>
      <c r="P1091" s="9" t="s">
        <v>239</v>
      </c>
      <c r="Q1091" s="52" t="s">
        <v>276</v>
      </c>
      <c r="R1091" s="9" t="s">
        <v>728</v>
      </c>
      <c r="S1091" s="9" t="s">
        <v>276</v>
      </c>
      <c r="T1091" s="9" t="s">
        <v>276</v>
      </c>
      <c r="U1091" s="51" t="s">
        <v>4717</v>
      </c>
      <c r="V1091" s="8" t="s">
        <v>14</v>
      </c>
      <c r="W1091" s="8" t="s">
        <v>98</v>
      </c>
      <c r="X1091" s="9" t="s">
        <v>208</v>
      </c>
      <c r="Y1091" s="13" t="s">
        <v>276</v>
      </c>
      <c r="Z1091" s="9" t="s">
        <v>276</v>
      </c>
      <c r="AA1091" s="9" t="s">
        <v>276</v>
      </c>
      <c r="AB1091" s="9" t="s">
        <v>276</v>
      </c>
      <c r="AC1091" s="8">
        <v>2</v>
      </c>
      <c r="AD1091" s="8" t="s">
        <v>3921</v>
      </c>
      <c r="AE1091" s="8">
        <v>3</v>
      </c>
      <c r="AF1091" s="8" t="s">
        <v>3921</v>
      </c>
      <c r="AG1091" s="9" t="s">
        <v>4975</v>
      </c>
      <c r="AH1091" s="9" t="s">
        <v>4658</v>
      </c>
      <c r="AI1091" s="38">
        <f>54+31</f>
        <v>85</v>
      </c>
      <c r="AJ1091" s="38">
        <v>83</v>
      </c>
      <c r="AK1091" s="38">
        <v>25235</v>
      </c>
      <c r="AL1091" s="38">
        <v>25237</v>
      </c>
      <c r="AM1091" s="38" t="s">
        <v>281</v>
      </c>
      <c r="AN1091" s="8" t="s">
        <v>276</v>
      </c>
      <c r="AO1091" s="14">
        <f t="shared" si="336"/>
        <v>3.3683376263126612</v>
      </c>
      <c r="AP1091" s="8" t="s">
        <v>276</v>
      </c>
      <c r="AQ1091" s="8" t="s">
        <v>276</v>
      </c>
      <c r="AR1091" s="8" t="s">
        <v>276</v>
      </c>
      <c r="AS1091" s="14">
        <f t="shared" si="337"/>
        <v>3.2888219677457702</v>
      </c>
      <c r="AT1091" s="8" t="s">
        <v>276</v>
      </c>
      <c r="AU1091" s="8" t="s">
        <v>276</v>
      </c>
      <c r="AV1091" s="8" t="s">
        <v>268</v>
      </c>
      <c r="AW1091" s="40" t="s">
        <v>276</v>
      </c>
      <c r="AX1091" s="40">
        <f t="shared" si="335"/>
        <v>1.0241775503042485</v>
      </c>
      <c r="AY1091" s="9" t="s">
        <v>276</v>
      </c>
      <c r="AZ1091" s="9" t="s">
        <v>276</v>
      </c>
      <c r="BA1091" s="9" t="s">
        <v>276</v>
      </c>
      <c r="BB1091" s="9" t="s">
        <v>282</v>
      </c>
      <c r="BC1091" s="9" t="s">
        <v>276</v>
      </c>
      <c r="BD1091" s="9" t="s">
        <v>276</v>
      </c>
      <c r="BE1091" s="9" t="s">
        <v>276</v>
      </c>
      <c r="BF1091" s="9" t="s">
        <v>1358</v>
      </c>
      <c r="BG1091" s="9"/>
      <c r="BH1091" s="9" t="s">
        <v>100</v>
      </c>
      <c r="BI1091" s="9" t="s">
        <v>100</v>
      </c>
      <c r="BJ1091" s="32"/>
      <c r="BN1091" s="32"/>
      <c r="BO1091" s="32"/>
    </row>
    <row r="1092" spans="1:67" s="33" customFormat="1" ht="52" hidden="1" x14ac:dyDescent="0.35">
      <c r="A1092" s="8">
        <v>4436</v>
      </c>
      <c r="B1092" s="8" t="s">
        <v>4960</v>
      </c>
      <c r="C1092" s="8" t="s">
        <v>4714</v>
      </c>
      <c r="D1092" s="9" t="s">
        <v>4976</v>
      </c>
      <c r="E1092" s="8" t="s">
        <v>35</v>
      </c>
      <c r="F1092" s="9" t="s">
        <v>131</v>
      </c>
      <c r="G1092" s="9" t="s">
        <v>132</v>
      </c>
      <c r="H1092" s="8" t="s">
        <v>225</v>
      </c>
      <c r="I1092" s="8" t="s">
        <v>98</v>
      </c>
      <c r="J1092" s="9" t="s">
        <v>117</v>
      </c>
      <c r="K1092" s="8" t="s">
        <v>4821</v>
      </c>
      <c r="L1092" s="8" t="s">
        <v>317</v>
      </c>
      <c r="M1092" s="8" t="s">
        <v>307</v>
      </c>
      <c r="N1092" s="9" t="s">
        <v>4962</v>
      </c>
      <c r="O1092" s="9" t="s">
        <v>276</v>
      </c>
      <c r="P1092" s="9" t="s">
        <v>239</v>
      </c>
      <c r="Q1092" s="52" t="s">
        <v>276</v>
      </c>
      <c r="R1092" s="9" t="s">
        <v>728</v>
      </c>
      <c r="S1092" s="9" t="s">
        <v>276</v>
      </c>
      <c r="T1092" s="9" t="s">
        <v>276</v>
      </c>
      <c r="U1092" s="51" t="s">
        <v>4717</v>
      </c>
      <c r="V1092" s="8" t="s">
        <v>14</v>
      </c>
      <c r="W1092" s="8" t="s">
        <v>98</v>
      </c>
      <c r="X1092" s="9" t="s">
        <v>208</v>
      </c>
      <c r="Y1092" s="13" t="s">
        <v>276</v>
      </c>
      <c r="Z1092" s="9" t="s">
        <v>276</v>
      </c>
      <c r="AA1092" s="9" t="s">
        <v>276</v>
      </c>
      <c r="AB1092" s="9" t="s">
        <v>276</v>
      </c>
      <c r="AC1092" s="8">
        <v>1</v>
      </c>
      <c r="AD1092" s="9" t="s">
        <v>4906</v>
      </c>
      <c r="AE1092" s="8">
        <v>2</v>
      </c>
      <c r="AF1092" s="9" t="s">
        <v>4906</v>
      </c>
      <c r="AG1092" s="9" t="s">
        <v>4977</v>
      </c>
      <c r="AH1092" s="9" t="s">
        <v>4658</v>
      </c>
      <c r="AI1092" s="38">
        <f>191+60</f>
        <v>251</v>
      </c>
      <c r="AJ1092" s="38">
        <v>186</v>
      </c>
      <c r="AK1092" s="38">
        <v>25235</v>
      </c>
      <c r="AL1092" s="38">
        <v>25237</v>
      </c>
      <c r="AM1092" s="38" t="s">
        <v>281</v>
      </c>
      <c r="AN1092" s="8" t="s">
        <v>276</v>
      </c>
      <c r="AO1092" s="14">
        <f t="shared" si="336"/>
        <v>9.9465028729938574</v>
      </c>
      <c r="AP1092" s="8" t="s">
        <v>276</v>
      </c>
      <c r="AQ1092" s="8" t="s">
        <v>276</v>
      </c>
      <c r="AR1092" s="8" t="s">
        <v>276</v>
      </c>
      <c r="AS1092" s="14">
        <f t="shared" si="337"/>
        <v>7.3701311566350993</v>
      </c>
      <c r="AT1092" s="8" t="s">
        <v>276</v>
      </c>
      <c r="AU1092" s="8" t="s">
        <v>276</v>
      </c>
      <c r="AV1092" s="8" t="s">
        <v>268</v>
      </c>
      <c r="AW1092" s="40" t="s">
        <v>276</v>
      </c>
      <c r="AX1092" s="40">
        <f t="shared" si="335"/>
        <v>1.3495693172351935</v>
      </c>
      <c r="AY1092" s="9" t="s">
        <v>276</v>
      </c>
      <c r="AZ1092" s="9" t="s">
        <v>276</v>
      </c>
      <c r="BA1092" s="9" t="s">
        <v>276</v>
      </c>
      <c r="BB1092" s="9" t="s">
        <v>282</v>
      </c>
      <c r="BC1092" s="9" t="s">
        <v>276</v>
      </c>
      <c r="BD1092" s="9" t="s">
        <v>276</v>
      </c>
      <c r="BE1092" s="9" t="s">
        <v>276</v>
      </c>
      <c r="BF1092" s="9" t="s">
        <v>1358</v>
      </c>
      <c r="BG1092" s="9"/>
      <c r="BH1092" s="9" t="s">
        <v>100</v>
      </c>
      <c r="BI1092" s="9" t="s">
        <v>100</v>
      </c>
      <c r="BJ1092" s="32"/>
      <c r="BN1092" s="32"/>
      <c r="BO1092" s="32"/>
    </row>
    <row r="1093" spans="1:67" s="33" customFormat="1" ht="52" hidden="1" x14ac:dyDescent="0.35">
      <c r="A1093" s="8">
        <v>4436</v>
      </c>
      <c r="B1093" s="8" t="s">
        <v>4960</v>
      </c>
      <c r="C1093" s="8" t="s">
        <v>4714</v>
      </c>
      <c r="D1093" s="9" t="s">
        <v>4978</v>
      </c>
      <c r="E1093" s="8" t="s">
        <v>35</v>
      </c>
      <c r="F1093" s="9" t="s">
        <v>131</v>
      </c>
      <c r="G1093" s="9" t="s">
        <v>132</v>
      </c>
      <c r="H1093" s="8" t="s">
        <v>225</v>
      </c>
      <c r="I1093" s="8" t="s">
        <v>98</v>
      </c>
      <c r="J1093" s="9" t="s">
        <v>117</v>
      </c>
      <c r="K1093" s="8" t="s">
        <v>4825</v>
      </c>
      <c r="L1093" s="8" t="s">
        <v>317</v>
      </c>
      <c r="M1093" s="8" t="s">
        <v>307</v>
      </c>
      <c r="N1093" s="9" t="s">
        <v>4962</v>
      </c>
      <c r="O1093" s="9" t="s">
        <v>276</v>
      </c>
      <c r="P1093" s="9" t="s">
        <v>239</v>
      </c>
      <c r="Q1093" s="52" t="s">
        <v>276</v>
      </c>
      <c r="R1093" s="9" t="s">
        <v>728</v>
      </c>
      <c r="S1093" s="9" t="s">
        <v>276</v>
      </c>
      <c r="T1093" s="9" t="s">
        <v>276</v>
      </c>
      <c r="U1093" s="51" t="s">
        <v>4717</v>
      </c>
      <c r="V1093" s="8" t="s">
        <v>14</v>
      </c>
      <c r="W1093" s="8" t="s">
        <v>98</v>
      </c>
      <c r="X1093" s="9" t="s">
        <v>208</v>
      </c>
      <c r="Y1093" s="13" t="s">
        <v>276</v>
      </c>
      <c r="Z1093" s="9" t="s">
        <v>276</v>
      </c>
      <c r="AA1093" s="9" t="s">
        <v>276</v>
      </c>
      <c r="AB1093" s="9" t="s">
        <v>276</v>
      </c>
      <c r="AC1093" s="8">
        <v>1</v>
      </c>
      <c r="AD1093" s="9" t="s">
        <v>4906</v>
      </c>
      <c r="AE1093" s="8">
        <v>2</v>
      </c>
      <c r="AF1093" s="9" t="s">
        <v>4906</v>
      </c>
      <c r="AG1093" s="9" t="s">
        <v>4979</v>
      </c>
      <c r="AH1093" s="9" t="s">
        <v>4658</v>
      </c>
      <c r="AI1093" s="38">
        <f>63+36</f>
        <v>99</v>
      </c>
      <c r="AJ1093" s="38">
        <v>72</v>
      </c>
      <c r="AK1093" s="38">
        <v>25235</v>
      </c>
      <c r="AL1093" s="38">
        <v>25237</v>
      </c>
      <c r="AM1093" s="38" t="s">
        <v>281</v>
      </c>
      <c r="AN1093" s="8" t="s">
        <v>276</v>
      </c>
      <c r="AO1093" s="14">
        <f t="shared" si="336"/>
        <v>3.9231226471170992</v>
      </c>
      <c r="AP1093" s="8" t="s">
        <v>276</v>
      </c>
      <c r="AQ1093" s="8" t="s">
        <v>276</v>
      </c>
      <c r="AR1093" s="8" t="s">
        <v>276</v>
      </c>
      <c r="AS1093" s="14">
        <f t="shared" si="337"/>
        <v>2.8529539961168124</v>
      </c>
      <c r="AT1093" s="8" t="s">
        <v>276</v>
      </c>
      <c r="AU1093" s="8" t="s">
        <v>276</v>
      </c>
      <c r="AV1093" s="8" t="s">
        <v>268</v>
      </c>
      <c r="AW1093" s="40" t="s">
        <v>276</v>
      </c>
      <c r="AX1093" s="40">
        <f t="shared" si="335"/>
        <v>1.3751089756290866</v>
      </c>
      <c r="AY1093" s="9" t="s">
        <v>276</v>
      </c>
      <c r="AZ1093" s="9" t="s">
        <v>276</v>
      </c>
      <c r="BA1093" s="9" t="s">
        <v>276</v>
      </c>
      <c r="BB1093" s="9" t="s">
        <v>282</v>
      </c>
      <c r="BC1093" s="9" t="s">
        <v>276</v>
      </c>
      <c r="BD1093" s="9" t="s">
        <v>276</v>
      </c>
      <c r="BE1093" s="9" t="s">
        <v>276</v>
      </c>
      <c r="BF1093" s="9" t="s">
        <v>1358</v>
      </c>
      <c r="BG1093" s="9"/>
      <c r="BH1093" s="9" t="s">
        <v>100</v>
      </c>
      <c r="BI1093" s="9" t="s">
        <v>100</v>
      </c>
      <c r="BJ1093" s="32"/>
      <c r="BN1093" s="32"/>
      <c r="BO1093" s="32"/>
    </row>
    <row r="1094" spans="1:67" s="79" customFormat="1" ht="52" hidden="1" x14ac:dyDescent="0.35">
      <c r="A1094" s="72">
        <v>4436</v>
      </c>
      <c r="B1094" s="72" t="s">
        <v>4960</v>
      </c>
      <c r="C1094" s="72" t="s">
        <v>4698</v>
      </c>
      <c r="D1094" s="73" t="s">
        <v>4970</v>
      </c>
      <c r="E1094" s="72" t="s">
        <v>35</v>
      </c>
      <c r="F1094" s="73" t="s">
        <v>131</v>
      </c>
      <c r="G1094" s="73" t="s">
        <v>130</v>
      </c>
      <c r="H1094" s="72" t="s">
        <v>225</v>
      </c>
      <c r="I1094" s="72" t="s">
        <v>98</v>
      </c>
      <c r="J1094" s="73" t="s">
        <v>31</v>
      </c>
      <c r="K1094" s="72" t="s">
        <v>4971</v>
      </c>
      <c r="L1094" s="72" t="s">
        <v>276</v>
      </c>
      <c r="M1094" s="72" t="s">
        <v>317</v>
      </c>
      <c r="N1094" s="73" t="s">
        <v>4962</v>
      </c>
      <c r="O1094" s="73" t="s">
        <v>276</v>
      </c>
      <c r="P1094" s="73" t="s">
        <v>239</v>
      </c>
      <c r="Q1094" s="77" t="s">
        <v>276</v>
      </c>
      <c r="R1094" s="73" t="s">
        <v>728</v>
      </c>
      <c r="S1094" s="73" t="s">
        <v>276</v>
      </c>
      <c r="T1094" s="73" t="s">
        <v>276</v>
      </c>
      <c r="U1094" s="89" t="s">
        <v>4284</v>
      </c>
      <c r="V1094" s="72" t="s">
        <v>14</v>
      </c>
      <c r="W1094" s="72" t="s">
        <v>98</v>
      </c>
      <c r="X1094" s="73" t="s">
        <v>208</v>
      </c>
      <c r="Y1094" s="74" t="s">
        <v>276</v>
      </c>
      <c r="Z1094" s="73" t="s">
        <v>276</v>
      </c>
      <c r="AA1094" s="73" t="s">
        <v>276</v>
      </c>
      <c r="AB1094" s="73" t="s">
        <v>276</v>
      </c>
      <c r="AC1094" s="72">
        <v>3</v>
      </c>
      <c r="AD1094" s="72" t="s">
        <v>3921</v>
      </c>
      <c r="AE1094" s="72">
        <v>0</v>
      </c>
      <c r="AF1094" s="72" t="s">
        <v>3921</v>
      </c>
      <c r="AG1094" s="73" t="s">
        <v>4972</v>
      </c>
      <c r="AH1094" s="73" t="s">
        <v>4658</v>
      </c>
      <c r="AI1094" s="75">
        <f>266+68</f>
        <v>334</v>
      </c>
      <c r="AJ1094" s="75">
        <v>196</v>
      </c>
      <c r="AK1094" s="75">
        <v>19735</v>
      </c>
      <c r="AL1094" s="75">
        <v>19724</v>
      </c>
      <c r="AM1094" s="75" t="s">
        <v>281</v>
      </c>
      <c r="AN1094" s="72" t="s">
        <v>276</v>
      </c>
      <c r="AO1094" s="76">
        <f t="shared" si="336"/>
        <v>16.924246262984546</v>
      </c>
      <c r="AP1094" s="72" t="s">
        <v>276</v>
      </c>
      <c r="AQ1094" s="72" t="s">
        <v>276</v>
      </c>
      <c r="AR1094" s="72" t="s">
        <v>276</v>
      </c>
      <c r="AS1094" s="76">
        <f t="shared" si="337"/>
        <v>9.9371324274994937</v>
      </c>
      <c r="AT1094" s="72" t="s">
        <v>276</v>
      </c>
      <c r="AU1094" s="72" t="s">
        <v>276</v>
      </c>
      <c r="AV1094" s="72" t="s">
        <v>268</v>
      </c>
      <c r="AW1094" s="83" t="s">
        <v>276</v>
      </c>
      <c r="AX1094" s="83">
        <f t="shared" si="335"/>
        <v>1.7031318025056488</v>
      </c>
      <c r="AY1094" s="73" t="s">
        <v>276</v>
      </c>
      <c r="AZ1094" s="73" t="s">
        <v>276</v>
      </c>
      <c r="BA1094" s="73" t="s">
        <v>276</v>
      </c>
      <c r="BB1094" s="73" t="s">
        <v>282</v>
      </c>
      <c r="BC1094" s="73" t="s">
        <v>276</v>
      </c>
      <c r="BD1094" s="73" t="s">
        <v>276</v>
      </c>
      <c r="BE1094" s="73" t="s">
        <v>276</v>
      </c>
      <c r="BF1094" s="73" t="s">
        <v>1358</v>
      </c>
      <c r="BG1094" s="73"/>
      <c r="BH1094" s="9" t="s">
        <v>100</v>
      </c>
      <c r="BI1094" s="9" t="s">
        <v>100</v>
      </c>
      <c r="BJ1094" s="78"/>
      <c r="BN1094" s="78"/>
      <c r="BO1094" s="78"/>
    </row>
    <row r="1095" spans="1:67" s="79" customFormat="1" ht="52" hidden="1" x14ac:dyDescent="0.35">
      <c r="A1095" s="72">
        <v>4436</v>
      </c>
      <c r="B1095" s="72" t="s">
        <v>4960</v>
      </c>
      <c r="C1095" s="72" t="s">
        <v>4698</v>
      </c>
      <c r="D1095" s="73" t="s">
        <v>4973</v>
      </c>
      <c r="E1095" s="72" t="s">
        <v>35</v>
      </c>
      <c r="F1095" s="73" t="s">
        <v>131</v>
      </c>
      <c r="G1095" s="73" t="s">
        <v>130</v>
      </c>
      <c r="H1095" s="72" t="s">
        <v>225</v>
      </c>
      <c r="I1095" s="72" t="s">
        <v>98</v>
      </c>
      <c r="J1095" s="73" t="s">
        <v>31</v>
      </c>
      <c r="K1095" s="72" t="s">
        <v>4974</v>
      </c>
      <c r="L1095" s="72" t="s">
        <v>276</v>
      </c>
      <c r="M1095" s="72" t="s">
        <v>317</v>
      </c>
      <c r="N1095" s="73" t="s">
        <v>4962</v>
      </c>
      <c r="O1095" s="73" t="s">
        <v>276</v>
      </c>
      <c r="P1095" s="73" t="s">
        <v>239</v>
      </c>
      <c r="Q1095" s="77" t="s">
        <v>276</v>
      </c>
      <c r="R1095" s="73" t="s">
        <v>728</v>
      </c>
      <c r="S1095" s="73" t="s">
        <v>276</v>
      </c>
      <c r="T1095" s="73" t="s">
        <v>276</v>
      </c>
      <c r="U1095" s="89" t="s">
        <v>4284</v>
      </c>
      <c r="V1095" s="72" t="s">
        <v>14</v>
      </c>
      <c r="W1095" s="72" t="s">
        <v>98</v>
      </c>
      <c r="X1095" s="73" t="s">
        <v>208</v>
      </c>
      <c r="Y1095" s="74" t="s">
        <v>276</v>
      </c>
      <c r="Z1095" s="73" t="s">
        <v>276</v>
      </c>
      <c r="AA1095" s="73" t="s">
        <v>276</v>
      </c>
      <c r="AB1095" s="73" t="s">
        <v>276</v>
      </c>
      <c r="AC1095" s="72">
        <v>3</v>
      </c>
      <c r="AD1095" s="72" t="s">
        <v>3921</v>
      </c>
      <c r="AE1095" s="72">
        <v>0</v>
      </c>
      <c r="AF1095" s="72" t="s">
        <v>3921</v>
      </c>
      <c r="AG1095" s="73" t="s">
        <v>4975</v>
      </c>
      <c r="AH1095" s="73" t="s">
        <v>4658</v>
      </c>
      <c r="AI1095" s="75">
        <f>57+21</f>
        <v>78</v>
      </c>
      <c r="AJ1095" s="75">
        <v>97</v>
      </c>
      <c r="AK1095" s="75">
        <v>19735</v>
      </c>
      <c r="AL1095" s="75">
        <v>19724</v>
      </c>
      <c r="AM1095" s="75" t="s">
        <v>281</v>
      </c>
      <c r="AN1095" s="72" t="s">
        <v>276</v>
      </c>
      <c r="AO1095" s="76">
        <f t="shared" si="336"/>
        <v>3.9523688877628578</v>
      </c>
      <c r="AP1095" s="72" t="s">
        <v>276</v>
      </c>
      <c r="AQ1095" s="72" t="s">
        <v>276</v>
      </c>
      <c r="AR1095" s="72" t="s">
        <v>276</v>
      </c>
      <c r="AS1095" s="76">
        <f t="shared" si="337"/>
        <v>4.9178665585074022</v>
      </c>
      <c r="AT1095" s="72" t="s">
        <v>276</v>
      </c>
      <c r="AU1095" s="72" t="s">
        <v>276</v>
      </c>
      <c r="AV1095" s="72" t="s">
        <v>268</v>
      </c>
      <c r="AW1095" s="83" t="s">
        <v>276</v>
      </c>
      <c r="AX1095" s="83">
        <f t="shared" si="335"/>
        <v>0.80367550455911962</v>
      </c>
      <c r="AY1095" s="73" t="s">
        <v>276</v>
      </c>
      <c r="AZ1095" s="73" t="s">
        <v>276</v>
      </c>
      <c r="BA1095" s="73" t="s">
        <v>276</v>
      </c>
      <c r="BB1095" s="73" t="s">
        <v>282</v>
      </c>
      <c r="BC1095" s="73" t="s">
        <v>276</v>
      </c>
      <c r="BD1095" s="73" t="s">
        <v>276</v>
      </c>
      <c r="BE1095" s="73" t="s">
        <v>276</v>
      </c>
      <c r="BF1095" s="73" t="s">
        <v>1358</v>
      </c>
      <c r="BG1095" s="73"/>
      <c r="BH1095" s="9" t="s">
        <v>100</v>
      </c>
      <c r="BI1095" s="9" t="s">
        <v>100</v>
      </c>
      <c r="BJ1095" s="78"/>
      <c r="BN1095" s="78"/>
      <c r="BO1095" s="78"/>
    </row>
    <row r="1096" spans="1:67" s="79" customFormat="1" ht="52" hidden="1" x14ac:dyDescent="0.35">
      <c r="A1096" s="72">
        <v>4436</v>
      </c>
      <c r="B1096" s="72" t="s">
        <v>4960</v>
      </c>
      <c r="C1096" s="72" t="s">
        <v>4698</v>
      </c>
      <c r="D1096" s="73" t="s">
        <v>4976</v>
      </c>
      <c r="E1096" s="72" t="s">
        <v>35</v>
      </c>
      <c r="F1096" s="73" t="s">
        <v>131</v>
      </c>
      <c r="G1096" s="73" t="s">
        <v>130</v>
      </c>
      <c r="H1096" s="72" t="s">
        <v>225</v>
      </c>
      <c r="I1096" s="72" t="s">
        <v>98</v>
      </c>
      <c r="J1096" s="73" t="s">
        <v>117</v>
      </c>
      <c r="K1096" s="72" t="s">
        <v>4821</v>
      </c>
      <c r="L1096" s="72" t="s">
        <v>276</v>
      </c>
      <c r="M1096" s="72" t="s">
        <v>317</v>
      </c>
      <c r="N1096" s="73" t="s">
        <v>4962</v>
      </c>
      <c r="O1096" s="73" t="s">
        <v>276</v>
      </c>
      <c r="P1096" s="73" t="s">
        <v>239</v>
      </c>
      <c r="Q1096" s="77" t="s">
        <v>276</v>
      </c>
      <c r="R1096" s="73" t="s">
        <v>728</v>
      </c>
      <c r="S1096" s="73" t="s">
        <v>276</v>
      </c>
      <c r="T1096" s="73" t="s">
        <v>276</v>
      </c>
      <c r="U1096" s="89" t="s">
        <v>4284</v>
      </c>
      <c r="V1096" s="72" t="s">
        <v>14</v>
      </c>
      <c r="W1096" s="72" t="s">
        <v>98</v>
      </c>
      <c r="X1096" s="73" t="s">
        <v>208</v>
      </c>
      <c r="Y1096" s="74" t="s">
        <v>276</v>
      </c>
      <c r="Z1096" s="73" t="s">
        <v>276</v>
      </c>
      <c r="AA1096" s="73" t="s">
        <v>276</v>
      </c>
      <c r="AB1096" s="73" t="s">
        <v>276</v>
      </c>
      <c r="AC1096" s="72">
        <v>3</v>
      </c>
      <c r="AD1096" s="73" t="s">
        <v>4906</v>
      </c>
      <c r="AE1096" s="72">
        <v>0</v>
      </c>
      <c r="AF1096" s="73" t="s">
        <v>4906</v>
      </c>
      <c r="AG1096" s="73" t="s">
        <v>4977</v>
      </c>
      <c r="AH1096" s="73" t="s">
        <v>4658</v>
      </c>
      <c r="AI1096" s="75">
        <f>256+56</f>
        <v>312</v>
      </c>
      <c r="AJ1096" s="75">
        <v>196</v>
      </c>
      <c r="AK1096" s="75">
        <v>19735</v>
      </c>
      <c r="AL1096" s="75">
        <v>19724</v>
      </c>
      <c r="AM1096" s="75" t="s">
        <v>281</v>
      </c>
      <c r="AN1096" s="72" t="s">
        <v>276</v>
      </c>
      <c r="AO1096" s="76">
        <f t="shared" si="336"/>
        <v>15.809475551051431</v>
      </c>
      <c r="AP1096" s="72" t="s">
        <v>276</v>
      </c>
      <c r="AQ1096" s="72" t="s">
        <v>276</v>
      </c>
      <c r="AR1096" s="72" t="s">
        <v>276</v>
      </c>
      <c r="AS1096" s="76">
        <f t="shared" si="337"/>
        <v>9.9371324274994937</v>
      </c>
      <c r="AT1096" s="72" t="s">
        <v>276</v>
      </c>
      <c r="AU1096" s="72" t="s">
        <v>276</v>
      </c>
      <c r="AV1096" s="72" t="s">
        <v>268</v>
      </c>
      <c r="AW1096" s="83" t="s">
        <v>276</v>
      </c>
      <c r="AX1096" s="83">
        <f t="shared" si="335"/>
        <v>1.5909494682088694</v>
      </c>
      <c r="AY1096" s="73" t="s">
        <v>276</v>
      </c>
      <c r="AZ1096" s="73" t="s">
        <v>276</v>
      </c>
      <c r="BA1096" s="73" t="s">
        <v>276</v>
      </c>
      <c r="BB1096" s="73" t="s">
        <v>282</v>
      </c>
      <c r="BC1096" s="73" t="s">
        <v>276</v>
      </c>
      <c r="BD1096" s="73" t="s">
        <v>276</v>
      </c>
      <c r="BE1096" s="73" t="s">
        <v>276</v>
      </c>
      <c r="BF1096" s="73" t="s">
        <v>1358</v>
      </c>
      <c r="BG1096" s="73"/>
      <c r="BH1096" s="9" t="s">
        <v>100</v>
      </c>
      <c r="BI1096" s="9" t="s">
        <v>100</v>
      </c>
      <c r="BJ1096" s="78"/>
      <c r="BN1096" s="78"/>
      <c r="BO1096" s="78"/>
    </row>
    <row r="1097" spans="1:67" s="79" customFormat="1" ht="52" hidden="1" x14ac:dyDescent="0.35">
      <c r="A1097" s="72">
        <v>4436</v>
      </c>
      <c r="B1097" s="72" t="s">
        <v>4960</v>
      </c>
      <c r="C1097" s="72" t="s">
        <v>4698</v>
      </c>
      <c r="D1097" s="73" t="s">
        <v>4978</v>
      </c>
      <c r="E1097" s="72" t="s">
        <v>35</v>
      </c>
      <c r="F1097" s="73" t="s">
        <v>131</v>
      </c>
      <c r="G1097" s="73" t="s">
        <v>130</v>
      </c>
      <c r="H1097" s="72" t="s">
        <v>225</v>
      </c>
      <c r="I1097" s="72" t="s">
        <v>98</v>
      </c>
      <c r="J1097" s="73" t="s">
        <v>117</v>
      </c>
      <c r="K1097" s="72" t="s">
        <v>4825</v>
      </c>
      <c r="L1097" s="72" t="s">
        <v>276</v>
      </c>
      <c r="M1097" s="72" t="s">
        <v>317</v>
      </c>
      <c r="N1097" s="73" t="s">
        <v>4962</v>
      </c>
      <c r="O1097" s="73" t="s">
        <v>276</v>
      </c>
      <c r="P1097" s="73" t="s">
        <v>239</v>
      </c>
      <c r="Q1097" s="77" t="s">
        <v>276</v>
      </c>
      <c r="R1097" s="73" t="s">
        <v>728</v>
      </c>
      <c r="S1097" s="73" t="s">
        <v>276</v>
      </c>
      <c r="T1097" s="73" t="s">
        <v>276</v>
      </c>
      <c r="U1097" s="89" t="s">
        <v>4284</v>
      </c>
      <c r="V1097" s="72" t="s">
        <v>14</v>
      </c>
      <c r="W1097" s="72" t="s">
        <v>98</v>
      </c>
      <c r="X1097" s="73" t="s">
        <v>208</v>
      </c>
      <c r="Y1097" s="74" t="s">
        <v>276</v>
      </c>
      <c r="Z1097" s="73" t="s">
        <v>276</v>
      </c>
      <c r="AA1097" s="73" t="s">
        <v>276</v>
      </c>
      <c r="AB1097" s="73" t="s">
        <v>276</v>
      </c>
      <c r="AC1097" s="72">
        <v>3</v>
      </c>
      <c r="AD1097" s="73" t="s">
        <v>4906</v>
      </c>
      <c r="AE1097" s="72">
        <v>0</v>
      </c>
      <c r="AF1097" s="73" t="s">
        <v>4906</v>
      </c>
      <c r="AG1097" s="73" t="s">
        <v>4979</v>
      </c>
      <c r="AH1097" s="73" t="s">
        <v>4658</v>
      </c>
      <c r="AI1097" s="75">
        <f>67+33</f>
        <v>100</v>
      </c>
      <c r="AJ1097" s="75">
        <v>97</v>
      </c>
      <c r="AK1097" s="75">
        <v>19735</v>
      </c>
      <c r="AL1097" s="75">
        <v>19724</v>
      </c>
      <c r="AM1097" s="75" t="s">
        <v>281</v>
      </c>
      <c r="AN1097" s="72" t="s">
        <v>276</v>
      </c>
      <c r="AO1097" s="76">
        <f t="shared" si="336"/>
        <v>5.0671395996959721</v>
      </c>
      <c r="AP1097" s="72" t="s">
        <v>276</v>
      </c>
      <c r="AQ1097" s="72" t="s">
        <v>276</v>
      </c>
      <c r="AR1097" s="72" t="s">
        <v>276</v>
      </c>
      <c r="AS1097" s="76">
        <f t="shared" si="337"/>
        <v>4.9178665585074022</v>
      </c>
      <c r="AT1097" s="72" t="s">
        <v>276</v>
      </c>
      <c r="AU1097" s="72" t="s">
        <v>276</v>
      </c>
      <c r="AV1097" s="72" t="s">
        <v>268</v>
      </c>
      <c r="AW1097" s="83" t="s">
        <v>276</v>
      </c>
      <c r="AX1097" s="83">
        <f t="shared" si="335"/>
        <v>1.0303532109732305</v>
      </c>
      <c r="AY1097" s="73" t="s">
        <v>276</v>
      </c>
      <c r="AZ1097" s="73" t="s">
        <v>276</v>
      </c>
      <c r="BA1097" s="73" t="s">
        <v>276</v>
      </c>
      <c r="BB1097" s="73" t="s">
        <v>282</v>
      </c>
      <c r="BC1097" s="73" t="s">
        <v>276</v>
      </c>
      <c r="BD1097" s="73" t="s">
        <v>276</v>
      </c>
      <c r="BE1097" s="73" t="s">
        <v>276</v>
      </c>
      <c r="BF1097" s="73" t="s">
        <v>1358</v>
      </c>
      <c r="BG1097" s="73"/>
      <c r="BH1097" s="9" t="s">
        <v>100</v>
      </c>
      <c r="BI1097" s="9" t="s">
        <v>100</v>
      </c>
      <c r="BJ1097" s="78"/>
      <c r="BN1097" s="78"/>
      <c r="BO1097" s="78"/>
    </row>
    <row r="1098" spans="1:67" s="137" customFormat="1" ht="65" hidden="1" x14ac:dyDescent="0.35">
      <c r="A1098" s="126">
        <v>4465</v>
      </c>
      <c r="B1098" s="126" t="s">
        <v>4777</v>
      </c>
      <c r="C1098" s="127" t="s">
        <v>4778</v>
      </c>
      <c r="D1098" s="127" t="s">
        <v>4980</v>
      </c>
      <c r="E1098" s="126" t="s">
        <v>35</v>
      </c>
      <c r="F1098" s="127" t="s">
        <v>131</v>
      </c>
      <c r="G1098" s="127" t="s">
        <v>130</v>
      </c>
      <c r="H1098" s="126" t="s">
        <v>225</v>
      </c>
      <c r="I1098" s="126" t="s">
        <v>98</v>
      </c>
      <c r="J1098" s="127" t="s">
        <v>117</v>
      </c>
      <c r="K1098" s="126" t="s">
        <v>4821</v>
      </c>
      <c r="L1098" s="126" t="s">
        <v>276</v>
      </c>
      <c r="M1098" s="126" t="s">
        <v>276</v>
      </c>
      <c r="N1098" s="127" t="s">
        <v>4981</v>
      </c>
      <c r="O1098" s="127" t="s">
        <v>276</v>
      </c>
      <c r="P1098" s="127" t="s">
        <v>239</v>
      </c>
      <c r="Q1098" s="146" t="s">
        <v>276</v>
      </c>
      <c r="R1098" s="127" t="s">
        <v>728</v>
      </c>
      <c r="S1098" s="127" t="s">
        <v>276</v>
      </c>
      <c r="T1098" s="127" t="s">
        <v>276</v>
      </c>
      <c r="U1098" s="127" t="s">
        <v>4784</v>
      </c>
      <c r="V1098" s="126" t="s">
        <v>14</v>
      </c>
      <c r="W1098" s="127" t="s">
        <v>4781</v>
      </c>
      <c r="X1098" s="127" t="s">
        <v>208</v>
      </c>
      <c r="Y1098" s="132">
        <v>44925</v>
      </c>
      <c r="Z1098" s="127">
        <v>44910</v>
      </c>
      <c r="AA1098" s="127" t="s">
        <v>276</v>
      </c>
      <c r="AB1098" s="127" t="s">
        <v>276</v>
      </c>
      <c r="AC1098" s="126">
        <v>68</v>
      </c>
      <c r="AD1098" s="127" t="s">
        <v>4906</v>
      </c>
      <c r="AE1098" s="126">
        <v>51</v>
      </c>
      <c r="AF1098" s="127" t="s">
        <v>4906</v>
      </c>
      <c r="AG1098" s="127" t="s">
        <v>4982</v>
      </c>
      <c r="AH1098" s="127" t="s">
        <v>2034</v>
      </c>
      <c r="AI1098" s="134">
        <v>394</v>
      </c>
      <c r="AJ1098" s="134">
        <v>303</v>
      </c>
      <c r="AK1098" s="132">
        <v>44925</v>
      </c>
      <c r="AL1098" s="127">
        <v>44910</v>
      </c>
      <c r="AM1098" s="134" t="s">
        <v>281</v>
      </c>
      <c r="AN1098" s="126" t="s">
        <v>276</v>
      </c>
      <c r="AO1098" s="135">
        <f t="shared" si="336"/>
        <v>8.7701725097384529</v>
      </c>
      <c r="AP1098" s="126" t="s">
        <v>276</v>
      </c>
      <c r="AQ1098" s="126" t="s">
        <v>276</v>
      </c>
      <c r="AR1098" s="126" t="s">
        <v>276</v>
      </c>
      <c r="AS1098" s="135">
        <f t="shared" si="337"/>
        <v>6.7468269873079496</v>
      </c>
      <c r="AT1098" s="126" t="s">
        <v>276</v>
      </c>
      <c r="AU1098" s="126" t="s">
        <v>276</v>
      </c>
      <c r="AV1098" s="126" t="s">
        <v>268</v>
      </c>
      <c r="AW1098" s="234" t="s">
        <v>276</v>
      </c>
      <c r="AX1098" s="234">
        <f t="shared" si="335"/>
        <v>1.2998958660473725</v>
      </c>
      <c r="AY1098" s="127" t="s">
        <v>276</v>
      </c>
      <c r="AZ1098" s="127" t="s">
        <v>276</v>
      </c>
      <c r="BA1098" s="127" t="s">
        <v>276</v>
      </c>
      <c r="BB1098" s="127" t="s">
        <v>282</v>
      </c>
      <c r="BC1098" s="127" t="s">
        <v>276</v>
      </c>
      <c r="BD1098" s="127" t="s">
        <v>276</v>
      </c>
      <c r="BE1098" s="127" t="s">
        <v>276</v>
      </c>
      <c r="BF1098" s="127" t="s">
        <v>298</v>
      </c>
      <c r="BG1098" s="127"/>
      <c r="BH1098" s="9" t="s">
        <v>100</v>
      </c>
      <c r="BI1098" s="9" t="s">
        <v>100</v>
      </c>
      <c r="BJ1098" s="136"/>
      <c r="BN1098" s="136"/>
      <c r="BO1098" s="136"/>
    </row>
    <row r="1099" spans="1:67" s="137" customFormat="1" ht="65" hidden="1" x14ac:dyDescent="0.35">
      <c r="A1099" s="126">
        <v>4465</v>
      </c>
      <c r="B1099" s="126" t="s">
        <v>4777</v>
      </c>
      <c r="C1099" s="127" t="s">
        <v>4778</v>
      </c>
      <c r="D1099" s="127" t="s">
        <v>4983</v>
      </c>
      <c r="E1099" s="126" t="s">
        <v>35</v>
      </c>
      <c r="F1099" s="127" t="s">
        <v>131</v>
      </c>
      <c r="G1099" s="127" t="s">
        <v>130</v>
      </c>
      <c r="H1099" s="126" t="s">
        <v>225</v>
      </c>
      <c r="I1099" s="126" t="s">
        <v>98</v>
      </c>
      <c r="J1099" s="127" t="s">
        <v>117</v>
      </c>
      <c r="K1099" s="126" t="s">
        <v>4825</v>
      </c>
      <c r="L1099" s="126" t="s">
        <v>276</v>
      </c>
      <c r="M1099" s="126" t="s">
        <v>276</v>
      </c>
      <c r="N1099" s="127" t="s">
        <v>4981</v>
      </c>
      <c r="O1099" s="127" t="s">
        <v>276</v>
      </c>
      <c r="P1099" s="127" t="s">
        <v>239</v>
      </c>
      <c r="Q1099" s="146" t="s">
        <v>276</v>
      </c>
      <c r="R1099" s="127" t="s">
        <v>728</v>
      </c>
      <c r="S1099" s="127" t="s">
        <v>276</v>
      </c>
      <c r="T1099" s="127" t="s">
        <v>276</v>
      </c>
      <c r="U1099" s="127" t="s">
        <v>4784</v>
      </c>
      <c r="V1099" s="126" t="s">
        <v>14</v>
      </c>
      <c r="W1099" s="127" t="s">
        <v>4781</v>
      </c>
      <c r="X1099" s="127" t="s">
        <v>208</v>
      </c>
      <c r="Y1099" s="132">
        <v>44925</v>
      </c>
      <c r="Z1099" s="127">
        <v>44910</v>
      </c>
      <c r="AA1099" s="127" t="s">
        <v>276</v>
      </c>
      <c r="AB1099" s="127" t="s">
        <v>276</v>
      </c>
      <c r="AC1099" s="126">
        <v>68</v>
      </c>
      <c r="AD1099" s="127" t="s">
        <v>4906</v>
      </c>
      <c r="AE1099" s="126">
        <v>51</v>
      </c>
      <c r="AF1099" s="127" t="s">
        <v>4906</v>
      </c>
      <c r="AG1099" s="127" t="s">
        <v>4984</v>
      </c>
      <c r="AH1099" s="127" t="s">
        <v>2034</v>
      </c>
      <c r="AI1099" s="134">
        <v>204</v>
      </c>
      <c r="AJ1099" s="134">
        <v>170</v>
      </c>
      <c r="AK1099" s="132">
        <v>44925</v>
      </c>
      <c r="AL1099" s="127">
        <v>44910</v>
      </c>
      <c r="AM1099" s="134" t="s">
        <v>281</v>
      </c>
      <c r="AN1099" s="126" t="s">
        <v>276</v>
      </c>
      <c r="AO1099" s="135">
        <f t="shared" si="336"/>
        <v>4.5409015025041732</v>
      </c>
      <c r="AP1099" s="126" t="s">
        <v>276</v>
      </c>
      <c r="AQ1099" s="126" t="s">
        <v>276</v>
      </c>
      <c r="AR1099" s="126" t="s">
        <v>276</v>
      </c>
      <c r="AS1099" s="135">
        <f t="shared" si="337"/>
        <v>3.7853484747272321</v>
      </c>
      <c r="AT1099" s="126" t="s">
        <v>276</v>
      </c>
      <c r="AU1099" s="126" t="s">
        <v>276</v>
      </c>
      <c r="AV1099" s="126" t="s">
        <v>268</v>
      </c>
      <c r="AW1099" s="234" t="s">
        <v>276</v>
      </c>
      <c r="AX1099" s="234">
        <f t="shared" si="335"/>
        <v>1.1995993322203673</v>
      </c>
      <c r="AY1099" s="127" t="s">
        <v>276</v>
      </c>
      <c r="AZ1099" s="127" t="s">
        <v>276</v>
      </c>
      <c r="BA1099" s="127" t="s">
        <v>276</v>
      </c>
      <c r="BB1099" s="127" t="s">
        <v>282</v>
      </c>
      <c r="BC1099" s="127" t="s">
        <v>276</v>
      </c>
      <c r="BD1099" s="127" t="s">
        <v>276</v>
      </c>
      <c r="BE1099" s="127" t="s">
        <v>276</v>
      </c>
      <c r="BF1099" s="127" t="s">
        <v>298</v>
      </c>
      <c r="BG1099" s="127"/>
      <c r="BH1099" s="9" t="s">
        <v>100</v>
      </c>
      <c r="BI1099" s="9" t="s">
        <v>100</v>
      </c>
      <c r="BJ1099" s="136"/>
      <c r="BN1099" s="136"/>
      <c r="BO1099" s="136"/>
    </row>
    <row r="1100" spans="1:67" s="33" customFormat="1" ht="65" hidden="1" x14ac:dyDescent="0.35">
      <c r="A1100" s="8">
        <v>10394</v>
      </c>
      <c r="B1100" s="8" t="s">
        <v>6422</v>
      </c>
      <c r="C1100" s="8" t="s">
        <v>6423</v>
      </c>
      <c r="D1100" s="9" t="s">
        <v>6433</v>
      </c>
      <c r="E1100" s="8" t="s">
        <v>43</v>
      </c>
      <c r="F1100" s="9" t="s">
        <v>6425</v>
      </c>
      <c r="G1100" s="8" t="s">
        <v>225</v>
      </c>
      <c r="H1100" s="8" t="s">
        <v>125</v>
      </c>
      <c r="I1100" s="8" t="s">
        <v>114</v>
      </c>
      <c r="J1100" s="9" t="s">
        <v>33</v>
      </c>
      <c r="K1100" s="8" t="s">
        <v>2735</v>
      </c>
      <c r="L1100" s="9" t="s">
        <v>6434</v>
      </c>
      <c r="M1100" s="8" t="s">
        <v>276</v>
      </c>
      <c r="N1100" s="8" t="s">
        <v>6435</v>
      </c>
      <c r="O1100" s="9" t="s">
        <v>276</v>
      </c>
      <c r="P1100" s="9" t="s">
        <v>239</v>
      </c>
      <c r="Q1100" s="52" t="s">
        <v>6426</v>
      </c>
      <c r="R1100" s="9" t="s">
        <v>4782</v>
      </c>
      <c r="S1100" s="9" t="s">
        <v>6427</v>
      </c>
      <c r="T1100" s="9" t="s">
        <v>6427</v>
      </c>
      <c r="U1100" s="9" t="s">
        <v>6428</v>
      </c>
      <c r="V1100" s="8" t="s">
        <v>14</v>
      </c>
      <c r="W1100" s="8" t="s">
        <v>98</v>
      </c>
      <c r="X1100" s="9" t="s">
        <v>207</v>
      </c>
      <c r="Y1100" s="13">
        <v>553</v>
      </c>
      <c r="Z1100" s="9">
        <v>581</v>
      </c>
      <c r="AA1100" s="9" t="s">
        <v>276</v>
      </c>
      <c r="AB1100" s="9" t="s">
        <v>276</v>
      </c>
      <c r="AC1100" s="8">
        <v>0</v>
      </c>
      <c r="AD1100" s="8" t="s">
        <v>6315</v>
      </c>
      <c r="AE1100" s="8">
        <v>0</v>
      </c>
      <c r="AF1100" s="8" t="s">
        <v>6315</v>
      </c>
      <c r="AG1100" s="9" t="s">
        <v>6436</v>
      </c>
      <c r="AH1100" s="9" t="s">
        <v>5993</v>
      </c>
      <c r="AI1100" s="38">
        <v>29</v>
      </c>
      <c r="AJ1100" s="38">
        <v>20</v>
      </c>
      <c r="AK1100" s="38">
        <v>553</v>
      </c>
      <c r="AL1100" s="38">
        <v>581</v>
      </c>
      <c r="AM1100" s="38" t="s">
        <v>690</v>
      </c>
      <c r="AN1100" s="8" t="s">
        <v>276</v>
      </c>
      <c r="AO1100" s="14">
        <f t="shared" ref="AO1100:AO1110" si="338">AI1100*1000/AK1100</f>
        <v>52.44122965641953</v>
      </c>
      <c r="AP1100" s="8" t="s">
        <v>276</v>
      </c>
      <c r="AQ1100" s="8" t="s">
        <v>276</v>
      </c>
      <c r="AR1100" s="8" t="s">
        <v>276</v>
      </c>
      <c r="AS1100" s="14">
        <f t="shared" ref="AS1100:AS1110" si="339">AJ1100*1000/AL1100</f>
        <v>34.42340791738382</v>
      </c>
      <c r="AT1100" s="8" t="s">
        <v>276</v>
      </c>
      <c r="AU1100" s="8" t="s">
        <v>276</v>
      </c>
      <c r="AV1100" s="8" t="s">
        <v>268</v>
      </c>
      <c r="AW1100" s="40" t="s">
        <v>276</v>
      </c>
      <c r="AX1100" s="53">
        <f t="shared" ref="AX1100:AX1110" si="340">AO1100/AS1100</f>
        <v>1.5234177215189875</v>
      </c>
      <c r="AY1100" s="9" t="s">
        <v>276</v>
      </c>
      <c r="AZ1100" s="9" t="s">
        <v>276</v>
      </c>
      <c r="BA1100" s="9" t="s">
        <v>276</v>
      </c>
      <c r="BB1100" s="9" t="s">
        <v>282</v>
      </c>
      <c r="BC1100" s="9" t="s">
        <v>98</v>
      </c>
      <c r="BD1100" s="9" t="s">
        <v>98</v>
      </c>
      <c r="BE1100" s="9" t="s">
        <v>98</v>
      </c>
      <c r="BF1100" s="9" t="s">
        <v>1358</v>
      </c>
      <c r="BG1100" s="9"/>
      <c r="BH1100" s="9" t="s">
        <v>100</v>
      </c>
      <c r="BI1100" s="9" t="s">
        <v>100</v>
      </c>
      <c r="BJ1100" s="32"/>
      <c r="BN1100" s="32"/>
      <c r="BO1100" s="32"/>
    </row>
    <row r="1101" spans="1:67" s="33" customFormat="1" ht="65" hidden="1" x14ac:dyDescent="0.35">
      <c r="A1101" s="8">
        <v>10394</v>
      </c>
      <c r="B1101" s="8" t="s">
        <v>6422</v>
      </c>
      <c r="C1101" s="8" t="s">
        <v>6423</v>
      </c>
      <c r="D1101" s="9" t="s">
        <v>6437</v>
      </c>
      <c r="E1101" s="8" t="s">
        <v>43</v>
      </c>
      <c r="F1101" s="9" t="s">
        <v>6425</v>
      </c>
      <c r="G1101" s="8" t="s">
        <v>225</v>
      </c>
      <c r="H1101" s="8" t="s">
        <v>125</v>
      </c>
      <c r="I1101" s="8" t="s">
        <v>114</v>
      </c>
      <c r="J1101" s="9" t="s">
        <v>33</v>
      </c>
      <c r="K1101" s="8" t="s">
        <v>2739</v>
      </c>
      <c r="L1101" s="9" t="s">
        <v>6434</v>
      </c>
      <c r="M1101" s="8" t="s">
        <v>276</v>
      </c>
      <c r="N1101" s="8" t="s">
        <v>6435</v>
      </c>
      <c r="O1101" s="9" t="s">
        <v>276</v>
      </c>
      <c r="P1101" s="9" t="s">
        <v>239</v>
      </c>
      <c r="Q1101" s="52" t="s">
        <v>6426</v>
      </c>
      <c r="R1101" s="9" t="s">
        <v>4782</v>
      </c>
      <c r="S1101" s="9" t="s">
        <v>6427</v>
      </c>
      <c r="T1101" s="9" t="s">
        <v>6427</v>
      </c>
      <c r="U1101" s="9" t="s">
        <v>6428</v>
      </c>
      <c r="V1101" s="8" t="s">
        <v>14</v>
      </c>
      <c r="W1101" s="8" t="s">
        <v>98</v>
      </c>
      <c r="X1101" s="9" t="s">
        <v>207</v>
      </c>
      <c r="Y1101" s="13">
        <v>553</v>
      </c>
      <c r="Z1101" s="9">
        <v>581</v>
      </c>
      <c r="AA1101" s="9" t="s">
        <v>276</v>
      </c>
      <c r="AB1101" s="9" t="s">
        <v>276</v>
      </c>
      <c r="AC1101" s="8">
        <v>0</v>
      </c>
      <c r="AD1101" s="8" t="s">
        <v>6315</v>
      </c>
      <c r="AE1101" s="8">
        <v>0</v>
      </c>
      <c r="AF1101" s="8" t="s">
        <v>6315</v>
      </c>
      <c r="AG1101" s="9" t="s">
        <v>6438</v>
      </c>
      <c r="AH1101" s="9" t="s">
        <v>5993</v>
      </c>
      <c r="AI1101" s="38">
        <v>27</v>
      </c>
      <c r="AJ1101" s="38">
        <v>24</v>
      </c>
      <c r="AK1101" s="38">
        <v>553</v>
      </c>
      <c r="AL1101" s="38">
        <v>581</v>
      </c>
      <c r="AM1101" s="38" t="s">
        <v>690</v>
      </c>
      <c r="AN1101" s="8" t="s">
        <v>276</v>
      </c>
      <c r="AO1101" s="14">
        <f t="shared" si="338"/>
        <v>48.824593128390596</v>
      </c>
      <c r="AP1101" s="8" t="s">
        <v>276</v>
      </c>
      <c r="AQ1101" s="8" t="s">
        <v>276</v>
      </c>
      <c r="AR1101" s="8" t="s">
        <v>276</v>
      </c>
      <c r="AS1101" s="14">
        <f t="shared" si="339"/>
        <v>41.308089500860582</v>
      </c>
      <c r="AT1101" s="8" t="s">
        <v>276</v>
      </c>
      <c r="AU1101" s="8" t="s">
        <v>276</v>
      </c>
      <c r="AV1101" s="8" t="s">
        <v>268</v>
      </c>
      <c r="AW1101" s="40" t="s">
        <v>276</v>
      </c>
      <c r="AX1101" s="53">
        <f t="shared" si="340"/>
        <v>1.1819620253164558</v>
      </c>
      <c r="AY1101" s="9" t="s">
        <v>276</v>
      </c>
      <c r="AZ1101" s="9" t="s">
        <v>276</v>
      </c>
      <c r="BA1101" s="9" t="s">
        <v>276</v>
      </c>
      <c r="BB1101" s="9" t="s">
        <v>282</v>
      </c>
      <c r="BC1101" s="9" t="s">
        <v>98</v>
      </c>
      <c r="BD1101" s="9" t="s">
        <v>98</v>
      </c>
      <c r="BE1101" s="9" t="s">
        <v>98</v>
      </c>
      <c r="BF1101" s="9" t="s">
        <v>1358</v>
      </c>
      <c r="BG1101" s="9"/>
      <c r="BH1101" s="9" t="s">
        <v>100</v>
      </c>
      <c r="BI1101" s="9" t="s">
        <v>100</v>
      </c>
      <c r="BJ1101" s="32"/>
      <c r="BN1101" s="32"/>
      <c r="BO1101" s="32"/>
    </row>
    <row r="1102" spans="1:67" s="33" customFormat="1" ht="65" hidden="1" x14ac:dyDescent="0.35">
      <c r="A1102" s="8">
        <v>10394</v>
      </c>
      <c r="B1102" s="8" t="s">
        <v>6422</v>
      </c>
      <c r="C1102" s="8" t="s">
        <v>6423</v>
      </c>
      <c r="D1102" s="9" t="s">
        <v>6439</v>
      </c>
      <c r="E1102" s="8" t="s">
        <v>43</v>
      </c>
      <c r="F1102" s="9" t="s">
        <v>6425</v>
      </c>
      <c r="G1102" s="8" t="s">
        <v>225</v>
      </c>
      <c r="H1102" s="8" t="s">
        <v>125</v>
      </c>
      <c r="I1102" s="8" t="s">
        <v>114</v>
      </c>
      <c r="J1102" s="9" t="s">
        <v>33</v>
      </c>
      <c r="K1102" s="8" t="s">
        <v>2649</v>
      </c>
      <c r="L1102" s="9" t="s">
        <v>6434</v>
      </c>
      <c r="M1102" s="8" t="s">
        <v>276</v>
      </c>
      <c r="N1102" s="8" t="s">
        <v>6435</v>
      </c>
      <c r="O1102" s="9" t="s">
        <v>276</v>
      </c>
      <c r="P1102" s="9" t="s">
        <v>239</v>
      </c>
      <c r="Q1102" s="52" t="s">
        <v>6426</v>
      </c>
      <c r="R1102" s="9" t="s">
        <v>4782</v>
      </c>
      <c r="S1102" s="9" t="s">
        <v>6427</v>
      </c>
      <c r="T1102" s="9" t="s">
        <v>6427</v>
      </c>
      <c r="U1102" s="9" t="s">
        <v>6428</v>
      </c>
      <c r="V1102" s="8" t="s">
        <v>14</v>
      </c>
      <c r="W1102" s="8" t="s">
        <v>98</v>
      </c>
      <c r="X1102" s="9" t="s">
        <v>207</v>
      </c>
      <c r="Y1102" s="13">
        <v>553</v>
      </c>
      <c r="Z1102" s="9">
        <v>581</v>
      </c>
      <c r="AA1102" s="9" t="s">
        <v>276</v>
      </c>
      <c r="AB1102" s="9" t="s">
        <v>276</v>
      </c>
      <c r="AC1102" s="8">
        <v>0</v>
      </c>
      <c r="AD1102" s="8" t="s">
        <v>6315</v>
      </c>
      <c r="AE1102" s="8">
        <v>0</v>
      </c>
      <c r="AF1102" s="8" t="s">
        <v>6315</v>
      </c>
      <c r="AG1102" s="9" t="s">
        <v>6440</v>
      </c>
      <c r="AH1102" s="9" t="s">
        <v>5993</v>
      </c>
      <c r="AI1102" s="38">
        <v>14</v>
      </c>
      <c r="AJ1102" s="38">
        <v>7</v>
      </c>
      <c r="AK1102" s="38">
        <v>553</v>
      </c>
      <c r="AL1102" s="38">
        <v>581</v>
      </c>
      <c r="AM1102" s="38" t="s">
        <v>690</v>
      </c>
      <c r="AN1102" s="8" t="s">
        <v>276</v>
      </c>
      <c r="AO1102" s="14">
        <f t="shared" si="338"/>
        <v>25.316455696202532</v>
      </c>
      <c r="AP1102" s="8" t="s">
        <v>276</v>
      </c>
      <c r="AQ1102" s="8" t="s">
        <v>276</v>
      </c>
      <c r="AR1102" s="8" t="s">
        <v>276</v>
      </c>
      <c r="AS1102" s="14">
        <f t="shared" si="339"/>
        <v>12.048192771084338</v>
      </c>
      <c r="AT1102" s="8" t="s">
        <v>276</v>
      </c>
      <c r="AU1102" s="8" t="s">
        <v>276</v>
      </c>
      <c r="AV1102" s="8" t="s">
        <v>268</v>
      </c>
      <c r="AW1102" s="40" t="s">
        <v>276</v>
      </c>
      <c r="AX1102" s="53">
        <f t="shared" si="340"/>
        <v>2.1012658227848102</v>
      </c>
      <c r="AY1102" s="9" t="s">
        <v>276</v>
      </c>
      <c r="AZ1102" s="9" t="s">
        <v>276</v>
      </c>
      <c r="BA1102" s="9" t="s">
        <v>276</v>
      </c>
      <c r="BB1102" s="9" t="s">
        <v>282</v>
      </c>
      <c r="BC1102" s="9" t="s">
        <v>98</v>
      </c>
      <c r="BD1102" s="9" t="s">
        <v>98</v>
      </c>
      <c r="BE1102" s="9" t="s">
        <v>98</v>
      </c>
      <c r="BF1102" s="9" t="s">
        <v>1358</v>
      </c>
      <c r="BG1102" s="9"/>
      <c r="BH1102" s="9" t="s">
        <v>100</v>
      </c>
      <c r="BI1102" s="9" t="s">
        <v>100</v>
      </c>
      <c r="BJ1102" s="32"/>
      <c r="BN1102" s="32"/>
      <c r="BO1102" s="32"/>
    </row>
    <row r="1103" spans="1:67" s="33" customFormat="1" ht="65" hidden="1" x14ac:dyDescent="0.35">
      <c r="A1103" s="8">
        <v>10394</v>
      </c>
      <c r="B1103" s="8" t="s">
        <v>6422</v>
      </c>
      <c r="C1103" s="8" t="s">
        <v>6423</v>
      </c>
      <c r="D1103" s="9" t="s">
        <v>6441</v>
      </c>
      <c r="E1103" s="8" t="s">
        <v>43</v>
      </c>
      <c r="F1103" s="9" t="s">
        <v>6425</v>
      </c>
      <c r="G1103" s="8" t="s">
        <v>225</v>
      </c>
      <c r="H1103" s="8" t="s">
        <v>125</v>
      </c>
      <c r="I1103" s="8" t="s">
        <v>114</v>
      </c>
      <c r="J1103" s="9" t="s">
        <v>33</v>
      </c>
      <c r="K1103" s="8" t="s">
        <v>1108</v>
      </c>
      <c r="L1103" s="9" t="s">
        <v>6434</v>
      </c>
      <c r="M1103" s="8" t="s">
        <v>276</v>
      </c>
      <c r="N1103" s="8" t="s">
        <v>6435</v>
      </c>
      <c r="O1103" s="9" t="s">
        <v>276</v>
      </c>
      <c r="P1103" s="9" t="s">
        <v>239</v>
      </c>
      <c r="Q1103" s="52" t="s">
        <v>6426</v>
      </c>
      <c r="R1103" s="9" t="s">
        <v>4782</v>
      </c>
      <c r="S1103" s="9" t="s">
        <v>6427</v>
      </c>
      <c r="T1103" s="9" t="s">
        <v>6427</v>
      </c>
      <c r="U1103" s="9" t="s">
        <v>6428</v>
      </c>
      <c r="V1103" s="8" t="s">
        <v>14</v>
      </c>
      <c r="W1103" s="8" t="s">
        <v>98</v>
      </c>
      <c r="X1103" s="9" t="s">
        <v>207</v>
      </c>
      <c r="Y1103" s="13">
        <v>553</v>
      </c>
      <c r="Z1103" s="9">
        <v>581</v>
      </c>
      <c r="AA1103" s="9" t="s">
        <v>276</v>
      </c>
      <c r="AB1103" s="9" t="s">
        <v>276</v>
      </c>
      <c r="AC1103" s="8">
        <v>0</v>
      </c>
      <c r="AD1103" s="8" t="s">
        <v>6315</v>
      </c>
      <c r="AE1103" s="8">
        <v>0</v>
      </c>
      <c r="AF1103" s="8" t="s">
        <v>6315</v>
      </c>
      <c r="AG1103" s="9" t="s">
        <v>6442</v>
      </c>
      <c r="AH1103" s="9" t="s">
        <v>5993</v>
      </c>
      <c r="AI1103" s="38">
        <v>1</v>
      </c>
      <c r="AJ1103" s="38">
        <v>6</v>
      </c>
      <c r="AK1103" s="38">
        <v>553</v>
      </c>
      <c r="AL1103" s="38">
        <v>581</v>
      </c>
      <c r="AM1103" s="38" t="s">
        <v>690</v>
      </c>
      <c r="AN1103" s="8" t="s">
        <v>276</v>
      </c>
      <c r="AO1103" s="14">
        <f t="shared" si="338"/>
        <v>1.8083182640144666</v>
      </c>
      <c r="AP1103" s="8" t="s">
        <v>276</v>
      </c>
      <c r="AQ1103" s="8" t="s">
        <v>276</v>
      </c>
      <c r="AR1103" s="8" t="s">
        <v>276</v>
      </c>
      <c r="AS1103" s="14">
        <f t="shared" si="339"/>
        <v>10.327022375215146</v>
      </c>
      <c r="AT1103" s="8" t="s">
        <v>276</v>
      </c>
      <c r="AU1103" s="8" t="s">
        <v>276</v>
      </c>
      <c r="AV1103" s="8" t="s">
        <v>268</v>
      </c>
      <c r="AW1103" s="40" t="s">
        <v>276</v>
      </c>
      <c r="AX1103" s="53">
        <f t="shared" si="340"/>
        <v>0.17510548523206754</v>
      </c>
      <c r="AY1103" s="9" t="s">
        <v>276</v>
      </c>
      <c r="AZ1103" s="9" t="s">
        <v>276</v>
      </c>
      <c r="BA1103" s="9" t="s">
        <v>276</v>
      </c>
      <c r="BB1103" s="9" t="s">
        <v>282</v>
      </c>
      <c r="BC1103" s="9" t="s">
        <v>98</v>
      </c>
      <c r="BD1103" s="9" t="s">
        <v>98</v>
      </c>
      <c r="BE1103" s="9" t="s">
        <v>98</v>
      </c>
      <c r="BF1103" s="9" t="s">
        <v>1358</v>
      </c>
      <c r="BG1103" s="9"/>
      <c r="BH1103" s="9" t="s">
        <v>100</v>
      </c>
      <c r="BI1103" s="9" t="s">
        <v>100</v>
      </c>
      <c r="BJ1103" s="32"/>
      <c r="BN1103" s="32"/>
      <c r="BO1103" s="32"/>
    </row>
    <row r="1104" spans="1:67" s="33" customFormat="1" ht="65" hidden="1" x14ac:dyDescent="0.35">
      <c r="A1104" s="8">
        <v>10394</v>
      </c>
      <c r="B1104" s="8" t="s">
        <v>6422</v>
      </c>
      <c r="C1104" s="8" t="s">
        <v>6423</v>
      </c>
      <c r="D1104" s="9" t="s">
        <v>6443</v>
      </c>
      <c r="E1104" s="8" t="s">
        <v>43</v>
      </c>
      <c r="F1104" s="9" t="s">
        <v>6425</v>
      </c>
      <c r="G1104" s="8" t="s">
        <v>225</v>
      </c>
      <c r="H1104" s="8" t="s">
        <v>125</v>
      </c>
      <c r="I1104" s="8" t="s">
        <v>114</v>
      </c>
      <c r="J1104" s="9" t="s">
        <v>117</v>
      </c>
      <c r="K1104" s="9" t="s">
        <v>6444</v>
      </c>
      <c r="L1104" s="9" t="s">
        <v>6434</v>
      </c>
      <c r="M1104" s="8" t="s">
        <v>276</v>
      </c>
      <c r="N1104" s="8" t="s">
        <v>6435</v>
      </c>
      <c r="O1104" s="9" t="s">
        <v>276</v>
      </c>
      <c r="P1104" s="9" t="s">
        <v>239</v>
      </c>
      <c r="Q1104" s="52" t="s">
        <v>6426</v>
      </c>
      <c r="R1104" s="9" t="s">
        <v>4782</v>
      </c>
      <c r="S1104" s="9" t="s">
        <v>6427</v>
      </c>
      <c r="T1104" s="9" t="s">
        <v>6427</v>
      </c>
      <c r="U1104" s="9" t="s">
        <v>6428</v>
      </c>
      <c r="V1104" s="8" t="s">
        <v>14</v>
      </c>
      <c r="W1104" s="8" t="s">
        <v>98</v>
      </c>
      <c r="X1104" s="9" t="s">
        <v>207</v>
      </c>
      <c r="Y1104" s="13">
        <v>553</v>
      </c>
      <c r="Z1104" s="9">
        <v>581</v>
      </c>
      <c r="AA1104" s="9" t="s">
        <v>276</v>
      </c>
      <c r="AB1104" s="9" t="s">
        <v>276</v>
      </c>
      <c r="AC1104" s="8">
        <v>37</v>
      </c>
      <c r="AD1104" s="8" t="s">
        <v>6445</v>
      </c>
      <c r="AE1104" s="8">
        <v>34</v>
      </c>
      <c r="AF1104" s="8" t="s">
        <v>6445</v>
      </c>
      <c r="AG1104" s="9" t="s">
        <v>6446</v>
      </c>
      <c r="AH1104" s="9" t="s">
        <v>5993</v>
      </c>
      <c r="AI1104" s="38">
        <v>34</v>
      </c>
      <c r="AJ1104" s="38">
        <v>19</v>
      </c>
      <c r="AK1104" s="38">
        <v>553</v>
      </c>
      <c r="AL1104" s="38">
        <v>581</v>
      </c>
      <c r="AM1104" s="38" t="s">
        <v>690</v>
      </c>
      <c r="AN1104" s="8" t="s">
        <v>276</v>
      </c>
      <c r="AO1104" s="14">
        <f t="shared" si="338"/>
        <v>61.482820976491865</v>
      </c>
      <c r="AP1104" s="8" t="s">
        <v>276</v>
      </c>
      <c r="AQ1104" s="8" t="s">
        <v>276</v>
      </c>
      <c r="AR1104" s="8" t="s">
        <v>276</v>
      </c>
      <c r="AS1104" s="14">
        <f t="shared" si="339"/>
        <v>32.702237521514633</v>
      </c>
      <c r="AT1104" s="8" t="s">
        <v>276</v>
      </c>
      <c r="AU1104" s="8" t="s">
        <v>276</v>
      </c>
      <c r="AV1104" s="8" t="s">
        <v>268</v>
      </c>
      <c r="AW1104" s="40" t="s">
        <v>276</v>
      </c>
      <c r="AX1104" s="53">
        <f t="shared" si="340"/>
        <v>1.8800799467021985</v>
      </c>
      <c r="AY1104" s="9" t="s">
        <v>276</v>
      </c>
      <c r="AZ1104" s="9" t="s">
        <v>276</v>
      </c>
      <c r="BA1104" s="9" t="s">
        <v>276</v>
      </c>
      <c r="BB1104" s="9" t="s">
        <v>282</v>
      </c>
      <c r="BC1104" s="9" t="s">
        <v>98</v>
      </c>
      <c r="BD1104" s="9" t="s">
        <v>98</v>
      </c>
      <c r="BE1104" s="9" t="s">
        <v>98</v>
      </c>
      <c r="BF1104" s="9" t="s">
        <v>1358</v>
      </c>
      <c r="BG1104" s="9"/>
      <c r="BH1104" s="9" t="s">
        <v>100</v>
      </c>
      <c r="BI1104" s="9" t="s">
        <v>100</v>
      </c>
      <c r="BJ1104" s="32"/>
      <c r="BN1104" s="32"/>
      <c r="BO1104" s="32"/>
    </row>
    <row r="1105" spans="1:67" s="33" customFormat="1" ht="65" hidden="1" x14ac:dyDescent="0.35">
      <c r="A1105" s="8">
        <v>10394</v>
      </c>
      <c r="B1105" s="8" t="s">
        <v>6422</v>
      </c>
      <c r="C1105" s="8" t="s">
        <v>6423</v>
      </c>
      <c r="D1105" s="9" t="s">
        <v>6447</v>
      </c>
      <c r="E1105" s="8" t="s">
        <v>43</v>
      </c>
      <c r="F1105" s="9" t="s">
        <v>6425</v>
      </c>
      <c r="G1105" s="8" t="s">
        <v>225</v>
      </c>
      <c r="H1105" s="8" t="s">
        <v>125</v>
      </c>
      <c r="I1105" s="8" t="s">
        <v>114</v>
      </c>
      <c r="J1105" s="9" t="s">
        <v>117</v>
      </c>
      <c r="K1105" s="9" t="s">
        <v>6448</v>
      </c>
      <c r="L1105" s="9" t="s">
        <v>6434</v>
      </c>
      <c r="M1105" s="8" t="s">
        <v>276</v>
      </c>
      <c r="N1105" s="8" t="s">
        <v>6435</v>
      </c>
      <c r="O1105" s="9" t="s">
        <v>276</v>
      </c>
      <c r="P1105" s="9" t="s">
        <v>239</v>
      </c>
      <c r="Q1105" s="52" t="s">
        <v>6426</v>
      </c>
      <c r="R1105" s="9" t="s">
        <v>4782</v>
      </c>
      <c r="S1105" s="9" t="s">
        <v>6427</v>
      </c>
      <c r="T1105" s="9" t="s">
        <v>6427</v>
      </c>
      <c r="U1105" s="9" t="s">
        <v>6428</v>
      </c>
      <c r="V1105" s="8" t="s">
        <v>14</v>
      </c>
      <c r="W1105" s="8" t="s">
        <v>98</v>
      </c>
      <c r="X1105" s="9" t="s">
        <v>207</v>
      </c>
      <c r="Y1105" s="13">
        <v>553</v>
      </c>
      <c r="Z1105" s="9">
        <v>581</v>
      </c>
      <c r="AA1105" s="9" t="s">
        <v>276</v>
      </c>
      <c r="AB1105" s="9" t="s">
        <v>276</v>
      </c>
      <c r="AC1105" s="8">
        <v>37</v>
      </c>
      <c r="AD1105" s="8" t="s">
        <v>6445</v>
      </c>
      <c r="AE1105" s="8">
        <v>34</v>
      </c>
      <c r="AF1105" s="8" t="s">
        <v>6445</v>
      </c>
      <c r="AG1105" s="9" t="s">
        <v>6446</v>
      </c>
      <c r="AH1105" s="9" t="s">
        <v>5993</v>
      </c>
      <c r="AI1105" s="38">
        <v>0</v>
      </c>
      <c r="AJ1105" s="38">
        <v>4</v>
      </c>
      <c r="AK1105" s="38">
        <v>553</v>
      </c>
      <c r="AL1105" s="38">
        <v>581</v>
      </c>
      <c r="AM1105" s="38" t="s">
        <v>690</v>
      </c>
      <c r="AN1105" s="8" t="s">
        <v>276</v>
      </c>
      <c r="AO1105" s="14">
        <f t="shared" si="338"/>
        <v>0</v>
      </c>
      <c r="AP1105" s="8" t="s">
        <v>276</v>
      </c>
      <c r="AQ1105" s="8" t="s">
        <v>276</v>
      </c>
      <c r="AR1105" s="8" t="s">
        <v>276</v>
      </c>
      <c r="AS1105" s="14">
        <f t="shared" si="339"/>
        <v>6.8846815834767643</v>
      </c>
      <c r="AT1105" s="8" t="s">
        <v>276</v>
      </c>
      <c r="AU1105" s="8" t="s">
        <v>276</v>
      </c>
      <c r="AV1105" s="8" t="s">
        <v>268</v>
      </c>
      <c r="AW1105" s="40" t="s">
        <v>276</v>
      </c>
      <c r="AX1105" s="53">
        <f t="shared" si="340"/>
        <v>0</v>
      </c>
      <c r="AY1105" s="9" t="s">
        <v>276</v>
      </c>
      <c r="AZ1105" s="9" t="s">
        <v>276</v>
      </c>
      <c r="BA1105" s="9" t="s">
        <v>276</v>
      </c>
      <c r="BB1105" s="9" t="s">
        <v>282</v>
      </c>
      <c r="BC1105" s="9" t="s">
        <v>98</v>
      </c>
      <c r="BD1105" s="9" t="s">
        <v>98</v>
      </c>
      <c r="BE1105" s="9" t="s">
        <v>98</v>
      </c>
      <c r="BF1105" s="9" t="s">
        <v>1358</v>
      </c>
      <c r="BG1105" s="9" t="s">
        <v>6449</v>
      </c>
      <c r="BH1105" s="9" t="s">
        <v>100</v>
      </c>
      <c r="BI1105" s="9" t="s">
        <v>100</v>
      </c>
      <c r="BJ1105" s="32"/>
      <c r="BN1105" s="32"/>
      <c r="BO1105" s="32"/>
    </row>
    <row r="1106" spans="1:67" s="33" customFormat="1" ht="65" hidden="1" x14ac:dyDescent="0.35">
      <c r="A1106" s="8">
        <v>10394</v>
      </c>
      <c r="B1106" s="8" t="s">
        <v>6422</v>
      </c>
      <c r="C1106" s="8" t="s">
        <v>6423</v>
      </c>
      <c r="D1106" s="9" t="s">
        <v>6450</v>
      </c>
      <c r="E1106" s="8" t="s">
        <v>43</v>
      </c>
      <c r="F1106" s="9" t="s">
        <v>6425</v>
      </c>
      <c r="G1106" s="8" t="s">
        <v>225</v>
      </c>
      <c r="H1106" s="8" t="s">
        <v>125</v>
      </c>
      <c r="I1106" s="8" t="s">
        <v>114</v>
      </c>
      <c r="J1106" s="9" t="s">
        <v>1116</v>
      </c>
      <c r="K1106" s="9" t="s">
        <v>6451</v>
      </c>
      <c r="L1106" s="9" t="s">
        <v>6434</v>
      </c>
      <c r="M1106" s="8" t="s">
        <v>276</v>
      </c>
      <c r="N1106" s="8" t="s">
        <v>6435</v>
      </c>
      <c r="O1106" s="9" t="s">
        <v>276</v>
      </c>
      <c r="P1106" s="9" t="s">
        <v>239</v>
      </c>
      <c r="Q1106" s="52" t="s">
        <v>6426</v>
      </c>
      <c r="R1106" s="9" t="s">
        <v>4782</v>
      </c>
      <c r="S1106" s="9" t="s">
        <v>6427</v>
      </c>
      <c r="T1106" s="9" t="s">
        <v>6427</v>
      </c>
      <c r="U1106" s="9" t="s">
        <v>6428</v>
      </c>
      <c r="V1106" s="8" t="s">
        <v>14</v>
      </c>
      <c r="W1106" s="8" t="s">
        <v>98</v>
      </c>
      <c r="X1106" s="9" t="s">
        <v>207</v>
      </c>
      <c r="Y1106" s="13">
        <v>553</v>
      </c>
      <c r="Z1106" s="9">
        <v>581</v>
      </c>
      <c r="AA1106" s="9" t="s">
        <v>276</v>
      </c>
      <c r="AB1106" s="9" t="s">
        <v>276</v>
      </c>
      <c r="AC1106" s="8">
        <v>25</v>
      </c>
      <c r="AD1106" s="8" t="s">
        <v>6452</v>
      </c>
      <c r="AE1106" s="8">
        <v>25</v>
      </c>
      <c r="AF1106" s="8" t="s">
        <v>6452</v>
      </c>
      <c r="AG1106" s="9" t="s">
        <v>6453</v>
      </c>
      <c r="AH1106" s="9" t="s">
        <v>5993</v>
      </c>
      <c r="AI1106" s="38">
        <v>43</v>
      </c>
      <c r="AJ1106" s="38">
        <v>25</v>
      </c>
      <c r="AK1106" s="38">
        <v>553</v>
      </c>
      <c r="AL1106" s="38">
        <v>581</v>
      </c>
      <c r="AM1106" s="38" t="s">
        <v>690</v>
      </c>
      <c r="AN1106" s="8" t="s">
        <v>276</v>
      </c>
      <c r="AO1106" s="14">
        <f t="shared" si="338"/>
        <v>77.757685352622062</v>
      </c>
      <c r="AP1106" s="8" t="s">
        <v>276</v>
      </c>
      <c r="AQ1106" s="8" t="s">
        <v>276</v>
      </c>
      <c r="AR1106" s="8" t="s">
        <v>276</v>
      </c>
      <c r="AS1106" s="14">
        <f t="shared" si="339"/>
        <v>43.029259896729776</v>
      </c>
      <c r="AT1106" s="8" t="s">
        <v>276</v>
      </c>
      <c r="AU1106" s="8" t="s">
        <v>276</v>
      </c>
      <c r="AV1106" s="8" t="s">
        <v>268</v>
      </c>
      <c r="AW1106" s="40" t="s">
        <v>276</v>
      </c>
      <c r="AX1106" s="53">
        <f t="shared" si="340"/>
        <v>1.8070886075949366</v>
      </c>
      <c r="AY1106" s="9" t="s">
        <v>276</v>
      </c>
      <c r="AZ1106" s="9" t="s">
        <v>276</v>
      </c>
      <c r="BA1106" s="9" t="s">
        <v>276</v>
      </c>
      <c r="BB1106" s="9" t="s">
        <v>282</v>
      </c>
      <c r="BC1106" s="9" t="s">
        <v>98</v>
      </c>
      <c r="BD1106" s="9" t="s">
        <v>98</v>
      </c>
      <c r="BE1106" s="9" t="s">
        <v>98</v>
      </c>
      <c r="BF1106" s="9" t="s">
        <v>1358</v>
      </c>
      <c r="BG1106" s="9"/>
      <c r="BH1106" s="9" t="s">
        <v>100</v>
      </c>
      <c r="BI1106" s="9" t="s">
        <v>100</v>
      </c>
      <c r="BJ1106" s="32"/>
      <c r="BN1106" s="32"/>
      <c r="BO1106" s="32"/>
    </row>
    <row r="1107" spans="1:67" s="33" customFormat="1" ht="65" hidden="1" x14ac:dyDescent="0.35">
      <c r="A1107" s="8">
        <v>10394</v>
      </c>
      <c r="B1107" s="8" t="s">
        <v>6422</v>
      </c>
      <c r="C1107" s="8" t="s">
        <v>6423</v>
      </c>
      <c r="D1107" s="9" t="s">
        <v>6454</v>
      </c>
      <c r="E1107" s="8" t="s">
        <v>43</v>
      </c>
      <c r="F1107" s="9" t="s">
        <v>6425</v>
      </c>
      <c r="G1107" s="8" t="s">
        <v>225</v>
      </c>
      <c r="H1107" s="8" t="s">
        <v>125</v>
      </c>
      <c r="I1107" s="8" t="s">
        <v>114</v>
      </c>
      <c r="J1107" s="9" t="s">
        <v>1116</v>
      </c>
      <c r="K1107" s="9" t="s">
        <v>6455</v>
      </c>
      <c r="L1107" s="9" t="s">
        <v>6434</v>
      </c>
      <c r="M1107" s="8" t="s">
        <v>276</v>
      </c>
      <c r="N1107" s="8" t="s">
        <v>6435</v>
      </c>
      <c r="O1107" s="9" t="s">
        <v>276</v>
      </c>
      <c r="P1107" s="9" t="s">
        <v>239</v>
      </c>
      <c r="Q1107" s="52" t="s">
        <v>6426</v>
      </c>
      <c r="R1107" s="9" t="s">
        <v>4782</v>
      </c>
      <c r="S1107" s="9" t="s">
        <v>6427</v>
      </c>
      <c r="T1107" s="9" t="s">
        <v>6427</v>
      </c>
      <c r="U1107" s="9" t="s">
        <v>6428</v>
      </c>
      <c r="V1107" s="8" t="s">
        <v>14</v>
      </c>
      <c r="W1107" s="8" t="s">
        <v>98</v>
      </c>
      <c r="X1107" s="9" t="s">
        <v>207</v>
      </c>
      <c r="Y1107" s="13">
        <v>553</v>
      </c>
      <c r="Z1107" s="9">
        <v>581</v>
      </c>
      <c r="AA1107" s="9" t="s">
        <v>276</v>
      </c>
      <c r="AB1107" s="9" t="s">
        <v>276</v>
      </c>
      <c r="AC1107" s="8">
        <v>25</v>
      </c>
      <c r="AD1107" s="8" t="s">
        <v>6452</v>
      </c>
      <c r="AE1107" s="8">
        <v>25</v>
      </c>
      <c r="AF1107" s="8" t="s">
        <v>6452</v>
      </c>
      <c r="AG1107" s="9" t="s">
        <v>6456</v>
      </c>
      <c r="AH1107" s="9" t="s">
        <v>5993</v>
      </c>
      <c r="AI1107" s="38">
        <v>3</v>
      </c>
      <c r="AJ1107" s="38">
        <v>7</v>
      </c>
      <c r="AK1107" s="38">
        <v>553</v>
      </c>
      <c r="AL1107" s="38">
        <v>581</v>
      </c>
      <c r="AM1107" s="38" t="s">
        <v>690</v>
      </c>
      <c r="AN1107" s="8" t="s">
        <v>276</v>
      </c>
      <c r="AO1107" s="14">
        <f t="shared" si="338"/>
        <v>5.4249547920433994</v>
      </c>
      <c r="AP1107" s="8" t="s">
        <v>276</v>
      </c>
      <c r="AQ1107" s="8" t="s">
        <v>276</v>
      </c>
      <c r="AR1107" s="8" t="s">
        <v>276</v>
      </c>
      <c r="AS1107" s="14">
        <f t="shared" si="339"/>
        <v>12.048192771084338</v>
      </c>
      <c r="AT1107" s="8" t="s">
        <v>276</v>
      </c>
      <c r="AU1107" s="8" t="s">
        <v>276</v>
      </c>
      <c r="AV1107" s="8" t="s">
        <v>268</v>
      </c>
      <c r="AW1107" s="40" t="s">
        <v>276</v>
      </c>
      <c r="AX1107" s="53">
        <f t="shared" si="340"/>
        <v>0.45027124773960214</v>
      </c>
      <c r="AY1107" s="9" t="s">
        <v>276</v>
      </c>
      <c r="AZ1107" s="9" t="s">
        <v>276</v>
      </c>
      <c r="BA1107" s="9" t="s">
        <v>276</v>
      </c>
      <c r="BB1107" s="9" t="s">
        <v>282</v>
      </c>
      <c r="BC1107" s="9" t="s">
        <v>98</v>
      </c>
      <c r="BD1107" s="9" t="s">
        <v>98</v>
      </c>
      <c r="BE1107" s="9" t="s">
        <v>98</v>
      </c>
      <c r="BF1107" s="9" t="s">
        <v>1358</v>
      </c>
      <c r="BG1107" s="9" t="s">
        <v>6449</v>
      </c>
      <c r="BH1107" s="9" t="s">
        <v>100</v>
      </c>
      <c r="BI1107" s="9" t="s">
        <v>100</v>
      </c>
      <c r="BJ1107" s="32"/>
      <c r="BN1107" s="32"/>
      <c r="BO1107" s="32"/>
    </row>
    <row r="1108" spans="1:67" s="33" customFormat="1" ht="78" hidden="1" x14ac:dyDescent="0.35">
      <c r="A1108" s="8">
        <v>10394</v>
      </c>
      <c r="B1108" s="8" t="s">
        <v>6422</v>
      </c>
      <c r="C1108" s="8" t="s">
        <v>6423</v>
      </c>
      <c r="D1108" s="9" t="s">
        <v>6457</v>
      </c>
      <c r="E1108" s="8" t="s">
        <v>43</v>
      </c>
      <c r="F1108" s="9" t="s">
        <v>6425</v>
      </c>
      <c r="G1108" s="8" t="s">
        <v>225</v>
      </c>
      <c r="H1108" s="8" t="s">
        <v>125</v>
      </c>
      <c r="I1108" s="8" t="s">
        <v>114</v>
      </c>
      <c r="J1108" s="9" t="s">
        <v>1116</v>
      </c>
      <c r="K1108" s="9" t="s">
        <v>6458</v>
      </c>
      <c r="L1108" s="9" t="s">
        <v>6434</v>
      </c>
      <c r="M1108" s="8" t="s">
        <v>276</v>
      </c>
      <c r="N1108" s="8" t="s">
        <v>6435</v>
      </c>
      <c r="O1108" s="9" t="s">
        <v>276</v>
      </c>
      <c r="P1108" s="9" t="s">
        <v>239</v>
      </c>
      <c r="Q1108" s="52" t="s">
        <v>6426</v>
      </c>
      <c r="R1108" s="9" t="s">
        <v>4782</v>
      </c>
      <c r="S1108" s="9" t="s">
        <v>6427</v>
      </c>
      <c r="T1108" s="9" t="s">
        <v>6427</v>
      </c>
      <c r="U1108" s="9" t="s">
        <v>6428</v>
      </c>
      <c r="V1108" s="8" t="s">
        <v>14</v>
      </c>
      <c r="W1108" s="8" t="s">
        <v>98</v>
      </c>
      <c r="X1108" s="9" t="s">
        <v>207</v>
      </c>
      <c r="Y1108" s="13">
        <v>553</v>
      </c>
      <c r="Z1108" s="9">
        <v>581</v>
      </c>
      <c r="AA1108" s="9" t="s">
        <v>276</v>
      </c>
      <c r="AB1108" s="9" t="s">
        <v>276</v>
      </c>
      <c r="AC1108" s="9" t="s">
        <v>276</v>
      </c>
      <c r="AD1108" s="9" t="s">
        <v>6459</v>
      </c>
      <c r="AE1108" s="9" t="s">
        <v>276</v>
      </c>
      <c r="AF1108" s="9" t="s">
        <v>6459</v>
      </c>
      <c r="AG1108" s="9" t="s">
        <v>6460</v>
      </c>
      <c r="AH1108" s="9" t="s">
        <v>5993</v>
      </c>
      <c r="AI1108" s="38">
        <v>3</v>
      </c>
      <c r="AJ1108" s="38">
        <v>8</v>
      </c>
      <c r="AK1108" s="38">
        <v>553</v>
      </c>
      <c r="AL1108" s="38">
        <v>581</v>
      </c>
      <c r="AM1108" s="38" t="s">
        <v>690</v>
      </c>
      <c r="AN1108" s="8" t="s">
        <v>276</v>
      </c>
      <c r="AO1108" s="14">
        <f t="shared" si="338"/>
        <v>5.4249547920433994</v>
      </c>
      <c r="AP1108" s="8" t="s">
        <v>276</v>
      </c>
      <c r="AQ1108" s="8" t="s">
        <v>276</v>
      </c>
      <c r="AR1108" s="8" t="s">
        <v>276</v>
      </c>
      <c r="AS1108" s="14">
        <f t="shared" si="339"/>
        <v>13.769363166953529</v>
      </c>
      <c r="AT1108" s="8" t="s">
        <v>276</v>
      </c>
      <c r="AU1108" s="8" t="s">
        <v>276</v>
      </c>
      <c r="AV1108" s="8" t="s">
        <v>268</v>
      </c>
      <c r="AW1108" s="40" t="s">
        <v>276</v>
      </c>
      <c r="AX1108" s="53">
        <f t="shared" si="340"/>
        <v>0.39398734177215189</v>
      </c>
      <c r="AY1108" s="9" t="s">
        <v>276</v>
      </c>
      <c r="AZ1108" s="9" t="s">
        <v>276</v>
      </c>
      <c r="BA1108" s="9" t="s">
        <v>276</v>
      </c>
      <c r="BB1108" s="9" t="s">
        <v>282</v>
      </c>
      <c r="BC1108" s="9" t="s">
        <v>98</v>
      </c>
      <c r="BD1108" s="9" t="s">
        <v>98</v>
      </c>
      <c r="BE1108" s="9" t="s">
        <v>98</v>
      </c>
      <c r="BF1108" s="9" t="s">
        <v>6461</v>
      </c>
      <c r="BG1108" s="9" t="s">
        <v>6449</v>
      </c>
      <c r="BH1108" s="9" t="s">
        <v>100</v>
      </c>
      <c r="BI1108" s="9" t="s">
        <v>100</v>
      </c>
      <c r="BJ1108" s="32"/>
      <c r="BN1108" s="32"/>
      <c r="BO1108" s="32"/>
    </row>
    <row r="1109" spans="1:67" s="33" customFormat="1" ht="65" hidden="1" x14ac:dyDescent="0.35">
      <c r="A1109" s="8">
        <v>10394</v>
      </c>
      <c r="B1109" s="8" t="s">
        <v>6422</v>
      </c>
      <c r="C1109" s="8" t="s">
        <v>6423</v>
      </c>
      <c r="D1109" s="9" t="s">
        <v>11653</v>
      </c>
      <c r="E1109" s="8" t="s">
        <v>43</v>
      </c>
      <c r="F1109" s="9" t="s">
        <v>6425</v>
      </c>
      <c r="G1109" s="8" t="s">
        <v>225</v>
      </c>
      <c r="H1109" s="8" t="s">
        <v>125</v>
      </c>
      <c r="I1109" s="8" t="s">
        <v>114</v>
      </c>
      <c r="J1109" s="9" t="s">
        <v>29</v>
      </c>
      <c r="K1109" s="46">
        <v>6</v>
      </c>
      <c r="L1109" s="9" t="s">
        <v>6434</v>
      </c>
      <c r="M1109" s="8" t="s">
        <v>276</v>
      </c>
      <c r="N1109" s="8" t="s">
        <v>6464</v>
      </c>
      <c r="O1109" s="9" t="s">
        <v>276</v>
      </c>
      <c r="P1109" s="9" t="s">
        <v>239</v>
      </c>
      <c r="Q1109" s="52" t="s">
        <v>6426</v>
      </c>
      <c r="R1109" s="9" t="s">
        <v>4782</v>
      </c>
      <c r="S1109" s="9" t="s">
        <v>6427</v>
      </c>
      <c r="T1109" s="9" t="s">
        <v>6427</v>
      </c>
      <c r="U1109" s="9" t="s">
        <v>6428</v>
      </c>
      <c r="V1109" s="8" t="s">
        <v>14</v>
      </c>
      <c r="W1109" s="8" t="s">
        <v>98</v>
      </c>
      <c r="X1109" s="9" t="s">
        <v>207</v>
      </c>
      <c r="Y1109" s="13">
        <v>553</v>
      </c>
      <c r="Z1109" s="9">
        <v>581</v>
      </c>
      <c r="AA1109" s="9" t="s">
        <v>276</v>
      </c>
      <c r="AB1109" s="9" t="s">
        <v>276</v>
      </c>
      <c r="AC1109" s="8">
        <v>9</v>
      </c>
      <c r="AD1109" s="9" t="s">
        <v>1710</v>
      </c>
      <c r="AE1109" s="8">
        <v>3</v>
      </c>
      <c r="AF1109" s="9" t="s">
        <v>1710</v>
      </c>
      <c r="AG1109" s="9" t="s">
        <v>11652</v>
      </c>
      <c r="AH1109" s="9" t="s">
        <v>5993</v>
      </c>
      <c r="AI1109" s="38">
        <v>39</v>
      </c>
      <c r="AJ1109" s="38">
        <v>26</v>
      </c>
      <c r="AK1109" s="38">
        <v>553</v>
      </c>
      <c r="AL1109" s="38">
        <v>581</v>
      </c>
      <c r="AM1109" s="38" t="s">
        <v>690</v>
      </c>
      <c r="AN1109" s="8" t="s">
        <v>276</v>
      </c>
      <c r="AO1109" s="14">
        <f t="shared" ref="AO1109" si="341">AI1109*1000/AK1109</f>
        <v>70.524412296564194</v>
      </c>
      <c r="AP1109" s="8" t="s">
        <v>276</v>
      </c>
      <c r="AQ1109" s="8" t="s">
        <v>276</v>
      </c>
      <c r="AR1109" s="8" t="s">
        <v>276</v>
      </c>
      <c r="AS1109" s="14">
        <f t="shared" ref="AS1109" si="342">AJ1109*1000/AL1109</f>
        <v>44.750430292598971</v>
      </c>
      <c r="AT1109" s="8" t="s">
        <v>276</v>
      </c>
      <c r="AU1109" s="8" t="s">
        <v>276</v>
      </c>
      <c r="AV1109" s="8" t="s">
        <v>268</v>
      </c>
      <c r="AW1109" s="40" t="s">
        <v>276</v>
      </c>
      <c r="AX1109" s="53">
        <f t="shared" ref="AX1109" si="343">AO1109/AS1109</f>
        <v>1.5759493670886073</v>
      </c>
      <c r="AY1109" s="9" t="s">
        <v>276</v>
      </c>
      <c r="AZ1109" s="9" t="s">
        <v>276</v>
      </c>
      <c r="BA1109" s="9" t="s">
        <v>276</v>
      </c>
      <c r="BB1109" s="9" t="s">
        <v>282</v>
      </c>
      <c r="BC1109" s="9" t="s">
        <v>98</v>
      </c>
      <c r="BD1109" s="9" t="s">
        <v>98</v>
      </c>
      <c r="BE1109" s="9" t="s">
        <v>98</v>
      </c>
      <c r="BF1109" s="9" t="s">
        <v>1358</v>
      </c>
      <c r="BG1109" s="9" t="s">
        <v>6449</v>
      </c>
      <c r="BH1109" s="9" t="s">
        <v>100</v>
      </c>
      <c r="BI1109" s="9" t="s">
        <v>100</v>
      </c>
      <c r="BJ1109" s="32"/>
      <c r="BN1109" s="32"/>
      <c r="BO1109" s="32"/>
    </row>
    <row r="1110" spans="1:67" s="33" customFormat="1" ht="65" hidden="1" x14ac:dyDescent="0.35">
      <c r="A1110" s="8">
        <v>10394</v>
      </c>
      <c r="B1110" s="8" t="s">
        <v>6422</v>
      </c>
      <c r="C1110" s="8" t="s">
        <v>6423</v>
      </c>
      <c r="D1110" s="9" t="s">
        <v>6462</v>
      </c>
      <c r="E1110" s="8" t="s">
        <v>43</v>
      </c>
      <c r="F1110" s="9" t="s">
        <v>6425</v>
      </c>
      <c r="G1110" s="8" t="s">
        <v>225</v>
      </c>
      <c r="H1110" s="8" t="s">
        <v>125</v>
      </c>
      <c r="I1110" s="8" t="s">
        <v>114</v>
      </c>
      <c r="J1110" s="9" t="s">
        <v>29</v>
      </c>
      <c r="K1110" s="46" t="s">
        <v>6463</v>
      </c>
      <c r="L1110" s="9" t="s">
        <v>6434</v>
      </c>
      <c r="M1110" s="8" t="s">
        <v>276</v>
      </c>
      <c r="N1110" s="8" t="s">
        <v>6464</v>
      </c>
      <c r="O1110" s="9" t="s">
        <v>276</v>
      </c>
      <c r="P1110" s="9" t="s">
        <v>239</v>
      </c>
      <c r="Q1110" s="52" t="s">
        <v>6426</v>
      </c>
      <c r="R1110" s="9" t="s">
        <v>4782</v>
      </c>
      <c r="S1110" s="9" t="s">
        <v>6427</v>
      </c>
      <c r="T1110" s="9" t="s">
        <v>6427</v>
      </c>
      <c r="U1110" s="9" t="s">
        <v>6428</v>
      </c>
      <c r="V1110" s="8" t="s">
        <v>14</v>
      </c>
      <c r="W1110" s="8" t="s">
        <v>98</v>
      </c>
      <c r="X1110" s="9" t="s">
        <v>207</v>
      </c>
      <c r="Y1110" s="13">
        <v>553</v>
      </c>
      <c r="Z1110" s="9">
        <v>581</v>
      </c>
      <c r="AA1110" s="9" t="s">
        <v>276</v>
      </c>
      <c r="AB1110" s="9" t="s">
        <v>276</v>
      </c>
      <c r="AC1110" s="8">
        <v>9</v>
      </c>
      <c r="AD1110" s="9" t="s">
        <v>1710</v>
      </c>
      <c r="AE1110" s="8">
        <v>3</v>
      </c>
      <c r="AF1110" s="9" t="s">
        <v>1710</v>
      </c>
      <c r="AG1110" s="9" t="s">
        <v>6465</v>
      </c>
      <c r="AH1110" s="9" t="s">
        <v>5993</v>
      </c>
      <c r="AI1110" s="38">
        <v>23</v>
      </c>
      <c r="AJ1110" s="38">
        <v>28</v>
      </c>
      <c r="AK1110" s="38">
        <v>553</v>
      </c>
      <c r="AL1110" s="38">
        <v>581</v>
      </c>
      <c r="AM1110" s="38" t="s">
        <v>690</v>
      </c>
      <c r="AN1110" s="8" t="s">
        <v>276</v>
      </c>
      <c r="AO1110" s="14">
        <f t="shared" si="338"/>
        <v>41.591320072332728</v>
      </c>
      <c r="AP1110" s="8" t="s">
        <v>276</v>
      </c>
      <c r="AQ1110" s="8" t="s">
        <v>276</v>
      </c>
      <c r="AR1110" s="8" t="s">
        <v>276</v>
      </c>
      <c r="AS1110" s="14">
        <f t="shared" si="339"/>
        <v>48.192771084337352</v>
      </c>
      <c r="AT1110" s="8" t="s">
        <v>276</v>
      </c>
      <c r="AU1110" s="8" t="s">
        <v>276</v>
      </c>
      <c r="AV1110" s="8" t="s">
        <v>268</v>
      </c>
      <c r="AW1110" s="40" t="s">
        <v>276</v>
      </c>
      <c r="AX1110" s="53">
        <f t="shared" si="340"/>
        <v>0.86301989150090408</v>
      </c>
      <c r="AY1110" s="9" t="s">
        <v>276</v>
      </c>
      <c r="AZ1110" s="9" t="s">
        <v>276</v>
      </c>
      <c r="BA1110" s="9" t="s">
        <v>276</v>
      </c>
      <c r="BB1110" s="9" t="s">
        <v>282</v>
      </c>
      <c r="BC1110" s="9" t="s">
        <v>98</v>
      </c>
      <c r="BD1110" s="9" t="s">
        <v>98</v>
      </c>
      <c r="BE1110" s="9" t="s">
        <v>98</v>
      </c>
      <c r="BF1110" s="9" t="s">
        <v>1358</v>
      </c>
      <c r="BG1110" s="9" t="s">
        <v>6449</v>
      </c>
      <c r="BH1110" s="9" t="s">
        <v>100</v>
      </c>
      <c r="BI1110" s="9" t="s">
        <v>100</v>
      </c>
      <c r="BJ1110" s="32"/>
      <c r="BN1110" s="32"/>
      <c r="BO1110" s="32"/>
    </row>
    <row r="1111" spans="1:67" s="33" customFormat="1" ht="78" hidden="1" x14ac:dyDescent="0.35">
      <c r="A1111" s="8">
        <v>271</v>
      </c>
      <c r="B1111" s="8" t="s">
        <v>6496</v>
      </c>
      <c r="C1111" s="9" t="s">
        <v>47</v>
      </c>
      <c r="D1111" s="9" t="s">
        <v>6497</v>
      </c>
      <c r="E1111" s="8" t="s">
        <v>36</v>
      </c>
      <c r="F1111" s="8" t="s">
        <v>123</v>
      </c>
      <c r="G1111" s="8" t="s">
        <v>225</v>
      </c>
      <c r="H1111" s="8" t="s">
        <v>125</v>
      </c>
      <c r="I1111" s="8" t="s">
        <v>114</v>
      </c>
      <c r="J1111" s="9" t="s">
        <v>25</v>
      </c>
      <c r="K1111" s="8" t="s">
        <v>307</v>
      </c>
      <c r="L1111" s="9" t="s">
        <v>6498</v>
      </c>
      <c r="M1111" s="9" t="s">
        <v>6499</v>
      </c>
      <c r="N1111" s="8" t="s">
        <v>6500</v>
      </c>
      <c r="O1111" s="9" t="s">
        <v>6501</v>
      </c>
      <c r="P1111" s="9" t="s">
        <v>239</v>
      </c>
      <c r="Q1111" s="52">
        <v>39447</v>
      </c>
      <c r="R1111" s="9" t="s">
        <v>276</v>
      </c>
      <c r="S1111" s="9" t="s">
        <v>6502</v>
      </c>
      <c r="T1111" s="9" t="s">
        <v>6502</v>
      </c>
      <c r="U1111" s="9">
        <v>1</v>
      </c>
      <c r="V1111" s="8" t="s">
        <v>14</v>
      </c>
      <c r="W1111" s="9" t="s">
        <v>6503</v>
      </c>
      <c r="X1111" s="9" t="s">
        <v>207</v>
      </c>
      <c r="Y1111" s="34">
        <v>52998</v>
      </c>
      <c r="Z1111" s="38">
        <v>53002</v>
      </c>
      <c r="AA1111" s="9" t="s">
        <v>276</v>
      </c>
      <c r="AB1111" s="9" t="s">
        <v>276</v>
      </c>
      <c r="AC1111" s="8">
        <v>13</v>
      </c>
      <c r="AD1111" s="8" t="s">
        <v>6504</v>
      </c>
      <c r="AE1111" s="8">
        <v>11</v>
      </c>
      <c r="AF1111" s="8" t="s">
        <v>6504</v>
      </c>
      <c r="AG1111" s="9" t="s">
        <v>6505</v>
      </c>
      <c r="AH1111" s="9" t="s">
        <v>6506</v>
      </c>
      <c r="AI1111" s="38">
        <v>54</v>
      </c>
      <c r="AJ1111" s="38">
        <v>38</v>
      </c>
      <c r="AK1111" s="34">
        <v>52998</v>
      </c>
      <c r="AL1111" s="38">
        <v>53002</v>
      </c>
      <c r="AM1111" s="38" t="s">
        <v>2047</v>
      </c>
      <c r="AN1111" s="8" t="s">
        <v>276</v>
      </c>
      <c r="AO1111" s="14">
        <f>AI1111*1000/AK1111</f>
        <v>1.0189063738254274</v>
      </c>
      <c r="AP1111" s="8" t="s">
        <v>276</v>
      </c>
      <c r="AQ1111" s="8" t="s">
        <v>276</v>
      </c>
      <c r="AR1111" s="8" t="s">
        <v>276</v>
      </c>
      <c r="AS1111" s="14">
        <f>AJ1111*1000/AL1111</f>
        <v>0.71695407720463378</v>
      </c>
      <c r="AT1111" s="8" t="s">
        <v>276</v>
      </c>
      <c r="AU1111" s="8" t="s">
        <v>276</v>
      </c>
      <c r="AV1111" s="8" t="s">
        <v>268</v>
      </c>
      <c r="AW1111" s="40" t="s">
        <v>276</v>
      </c>
      <c r="AX1111" s="40">
        <f>AO1111/AS1111</f>
        <v>1.4211598848814553</v>
      </c>
      <c r="AY1111" s="9" t="s">
        <v>276</v>
      </c>
      <c r="AZ1111" s="9" t="s">
        <v>276</v>
      </c>
      <c r="BA1111" s="9" t="s">
        <v>276</v>
      </c>
      <c r="BB1111" s="9" t="s">
        <v>282</v>
      </c>
      <c r="BC1111" s="9" t="s">
        <v>276</v>
      </c>
      <c r="BD1111" s="9" t="s">
        <v>276</v>
      </c>
      <c r="BE1111" s="9" t="s">
        <v>276</v>
      </c>
      <c r="BF1111" s="9" t="s">
        <v>298</v>
      </c>
      <c r="BG1111" s="9"/>
      <c r="BH1111" s="9" t="s">
        <v>100</v>
      </c>
      <c r="BI1111" s="9" t="s">
        <v>100</v>
      </c>
      <c r="BJ1111" s="32"/>
      <c r="BN1111" s="32"/>
      <c r="BO1111" s="32"/>
    </row>
    <row r="1112" spans="1:67" s="33" customFormat="1" ht="78" hidden="1" x14ac:dyDescent="0.35">
      <c r="A1112" s="8">
        <v>271</v>
      </c>
      <c r="B1112" s="8" t="s">
        <v>6496</v>
      </c>
      <c r="C1112" s="9" t="s">
        <v>47</v>
      </c>
      <c r="D1112" s="9" t="s">
        <v>6507</v>
      </c>
      <c r="E1112" s="8" t="s">
        <v>36</v>
      </c>
      <c r="F1112" s="8" t="s">
        <v>123</v>
      </c>
      <c r="G1112" s="8" t="s">
        <v>225</v>
      </c>
      <c r="H1112" s="8" t="s">
        <v>125</v>
      </c>
      <c r="I1112" s="8" t="s">
        <v>114</v>
      </c>
      <c r="J1112" s="9" t="s">
        <v>25</v>
      </c>
      <c r="K1112" s="8" t="s">
        <v>317</v>
      </c>
      <c r="L1112" s="9" t="s">
        <v>6498</v>
      </c>
      <c r="M1112" s="9" t="s">
        <v>6499</v>
      </c>
      <c r="N1112" s="8" t="s">
        <v>6500</v>
      </c>
      <c r="O1112" s="9" t="s">
        <v>6501</v>
      </c>
      <c r="P1112" s="9" t="s">
        <v>239</v>
      </c>
      <c r="Q1112" s="52">
        <v>39447</v>
      </c>
      <c r="R1112" s="9" t="s">
        <v>276</v>
      </c>
      <c r="S1112" s="9" t="s">
        <v>6502</v>
      </c>
      <c r="T1112" s="9" t="s">
        <v>6502</v>
      </c>
      <c r="U1112" s="9">
        <v>1</v>
      </c>
      <c r="V1112" s="8" t="s">
        <v>14</v>
      </c>
      <c r="W1112" s="9" t="s">
        <v>6503</v>
      </c>
      <c r="X1112" s="9" t="s">
        <v>207</v>
      </c>
      <c r="Y1112" s="34">
        <v>52998</v>
      </c>
      <c r="Z1112" s="38">
        <v>53002</v>
      </c>
      <c r="AA1112" s="9" t="s">
        <v>276</v>
      </c>
      <c r="AB1112" s="9" t="s">
        <v>276</v>
      </c>
      <c r="AC1112" s="8">
        <v>13</v>
      </c>
      <c r="AD1112" s="8" t="s">
        <v>6504</v>
      </c>
      <c r="AE1112" s="8">
        <v>11</v>
      </c>
      <c r="AF1112" s="8" t="s">
        <v>6504</v>
      </c>
      <c r="AG1112" s="9" t="s">
        <v>6508</v>
      </c>
      <c r="AH1112" s="9" t="s">
        <v>6506</v>
      </c>
      <c r="AI1112" s="38">
        <v>61</v>
      </c>
      <c r="AJ1112" s="38">
        <v>50</v>
      </c>
      <c r="AK1112" s="34">
        <v>52998</v>
      </c>
      <c r="AL1112" s="38">
        <v>53002</v>
      </c>
      <c r="AM1112" s="38" t="s">
        <v>2047</v>
      </c>
      <c r="AN1112" s="8" t="s">
        <v>276</v>
      </c>
      <c r="AO1112" s="14">
        <f>AI1112*1000/AK1112</f>
        <v>1.1509868296916865</v>
      </c>
      <c r="AP1112" s="8" t="s">
        <v>276</v>
      </c>
      <c r="AQ1112" s="8" t="s">
        <v>276</v>
      </c>
      <c r="AR1112" s="8" t="s">
        <v>276</v>
      </c>
      <c r="AS1112" s="14">
        <f>AJ1112*1000/AL1112</f>
        <v>0.94336062790083397</v>
      </c>
      <c r="AT1112" s="8" t="s">
        <v>276</v>
      </c>
      <c r="AU1112" s="8" t="s">
        <v>276</v>
      </c>
      <c r="AV1112" s="8" t="s">
        <v>268</v>
      </c>
      <c r="AW1112" s="40" t="s">
        <v>276</v>
      </c>
      <c r="AX1112" s="40">
        <f>AO1112/AS1112</f>
        <v>1.2200920789463754</v>
      </c>
      <c r="AY1112" s="9" t="s">
        <v>276</v>
      </c>
      <c r="AZ1112" s="9" t="s">
        <v>276</v>
      </c>
      <c r="BA1112" s="9" t="s">
        <v>276</v>
      </c>
      <c r="BB1112" s="9" t="s">
        <v>282</v>
      </c>
      <c r="BC1112" s="9" t="s">
        <v>276</v>
      </c>
      <c r="BD1112" s="9" t="s">
        <v>276</v>
      </c>
      <c r="BE1112" s="9" t="s">
        <v>276</v>
      </c>
      <c r="BF1112" s="9" t="s">
        <v>298</v>
      </c>
      <c r="BG1112" s="9"/>
      <c r="BH1112" s="9" t="s">
        <v>100</v>
      </c>
      <c r="BI1112" s="9" t="s">
        <v>100</v>
      </c>
      <c r="BJ1112" s="32"/>
      <c r="BN1112" s="32"/>
      <c r="BO1112" s="32"/>
    </row>
    <row r="1113" spans="1:67" s="33" customFormat="1" ht="78" hidden="1" x14ac:dyDescent="0.35">
      <c r="A1113" s="8">
        <v>271</v>
      </c>
      <c r="B1113" s="8" t="s">
        <v>6496</v>
      </c>
      <c r="C1113" s="9" t="s">
        <v>47</v>
      </c>
      <c r="D1113" s="9" t="s">
        <v>6509</v>
      </c>
      <c r="E1113" s="8" t="s">
        <v>36</v>
      </c>
      <c r="F1113" s="8" t="s">
        <v>123</v>
      </c>
      <c r="G1113" s="8" t="s">
        <v>225</v>
      </c>
      <c r="H1113" s="8" t="s">
        <v>125</v>
      </c>
      <c r="I1113" s="8" t="s">
        <v>114</v>
      </c>
      <c r="J1113" s="9" t="s">
        <v>25</v>
      </c>
      <c r="K1113" s="8" t="s">
        <v>317</v>
      </c>
      <c r="L1113" s="9" t="s">
        <v>6498</v>
      </c>
      <c r="M1113" s="9" t="s">
        <v>6499</v>
      </c>
      <c r="N1113" s="8" t="s">
        <v>6500</v>
      </c>
      <c r="O1113" s="9" t="s">
        <v>6501</v>
      </c>
      <c r="P1113" s="9" t="s">
        <v>235</v>
      </c>
      <c r="Q1113" s="52">
        <v>39447</v>
      </c>
      <c r="R1113" s="9" t="s">
        <v>276</v>
      </c>
      <c r="S1113" s="9" t="s">
        <v>6502</v>
      </c>
      <c r="T1113" s="9" t="s">
        <v>6502</v>
      </c>
      <c r="U1113" s="9">
        <v>1</v>
      </c>
      <c r="V1113" s="8" t="s">
        <v>14</v>
      </c>
      <c r="W1113" s="9" t="s">
        <v>6503</v>
      </c>
      <c r="X1113" s="9" t="s">
        <v>207</v>
      </c>
      <c r="Y1113" s="34" t="s">
        <v>98</v>
      </c>
      <c r="Z1113" s="38" t="s">
        <v>98</v>
      </c>
      <c r="AA1113" s="9" t="s">
        <v>276</v>
      </c>
      <c r="AB1113" s="9" t="s">
        <v>276</v>
      </c>
      <c r="AC1113" s="8">
        <v>13</v>
      </c>
      <c r="AD1113" s="8" t="s">
        <v>6504</v>
      </c>
      <c r="AE1113" s="8">
        <v>11</v>
      </c>
      <c r="AF1113" s="8" t="s">
        <v>6504</v>
      </c>
      <c r="AG1113" s="9" t="s">
        <v>6508</v>
      </c>
      <c r="AH1113" s="9" t="s">
        <v>6510</v>
      </c>
      <c r="AI1113" s="38">
        <v>61</v>
      </c>
      <c r="AJ1113" s="38">
        <v>50</v>
      </c>
      <c r="AK1113" s="34">
        <v>128</v>
      </c>
      <c r="AL1113" s="38">
        <v>99</v>
      </c>
      <c r="AM1113" s="38" t="s">
        <v>292</v>
      </c>
      <c r="AN1113" s="8">
        <v>47.7</v>
      </c>
      <c r="AO1113" s="14">
        <f>AI1113*100/AK1113</f>
        <v>47.65625</v>
      </c>
      <c r="AP1113" s="8" t="s">
        <v>276</v>
      </c>
      <c r="AQ1113" s="8" t="s">
        <v>276</v>
      </c>
      <c r="AR1113" s="8">
        <v>51</v>
      </c>
      <c r="AS1113" s="14">
        <f>AJ1113*100/AL1113</f>
        <v>50.505050505050505</v>
      </c>
      <c r="AT1113" s="8" t="s">
        <v>276</v>
      </c>
      <c r="AU1113" s="8" t="s">
        <v>276</v>
      </c>
      <c r="AV1113" s="8" t="s">
        <v>268</v>
      </c>
      <c r="AW1113" s="40" t="s">
        <v>276</v>
      </c>
      <c r="AX1113" s="40">
        <f>AO1113/AS1113</f>
        <v>0.94359375000000001</v>
      </c>
      <c r="AY1113" s="9" t="s">
        <v>276</v>
      </c>
      <c r="AZ1113" s="9" t="s">
        <v>276</v>
      </c>
      <c r="BA1113" s="9" t="s">
        <v>276</v>
      </c>
      <c r="BB1113" s="9" t="s">
        <v>282</v>
      </c>
      <c r="BC1113" s="9" t="s">
        <v>276</v>
      </c>
      <c r="BD1113" s="9" t="s">
        <v>276</v>
      </c>
      <c r="BE1113" s="9" t="s">
        <v>276</v>
      </c>
      <c r="BF1113" s="9" t="s">
        <v>298</v>
      </c>
      <c r="BG1113" s="9"/>
      <c r="BH1113" s="9" t="s">
        <v>100</v>
      </c>
      <c r="BI1113" s="9" t="s">
        <v>100</v>
      </c>
      <c r="BJ1113" s="32"/>
      <c r="BN1113" s="32"/>
      <c r="BO1113" s="32"/>
    </row>
    <row r="1114" spans="1:67" s="33" customFormat="1" ht="78" hidden="1" x14ac:dyDescent="0.35">
      <c r="A1114" s="8">
        <v>271</v>
      </c>
      <c r="B1114" s="8" t="s">
        <v>6496</v>
      </c>
      <c r="C1114" s="9" t="s">
        <v>47</v>
      </c>
      <c r="D1114" s="9" t="s">
        <v>6511</v>
      </c>
      <c r="E1114" s="8" t="s">
        <v>36</v>
      </c>
      <c r="F1114" s="8" t="s">
        <v>123</v>
      </c>
      <c r="G1114" s="8" t="s">
        <v>225</v>
      </c>
      <c r="H1114" s="8" t="s">
        <v>225</v>
      </c>
      <c r="I1114" s="8" t="s">
        <v>98</v>
      </c>
      <c r="J1114" s="9" t="s">
        <v>98</v>
      </c>
      <c r="K1114" s="8" t="s">
        <v>98</v>
      </c>
      <c r="L1114" s="9" t="s">
        <v>98</v>
      </c>
      <c r="M1114" s="9" t="s">
        <v>98</v>
      </c>
      <c r="N1114" s="8" t="s">
        <v>6500</v>
      </c>
      <c r="O1114" s="9" t="s">
        <v>6501</v>
      </c>
      <c r="P1114" s="9" t="s">
        <v>238</v>
      </c>
      <c r="Q1114" s="52">
        <v>39447</v>
      </c>
      <c r="R1114" s="9" t="s">
        <v>276</v>
      </c>
      <c r="S1114" s="9" t="s">
        <v>276</v>
      </c>
      <c r="T1114" s="9" t="s">
        <v>98</v>
      </c>
      <c r="U1114" s="9">
        <v>1</v>
      </c>
      <c r="V1114" s="8" t="s">
        <v>14</v>
      </c>
      <c r="W1114" s="9" t="s">
        <v>6503</v>
      </c>
      <c r="X1114" s="9" t="s">
        <v>209</v>
      </c>
      <c r="Y1114" s="34">
        <v>52998</v>
      </c>
      <c r="Z1114" s="38" t="s">
        <v>98</v>
      </c>
      <c r="AA1114" s="9" t="s">
        <v>276</v>
      </c>
      <c r="AB1114" s="9" t="s">
        <v>98</v>
      </c>
      <c r="AC1114" s="8">
        <v>0</v>
      </c>
      <c r="AD1114" s="8" t="s">
        <v>98</v>
      </c>
      <c r="AE1114" s="8" t="s">
        <v>98</v>
      </c>
      <c r="AF1114" s="8" t="s">
        <v>98</v>
      </c>
      <c r="AG1114" s="9" t="s">
        <v>6512</v>
      </c>
      <c r="AH1114" s="9" t="s">
        <v>6506</v>
      </c>
      <c r="AI1114" s="38">
        <v>66</v>
      </c>
      <c r="AJ1114" s="38" t="s">
        <v>98</v>
      </c>
      <c r="AK1114" s="34">
        <v>52998</v>
      </c>
      <c r="AL1114" s="38" t="s">
        <v>98</v>
      </c>
      <c r="AM1114" s="38" t="s">
        <v>2047</v>
      </c>
      <c r="AN1114" s="8" t="s">
        <v>276</v>
      </c>
      <c r="AO1114" s="14">
        <f>AI1114*1000/AK1114</f>
        <v>1.2453300124533002</v>
      </c>
      <c r="AP1114" s="8" t="s">
        <v>276</v>
      </c>
      <c r="AQ1114" s="8" t="s">
        <v>276</v>
      </c>
      <c r="AR1114" s="8" t="s">
        <v>98</v>
      </c>
      <c r="AS1114" s="14" t="s">
        <v>98</v>
      </c>
      <c r="AT1114" s="8" t="s">
        <v>98</v>
      </c>
      <c r="AU1114" s="8" t="s">
        <v>98</v>
      </c>
      <c r="AV1114" s="8" t="s">
        <v>98</v>
      </c>
      <c r="AW1114" s="8" t="s">
        <v>98</v>
      </c>
      <c r="AX1114" s="8" t="s">
        <v>98</v>
      </c>
      <c r="AY1114" s="8" t="s">
        <v>98</v>
      </c>
      <c r="AZ1114" s="8" t="s">
        <v>98</v>
      </c>
      <c r="BA1114" s="8" t="s">
        <v>98</v>
      </c>
      <c r="BB1114" s="8" t="s">
        <v>98</v>
      </c>
      <c r="BC1114" s="8" t="s">
        <v>98</v>
      </c>
      <c r="BD1114" s="8" t="s">
        <v>98</v>
      </c>
      <c r="BE1114" s="8" t="s">
        <v>98</v>
      </c>
      <c r="BF1114" s="9" t="s">
        <v>6513</v>
      </c>
      <c r="BG1114" s="9"/>
      <c r="BH1114" s="9" t="s">
        <v>100</v>
      </c>
      <c r="BI1114" s="9" t="s">
        <v>100</v>
      </c>
      <c r="BJ1114" s="32"/>
      <c r="BN1114" s="32"/>
      <c r="BO1114" s="32"/>
    </row>
    <row r="1115" spans="1:67" s="33" customFormat="1" ht="78" hidden="1" x14ac:dyDescent="0.35">
      <c r="A1115" s="8">
        <v>271</v>
      </c>
      <c r="B1115" s="8" t="s">
        <v>6496</v>
      </c>
      <c r="C1115" s="9" t="s">
        <v>47</v>
      </c>
      <c r="D1115" s="9" t="s">
        <v>6514</v>
      </c>
      <c r="E1115" s="8" t="s">
        <v>36</v>
      </c>
      <c r="F1115" s="8" t="s">
        <v>123</v>
      </c>
      <c r="G1115" s="8" t="s">
        <v>225</v>
      </c>
      <c r="H1115" s="8" t="s">
        <v>225</v>
      </c>
      <c r="I1115" s="8" t="s">
        <v>98</v>
      </c>
      <c r="J1115" s="9" t="s">
        <v>98</v>
      </c>
      <c r="K1115" s="8" t="s">
        <v>98</v>
      </c>
      <c r="L1115" s="9" t="s">
        <v>98</v>
      </c>
      <c r="M1115" s="9" t="s">
        <v>98</v>
      </c>
      <c r="N1115" s="8" t="s">
        <v>6500</v>
      </c>
      <c r="O1115" s="9" t="s">
        <v>6501</v>
      </c>
      <c r="P1115" s="9" t="s">
        <v>238</v>
      </c>
      <c r="Q1115" s="52">
        <v>39447</v>
      </c>
      <c r="R1115" s="9" t="s">
        <v>276</v>
      </c>
      <c r="S1115" s="9" t="s">
        <v>276</v>
      </c>
      <c r="T1115" s="9" t="s">
        <v>98</v>
      </c>
      <c r="U1115" s="9">
        <v>1</v>
      </c>
      <c r="V1115" s="8" t="s">
        <v>14</v>
      </c>
      <c r="W1115" s="9" t="s">
        <v>6503</v>
      </c>
      <c r="X1115" s="9" t="s">
        <v>209</v>
      </c>
      <c r="Y1115" s="34">
        <v>52998</v>
      </c>
      <c r="Z1115" s="38" t="s">
        <v>98</v>
      </c>
      <c r="AA1115" s="9" t="s">
        <v>276</v>
      </c>
      <c r="AB1115" s="9" t="s">
        <v>98</v>
      </c>
      <c r="AC1115" s="8">
        <v>0</v>
      </c>
      <c r="AD1115" s="8" t="s">
        <v>98</v>
      </c>
      <c r="AE1115" s="8" t="s">
        <v>98</v>
      </c>
      <c r="AF1115" s="8" t="s">
        <v>98</v>
      </c>
      <c r="AG1115" s="9" t="s">
        <v>6515</v>
      </c>
      <c r="AH1115" s="9" t="s">
        <v>6506</v>
      </c>
      <c r="AI1115" s="38">
        <v>254</v>
      </c>
      <c r="AJ1115" s="38" t="s">
        <v>98</v>
      </c>
      <c r="AK1115" s="34">
        <v>52998</v>
      </c>
      <c r="AL1115" s="38" t="s">
        <v>98</v>
      </c>
      <c r="AM1115" s="38" t="s">
        <v>2047</v>
      </c>
      <c r="AN1115" s="8" t="s">
        <v>276</v>
      </c>
      <c r="AO1115" s="14">
        <f>AI1115*1000/AK1115</f>
        <v>4.7926336842899735</v>
      </c>
      <c r="AP1115" s="8" t="s">
        <v>276</v>
      </c>
      <c r="AQ1115" s="8" t="s">
        <v>276</v>
      </c>
      <c r="AR1115" s="8" t="s">
        <v>98</v>
      </c>
      <c r="AS1115" s="14" t="s">
        <v>98</v>
      </c>
      <c r="AT1115" s="8" t="s">
        <v>98</v>
      </c>
      <c r="AU1115" s="8" t="s">
        <v>98</v>
      </c>
      <c r="AV1115" s="8" t="s">
        <v>98</v>
      </c>
      <c r="AW1115" s="8" t="s">
        <v>98</v>
      </c>
      <c r="AX1115" s="8" t="s">
        <v>98</v>
      </c>
      <c r="AY1115" s="8" t="s">
        <v>98</v>
      </c>
      <c r="AZ1115" s="8" t="s">
        <v>98</v>
      </c>
      <c r="BA1115" s="8" t="s">
        <v>98</v>
      </c>
      <c r="BB1115" s="8" t="s">
        <v>98</v>
      </c>
      <c r="BC1115" s="8" t="s">
        <v>98</v>
      </c>
      <c r="BD1115" s="8" t="s">
        <v>98</v>
      </c>
      <c r="BE1115" s="8" t="s">
        <v>98</v>
      </c>
      <c r="BF1115" s="9" t="s">
        <v>1358</v>
      </c>
      <c r="BG1115" s="9"/>
      <c r="BH1115" s="9" t="s">
        <v>100</v>
      </c>
      <c r="BI1115" s="9" t="s">
        <v>100</v>
      </c>
      <c r="BJ1115" s="32"/>
      <c r="BN1115" s="32"/>
      <c r="BO1115" s="32"/>
    </row>
    <row r="1116" spans="1:67" s="33" customFormat="1" ht="78" hidden="1" x14ac:dyDescent="0.35">
      <c r="A1116" s="8">
        <v>271</v>
      </c>
      <c r="B1116" s="8" t="s">
        <v>6496</v>
      </c>
      <c r="C1116" s="9" t="s">
        <v>47</v>
      </c>
      <c r="D1116" s="9" t="s">
        <v>6516</v>
      </c>
      <c r="E1116" s="8" t="s">
        <v>36</v>
      </c>
      <c r="F1116" s="8" t="s">
        <v>123</v>
      </c>
      <c r="G1116" s="8" t="s">
        <v>225</v>
      </c>
      <c r="H1116" s="8" t="s">
        <v>225</v>
      </c>
      <c r="I1116" s="8" t="s">
        <v>98</v>
      </c>
      <c r="J1116" s="9" t="s">
        <v>98</v>
      </c>
      <c r="K1116" s="8" t="s">
        <v>98</v>
      </c>
      <c r="L1116" s="9" t="s">
        <v>98</v>
      </c>
      <c r="M1116" s="9" t="s">
        <v>98</v>
      </c>
      <c r="N1116" s="8" t="s">
        <v>6500</v>
      </c>
      <c r="O1116" s="9" t="s">
        <v>6501</v>
      </c>
      <c r="P1116" s="9" t="s">
        <v>238</v>
      </c>
      <c r="Q1116" s="52">
        <v>39447</v>
      </c>
      <c r="R1116" s="9" t="s">
        <v>276</v>
      </c>
      <c r="S1116" s="9" t="s">
        <v>276</v>
      </c>
      <c r="T1116" s="9" t="s">
        <v>98</v>
      </c>
      <c r="U1116" s="9">
        <v>1</v>
      </c>
      <c r="V1116" s="8" t="s">
        <v>14</v>
      </c>
      <c r="W1116" s="9" t="s">
        <v>6503</v>
      </c>
      <c r="X1116" s="9" t="s">
        <v>209</v>
      </c>
      <c r="Y1116" s="34">
        <v>52998</v>
      </c>
      <c r="Z1116" s="38" t="s">
        <v>98</v>
      </c>
      <c r="AA1116" s="9" t="s">
        <v>276</v>
      </c>
      <c r="AB1116" s="9" t="s">
        <v>98</v>
      </c>
      <c r="AC1116" s="8">
        <v>0</v>
      </c>
      <c r="AD1116" s="8" t="s">
        <v>98</v>
      </c>
      <c r="AE1116" s="8" t="s">
        <v>98</v>
      </c>
      <c r="AF1116" s="8" t="s">
        <v>98</v>
      </c>
      <c r="AG1116" s="9" t="s">
        <v>6517</v>
      </c>
      <c r="AH1116" s="9" t="s">
        <v>6506</v>
      </c>
      <c r="AI1116" s="38">
        <f>254+66</f>
        <v>320</v>
      </c>
      <c r="AJ1116" s="38" t="s">
        <v>98</v>
      </c>
      <c r="AK1116" s="34">
        <v>52998</v>
      </c>
      <c r="AL1116" s="38" t="s">
        <v>98</v>
      </c>
      <c r="AM1116" s="38" t="s">
        <v>2047</v>
      </c>
      <c r="AN1116" s="8" t="s">
        <v>276</v>
      </c>
      <c r="AO1116" s="14">
        <f>AI1116*1000/AK1116</f>
        <v>6.0379636967432733</v>
      </c>
      <c r="AP1116" s="8" t="s">
        <v>276</v>
      </c>
      <c r="AQ1116" s="8" t="s">
        <v>276</v>
      </c>
      <c r="AR1116" s="8" t="s">
        <v>98</v>
      </c>
      <c r="AS1116" s="14" t="s">
        <v>98</v>
      </c>
      <c r="AT1116" s="8" t="s">
        <v>98</v>
      </c>
      <c r="AU1116" s="8" t="s">
        <v>98</v>
      </c>
      <c r="AV1116" s="8" t="s">
        <v>98</v>
      </c>
      <c r="AW1116" s="8" t="s">
        <v>98</v>
      </c>
      <c r="AX1116" s="8" t="s">
        <v>98</v>
      </c>
      <c r="AY1116" s="8" t="s">
        <v>98</v>
      </c>
      <c r="AZ1116" s="8" t="s">
        <v>98</v>
      </c>
      <c r="BA1116" s="8" t="s">
        <v>98</v>
      </c>
      <c r="BB1116" s="8" t="s">
        <v>98</v>
      </c>
      <c r="BC1116" s="8" t="s">
        <v>98</v>
      </c>
      <c r="BD1116" s="8" t="s">
        <v>98</v>
      </c>
      <c r="BE1116" s="8" t="s">
        <v>98</v>
      </c>
      <c r="BF1116" s="9" t="s">
        <v>1358</v>
      </c>
      <c r="BG1116" s="9"/>
      <c r="BH1116" s="9" t="s">
        <v>100</v>
      </c>
      <c r="BI1116" s="9" t="s">
        <v>100</v>
      </c>
      <c r="BJ1116" s="32"/>
      <c r="BN1116" s="32"/>
      <c r="BO1116" s="32"/>
    </row>
    <row r="1117" spans="1:67" s="33" customFormat="1" ht="78" hidden="1" x14ac:dyDescent="0.35">
      <c r="A1117" s="8">
        <v>271</v>
      </c>
      <c r="B1117" s="8" t="s">
        <v>6496</v>
      </c>
      <c r="C1117" s="9" t="s">
        <v>47</v>
      </c>
      <c r="D1117" s="9" t="s">
        <v>6518</v>
      </c>
      <c r="E1117" s="8" t="s">
        <v>36</v>
      </c>
      <c r="F1117" s="8" t="s">
        <v>123</v>
      </c>
      <c r="G1117" s="8" t="s">
        <v>225</v>
      </c>
      <c r="H1117" s="8" t="s">
        <v>225</v>
      </c>
      <c r="I1117" s="8" t="s">
        <v>98</v>
      </c>
      <c r="J1117" s="9" t="s">
        <v>98</v>
      </c>
      <c r="K1117" s="8" t="s">
        <v>98</v>
      </c>
      <c r="L1117" s="9" t="s">
        <v>98</v>
      </c>
      <c r="M1117" s="9" t="s">
        <v>98</v>
      </c>
      <c r="N1117" s="8" t="s">
        <v>6500</v>
      </c>
      <c r="O1117" s="9" t="s">
        <v>6501</v>
      </c>
      <c r="P1117" s="9" t="s">
        <v>236</v>
      </c>
      <c r="Q1117" s="52">
        <v>39447</v>
      </c>
      <c r="R1117" s="9" t="s">
        <v>276</v>
      </c>
      <c r="S1117" s="9" t="s">
        <v>6502</v>
      </c>
      <c r="T1117" s="9" t="s">
        <v>98</v>
      </c>
      <c r="U1117" s="9">
        <v>1</v>
      </c>
      <c r="V1117" s="8" t="s">
        <v>14</v>
      </c>
      <c r="W1117" s="9" t="s">
        <v>6503</v>
      </c>
      <c r="X1117" s="9" t="s">
        <v>209</v>
      </c>
      <c r="Y1117" s="34" t="s">
        <v>98</v>
      </c>
      <c r="Z1117" s="38" t="s">
        <v>98</v>
      </c>
      <c r="AA1117" s="9" t="s">
        <v>276</v>
      </c>
      <c r="AB1117" s="9" t="s">
        <v>98</v>
      </c>
      <c r="AC1117" s="8">
        <v>0</v>
      </c>
      <c r="AD1117" s="8" t="s">
        <v>98</v>
      </c>
      <c r="AE1117" s="8" t="s">
        <v>98</v>
      </c>
      <c r="AF1117" s="8" t="s">
        <v>98</v>
      </c>
      <c r="AG1117" s="9" t="s">
        <v>6512</v>
      </c>
      <c r="AH1117" s="9" t="s">
        <v>6519</v>
      </c>
      <c r="AI1117" s="38">
        <v>66</v>
      </c>
      <c r="AJ1117" s="38" t="s">
        <v>98</v>
      </c>
      <c r="AK1117" s="34">
        <v>128</v>
      </c>
      <c r="AL1117" s="38" t="s">
        <v>98</v>
      </c>
      <c r="AM1117" s="38" t="s">
        <v>292</v>
      </c>
      <c r="AN1117" s="8">
        <v>51.6</v>
      </c>
      <c r="AO1117" s="14">
        <f>AI1117*100/AK1117</f>
        <v>51.5625</v>
      </c>
      <c r="AP1117" s="8" t="s">
        <v>276</v>
      </c>
      <c r="AQ1117" s="8" t="s">
        <v>276</v>
      </c>
      <c r="AR1117" s="8" t="s">
        <v>98</v>
      </c>
      <c r="AS1117" s="14" t="s">
        <v>98</v>
      </c>
      <c r="AT1117" s="8" t="s">
        <v>98</v>
      </c>
      <c r="AU1117" s="8" t="s">
        <v>98</v>
      </c>
      <c r="AV1117" s="8" t="s">
        <v>98</v>
      </c>
      <c r="AW1117" s="8" t="s">
        <v>98</v>
      </c>
      <c r="AX1117" s="8" t="s">
        <v>98</v>
      </c>
      <c r="AY1117" s="8" t="s">
        <v>98</v>
      </c>
      <c r="AZ1117" s="8" t="s">
        <v>98</v>
      </c>
      <c r="BA1117" s="8" t="s">
        <v>98</v>
      </c>
      <c r="BB1117" s="8" t="s">
        <v>98</v>
      </c>
      <c r="BC1117" s="8" t="s">
        <v>98</v>
      </c>
      <c r="BD1117" s="8" t="s">
        <v>98</v>
      </c>
      <c r="BE1117" s="8" t="s">
        <v>98</v>
      </c>
      <c r="BF1117" s="9" t="s">
        <v>6513</v>
      </c>
      <c r="BG1117" s="9"/>
      <c r="BH1117" s="9" t="s">
        <v>100</v>
      </c>
      <c r="BI1117" s="9" t="s">
        <v>100</v>
      </c>
      <c r="BJ1117" s="32"/>
      <c r="BN1117" s="32"/>
      <c r="BO1117" s="32"/>
    </row>
    <row r="1118" spans="1:67" s="110" customFormat="1" ht="65" hidden="1" x14ac:dyDescent="0.35">
      <c r="A1118" s="94">
        <v>281</v>
      </c>
      <c r="B1118" s="94" t="s">
        <v>6520</v>
      </c>
      <c r="C1118" s="95" t="s">
        <v>47</v>
      </c>
      <c r="D1118" s="95" t="s">
        <v>6521</v>
      </c>
      <c r="E1118" s="94" t="s">
        <v>36</v>
      </c>
      <c r="F1118" s="94" t="s">
        <v>123</v>
      </c>
      <c r="G1118" s="94" t="s">
        <v>225</v>
      </c>
      <c r="H1118" s="94" t="s">
        <v>125</v>
      </c>
      <c r="I1118" s="94" t="s">
        <v>114</v>
      </c>
      <c r="J1118" s="95" t="s">
        <v>104</v>
      </c>
      <c r="K1118" s="95" t="s">
        <v>6522</v>
      </c>
      <c r="L1118" s="95" t="s">
        <v>6523</v>
      </c>
      <c r="M1118" s="95" t="s">
        <v>6524</v>
      </c>
      <c r="N1118" s="94" t="s">
        <v>6500</v>
      </c>
      <c r="O1118" s="95" t="s">
        <v>276</v>
      </c>
      <c r="P1118" s="95" t="s">
        <v>239</v>
      </c>
      <c r="Q1118" s="140">
        <v>39447</v>
      </c>
      <c r="R1118" s="95" t="s">
        <v>276</v>
      </c>
      <c r="S1118" s="95" t="s">
        <v>276</v>
      </c>
      <c r="T1118" s="95" t="s">
        <v>276</v>
      </c>
      <c r="U1118" s="163" t="s">
        <v>2331</v>
      </c>
      <c r="V1118" s="94" t="s">
        <v>14</v>
      </c>
      <c r="W1118" s="95" t="s">
        <v>6503</v>
      </c>
      <c r="X1118" s="95" t="s">
        <v>207</v>
      </c>
      <c r="Y1118" s="107">
        <v>52728</v>
      </c>
      <c r="Z1118" s="99">
        <v>52761</v>
      </c>
      <c r="AA1118" s="95" t="s">
        <v>276</v>
      </c>
      <c r="AB1118" s="95" t="s">
        <v>276</v>
      </c>
      <c r="AC1118" s="94">
        <v>20</v>
      </c>
      <c r="AD1118" s="94" t="s">
        <v>6504</v>
      </c>
      <c r="AE1118" s="94">
        <v>8</v>
      </c>
      <c r="AF1118" s="94" t="s">
        <v>6504</v>
      </c>
      <c r="AG1118" s="95" t="s">
        <v>6525</v>
      </c>
      <c r="AH1118" s="95" t="s">
        <v>6506</v>
      </c>
      <c r="AI1118" s="99">
        <f>40+13+7+15</f>
        <v>75</v>
      </c>
      <c r="AJ1118" s="99">
        <v>40</v>
      </c>
      <c r="AK1118" s="107">
        <v>52728</v>
      </c>
      <c r="AL1118" s="99">
        <v>52761</v>
      </c>
      <c r="AM1118" s="99" t="s">
        <v>2047</v>
      </c>
      <c r="AN1118" s="94" t="s">
        <v>276</v>
      </c>
      <c r="AO1118" s="102">
        <f>AI1118*1000/AK1118</f>
        <v>1.4223941738734638</v>
      </c>
      <c r="AP1118" s="94" t="s">
        <v>276</v>
      </c>
      <c r="AQ1118" s="94" t="s">
        <v>276</v>
      </c>
      <c r="AR1118" s="94" t="s">
        <v>276</v>
      </c>
      <c r="AS1118" s="102">
        <f>AJ1118*1000/AL1118</f>
        <v>0.75813574420499985</v>
      </c>
      <c r="AT1118" s="94" t="s">
        <v>276</v>
      </c>
      <c r="AU1118" s="94" t="s">
        <v>276</v>
      </c>
      <c r="AV1118" s="94" t="s">
        <v>268</v>
      </c>
      <c r="AW1118" s="141" t="s">
        <v>276</v>
      </c>
      <c r="AX1118" s="141">
        <f>AO1118/AS1118</f>
        <v>1.8761734751934458</v>
      </c>
      <c r="AY1118" s="95" t="s">
        <v>276</v>
      </c>
      <c r="AZ1118" s="95" t="s">
        <v>276</v>
      </c>
      <c r="BA1118" s="95" t="s">
        <v>276</v>
      </c>
      <c r="BB1118" s="95" t="s">
        <v>282</v>
      </c>
      <c r="BC1118" s="95" t="s">
        <v>276</v>
      </c>
      <c r="BD1118" s="95" t="s">
        <v>276</v>
      </c>
      <c r="BE1118" s="95" t="s">
        <v>276</v>
      </c>
      <c r="BF1118" s="95" t="s">
        <v>3863</v>
      </c>
      <c r="BG1118" s="95" t="s">
        <v>6526</v>
      </c>
      <c r="BH1118" s="9" t="s">
        <v>100</v>
      </c>
      <c r="BI1118" s="9" t="s">
        <v>100</v>
      </c>
      <c r="BJ1118" s="109"/>
      <c r="BN1118" s="109"/>
      <c r="BO1118" s="109"/>
    </row>
    <row r="1119" spans="1:67" s="110" customFormat="1" ht="65" hidden="1" x14ac:dyDescent="0.35">
      <c r="A1119" s="94">
        <v>281</v>
      </c>
      <c r="B1119" s="94" t="s">
        <v>6520</v>
      </c>
      <c r="C1119" s="95" t="s">
        <v>47</v>
      </c>
      <c r="D1119" s="95" t="s">
        <v>6527</v>
      </c>
      <c r="E1119" s="94" t="s">
        <v>36</v>
      </c>
      <c r="F1119" s="94" t="s">
        <v>123</v>
      </c>
      <c r="G1119" s="94" t="s">
        <v>225</v>
      </c>
      <c r="H1119" s="94" t="s">
        <v>125</v>
      </c>
      <c r="I1119" s="94" t="s">
        <v>114</v>
      </c>
      <c r="J1119" s="95" t="s">
        <v>103</v>
      </c>
      <c r="K1119" s="95" t="s">
        <v>6528</v>
      </c>
      <c r="L1119" s="95" t="s">
        <v>6523</v>
      </c>
      <c r="M1119" s="95" t="s">
        <v>6524</v>
      </c>
      <c r="N1119" s="94" t="s">
        <v>6500</v>
      </c>
      <c r="O1119" s="95" t="s">
        <v>276</v>
      </c>
      <c r="P1119" s="95" t="s">
        <v>239</v>
      </c>
      <c r="Q1119" s="140">
        <v>39447</v>
      </c>
      <c r="R1119" s="95" t="s">
        <v>276</v>
      </c>
      <c r="S1119" s="95" t="s">
        <v>276</v>
      </c>
      <c r="T1119" s="95" t="s">
        <v>276</v>
      </c>
      <c r="U1119" s="163" t="s">
        <v>2331</v>
      </c>
      <c r="V1119" s="94" t="s">
        <v>14</v>
      </c>
      <c r="W1119" s="95" t="s">
        <v>6503</v>
      </c>
      <c r="X1119" s="95" t="s">
        <v>207</v>
      </c>
      <c r="Y1119" s="107">
        <v>52728</v>
      </c>
      <c r="Z1119" s="99">
        <v>52761</v>
      </c>
      <c r="AA1119" s="95" t="s">
        <v>276</v>
      </c>
      <c r="AB1119" s="95" t="s">
        <v>276</v>
      </c>
      <c r="AC1119" s="94">
        <v>20</v>
      </c>
      <c r="AD1119" s="94" t="s">
        <v>6504</v>
      </c>
      <c r="AE1119" s="94">
        <v>8</v>
      </c>
      <c r="AF1119" s="94" t="s">
        <v>6504</v>
      </c>
      <c r="AG1119" s="95" t="s">
        <v>6529</v>
      </c>
      <c r="AH1119" s="95" t="s">
        <v>6506</v>
      </c>
      <c r="AI1119" s="99">
        <f>28+16+15+9</f>
        <v>68</v>
      </c>
      <c r="AJ1119" s="99">
        <v>50</v>
      </c>
      <c r="AK1119" s="107">
        <v>52728</v>
      </c>
      <c r="AL1119" s="99">
        <v>52761</v>
      </c>
      <c r="AM1119" s="99" t="s">
        <v>2047</v>
      </c>
      <c r="AN1119" s="94" t="s">
        <v>276</v>
      </c>
      <c r="AO1119" s="102">
        <f>AI1119*1000/AK1119</f>
        <v>1.2896373843119404</v>
      </c>
      <c r="AP1119" s="94" t="s">
        <v>276</v>
      </c>
      <c r="AQ1119" s="94" t="s">
        <v>276</v>
      </c>
      <c r="AR1119" s="94" t="s">
        <v>276</v>
      </c>
      <c r="AS1119" s="102">
        <f>AJ1119*1000/AL1119</f>
        <v>0.94766968025624987</v>
      </c>
      <c r="AT1119" s="94" t="s">
        <v>276</v>
      </c>
      <c r="AU1119" s="94" t="s">
        <v>276</v>
      </c>
      <c r="AV1119" s="94" t="s">
        <v>268</v>
      </c>
      <c r="AW1119" s="141" t="s">
        <v>276</v>
      </c>
      <c r="AX1119" s="141">
        <f>AO1119/AS1119</f>
        <v>1.3608511606736458</v>
      </c>
      <c r="AY1119" s="95" t="s">
        <v>276</v>
      </c>
      <c r="AZ1119" s="95" t="s">
        <v>276</v>
      </c>
      <c r="BA1119" s="95" t="s">
        <v>276</v>
      </c>
      <c r="BB1119" s="95" t="s">
        <v>282</v>
      </c>
      <c r="BC1119" s="95" t="s">
        <v>276</v>
      </c>
      <c r="BD1119" s="95" t="s">
        <v>276</v>
      </c>
      <c r="BE1119" s="95" t="s">
        <v>276</v>
      </c>
      <c r="BF1119" s="95" t="s">
        <v>3863</v>
      </c>
      <c r="BG1119" s="95" t="s">
        <v>6526</v>
      </c>
      <c r="BH1119" s="9" t="s">
        <v>100</v>
      </c>
      <c r="BI1119" s="9" t="s">
        <v>100</v>
      </c>
      <c r="BJ1119" s="109"/>
      <c r="BN1119" s="109"/>
      <c r="BO1119" s="109"/>
    </row>
    <row r="1120" spans="1:67" s="110" customFormat="1" ht="65" hidden="1" x14ac:dyDescent="0.35">
      <c r="A1120" s="94">
        <v>281</v>
      </c>
      <c r="B1120" s="94" t="s">
        <v>6520</v>
      </c>
      <c r="C1120" s="95" t="s">
        <v>47</v>
      </c>
      <c r="D1120" s="95" t="s">
        <v>6530</v>
      </c>
      <c r="E1120" s="94" t="s">
        <v>36</v>
      </c>
      <c r="F1120" s="94" t="s">
        <v>123</v>
      </c>
      <c r="G1120" s="94" t="s">
        <v>225</v>
      </c>
      <c r="H1120" s="94" t="s">
        <v>125</v>
      </c>
      <c r="I1120" s="94" t="s">
        <v>114</v>
      </c>
      <c r="J1120" s="95" t="s">
        <v>103</v>
      </c>
      <c r="K1120" s="95" t="s">
        <v>6528</v>
      </c>
      <c r="L1120" s="95" t="s">
        <v>6523</v>
      </c>
      <c r="M1120" s="95" t="s">
        <v>6524</v>
      </c>
      <c r="N1120" s="94" t="s">
        <v>6500</v>
      </c>
      <c r="O1120" s="95" t="s">
        <v>276</v>
      </c>
      <c r="P1120" s="95" t="s">
        <v>235</v>
      </c>
      <c r="Q1120" s="140">
        <v>39447</v>
      </c>
      <c r="R1120" s="95" t="s">
        <v>276</v>
      </c>
      <c r="S1120" s="95" t="s">
        <v>276</v>
      </c>
      <c r="T1120" s="95" t="s">
        <v>276</v>
      </c>
      <c r="U1120" s="163" t="s">
        <v>2331</v>
      </c>
      <c r="V1120" s="94" t="s">
        <v>14</v>
      </c>
      <c r="W1120" s="95" t="s">
        <v>6503</v>
      </c>
      <c r="X1120" s="95" t="s">
        <v>207</v>
      </c>
      <c r="Y1120" s="107" t="s">
        <v>98</v>
      </c>
      <c r="Z1120" s="99" t="s">
        <v>98</v>
      </c>
      <c r="AA1120" s="95" t="s">
        <v>276</v>
      </c>
      <c r="AB1120" s="95" t="s">
        <v>276</v>
      </c>
      <c r="AC1120" s="94">
        <v>20</v>
      </c>
      <c r="AD1120" s="94" t="s">
        <v>6504</v>
      </c>
      <c r="AE1120" s="94">
        <v>8</v>
      </c>
      <c r="AF1120" s="94" t="s">
        <v>6504</v>
      </c>
      <c r="AG1120" s="95" t="s">
        <v>6529</v>
      </c>
      <c r="AH1120" s="95" t="s">
        <v>6531</v>
      </c>
      <c r="AI1120" s="99">
        <f>28+16+15+9</f>
        <v>68</v>
      </c>
      <c r="AJ1120" s="99">
        <v>50</v>
      </c>
      <c r="AK1120" s="107">
        <v>154</v>
      </c>
      <c r="AL1120" s="99">
        <v>98</v>
      </c>
      <c r="AM1120" s="99" t="s">
        <v>292</v>
      </c>
      <c r="AN1120" s="94" t="s">
        <v>276</v>
      </c>
      <c r="AO1120" s="102">
        <f>AI1120*100/AK1120</f>
        <v>44.155844155844157</v>
      </c>
      <c r="AP1120" s="94" t="s">
        <v>276</v>
      </c>
      <c r="AQ1120" s="94" t="s">
        <v>276</v>
      </c>
      <c r="AR1120" s="94" t="s">
        <v>276</v>
      </c>
      <c r="AS1120" s="102">
        <f>AJ1120*100/AL1120</f>
        <v>51.020408163265309</v>
      </c>
      <c r="AT1120" s="94" t="s">
        <v>276</v>
      </c>
      <c r="AU1120" s="94" t="s">
        <v>276</v>
      </c>
      <c r="AV1120" s="94" t="s">
        <v>268</v>
      </c>
      <c r="AW1120" s="141" t="s">
        <v>276</v>
      </c>
      <c r="AX1120" s="141">
        <f>AO1120/AS1120</f>
        <v>0.86545454545454548</v>
      </c>
      <c r="AY1120" s="95" t="s">
        <v>276</v>
      </c>
      <c r="AZ1120" s="95" t="s">
        <v>276</v>
      </c>
      <c r="BA1120" s="95" t="s">
        <v>276</v>
      </c>
      <c r="BB1120" s="95" t="s">
        <v>282</v>
      </c>
      <c r="BC1120" s="95" t="s">
        <v>276</v>
      </c>
      <c r="BD1120" s="95" t="s">
        <v>276</v>
      </c>
      <c r="BE1120" s="95" t="s">
        <v>276</v>
      </c>
      <c r="BF1120" s="95" t="s">
        <v>3863</v>
      </c>
      <c r="BG1120" s="95" t="s">
        <v>6526</v>
      </c>
      <c r="BH1120" s="9" t="s">
        <v>100</v>
      </c>
      <c r="BI1120" s="9" t="s">
        <v>100</v>
      </c>
      <c r="BJ1120" s="109"/>
      <c r="BN1120" s="109"/>
      <c r="BO1120" s="109"/>
    </row>
    <row r="1121" spans="1:67" s="124" customFormat="1" ht="65" hidden="1" x14ac:dyDescent="0.35">
      <c r="A1121" s="112">
        <v>281</v>
      </c>
      <c r="B1121" s="112" t="s">
        <v>6520</v>
      </c>
      <c r="C1121" s="113" t="s">
        <v>47</v>
      </c>
      <c r="D1121" s="113" t="s">
        <v>6532</v>
      </c>
      <c r="E1121" s="112" t="s">
        <v>36</v>
      </c>
      <c r="F1121" s="112" t="s">
        <v>123</v>
      </c>
      <c r="G1121" s="112" t="s">
        <v>225</v>
      </c>
      <c r="H1121" s="112" t="s">
        <v>225</v>
      </c>
      <c r="I1121" s="112" t="s">
        <v>98</v>
      </c>
      <c r="J1121" s="113" t="s">
        <v>98</v>
      </c>
      <c r="K1121" s="113" t="s">
        <v>98</v>
      </c>
      <c r="L1121" s="113" t="s">
        <v>98</v>
      </c>
      <c r="M1121" s="113" t="s">
        <v>98</v>
      </c>
      <c r="N1121" s="112" t="s">
        <v>6500</v>
      </c>
      <c r="O1121" s="113" t="s">
        <v>276</v>
      </c>
      <c r="P1121" s="113" t="s">
        <v>238</v>
      </c>
      <c r="Q1121" s="142">
        <v>39447</v>
      </c>
      <c r="R1121" s="113" t="s">
        <v>276</v>
      </c>
      <c r="S1121" s="113" t="s">
        <v>276</v>
      </c>
      <c r="T1121" s="113" t="s">
        <v>276</v>
      </c>
      <c r="U1121" s="162" t="s">
        <v>2331</v>
      </c>
      <c r="V1121" s="112" t="s">
        <v>14</v>
      </c>
      <c r="W1121" s="113" t="s">
        <v>6503</v>
      </c>
      <c r="X1121" s="113" t="s">
        <v>209</v>
      </c>
      <c r="Y1121" s="120">
        <v>52728</v>
      </c>
      <c r="Z1121" s="119" t="s">
        <v>98</v>
      </c>
      <c r="AA1121" s="113" t="s">
        <v>276</v>
      </c>
      <c r="AB1121" s="113" t="s">
        <v>98</v>
      </c>
      <c r="AC1121" s="112">
        <v>0</v>
      </c>
      <c r="AD1121" s="113" t="s">
        <v>6533</v>
      </c>
      <c r="AE1121" s="112" t="s">
        <v>98</v>
      </c>
      <c r="AF1121" s="112" t="s">
        <v>98</v>
      </c>
      <c r="AG1121" s="113" t="s">
        <v>6534</v>
      </c>
      <c r="AH1121" s="113" t="s">
        <v>6506</v>
      </c>
      <c r="AI1121" s="119">
        <v>95</v>
      </c>
      <c r="AJ1121" s="119" t="s">
        <v>98</v>
      </c>
      <c r="AK1121" s="120">
        <v>52728</v>
      </c>
      <c r="AL1121" s="119" t="s">
        <v>98</v>
      </c>
      <c r="AM1121" s="119" t="s">
        <v>2047</v>
      </c>
      <c r="AN1121" s="112" t="s">
        <v>276</v>
      </c>
      <c r="AO1121" s="121">
        <f>AI1121*1000/AK1121</f>
        <v>1.8016992869063875</v>
      </c>
      <c r="AP1121" s="112" t="s">
        <v>276</v>
      </c>
      <c r="AQ1121" s="112" t="s">
        <v>276</v>
      </c>
      <c r="AR1121" s="112" t="s">
        <v>98</v>
      </c>
      <c r="AS1121" s="112" t="s">
        <v>98</v>
      </c>
      <c r="AT1121" s="112" t="s">
        <v>98</v>
      </c>
      <c r="AU1121" s="112" t="s">
        <v>98</v>
      </c>
      <c r="AV1121" s="112" t="s">
        <v>98</v>
      </c>
      <c r="AW1121" s="112" t="s">
        <v>98</v>
      </c>
      <c r="AX1121" s="112" t="s">
        <v>98</v>
      </c>
      <c r="AY1121" s="112" t="s">
        <v>98</v>
      </c>
      <c r="AZ1121" s="112" t="s">
        <v>98</v>
      </c>
      <c r="BA1121" s="112" t="s">
        <v>98</v>
      </c>
      <c r="BB1121" s="112" t="s">
        <v>98</v>
      </c>
      <c r="BC1121" s="112" t="s">
        <v>98</v>
      </c>
      <c r="BD1121" s="112" t="s">
        <v>98</v>
      </c>
      <c r="BE1121" s="112" t="s">
        <v>98</v>
      </c>
      <c r="BF1121" s="113" t="s">
        <v>3863</v>
      </c>
      <c r="BG1121" s="113"/>
      <c r="BH1121" s="9" t="s">
        <v>100</v>
      </c>
      <c r="BI1121" s="9" t="s">
        <v>100</v>
      </c>
      <c r="BJ1121" s="123"/>
      <c r="BN1121" s="123"/>
      <c r="BO1121" s="123"/>
    </row>
    <row r="1122" spans="1:67" s="124" customFormat="1" ht="52" hidden="1" x14ac:dyDescent="0.35">
      <c r="A1122" s="112">
        <v>281</v>
      </c>
      <c r="B1122" s="112" t="s">
        <v>6520</v>
      </c>
      <c r="C1122" s="113" t="s">
        <v>47</v>
      </c>
      <c r="D1122" s="113" t="s">
        <v>6535</v>
      </c>
      <c r="E1122" s="112" t="s">
        <v>36</v>
      </c>
      <c r="F1122" s="112" t="s">
        <v>123</v>
      </c>
      <c r="G1122" s="112" t="s">
        <v>225</v>
      </c>
      <c r="H1122" s="112" t="s">
        <v>225</v>
      </c>
      <c r="I1122" s="112" t="s">
        <v>98</v>
      </c>
      <c r="J1122" s="113" t="s">
        <v>98</v>
      </c>
      <c r="K1122" s="113" t="s">
        <v>98</v>
      </c>
      <c r="L1122" s="113" t="s">
        <v>98</v>
      </c>
      <c r="M1122" s="113" t="s">
        <v>98</v>
      </c>
      <c r="N1122" s="112" t="s">
        <v>6500</v>
      </c>
      <c r="O1122" s="113" t="s">
        <v>276</v>
      </c>
      <c r="P1122" s="113" t="s">
        <v>236</v>
      </c>
      <c r="Q1122" s="142">
        <v>39447</v>
      </c>
      <c r="R1122" s="113" t="s">
        <v>276</v>
      </c>
      <c r="S1122" s="113" t="s">
        <v>276</v>
      </c>
      <c r="T1122" s="113" t="s">
        <v>276</v>
      </c>
      <c r="U1122" s="162" t="s">
        <v>2331</v>
      </c>
      <c r="V1122" s="112" t="s">
        <v>14</v>
      </c>
      <c r="W1122" s="113" t="s">
        <v>6503</v>
      </c>
      <c r="X1122" s="113" t="s">
        <v>209</v>
      </c>
      <c r="Y1122" s="120" t="s">
        <v>98</v>
      </c>
      <c r="Z1122" s="119" t="s">
        <v>98</v>
      </c>
      <c r="AA1122" s="113" t="s">
        <v>276</v>
      </c>
      <c r="AB1122" s="113" t="s">
        <v>98</v>
      </c>
      <c r="AC1122" s="112">
        <v>0</v>
      </c>
      <c r="AD1122" s="113" t="s">
        <v>6533</v>
      </c>
      <c r="AE1122" s="112" t="s">
        <v>98</v>
      </c>
      <c r="AF1122" s="112" t="s">
        <v>98</v>
      </c>
      <c r="AG1122" s="113" t="s">
        <v>6534</v>
      </c>
      <c r="AH1122" s="113" t="s">
        <v>6536</v>
      </c>
      <c r="AI1122" s="119">
        <v>95</v>
      </c>
      <c r="AJ1122" s="119" t="s">
        <v>98</v>
      </c>
      <c r="AK1122" s="120">
        <v>154</v>
      </c>
      <c r="AL1122" s="119" t="s">
        <v>98</v>
      </c>
      <c r="AM1122" s="119" t="s">
        <v>292</v>
      </c>
      <c r="AN1122" s="112" t="s">
        <v>276</v>
      </c>
      <c r="AO1122" s="121">
        <f>AI1122*100/AK1122</f>
        <v>61.688311688311686</v>
      </c>
      <c r="AP1122" s="112" t="s">
        <v>276</v>
      </c>
      <c r="AQ1122" s="112" t="s">
        <v>276</v>
      </c>
      <c r="AR1122" s="112" t="s">
        <v>98</v>
      </c>
      <c r="AS1122" s="112" t="s">
        <v>98</v>
      </c>
      <c r="AT1122" s="112" t="s">
        <v>98</v>
      </c>
      <c r="AU1122" s="112" t="s">
        <v>98</v>
      </c>
      <c r="AV1122" s="112" t="s">
        <v>98</v>
      </c>
      <c r="AW1122" s="112" t="s">
        <v>98</v>
      </c>
      <c r="AX1122" s="112" t="s">
        <v>98</v>
      </c>
      <c r="AY1122" s="112" t="s">
        <v>98</v>
      </c>
      <c r="AZ1122" s="112" t="s">
        <v>98</v>
      </c>
      <c r="BA1122" s="112" t="s">
        <v>98</v>
      </c>
      <c r="BB1122" s="112" t="s">
        <v>98</v>
      </c>
      <c r="BC1122" s="112" t="s">
        <v>98</v>
      </c>
      <c r="BD1122" s="112" t="s">
        <v>98</v>
      </c>
      <c r="BE1122" s="112" t="s">
        <v>98</v>
      </c>
      <c r="BF1122" s="113" t="s">
        <v>3863</v>
      </c>
      <c r="BG1122" s="113"/>
      <c r="BH1122" s="9" t="s">
        <v>100</v>
      </c>
      <c r="BI1122" s="9" t="s">
        <v>100</v>
      </c>
      <c r="BJ1122" s="123"/>
      <c r="BN1122" s="123"/>
      <c r="BO1122" s="123"/>
    </row>
    <row r="1123" spans="1:67" s="183" customFormat="1" ht="52" hidden="1" x14ac:dyDescent="0.35">
      <c r="A1123" s="175">
        <v>278</v>
      </c>
      <c r="B1123" s="176" t="s">
        <v>6537</v>
      </c>
      <c r="C1123" s="176" t="s">
        <v>47</v>
      </c>
      <c r="D1123" s="176" t="s">
        <v>6538</v>
      </c>
      <c r="E1123" s="175" t="s">
        <v>36</v>
      </c>
      <c r="F1123" s="175" t="s">
        <v>123</v>
      </c>
      <c r="G1123" s="175" t="s">
        <v>225</v>
      </c>
      <c r="H1123" s="175" t="s">
        <v>125</v>
      </c>
      <c r="I1123" s="175" t="s">
        <v>114</v>
      </c>
      <c r="J1123" s="176" t="s">
        <v>33</v>
      </c>
      <c r="K1123" s="175" t="s">
        <v>6539</v>
      </c>
      <c r="L1123" s="175" t="s">
        <v>276</v>
      </c>
      <c r="M1123" s="175" t="s">
        <v>276</v>
      </c>
      <c r="N1123" s="176" t="s">
        <v>6540</v>
      </c>
      <c r="O1123" s="176" t="s">
        <v>6541</v>
      </c>
      <c r="P1123" s="176" t="s">
        <v>239</v>
      </c>
      <c r="Q1123" s="304">
        <v>40908</v>
      </c>
      <c r="R1123" s="176" t="s">
        <v>276</v>
      </c>
      <c r="S1123" s="176" t="s">
        <v>276</v>
      </c>
      <c r="T1123" s="176" t="s">
        <v>276</v>
      </c>
      <c r="U1123" s="176" t="s">
        <v>276</v>
      </c>
      <c r="V1123" s="175" t="s">
        <v>14</v>
      </c>
      <c r="W1123" s="176" t="s">
        <v>6542</v>
      </c>
      <c r="X1123" s="176" t="s">
        <v>207</v>
      </c>
      <c r="Y1123" s="180">
        <v>160719</v>
      </c>
      <c r="Z1123" s="179">
        <v>160508</v>
      </c>
      <c r="AA1123" s="176" t="s">
        <v>276</v>
      </c>
      <c r="AB1123" s="176" t="s">
        <v>276</v>
      </c>
      <c r="AC1123" s="176" t="s">
        <v>6543</v>
      </c>
      <c r="AD1123" s="176" t="s">
        <v>6544</v>
      </c>
      <c r="AE1123" s="175">
        <v>57</v>
      </c>
      <c r="AF1123" s="176" t="s">
        <v>6545</v>
      </c>
      <c r="AG1123" s="176" t="s">
        <v>6546</v>
      </c>
      <c r="AH1123" s="176" t="s">
        <v>6547</v>
      </c>
      <c r="AI1123" s="179">
        <v>253</v>
      </c>
      <c r="AJ1123" s="179">
        <v>128</v>
      </c>
      <c r="AK1123" s="180">
        <v>160719</v>
      </c>
      <c r="AL1123" s="176">
        <v>160508</v>
      </c>
      <c r="AM1123" s="179" t="s">
        <v>2047</v>
      </c>
      <c r="AN1123" s="175" t="s">
        <v>276</v>
      </c>
      <c r="AO1123" s="181">
        <f t="shared" ref="AO1123:AO1140" si="344">AI1123*1000/AK1123</f>
        <v>1.574176046391528</v>
      </c>
      <c r="AP1123" s="175" t="s">
        <v>276</v>
      </c>
      <c r="AQ1123" s="175" t="s">
        <v>276</v>
      </c>
      <c r="AR1123" s="175" t="s">
        <v>276</v>
      </c>
      <c r="AS1123" s="181">
        <f t="shared" ref="AS1123:AS1140" si="345">AJ1123*1000/AL1123</f>
        <v>0.7974680389762504</v>
      </c>
      <c r="AT1123" s="175" t="s">
        <v>276</v>
      </c>
      <c r="AU1123" s="175" t="s">
        <v>276</v>
      </c>
      <c r="AV1123" s="175" t="s">
        <v>268</v>
      </c>
      <c r="AW1123" s="305" t="s">
        <v>276</v>
      </c>
      <c r="AX1123" s="305">
        <f t="shared" ref="AX1123:AX1140" si="346">AO1123/AS1123</f>
        <v>1.9739675691735263</v>
      </c>
      <c r="AY1123" s="176" t="s">
        <v>276</v>
      </c>
      <c r="AZ1123" s="176" t="s">
        <v>276</v>
      </c>
      <c r="BA1123" s="176" t="s">
        <v>276</v>
      </c>
      <c r="BB1123" s="176" t="s">
        <v>282</v>
      </c>
      <c r="BC1123" s="176" t="s">
        <v>98</v>
      </c>
      <c r="BD1123" s="176" t="s">
        <v>98</v>
      </c>
      <c r="BE1123" s="176" t="s">
        <v>98</v>
      </c>
      <c r="BF1123" s="176" t="s">
        <v>298</v>
      </c>
      <c r="BG1123" s="176"/>
      <c r="BH1123" s="9" t="s">
        <v>100</v>
      </c>
      <c r="BI1123" s="9" t="s">
        <v>100</v>
      </c>
      <c r="BJ1123" s="182"/>
      <c r="BN1123" s="182"/>
      <c r="BO1123" s="182"/>
    </row>
    <row r="1124" spans="1:67" s="183" customFormat="1" ht="52" hidden="1" x14ac:dyDescent="0.35">
      <c r="A1124" s="175">
        <v>278</v>
      </c>
      <c r="B1124" s="176" t="s">
        <v>6537</v>
      </c>
      <c r="C1124" s="176" t="s">
        <v>47</v>
      </c>
      <c r="D1124" s="176" t="s">
        <v>6548</v>
      </c>
      <c r="E1124" s="175" t="s">
        <v>36</v>
      </c>
      <c r="F1124" s="175" t="s">
        <v>123</v>
      </c>
      <c r="G1124" s="175" t="s">
        <v>225</v>
      </c>
      <c r="H1124" s="175" t="s">
        <v>125</v>
      </c>
      <c r="I1124" s="175" t="s">
        <v>114</v>
      </c>
      <c r="J1124" s="176" t="s">
        <v>33</v>
      </c>
      <c r="K1124" s="175" t="s">
        <v>6549</v>
      </c>
      <c r="L1124" s="175" t="s">
        <v>276</v>
      </c>
      <c r="M1124" s="175" t="s">
        <v>276</v>
      </c>
      <c r="N1124" s="176" t="s">
        <v>6540</v>
      </c>
      <c r="O1124" s="176" t="s">
        <v>6541</v>
      </c>
      <c r="P1124" s="176" t="s">
        <v>239</v>
      </c>
      <c r="Q1124" s="304">
        <v>40908</v>
      </c>
      <c r="R1124" s="176" t="s">
        <v>276</v>
      </c>
      <c r="S1124" s="176" t="s">
        <v>276</v>
      </c>
      <c r="T1124" s="176" t="s">
        <v>276</v>
      </c>
      <c r="U1124" s="176" t="s">
        <v>276</v>
      </c>
      <c r="V1124" s="175" t="s">
        <v>14</v>
      </c>
      <c r="W1124" s="176" t="s">
        <v>6542</v>
      </c>
      <c r="X1124" s="176" t="s">
        <v>207</v>
      </c>
      <c r="Y1124" s="180">
        <v>160719</v>
      </c>
      <c r="Z1124" s="179">
        <v>160508</v>
      </c>
      <c r="AA1124" s="176" t="s">
        <v>276</v>
      </c>
      <c r="AB1124" s="176" t="s">
        <v>276</v>
      </c>
      <c r="AC1124" s="176" t="s">
        <v>6543</v>
      </c>
      <c r="AD1124" s="176" t="s">
        <v>6544</v>
      </c>
      <c r="AE1124" s="175">
        <v>57</v>
      </c>
      <c r="AF1124" s="176" t="s">
        <v>6545</v>
      </c>
      <c r="AG1124" s="176" t="s">
        <v>6550</v>
      </c>
      <c r="AH1124" s="176" t="s">
        <v>6547</v>
      </c>
      <c r="AI1124" s="179">
        <v>423</v>
      </c>
      <c r="AJ1124" s="179">
        <v>432</v>
      </c>
      <c r="AK1124" s="180">
        <v>160719</v>
      </c>
      <c r="AL1124" s="176">
        <v>160508</v>
      </c>
      <c r="AM1124" s="179" t="s">
        <v>2047</v>
      </c>
      <c r="AN1124" s="175" t="s">
        <v>276</v>
      </c>
      <c r="AO1124" s="181">
        <f t="shared" si="344"/>
        <v>2.6319227969312902</v>
      </c>
      <c r="AP1124" s="175" t="s">
        <v>276</v>
      </c>
      <c r="AQ1124" s="175" t="s">
        <v>276</v>
      </c>
      <c r="AR1124" s="175" t="s">
        <v>276</v>
      </c>
      <c r="AS1124" s="181">
        <f t="shared" si="345"/>
        <v>2.6914546315448451</v>
      </c>
      <c r="AT1124" s="175" t="s">
        <v>276</v>
      </c>
      <c r="AU1124" s="175" t="s">
        <v>276</v>
      </c>
      <c r="AV1124" s="175" t="s">
        <v>268</v>
      </c>
      <c r="AW1124" s="305" t="s">
        <v>276</v>
      </c>
      <c r="AX1124" s="305">
        <f t="shared" si="346"/>
        <v>0.97788116733760999</v>
      </c>
      <c r="AY1124" s="176" t="s">
        <v>276</v>
      </c>
      <c r="AZ1124" s="176" t="s">
        <v>276</v>
      </c>
      <c r="BA1124" s="176" t="s">
        <v>276</v>
      </c>
      <c r="BB1124" s="176" t="s">
        <v>282</v>
      </c>
      <c r="BC1124" s="176" t="s">
        <v>98</v>
      </c>
      <c r="BD1124" s="176" t="s">
        <v>98</v>
      </c>
      <c r="BE1124" s="176" t="s">
        <v>98</v>
      </c>
      <c r="BF1124" s="176" t="s">
        <v>298</v>
      </c>
      <c r="BG1124" s="176"/>
      <c r="BH1124" s="9" t="s">
        <v>100</v>
      </c>
      <c r="BI1124" s="9" t="s">
        <v>100</v>
      </c>
      <c r="BJ1124" s="182"/>
      <c r="BN1124" s="182"/>
      <c r="BO1124" s="182"/>
    </row>
    <row r="1125" spans="1:67" s="194" customFormat="1" ht="52" hidden="1" x14ac:dyDescent="0.35">
      <c r="A1125" s="184">
        <v>278</v>
      </c>
      <c r="B1125" s="185" t="s">
        <v>6537</v>
      </c>
      <c r="C1125" s="185" t="s">
        <v>47</v>
      </c>
      <c r="D1125" s="185" t="s">
        <v>6551</v>
      </c>
      <c r="E1125" s="184" t="s">
        <v>36</v>
      </c>
      <c r="F1125" s="184" t="s">
        <v>123</v>
      </c>
      <c r="G1125" s="184" t="s">
        <v>225</v>
      </c>
      <c r="H1125" s="184" t="s">
        <v>125</v>
      </c>
      <c r="I1125" s="184" t="s">
        <v>114</v>
      </c>
      <c r="J1125" s="185" t="s">
        <v>117</v>
      </c>
      <c r="K1125" s="184" t="s">
        <v>2746</v>
      </c>
      <c r="L1125" s="184" t="s">
        <v>276</v>
      </c>
      <c r="M1125" s="184" t="s">
        <v>276</v>
      </c>
      <c r="N1125" s="185" t="s">
        <v>6540</v>
      </c>
      <c r="O1125" s="185" t="s">
        <v>6541</v>
      </c>
      <c r="P1125" s="185" t="s">
        <v>239</v>
      </c>
      <c r="Q1125" s="302">
        <v>40908</v>
      </c>
      <c r="R1125" s="185" t="s">
        <v>276</v>
      </c>
      <c r="S1125" s="185" t="s">
        <v>276</v>
      </c>
      <c r="T1125" s="185" t="s">
        <v>276</v>
      </c>
      <c r="U1125" s="185" t="s">
        <v>276</v>
      </c>
      <c r="V1125" s="184" t="s">
        <v>14</v>
      </c>
      <c r="W1125" s="185" t="s">
        <v>6542</v>
      </c>
      <c r="X1125" s="185" t="s">
        <v>207</v>
      </c>
      <c r="Y1125" s="189">
        <v>160719</v>
      </c>
      <c r="Z1125" s="188">
        <v>160508</v>
      </c>
      <c r="AA1125" s="185" t="s">
        <v>276</v>
      </c>
      <c r="AB1125" s="185" t="s">
        <v>276</v>
      </c>
      <c r="AC1125" s="184">
        <v>88</v>
      </c>
      <c r="AD1125" s="185" t="s">
        <v>6552</v>
      </c>
      <c r="AE1125" s="184">
        <v>69</v>
      </c>
      <c r="AF1125" s="185" t="s">
        <v>6553</v>
      </c>
      <c r="AG1125" s="185" t="s">
        <v>6554</v>
      </c>
      <c r="AH1125" s="185" t="s">
        <v>6547</v>
      </c>
      <c r="AI1125" s="188">
        <v>379</v>
      </c>
      <c r="AJ1125" s="188">
        <v>290</v>
      </c>
      <c r="AK1125" s="189">
        <v>160719</v>
      </c>
      <c r="AL1125" s="185">
        <v>160508</v>
      </c>
      <c r="AM1125" s="188" t="s">
        <v>2047</v>
      </c>
      <c r="AN1125" s="184" t="s">
        <v>276</v>
      </c>
      <c r="AO1125" s="192">
        <f t="shared" si="344"/>
        <v>2.3581530497327634</v>
      </c>
      <c r="AP1125" s="184" t="s">
        <v>276</v>
      </c>
      <c r="AQ1125" s="184" t="s">
        <v>276</v>
      </c>
      <c r="AR1125" s="184" t="s">
        <v>276</v>
      </c>
      <c r="AS1125" s="192">
        <f t="shared" si="345"/>
        <v>1.8067635258055674</v>
      </c>
      <c r="AT1125" s="184" t="s">
        <v>276</v>
      </c>
      <c r="AU1125" s="184" t="s">
        <v>276</v>
      </c>
      <c r="AV1125" s="184" t="s">
        <v>268</v>
      </c>
      <c r="AW1125" s="303" t="s">
        <v>276</v>
      </c>
      <c r="AX1125" s="303">
        <f t="shared" si="346"/>
        <v>1.3051807920914014</v>
      </c>
      <c r="AY1125" s="185" t="s">
        <v>276</v>
      </c>
      <c r="AZ1125" s="185" t="s">
        <v>276</v>
      </c>
      <c r="BA1125" s="185" t="s">
        <v>276</v>
      </c>
      <c r="BB1125" s="185" t="s">
        <v>282</v>
      </c>
      <c r="BC1125" s="185" t="s">
        <v>98</v>
      </c>
      <c r="BD1125" s="185" t="s">
        <v>98</v>
      </c>
      <c r="BE1125" s="185" t="s">
        <v>98</v>
      </c>
      <c r="BF1125" s="185" t="s">
        <v>298</v>
      </c>
      <c r="BG1125" s="185"/>
      <c r="BH1125" s="9" t="s">
        <v>100</v>
      </c>
      <c r="BI1125" s="9" t="s">
        <v>100</v>
      </c>
      <c r="BJ1125" s="193"/>
      <c r="BN1125" s="193"/>
      <c r="BO1125" s="193"/>
    </row>
    <row r="1126" spans="1:67" s="194" customFormat="1" ht="52" hidden="1" x14ac:dyDescent="0.35">
      <c r="A1126" s="184">
        <v>278</v>
      </c>
      <c r="B1126" s="185" t="s">
        <v>6537</v>
      </c>
      <c r="C1126" s="185" t="s">
        <v>47</v>
      </c>
      <c r="D1126" s="185" t="s">
        <v>6555</v>
      </c>
      <c r="E1126" s="184" t="s">
        <v>36</v>
      </c>
      <c r="F1126" s="184" t="s">
        <v>123</v>
      </c>
      <c r="G1126" s="184" t="s">
        <v>225</v>
      </c>
      <c r="H1126" s="184" t="s">
        <v>125</v>
      </c>
      <c r="I1126" s="184" t="s">
        <v>114</v>
      </c>
      <c r="J1126" s="185" t="s">
        <v>117</v>
      </c>
      <c r="K1126" s="184" t="s">
        <v>6556</v>
      </c>
      <c r="L1126" s="184" t="s">
        <v>276</v>
      </c>
      <c r="M1126" s="184" t="s">
        <v>276</v>
      </c>
      <c r="N1126" s="185" t="s">
        <v>6540</v>
      </c>
      <c r="O1126" s="185" t="s">
        <v>6541</v>
      </c>
      <c r="P1126" s="185" t="s">
        <v>239</v>
      </c>
      <c r="Q1126" s="302">
        <v>40908</v>
      </c>
      <c r="R1126" s="185" t="s">
        <v>276</v>
      </c>
      <c r="S1126" s="185" t="s">
        <v>276</v>
      </c>
      <c r="T1126" s="185" t="s">
        <v>276</v>
      </c>
      <c r="U1126" s="185" t="s">
        <v>276</v>
      </c>
      <c r="V1126" s="184" t="s">
        <v>14</v>
      </c>
      <c r="W1126" s="185" t="s">
        <v>6542</v>
      </c>
      <c r="X1126" s="185" t="s">
        <v>207</v>
      </c>
      <c r="Y1126" s="189">
        <v>160719</v>
      </c>
      <c r="Z1126" s="188">
        <v>160508</v>
      </c>
      <c r="AA1126" s="185" t="s">
        <v>276</v>
      </c>
      <c r="AB1126" s="185" t="s">
        <v>276</v>
      </c>
      <c r="AC1126" s="184">
        <v>88</v>
      </c>
      <c r="AD1126" s="185" t="s">
        <v>6552</v>
      </c>
      <c r="AE1126" s="184">
        <v>69</v>
      </c>
      <c r="AF1126" s="185" t="s">
        <v>6553</v>
      </c>
      <c r="AG1126" s="185" t="s">
        <v>6557</v>
      </c>
      <c r="AH1126" s="185" t="s">
        <v>6547</v>
      </c>
      <c r="AI1126" s="188">
        <v>276</v>
      </c>
      <c r="AJ1126" s="188">
        <v>258</v>
      </c>
      <c r="AK1126" s="189">
        <v>160719</v>
      </c>
      <c r="AL1126" s="185">
        <v>160508</v>
      </c>
      <c r="AM1126" s="188" t="s">
        <v>2047</v>
      </c>
      <c r="AN1126" s="184" t="s">
        <v>276</v>
      </c>
      <c r="AO1126" s="192">
        <f t="shared" si="344"/>
        <v>1.7172829596998489</v>
      </c>
      <c r="AP1126" s="184" t="s">
        <v>276</v>
      </c>
      <c r="AQ1126" s="184" t="s">
        <v>276</v>
      </c>
      <c r="AR1126" s="184" t="s">
        <v>276</v>
      </c>
      <c r="AS1126" s="192">
        <f t="shared" si="345"/>
        <v>1.6073965160615047</v>
      </c>
      <c r="AT1126" s="184" t="s">
        <v>276</v>
      </c>
      <c r="AU1126" s="184" t="s">
        <v>276</v>
      </c>
      <c r="AV1126" s="184" t="s">
        <v>268</v>
      </c>
      <c r="AW1126" s="303" t="s">
        <v>276</v>
      </c>
      <c r="AX1126" s="303">
        <f t="shared" si="346"/>
        <v>1.0683629972693929</v>
      </c>
      <c r="AY1126" s="185" t="s">
        <v>276</v>
      </c>
      <c r="AZ1126" s="185" t="s">
        <v>276</v>
      </c>
      <c r="BA1126" s="185" t="s">
        <v>276</v>
      </c>
      <c r="BB1126" s="185" t="s">
        <v>282</v>
      </c>
      <c r="BC1126" s="185" t="s">
        <v>98</v>
      </c>
      <c r="BD1126" s="185" t="s">
        <v>98</v>
      </c>
      <c r="BE1126" s="185" t="s">
        <v>98</v>
      </c>
      <c r="BF1126" s="185" t="s">
        <v>298</v>
      </c>
      <c r="BG1126" s="185"/>
      <c r="BH1126" s="9" t="s">
        <v>100</v>
      </c>
      <c r="BI1126" s="9" t="s">
        <v>100</v>
      </c>
      <c r="BJ1126" s="193"/>
      <c r="BN1126" s="193"/>
      <c r="BO1126" s="193"/>
    </row>
    <row r="1127" spans="1:67" s="183" customFormat="1" ht="52" hidden="1" x14ac:dyDescent="0.35">
      <c r="A1127" s="175">
        <v>278</v>
      </c>
      <c r="B1127" s="176" t="s">
        <v>6537</v>
      </c>
      <c r="C1127" s="176" t="s">
        <v>47</v>
      </c>
      <c r="D1127" s="176" t="s">
        <v>6558</v>
      </c>
      <c r="E1127" s="175" t="s">
        <v>36</v>
      </c>
      <c r="F1127" s="175" t="s">
        <v>123</v>
      </c>
      <c r="G1127" s="175" t="s">
        <v>225</v>
      </c>
      <c r="H1127" s="175" t="s">
        <v>125</v>
      </c>
      <c r="I1127" s="175" t="s">
        <v>114</v>
      </c>
      <c r="J1127" s="176" t="s">
        <v>6559</v>
      </c>
      <c r="K1127" s="175" t="s">
        <v>2764</v>
      </c>
      <c r="L1127" s="175" t="s">
        <v>276</v>
      </c>
      <c r="M1127" s="175" t="s">
        <v>276</v>
      </c>
      <c r="N1127" s="176" t="s">
        <v>6540</v>
      </c>
      <c r="O1127" s="176" t="s">
        <v>6541</v>
      </c>
      <c r="P1127" s="176" t="s">
        <v>239</v>
      </c>
      <c r="Q1127" s="304">
        <v>40908</v>
      </c>
      <c r="R1127" s="176" t="s">
        <v>276</v>
      </c>
      <c r="S1127" s="176" t="s">
        <v>276</v>
      </c>
      <c r="T1127" s="176" t="s">
        <v>276</v>
      </c>
      <c r="U1127" s="176" t="s">
        <v>276</v>
      </c>
      <c r="V1127" s="175" t="s">
        <v>14</v>
      </c>
      <c r="W1127" s="176" t="s">
        <v>6542</v>
      </c>
      <c r="X1127" s="176" t="s">
        <v>207</v>
      </c>
      <c r="Y1127" s="180">
        <v>160719</v>
      </c>
      <c r="Z1127" s="179">
        <v>160508</v>
      </c>
      <c r="AA1127" s="176" t="s">
        <v>276</v>
      </c>
      <c r="AB1127" s="176" t="s">
        <v>276</v>
      </c>
      <c r="AC1127" s="175">
        <v>8</v>
      </c>
      <c r="AD1127" s="176" t="s">
        <v>6560</v>
      </c>
      <c r="AE1127" s="175">
        <v>7</v>
      </c>
      <c r="AF1127" s="176" t="s">
        <v>6561</v>
      </c>
      <c r="AG1127" s="176" t="s">
        <v>6562</v>
      </c>
      <c r="AH1127" s="176" t="s">
        <v>6547</v>
      </c>
      <c r="AI1127" s="179">
        <v>596</v>
      </c>
      <c r="AJ1127" s="179">
        <v>455</v>
      </c>
      <c r="AK1127" s="180">
        <v>160719</v>
      </c>
      <c r="AL1127" s="176">
        <v>160508</v>
      </c>
      <c r="AM1127" s="179" t="s">
        <v>2047</v>
      </c>
      <c r="AN1127" s="175" t="s">
        <v>276</v>
      </c>
      <c r="AO1127" s="181">
        <f t="shared" si="344"/>
        <v>3.7083356665982241</v>
      </c>
      <c r="AP1127" s="175" t="s">
        <v>276</v>
      </c>
      <c r="AQ1127" s="175" t="s">
        <v>276</v>
      </c>
      <c r="AR1127" s="175" t="s">
        <v>276</v>
      </c>
      <c r="AS1127" s="181">
        <f t="shared" si="345"/>
        <v>2.83474966979839</v>
      </c>
      <c r="AT1127" s="175" t="s">
        <v>276</v>
      </c>
      <c r="AU1127" s="175" t="s">
        <v>276</v>
      </c>
      <c r="AV1127" s="175" t="s">
        <v>268</v>
      </c>
      <c r="AW1127" s="305" t="s">
        <v>276</v>
      </c>
      <c r="AX1127" s="305">
        <f t="shared" si="346"/>
        <v>1.3081704201634017</v>
      </c>
      <c r="AY1127" s="176" t="s">
        <v>276</v>
      </c>
      <c r="AZ1127" s="176" t="s">
        <v>276</v>
      </c>
      <c r="BA1127" s="176" t="s">
        <v>276</v>
      </c>
      <c r="BB1127" s="176" t="s">
        <v>282</v>
      </c>
      <c r="BC1127" s="176" t="s">
        <v>98</v>
      </c>
      <c r="BD1127" s="176" t="s">
        <v>98</v>
      </c>
      <c r="BE1127" s="176" t="s">
        <v>98</v>
      </c>
      <c r="BF1127" s="176" t="s">
        <v>298</v>
      </c>
      <c r="BG1127" s="176"/>
      <c r="BH1127" s="9" t="s">
        <v>100</v>
      </c>
      <c r="BI1127" s="9" t="s">
        <v>100</v>
      </c>
      <c r="BJ1127" s="182"/>
      <c r="BN1127" s="182"/>
      <c r="BO1127" s="182"/>
    </row>
    <row r="1128" spans="1:67" s="183" customFormat="1" ht="52" hidden="1" x14ac:dyDescent="0.35">
      <c r="A1128" s="175">
        <v>278</v>
      </c>
      <c r="B1128" s="176" t="s">
        <v>6537</v>
      </c>
      <c r="C1128" s="176" t="s">
        <v>47</v>
      </c>
      <c r="D1128" s="176" t="s">
        <v>6563</v>
      </c>
      <c r="E1128" s="175" t="s">
        <v>36</v>
      </c>
      <c r="F1128" s="175" t="s">
        <v>123</v>
      </c>
      <c r="G1128" s="175" t="s">
        <v>225</v>
      </c>
      <c r="H1128" s="175" t="s">
        <v>125</v>
      </c>
      <c r="I1128" s="175" t="s">
        <v>114</v>
      </c>
      <c r="J1128" s="176" t="s">
        <v>6559</v>
      </c>
      <c r="K1128" s="175" t="s">
        <v>1117</v>
      </c>
      <c r="L1128" s="175" t="s">
        <v>276</v>
      </c>
      <c r="M1128" s="175" t="s">
        <v>276</v>
      </c>
      <c r="N1128" s="176" t="s">
        <v>6540</v>
      </c>
      <c r="O1128" s="176" t="s">
        <v>6541</v>
      </c>
      <c r="P1128" s="176" t="s">
        <v>239</v>
      </c>
      <c r="Q1128" s="304">
        <v>40908</v>
      </c>
      <c r="R1128" s="176" t="s">
        <v>276</v>
      </c>
      <c r="S1128" s="176" t="s">
        <v>276</v>
      </c>
      <c r="T1128" s="176" t="s">
        <v>276</v>
      </c>
      <c r="U1128" s="176" t="s">
        <v>276</v>
      </c>
      <c r="V1128" s="175" t="s">
        <v>14</v>
      </c>
      <c r="W1128" s="176" t="s">
        <v>6542</v>
      </c>
      <c r="X1128" s="176" t="s">
        <v>207</v>
      </c>
      <c r="Y1128" s="180">
        <v>160719</v>
      </c>
      <c r="Z1128" s="179">
        <v>160508</v>
      </c>
      <c r="AA1128" s="176" t="s">
        <v>276</v>
      </c>
      <c r="AB1128" s="176" t="s">
        <v>276</v>
      </c>
      <c r="AC1128" s="175">
        <v>8</v>
      </c>
      <c r="AD1128" s="176" t="s">
        <v>6560</v>
      </c>
      <c r="AE1128" s="175">
        <v>7</v>
      </c>
      <c r="AF1128" s="176" t="s">
        <v>6561</v>
      </c>
      <c r="AG1128" s="176" t="s">
        <v>6564</v>
      </c>
      <c r="AH1128" s="176" t="s">
        <v>6547</v>
      </c>
      <c r="AI1128" s="179">
        <v>139</v>
      </c>
      <c r="AJ1128" s="179">
        <v>155</v>
      </c>
      <c r="AK1128" s="180">
        <v>160719</v>
      </c>
      <c r="AL1128" s="176">
        <v>160508</v>
      </c>
      <c r="AM1128" s="179" t="s">
        <v>2047</v>
      </c>
      <c r="AN1128" s="175" t="s">
        <v>276</v>
      </c>
      <c r="AO1128" s="181">
        <f t="shared" si="344"/>
        <v>0.86486351955898177</v>
      </c>
      <c r="AP1128" s="175" t="s">
        <v>276</v>
      </c>
      <c r="AQ1128" s="175" t="s">
        <v>276</v>
      </c>
      <c r="AR1128" s="175" t="s">
        <v>276</v>
      </c>
      <c r="AS1128" s="181">
        <f t="shared" si="345"/>
        <v>0.96568395344780322</v>
      </c>
      <c r="AT1128" s="175" t="s">
        <v>276</v>
      </c>
      <c r="AU1128" s="175" t="s">
        <v>276</v>
      </c>
      <c r="AV1128" s="175" t="s">
        <v>268</v>
      </c>
      <c r="AW1128" s="305" t="s">
        <v>276</v>
      </c>
      <c r="AX1128" s="305">
        <f t="shared" si="346"/>
        <v>0.89559686320885834</v>
      </c>
      <c r="AY1128" s="176" t="s">
        <v>276</v>
      </c>
      <c r="AZ1128" s="176" t="s">
        <v>276</v>
      </c>
      <c r="BA1128" s="176" t="s">
        <v>276</v>
      </c>
      <c r="BB1128" s="176" t="s">
        <v>282</v>
      </c>
      <c r="BC1128" s="176" t="s">
        <v>98</v>
      </c>
      <c r="BD1128" s="176" t="s">
        <v>98</v>
      </c>
      <c r="BE1128" s="176" t="s">
        <v>98</v>
      </c>
      <c r="BF1128" s="176" t="s">
        <v>298</v>
      </c>
      <c r="BG1128" s="176"/>
      <c r="BH1128" s="9" t="s">
        <v>100</v>
      </c>
      <c r="BI1128" s="9" t="s">
        <v>100</v>
      </c>
      <c r="BJ1128" s="182"/>
      <c r="BN1128" s="182"/>
      <c r="BO1128" s="182"/>
    </row>
    <row r="1129" spans="1:67" s="194" customFormat="1" ht="52" hidden="1" x14ac:dyDescent="0.35">
      <c r="A1129" s="184">
        <v>278</v>
      </c>
      <c r="B1129" s="185" t="s">
        <v>6537</v>
      </c>
      <c r="C1129" s="185" t="s">
        <v>47</v>
      </c>
      <c r="D1129" s="185" t="s">
        <v>6565</v>
      </c>
      <c r="E1129" s="184" t="s">
        <v>36</v>
      </c>
      <c r="F1129" s="184" t="s">
        <v>123</v>
      </c>
      <c r="G1129" s="184" t="s">
        <v>225</v>
      </c>
      <c r="H1129" s="184" t="s">
        <v>125</v>
      </c>
      <c r="I1129" s="184" t="s">
        <v>114</v>
      </c>
      <c r="J1129" s="185" t="s">
        <v>33</v>
      </c>
      <c r="K1129" s="184" t="s">
        <v>6539</v>
      </c>
      <c r="L1129" s="184" t="s">
        <v>276</v>
      </c>
      <c r="M1129" s="184" t="s">
        <v>276</v>
      </c>
      <c r="N1129" s="185" t="s">
        <v>6540</v>
      </c>
      <c r="O1129" s="185" t="s">
        <v>6541</v>
      </c>
      <c r="P1129" s="185" t="s">
        <v>239</v>
      </c>
      <c r="Q1129" s="302">
        <v>40908</v>
      </c>
      <c r="R1129" s="185" t="s">
        <v>276</v>
      </c>
      <c r="S1129" s="185" t="s">
        <v>276</v>
      </c>
      <c r="T1129" s="185" t="s">
        <v>276</v>
      </c>
      <c r="U1129" s="185" t="s">
        <v>276</v>
      </c>
      <c r="V1129" s="184" t="s">
        <v>16</v>
      </c>
      <c r="W1129" s="185" t="s">
        <v>170</v>
      </c>
      <c r="X1129" s="185" t="s">
        <v>207</v>
      </c>
      <c r="Y1129" s="189">
        <v>79871</v>
      </c>
      <c r="Z1129" s="188">
        <v>79882</v>
      </c>
      <c r="AA1129" s="185" t="s">
        <v>276</v>
      </c>
      <c r="AB1129" s="185" t="s">
        <v>276</v>
      </c>
      <c r="AC1129" s="185" t="s">
        <v>6566</v>
      </c>
      <c r="AD1129" s="185" t="s">
        <v>6567</v>
      </c>
      <c r="AE1129" s="184">
        <v>26</v>
      </c>
      <c r="AF1129" s="185" t="s">
        <v>6568</v>
      </c>
      <c r="AG1129" s="185" t="s">
        <v>6569</v>
      </c>
      <c r="AH1129" s="185" t="s">
        <v>3562</v>
      </c>
      <c r="AI1129" s="188">
        <v>162</v>
      </c>
      <c r="AJ1129" s="188">
        <v>82</v>
      </c>
      <c r="AK1129" s="189">
        <v>79871</v>
      </c>
      <c r="AL1129" s="188">
        <v>79882</v>
      </c>
      <c r="AM1129" s="188" t="s">
        <v>2047</v>
      </c>
      <c r="AN1129" s="184" t="s">
        <v>276</v>
      </c>
      <c r="AO1129" s="192">
        <f t="shared" si="344"/>
        <v>2.0282705863204415</v>
      </c>
      <c r="AP1129" s="184" t="s">
        <v>276</v>
      </c>
      <c r="AQ1129" s="184" t="s">
        <v>276</v>
      </c>
      <c r="AR1129" s="184" t="s">
        <v>276</v>
      </c>
      <c r="AS1129" s="192">
        <f t="shared" si="345"/>
        <v>1.0265141083097569</v>
      </c>
      <c r="AT1129" s="184" t="s">
        <v>276</v>
      </c>
      <c r="AU1129" s="184" t="s">
        <v>276</v>
      </c>
      <c r="AV1129" s="184" t="s">
        <v>268</v>
      </c>
      <c r="AW1129" s="303" t="s">
        <v>276</v>
      </c>
      <c r="AX1129" s="303">
        <f t="shared" si="346"/>
        <v>1.9758818411762136</v>
      </c>
      <c r="AY1129" s="185" t="s">
        <v>276</v>
      </c>
      <c r="AZ1129" s="185" t="s">
        <v>276</v>
      </c>
      <c r="BA1129" s="185" t="s">
        <v>276</v>
      </c>
      <c r="BB1129" s="185" t="s">
        <v>282</v>
      </c>
      <c r="BC1129" s="185" t="s">
        <v>98</v>
      </c>
      <c r="BD1129" s="185" t="s">
        <v>98</v>
      </c>
      <c r="BE1129" s="185" t="s">
        <v>98</v>
      </c>
      <c r="BF1129" s="185" t="s">
        <v>298</v>
      </c>
      <c r="BG1129" s="185"/>
      <c r="BH1129" s="9" t="s">
        <v>100</v>
      </c>
      <c r="BI1129" s="9" t="s">
        <v>100</v>
      </c>
      <c r="BJ1129" s="193"/>
      <c r="BN1129" s="193"/>
      <c r="BO1129" s="193"/>
    </row>
    <row r="1130" spans="1:67" s="194" customFormat="1" ht="52" hidden="1" x14ac:dyDescent="0.35">
      <c r="A1130" s="184">
        <v>278</v>
      </c>
      <c r="B1130" s="185" t="s">
        <v>6537</v>
      </c>
      <c r="C1130" s="185" t="s">
        <v>47</v>
      </c>
      <c r="D1130" s="185" t="s">
        <v>6570</v>
      </c>
      <c r="E1130" s="184" t="s">
        <v>36</v>
      </c>
      <c r="F1130" s="184" t="s">
        <v>123</v>
      </c>
      <c r="G1130" s="184" t="s">
        <v>225</v>
      </c>
      <c r="H1130" s="184" t="s">
        <v>125</v>
      </c>
      <c r="I1130" s="184" t="s">
        <v>114</v>
      </c>
      <c r="J1130" s="185" t="s">
        <v>33</v>
      </c>
      <c r="K1130" s="184" t="s">
        <v>6549</v>
      </c>
      <c r="L1130" s="184" t="s">
        <v>276</v>
      </c>
      <c r="M1130" s="184" t="s">
        <v>276</v>
      </c>
      <c r="N1130" s="185" t="s">
        <v>6540</v>
      </c>
      <c r="O1130" s="185" t="s">
        <v>6541</v>
      </c>
      <c r="P1130" s="185" t="s">
        <v>239</v>
      </c>
      <c r="Q1130" s="302">
        <v>40908</v>
      </c>
      <c r="R1130" s="185" t="s">
        <v>276</v>
      </c>
      <c r="S1130" s="185" t="s">
        <v>276</v>
      </c>
      <c r="T1130" s="185" t="s">
        <v>276</v>
      </c>
      <c r="U1130" s="185" t="s">
        <v>276</v>
      </c>
      <c r="V1130" s="184" t="s">
        <v>16</v>
      </c>
      <c r="W1130" s="185" t="s">
        <v>170</v>
      </c>
      <c r="X1130" s="185" t="s">
        <v>207</v>
      </c>
      <c r="Y1130" s="189">
        <v>79871</v>
      </c>
      <c r="Z1130" s="188">
        <v>79882</v>
      </c>
      <c r="AA1130" s="185" t="s">
        <v>276</v>
      </c>
      <c r="AB1130" s="185" t="s">
        <v>276</v>
      </c>
      <c r="AC1130" s="185" t="s">
        <v>6566</v>
      </c>
      <c r="AD1130" s="185" t="s">
        <v>6567</v>
      </c>
      <c r="AE1130" s="184">
        <v>26</v>
      </c>
      <c r="AF1130" s="185" t="s">
        <v>6568</v>
      </c>
      <c r="AG1130" s="185" t="s">
        <v>6571</v>
      </c>
      <c r="AH1130" s="185" t="s">
        <v>3562</v>
      </c>
      <c r="AI1130" s="188">
        <v>248</v>
      </c>
      <c r="AJ1130" s="188">
        <v>254</v>
      </c>
      <c r="AK1130" s="189">
        <v>79871</v>
      </c>
      <c r="AL1130" s="188">
        <v>79882</v>
      </c>
      <c r="AM1130" s="188" t="s">
        <v>2047</v>
      </c>
      <c r="AN1130" s="184" t="s">
        <v>276</v>
      </c>
      <c r="AO1130" s="192">
        <f t="shared" si="344"/>
        <v>3.1050068235028982</v>
      </c>
      <c r="AP1130" s="184" t="s">
        <v>276</v>
      </c>
      <c r="AQ1130" s="184" t="s">
        <v>276</v>
      </c>
      <c r="AR1130" s="184" t="s">
        <v>276</v>
      </c>
      <c r="AS1130" s="192">
        <f t="shared" si="345"/>
        <v>3.1796900428131494</v>
      </c>
      <c r="AT1130" s="184" t="s">
        <v>276</v>
      </c>
      <c r="AU1130" s="184" t="s">
        <v>276</v>
      </c>
      <c r="AV1130" s="184" t="s">
        <v>268</v>
      </c>
      <c r="AW1130" s="303" t="s">
        <v>276</v>
      </c>
      <c r="AX1130" s="303">
        <f t="shared" si="346"/>
        <v>0.97651242155534845</v>
      </c>
      <c r="AY1130" s="185" t="s">
        <v>276</v>
      </c>
      <c r="AZ1130" s="185" t="s">
        <v>276</v>
      </c>
      <c r="BA1130" s="185" t="s">
        <v>276</v>
      </c>
      <c r="BB1130" s="185" t="s">
        <v>282</v>
      </c>
      <c r="BC1130" s="185" t="s">
        <v>98</v>
      </c>
      <c r="BD1130" s="185" t="s">
        <v>98</v>
      </c>
      <c r="BE1130" s="185" t="s">
        <v>98</v>
      </c>
      <c r="BF1130" s="185" t="s">
        <v>298</v>
      </c>
      <c r="BG1130" s="185"/>
      <c r="BH1130" s="9" t="s">
        <v>100</v>
      </c>
      <c r="BI1130" s="9" t="s">
        <v>100</v>
      </c>
      <c r="BJ1130" s="193"/>
      <c r="BN1130" s="193"/>
      <c r="BO1130" s="193"/>
    </row>
    <row r="1131" spans="1:67" s="183" customFormat="1" ht="39" hidden="1" x14ac:dyDescent="0.35">
      <c r="A1131" s="175">
        <v>278</v>
      </c>
      <c r="B1131" s="176" t="s">
        <v>6537</v>
      </c>
      <c r="C1131" s="176" t="s">
        <v>47</v>
      </c>
      <c r="D1131" s="176" t="s">
        <v>6572</v>
      </c>
      <c r="E1131" s="175" t="s">
        <v>36</v>
      </c>
      <c r="F1131" s="175" t="s">
        <v>123</v>
      </c>
      <c r="G1131" s="175" t="s">
        <v>225</v>
      </c>
      <c r="H1131" s="175" t="s">
        <v>125</v>
      </c>
      <c r="I1131" s="175" t="s">
        <v>114</v>
      </c>
      <c r="J1131" s="176" t="s">
        <v>117</v>
      </c>
      <c r="K1131" s="175" t="s">
        <v>2746</v>
      </c>
      <c r="L1131" s="175" t="s">
        <v>276</v>
      </c>
      <c r="M1131" s="175" t="s">
        <v>276</v>
      </c>
      <c r="N1131" s="176" t="s">
        <v>6540</v>
      </c>
      <c r="O1131" s="176" t="s">
        <v>6541</v>
      </c>
      <c r="P1131" s="176" t="s">
        <v>239</v>
      </c>
      <c r="Q1131" s="304">
        <v>40908</v>
      </c>
      <c r="R1131" s="176" t="s">
        <v>276</v>
      </c>
      <c r="S1131" s="176" t="s">
        <v>276</v>
      </c>
      <c r="T1131" s="176" t="s">
        <v>276</v>
      </c>
      <c r="U1131" s="176" t="s">
        <v>276</v>
      </c>
      <c r="V1131" s="175" t="s">
        <v>16</v>
      </c>
      <c r="W1131" s="176" t="s">
        <v>170</v>
      </c>
      <c r="X1131" s="176" t="s">
        <v>207</v>
      </c>
      <c r="Y1131" s="180">
        <v>79871</v>
      </c>
      <c r="Z1131" s="179">
        <v>79882</v>
      </c>
      <c r="AA1131" s="176" t="s">
        <v>276</v>
      </c>
      <c r="AB1131" s="176" t="s">
        <v>276</v>
      </c>
      <c r="AC1131" s="175">
        <v>43</v>
      </c>
      <c r="AD1131" s="176" t="s">
        <v>6573</v>
      </c>
      <c r="AE1131" s="175">
        <v>31</v>
      </c>
      <c r="AF1131" s="176" t="s">
        <v>6574</v>
      </c>
      <c r="AG1131" s="176" t="s">
        <v>6575</v>
      </c>
      <c r="AH1131" s="176" t="s">
        <v>3562</v>
      </c>
      <c r="AI1131" s="179">
        <v>242</v>
      </c>
      <c r="AJ1131" s="179">
        <v>176</v>
      </c>
      <c r="AK1131" s="180">
        <v>79871</v>
      </c>
      <c r="AL1131" s="179">
        <v>79882</v>
      </c>
      <c r="AM1131" s="179" t="s">
        <v>2047</v>
      </c>
      <c r="AN1131" s="175" t="s">
        <v>276</v>
      </c>
      <c r="AO1131" s="181">
        <f t="shared" si="344"/>
        <v>3.0298856906762155</v>
      </c>
      <c r="AP1131" s="175" t="s">
        <v>276</v>
      </c>
      <c r="AQ1131" s="175" t="s">
        <v>276</v>
      </c>
      <c r="AR1131" s="175" t="s">
        <v>276</v>
      </c>
      <c r="AS1131" s="181">
        <f t="shared" si="345"/>
        <v>2.2032497934453317</v>
      </c>
      <c r="AT1131" s="175" t="s">
        <v>276</v>
      </c>
      <c r="AU1131" s="175" t="s">
        <v>276</v>
      </c>
      <c r="AV1131" s="175" t="s">
        <v>268</v>
      </c>
      <c r="AW1131" s="305" t="s">
        <v>276</v>
      </c>
      <c r="AX1131" s="305">
        <f t="shared" si="346"/>
        <v>1.3751893678556675</v>
      </c>
      <c r="AY1131" s="176" t="s">
        <v>276</v>
      </c>
      <c r="AZ1131" s="176" t="s">
        <v>276</v>
      </c>
      <c r="BA1131" s="176" t="s">
        <v>276</v>
      </c>
      <c r="BB1131" s="176" t="s">
        <v>282</v>
      </c>
      <c r="BC1131" s="176" t="s">
        <v>98</v>
      </c>
      <c r="BD1131" s="176" t="s">
        <v>98</v>
      </c>
      <c r="BE1131" s="176" t="s">
        <v>98</v>
      </c>
      <c r="BF1131" s="176" t="s">
        <v>298</v>
      </c>
      <c r="BG1131" s="176"/>
      <c r="BH1131" s="9" t="s">
        <v>100</v>
      </c>
      <c r="BI1131" s="9" t="s">
        <v>100</v>
      </c>
      <c r="BJ1131" s="182"/>
      <c r="BN1131" s="182"/>
      <c r="BO1131" s="182"/>
    </row>
    <row r="1132" spans="1:67" s="183" customFormat="1" ht="52" hidden="1" x14ac:dyDescent="0.35">
      <c r="A1132" s="175">
        <v>278</v>
      </c>
      <c r="B1132" s="176" t="s">
        <v>6537</v>
      </c>
      <c r="C1132" s="176" t="s">
        <v>47</v>
      </c>
      <c r="D1132" s="176" t="s">
        <v>6576</v>
      </c>
      <c r="E1132" s="175" t="s">
        <v>36</v>
      </c>
      <c r="F1132" s="175" t="s">
        <v>123</v>
      </c>
      <c r="G1132" s="175" t="s">
        <v>225</v>
      </c>
      <c r="H1132" s="175" t="s">
        <v>125</v>
      </c>
      <c r="I1132" s="175" t="s">
        <v>114</v>
      </c>
      <c r="J1132" s="176" t="s">
        <v>117</v>
      </c>
      <c r="K1132" s="175" t="s">
        <v>6556</v>
      </c>
      <c r="L1132" s="175" t="s">
        <v>276</v>
      </c>
      <c r="M1132" s="175" t="s">
        <v>276</v>
      </c>
      <c r="N1132" s="176" t="s">
        <v>6540</v>
      </c>
      <c r="O1132" s="176" t="s">
        <v>6541</v>
      </c>
      <c r="P1132" s="176" t="s">
        <v>239</v>
      </c>
      <c r="Q1132" s="304">
        <v>40908</v>
      </c>
      <c r="R1132" s="176" t="s">
        <v>276</v>
      </c>
      <c r="S1132" s="176" t="s">
        <v>276</v>
      </c>
      <c r="T1132" s="176" t="s">
        <v>276</v>
      </c>
      <c r="U1132" s="176" t="s">
        <v>276</v>
      </c>
      <c r="V1132" s="175" t="s">
        <v>16</v>
      </c>
      <c r="W1132" s="176" t="s">
        <v>170</v>
      </c>
      <c r="X1132" s="176" t="s">
        <v>207</v>
      </c>
      <c r="Y1132" s="180">
        <v>79871</v>
      </c>
      <c r="Z1132" s="179">
        <v>79882</v>
      </c>
      <c r="AA1132" s="176" t="s">
        <v>276</v>
      </c>
      <c r="AB1132" s="176" t="s">
        <v>276</v>
      </c>
      <c r="AC1132" s="175">
        <v>43</v>
      </c>
      <c r="AD1132" s="176" t="s">
        <v>6573</v>
      </c>
      <c r="AE1132" s="175">
        <v>31</v>
      </c>
      <c r="AF1132" s="176" t="s">
        <v>6574</v>
      </c>
      <c r="AG1132" s="176" t="s">
        <v>6577</v>
      </c>
      <c r="AH1132" s="176" t="s">
        <v>3562</v>
      </c>
      <c r="AI1132" s="179">
        <v>157</v>
      </c>
      <c r="AJ1132" s="179">
        <v>155</v>
      </c>
      <c r="AK1132" s="180">
        <v>79871</v>
      </c>
      <c r="AL1132" s="179">
        <v>79882</v>
      </c>
      <c r="AM1132" s="179" t="s">
        <v>2047</v>
      </c>
      <c r="AN1132" s="175" t="s">
        <v>276</v>
      </c>
      <c r="AO1132" s="181">
        <f t="shared" si="344"/>
        <v>1.9656696422982058</v>
      </c>
      <c r="AP1132" s="175" t="s">
        <v>276</v>
      </c>
      <c r="AQ1132" s="175" t="s">
        <v>276</v>
      </c>
      <c r="AR1132" s="175" t="s">
        <v>276</v>
      </c>
      <c r="AS1132" s="181">
        <f t="shared" si="345"/>
        <v>1.9403620340001502</v>
      </c>
      <c r="AT1132" s="175" t="s">
        <v>276</v>
      </c>
      <c r="AU1132" s="175" t="s">
        <v>276</v>
      </c>
      <c r="AV1132" s="175" t="s">
        <v>268</v>
      </c>
      <c r="AW1132" s="305" t="s">
        <v>276</v>
      </c>
      <c r="AX1132" s="305">
        <f t="shared" si="346"/>
        <v>1.0130427249423566</v>
      </c>
      <c r="AY1132" s="176" t="s">
        <v>276</v>
      </c>
      <c r="AZ1132" s="176" t="s">
        <v>276</v>
      </c>
      <c r="BA1132" s="176" t="s">
        <v>276</v>
      </c>
      <c r="BB1132" s="176" t="s">
        <v>282</v>
      </c>
      <c r="BC1132" s="176" t="s">
        <v>98</v>
      </c>
      <c r="BD1132" s="176" t="s">
        <v>98</v>
      </c>
      <c r="BE1132" s="176" t="s">
        <v>98</v>
      </c>
      <c r="BF1132" s="176" t="s">
        <v>298</v>
      </c>
      <c r="BG1132" s="176"/>
      <c r="BH1132" s="9" t="s">
        <v>100</v>
      </c>
      <c r="BI1132" s="9" t="s">
        <v>100</v>
      </c>
      <c r="BJ1132" s="182"/>
      <c r="BN1132" s="182"/>
      <c r="BO1132" s="182"/>
    </row>
    <row r="1133" spans="1:67" s="194" customFormat="1" ht="39" hidden="1" x14ac:dyDescent="0.35">
      <c r="A1133" s="184">
        <v>278</v>
      </c>
      <c r="B1133" s="185" t="s">
        <v>6537</v>
      </c>
      <c r="C1133" s="185" t="s">
        <v>47</v>
      </c>
      <c r="D1133" s="185" t="s">
        <v>6578</v>
      </c>
      <c r="E1133" s="184" t="s">
        <v>36</v>
      </c>
      <c r="F1133" s="184" t="s">
        <v>123</v>
      </c>
      <c r="G1133" s="184" t="s">
        <v>225</v>
      </c>
      <c r="H1133" s="184" t="s">
        <v>125</v>
      </c>
      <c r="I1133" s="184" t="s">
        <v>114</v>
      </c>
      <c r="J1133" s="185" t="s">
        <v>6559</v>
      </c>
      <c r="K1133" s="184" t="s">
        <v>2764</v>
      </c>
      <c r="L1133" s="184" t="s">
        <v>276</v>
      </c>
      <c r="M1133" s="184" t="s">
        <v>276</v>
      </c>
      <c r="N1133" s="185" t="s">
        <v>6540</v>
      </c>
      <c r="O1133" s="185" t="s">
        <v>6541</v>
      </c>
      <c r="P1133" s="185" t="s">
        <v>239</v>
      </c>
      <c r="Q1133" s="302">
        <v>40908</v>
      </c>
      <c r="R1133" s="185" t="s">
        <v>276</v>
      </c>
      <c r="S1133" s="185" t="s">
        <v>276</v>
      </c>
      <c r="T1133" s="185" t="s">
        <v>276</v>
      </c>
      <c r="U1133" s="185" t="s">
        <v>276</v>
      </c>
      <c r="V1133" s="184" t="s">
        <v>16</v>
      </c>
      <c r="W1133" s="185" t="s">
        <v>170</v>
      </c>
      <c r="X1133" s="185" t="s">
        <v>207</v>
      </c>
      <c r="Y1133" s="189">
        <v>79871</v>
      </c>
      <c r="Z1133" s="188">
        <v>79882</v>
      </c>
      <c r="AA1133" s="185" t="s">
        <v>276</v>
      </c>
      <c r="AB1133" s="185" t="s">
        <v>276</v>
      </c>
      <c r="AC1133" s="184">
        <v>8</v>
      </c>
      <c r="AD1133" s="185" t="s">
        <v>6560</v>
      </c>
      <c r="AE1133" s="184">
        <v>2</v>
      </c>
      <c r="AF1133" s="185" t="s">
        <v>6579</v>
      </c>
      <c r="AG1133" s="185" t="s">
        <v>6580</v>
      </c>
      <c r="AH1133" s="185" t="s">
        <v>3562</v>
      </c>
      <c r="AI1133" s="188">
        <v>359</v>
      </c>
      <c r="AJ1133" s="188">
        <v>272</v>
      </c>
      <c r="AK1133" s="189">
        <v>79871</v>
      </c>
      <c r="AL1133" s="188">
        <v>79882</v>
      </c>
      <c r="AM1133" s="188" t="s">
        <v>2047</v>
      </c>
      <c r="AN1133" s="184" t="s">
        <v>276</v>
      </c>
      <c r="AO1133" s="192">
        <f t="shared" si="344"/>
        <v>4.4947477807965344</v>
      </c>
      <c r="AP1133" s="184" t="s">
        <v>276</v>
      </c>
      <c r="AQ1133" s="184" t="s">
        <v>276</v>
      </c>
      <c r="AR1133" s="184" t="s">
        <v>276</v>
      </c>
      <c r="AS1133" s="192">
        <f t="shared" si="345"/>
        <v>3.4050224080518765</v>
      </c>
      <c r="AT1133" s="184" t="s">
        <v>276</v>
      </c>
      <c r="AU1133" s="184" t="s">
        <v>276</v>
      </c>
      <c r="AV1133" s="184" t="s">
        <v>268</v>
      </c>
      <c r="AW1133" s="303" t="s">
        <v>276</v>
      </c>
      <c r="AX1133" s="303">
        <f t="shared" si="346"/>
        <v>1.3200347140646647</v>
      </c>
      <c r="AY1133" s="185" t="s">
        <v>276</v>
      </c>
      <c r="AZ1133" s="185" t="s">
        <v>276</v>
      </c>
      <c r="BA1133" s="185" t="s">
        <v>276</v>
      </c>
      <c r="BB1133" s="185" t="s">
        <v>282</v>
      </c>
      <c r="BC1133" s="185" t="s">
        <v>98</v>
      </c>
      <c r="BD1133" s="185" t="s">
        <v>98</v>
      </c>
      <c r="BE1133" s="185" t="s">
        <v>98</v>
      </c>
      <c r="BF1133" s="185" t="s">
        <v>298</v>
      </c>
      <c r="BG1133" s="185"/>
      <c r="BH1133" s="9" t="s">
        <v>100</v>
      </c>
      <c r="BI1133" s="9" t="s">
        <v>100</v>
      </c>
      <c r="BJ1133" s="193"/>
      <c r="BN1133" s="193"/>
      <c r="BO1133" s="193"/>
    </row>
    <row r="1134" spans="1:67" s="194" customFormat="1" ht="39" hidden="1" x14ac:dyDescent="0.35">
      <c r="A1134" s="184">
        <v>278</v>
      </c>
      <c r="B1134" s="185" t="s">
        <v>6537</v>
      </c>
      <c r="C1134" s="185" t="s">
        <v>47</v>
      </c>
      <c r="D1134" s="185" t="s">
        <v>6581</v>
      </c>
      <c r="E1134" s="184" t="s">
        <v>36</v>
      </c>
      <c r="F1134" s="184" t="s">
        <v>123</v>
      </c>
      <c r="G1134" s="184" t="s">
        <v>225</v>
      </c>
      <c r="H1134" s="184" t="s">
        <v>125</v>
      </c>
      <c r="I1134" s="184" t="s">
        <v>114</v>
      </c>
      <c r="J1134" s="185" t="s">
        <v>6559</v>
      </c>
      <c r="K1134" s="184" t="s">
        <v>1117</v>
      </c>
      <c r="L1134" s="184" t="s">
        <v>276</v>
      </c>
      <c r="M1134" s="184" t="s">
        <v>276</v>
      </c>
      <c r="N1134" s="185" t="s">
        <v>6540</v>
      </c>
      <c r="O1134" s="185" t="s">
        <v>6541</v>
      </c>
      <c r="P1134" s="185" t="s">
        <v>239</v>
      </c>
      <c r="Q1134" s="302">
        <v>40908</v>
      </c>
      <c r="R1134" s="185" t="s">
        <v>276</v>
      </c>
      <c r="S1134" s="185" t="s">
        <v>276</v>
      </c>
      <c r="T1134" s="185" t="s">
        <v>276</v>
      </c>
      <c r="U1134" s="185" t="s">
        <v>276</v>
      </c>
      <c r="V1134" s="184" t="s">
        <v>16</v>
      </c>
      <c r="W1134" s="185" t="s">
        <v>170</v>
      </c>
      <c r="X1134" s="185" t="s">
        <v>207</v>
      </c>
      <c r="Y1134" s="189">
        <v>79871</v>
      </c>
      <c r="Z1134" s="188">
        <v>79882</v>
      </c>
      <c r="AA1134" s="185" t="s">
        <v>276</v>
      </c>
      <c r="AB1134" s="185" t="s">
        <v>276</v>
      </c>
      <c r="AC1134" s="184">
        <v>8</v>
      </c>
      <c r="AD1134" s="185" t="s">
        <v>6560</v>
      </c>
      <c r="AE1134" s="184">
        <v>2</v>
      </c>
      <c r="AF1134" s="185" t="s">
        <v>6579</v>
      </c>
      <c r="AG1134" s="185" t="s">
        <v>6582</v>
      </c>
      <c r="AH1134" s="185" t="s">
        <v>3562</v>
      </c>
      <c r="AI1134" s="188">
        <v>75</v>
      </c>
      <c r="AJ1134" s="188">
        <v>88</v>
      </c>
      <c r="AK1134" s="189">
        <v>79871</v>
      </c>
      <c r="AL1134" s="188">
        <v>79882</v>
      </c>
      <c r="AM1134" s="188" t="s">
        <v>2047</v>
      </c>
      <c r="AN1134" s="184" t="s">
        <v>276</v>
      </c>
      <c r="AO1134" s="192">
        <f t="shared" si="344"/>
        <v>0.9390141603335378</v>
      </c>
      <c r="AP1134" s="184" t="s">
        <v>276</v>
      </c>
      <c r="AQ1134" s="184" t="s">
        <v>276</v>
      </c>
      <c r="AR1134" s="184" t="s">
        <v>276</v>
      </c>
      <c r="AS1134" s="192">
        <f t="shared" si="345"/>
        <v>1.1016248967226658</v>
      </c>
      <c r="AT1134" s="184" t="s">
        <v>276</v>
      </c>
      <c r="AU1134" s="184" t="s">
        <v>276</v>
      </c>
      <c r="AV1134" s="184" t="s">
        <v>268</v>
      </c>
      <c r="AW1134" s="303" t="s">
        <v>276</v>
      </c>
      <c r="AX1134" s="303">
        <f t="shared" si="346"/>
        <v>0.85239010404276905</v>
      </c>
      <c r="AY1134" s="185" t="s">
        <v>276</v>
      </c>
      <c r="AZ1134" s="185" t="s">
        <v>276</v>
      </c>
      <c r="BA1134" s="185" t="s">
        <v>276</v>
      </c>
      <c r="BB1134" s="185" t="s">
        <v>282</v>
      </c>
      <c r="BC1134" s="185" t="s">
        <v>98</v>
      </c>
      <c r="BD1134" s="185" t="s">
        <v>98</v>
      </c>
      <c r="BE1134" s="185" t="s">
        <v>98</v>
      </c>
      <c r="BF1134" s="185" t="s">
        <v>298</v>
      </c>
      <c r="BG1134" s="185"/>
      <c r="BH1134" s="9" t="s">
        <v>100</v>
      </c>
      <c r="BI1134" s="9" t="s">
        <v>100</v>
      </c>
      <c r="BJ1134" s="193"/>
      <c r="BN1134" s="193"/>
      <c r="BO1134" s="193"/>
    </row>
    <row r="1135" spans="1:67" s="183" customFormat="1" ht="52" hidden="1" x14ac:dyDescent="0.35">
      <c r="A1135" s="175">
        <v>278</v>
      </c>
      <c r="B1135" s="176" t="s">
        <v>6537</v>
      </c>
      <c r="C1135" s="176" t="s">
        <v>47</v>
      </c>
      <c r="D1135" s="176" t="s">
        <v>6583</v>
      </c>
      <c r="E1135" s="175" t="s">
        <v>36</v>
      </c>
      <c r="F1135" s="175" t="s">
        <v>123</v>
      </c>
      <c r="G1135" s="175" t="s">
        <v>225</v>
      </c>
      <c r="H1135" s="175" t="s">
        <v>125</v>
      </c>
      <c r="I1135" s="175" t="s">
        <v>114</v>
      </c>
      <c r="J1135" s="176" t="s">
        <v>33</v>
      </c>
      <c r="K1135" s="175" t="s">
        <v>6539</v>
      </c>
      <c r="L1135" s="175" t="s">
        <v>276</v>
      </c>
      <c r="M1135" s="175" t="s">
        <v>276</v>
      </c>
      <c r="N1135" s="176" t="s">
        <v>6540</v>
      </c>
      <c r="O1135" s="176" t="s">
        <v>6541</v>
      </c>
      <c r="P1135" s="176" t="s">
        <v>239</v>
      </c>
      <c r="Q1135" s="304">
        <v>40908</v>
      </c>
      <c r="R1135" s="176" t="s">
        <v>276</v>
      </c>
      <c r="S1135" s="176" t="s">
        <v>276</v>
      </c>
      <c r="T1135" s="176" t="s">
        <v>276</v>
      </c>
      <c r="U1135" s="176" t="s">
        <v>276</v>
      </c>
      <c r="V1135" s="175" t="s">
        <v>16</v>
      </c>
      <c r="W1135" s="176" t="s">
        <v>171</v>
      </c>
      <c r="X1135" s="176" t="s">
        <v>207</v>
      </c>
      <c r="Y1135" s="180">
        <v>80891</v>
      </c>
      <c r="Z1135" s="179">
        <v>80667</v>
      </c>
      <c r="AA1135" s="176" t="s">
        <v>276</v>
      </c>
      <c r="AB1135" s="176" t="s">
        <v>276</v>
      </c>
      <c r="AC1135" s="176" t="s">
        <v>6584</v>
      </c>
      <c r="AD1135" s="176" t="s">
        <v>6585</v>
      </c>
      <c r="AE1135" s="175">
        <v>31</v>
      </c>
      <c r="AF1135" s="176" t="s">
        <v>6586</v>
      </c>
      <c r="AG1135" s="176" t="s">
        <v>6587</v>
      </c>
      <c r="AH1135" s="176" t="s">
        <v>3568</v>
      </c>
      <c r="AI1135" s="179">
        <v>91</v>
      </c>
      <c r="AJ1135" s="179">
        <v>46</v>
      </c>
      <c r="AK1135" s="180">
        <v>80891</v>
      </c>
      <c r="AL1135" s="179">
        <v>80667</v>
      </c>
      <c r="AM1135" s="179" t="s">
        <v>2047</v>
      </c>
      <c r="AN1135" s="175" t="s">
        <v>276</v>
      </c>
      <c r="AO1135" s="181">
        <f t="shared" si="344"/>
        <v>1.1249706395025405</v>
      </c>
      <c r="AP1135" s="175" t="s">
        <v>276</v>
      </c>
      <c r="AQ1135" s="175" t="s">
        <v>276</v>
      </c>
      <c r="AR1135" s="175" t="s">
        <v>276</v>
      </c>
      <c r="AS1135" s="181">
        <f t="shared" si="345"/>
        <v>0.57024557749761362</v>
      </c>
      <c r="AT1135" s="175" t="s">
        <v>276</v>
      </c>
      <c r="AU1135" s="175" t="s">
        <v>276</v>
      </c>
      <c r="AV1135" s="175" t="s">
        <v>268</v>
      </c>
      <c r="AW1135" s="305" t="s">
        <v>276</v>
      </c>
      <c r="AX1135" s="305">
        <f t="shared" si="346"/>
        <v>1.9727827516685095</v>
      </c>
      <c r="AY1135" s="176" t="s">
        <v>276</v>
      </c>
      <c r="AZ1135" s="176" t="s">
        <v>276</v>
      </c>
      <c r="BA1135" s="176" t="s">
        <v>276</v>
      </c>
      <c r="BB1135" s="176" t="s">
        <v>282</v>
      </c>
      <c r="BC1135" s="176" t="s">
        <v>98</v>
      </c>
      <c r="BD1135" s="176" t="s">
        <v>98</v>
      </c>
      <c r="BE1135" s="176" t="s">
        <v>98</v>
      </c>
      <c r="BF1135" s="176" t="s">
        <v>298</v>
      </c>
      <c r="BG1135" s="176"/>
      <c r="BH1135" s="9" t="s">
        <v>100</v>
      </c>
      <c r="BI1135" s="9" t="s">
        <v>100</v>
      </c>
      <c r="BJ1135" s="182"/>
      <c r="BN1135" s="182"/>
      <c r="BO1135" s="182"/>
    </row>
    <row r="1136" spans="1:67" s="183" customFormat="1" ht="52" hidden="1" x14ac:dyDescent="0.35">
      <c r="A1136" s="175">
        <v>278</v>
      </c>
      <c r="B1136" s="176" t="s">
        <v>6537</v>
      </c>
      <c r="C1136" s="176" t="s">
        <v>47</v>
      </c>
      <c r="D1136" s="176" t="s">
        <v>6588</v>
      </c>
      <c r="E1136" s="175" t="s">
        <v>36</v>
      </c>
      <c r="F1136" s="175" t="s">
        <v>123</v>
      </c>
      <c r="G1136" s="175" t="s">
        <v>225</v>
      </c>
      <c r="H1136" s="175" t="s">
        <v>125</v>
      </c>
      <c r="I1136" s="175" t="s">
        <v>114</v>
      </c>
      <c r="J1136" s="176" t="s">
        <v>33</v>
      </c>
      <c r="K1136" s="175" t="s">
        <v>6549</v>
      </c>
      <c r="L1136" s="175" t="s">
        <v>276</v>
      </c>
      <c r="M1136" s="175" t="s">
        <v>276</v>
      </c>
      <c r="N1136" s="176" t="s">
        <v>6540</v>
      </c>
      <c r="O1136" s="176" t="s">
        <v>6541</v>
      </c>
      <c r="P1136" s="176" t="s">
        <v>239</v>
      </c>
      <c r="Q1136" s="304">
        <v>40908</v>
      </c>
      <c r="R1136" s="176" t="s">
        <v>276</v>
      </c>
      <c r="S1136" s="176" t="s">
        <v>276</v>
      </c>
      <c r="T1136" s="176" t="s">
        <v>276</v>
      </c>
      <c r="U1136" s="176" t="s">
        <v>276</v>
      </c>
      <c r="V1136" s="175" t="s">
        <v>16</v>
      </c>
      <c r="W1136" s="176" t="s">
        <v>171</v>
      </c>
      <c r="X1136" s="176" t="s">
        <v>207</v>
      </c>
      <c r="Y1136" s="180">
        <v>80891</v>
      </c>
      <c r="Z1136" s="179">
        <v>80667</v>
      </c>
      <c r="AA1136" s="176" t="s">
        <v>276</v>
      </c>
      <c r="AB1136" s="176" t="s">
        <v>276</v>
      </c>
      <c r="AC1136" s="176" t="s">
        <v>6584</v>
      </c>
      <c r="AD1136" s="176" t="s">
        <v>6585</v>
      </c>
      <c r="AE1136" s="175">
        <v>31</v>
      </c>
      <c r="AF1136" s="176" t="s">
        <v>6586</v>
      </c>
      <c r="AG1136" s="176" t="s">
        <v>6589</v>
      </c>
      <c r="AH1136" s="176" t="s">
        <v>3568</v>
      </c>
      <c r="AI1136" s="179">
        <v>175</v>
      </c>
      <c r="AJ1136" s="179">
        <v>178</v>
      </c>
      <c r="AK1136" s="180">
        <v>80891</v>
      </c>
      <c r="AL1136" s="179">
        <v>80667</v>
      </c>
      <c r="AM1136" s="179" t="s">
        <v>2047</v>
      </c>
      <c r="AN1136" s="175" t="s">
        <v>276</v>
      </c>
      <c r="AO1136" s="181">
        <f t="shared" si="344"/>
        <v>2.1634050759664238</v>
      </c>
      <c r="AP1136" s="175" t="s">
        <v>276</v>
      </c>
      <c r="AQ1136" s="175" t="s">
        <v>276</v>
      </c>
      <c r="AR1136" s="175" t="s">
        <v>276</v>
      </c>
      <c r="AS1136" s="181">
        <f t="shared" si="345"/>
        <v>2.206602452055983</v>
      </c>
      <c r="AT1136" s="175" t="s">
        <v>276</v>
      </c>
      <c r="AU1136" s="175" t="s">
        <v>276</v>
      </c>
      <c r="AV1136" s="175" t="s">
        <v>268</v>
      </c>
      <c r="AW1136" s="305" t="s">
        <v>276</v>
      </c>
      <c r="AX1136" s="305">
        <f t="shared" si="346"/>
        <v>0.9804235801291209</v>
      </c>
      <c r="AY1136" s="176" t="s">
        <v>276</v>
      </c>
      <c r="AZ1136" s="176" t="s">
        <v>276</v>
      </c>
      <c r="BA1136" s="176" t="s">
        <v>276</v>
      </c>
      <c r="BB1136" s="176" t="s">
        <v>282</v>
      </c>
      <c r="BC1136" s="176" t="s">
        <v>98</v>
      </c>
      <c r="BD1136" s="176" t="s">
        <v>98</v>
      </c>
      <c r="BE1136" s="176" t="s">
        <v>98</v>
      </c>
      <c r="BF1136" s="176" t="s">
        <v>298</v>
      </c>
      <c r="BG1136" s="176"/>
      <c r="BH1136" s="9" t="s">
        <v>100</v>
      </c>
      <c r="BI1136" s="9" t="s">
        <v>100</v>
      </c>
      <c r="BJ1136" s="182"/>
      <c r="BN1136" s="182"/>
      <c r="BO1136" s="182"/>
    </row>
    <row r="1137" spans="1:67" s="194" customFormat="1" ht="52" hidden="1" x14ac:dyDescent="0.35">
      <c r="A1137" s="184">
        <v>278</v>
      </c>
      <c r="B1137" s="185" t="s">
        <v>6537</v>
      </c>
      <c r="C1137" s="185" t="s">
        <v>47</v>
      </c>
      <c r="D1137" s="185" t="s">
        <v>6590</v>
      </c>
      <c r="E1137" s="184" t="s">
        <v>36</v>
      </c>
      <c r="F1137" s="184" t="s">
        <v>123</v>
      </c>
      <c r="G1137" s="184" t="s">
        <v>225</v>
      </c>
      <c r="H1137" s="184" t="s">
        <v>125</v>
      </c>
      <c r="I1137" s="184" t="s">
        <v>114</v>
      </c>
      <c r="J1137" s="185" t="s">
        <v>117</v>
      </c>
      <c r="K1137" s="184" t="s">
        <v>2746</v>
      </c>
      <c r="L1137" s="184" t="s">
        <v>276</v>
      </c>
      <c r="M1137" s="184" t="s">
        <v>276</v>
      </c>
      <c r="N1137" s="185" t="s">
        <v>6540</v>
      </c>
      <c r="O1137" s="185" t="s">
        <v>6541</v>
      </c>
      <c r="P1137" s="185" t="s">
        <v>239</v>
      </c>
      <c r="Q1137" s="302">
        <v>40908</v>
      </c>
      <c r="R1137" s="185" t="s">
        <v>276</v>
      </c>
      <c r="S1137" s="185" t="s">
        <v>276</v>
      </c>
      <c r="T1137" s="185" t="s">
        <v>276</v>
      </c>
      <c r="U1137" s="185" t="s">
        <v>276</v>
      </c>
      <c r="V1137" s="184" t="s">
        <v>16</v>
      </c>
      <c r="W1137" s="185" t="s">
        <v>171</v>
      </c>
      <c r="X1137" s="185" t="s">
        <v>207</v>
      </c>
      <c r="Y1137" s="189">
        <v>80891</v>
      </c>
      <c r="Z1137" s="188">
        <v>80667</v>
      </c>
      <c r="AA1137" s="185" t="s">
        <v>276</v>
      </c>
      <c r="AB1137" s="185" t="s">
        <v>276</v>
      </c>
      <c r="AC1137" s="184">
        <v>45</v>
      </c>
      <c r="AD1137" s="185" t="s">
        <v>6591</v>
      </c>
      <c r="AE1137" s="184">
        <v>38</v>
      </c>
      <c r="AF1137" s="185" t="s">
        <v>6592</v>
      </c>
      <c r="AG1137" s="185" t="s">
        <v>6593</v>
      </c>
      <c r="AH1137" s="185" t="s">
        <v>3568</v>
      </c>
      <c r="AI1137" s="188">
        <v>137</v>
      </c>
      <c r="AJ1137" s="188">
        <v>114</v>
      </c>
      <c r="AK1137" s="189">
        <v>80891</v>
      </c>
      <c r="AL1137" s="188">
        <v>80667</v>
      </c>
      <c r="AM1137" s="188" t="s">
        <v>2047</v>
      </c>
      <c r="AN1137" s="184" t="s">
        <v>276</v>
      </c>
      <c r="AO1137" s="192">
        <f t="shared" si="344"/>
        <v>1.6936371166137147</v>
      </c>
      <c r="AP1137" s="184" t="s">
        <v>276</v>
      </c>
      <c r="AQ1137" s="184" t="s">
        <v>276</v>
      </c>
      <c r="AR1137" s="184" t="s">
        <v>276</v>
      </c>
      <c r="AS1137" s="192">
        <f t="shared" si="345"/>
        <v>1.4132173007549556</v>
      </c>
      <c r="AT1137" s="184" t="s">
        <v>276</v>
      </c>
      <c r="AU1137" s="184" t="s">
        <v>276</v>
      </c>
      <c r="AV1137" s="184" t="s">
        <v>268</v>
      </c>
      <c r="AW1137" s="303" t="s">
        <v>276</v>
      </c>
      <c r="AX1137" s="303">
        <f t="shared" si="346"/>
        <v>1.1984265375954257</v>
      </c>
      <c r="AY1137" s="185" t="s">
        <v>276</v>
      </c>
      <c r="AZ1137" s="185" t="s">
        <v>276</v>
      </c>
      <c r="BA1137" s="185" t="s">
        <v>276</v>
      </c>
      <c r="BB1137" s="185" t="s">
        <v>282</v>
      </c>
      <c r="BC1137" s="185" t="s">
        <v>98</v>
      </c>
      <c r="BD1137" s="185" t="s">
        <v>98</v>
      </c>
      <c r="BE1137" s="185" t="s">
        <v>98</v>
      </c>
      <c r="BF1137" s="185" t="s">
        <v>298</v>
      </c>
      <c r="BG1137" s="185"/>
      <c r="BH1137" s="9" t="s">
        <v>100</v>
      </c>
      <c r="BI1137" s="9" t="s">
        <v>100</v>
      </c>
      <c r="BJ1137" s="193"/>
      <c r="BN1137" s="193"/>
      <c r="BO1137" s="193"/>
    </row>
    <row r="1138" spans="1:67" s="194" customFormat="1" ht="52" hidden="1" x14ac:dyDescent="0.35">
      <c r="A1138" s="184">
        <v>278</v>
      </c>
      <c r="B1138" s="185" t="s">
        <v>6537</v>
      </c>
      <c r="C1138" s="185" t="s">
        <v>47</v>
      </c>
      <c r="D1138" s="185" t="s">
        <v>6594</v>
      </c>
      <c r="E1138" s="184" t="s">
        <v>36</v>
      </c>
      <c r="F1138" s="184" t="s">
        <v>123</v>
      </c>
      <c r="G1138" s="184" t="s">
        <v>225</v>
      </c>
      <c r="H1138" s="184" t="s">
        <v>125</v>
      </c>
      <c r="I1138" s="184" t="s">
        <v>114</v>
      </c>
      <c r="J1138" s="185" t="s">
        <v>117</v>
      </c>
      <c r="K1138" s="184" t="s">
        <v>6556</v>
      </c>
      <c r="L1138" s="184" t="s">
        <v>276</v>
      </c>
      <c r="M1138" s="184" t="s">
        <v>276</v>
      </c>
      <c r="N1138" s="185" t="s">
        <v>6540</v>
      </c>
      <c r="O1138" s="185" t="s">
        <v>6541</v>
      </c>
      <c r="P1138" s="185" t="s">
        <v>239</v>
      </c>
      <c r="Q1138" s="302">
        <v>40908</v>
      </c>
      <c r="R1138" s="185" t="s">
        <v>276</v>
      </c>
      <c r="S1138" s="185" t="s">
        <v>276</v>
      </c>
      <c r="T1138" s="185" t="s">
        <v>276</v>
      </c>
      <c r="U1138" s="185" t="s">
        <v>276</v>
      </c>
      <c r="V1138" s="184" t="s">
        <v>16</v>
      </c>
      <c r="W1138" s="185" t="s">
        <v>171</v>
      </c>
      <c r="X1138" s="185" t="s">
        <v>207</v>
      </c>
      <c r="Y1138" s="189">
        <v>80891</v>
      </c>
      <c r="Z1138" s="188">
        <v>80667</v>
      </c>
      <c r="AA1138" s="185" t="s">
        <v>276</v>
      </c>
      <c r="AB1138" s="185" t="s">
        <v>276</v>
      </c>
      <c r="AC1138" s="184">
        <v>45</v>
      </c>
      <c r="AD1138" s="185" t="s">
        <v>6591</v>
      </c>
      <c r="AE1138" s="184">
        <v>38</v>
      </c>
      <c r="AF1138" s="185" t="s">
        <v>6592</v>
      </c>
      <c r="AG1138" s="185" t="s">
        <v>6595</v>
      </c>
      <c r="AH1138" s="185" t="s">
        <v>3568</v>
      </c>
      <c r="AI1138" s="188">
        <v>119</v>
      </c>
      <c r="AJ1138" s="188">
        <v>103</v>
      </c>
      <c r="AK1138" s="189">
        <v>80891</v>
      </c>
      <c r="AL1138" s="188">
        <v>80667</v>
      </c>
      <c r="AM1138" s="188" t="s">
        <v>2047</v>
      </c>
      <c r="AN1138" s="184" t="s">
        <v>276</v>
      </c>
      <c r="AO1138" s="192">
        <f t="shared" si="344"/>
        <v>1.4711154516571683</v>
      </c>
      <c r="AP1138" s="184" t="s">
        <v>276</v>
      </c>
      <c r="AQ1138" s="184" t="s">
        <v>276</v>
      </c>
      <c r="AR1138" s="184" t="s">
        <v>276</v>
      </c>
      <c r="AS1138" s="192">
        <f t="shared" si="345"/>
        <v>1.2768542278750914</v>
      </c>
      <c r="AT1138" s="184" t="s">
        <v>276</v>
      </c>
      <c r="AU1138" s="184" t="s">
        <v>276</v>
      </c>
      <c r="AV1138" s="184" t="s">
        <v>268</v>
      </c>
      <c r="AW1138" s="303" t="s">
        <v>276</v>
      </c>
      <c r="AX1138" s="303">
        <f t="shared" si="346"/>
        <v>1.1521404867847456</v>
      </c>
      <c r="AY1138" s="185" t="s">
        <v>276</v>
      </c>
      <c r="AZ1138" s="185" t="s">
        <v>276</v>
      </c>
      <c r="BA1138" s="185" t="s">
        <v>276</v>
      </c>
      <c r="BB1138" s="185" t="s">
        <v>282</v>
      </c>
      <c r="BC1138" s="185" t="s">
        <v>98</v>
      </c>
      <c r="BD1138" s="185" t="s">
        <v>98</v>
      </c>
      <c r="BE1138" s="185" t="s">
        <v>98</v>
      </c>
      <c r="BF1138" s="185" t="s">
        <v>298</v>
      </c>
      <c r="BG1138" s="185"/>
      <c r="BH1138" s="9" t="s">
        <v>100</v>
      </c>
      <c r="BI1138" s="9" t="s">
        <v>100</v>
      </c>
      <c r="BJ1138" s="193"/>
      <c r="BN1138" s="193"/>
      <c r="BO1138" s="193"/>
    </row>
    <row r="1139" spans="1:67" s="183" customFormat="1" ht="52" hidden="1" x14ac:dyDescent="0.35">
      <c r="A1139" s="175">
        <v>278</v>
      </c>
      <c r="B1139" s="176" t="s">
        <v>6537</v>
      </c>
      <c r="C1139" s="176" t="s">
        <v>47</v>
      </c>
      <c r="D1139" s="176" t="s">
        <v>6596</v>
      </c>
      <c r="E1139" s="175" t="s">
        <v>36</v>
      </c>
      <c r="F1139" s="175" t="s">
        <v>123</v>
      </c>
      <c r="G1139" s="175" t="s">
        <v>225</v>
      </c>
      <c r="H1139" s="175" t="s">
        <v>125</v>
      </c>
      <c r="I1139" s="175" t="s">
        <v>114</v>
      </c>
      <c r="J1139" s="176" t="s">
        <v>6559</v>
      </c>
      <c r="K1139" s="175" t="s">
        <v>2764</v>
      </c>
      <c r="L1139" s="175" t="s">
        <v>276</v>
      </c>
      <c r="M1139" s="175" t="s">
        <v>276</v>
      </c>
      <c r="N1139" s="176" t="s">
        <v>6540</v>
      </c>
      <c r="O1139" s="176" t="s">
        <v>6541</v>
      </c>
      <c r="P1139" s="176" t="s">
        <v>239</v>
      </c>
      <c r="Q1139" s="304">
        <v>40908</v>
      </c>
      <c r="R1139" s="176" t="s">
        <v>276</v>
      </c>
      <c r="S1139" s="176" t="s">
        <v>276</v>
      </c>
      <c r="T1139" s="176" t="s">
        <v>276</v>
      </c>
      <c r="U1139" s="176" t="s">
        <v>276</v>
      </c>
      <c r="V1139" s="175" t="s">
        <v>16</v>
      </c>
      <c r="W1139" s="176" t="s">
        <v>171</v>
      </c>
      <c r="X1139" s="176" t="s">
        <v>207</v>
      </c>
      <c r="Y1139" s="180">
        <v>80891</v>
      </c>
      <c r="Z1139" s="179">
        <v>80667</v>
      </c>
      <c r="AA1139" s="176" t="s">
        <v>276</v>
      </c>
      <c r="AB1139" s="176" t="s">
        <v>276</v>
      </c>
      <c r="AC1139" s="175">
        <v>0</v>
      </c>
      <c r="AD1139" s="176" t="s">
        <v>6597</v>
      </c>
      <c r="AE1139" s="175">
        <v>5</v>
      </c>
      <c r="AF1139" s="176" t="s">
        <v>6598</v>
      </c>
      <c r="AG1139" s="176" t="s">
        <v>6599</v>
      </c>
      <c r="AH1139" s="176" t="s">
        <v>3568</v>
      </c>
      <c r="AI1139" s="179">
        <v>237</v>
      </c>
      <c r="AJ1139" s="179">
        <v>183</v>
      </c>
      <c r="AK1139" s="180">
        <v>80891</v>
      </c>
      <c r="AL1139" s="179">
        <v>80667</v>
      </c>
      <c r="AM1139" s="179" t="s">
        <v>2047</v>
      </c>
      <c r="AN1139" s="175" t="s">
        <v>276</v>
      </c>
      <c r="AO1139" s="181">
        <f t="shared" si="344"/>
        <v>2.9298685885945286</v>
      </c>
      <c r="AP1139" s="175" t="s">
        <v>276</v>
      </c>
      <c r="AQ1139" s="175" t="s">
        <v>276</v>
      </c>
      <c r="AR1139" s="175" t="s">
        <v>276</v>
      </c>
      <c r="AS1139" s="181">
        <f t="shared" si="345"/>
        <v>2.2685856670013762</v>
      </c>
      <c r="AT1139" s="175" t="s">
        <v>276</v>
      </c>
      <c r="AU1139" s="175" t="s">
        <v>276</v>
      </c>
      <c r="AV1139" s="175" t="s">
        <v>268</v>
      </c>
      <c r="AW1139" s="305" t="s">
        <v>276</v>
      </c>
      <c r="AX1139" s="305">
        <f t="shared" si="346"/>
        <v>1.2914956799789881</v>
      </c>
      <c r="AY1139" s="176" t="s">
        <v>276</v>
      </c>
      <c r="AZ1139" s="176" t="s">
        <v>276</v>
      </c>
      <c r="BA1139" s="176" t="s">
        <v>276</v>
      </c>
      <c r="BB1139" s="176" t="s">
        <v>282</v>
      </c>
      <c r="BC1139" s="176" t="s">
        <v>98</v>
      </c>
      <c r="BD1139" s="176" t="s">
        <v>98</v>
      </c>
      <c r="BE1139" s="176" t="s">
        <v>98</v>
      </c>
      <c r="BF1139" s="176" t="s">
        <v>298</v>
      </c>
      <c r="BG1139" s="176"/>
      <c r="BH1139" s="9" t="s">
        <v>100</v>
      </c>
      <c r="BI1139" s="9" t="s">
        <v>100</v>
      </c>
      <c r="BJ1139" s="182"/>
      <c r="BN1139" s="182"/>
      <c r="BO1139" s="182"/>
    </row>
    <row r="1140" spans="1:67" s="183" customFormat="1" ht="52" hidden="1" x14ac:dyDescent="0.35">
      <c r="A1140" s="175">
        <v>278</v>
      </c>
      <c r="B1140" s="176" t="s">
        <v>6537</v>
      </c>
      <c r="C1140" s="176" t="s">
        <v>47</v>
      </c>
      <c r="D1140" s="176" t="s">
        <v>6600</v>
      </c>
      <c r="E1140" s="175" t="s">
        <v>36</v>
      </c>
      <c r="F1140" s="175" t="s">
        <v>123</v>
      </c>
      <c r="G1140" s="175" t="s">
        <v>225</v>
      </c>
      <c r="H1140" s="175" t="s">
        <v>125</v>
      </c>
      <c r="I1140" s="175" t="s">
        <v>114</v>
      </c>
      <c r="J1140" s="176" t="s">
        <v>6559</v>
      </c>
      <c r="K1140" s="175" t="s">
        <v>1117</v>
      </c>
      <c r="L1140" s="175" t="s">
        <v>276</v>
      </c>
      <c r="M1140" s="175" t="s">
        <v>276</v>
      </c>
      <c r="N1140" s="176" t="s">
        <v>6540</v>
      </c>
      <c r="O1140" s="176" t="s">
        <v>6541</v>
      </c>
      <c r="P1140" s="176" t="s">
        <v>239</v>
      </c>
      <c r="Q1140" s="304">
        <v>40908</v>
      </c>
      <c r="R1140" s="176" t="s">
        <v>276</v>
      </c>
      <c r="S1140" s="176" t="s">
        <v>276</v>
      </c>
      <c r="T1140" s="176" t="s">
        <v>276</v>
      </c>
      <c r="U1140" s="176" t="s">
        <v>276</v>
      </c>
      <c r="V1140" s="175" t="s">
        <v>16</v>
      </c>
      <c r="W1140" s="176" t="s">
        <v>171</v>
      </c>
      <c r="X1140" s="176" t="s">
        <v>207</v>
      </c>
      <c r="Y1140" s="180">
        <v>80891</v>
      </c>
      <c r="Z1140" s="179">
        <v>80667</v>
      </c>
      <c r="AA1140" s="176" t="s">
        <v>276</v>
      </c>
      <c r="AB1140" s="176" t="s">
        <v>276</v>
      </c>
      <c r="AC1140" s="175">
        <v>0</v>
      </c>
      <c r="AD1140" s="176" t="s">
        <v>6597</v>
      </c>
      <c r="AE1140" s="175">
        <v>5</v>
      </c>
      <c r="AF1140" s="176" t="s">
        <v>6598</v>
      </c>
      <c r="AG1140" s="176" t="s">
        <v>6601</v>
      </c>
      <c r="AH1140" s="176" t="s">
        <v>3568</v>
      </c>
      <c r="AI1140" s="179">
        <v>64</v>
      </c>
      <c r="AJ1140" s="179">
        <v>67</v>
      </c>
      <c r="AK1140" s="180">
        <v>80891</v>
      </c>
      <c r="AL1140" s="179">
        <v>80667</v>
      </c>
      <c r="AM1140" s="179" t="s">
        <v>2047</v>
      </c>
      <c r="AN1140" s="175" t="s">
        <v>276</v>
      </c>
      <c r="AO1140" s="181">
        <f t="shared" si="344"/>
        <v>0.79118814206772081</v>
      </c>
      <c r="AP1140" s="175" t="s">
        <v>276</v>
      </c>
      <c r="AQ1140" s="175" t="s">
        <v>276</v>
      </c>
      <c r="AR1140" s="175" t="s">
        <v>276</v>
      </c>
      <c r="AS1140" s="181">
        <f t="shared" si="345"/>
        <v>0.83057508026826332</v>
      </c>
      <c r="AT1140" s="175" t="s">
        <v>276</v>
      </c>
      <c r="AU1140" s="175" t="s">
        <v>276</v>
      </c>
      <c r="AV1140" s="175" t="s">
        <v>268</v>
      </c>
      <c r="AW1140" s="305" t="s">
        <v>276</v>
      </c>
      <c r="AX1140" s="305">
        <f t="shared" si="346"/>
        <v>0.95257871427129603</v>
      </c>
      <c r="AY1140" s="176" t="s">
        <v>276</v>
      </c>
      <c r="AZ1140" s="176" t="s">
        <v>276</v>
      </c>
      <c r="BA1140" s="176" t="s">
        <v>276</v>
      </c>
      <c r="BB1140" s="176" t="s">
        <v>282</v>
      </c>
      <c r="BC1140" s="176" t="s">
        <v>98</v>
      </c>
      <c r="BD1140" s="176" t="s">
        <v>98</v>
      </c>
      <c r="BE1140" s="176" t="s">
        <v>98</v>
      </c>
      <c r="BF1140" s="176" t="s">
        <v>298</v>
      </c>
      <c r="BG1140" s="176"/>
      <c r="BH1140" s="9" t="s">
        <v>100</v>
      </c>
      <c r="BI1140" s="9" t="s">
        <v>100</v>
      </c>
      <c r="BJ1140" s="182"/>
      <c r="BN1140" s="182"/>
      <c r="BO1140" s="182"/>
    </row>
    <row r="1141" spans="1:67" s="277" customFormat="1" ht="52" hidden="1" x14ac:dyDescent="0.35">
      <c r="A1141" s="244">
        <v>270</v>
      </c>
      <c r="B1141" s="245" t="s">
        <v>6466</v>
      </c>
      <c r="C1141" s="245" t="s">
        <v>47</v>
      </c>
      <c r="D1141" s="245" t="s">
        <v>6602</v>
      </c>
      <c r="E1141" s="244" t="s">
        <v>36</v>
      </c>
      <c r="F1141" s="244" t="s">
        <v>123</v>
      </c>
      <c r="G1141" s="244" t="s">
        <v>225</v>
      </c>
      <c r="H1141" s="244" t="s">
        <v>225</v>
      </c>
      <c r="I1141" s="244" t="s">
        <v>98</v>
      </c>
      <c r="J1141" s="245" t="s">
        <v>98</v>
      </c>
      <c r="K1141" s="244" t="s">
        <v>98</v>
      </c>
      <c r="L1141" s="244" t="s">
        <v>98</v>
      </c>
      <c r="M1141" s="244" t="s">
        <v>98</v>
      </c>
      <c r="N1141" s="245" t="s">
        <v>6603</v>
      </c>
      <c r="O1141" s="245" t="s">
        <v>6604</v>
      </c>
      <c r="P1141" s="245" t="s">
        <v>238</v>
      </c>
      <c r="Q1141" s="335">
        <v>41274</v>
      </c>
      <c r="R1141" s="245" t="s">
        <v>276</v>
      </c>
      <c r="S1141" s="245" t="s">
        <v>276</v>
      </c>
      <c r="T1141" s="245" t="s">
        <v>98</v>
      </c>
      <c r="U1141" s="245" t="s">
        <v>276</v>
      </c>
      <c r="V1141" s="244" t="s">
        <v>14</v>
      </c>
      <c r="W1141" s="245" t="s">
        <v>6470</v>
      </c>
      <c r="X1141" s="245" t="s">
        <v>209</v>
      </c>
      <c r="Y1141" s="274">
        <v>180210</v>
      </c>
      <c r="Z1141" s="245" t="s">
        <v>98</v>
      </c>
      <c r="AA1141" s="245" t="s">
        <v>276</v>
      </c>
      <c r="AB1141" s="245" t="s">
        <v>98</v>
      </c>
      <c r="AC1141" s="244">
        <v>0</v>
      </c>
      <c r="AD1141" s="245" t="s">
        <v>6533</v>
      </c>
      <c r="AE1141" s="244" t="s">
        <v>98</v>
      </c>
      <c r="AF1141" s="244" t="s">
        <v>98</v>
      </c>
      <c r="AG1141" s="245" t="s">
        <v>6605</v>
      </c>
      <c r="AH1141" s="245" t="s">
        <v>6606</v>
      </c>
      <c r="AI1141" s="250">
        <v>386</v>
      </c>
      <c r="AJ1141" s="250" t="s">
        <v>98</v>
      </c>
      <c r="AK1141" s="274">
        <v>180210</v>
      </c>
      <c r="AL1141" s="250" t="s">
        <v>98</v>
      </c>
      <c r="AM1141" s="250" t="s">
        <v>292</v>
      </c>
      <c r="AN1141" s="244" t="s">
        <v>276</v>
      </c>
      <c r="AO1141" s="252">
        <f t="shared" ref="AO1141:AO1146" si="347">AI1141*100/AK1141</f>
        <v>0.2141945508018423</v>
      </c>
      <c r="AP1141" s="244" t="s">
        <v>276</v>
      </c>
      <c r="AQ1141" s="244" t="s">
        <v>276</v>
      </c>
      <c r="AR1141" s="244" t="s">
        <v>98</v>
      </c>
      <c r="AS1141" s="244" t="s">
        <v>98</v>
      </c>
      <c r="AT1141" s="244" t="s">
        <v>98</v>
      </c>
      <c r="AU1141" s="244" t="str">
        <f t="shared" ref="AU1141:AU1146" si="348">$AR$33</f>
        <v>NR</v>
      </c>
      <c r="AV1141" s="244" t="s">
        <v>98</v>
      </c>
      <c r="AW1141" s="244" t="s">
        <v>98</v>
      </c>
      <c r="AX1141" s="244" t="s">
        <v>98</v>
      </c>
      <c r="AY1141" s="244" t="s">
        <v>98</v>
      </c>
      <c r="AZ1141" s="244" t="s">
        <v>98</v>
      </c>
      <c r="BA1141" s="244" t="s">
        <v>98</v>
      </c>
      <c r="BB1141" s="244" t="s">
        <v>98</v>
      </c>
      <c r="BC1141" s="244" t="s">
        <v>98</v>
      </c>
      <c r="BD1141" s="244" t="s">
        <v>98</v>
      </c>
      <c r="BE1141" s="244" t="s">
        <v>98</v>
      </c>
      <c r="BF1141" s="245" t="s">
        <v>298</v>
      </c>
      <c r="BG1141" s="245" t="s">
        <v>6607</v>
      </c>
      <c r="BH1141" s="9" t="s">
        <v>100</v>
      </c>
      <c r="BI1141" s="9" t="s">
        <v>100</v>
      </c>
      <c r="BJ1141" s="276"/>
      <c r="BN1141" s="276"/>
      <c r="BO1141" s="276"/>
    </row>
    <row r="1142" spans="1:67" s="277" customFormat="1" ht="52" hidden="1" x14ac:dyDescent="0.35">
      <c r="A1142" s="244">
        <v>270</v>
      </c>
      <c r="B1142" s="245" t="s">
        <v>6466</v>
      </c>
      <c r="C1142" s="245" t="s">
        <v>47</v>
      </c>
      <c r="D1142" s="245" t="s">
        <v>6608</v>
      </c>
      <c r="E1142" s="244" t="s">
        <v>36</v>
      </c>
      <c r="F1142" s="244" t="s">
        <v>123</v>
      </c>
      <c r="G1142" s="244" t="s">
        <v>225</v>
      </c>
      <c r="H1142" s="244" t="s">
        <v>225</v>
      </c>
      <c r="I1142" s="244" t="s">
        <v>98</v>
      </c>
      <c r="J1142" s="245" t="s">
        <v>98</v>
      </c>
      <c r="K1142" s="244" t="s">
        <v>98</v>
      </c>
      <c r="L1142" s="244" t="s">
        <v>98</v>
      </c>
      <c r="M1142" s="244" t="s">
        <v>98</v>
      </c>
      <c r="N1142" s="245" t="s">
        <v>6603</v>
      </c>
      <c r="O1142" s="245" t="s">
        <v>6604</v>
      </c>
      <c r="P1142" s="245" t="s">
        <v>238</v>
      </c>
      <c r="Q1142" s="335">
        <v>41274</v>
      </c>
      <c r="R1142" s="245" t="s">
        <v>276</v>
      </c>
      <c r="S1142" s="245" t="s">
        <v>276</v>
      </c>
      <c r="T1142" s="245" t="s">
        <v>98</v>
      </c>
      <c r="U1142" s="245" t="s">
        <v>276</v>
      </c>
      <c r="V1142" s="244" t="s">
        <v>16</v>
      </c>
      <c r="W1142" s="245" t="s">
        <v>170</v>
      </c>
      <c r="X1142" s="245" t="s">
        <v>209</v>
      </c>
      <c r="Y1142" s="274">
        <v>89712</v>
      </c>
      <c r="Z1142" s="245" t="s">
        <v>98</v>
      </c>
      <c r="AA1142" s="245" t="s">
        <v>276</v>
      </c>
      <c r="AB1142" s="245" t="s">
        <v>98</v>
      </c>
      <c r="AC1142" s="244">
        <v>0</v>
      </c>
      <c r="AD1142" s="245" t="s">
        <v>6533</v>
      </c>
      <c r="AE1142" s="244" t="s">
        <v>98</v>
      </c>
      <c r="AF1142" s="244" t="s">
        <v>98</v>
      </c>
      <c r="AG1142" s="245" t="s">
        <v>6609</v>
      </c>
      <c r="AH1142" s="245" t="s">
        <v>6610</v>
      </c>
      <c r="AI1142" s="250">
        <v>220</v>
      </c>
      <c r="AJ1142" s="250" t="s">
        <v>98</v>
      </c>
      <c r="AK1142" s="274">
        <v>89712</v>
      </c>
      <c r="AL1142" s="250" t="s">
        <v>98</v>
      </c>
      <c r="AM1142" s="250" t="s">
        <v>292</v>
      </c>
      <c r="AN1142" s="244" t="s">
        <v>276</v>
      </c>
      <c r="AO1142" s="252">
        <f t="shared" si="347"/>
        <v>0.24522917781344747</v>
      </c>
      <c r="AP1142" s="244" t="s">
        <v>276</v>
      </c>
      <c r="AQ1142" s="244" t="s">
        <v>276</v>
      </c>
      <c r="AR1142" s="244" t="s">
        <v>98</v>
      </c>
      <c r="AS1142" s="244" t="s">
        <v>98</v>
      </c>
      <c r="AT1142" s="244" t="s">
        <v>98</v>
      </c>
      <c r="AU1142" s="244" t="str">
        <f t="shared" si="348"/>
        <v>NR</v>
      </c>
      <c r="AV1142" s="244" t="s">
        <v>98</v>
      </c>
      <c r="AW1142" s="244" t="s">
        <v>98</v>
      </c>
      <c r="AX1142" s="244" t="s">
        <v>98</v>
      </c>
      <c r="AY1142" s="244" t="s">
        <v>98</v>
      </c>
      <c r="AZ1142" s="244" t="s">
        <v>98</v>
      </c>
      <c r="BA1142" s="244" t="s">
        <v>98</v>
      </c>
      <c r="BB1142" s="244" t="s">
        <v>98</v>
      </c>
      <c r="BC1142" s="244" t="s">
        <v>98</v>
      </c>
      <c r="BD1142" s="244" t="s">
        <v>98</v>
      </c>
      <c r="BE1142" s="244" t="s">
        <v>98</v>
      </c>
      <c r="BF1142" s="245" t="s">
        <v>6611</v>
      </c>
      <c r="BG1142" s="245" t="s">
        <v>6607</v>
      </c>
      <c r="BH1142" s="9" t="s">
        <v>100</v>
      </c>
      <c r="BI1142" s="9" t="s">
        <v>100</v>
      </c>
      <c r="BJ1142" s="276"/>
      <c r="BN1142" s="276"/>
      <c r="BO1142" s="276"/>
    </row>
    <row r="1143" spans="1:67" s="277" customFormat="1" ht="52" hidden="1" x14ac:dyDescent="0.35">
      <c r="A1143" s="244">
        <v>270</v>
      </c>
      <c r="B1143" s="245" t="s">
        <v>6466</v>
      </c>
      <c r="C1143" s="245" t="s">
        <v>47</v>
      </c>
      <c r="D1143" s="245" t="s">
        <v>6612</v>
      </c>
      <c r="E1143" s="244" t="s">
        <v>36</v>
      </c>
      <c r="F1143" s="244" t="s">
        <v>123</v>
      </c>
      <c r="G1143" s="244" t="s">
        <v>225</v>
      </c>
      <c r="H1143" s="244" t="s">
        <v>225</v>
      </c>
      <c r="I1143" s="244" t="s">
        <v>98</v>
      </c>
      <c r="J1143" s="245" t="s">
        <v>98</v>
      </c>
      <c r="K1143" s="244" t="s">
        <v>98</v>
      </c>
      <c r="L1143" s="244" t="s">
        <v>98</v>
      </c>
      <c r="M1143" s="244" t="s">
        <v>98</v>
      </c>
      <c r="N1143" s="245" t="s">
        <v>6603</v>
      </c>
      <c r="O1143" s="245" t="s">
        <v>6604</v>
      </c>
      <c r="P1143" s="245" t="s">
        <v>238</v>
      </c>
      <c r="Q1143" s="335">
        <v>41274</v>
      </c>
      <c r="R1143" s="245" t="s">
        <v>276</v>
      </c>
      <c r="S1143" s="245" t="s">
        <v>276</v>
      </c>
      <c r="T1143" s="245" t="s">
        <v>98</v>
      </c>
      <c r="U1143" s="245" t="s">
        <v>276</v>
      </c>
      <c r="V1143" s="244" t="s">
        <v>16</v>
      </c>
      <c r="W1143" s="245" t="s">
        <v>171</v>
      </c>
      <c r="X1143" s="245" t="s">
        <v>209</v>
      </c>
      <c r="Y1143" s="274">
        <v>90498</v>
      </c>
      <c r="Z1143" s="245" t="s">
        <v>98</v>
      </c>
      <c r="AA1143" s="245" t="s">
        <v>276</v>
      </c>
      <c r="AB1143" s="245" t="s">
        <v>98</v>
      </c>
      <c r="AC1143" s="244">
        <v>0</v>
      </c>
      <c r="AD1143" s="245" t="s">
        <v>6533</v>
      </c>
      <c r="AE1143" s="244" t="s">
        <v>98</v>
      </c>
      <c r="AF1143" s="244" t="s">
        <v>98</v>
      </c>
      <c r="AG1143" s="245" t="s">
        <v>6609</v>
      </c>
      <c r="AH1143" s="245" t="s">
        <v>6613</v>
      </c>
      <c r="AI1143" s="250">
        <v>166</v>
      </c>
      <c r="AJ1143" s="250" t="s">
        <v>98</v>
      </c>
      <c r="AK1143" s="274">
        <v>90498</v>
      </c>
      <c r="AL1143" s="250" t="s">
        <v>98</v>
      </c>
      <c r="AM1143" s="250" t="s">
        <v>292</v>
      </c>
      <c r="AN1143" s="244" t="s">
        <v>276</v>
      </c>
      <c r="AO1143" s="252">
        <f t="shared" si="347"/>
        <v>0.18342946805454263</v>
      </c>
      <c r="AP1143" s="244" t="s">
        <v>276</v>
      </c>
      <c r="AQ1143" s="244" t="s">
        <v>276</v>
      </c>
      <c r="AR1143" s="244" t="s">
        <v>98</v>
      </c>
      <c r="AS1143" s="244" t="s">
        <v>98</v>
      </c>
      <c r="AT1143" s="244" t="s">
        <v>98</v>
      </c>
      <c r="AU1143" s="244" t="str">
        <f t="shared" si="348"/>
        <v>NR</v>
      </c>
      <c r="AV1143" s="244" t="s">
        <v>98</v>
      </c>
      <c r="AW1143" s="244" t="s">
        <v>98</v>
      </c>
      <c r="AX1143" s="244" t="s">
        <v>98</v>
      </c>
      <c r="AY1143" s="244" t="s">
        <v>98</v>
      </c>
      <c r="AZ1143" s="244" t="s">
        <v>98</v>
      </c>
      <c r="BA1143" s="244" t="s">
        <v>98</v>
      </c>
      <c r="BB1143" s="244" t="s">
        <v>98</v>
      </c>
      <c r="BC1143" s="244" t="s">
        <v>98</v>
      </c>
      <c r="BD1143" s="244" t="s">
        <v>98</v>
      </c>
      <c r="BE1143" s="244" t="s">
        <v>98</v>
      </c>
      <c r="BF1143" s="245" t="s">
        <v>6611</v>
      </c>
      <c r="BG1143" s="245" t="s">
        <v>6607</v>
      </c>
      <c r="BH1143" s="9" t="s">
        <v>100</v>
      </c>
      <c r="BI1143" s="9" t="s">
        <v>100</v>
      </c>
      <c r="BJ1143" s="276"/>
      <c r="BN1143" s="276"/>
      <c r="BO1143" s="276"/>
    </row>
    <row r="1144" spans="1:67" s="285" customFormat="1" ht="52" x14ac:dyDescent="0.35">
      <c r="A1144" s="254">
        <v>270</v>
      </c>
      <c r="B1144" s="255" t="s">
        <v>6466</v>
      </c>
      <c r="C1144" s="255" t="s">
        <v>47</v>
      </c>
      <c r="D1144" s="255" t="s">
        <v>6614</v>
      </c>
      <c r="E1144" s="254" t="s">
        <v>36</v>
      </c>
      <c r="F1144" s="254" t="s">
        <v>123</v>
      </c>
      <c r="G1144" s="254" t="s">
        <v>225</v>
      </c>
      <c r="H1144" s="254" t="s">
        <v>225</v>
      </c>
      <c r="I1144" s="254" t="s">
        <v>98</v>
      </c>
      <c r="J1144" s="255" t="s">
        <v>98</v>
      </c>
      <c r="K1144" s="254" t="s">
        <v>98</v>
      </c>
      <c r="L1144" s="254" t="s">
        <v>98</v>
      </c>
      <c r="M1144" s="254" t="s">
        <v>98</v>
      </c>
      <c r="N1144" s="255" t="s">
        <v>6603</v>
      </c>
      <c r="O1144" s="255" t="s">
        <v>6604</v>
      </c>
      <c r="P1144" s="255" t="s">
        <v>236</v>
      </c>
      <c r="Q1144" s="343">
        <v>41274</v>
      </c>
      <c r="R1144" s="255" t="s">
        <v>276</v>
      </c>
      <c r="S1144" s="255" t="s">
        <v>276</v>
      </c>
      <c r="T1144" s="255" t="s">
        <v>98</v>
      </c>
      <c r="U1144" s="255" t="s">
        <v>276</v>
      </c>
      <c r="V1144" s="254" t="s">
        <v>14</v>
      </c>
      <c r="W1144" s="255" t="s">
        <v>6470</v>
      </c>
      <c r="X1144" s="255" t="s">
        <v>209</v>
      </c>
      <c r="Y1144" s="282">
        <v>180210</v>
      </c>
      <c r="Z1144" s="255" t="s">
        <v>98</v>
      </c>
      <c r="AA1144" s="255" t="s">
        <v>276</v>
      </c>
      <c r="AB1144" s="255" t="s">
        <v>98</v>
      </c>
      <c r="AC1144" s="254">
        <v>0</v>
      </c>
      <c r="AD1144" s="255" t="s">
        <v>6533</v>
      </c>
      <c r="AE1144" s="254" t="s">
        <v>98</v>
      </c>
      <c r="AF1144" s="254" t="s">
        <v>98</v>
      </c>
      <c r="AG1144" s="255" t="s">
        <v>6605</v>
      </c>
      <c r="AH1144" s="255" t="s">
        <v>6615</v>
      </c>
      <c r="AI1144" s="260">
        <v>386</v>
      </c>
      <c r="AJ1144" s="260" t="s">
        <v>98</v>
      </c>
      <c r="AK1144" s="282">
        <f>386+517</f>
        <v>903</v>
      </c>
      <c r="AL1144" s="260" t="s">
        <v>98</v>
      </c>
      <c r="AM1144" s="260" t="s">
        <v>292</v>
      </c>
      <c r="AN1144" s="254">
        <v>42.7</v>
      </c>
      <c r="AO1144" s="261">
        <f t="shared" si="347"/>
        <v>42.74640088593577</v>
      </c>
      <c r="AP1144" s="254" t="s">
        <v>276</v>
      </c>
      <c r="AQ1144" s="254" t="s">
        <v>276</v>
      </c>
      <c r="AR1144" s="254" t="s">
        <v>98</v>
      </c>
      <c r="AS1144" s="254" t="s">
        <v>98</v>
      </c>
      <c r="AT1144" s="254" t="s">
        <v>98</v>
      </c>
      <c r="AU1144" s="254" t="str">
        <f t="shared" si="348"/>
        <v>NR</v>
      </c>
      <c r="AV1144" s="254" t="s">
        <v>98</v>
      </c>
      <c r="AW1144" s="254" t="s">
        <v>98</v>
      </c>
      <c r="AX1144" s="254" t="s">
        <v>98</v>
      </c>
      <c r="AY1144" s="254" t="s">
        <v>98</v>
      </c>
      <c r="AZ1144" s="254" t="s">
        <v>98</v>
      </c>
      <c r="BA1144" s="254" t="s">
        <v>98</v>
      </c>
      <c r="BB1144" s="254" t="s">
        <v>98</v>
      </c>
      <c r="BC1144" s="254" t="s">
        <v>98</v>
      </c>
      <c r="BD1144" s="254" t="s">
        <v>98</v>
      </c>
      <c r="BE1144" s="254" t="s">
        <v>98</v>
      </c>
      <c r="BF1144" s="255" t="s">
        <v>6616</v>
      </c>
      <c r="BG1144" s="255" t="s">
        <v>6607</v>
      </c>
      <c r="BH1144" s="9" t="s">
        <v>99</v>
      </c>
      <c r="BI1144" s="9" t="s">
        <v>100</v>
      </c>
      <c r="BJ1144" s="284"/>
      <c r="BN1144" s="284"/>
      <c r="BO1144" s="284"/>
    </row>
    <row r="1145" spans="1:67" s="285" customFormat="1" ht="52" hidden="1" x14ac:dyDescent="0.35">
      <c r="A1145" s="254">
        <v>270</v>
      </c>
      <c r="B1145" s="255" t="s">
        <v>6466</v>
      </c>
      <c r="C1145" s="255" t="s">
        <v>47</v>
      </c>
      <c r="D1145" s="255" t="s">
        <v>6617</v>
      </c>
      <c r="E1145" s="254" t="s">
        <v>36</v>
      </c>
      <c r="F1145" s="254" t="s">
        <v>123</v>
      </c>
      <c r="G1145" s="254" t="s">
        <v>225</v>
      </c>
      <c r="H1145" s="254" t="s">
        <v>225</v>
      </c>
      <c r="I1145" s="254" t="s">
        <v>98</v>
      </c>
      <c r="J1145" s="255" t="s">
        <v>98</v>
      </c>
      <c r="K1145" s="254" t="s">
        <v>98</v>
      </c>
      <c r="L1145" s="254" t="s">
        <v>98</v>
      </c>
      <c r="M1145" s="254" t="s">
        <v>98</v>
      </c>
      <c r="N1145" s="255" t="s">
        <v>6603</v>
      </c>
      <c r="O1145" s="255" t="s">
        <v>6604</v>
      </c>
      <c r="P1145" s="255" t="s">
        <v>236</v>
      </c>
      <c r="Q1145" s="343">
        <v>41274</v>
      </c>
      <c r="R1145" s="255" t="s">
        <v>276</v>
      </c>
      <c r="S1145" s="255" t="s">
        <v>276</v>
      </c>
      <c r="T1145" s="255" t="s">
        <v>98</v>
      </c>
      <c r="U1145" s="255" t="s">
        <v>276</v>
      </c>
      <c r="V1145" s="254" t="s">
        <v>16</v>
      </c>
      <c r="W1145" s="255" t="s">
        <v>170</v>
      </c>
      <c r="X1145" s="255" t="s">
        <v>209</v>
      </c>
      <c r="Y1145" s="282">
        <v>89712</v>
      </c>
      <c r="Z1145" s="255" t="s">
        <v>98</v>
      </c>
      <c r="AA1145" s="255" t="s">
        <v>276</v>
      </c>
      <c r="AB1145" s="255" t="s">
        <v>98</v>
      </c>
      <c r="AC1145" s="254">
        <v>0</v>
      </c>
      <c r="AD1145" s="255" t="s">
        <v>6533</v>
      </c>
      <c r="AE1145" s="254" t="s">
        <v>98</v>
      </c>
      <c r="AF1145" s="254" t="s">
        <v>98</v>
      </c>
      <c r="AG1145" s="255" t="s">
        <v>6609</v>
      </c>
      <c r="AH1145" s="255" t="s">
        <v>6618</v>
      </c>
      <c r="AI1145" s="260">
        <v>220</v>
      </c>
      <c r="AJ1145" s="260" t="s">
        <v>98</v>
      </c>
      <c r="AK1145" s="282">
        <f>220+305</f>
        <v>525</v>
      </c>
      <c r="AL1145" s="260" t="s">
        <v>98</v>
      </c>
      <c r="AM1145" s="260" t="s">
        <v>292</v>
      </c>
      <c r="AN1145" s="254">
        <v>41.7</v>
      </c>
      <c r="AO1145" s="261">
        <f t="shared" si="347"/>
        <v>41.904761904761905</v>
      </c>
      <c r="AP1145" s="254" t="s">
        <v>276</v>
      </c>
      <c r="AQ1145" s="254" t="s">
        <v>276</v>
      </c>
      <c r="AR1145" s="254" t="s">
        <v>98</v>
      </c>
      <c r="AS1145" s="254" t="s">
        <v>98</v>
      </c>
      <c r="AT1145" s="254" t="s">
        <v>98</v>
      </c>
      <c r="AU1145" s="254" t="str">
        <f t="shared" si="348"/>
        <v>NR</v>
      </c>
      <c r="AV1145" s="254" t="s">
        <v>98</v>
      </c>
      <c r="AW1145" s="254" t="s">
        <v>98</v>
      </c>
      <c r="AX1145" s="254" t="s">
        <v>98</v>
      </c>
      <c r="AY1145" s="254" t="s">
        <v>98</v>
      </c>
      <c r="AZ1145" s="254" t="s">
        <v>98</v>
      </c>
      <c r="BA1145" s="254" t="s">
        <v>98</v>
      </c>
      <c r="BB1145" s="254" t="s">
        <v>98</v>
      </c>
      <c r="BC1145" s="254" t="s">
        <v>98</v>
      </c>
      <c r="BD1145" s="254" t="s">
        <v>98</v>
      </c>
      <c r="BE1145" s="254" t="s">
        <v>98</v>
      </c>
      <c r="BF1145" s="255" t="s">
        <v>6616</v>
      </c>
      <c r="BG1145" s="255" t="s">
        <v>6607</v>
      </c>
      <c r="BH1145" s="9" t="s">
        <v>100</v>
      </c>
      <c r="BI1145" s="9" t="s">
        <v>100</v>
      </c>
      <c r="BJ1145" s="284"/>
      <c r="BN1145" s="284"/>
      <c r="BO1145" s="284"/>
    </row>
    <row r="1146" spans="1:67" s="285" customFormat="1" ht="52" hidden="1" x14ac:dyDescent="0.35">
      <c r="A1146" s="254">
        <v>270</v>
      </c>
      <c r="B1146" s="255" t="s">
        <v>6466</v>
      </c>
      <c r="C1146" s="255" t="s">
        <v>47</v>
      </c>
      <c r="D1146" s="255" t="s">
        <v>6619</v>
      </c>
      <c r="E1146" s="254" t="s">
        <v>36</v>
      </c>
      <c r="F1146" s="254" t="s">
        <v>123</v>
      </c>
      <c r="G1146" s="254" t="s">
        <v>225</v>
      </c>
      <c r="H1146" s="254" t="s">
        <v>225</v>
      </c>
      <c r="I1146" s="254" t="s">
        <v>98</v>
      </c>
      <c r="J1146" s="255" t="s">
        <v>98</v>
      </c>
      <c r="K1146" s="254" t="s">
        <v>98</v>
      </c>
      <c r="L1146" s="254" t="s">
        <v>98</v>
      </c>
      <c r="M1146" s="254" t="s">
        <v>98</v>
      </c>
      <c r="N1146" s="255" t="s">
        <v>6603</v>
      </c>
      <c r="O1146" s="255" t="s">
        <v>6604</v>
      </c>
      <c r="P1146" s="255" t="s">
        <v>236</v>
      </c>
      <c r="Q1146" s="343">
        <v>41274</v>
      </c>
      <c r="R1146" s="255" t="s">
        <v>276</v>
      </c>
      <c r="S1146" s="255" t="s">
        <v>276</v>
      </c>
      <c r="T1146" s="255" t="s">
        <v>98</v>
      </c>
      <c r="U1146" s="255" t="s">
        <v>276</v>
      </c>
      <c r="V1146" s="254" t="s">
        <v>16</v>
      </c>
      <c r="W1146" s="255" t="s">
        <v>171</v>
      </c>
      <c r="X1146" s="255" t="s">
        <v>209</v>
      </c>
      <c r="Y1146" s="282">
        <v>90498</v>
      </c>
      <c r="Z1146" s="255" t="s">
        <v>98</v>
      </c>
      <c r="AA1146" s="255" t="s">
        <v>276</v>
      </c>
      <c r="AB1146" s="255" t="s">
        <v>98</v>
      </c>
      <c r="AC1146" s="254">
        <v>0</v>
      </c>
      <c r="AD1146" s="255" t="s">
        <v>6533</v>
      </c>
      <c r="AE1146" s="254" t="s">
        <v>98</v>
      </c>
      <c r="AF1146" s="254" t="s">
        <v>98</v>
      </c>
      <c r="AG1146" s="255" t="s">
        <v>6609</v>
      </c>
      <c r="AH1146" s="255" t="s">
        <v>6620</v>
      </c>
      <c r="AI1146" s="260">
        <v>166</v>
      </c>
      <c r="AJ1146" s="260" t="s">
        <v>98</v>
      </c>
      <c r="AK1146" s="282">
        <f>166+212</f>
        <v>378</v>
      </c>
      <c r="AL1146" s="260" t="s">
        <v>98</v>
      </c>
      <c r="AM1146" s="260" t="s">
        <v>292</v>
      </c>
      <c r="AN1146" s="254">
        <v>43.9</v>
      </c>
      <c r="AO1146" s="261">
        <f t="shared" si="347"/>
        <v>43.915343915343918</v>
      </c>
      <c r="AP1146" s="254" t="s">
        <v>276</v>
      </c>
      <c r="AQ1146" s="254" t="s">
        <v>276</v>
      </c>
      <c r="AR1146" s="254" t="s">
        <v>98</v>
      </c>
      <c r="AS1146" s="254" t="s">
        <v>98</v>
      </c>
      <c r="AT1146" s="254" t="s">
        <v>98</v>
      </c>
      <c r="AU1146" s="254" t="str">
        <f t="shared" si="348"/>
        <v>NR</v>
      </c>
      <c r="AV1146" s="254" t="s">
        <v>98</v>
      </c>
      <c r="AW1146" s="254" t="s">
        <v>98</v>
      </c>
      <c r="AX1146" s="254" t="s">
        <v>98</v>
      </c>
      <c r="AY1146" s="254" t="s">
        <v>98</v>
      </c>
      <c r="AZ1146" s="254" t="s">
        <v>98</v>
      </c>
      <c r="BA1146" s="254" t="s">
        <v>98</v>
      </c>
      <c r="BB1146" s="254" t="s">
        <v>98</v>
      </c>
      <c r="BC1146" s="254" t="s">
        <v>98</v>
      </c>
      <c r="BD1146" s="254" t="s">
        <v>98</v>
      </c>
      <c r="BE1146" s="254" t="s">
        <v>98</v>
      </c>
      <c r="BF1146" s="255" t="s">
        <v>6616</v>
      </c>
      <c r="BG1146" s="255" t="s">
        <v>6607</v>
      </c>
      <c r="BH1146" s="9" t="s">
        <v>100</v>
      </c>
      <c r="BI1146" s="9" t="s">
        <v>100</v>
      </c>
      <c r="BJ1146" s="284"/>
      <c r="BN1146" s="284"/>
      <c r="BO1146" s="284"/>
    </row>
    <row r="1147" spans="1:67" s="638" customFormat="1" ht="52" hidden="1" x14ac:dyDescent="0.35">
      <c r="A1147" s="545">
        <v>7850</v>
      </c>
      <c r="B1147" s="545" t="s">
        <v>6621</v>
      </c>
      <c r="C1147" s="545" t="s">
        <v>46</v>
      </c>
      <c r="D1147" s="546" t="s">
        <v>6721</v>
      </c>
      <c r="E1147" s="545" t="s">
        <v>36</v>
      </c>
      <c r="F1147" s="545" t="s">
        <v>123</v>
      </c>
      <c r="G1147" s="545" t="s">
        <v>225</v>
      </c>
      <c r="H1147" s="545" t="s">
        <v>225</v>
      </c>
      <c r="I1147" s="545" t="s">
        <v>98</v>
      </c>
      <c r="J1147" s="546" t="s">
        <v>98</v>
      </c>
      <c r="K1147" s="545" t="s">
        <v>98</v>
      </c>
      <c r="L1147" s="545" t="s">
        <v>98</v>
      </c>
      <c r="M1147" s="545" t="s">
        <v>98</v>
      </c>
      <c r="N1147" s="546" t="s">
        <v>6722</v>
      </c>
      <c r="O1147" s="546" t="s">
        <v>276</v>
      </c>
      <c r="P1147" s="546" t="s">
        <v>238</v>
      </c>
      <c r="Q1147" s="613">
        <v>31656</v>
      </c>
      <c r="R1147" s="546" t="s">
        <v>276</v>
      </c>
      <c r="S1147" s="546" t="s">
        <v>276</v>
      </c>
      <c r="T1147" s="546" t="s">
        <v>98</v>
      </c>
      <c r="U1147" s="546">
        <v>1</v>
      </c>
      <c r="V1147" s="545" t="s">
        <v>14</v>
      </c>
      <c r="W1147" s="545" t="s">
        <v>98</v>
      </c>
      <c r="X1147" s="546" t="s">
        <v>209</v>
      </c>
      <c r="Y1147" s="550">
        <v>30970</v>
      </c>
      <c r="Z1147" s="546" t="s">
        <v>98</v>
      </c>
      <c r="AA1147" s="546" t="s">
        <v>276</v>
      </c>
      <c r="AB1147" s="546" t="s">
        <v>98</v>
      </c>
      <c r="AC1147" s="545">
        <v>0</v>
      </c>
      <c r="AD1147" s="545" t="s">
        <v>6723</v>
      </c>
      <c r="AE1147" s="545" t="s">
        <v>98</v>
      </c>
      <c r="AF1147" s="545" t="s">
        <v>98</v>
      </c>
      <c r="AG1147" s="546" t="s">
        <v>6724</v>
      </c>
      <c r="AH1147" s="546" t="s">
        <v>6725</v>
      </c>
      <c r="AI1147" s="551">
        <v>37</v>
      </c>
      <c r="AJ1147" s="551" t="s">
        <v>98</v>
      </c>
      <c r="AK1147" s="550">
        <v>30970</v>
      </c>
      <c r="AL1147" s="551" t="s">
        <v>98</v>
      </c>
      <c r="AM1147" s="551" t="s">
        <v>2047</v>
      </c>
      <c r="AN1147" s="545" t="s">
        <v>276</v>
      </c>
      <c r="AO1147" s="553">
        <f>AI1147*1000/AK1147</f>
        <v>1.1947045527930256</v>
      </c>
      <c r="AP1147" s="545" t="s">
        <v>276</v>
      </c>
      <c r="AQ1147" s="545" t="s">
        <v>276</v>
      </c>
      <c r="AR1147" s="545" t="s">
        <v>98</v>
      </c>
      <c r="AS1147" s="545" t="s">
        <v>98</v>
      </c>
      <c r="AT1147" s="545" t="s">
        <v>98</v>
      </c>
      <c r="AU1147" s="545" t="s">
        <v>98</v>
      </c>
      <c r="AV1147" s="545" t="s">
        <v>98</v>
      </c>
      <c r="AW1147" s="545" t="s">
        <v>98</v>
      </c>
      <c r="AX1147" s="545" t="s">
        <v>98</v>
      </c>
      <c r="AY1147" s="545" t="s">
        <v>98</v>
      </c>
      <c r="AZ1147" s="545" t="s">
        <v>98</v>
      </c>
      <c r="BA1147" s="545" t="s">
        <v>98</v>
      </c>
      <c r="BB1147" s="545" t="s">
        <v>98</v>
      </c>
      <c r="BC1147" s="545" t="s">
        <v>98</v>
      </c>
      <c r="BD1147" s="545" t="s">
        <v>98</v>
      </c>
      <c r="BE1147" s="545" t="s">
        <v>98</v>
      </c>
      <c r="BF1147" s="546" t="s">
        <v>4579</v>
      </c>
      <c r="BG1147" s="546"/>
      <c r="BH1147" s="9" t="s">
        <v>100</v>
      </c>
      <c r="BI1147" s="9" t="s">
        <v>100</v>
      </c>
      <c r="BJ1147" s="637"/>
      <c r="BN1147" s="637"/>
      <c r="BO1147" s="637"/>
    </row>
    <row r="1148" spans="1:67" s="638" customFormat="1" ht="65" hidden="1" x14ac:dyDescent="0.35">
      <c r="A1148" s="545">
        <v>7850</v>
      </c>
      <c r="B1148" s="545" t="s">
        <v>6621</v>
      </c>
      <c r="C1148" s="545" t="s">
        <v>46</v>
      </c>
      <c r="D1148" s="780" t="s">
        <v>11286</v>
      </c>
      <c r="E1148" s="545" t="s">
        <v>36</v>
      </c>
      <c r="F1148" s="545" t="s">
        <v>123</v>
      </c>
      <c r="G1148" s="545" t="s">
        <v>225</v>
      </c>
      <c r="H1148" s="545" t="s">
        <v>225</v>
      </c>
      <c r="I1148" s="545" t="s">
        <v>98</v>
      </c>
      <c r="J1148" s="546" t="s">
        <v>98</v>
      </c>
      <c r="K1148" s="545" t="s">
        <v>98</v>
      </c>
      <c r="L1148" s="545" t="s">
        <v>98</v>
      </c>
      <c r="M1148" s="545" t="s">
        <v>98</v>
      </c>
      <c r="N1148" s="546" t="s">
        <v>6722</v>
      </c>
      <c r="O1148" s="546" t="s">
        <v>276</v>
      </c>
      <c r="P1148" s="546" t="s">
        <v>238</v>
      </c>
      <c r="Q1148" s="613">
        <v>31656</v>
      </c>
      <c r="R1148" s="546" t="s">
        <v>276</v>
      </c>
      <c r="S1148" s="546" t="s">
        <v>276</v>
      </c>
      <c r="T1148" s="546" t="s">
        <v>98</v>
      </c>
      <c r="U1148" s="546">
        <v>1</v>
      </c>
      <c r="V1148" s="545" t="s">
        <v>14</v>
      </c>
      <c r="W1148" s="545" t="s">
        <v>98</v>
      </c>
      <c r="X1148" s="546" t="s">
        <v>209</v>
      </c>
      <c r="Y1148" s="550">
        <v>30970</v>
      </c>
      <c r="Z1148" s="546" t="s">
        <v>98</v>
      </c>
      <c r="AA1148" s="546" t="s">
        <v>276</v>
      </c>
      <c r="AB1148" s="546" t="s">
        <v>98</v>
      </c>
      <c r="AC1148" s="545">
        <v>0</v>
      </c>
      <c r="AD1148" s="545" t="s">
        <v>6723</v>
      </c>
      <c r="AE1148" s="545" t="s">
        <v>98</v>
      </c>
      <c r="AF1148" s="545" t="s">
        <v>98</v>
      </c>
      <c r="AG1148" s="546" t="s">
        <v>11287</v>
      </c>
      <c r="AH1148" s="546" t="s">
        <v>6725</v>
      </c>
      <c r="AI1148" s="551">
        <v>86</v>
      </c>
      <c r="AJ1148" s="551" t="s">
        <v>98</v>
      </c>
      <c r="AK1148" s="550">
        <v>30970</v>
      </c>
      <c r="AL1148" s="551" t="s">
        <v>98</v>
      </c>
      <c r="AM1148" s="551" t="s">
        <v>2047</v>
      </c>
      <c r="AN1148" s="545" t="s">
        <v>276</v>
      </c>
      <c r="AO1148" s="553">
        <f>AI1148*1000/AK1148</f>
        <v>2.7768808524378432</v>
      </c>
      <c r="AP1148" s="545" t="s">
        <v>276</v>
      </c>
      <c r="AQ1148" s="545" t="s">
        <v>276</v>
      </c>
      <c r="AR1148" s="545" t="s">
        <v>98</v>
      </c>
      <c r="AS1148" s="545" t="s">
        <v>98</v>
      </c>
      <c r="AT1148" s="545" t="s">
        <v>98</v>
      </c>
      <c r="AU1148" s="545" t="s">
        <v>98</v>
      </c>
      <c r="AV1148" s="545" t="s">
        <v>98</v>
      </c>
      <c r="AW1148" s="545" t="s">
        <v>98</v>
      </c>
      <c r="AX1148" s="545" t="s">
        <v>98</v>
      </c>
      <c r="AY1148" s="545" t="s">
        <v>98</v>
      </c>
      <c r="AZ1148" s="545" t="s">
        <v>98</v>
      </c>
      <c r="BA1148" s="545" t="s">
        <v>98</v>
      </c>
      <c r="BB1148" s="545" t="s">
        <v>98</v>
      </c>
      <c r="BC1148" s="545" t="s">
        <v>98</v>
      </c>
      <c r="BD1148" s="545" t="s">
        <v>98</v>
      </c>
      <c r="BE1148" s="545" t="s">
        <v>98</v>
      </c>
      <c r="BF1148" s="546" t="s">
        <v>4579</v>
      </c>
      <c r="BG1148" s="546"/>
      <c r="BH1148" s="9" t="s">
        <v>100</v>
      </c>
      <c r="BI1148" s="9" t="s">
        <v>100</v>
      </c>
      <c r="BJ1148" s="637"/>
      <c r="BN1148" s="637"/>
      <c r="BO1148" s="637"/>
    </row>
    <row r="1149" spans="1:67" s="638" customFormat="1" ht="52" hidden="1" x14ac:dyDescent="0.35">
      <c r="A1149" s="545">
        <v>7850</v>
      </c>
      <c r="B1149" s="545" t="s">
        <v>6621</v>
      </c>
      <c r="C1149" s="545" t="s">
        <v>46</v>
      </c>
      <c r="D1149" s="546" t="s">
        <v>6726</v>
      </c>
      <c r="E1149" s="545" t="s">
        <v>36</v>
      </c>
      <c r="F1149" s="545" t="s">
        <v>123</v>
      </c>
      <c r="G1149" s="545" t="s">
        <v>225</v>
      </c>
      <c r="H1149" s="545" t="s">
        <v>225</v>
      </c>
      <c r="I1149" s="545" t="s">
        <v>98</v>
      </c>
      <c r="J1149" s="546" t="s">
        <v>98</v>
      </c>
      <c r="K1149" s="545" t="s">
        <v>98</v>
      </c>
      <c r="L1149" s="545" t="s">
        <v>98</v>
      </c>
      <c r="M1149" s="545" t="s">
        <v>98</v>
      </c>
      <c r="N1149" s="546" t="s">
        <v>6722</v>
      </c>
      <c r="O1149" s="546" t="s">
        <v>276</v>
      </c>
      <c r="P1149" s="546" t="s">
        <v>238</v>
      </c>
      <c r="Q1149" s="613">
        <v>31656</v>
      </c>
      <c r="R1149" s="546" t="s">
        <v>276</v>
      </c>
      <c r="S1149" s="546" t="s">
        <v>276</v>
      </c>
      <c r="T1149" s="546" t="s">
        <v>98</v>
      </c>
      <c r="U1149" s="546">
        <v>1</v>
      </c>
      <c r="V1149" s="545" t="s">
        <v>14</v>
      </c>
      <c r="W1149" s="545" t="s">
        <v>98</v>
      </c>
      <c r="X1149" s="546" t="s">
        <v>209</v>
      </c>
      <c r="Y1149" s="550">
        <v>30970</v>
      </c>
      <c r="Z1149" s="546" t="s">
        <v>98</v>
      </c>
      <c r="AA1149" s="546" t="s">
        <v>276</v>
      </c>
      <c r="AB1149" s="546" t="s">
        <v>98</v>
      </c>
      <c r="AC1149" s="545">
        <v>0</v>
      </c>
      <c r="AD1149" s="545" t="s">
        <v>6723</v>
      </c>
      <c r="AE1149" s="545" t="s">
        <v>98</v>
      </c>
      <c r="AF1149" s="545" t="s">
        <v>98</v>
      </c>
      <c r="AG1149" s="546" t="s">
        <v>6727</v>
      </c>
      <c r="AH1149" s="546" t="s">
        <v>6725</v>
      </c>
      <c r="AI1149" s="551">
        <v>123</v>
      </c>
      <c r="AJ1149" s="551" t="s">
        <v>98</v>
      </c>
      <c r="AK1149" s="550">
        <v>30970</v>
      </c>
      <c r="AL1149" s="551" t="s">
        <v>98</v>
      </c>
      <c r="AM1149" s="551" t="s">
        <v>2047</v>
      </c>
      <c r="AN1149" s="545" t="s">
        <v>276</v>
      </c>
      <c r="AO1149" s="553">
        <f>AI1149*1000/AK1149</f>
        <v>3.9715854052308686</v>
      </c>
      <c r="AP1149" s="545" t="s">
        <v>276</v>
      </c>
      <c r="AQ1149" s="545" t="s">
        <v>276</v>
      </c>
      <c r="AR1149" s="545" t="s">
        <v>98</v>
      </c>
      <c r="AS1149" s="545" t="s">
        <v>98</v>
      </c>
      <c r="AT1149" s="545" t="s">
        <v>98</v>
      </c>
      <c r="AU1149" s="545" t="s">
        <v>98</v>
      </c>
      <c r="AV1149" s="545" t="s">
        <v>98</v>
      </c>
      <c r="AW1149" s="545" t="s">
        <v>98</v>
      </c>
      <c r="AX1149" s="545" t="s">
        <v>98</v>
      </c>
      <c r="AY1149" s="545" t="s">
        <v>98</v>
      </c>
      <c r="AZ1149" s="545" t="s">
        <v>98</v>
      </c>
      <c r="BA1149" s="545" t="s">
        <v>98</v>
      </c>
      <c r="BB1149" s="545" t="s">
        <v>98</v>
      </c>
      <c r="BC1149" s="545" t="s">
        <v>98</v>
      </c>
      <c r="BD1149" s="545" t="s">
        <v>98</v>
      </c>
      <c r="BE1149" s="545" t="s">
        <v>98</v>
      </c>
      <c r="BF1149" s="546" t="s">
        <v>6728</v>
      </c>
      <c r="BG1149" s="546"/>
      <c r="BH1149" s="9" t="s">
        <v>100</v>
      </c>
      <c r="BI1149" s="9" t="s">
        <v>100</v>
      </c>
      <c r="BJ1149" s="637"/>
      <c r="BN1149" s="637"/>
      <c r="BO1149" s="637"/>
    </row>
    <row r="1150" spans="1:67" s="638" customFormat="1" ht="52" hidden="1" x14ac:dyDescent="0.35">
      <c r="A1150" s="545">
        <v>7850</v>
      </c>
      <c r="B1150" s="545" t="s">
        <v>6621</v>
      </c>
      <c r="C1150" s="545" t="s">
        <v>46</v>
      </c>
      <c r="D1150" s="546" t="s">
        <v>6729</v>
      </c>
      <c r="E1150" s="545" t="s">
        <v>36</v>
      </c>
      <c r="F1150" s="545" t="s">
        <v>123</v>
      </c>
      <c r="G1150" s="545" t="s">
        <v>225</v>
      </c>
      <c r="H1150" s="545" t="s">
        <v>225</v>
      </c>
      <c r="I1150" s="545" t="s">
        <v>98</v>
      </c>
      <c r="J1150" s="546" t="s">
        <v>98</v>
      </c>
      <c r="K1150" s="545" t="s">
        <v>98</v>
      </c>
      <c r="L1150" s="545" t="s">
        <v>98</v>
      </c>
      <c r="M1150" s="545" t="s">
        <v>98</v>
      </c>
      <c r="N1150" s="546" t="s">
        <v>6722</v>
      </c>
      <c r="O1150" s="546" t="s">
        <v>276</v>
      </c>
      <c r="P1150" s="546" t="s">
        <v>236</v>
      </c>
      <c r="Q1150" s="613">
        <v>31656</v>
      </c>
      <c r="R1150" s="546" t="s">
        <v>276</v>
      </c>
      <c r="S1150" s="546" t="s">
        <v>276</v>
      </c>
      <c r="T1150" s="546" t="s">
        <v>98</v>
      </c>
      <c r="U1150" s="546">
        <v>1</v>
      </c>
      <c r="V1150" s="545" t="s">
        <v>14</v>
      </c>
      <c r="W1150" s="545" t="s">
        <v>98</v>
      </c>
      <c r="X1150" s="546" t="s">
        <v>209</v>
      </c>
      <c r="Y1150" s="550" t="s">
        <v>98</v>
      </c>
      <c r="Z1150" s="546" t="s">
        <v>98</v>
      </c>
      <c r="AA1150" s="546" t="s">
        <v>276</v>
      </c>
      <c r="AB1150" s="546" t="s">
        <v>98</v>
      </c>
      <c r="AC1150" s="545">
        <v>0</v>
      </c>
      <c r="AD1150" s="545" t="s">
        <v>6723</v>
      </c>
      <c r="AE1150" s="545" t="s">
        <v>98</v>
      </c>
      <c r="AF1150" s="545" t="s">
        <v>98</v>
      </c>
      <c r="AG1150" s="546" t="s">
        <v>6724</v>
      </c>
      <c r="AH1150" s="546" t="s">
        <v>6730</v>
      </c>
      <c r="AI1150" s="551">
        <v>37</v>
      </c>
      <c r="AJ1150" s="551" t="s">
        <v>98</v>
      </c>
      <c r="AK1150" s="550">
        <v>70</v>
      </c>
      <c r="AL1150" s="551" t="s">
        <v>98</v>
      </c>
      <c r="AM1150" s="551" t="s">
        <v>292</v>
      </c>
      <c r="AN1150" s="545" t="s">
        <v>276</v>
      </c>
      <c r="AO1150" s="553">
        <f>AI1150*100/AK1150</f>
        <v>52.857142857142854</v>
      </c>
      <c r="AP1150" s="545" t="s">
        <v>276</v>
      </c>
      <c r="AQ1150" s="545" t="s">
        <v>276</v>
      </c>
      <c r="AR1150" s="545" t="s">
        <v>98</v>
      </c>
      <c r="AS1150" s="545" t="s">
        <v>98</v>
      </c>
      <c r="AT1150" s="545" t="s">
        <v>98</v>
      </c>
      <c r="AU1150" s="545" t="s">
        <v>98</v>
      </c>
      <c r="AV1150" s="545" t="s">
        <v>98</v>
      </c>
      <c r="AW1150" s="545" t="s">
        <v>98</v>
      </c>
      <c r="AX1150" s="545" t="s">
        <v>98</v>
      </c>
      <c r="AY1150" s="545" t="s">
        <v>98</v>
      </c>
      <c r="AZ1150" s="545" t="s">
        <v>98</v>
      </c>
      <c r="BA1150" s="545" t="s">
        <v>98</v>
      </c>
      <c r="BB1150" s="545" t="s">
        <v>98</v>
      </c>
      <c r="BC1150" s="545" t="s">
        <v>98</v>
      </c>
      <c r="BD1150" s="545" t="s">
        <v>98</v>
      </c>
      <c r="BE1150" s="545" t="s">
        <v>98</v>
      </c>
      <c r="BF1150" s="546" t="s">
        <v>4579</v>
      </c>
      <c r="BG1150" s="546"/>
      <c r="BH1150" s="9" t="s">
        <v>100</v>
      </c>
      <c r="BI1150" s="9" t="s">
        <v>100</v>
      </c>
      <c r="BJ1150" s="637"/>
      <c r="BN1150" s="637"/>
      <c r="BO1150" s="637"/>
    </row>
    <row r="1151" spans="1:67" s="638" customFormat="1" ht="52" hidden="1" x14ac:dyDescent="0.35">
      <c r="A1151" s="545">
        <v>7850</v>
      </c>
      <c r="B1151" s="545" t="s">
        <v>6621</v>
      </c>
      <c r="C1151" s="545" t="s">
        <v>46</v>
      </c>
      <c r="D1151" s="546" t="s">
        <v>11288</v>
      </c>
      <c r="E1151" s="545" t="s">
        <v>36</v>
      </c>
      <c r="F1151" s="545" t="s">
        <v>123</v>
      </c>
      <c r="G1151" s="545" t="s">
        <v>225</v>
      </c>
      <c r="H1151" s="545" t="s">
        <v>225</v>
      </c>
      <c r="I1151" s="545" t="s">
        <v>98</v>
      </c>
      <c r="J1151" s="546" t="s">
        <v>98</v>
      </c>
      <c r="K1151" s="545" t="s">
        <v>98</v>
      </c>
      <c r="L1151" s="545" t="s">
        <v>98</v>
      </c>
      <c r="M1151" s="545" t="s">
        <v>98</v>
      </c>
      <c r="N1151" s="546" t="s">
        <v>6722</v>
      </c>
      <c r="O1151" s="546" t="s">
        <v>276</v>
      </c>
      <c r="P1151" s="546" t="s">
        <v>236</v>
      </c>
      <c r="Q1151" s="613">
        <v>31656</v>
      </c>
      <c r="R1151" s="546" t="s">
        <v>276</v>
      </c>
      <c r="S1151" s="546" t="s">
        <v>276</v>
      </c>
      <c r="T1151" s="546" t="s">
        <v>98</v>
      </c>
      <c r="U1151" s="546">
        <v>1</v>
      </c>
      <c r="V1151" s="545" t="s">
        <v>16</v>
      </c>
      <c r="W1151" s="545" t="s">
        <v>170</v>
      </c>
      <c r="X1151" s="546" t="s">
        <v>209</v>
      </c>
      <c r="Y1151" s="550" t="s">
        <v>98</v>
      </c>
      <c r="Z1151" s="546" t="s">
        <v>98</v>
      </c>
      <c r="AA1151" s="546" t="s">
        <v>276</v>
      </c>
      <c r="AB1151" s="546" t="s">
        <v>98</v>
      </c>
      <c r="AC1151" s="545">
        <v>0</v>
      </c>
      <c r="AD1151" s="545" t="s">
        <v>6723</v>
      </c>
      <c r="AE1151" s="545" t="s">
        <v>98</v>
      </c>
      <c r="AF1151" s="545" t="s">
        <v>98</v>
      </c>
      <c r="AG1151" s="546" t="s">
        <v>11289</v>
      </c>
      <c r="AH1151" s="546" t="s">
        <v>11290</v>
      </c>
      <c r="AI1151" s="551">
        <v>22</v>
      </c>
      <c r="AJ1151" s="551" t="s">
        <v>98</v>
      </c>
      <c r="AK1151" s="550">
        <v>33</v>
      </c>
      <c r="AL1151" s="551" t="s">
        <v>98</v>
      </c>
      <c r="AM1151" s="551" t="s">
        <v>292</v>
      </c>
      <c r="AN1151" s="545" t="s">
        <v>276</v>
      </c>
      <c r="AO1151" s="553">
        <f>AI1151*100/AK1151</f>
        <v>66.666666666666671</v>
      </c>
      <c r="AP1151" s="545" t="s">
        <v>276</v>
      </c>
      <c r="AQ1151" s="545" t="s">
        <v>276</v>
      </c>
      <c r="AR1151" s="545" t="s">
        <v>98</v>
      </c>
      <c r="AS1151" s="545" t="s">
        <v>98</v>
      </c>
      <c r="AT1151" s="545" t="s">
        <v>98</v>
      </c>
      <c r="AU1151" s="545" t="s">
        <v>98</v>
      </c>
      <c r="AV1151" s="545" t="s">
        <v>98</v>
      </c>
      <c r="AW1151" s="545" t="s">
        <v>98</v>
      </c>
      <c r="AX1151" s="545" t="s">
        <v>98</v>
      </c>
      <c r="AY1151" s="545" t="s">
        <v>98</v>
      </c>
      <c r="AZ1151" s="545" t="s">
        <v>98</v>
      </c>
      <c r="BA1151" s="545" t="s">
        <v>98</v>
      </c>
      <c r="BB1151" s="545" t="s">
        <v>98</v>
      </c>
      <c r="BC1151" s="545" t="s">
        <v>98</v>
      </c>
      <c r="BD1151" s="545" t="s">
        <v>98</v>
      </c>
      <c r="BE1151" s="545" t="s">
        <v>98</v>
      </c>
      <c r="BF1151" s="546" t="s">
        <v>4579</v>
      </c>
      <c r="BG1151" s="546"/>
      <c r="BH1151" s="9" t="s">
        <v>100</v>
      </c>
      <c r="BI1151" s="9" t="s">
        <v>100</v>
      </c>
      <c r="BJ1151" s="637"/>
      <c r="BN1151" s="637"/>
      <c r="BO1151" s="637"/>
    </row>
    <row r="1152" spans="1:67" s="638" customFormat="1" ht="52" hidden="1" x14ac:dyDescent="0.35">
      <c r="A1152" s="545">
        <v>7850</v>
      </c>
      <c r="B1152" s="545" t="s">
        <v>6621</v>
      </c>
      <c r="C1152" s="545" t="s">
        <v>46</v>
      </c>
      <c r="D1152" s="546" t="s">
        <v>11291</v>
      </c>
      <c r="E1152" s="545" t="s">
        <v>36</v>
      </c>
      <c r="F1152" s="545" t="s">
        <v>123</v>
      </c>
      <c r="G1152" s="545" t="s">
        <v>225</v>
      </c>
      <c r="H1152" s="545" t="s">
        <v>225</v>
      </c>
      <c r="I1152" s="545" t="s">
        <v>98</v>
      </c>
      <c r="J1152" s="546" t="s">
        <v>98</v>
      </c>
      <c r="K1152" s="545" t="s">
        <v>98</v>
      </c>
      <c r="L1152" s="545" t="s">
        <v>98</v>
      </c>
      <c r="M1152" s="545" t="s">
        <v>98</v>
      </c>
      <c r="N1152" s="546" t="s">
        <v>6722</v>
      </c>
      <c r="O1152" s="546" t="s">
        <v>276</v>
      </c>
      <c r="P1152" s="546" t="s">
        <v>236</v>
      </c>
      <c r="Q1152" s="613">
        <v>31656</v>
      </c>
      <c r="R1152" s="546" t="s">
        <v>276</v>
      </c>
      <c r="S1152" s="546" t="s">
        <v>276</v>
      </c>
      <c r="T1152" s="546" t="s">
        <v>98</v>
      </c>
      <c r="U1152" s="546">
        <v>1</v>
      </c>
      <c r="V1152" s="545" t="s">
        <v>16</v>
      </c>
      <c r="W1152" s="545" t="s">
        <v>171</v>
      </c>
      <c r="X1152" s="546" t="s">
        <v>209</v>
      </c>
      <c r="Y1152" s="550" t="s">
        <v>98</v>
      </c>
      <c r="Z1152" s="546" t="s">
        <v>98</v>
      </c>
      <c r="AA1152" s="546" t="s">
        <v>276</v>
      </c>
      <c r="AB1152" s="546" t="s">
        <v>98</v>
      </c>
      <c r="AC1152" s="545">
        <v>0</v>
      </c>
      <c r="AD1152" s="545" t="s">
        <v>6723</v>
      </c>
      <c r="AE1152" s="545" t="s">
        <v>98</v>
      </c>
      <c r="AF1152" s="545" t="s">
        <v>98</v>
      </c>
      <c r="AG1152" s="546" t="s">
        <v>11292</v>
      </c>
      <c r="AH1152" s="546" t="s">
        <v>11293</v>
      </c>
      <c r="AI1152" s="551">
        <v>15</v>
      </c>
      <c r="AJ1152" s="551" t="s">
        <v>98</v>
      </c>
      <c r="AK1152" s="550">
        <v>37</v>
      </c>
      <c r="AL1152" s="551" t="s">
        <v>98</v>
      </c>
      <c r="AM1152" s="551" t="s">
        <v>292</v>
      </c>
      <c r="AN1152" s="545" t="s">
        <v>276</v>
      </c>
      <c r="AO1152" s="553">
        <f>AI1152*100/AK1152</f>
        <v>40.54054054054054</v>
      </c>
      <c r="AP1152" s="545" t="s">
        <v>276</v>
      </c>
      <c r="AQ1152" s="545" t="s">
        <v>276</v>
      </c>
      <c r="AR1152" s="545" t="s">
        <v>98</v>
      </c>
      <c r="AS1152" s="545" t="s">
        <v>98</v>
      </c>
      <c r="AT1152" s="545" t="s">
        <v>98</v>
      </c>
      <c r="AU1152" s="545" t="s">
        <v>98</v>
      </c>
      <c r="AV1152" s="545" t="s">
        <v>98</v>
      </c>
      <c r="AW1152" s="545" t="s">
        <v>98</v>
      </c>
      <c r="AX1152" s="545" t="s">
        <v>98</v>
      </c>
      <c r="AY1152" s="545" t="s">
        <v>98</v>
      </c>
      <c r="AZ1152" s="545" t="s">
        <v>98</v>
      </c>
      <c r="BA1152" s="545" t="s">
        <v>98</v>
      </c>
      <c r="BB1152" s="545" t="s">
        <v>98</v>
      </c>
      <c r="BC1152" s="545" t="s">
        <v>98</v>
      </c>
      <c r="BD1152" s="545" t="s">
        <v>98</v>
      </c>
      <c r="BE1152" s="545" t="s">
        <v>98</v>
      </c>
      <c r="BF1152" s="546" t="s">
        <v>4579</v>
      </c>
      <c r="BG1152" s="546"/>
      <c r="BH1152" s="9" t="s">
        <v>100</v>
      </c>
      <c r="BI1152" s="9" t="s">
        <v>100</v>
      </c>
      <c r="BJ1152" s="637"/>
      <c r="BN1152" s="637"/>
      <c r="BO1152" s="637"/>
    </row>
    <row r="1153" spans="1:67" s="640" customFormat="1" ht="52" hidden="1" x14ac:dyDescent="0.35">
      <c r="A1153" s="555">
        <v>7850</v>
      </c>
      <c r="B1153" s="555" t="s">
        <v>6621</v>
      </c>
      <c r="C1153" s="555" t="s">
        <v>46</v>
      </c>
      <c r="D1153" s="556" t="s">
        <v>11294</v>
      </c>
      <c r="E1153" s="555" t="s">
        <v>36</v>
      </c>
      <c r="F1153" s="555" t="s">
        <v>123</v>
      </c>
      <c r="G1153" s="555" t="s">
        <v>225</v>
      </c>
      <c r="H1153" s="555" t="s">
        <v>125</v>
      </c>
      <c r="I1153" s="555" t="s">
        <v>114</v>
      </c>
      <c r="J1153" s="556" t="s">
        <v>31</v>
      </c>
      <c r="K1153" s="555" t="s">
        <v>4971</v>
      </c>
      <c r="L1153" s="555" t="s">
        <v>276</v>
      </c>
      <c r="M1153" s="555" t="s">
        <v>276</v>
      </c>
      <c r="N1153" s="556" t="s">
        <v>6722</v>
      </c>
      <c r="O1153" s="556" t="s">
        <v>276</v>
      </c>
      <c r="P1153" s="556" t="s">
        <v>239</v>
      </c>
      <c r="Q1153" s="619">
        <v>31656</v>
      </c>
      <c r="R1153" s="556" t="s">
        <v>6624</v>
      </c>
      <c r="S1153" s="556" t="s">
        <v>276</v>
      </c>
      <c r="T1153" s="556" t="s">
        <v>276</v>
      </c>
      <c r="U1153" s="556">
        <v>1</v>
      </c>
      <c r="V1153" s="555" t="s">
        <v>14</v>
      </c>
      <c r="W1153" s="555" t="s">
        <v>98</v>
      </c>
      <c r="X1153" s="556" t="s">
        <v>207</v>
      </c>
      <c r="Y1153" s="560">
        <v>30970</v>
      </c>
      <c r="Z1153" s="556">
        <v>30968</v>
      </c>
      <c r="AA1153" s="556" t="s">
        <v>276</v>
      </c>
      <c r="AB1153" s="556" t="s">
        <v>276</v>
      </c>
      <c r="AC1153" s="555">
        <v>0</v>
      </c>
      <c r="AD1153" s="555" t="s">
        <v>3921</v>
      </c>
      <c r="AE1153" s="555">
        <v>0</v>
      </c>
      <c r="AF1153" s="555" t="s">
        <v>3921</v>
      </c>
      <c r="AG1153" s="556" t="s">
        <v>6731</v>
      </c>
      <c r="AH1153" s="556" t="s">
        <v>6506</v>
      </c>
      <c r="AI1153" s="561">
        <v>15</v>
      </c>
      <c r="AJ1153" s="561">
        <v>2</v>
      </c>
      <c r="AK1153" s="560">
        <v>30970</v>
      </c>
      <c r="AL1153" s="556">
        <v>30968</v>
      </c>
      <c r="AM1153" s="561" t="s">
        <v>2047</v>
      </c>
      <c r="AN1153" s="555" t="s">
        <v>276</v>
      </c>
      <c r="AO1153" s="563">
        <f t="shared" ref="AO1153:AO1168" si="349">AI1153*1000/AK1153</f>
        <v>0.48433968356474005</v>
      </c>
      <c r="AP1153" s="555" t="s">
        <v>276</v>
      </c>
      <c r="AQ1153" s="555" t="s">
        <v>276</v>
      </c>
      <c r="AR1153" s="563" t="s">
        <v>276</v>
      </c>
      <c r="AS1153" s="563">
        <f>AJ1153*1000/AL1153</f>
        <v>6.4582795143373811E-2</v>
      </c>
      <c r="AT1153" s="555" t="s">
        <v>276</v>
      </c>
      <c r="AU1153" s="555" t="s">
        <v>276</v>
      </c>
      <c r="AV1153" s="555" t="s">
        <v>268</v>
      </c>
      <c r="AW1153" s="555" t="s">
        <v>276</v>
      </c>
      <c r="AX1153" s="563">
        <f t="shared" ref="AX1153:AX1166" si="350">AO1153/AS1153</f>
        <v>7.4995156603164341</v>
      </c>
      <c r="AY1153" s="555" t="s">
        <v>276</v>
      </c>
      <c r="AZ1153" s="555" t="s">
        <v>276</v>
      </c>
      <c r="BA1153" s="555" t="s">
        <v>276</v>
      </c>
      <c r="BB1153" s="555" t="s">
        <v>282</v>
      </c>
      <c r="BC1153" s="555" t="s">
        <v>98</v>
      </c>
      <c r="BD1153" s="555" t="s">
        <v>98</v>
      </c>
      <c r="BE1153" s="555" t="s">
        <v>98</v>
      </c>
      <c r="BF1153" s="556" t="s">
        <v>6732</v>
      </c>
      <c r="BG1153" s="556"/>
      <c r="BH1153" s="9" t="s">
        <v>100</v>
      </c>
      <c r="BI1153" s="9" t="s">
        <v>100</v>
      </c>
      <c r="BJ1153" s="639"/>
      <c r="BN1153" s="639"/>
      <c r="BO1153" s="639"/>
    </row>
    <row r="1154" spans="1:67" s="640" customFormat="1" ht="52" hidden="1" x14ac:dyDescent="0.35">
      <c r="A1154" s="555">
        <v>7850</v>
      </c>
      <c r="B1154" s="555" t="s">
        <v>6621</v>
      </c>
      <c r="C1154" s="555" t="s">
        <v>46</v>
      </c>
      <c r="D1154" s="556" t="s">
        <v>11295</v>
      </c>
      <c r="E1154" s="555" t="s">
        <v>36</v>
      </c>
      <c r="F1154" s="555" t="s">
        <v>123</v>
      </c>
      <c r="G1154" s="555" t="s">
        <v>225</v>
      </c>
      <c r="H1154" s="555" t="s">
        <v>125</v>
      </c>
      <c r="I1154" s="555" t="s">
        <v>114</v>
      </c>
      <c r="J1154" s="556" t="s">
        <v>31</v>
      </c>
      <c r="K1154" s="555" t="s">
        <v>6733</v>
      </c>
      <c r="L1154" s="555" t="s">
        <v>276</v>
      </c>
      <c r="M1154" s="555" t="s">
        <v>276</v>
      </c>
      <c r="N1154" s="556" t="s">
        <v>6722</v>
      </c>
      <c r="O1154" s="556" t="s">
        <v>276</v>
      </c>
      <c r="P1154" s="556" t="s">
        <v>239</v>
      </c>
      <c r="Q1154" s="619">
        <v>31656</v>
      </c>
      <c r="R1154" s="556" t="s">
        <v>6624</v>
      </c>
      <c r="S1154" s="556" t="s">
        <v>276</v>
      </c>
      <c r="T1154" s="556" t="s">
        <v>276</v>
      </c>
      <c r="U1154" s="556">
        <v>1</v>
      </c>
      <c r="V1154" s="555" t="s">
        <v>14</v>
      </c>
      <c r="W1154" s="555" t="s">
        <v>98</v>
      </c>
      <c r="X1154" s="556" t="s">
        <v>207</v>
      </c>
      <c r="Y1154" s="560">
        <v>30970</v>
      </c>
      <c r="Z1154" s="556">
        <v>30968</v>
      </c>
      <c r="AA1154" s="556" t="s">
        <v>276</v>
      </c>
      <c r="AB1154" s="556" t="s">
        <v>276</v>
      </c>
      <c r="AC1154" s="555">
        <v>0</v>
      </c>
      <c r="AD1154" s="555" t="s">
        <v>3921</v>
      </c>
      <c r="AE1154" s="555">
        <v>0</v>
      </c>
      <c r="AF1154" s="555" t="s">
        <v>3921</v>
      </c>
      <c r="AG1154" s="556" t="s">
        <v>6734</v>
      </c>
      <c r="AH1154" s="556" t="s">
        <v>6506</v>
      </c>
      <c r="AI1154" s="561">
        <v>10</v>
      </c>
      <c r="AJ1154" s="561">
        <v>2</v>
      </c>
      <c r="AK1154" s="560">
        <v>30970</v>
      </c>
      <c r="AL1154" s="556">
        <v>30968</v>
      </c>
      <c r="AM1154" s="561" t="s">
        <v>2047</v>
      </c>
      <c r="AN1154" s="555" t="s">
        <v>276</v>
      </c>
      <c r="AO1154" s="563">
        <f t="shared" si="349"/>
        <v>0.32289312237649337</v>
      </c>
      <c r="AP1154" s="555" t="s">
        <v>276</v>
      </c>
      <c r="AQ1154" s="555" t="s">
        <v>276</v>
      </c>
      <c r="AR1154" s="563" t="s">
        <v>276</v>
      </c>
      <c r="AS1154" s="563">
        <f t="shared" ref="AS1154:AS1166" si="351">AJ1154*1000/AL1154</f>
        <v>6.4582795143373811E-2</v>
      </c>
      <c r="AT1154" s="555" t="s">
        <v>276</v>
      </c>
      <c r="AU1154" s="555" t="s">
        <v>276</v>
      </c>
      <c r="AV1154" s="555" t="s">
        <v>268</v>
      </c>
      <c r="AW1154" s="555" t="s">
        <v>276</v>
      </c>
      <c r="AX1154" s="563">
        <f t="shared" si="350"/>
        <v>4.9996771068776225</v>
      </c>
      <c r="AY1154" s="555" t="s">
        <v>276</v>
      </c>
      <c r="AZ1154" s="555" t="s">
        <v>276</v>
      </c>
      <c r="BA1154" s="555" t="s">
        <v>276</v>
      </c>
      <c r="BB1154" s="555" t="s">
        <v>282</v>
      </c>
      <c r="BC1154" s="555" t="s">
        <v>98</v>
      </c>
      <c r="BD1154" s="555" t="s">
        <v>98</v>
      </c>
      <c r="BE1154" s="555" t="s">
        <v>98</v>
      </c>
      <c r="BF1154" s="556" t="s">
        <v>6732</v>
      </c>
      <c r="BG1154" s="556"/>
      <c r="BH1154" s="9" t="s">
        <v>100</v>
      </c>
      <c r="BI1154" s="9" t="s">
        <v>100</v>
      </c>
      <c r="BJ1154" s="639"/>
      <c r="BN1154" s="639"/>
      <c r="BO1154" s="639"/>
    </row>
    <row r="1155" spans="1:67" s="640" customFormat="1" ht="52" hidden="1" x14ac:dyDescent="0.35">
      <c r="A1155" s="555">
        <v>7850</v>
      </c>
      <c r="B1155" s="555" t="s">
        <v>6621</v>
      </c>
      <c r="C1155" s="555" t="s">
        <v>46</v>
      </c>
      <c r="D1155" s="556" t="s">
        <v>11296</v>
      </c>
      <c r="E1155" s="555" t="s">
        <v>36</v>
      </c>
      <c r="F1155" s="555" t="s">
        <v>123</v>
      </c>
      <c r="G1155" s="555" t="s">
        <v>225</v>
      </c>
      <c r="H1155" s="555" t="s">
        <v>125</v>
      </c>
      <c r="I1155" s="555" t="s">
        <v>114</v>
      </c>
      <c r="J1155" s="556" t="s">
        <v>31</v>
      </c>
      <c r="K1155" s="555" t="s">
        <v>6735</v>
      </c>
      <c r="L1155" s="555" t="s">
        <v>276</v>
      </c>
      <c r="M1155" s="555" t="s">
        <v>276</v>
      </c>
      <c r="N1155" s="556" t="s">
        <v>6722</v>
      </c>
      <c r="O1155" s="556" t="s">
        <v>276</v>
      </c>
      <c r="P1155" s="556" t="s">
        <v>239</v>
      </c>
      <c r="Q1155" s="619">
        <v>31656</v>
      </c>
      <c r="R1155" s="556" t="s">
        <v>6624</v>
      </c>
      <c r="S1155" s="556" t="s">
        <v>276</v>
      </c>
      <c r="T1155" s="556" t="s">
        <v>276</v>
      </c>
      <c r="U1155" s="556">
        <v>1</v>
      </c>
      <c r="V1155" s="555" t="s">
        <v>14</v>
      </c>
      <c r="W1155" s="555" t="s">
        <v>98</v>
      </c>
      <c r="X1155" s="556" t="s">
        <v>207</v>
      </c>
      <c r="Y1155" s="560">
        <v>30970</v>
      </c>
      <c r="Z1155" s="556">
        <v>30968</v>
      </c>
      <c r="AA1155" s="556" t="s">
        <v>276</v>
      </c>
      <c r="AB1155" s="556" t="s">
        <v>276</v>
      </c>
      <c r="AC1155" s="555">
        <v>0</v>
      </c>
      <c r="AD1155" s="555" t="s">
        <v>3921</v>
      </c>
      <c r="AE1155" s="555">
        <v>0</v>
      </c>
      <c r="AF1155" s="555" t="s">
        <v>3921</v>
      </c>
      <c r="AG1155" s="556" t="s">
        <v>6736</v>
      </c>
      <c r="AH1155" s="556" t="s">
        <v>6506</v>
      </c>
      <c r="AI1155" s="561">
        <v>45</v>
      </c>
      <c r="AJ1155" s="561">
        <v>34</v>
      </c>
      <c r="AK1155" s="560">
        <v>30970</v>
      </c>
      <c r="AL1155" s="556">
        <v>30968</v>
      </c>
      <c r="AM1155" s="561" t="s">
        <v>2047</v>
      </c>
      <c r="AN1155" s="555" t="s">
        <v>276</v>
      </c>
      <c r="AO1155" s="563">
        <f t="shared" si="349"/>
        <v>1.4530190506942202</v>
      </c>
      <c r="AP1155" s="555" t="s">
        <v>276</v>
      </c>
      <c r="AQ1155" s="555" t="s">
        <v>276</v>
      </c>
      <c r="AR1155" s="563" t="s">
        <v>276</v>
      </c>
      <c r="AS1155" s="563">
        <f t="shared" si="351"/>
        <v>1.0979075174373547</v>
      </c>
      <c r="AT1155" s="555" t="s">
        <v>276</v>
      </c>
      <c r="AU1155" s="555" t="s">
        <v>276</v>
      </c>
      <c r="AV1155" s="555" t="s">
        <v>268</v>
      </c>
      <c r="AW1155" s="555" t="s">
        <v>276</v>
      </c>
      <c r="AX1155" s="563">
        <f t="shared" si="350"/>
        <v>1.3234439400558415</v>
      </c>
      <c r="AY1155" s="555" t="s">
        <v>276</v>
      </c>
      <c r="AZ1155" s="555" t="s">
        <v>276</v>
      </c>
      <c r="BA1155" s="555" t="s">
        <v>276</v>
      </c>
      <c r="BB1155" s="555" t="s">
        <v>282</v>
      </c>
      <c r="BC1155" s="555" t="s">
        <v>98</v>
      </c>
      <c r="BD1155" s="555" t="s">
        <v>98</v>
      </c>
      <c r="BE1155" s="555" t="s">
        <v>98</v>
      </c>
      <c r="BF1155" s="556" t="s">
        <v>6732</v>
      </c>
      <c r="BG1155" s="556"/>
      <c r="BH1155" s="9" t="s">
        <v>100</v>
      </c>
      <c r="BI1155" s="9" t="s">
        <v>100</v>
      </c>
      <c r="BJ1155" s="639"/>
      <c r="BN1155" s="639"/>
      <c r="BO1155" s="639"/>
    </row>
    <row r="1156" spans="1:67" s="638" customFormat="1" ht="52" hidden="1" x14ac:dyDescent="0.35">
      <c r="A1156" s="545">
        <v>7850</v>
      </c>
      <c r="B1156" s="545" t="s">
        <v>6621</v>
      </c>
      <c r="C1156" s="545" t="s">
        <v>46</v>
      </c>
      <c r="D1156" s="546" t="s">
        <v>11297</v>
      </c>
      <c r="E1156" s="545" t="s">
        <v>36</v>
      </c>
      <c r="F1156" s="545" t="s">
        <v>123</v>
      </c>
      <c r="G1156" s="545" t="s">
        <v>225</v>
      </c>
      <c r="H1156" s="545" t="s">
        <v>125</v>
      </c>
      <c r="I1156" s="545" t="s">
        <v>114</v>
      </c>
      <c r="J1156" s="546" t="s">
        <v>28</v>
      </c>
      <c r="K1156" s="545" t="s">
        <v>6737</v>
      </c>
      <c r="L1156" s="545" t="s">
        <v>276</v>
      </c>
      <c r="M1156" s="545" t="s">
        <v>276</v>
      </c>
      <c r="N1156" s="546" t="s">
        <v>6722</v>
      </c>
      <c r="O1156" s="546" t="s">
        <v>276</v>
      </c>
      <c r="P1156" s="546" t="s">
        <v>239</v>
      </c>
      <c r="Q1156" s="613">
        <v>31656</v>
      </c>
      <c r="R1156" s="546" t="s">
        <v>6624</v>
      </c>
      <c r="S1156" s="546" t="s">
        <v>276</v>
      </c>
      <c r="T1156" s="546" t="s">
        <v>276</v>
      </c>
      <c r="U1156" s="546">
        <v>1</v>
      </c>
      <c r="V1156" s="545" t="s">
        <v>14</v>
      </c>
      <c r="W1156" s="545" t="s">
        <v>98</v>
      </c>
      <c r="X1156" s="546" t="s">
        <v>207</v>
      </c>
      <c r="Y1156" s="550">
        <v>30970</v>
      </c>
      <c r="Z1156" s="546">
        <v>30968</v>
      </c>
      <c r="AA1156" s="546" t="s">
        <v>276</v>
      </c>
      <c r="AB1156" s="546" t="s">
        <v>276</v>
      </c>
      <c r="AC1156" s="545">
        <v>1</v>
      </c>
      <c r="AD1156" s="546" t="s">
        <v>6738</v>
      </c>
      <c r="AE1156" s="545">
        <v>2</v>
      </c>
      <c r="AF1156" s="546" t="s">
        <v>6738</v>
      </c>
      <c r="AG1156" s="546" t="s">
        <v>6739</v>
      </c>
      <c r="AH1156" s="546" t="s">
        <v>6506</v>
      </c>
      <c r="AI1156" s="551">
        <v>27</v>
      </c>
      <c r="AJ1156" s="551">
        <v>2</v>
      </c>
      <c r="AK1156" s="550">
        <v>30970</v>
      </c>
      <c r="AL1156" s="546">
        <v>30968</v>
      </c>
      <c r="AM1156" s="551" t="s">
        <v>2047</v>
      </c>
      <c r="AN1156" s="545" t="s">
        <v>276</v>
      </c>
      <c r="AO1156" s="554">
        <f t="shared" si="349"/>
        <v>0.87181143041653208</v>
      </c>
      <c r="AP1156" s="545" t="s">
        <v>276</v>
      </c>
      <c r="AQ1156" s="545" t="s">
        <v>276</v>
      </c>
      <c r="AR1156" s="554" t="s">
        <v>276</v>
      </c>
      <c r="AS1156" s="554">
        <f t="shared" si="351"/>
        <v>6.4582795143373811E-2</v>
      </c>
      <c r="AT1156" s="545" t="s">
        <v>276</v>
      </c>
      <c r="AU1156" s="545" t="s">
        <v>276</v>
      </c>
      <c r="AV1156" s="545" t="s">
        <v>268</v>
      </c>
      <c r="AW1156" s="545" t="s">
        <v>276</v>
      </c>
      <c r="AX1156" s="554">
        <f t="shared" si="350"/>
        <v>13.499128188569582</v>
      </c>
      <c r="AY1156" s="545" t="s">
        <v>276</v>
      </c>
      <c r="AZ1156" s="545" t="s">
        <v>276</v>
      </c>
      <c r="BA1156" s="545" t="s">
        <v>276</v>
      </c>
      <c r="BB1156" s="545" t="s">
        <v>282</v>
      </c>
      <c r="BC1156" s="545" t="s">
        <v>98</v>
      </c>
      <c r="BD1156" s="545" t="s">
        <v>98</v>
      </c>
      <c r="BE1156" s="545" t="s">
        <v>98</v>
      </c>
      <c r="BF1156" s="546" t="s">
        <v>6732</v>
      </c>
      <c r="BG1156" s="546"/>
      <c r="BH1156" s="9" t="s">
        <v>100</v>
      </c>
      <c r="BI1156" s="9" t="s">
        <v>100</v>
      </c>
      <c r="BJ1156" s="637"/>
      <c r="BN1156" s="637"/>
      <c r="BO1156" s="637"/>
    </row>
    <row r="1157" spans="1:67" s="638" customFormat="1" ht="52" hidden="1" x14ac:dyDescent="0.35">
      <c r="A1157" s="545">
        <v>7850</v>
      </c>
      <c r="B1157" s="545" t="s">
        <v>6621</v>
      </c>
      <c r="C1157" s="545" t="s">
        <v>46</v>
      </c>
      <c r="D1157" s="546" t="s">
        <v>11298</v>
      </c>
      <c r="E1157" s="545" t="s">
        <v>36</v>
      </c>
      <c r="F1157" s="545" t="s">
        <v>123</v>
      </c>
      <c r="G1157" s="545" t="s">
        <v>225</v>
      </c>
      <c r="H1157" s="545" t="s">
        <v>125</v>
      </c>
      <c r="I1157" s="545" t="s">
        <v>114</v>
      </c>
      <c r="J1157" s="546" t="s">
        <v>28</v>
      </c>
      <c r="K1157" s="545" t="s">
        <v>6740</v>
      </c>
      <c r="L1157" s="545" t="s">
        <v>276</v>
      </c>
      <c r="M1157" s="545" t="s">
        <v>276</v>
      </c>
      <c r="N1157" s="546" t="s">
        <v>6722</v>
      </c>
      <c r="O1157" s="546" t="s">
        <v>276</v>
      </c>
      <c r="P1157" s="546" t="s">
        <v>239</v>
      </c>
      <c r="Q1157" s="613">
        <v>31656</v>
      </c>
      <c r="R1157" s="546" t="s">
        <v>6624</v>
      </c>
      <c r="S1157" s="546" t="s">
        <v>276</v>
      </c>
      <c r="T1157" s="546" t="s">
        <v>276</v>
      </c>
      <c r="U1157" s="546">
        <v>1</v>
      </c>
      <c r="V1157" s="545" t="s">
        <v>14</v>
      </c>
      <c r="W1157" s="545" t="s">
        <v>98</v>
      </c>
      <c r="X1157" s="546" t="s">
        <v>207</v>
      </c>
      <c r="Y1157" s="550">
        <v>30970</v>
      </c>
      <c r="Z1157" s="546">
        <v>30968</v>
      </c>
      <c r="AA1157" s="546" t="s">
        <v>276</v>
      </c>
      <c r="AB1157" s="546" t="s">
        <v>276</v>
      </c>
      <c r="AC1157" s="545">
        <v>1</v>
      </c>
      <c r="AD1157" s="546" t="s">
        <v>6738</v>
      </c>
      <c r="AE1157" s="545">
        <v>2</v>
      </c>
      <c r="AF1157" s="546" t="s">
        <v>6738</v>
      </c>
      <c r="AG1157" s="546" t="s">
        <v>6741</v>
      </c>
      <c r="AH1157" s="546" t="s">
        <v>6506</v>
      </c>
      <c r="AI1157" s="551">
        <v>23</v>
      </c>
      <c r="AJ1157" s="551">
        <v>19</v>
      </c>
      <c r="AK1157" s="550">
        <v>30970</v>
      </c>
      <c r="AL1157" s="546">
        <v>30968</v>
      </c>
      <c r="AM1157" s="551" t="s">
        <v>2047</v>
      </c>
      <c r="AN1157" s="545" t="s">
        <v>276</v>
      </c>
      <c r="AO1157" s="554">
        <f t="shared" si="349"/>
        <v>0.74265418146593476</v>
      </c>
      <c r="AP1157" s="545" t="s">
        <v>276</v>
      </c>
      <c r="AQ1157" s="545" t="s">
        <v>276</v>
      </c>
      <c r="AR1157" s="554" t="s">
        <v>276</v>
      </c>
      <c r="AS1157" s="554">
        <f t="shared" si="351"/>
        <v>0.61353655386205119</v>
      </c>
      <c r="AT1157" s="545" t="s">
        <v>276</v>
      </c>
      <c r="AU1157" s="545" t="s">
        <v>276</v>
      </c>
      <c r="AV1157" s="545" t="s">
        <v>268</v>
      </c>
      <c r="AW1157" s="545" t="s">
        <v>276</v>
      </c>
      <c r="AX1157" s="554">
        <f t="shared" si="350"/>
        <v>1.2104481416651087</v>
      </c>
      <c r="AY1157" s="545" t="s">
        <v>276</v>
      </c>
      <c r="AZ1157" s="545" t="s">
        <v>276</v>
      </c>
      <c r="BA1157" s="545" t="s">
        <v>276</v>
      </c>
      <c r="BB1157" s="545" t="s">
        <v>282</v>
      </c>
      <c r="BC1157" s="545" t="s">
        <v>98</v>
      </c>
      <c r="BD1157" s="545" t="s">
        <v>98</v>
      </c>
      <c r="BE1157" s="545" t="s">
        <v>98</v>
      </c>
      <c r="BF1157" s="546" t="s">
        <v>6732</v>
      </c>
      <c r="BG1157" s="546"/>
      <c r="BH1157" s="9" t="s">
        <v>100</v>
      </c>
      <c r="BI1157" s="9" t="s">
        <v>100</v>
      </c>
      <c r="BJ1157" s="637"/>
      <c r="BN1157" s="637"/>
      <c r="BO1157" s="637"/>
    </row>
    <row r="1158" spans="1:67" s="638" customFormat="1" ht="52" hidden="1" x14ac:dyDescent="0.35">
      <c r="A1158" s="545">
        <v>7850</v>
      </c>
      <c r="B1158" s="545" t="s">
        <v>6621</v>
      </c>
      <c r="C1158" s="545" t="s">
        <v>46</v>
      </c>
      <c r="D1158" s="546" t="s">
        <v>11299</v>
      </c>
      <c r="E1158" s="545" t="s">
        <v>36</v>
      </c>
      <c r="F1158" s="545" t="s">
        <v>123</v>
      </c>
      <c r="G1158" s="545" t="s">
        <v>225</v>
      </c>
      <c r="H1158" s="545" t="s">
        <v>125</v>
      </c>
      <c r="I1158" s="545" t="s">
        <v>114</v>
      </c>
      <c r="J1158" s="546" t="s">
        <v>28</v>
      </c>
      <c r="K1158" s="545" t="s">
        <v>6742</v>
      </c>
      <c r="L1158" s="545" t="s">
        <v>276</v>
      </c>
      <c r="M1158" s="545" t="s">
        <v>276</v>
      </c>
      <c r="N1158" s="546" t="s">
        <v>6722</v>
      </c>
      <c r="O1158" s="546" t="s">
        <v>276</v>
      </c>
      <c r="P1158" s="546" t="s">
        <v>239</v>
      </c>
      <c r="Q1158" s="613">
        <v>31656</v>
      </c>
      <c r="R1158" s="546" t="s">
        <v>6624</v>
      </c>
      <c r="S1158" s="546" t="s">
        <v>276</v>
      </c>
      <c r="T1158" s="546" t="s">
        <v>276</v>
      </c>
      <c r="U1158" s="546">
        <v>1</v>
      </c>
      <c r="V1158" s="545" t="s">
        <v>14</v>
      </c>
      <c r="W1158" s="545" t="s">
        <v>98</v>
      </c>
      <c r="X1158" s="546" t="s">
        <v>207</v>
      </c>
      <c r="Y1158" s="550">
        <v>30970</v>
      </c>
      <c r="Z1158" s="546">
        <v>30968</v>
      </c>
      <c r="AA1158" s="546" t="s">
        <v>276</v>
      </c>
      <c r="AB1158" s="546" t="s">
        <v>276</v>
      </c>
      <c r="AC1158" s="545">
        <v>1</v>
      </c>
      <c r="AD1158" s="546" t="s">
        <v>6738</v>
      </c>
      <c r="AE1158" s="545">
        <v>2</v>
      </c>
      <c r="AF1158" s="546" t="s">
        <v>6738</v>
      </c>
      <c r="AG1158" s="546" t="s">
        <v>6743</v>
      </c>
      <c r="AH1158" s="546" t="s">
        <v>6506</v>
      </c>
      <c r="AI1158" s="551">
        <v>10</v>
      </c>
      <c r="AJ1158" s="551">
        <v>7</v>
      </c>
      <c r="AK1158" s="550">
        <v>30970</v>
      </c>
      <c r="AL1158" s="546">
        <v>30968</v>
      </c>
      <c r="AM1158" s="551" t="s">
        <v>2047</v>
      </c>
      <c r="AN1158" s="545" t="s">
        <v>276</v>
      </c>
      <c r="AO1158" s="554">
        <f t="shared" si="349"/>
        <v>0.32289312237649337</v>
      </c>
      <c r="AP1158" s="545" t="s">
        <v>276</v>
      </c>
      <c r="AQ1158" s="545" t="s">
        <v>276</v>
      </c>
      <c r="AR1158" s="554" t="s">
        <v>276</v>
      </c>
      <c r="AS1158" s="554">
        <f t="shared" si="351"/>
        <v>0.22603978300180833</v>
      </c>
      <c r="AT1158" s="545" t="s">
        <v>276</v>
      </c>
      <c r="AU1158" s="545" t="s">
        <v>276</v>
      </c>
      <c r="AV1158" s="545" t="s">
        <v>268</v>
      </c>
      <c r="AW1158" s="545" t="s">
        <v>276</v>
      </c>
      <c r="AX1158" s="554">
        <f t="shared" si="350"/>
        <v>1.4284791733936066</v>
      </c>
      <c r="AY1158" s="545" t="s">
        <v>276</v>
      </c>
      <c r="AZ1158" s="545" t="s">
        <v>276</v>
      </c>
      <c r="BA1158" s="545" t="s">
        <v>276</v>
      </c>
      <c r="BB1158" s="545" t="s">
        <v>282</v>
      </c>
      <c r="BC1158" s="545" t="s">
        <v>98</v>
      </c>
      <c r="BD1158" s="545" t="s">
        <v>98</v>
      </c>
      <c r="BE1158" s="545" t="s">
        <v>98</v>
      </c>
      <c r="BF1158" s="546" t="s">
        <v>6732</v>
      </c>
      <c r="BG1158" s="546"/>
      <c r="BH1158" s="9" t="s">
        <v>100</v>
      </c>
      <c r="BI1158" s="9" t="s">
        <v>100</v>
      </c>
      <c r="BJ1158" s="637"/>
      <c r="BN1158" s="637"/>
      <c r="BO1158" s="637"/>
    </row>
    <row r="1159" spans="1:67" s="638" customFormat="1" ht="52" hidden="1" x14ac:dyDescent="0.35">
      <c r="A1159" s="545">
        <v>7850</v>
      </c>
      <c r="B1159" s="545" t="s">
        <v>6621</v>
      </c>
      <c r="C1159" s="545" t="s">
        <v>46</v>
      </c>
      <c r="D1159" s="546" t="s">
        <v>11300</v>
      </c>
      <c r="E1159" s="545" t="s">
        <v>36</v>
      </c>
      <c r="F1159" s="545" t="s">
        <v>123</v>
      </c>
      <c r="G1159" s="545" t="s">
        <v>225</v>
      </c>
      <c r="H1159" s="545" t="s">
        <v>125</v>
      </c>
      <c r="I1159" s="545" t="s">
        <v>114</v>
      </c>
      <c r="J1159" s="546" t="s">
        <v>28</v>
      </c>
      <c r="K1159" s="546" t="s">
        <v>6744</v>
      </c>
      <c r="L1159" s="545" t="s">
        <v>276</v>
      </c>
      <c r="M1159" s="545" t="s">
        <v>276</v>
      </c>
      <c r="N1159" s="546" t="s">
        <v>6722</v>
      </c>
      <c r="O1159" s="546" t="s">
        <v>276</v>
      </c>
      <c r="P1159" s="546" t="s">
        <v>239</v>
      </c>
      <c r="Q1159" s="613">
        <v>31656</v>
      </c>
      <c r="R1159" s="546" t="s">
        <v>6624</v>
      </c>
      <c r="S1159" s="546" t="s">
        <v>276</v>
      </c>
      <c r="T1159" s="546" t="s">
        <v>276</v>
      </c>
      <c r="U1159" s="546">
        <v>1</v>
      </c>
      <c r="V1159" s="545" t="s">
        <v>14</v>
      </c>
      <c r="W1159" s="545" t="s">
        <v>98</v>
      </c>
      <c r="X1159" s="546" t="s">
        <v>207</v>
      </c>
      <c r="Y1159" s="550">
        <v>30970</v>
      </c>
      <c r="Z1159" s="546">
        <v>30968</v>
      </c>
      <c r="AA1159" s="546" t="s">
        <v>276</v>
      </c>
      <c r="AB1159" s="546" t="s">
        <v>276</v>
      </c>
      <c r="AC1159" s="545">
        <v>1</v>
      </c>
      <c r="AD1159" s="546" t="s">
        <v>6738</v>
      </c>
      <c r="AE1159" s="545">
        <v>2</v>
      </c>
      <c r="AF1159" s="546" t="s">
        <v>6738</v>
      </c>
      <c r="AG1159" s="546" t="s">
        <v>6745</v>
      </c>
      <c r="AH1159" s="546" t="s">
        <v>6506</v>
      </c>
      <c r="AI1159" s="551">
        <v>9</v>
      </c>
      <c r="AJ1159" s="551">
        <v>8</v>
      </c>
      <c r="AK1159" s="550">
        <v>30970</v>
      </c>
      <c r="AL1159" s="546">
        <v>30968</v>
      </c>
      <c r="AM1159" s="551" t="s">
        <v>2047</v>
      </c>
      <c r="AN1159" s="545" t="s">
        <v>276</v>
      </c>
      <c r="AO1159" s="554">
        <f t="shared" si="349"/>
        <v>0.29060381013884407</v>
      </c>
      <c r="AP1159" s="545" t="s">
        <v>276</v>
      </c>
      <c r="AQ1159" s="545" t="s">
        <v>276</v>
      </c>
      <c r="AR1159" s="554" t="s">
        <v>276</v>
      </c>
      <c r="AS1159" s="554">
        <f t="shared" si="351"/>
        <v>0.25833118057349524</v>
      </c>
      <c r="AT1159" s="545" t="s">
        <v>276</v>
      </c>
      <c r="AU1159" s="545" t="s">
        <v>276</v>
      </c>
      <c r="AV1159" s="545" t="s">
        <v>268</v>
      </c>
      <c r="AW1159" s="545" t="s">
        <v>276</v>
      </c>
      <c r="AX1159" s="554">
        <f t="shared" si="350"/>
        <v>1.1249273490474652</v>
      </c>
      <c r="AY1159" s="545" t="s">
        <v>276</v>
      </c>
      <c r="AZ1159" s="545" t="s">
        <v>276</v>
      </c>
      <c r="BA1159" s="545" t="s">
        <v>276</v>
      </c>
      <c r="BB1159" s="545" t="s">
        <v>282</v>
      </c>
      <c r="BC1159" s="545" t="s">
        <v>98</v>
      </c>
      <c r="BD1159" s="545" t="s">
        <v>98</v>
      </c>
      <c r="BE1159" s="545" t="s">
        <v>98</v>
      </c>
      <c r="BF1159" s="546" t="s">
        <v>6732</v>
      </c>
      <c r="BG1159" s="546"/>
      <c r="BH1159" s="9" t="s">
        <v>100</v>
      </c>
      <c r="BI1159" s="9" t="s">
        <v>100</v>
      </c>
      <c r="BJ1159" s="637"/>
      <c r="BN1159" s="637"/>
      <c r="BO1159" s="637"/>
    </row>
    <row r="1160" spans="1:67" s="638" customFormat="1" ht="52" hidden="1" x14ac:dyDescent="0.35">
      <c r="A1160" s="545">
        <v>7850</v>
      </c>
      <c r="B1160" s="545" t="s">
        <v>6621</v>
      </c>
      <c r="C1160" s="545" t="s">
        <v>46</v>
      </c>
      <c r="D1160" s="546" t="s">
        <v>11559</v>
      </c>
      <c r="E1160" s="545" t="s">
        <v>36</v>
      </c>
      <c r="F1160" s="545" t="s">
        <v>123</v>
      </c>
      <c r="G1160" s="545" t="s">
        <v>225</v>
      </c>
      <c r="H1160" s="545" t="s">
        <v>125</v>
      </c>
      <c r="I1160" s="545" t="s">
        <v>114</v>
      </c>
      <c r="J1160" s="546" t="s">
        <v>28</v>
      </c>
      <c r="K1160" s="546" t="s">
        <v>11556</v>
      </c>
      <c r="L1160" s="545" t="s">
        <v>276</v>
      </c>
      <c r="M1160" s="545" t="s">
        <v>276</v>
      </c>
      <c r="N1160" s="546" t="s">
        <v>6722</v>
      </c>
      <c r="O1160" s="546" t="s">
        <v>276</v>
      </c>
      <c r="P1160" s="546" t="s">
        <v>239</v>
      </c>
      <c r="Q1160" s="613">
        <v>31656</v>
      </c>
      <c r="R1160" s="546" t="s">
        <v>6624</v>
      </c>
      <c r="S1160" s="546" t="s">
        <v>276</v>
      </c>
      <c r="T1160" s="546" t="s">
        <v>276</v>
      </c>
      <c r="U1160" s="546">
        <v>1</v>
      </c>
      <c r="V1160" s="545" t="s">
        <v>14</v>
      </c>
      <c r="W1160" s="545" t="s">
        <v>98</v>
      </c>
      <c r="X1160" s="546" t="s">
        <v>207</v>
      </c>
      <c r="Y1160" s="550">
        <v>30970</v>
      </c>
      <c r="Z1160" s="546">
        <v>30968</v>
      </c>
      <c r="AA1160" s="546" t="s">
        <v>276</v>
      </c>
      <c r="AB1160" s="546" t="s">
        <v>276</v>
      </c>
      <c r="AC1160" s="545">
        <v>1</v>
      </c>
      <c r="AD1160" s="546" t="s">
        <v>6738</v>
      </c>
      <c r="AE1160" s="545">
        <v>2</v>
      </c>
      <c r="AF1160" s="546" t="s">
        <v>6738</v>
      </c>
      <c r="AG1160" s="546" t="s">
        <v>11560</v>
      </c>
      <c r="AH1160" s="546" t="s">
        <v>6506</v>
      </c>
      <c r="AI1160" s="551">
        <f>9+10</f>
        <v>19</v>
      </c>
      <c r="AJ1160" s="551">
        <f>8+7</f>
        <v>15</v>
      </c>
      <c r="AK1160" s="550">
        <v>30970</v>
      </c>
      <c r="AL1160" s="546">
        <v>30968</v>
      </c>
      <c r="AM1160" s="551" t="s">
        <v>2047</v>
      </c>
      <c r="AN1160" s="545" t="s">
        <v>276</v>
      </c>
      <c r="AO1160" s="554">
        <f t="shared" ref="AO1160" si="352">AI1160*1000/AK1160</f>
        <v>0.61349693251533743</v>
      </c>
      <c r="AP1160" s="545" t="s">
        <v>276</v>
      </c>
      <c r="AQ1160" s="545" t="s">
        <v>276</v>
      </c>
      <c r="AR1160" s="554" t="s">
        <v>276</v>
      </c>
      <c r="AS1160" s="554">
        <f t="shared" ref="AS1160" si="353">AJ1160*1000/AL1160</f>
        <v>0.48437096357530351</v>
      </c>
      <c r="AT1160" s="545" t="s">
        <v>276</v>
      </c>
      <c r="AU1160" s="545" t="s">
        <v>276</v>
      </c>
      <c r="AV1160" s="545" t="s">
        <v>268</v>
      </c>
      <c r="AW1160" s="545" t="s">
        <v>276</v>
      </c>
      <c r="AX1160" s="554">
        <f t="shared" ref="AX1160" si="354">AO1160/AS1160</f>
        <v>1.2665848670756648</v>
      </c>
      <c r="AY1160" s="545" t="s">
        <v>276</v>
      </c>
      <c r="AZ1160" s="545" t="s">
        <v>276</v>
      </c>
      <c r="BA1160" s="545" t="s">
        <v>276</v>
      </c>
      <c r="BB1160" s="545" t="s">
        <v>282</v>
      </c>
      <c r="BC1160" s="545" t="s">
        <v>98</v>
      </c>
      <c r="BD1160" s="545" t="s">
        <v>98</v>
      </c>
      <c r="BE1160" s="545" t="s">
        <v>98</v>
      </c>
      <c r="BF1160" s="546" t="s">
        <v>6732</v>
      </c>
      <c r="BG1160" s="546"/>
      <c r="BH1160" s="9" t="s">
        <v>100</v>
      </c>
      <c r="BI1160" s="9" t="s">
        <v>100</v>
      </c>
      <c r="BJ1160" s="637"/>
      <c r="BN1160" s="637"/>
      <c r="BO1160" s="637"/>
    </row>
    <row r="1161" spans="1:67" s="640" customFormat="1" ht="52" hidden="1" x14ac:dyDescent="0.35">
      <c r="A1161" s="555">
        <v>7850</v>
      </c>
      <c r="B1161" s="555" t="s">
        <v>6621</v>
      </c>
      <c r="C1161" s="555" t="s">
        <v>46</v>
      </c>
      <c r="D1161" s="556" t="s">
        <v>11301</v>
      </c>
      <c r="E1161" s="555" t="s">
        <v>36</v>
      </c>
      <c r="F1161" s="555" t="s">
        <v>123</v>
      </c>
      <c r="G1161" s="555" t="s">
        <v>225</v>
      </c>
      <c r="H1161" s="555" t="s">
        <v>125</v>
      </c>
      <c r="I1161" s="555" t="s">
        <v>114</v>
      </c>
      <c r="J1161" s="556" t="s">
        <v>31</v>
      </c>
      <c r="K1161" s="555" t="s">
        <v>6746</v>
      </c>
      <c r="L1161" s="555" t="s">
        <v>276</v>
      </c>
      <c r="M1161" s="555" t="s">
        <v>276</v>
      </c>
      <c r="N1161" s="556" t="s">
        <v>6722</v>
      </c>
      <c r="O1161" s="556" t="s">
        <v>276</v>
      </c>
      <c r="P1161" s="556" t="s">
        <v>239</v>
      </c>
      <c r="Q1161" s="619">
        <v>31656</v>
      </c>
      <c r="R1161" s="556" t="s">
        <v>6624</v>
      </c>
      <c r="S1161" s="556" t="s">
        <v>276</v>
      </c>
      <c r="T1161" s="556" t="s">
        <v>276</v>
      </c>
      <c r="U1161" s="556">
        <v>1</v>
      </c>
      <c r="V1161" s="555" t="s">
        <v>14</v>
      </c>
      <c r="W1161" s="555" t="s">
        <v>98</v>
      </c>
      <c r="X1161" s="556" t="s">
        <v>207</v>
      </c>
      <c r="Y1161" s="560">
        <v>30970</v>
      </c>
      <c r="Z1161" s="556">
        <v>30968</v>
      </c>
      <c r="AA1161" s="556" t="s">
        <v>276</v>
      </c>
      <c r="AB1161" s="556" t="s">
        <v>276</v>
      </c>
      <c r="AC1161" s="555">
        <v>0</v>
      </c>
      <c r="AD1161" s="555" t="s">
        <v>3921</v>
      </c>
      <c r="AE1161" s="555">
        <v>0</v>
      </c>
      <c r="AF1161" s="555" t="s">
        <v>3921</v>
      </c>
      <c r="AG1161" s="556" t="s">
        <v>6747</v>
      </c>
      <c r="AH1161" s="556" t="s">
        <v>6506</v>
      </c>
      <c r="AI1161" s="561">
        <v>25</v>
      </c>
      <c r="AJ1161" s="561">
        <v>16</v>
      </c>
      <c r="AK1161" s="560">
        <v>30970</v>
      </c>
      <c r="AL1161" s="556">
        <v>30968</v>
      </c>
      <c r="AM1161" s="561" t="s">
        <v>2047</v>
      </c>
      <c r="AN1161" s="555" t="s">
        <v>276</v>
      </c>
      <c r="AO1161" s="563">
        <f t="shared" si="349"/>
        <v>0.80723280594123348</v>
      </c>
      <c r="AP1161" s="555" t="s">
        <v>276</v>
      </c>
      <c r="AQ1161" s="555" t="s">
        <v>276</v>
      </c>
      <c r="AR1161" s="563" t="s">
        <v>276</v>
      </c>
      <c r="AS1161" s="563">
        <f t="shared" si="351"/>
        <v>0.51666236114699049</v>
      </c>
      <c r="AT1161" s="555" t="s">
        <v>276</v>
      </c>
      <c r="AU1161" s="555" t="s">
        <v>276</v>
      </c>
      <c r="AV1161" s="555" t="s">
        <v>268</v>
      </c>
      <c r="AW1161" s="555" t="s">
        <v>276</v>
      </c>
      <c r="AX1161" s="563">
        <f t="shared" si="350"/>
        <v>1.5623990958992573</v>
      </c>
      <c r="AY1161" s="555" t="s">
        <v>276</v>
      </c>
      <c r="AZ1161" s="555" t="s">
        <v>276</v>
      </c>
      <c r="BA1161" s="555" t="s">
        <v>276</v>
      </c>
      <c r="BB1161" s="555" t="s">
        <v>282</v>
      </c>
      <c r="BC1161" s="555" t="s">
        <v>98</v>
      </c>
      <c r="BD1161" s="555" t="s">
        <v>98</v>
      </c>
      <c r="BE1161" s="555" t="s">
        <v>98</v>
      </c>
      <c r="BF1161" s="556" t="s">
        <v>6748</v>
      </c>
      <c r="BG1161" s="556"/>
      <c r="BH1161" s="9" t="s">
        <v>100</v>
      </c>
      <c r="BI1161" s="9" t="s">
        <v>100</v>
      </c>
      <c r="BJ1161" s="639"/>
      <c r="BN1161" s="639"/>
      <c r="BO1161" s="639"/>
    </row>
    <row r="1162" spans="1:67" s="640" customFormat="1" ht="52" hidden="1" x14ac:dyDescent="0.35">
      <c r="A1162" s="555">
        <v>7850</v>
      </c>
      <c r="B1162" s="555" t="s">
        <v>6621</v>
      </c>
      <c r="C1162" s="555" t="s">
        <v>46</v>
      </c>
      <c r="D1162" s="556" t="s">
        <v>11302</v>
      </c>
      <c r="E1162" s="555" t="s">
        <v>36</v>
      </c>
      <c r="F1162" s="555" t="s">
        <v>123</v>
      </c>
      <c r="G1162" s="555" t="s">
        <v>225</v>
      </c>
      <c r="H1162" s="555" t="s">
        <v>125</v>
      </c>
      <c r="I1162" s="555" t="s">
        <v>114</v>
      </c>
      <c r="J1162" s="556" t="s">
        <v>31</v>
      </c>
      <c r="K1162" s="555" t="s">
        <v>6749</v>
      </c>
      <c r="L1162" s="555" t="s">
        <v>276</v>
      </c>
      <c r="M1162" s="555" t="s">
        <v>276</v>
      </c>
      <c r="N1162" s="556" t="s">
        <v>6722</v>
      </c>
      <c r="O1162" s="556" t="s">
        <v>276</v>
      </c>
      <c r="P1162" s="556" t="s">
        <v>239</v>
      </c>
      <c r="Q1162" s="619">
        <v>31656</v>
      </c>
      <c r="R1162" s="556" t="s">
        <v>6624</v>
      </c>
      <c r="S1162" s="556" t="s">
        <v>276</v>
      </c>
      <c r="T1162" s="556" t="s">
        <v>276</v>
      </c>
      <c r="U1162" s="556">
        <v>1</v>
      </c>
      <c r="V1162" s="555" t="s">
        <v>14</v>
      </c>
      <c r="W1162" s="555" t="s">
        <v>98</v>
      </c>
      <c r="X1162" s="556" t="s">
        <v>207</v>
      </c>
      <c r="Y1162" s="560">
        <v>30970</v>
      </c>
      <c r="Z1162" s="556">
        <v>30968</v>
      </c>
      <c r="AA1162" s="556" t="s">
        <v>276</v>
      </c>
      <c r="AB1162" s="556" t="s">
        <v>276</v>
      </c>
      <c r="AC1162" s="555">
        <v>0</v>
      </c>
      <c r="AD1162" s="555" t="s">
        <v>3921</v>
      </c>
      <c r="AE1162" s="555">
        <v>0</v>
      </c>
      <c r="AF1162" s="555" t="s">
        <v>3921</v>
      </c>
      <c r="AG1162" s="556" t="s">
        <v>6750</v>
      </c>
      <c r="AH1162" s="556" t="s">
        <v>6506</v>
      </c>
      <c r="AI1162" s="561">
        <v>56</v>
      </c>
      <c r="AJ1162" s="561">
        <v>14</v>
      </c>
      <c r="AK1162" s="560">
        <v>30970</v>
      </c>
      <c r="AL1162" s="556">
        <v>30968</v>
      </c>
      <c r="AM1162" s="561" t="s">
        <v>2047</v>
      </c>
      <c r="AN1162" s="555" t="s">
        <v>276</v>
      </c>
      <c r="AO1162" s="563">
        <f t="shared" si="349"/>
        <v>1.808201485308363</v>
      </c>
      <c r="AP1162" s="555" t="s">
        <v>276</v>
      </c>
      <c r="AQ1162" s="555" t="s">
        <v>276</v>
      </c>
      <c r="AR1162" s="563" t="s">
        <v>276</v>
      </c>
      <c r="AS1162" s="563">
        <f t="shared" si="351"/>
        <v>0.45207956600361665</v>
      </c>
      <c r="AT1162" s="555" t="s">
        <v>276</v>
      </c>
      <c r="AU1162" s="555" t="s">
        <v>276</v>
      </c>
      <c r="AV1162" s="555" t="s">
        <v>268</v>
      </c>
      <c r="AW1162" s="555" t="s">
        <v>276</v>
      </c>
      <c r="AX1162" s="563">
        <f t="shared" si="350"/>
        <v>3.9997416855020989</v>
      </c>
      <c r="AY1162" s="555" t="s">
        <v>276</v>
      </c>
      <c r="AZ1162" s="555" t="s">
        <v>276</v>
      </c>
      <c r="BA1162" s="555" t="s">
        <v>276</v>
      </c>
      <c r="BB1162" s="555" t="s">
        <v>282</v>
      </c>
      <c r="BC1162" s="555" t="s">
        <v>98</v>
      </c>
      <c r="BD1162" s="555" t="s">
        <v>98</v>
      </c>
      <c r="BE1162" s="555" t="s">
        <v>98</v>
      </c>
      <c r="BF1162" s="556" t="s">
        <v>6748</v>
      </c>
      <c r="BG1162" s="556"/>
      <c r="BH1162" s="9" t="s">
        <v>100</v>
      </c>
      <c r="BI1162" s="9" t="s">
        <v>100</v>
      </c>
      <c r="BJ1162" s="639"/>
      <c r="BN1162" s="639"/>
      <c r="BO1162" s="639"/>
    </row>
    <row r="1163" spans="1:67" s="640" customFormat="1" ht="54.75" hidden="1" customHeight="1" x14ac:dyDescent="0.35">
      <c r="A1163" s="555">
        <v>7850</v>
      </c>
      <c r="B1163" s="555" t="s">
        <v>6621</v>
      </c>
      <c r="C1163" s="555" t="s">
        <v>46</v>
      </c>
      <c r="D1163" s="556" t="s">
        <v>11303</v>
      </c>
      <c r="E1163" s="555" t="s">
        <v>36</v>
      </c>
      <c r="F1163" s="555" t="s">
        <v>123</v>
      </c>
      <c r="G1163" s="555" t="s">
        <v>225</v>
      </c>
      <c r="H1163" s="555" t="s">
        <v>125</v>
      </c>
      <c r="I1163" s="555" t="s">
        <v>114</v>
      </c>
      <c r="J1163" s="556" t="s">
        <v>31</v>
      </c>
      <c r="K1163" s="641" t="s">
        <v>3821</v>
      </c>
      <c r="L1163" s="555" t="s">
        <v>276</v>
      </c>
      <c r="M1163" s="555" t="s">
        <v>276</v>
      </c>
      <c r="N1163" s="556" t="s">
        <v>6722</v>
      </c>
      <c r="O1163" s="556" t="s">
        <v>276</v>
      </c>
      <c r="P1163" s="556" t="s">
        <v>239</v>
      </c>
      <c r="Q1163" s="619">
        <v>31656</v>
      </c>
      <c r="R1163" s="556" t="s">
        <v>6624</v>
      </c>
      <c r="S1163" s="556" t="s">
        <v>276</v>
      </c>
      <c r="T1163" s="556" t="s">
        <v>276</v>
      </c>
      <c r="U1163" s="556">
        <v>1</v>
      </c>
      <c r="V1163" s="555" t="s">
        <v>14</v>
      </c>
      <c r="W1163" s="555" t="s">
        <v>98</v>
      </c>
      <c r="X1163" s="556" t="s">
        <v>207</v>
      </c>
      <c r="Y1163" s="560">
        <v>30970</v>
      </c>
      <c r="Z1163" s="556">
        <v>30968</v>
      </c>
      <c r="AA1163" s="556" t="s">
        <v>276</v>
      </c>
      <c r="AB1163" s="556" t="s">
        <v>276</v>
      </c>
      <c r="AC1163" s="555">
        <v>0</v>
      </c>
      <c r="AD1163" s="555" t="s">
        <v>3921</v>
      </c>
      <c r="AE1163" s="555">
        <v>0</v>
      </c>
      <c r="AF1163" s="555" t="s">
        <v>3921</v>
      </c>
      <c r="AG1163" s="556" t="s">
        <v>11304</v>
      </c>
      <c r="AH1163" s="556" t="s">
        <v>6506</v>
      </c>
      <c r="AI1163" s="561">
        <v>22</v>
      </c>
      <c r="AJ1163" s="561">
        <v>8</v>
      </c>
      <c r="AK1163" s="560">
        <v>30970</v>
      </c>
      <c r="AL1163" s="556">
        <v>30968</v>
      </c>
      <c r="AM1163" s="561" t="s">
        <v>2047</v>
      </c>
      <c r="AN1163" s="555" t="s">
        <v>276</v>
      </c>
      <c r="AO1163" s="563">
        <f t="shared" si="349"/>
        <v>0.71036486922828546</v>
      </c>
      <c r="AP1163" s="555" t="s">
        <v>276</v>
      </c>
      <c r="AQ1163" s="555" t="s">
        <v>276</v>
      </c>
      <c r="AR1163" s="563" t="s">
        <v>276</v>
      </c>
      <c r="AS1163" s="563">
        <f t="shared" si="351"/>
        <v>0.25833118057349524</v>
      </c>
      <c r="AT1163" s="555" t="s">
        <v>276</v>
      </c>
      <c r="AU1163" s="555" t="s">
        <v>276</v>
      </c>
      <c r="AV1163" s="555" t="s">
        <v>268</v>
      </c>
      <c r="AW1163" s="555" t="s">
        <v>276</v>
      </c>
      <c r="AX1163" s="563">
        <f t="shared" si="350"/>
        <v>2.7498224087826926</v>
      </c>
      <c r="AY1163" s="555" t="s">
        <v>276</v>
      </c>
      <c r="AZ1163" s="555" t="s">
        <v>276</v>
      </c>
      <c r="BA1163" s="555" t="s">
        <v>276</v>
      </c>
      <c r="BB1163" s="555" t="s">
        <v>282</v>
      </c>
      <c r="BC1163" s="555" t="s">
        <v>98</v>
      </c>
      <c r="BD1163" s="555" t="s">
        <v>98</v>
      </c>
      <c r="BE1163" s="555" t="s">
        <v>98</v>
      </c>
      <c r="BF1163" s="556" t="s">
        <v>6748</v>
      </c>
      <c r="BG1163" s="556"/>
      <c r="BH1163" s="9" t="s">
        <v>100</v>
      </c>
      <c r="BI1163" s="9" t="s">
        <v>100</v>
      </c>
      <c r="BJ1163" s="639"/>
      <c r="BN1163" s="639"/>
      <c r="BO1163" s="639"/>
    </row>
    <row r="1164" spans="1:67" s="640" customFormat="1" ht="52" hidden="1" x14ac:dyDescent="0.35">
      <c r="A1164" s="555">
        <v>7850</v>
      </c>
      <c r="B1164" s="555" t="s">
        <v>6621</v>
      </c>
      <c r="C1164" s="555" t="s">
        <v>46</v>
      </c>
      <c r="D1164" s="556" t="s">
        <v>11305</v>
      </c>
      <c r="E1164" s="555" t="s">
        <v>36</v>
      </c>
      <c r="F1164" s="555" t="s">
        <v>123</v>
      </c>
      <c r="G1164" s="555" t="s">
        <v>225</v>
      </c>
      <c r="H1164" s="555" t="s">
        <v>125</v>
      </c>
      <c r="I1164" s="555" t="s">
        <v>114</v>
      </c>
      <c r="J1164" s="556" t="s">
        <v>32</v>
      </c>
      <c r="K1164" s="555" t="s">
        <v>6751</v>
      </c>
      <c r="L1164" s="555" t="s">
        <v>276</v>
      </c>
      <c r="M1164" s="555" t="s">
        <v>276</v>
      </c>
      <c r="N1164" s="556" t="s">
        <v>6722</v>
      </c>
      <c r="O1164" s="556" t="s">
        <v>276</v>
      </c>
      <c r="P1164" s="556" t="s">
        <v>239</v>
      </c>
      <c r="Q1164" s="619">
        <v>31656</v>
      </c>
      <c r="R1164" s="556" t="s">
        <v>6624</v>
      </c>
      <c r="S1164" s="556" t="s">
        <v>276</v>
      </c>
      <c r="T1164" s="556" t="s">
        <v>276</v>
      </c>
      <c r="U1164" s="556">
        <v>1</v>
      </c>
      <c r="V1164" s="555" t="s">
        <v>14</v>
      </c>
      <c r="W1164" s="555" t="s">
        <v>98</v>
      </c>
      <c r="X1164" s="556" t="s">
        <v>207</v>
      </c>
      <c r="Y1164" s="560">
        <v>30970</v>
      </c>
      <c r="Z1164" s="556">
        <v>30968</v>
      </c>
      <c r="AA1164" s="556" t="s">
        <v>276</v>
      </c>
      <c r="AB1164" s="556" t="s">
        <v>276</v>
      </c>
      <c r="AC1164" s="555">
        <v>0</v>
      </c>
      <c r="AD1164" s="555" t="s">
        <v>3921</v>
      </c>
      <c r="AE1164" s="555">
        <v>0</v>
      </c>
      <c r="AF1164" s="555" t="s">
        <v>3921</v>
      </c>
      <c r="AG1164" s="556" t="s">
        <v>6752</v>
      </c>
      <c r="AH1164" s="556" t="s">
        <v>6506</v>
      </c>
      <c r="AI1164" s="561">
        <v>103</v>
      </c>
      <c r="AJ1164" s="561">
        <v>38</v>
      </c>
      <c r="AK1164" s="560">
        <v>30970</v>
      </c>
      <c r="AL1164" s="556">
        <v>30968</v>
      </c>
      <c r="AM1164" s="561" t="s">
        <v>2047</v>
      </c>
      <c r="AN1164" s="555" t="s">
        <v>276</v>
      </c>
      <c r="AO1164" s="563">
        <f t="shared" si="349"/>
        <v>3.3257991604778816</v>
      </c>
      <c r="AP1164" s="555" t="s">
        <v>276</v>
      </c>
      <c r="AQ1164" s="555" t="s">
        <v>276</v>
      </c>
      <c r="AR1164" s="563" t="s">
        <v>276</v>
      </c>
      <c r="AS1164" s="563">
        <f t="shared" si="351"/>
        <v>1.2270731077241024</v>
      </c>
      <c r="AT1164" s="555" t="s">
        <v>276</v>
      </c>
      <c r="AU1164" s="555" t="s">
        <v>276</v>
      </c>
      <c r="AV1164" s="555" t="s">
        <v>268</v>
      </c>
      <c r="AW1164" s="555" t="s">
        <v>276</v>
      </c>
      <c r="AX1164" s="563">
        <f t="shared" si="350"/>
        <v>2.7103512737283957</v>
      </c>
      <c r="AY1164" s="555" t="s">
        <v>276</v>
      </c>
      <c r="AZ1164" s="555" t="s">
        <v>276</v>
      </c>
      <c r="BA1164" s="555" t="s">
        <v>276</v>
      </c>
      <c r="BB1164" s="555" t="s">
        <v>282</v>
      </c>
      <c r="BC1164" s="555" t="s">
        <v>98</v>
      </c>
      <c r="BD1164" s="555" t="s">
        <v>98</v>
      </c>
      <c r="BE1164" s="555" t="s">
        <v>98</v>
      </c>
      <c r="BF1164" s="556" t="s">
        <v>6748</v>
      </c>
      <c r="BG1164" s="556"/>
      <c r="BH1164" s="9" t="s">
        <v>100</v>
      </c>
      <c r="BI1164" s="9" t="s">
        <v>100</v>
      </c>
      <c r="BJ1164" s="639"/>
      <c r="BN1164" s="639"/>
      <c r="BO1164" s="639"/>
    </row>
    <row r="1165" spans="1:67" s="79" customFormat="1" ht="52" hidden="1" x14ac:dyDescent="0.35">
      <c r="A1165" s="72">
        <v>7850</v>
      </c>
      <c r="B1165" s="72" t="s">
        <v>6621</v>
      </c>
      <c r="C1165" s="72" t="s">
        <v>46</v>
      </c>
      <c r="D1165" s="73" t="s">
        <v>11306</v>
      </c>
      <c r="E1165" s="72" t="s">
        <v>36</v>
      </c>
      <c r="F1165" s="72" t="s">
        <v>123</v>
      </c>
      <c r="G1165" s="72" t="s">
        <v>225</v>
      </c>
      <c r="H1165" s="72" t="s">
        <v>125</v>
      </c>
      <c r="I1165" s="72" t="s">
        <v>114</v>
      </c>
      <c r="J1165" s="73" t="s">
        <v>32</v>
      </c>
      <c r="K1165" s="72" t="s">
        <v>6751</v>
      </c>
      <c r="L1165" s="72" t="s">
        <v>276</v>
      </c>
      <c r="M1165" s="72" t="s">
        <v>276</v>
      </c>
      <c r="N1165" s="73" t="s">
        <v>6722</v>
      </c>
      <c r="O1165" s="73" t="s">
        <v>276</v>
      </c>
      <c r="P1165" s="73" t="s">
        <v>239</v>
      </c>
      <c r="Q1165" s="77">
        <v>31656</v>
      </c>
      <c r="R1165" s="73" t="s">
        <v>6624</v>
      </c>
      <c r="S1165" s="73" t="s">
        <v>276</v>
      </c>
      <c r="T1165" s="73" t="s">
        <v>276</v>
      </c>
      <c r="U1165" s="73">
        <v>1</v>
      </c>
      <c r="V1165" s="72" t="s">
        <v>14</v>
      </c>
      <c r="W1165" s="72" t="s">
        <v>98</v>
      </c>
      <c r="X1165" s="73" t="s">
        <v>207</v>
      </c>
      <c r="Y1165" s="74">
        <v>30970</v>
      </c>
      <c r="Z1165" s="73">
        <v>30968</v>
      </c>
      <c r="AA1165" s="73" t="s">
        <v>276</v>
      </c>
      <c r="AB1165" s="73" t="s">
        <v>276</v>
      </c>
      <c r="AC1165" s="72">
        <v>0</v>
      </c>
      <c r="AD1165" s="72" t="s">
        <v>3921</v>
      </c>
      <c r="AE1165" s="72">
        <v>0</v>
      </c>
      <c r="AF1165" s="72" t="s">
        <v>3921</v>
      </c>
      <c r="AG1165" s="73" t="s">
        <v>11307</v>
      </c>
      <c r="AH1165" s="73" t="s">
        <v>6506</v>
      </c>
      <c r="AI1165" s="75">
        <f>53+12</f>
        <v>65</v>
      </c>
      <c r="AJ1165" s="75">
        <v>27</v>
      </c>
      <c r="AK1165" s="74">
        <v>30970</v>
      </c>
      <c r="AL1165" s="73">
        <v>30968</v>
      </c>
      <c r="AM1165" s="75" t="s">
        <v>2047</v>
      </c>
      <c r="AN1165" s="72" t="s">
        <v>276</v>
      </c>
      <c r="AO1165" s="86">
        <f t="shared" si="349"/>
        <v>2.0988052954472072</v>
      </c>
      <c r="AP1165" s="72" t="s">
        <v>276</v>
      </c>
      <c r="AQ1165" s="72" t="s">
        <v>276</v>
      </c>
      <c r="AR1165" s="86" t="s">
        <v>276</v>
      </c>
      <c r="AS1165" s="86">
        <f t="shared" si="351"/>
        <v>0.87186773443554633</v>
      </c>
      <c r="AT1165" s="72" t="s">
        <v>276</v>
      </c>
      <c r="AU1165" s="72" t="s">
        <v>276</v>
      </c>
      <c r="AV1165" s="72" t="s">
        <v>268</v>
      </c>
      <c r="AW1165" s="72" t="s">
        <v>276</v>
      </c>
      <c r="AX1165" s="86">
        <f t="shared" si="350"/>
        <v>2.4072519403484858</v>
      </c>
      <c r="AY1165" s="72" t="s">
        <v>276</v>
      </c>
      <c r="AZ1165" s="72" t="s">
        <v>276</v>
      </c>
      <c r="BA1165" s="72" t="s">
        <v>276</v>
      </c>
      <c r="BB1165" s="72" t="s">
        <v>282</v>
      </c>
      <c r="BC1165" s="72" t="s">
        <v>98</v>
      </c>
      <c r="BD1165" s="72" t="s">
        <v>98</v>
      </c>
      <c r="BE1165" s="72" t="s">
        <v>98</v>
      </c>
      <c r="BF1165" s="73" t="s">
        <v>6748</v>
      </c>
      <c r="BG1165" s="73"/>
      <c r="BH1165" s="9" t="s">
        <v>100</v>
      </c>
      <c r="BI1165" s="9" t="s">
        <v>100</v>
      </c>
      <c r="BJ1165" s="78"/>
      <c r="BN1165" s="78"/>
      <c r="BO1165" s="78"/>
    </row>
    <row r="1166" spans="1:67" s="79" customFormat="1" ht="52" hidden="1" x14ac:dyDescent="0.35">
      <c r="A1166" s="72">
        <v>7850</v>
      </c>
      <c r="B1166" s="72" t="s">
        <v>6621</v>
      </c>
      <c r="C1166" s="72" t="s">
        <v>46</v>
      </c>
      <c r="D1166" s="73" t="s">
        <v>11308</v>
      </c>
      <c r="E1166" s="72" t="s">
        <v>36</v>
      </c>
      <c r="F1166" s="72" t="s">
        <v>123</v>
      </c>
      <c r="G1166" s="72" t="s">
        <v>225</v>
      </c>
      <c r="H1166" s="72" t="s">
        <v>125</v>
      </c>
      <c r="I1166" s="72" t="s">
        <v>114</v>
      </c>
      <c r="J1166" s="73" t="s">
        <v>32</v>
      </c>
      <c r="K1166" s="72" t="s">
        <v>6751</v>
      </c>
      <c r="L1166" s="72" t="s">
        <v>276</v>
      </c>
      <c r="M1166" s="72" t="s">
        <v>276</v>
      </c>
      <c r="N1166" s="73" t="s">
        <v>6722</v>
      </c>
      <c r="O1166" s="73" t="s">
        <v>276</v>
      </c>
      <c r="P1166" s="73" t="s">
        <v>239</v>
      </c>
      <c r="Q1166" s="77">
        <v>31656</v>
      </c>
      <c r="R1166" s="73" t="s">
        <v>6624</v>
      </c>
      <c r="S1166" s="73" t="s">
        <v>276</v>
      </c>
      <c r="T1166" s="73" t="s">
        <v>276</v>
      </c>
      <c r="U1166" s="73">
        <v>1</v>
      </c>
      <c r="V1166" s="72" t="s">
        <v>14</v>
      </c>
      <c r="W1166" s="72" t="s">
        <v>98</v>
      </c>
      <c r="X1166" s="73" t="s">
        <v>207</v>
      </c>
      <c r="Y1166" s="74">
        <v>30970</v>
      </c>
      <c r="Z1166" s="73">
        <v>30968</v>
      </c>
      <c r="AA1166" s="73" t="s">
        <v>276</v>
      </c>
      <c r="AB1166" s="73" t="s">
        <v>276</v>
      </c>
      <c r="AC1166" s="72">
        <v>0</v>
      </c>
      <c r="AD1166" s="72" t="s">
        <v>3921</v>
      </c>
      <c r="AE1166" s="72">
        <v>0</v>
      </c>
      <c r="AF1166" s="72" t="s">
        <v>3921</v>
      </c>
      <c r="AG1166" s="73" t="s">
        <v>11309</v>
      </c>
      <c r="AH1166" s="73" t="s">
        <v>6506</v>
      </c>
      <c r="AI1166" s="75">
        <f>33+5</f>
        <v>38</v>
      </c>
      <c r="AJ1166" s="75">
        <v>11</v>
      </c>
      <c r="AK1166" s="74">
        <v>30970</v>
      </c>
      <c r="AL1166" s="73">
        <v>30968</v>
      </c>
      <c r="AM1166" s="75" t="s">
        <v>2047</v>
      </c>
      <c r="AN1166" s="72" t="s">
        <v>276</v>
      </c>
      <c r="AO1166" s="86">
        <f t="shared" si="349"/>
        <v>1.2269938650306749</v>
      </c>
      <c r="AP1166" s="72" t="s">
        <v>276</v>
      </c>
      <c r="AQ1166" s="72" t="s">
        <v>276</v>
      </c>
      <c r="AR1166" s="86" t="s">
        <v>276</v>
      </c>
      <c r="AS1166" s="86">
        <f t="shared" si="351"/>
        <v>0.35520537328855595</v>
      </c>
      <c r="AT1166" s="72" t="s">
        <v>276</v>
      </c>
      <c r="AU1166" s="72" t="s">
        <v>276</v>
      </c>
      <c r="AV1166" s="72" t="s">
        <v>268</v>
      </c>
      <c r="AW1166" s="72" t="s">
        <v>276</v>
      </c>
      <c r="AX1166" s="86">
        <f t="shared" si="350"/>
        <v>3.4543223647518126</v>
      </c>
      <c r="AY1166" s="72" t="s">
        <v>276</v>
      </c>
      <c r="AZ1166" s="72" t="s">
        <v>276</v>
      </c>
      <c r="BA1166" s="72" t="s">
        <v>276</v>
      </c>
      <c r="BB1166" s="72" t="s">
        <v>282</v>
      </c>
      <c r="BC1166" s="72" t="s">
        <v>98</v>
      </c>
      <c r="BD1166" s="72" t="s">
        <v>98</v>
      </c>
      <c r="BE1166" s="72" t="s">
        <v>98</v>
      </c>
      <c r="BF1166" s="73" t="s">
        <v>6748</v>
      </c>
      <c r="BG1166" s="73"/>
      <c r="BH1166" s="9" t="s">
        <v>100</v>
      </c>
      <c r="BI1166" s="9" t="s">
        <v>100</v>
      </c>
      <c r="BJ1166" s="78"/>
      <c r="BN1166" s="78"/>
      <c r="BO1166" s="78"/>
    </row>
    <row r="1167" spans="1:67" s="643" customFormat="1" ht="52" hidden="1" x14ac:dyDescent="0.35">
      <c r="A1167" s="577">
        <v>229</v>
      </c>
      <c r="B1167" s="577" t="s">
        <v>6632</v>
      </c>
      <c r="C1167" s="577" t="s">
        <v>46</v>
      </c>
      <c r="D1167" s="578" t="s">
        <v>6753</v>
      </c>
      <c r="E1167" s="577" t="s">
        <v>36</v>
      </c>
      <c r="F1167" s="577" t="s">
        <v>123</v>
      </c>
      <c r="G1167" s="577" t="s">
        <v>225</v>
      </c>
      <c r="H1167" s="577" t="s">
        <v>225</v>
      </c>
      <c r="I1167" s="577" t="s">
        <v>98</v>
      </c>
      <c r="J1167" s="578" t="s">
        <v>98</v>
      </c>
      <c r="K1167" s="577" t="s">
        <v>98</v>
      </c>
      <c r="L1167" s="577" t="s">
        <v>98</v>
      </c>
      <c r="M1167" s="577" t="s">
        <v>98</v>
      </c>
      <c r="N1167" s="578" t="s">
        <v>6722</v>
      </c>
      <c r="O1167" s="578" t="s">
        <v>276</v>
      </c>
      <c r="P1167" s="578" t="s">
        <v>238</v>
      </c>
      <c r="Q1167" s="629">
        <v>32417</v>
      </c>
      <c r="R1167" s="578" t="s">
        <v>6634</v>
      </c>
      <c r="S1167" s="578" t="s">
        <v>276</v>
      </c>
      <c r="T1167" s="578" t="s">
        <v>98</v>
      </c>
      <c r="U1167" s="578">
        <v>2</v>
      </c>
      <c r="V1167" s="577" t="s">
        <v>14</v>
      </c>
      <c r="W1167" s="577" t="s">
        <v>98</v>
      </c>
      <c r="X1167" s="578" t="s">
        <v>209</v>
      </c>
      <c r="Y1167" s="582">
        <v>30970</v>
      </c>
      <c r="Z1167" s="578" t="s">
        <v>98</v>
      </c>
      <c r="AA1167" s="578" t="s">
        <v>276</v>
      </c>
      <c r="AB1167" s="578" t="s">
        <v>98</v>
      </c>
      <c r="AC1167" s="577">
        <v>0</v>
      </c>
      <c r="AD1167" s="577" t="s">
        <v>6723</v>
      </c>
      <c r="AE1167" s="577" t="s">
        <v>98</v>
      </c>
      <c r="AF1167" s="577" t="s">
        <v>98</v>
      </c>
      <c r="AG1167" s="578" t="s">
        <v>6754</v>
      </c>
      <c r="AH1167" s="578" t="s">
        <v>6725</v>
      </c>
      <c r="AI1167" s="583">
        <f>37+13</f>
        <v>50</v>
      </c>
      <c r="AJ1167" s="583" t="s">
        <v>98</v>
      </c>
      <c r="AK1167" s="582">
        <v>30970</v>
      </c>
      <c r="AL1167" s="583" t="s">
        <v>98</v>
      </c>
      <c r="AM1167" s="583" t="s">
        <v>2047</v>
      </c>
      <c r="AN1167" s="577" t="s">
        <v>276</v>
      </c>
      <c r="AO1167" s="585">
        <f t="shared" si="349"/>
        <v>1.614465611882467</v>
      </c>
      <c r="AP1167" s="577" t="s">
        <v>276</v>
      </c>
      <c r="AQ1167" s="577" t="s">
        <v>276</v>
      </c>
      <c r="AR1167" s="577" t="s">
        <v>98</v>
      </c>
      <c r="AS1167" s="577" t="s">
        <v>98</v>
      </c>
      <c r="AT1167" s="577" t="s">
        <v>98</v>
      </c>
      <c r="AU1167" s="577" t="s">
        <v>98</v>
      </c>
      <c r="AV1167" s="577" t="s">
        <v>98</v>
      </c>
      <c r="AW1167" s="577" t="s">
        <v>98</v>
      </c>
      <c r="AX1167" s="577" t="s">
        <v>98</v>
      </c>
      <c r="AY1167" s="577" t="s">
        <v>98</v>
      </c>
      <c r="AZ1167" s="577" t="s">
        <v>98</v>
      </c>
      <c r="BA1167" s="577" t="s">
        <v>98</v>
      </c>
      <c r="BB1167" s="577" t="s">
        <v>98</v>
      </c>
      <c r="BC1167" s="577" t="s">
        <v>98</v>
      </c>
      <c r="BD1167" s="577" t="s">
        <v>98</v>
      </c>
      <c r="BE1167" s="577" t="s">
        <v>98</v>
      </c>
      <c r="BF1167" s="578" t="s">
        <v>3863</v>
      </c>
      <c r="BG1167" s="578"/>
      <c r="BH1167" s="9" t="s">
        <v>100</v>
      </c>
      <c r="BI1167" s="9" t="s">
        <v>100</v>
      </c>
      <c r="BJ1167" s="642"/>
      <c r="BN1167" s="642"/>
      <c r="BO1167" s="642"/>
    </row>
    <row r="1168" spans="1:67" s="643" customFormat="1" ht="52" hidden="1" x14ac:dyDescent="0.35">
      <c r="A1168" s="577">
        <v>229</v>
      </c>
      <c r="B1168" s="577" t="s">
        <v>6632</v>
      </c>
      <c r="C1168" s="577" t="s">
        <v>46</v>
      </c>
      <c r="D1168" s="578" t="s">
        <v>6755</v>
      </c>
      <c r="E1168" s="577" t="s">
        <v>36</v>
      </c>
      <c r="F1168" s="577" t="s">
        <v>123</v>
      </c>
      <c r="G1168" s="577" t="s">
        <v>225</v>
      </c>
      <c r="H1168" s="577" t="s">
        <v>225</v>
      </c>
      <c r="I1168" s="577" t="s">
        <v>98</v>
      </c>
      <c r="J1168" s="578" t="s">
        <v>98</v>
      </c>
      <c r="K1168" s="577" t="s">
        <v>98</v>
      </c>
      <c r="L1168" s="577" t="s">
        <v>98</v>
      </c>
      <c r="M1168" s="577" t="s">
        <v>98</v>
      </c>
      <c r="N1168" s="578" t="s">
        <v>6722</v>
      </c>
      <c r="O1168" s="578" t="s">
        <v>276</v>
      </c>
      <c r="P1168" s="578" t="s">
        <v>238</v>
      </c>
      <c r="Q1168" s="629">
        <v>32417</v>
      </c>
      <c r="R1168" s="578" t="s">
        <v>6634</v>
      </c>
      <c r="S1168" s="578" t="s">
        <v>276</v>
      </c>
      <c r="T1168" s="578" t="s">
        <v>98</v>
      </c>
      <c r="U1168" s="578">
        <v>2</v>
      </c>
      <c r="V1168" s="577" t="s">
        <v>14</v>
      </c>
      <c r="W1168" s="577" t="s">
        <v>98</v>
      </c>
      <c r="X1168" s="578" t="s">
        <v>209</v>
      </c>
      <c r="Y1168" s="582">
        <v>30970</v>
      </c>
      <c r="Z1168" s="578" t="s">
        <v>98</v>
      </c>
      <c r="AA1168" s="578" t="s">
        <v>276</v>
      </c>
      <c r="AB1168" s="578" t="s">
        <v>98</v>
      </c>
      <c r="AC1168" s="577">
        <v>0</v>
      </c>
      <c r="AD1168" s="577" t="s">
        <v>6723</v>
      </c>
      <c r="AE1168" s="577" t="s">
        <v>98</v>
      </c>
      <c r="AF1168" s="577" t="s">
        <v>98</v>
      </c>
      <c r="AG1168" s="578" t="s">
        <v>6756</v>
      </c>
      <c r="AH1168" s="578" t="s">
        <v>6725</v>
      </c>
      <c r="AI1168" s="583">
        <f>86+76</f>
        <v>162</v>
      </c>
      <c r="AJ1168" s="583" t="s">
        <v>98</v>
      </c>
      <c r="AK1168" s="582">
        <v>30970</v>
      </c>
      <c r="AL1168" s="583" t="s">
        <v>98</v>
      </c>
      <c r="AM1168" s="583" t="s">
        <v>2047</v>
      </c>
      <c r="AN1168" s="577" t="s">
        <v>276</v>
      </c>
      <c r="AO1168" s="585">
        <f t="shared" si="349"/>
        <v>5.230868582499193</v>
      </c>
      <c r="AP1168" s="577" t="s">
        <v>276</v>
      </c>
      <c r="AQ1168" s="577" t="s">
        <v>276</v>
      </c>
      <c r="AR1168" s="577" t="s">
        <v>98</v>
      </c>
      <c r="AS1168" s="577" t="s">
        <v>98</v>
      </c>
      <c r="AT1168" s="577" t="s">
        <v>98</v>
      </c>
      <c r="AU1168" s="577" t="s">
        <v>98</v>
      </c>
      <c r="AV1168" s="577" t="s">
        <v>98</v>
      </c>
      <c r="AW1168" s="577" t="s">
        <v>98</v>
      </c>
      <c r="AX1168" s="577" t="s">
        <v>98</v>
      </c>
      <c r="AY1168" s="577" t="s">
        <v>98</v>
      </c>
      <c r="AZ1168" s="577" t="s">
        <v>98</v>
      </c>
      <c r="BA1168" s="577" t="s">
        <v>98</v>
      </c>
      <c r="BB1168" s="577" t="s">
        <v>98</v>
      </c>
      <c r="BC1168" s="577" t="s">
        <v>98</v>
      </c>
      <c r="BD1168" s="577" t="s">
        <v>98</v>
      </c>
      <c r="BE1168" s="577" t="s">
        <v>98</v>
      </c>
      <c r="BF1168" s="578" t="s">
        <v>3863</v>
      </c>
      <c r="BG1168" s="578"/>
      <c r="BH1168" s="9" t="s">
        <v>100</v>
      </c>
      <c r="BI1168" s="9" t="s">
        <v>100</v>
      </c>
      <c r="BJ1168" s="642"/>
      <c r="BN1168" s="642"/>
      <c r="BO1168" s="642"/>
    </row>
    <row r="1169" spans="1:67" s="645" customFormat="1" ht="52" hidden="1" x14ac:dyDescent="0.35">
      <c r="A1169" s="567">
        <v>229</v>
      </c>
      <c r="B1169" s="567" t="s">
        <v>6632</v>
      </c>
      <c r="C1169" s="567" t="s">
        <v>46</v>
      </c>
      <c r="D1169" s="568" t="s">
        <v>6757</v>
      </c>
      <c r="E1169" s="567" t="s">
        <v>36</v>
      </c>
      <c r="F1169" s="567" t="s">
        <v>123</v>
      </c>
      <c r="G1169" s="567" t="s">
        <v>225</v>
      </c>
      <c r="H1169" s="567" t="s">
        <v>225</v>
      </c>
      <c r="I1169" s="567" t="s">
        <v>98</v>
      </c>
      <c r="J1169" s="568" t="s">
        <v>98</v>
      </c>
      <c r="K1169" s="567" t="s">
        <v>98</v>
      </c>
      <c r="L1169" s="567" t="s">
        <v>98</v>
      </c>
      <c r="M1169" s="567" t="s">
        <v>98</v>
      </c>
      <c r="N1169" s="568" t="s">
        <v>6722</v>
      </c>
      <c r="O1169" s="568" t="s">
        <v>276</v>
      </c>
      <c r="P1169" s="568" t="s">
        <v>236</v>
      </c>
      <c r="Q1169" s="633">
        <v>32417</v>
      </c>
      <c r="R1169" s="568" t="s">
        <v>6634</v>
      </c>
      <c r="S1169" s="568" t="s">
        <v>276</v>
      </c>
      <c r="T1169" s="568" t="s">
        <v>98</v>
      </c>
      <c r="U1169" s="568">
        <v>2</v>
      </c>
      <c r="V1169" s="567" t="s">
        <v>14</v>
      </c>
      <c r="W1169" s="567" t="s">
        <v>98</v>
      </c>
      <c r="X1169" s="568" t="s">
        <v>209</v>
      </c>
      <c r="Y1169" s="572" t="s">
        <v>98</v>
      </c>
      <c r="Z1169" s="568" t="s">
        <v>98</v>
      </c>
      <c r="AA1169" s="568" t="s">
        <v>276</v>
      </c>
      <c r="AB1169" s="568" t="s">
        <v>98</v>
      </c>
      <c r="AC1169" s="567">
        <v>0</v>
      </c>
      <c r="AD1169" s="567" t="s">
        <v>6723</v>
      </c>
      <c r="AE1169" s="567" t="s">
        <v>98</v>
      </c>
      <c r="AF1169" s="567" t="s">
        <v>98</v>
      </c>
      <c r="AG1169" s="568" t="s">
        <v>6754</v>
      </c>
      <c r="AH1169" s="568" t="s">
        <v>6730</v>
      </c>
      <c r="AI1169" s="573">
        <v>50</v>
      </c>
      <c r="AJ1169" s="573" t="s">
        <v>98</v>
      </c>
      <c r="AK1169" s="572">
        <v>147</v>
      </c>
      <c r="AL1169" s="573" t="s">
        <v>98</v>
      </c>
      <c r="AM1169" s="573" t="s">
        <v>292</v>
      </c>
      <c r="AN1169" s="567" t="s">
        <v>276</v>
      </c>
      <c r="AO1169" s="575">
        <f>AI1169*100/AK1169</f>
        <v>34.013605442176868</v>
      </c>
      <c r="AP1169" s="567" t="s">
        <v>276</v>
      </c>
      <c r="AQ1169" s="567" t="s">
        <v>276</v>
      </c>
      <c r="AR1169" s="567" t="s">
        <v>98</v>
      </c>
      <c r="AS1169" s="567" t="s">
        <v>98</v>
      </c>
      <c r="AT1169" s="567" t="s">
        <v>98</v>
      </c>
      <c r="AU1169" s="567" t="s">
        <v>98</v>
      </c>
      <c r="AV1169" s="567" t="s">
        <v>98</v>
      </c>
      <c r="AW1169" s="567" t="s">
        <v>98</v>
      </c>
      <c r="AX1169" s="567" t="s">
        <v>98</v>
      </c>
      <c r="AY1169" s="567" t="s">
        <v>98</v>
      </c>
      <c r="AZ1169" s="567" t="s">
        <v>98</v>
      </c>
      <c r="BA1169" s="567" t="s">
        <v>98</v>
      </c>
      <c r="BB1169" s="567" t="s">
        <v>98</v>
      </c>
      <c r="BC1169" s="567" t="s">
        <v>98</v>
      </c>
      <c r="BD1169" s="567" t="s">
        <v>98</v>
      </c>
      <c r="BE1169" s="567" t="s">
        <v>98</v>
      </c>
      <c r="BF1169" s="568" t="s">
        <v>4579</v>
      </c>
      <c r="BG1169" s="568"/>
      <c r="BH1169" s="9" t="s">
        <v>100</v>
      </c>
      <c r="BI1169" s="9" t="s">
        <v>100</v>
      </c>
      <c r="BJ1169" s="644"/>
      <c r="BN1169" s="644"/>
      <c r="BO1169" s="644"/>
    </row>
    <row r="1170" spans="1:67" s="645" customFormat="1" ht="52" hidden="1" x14ac:dyDescent="0.35">
      <c r="A1170" s="567">
        <v>229</v>
      </c>
      <c r="B1170" s="567" t="s">
        <v>6632</v>
      </c>
      <c r="C1170" s="567" t="s">
        <v>46</v>
      </c>
      <c r="D1170" s="568" t="s">
        <v>11310</v>
      </c>
      <c r="E1170" s="567" t="s">
        <v>36</v>
      </c>
      <c r="F1170" s="567" t="s">
        <v>123</v>
      </c>
      <c r="G1170" s="567" t="s">
        <v>225</v>
      </c>
      <c r="H1170" s="567" t="s">
        <v>225</v>
      </c>
      <c r="I1170" s="567" t="s">
        <v>98</v>
      </c>
      <c r="J1170" s="568" t="s">
        <v>98</v>
      </c>
      <c r="K1170" s="567" t="s">
        <v>98</v>
      </c>
      <c r="L1170" s="567" t="s">
        <v>98</v>
      </c>
      <c r="M1170" s="567" t="s">
        <v>98</v>
      </c>
      <c r="N1170" s="568" t="s">
        <v>6722</v>
      </c>
      <c r="O1170" s="568" t="s">
        <v>276</v>
      </c>
      <c r="P1170" s="568" t="s">
        <v>236</v>
      </c>
      <c r="Q1170" s="633">
        <v>32417</v>
      </c>
      <c r="R1170" s="568" t="s">
        <v>6634</v>
      </c>
      <c r="S1170" s="568" t="s">
        <v>276</v>
      </c>
      <c r="T1170" s="568" t="s">
        <v>98</v>
      </c>
      <c r="U1170" s="568">
        <v>2</v>
      </c>
      <c r="V1170" s="567" t="s">
        <v>16</v>
      </c>
      <c r="W1170" s="567" t="s">
        <v>170</v>
      </c>
      <c r="X1170" s="568" t="s">
        <v>209</v>
      </c>
      <c r="Y1170" s="572" t="s">
        <v>98</v>
      </c>
      <c r="Z1170" s="568" t="s">
        <v>98</v>
      </c>
      <c r="AA1170" s="568" t="s">
        <v>276</v>
      </c>
      <c r="AB1170" s="568" t="s">
        <v>98</v>
      </c>
      <c r="AC1170" s="567">
        <v>0</v>
      </c>
      <c r="AD1170" s="567" t="s">
        <v>6723</v>
      </c>
      <c r="AE1170" s="567" t="s">
        <v>98</v>
      </c>
      <c r="AF1170" s="567" t="s">
        <v>98</v>
      </c>
      <c r="AG1170" s="568" t="s">
        <v>11311</v>
      </c>
      <c r="AH1170" s="568" t="s">
        <v>11290</v>
      </c>
      <c r="AI1170" s="573">
        <v>30</v>
      </c>
      <c r="AJ1170" s="573" t="s">
        <v>98</v>
      </c>
      <c r="AK1170" s="572">
        <v>69</v>
      </c>
      <c r="AL1170" s="573" t="s">
        <v>98</v>
      </c>
      <c r="AM1170" s="573" t="s">
        <v>292</v>
      </c>
      <c r="AN1170" s="567" t="s">
        <v>276</v>
      </c>
      <c r="AO1170" s="575">
        <f>AI1170*100/AK1170</f>
        <v>43.478260869565219</v>
      </c>
      <c r="AP1170" s="567" t="s">
        <v>276</v>
      </c>
      <c r="AQ1170" s="567" t="s">
        <v>276</v>
      </c>
      <c r="AR1170" s="567" t="s">
        <v>98</v>
      </c>
      <c r="AS1170" s="567" t="s">
        <v>98</v>
      </c>
      <c r="AT1170" s="567" t="s">
        <v>98</v>
      </c>
      <c r="AU1170" s="567" t="s">
        <v>98</v>
      </c>
      <c r="AV1170" s="567" t="s">
        <v>98</v>
      </c>
      <c r="AW1170" s="567" t="s">
        <v>98</v>
      </c>
      <c r="AX1170" s="567" t="s">
        <v>98</v>
      </c>
      <c r="AY1170" s="567" t="s">
        <v>98</v>
      </c>
      <c r="AZ1170" s="567" t="s">
        <v>98</v>
      </c>
      <c r="BA1170" s="567" t="s">
        <v>98</v>
      </c>
      <c r="BB1170" s="567" t="s">
        <v>98</v>
      </c>
      <c r="BC1170" s="567" t="s">
        <v>98</v>
      </c>
      <c r="BD1170" s="567" t="s">
        <v>98</v>
      </c>
      <c r="BE1170" s="567" t="s">
        <v>98</v>
      </c>
      <c r="BF1170" s="568" t="s">
        <v>6697</v>
      </c>
      <c r="BG1170" s="568"/>
      <c r="BH1170" s="9" t="s">
        <v>100</v>
      </c>
      <c r="BI1170" s="9" t="s">
        <v>100</v>
      </c>
      <c r="BJ1170" s="644"/>
      <c r="BN1170" s="644"/>
      <c r="BO1170" s="644"/>
    </row>
    <row r="1171" spans="1:67" s="645" customFormat="1" ht="52" hidden="1" x14ac:dyDescent="0.35">
      <c r="A1171" s="567">
        <v>229</v>
      </c>
      <c r="B1171" s="567" t="s">
        <v>6632</v>
      </c>
      <c r="C1171" s="567" t="s">
        <v>46</v>
      </c>
      <c r="D1171" s="568" t="s">
        <v>11312</v>
      </c>
      <c r="E1171" s="567" t="s">
        <v>36</v>
      </c>
      <c r="F1171" s="567" t="s">
        <v>123</v>
      </c>
      <c r="G1171" s="567" t="s">
        <v>225</v>
      </c>
      <c r="H1171" s="567" t="s">
        <v>225</v>
      </c>
      <c r="I1171" s="567" t="s">
        <v>98</v>
      </c>
      <c r="J1171" s="568" t="s">
        <v>98</v>
      </c>
      <c r="K1171" s="567" t="s">
        <v>98</v>
      </c>
      <c r="L1171" s="567" t="s">
        <v>98</v>
      </c>
      <c r="M1171" s="567" t="s">
        <v>98</v>
      </c>
      <c r="N1171" s="568" t="s">
        <v>6722</v>
      </c>
      <c r="O1171" s="568" t="s">
        <v>276</v>
      </c>
      <c r="P1171" s="568" t="s">
        <v>236</v>
      </c>
      <c r="Q1171" s="633">
        <v>32417</v>
      </c>
      <c r="R1171" s="568" t="s">
        <v>6634</v>
      </c>
      <c r="S1171" s="568" t="s">
        <v>276</v>
      </c>
      <c r="T1171" s="568" t="s">
        <v>98</v>
      </c>
      <c r="U1171" s="568">
        <v>2</v>
      </c>
      <c r="V1171" s="567" t="s">
        <v>16</v>
      </c>
      <c r="W1171" s="567" t="s">
        <v>171</v>
      </c>
      <c r="X1171" s="568" t="s">
        <v>209</v>
      </c>
      <c r="Y1171" s="572" t="s">
        <v>98</v>
      </c>
      <c r="Z1171" s="568" t="s">
        <v>98</v>
      </c>
      <c r="AA1171" s="568" t="s">
        <v>276</v>
      </c>
      <c r="AB1171" s="568" t="s">
        <v>98</v>
      </c>
      <c r="AC1171" s="567">
        <v>0</v>
      </c>
      <c r="AD1171" s="567" t="s">
        <v>6723</v>
      </c>
      <c r="AE1171" s="567" t="s">
        <v>98</v>
      </c>
      <c r="AF1171" s="567" t="s">
        <v>98</v>
      </c>
      <c r="AG1171" s="568" t="s">
        <v>11313</v>
      </c>
      <c r="AH1171" s="568" t="s">
        <v>11293</v>
      </c>
      <c r="AI1171" s="573">
        <v>20</v>
      </c>
      <c r="AJ1171" s="573" t="s">
        <v>98</v>
      </c>
      <c r="AK1171" s="572">
        <v>78</v>
      </c>
      <c r="AL1171" s="573" t="s">
        <v>98</v>
      </c>
      <c r="AM1171" s="573" t="s">
        <v>292</v>
      </c>
      <c r="AN1171" s="567" t="s">
        <v>276</v>
      </c>
      <c r="AO1171" s="575">
        <f>AI1171*100/AK1171</f>
        <v>25.641025641025642</v>
      </c>
      <c r="AP1171" s="567" t="s">
        <v>276</v>
      </c>
      <c r="AQ1171" s="567" t="s">
        <v>276</v>
      </c>
      <c r="AR1171" s="567" t="s">
        <v>98</v>
      </c>
      <c r="AS1171" s="567" t="s">
        <v>98</v>
      </c>
      <c r="AT1171" s="567" t="s">
        <v>98</v>
      </c>
      <c r="AU1171" s="567" t="s">
        <v>98</v>
      </c>
      <c r="AV1171" s="567" t="s">
        <v>98</v>
      </c>
      <c r="AW1171" s="567" t="s">
        <v>98</v>
      </c>
      <c r="AX1171" s="567" t="s">
        <v>98</v>
      </c>
      <c r="AY1171" s="567" t="s">
        <v>98</v>
      </c>
      <c r="AZ1171" s="567" t="s">
        <v>98</v>
      </c>
      <c r="BA1171" s="567" t="s">
        <v>98</v>
      </c>
      <c r="BB1171" s="567" t="s">
        <v>98</v>
      </c>
      <c r="BC1171" s="567" t="s">
        <v>98</v>
      </c>
      <c r="BD1171" s="567" t="s">
        <v>98</v>
      </c>
      <c r="BE1171" s="567" t="s">
        <v>98</v>
      </c>
      <c r="BF1171" s="568" t="s">
        <v>6697</v>
      </c>
      <c r="BG1171" s="568"/>
      <c r="BH1171" s="9" t="s">
        <v>100</v>
      </c>
      <c r="BI1171" s="9" t="s">
        <v>100</v>
      </c>
      <c r="BJ1171" s="644"/>
      <c r="BN1171" s="644"/>
      <c r="BO1171" s="644"/>
    </row>
    <row r="1172" spans="1:67" s="643" customFormat="1" ht="52" hidden="1" x14ac:dyDescent="0.35">
      <c r="A1172" s="577">
        <v>229</v>
      </c>
      <c r="B1172" s="577" t="s">
        <v>6632</v>
      </c>
      <c r="C1172" s="577" t="s">
        <v>46</v>
      </c>
      <c r="D1172" s="578" t="s">
        <v>11314</v>
      </c>
      <c r="E1172" s="577" t="s">
        <v>36</v>
      </c>
      <c r="F1172" s="577" t="s">
        <v>123</v>
      </c>
      <c r="G1172" s="577" t="s">
        <v>225</v>
      </c>
      <c r="H1172" s="577" t="s">
        <v>125</v>
      </c>
      <c r="I1172" s="577" t="s">
        <v>114</v>
      </c>
      <c r="J1172" s="578" t="s">
        <v>31</v>
      </c>
      <c r="K1172" s="577" t="s">
        <v>4971</v>
      </c>
      <c r="L1172" s="577" t="s">
        <v>276</v>
      </c>
      <c r="M1172" s="577" t="s">
        <v>276</v>
      </c>
      <c r="N1172" s="578" t="s">
        <v>6722</v>
      </c>
      <c r="O1172" s="578" t="s">
        <v>276</v>
      </c>
      <c r="P1172" s="578" t="s">
        <v>239</v>
      </c>
      <c r="Q1172" s="629">
        <v>32417</v>
      </c>
      <c r="R1172" s="578" t="s">
        <v>6634</v>
      </c>
      <c r="S1172" s="578" t="s">
        <v>276</v>
      </c>
      <c r="T1172" s="578" t="s">
        <v>276</v>
      </c>
      <c r="U1172" s="578">
        <v>2</v>
      </c>
      <c r="V1172" s="577" t="s">
        <v>14</v>
      </c>
      <c r="W1172" s="577" t="s">
        <v>98</v>
      </c>
      <c r="X1172" s="578" t="s">
        <v>207</v>
      </c>
      <c r="Y1172" s="582">
        <v>30970</v>
      </c>
      <c r="Z1172" s="578">
        <v>30968</v>
      </c>
      <c r="AA1172" s="578" t="s">
        <v>276</v>
      </c>
      <c r="AB1172" s="578" t="s">
        <v>276</v>
      </c>
      <c r="AC1172" s="577">
        <v>13</v>
      </c>
      <c r="AD1172" s="577" t="s">
        <v>3921</v>
      </c>
      <c r="AE1172" s="577">
        <v>18</v>
      </c>
      <c r="AF1172" s="577" t="s">
        <v>3921</v>
      </c>
      <c r="AG1172" s="578" t="s">
        <v>6758</v>
      </c>
      <c r="AH1172" s="578" t="s">
        <v>6506</v>
      </c>
      <c r="AI1172" s="583">
        <v>26</v>
      </c>
      <c r="AJ1172" s="583">
        <v>4</v>
      </c>
      <c r="AK1172" s="582">
        <v>30970</v>
      </c>
      <c r="AL1172" s="578">
        <v>30968</v>
      </c>
      <c r="AM1172" s="583" t="s">
        <v>2047</v>
      </c>
      <c r="AN1172" s="577" t="s">
        <v>276</v>
      </c>
      <c r="AO1172" s="586">
        <f t="shared" ref="AO1172:AO1189" si="355">AI1172*1000/AK1172</f>
        <v>0.83952211817888278</v>
      </c>
      <c r="AP1172" s="577" t="s">
        <v>276</v>
      </c>
      <c r="AQ1172" s="577" t="s">
        <v>276</v>
      </c>
      <c r="AR1172" s="586" t="s">
        <v>276</v>
      </c>
      <c r="AS1172" s="586">
        <f>AJ1172*1000/AL1172</f>
        <v>0.12916559028674762</v>
      </c>
      <c r="AT1172" s="577" t="s">
        <v>276</v>
      </c>
      <c r="AU1172" s="577" t="s">
        <v>276</v>
      </c>
      <c r="AV1172" s="577" t="s">
        <v>268</v>
      </c>
      <c r="AW1172" s="577" t="s">
        <v>276</v>
      </c>
      <c r="AX1172" s="586">
        <f t="shared" ref="AX1172:AX1182" si="356">AO1172/AS1172</f>
        <v>6.4995802389409096</v>
      </c>
      <c r="AY1172" s="577" t="s">
        <v>276</v>
      </c>
      <c r="AZ1172" s="577" t="s">
        <v>276</v>
      </c>
      <c r="BA1172" s="577" t="s">
        <v>276</v>
      </c>
      <c r="BB1172" s="577" t="s">
        <v>282</v>
      </c>
      <c r="BC1172" s="577" t="s">
        <v>98</v>
      </c>
      <c r="BD1172" s="577" t="s">
        <v>98</v>
      </c>
      <c r="BE1172" s="577" t="s">
        <v>98</v>
      </c>
      <c r="BF1172" s="578" t="s">
        <v>6748</v>
      </c>
      <c r="BG1172" s="578"/>
      <c r="BH1172" s="9" t="s">
        <v>100</v>
      </c>
      <c r="BI1172" s="9" t="s">
        <v>100</v>
      </c>
      <c r="BJ1172" s="642"/>
      <c r="BN1172" s="642"/>
      <c r="BO1172" s="642"/>
    </row>
    <row r="1173" spans="1:67" s="643" customFormat="1" ht="52" hidden="1" x14ac:dyDescent="0.35">
      <c r="A1173" s="577">
        <v>229</v>
      </c>
      <c r="B1173" s="577" t="s">
        <v>6632</v>
      </c>
      <c r="C1173" s="577" t="s">
        <v>46</v>
      </c>
      <c r="D1173" s="578" t="s">
        <v>11315</v>
      </c>
      <c r="E1173" s="577" t="s">
        <v>36</v>
      </c>
      <c r="F1173" s="577" t="s">
        <v>123</v>
      </c>
      <c r="G1173" s="577" t="s">
        <v>225</v>
      </c>
      <c r="H1173" s="577" t="s">
        <v>125</v>
      </c>
      <c r="I1173" s="577" t="s">
        <v>114</v>
      </c>
      <c r="J1173" s="578" t="s">
        <v>31</v>
      </c>
      <c r="K1173" s="577" t="s">
        <v>6733</v>
      </c>
      <c r="L1173" s="577" t="s">
        <v>276</v>
      </c>
      <c r="M1173" s="577" t="s">
        <v>276</v>
      </c>
      <c r="N1173" s="578" t="s">
        <v>6722</v>
      </c>
      <c r="O1173" s="578" t="s">
        <v>276</v>
      </c>
      <c r="P1173" s="578" t="s">
        <v>239</v>
      </c>
      <c r="Q1173" s="629">
        <v>32417</v>
      </c>
      <c r="R1173" s="578" t="s">
        <v>6634</v>
      </c>
      <c r="S1173" s="578" t="s">
        <v>276</v>
      </c>
      <c r="T1173" s="578" t="s">
        <v>276</v>
      </c>
      <c r="U1173" s="578">
        <v>2</v>
      </c>
      <c r="V1173" s="577" t="s">
        <v>14</v>
      </c>
      <c r="W1173" s="577" t="s">
        <v>98</v>
      </c>
      <c r="X1173" s="578" t="s">
        <v>207</v>
      </c>
      <c r="Y1173" s="582">
        <v>30970</v>
      </c>
      <c r="Z1173" s="578">
        <v>30968</v>
      </c>
      <c r="AA1173" s="578" t="s">
        <v>276</v>
      </c>
      <c r="AB1173" s="578" t="s">
        <v>276</v>
      </c>
      <c r="AC1173" s="577">
        <v>13</v>
      </c>
      <c r="AD1173" s="577" t="s">
        <v>3921</v>
      </c>
      <c r="AE1173" s="577">
        <v>18</v>
      </c>
      <c r="AF1173" s="577" t="s">
        <v>3921</v>
      </c>
      <c r="AG1173" s="578" t="s">
        <v>6759</v>
      </c>
      <c r="AH1173" s="578" t="s">
        <v>6506</v>
      </c>
      <c r="AI1173" s="583">
        <v>17</v>
      </c>
      <c r="AJ1173" s="583">
        <v>11</v>
      </c>
      <c r="AK1173" s="582">
        <v>30970</v>
      </c>
      <c r="AL1173" s="578">
        <v>30968</v>
      </c>
      <c r="AM1173" s="583" t="s">
        <v>2047</v>
      </c>
      <c r="AN1173" s="577" t="s">
        <v>276</v>
      </c>
      <c r="AO1173" s="586">
        <f t="shared" si="355"/>
        <v>0.54891830804003872</v>
      </c>
      <c r="AP1173" s="577" t="s">
        <v>276</v>
      </c>
      <c r="AQ1173" s="577" t="s">
        <v>276</v>
      </c>
      <c r="AR1173" s="586" t="s">
        <v>276</v>
      </c>
      <c r="AS1173" s="586">
        <f t="shared" ref="AS1173:AS1186" si="357">AJ1173*1000/AL1173</f>
        <v>0.35520537328855595</v>
      </c>
      <c r="AT1173" s="577" t="s">
        <v>276</v>
      </c>
      <c r="AU1173" s="577" t="s">
        <v>276</v>
      </c>
      <c r="AV1173" s="577" t="s">
        <v>268</v>
      </c>
      <c r="AW1173" s="577" t="s">
        <v>276</v>
      </c>
      <c r="AX1173" s="586">
        <f t="shared" si="356"/>
        <v>1.5453547421258107</v>
      </c>
      <c r="AY1173" s="577" t="s">
        <v>276</v>
      </c>
      <c r="AZ1173" s="577" t="s">
        <v>276</v>
      </c>
      <c r="BA1173" s="577" t="s">
        <v>276</v>
      </c>
      <c r="BB1173" s="577" t="s">
        <v>282</v>
      </c>
      <c r="BC1173" s="577" t="s">
        <v>98</v>
      </c>
      <c r="BD1173" s="577" t="s">
        <v>98</v>
      </c>
      <c r="BE1173" s="577" t="s">
        <v>98</v>
      </c>
      <c r="BF1173" s="578" t="s">
        <v>6748</v>
      </c>
      <c r="BG1173" s="578"/>
      <c r="BH1173" s="9" t="s">
        <v>100</v>
      </c>
      <c r="BI1173" s="9" t="s">
        <v>100</v>
      </c>
      <c r="BJ1173" s="642"/>
      <c r="BN1173" s="642"/>
      <c r="BO1173" s="642"/>
    </row>
    <row r="1174" spans="1:67" s="643" customFormat="1" ht="52" hidden="1" x14ac:dyDescent="0.35">
      <c r="A1174" s="577">
        <v>229</v>
      </c>
      <c r="B1174" s="577" t="s">
        <v>6632</v>
      </c>
      <c r="C1174" s="577" t="s">
        <v>46</v>
      </c>
      <c r="D1174" s="578" t="s">
        <v>11316</v>
      </c>
      <c r="E1174" s="577" t="s">
        <v>36</v>
      </c>
      <c r="F1174" s="577" t="s">
        <v>123</v>
      </c>
      <c r="G1174" s="577" t="s">
        <v>225</v>
      </c>
      <c r="H1174" s="577" t="s">
        <v>125</v>
      </c>
      <c r="I1174" s="577" t="s">
        <v>114</v>
      </c>
      <c r="J1174" s="578" t="s">
        <v>31</v>
      </c>
      <c r="K1174" s="577" t="s">
        <v>6760</v>
      </c>
      <c r="L1174" s="577" t="s">
        <v>276</v>
      </c>
      <c r="M1174" s="577" t="s">
        <v>276</v>
      </c>
      <c r="N1174" s="578" t="s">
        <v>6722</v>
      </c>
      <c r="O1174" s="578" t="s">
        <v>276</v>
      </c>
      <c r="P1174" s="578" t="s">
        <v>239</v>
      </c>
      <c r="Q1174" s="629">
        <v>32417</v>
      </c>
      <c r="R1174" s="578" t="s">
        <v>6634</v>
      </c>
      <c r="S1174" s="578" t="s">
        <v>276</v>
      </c>
      <c r="T1174" s="578" t="s">
        <v>276</v>
      </c>
      <c r="U1174" s="578">
        <v>2</v>
      </c>
      <c r="V1174" s="577" t="s">
        <v>14</v>
      </c>
      <c r="W1174" s="577" t="s">
        <v>98</v>
      </c>
      <c r="X1174" s="578" t="s">
        <v>207</v>
      </c>
      <c r="Y1174" s="582">
        <v>30970</v>
      </c>
      <c r="Z1174" s="578">
        <v>30968</v>
      </c>
      <c r="AA1174" s="578" t="s">
        <v>276</v>
      </c>
      <c r="AB1174" s="578" t="s">
        <v>276</v>
      </c>
      <c r="AC1174" s="577">
        <v>13</v>
      </c>
      <c r="AD1174" s="577" t="s">
        <v>3921</v>
      </c>
      <c r="AE1174" s="577">
        <v>18</v>
      </c>
      <c r="AF1174" s="577" t="s">
        <v>3921</v>
      </c>
      <c r="AG1174" s="578" t="s">
        <v>6761</v>
      </c>
      <c r="AH1174" s="578" t="s">
        <v>6506</v>
      </c>
      <c r="AI1174" s="583">
        <v>43</v>
      </c>
      <c r="AJ1174" s="583">
        <v>15</v>
      </c>
      <c r="AK1174" s="582">
        <v>30970</v>
      </c>
      <c r="AL1174" s="578">
        <v>30968</v>
      </c>
      <c r="AM1174" s="583" t="s">
        <v>2047</v>
      </c>
      <c r="AN1174" s="577" t="s">
        <v>276</v>
      </c>
      <c r="AO1174" s="586">
        <f t="shared" si="355"/>
        <v>1.3884404262189216</v>
      </c>
      <c r="AP1174" s="577" t="s">
        <v>276</v>
      </c>
      <c r="AQ1174" s="577" t="s">
        <v>276</v>
      </c>
      <c r="AR1174" s="586" t="s">
        <v>276</v>
      </c>
      <c r="AS1174" s="586">
        <f t="shared" si="357"/>
        <v>0.48437096357530351</v>
      </c>
      <c r="AT1174" s="577" t="s">
        <v>276</v>
      </c>
      <c r="AU1174" s="577" t="s">
        <v>276</v>
      </c>
      <c r="AV1174" s="577" t="s">
        <v>268</v>
      </c>
      <c r="AW1174" s="577" t="s">
        <v>276</v>
      </c>
      <c r="AX1174" s="586">
        <f t="shared" si="356"/>
        <v>2.8664815412765043</v>
      </c>
      <c r="AY1174" s="577" t="s">
        <v>276</v>
      </c>
      <c r="AZ1174" s="577" t="s">
        <v>276</v>
      </c>
      <c r="BA1174" s="577" t="s">
        <v>276</v>
      </c>
      <c r="BB1174" s="577" t="s">
        <v>282</v>
      </c>
      <c r="BC1174" s="577" t="s">
        <v>98</v>
      </c>
      <c r="BD1174" s="577" t="s">
        <v>98</v>
      </c>
      <c r="BE1174" s="577" t="s">
        <v>98</v>
      </c>
      <c r="BF1174" s="578" t="s">
        <v>6762</v>
      </c>
      <c r="BG1174" s="578"/>
      <c r="BH1174" s="9" t="s">
        <v>100</v>
      </c>
      <c r="BI1174" s="9" t="s">
        <v>100</v>
      </c>
      <c r="BJ1174" s="642"/>
      <c r="BN1174" s="642"/>
      <c r="BO1174" s="642"/>
    </row>
    <row r="1175" spans="1:67" s="643" customFormat="1" ht="52" hidden="1" x14ac:dyDescent="0.35">
      <c r="A1175" s="577">
        <v>229</v>
      </c>
      <c r="B1175" s="577" t="s">
        <v>6632</v>
      </c>
      <c r="C1175" s="577" t="s">
        <v>46</v>
      </c>
      <c r="D1175" s="578" t="s">
        <v>11317</v>
      </c>
      <c r="E1175" s="577" t="s">
        <v>36</v>
      </c>
      <c r="F1175" s="577" t="s">
        <v>123</v>
      </c>
      <c r="G1175" s="577" t="s">
        <v>225</v>
      </c>
      <c r="H1175" s="577" t="s">
        <v>125</v>
      </c>
      <c r="I1175" s="577" t="s">
        <v>114</v>
      </c>
      <c r="J1175" s="578" t="s">
        <v>31</v>
      </c>
      <c r="K1175" s="577" t="s">
        <v>6763</v>
      </c>
      <c r="L1175" s="577" t="s">
        <v>276</v>
      </c>
      <c r="M1175" s="577" t="s">
        <v>276</v>
      </c>
      <c r="N1175" s="578" t="s">
        <v>6722</v>
      </c>
      <c r="O1175" s="578" t="s">
        <v>276</v>
      </c>
      <c r="P1175" s="578" t="s">
        <v>239</v>
      </c>
      <c r="Q1175" s="629">
        <v>32417</v>
      </c>
      <c r="R1175" s="578" t="s">
        <v>6634</v>
      </c>
      <c r="S1175" s="578" t="s">
        <v>276</v>
      </c>
      <c r="T1175" s="578" t="s">
        <v>276</v>
      </c>
      <c r="U1175" s="578">
        <v>2</v>
      </c>
      <c r="V1175" s="577" t="s">
        <v>14</v>
      </c>
      <c r="W1175" s="577" t="s">
        <v>98</v>
      </c>
      <c r="X1175" s="578" t="s">
        <v>207</v>
      </c>
      <c r="Y1175" s="582">
        <v>30970</v>
      </c>
      <c r="Z1175" s="578">
        <v>30968</v>
      </c>
      <c r="AA1175" s="578" t="s">
        <v>276</v>
      </c>
      <c r="AB1175" s="578" t="s">
        <v>276</v>
      </c>
      <c r="AC1175" s="577">
        <v>13</v>
      </c>
      <c r="AD1175" s="577" t="s">
        <v>3921</v>
      </c>
      <c r="AE1175" s="577">
        <v>18</v>
      </c>
      <c r="AF1175" s="577" t="s">
        <v>3921</v>
      </c>
      <c r="AG1175" s="578" t="s">
        <v>6764</v>
      </c>
      <c r="AH1175" s="578" t="s">
        <v>6506</v>
      </c>
      <c r="AI1175" s="583">
        <v>24</v>
      </c>
      <c r="AJ1175" s="583">
        <v>11</v>
      </c>
      <c r="AK1175" s="582">
        <v>30970</v>
      </c>
      <c r="AL1175" s="578">
        <v>30968</v>
      </c>
      <c r="AM1175" s="583" t="s">
        <v>2047</v>
      </c>
      <c r="AN1175" s="577" t="s">
        <v>276</v>
      </c>
      <c r="AO1175" s="586">
        <f t="shared" si="355"/>
        <v>0.77494349370358406</v>
      </c>
      <c r="AP1175" s="577" t="s">
        <v>276</v>
      </c>
      <c r="AQ1175" s="577" t="s">
        <v>276</v>
      </c>
      <c r="AR1175" s="586" t="s">
        <v>276</v>
      </c>
      <c r="AS1175" s="586">
        <f t="shared" si="357"/>
        <v>0.35520537328855595</v>
      </c>
      <c r="AT1175" s="577" t="s">
        <v>276</v>
      </c>
      <c r="AU1175" s="577" t="s">
        <v>276</v>
      </c>
      <c r="AV1175" s="577" t="s">
        <v>268</v>
      </c>
      <c r="AW1175" s="577" t="s">
        <v>276</v>
      </c>
      <c r="AX1175" s="586">
        <f t="shared" si="356"/>
        <v>2.1816772830011444</v>
      </c>
      <c r="AY1175" s="577" t="s">
        <v>276</v>
      </c>
      <c r="AZ1175" s="577" t="s">
        <v>276</v>
      </c>
      <c r="BA1175" s="577" t="s">
        <v>276</v>
      </c>
      <c r="BB1175" s="577" t="s">
        <v>282</v>
      </c>
      <c r="BC1175" s="577" t="s">
        <v>98</v>
      </c>
      <c r="BD1175" s="577" t="s">
        <v>98</v>
      </c>
      <c r="BE1175" s="577" t="s">
        <v>98</v>
      </c>
      <c r="BF1175" s="578" t="s">
        <v>6748</v>
      </c>
      <c r="BG1175" s="578"/>
      <c r="BH1175" s="9" t="s">
        <v>100</v>
      </c>
      <c r="BI1175" s="9" t="s">
        <v>100</v>
      </c>
      <c r="BJ1175" s="642"/>
      <c r="BN1175" s="642"/>
      <c r="BO1175" s="642"/>
    </row>
    <row r="1176" spans="1:67" s="643" customFormat="1" ht="52" hidden="1" x14ac:dyDescent="0.35">
      <c r="A1176" s="577">
        <v>229</v>
      </c>
      <c r="B1176" s="577" t="s">
        <v>6632</v>
      </c>
      <c r="C1176" s="577" t="s">
        <v>46</v>
      </c>
      <c r="D1176" s="578" t="s">
        <v>11318</v>
      </c>
      <c r="E1176" s="577" t="s">
        <v>36</v>
      </c>
      <c r="F1176" s="577" t="s">
        <v>123</v>
      </c>
      <c r="G1176" s="577" t="s">
        <v>225</v>
      </c>
      <c r="H1176" s="577" t="s">
        <v>125</v>
      </c>
      <c r="I1176" s="577" t="s">
        <v>114</v>
      </c>
      <c r="J1176" s="578" t="s">
        <v>31</v>
      </c>
      <c r="K1176" s="577" t="s">
        <v>6765</v>
      </c>
      <c r="L1176" s="577" t="s">
        <v>276</v>
      </c>
      <c r="M1176" s="577" t="s">
        <v>276</v>
      </c>
      <c r="N1176" s="578" t="s">
        <v>6722</v>
      </c>
      <c r="O1176" s="578" t="s">
        <v>276</v>
      </c>
      <c r="P1176" s="578" t="s">
        <v>239</v>
      </c>
      <c r="Q1176" s="629">
        <v>32417</v>
      </c>
      <c r="R1176" s="578" t="s">
        <v>6634</v>
      </c>
      <c r="S1176" s="578" t="s">
        <v>276</v>
      </c>
      <c r="T1176" s="578" t="s">
        <v>276</v>
      </c>
      <c r="U1176" s="578">
        <v>2</v>
      </c>
      <c r="V1176" s="577" t="s">
        <v>14</v>
      </c>
      <c r="W1176" s="577" t="s">
        <v>98</v>
      </c>
      <c r="X1176" s="578" t="s">
        <v>207</v>
      </c>
      <c r="Y1176" s="582">
        <v>30970</v>
      </c>
      <c r="Z1176" s="578">
        <v>30968</v>
      </c>
      <c r="AA1176" s="578" t="s">
        <v>276</v>
      </c>
      <c r="AB1176" s="578" t="s">
        <v>276</v>
      </c>
      <c r="AC1176" s="577">
        <v>13</v>
      </c>
      <c r="AD1176" s="577" t="s">
        <v>3921</v>
      </c>
      <c r="AE1176" s="577">
        <v>18</v>
      </c>
      <c r="AF1176" s="577" t="s">
        <v>3921</v>
      </c>
      <c r="AG1176" s="578" t="s">
        <v>6766</v>
      </c>
      <c r="AH1176" s="578" t="s">
        <v>6506</v>
      </c>
      <c r="AI1176" s="583">
        <v>67</v>
      </c>
      <c r="AJ1176" s="583">
        <v>71</v>
      </c>
      <c r="AK1176" s="582">
        <v>30970</v>
      </c>
      <c r="AL1176" s="578">
        <v>30968</v>
      </c>
      <c r="AM1176" s="583" t="s">
        <v>2047</v>
      </c>
      <c r="AN1176" s="577" t="s">
        <v>276</v>
      </c>
      <c r="AO1176" s="586">
        <f t="shared" si="355"/>
        <v>2.1633839199225058</v>
      </c>
      <c r="AP1176" s="577" t="s">
        <v>276</v>
      </c>
      <c r="AQ1176" s="577" t="s">
        <v>276</v>
      </c>
      <c r="AR1176" s="586" t="s">
        <v>276</v>
      </c>
      <c r="AS1176" s="586">
        <f t="shared" si="357"/>
        <v>2.2926892275897699</v>
      </c>
      <c r="AT1176" s="577" t="s">
        <v>276</v>
      </c>
      <c r="AU1176" s="577" t="s">
        <v>276</v>
      </c>
      <c r="AV1176" s="577" t="s">
        <v>268</v>
      </c>
      <c r="AW1176" s="577" t="s">
        <v>276</v>
      </c>
      <c r="AX1176" s="586">
        <f t="shared" si="356"/>
        <v>0.94360103143887553</v>
      </c>
      <c r="AY1176" s="577" t="s">
        <v>276</v>
      </c>
      <c r="AZ1176" s="577" t="s">
        <v>276</v>
      </c>
      <c r="BA1176" s="577" t="s">
        <v>276</v>
      </c>
      <c r="BB1176" s="577" t="s">
        <v>282</v>
      </c>
      <c r="BC1176" s="577" t="s">
        <v>98</v>
      </c>
      <c r="BD1176" s="577" t="s">
        <v>98</v>
      </c>
      <c r="BE1176" s="577" t="s">
        <v>98</v>
      </c>
      <c r="BF1176" s="578" t="s">
        <v>6748</v>
      </c>
      <c r="BG1176" s="578"/>
      <c r="BH1176" s="9" t="s">
        <v>100</v>
      </c>
      <c r="BI1176" s="9" t="s">
        <v>100</v>
      </c>
      <c r="BJ1176" s="642"/>
      <c r="BN1176" s="642"/>
      <c r="BO1176" s="642"/>
    </row>
    <row r="1177" spans="1:67" s="645" customFormat="1" ht="52" hidden="1" x14ac:dyDescent="0.35">
      <c r="A1177" s="567">
        <v>229</v>
      </c>
      <c r="B1177" s="567" t="s">
        <v>6632</v>
      </c>
      <c r="C1177" s="567" t="s">
        <v>46</v>
      </c>
      <c r="D1177" s="568" t="s">
        <v>11319</v>
      </c>
      <c r="E1177" s="567" t="s">
        <v>36</v>
      </c>
      <c r="F1177" s="567" t="s">
        <v>123</v>
      </c>
      <c r="G1177" s="567" t="s">
        <v>225</v>
      </c>
      <c r="H1177" s="567" t="s">
        <v>125</v>
      </c>
      <c r="I1177" s="567" t="s">
        <v>114</v>
      </c>
      <c r="J1177" s="568" t="s">
        <v>28</v>
      </c>
      <c r="K1177" s="567" t="s">
        <v>6737</v>
      </c>
      <c r="L1177" s="567" t="s">
        <v>276</v>
      </c>
      <c r="M1177" s="567" t="s">
        <v>276</v>
      </c>
      <c r="N1177" s="568" t="s">
        <v>6722</v>
      </c>
      <c r="O1177" s="568" t="s">
        <v>276</v>
      </c>
      <c r="P1177" s="568" t="s">
        <v>239</v>
      </c>
      <c r="Q1177" s="633">
        <v>32417</v>
      </c>
      <c r="R1177" s="568" t="s">
        <v>6634</v>
      </c>
      <c r="S1177" s="568" t="s">
        <v>276</v>
      </c>
      <c r="T1177" s="568" t="s">
        <v>276</v>
      </c>
      <c r="U1177" s="568">
        <v>2</v>
      </c>
      <c r="V1177" s="567" t="s">
        <v>14</v>
      </c>
      <c r="W1177" s="567" t="s">
        <v>98</v>
      </c>
      <c r="X1177" s="568" t="s">
        <v>207</v>
      </c>
      <c r="Y1177" s="572">
        <v>30970</v>
      </c>
      <c r="Z1177" s="568">
        <v>30968</v>
      </c>
      <c r="AA1177" s="568" t="s">
        <v>276</v>
      </c>
      <c r="AB1177" s="568" t="s">
        <v>276</v>
      </c>
      <c r="AC1177" s="567">
        <v>8</v>
      </c>
      <c r="AD1177" s="568" t="s">
        <v>2797</v>
      </c>
      <c r="AE1177" s="567">
        <v>9</v>
      </c>
      <c r="AF1177" s="568" t="s">
        <v>2797</v>
      </c>
      <c r="AG1177" s="568" t="s">
        <v>6767</v>
      </c>
      <c r="AH1177" s="568" t="s">
        <v>6506</v>
      </c>
      <c r="AI1177" s="573">
        <v>41</v>
      </c>
      <c r="AJ1177" s="573">
        <v>9</v>
      </c>
      <c r="AK1177" s="572">
        <v>30970</v>
      </c>
      <c r="AL1177" s="568">
        <v>30968</v>
      </c>
      <c r="AM1177" s="573" t="s">
        <v>2047</v>
      </c>
      <c r="AN1177" s="567" t="s">
        <v>276</v>
      </c>
      <c r="AO1177" s="576">
        <f t="shared" si="355"/>
        <v>1.3238618017436228</v>
      </c>
      <c r="AP1177" s="567" t="s">
        <v>276</v>
      </c>
      <c r="AQ1177" s="567" t="s">
        <v>276</v>
      </c>
      <c r="AR1177" s="576" t="s">
        <v>276</v>
      </c>
      <c r="AS1177" s="576">
        <f t="shared" si="357"/>
        <v>0.29062257814518211</v>
      </c>
      <c r="AT1177" s="567" t="s">
        <v>276</v>
      </c>
      <c r="AU1177" s="567" t="s">
        <v>276</v>
      </c>
      <c r="AV1177" s="567" t="s">
        <v>268</v>
      </c>
      <c r="AW1177" s="567" t="s">
        <v>276</v>
      </c>
      <c r="AX1177" s="576">
        <f t="shared" si="356"/>
        <v>4.5552613640440569</v>
      </c>
      <c r="AY1177" s="567" t="s">
        <v>276</v>
      </c>
      <c r="AZ1177" s="567" t="s">
        <v>276</v>
      </c>
      <c r="BA1177" s="567" t="s">
        <v>276</v>
      </c>
      <c r="BB1177" s="567" t="s">
        <v>282</v>
      </c>
      <c r="BC1177" s="567" t="s">
        <v>98</v>
      </c>
      <c r="BD1177" s="567" t="s">
        <v>98</v>
      </c>
      <c r="BE1177" s="567" t="s">
        <v>98</v>
      </c>
      <c r="BF1177" s="568" t="s">
        <v>6768</v>
      </c>
      <c r="BG1177" s="568"/>
      <c r="BH1177" s="9" t="s">
        <v>100</v>
      </c>
      <c r="BI1177" s="9" t="s">
        <v>100</v>
      </c>
      <c r="BJ1177" s="644"/>
      <c r="BN1177" s="644"/>
      <c r="BO1177" s="644"/>
    </row>
    <row r="1178" spans="1:67" s="645" customFormat="1" ht="52" hidden="1" x14ac:dyDescent="0.35">
      <c r="A1178" s="567">
        <v>229</v>
      </c>
      <c r="B1178" s="567" t="s">
        <v>6632</v>
      </c>
      <c r="C1178" s="567" t="s">
        <v>46</v>
      </c>
      <c r="D1178" s="568" t="s">
        <v>11320</v>
      </c>
      <c r="E1178" s="567" t="s">
        <v>36</v>
      </c>
      <c r="F1178" s="567" t="s">
        <v>123</v>
      </c>
      <c r="G1178" s="567" t="s">
        <v>225</v>
      </c>
      <c r="H1178" s="567" t="s">
        <v>125</v>
      </c>
      <c r="I1178" s="567" t="s">
        <v>114</v>
      </c>
      <c r="J1178" s="568" t="s">
        <v>28</v>
      </c>
      <c r="K1178" s="567" t="s">
        <v>6740</v>
      </c>
      <c r="L1178" s="567" t="s">
        <v>276</v>
      </c>
      <c r="M1178" s="567" t="s">
        <v>276</v>
      </c>
      <c r="N1178" s="568" t="s">
        <v>6722</v>
      </c>
      <c r="O1178" s="568" t="s">
        <v>276</v>
      </c>
      <c r="P1178" s="568" t="s">
        <v>239</v>
      </c>
      <c r="Q1178" s="633">
        <v>32417</v>
      </c>
      <c r="R1178" s="568" t="s">
        <v>6634</v>
      </c>
      <c r="S1178" s="568" t="s">
        <v>276</v>
      </c>
      <c r="T1178" s="568" t="s">
        <v>276</v>
      </c>
      <c r="U1178" s="568">
        <v>2</v>
      </c>
      <c r="V1178" s="567" t="s">
        <v>14</v>
      </c>
      <c r="W1178" s="567" t="s">
        <v>98</v>
      </c>
      <c r="X1178" s="568" t="s">
        <v>207</v>
      </c>
      <c r="Y1178" s="572">
        <v>30970</v>
      </c>
      <c r="Z1178" s="568">
        <v>30968</v>
      </c>
      <c r="AA1178" s="568" t="s">
        <v>276</v>
      </c>
      <c r="AB1178" s="568" t="s">
        <v>276</v>
      </c>
      <c r="AC1178" s="567">
        <v>8</v>
      </c>
      <c r="AD1178" s="568" t="s">
        <v>2797</v>
      </c>
      <c r="AE1178" s="567">
        <v>9</v>
      </c>
      <c r="AF1178" s="568" t="s">
        <v>2797</v>
      </c>
      <c r="AG1178" s="568" t="s">
        <v>6769</v>
      </c>
      <c r="AH1178" s="568" t="s">
        <v>6506</v>
      </c>
      <c r="AI1178" s="573">
        <v>44</v>
      </c>
      <c r="AJ1178" s="573">
        <v>39</v>
      </c>
      <c r="AK1178" s="572">
        <v>30970</v>
      </c>
      <c r="AL1178" s="568">
        <v>30968</v>
      </c>
      <c r="AM1178" s="573" t="s">
        <v>2047</v>
      </c>
      <c r="AN1178" s="567" t="s">
        <v>276</v>
      </c>
      <c r="AO1178" s="576">
        <f t="shared" si="355"/>
        <v>1.4207297384565709</v>
      </c>
      <c r="AP1178" s="567" t="s">
        <v>276</v>
      </c>
      <c r="AQ1178" s="567" t="s">
        <v>276</v>
      </c>
      <c r="AR1178" s="576" t="s">
        <v>276</v>
      </c>
      <c r="AS1178" s="576">
        <f t="shared" si="357"/>
        <v>1.2593645052957891</v>
      </c>
      <c r="AT1178" s="567" t="s">
        <v>276</v>
      </c>
      <c r="AU1178" s="567" t="s">
        <v>276</v>
      </c>
      <c r="AV1178" s="567" t="s">
        <v>268</v>
      </c>
      <c r="AW1178" s="567" t="s">
        <v>276</v>
      </c>
      <c r="AX1178" s="576">
        <f t="shared" si="356"/>
        <v>1.1281322702698229</v>
      </c>
      <c r="AY1178" s="567" t="s">
        <v>276</v>
      </c>
      <c r="AZ1178" s="567" t="s">
        <v>276</v>
      </c>
      <c r="BA1178" s="567" t="s">
        <v>276</v>
      </c>
      <c r="BB1178" s="567" t="s">
        <v>282</v>
      </c>
      <c r="BC1178" s="567" t="s">
        <v>98</v>
      </c>
      <c r="BD1178" s="567" t="s">
        <v>98</v>
      </c>
      <c r="BE1178" s="567" t="s">
        <v>98</v>
      </c>
      <c r="BF1178" s="568" t="s">
        <v>6627</v>
      </c>
      <c r="BG1178" s="568"/>
      <c r="BH1178" s="9" t="s">
        <v>100</v>
      </c>
      <c r="BI1178" s="9" t="s">
        <v>100</v>
      </c>
      <c r="BJ1178" s="644"/>
      <c r="BN1178" s="644"/>
      <c r="BO1178" s="644"/>
    </row>
    <row r="1179" spans="1:67" s="645" customFormat="1" ht="52" hidden="1" x14ac:dyDescent="0.35">
      <c r="A1179" s="567">
        <v>229</v>
      </c>
      <c r="B1179" s="567" t="s">
        <v>6632</v>
      </c>
      <c r="C1179" s="567" t="s">
        <v>46</v>
      </c>
      <c r="D1179" s="568" t="s">
        <v>11321</v>
      </c>
      <c r="E1179" s="567" t="s">
        <v>36</v>
      </c>
      <c r="F1179" s="567" t="s">
        <v>123</v>
      </c>
      <c r="G1179" s="567" t="s">
        <v>225</v>
      </c>
      <c r="H1179" s="567" t="s">
        <v>125</v>
      </c>
      <c r="I1179" s="567" t="s">
        <v>114</v>
      </c>
      <c r="J1179" s="568" t="s">
        <v>28</v>
      </c>
      <c r="K1179" s="567" t="s">
        <v>6742</v>
      </c>
      <c r="L1179" s="567" t="s">
        <v>276</v>
      </c>
      <c r="M1179" s="567" t="s">
        <v>276</v>
      </c>
      <c r="N1179" s="568" t="s">
        <v>6722</v>
      </c>
      <c r="O1179" s="568" t="s">
        <v>276</v>
      </c>
      <c r="P1179" s="568" t="s">
        <v>239</v>
      </c>
      <c r="Q1179" s="633">
        <v>32417</v>
      </c>
      <c r="R1179" s="568" t="s">
        <v>6634</v>
      </c>
      <c r="S1179" s="568" t="s">
        <v>276</v>
      </c>
      <c r="T1179" s="568" t="s">
        <v>276</v>
      </c>
      <c r="U1179" s="568">
        <v>2</v>
      </c>
      <c r="V1179" s="567" t="s">
        <v>14</v>
      </c>
      <c r="W1179" s="567" t="s">
        <v>98</v>
      </c>
      <c r="X1179" s="568" t="s">
        <v>207</v>
      </c>
      <c r="Y1179" s="572">
        <v>30970</v>
      </c>
      <c r="Z1179" s="568">
        <v>30968</v>
      </c>
      <c r="AA1179" s="568" t="s">
        <v>276</v>
      </c>
      <c r="AB1179" s="568" t="s">
        <v>276</v>
      </c>
      <c r="AC1179" s="567">
        <v>8</v>
      </c>
      <c r="AD1179" s="568" t="s">
        <v>2797</v>
      </c>
      <c r="AE1179" s="567">
        <v>9</v>
      </c>
      <c r="AF1179" s="568" t="s">
        <v>2797</v>
      </c>
      <c r="AG1179" s="568" t="s">
        <v>6770</v>
      </c>
      <c r="AH1179" s="568" t="s">
        <v>6506</v>
      </c>
      <c r="AI1179" s="573">
        <v>28</v>
      </c>
      <c r="AJ1179" s="573">
        <v>35</v>
      </c>
      <c r="AK1179" s="572">
        <v>30970</v>
      </c>
      <c r="AL1179" s="568">
        <v>30968</v>
      </c>
      <c r="AM1179" s="573" t="s">
        <v>2047</v>
      </c>
      <c r="AN1179" s="567" t="s">
        <v>276</v>
      </c>
      <c r="AO1179" s="576">
        <f t="shared" si="355"/>
        <v>0.9041007426541815</v>
      </c>
      <c r="AP1179" s="567" t="s">
        <v>276</v>
      </c>
      <c r="AQ1179" s="567" t="s">
        <v>276</v>
      </c>
      <c r="AR1179" s="576" t="s">
        <v>276</v>
      </c>
      <c r="AS1179" s="576">
        <f t="shared" si="357"/>
        <v>1.1301989150090417</v>
      </c>
      <c r="AT1179" s="567" t="s">
        <v>276</v>
      </c>
      <c r="AU1179" s="567" t="s">
        <v>276</v>
      </c>
      <c r="AV1179" s="567" t="s">
        <v>268</v>
      </c>
      <c r="AW1179" s="567" t="s">
        <v>276</v>
      </c>
      <c r="AX1179" s="576">
        <f t="shared" si="356"/>
        <v>0.79994833710041968</v>
      </c>
      <c r="AY1179" s="567" t="s">
        <v>276</v>
      </c>
      <c r="AZ1179" s="567" t="s">
        <v>276</v>
      </c>
      <c r="BA1179" s="567" t="s">
        <v>276</v>
      </c>
      <c r="BB1179" s="567" t="s">
        <v>282</v>
      </c>
      <c r="BC1179" s="567" t="s">
        <v>98</v>
      </c>
      <c r="BD1179" s="567" t="s">
        <v>98</v>
      </c>
      <c r="BE1179" s="567" t="s">
        <v>98</v>
      </c>
      <c r="BF1179" s="568" t="s">
        <v>6627</v>
      </c>
      <c r="BG1179" s="568"/>
      <c r="BH1179" s="9" t="s">
        <v>100</v>
      </c>
      <c r="BI1179" s="9" t="s">
        <v>100</v>
      </c>
      <c r="BJ1179" s="644"/>
      <c r="BN1179" s="644"/>
      <c r="BO1179" s="644"/>
    </row>
    <row r="1180" spans="1:67" s="645" customFormat="1" ht="52" hidden="1" x14ac:dyDescent="0.35">
      <c r="A1180" s="567">
        <v>229</v>
      </c>
      <c r="B1180" s="567" t="s">
        <v>6632</v>
      </c>
      <c r="C1180" s="567" t="s">
        <v>46</v>
      </c>
      <c r="D1180" s="568" t="s">
        <v>11322</v>
      </c>
      <c r="E1180" s="567" t="s">
        <v>36</v>
      </c>
      <c r="F1180" s="567" t="s">
        <v>123</v>
      </c>
      <c r="G1180" s="567" t="s">
        <v>225</v>
      </c>
      <c r="H1180" s="567" t="s">
        <v>125</v>
      </c>
      <c r="I1180" s="567" t="s">
        <v>114</v>
      </c>
      <c r="J1180" s="568" t="s">
        <v>28</v>
      </c>
      <c r="K1180" s="568" t="s">
        <v>6744</v>
      </c>
      <c r="L1180" s="567" t="s">
        <v>276</v>
      </c>
      <c r="M1180" s="567" t="s">
        <v>276</v>
      </c>
      <c r="N1180" s="568" t="s">
        <v>6722</v>
      </c>
      <c r="O1180" s="568" t="s">
        <v>276</v>
      </c>
      <c r="P1180" s="568" t="s">
        <v>239</v>
      </c>
      <c r="Q1180" s="633">
        <v>32417</v>
      </c>
      <c r="R1180" s="568" t="s">
        <v>6634</v>
      </c>
      <c r="S1180" s="568" t="s">
        <v>276</v>
      </c>
      <c r="T1180" s="568" t="s">
        <v>276</v>
      </c>
      <c r="U1180" s="568">
        <v>2</v>
      </c>
      <c r="V1180" s="567" t="s">
        <v>14</v>
      </c>
      <c r="W1180" s="567" t="s">
        <v>98</v>
      </c>
      <c r="X1180" s="568" t="s">
        <v>207</v>
      </c>
      <c r="Y1180" s="572">
        <v>30970</v>
      </c>
      <c r="Z1180" s="568">
        <v>30968</v>
      </c>
      <c r="AA1180" s="568" t="s">
        <v>276</v>
      </c>
      <c r="AB1180" s="568" t="s">
        <v>276</v>
      </c>
      <c r="AC1180" s="567">
        <v>8</v>
      </c>
      <c r="AD1180" s="568" t="s">
        <v>2797</v>
      </c>
      <c r="AE1180" s="567">
        <v>9</v>
      </c>
      <c r="AF1180" s="568" t="s">
        <v>2797</v>
      </c>
      <c r="AG1180" s="568" t="s">
        <v>6771</v>
      </c>
      <c r="AH1180" s="568" t="s">
        <v>6506</v>
      </c>
      <c r="AI1180" s="573">
        <v>26</v>
      </c>
      <c r="AJ1180" s="573">
        <v>23</v>
      </c>
      <c r="AK1180" s="572">
        <v>30970</v>
      </c>
      <c r="AL1180" s="568">
        <v>30968</v>
      </c>
      <c r="AM1180" s="573" t="s">
        <v>2047</v>
      </c>
      <c r="AN1180" s="567" t="s">
        <v>276</v>
      </c>
      <c r="AO1180" s="576">
        <f t="shared" si="355"/>
        <v>0.83952211817888278</v>
      </c>
      <c r="AP1180" s="567" t="s">
        <v>276</v>
      </c>
      <c r="AQ1180" s="567" t="s">
        <v>276</v>
      </c>
      <c r="AR1180" s="576" t="s">
        <v>276</v>
      </c>
      <c r="AS1180" s="576">
        <f t="shared" si="357"/>
        <v>0.74270214414879876</v>
      </c>
      <c r="AT1180" s="567" t="s">
        <v>276</v>
      </c>
      <c r="AU1180" s="567" t="s">
        <v>276</v>
      </c>
      <c r="AV1180" s="567" t="s">
        <v>268</v>
      </c>
      <c r="AW1180" s="567" t="s">
        <v>276</v>
      </c>
      <c r="AX1180" s="576">
        <f t="shared" si="356"/>
        <v>1.1303617806853756</v>
      </c>
      <c r="AY1180" s="567" t="s">
        <v>276</v>
      </c>
      <c r="AZ1180" s="567" t="s">
        <v>276</v>
      </c>
      <c r="BA1180" s="567" t="s">
        <v>276</v>
      </c>
      <c r="BB1180" s="567" t="s">
        <v>282</v>
      </c>
      <c r="BC1180" s="567" t="s">
        <v>98</v>
      </c>
      <c r="BD1180" s="567" t="s">
        <v>98</v>
      </c>
      <c r="BE1180" s="567" t="s">
        <v>98</v>
      </c>
      <c r="BF1180" s="568" t="s">
        <v>6627</v>
      </c>
      <c r="BG1180" s="568"/>
      <c r="BH1180" s="9" t="s">
        <v>100</v>
      </c>
      <c r="BI1180" s="9" t="s">
        <v>100</v>
      </c>
      <c r="BJ1180" s="644"/>
      <c r="BN1180" s="644"/>
      <c r="BO1180" s="644"/>
    </row>
    <row r="1181" spans="1:67" s="645" customFormat="1" ht="52" hidden="1" x14ac:dyDescent="0.35">
      <c r="A1181" s="567">
        <v>229</v>
      </c>
      <c r="B1181" s="567" t="s">
        <v>6632</v>
      </c>
      <c r="C1181" s="567" t="s">
        <v>46</v>
      </c>
      <c r="D1181" s="568" t="s">
        <v>11555</v>
      </c>
      <c r="E1181" s="567" t="s">
        <v>36</v>
      </c>
      <c r="F1181" s="567" t="s">
        <v>123</v>
      </c>
      <c r="G1181" s="567" t="s">
        <v>225</v>
      </c>
      <c r="H1181" s="567" t="s">
        <v>125</v>
      </c>
      <c r="I1181" s="567" t="s">
        <v>114</v>
      </c>
      <c r="J1181" s="568" t="s">
        <v>28</v>
      </c>
      <c r="K1181" s="568" t="s">
        <v>11556</v>
      </c>
      <c r="L1181" s="567" t="s">
        <v>276</v>
      </c>
      <c r="M1181" s="567" t="s">
        <v>276</v>
      </c>
      <c r="N1181" s="568" t="s">
        <v>6722</v>
      </c>
      <c r="O1181" s="568" t="s">
        <v>276</v>
      </c>
      <c r="P1181" s="568" t="s">
        <v>239</v>
      </c>
      <c r="Q1181" s="633">
        <v>32417</v>
      </c>
      <c r="R1181" s="568" t="s">
        <v>6634</v>
      </c>
      <c r="S1181" s="568" t="s">
        <v>276</v>
      </c>
      <c r="T1181" s="568" t="s">
        <v>276</v>
      </c>
      <c r="U1181" s="568">
        <v>2</v>
      </c>
      <c r="V1181" s="567" t="s">
        <v>14</v>
      </c>
      <c r="W1181" s="567" t="s">
        <v>98</v>
      </c>
      <c r="X1181" s="568" t="s">
        <v>207</v>
      </c>
      <c r="Y1181" s="572">
        <v>30970</v>
      </c>
      <c r="Z1181" s="568">
        <v>30968</v>
      </c>
      <c r="AA1181" s="568" t="s">
        <v>276</v>
      </c>
      <c r="AB1181" s="568" t="s">
        <v>276</v>
      </c>
      <c r="AC1181" s="567">
        <v>8</v>
      </c>
      <c r="AD1181" s="568" t="s">
        <v>2797</v>
      </c>
      <c r="AE1181" s="567">
        <v>9</v>
      </c>
      <c r="AF1181" s="568" t="s">
        <v>2797</v>
      </c>
      <c r="AG1181" s="568" t="s">
        <v>11557</v>
      </c>
      <c r="AH1181" s="568" t="s">
        <v>6506</v>
      </c>
      <c r="AI1181" s="573">
        <f>26+28</f>
        <v>54</v>
      </c>
      <c r="AJ1181" s="573">
        <f>23+35</f>
        <v>58</v>
      </c>
      <c r="AK1181" s="572">
        <v>30970</v>
      </c>
      <c r="AL1181" s="568">
        <v>30968</v>
      </c>
      <c r="AM1181" s="573" t="s">
        <v>2047</v>
      </c>
      <c r="AN1181" s="567" t="s">
        <v>276</v>
      </c>
      <c r="AO1181" s="576">
        <f t="shared" ref="AO1181" si="358">AI1181*1000/AK1181</f>
        <v>1.7436228608330642</v>
      </c>
      <c r="AP1181" s="567" t="s">
        <v>276</v>
      </c>
      <c r="AQ1181" s="567" t="s">
        <v>276</v>
      </c>
      <c r="AR1181" s="576" t="s">
        <v>276</v>
      </c>
      <c r="AS1181" s="576">
        <f t="shared" ref="AS1181" si="359">AJ1181*1000/AL1181</f>
        <v>1.8729010591578403</v>
      </c>
      <c r="AT1181" s="567" t="s">
        <v>276</v>
      </c>
      <c r="AU1181" s="567" t="s">
        <v>276</v>
      </c>
      <c r="AV1181" s="567" t="s">
        <v>268</v>
      </c>
      <c r="AW1181" s="567" t="s">
        <v>276</v>
      </c>
      <c r="AX1181" s="576">
        <f t="shared" ref="AX1181" si="360">AO1181/AS1181</f>
        <v>0.93097435783238502</v>
      </c>
      <c r="AY1181" s="567" t="s">
        <v>276</v>
      </c>
      <c r="AZ1181" s="567" t="s">
        <v>276</v>
      </c>
      <c r="BA1181" s="567" t="s">
        <v>276</v>
      </c>
      <c r="BB1181" s="567" t="s">
        <v>282</v>
      </c>
      <c r="BC1181" s="567" t="s">
        <v>98</v>
      </c>
      <c r="BD1181" s="567" t="s">
        <v>98</v>
      </c>
      <c r="BE1181" s="567" t="s">
        <v>98</v>
      </c>
      <c r="BF1181" s="568" t="s">
        <v>6627</v>
      </c>
      <c r="BG1181" s="568"/>
      <c r="BH1181" s="9" t="s">
        <v>100</v>
      </c>
      <c r="BI1181" s="9" t="s">
        <v>100</v>
      </c>
      <c r="BJ1181" s="644"/>
      <c r="BN1181" s="644"/>
      <c r="BO1181" s="644"/>
    </row>
    <row r="1182" spans="1:67" s="643" customFormat="1" ht="52" hidden="1" x14ac:dyDescent="0.35">
      <c r="A1182" s="577">
        <v>229</v>
      </c>
      <c r="B1182" s="577" t="s">
        <v>6632</v>
      </c>
      <c r="C1182" s="577" t="s">
        <v>46</v>
      </c>
      <c r="D1182" s="578" t="s">
        <v>11323</v>
      </c>
      <c r="E1182" s="577" t="s">
        <v>36</v>
      </c>
      <c r="F1182" s="577" t="s">
        <v>123</v>
      </c>
      <c r="G1182" s="577" t="s">
        <v>225</v>
      </c>
      <c r="H1182" s="577" t="s">
        <v>125</v>
      </c>
      <c r="I1182" s="577" t="s">
        <v>114</v>
      </c>
      <c r="J1182" s="578" t="s">
        <v>32</v>
      </c>
      <c r="K1182" s="577" t="s">
        <v>6751</v>
      </c>
      <c r="L1182" s="577" t="s">
        <v>276</v>
      </c>
      <c r="M1182" s="577" t="s">
        <v>276</v>
      </c>
      <c r="N1182" s="578" t="s">
        <v>6722</v>
      </c>
      <c r="O1182" s="578" t="s">
        <v>276</v>
      </c>
      <c r="P1182" s="578" t="s">
        <v>239</v>
      </c>
      <c r="Q1182" s="629">
        <v>32417</v>
      </c>
      <c r="R1182" s="578" t="s">
        <v>6634</v>
      </c>
      <c r="S1182" s="578" t="s">
        <v>276</v>
      </c>
      <c r="T1182" s="578" t="s">
        <v>276</v>
      </c>
      <c r="U1182" s="578">
        <v>2</v>
      </c>
      <c r="V1182" s="577" t="s">
        <v>14</v>
      </c>
      <c r="W1182" s="577" t="s">
        <v>98</v>
      </c>
      <c r="X1182" s="578" t="s">
        <v>207</v>
      </c>
      <c r="Y1182" s="582">
        <v>30970</v>
      </c>
      <c r="Z1182" s="578">
        <v>30968</v>
      </c>
      <c r="AA1182" s="578" t="s">
        <v>276</v>
      </c>
      <c r="AB1182" s="578" t="s">
        <v>276</v>
      </c>
      <c r="AC1182" s="577" t="s">
        <v>98</v>
      </c>
      <c r="AD1182" s="578" t="s">
        <v>98</v>
      </c>
      <c r="AE1182" s="577" t="s">
        <v>98</v>
      </c>
      <c r="AF1182" s="578" t="s">
        <v>98</v>
      </c>
      <c r="AG1182" s="780" t="s">
        <v>11324</v>
      </c>
      <c r="AH1182" s="578" t="s">
        <v>6506</v>
      </c>
      <c r="AI1182" s="583">
        <v>221</v>
      </c>
      <c r="AJ1182" s="583">
        <v>100</v>
      </c>
      <c r="AK1182" s="582">
        <v>30970</v>
      </c>
      <c r="AL1182" s="578">
        <v>30968</v>
      </c>
      <c r="AM1182" s="583" t="s">
        <v>2047</v>
      </c>
      <c r="AN1182" s="577" t="s">
        <v>276</v>
      </c>
      <c r="AO1182" s="586">
        <f t="shared" si="355"/>
        <v>7.1359380045205034</v>
      </c>
      <c r="AP1182" s="577" t="s">
        <v>276</v>
      </c>
      <c r="AQ1182" s="577" t="s">
        <v>276</v>
      </c>
      <c r="AR1182" s="586" t="s">
        <v>276</v>
      </c>
      <c r="AS1182" s="586">
        <f t="shared" si="357"/>
        <v>3.2291397571686904</v>
      </c>
      <c r="AT1182" s="577" t="s">
        <v>276</v>
      </c>
      <c r="AU1182" s="577" t="s">
        <v>276</v>
      </c>
      <c r="AV1182" s="577" t="s">
        <v>268</v>
      </c>
      <c r="AW1182" s="577" t="s">
        <v>276</v>
      </c>
      <c r="AX1182" s="586">
        <f t="shared" si="356"/>
        <v>2.2098572812399095</v>
      </c>
      <c r="AY1182" s="577" t="s">
        <v>276</v>
      </c>
      <c r="AZ1182" s="577" t="s">
        <v>276</v>
      </c>
      <c r="BA1182" s="577" t="s">
        <v>276</v>
      </c>
      <c r="BB1182" s="577" t="s">
        <v>282</v>
      </c>
      <c r="BC1182" s="577" t="s">
        <v>98</v>
      </c>
      <c r="BD1182" s="577" t="s">
        <v>98</v>
      </c>
      <c r="BE1182" s="577" t="s">
        <v>98</v>
      </c>
      <c r="BF1182" s="578" t="s">
        <v>6772</v>
      </c>
      <c r="BG1182" s="578" t="s">
        <v>6773</v>
      </c>
      <c r="BH1182" s="9" t="s">
        <v>100</v>
      </c>
      <c r="BI1182" s="9" t="s">
        <v>100</v>
      </c>
      <c r="BJ1182" s="642"/>
      <c r="BN1182" s="642"/>
      <c r="BO1182" s="642"/>
    </row>
    <row r="1183" spans="1:67" s="653" customFormat="1" ht="78" hidden="1" x14ac:dyDescent="0.35">
      <c r="A1183" s="646">
        <v>238</v>
      </c>
      <c r="B1183" s="646" t="s">
        <v>6774</v>
      </c>
      <c r="C1183" s="646" t="s">
        <v>46</v>
      </c>
      <c r="D1183" s="647" t="s">
        <v>11325</v>
      </c>
      <c r="E1183" s="646" t="s">
        <v>36</v>
      </c>
      <c r="F1183" s="646" t="s">
        <v>123</v>
      </c>
      <c r="G1183" s="646" t="s">
        <v>225</v>
      </c>
      <c r="H1183" s="646" t="s">
        <v>125</v>
      </c>
      <c r="I1183" s="646" t="s">
        <v>114</v>
      </c>
      <c r="J1183" s="647" t="s">
        <v>31</v>
      </c>
      <c r="K1183" s="646" t="s">
        <v>6746</v>
      </c>
      <c r="L1183" s="646" t="s">
        <v>276</v>
      </c>
      <c r="M1183" s="646" t="s">
        <v>276</v>
      </c>
      <c r="N1183" s="647" t="s">
        <v>6775</v>
      </c>
      <c r="O1183" s="647" t="s">
        <v>276</v>
      </c>
      <c r="P1183" s="647" t="s">
        <v>239</v>
      </c>
      <c r="Q1183" s="648">
        <v>32751</v>
      </c>
      <c r="R1183" s="647" t="s">
        <v>6776</v>
      </c>
      <c r="S1183" s="647" t="s">
        <v>276</v>
      </c>
      <c r="T1183" s="647" t="s">
        <v>276</v>
      </c>
      <c r="U1183" s="647">
        <v>2</v>
      </c>
      <c r="V1183" s="646" t="s">
        <v>14</v>
      </c>
      <c r="W1183" s="646" t="s">
        <v>98</v>
      </c>
      <c r="X1183" s="647" t="s">
        <v>207</v>
      </c>
      <c r="Y1183" s="649">
        <v>30970</v>
      </c>
      <c r="Z1183" s="647">
        <v>30968</v>
      </c>
      <c r="AA1183" s="647" t="s">
        <v>276</v>
      </c>
      <c r="AB1183" s="647" t="s">
        <v>276</v>
      </c>
      <c r="AC1183" s="646">
        <v>0</v>
      </c>
      <c r="AD1183" s="646" t="s">
        <v>3921</v>
      </c>
      <c r="AE1183" s="646">
        <v>0</v>
      </c>
      <c r="AF1183" s="646" t="s">
        <v>3921</v>
      </c>
      <c r="AG1183" s="647" t="s">
        <v>6777</v>
      </c>
      <c r="AH1183" s="647" t="s">
        <v>6506</v>
      </c>
      <c r="AI1183" s="650">
        <v>65</v>
      </c>
      <c r="AJ1183" s="650">
        <v>47</v>
      </c>
      <c r="AK1183" s="649">
        <v>30970</v>
      </c>
      <c r="AL1183" s="647">
        <v>30968</v>
      </c>
      <c r="AM1183" s="650" t="s">
        <v>2047</v>
      </c>
      <c r="AN1183" s="646" t="s">
        <v>276</v>
      </c>
      <c r="AO1183" s="651">
        <f t="shared" si="355"/>
        <v>2.0988052954472072</v>
      </c>
      <c r="AP1183" s="646" t="s">
        <v>276</v>
      </c>
      <c r="AQ1183" s="646" t="s">
        <v>276</v>
      </c>
      <c r="AR1183" s="651" t="s">
        <v>276</v>
      </c>
      <c r="AS1183" s="651">
        <f t="shared" si="357"/>
        <v>1.5176956858692845</v>
      </c>
      <c r="AT1183" s="646" t="s">
        <v>276</v>
      </c>
      <c r="AU1183" s="646" t="s">
        <v>276</v>
      </c>
      <c r="AV1183" s="646" t="s">
        <v>268</v>
      </c>
      <c r="AW1183" s="646" t="s">
        <v>276</v>
      </c>
      <c r="AX1183" s="651">
        <f>AO1183/AS1183</f>
        <v>1.3828894125406193</v>
      </c>
      <c r="AY1183" s="646" t="s">
        <v>276</v>
      </c>
      <c r="AZ1183" s="646" t="s">
        <v>276</v>
      </c>
      <c r="BA1183" s="646" t="s">
        <v>276</v>
      </c>
      <c r="BB1183" s="646" t="s">
        <v>282</v>
      </c>
      <c r="BC1183" s="646" t="s">
        <v>98</v>
      </c>
      <c r="BD1183" s="646" t="s">
        <v>98</v>
      </c>
      <c r="BE1183" s="646" t="s">
        <v>98</v>
      </c>
      <c r="BF1183" s="647" t="s">
        <v>1020</v>
      </c>
      <c r="BG1183" s="647"/>
      <c r="BH1183" s="9" t="s">
        <v>100</v>
      </c>
      <c r="BI1183" s="9" t="s">
        <v>100</v>
      </c>
      <c r="BJ1183" s="652"/>
      <c r="BN1183" s="652"/>
      <c r="BO1183" s="652"/>
    </row>
    <row r="1184" spans="1:67" s="653" customFormat="1" ht="78" hidden="1" x14ac:dyDescent="0.35">
      <c r="A1184" s="646">
        <v>238</v>
      </c>
      <c r="B1184" s="646" t="s">
        <v>6774</v>
      </c>
      <c r="C1184" s="646" t="s">
        <v>46</v>
      </c>
      <c r="D1184" s="647" t="s">
        <v>11326</v>
      </c>
      <c r="E1184" s="646" t="s">
        <v>36</v>
      </c>
      <c r="F1184" s="646" t="s">
        <v>123</v>
      </c>
      <c r="G1184" s="646" t="s">
        <v>225</v>
      </c>
      <c r="H1184" s="646" t="s">
        <v>125</v>
      </c>
      <c r="I1184" s="646" t="s">
        <v>114</v>
      </c>
      <c r="J1184" s="647" t="s">
        <v>31</v>
      </c>
      <c r="K1184" s="646" t="s">
        <v>6749</v>
      </c>
      <c r="L1184" s="646" t="s">
        <v>276</v>
      </c>
      <c r="M1184" s="646" t="s">
        <v>276</v>
      </c>
      <c r="N1184" s="647" t="s">
        <v>6775</v>
      </c>
      <c r="O1184" s="647" t="s">
        <v>276</v>
      </c>
      <c r="P1184" s="647" t="s">
        <v>239</v>
      </c>
      <c r="Q1184" s="648">
        <v>32751</v>
      </c>
      <c r="R1184" s="647" t="s">
        <v>6776</v>
      </c>
      <c r="S1184" s="647" t="s">
        <v>276</v>
      </c>
      <c r="T1184" s="647" t="s">
        <v>276</v>
      </c>
      <c r="U1184" s="647">
        <v>2</v>
      </c>
      <c r="V1184" s="646" t="s">
        <v>14</v>
      </c>
      <c r="W1184" s="646" t="s">
        <v>98</v>
      </c>
      <c r="X1184" s="647" t="s">
        <v>207</v>
      </c>
      <c r="Y1184" s="649">
        <v>30970</v>
      </c>
      <c r="Z1184" s="647">
        <v>30968</v>
      </c>
      <c r="AA1184" s="647" t="s">
        <v>276</v>
      </c>
      <c r="AB1184" s="647" t="s">
        <v>276</v>
      </c>
      <c r="AC1184" s="646">
        <v>0</v>
      </c>
      <c r="AD1184" s="646" t="s">
        <v>3921</v>
      </c>
      <c r="AE1184" s="646">
        <v>0</v>
      </c>
      <c r="AF1184" s="646" t="s">
        <v>3921</v>
      </c>
      <c r="AG1184" s="647" t="s">
        <v>6778</v>
      </c>
      <c r="AH1184" s="647" t="s">
        <v>6506</v>
      </c>
      <c r="AI1184" s="650">
        <v>113</v>
      </c>
      <c r="AJ1184" s="650">
        <v>36</v>
      </c>
      <c r="AK1184" s="649">
        <v>30970</v>
      </c>
      <c r="AL1184" s="647">
        <v>30968</v>
      </c>
      <c r="AM1184" s="650" t="s">
        <v>2047</v>
      </c>
      <c r="AN1184" s="646" t="s">
        <v>276</v>
      </c>
      <c r="AO1184" s="651">
        <f t="shared" si="355"/>
        <v>3.6486922828543751</v>
      </c>
      <c r="AP1184" s="646" t="s">
        <v>276</v>
      </c>
      <c r="AQ1184" s="646" t="s">
        <v>276</v>
      </c>
      <c r="AR1184" s="651" t="s">
        <v>276</v>
      </c>
      <c r="AS1184" s="651">
        <f t="shared" si="357"/>
        <v>1.1624903125807284</v>
      </c>
      <c r="AT1184" s="646" t="s">
        <v>276</v>
      </c>
      <c r="AU1184" s="646" t="s">
        <v>276</v>
      </c>
      <c r="AV1184" s="646" t="s">
        <v>268</v>
      </c>
      <c r="AW1184" s="646" t="s">
        <v>276</v>
      </c>
      <c r="AX1184" s="651">
        <f t="shared" ref="AX1184:AX1185" si="361">AO1184/AS1184</f>
        <v>3.1386861837620637</v>
      </c>
      <c r="AY1184" s="646" t="s">
        <v>276</v>
      </c>
      <c r="AZ1184" s="646" t="s">
        <v>276</v>
      </c>
      <c r="BA1184" s="646" t="s">
        <v>276</v>
      </c>
      <c r="BB1184" s="646" t="s">
        <v>282</v>
      </c>
      <c r="BC1184" s="646" t="s">
        <v>98</v>
      </c>
      <c r="BD1184" s="646" t="s">
        <v>98</v>
      </c>
      <c r="BE1184" s="646" t="s">
        <v>98</v>
      </c>
      <c r="BF1184" s="647" t="s">
        <v>1020</v>
      </c>
      <c r="BG1184" s="647"/>
      <c r="BH1184" s="9" t="s">
        <v>100</v>
      </c>
      <c r="BI1184" s="9" t="s">
        <v>100</v>
      </c>
      <c r="BJ1184" s="652"/>
      <c r="BN1184" s="652"/>
      <c r="BO1184" s="652"/>
    </row>
    <row r="1185" spans="1:67" s="653" customFormat="1" ht="78" hidden="1" x14ac:dyDescent="0.35">
      <c r="A1185" s="646">
        <v>238</v>
      </c>
      <c r="B1185" s="646" t="s">
        <v>6774</v>
      </c>
      <c r="C1185" s="646" t="s">
        <v>46</v>
      </c>
      <c r="D1185" s="647" t="s">
        <v>11327</v>
      </c>
      <c r="E1185" s="646" t="s">
        <v>36</v>
      </c>
      <c r="F1185" s="646" t="s">
        <v>123</v>
      </c>
      <c r="G1185" s="646" t="s">
        <v>225</v>
      </c>
      <c r="H1185" s="646" t="s">
        <v>125</v>
      </c>
      <c r="I1185" s="646" t="s">
        <v>114</v>
      </c>
      <c r="J1185" s="647" t="s">
        <v>31</v>
      </c>
      <c r="K1185" s="654" t="s">
        <v>3821</v>
      </c>
      <c r="L1185" s="646" t="s">
        <v>276</v>
      </c>
      <c r="M1185" s="646" t="s">
        <v>276</v>
      </c>
      <c r="N1185" s="647" t="s">
        <v>6775</v>
      </c>
      <c r="O1185" s="647" t="s">
        <v>276</v>
      </c>
      <c r="P1185" s="647" t="s">
        <v>239</v>
      </c>
      <c r="Q1185" s="648">
        <v>32751</v>
      </c>
      <c r="R1185" s="647" t="s">
        <v>6776</v>
      </c>
      <c r="S1185" s="647" t="s">
        <v>276</v>
      </c>
      <c r="T1185" s="647" t="s">
        <v>276</v>
      </c>
      <c r="U1185" s="647">
        <v>2</v>
      </c>
      <c r="V1185" s="646" t="s">
        <v>14</v>
      </c>
      <c r="W1185" s="646" t="s">
        <v>98</v>
      </c>
      <c r="X1185" s="647" t="s">
        <v>207</v>
      </c>
      <c r="Y1185" s="649">
        <v>30970</v>
      </c>
      <c r="Z1185" s="647">
        <v>30968</v>
      </c>
      <c r="AA1185" s="647" t="s">
        <v>276</v>
      </c>
      <c r="AB1185" s="647" t="s">
        <v>276</v>
      </c>
      <c r="AC1185" s="646">
        <v>0</v>
      </c>
      <c r="AD1185" s="646" t="s">
        <v>3921</v>
      </c>
      <c r="AE1185" s="646">
        <v>0</v>
      </c>
      <c r="AF1185" s="646" t="s">
        <v>3921</v>
      </c>
      <c r="AG1185" s="647" t="s">
        <v>11328</v>
      </c>
      <c r="AH1185" s="647" t="s">
        <v>6506</v>
      </c>
      <c r="AI1185" s="650">
        <v>54</v>
      </c>
      <c r="AJ1185" s="650">
        <v>26</v>
      </c>
      <c r="AK1185" s="649">
        <v>30970</v>
      </c>
      <c r="AL1185" s="647">
        <v>30968</v>
      </c>
      <c r="AM1185" s="650" t="s">
        <v>2047</v>
      </c>
      <c r="AN1185" s="646" t="s">
        <v>276</v>
      </c>
      <c r="AO1185" s="651">
        <f t="shared" si="355"/>
        <v>1.7436228608330642</v>
      </c>
      <c r="AP1185" s="646" t="s">
        <v>276</v>
      </c>
      <c r="AQ1185" s="646" t="s">
        <v>276</v>
      </c>
      <c r="AR1185" s="651" t="s">
        <v>276</v>
      </c>
      <c r="AS1185" s="651">
        <f t="shared" si="357"/>
        <v>0.83957633686385946</v>
      </c>
      <c r="AT1185" s="646" t="s">
        <v>276</v>
      </c>
      <c r="AU1185" s="646" t="s">
        <v>276</v>
      </c>
      <c r="AV1185" s="646" t="s">
        <v>268</v>
      </c>
      <c r="AW1185" s="646" t="s">
        <v>276</v>
      </c>
      <c r="AX1185" s="651">
        <f t="shared" si="361"/>
        <v>2.0767889520876279</v>
      </c>
      <c r="AY1185" s="646" t="s">
        <v>276</v>
      </c>
      <c r="AZ1185" s="646" t="s">
        <v>276</v>
      </c>
      <c r="BA1185" s="646" t="s">
        <v>276</v>
      </c>
      <c r="BB1185" s="646" t="s">
        <v>282</v>
      </c>
      <c r="BC1185" s="646" t="s">
        <v>98</v>
      </c>
      <c r="BD1185" s="646" t="s">
        <v>98</v>
      </c>
      <c r="BE1185" s="646" t="s">
        <v>98</v>
      </c>
      <c r="BF1185" s="647" t="s">
        <v>1020</v>
      </c>
      <c r="BG1185" s="647"/>
      <c r="BH1185" s="9" t="s">
        <v>100</v>
      </c>
      <c r="BI1185" s="9" t="s">
        <v>100</v>
      </c>
      <c r="BJ1185" s="652"/>
      <c r="BN1185" s="652"/>
      <c r="BO1185" s="652"/>
    </row>
    <row r="1186" spans="1:67" s="653" customFormat="1" ht="78" hidden="1" x14ac:dyDescent="0.35">
      <c r="A1186" s="646">
        <v>238</v>
      </c>
      <c r="B1186" s="646" t="s">
        <v>6774</v>
      </c>
      <c r="C1186" s="646" t="s">
        <v>46</v>
      </c>
      <c r="D1186" s="647" t="s">
        <v>11329</v>
      </c>
      <c r="E1186" s="646" t="s">
        <v>36</v>
      </c>
      <c r="F1186" s="646" t="s">
        <v>123</v>
      </c>
      <c r="G1186" s="646" t="s">
        <v>225</v>
      </c>
      <c r="H1186" s="646" t="s">
        <v>125</v>
      </c>
      <c r="I1186" s="646" t="s">
        <v>114</v>
      </c>
      <c r="J1186" s="647" t="s">
        <v>32</v>
      </c>
      <c r="K1186" s="646" t="s">
        <v>6751</v>
      </c>
      <c r="L1186" s="646" t="s">
        <v>276</v>
      </c>
      <c r="M1186" s="646" t="s">
        <v>276</v>
      </c>
      <c r="N1186" s="647" t="s">
        <v>6775</v>
      </c>
      <c r="O1186" s="647" t="s">
        <v>276</v>
      </c>
      <c r="P1186" s="647" t="s">
        <v>239</v>
      </c>
      <c r="Q1186" s="648">
        <v>32751</v>
      </c>
      <c r="R1186" s="647" t="s">
        <v>6776</v>
      </c>
      <c r="S1186" s="647" t="s">
        <v>276</v>
      </c>
      <c r="T1186" s="647" t="s">
        <v>276</v>
      </c>
      <c r="U1186" s="647">
        <v>2</v>
      </c>
      <c r="V1186" s="646" t="s">
        <v>14</v>
      </c>
      <c r="W1186" s="646" t="s">
        <v>98</v>
      </c>
      <c r="X1186" s="647" t="s">
        <v>207</v>
      </c>
      <c r="Y1186" s="649">
        <v>30970</v>
      </c>
      <c r="Z1186" s="647">
        <v>30968</v>
      </c>
      <c r="AA1186" s="647" t="s">
        <v>276</v>
      </c>
      <c r="AB1186" s="647" t="s">
        <v>276</v>
      </c>
      <c r="AC1186" s="646">
        <v>0</v>
      </c>
      <c r="AD1186" s="646" t="s">
        <v>3921</v>
      </c>
      <c r="AE1186" s="646">
        <v>0</v>
      </c>
      <c r="AF1186" s="646" t="s">
        <v>3921</v>
      </c>
      <c r="AG1186" s="647" t="s">
        <v>6779</v>
      </c>
      <c r="AH1186" s="647" t="s">
        <v>6506</v>
      </c>
      <c r="AI1186" s="650">
        <v>232</v>
      </c>
      <c r="AJ1186" s="650">
        <v>109</v>
      </c>
      <c r="AK1186" s="649">
        <v>30970</v>
      </c>
      <c r="AL1186" s="647">
        <v>30968</v>
      </c>
      <c r="AM1186" s="650" t="s">
        <v>2047</v>
      </c>
      <c r="AN1186" s="646" t="s">
        <v>276</v>
      </c>
      <c r="AO1186" s="651">
        <f t="shared" si="355"/>
        <v>7.4911204391346464</v>
      </c>
      <c r="AP1186" s="646" t="s">
        <v>276</v>
      </c>
      <c r="AQ1186" s="646" t="s">
        <v>276</v>
      </c>
      <c r="AR1186" s="651" t="s">
        <v>276</v>
      </c>
      <c r="AS1186" s="651">
        <f t="shared" si="357"/>
        <v>3.5197623353138723</v>
      </c>
      <c r="AT1186" s="646" t="s">
        <v>276</v>
      </c>
      <c r="AU1186" s="646" t="s">
        <v>276</v>
      </c>
      <c r="AV1186" s="646" t="s">
        <v>268</v>
      </c>
      <c r="AW1186" s="646" t="s">
        <v>276</v>
      </c>
      <c r="AX1186" s="651">
        <f>AO1186/AS1186</f>
        <v>2.1283029152213002</v>
      </c>
      <c r="AY1186" s="646" t="s">
        <v>276</v>
      </c>
      <c r="AZ1186" s="646" t="s">
        <v>276</v>
      </c>
      <c r="BA1186" s="646" t="s">
        <v>276</v>
      </c>
      <c r="BB1186" s="646" t="s">
        <v>282</v>
      </c>
      <c r="BC1186" s="646" t="s">
        <v>98</v>
      </c>
      <c r="BD1186" s="646" t="s">
        <v>98</v>
      </c>
      <c r="BE1186" s="646" t="s">
        <v>98</v>
      </c>
      <c r="BF1186" s="647" t="s">
        <v>1020</v>
      </c>
      <c r="BG1186" s="647"/>
      <c r="BH1186" s="9" t="s">
        <v>100</v>
      </c>
      <c r="BI1186" s="9" t="s">
        <v>100</v>
      </c>
      <c r="BJ1186" s="652"/>
      <c r="BN1186" s="652"/>
      <c r="BO1186" s="652"/>
    </row>
    <row r="1187" spans="1:67" s="662" customFormat="1" ht="68.150000000000006" hidden="1" customHeight="1" x14ac:dyDescent="0.35">
      <c r="A1187" s="655">
        <v>226</v>
      </c>
      <c r="B1187" s="655" t="s">
        <v>6651</v>
      </c>
      <c r="C1187" s="655" t="s">
        <v>46</v>
      </c>
      <c r="D1187" s="656" t="s">
        <v>6780</v>
      </c>
      <c r="E1187" s="655" t="s">
        <v>36</v>
      </c>
      <c r="F1187" s="655" t="s">
        <v>123</v>
      </c>
      <c r="G1187" s="655" t="s">
        <v>225</v>
      </c>
      <c r="H1187" s="655" t="s">
        <v>225</v>
      </c>
      <c r="I1187" s="655" t="s">
        <v>98</v>
      </c>
      <c r="J1187" s="656" t="s">
        <v>98</v>
      </c>
      <c r="K1187" s="655" t="s">
        <v>98</v>
      </c>
      <c r="L1187" s="655" t="s">
        <v>98</v>
      </c>
      <c r="M1187" s="655" t="s">
        <v>98</v>
      </c>
      <c r="N1187" s="656" t="s">
        <v>6781</v>
      </c>
      <c r="O1187" s="656" t="s">
        <v>276</v>
      </c>
      <c r="P1187" s="656" t="s">
        <v>238</v>
      </c>
      <c r="Q1187" s="657">
        <v>34912</v>
      </c>
      <c r="R1187" s="656" t="s">
        <v>1702</v>
      </c>
      <c r="S1187" s="656" t="s">
        <v>6655</v>
      </c>
      <c r="T1187" s="656" t="s">
        <v>98</v>
      </c>
      <c r="U1187" s="656">
        <v>5</v>
      </c>
      <c r="V1187" s="655" t="s">
        <v>14</v>
      </c>
      <c r="W1187" s="655" t="s">
        <v>98</v>
      </c>
      <c r="X1187" s="656" t="s">
        <v>209</v>
      </c>
      <c r="Y1187" s="658">
        <v>30967</v>
      </c>
      <c r="Z1187" s="656" t="s">
        <v>98</v>
      </c>
      <c r="AA1187" s="656" t="s">
        <v>276</v>
      </c>
      <c r="AB1187" s="656" t="s">
        <v>98</v>
      </c>
      <c r="AC1187" s="655">
        <v>0</v>
      </c>
      <c r="AD1187" s="655" t="s">
        <v>6723</v>
      </c>
      <c r="AE1187" s="655" t="s">
        <v>98</v>
      </c>
      <c r="AF1187" s="655" t="s">
        <v>98</v>
      </c>
      <c r="AG1187" s="656" t="s">
        <v>6782</v>
      </c>
      <c r="AH1187" s="656" t="s">
        <v>6725</v>
      </c>
      <c r="AI1187" s="659">
        <v>120</v>
      </c>
      <c r="AJ1187" s="659" t="s">
        <v>98</v>
      </c>
      <c r="AK1187" s="658">
        <v>30967</v>
      </c>
      <c r="AL1187" s="659" t="s">
        <v>98</v>
      </c>
      <c r="AM1187" s="659" t="s">
        <v>2047</v>
      </c>
      <c r="AN1187" s="655" t="s">
        <v>276</v>
      </c>
      <c r="AO1187" s="803">
        <f t="shared" si="355"/>
        <v>3.8750928407659768</v>
      </c>
      <c r="AP1187" s="655" t="s">
        <v>276</v>
      </c>
      <c r="AQ1187" s="655" t="s">
        <v>276</v>
      </c>
      <c r="AR1187" s="655" t="s">
        <v>98</v>
      </c>
      <c r="AS1187" s="655" t="s">
        <v>98</v>
      </c>
      <c r="AT1187" s="655" t="s">
        <v>98</v>
      </c>
      <c r="AU1187" s="655" t="s">
        <v>98</v>
      </c>
      <c r="AV1187" s="655" t="s">
        <v>98</v>
      </c>
      <c r="AW1187" s="655" t="s">
        <v>98</v>
      </c>
      <c r="AX1187" s="655" t="s">
        <v>98</v>
      </c>
      <c r="AY1187" s="655" t="s">
        <v>98</v>
      </c>
      <c r="AZ1187" s="655" t="s">
        <v>98</v>
      </c>
      <c r="BA1187" s="655" t="s">
        <v>98</v>
      </c>
      <c r="BB1187" s="655" t="s">
        <v>98</v>
      </c>
      <c r="BC1187" s="655" t="s">
        <v>98</v>
      </c>
      <c r="BD1187" s="655" t="s">
        <v>98</v>
      </c>
      <c r="BE1187" s="655" t="s">
        <v>98</v>
      </c>
      <c r="BF1187" s="656" t="s">
        <v>426</v>
      </c>
      <c r="BG1187" s="656"/>
      <c r="BH1187" s="9" t="s">
        <v>100</v>
      </c>
      <c r="BI1187" s="9" t="s">
        <v>100</v>
      </c>
      <c r="BJ1187" s="661"/>
      <c r="BN1187" s="661"/>
      <c r="BO1187" s="661"/>
    </row>
    <row r="1188" spans="1:67" s="662" customFormat="1" ht="67.5" hidden="1" customHeight="1" x14ac:dyDescent="0.35">
      <c r="A1188" s="655">
        <v>226</v>
      </c>
      <c r="B1188" s="655" t="s">
        <v>6651</v>
      </c>
      <c r="C1188" s="655" t="s">
        <v>46</v>
      </c>
      <c r="D1188" s="656" t="s">
        <v>11330</v>
      </c>
      <c r="E1188" s="655" t="s">
        <v>36</v>
      </c>
      <c r="F1188" s="655" t="s">
        <v>123</v>
      </c>
      <c r="G1188" s="655" t="s">
        <v>225</v>
      </c>
      <c r="H1188" s="655" t="s">
        <v>225</v>
      </c>
      <c r="I1188" s="655" t="s">
        <v>98</v>
      </c>
      <c r="J1188" s="656" t="s">
        <v>98</v>
      </c>
      <c r="K1188" s="655" t="s">
        <v>98</v>
      </c>
      <c r="L1188" s="655" t="s">
        <v>98</v>
      </c>
      <c r="M1188" s="655" t="s">
        <v>98</v>
      </c>
      <c r="N1188" s="656" t="s">
        <v>6781</v>
      </c>
      <c r="O1188" s="656" t="s">
        <v>276</v>
      </c>
      <c r="P1188" s="656" t="s">
        <v>238</v>
      </c>
      <c r="Q1188" s="657">
        <v>34912</v>
      </c>
      <c r="R1188" s="656" t="s">
        <v>1702</v>
      </c>
      <c r="S1188" s="656" t="s">
        <v>6655</v>
      </c>
      <c r="T1188" s="656" t="s">
        <v>98</v>
      </c>
      <c r="U1188" s="656">
        <v>5</v>
      </c>
      <c r="V1188" s="655" t="s">
        <v>14</v>
      </c>
      <c r="W1188" s="655" t="s">
        <v>98</v>
      </c>
      <c r="X1188" s="656" t="s">
        <v>209</v>
      </c>
      <c r="Y1188" s="658">
        <v>30967</v>
      </c>
      <c r="Z1188" s="656" t="s">
        <v>98</v>
      </c>
      <c r="AA1188" s="656" t="s">
        <v>276</v>
      </c>
      <c r="AB1188" s="656" t="s">
        <v>98</v>
      </c>
      <c r="AC1188" s="655">
        <v>0</v>
      </c>
      <c r="AD1188" s="655" t="s">
        <v>6723</v>
      </c>
      <c r="AE1188" s="655" t="s">
        <v>98</v>
      </c>
      <c r="AF1188" s="655" t="s">
        <v>98</v>
      </c>
      <c r="AG1188" s="656" t="s">
        <v>11331</v>
      </c>
      <c r="AH1188" s="656" t="s">
        <v>6725</v>
      </c>
      <c r="AI1188" s="659">
        <v>270</v>
      </c>
      <c r="AJ1188" s="659" t="s">
        <v>98</v>
      </c>
      <c r="AK1188" s="658">
        <v>30967</v>
      </c>
      <c r="AL1188" s="659" t="s">
        <v>98</v>
      </c>
      <c r="AM1188" s="659" t="s">
        <v>2047</v>
      </c>
      <c r="AN1188" s="655" t="s">
        <v>276</v>
      </c>
      <c r="AO1188" s="803">
        <f t="shared" ref="AO1188" si="362">AI1188*1000/AK1188</f>
        <v>8.7189588917234477</v>
      </c>
      <c r="AP1188" s="655" t="s">
        <v>276</v>
      </c>
      <c r="AQ1188" s="655" t="s">
        <v>276</v>
      </c>
      <c r="AR1188" s="655" t="s">
        <v>98</v>
      </c>
      <c r="AS1188" s="655" t="s">
        <v>98</v>
      </c>
      <c r="AT1188" s="655" t="s">
        <v>98</v>
      </c>
      <c r="AU1188" s="655" t="s">
        <v>98</v>
      </c>
      <c r="AV1188" s="655" t="s">
        <v>98</v>
      </c>
      <c r="AW1188" s="655" t="s">
        <v>98</v>
      </c>
      <c r="AX1188" s="655" t="s">
        <v>98</v>
      </c>
      <c r="AY1188" s="655" t="s">
        <v>98</v>
      </c>
      <c r="AZ1188" s="655" t="s">
        <v>98</v>
      </c>
      <c r="BA1188" s="655" t="s">
        <v>98</v>
      </c>
      <c r="BB1188" s="655" t="s">
        <v>98</v>
      </c>
      <c r="BC1188" s="655" t="s">
        <v>98</v>
      </c>
      <c r="BD1188" s="655" t="s">
        <v>98</v>
      </c>
      <c r="BE1188" s="655" t="s">
        <v>98</v>
      </c>
      <c r="BF1188" s="656" t="s">
        <v>426</v>
      </c>
      <c r="BG1188" s="656"/>
      <c r="BH1188" s="9" t="s">
        <v>100</v>
      </c>
      <c r="BI1188" s="9" t="s">
        <v>100</v>
      </c>
      <c r="BJ1188" s="661"/>
      <c r="BN1188" s="661"/>
      <c r="BO1188" s="661"/>
    </row>
    <row r="1189" spans="1:67" s="662" customFormat="1" ht="67.5" hidden="1" customHeight="1" x14ac:dyDescent="0.35">
      <c r="A1189" s="655">
        <v>226</v>
      </c>
      <c r="B1189" s="655" t="s">
        <v>6651</v>
      </c>
      <c r="C1189" s="655" t="s">
        <v>46</v>
      </c>
      <c r="D1189" s="656" t="s">
        <v>11675</v>
      </c>
      <c r="E1189" s="655" t="s">
        <v>36</v>
      </c>
      <c r="F1189" s="655" t="s">
        <v>123</v>
      </c>
      <c r="G1189" s="655" t="s">
        <v>225</v>
      </c>
      <c r="H1189" s="655" t="s">
        <v>225</v>
      </c>
      <c r="I1189" s="655" t="s">
        <v>98</v>
      </c>
      <c r="J1189" s="656" t="s">
        <v>98</v>
      </c>
      <c r="K1189" s="655" t="s">
        <v>98</v>
      </c>
      <c r="L1189" s="655" t="s">
        <v>98</v>
      </c>
      <c r="M1189" s="655" t="s">
        <v>98</v>
      </c>
      <c r="N1189" s="656" t="s">
        <v>6781</v>
      </c>
      <c r="O1189" s="656" t="s">
        <v>276</v>
      </c>
      <c r="P1189" s="656" t="s">
        <v>238</v>
      </c>
      <c r="Q1189" s="657">
        <v>34912</v>
      </c>
      <c r="R1189" s="656" t="s">
        <v>1702</v>
      </c>
      <c r="S1189" s="656" t="s">
        <v>6655</v>
      </c>
      <c r="T1189" s="656" t="s">
        <v>98</v>
      </c>
      <c r="U1189" s="656">
        <v>5</v>
      </c>
      <c r="V1189" s="655" t="s">
        <v>14</v>
      </c>
      <c r="W1189" s="655" t="s">
        <v>98</v>
      </c>
      <c r="X1189" s="656" t="s">
        <v>209</v>
      </c>
      <c r="Y1189" s="658">
        <v>30967</v>
      </c>
      <c r="Z1189" s="656" t="s">
        <v>98</v>
      </c>
      <c r="AA1189" s="656" t="s">
        <v>276</v>
      </c>
      <c r="AB1189" s="656" t="s">
        <v>98</v>
      </c>
      <c r="AC1189" s="655">
        <v>0</v>
      </c>
      <c r="AD1189" s="655" t="s">
        <v>6723</v>
      </c>
      <c r="AE1189" s="655" t="s">
        <v>98</v>
      </c>
      <c r="AF1189" s="655" t="s">
        <v>98</v>
      </c>
      <c r="AG1189" s="656" t="s">
        <v>11674</v>
      </c>
      <c r="AH1189" s="656" t="s">
        <v>6725</v>
      </c>
      <c r="AI1189" s="659">
        <f>270+120</f>
        <v>390</v>
      </c>
      <c r="AJ1189" s="659" t="s">
        <v>98</v>
      </c>
      <c r="AK1189" s="658">
        <v>30967</v>
      </c>
      <c r="AL1189" s="659" t="s">
        <v>98</v>
      </c>
      <c r="AM1189" s="659" t="s">
        <v>2047</v>
      </c>
      <c r="AN1189" s="655" t="s">
        <v>276</v>
      </c>
      <c r="AO1189" s="803">
        <f t="shared" si="355"/>
        <v>12.594051732489424</v>
      </c>
      <c r="AP1189" s="655" t="s">
        <v>276</v>
      </c>
      <c r="AQ1189" s="655" t="s">
        <v>276</v>
      </c>
      <c r="AR1189" s="655" t="s">
        <v>98</v>
      </c>
      <c r="AS1189" s="655" t="s">
        <v>98</v>
      </c>
      <c r="AT1189" s="655" t="s">
        <v>98</v>
      </c>
      <c r="AU1189" s="655" t="s">
        <v>98</v>
      </c>
      <c r="AV1189" s="655" t="s">
        <v>98</v>
      </c>
      <c r="AW1189" s="655" t="s">
        <v>98</v>
      </c>
      <c r="AX1189" s="655" t="s">
        <v>98</v>
      </c>
      <c r="AY1189" s="655" t="s">
        <v>98</v>
      </c>
      <c r="AZ1189" s="655" t="s">
        <v>98</v>
      </c>
      <c r="BA1189" s="655" t="s">
        <v>98</v>
      </c>
      <c r="BB1189" s="655" t="s">
        <v>98</v>
      </c>
      <c r="BC1189" s="655" t="s">
        <v>98</v>
      </c>
      <c r="BD1189" s="655" t="s">
        <v>98</v>
      </c>
      <c r="BE1189" s="655" t="s">
        <v>98</v>
      </c>
      <c r="BF1189" s="656" t="s">
        <v>426</v>
      </c>
      <c r="BG1189" s="656"/>
      <c r="BH1189" s="9" t="s">
        <v>100</v>
      </c>
      <c r="BI1189" s="9" t="s">
        <v>100</v>
      </c>
      <c r="BJ1189" s="661"/>
      <c r="BN1189" s="661"/>
      <c r="BO1189" s="661"/>
    </row>
    <row r="1190" spans="1:67" s="662" customFormat="1" ht="68.150000000000006" customHeight="1" x14ac:dyDescent="0.35">
      <c r="A1190" s="655">
        <v>226</v>
      </c>
      <c r="B1190" s="655" t="s">
        <v>6651</v>
      </c>
      <c r="C1190" s="655" t="s">
        <v>46</v>
      </c>
      <c r="D1190" s="656" t="s">
        <v>6783</v>
      </c>
      <c r="E1190" s="655" t="s">
        <v>36</v>
      </c>
      <c r="F1190" s="655" t="s">
        <v>123</v>
      </c>
      <c r="G1190" s="655" t="s">
        <v>225</v>
      </c>
      <c r="H1190" s="655" t="s">
        <v>225</v>
      </c>
      <c r="I1190" s="655" t="s">
        <v>98</v>
      </c>
      <c r="J1190" s="656" t="s">
        <v>98</v>
      </c>
      <c r="K1190" s="655" t="s">
        <v>98</v>
      </c>
      <c r="L1190" s="655" t="s">
        <v>98</v>
      </c>
      <c r="M1190" s="655" t="s">
        <v>98</v>
      </c>
      <c r="N1190" s="656" t="s">
        <v>6781</v>
      </c>
      <c r="O1190" s="656" t="s">
        <v>276</v>
      </c>
      <c r="P1190" s="656" t="s">
        <v>236</v>
      </c>
      <c r="Q1190" s="657">
        <v>34912</v>
      </c>
      <c r="R1190" s="656" t="s">
        <v>1702</v>
      </c>
      <c r="S1190" s="656" t="s">
        <v>6655</v>
      </c>
      <c r="T1190" s="656" t="s">
        <v>98</v>
      </c>
      <c r="U1190" s="656">
        <v>5</v>
      </c>
      <c r="V1190" s="655" t="s">
        <v>14</v>
      </c>
      <c r="W1190" s="655" t="s">
        <v>98</v>
      </c>
      <c r="X1190" s="656" t="s">
        <v>209</v>
      </c>
      <c r="Y1190" s="658" t="s">
        <v>98</v>
      </c>
      <c r="Z1190" s="656" t="s">
        <v>98</v>
      </c>
      <c r="AA1190" s="656" t="s">
        <v>276</v>
      </c>
      <c r="AB1190" s="656" t="s">
        <v>98</v>
      </c>
      <c r="AC1190" s="655">
        <v>0</v>
      </c>
      <c r="AD1190" s="655" t="s">
        <v>6723</v>
      </c>
      <c r="AE1190" s="655" t="s">
        <v>98</v>
      </c>
      <c r="AF1190" s="655" t="s">
        <v>98</v>
      </c>
      <c r="AG1190" s="656" t="s">
        <v>6782</v>
      </c>
      <c r="AH1190" s="656" t="s">
        <v>6784</v>
      </c>
      <c r="AI1190" s="659">
        <v>120</v>
      </c>
      <c r="AJ1190" s="659" t="s">
        <v>98</v>
      </c>
      <c r="AK1190" s="658">
        <v>481</v>
      </c>
      <c r="AL1190" s="659" t="s">
        <v>98</v>
      </c>
      <c r="AM1190" s="659" t="s">
        <v>292</v>
      </c>
      <c r="AN1190" s="655" t="s">
        <v>276</v>
      </c>
      <c r="AO1190" s="660">
        <f>AI1190*100/AK1190</f>
        <v>24.948024948024948</v>
      </c>
      <c r="AP1190" s="655" t="s">
        <v>276</v>
      </c>
      <c r="AQ1190" s="655" t="s">
        <v>276</v>
      </c>
      <c r="AR1190" s="655" t="s">
        <v>98</v>
      </c>
      <c r="AS1190" s="655" t="s">
        <v>98</v>
      </c>
      <c r="AT1190" s="655" t="s">
        <v>98</v>
      </c>
      <c r="AU1190" s="655" t="s">
        <v>98</v>
      </c>
      <c r="AV1190" s="655" t="s">
        <v>98</v>
      </c>
      <c r="AW1190" s="655" t="s">
        <v>98</v>
      </c>
      <c r="AX1190" s="655" t="s">
        <v>98</v>
      </c>
      <c r="AY1190" s="655" t="s">
        <v>98</v>
      </c>
      <c r="AZ1190" s="655" t="s">
        <v>98</v>
      </c>
      <c r="BA1190" s="655" t="s">
        <v>98</v>
      </c>
      <c r="BB1190" s="655" t="s">
        <v>98</v>
      </c>
      <c r="BC1190" s="655" t="s">
        <v>98</v>
      </c>
      <c r="BD1190" s="655" t="s">
        <v>98</v>
      </c>
      <c r="BE1190" s="655" t="s">
        <v>98</v>
      </c>
      <c r="BF1190" s="656" t="s">
        <v>6785</v>
      </c>
      <c r="BG1190" s="656"/>
      <c r="BH1190" s="9" t="s">
        <v>99</v>
      </c>
      <c r="BI1190" s="9" t="s">
        <v>100</v>
      </c>
      <c r="BJ1190" s="661"/>
      <c r="BN1190" s="661"/>
      <c r="BO1190" s="661"/>
    </row>
    <row r="1191" spans="1:67" s="670" customFormat="1" ht="90.65" hidden="1" customHeight="1" x14ac:dyDescent="0.35">
      <c r="A1191" s="663">
        <v>226</v>
      </c>
      <c r="B1191" s="663" t="s">
        <v>6651</v>
      </c>
      <c r="C1191" s="663" t="s">
        <v>46</v>
      </c>
      <c r="D1191" s="664" t="s">
        <v>6786</v>
      </c>
      <c r="E1191" s="663" t="s">
        <v>36</v>
      </c>
      <c r="F1191" s="663" t="s">
        <v>123</v>
      </c>
      <c r="G1191" s="663" t="s">
        <v>225</v>
      </c>
      <c r="H1191" s="663" t="s">
        <v>125</v>
      </c>
      <c r="I1191" s="663" t="s">
        <v>114</v>
      </c>
      <c r="J1191" s="664" t="s">
        <v>28</v>
      </c>
      <c r="K1191" s="663" t="s">
        <v>6737</v>
      </c>
      <c r="L1191" s="780" t="s">
        <v>6787</v>
      </c>
      <c r="M1191" s="780" t="s">
        <v>276</v>
      </c>
      <c r="N1191" s="664" t="s">
        <v>6788</v>
      </c>
      <c r="O1191" s="664" t="s">
        <v>6789</v>
      </c>
      <c r="P1191" s="664" t="s">
        <v>239</v>
      </c>
      <c r="Q1191" s="665">
        <v>34912</v>
      </c>
      <c r="R1191" s="664" t="s">
        <v>1702</v>
      </c>
      <c r="S1191" s="664" t="s">
        <v>6655</v>
      </c>
      <c r="T1191" s="664" t="s">
        <v>6656</v>
      </c>
      <c r="U1191" s="664">
        <v>5</v>
      </c>
      <c r="V1191" s="663" t="s">
        <v>14</v>
      </c>
      <c r="W1191" s="663" t="s">
        <v>98</v>
      </c>
      <c r="X1191" s="664" t="s">
        <v>207</v>
      </c>
      <c r="Y1191" s="666">
        <v>30967</v>
      </c>
      <c r="Z1191" s="667">
        <v>30966</v>
      </c>
      <c r="AA1191" s="664" t="s">
        <v>276</v>
      </c>
      <c r="AB1191" s="664" t="s">
        <v>276</v>
      </c>
      <c r="AC1191" s="663">
        <v>24</v>
      </c>
      <c r="AD1191" s="663" t="s">
        <v>6790</v>
      </c>
      <c r="AE1191" s="663">
        <v>27</v>
      </c>
      <c r="AF1191" s="663" t="s">
        <v>6790</v>
      </c>
      <c r="AG1191" s="664" t="s">
        <v>6791</v>
      </c>
      <c r="AH1191" s="664" t="s">
        <v>6506</v>
      </c>
      <c r="AI1191" s="667">
        <v>105</v>
      </c>
      <c r="AJ1191" s="667">
        <v>54</v>
      </c>
      <c r="AK1191" s="666">
        <v>30967</v>
      </c>
      <c r="AL1191" s="667">
        <v>30966</v>
      </c>
      <c r="AM1191" s="667" t="s">
        <v>2047</v>
      </c>
      <c r="AN1191" s="663" t="s">
        <v>276</v>
      </c>
      <c r="AO1191" s="668">
        <f t="shared" ref="AO1191:AO1200" si="363">AI1191*1000/AK1191</f>
        <v>3.3907062356702298</v>
      </c>
      <c r="AP1191" s="663" t="s">
        <v>276</v>
      </c>
      <c r="AQ1191" s="663" t="s">
        <v>276</v>
      </c>
      <c r="AR1191" s="663" t="s">
        <v>276</v>
      </c>
      <c r="AS1191" s="668">
        <f t="shared" ref="AS1191:AS1200" si="364">AJ1191*1000/AL1191</f>
        <v>1.7438480914551444</v>
      </c>
      <c r="AT1191" s="663" t="s">
        <v>276</v>
      </c>
      <c r="AU1191" s="663" t="s">
        <v>276</v>
      </c>
      <c r="AV1191" s="663" t="s">
        <v>268</v>
      </c>
      <c r="AW1191" s="663" t="s">
        <v>276</v>
      </c>
      <c r="AX1191" s="668">
        <f t="shared" ref="AX1191:AX1201" si="365">AO1191/AS1191</f>
        <v>1.9443816535882283</v>
      </c>
      <c r="AY1191" s="663" t="s">
        <v>276</v>
      </c>
      <c r="AZ1191" s="663" t="s">
        <v>276</v>
      </c>
      <c r="BA1191" s="663" t="s">
        <v>276</v>
      </c>
      <c r="BB1191" s="663" t="s">
        <v>282</v>
      </c>
      <c r="BC1191" s="663" t="s">
        <v>276</v>
      </c>
      <c r="BD1191" s="663" t="s">
        <v>276</v>
      </c>
      <c r="BE1191" s="663" t="s">
        <v>276</v>
      </c>
      <c r="BF1191" s="664" t="s">
        <v>1029</v>
      </c>
      <c r="BG1191" s="664"/>
      <c r="BH1191" s="9" t="s">
        <v>100</v>
      </c>
      <c r="BI1191" s="9" t="s">
        <v>100</v>
      </c>
      <c r="BJ1191" s="669"/>
      <c r="BN1191" s="669"/>
      <c r="BO1191" s="669"/>
    </row>
    <row r="1192" spans="1:67" s="670" customFormat="1" ht="90.65" hidden="1" customHeight="1" x14ac:dyDescent="0.35">
      <c r="A1192" s="663">
        <v>226</v>
      </c>
      <c r="B1192" s="663" t="s">
        <v>6651</v>
      </c>
      <c r="C1192" s="663" t="s">
        <v>46</v>
      </c>
      <c r="D1192" s="664" t="s">
        <v>6792</v>
      </c>
      <c r="E1192" s="663" t="s">
        <v>36</v>
      </c>
      <c r="F1192" s="663" t="s">
        <v>123</v>
      </c>
      <c r="G1192" s="663" t="s">
        <v>225</v>
      </c>
      <c r="H1192" s="663" t="s">
        <v>125</v>
      </c>
      <c r="I1192" s="663" t="s">
        <v>114</v>
      </c>
      <c r="J1192" s="664" t="s">
        <v>28</v>
      </c>
      <c r="K1192" s="663" t="s">
        <v>6740</v>
      </c>
      <c r="L1192" s="780" t="s">
        <v>6787</v>
      </c>
      <c r="M1192" s="781" t="s">
        <v>276</v>
      </c>
      <c r="N1192" s="664" t="s">
        <v>6788</v>
      </c>
      <c r="O1192" s="664" t="s">
        <v>6789</v>
      </c>
      <c r="P1192" s="664" t="s">
        <v>239</v>
      </c>
      <c r="Q1192" s="665">
        <v>34912</v>
      </c>
      <c r="R1192" s="664" t="s">
        <v>1702</v>
      </c>
      <c r="S1192" s="664" t="s">
        <v>6655</v>
      </c>
      <c r="T1192" s="664" t="s">
        <v>6656</v>
      </c>
      <c r="U1192" s="664">
        <v>5</v>
      </c>
      <c r="V1192" s="663" t="s">
        <v>14</v>
      </c>
      <c r="W1192" s="663" t="s">
        <v>98</v>
      </c>
      <c r="X1192" s="664" t="s">
        <v>207</v>
      </c>
      <c r="Y1192" s="666">
        <v>30967</v>
      </c>
      <c r="Z1192" s="667">
        <v>30966</v>
      </c>
      <c r="AA1192" s="664" t="s">
        <v>276</v>
      </c>
      <c r="AB1192" s="664" t="s">
        <v>276</v>
      </c>
      <c r="AC1192" s="663">
        <v>24</v>
      </c>
      <c r="AD1192" s="663" t="s">
        <v>6790</v>
      </c>
      <c r="AE1192" s="663">
        <v>27</v>
      </c>
      <c r="AF1192" s="663" t="s">
        <v>6790</v>
      </c>
      <c r="AG1192" s="664" t="s">
        <v>6793</v>
      </c>
      <c r="AH1192" s="664" t="s">
        <v>6506</v>
      </c>
      <c r="AI1192" s="667">
        <v>164</v>
      </c>
      <c r="AJ1192" s="667">
        <v>177</v>
      </c>
      <c r="AK1192" s="666">
        <v>30967</v>
      </c>
      <c r="AL1192" s="667">
        <v>30966</v>
      </c>
      <c r="AM1192" s="667" t="s">
        <v>2047</v>
      </c>
      <c r="AN1192" s="663" t="s">
        <v>276</v>
      </c>
      <c r="AO1192" s="668">
        <f t="shared" ref="AO1192" si="366">AI1192*1000/AK1192</f>
        <v>5.2959602157135013</v>
      </c>
      <c r="AP1192" s="663" t="s">
        <v>276</v>
      </c>
      <c r="AQ1192" s="663" t="s">
        <v>276</v>
      </c>
      <c r="AR1192" s="663" t="s">
        <v>276</v>
      </c>
      <c r="AS1192" s="668">
        <f t="shared" ref="AS1192" si="367">AJ1192*1000/AL1192</f>
        <v>5.7159465219918619</v>
      </c>
      <c r="AT1192" s="663" t="s">
        <v>276</v>
      </c>
      <c r="AU1192" s="663" t="s">
        <v>276</v>
      </c>
      <c r="AV1192" s="663" t="s">
        <v>268</v>
      </c>
      <c r="AW1192" s="663" t="s">
        <v>276</v>
      </c>
      <c r="AX1192" s="668">
        <f t="shared" ref="AX1192" si="368">AO1192/AS1192</f>
        <v>0.92652375163719936</v>
      </c>
      <c r="AY1192" s="663" t="s">
        <v>276</v>
      </c>
      <c r="AZ1192" s="663" t="s">
        <v>276</v>
      </c>
      <c r="BA1192" s="663" t="s">
        <v>276</v>
      </c>
      <c r="BB1192" s="663" t="s">
        <v>282</v>
      </c>
      <c r="BC1192" s="663" t="s">
        <v>276</v>
      </c>
      <c r="BD1192" s="663" t="s">
        <v>276</v>
      </c>
      <c r="BE1192" s="663" t="s">
        <v>276</v>
      </c>
      <c r="BF1192" s="664" t="s">
        <v>1029</v>
      </c>
      <c r="BG1192" s="664"/>
      <c r="BH1192" s="9" t="s">
        <v>100</v>
      </c>
      <c r="BI1192" s="9" t="s">
        <v>100</v>
      </c>
      <c r="BJ1192" s="669"/>
      <c r="BN1192" s="669"/>
      <c r="BO1192" s="669"/>
    </row>
    <row r="1193" spans="1:67" s="670" customFormat="1" ht="90.65" hidden="1" customHeight="1" x14ac:dyDescent="0.35">
      <c r="A1193" s="663">
        <v>226</v>
      </c>
      <c r="B1193" s="663" t="s">
        <v>6651</v>
      </c>
      <c r="C1193" s="663" t="s">
        <v>46</v>
      </c>
      <c r="D1193" s="664" t="s">
        <v>11606</v>
      </c>
      <c r="E1193" s="663" t="s">
        <v>36</v>
      </c>
      <c r="F1193" s="663" t="s">
        <v>123</v>
      </c>
      <c r="G1193" s="663" t="s">
        <v>225</v>
      </c>
      <c r="H1193" s="663" t="s">
        <v>125</v>
      </c>
      <c r="I1193" s="663" t="s">
        <v>114</v>
      </c>
      <c r="J1193" s="664" t="s">
        <v>28</v>
      </c>
      <c r="K1193" s="663" t="s">
        <v>11607</v>
      </c>
      <c r="L1193" s="780" t="s">
        <v>6787</v>
      </c>
      <c r="M1193" s="781" t="s">
        <v>276</v>
      </c>
      <c r="N1193" s="664" t="s">
        <v>6788</v>
      </c>
      <c r="O1193" s="664" t="s">
        <v>6789</v>
      </c>
      <c r="P1193" s="664" t="s">
        <v>239</v>
      </c>
      <c r="Q1193" s="665">
        <v>34912</v>
      </c>
      <c r="R1193" s="664" t="s">
        <v>1702</v>
      </c>
      <c r="S1193" s="664" t="s">
        <v>6655</v>
      </c>
      <c r="T1193" s="664" t="s">
        <v>6656</v>
      </c>
      <c r="U1193" s="664">
        <v>5</v>
      </c>
      <c r="V1193" s="663" t="s">
        <v>14</v>
      </c>
      <c r="W1193" s="663" t="s">
        <v>98</v>
      </c>
      <c r="X1193" s="664" t="s">
        <v>207</v>
      </c>
      <c r="Y1193" s="666">
        <v>30967</v>
      </c>
      <c r="Z1193" s="667">
        <v>30966</v>
      </c>
      <c r="AA1193" s="664" t="s">
        <v>276</v>
      </c>
      <c r="AB1193" s="664" t="s">
        <v>276</v>
      </c>
      <c r="AC1193" s="663">
        <v>24</v>
      </c>
      <c r="AD1193" s="663" t="s">
        <v>6790</v>
      </c>
      <c r="AE1193" s="663">
        <v>27</v>
      </c>
      <c r="AF1193" s="663" t="s">
        <v>6790</v>
      </c>
      <c r="AG1193" s="664" t="s">
        <v>6793</v>
      </c>
      <c r="AH1193" s="664" t="s">
        <v>6506</v>
      </c>
      <c r="AI1193" s="667">
        <f>164+105</f>
        <v>269</v>
      </c>
      <c r="AJ1193" s="667">
        <f>177+54</f>
        <v>231</v>
      </c>
      <c r="AK1193" s="666">
        <v>30967</v>
      </c>
      <c r="AL1193" s="667">
        <v>30966</v>
      </c>
      <c r="AM1193" s="667" t="s">
        <v>2047</v>
      </c>
      <c r="AN1193" s="663" t="s">
        <v>276</v>
      </c>
      <c r="AO1193" s="668">
        <f t="shared" si="363"/>
        <v>8.6866664513837311</v>
      </c>
      <c r="AP1193" s="663" t="s">
        <v>276</v>
      </c>
      <c r="AQ1193" s="663" t="s">
        <v>276</v>
      </c>
      <c r="AR1193" s="663" t="s">
        <v>276</v>
      </c>
      <c r="AS1193" s="668">
        <f t="shared" si="364"/>
        <v>7.4597946134470066</v>
      </c>
      <c r="AT1193" s="663" t="s">
        <v>276</v>
      </c>
      <c r="AU1193" s="663" t="s">
        <v>276</v>
      </c>
      <c r="AV1193" s="663" t="s">
        <v>268</v>
      </c>
      <c r="AW1193" s="663" t="s">
        <v>276</v>
      </c>
      <c r="AX1193" s="668">
        <f t="shared" si="365"/>
        <v>1.1644645598854919</v>
      </c>
      <c r="AY1193" s="663" t="s">
        <v>276</v>
      </c>
      <c r="AZ1193" s="663" t="s">
        <v>276</v>
      </c>
      <c r="BA1193" s="663" t="s">
        <v>276</v>
      </c>
      <c r="BB1193" s="663" t="s">
        <v>282</v>
      </c>
      <c r="BC1193" s="663" t="s">
        <v>276</v>
      </c>
      <c r="BD1193" s="663" t="s">
        <v>276</v>
      </c>
      <c r="BE1193" s="663" t="s">
        <v>276</v>
      </c>
      <c r="BF1193" s="664" t="s">
        <v>1029</v>
      </c>
      <c r="BG1193" s="664"/>
      <c r="BH1193" s="9" t="s">
        <v>100</v>
      </c>
      <c r="BI1193" s="9" t="s">
        <v>100</v>
      </c>
      <c r="BJ1193" s="669"/>
      <c r="BN1193" s="669"/>
      <c r="BO1193" s="669"/>
    </row>
    <row r="1194" spans="1:67" s="670" customFormat="1" ht="90.65" hidden="1" customHeight="1" x14ac:dyDescent="0.35">
      <c r="A1194" s="663">
        <v>226</v>
      </c>
      <c r="B1194" s="663" t="s">
        <v>6651</v>
      </c>
      <c r="C1194" s="663" t="s">
        <v>46</v>
      </c>
      <c r="D1194" s="664" t="s">
        <v>6794</v>
      </c>
      <c r="E1194" s="663" t="s">
        <v>36</v>
      </c>
      <c r="F1194" s="663" t="s">
        <v>123</v>
      </c>
      <c r="G1194" s="663" t="s">
        <v>225</v>
      </c>
      <c r="H1194" s="663" t="s">
        <v>125</v>
      </c>
      <c r="I1194" s="663" t="s">
        <v>114</v>
      </c>
      <c r="J1194" s="664" t="s">
        <v>28</v>
      </c>
      <c r="K1194" s="663" t="s">
        <v>6742</v>
      </c>
      <c r="L1194" s="780" t="s">
        <v>6787</v>
      </c>
      <c r="M1194" s="781" t="s">
        <v>276</v>
      </c>
      <c r="N1194" s="664" t="s">
        <v>6788</v>
      </c>
      <c r="O1194" s="664" t="s">
        <v>6789</v>
      </c>
      <c r="P1194" s="664" t="s">
        <v>239</v>
      </c>
      <c r="Q1194" s="665">
        <v>34912</v>
      </c>
      <c r="R1194" s="664" t="s">
        <v>1702</v>
      </c>
      <c r="S1194" s="664" t="s">
        <v>6655</v>
      </c>
      <c r="T1194" s="664" t="s">
        <v>6656</v>
      </c>
      <c r="U1194" s="664">
        <v>5</v>
      </c>
      <c r="V1194" s="663" t="s">
        <v>14</v>
      </c>
      <c r="W1194" s="663" t="s">
        <v>98</v>
      </c>
      <c r="X1194" s="664" t="s">
        <v>207</v>
      </c>
      <c r="Y1194" s="666">
        <v>30967</v>
      </c>
      <c r="Z1194" s="667">
        <v>30966</v>
      </c>
      <c r="AA1194" s="664" t="s">
        <v>276</v>
      </c>
      <c r="AB1194" s="664" t="s">
        <v>276</v>
      </c>
      <c r="AC1194" s="663">
        <v>24</v>
      </c>
      <c r="AD1194" s="663" t="s">
        <v>6790</v>
      </c>
      <c r="AE1194" s="663">
        <v>27</v>
      </c>
      <c r="AF1194" s="663" t="s">
        <v>6790</v>
      </c>
      <c r="AG1194" s="664" t="s">
        <v>6795</v>
      </c>
      <c r="AH1194" s="664" t="s">
        <v>6506</v>
      </c>
      <c r="AI1194" s="667">
        <v>90</v>
      </c>
      <c r="AJ1194" s="667">
        <v>111</v>
      </c>
      <c r="AK1194" s="666">
        <v>30967</v>
      </c>
      <c r="AL1194" s="667">
        <v>30966</v>
      </c>
      <c r="AM1194" s="667" t="s">
        <v>2047</v>
      </c>
      <c r="AN1194" s="663" t="s">
        <v>276</v>
      </c>
      <c r="AO1194" s="668">
        <f t="shared" si="363"/>
        <v>2.9063196305744827</v>
      </c>
      <c r="AP1194" s="663" t="s">
        <v>276</v>
      </c>
      <c r="AQ1194" s="663" t="s">
        <v>276</v>
      </c>
      <c r="AR1194" s="663" t="s">
        <v>276</v>
      </c>
      <c r="AS1194" s="668">
        <f t="shared" si="364"/>
        <v>3.5845766324355743</v>
      </c>
      <c r="AT1194" s="663" t="s">
        <v>276</v>
      </c>
      <c r="AU1194" s="663" t="s">
        <v>276</v>
      </c>
      <c r="AV1194" s="663" t="s">
        <v>268</v>
      </c>
      <c r="AW1194" s="663" t="s">
        <v>276</v>
      </c>
      <c r="AX1194" s="668">
        <f t="shared" si="365"/>
        <v>0.81078462775107596</v>
      </c>
      <c r="AY1194" s="663" t="s">
        <v>276</v>
      </c>
      <c r="AZ1194" s="663" t="s">
        <v>276</v>
      </c>
      <c r="BA1194" s="663" t="s">
        <v>276</v>
      </c>
      <c r="BB1194" s="663" t="s">
        <v>282</v>
      </c>
      <c r="BC1194" s="663" t="s">
        <v>276</v>
      </c>
      <c r="BD1194" s="663" t="s">
        <v>276</v>
      </c>
      <c r="BE1194" s="663" t="s">
        <v>276</v>
      </c>
      <c r="BF1194" s="664" t="s">
        <v>1029</v>
      </c>
      <c r="BG1194" s="664"/>
      <c r="BH1194" s="9" t="s">
        <v>100</v>
      </c>
      <c r="BI1194" s="9" t="s">
        <v>100</v>
      </c>
      <c r="BJ1194" s="669"/>
      <c r="BN1194" s="669"/>
      <c r="BO1194" s="669"/>
    </row>
    <row r="1195" spans="1:67" s="670" customFormat="1" ht="90.65" hidden="1" customHeight="1" x14ac:dyDescent="0.35">
      <c r="A1195" s="663">
        <v>226</v>
      </c>
      <c r="B1195" s="663" t="s">
        <v>6651</v>
      </c>
      <c r="C1195" s="663" t="s">
        <v>46</v>
      </c>
      <c r="D1195" s="664" t="s">
        <v>6796</v>
      </c>
      <c r="E1195" s="663" t="s">
        <v>36</v>
      </c>
      <c r="F1195" s="663" t="s">
        <v>123</v>
      </c>
      <c r="G1195" s="663" t="s">
        <v>225</v>
      </c>
      <c r="H1195" s="663" t="s">
        <v>125</v>
      </c>
      <c r="I1195" s="663" t="s">
        <v>114</v>
      </c>
      <c r="J1195" s="664" t="s">
        <v>28</v>
      </c>
      <c r="K1195" s="664" t="s">
        <v>6744</v>
      </c>
      <c r="L1195" s="780" t="s">
        <v>6787</v>
      </c>
      <c r="M1195" s="781" t="s">
        <v>276</v>
      </c>
      <c r="N1195" s="664" t="s">
        <v>6788</v>
      </c>
      <c r="O1195" s="664" t="s">
        <v>6789</v>
      </c>
      <c r="P1195" s="664" t="s">
        <v>239</v>
      </c>
      <c r="Q1195" s="665">
        <v>34912</v>
      </c>
      <c r="R1195" s="664" t="s">
        <v>1702</v>
      </c>
      <c r="S1195" s="664" t="s">
        <v>6655</v>
      </c>
      <c r="T1195" s="664" t="s">
        <v>6656</v>
      </c>
      <c r="U1195" s="664">
        <v>5</v>
      </c>
      <c r="V1195" s="663" t="s">
        <v>14</v>
      </c>
      <c r="W1195" s="663" t="s">
        <v>98</v>
      </c>
      <c r="X1195" s="664" t="s">
        <v>207</v>
      </c>
      <c r="Y1195" s="666">
        <v>30967</v>
      </c>
      <c r="Z1195" s="667">
        <v>30966</v>
      </c>
      <c r="AA1195" s="664" t="s">
        <v>276</v>
      </c>
      <c r="AB1195" s="664" t="s">
        <v>276</v>
      </c>
      <c r="AC1195" s="663">
        <v>24</v>
      </c>
      <c r="AD1195" s="663" t="s">
        <v>6790</v>
      </c>
      <c r="AE1195" s="663">
        <v>27</v>
      </c>
      <c r="AF1195" s="663" t="s">
        <v>6790</v>
      </c>
      <c r="AG1195" s="664" t="s">
        <v>6797</v>
      </c>
      <c r="AH1195" s="664" t="s">
        <v>6506</v>
      </c>
      <c r="AI1195" s="667">
        <v>98</v>
      </c>
      <c r="AJ1195" s="667">
        <v>114</v>
      </c>
      <c r="AK1195" s="666">
        <v>30967</v>
      </c>
      <c r="AL1195" s="667">
        <v>30966</v>
      </c>
      <c r="AM1195" s="667" t="s">
        <v>2047</v>
      </c>
      <c r="AN1195" s="663" t="s">
        <v>276</v>
      </c>
      <c r="AO1195" s="668">
        <f t="shared" si="363"/>
        <v>3.1646591532922144</v>
      </c>
      <c r="AP1195" s="663" t="s">
        <v>276</v>
      </c>
      <c r="AQ1195" s="663" t="s">
        <v>276</v>
      </c>
      <c r="AR1195" s="663" t="s">
        <v>276</v>
      </c>
      <c r="AS1195" s="668">
        <f t="shared" si="364"/>
        <v>3.6814570819608603</v>
      </c>
      <c r="AT1195" s="663" t="s">
        <v>276</v>
      </c>
      <c r="AU1195" s="663" t="s">
        <v>276</v>
      </c>
      <c r="AV1195" s="663" t="s">
        <v>268</v>
      </c>
      <c r="AW1195" s="663" t="s">
        <v>276</v>
      </c>
      <c r="AX1195" s="668">
        <f t="shared" si="365"/>
        <v>0.85962136263900624</v>
      </c>
      <c r="AY1195" s="663" t="s">
        <v>276</v>
      </c>
      <c r="AZ1195" s="663" t="s">
        <v>276</v>
      </c>
      <c r="BA1195" s="663" t="s">
        <v>276</v>
      </c>
      <c r="BB1195" s="663" t="s">
        <v>282</v>
      </c>
      <c r="BC1195" s="663" t="s">
        <v>276</v>
      </c>
      <c r="BD1195" s="663" t="s">
        <v>276</v>
      </c>
      <c r="BE1195" s="663" t="s">
        <v>276</v>
      </c>
      <c r="BF1195" s="664" t="s">
        <v>1029</v>
      </c>
      <c r="BG1195" s="664"/>
      <c r="BH1195" s="9" t="s">
        <v>100</v>
      </c>
      <c r="BI1195" s="9" t="s">
        <v>100</v>
      </c>
      <c r="BJ1195" s="669"/>
      <c r="BN1195" s="669"/>
      <c r="BO1195" s="669"/>
    </row>
    <row r="1196" spans="1:67" s="662" customFormat="1" ht="90.65" hidden="1" customHeight="1" x14ac:dyDescent="0.35">
      <c r="A1196" s="655">
        <v>226</v>
      </c>
      <c r="B1196" s="655" t="s">
        <v>6651</v>
      </c>
      <c r="C1196" s="655" t="s">
        <v>46</v>
      </c>
      <c r="D1196" s="656" t="s">
        <v>6798</v>
      </c>
      <c r="E1196" s="655" t="s">
        <v>36</v>
      </c>
      <c r="F1196" s="655" t="s">
        <v>123</v>
      </c>
      <c r="G1196" s="655" t="s">
        <v>225</v>
      </c>
      <c r="H1196" s="655" t="s">
        <v>125</v>
      </c>
      <c r="I1196" s="655" t="s">
        <v>114</v>
      </c>
      <c r="J1196" s="656" t="s">
        <v>28</v>
      </c>
      <c r="K1196" s="655" t="s">
        <v>6737</v>
      </c>
      <c r="L1196" s="780" t="s">
        <v>6787</v>
      </c>
      <c r="M1196" s="781" t="s">
        <v>276</v>
      </c>
      <c r="N1196" s="656" t="s">
        <v>6788</v>
      </c>
      <c r="O1196" s="656" t="s">
        <v>6789</v>
      </c>
      <c r="P1196" s="656" t="s">
        <v>239</v>
      </c>
      <c r="Q1196" s="657">
        <v>34912</v>
      </c>
      <c r="R1196" s="656" t="s">
        <v>1702</v>
      </c>
      <c r="S1196" s="656" t="s">
        <v>6655</v>
      </c>
      <c r="T1196" s="656" t="s">
        <v>6656</v>
      </c>
      <c r="U1196" s="656">
        <v>5</v>
      </c>
      <c r="V1196" s="655" t="s">
        <v>14</v>
      </c>
      <c r="W1196" s="655" t="s">
        <v>98</v>
      </c>
      <c r="X1196" s="656" t="s">
        <v>207</v>
      </c>
      <c r="Y1196" s="658">
        <v>30967</v>
      </c>
      <c r="Z1196" s="659">
        <v>30966</v>
      </c>
      <c r="AA1196" s="656" t="s">
        <v>276</v>
      </c>
      <c r="AB1196" s="656" t="s">
        <v>276</v>
      </c>
      <c r="AC1196" s="655">
        <v>24</v>
      </c>
      <c r="AD1196" s="655" t="s">
        <v>6790</v>
      </c>
      <c r="AE1196" s="655">
        <v>27</v>
      </c>
      <c r="AF1196" s="655" t="s">
        <v>6790</v>
      </c>
      <c r="AG1196" s="656" t="s">
        <v>6791</v>
      </c>
      <c r="AH1196" s="656" t="s">
        <v>6658</v>
      </c>
      <c r="AI1196" s="659">
        <v>105</v>
      </c>
      <c r="AJ1196" s="659">
        <v>54</v>
      </c>
      <c r="AK1196" s="658">
        <v>281883</v>
      </c>
      <c r="AL1196" s="658">
        <v>281328</v>
      </c>
      <c r="AM1196" s="659" t="s">
        <v>425</v>
      </c>
      <c r="AN1196" s="655" t="s">
        <v>276</v>
      </c>
      <c r="AO1196" s="660">
        <f t="shared" si="363"/>
        <v>0.37249497131788722</v>
      </c>
      <c r="AP1196" s="655" t="s">
        <v>276</v>
      </c>
      <c r="AQ1196" s="655" t="s">
        <v>276</v>
      </c>
      <c r="AR1196" s="655" t="s">
        <v>276</v>
      </c>
      <c r="AS1196" s="660">
        <f t="shared" si="364"/>
        <v>0.19194676676335096</v>
      </c>
      <c r="AT1196" s="655" t="s">
        <v>276</v>
      </c>
      <c r="AU1196" s="655" t="s">
        <v>276</v>
      </c>
      <c r="AV1196" s="655" t="s">
        <v>269</v>
      </c>
      <c r="AW1196" s="655" t="s">
        <v>276</v>
      </c>
      <c r="AX1196" s="660">
        <f t="shared" si="365"/>
        <v>1.9406160239058996</v>
      </c>
      <c r="AY1196" s="655" t="s">
        <v>276</v>
      </c>
      <c r="AZ1196" s="655" t="s">
        <v>276</v>
      </c>
      <c r="BA1196" s="655" t="s">
        <v>276</v>
      </c>
      <c r="BB1196" s="655" t="s">
        <v>282</v>
      </c>
      <c r="BC1196" s="655" t="s">
        <v>276</v>
      </c>
      <c r="BD1196" s="655" t="s">
        <v>276</v>
      </c>
      <c r="BE1196" s="655" t="s">
        <v>276</v>
      </c>
      <c r="BF1196" s="656" t="s">
        <v>1029</v>
      </c>
      <c r="BG1196" s="656"/>
      <c r="BH1196" s="9" t="s">
        <v>100</v>
      </c>
      <c r="BI1196" s="9" t="s">
        <v>100</v>
      </c>
      <c r="BJ1196" s="661"/>
      <c r="BN1196" s="661"/>
      <c r="BO1196" s="661"/>
    </row>
    <row r="1197" spans="1:67" s="662" customFormat="1" ht="90.65" hidden="1" customHeight="1" x14ac:dyDescent="0.35">
      <c r="A1197" s="655">
        <v>226</v>
      </c>
      <c r="B1197" s="655" t="s">
        <v>6651</v>
      </c>
      <c r="C1197" s="655" t="s">
        <v>46</v>
      </c>
      <c r="D1197" s="656" t="s">
        <v>6799</v>
      </c>
      <c r="E1197" s="655" t="s">
        <v>36</v>
      </c>
      <c r="F1197" s="655" t="s">
        <v>123</v>
      </c>
      <c r="G1197" s="655" t="s">
        <v>225</v>
      </c>
      <c r="H1197" s="655" t="s">
        <v>125</v>
      </c>
      <c r="I1197" s="655" t="s">
        <v>114</v>
      </c>
      <c r="J1197" s="656" t="s">
        <v>28</v>
      </c>
      <c r="K1197" s="655" t="s">
        <v>6740</v>
      </c>
      <c r="L1197" s="780" t="s">
        <v>6787</v>
      </c>
      <c r="M1197" s="781" t="s">
        <v>276</v>
      </c>
      <c r="N1197" s="656" t="s">
        <v>6788</v>
      </c>
      <c r="O1197" s="656" t="s">
        <v>6789</v>
      </c>
      <c r="P1197" s="656" t="s">
        <v>239</v>
      </c>
      <c r="Q1197" s="657">
        <v>34912</v>
      </c>
      <c r="R1197" s="656" t="s">
        <v>1702</v>
      </c>
      <c r="S1197" s="656" t="s">
        <v>6655</v>
      </c>
      <c r="T1197" s="656" t="s">
        <v>6656</v>
      </c>
      <c r="U1197" s="656">
        <v>5</v>
      </c>
      <c r="V1197" s="655" t="s">
        <v>14</v>
      </c>
      <c r="W1197" s="655" t="s">
        <v>98</v>
      </c>
      <c r="X1197" s="656" t="s">
        <v>207</v>
      </c>
      <c r="Y1197" s="658">
        <v>30967</v>
      </c>
      <c r="Z1197" s="659">
        <v>30966</v>
      </c>
      <c r="AA1197" s="656" t="s">
        <v>276</v>
      </c>
      <c r="AB1197" s="656" t="s">
        <v>276</v>
      </c>
      <c r="AC1197" s="655">
        <v>24</v>
      </c>
      <c r="AD1197" s="655" t="s">
        <v>6790</v>
      </c>
      <c r="AE1197" s="655">
        <v>27</v>
      </c>
      <c r="AF1197" s="655" t="s">
        <v>6790</v>
      </c>
      <c r="AG1197" s="656" t="s">
        <v>6793</v>
      </c>
      <c r="AH1197" s="656" t="s">
        <v>6658</v>
      </c>
      <c r="AI1197" s="659">
        <v>164</v>
      </c>
      <c r="AJ1197" s="659">
        <v>177</v>
      </c>
      <c r="AK1197" s="658">
        <v>281883</v>
      </c>
      <c r="AL1197" s="658">
        <v>281328</v>
      </c>
      <c r="AM1197" s="659" t="s">
        <v>425</v>
      </c>
      <c r="AN1197" s="655" t="s">
        <v>276</v>
      </c>
      <c r="AO1197" s="660">
        <f t="shared" si="363"/>
        <v>0.58180166948698575</v>
      </c>
      <c r="AP1197" s="655" t="s">
        <v>276</v>
      </c>
      <c r="AQ1197" s="655" t="s">
        <v>276</v>
      </c>
      <c r="AR1197" s="655" t="s">
        <v>276</v>
      </c>
      <c r="AS1197" s="660">
        <f t="shared" si="364"/>
        <v>0.62915884661320598</v>
      </c>
      <c r="AT1197" s="655" t="s">
        <v>276</v>
      </c>
      <c r="AU1197" s="655" t="s">
        <v>276</v>
      </c>
      <c r="AV1197" s="655" t="s">
        <v>269</v>
      </c>
      <c r="AW1197" s="655" t="s">
        <v>276</v>
      </c>
      <c r="AX1197" s="660">
        <f t="shared" si="365"/>
        <v>0.92472937894595886</v>
      </c>
      <c r="AY1197" s="655" t="s">
        <v>276</v>
      </c>
      <c r="AZ1197" s="655" t="s">
        <v>276</v>
      </c>
      <c r="BA1197" s="655" t="s">
        <v>276</v>
      </c>
      <c r="BB1197" s="655" t="s">
        <v>282</v>
      </c>
      <c r="BC1197" s="655" t="s">
        <v>276</v>
      </c>
      <c r="BD1197" s="655" t="s">
        <v>276</v>
      </c>
      <c r="BE1197" s="655" t="s">
        <v>276</v>
      </c>
      <c r="BF1197" s="656" t="s">
        <v>1029</v>
      </c>
      <c r="BG1197" s="656"/>
      <c r="BH1197" s="9" t="s">
        <v>100</v>
      </c>
      <c r="BI1197" s="9" t="s">
        <v>100</v>
      </c>
      <c r="BJ1197" s="661"/>
      <c r="BN1197" s="661"/>
      <c r="BO1197" s="661"/>
    </row>
    <row r="1198" spans="1:67" s="662" customFormat="1" ht="90.65" hidden="1" customHeight="1" x14ac:dyDescent="0.35">
      <c r="A1198" s="655">
        <v>226</v>
      </c>
      <c r="B1198" s="655" t="s">
        <v>6651</v>
      </c>
      <c r="C1198" s="655" t="s">
        <v>46</v>
      </c>
      <c r="D1198" s="656" t="s">
        <v>6800</v>
      </c>
      <c r="E1198" s="655" t="s">
        <v>36</v>
      </c>
      <c r="F1198" s="655" t="s">
        <v>123</v>
      </c>
      <c r="G1198" s="655" t="s">
        <v>225</v>
      </c>
      <c r="H1198" s="655" t="s">
        <v>125</v>
      </c>
      <c r="I1198" s="655" t="s">
        <v>114</v>
      </c>
      <c r="J1198" s="656" t="s">
        <v>28</v>
      </c>
      <c r="K1198" s="655" t="s">
        <v>6742</v>
      </c>
      <c r="L1198" s="780" t="s">
        <v>6787</v>
      </c>
      <c r="M1198" s="781" t="s">
        <v>276</v>
      </c>
      <c r="N1198" s="656" t="s">
        <v>6788</v>
      </c>
      <c r="O1198" s="656" t="s">
        <v>6789</v>
      </c>
      <c r="P1198" s="656" t="s">
        <v>239</v>
      </c>
      <c r="Q1198" s="657">
        <v>34912</v>
      </c>
      <c r="R1198" s="656" t="s">
        <v>1702</v>
      </c>
      <c r="S1198" s="656" t="s">
        <v>6655</v>
      </c>
      <c r="T1198" s="656" t="s">
        <v>6656</v>
      </c>
      <c r="U1198" s="656">
        <v>5</v>
      </c>
      <c r="V1198" s="655" t="s">
        <v>14</v>
      </c>
      <c r="W1198" s="655" t="s">
        <v>98</v>
      </c>
      <c r="X1198" s="656" t="s">
        <v>207</v>
      </c>
      <c r="Y1198" s="658">
        <v>30967</v>
      </c>
      <c r="Z1198" s="659">
        <v>30966</v>
      </c>
      <c r="AA1198" s="656" t="s">
        <v>276</v>
      </c>
      <c r="AB1198" s="656" t="s">
        <v>276</v>
      </c>
      <c r="AC1198" s="655">
        <v>24</v>
      </c>
      <c r="AD1198" s="655" t="s">
        <v>6790</v>
      </c>
      <c r="AE1198" s="655">
        <v>27</v>
      </c>
      <c r="AF1198" s="655" t="s">
        <v>6790</v>
      </c>
      <c r="AG1198" s="656" t="s">
        <v>6795</v>
      </c>
      <c r="AH1198" s="656" t="s">
        <v>6658</v>
      </c>
      <c r="AI1198" s="659">
        <v>90</v>
      </c>
      <c r="AJ1198" s="659">
        <v>111</v>
      </c>
      <c r="AK1198" s="658">
        <v>281883</v>
      </c>
      <c r="AL1198" s="658">
        <v>281328</v>
      </c>
      <c r="AM1198" s="659" t="s">
        <v>425</v>
      </c>
      <c r="AN1198" s="655" t="s">
        <v>276</v>
      </c>
      <c r="AO1198" s="660">
        <f t="shared" si="363"/>
        <v>0.31928140398676047</v>
      </c>
      <c r="AP1198" s="655" t="s">
        <v>276</v>
      </c>
      <c r="AQ1198" s="655" t="s">
        <v>276</v>
      </c>
      <c r="AR1198" s="655" t="s">
        <v>276</v>
      </c>
      <c r="AS1198" s="660">
        <f t="shared" si="364"/>
        <v>0.39455724279133253</v>
      </c>
      <c r="AT1198" s="655" t="s">
        <v>276</v>
      </c>
      <c r="AU1198" s="655" t="s">
        <v>276</v>
      </c>
      <c r="AV1198" s="655" t="s">
        <v>269</v>
      </c>
      <c r="AW1198" s="655" t="s">
        <v>276</v>
      </c>
      <c r="AX1198" s="660">
        <f t="shared" si="365"/>
        <v>0.80921440379087706</v>
      </c>
      <c r="AY1198" s="655" t="s">
        <v>276</v>
      </c>
      <c r="AZ1198" s="655" t="s">
        <v>276</v>
      </c>
      <c r="BA1198" s="655" t="s">
        <v>276</v>
      </c>
      <c r="BB1198" s="655" t="s">
        <v>282</v>
      </c>
      <c r="BC1198" s="655" t="s">
        <v>276</v>
      </c>
      <c r="BD1198" s="655" t="s">
        <v>276</v>
      </c>
      <c r="BE1198" s="655" t="s">
        <v>276</v>
      </c>
      <c r="BF1198" s="656" t="s">
        <v>1029</v>
      </c>
      <c r="BG1198" s="656"/>
      <c r="BH1198" s="9" t="s">
        <v>100</v>
      </c>
      <c r="BI1198" s="9" t="s">
        <v>100</v>
      </c>
      <c r="BJ1198" s="661"/>
      <c r="BN1198" s="661"/>
      <c r="BO1198" s="661"/>
    </row>
    <row r="1199" spans="1:67" s="662" customFormat="1" ht="90.65" hidden="1" customHeight="1" x14ac:dyDescent="0.35">
      <c r="A1199" s="655">
        <v>226</v>
      </c>
      <c r="B1199" s="655" t="s">
        <v>6651</v>
      </c>
      <c r="C1199" s="655" t="s">
        <v>46</v>
      </c>
      <c r="D1199" s="656" t="s">
        <v>6801</v>
      </c>
      <c r="E1199" s="655" t="s">
        <v>36</v>
      </c>
      <c r="F1199" s="655" t="s">
        <v>123</v>
      </c>
      <c r="G1199" s="655" t="s">
        <v>225</v>
      </c>
      <c r="H1199" s="655" t="s">
        <v>125</v>
      </c>
      <c r="I1199" s="655" t="s">
        <v>114</v>
      </c>
      <c r="J1199" s="656" t="s">
        <v>28</v>
      </c>
      <c r="K1199" s="656" t="s">
        <v>6744</v>
      </c>
      <c r="L1199" s="780" t="s">
        <v>6787</v>
      </c>
      <c r="M1199" s="781" t="s">
        <v>276</v>
      </c>
      <c r="N1199" s="656" t="s">
        <v>6788</v>
      </c>
      <c r="O1199" s="656" t="s">
        <v>6789</v>
      </c>
      <c r="P1199" s="656" t="s">
        <v>239</v>
      </c>
      <c r="Q1199" s="657">
        <v>34912</v>
      </c>
      <c r="R1199" s="656" t="s">
        <v>1702</v>
      </c>
      <c r="S1199" s="656" t="s">
        <v>6655</v>
      </c>
      <c r="T1199" s="656" t="s">
        <v>6656</v>
      </c>
      <c r="U1199" s="656">
        <v>5</v>
      </c>
      <c r="V1199" s="655" t="s">
        <v>14</v>
      </c>
      <c r="W1199" s="655" t="s">
        <v>98</v>
      </c>
      <c r="X1199" s="656" t="s">
        <v>207</v>
      </c>
      <c r="Y1199" s="658">
        <v>30967</v>
      </c>
      <c r="Z1199" s="659">
        <v>30966</v>
      </c>
      <c r="AA1199" s="656" t="s">
        <v>276</v>
      </c>
      <c r="AB1199" s="656" t="s">
        <v>276</v>
      </c>
      <c r="AC1199" s="655">
        <v>24</v>
      </c>
      <c r="AD1199" s="655" t="s">
        <v>6790</v>
      </c>
      <c r="AE1199" s="655">
        <v>27</v>
      </c>
      <c r="AF1199" s="655" t="s">
        <v>6790</v>
      </c>
      <c r="AG1199" s="656" t="s">
        <v>6802</v>
      </c>
      <c r="AH1199" s="656" t="s">
        <v>6658</v>
      </c>
      <c r="AI1199" s="659">
        <v>98</v>
      </c>
      <c r="AJ1199" s="659">
        <v>114</v>
      </c>
      <c r="AK1199" s="658">
        <v>281883</v>
      </c>
      <c r="AL1199" s="658">
        <v>281328</v>
      </c>
      <c r="AM1199" s="659" t="s">
        <v>425</v>
      </c>
      <c r="AN1199" s="655" t="s">
        <v>276</v>
      </c>
      <c r="AO1199" s="660">
        <f t="shared" si="363"/>
        <v>0.34766197323002807</v>
      </c>
      <c r="AP1199" s="655" t="s">
        <v>276</v>
      </c>
      <c r="AQ1199" s="655" t="s">
        <v>276</v>
      </c>
      <c r="AR1199" s="655" t="s">
        <v>276</v>
      </c>
      <c r="AS1199" s="660">
        <f t="shared" si="364"/>
        <v>0.40522095205596315</v>
      </c>
      <c r="AT1199" s="655" t="s">
        <v>276</v>
      </c>
      <c r="AU1199" s="655" t="s">
        <v>276</v>
      </c>
      <c r="AV1199" s="655" t="s">
        <v>269</v>
      </c>
      <c r="AW1199" s="655" t="s">
        <v>276</v>
      </c>
      <c r="AX1199" s="660">
        <f t="shared" si="365"/>
        <v>0.85795655793734504</v>
      </c>
      <c r="AY1199" s="655" t="s">
        <v>276</v>
      </c>
      <c r="AZ1199" s="655" t="s">
        <v>276</v>
      </c>
      <c r="BA1199" s="655" t="s">
        <v>276</v>
      </c>
      <c r="BB1199" s="655" t="s">
        <v>282</v>
      </c>
      <c r="BC1199" s="655" t="s">
        <v>276</v>
      </c>
      <c r="BD1199" s="655" t="s">
        <v>276</v>
      </c>
      <c r="BE1199" s="655" t="s">
        <v>276</v>
      </c>
      <c r="BF1199" s="656" t="s">
        <v>1029</v>
      </c>
      <c r="BG1199" s="656"/>
      <c r="BH1199" s="9" t="s">
        <v>100</v>
      </c>
      <c r="BI1199" s="9" t="s">
        <v>100</v>
      </c>
      <c r="BJ1199" s="661"/>
      <c r="BN1199" s="661"/>
      <c r="BO1199" s="661"/>
    </row>
    <row r="1200" spans="1:67" s="662" customFormat="1" ht="90.65" hidden="1" customHeight="1" x14ac:dyDescent="0.35">
      <c r="A1200" s="655">
        <v>226</v>
      </c>
      <c r="B1200" s="655" t="s">
        <v>6651</v>
      </c>
      <c r="C1200" s="655" t="s">
        <v>46</v>
      </c>
      <c r="D1200" s="656" t="s">
        <v>6803</v>
      </c>
      <c r="E1200" s="655" t="s">
        <v>36</v>
      </c>
      <c r="F1200" s="655" t="s">
        <v>123</v>
      </c>
      <c r="G1200" s="655" t="s">
        <v>225</v>
      </c>
      <c r="H1200" s="655" t="s">
        <v>125</v>
      </c>
      <c r="I1200" s="655" t="s">
        <v>114</v>
      </c>
      <c r="J1200" s="656" t="s">
        <v>28</v>
      </c>
      <c r="K1200" s="656" t="s">
        <v>6804</v>
      </c>
      <c r="L1200" s="780" t="s">
        <v>6787</v>
      </c>
      <c r="M1200" s="781" t="s">
        <v>276</v>
      </c>
      <c r="N1200" s="656" t="s">
        <v>6788</v>
      </c>
      <c r="O1200" s="656" t="s">
        <v>6789</v>
      </c>
      <c r="P1200" s="656" t="s">
        <v>239</v>
      </c>
      <c r="Q1200" s="657">
        <v>34912</v>
      </c>
      <c r="R1200" s="656" t="s">
        <v>1702</v>
      </c>
      <c r="S1200" s="656" t="s">
        <v>6655</v>
      </c>
      <c r="T1200" s="656" t="s">
        <v>6656</v>
      </c>
      <c r="U1200" s="656">
        <v>5</v>
      </c>
      <c r="V1200" s="655" t="s">
        <v>14</v>
      </c>
      <c r="W1200" s="655" t="s">
        <v>98</v>
      </c>
      <c r="X1200" s="656" t="s">
        <v>207</v>
      </c>
      <c r="Y1200" s="658">
        <v>30967</v>
      </c>
      <c r="Z1200" s="659">
        <v>30966</v>
      </c>
      <c r="AA1200" s="656" t="s">
        <v>276</v>
      </c>
      <c r="AB1200" s="656" t="s">
        <v>276</v>
      </c>
      <c r="AC1200" s="655">
        <v>24</v>
      </c>
      <c r="AD1200" s="655" t="s">
        <v>6790</v>
      </c>
      <c r="AE1200" s="655">
        <v>27</v>
      </c>
      <c r="AF1200" s="655" t="s">
        <v>6790</v>
      </c>
      <c r="AG1200" s="656" t="s">
        <v>6805</v>
      </c>
      <c r="AH1200" s="656" t="s">
        <v>6658</v>
      </c>
      <c r="AI1200" s="659">
        <f>98+90+24</f>
        <v>212</v>
      </c>
      <c r="AJ1200" s="659">
        <f>114+111+27</f>
        <v>252</v>
      </c>
      <c r="AK1200" s="658">
        <v>281883</v>
      </c>
      <c r="AL1200" s="658">
        <v>281328</v>
      </c>
      <c r="AM1200" s="659" t="s">
        <v>425</v>
      </c>
      <c r="AN1200" s="655" t="s">
        <v>276</v>
      </c>
      <c r="AO1200" s="660">
        <f t="shared" si="363"/>
        <v>0.75208508494659132</v>
      </c>
      <c r="AP1200" s="655" t="s">
        <v>276</v>
      </c>
      <c r="AQ1200" s="655" t="s">
        <v>276</v>
      </c>
      <c r="AR1200" s="655" t="s">
        <v>276</v>
      </c>
      <c r="AS1200" s="660">
        <f t="shared" si="364"/>
        <v>0.89575157822897111</v>
      </c>
      <c r="AT1200" s="655" t="s">
        <v>276</v>
      </c>
      <c r="AU1200" s="655" t="s">
        <v>276</v>
      </c>
      <c r="AV1200" s="655" t="s">
        <v>269</v>
      </c>
      <c r="AW1200" s="655" t="s">
        <v>276</v>
      </c>
      <c r="AX1200" s="660">
        <f t="shared" si="365"/>
        <v>0.83961346340418519</v>
      </c>
      <c r="AY1200" s="655" t="s">
        <v>276</v>
      </c>
      <c r="AZ1200" s="655" t="s">
        <v>276</v>
      </c>
      <c r="BA1200" s="655" t="s">
        <v>276</v>
      </c>
      <c r="BB1200" s="655" t="s">
        <v>282</v>
      </c>
      <c r="BC1200" s="655" t="s">
        <v>276</v>
      </c>
      <c r="BD1200" s="655" t="s">
        <v>276</v>
      </c>
      <c r="BE1200" s="655" t="s">
        <v>276</v>
      </c>
      <c r="BF1200" s="656" t="s">
        <v>1029</v>
      </c>
      <c r="BG1200" s="656"/>
      <c r="BH1200" s="9" t="s">
        <v>100</v>
      </c>
      <c r="BI1200" s="9" t="s">
        <v>100</v>
      </c>
      <c r="BJ1200" s="661"/>
      <c r="BN1200" s="661"/>
      <c r="BO1200" s="661"/>
    </row>
    <row r="1201" spans="1:67" s="670" customFormat="1" ht="90.65" hidden="1" customHeight="1" x14ac:dyDescent="0.35">
      <c r="A1201" s="663">
        <v>226</v>
      </c>
      <c r="B1201" s="663" t="s">
        <v>6651</v>
      </c>
      <c r="C1201" s="663" t="s">
        <v>46</v>
      </c>
      <c r="D1201" s="664" t="s">
        <v>6806</v>
      </c>
      <c r="E1201" s="663" t="s">
        <v>36</v>
      </c>
      <c r="F1201" s="663" t="s">
        <v>123</v>
      </c>
      <c r="G1201" s="663" t="s">
        <v>225</v>
      </c>
      <c r="H1201" s="663" t="s">
        <v>125</v>
      </c>
      <c r="I1201" s="663" t="s">
        <v>114</v>
      </c>
      <c r="J1201" s="664" t="s">
        <v>28</v>
      </c>
      <c r="K1201" s="664" t="s">
        <v>6804</v>
      </c>
      <c r="L1201" s="780" t="s">
        <v>6787</v>
      </c>
      <c r="M1201" s="781" t="s">
        <v>276</v>
      </c>
      <c r="N1201" s="664" t="s">
        <v>6788</v>
      </c>
      <c r="O1201" s="664" t="s">
        <v>6789</v>
      </c>
      <c r="P1201" s="664" t="s">
        <v>235</v>
      </c>
      <c r="Q1201" s="665">
        <v>34912</v>
      </c>
      <c r="R1201" s="664" t="s">
        <v>1702</v>
      </c>
      <c r="S1201" s="664" t="s">
        <v>6655</v>
      </c>
      <c r="T1201" s="664" t="s">
        <v>6656</v>
      </c>
      <c r="U1201" s="664">
        <v>5</v>
      </c>
      <c r="V1201" s="663" t="s">
        <v>14</v>
      </c>
      <c r="W1201" s="663" t="s">
        <v>98</v>
      </c>
      <c r="X1201" s="664" t="s">
        <v>207</v>
      </c>
      <c r="Y1201" s="666" t="s">
        <v>98</v>
      </c>
      <c r="Z1201" s="667" t="s">
        <v>98</v>
      </c>
      <c r="AA1201" s="664" t="s">
        <v>276</v>
      </c>
      <c r="AB1201" s="664" t="s">
        <v>276</v>
      </c>
      <c r="AC1201" s="663">
        <v>24</v>
      </c>
      <c r="AD1201" s="663" t="s">
        <v>6790</v>
      </c>
      <c r="AE1201" s="663">
        <v>27</v>
      </c>
      <c r="AF1201" s="663" t="s">
        <v>6790</v>
      </c>
      <c r="AG1201" s="664" t="s">
        <v>6805</v>
      </c>
      <c r="AH1201" s="664" t="s">
        <v>6807</v>
      </c>
      <c r="AI1201" s="667">
        <f>98+90+24</f>
        <v>212</v>
      </c>
      <c r="AJ1201" s="667">
        <f>114+111+27</f>
        <v>252</v>
      </c>
      <c r="AK1201" s="666">
        <v>481</v>
      </c>
      <c r="AL1201" s="666">
        <v>483</v>
      </c>
      <c r="AM1201" s="667" t="s">
        <v>292</v>
      </c>
      <c r="AN1201" s="663" t="s">
        <v>276</v>
      </c>
      <c r="AO1201" s="668">
        <f>AI1201*100/AK1201</f>
        <v>44.074844074844073</v>
      </c>
      <c r="AP1201" s="663" t="s">
        <v>276</v>
      </c>
      <c r="AQ1201" s="663" t="s">
        <v>276</v>
      </c>
      <c r="AR1201" s="663" t="s">
        <v>276</v>
      </c>
      <c r="AS1201" s="668">
        <f>AJ1201*100/AL1201</f>
        <v>52.173913043478258</v>
      </c>
      <c r="AT1201" s="663" t="s">
        <v>276</v>
      </c>
      <c r="AU1201" s="663" t="s">
        <v>276</v>
      </c>
      <c r="AV1201" s="663" t="s">
        <v>268</v>
      </c>
      <c r="AW1201" s="663" t="s">
        <v>276</v>
      </c>
      <c r="AX1201" s="668">
        <f t="shared" si="365"/>
        <v>0.84476784476784472</v>
      </c>
      <c r="AY1201" s="663" t="s">
        <v>276</v>
      </c>
      <c r="AZ1201" s="663" t="s">
        <v>276</v>
      </c>
      <c r="BA1201" s="663" t="s">
        <v>844</v>
      </c>
      <c r="BB1201" s="663" t="s">
        <v>282</v>
      </c>
      <c r="BC1201" s="663" t="s">
        <v>276</v>
      </c>
      <c r="BD1201" s="663" t="s">
        <v>276</v>
      </c>
      <c r="BE1201" s="663" t="s">
        <v>276</v>
      </c>
      <c r="BF1201" s="664" t="s">
        <v>6808</v>
      </c>
      <c r="BG1201" s="664"/>
      <c r="BH1201" s="9" t="s">
        <v>100</v>
      </c>
      <c r="BI1201" s="9" t="s">
        <v>100</v>
      </c>
      <c r="BJ1201" s="669"/>
      <c r="BN1201" s="669"/>
      <c r="BO1201" s="669"/>
    </row>
    <row r="1202" spans="1:67" s="673" customFormat="1" ht="68.150000000000006" hidden="1" customHeight="1" x14ac:dyDescent="0.35">
      <c r="A1202" s="589">
        <v>224</v>
      </c>
      <c r="B1202" s="589" t="s">
        <v>6689</v>
      </c>
      <c r="C1202" s="589" t="s">
        <v>46</v>
      </c>
      <c r="D1202" s="590" t="s">
        <v>6809</v>
      </c>
      <c r="E1202" s="589" t="s">
        <v>36</v>
      </c>
      <c r="F1202" s="589" t="s">
        <v>123</v>
      </c>
      <c r="G1202" s="589" t="s">
        <v>225</v>
      </c>
      <c r="H1202" s="589" t="s">
        <v>225</v>
      </c>
      <c r="I1202" s="589" t="s">
        <v>98</v>
      </c>
      <c r="J1202" s="590" t="s">
        <v>98</v>
      </c>
      <c r="K1202" s="589" t="s">
        <v>98</v>
      </c>
      <c r="L1202" s="589" t="s">
        <v>98</v>
      </c>
      <c r="M1202" s="589" t="s">
        <v>98</v>
      </c>
      <c r="N1202" s="590" t="s">
        <v>6810</v>
      </c>
      <c r="O1202" s="590" t="s">
        <v>276</v>
      </c>
      <c r="P1202" s="590" t="s">
        <v>238</v>
      </c>
      <c r="Q1202" s="671">
        <v>37469</v>
      </c>
      <c r="R1202" s="590" t="s">
        <v>5323</v>
      </c>
      <c r="S1202" s="590" t="s">
        <v>6693</v>
      </c>
      <c r="T1202" s="590" t="s">
        <v>98</v>
      </c>
      <c r="U1202" s="590">
        <v>9</v>
      </c>
      <c r="V1202" s="589" t="s">
        <v>14</v>
      </c>
      <c r="W1202" s="589" t="s">
        <v>98</v>
      </c>
      <c r="X1202" s="590" t="s">
        <v>209</v>
      </c>
      <c r="Y1202" s="594">
        <v>30967</v>
      </c>
      <c r="Z1202" s="590" t="s">
        <v>98</v>
      </c>
      <c r="AA1202" s="590" t="s">
        <v>276</v>
      </c>
      <c r="AB1202" s="590" t="s">
        <v>98</v>
      </c>
      <c r="AC1202" s="589">
        <v>0</v>
      </c>
      <c r="AD1202" s="589" t="s">
        <v>6723</v>
      </c>
      <c r="AE1202" s="589" t="s">
        <v>98</v>
      </c>
      <c r="AF1202" s="589" t="s">
        <v>98</v>
      </c>
      <c r="AG1202" s="590" t="s">
        <v>6811</v>
      </c>
      <c r="AH1202" s="590" t="s">
        <v>6725</v>
      </c>
      <c r="AI1202" s="595">
        <v>197</v>
      </c>
      <c r="AJ1202" s="595" t="s">
        <v>98</v>
      </c>
      <c r="AK1202" s="594">
        <v>30967</v>
      </c>
      <c r="AL1202" s="595" t="s">
        <v>98</v>
      </c>
      <c r="AM1202" s="595" t="s">
        <v>2047</v>
      </c>
      <c r="AN1202" s="589" t="s">
        <v>276</v>
      </c>
      <c r="AO1202" s="598">
        <f t="shared" ref="AO1202:AO1203" si="369">AI1202*1000/AK1202</f>
        <v>6.3616107469241454</v>
      </c>
      <c r="AP1202" s="589" t="s">
        <v>276</v>
      </c>
      <c r="AQ1202" s="589" t="s">
        <v>276</v>
      </c>
      <c r="AR1202" s="589" t="s">
        <v>98</v>
      </c>
      <c r="AS1202" s="589" t="s">
        <v>98</v>
      </c>
      <c r="AT1202" s="589" t="s">
        <v>98</v>
      </c>
      <c r="AU1202" s="589" t="s">
        <v>98</v>
      </c>
      <c r="AV1202" s="589" t="s">
        <v>98</v>
      </c>
      <c r="AW1202" s="589" t="s">
        <v>98</v>
      </c>
      <c r="AX1202" s="589" t="s">
        <v>98</v>
      </c>
      <c r="AY1202" s="589" t="s">
        <v>98</v>
      </c>
      <c r="AZ1202" s="589" t="s">
        <v>98</v>
      </c>
      <c r="BA1202" s="589" t="s">
        <v>98</v>
      </c>
      <c r="BB1202" s="589" t="s">
        <v>98</v>
      </c>
      <c r="BC1202" s="589" t="s">
        <v>98</v>
      </c>
      <c r="BD1202" s="589" t="s">
        <v>98</v>
      </c>
      <c r="BE1202" s="589" t="s">
        <v>98</v>
      </c>
      <c r="BF1202" s="590" t="s">
        <v>4579</v>
      </c>
      <c r="BG1202" s="590"/>
      <c r="BH1202" s="9" t="s">
        <v>100</v>
      </c>
      <c r="BI1202" s="9" t="s">
        <v>100</v>
      </c>
      <c r="BJ1202" s="672"/>
      <c r="BN1202" s="672"/>
      <c r="BO1202" s="672"/>
    </row>
    <row r="1203" spans="1:67" s="673" customFormat="1" ht="67.5" hidden="1" customHeight="1" x14ac:dyDescent="0.35">
      <c r="A1203" s="589">
        <v>224</v>
      </c>
      <c r="B1203" s="589" t="s">
        <v>6689</v>
      </c>
      <c r="C1203" s="589" t="s">
        <v>46</v>
      </c>
      <c r="D1203" s="590" t="s">
        <v>11332</v>
      </c>
      <c r="E1203" s="589" t="s">
        <v>36</v>
      </c>
      <c r="F1203" s="589" t="s">
        <v>123</v>
      </c>
      <c r="G1203" s="589" t="s">
        <v>225</v>
      </c>
      <c r="H1203" s="589" t="s">
        <v>225</v>
      </c>
      <c r="I1203" s="589" t="s">
        <v>98</v>
      </c>
      <c r="J1203" s="590" t="s">
        <v>98</v>
      </c>
      <c r="K1203" s="589" t="s">
        <v>98</v>
      </c>
      <c r="L1203" s="589" t="s">
        <v>98</v>
      </c>
      <c r="M1203" s="589" t="s">
        <v>98</v>
      </c>
      <c r="N1203" s="590" t="s">
        <v>6810</v>
      </c>
      <c r="O1203" s="590" t="s">
        <v>276</v>
      </c>
      <c r="P1203" s="590" t="s">
        <v>238</v>
      </c>
      <c r="Q1203" s="671">
        <v>37469</v>
      </c>
      <c r="R1203" s="590" t="s">
        <v>5323</v>
      </c>
      <c r="S1203" s="590" t="s">
        <v>6693</v>
      </c>
      <c r="T1203" s="590" t="s">
        <v>98</v>
      </c>
      <c r="U1203" s="590">
        <v>9</v>
      </c>
      <c r="V1203" s="589" t="s">
        <v>14</v>
      </c>
      <c r="W1203" s="589" t="s">
        <v>98</v>
      </c>
      <c r="X1203" s="590" t="s">
        <v>209</v>
      </c>
      <c r="Y1203" s="594">
        <v>30967</v>
      </c>
      <c r="Z1203" s="590" t="s">
        <v>98</v>
      </c>
      <c r="AA1203" s="590" t="s">
        <v>276</v>
      </c>
      <c r="AB1203" s="590" t="s">
        <v>98</v>
      </c>
      <c r="AC1203" s="589">
        <v>0</v>
      </c>
      <c r="AD1203" s="589" t="s">
        <v>6723</v>
      </c>
      <c r="AE1203" s="589" t="s">
        <v>98</v>
      </c>
      <c r="AF1203" s="589" t="s">
        <v>98</v>
      </c>
      <c r="AG1203" s="590" t="s">
        <v>11333</v>
      </c>
      <c r="AH1203" s="590" t="s">
        <v>6725</v>
      </c>
      <c r="AI1203" s="595">
        <v>419</v>
      </c>
      <c r="AJ1203" s="595" t="s">
        <v>98</v>
      </c>
      <c r="AK1203" s="594">
        <v>30967</v>
      </c>
      <c r="AL1203" s="595" t="s">
        <v>98</v>
      </c>
      <c r="AM1203" s="595" t="s">
        <v>2047</v>
      </c>
      <c r="AN1203" s="589" t="s">
        <v>276</v>
      </c>
      <c r="AO1203" s="598">
        <f t="shared" si="369"/>
        <v>13.530532502341202</v>
      </c>
      <c r="AP1203" s="589" t="s">
        <v>276</v>
      </c>
      <c r="AQ1203" s="589" t="s">
        <v>276</v>
      </c>
      <c r="AR1203" s="589" t="s">
        <v>98</v>
      </c>
      <c r="AS1203" s="589" t="s">
        <v>98</v>
      </c>
      <c r="AT1203" s="589" t="s">
        <v>98</v>
      </c>
      <c r="AU1203" s="589" t="s">
        <v>98</v>
      </c>
      <c r="AV1203" s="589" t="s">
        <v>98</v>
      </c>
      <c r="AW1203" s="589" t="s">
        <v>98</v>
      </c>
      <c r="AX1203" s="589" t="s">
        <v>98</v>
      </c>
      <c r="AY1203" s="589" t="s">
        <v>98</v>
      </c>
      <c r="AZ1203" s="589" t="s">
        <v>98</v>
      </c>
      <c r="BA1203" s="589" t="s">
        <v>98</v>
      </c>
      <c r="BB1203" s="589" t="s">
        <v>98</v>
      </c>
      <c r="BC1203" s="589" t="s">
        <v>98</v>
      </c>
      <c r="BD1203" s="589" t="s">
        <v>98</v>
      </c>
      <c r="BE1203" s="589" t="s">
        <v>98</v>
      </c>
      <c r="BF1203" s="590" t="s">
        <v>4579</v>
      </c>
      <c r="BG1203" s="590"/>
      <c r="BH1203" s="9" t="s">
        <v>100</v>
      </c>
      <c r="BI1203" s="9" t="s">
        <v>100</v>
      </c>
      <c r="BJ1203" s="672"/>
      <c r="BN1203" s="672"/>
      <c r="BO1203" s="672"/>
    </row>
    <row r="1204" spans="1:67" s="673" customFormat="1" ht="68.150000000000006" hidden="1" customHeight="1" x14ac:dyDescent="0.35">
      <c r="A1204" s="589">
        <v>224</v>
      </c>
      <c r="B1204" s="589" t="s">
        <v>6689</v>
      </c>
      <c r="C1204" s="589" t="s">
        <v>46</v>
      </c>
      <c r="D1204" s="590" t="s">
        <v>6812</v>
      </c>
      <c r="E1204" s="589" t="s">
        <v>36</v>
      </c>
      <c r="F1204" s="589" t="s">
        <v>123</v>
      </c>
      <c r="G1204" s="589" t="s">
        <v>225</v>
      </c>
      <c r="H1204" s="589" t="s">
        <v>225</v>
      </c>
      <c r="I1204" s="589" t="s">
        <v>98</v>
      </c>
      <c r="J1204" s="590" t="s">
        <v>98</v>
      </c>
      <c r="K1204" s="589" t="s">
        <v>98</v>
      </c>
      <c r="L1204" s="589" t="s">
        <v>98</v>
      </c>
      <c r="M1204" s="589" t="s">
        <v>98</v>
      </c>
      <c r="N1204" s="590" t="s">
        <v>6810</v>
      </c>
      <c r="O1204" s="590" t="s">
        <v>276</v>
      </c>
      <c r="P1204" s="590" t="s">
        <v>236</v>
      </c>
      <c r="Q1204" s="671">
        <v>37469</v>
      </c>
      <c r="R1204" s="590" t="s">
        <v>5323</v>
      </c>
      <c r="S1204" s="590" t="s">
        <v>6693</v>
      </c>
      <c r="T1204" s="590" t="s">
        <v>98</v>
      </c>
      <c r="U1204" s="590">
        <v>9</v>
      </c>
      <c r="V1204" s="589" t="s">
        <v>14</v>
      </c>
      <c r="W1204" s="589" t="s">
        <v>98</v>
      </c>
      <c r="X1204" s="590" t="s">
        <v>209</v>
      </c>
      <c r="Y1204" s="594" t="s">
        <v>98</v>
      </c>
      <c r="Z1204" s="590" t="s">
        <v>98</v>
      </c>
      <c r="AA1204" s="590" t="s">
        <v>276</v>
      </c>
      <c r="AB1204" s="590" t="s">
        <v>98</v>
      </c>
      <c r="AC1204" s="589">
        <v>0</v>
      </c>
      <c r="AD1204" s="589" t="s">
        <v>6723</v>
      </c>
      <c r="AE1204" s="589" t="s">
        <v>98</v>
      </c>
      <c r="AF1204" s="589" t="s">
        <v>98</v>
      </c>
      <c r="AG1204" s="590" t="s">
        <v>6811</v>
      </c>
      <c r="AH1204" s="590" t="s">
        <v>6813</v>
      </c>
      <c r="AI1204" s="595">
        <v>197</v>
      </c>
      <c r="AJ1204" s="595" t="s">
        <v>98</v>
      </c>
      <c r="AK1204" s="594">
        <v>889</v>
      </c>
      <c r="AL1204" s="595" t="s">
        <v>98</v>
      </c>
      <c r="AM1204" s="595" t="s">
        <v>292</v>
      </c>
      <c r="AN1204" s="589" t="s">
        <v>276</v>
      </c>
      <c r="AO1204" s="598">
        <f>AI1204*100/AK1204</f>
        <v>22.159730033745781</v>
      </c>
      <c r="AP1204" s="589" t="s">
        <v>276</v>
      </c>
      <c r="AQ1204" s="589" t="s">
        <v>276</v>
      </c>
      <c r="AR1204" s="589" t="s">
        <v>98</v>
      </c>
      <c r="AS1204" s="589" t="s">
        <v>98</v>
      </c>
      <c r="AT1204" s="589" t="s">
        <v>98</v>
      </c>
      <c r="AU1204" s="589" t="s">
        <v>98</v>
      </c>
      <c r="AV1204" s="589" t="s">
        <v>98</v>
      </c>
      <c r="AW1204" s="589" t="s">
        <v>98</v>
      </c>
      <c r="AX1204" s="589" t="s">
        <v>98</v>
      </c>
      <c r="AY1204" s="589" t="s">
        <v>98</v>
      </c>
      <c r="AZ1204" s="589" t="s">
        <v>98</v>
      </c>
      <c r="BA1204" s="589" t="s">
        <v>98</v>
      </c>
      <c r="BB1204" s="589" t="s">
        <v>98</v>
      </c>
      <c r="BC1204" s="589" t="s">
        <v>98</v>
      </c>
      <c r="BD1204" s="589" t="s">
        <v>98</v>
      </c>
      <c r="BE1204" s="589" t="s">
        <v>98</v>
      </c>
      <c r="BF1204" s="590" t="s">
        <v>6814</v>
      </c>
      <c r="BG1204" s="590"/>
      <c r="BH1204" s="9" t="s">
        <v>100</v>
      </c>
      <c r="BI1204" s="9" t="s">
        <v>100</v>
      </c>
      <c r="BJ1204" s="672"/>
      <c r="BN1204" s="672"/>
      <c r="BO1204" s="672"/>
    </row>
    <row r="1205" spans="1:67" s="676" customFormat="1" ht="90.65" hidden="1" customHeight="1" x14ac:dyDescent="0.35">
      <c r="A1205" s="601">
        <v>224</v>
      </c>
      <c r="B1205" s="601" t="s">
        <v>6689</v>
      </c>
      <c r="C1205" s="601" t="s">
        <v>46</v>
      </c>
      <c r="D1205" s="602" t="s">
        <v>6815</v>
      </c>
      <c r="E1205" s="601" t="s">
        <v>36</v>
      </c>
      <c r="F1205" s="601" t="s">
        <v>123</v>
      </c>
      <c r="G1205" s="601" t="s">
        <v>225</v>
      </c>
      <c r="H1205" s="601" t="s">
        <v>125</v>
      </c>
      <c r="I1205" s="601" t="s">
        <v>114</v>
      </c>
      <c r="J1205" s="602" t="s">
        <v>28</v>
      </c>
      <c r="K1205" s="601" t="s">
        <v>6737</v>
      </c>
      <c r="L1205" s="676" t="s">
        <v>276</v>
      </c>
      <c r="M1205" s="601" t="s">
        <v>6816</v>
      </c>
      <c r="N1205" s="602" t="s">
        <v>6810</v>
      </c>
      <c r="O1205" s="602" t="s">
        <v>6789</v>
      </c>
      <c r="P1205" s="602" t="s">
        <v>239</v>
      </c>
      <c r="Q1205" s="674">
        <v>37469</v>
      </c>
      <c r="R1205" s="602" t="s">
        <v>5323</v>
      </c>
      <c r="S1205" s="602" t="s">
        <v>6693</v>
      </c>
      <c r="T1205" s="602" t="s">
        <v>6694</v>
      </c>
      <c r="U1205" s="602">
        <v>9</v>
      </c>
      <c r="V1205" s="601" t="s">
        <v>14</v>
      </c>
      <c r="W1205" s="601" t="s">
        <v>98</v>
      </c>
      <c r="X1205" s="602" t="s">
        <v>207</v>
      </c>
      <c r="Y1205" s="606">
        <v>30967</v>
      </c>
      <c r="Z1205" s="607">
        <v>30966</v>
      </c>
      <c r="AA1205" s="602" t="s">
        <v>276</v>
      </c>
      <c r="AB1205" s="602" t="s">
        <v>276</v>
      </c>
      <c r="AC1205" s="601" t="s">
        <v>276</v>
      </c>
      <c r="AD1205" s="601" t="s">
        <v>6790</v>
      </c>
      <c r="AE1205" s="601" t="s">
        <v>276</v>
      </c>
      <c r="AF1205" s="601" t="s">
        <v>6790</v>
      </c>
      <c r="AG1205" s="602" t="s">
        <v>6817</v>
      </c>
      <c r="AH1205" s="602" t="s">
        <v>6696</v>
      </c>
      <c r="AI1205" s="607">
        <v>162</v>
      </c>
      <c r="AJ1205" s="607">
        <v>99</v>
      </c>
      <c r="AK1205" s="606">
        <v>431190</v>
      </c>
      <c r="AL1205" s="606">
        <v>430755</v>
      </c>
      <c r="AM1205" s="607" t="s">
        <v>425</v>
      </c>
      <c r="AN1205" s="601" t="s">
        <v>276</v>
      </c>
      <c r="AO1205" s="610">
        <f t="shared" ref="AO1205" si="370">AI1205*1000/AK1205</f>
        <v>0.37570444583594237</v>
      </c>
      <c r="AP1205" s="601" t="s">
        <v>276</v>
      </c>
      <c r="AQ1205" s="601" t="s">
        <v>276</v>
      </c>
      <c r="AR1205" s="601" t="s">
        <v>276</v>
      </c>
      <c r="AS1205" s="610">
        <f>AJ1205*1000/AL1205</f>
        <v>0.22982902113730544</v>
      </c>
      <c r="AT1205" s="601" t="s">
        <v>276</v>
      </c>
      <c r="AU1205" s="601" t="s">
        <v>276</v>
      </c>
      <c r="AV1205" s="601" t="s">
        <v>269</v>
      </c>
      <c r="AW1205" s="601" t="s">
        <v>276</v>
      </c>
      <c r="AX1205" s="610">
        <f>AO1205/AS1205</f>
        <v>1.6347128137985996</v>
      </c>
      <c r="AY1205" s="601" t="s">
        <v>276</v>
      </c>
      <c r="AZ1205" s="601" t="s">
        <v>276</v>
      </c>
      <c r="BA1205" s="601" t="s">
        <v>276</v>
      </c>
      <c r="BB1205" s="601" t="s">
        <v>282</v>
      </c>
      <c r="BC1205" s="601" t="s">
        <v>276</v>
      </c>
      <c r="BD1205" s="601" t="s">
        <v>276</v>
      </c>
      <c r="BE1205" s="601" t="s">
        <v>276</v>
      </c>
      <c r="BF1205" s="602" t="s">
        <v>6818</v>
      </c>
      <c r="BG1205" s="602"/>
      <c r="BH1205" s="9" t="s">
        <v>100</v>
      </c>
      <c r="BI1205" s="9" t="s">
        <v>100</v>
      </c>
      <c r="BJ1205" s="675"/>
      <c r="BN1205" s="675"/>
      <c r="BO1205" s="675"/>
    </row>
    <row r="1206" spans="1:67" s="33" customFormat="1" ht="78" hidden="1" x14ac:dyDescent="0.35">
      <c r="A1206" s="8">
        <v>3898</v>
      </c>
      <c r="B1206" s="8" t="s">
        <v>7513</v>
      </c>
      <c r="C1206" s="8" t="s">
        <v>64</v>
      </c>
      <c r="D1206" s="9" t="s">
        <v>7514</v>
      </c>
      <c r="E1206" s="8" t="s">
        <v>35</v>
      </c>
      <c r="F1206" s="9" t="s">
        <v>131</v>
      </c>
      <c r="G1206" s="8" t="s">
        <v>225</v>
      </c>
      <c r="H1206" s="8" t="s">
        <v>225</v>
      </c>
      <c r="I1206" s="8" t="s">
        <v>98</v>
      </c>
      <c r="J1206" s="9" t="s">
        <v>98</v>
      </c>
      <c r="K1206" s="8" t="s">
        <v>98</v>
      </c>
      <c r="L1206" s="8" t="s">
        <v>98</v>
      </c>
      <c r="M1206" s="8" t="s">
        <v>98</v>
      </c>
      <c r="N1206" s="9" t="s">
        <v>7515</v>
      </c>
      <c r="O1206" s="9" t="s">
        <v>276</v>
      </c>
      <c r="P1206" s="9" t="s">
        <v>238</v>
      </c>
      <c r="Q1206" s="52">
        <v>23893</v>
      </c>
      <c r="R1206" s="9" t="s">
        <v>98</v>
      </c>
      <c r="S1206" s="9" t="s">
        <v>276</v>
      </c>
      <c r="T1206" s="9" t="s">
        <v>98</v>
      </c>
      <c r="U1206" s="9">
        <v>1</v>
      </c>
      <c r="V1206" s="8" t="s">
        <v>14</v>
      </c>
      <c r="W1206" s="9" t="s">
        <v>7516</v>
      </c>
      <c r="X1206" s="9" t="s">
        <v>209</v>
      </c>
      <c r="Y1206" s="13">
        <v>15542</v>
      </c>
      <c r="Z1206" s="9" t="s">
        <v>98</v>
      </c>
      <c r="AA1206" s="9" t="s">
        <v>276</v>
      </c>
      <c r="AB1206" s="9" t="s">
        <v>98</v>
      </c>
      <c r="AC1206" s="8">
        <v>0</v>
      </c>
      <c r="AD1206" s="8" t="s">
        <v>5574</v>
      </c>
      <c r="AE1206" s="8" t="s">
        <v>98</v>
      </c>
      <c r="AF1206" s="8" t="s">
        <v>98</v>
      </c>
      <c r="AG1206" s="9" t="s">
        <v>7517</v>
      </c>
      <c r="AH1206" s="9" t="s">
        <v>7518</v>
      </c>
      <c r="AI1206" s="38">
        <v>23</v>
      </c>
      <c r="AJ1206" s="38" t="s">
        <v>98</v>
      </c>
      <c r="AK1206" s="38">
        <v>15542</v>
      </c>
      <c r="AL1206" s="38" t="s">
        <v>98</v>
      </c>
      <c r="AM1206" s="38" t="s">
        <v>281</v>
      </c>
      <c r="AN1206" s="8" t="s">
        <v>276</v>
      </c>
      <c r="AO1206" s="14">
        <f>AI1206*1000/AK1206</f>
        <v>1.4798610217475228</v>
      </c>
      <c r="AP1206" s="8" t="s">
        <v>276</v>
      </c>
      <c r="AQ1206" s="8" t="s">
        <v>276</v>
      </c>
      <c r="AR1206" s="8" t="s">
        <v>98</v>
      </c>
      <c r="AS1206" s="8" t="s">
        <v>98</v>
      </c>
      <c r="AT1206" s="8" t="s">
        <v>98</v>
      </c>
      <c r="AU1206" s="8" t="s">
        <v>98</v>
      </c>
      <c r="AV1206" s="8" t="s">
        <v>98</v>
      </c>
      <c r="AW1206" s="8" t="s">
        <v>98</v>
      </c>
      <c r="AX1206" s="8" t="s">
        <v>98</v>
      </c>
      <c r="AY1206" s="8" t="s">
        <v>98</v>
      </c>
      <c r="AZ1206" s="8" t="s">
        <v>98</v>
      </c>
      <c r="BA1206" s="8" t="s">
        <v>98</v>
      </c>
      <c r="BB1206" s="8" t="s">
        <v>98</v>
      </c>
      <c r="BC1206" s="8" t="s">
        <v>98</v>
      </c>
      <c r="BD1206" s="8" t="s">
        <v>98</v>
      </c>
      <c r="BE1206" s="8" t="s">
        <v>98</v>
      </c>
      <c r="BF1206" s="9" t="s">
        <v>7519</v>
      </c>
      <c r="BG1206" s="9"/>
      <c r="BH1206" s="9" t="s">
        <v>100</v>
      </c>
      <c r="BI1206" s="9" t="s">
        <v>100</v>
      </c>
      <c r="BJ1206" s="32"/>
      <c r="BN1206" s="32"/>
      <c r="BO1206" s="32"/>
    </row>
    <row r="1207" spans="1:67" s="33" customFormat="1" ht="78" hidden="1" x14ac:dyDescent="0.35">
      <c r="A1207" s="8">
        <v>3898</v>
      </c>
      <c r="B1207" s="8" t="s">
        <v>7513</v>
      </c>
      <c r="C1207" s="8" t="s">
        <v>64</v>
      </c>
      <c r="D1207" s="9" t="s">
        <v>7520</v>
      </c>
      <c r="E1207" s="8" t="s">
        <v>35</v>
      </c>
      <c r="F1207" s="9" t="s">
        <v>131</v>
      </c>
      <c r="G1207" s="8" t="s">
        <v>225</v>
      </c>
      <c r="H1207" s="8" t="s">
        <v>225</v>
      </c>
      <c r="I1207" s="8" t="s">
        <v>98</v>
      </c>
      <c r="J1207" s="9" t="s">
        <v>98</v>
      </c>
      <c r="K1207" s="8" t="s">
        <v>98</v>
      </c>
      <c r="L1207" s="8" t="s">
        <v>98</v>
      </c>
      <c r="M1207" s="8" t="s">
        <v>98</v>
      </c>
      <c r="N1207" s="9" t="s">
        <v>7515</v>
      </c>
      <c r="O1207" s="9" t="s">
        <v>276</v>
      </c>
      <c r="P1207" s="9" t="s">
        <v>236</v>
      </c>
      <c r="Q1207" s="52">
        <v>23893</v>
      </c>
      <c r="R1207" s="9" t="s">
        <v>98</v>
      </c>
      <c r="S1207" s="9" t="s">
        <v>276</v>
      </c>
      <c r="T1207" s="9" t="s">
        <v>98</v>
      </c>
      <c r="U1207" s="9">
        <v>1</v>
      </c>
      <c r="V1207" s="8" t="s">
        <v>14</v>
      </c>
      <c r="W1207" s="9" t="s">
        <v>7516</v>
      </c>
      <c r="X1207" s="9" t="s">
        <v>209</v>
      </c>
      <c r="Y1207" s="13" t="s">
        <v>98</v>
      </c>
      <c r="Z1207" s="9" t="s">
        <v>98</v>
      </c>
      <c r="AA1207" s="9" t="s">
        <v>276</v>
      </c>
      <c r="AB1207" s="9" t="s">
        <v>98</v>
      </c>
      <c r="AC1207" s="8">
        <v>0</v>
      </c>
      <c r="AD1207" s="8" t="s">
        <v>5574</v>
      </c>
      <c r="AE1207" s="8" t="s">
        <v>98</v>
      </c>
      <c r="AF1207" s="8" t="s">
        <v>98</v>
      </c>
      <c r="AG1207" s="9" t="s">
        <v>7517</v>
      </c>
      <c r="AH1207" s="9" t="s">
        <v>7521</v>
      </c>
      <c r="AI1207" s="38">
        <v>23</v>
      </c>
      <c r="AJ1207" s="38" t="s">
        <v>98</v>
      </c>
      <c r="AK1207" s="38">
        <f>23+4+4</f>
        <v>31</v>
      </c>
      <c r="AL1207" s="38" t="s">
        <v>98</v>
      </c>
      <c r="AM1207" s="38" t="s">
        <v>292</v>
      </c>
      <c r="AN1207" s="8" t="s">
        <v>276</v>
      </c>
      <c r="AO1207" s="14">
        <f t="shared" ref="AO1207:AO1212" si="371">AI1207*100/AK1207</f>
        <v>74.193548387096769</v>
      </c>
      <c r="AP1207" s="8" t="s">
        <v>276</v>
      </c>
      <c r="AQ1207" s="8" t="s">
        <v>276</v>
      </c>
      <c r="AR1207" s="8" t="s">
        <v>98</v>
      </c>
      <c r="AS1207" s="8" t="s">
        <v>98</v>
      </c>
      <c r="AT1207" s="8" t="s">
        <v>98</v>
      </c>
      <c r="AU1207" s="8" t="s">
        <v>98</v>
      </c>
      <c r="AV1207" s="8" t="s">
        <v>98</v>
      </c>
      <c r="AW1207" s="8" t="s">
        <v>98</v>
      </c>
      <c r="AX1207" s="8" t="s">
        <v>98</v>
      </c>
      <c r="AY1207" s="8" t="s">
        <v>98</v>
      </c>
      <c r="AZ1207" s="8" t="s">
        <v>98</v>
      </c>
      <c r="BA1207" s="8" t="s">
        <v>98</v>
      </c>
      <c r="BB1207" s="8" t="s">
        <v>98</v>
      </c>
      <c r="BC1207" s="8" t="s">
        <v>98</v>
      </c>
      <c r="BD1207" s="8" t="s">
        <v>98</v>
      </c>
      <c r="BE1207" s="8" t="s">
        <v>98</v>
      </c>
      <c r="BF1207" s="9" t="s">
        <v>426</v>
      </c>
      <c r="BG1207" s="9"/>
      <c r="BH1207" s="9" t="s">
        <v>100</v>
      </c>
      <c r="BI1207" s="9" t="s">
        <v>100</v>
      </c>
      <c r="BJ1207" s="32"/>
      <c r="BN1207" s="32"/>
      <c r="BO1207" s="32"/>
    </row>
    <row r="1208" spans="1:67" s="79" customFormat="1" ht="78" hidden="1" x14ac:dyDescent="0.35">
      <c r="A1208" s="72">
        <v>3898</v>
      </c>
      <c r="B1208" s="72" t="s">
        <v>7513</v>
      </c>
      <c r="C1208" s="72" t="s">
        <v>64</v>
      </c>
      <c r="D1208" s="73" t="s">
        <v>7522</v>
      </c>
      <c r="E1208" s="72" t="s">
        <v>35</v>
      </c>
      <c r="F1208" s="73" t="s">
        <v>131</v>
      </c>
      <c r="G1208" s="72" t="s">
        <v>225</v>
      </c>
      <c r="H1208" s="72" t="s">
        <v>225</v>
      </c>
      <c r="I1208" s="72" t="s">
        <v>98</v>
      </c>
      <c r="J1208" s="73" t="s">
        <v>98</v>
      </c>
      <c r="K1208" s="72" t="s">
        <v>98</v>
      </c>
      <c r="L1208" s="72" t="s">
        <v>98</v>
      </c>
      <c r="M1208" s="72" t="s">
        <v>98</v>
      </c>
      <c r="N1208" s="73" t="s">
        <v>7515</v>
      </c>
      <c r="O1208" s="73" t="s">
        <v>276</v>
      </c>
      <c r="P1208" s="73" t="s">
        <v>236</v>
      </c>
      <c r="Q1208" s="77">
        <v>23893</v>
      </c>
      <c r="R1208" s="73" t="s">
        <v>98</v>
      </c>
      <c r="S1208" s="73" t="s">
        <v>276</v>
      </c>
      <c r="T1208" s="73" t="s">
        <v>98</v>
      </c>
      <c r="U1208" s="73">
        <v>1</v>
      </c>
      <c r="V1208" s="72" t="s">
        <v>15</v>
      </c>
      <c r="W1208" s="73" t="s">
        <v>7523</v>
      </c>
      <c r="X1208" s="73" t="s">
        <v>209</v>
      </c>
      <c r="Y1208" s="74" t="s">
        <v>98</v>
      </c>
      <c r="Z1208" s="73" t="s">
        <v>98</v>
      </c>
      <c r="AA1208" s="73" t="s">
        <v>276</v>
      </c>
      <c r="AB1208" s="73" t="s">
        <v>98</v>
      </c>
      <c r="AC1208" s="72">
        <v>0</v>
      </c>
      <c r="AD1208" s="72" t="s">
        <v>5574</v>
      </c>
      <c r="AE1208" s="72" t="s">
        <v>98</v>
      </c>
      <c r="AF1208" s="72" t="s">
        <v>98</v>
      </c>
      <c r="AG1208" s="73" t="s">
        <v>7524</v>
      </c>
      <c r="AH1208" s="73" t="s">
        <v>7525</v>
      </c>
      <c r="AI1208" s="75">
        <v>8</v>
      </c>
      <c r="AJ1208" s="75" t="s">
        <v>98</v>
      </c>
      <c r="AK1208" s="75">
        <f>8+2</f>
        <v>10</v>
      </c>
      <c r="AL1208" s="75" t="s">
        <v>98</v>
      </c>
      <c r="AM1208" s="75" t="s">
        <v>292</v>
      </c>
      <c r="AN1208" s="72" t="s">
        <v>276</v>
      </c>
      <c r="AO1208" s="76">
        <f t="shared" si="371"/>
        <v>80</v>
      </c>
      <c r="AP1208" s="72" t="s">
        <v>276</v>
      </c>
      <c r="AQ1208" s="72" t="s">
        <v>276</v>
      </c>
      <c r="AR1208" s="72" t="s">
        <v>98</v>
      </c>
      <c r="AS1208" s="72" t="s">
        <v>98</v>
      </c>
      <c r="AT1208" s="72" t="s">
        <v>98</v>
      </c>
      <c r="AU1208" s="72" t="s">
        <v>98</v>
      </c>
      <c r="AV1208" s="72" t="s">
        <v>98</v>
      </c>
      <c r="AW1208" s="72" t="s">
        <v>98</v>
      </c>
      <c r="AX1208" s="72" t="s">
        <v>98</v>
      </c>
      <c r="AY1208" s="72" t="s">
        <v>98</v>
      </c>
      <c r="AZ1208" s="72" t="s">
        <v>98</v>
      </c>
      <c r="BA1208" s="72" t="s">
        <v>98</v>
      </c>
      <c r="BB1208" s="72" t="s">
        <v>98</v>
      </c>
      <c r="BC1208" s="72" t="s">
        <v>98</v>
      </c>
      <c r="BD1208" s="72" t="s">
        <v>98</v>
      </c>
      <c r="BE1208" s="72" t="s">
        <v>98</v>
      </c>
      <c r="BF1208" s="73" t="s">
        <v>426</v>
      </c>
      <c r="BG1208" s="73"/>
      <c r="BH1208" s="9" t="s">
        <v>100</v>
      </c>
      <c r="BI1208" s="9" t="s">
        <v>100</v>
      </c>
      <c r="BJ1208" s="78"/>
      <c r="BN1208" s="78"/>
      <c r="BO1208" s="78"/>
    </row>
    <row r="1209" spans="1:67" s="79" customFormat="1" ht="78" hidden="1" x14ac:dyDescent="0.35">
      <c r="A1209" s="72">
        <v>3898</v>
      </c>
      <c r="B1209" s="72" t="s">
        <v>7513</v>
      </c>
      <c r="C1209" s="72" t="s">
        <v>64</v>
      </c>
      <c r="D1209" s="73" t="s">
        <v>7526</v>
      </c>
      <c r="E1209" s="72" t="s">
        <v>35</v>
      </c>
      <c r="F1209" s="73" t="s">
        <v>131</v>
      </c>
      <c r="G1209" s="72" t="s">
        <v>225</v>
      </c>
      <c r="H1209" s="72" t="s">
        <v>225</v>
      </c>
      <c r="I1209" s="72" t="s">
        <v>98</v>
      </c>
      <c r="J1209" s="73" t="s">
        <v>98</v>
      </c>
      <c r="K1209" s="72" t="s">
        <v>98</v>
      </c>
      <c r="L1209" s="72" t="s">
        <v>98</v>
      </c>
      <c r="M1209" s="72" t="s">
        <v>98</v>
      </c>
      <c r="N1209" s="73" t="s">
        <v>7515</v>
      </c>
      <c r="O1209" s="73" t="s">
        <v>276</v>
      </c>
      <c r="P1209" s="73" t="s">
        <v>236</v>
      </c>
      <c r="Q1209" s="77">
        <v>23893</v>
      </c>
      <c r="R1209" s="73" t="s">
        <v>98</v>
      </c>
      <c r="S1209" s="73" t="s">
        <v>276</v>
      </c>
      <c r="T1209" s="73" t="s">
        <v>98</v>
      </c>
      <c r="U1209" s="73">
        <v>1</v>
      </c>
      <c r="V1209" s="72" t="s">
        <v>15</v>
      </c>
      <c r="W1209" s="73" t="s">
        <v>7527</v>
      </c>
      <c r="X1209" s="73" t="s">
        <v>209</v>
      </c>
      <c r="Y1209" s="74" t="s">
        <v>98</v>
      </c>
      <c r="Z1209" s="73" t="s">
        <v>98</v>
      </c>
      <c r="AA1209" s="73" t="s">
        <v>276</v>
      </c>
      <c r="AB1209" s="73" t="s">
        <v>98</v>
      </c>
      <c r="AC1209" s="72">
        <v>0</v>
      </c>
      <c r="AD1209" s="72" t="s">
        <v>5574</v>
      </c>
      <c r="AE1209" s="72" t="s">
        <v>98</v>
      </c>
      <c r="AF1209" s="72" t="s">
        <v>98</v>
      </c>
      <c r="AG1209" s="73" t="s">
        <v>7528</v>
      </c>
      <c r="AH1209" s="73" t="s">
        <v>7529</v>
      </c>
      <c r="AI1209" s="75">
        <v>12</v>
      </c>
      <c r="AJ1209" s="75" t="s">
        <v>98</v>
      </c>
      <c r="AK1209" s="75">
        <f>12+2+1</f>
        <v>15</v>
      </c>
      <c r="AL1209" s="75" t="s">
        <v>98</v>
      </c>
      <c r="AM1209" s="75" t="s">
        <v>292</v>
      </c>
      <c r="AN1209" s="72" t="s">
        <v>276</v>
      </c>
      <c r="AO1209" s="76">
        <f t="shared" si="371"/>
        <v>80</v>
      </c>
      <c r="AP1209" s="72" t="s">
        <v>276</v>
      </c>
      <c r="AQ1209" s="72" t="s">
        <v>276</v>
      </c>
      <c r="AR1209" s="72" t="s">
        <v>98</v>
      </c>
      <c r="AS1209" s="72" t="s">
        <v>98</v>
      </c>
      <c r="AT1209" s="72" t="s">
        <v>98</v>
      </c>
      <c r="AU1209" s="72" t="s">
        <v>98</v>
      </c>
      <c r="AV1209" s="72" t="s">
        <v>98</v>
      </c>
      <c r="AW1209" s="72" t="s">
        <v>98</v>
      </c>
      <c r="AX1209" s="72" t="s">
        <v>98</v>
      </c>
      <c r="AY1209" s="72" t="s">
        <v>98</v>
      </c>
      <c r="AZ1209" s="72" t="s">
        <v>98</v>
      </c>
      <c r="BA1209" s="72" t="s">
        <v>98</v>
      </c>
      <c r="BB1209" s="72" t="s">
        <v>98</v>
      </c>
      <c r="BC1209" s="72" t="s">
        <v>98</v>
      </c>
      <c r="BD1209" s="72" t="s">
        <v>98</v>
      </c>
      <c r="BE1209" s="72" t="s">
        <v>98</v>
      </c>
      <c r="BF1209" s="73" t="s">
        <v>426</v>
      </c>
      <c r="BG1209" s="73"/>
      <c r="BH1209" s="9" t="s">
        <v>100</v>
      </c>
      <c r="BI1209" s="9" t="s">
        <v>100</v>
      </c>
      <c r="BJ1209" s="78"/>
      <c r="BN1209" s="78"/>
      <c r="BO1209" s="78"/>
    </row>
    <row r="1210" spans="1:67" s="79" customFormat="1" ht="78" hidden="1" x14ac:dyDescent="0.35">
      <c r="A1210" s="72">
        <v>3898</v>
      </c>
      <c r="B1210" s="72" t="s">
        <v>7513</v>
      </c>
      <c r="C1210" s="72" t="s">
        <v>64</v>
      </c>
      <c r="D1210" s="73" t="s">
        <v>7530</v>
      </c>
      <c r="E1210" s="72" t="s">
        <v>35</v>
      </c>
      <c r="F1210" s="73" t="s">
        <v>131</v>
      </c>
      <c r="G1210" s="72" t="s">
        <v>225</v>
      </c>
      <c r="H1210" s="72" t="s">
        <v>225</v>
      </c>
      <c r="I1210" s="72" t="s">
        <v>98</v>
      </c>
      <c r="J1210" s="73" t="s">
        <v>98</v>
      </c>
      <c r="K1210" s="72" t="s">
        <v>98</v>
      </c>
      <c r="L1210" s="72" t="s">
        <v>98</v>
      </c>
      <c r="M1210" s="72" t="s">
        <v>98</v>
      </c>
      <c r="N1210" s="73" t="s">
        <v>7515</v>
      </c>
      <c r="O1210" s="73" t="s">
        <v>276</v>
      </c>
      <c r="P1210" s="73" t="s">
        <v>236</v>
      </c>
      <c r="Q1210" s="77">
        <v>23893</v>
      </c>
      <c r="R1210" s="73" t="s">
        <v>98</v>
      </c>
      <c r="S1210" s="73" t="s">
        <v>276</v>
      </c>
      <c r="T1210" s="73" t="s">
        <v>98</v>
      </c>
      <c r="U1210" s="73">
        <v>1</v>
      </c>
      <c r="V1210" s="72" t="s">
        <v>15</v>
      </c>
      <c r="W1210" s="73" t="s">
        <v>7531</v>
      </c>
      <c r="X1210" s="73" t="s">
        <v>209</v>
      </c>
      <c r="Y1210" s="74" t="s">
        <v>98</v>
      </c>
      <c r="Z1210" s="73" t="s">
        <v>98</v>
      </c>
      <c r="AA1210" s="73" t="s">
        <v>276</v>
      </c>
      <c r="AB1210" s="73" t="s">
        <v>98</v>
      </c>
      <c r="AC1210" s="72">
        <v>0</v>
      </c>
      <c r="AD1210" s="72" t="s">
        <v>5574</v>
      </c>
      <c r="AE1210" s="72" t="s">
        <v>98</v>
      </c>
      <c r="AF1210" s="72" t="s">
        <v>98</v>
      </c>
      <c r="AG1210" s="73" t="s">
        <v>7532</v>
      </c>
      <c r="AH1210" s="73" t="s">
        <v>7533</v>
      </c>
      <c r="AI1210" s="75">
        <v>3</v>
      </c>
      <c r="AJ1210" s="75" t="s">
        <v>98</v>
      </c>
      <c r="AK1210" s="75">
        <f>3+2+1</f>
        <v>6</v>
      </c>
      <c r="AL1210" s="75" t="s">
        <v>98</v>
      </c>
      <c r="AM1210" s="75" t="s">
        <v>292</v>
      </c>
      <c r="AN1210" s="72" t="s">
        <v>276</v>
      </c>
      <c r="AO1210" s="76">
        <f t="shared" si="371"/>
        <v>50</v>
      </c>
      <c r="AP1210" s="72" t="s">
        <v>276</v>
      </c>
      <c r="AQ1210" s="72" t="s">
        <v>276</v>
      </c>
      <c r="AR1210" s="72" t="s">
        <v>98</v>
      </c>
      <c r="AS1210" s="72" t="s">
        <v>98</v>
      </c>
      <c r="AT1210" s="72" t="s">
        <v>98</v>
      </c>
      <c r="AU1210" s="72" t="s">
        <v>98</v>
      </c>
      <c r="AV1210" s="72" t="s">
        <v>98</v>
      </c>
      <c r="AW1210" s="72" t="s">
        <v>98</v>
      </c>
      <c r="AX1210" s="72" t="s">
        <v>98</v>
      </c>
      <c r="AY1210" s="72" t="s">
        <v>98</v>
      </c>
      <c r="AZ1210" s="72" t="s">
        <v>98</v>
      </c>
      <c r="BA1210" s="72" t="s">
        <v>98</v>
      </c>
      <c r="BB1210" s="72" t="s">
        <v>98</v>
      </c>
      <c r="BC1210" s="72" t="s">
        <v>98</v>
      </c>
      <c r="BD1210" s="72" t="s">
        <v>98</v>
      </c>
      <c r="BE1210" s="72" t="s">
        <v>98</v>
      </c>
      <c r="BF1210" s="73" t="s">
        <v>426</v>
      </c>
      <c r="BG1210" s="73"/>
      <c r="BH1210" s="9" t="s">
        <v>100</v>
      </c>
      <c r="BI1210" s="9" t="s">
        <v>100</v>
      </c>
      <c r="BJ1210" s="78"/>
      <c r="BN1210" s="78"/>
      <c r="BO1210" s="78"/>
    </row>
    <row r="1211" spans="1:67" s="79" customFormat="1" ht="78" hidden="1" x14ac:dyDescent="0.35">
      <c r="A1211" s="72">
        <v>3898</v>
      </c>
      <c r="B1211" s="72" t="s">
        <v>7513</v>
      </c>
      <c r="C1211" s="72" t="s">
        <v>64</v>
      </c>
      <c r="D1211" s="73" t="s">
        <v>7536</v>
      </c>
      <c r="E1211" s="72" t="s">
        <v>35</v>
      </c>
      <c r="F1211" s="73" t="s">
        <v>131</v>
      </c>
      <c r="G1211" s="72" t="s">
        <v>225</v>
      </c>
      <c r="H1211" s="72" t="s">
        <v>125</v>
      </c>
      <c r="I1211" s="72" t="s">
        <v>114</v>
      </c>
      <c r="J1211" s="73" t="s">
        <v>117</v>
      </c>
      <c r="K1211" s="72" t="s">
        <v>4825</v>
      </c>
      <c r="L1211" s="72" t="s">
        <v>276</v>
      </c>
      <c r="M1211" s="72" t="s">
        <v>276</v>
      </c>
      <c r="N1211" s="73" t="s">
        <v>7515</v>
      </c>
      <c r="O1211" s="73" t="s">
        <v>276</v>
      </c>
      <c r="P1211" s="73" t="s">
        <v>235</v>
      </c>
      <c r="Q1211" s="77">
        <v>23893</v>
      </c>
      <c r="R1211" s="73" t="s">
        <v>98</v>
      </c>
      <c r="S1211" s="73" t="s">
        <v>276</v>
      </c>
      <c r="T1211" s="73" t="s">
        <v>276</v>
      </c>
      <c r="U1211" s="73">
        <v>1</v>
      </c>
      <c r="V1211" s="72" t="s">
        <v>14</v>
      </c>
      <c r="W1211" s="73" t="s">
        <v>7516</v>
      </c>
      <c r="X1211" s="73" t="s">
        <v>207</v>
      </c>
      <c r="Y1211" s="74" t="s">
        <v>98</v>
      </c>
      <c r="Z1211" s="73" t="s">
        <v>98</v>
      </c>
      <c r="AA1211" s="73" t="s">
        <v>276</v>
      </c>
      <c r="AB1211" s="73" t="s">
        <v>276</v>
      </c>
      <c r="AC1211" s="72">
        <v>4</v>
      </c>
      <c r="AD1211" s="73" t="s">
        <v>7534</v>
      </c>
      <c r="AE1211" s="72">
        <v>1</v>
      </c>
      <c r="AF1211" s="73" t="s">
        <v>7534</v>
      </c>
      <c r="AG1211" s="73" t="s">
        <v>7535</v>
      </c>
      <c r="AH1211" s="73" t="s">
        <v>7538</v>
      </c>
      <c r="AI1211" s="75">
        <f>4+1+2</f>
        <v>7</v>
      </c>
      <c r="AJ1211" s="75">
        <v>5</v>
      </c>
      <c r="AK1211" s="75">
        <v>31</v>
      </c>
      <c r="AL1211" s="75">
        <v>14</v>
      </c>
      <c r="AM1211" s="75" t="s">
        <v>292</v>
      </c>
      <c r="AN1211" s="72" t="s">
        <v>276</v>
      </c>
      <c r="AO1211" s="76">
        <f t="shared" si="371"/>
        <v>22.580645161290324</v>
      </c>
      <c r="AP1211" s="72" t="s">
        <v>276</v>
      </c>
      <c r="AQ1211" s="72" t="s">
        <v>276</v>
      </c>
      <c r="AR1211" s="72" t="s">
        <v>276</v>
      </c>
      <c r="AS1211" s="76">
        <f>AJ1211*100/AL1211</f>
        <v>35.714285714285715</v>
      </c>
      <c r="AT1211" s="72" t="s">
        <v>276</v>
      </c>
      <c r="AU1211" s="72" t="s">
        <v>276</v>
      </c>
      <c r="AV1211" s="72" t="s">
        <v>268</v>
      </c>
      <c r="AW1211" s="72" t="s">
        <v>276</v>
      </c>
      <c r="AX1211" s="310">
        <f>AO1211/AS1211</f>
        <v>0.63225806451612909</v>
      </c>
      <c r="AY1211" s="72" t="s">
        <v>276</v>
      </c>
      <c r="AZ1211" s="72" t="s">
        <v>276</v>
      </c>
      <c r="BA1211" s="72" t="s">
        <v>276</v>
      </c>
      <c r="BB1211" s="72" t="s">
        <v>282</v>
      </c>
      <c r="BC1211" s="72" t="s">
        <v>98</v>
      </c>
      <c r="BD1211" s="72" t="s">
        <v>98</v>
      </c>
      <c r="BE1211" s="72" t="s">
        <v>98</v>
      </c>
      <c r="BF1211" s="73" t="s">
        <v>1029</v>
      </c>
      <c r="BG1211" s="73"/>
      <c r="BH1211" s="9" t="s">
        <v>100</v>
      </c>
      <c r="BI1211" s="9" t="s">
        <v>100</v>
      </c>
      <c r="BJ1211" s="78"/>
      <c r="BN1211" s="78"/>
      <c r="BO1211" s="78"/>
    </row>
    <row r="1212" spans="1:67" s="110" customFormat="1" ht="65" hidden="1" x14ac:dyDescent="0.35">
      <c r="A1212" s="94">
        <v>4907</v>
      </c>
      <c r="B1212" s="94" t="s">
        <v>7539</v>
      </c>
      <c r="C1212" s="94" t="s">
        <v>64</v>
      </c>
      <c r="D1212" s="95" t="s">
        <v>7540</v>
      </c>
      <c r="E1212" s="94" t="s">
        <v>35</v>
      </c>
      <c r="F1212" s="95" t="s">
        <v>131</v>
      </c>
      <c r="G1212" s="94" t="s">
        <v>225</v>
      </c>
      <c r="H1212" s="94" t="s">
        <v>225</v>
      </c>
      <c r="I1212" s="94" t="s">
        <v>98</v>
      </c>
      <c r="J1212" s="95" t="s">
        <v>98</v>
      </c>
      <c r="K1212" s="94" t="s">
        <v>98</v>
      </c>
      <c r="L1212" s="94" t="s">
        <v>98</v>
      </c>
      <c r="M1212" s="94" t="s">
        <v>98</v>
      </c>
      <c r="N1212" s="95" t="s">
        <v>276</v>
      </c>
      <c r="O1212" s="95" t="s">
        <v>276</v>
      </c>
      <c r="P1212" s="95" t="s">
        <v>236</v>
      </c>
      <c r="Q1212" s="140" t="s">
        <v>276</v>
      </c>
      <c r="R1212" s="95" t="s">
        <v>705</v>
      </c>
      <c r="S1212" s="95" t="s">
        <v>7537</v>
      </c>
      <c r="T1212" s="99" t="s">
        <v>98</v>
      </c>
      <c r="U1212" s="95">
        <v>1</v>
      </c>
      <c r="V1212" s="94" t="s">
        <v>14</v>
      </c>
      <c r="W1212" s="95" t="s">
        <v>98</v>
      </c>
      <c r="X1212" s="95" t="s">
        <v>209</v>
      </c>
      <c r="Y1212" s="98" t="s">
        <v>98</v>
      </c>
      <c r="Z1212" s="95" t="s">
        <v>98</v>
      </c>
      <c r="AA1212" s="95" t="s">
        <v>276</v>
      </c>
      <c r="AB1212" s="95" t="s">
        <v>98</v>
      </c>
      <c r="AC1212" s="94">
        <v>0</v>
      </c>
      <c r="AD1212" s="94" t="s">
        <v>5574</v>
      </c>
      <c r="AE1212" s="94" t="s">
        <v>98</v>
      </c>
      <c r="AF1212" s="94" t="s">
        <v>98</v>
      </c>
      <c r="AG1212" s="95" t="s">
        <v>7541</v>
      </c>
      <c r="AH1212" s="95" t="s">
        <v>7542</v>
      </c>
      <c r="AI1212" s="99">
        <v>55</v>
      </c>
      <c r="AJ1212" s="99" t="s">
        <v>98</v>
      </c>
      <c r="AK1212" s="99">
        <f>55+11+12</f>
        <v>78</v>
      </c>
      <c r="AL1212" s="99" t="s">
        <v>98</v>
      </c>
      <c r="AM1212" s="99" t="s">
        <v>292</v>
      </c>
      <c r="AN1212" s="94" t="s">
        <v>276</v>
      </c>
      <c r="AO1212" s="102">
        <f t="shared" si="371"/>
        <v>70.512820512820511</v>
      </c>
      <c r="AP1212" s="94" t="s">
        <v>276</v>
      </c>
      <c r="AQ1212" s="94" t="s">
        <v>276</v>
      </c>
      <c r="AR1212" s="94" t="s">
        <v>98</v>
      </c>
      <c r="AS1212" s="94" t="s">
        <v>98</v>
      </c>
      <c r="AT1212" s="94" t="s">
        <v>98</v>
      </c>
      <c r="AU1212" s="94" t="s">
        <v>98</v>
      </c>
      <c r="AV1212" s="94" t="s">
        <v>98</v>
      </c>
      <c r="AW1212" s="94" t="s">
        <v>98</v>
      </c>
      <c r="AX1212" s="94" t="s">
        <v>98</v>
      </c>
      <c r="AY1212" s="94" t="s">
        <v>98</v>
      </c>
      <c r="AZ1212" s="94" t="s">
        <v>98</v>
      </c>
      <c r="BA1212" s="94" t="s">
        <v>98</v>
      </c>
      <c r="BB1212" s="94" t="s">
        <v>98</v>
      </c>
      <c r="BC1212" s="94" t="s">
        <v>98</v>
      </c>
      <c r="BD1212" s="94" t="s">
        <v>98</v>
      </c>
      <c r="BE1212" s="94" t="s">
        <v>98</v>
      </c>
      <c r="BF1212" s="95" t="s">
        <v>7543</v>
      </c>
      <c r="BG1212" s="95"/>
      <c r="BH1212" s="9" t="s">
        <v>100</v>
      </c>
      <c r="BI1212" s="9" t="s">
        <v>100</v>
      </c>
      <c r="BJ1212" s="109"/>
      <c r="BN1212" s="109"/>
      <c r="BO1212" s="109"/>
    </row>
    <row r="1213" spans="1:67" s="110" customFormat="1" ht="52" hidden="1" x14ac:dyDescent="0.35">
      <c r="A1213" s="94">
        <v>4907</v>
      </c>
      <c r="B1213" s="94" t="s">
        <v>7539</v>
      </c>
      <c r="C1213" s="94" t="s">
        <v>64</v>
      </c>
      <c r="D1213" s="95" t="s">
        <v>11532</v>
      </c>
      <c r="E1213" s="94" t="s">
        <v>35</v>
      </c>
      <c r="F1213" s="95" t="s">
        <v>131</v>
      </c>
      <c r="G1213" s="94" t="s">
        <v>225</v>
      </c>
      <c r="H1213" s="94" t="s">
        <v>225</v>
      </c>
      <c r="I1213" s="94" t="s">
        <v>98</v>
      </c>
      <c r="J1213" s="95" t="s">
        <v>98</v>
      </c>
      <c r="K1213" s="94" t="s">
        <v>98</v>
      </c>
      <c r="L1213" s="94" t="s">
        <v>98</v>
      </c>
      <c r="M1213" s="94" t="s">
        <v>98</v>
      </c>
      <c r="N1213" s="95" t="s">
        <v>276</v>
      </c>
      <c r="O1213" s="95" t="s">
        <v>276</v>
      </c>
      <c r="P1213" s="95" t="s">
        <v>238</v>
      </c>
      <c r="Q1213" s="140" t="s">
        <v>276</v>
      </c>
      <c r="R1213" s="95" t="s">
        <v>705</v>
      </c>
      <c r="S1213" s="95" t="s">
        <v>7537</v>
      </c>
      <c r="T1213" s="99" t="s">
        <v>98</v>
      </c>
      <c r="U1213" s="95">
        <v>1</v>
      </c>
      <c r="V1213" s="94" t="s">
        <v>14</v>
      </c>
      <c r="W1213" s="95" t="s">
        <v>98</v>
      </c>
      <c r="X1213" s="95" t="s">
        <v>209</v>
      </c>
      <c r="Y1213" s="98" t="s">
        <v>98</v>
      </c>
      <c r="Z1213" s="95" t="s">
        <v>98</v>
      </c>
      <c r="AA1213" s="95" t="s">
        <v>276</v>
      </c>
      <c r="AB1213" s="95" t="s">
        <v>98</v>
      </c>
      <c r="AC1213" s="94">
        <v>0</v>
      </c>
      <c r="AD1213" s="94" t="s">
        <v>5574</v>
      </c>
      <c r="AE1213" s="94" t="s">
        <v>98</v>
      </c>
      <c r="AF1213" s="94" t="s">
        <v>98</v>
      </c>
      <c r="AG1213" s="95" t="s">
        <v>7541</v>
      </c>
      <c r="AH1213" s="95" t="s">
        <v>7518</v>
      </c>
      <c r="AI1213" s="99">
        <v>55</v>
      </c>
      <c r="AJ1213" s="99" t="s">
        <v>98</v>
      </c>
      <c r="AK1213" s="99">
        <v>31888</v>
      </c>
      <c r="AL1213" s="99" t="s">
        <v>98</v>
      </c>
      <c r="AM1213" s="99" t="s">
        <v>281</v>
      </c>
      <c r="AN1213" s="94" t="s">
        <v>276</v>
      </c>
      <c r="AO1213" s="102">
        <f>AI1213*1000/AK1213</f>
        <v>1.7247867536377322</v>
      </c>
      <c r="AP1213" s="94" t="s">
        <v>276</v>
      </c>
      <c r="AQ1213" s="94" t="s">
        <v>276</v>
      </c>
      <c r="AR1213" s="94" t="s">
        <v>98</v>
      </c>
      <c r="AS1213" s="94" t="s">
        <v>98</v>
      </c>
      <c r="AT1213" s="94" t="s">
        <v>98</v>
      </c>
      <c r="AU1213" s="94" t="s">
        <v>98</v>
      </c>
      <c r="AV1213" s="94" t="s">
        <v>98</v>
      </c>
      <c r="AW1213" s="94" t="s">
        <v>98</v>
      </c>
      <c r="AX1213" s="94" t="s">
        <v>98</v>
      </c>
      <c r="AY1213" s="94" t="s">
        <v>98</v>
      </c>
      <c r="AZ1213" s="94" t="s">
        <v>98</v>
      </c>
      <c r="BA1213" s="94" t="s">
        <v>98</v>
      </c>
      <c r="BB1213" s="94" t="s">
        <v>98</v>
      </c>
      <c r="BC1213" s="94" t="s">
        <v>98</v>
      </c>
      <c r="BD1213" s="94" t="s">
        <v>98</v>
      </c>
      <c r="BE1213" s="94" t="s">
        <v>98</v>
      </c>
      <c r="BF1213" s="95" t="s">
        <v>989</v>
      </c>
      <c r="BG1213" s="95"/>
      <c r="BH1213" s="9" t="s">
        <v>100</v>
      </c>
      <c r="BI1213" s="9" t="s">
        <v>100</v>
      </c>
      <c r="BJ1213" s="109"/>
      <c r="BN1213" s="109"/>
      <c r="BO1213" s="109"/>
    </row>
    <row r="1214" spans="1:67" s="124" customFormat="1" ht="52" hidden="1" x14ac:dyDescent="0.35">
      <c r="A1214" s="112">
        <v>4907</v>
      </c>
      <c r="B1214" s="112" t="s">
        <v>7539</v>
      </c>
      <c r="C1214" s="112" t="s">
        <v>64</v>
      </c>
      <c r="D1214" s="113" t="s">
        <v>7544</v>
      </c>
      <c r="E1214" s="112" t="s">
        <v>35</v>
      </c>
      <c r="F1214" s="113" t="s">
        <v>131</v>
      </c>
      <c r="G1214" s="112" t="s">
        <v>225</v>
      </c>
      <c r="H1214" s="112" t="s">
        <v>125</v>
      </c>
      <c r="I1214" s="112" t="s">
        <v>114</v>
      </c>
      <c r="J1214" s="113" t="s">
        <v>117</v>
      </c>
      <c r="K1214" s="112" t="s">
        <v>4825</v>
      </c>
      <c r="L1214" s="112" t="s">
        <v>276</v>
      </c>
      <c r="M1214" s="112" t="s">
        <v>276</v>
      </c>
      <c r="N1214" s="113" t="s">
        <v>276</v>
      </c>
      <c r="O1214" s="113" t="s">
        <v>276</v>
      </c>
      <c r="P1214" s="113" t="s">
        <v>235</v>
      </c>
      <c r="Q1214" s="142" t="s">
        <v>276</v>
      </c>
      <c r="R1214" s="113" t="s">
        <v>705</v>
      </c>
      <c r="S1214" s="113" t="s">
        <v>7537</v>
      </c>
      <c r="T1214" s="113" t="s">
        <v>11533</v>
      </c>
      <c r="U1214" s="113">
        <v>1</v>
      </c>
      <c r="V1214" s="112" t="s">
        <v>14</v>
      </c>
      <c r="W1214" s="113" t="s">
        <v>98</v>
      </c>
      <c r="X1214" s="113" t="s">
        <v>207</v>
      </c>
      <c r="Y1214" s="118" t="s">
        <v>98</v>
      </c>
      <c r="Z1214" s="113" t="s">
        <v>98</v>
      </c>
      <c r="AA1214" s="113" t="s">
        <v>276</v>
      </c>
      <c r="AB1214" s="113" t="s">
        <v>276</v>
      </c>
      <c r="AC1214" s="112" t="s">
        <v>276</v>
      </c>
      <c r="AD1214" s="113" t="s">
        <v>7545</v>
      </c>
      <c r="AE1214" s="112" t="s">
        <v>276</v>
      </c>
      <c r="AF1214" s="113" t="s">
        <v>7545</v>
      </c>
      <c r="AG1214" s="113" t="s">
        <v>7546</v>
      </c>
      <c r="AH1214" s="113" t="s">
        <v>7547</v>
      </c>
      <c r="AI1214" s="119">
        <f>78-(36+5+8)</f>
        <v>29</v>
      </c>
      <c r="AJ1214" s="119">
        <f>46-19</f>
        <v>27</v>
      </c>
      <c r="AK1214" s="119">
        <f>55+11+12</f>
        <v>78</v>
      </c>
      <c r="AL1214" s="119">
        <v>46</v>
      </c>
      <c r="AM1214" s="119" t="s">
        <v>292</v>
      </c>
      <c r="AN1214" s="112" t="s">
        <v>276</v>
      </c>
      <c r="AO1214" s="121">
        <f>AI1214*100/AK1214</f>
        <v>37.179487179487182</v>
      </c>
      <c r="AP1214" s="112" t="s">
        <v>276</v>
      </c>
      <c r="AQ1214" s="112" t="s">
        <v>276</v>
      </c>
      <c r="AR1214" s="112" t="s">
        <v>276</v>
      </c>
      <c r="AS1214" s="121">
        <f>AJ1214*100/AL1214</f>
        <v>58.695652173913047</v>
      </c>
      <c r="AT1214" s="112" t="s">
        <v>276</v>
      </c>
      <c r="AU1214" s="112" t="s">
        <v>276</v>
      </c>
      <c r="AV1214" s="112" t="s">
        <v>268</v>
      </c>
      <c r="AW1214" s="112" t="s">
        <v>276</v>
      </c>
      <c r="AX1214" s="442">
        <f>AO1214/AS1214</f>
        <v>0.63342830009496676</v>
      </c>
      <c r="AY1214" s="112" t="s">
        <v>276</v>
      </c>
      <c r="AZ1214" s="112" t="s">
        <v>276</v>
      </c>
      <c r="BA1214" s="112" t="s">
        <v>276</v>
      </c>
      <c r="BB1214" s="112" t="s">
        <v>282</v>
      </c>
      <c r="BC1214" s="112" t="s">
        <v>98</v>
      </c>
      <c r="BD1214" s="112" t="s">
        <v>98</v>
      </c>
      <c r="BE1214" s="112" t="s">
        <v>98</v>
      </c>
      <c r="BF1214" s="113" t="s">
        <v>7543</v>
      </c>
      <c r="BG1214" s="113"/>
      <c r="BH1214" s="9" t="s">
        <v>100</v>
      </c>
      <c r="BI1214" s="9" t="s">
        <v>100</v>
      </c>
      <c r="BJ1214" s="123"/>
      <c r="BN1214" s="123"/>
      <c r="BO1214" s="123"/>
    </row>
    <row r="1215" spans="1:67" s="110" customFormat="1" ht="52" hidden="1" x14ac:dyDescent="0.35">
      <c r="A1215" s="94">
        <v>4907</v>
      </c>
      <c r="B1215" s="94" t="s">
        <v>7539</v>
      </c>
      <c r="C1215" s="94" t="s">
        <v>64</v>
      </c>
      <c r="D1215" s="95" t="s">
        <v>11534</v>
      </c>
      <c r="E1215" s="94" t="s">
        <v>35</v>
      </c>
      <c r="F1215" s="95" t="s">
        <v>131</v>
      </c>
      <c r="G1215" s="94" t="s">
        <v>225</v>
      </c>
      <c r="H1215" s="94" t="s">
        <v>125</v>
      </c>
      <c r="I1215" s="94" t="s">
        <v>114</v>
      </c>
      <c r="J1215" s="95" t="s">
        <v>117</v>
      </c>
      <c r="K1215" s="94" t="s">
        <v>4821</v>
      </c>
      <c r="L1215" s="94" t="s">
        <v>276</v>
      </c>
      <c r="M1215" s="94" t="s">
        <v>276</v>
      </c>
      <c r="N1215" s="95" t="s">
        <v>276</v>
      </c>
      <c r="O1215" s="95" t="s">
        <v>276</v>
      </c>
      <c r="P1215" s="95" t="s">
        <v>239</v>
      </c>
      <c r="Q1215" s="140" t="s">
        <v>276</v>
      </c>
      <c r="R1215" s="95" t="s">
        <v>705</v>
      </c>
      <c r="S1215" s="95" t="s">
        <v>7537</v>
      </c>
      <c r="T1215" s="95" t="s">
        <v>11533</v>
      </c>
      <c r="U1215" s="95">
        <v>1</v>
      </c>
      <c r="V1215" s="94" t="s">
        <v>14</v>
      </c>
      <c r="W1215" s="95" t="s">
        <v>98</v>
      </c>
      <c r="X1215" s="95" t="s">
        <v>207</v>
      </c>
      <c r="Y1215" s="98">
        <v>31888</v>
      </c>
      <c r="Z1215" s="95">
        <v>29694</v>
      </c>
      <c r="AA1215" s="95" t="s">
        <v>276</v>
      </c>
      <c r="AB1215" s="95" t="s">
        <v>276</v>
      </c>
      <c r="AC1215" s="94" t="s">
        <v>276</v>
      </c>
      <c r="AD1215" s="95" t="s">
        <v>7545</v>
      </c>
      <c r="AE1215" s="94" t="s">
        <v>276</v>
      </c>
      <c r="AF1215" s="95" t="s">
        <v>7545</v>
      </c>
      <c r="AG1215" s="95" t="s">
        <v>11535</v>
      </c>
      <c r="AH1215" s="95" t="s">
        <v>4658</v>
      </c>
      <c r="AI1215" s="99">
        <f>36+5+8</f>
        <v>49</v>
      </c>
      <c r="AJ1215" s="99">
        <v>19</v>
      </c>
      <c r="AK1215" s="99">
        <v>31888</v>
      </c>
      <c r="AL1215" s="99">
        <v>29694</v>
      </c>
      <c r="AM1215" s="99" t="s">
        <v>281</v>
      </c>
      <c r="AN1215" s="94" t="s">
        <v>276</v>
      </c>
      <c r="AO1215" s="102">
        <f>AI1215*1000/AK1215</f>
        <v>1.536628198695434</v>
      </c>
      <c r="AP1215" s="94" t="s">
        <v>276</v>
      </c>
      <c r="AQ1215" s="94" t="s">
        <v>276</v>
      </c>
      <c r="AR1215" s="94" t="s">
        <v>276</v>
      </c>
      <c r="AS1215" s="102">
        <f>AJ1215*1000/AL1215</f>
        <v>0.63985990435778273</v>
      </c>
      <c r="AT1215" s="94" t="s">
        <v>276</v>
      </c>
      <c r="AU1215" s="94" t="s">
        <v>276</v>
      </c>
      <c r="AV1215" s="94" t="s">
        <v>268</v>
      </c>
      <c r="AW1215" s="94" t="s">
        <v>276</v>
      </c>
      <c r="AX1215" s="783">
        <f>AO1215/AS1215</f>
        <v>2.4015072490559062</v>
      </c>
      <c r="AY1215" s="94" t="s">
        <v>276</v>
      </c>
      <c r="AZ1215" s="94" t="s">
        <v>276</v>
      </c>
      <c r="BA1215" s="94" t="s">
        <v>276</v>
      </c>
      <c r="BB1215" s="94" t="s">
        <v>282</v>
      </c>
      <c r="BC1215" s="94" t="s">
        <v>98</v>
      </c>
      <c r="BD1215" s="94" t="s">
        <v>98</v>
      </c>
      <c r="BE1215" s="94" t="s">
        <v>98</v>
      </c>
      <c r="BF1215" s="95" t="s">
        <v>7543</v>
      </c>
      <c r="BG1215" s="95"/>
      <c r="BH1215" s="9" t="s">
        <v>100</v>
      </c>
      <c r="BI1215" s="9" t="s">
        <v>100</v>
      </c>
      <c r="BJ1215" s="109"/>
      <c r="BN1215" s="109"/>
      <c r="BO1215" s="109"/>
    </row>
    <row r="1216" spans="1:67" s="110" customFormat="1" ht="52" hidden="1" x14ac:dyDescent="0.35">
      <c r="A1216" s="94">
        <v>4907</v>
      </c>
      <c r="B1216" s="94" t="s">
        <v>7539</v>
      </c>
      <c r="C1216" s="94" t="s">
        <v>64</v>
      </c>
      <c r="D1216" s="95" t="s">
        <v>11536</v>
      </c>
      <c r="E1216" s="94" t="s">
        <v>35</v>
      </c>
      <c r="F1216" s="95" t="s">
        <v>131</v>
      </c>
      <c r="G1216" s="94" t="s">
        <v>225</v>
      </c>
      <c r="H1216" s="94" t="s">
        <v>125</v>
      </c>
      <c r="I1216" s="94" t="s">
        <v>114</v>
      </c>
      <c r="J1216" s="95" t="s">
        <v>117</v>
      </c>
      <c r="K1216" s="94" t="s">
        <v>4825</v>
      </c>
      <c r="L1216" s="94" t="s">
        <v>276</v>
      </c>
      <c r="M1216" s="94" t="s">
        <v>276</v>
      </c>
      <c r="N1216" s="95" t="s">
        <v>276</v>
      </c>
      <c r="O1216" s="95" t="s">
        <v>276</v>
      </c>
      <c r="P1216" s="95" t="s">
        <v>239</v>
      </c>
      <c r="Q1216" s="140" t="s">
        <v>276</v>
      </c>
      <c r="R1216" s="95" t="s">
        <v>705</v>
      </c>
      <c r="S1216" s="95" t="s">
        <v>7537</v>
      </c>
      <c r="T1216" s="95" t="s">
        <v>11533</v>
      </c>
      <c r="U1216" s="95">
        <v>1</v>
      </c>
      <c r="V1216" s="94" t="s">
        <v>14</v>
      </c>
      <c r="W1216" s="95" t="s">
        <v>98</v>
      </c>
      <c r="X1216" s="95" t="s">
        <v>207</v>
      </c>
      <c r="Y1216" s="98">
        <v>31888</v>
      </c>
      <c r="Z1216" s="95">
        <v>29694</v>
      </c>
      <c r="AA1216" s="95" t="s">
        <v>276</v>
      </c>
      <c r="AB1216" s="95" t="s">
        <v>276</v>
      </c>
      <c r="AC1216" s="94" t="s">
        <v>276</v>
      </c>
      <c r="AD1216" s="95" t="s">
        <v>7545</v>
      </c>
      <c r="AE1216" s="94" t="s">
        <v>276</v>
      </c>
      <c r="AF1216" s="95" t="s">
        <v>7545</v>
      </c>
      <c r="AG1216" s="95" t="s">
        <v>7546</v>
      </c>
      <c r="AH1216" s="95" t="s">
        <v>4658</v>
      </c>
      <c r="AI1216" s="99">
        <v>29</v>
      </c>
      <c r="AJ1216" s="99">
        <v>27</v>
      </c>
      <c r="AK1216" s="99">
        <v>31888</v>
      </c>
      <c r="AL1216" s="99">
        <v>29694</v>
      </c>
      <c r="AM1216" s="99" t="s">
        <v>281</v>
      </c>
      <c r="AN1216" s="94" t="s">
        <v>276</v>
      </c>
      <c r="AO1216" s="102">
        <f>AI1216*1000/AK1216</f>
        <v>0.90943301555444056</v>
      </c>
      <c r="AP1216" s="94" t="s">
        <v>276</v>
      </c>
      <c r="AQ1216" s="94" t="s">
        <v>276</v>
      </c>
      <c r="AR1216" s="94" t="s">
        <v>276</v>
      </c>
      <c r="AS1216" s="102">
        <f>AJ1216*1000/AL1216</f>
        <v>0.90927460092948076</v>
      </c>
      <c r="AT1216" s="94" t="s">
        <v>276</v>
      </c>
      <c r="AU1216" s="94" t="s">
        <v>276</v>
      </c>
      <c r="AV1216" s="94" t="s">
        <v>268</v>
      </c>
      <c r="AW1216" s="94" t="s">
        <v>276</v>
      </c>
      <c r="AX1216" s="783">
        <f>AO1216/AS1216</f>
        <v>1.0001742208842057</v>
      </c>
      <c r="AY1216" s="94" t="s">
        <v>276</v>
      </c>
      <c r="AZ1216" s="94" t="s">
        <v>276</v>
      </c>
      <c r="BA1216" s="94" t="s">
        <v>276</v>
      </c>
      <c r="BB1216" s="94" t="s">
        <v>282</v>
      </c>
      <c r="BC1216" s="94" t="s">
        <v>98</v>
      </c>
      <c r="BD1216" s="94" t="s">
        <v>98</v>
      </c>
      <c r="BE1216" s="94" t="s">
        <v>98</v>
      </c>
      <c r="BF1216" s="95" t="s">
        <v>7543</v>
      </c>
      <c r="BG1216" s="95"/>
      <c r="BH1216" s="9" t="s">
        <v>100</v>
      </c>
      <c r="BI1216" s="9" t="s">
        <v>100</v>
      </c>
      <c r="BJ1216" s="109"/>
      <c r="BN1216" s="109"/>
      <c r="BO1216" s="109"/>
    </row>
    <row r="1217" spans="1:67" s="183" customFormat="1" ht="87.65" hidden="1" customHeight="1" x14ac:dyDescent="0.35">
      <c r="A1217" s="175">
        <v>4878</v>
      </c>
      <c r="B1217" s="175" t="s">
        <v>7371</v>
      </c>
      <c r="C1217" s="175" t="s">
        <v>64</v>
      </c>
      <c r="D1217" s="176" t="s">
        <v>7548</v>
      </c>
      <c r="E1217" s="175" t="s">
        <v>35</v>
      </c>
      <c r="F1217" s="176" t="s">
        <v>131</v>
      </c>
      <c r="G1217" s="175" t="s">
        <v>225</v>
      </c>
      <c r="H1217" s="175" t="s">
        <v>225</v>
      </c>
      <c r="I1217" s="175" t="s">
        <v>98</v>
      </c>
      <c r="J1217" s="176" t="s">
        <v>98</v>
      </c>
      <c r="K1217" s="175" t="s">
        <v>98</v>
      </c>
      <c r="L1217" s="175" t="s">
        <v>98</v>
      </c>
      <c r="M1217" s="175" t="s">
        <v>98</v>
      </c>
      <c r="N1217" s="176" t="s">
        <v>7549</v>
      </c>
      <c r="O1217" s="176" t="s">
        <v>276</v>
      </c>
      <c r="P1217" s="176" t="s">
        <v>238</v>
      </c>
      <c r="Q1217" s="304" t="s">
        <v>98</v>
      </c>
      <c r="R1217" s="176" t="s">
        <v>728</v>
      </c>
      <c r="S1217" s="176" t="s">
        <v>7550</v>
      </c>
      <c r="T1217" s="176" t="s">
        <v>98</v>
      </c>
      <c r="U1217" s="176">
        <v>4</v>
      </c>
      <c r="V1217" s="175" t="s">
        <v>14</v>
      </c>
      <c r="W1217" s="176" t="s">
        <v>98</v>
      </c>
      <c r="X1217" s="176" t="s">
        <v>209</v>
      </c>
      <c r="Y1217" s="180">
        <v>31000</v>
      </c>
      <c r="Z1217" s="176" t="s">
        <v>98</v>
      </c>
      <c r="AA1217" s="176" t="s">
        <v>276</v>
      </c>
      <c r="AB1217" s="176" t="s">
        <v>98</v>
      </c>
      <c r="AC1217" s="175">
        <v>0</v>
      </c>
      <c r="AD1217" s="175" t="s">
        <v>5574</v>
      </c>
      <c r="AE1217" s="175" t="s">
        <v>98</v>
      </c>
      <c r="AF1217" s="175" t="s">
        <v>98</v>
      </c>
      <c r="AG1217" s="176" t="s">
        <v>7551</v>
      </c>
      <c r="AH1217" s="176" t="s">
        <v>7518</v>
      </c>
      <c r="AI1217" s="179">
        <f>55+77</f>
        <v>132</v>
      </c>
      <c r="AJ1217" s="179" t="s">
        <v>98</v>
      </c>
      <c r="AK1217" s="179">
        <v>31000</v>
      </c>
      <c r="AL1217" s="179" t="s">
        <v>98</v>
      </c>
      <c r="AM1217" s="179" t="s">
        <v>281</v>
      </c>
      <c r="AN1217" s="175" t="s">
        <v>276</v>
      </c>
      <c r="AO1217" s="181">
        <f>AI1217*1000/AK1217</f>
        <v>4.258064516129032</v>
      </c>
      <c r="AP1217" s="175" t="s">
        <v>276</v>
      </c>
      <c r="AQ1217" s="175" t="s">
        <v>276</v>
      </c>
      <c r="AR1217" s="175" t="s">
        <v>98</v>
      </c>
      <c r="AS1217" s="175" t="s">
        <v>98</v>
      </c>
      <c r="AT1217" s="175" t="s">
        <v>98</v>
      </c>
      <c r="AU1217" s="175" t="s">
        <v>98</v>
      </c>
      <c r="AV1217" s="175" t="s">
        <v>98</v>
      </c>
      <c r="AW1217" s="175" t="s">
        <v>98</v>
      </c>
      <c r="AX1217" s="175" t="s">
        <v>98</v>
      </c>
      <c r="AY1217" s="175" t="s">
        <v>98</v>
      </c>
      <c r="AZ1217" s="175" t="s">
        <v>98</v>
      </c>
      <c r="BA1217" s="175" t="s">
        <v>98</v>
      </c>
      <c r="BB1217" s="175" t="s">
        <v>98</v>
      </c>
      <c r="BC1217" s="175" t="s">
        <v>98</v>
      </c>
      <c r="BD1217" s="175" t="s">
        <v>98</v>
      </c>
      <c r="BE1217" s="175" t="s">
        <v>98</v>
      </c>
      <c r="BF1217" s="176" t="s">
        <v>2447</v>
      </c>
      <c r="BG1217" s="176"/>
      <c r="BH1217" s="9" t="s">
        <v>100</v>
      </c>
      <c r="BI1217" s="9" t="s">
        <v>100</v>
      </c>
      <c r="BJ1217" s="182"/>
      <c r="BN1217" s="182"/>
      <c r="BO1217" s="182"/>
    </row>
    <row r="1218" spans="1:67" s="183" customFormat="1" ht="78" x14ac:dyDescent="0.35">
      <c r="A1218" s="175">
        <v>4878</v>
      </c>
      <c r="B1218" s="175" t="s">
        <v>7371</v>
      </c>
      <c r="C1218" s="175" t="s">
        <v>64</v>
      </c>
      <c r="D1218" s="176" t="s">
        <v>7552</v>
      </c>
      <c r="E1218" s="175" t="s">
        <v>35</v>
      </c>
      <c r="F1218" s="176" t="s">
        <v>131</v>
      </c>
      <c r="G1218" s="175" t="s">
        <v>225</v>
      </c>
      <c r="H1218" s="175" t="s">
        <v>225</v>
      </c>
      <c r="I1218" s="175" t="s">
        <v>98</v>
      </c>
      <c r="J1218" s="176" t="s">
        <v>98</v>
      </c>
      <c r="K1218" s="175" t="s">
        <v>98</v>
      </c>
      <c r="L1218" s="175" t="s">
        <v>98</v>
      </c>
      <c r="M1218" s="175" t="s">
        <v>98</v>
      </c>
      <c r="N1218" s="176" t="s">
        <v>7549</v>
      </c>
      <c r="O1218" s="176" t="s">
        <v>276</v>
      </c>
      <c r="P1218" s="176" t="s">
        <v>236</v>
      </c>
      <c r="Q1218" s="304" t="s">
        <v>98</v>
      </c>
      <c r="R1218" s="176" t="s">
        <v>728</v>
      </c>
      <c r="S1218" s="176" t="s">
        <v>7550</v>
      </c>
      <c r="T1218" s="176" t="s">
        <v>98</v>
      </c>
      <c r="U1218" s="176">
        <v>4</v>
      </c>
      <c r="V1218" s="175" t="s">
        <v>14</v>
      </c>
      <c r="W1218" s="176" t="s">
        <v>98</v>
      </c>
      <c r="X1218" s="176" t="s">
        <v>209</v>
      </c>
      <c r="Y1218" s="180" t="s">
        <v>98</v>
      </c>
      <c r="Z1218" s="176" t="s">
        <v>98</v>
      </c>
      <c r="AA1218" s="176" t="s">
        <v>276</v>
      </c>
      <c r="AB1218" s="176" t="s">
        <v>98</v>
      </c>
      <c r="AC1218" s="175">
        <v>0</v>
      </c>
      <c r="AD1218" s="175" t="s">
        <v>5574</v>
      </c>
      <c r="AE1218" s="175" t="s">
        <v>98</v>
      </c>
      <c r="AF1218" s="175" t="s">
        <v>98</v>
      </c>
      <c r="AG1218" s="176" t="s">
        <v>7551</v>
      </c>
      <c r="AH1218" s="176" t="s">
        <v>7553</v>
      </c>
      <c r="AI1218" s="179">
        <f>55+77</f>
        <v>132</v>
      </c>
      <c r="AJ1218" s="179" t="s">
        <v>98</v>
      </c>
      <c r="AK1218" s="179">
        <f>55+77+93+74</f>
        <v>299</v>
      </c>
      <c r="AL1218" s="179" t="s">
        <v>98</v>
      </c>
      <c r="AM1218" s="179" t="s">
        <v>292</v>
      </c>
      <c r="AN1218" s="175" t="s">
        <v>276</v>
      </c>
      <c r="AO1218" s="181">
        <f>AI1218*100/AK1218</f>
        <v>44.147157190635454</v>
      </c>
      <c r="AP1218" s="175" t="s">
        <v>276</v>
      </c>
      <c r="AQ1218" s="175" t="s">
        <v>276</v>
      </c>
      <c r="AR1218" s="175" t="s">
        <v>98</v>
      </c>
      <c r="AS1218" s="175" t="s">
        <v>98</v>
      </c>
      <c r="AT1218" s="175" t="s">
        <v>98</v>
      </c>
      <c r="AU1218" s="175" t="s">
        <v>98</v>
      </c>
      <c r="AV1218" s="175" t="s">
        <v>98</v>
      </c>
      <c r="AW1218" s="175" t="s">
        <v>98</v>
      </c>
      <c r="AX1218" s="175" t="s">
        <v>98</v>
      </c>
      <c r="AY1218" s="175" t="s">
        <v>98</v>
      </c>
      <c r="AZ1218" s="175" t="s">
        <v>98</v>
      </c>
      <c r="BA1218" s="175" t="s">
        <v>98</v>
      </c>
      <c r="BB1218" s="175" t="s">
        <v>98</v>
      </c>
      <c r="BC1218" s="175" t="s">
        <v>98</v>
      </c>
      <c r="BD1218" s="175" t="s">
        <v>98</v>
      </c>
      <c r="BE1218" s="175" t="s">
        <v>98</v>
      </c>
      <c r="BF1218" s="176" t="s">
        <v>7554</v>
      </c>
      <c r="BG1218" s="176"/>
      <c r="BH1218" s="9" t="s">
        <v>99</v>
      </c>
      <c r="BI1218" s="9" t="s">
        <v>99</v>
      </c>
      <c r="BJ1218" s="182"/>
      <c r="BN1218" s="182"/>
      <c r="BO1218" s="182"/>
    </row>
    <row r="1219" spans="1:67" s="194" customFormat="1" ht="78" hidden="1" x14ac:dyDescent="0.35">
      <c r="A1219" s="184">
        <v>4878</v>
      </c>
      <c r="B1219" s="184" t="s">
        <v>7371</v>
      </c>
      <c r="C1219" s="184" t="s">
        <v>64</v>
      </c>
      <c r="D1219" s="185" t="s">
        <v>7555</v>
      </c>
      <c r="E1219" s="184" t="s">
        <v>35</v>
      </c>
      <c r="F1219" s="185" t="s">
        <v>131</v>
      </c>
      <c r="G1219" s="184" t="s">
        <v>225</v>
      </c>
      <c r="H1219" s="184" t="s">
        <v>125</v>
      </c>
      <c r="I1219" s="184" t="s">
        <v>114</v>
      </c>
      <c r="J1219" s="185" t="s">
        <v>117</v>
      </c>
      <c r="K1219" s="184" t="s">
        <v>4821</v>
      </c>
      <c r="L1219" s="184" t="s">
        <v>276</v>
      </c>
      <c r="M1219" s="184" t="s">
        <v>276</v>
      </c>
      <c r="N1219" s="185" t="s">
        <v>7549</v>
      </c>
      <c r="O1219" s="185" t="s">
        <v>276</v>
      </c>
      <c r="P1219" s="185" t="s">
        <v>239</v>
      </c>
      <c r="Q1219" s="302" t="s">
        <v>98</v>
      </c>
      <c r="R1219" s="185" t="s">
        <v>728</v>
      </c>
      <c r="S1219" s="185" t="s">
        <v>7550</v>
      </c>
      <c r="T1219" s="185" t="s">
        <v>7556</v>
      </c>
      <c r="U1219" s="185">
        <v>4</v>
      </c>
      <c r="V1219" s="184" t="s">
        <v>14</v>
      </c>
      <c r="W1219" s="185" t="s">
        <v>98</v>
      </c>
      <c r="X1219" s="185" t="s">
        <v>207</v>
      </c>
      <c r="Y1219" s="189">
        <v>31000</v>
      </c>
      <c r="Z1219" s="185">
        <v>31000</v>
      </c>
      <c r="AA1219" s="185" t="s">
        <v>276</v>
      </c>
      <c r="AB1219" s="185" t="s">
        <v>276</v>
      </c>
      <c r="AC1219" s="184">
        <v>27</v>
      </c>
      <c r="AD1219" s="185" t="s">
        <v>7545</v>
      </c>
      <c r="AE1219" s="184">
        <v>34</v>
      </c>
      <c r="AF1219" s="185" t="s">
        <v>7545</v>
      </c>
      <c r="AG1219" s="185" t="s">
        <v>7557</v>
      </c>
      <c r="AH1219" s="185" t="s">
        <v>4658</v>
      </c>
      <c r="AI1219" s="188">
        <v>170</v>
      </c>
      <c r="AJ1219" s="188">
        <v>130</v>
      </c>
      <c r="AK1219" s="188">
        <v>31000</v>
      </c>
      <c r="AL1219" s="188">
        <v>31000</v>
      </c>
      <c r="AM1219" s="188" t="s">
        <v>281</v>
      </c>
      <c r="AN1219" s="184" t="s">
        <v>276</v>
      </c>
      <c r="AO1219" s="192">
        <f>AI1219*1000/AK1219</f>
        <v>5.4838709677419351</v>
      </c>
      <c r="AP1219" s="184" t="s">
        <v>276</v>
      </c>
      <c r="AQ1219" s="184" t="s">
        <v>276</v>
      </c>
      <c r="AR1219" s="184" t="s">
        <v>276</v>
      </c>
      <c r="AS1219" s="192">
        <f>AJ1219*1000/AL1219</f>
        <v>4.193548387096774</v>
      </c>
      <c r="AT1219" s="184" t="s">
        <v>276</v>
      </c>
      <c r="AU1219" s="184" t="s">
        <v>276</v>
      </c>
      <c r="AV1219" s="184" t="s">
        <v>268</v>
      </c>
      <c r="AW1219" s="184" t="s">
        <v>276</v>
      </c>
      <c r="AX1219" s="192">
        <f>AO1219/AS1219</f>
        <v>1.3076923076923077</v>
      </c>
      <c r="AY1219" s="184" t="s">
        <v>276</v>
      </c>
      <c r="AZ1219" s="184" t="s">
        <v>276</v>
      </c>
      <c r="BA1219" s="184" t="s">
        <v>276</v>
      </c>
      <c r="BB1219" s="184" t="s">
        <v>282</v>
      </c>
      <c r="BC1219" s="184" t="s">
        <v>98</v>
      </c>
      <c r="BD1219" s="184" t="s">
        <v>98</v>
      </c>
      <c r="BE1219" s="184" t="s">
        <v>98</v>
      </c>
      <c r="BF1219" s="346" t="s">
        <v>11537</v>
      </c>
      <c r="BG1219" s="185"/>
      <c r="BH1219" s="9" t="s">
        <v>100</v>
      </c>
      <c r="BI1219" s="9" t="s">
        <v>100</v>
      </c>
      <c r="BJ1219" s="193"/>
      <c r="BN1219" s="193"/>
      <c r="BO1219" s="193"/>
    </row>
    <row r="1220" spans="1:67" s="194" customFormat="1" ht="78" hidden="1" x14ac:dyDescent="0.35">
      <c r="A1220" s="184">
        <v>4878</v>
      </c>
      <c r="B1220" s="184" t="s">
        <v>7371</v>
      </c>
      <c r="C1220" s="184" t="s">
        <v>64</v>
      </c>
      <c r="D1220" s="185" t="s">
        <v>7558</v>
      </c>
      <c r="E1220" s="184" t="s">
        <v>35</v>
      </c>
      <c r="F1220" s="185" t="s">
        <v>131</v>
      </c>
      <c r="G1220" s="184" t="s">
        <v>225</v>
      </c>
      <c r="H1220" s="184" t="s">
        <v>125</v>
      </c>
      <c r="I1220" s="184" t="s">
        <v>114</v>
      </c>
      <c r="J1220" s="185" t="s">
        <v>117</v>
      </c>
      <c r="K1220" s="184" t="s">
        <v>4825</v>
      </c>
      <c r="L1220" s="184" t="s">
        <v>276</v>
      </c>
      <c r="M1220" s="184" t="s">
        <v>276</v>
      </c>
      <c r="N1220" s="185" t="s">
        <v>7549</v>
      </c>
      <c r="O1220" s="185" t="s">
        <v>276</v>
      </c>
      <c r="P1220" s="185" t="s">
        <v>239</v>
      </c>
      <c r="Q1220" s="302" t="s">
        <v>98</v>
      </c>
      <c r="R1220" s="185" t="s">
        <v>728</v>
      </c>
      <c r="S1220" s="185" t="s">
        <v>7550</v>
      </c>
      <c r="T1220" s="185" t="s">
        <v>7556</v>
      </c>
      <c r="U1220" s="185">
        <v>4</v>
      </c>
      <c r="V1220" s="184" t="s">
        <v>14</v>
      </c>
      <c r="W1220" s="185" t="s">
        <v>98</v>
      </c>
      <c r="X1220" s="185" t="s">
        <v>207</v>
      </c>
      <c r="Y1220" s="189">
        <v>31000</v>
      </c>
      <c r="Z1220" s="185">
        <v>31000</v>
      </c>
      <c r="AA1220" s="185" t="s">
        <v>276</v>
      </c>
      <c r="AB1220" s="185" t="s">
        <v>276</v>
      </c>
      <c r="AC1220" s="184">
        <v>27</v>
      </c>
      <c r="AD1220" s="185" t="s">
        <v>7545</v>
      </c>
      <c r="AE1220" s="184">
        <v>34</v>
      </c>
      <c r="AF1220" s="185" t="s">
        <v>7545</v>
      </c>
      <c r="AG1220" s="185" t="s">
        <v>7557</v>
      </c>
      <c r="AH1220" s="185" t="s">
        <v>4658</v>
      </c>
      <c r="AI1220" s="188">
        <v>102</v>
      </c>
      <c r="AJ1220" s="188">
        <v>121</v>
      </c>
      <c r="AK1220" s="188">
        <v>31000</v>
      </c>
      <c r="AL1220" s="188">
        <v>31000</v>
      </c>
      <c r="AM1220" s="188" t="s">
        <v>281</v>
      </c>
      <c r="AN1220" s="184" t="s">
        <v>276</v>
      </c>
      <c r="AO1220" s="192">
        <f>AI1220*1000/AK1220</f>
        <v>3.2903225806451615</v>
      </c>
      <c r="AP1220" s="184" t="s">
        <v>276</v>
      </c>
      <c r="AQ1220" s="184" t="s">
        <v>276</v>
      </c>
      <c r="AR1220" s="184" t="s">
        <v>276</v>
      </c>
      <c r="AS1220" s="192">
        <f>AJ1220*1000/AL1220</f>
        <v>3.903225806451613</v>
      </c>
      <c r="AT1220" s="184" t="s">
        <v>276</v>
      </c>
      <c r="AU1220" s="184" t="s">
        <v>276</v>
      </c>
      <c r="AV1220" s="184" t="s">
        <v>268</v>
      </c>
      <c r="AW1220" s="184" t="s">
        <v>276</v>
      </c>
      <c r="AX1220" s="192">
        <f>AO1220/AS1220</f>
        <v>0.84297520661157033</v>
      </c>
      <c r="AY1220" s="184" t="s">
        <v>276</v>
      </c>
      <c r="AZ1220" s="184" t="s">
        <v>276</v>
      </c>
      <c r="BA1220" s="184" t="s">
        <v>276</v>
      </c>
      <c r="BB1220" s="184" t="s">
        <v>282</v>
      </c>
      <c r="BC1220" s="184" t="s">
        <v>98</v>
      </c>
      <c r="BD1220" s="184" t="s">
        <v>98</v>
      </c>
      <c r="BE1220" s="184" t="s">
        <v>98</v>
      </c>
      <c r="BF1220" s="346" t="s">
        <v>11537</v>
      </c>
      <c r="BG1220" s="185"/>
      <c r="BH1220" s="9" t="s">
        <v>100</v>
      </c>
      <c r="BI1220" s="9" t="s">
        <v>100</v>
      </c>
      <c r="BJ1220" s="193"/>
      <c r="BN1220" s="193"/>
      <c r="BO1220" s="193"/>
    </row>
    <row r="1221" spans="1:67" s="183" customFormat="1" ht="78" hidden="1" x14ac:dyDescent="0.35">
      <c r="A1221" s="175">
        <v>4878</v>
      </c>
      <c r="B1221" s="175" t="s">
        <v>7371</v>
      </c>
      <c r="C1221" s="175" t="s">
        <v>64</v>
      </c>
      <c r="D1221" s="176" t="s">
        <v>7559</v>
      </c>
      <c r="E1221" s="175" t="s">
        <v>35</v>
      </c>
      <c r="F1221" s="176" t="s">
        <v>131</v>
      </c>
      <c r="G1221" s="175" t="s">
        <v>225</v>
      </c>
      <c r="H1221" s="175" t="s">
        <v>125</v>
      </c>
      <c r="I1221" s="175" t="s">
        <v>114</v>
      </c>
      <c r="J1221" s="176" t="s">
        <v>117</v>
      </c>
      <c r="K1221" s="175" t="s">
        <v>4825</v>
      </c>
      <c r="L1221" s="175" t="s">
        <v>276</v>
      </c>
      <c r="M1221" s="175" t="s">
        <v>276</v>
      </c>
      <c r="N1221" s="176" t="s">
        <v>7549</v>
      </c>
      <c r="O1221" s="176" t="s">
        <v>276</v>
      </c>
      <c r="P1221" s="176" t="s">
        <v>235</v>
      </c>
      <c r="Q1221" s="304" t="s">
        <v>98</v>
      </c>
      <c r="R1221" s="176" t="s">
        <v>728</v>
      </c>
      <c r="S1221" s="176" t="s">
        <v>7550</v>
      </c>
      <c r="T1221" s="176" t="s">
        <v>7556</v>
      </c>
      <c r="U1221" s="176">
        <v>4</v>
      </c>
      <c r="V1221" s="175" t="s">
        <v>14</v>
      </c>
      <c r="W1221" s="176" t="s">
        <v>98</v>
      </c>
      <c r="X1221" s="176" t="s">
        <v>207</v>
      </c>
      <c r="Y1221" s="180" t="s">
        <v>98</v>
      </c>
      <c r="Z1221" s="176" t="s">
        <v>98</v>
      </c>
      <c r="AA1221" s="176" t="s">
        <v>276</v>
      </c>
      <c r="AB1221" s="176" t="s">
        <v>276</v>
      </c>
      <c r="AC1221" s="175">
        <v>27</v>
      </c>
      <c r="AD1221" s="176" t="s">
        <v>7545</v>
      </c>
      <c r="AE1221" s="175">
        <v>34</v>
      </c>
      <c r="AF1221" s="176" t="s">
        <v>7545</v>
      </c>
      <c r="AG1221" s="176" t="s">
        <v>7557</v>
      </c>
      <c r="AH1221" s="176" t="s">
        <v>7560</v>
      </c>
      <c r="AI1221" s="179">
        <v>102</v>
      </c>
      <c r="AJ1221" s="179">
        <v>121</v>
      </c>
      <c r="AK1221" s="179">
        <v>299</v>
      </c>
      <c r="AL1221" s="179">
        <v>285</v>
      </c>
      <c r="AM1221" s="179" t="s">
        <v>292</v>
      </c>
      <c r="AN1221" s="175" t="s">
        <v>276</v>
      </c>
      <c r="AO1221" s="181">
        <f>AI1221*100/AK1221</f>
        <v>34.113712374581937</v>
      </c>
      <c r="AP1221" s="175" t="s">
        <v>276</v>
      </c>
      <c r="AQ1221" s="175" t="s">
        <v>276</v>
      </c>
      <c r="AR1221" s="175" t="s">
        <v>276</v>
      </c>
      <c r="AS1221" s="181">
        <f>AJ1221*100/AL1221</f>
        <v>42.456140350877192</v>
      </c>
      <c r="AT1221" s="175" t="s">
        <v>276</v>
      </c>
      <c r="AU1221" s="175" t="s">
        <v>276</v>
      </c>
      <c r="AV1221" s="175" t="s">
        <v>268</v>
      </c>
      <c r="AW1221" s="175" t="s">
        <v>276</v>
      </c>
      <c r="AX1221" s="181">
        <f>AO1221/AS1221</f>
        <v>0.80350479559965726</v>
      </c>
      <c r="AY1221" s="175" t="s">
        <v>276</v>
      </c>
      <c r="AZ1221" s="175" t="s">
        <v>276</v>
      </c>
      <c r="BA1221" s="175" t="s">
        <v>276</v>
      </c>
      <c r="BB1221" s="175" t="s">
        <v>282</v>
      </c>
      <c r="BC1221" s="175" t="s">
        <v>98</v>
      </c>
      <c r="BD1221" s="175" t="s">
        <v>98</v>
      </c>
      <c r="BE1221" s="175" t="s">
        <v>98</v>
      </c>
      <c r="BF1221" s="176" t="s">
        <v>11537</v>
      </c>
      <c r="BG1221" s="176" t="s">
        <v>7561</v>
      </c>
      <c r="BH1221" s="9" t="s">
        <v>100</v>
      </c>
      <c r="BI1221" s="9" t="s">
        <v>100</v>
      </c>
      <c r="BJ1221" s="182"/>
      <c r="BN1221" s="182"/>
      <c r="BO1221" s="182"/>
    </row>
    <row r="1222" spans="1:67" s="194" customFormat="1" ht="78" hidden="1" x14ac:dyDescent="0.35">
      <c r="A1222" s="184">
        <v>4878</v>
      </c>
      <c r="B1222" s="184" t="s">
        <v>7371</v>
      </c>
      <c r="C1222" s="184" t="s">
        <v>64</v>
      </c>
      <c r="D1222" s="185" t="s">
        <v>7562</v>
      </c>
      <c r="E1222" s="184" t="s">
        <v>35</v>
      </c>
      <c r="F1222" s="185" t="s">
        <v>131</v>
      </c>
      <c r="G1222" s="184" t="s">
        <v>225</v>
      </c>
      <c r="H1222" s="184" t="s">
        <v>125</v>
      </c>
      <c r="I1222" s="184" t="s">
        <v>114</v>
      </c>
      <c r="J1222" s="185" t="s">
        <v>31</v>
      </c>
      <c r="K1222" s="184" t="s">
        <v>7563</v>
      </c>
      <c r="L1222" s="184" t="s">
        <v>276</v>
      </c>
      <c r="M1222" s="184" t="s">
        <v>276</v>
      </c>
      <c r="N1222" s="185" t="s">
        <v>7549</v>
      </c>
      <c r="O1222" s="185" t="s">
        <v>276</v>
      </c>
      <c r="P1222" s="185" t="s">
        <v>239</v>
      </c>
      <c r="Q1222" s="302" t="s">
        <v>98</v>
      </c>
      <c r="R1222" s="185" t="s">
        <v>728</v>
      </c>
      <c r="S1222" s="185" t="s">
        <v>7550</v>
      </c>
      <c r="T1222" s="185" t="s">
        <v>7556</v>
      </c>
      <c r="U1222" s="185">
        <v>4</v>
      </c>
      <c r="V1222" s="184" t="s">
        <v>14</v>
      </c>
      <c r="W1222" s="185" t="s">
        <v>98</v>
      </c>
      <c r="X1222" s="185" t="s">
        <v>207</v>
      </c>
      <c r="Y1222" s="189">
        <v>31000</v>
      </c>
      <c r="Z1222" s="185">
        <v>31000</v>
      </c>
      <c r="AA1222" s="185" t="s">
        <v>276</v>
      </c>
      <c r="AB1222" s="185" t="s">
        <v>276</v>
      </c>
      <c r="AC1222" s="184">
        <v>116</v>
      </c>
      <c r="AD1222" s="185" t="s">
        <v>7564</v>
      </c>
      <c r="AE1222" s="184">
        <v>131</v>
      </c>
      <c r="AF1222" s="185" t="s">
        <v>7564</v>
      </c>
      <c r="AG1222" s="185" t="s">
        <v>7565</v>
      </c>
      <c r="AH1222" s="185" t="s">
        <v>4658</v>
      </c>
      <c r="AI1222" s="188">
        <v>71</v>
      </c>
      <c r="AJ1222" s="188">
        <v>42</v>
      </c>
      <c r="AK1222" s="188">
        <v>31000</v>
      </c>
      <c r="AL1222" s="188">
        <v>31000</v>
      </c>
      <c r="AM1222" s="188" t="s">
        <v>281</v>
      </c>
      <c r="AN1222" s="184" t="s">
        <v>276</v>
      </c>
      <c r="AO1222" s="192">
        <f>AI1222*1000/AK1222</f>
        <v>2.2903225806451615</v>
      </c>
      <c r="AP1222" s="184" t="s">
        <v>276</v>
      </c>
      <c r="AQ1222" s="184" t="s">
        <v>276</v>
      </c>
      <c r="AR1222" s="184" t="s">
        <v>276</v>
      </c>
      <c r="AS1222" s="192">
        <f>AJ1222*1000/AL1222</f>
        <v>1.3548387096774193</v>
      </c>
      <c r="AT1222" s="184" t="s">
        <v>276</v>
      </c>
      <c r="AU1222" s="184" t="s">
        <v>276</v>
      </c>
      <c r="AV1222" s="184" t="s">
        <v>268</v>
      </c>
      <c r="AW1222" s="184" t="s">
        <v>276</v>
      </c>
      <c r="AX1222" s="192">
        <f>AO1222/AS1222</f>
        <v>1.6904761904761907</v>
      </c>
      <c r="AY1222" s="184" t="s">
        <v>276</v>
      </c>
      <c r="AZ1222" s="184" t="s">
        <v>276</v>
      </c>
      <c r="BA1222" s="184" t="s">
        <v>276</v>
      </c>
      <c r="BB1222" s="184" t="s">
        <v>282</v>
      </c>
      <c r="BC1222" s="184" t="s">
        <v>98</v>
      </c>
      <c r="BD1222" s="184" t="s">
        <v>98</v>
      </c>
      <c r="BE1222" s="184" t="s">
        <v>98</v>
      </c>
      <c r="BF1222" s="185" t="s">
        <v>11537</v>
      </c>
      <c r="BG1222" s="185"/>
      <c r="BH1222" s="9" t="s">
        <v>100</v>
      </c>
      <c r="BI1222" s="9" t="s">
        <v>100</v>
      </c>
      <c r="BJ1222" s="193"/>
      <c r="BN1222" s="193"/>
      <c r="BO1222" s="193"/>
    </row>
    <row r="1223" spans="1:67" s="194" customFormat="1" ht="78" hidden="1" x14ac:dyDescent="0.35">
      <c r="A1223" s="184">
        <v>4878</v>
      </c>
      <c r="B1223" s="184" t="s">
        <v>7371</v>
      </c>
      <c r="C1223" s="184" t="s">
        <v>64</v>
      </c>
      <c r="D1223" s="185" t="s">
        <v>7566</v>
      </c>
      <c r="E1223" s="184" t="s">
        <v>35</v>
      </c>
      <c r="F1223" s="185" t="s">
        <v>131</v>
      </c>
      <c r="G1223" s="184" t="s">
        <v>225</v>
      </c>
      <c r="H1223" s="184" t="s">
        <v>125</v>
      </c>
      <c r="I1223" s="184" t="s">
        <v>114</v>
      </c>
      <c r="J1223" s="185" t="s">
        <v>31</v>
      </c>
      <c r="K1223" s="184" t="s">
        <v>7567</v>
      </c>
      <c r="L1223" s="184" t="s">
        <v>276</v>
      </c>
      <c r="M1223" s="184" t="s">
        <v>276</v>
      </c>
      <c r="N1223" s="185" t="s">
        <v>7549</v>
      </c>
      <c r="O1223" s="185" t="s">
        <v>276</v>
      </c>
      <c r="P1223" s="185" t="s">
        <v>239</v>
      </c>
      <c r="Q1223" s="302" t="s">
        <v>98</v>
      </c>
      <c r="R1223" s="185" t="s">
        <v>728</v>
      </c>
      <c r="S1223" s="185" t="s">
        <v>7550</v>
      </c>
      <c r="T1223" s="185" t="s">
        <v>7556</v>
      </c>
      <c r="U1223" s="185">
        <v>4</v>
      </c>
      <c r="V1223" s="184" t="s">
        <v>14</v>
      </c>
      <c r="W1223" s="185" t="s">
        <v>98</v>
      </c>
      <c r="X1223" s="185" t="s">
        <v>207</v>
      </c>
      <c r="Y1223" s="189">
        <v>31000</v>
      </c>
      <c r="Z1223" s="185">
        <v>31000</v>
      </c>
      <c r="AA1223" s="185" t="s">
        <v>276</v>
      </c>
      <c r="AB1223" s="185" t="s">
        <v>276</v>
      </c>
      <c r="AC1223" s="184">
        <v>116</v>
      </c>
      <c r="AD1223" s="185" t="s">
        <v>7564</v>
      </c>
      <c r="AE1223" s="184">
        <v>131</v>
      </c>
      <c r="AF1223" s="185" t="s">
        <v>7564</v>
      </c>
      <c r="AG1223" s="185" t="s">
        <v>7568</v>
      </c>
      <c r="AH1223" s="185" t="s">
        <v>4658</v>
      </c>
      <c r="AI1223" s="188">
        <v>112</v>
      </c>
      <c r="AJ1223" s="188">
        <v>112</v>
      </c>
      <c r="AK1223" s="188">
        <v>31000</v>
      </c>
      <c r="AL1223" s="188">
        <v>31000</v>
      </c>
      <c r="AM1223" s="188" t="s">
        <v>281</v>
      </c>
      <c r="AN1223" s="184" t="s">
        <v>276</v>
      </c>
      <c r="AO1223" s="192">
        <f>AI1223*1000/AK1223</f>
        <v>3.6129032258064515</v>
      </c>
      <c r="AP1223" s="184" t="s">
        <v>276</v>
      </c>
      <c r="AQ1223" s="184" t="s">
        <v>276</v>
      </c>
      <c r="AR1223" s="184" t="s">
        <v>276</v>
      </c>
      <c r="AS1223" s="192">
        <f>AJ1223*1000/AL1223</f>
        <v>3.6129032258064515</v>
      </c>
      <c r="AT1223" s="184" t="s">
        <v>276</v>
      </c>
      <c r="AU1223" s="184" t="s">
        <v>276</v>
      </c>
      <c r="AV1223" s="184" t="s">
        <v>268</v>
      </c>
      <c r="AW1223" s="184" t="s">
        <v>276</v>
      </c>
      <c r="AX1223" s="192">
        <f>AO1223/AS1223</f>
        <v>1</v>
      </c>
      <c r="AY1223" s="184" t="s">
        <v>276</v>
      </c>
      <c r="AZ1223" s="184" t="s">
        <v>276</v>
      </c>
      <c r="BA1223" s="184" t="s">
        <v>276</v>
      </c>
      <c r="BB1223" s="184" t="s">
        <v>282</v>
      </c>
      <c r="BC1223" s="184" t="s">
        <v>98</v>
      </c>
      <c r="BD1223" s="184" t="s">
        <v>98</v>
      </c>
      <c r="BE1223" s="184" t="s">
        <v>98</v>
      </c>
      <c r="BF1223" s="185" t="s">
        <v>11537</v>
      </c>
      <c r="BG1223" s="185"/>
      <c r="BH1223" s="9" t="s">
        <v>100</v>
      </c>
      <c r="BI1223" s="9" t="s">
        <v>100</v>
      </c>
      <c r="BJ1223" s="193"/>
      <c r="BN1223" s="193"/>
      <c r="BO1223" s="193"/>
    </row>
    <row r="1224" spans="1:67" s="33" customFormat="1" ht="87.65" hidden="1" customHeight="1" x14ac:dyDescent="0.35">
      <c r="A1224" s="8">
        <v>3894</v>
      </c>
      <c r="B1224" s="8" t="s">
        <v>7473</v>
      </c>
      <c r="C1224" s="8" t="s">
        <v>64</v>
      </c>
      <c r="D1224" s="9" t="s">
        <v>7548</v>
      </c>
      <c r="E1224" s="8" t="s">
        <v>35</v>
      </c>
      <c r="F1224" s="9" t="s">
        <v>131</v>
      </c>
      <c r="G1224" s="8" t="s">
        <v>225</v>
      </c>
      <c r="H1224" s="8" t="s">
        <v>225</v>
      </c>
      <c r="I1224" s="8" t="s">
        <v>98</v>
      </c>
      <c r="J1224" s="9" t="s">
        <v>98</v>
      </c>
      <c r="K1224" s="8" t="s">
        <v>98</v>
      </c>
      <c r="L1224" s="8" t="s">
        <v>98</v>
      </c>
      <c r="M1224" s="8" t="s">
        <v>98</v>
      </c>
      <c r="N1224" s="9" t="s">
        <v>7569</v>
      </c>
      <c r="O1224" s="9" t="s">
        <v>276</v>
      </c>
      <c r="P1224" s="9" t="s">
        <v>238</v>
      </c>
      <c r="Q1224" s="52" t="s">
        <v>98</v>
      </c>
      <c r="R1224" s="9" t="s">
        <v>728</v>
      </c>
      <c r="S1224" s="9" t="s">
        <v>7550</v>
      </c>
      <c r="T1224" s="9" t="s">
        <v>7556</v>
      </c>
      <c r="U1224" s="9">
        <v>4</v>
      </c>
      <c r="V1224" s="8" t="s">
        <v>14</v>
      </c>
      <c r="W1224" s="9" t="s">
        <v>98</v>
      </c>
      <c r="X1224" s="9" t="s">
        <v>209</v>
      </c>
      <c r="Y1224" s="13">
        <v>30239</v>
      </c>
      <c r="Z1224" s="9" t="s">
        <v>98</v>
      </c>
      <c r="AA1224" s="9" t="s">
        <v>276</v>
      </c>
      <c r="AB1224" s="9" t="s">
        <v>98</v>
      </c>
      <c r="AC1224" s="8">
        <v>0</v>
      </c>
      <c r="AD1224" s="8" t="s">
        <v>5574</v>
      </c>
      <c r="AE1224" s="8" t="s">
        <v>98</v>
      </c>
      <c r="AF1224" s="8" t="s">
        <v>98</v>
      </c>
      <c r="AG1224" s="9" t="s">
        <v>7551</v>
      </c>
      <c r="AH1224" s="9" t="s">
        <v>7570</v>
      </c>
      <c r="AI1224" s="38">
        <f>55+77</f>
        <v>132</v>
      </c>
      <c r="AJ1224" s="38" t="s">
        <v>98</v>
      </c>
      <c r="AK1224" s="38">
        <v>30239</v>
      </c>
      <c r="AL1224" s="38" t="s">
        <v>98</v>
      </c>
      <c r="AM1224" s="38" t="s">
        <v>281</v>
      </c>
      <c r="AN1224" s="8" t="s">
        <v>276</v>
      </c>
      <c r="AO1224" s="14">
        <f>AI1224*1000/AK1224</f>
        <v>4.3652237177155326</v>
      </c>
      <c r="AP1224" s="8" t="s">
        <v>276</v>
      </c>
      <c r="AQ1224" s="8" t="s">
        <v>276</v>
      </c>
      <c r="AR1224" s="8" t="s">
        <v>98</v>
      </c>
      <c r="AS1224" s="8" t="s">
        <v>98</v>
      </c>
      <c r="AT1224" s="8" t="s">
        <v>98</v>
      </c>
      <c r="AU1224" s="8" t="s">
        <v>98</v>
      </c>
      <c r="AV1224" s="8" t="s">
        <v>98</v>
      </c>
      <c r="AW1224" s="8" t="s">
        <v>98</v>
      </c>
      <c r="AX1224" s="8" t="s">
        <v>98</v>
      </c>
      <c r="AY1224" s="8" t="s">
        <v>98</v>
      </c>
      <c r="AZ1224" s="8" t="s">
        <v>98</v>
      </c>
      <c r="BA1224" s="8" t="s">
        <v>98</v>
      </c>
      <c r="BB1224" s="8" t="s">
        <v>98</v>
      </c>
      <c r="BC1224" s="8" t="s">
        <v>98</v>
      </c>
      <c r="BD1224" s="8" t="s">
        <v>98</v>
      </c>
      <c r="BE1224" s="8" t="s">
        <v>98</v>
      </c>
      <c r="BF1224" s="9" t="s">
        <v>1029</v>
      </c>
      <c r="BG1224" s="9"/>
      <c r="BH1224" s="9" t="s">
        <v>100</v>
      </c>
      <c r="BI1224" s="9" t="s">
        <v>100</v>
      </c>
      <c r="BJ1224" s="32"/>
      <c r="BN1224" s="32"/>
      <c r="BO1224" s="32"/>
    </row>
    <row r="1225" spans="1:67" s="33" customFormat="1" ht="117" hidden="1" x14ac:dyDescent="0.35">
      <c r="A1225" s="8">
        <v>3894</v>
      </c>
      <c r="B1225" s="8" t="s">
        <v>7473</v>
      </c>
      <c r="C1225" s="8" t="s">
        <v>64</v>
      </c>
      <c r="D1225" s="9" t="s">
        <v>7552</v>
      </c>
      <c r="E1225" s="8" t="s">
        <v>35</v>
      </c>
      <c r="F1225" s="9" t="s">
        <v>131</v>
      </c>
      <c r="G1225" s="8" t="s">
        <v>225</v>
      </c>
      <c r="H1225" s="8" t="s">
        <v>225</v>
      </c>
      <c r="I1225" s="8" t="s">
        <v>98</v>
      </c>
      <c r="J1225" s="9" t="s">
        <v>98</v>
      </c>
      <c r="K1225" s="8" t="s">
        <v>98</v>
      </c>
      <c r="L1225" s="8" t="s">
        <v>98</v>
      </c>
      <c r="M1225" s="8" t="s">
        <v>98</v>
      </c>
      <c r="N1225" s="9" t="s">
        <v>7569</v>
      </c>
      <c r="O1225" s="9" t="s">
        <v>276</v>
      </c>
      <c r="P1225" s="9" t="s">
        <v>236</v>
      </c>
      <c r="Q1225" s="52" t="s">
        <v>98</v>
      </c>
      <c r="R1225" s="9" t="s">
        <v>728</v>
      </c>
      <c r="S1225" s="9" t="s">
        <v>7550</v>
      </c>
      <c r="T1225" s="9" t="s">
        <v>7556</v>
      </c>
      <c r="U1225" s="9">
        <v>4</v>
      </c>
      <c r="V1225" s="8" t="s">
        <v>14</v>
      </c>
      <c r="W1225" s="9" t="s">
        <v>98</v>
      </c>
      <c r="X1225" s="9" t="s">
        <v>209</v>
      </c>
      <c r="Y1225" s="13" t="s">
        <v>98</v>
      </c>
      <c r="Z1225" s="9" t="s">
        <v>98</v>
      </c>
      <c r="AA1225" s="9" t="s">
        <v>276</v>
      </c>
      <c r="AB1225" s="9" t="s">
        <v>98</v>
      </c>
      <c r="AC1225" s="8">
        <v>0</v>
      </c>
      <c r="AD1225" s="8" t="s">
        <v>5574</v>
      </c>
      <c r="AE1225" s="8" t="s">
        <v>98</v>
      </c>
      <c r="AF1225" s="8" t="s">
        <v>98</v>
      </c>
      <c r="AG1225" s="9" t="s">
        <v>7551</v>
      </c>
      <c r="AH1225" s="9" t="s">
        <v>7553</v>
      </c>
      <c r="AI1225" s="38">
        <f>55+77</f>
        <v>132</v>
      </c>
      <c r="AJ1225" s="38" t="s">
        <v>98</v>
      </c>
      <c r="AK1225" s="38">
        <v>303</v>
      </c>
      <c r="AL1225" s="38" t="s">
        <v>98</v>
      </c>
      <c r="AM1225" s="38" t="s">
        <v>292</v>
      </c>
      <c r="AN1225" s="8" t="s">
        <v>276</v>
      </c>
      <c r="AO1225" s="14">
        <f>AI1225*100/AK1225</f>
        <v>43.564356435643568</v>
      </c>
      <c r="AP1225" s="8" t="s">
        <v>276</v>
      </c>
      <c r="AQ1225" s="8" t="s">
        <v>276</v>
      </c>
      <c r="AR1225" s="8" t="s">
        <v>98</v>
      </c>
      <c r="AS1225" s="8" t="s">
        <v>98</v>
      </c>
      <c r="AT1225" s="8" t="s">
        <v>98</v>
      </c>
      <c r="AU1225" s="8" t="s">
        <v>98</v>
      </c>
      <c r="AV1225" s="8" t="s">
        <v>98</v>
      </c>
      <c r="AW1225" s="8" t="s">
        <v>98</v>
      </c>
      <c r="AX1225" s="8" t="s">
        <v>98</v>
      </c>
      <c r="AY1225" s="8" t="s">
        <v>98</v>
      </c>
      <c r="AZ1225" s="8" t="s">
        <v>98</v>
      </c>
      <c r="BA1225" s="8" t="s">
        <v>98</v>
      </c>
      <c r="BB1225" s="8" t="s">
        <v>98</v>
      </c>
      <c r="BC1225" s="8" t="s">
        <v>98</v>
      </c>
      <c r="BD1225" s="8" t="s">
        <v>98</v>
      </c>
      <c r="BE1225" s="8" t="s">
        <v>98</v>
      </c>
      <c r="BF1225" s="9" t="s">
        <v>1029</v>
      </c>
      <c r="BG1225" s="9"/>
      <c r="BH1225" s="9" t="s">
        <v>100</v>
      </c>
      <c r="BI1225" s="9" t="s">
        <v>100</v>
      </c>
      <c r="BJ1225" s="32"/>
      <c r="BN1225" s="32"/>
      <c r="BO1225" s="32"/>
    </row>
    <row r="1226" spans="1:67" s="110" customFormat="1" ht="52" hidden="1" x14ac:dyDescent="0.35">
      <c r="A1226" s="94">
        <v>11132</v>
      </c>
      <c r="B1226" s="94" t="s">
        <v>7487</v>
      </c>
      <c r="C1226" s="94" t="s">
        <v>64</v>
      </c>
      <c r="D1226" s="95" t="s">
        <v>7571</v>
      </c>
      <c r="E1226" s="94" t="s">
        <v>35</v>
      </c>
      <c r="F1226" s="95" t="s">
        <v>131</v>
      </c>
      <c r="G1226" s="94" t="s">
        <v>225</v>
      </c>
      <c r="H1226" s="94" t="s">
        <v>225</v>
      </c>
      <c r="I1226" s="94" t="s">
        <v>98</v>
      </c>
      <c r="J1226" s="95" t="s">
        <v>98</v>
      </c>
      <c r="K1226" s="94" t="s">
        <v>98</v>
      </c>
      <c r="L1226" s="94" t="s">
        <v>98</v>
      </c>
      <c r="M1226" s="94" t="s">
        <v>98</v>
      </c>
      <c r="N1226" s="95" t="s">
        <v>276</v>
      </c>
      <c r="O1226" s="95" t="s">
        <v>276</v>
      </c>
      <c r="P1226" s="95" t="s">
        <v>236</v>
      </c>
      <c r="Q1226" s="140" t="s">
        <v>98</v>
      </c>
      <c r="R1226" s="95" t="s">
        <v>766</v>
      </c>
      <c r="S1226" s="95" t="s">
        <v>7572</v>
      </c>
      <c r="T1226" s="95" t="s">
        <v>7573</v>
      </c>
      <c r="U1226" s="95">
        <v>4</v>
      </c>
      <c r="V1226" s="94" t="s">
        <v>14</v>
      </c>
      <c r="W1226" s="95" t="s">
        <v>98</v>
      </c>
      <c r="X1226" s="95" t="s">
        <v>209</v>
      </c>
      <c r="Y1226" s="98" t="s">
        <v>98</v>
      </c>
      <c r="Z1226" s="95" t="s">
        <v>98</v>
      </c>
      <c r="AA1226" s="95" t="s">
        <v>276</v>
      </c>
      <c r="AB1226" s="95" t="s">
        <v>98</v>
      </c>
      <c r="AC1226" s="94">
        <v>0</v>
      </c>
      <c r="AD1226" s="94" t="s">
        <v>5574</v>
      </c>
      <c r="AE1226" s="94" t="s">
        <v>98</v>
      </c>
      <c r="AF1226" s="94" t="s">
        <v>98</v>
      </c>
      <c r="AG1226" s="95" t="s">
        <v>7574</v>
      </c>
      <c r="AH1226" s="95" t="s">
        <v>7575</v>
      </c>
      <c r="AI1226" s="99">
        <f>55+77</f>
        <v>132</v>
      </c>
      <c r="AJ1226" s="99" t="s">
        <v>98</v>
      </c>
      <c r="AK1226" s="99">
        <v>604</v>
      </c>
      <c r="AL1226" s="99" t="s">
        <v>98</v>
      </c>
      <c r="AM1226" s="99" t="s">
        <v>292</v>
      </c>
      <c r="AN1226" s="94" t="s">
        <v>276</v>
      </c>
      <c r="AO1226" s="102">
        <f>AI1226*100/AK1226</f>
        <v>21.85430463576159</v>
      </c>
      <c r="AP1226" s="94" t="s">
        <v>276</v>
      </c>
      <c r="AQ1226" s="94" t="s">
        <v>276</v>
      </c>
      <c r="AR1226" s="94" t="s">
        <v>98</v>
      </c>
      <c r="AS1226" s="94" t="s">
        <v>98</v>
      </c>
      <c r="AT1226" s="94" t="s">
        <v>98</v>
      </c>
      <c r="AU1226" s="94" t="s">
        <v>98</v>
      </c>
      <c r="AV1226" s="94" t="s">
        <v>98</v>
      </c>
      <c r="AW1226" s="94" t="s">
        <v>98</v>
      </c>
      <c r="AX1226" s="94" t="s">
        <v>98</v>
      </c>
      <c r="AY1226" s="94" t="s">
        <v>98</v>
      </c>
      <c r="AZ1226" s="94" t="s">
        <v>98</v>
      </c>
      <c r="BA1226" s="94" t="s">
        <v>98</v>
      </c>
      <c r="BB1226" s="94" t="s">
        <v>98</v>
      </c>
      <c r="BC1226" s="94" t="s">
        <v>98</v>
      </c>
      <c r="BD1226" s="94" t="s">
        <v>98</v>
      </c>
      <c r="BE1226" s="94" t="s">
        <v>98</v>
      </c>
      <c r="BF1226" s="95" t="s">
        <v>7576</v>
      </c>
      <c r="BG1226" s="95" t="s">
        <v>7577</v>
      </c>
      <c r="BH1226" s="9" t="s">
        <v>100</v>
      </c>
      <c r="BI1226" s="9" t="s">
        <v>100</v>
      </c>
      <c r="BJ1226" s="109"/>
      <c r="BN1226" s="109"/>
      <c r="BO1226" s="109"/>
    </row>
    <row r="1227" spans="1:67" s="33" customFormat="1" ht="52" hidden="1" x14ac:dyDescent="0.35">
      <c r="A1227" s="8">
        <v>670</v>
      </c>
      <c r="B1227" s="8" t="s">
        <v>7578</v>
      </c>
      <c r="C1227" s="8" t="s">
        <v>76</v>
      </c>
      <c r="D1227" s="9" t="s">
        <v>7647</v>
      </c>
      <c r="E1227" s="8" t="s">
        <v>39</v>
      </c>
      <c r="F1227" s="8" t="s">
        <v>143</v>
      </c>
      <c r="G1227" s="8" t="s">
        <v>225</v>
      </c>
      <c r="H1227" s="8" t="s">
        <v>125</v>
      </c>
      <c r="I1227" s="8" t="s">
        <v>114</v>
      </c>
      <c r="J1227" s="9" t="s">
        <v>25</v>
      </c>
      <c r="K1227" s="8" t="s">
        <v>300</v>
      </c>
      <c r="L1227" s="9" t="s">
        <v>7648</v>
      </c>
      <c r="M1227" s="8" t="s">
        <v>300</v>
      </c>
      <c r="N1227" s="9" t="s">
        <v>7649</v>
      </c>
      <c r="O1227" s="9" t="s">
        <v>7581</v>
      </c>
      <c r="P1227" s="9" t="s">
        <v>239</v>
      </c>
      <c r="Q1227" s="52">
        <v>41639</v>
      </c>
      <c r="R1227" s="9" t="s">
        <v>766</v>
      </c>
      <c r="S1227" s="9" t="s">
        <v>7650</v>
      </c>
      <c r="T1227" s="9" t="s">
        <v>7650</v>
      </c>
      <c r="U1227" s="48">
        <v>4</v>
      </c>
      <c r="V1227" s="8" t="s">
        <v>14</v>
      </c>
      <c r="W1227" s="8" t="s">
        <v>98</v>
      </c>
      <c r="X1227" s="9" t="s">
        <v>207</v>
      </c>
      <c r="Y1227" s="13">
        <v>1613</v>
      </c>
      <c r="Z1227" s="38">
        <v>1593</v>
      </c>
      <c r="AA1227" s="8" t="s">
        <v>276</v>
      </c>
      <c r="AB1227" s="8" t="s">
        <v>276</v>
      </c>
      <c r="AC1227" s="8">
        <v>5</v>
      </c>
      <c r="AD1227" s="8" t="s">
        <v>968</v>
      </c>
      <c r="AE1227" s="8">
        <v>15</v>
      </c>
      <c r="AF1227" s="8" t="s">
        <v>968</v>
      </c>
      <c r="AG1227" s="9" t="s">
        <v>7651</v>
      </c>
      <c r="AH1227" s="9" t="s">
        <v>866</v>
      </c>
      <c r="AI1227" s="38">
        <v>24</v>
      </c>
      <c r="AJ1227" s="38">
        <v>8</v>
      </c>
      <c r="AK1227" s="38">
        <v>1613</v>
      </c>
      <c r="AL1227" s="38">
        <v>1593</v>
      </c>
      <c r="AM1227" s="38" t="s">
        <v>292</v>
      </c>
      <c r="AN1227" s="8" t="s">
        <v>276</v>
      </c>
      <c r="AO1227" s="14">
        <f t="shared" ref="AO1227:AO1237" si="372">AI1227*100/AK1227</f>
        <v>1.4879107253564785</v>
      </c>
      <c r="AP1227" s="8" t="s">
        <v>276</v>
      </c>
      <c r="AQ1227" s="8" t="s">
        <v>276</v>
      </c>
      <c r="AR1227" s="8" t="s">
        <v>276</v>
      </c>
      <c r="AS1227" s="14">
        <f t="shared" ref="AS1227:AS1233" si="373">AJ1227*100/AL1227</f>
        <v>0.50219711236660391</v>
      </c>
      <c r="AT1227" s="8" t="s">
        <v>276</v>
      </c>
      <c r="AU1227" s="8" t="s">
        <v>276</v>
      </c>
      <c r="AV1227" s="9" t="s">
        <v>268</v>
      </c>
      <c r="AW1227" s="40" t="s">
        <v>276</v>
      </c>
      <c r="AX1227" s="40">
        <f t="shared" ref="AX1227:AX1233" si="374">AO1227/AS1227</f>
        <v>2.9628022318660876</v>
      </c>
      <c r="AY1227" s="9" t="s">
        <v>276</v>
      </c>
      <c r="AZ1227" s="9" t="s">
        <v>276</v>
      </c>
      <c r="BA1227" s="9" t="s">
        <v>276</v>
      </c>
      <c r="BB1227" s="9" t="s">
        <v>282</v>
      </c>
      <c r="BC1227" s="9" t="s">
        <v>276</v>
      </c>
      <c r="BD1227" s="9" t="s">
        <v>276</v>
      </c>
      <c r="BE1227" s="9" t="s">
        <v>276</v>
      </c>
      <c r="BF1227" s="9" t="s">
        <v>7652</v>
      </c>
      <c r="BG1227" s="9" t="s">
        <v>276</v>
      </c>
      <c r="BH1227" s="9" t="s">
        <v>100</v>
      </c>
      <c r="BI1227" s="9" t="s">
        <v>100</v>
      </c>
      <c r="BJ1227" s="32"/>
      <c r="BN1227" s="32"/>
      <c r="BO1227" s="32"/>
    </row>
    <row r="1228" spans="1:67" s="33" customFormat="1" ht="52" hidden="1" x14ac:dyDescent="0.35">
      <c r="A1228" s="8">
        <v>670</v>
      </c>
      <c r="B1228" s="8" t="s">
        <v>7578</v>
      </c>
      <c r="C1228" s="8" t="s">
        <v>76</v>
      </c>
      <c r="D1228" s="9" t="s">
        <v>7653</v>
      </c>
      <c r="E1228" s="8" t="s">
        <v>39</v>
      </c>
      <c r="F1228" s="8" t="s">
        <v>143</v>
      </c>
      <c r="G1228" s="8" t="s">
        <v>225</v>
      </c>
      <c r="H1228" s="8" t="s">
        <v>125</v>
      </c>
      <c r="I1228" s="8" t="s">
        <v>114</v>
      </c>
      <c r="J1228" s="9" t="s">
        <v>25</v>
      </c>
      <c r="K1228" s="8" t="s">
        <v>304</v>
      </c>
      <c r="L1228" s="9" t="s">
        <v>7648</v>
      </c>
      <c r="M1228" s="8" t="s">
        <v>300</v>
      </c>
      <c r="N1228" s="9" t="s">
        <v>7649</v>
      </c>
      <c r="O1228" s="9" t="s">
        <v>7581</v>
      </c>
      <c r="P1228" s="9" t="s">
        <v>239</v>
      </c>
      <c r="Q1228" s="52">
        <v>41639</v>
      </c>
      <c r="R1228" s="9" t="s">
        <v>766</v>
      </c>
      <c r="S1228" s="9" t="s">
        <v>7650</v>
      </c>
      <c r="T1228" s="9" t="s">
        <v>7650</v>
      </c>
      <c r="U1228" s="48">
        <v>4</v>
      </c>
      <c r="V1228" s="8" t="s">
        <v>14</v>
      </c>
      <c r="W1228" s="8" t="s">
        <v>98</v>
      </c>
      <c r="X1228" s="9" t="s">
        <v>207</v>
      </c>
      <c r="Y1228" s="13">
        <v>1613</v>
      </c>
      <c r="Z1228" s="38">
        <v>1593</v>
      </c>
      <c r="AA1228" s="8" t="s">
        <v>276</v>
      </c>
      <c r="AB1228" s="8" t="s">
        <v>276</v>
      </c>
      <c r="AC1228" s="8">
        <v>5</v>
      </c>
      <c r="AD1228" s="8" t="s">
        <v>968</v>
      </c>
      <c r="AE1228" s="8">
        <v>15</v>
      </c>
      <c r="AF1228" s="8" t="s">
        <v>968</v>
      </c>
      <c r="AG1228" s="9" t="s">
        <v>7654</v>
      </c>
      <c r="AH1228" s="9" t="s">
        <v>866</v>
      </c>
      <c r="AI1228" s="38">
        <v>5</v>
      </c>
      <c r="AJ1228" s="38">
        <v>5</v>
      </c>
      <c r="AK1228" s="38">
        <v>1613</v>
      </c>
      <c r="AL1228" s="38">
        <v>1593</v>
      </c>
      <c r="AM1228" s="38" t="s">
        <v>292</v>
      </c>
      <c r="AN1228" s="8" t="s">
        <v>276</v>
      </c>
      <c r="AO1228" s="14">
        <f t="shared" ref="AO1228" si="375">AI1228*100/AK1228</f>
        <v>0.30998140111593303</v>
      </c>
      <c r="AP1228" s="8" t="s">
        <v>276</v>
      </c>
      <c r="AQ1228" s="8" t="s">
        <v>276</v>
      </c>
      <c r="AR1228" s="8" t="s">
        <v>276</v>
      </c>
      <c r="AS1228" s="14">
        <f t="shared" ref="AS1228" si="376">AJ1228*100/AL1228</f>
        <v>0.31387319522912743</v>
      </c>
      <c r="AT1228" s="8" t="s">
        <v>276</v>
      </c>
      <c r="AU1228" s="8" t="s">
        <v>276</v>
      </c>
      <c r="AV1228" s="9" t="s">
        <v>268</v>
      </c>
      <c r="AW1228" s="40" t="s">
        <v>276</v>
      </c>
      <c r="AX1228" s="40">
        <f t="shared" ref="AX1228" si="377">AO1228/AS1228</f>
        <v>0.98760074395536268</v>
      </c>
      <c r="AY1228" s="9" t="s">
        <v>276</v>
      </c>
      <c r="AZ1228" s="9" t="s">
        <v>276</v>
      </c>
      <c r="BA1228" s="9" t="s">
        <v>276</v>
      </c>
      <c r="BB1228" s="9" t="s">
        <v>282</v>
      </c>
      <c r="BC1228" s="9" t="s">
        <v>276</v>
      </c>
      <c r="BD1228" s="9" t="s">
        <v>276</v>
      </c>
      <c r="BE1228" s="9" t="s">
        <v>276</v>
      </c>
      <c r="BF1228" s="9" t="s">
        <v>298</v>
      </c>
      <c r="BG1228" s="9" t="s">
        <v>276</v>
      </c>
      <c r="BH1228" s="9" t="s">
        <v>100</v>
      </c>
      <c r="BI1228" s="9" t="s">
        <v>100</v>
      </c>
      <c r="BJ1228" s="32"/>
      <c r="BN1228" s="32"/>
      <c r="BO1228" s="32"/>
    </row>
    <row r="1229" spans="1:67" s="33" customFormat="1" ht="52" hidden="1" x14ac:dyDescent="0.35">
      <c r="A1229" s="8">
        <v>670</v>
      </c>
      <c r="B1229" s="8" t="s">
        <v>7578</v>
      </c>
      <c r="C1229" s="8" t="s">
        <v>76</v>
      </c>
      <c r="D1229" s="9" t="s">
        <v>11629</v>
      </c>
      <c r="E1229" s="8" t="s">
        <v>39</v>
      </c>
      <c r="F1229" s="8" t="s">
        <v>143</v>
      </c>
      <c r="G1229" s="8" t="s">
        <v>225</v>
      </c>
      <c r="H1229" s="8" t="s">
        <v>125</v>
      </c>
      <c r="I1229" s="8" t="s">
        <v>114</v>
      </c>
      <c r="J1229" s="9" t="s">
        <v>25</v>
      </c>
      <c r="K1229" s="8" t="s">
        <v>307</v>
      </c>
      <c r="L1229" s="9" t="s">
        <v>7648</v>
      </c>
      <c r="M1229" s="8" t="s">
        <v>300</v>
      </c>
      <c r="N1229" s="9" t="s">
        <v>7649</v>
      </c>
      <c r="O1229" s="9" t="s">
        <v>7581</v>
      </c>
      <c r="P1229" s="9" t="s">
        <v>239</v>
      </c>
      <c r="Q1229" s="52">
        <v>41639</v>
      </c>
      <c r="R1229" s="9" t="s">
        <v>766</v>
      </c>
      <c r="S1229" s="9" t="s">
        <v>7650</v>
      </c>
      <c r="T1229" s="9" t="s">
        <v>7650</v>
      </c>
      <c r="U1229" s="48">
        <v>4</v>
      </c>
      <c r="V1229" s="8" t="s">
        <v>14</v>
      </c>
      <c r="W1229" s="8" t="s">
        <v>98</v>
      </c>
      <c r="X1229" s="9" t="s">
        <v>207</v>
      </c>
      <c r="Y1229" s="13">
        <v>1613</v>
      </c>
      <c r="Z1229" s="38">
        <v>1593</v>
      </c>
      <c r="AA1229" s="8" t="s">
        <v>276</v>
      </c>
      <c r="AB1229" s="8" t="s">
        <v>276</v>
      </c>
      <c r="AC1229" s="8">
        <v>5</v>
      </c>
      <c r="AD1229" s="8" t="s">
        <v>968</v>
      </c>
      <c r="AE1229" s="8">
        <v>15</v>
      </c>
      <c r="AF1229" s="8" t="s">
        <v>968</v>
      </c>
      <c r="AG1229" s="9" t="s">
        <v>11630</v>
      </c>
      <c r="AH1229" s="9" t="s">
        <v>866</v>
      </c>
      <c r="AI1229" s="38">
        <f>5+24</f>
        <v>29</v>
      </c>
      <c r="AJ1229" s="38">
        <f>5+8</f>
        <v>13</v>
      </c>
      <c r="AK1229" s="38">
        <v>1613</v>
      </c>
      <c r="AL1229" s="38">
        <v>1593</v>
      </c>
      <c r="AM1229" s="38" t="s">
        <v>292</v>
      </c>
      <c r="AN1229" s="8" t="s">
        <v>276</v>
      </c>
      <c r="AO1229" s="14">
        <f t="shared" si="372"/>
        <v>1.7978921264724117</v>
      </c>
      <c r="AP1229" s="8" t="s">
        <v>276</v>
      </c>
      <c r="AQ1229" s="8" t="s">
        <v>276</v>
      </c>
      <c r="AR1229" s="8" t="s">
        <v>276</v>
      </c>
      <c r="AS1229" s="14">
        <f t="shared" si="373"/>
        <v>0.81607030759573129</v>
      </c>
      <c r="AT1229" s="8" t="s">
        <v>276</v>
      </c>
      <c r="AU1229" s="8" t="s">
        <v>276</v>
      </c>
      <c r="AV1229" s="9" t="s">
        <v>268</v>
      </c>
      <c r="AW1229" s="40" t="s">
        <v>276</v>
      </c>
      <c r="AX1229" s="40">
        <f t="shared" si="374"/>
        <v>2.2031093519004248</v>
      </c>
      <c r="AY1229" s="9" t="s">
        <v>276</v>
      </c>
      <c r="AZ1229" s="9" t="s">
        <v>276</v>
      </c>
      <c r="BA1229" s="9" t="s">
        <v>276</v>
      </c>
      <c r="BB1229" s="9" t="s">
        <v>282</v>
      </c>
      <c r="BC1229" s="9" t="s">
        <v>276</v>
      </c>
      <c r="BD1229" s="9" t="s">
        <v>276</v>
      </c>
      <c r="BE1229" s="9" t="s">
        <v>276</v>
      </c>
      <c r="BF1229" s="9" t="s">
        <v>298</v>
      </c>
      <c r="BG1229" s="9" t="s">
        <v>276</v>
      </c>
      <c r="BH1229" s="9" t="s">
        <v>100</v>
      </c>
      <c r="BI1229" s="9" t="s">
        <v>100</v>
      </c>
      <c r="BJ1229" s="32"/>
      <c r="BN1229" s="32"/>
      <c r="BO1229" s="32"/>
    </row>
    <row r="1230" spans="1:67" s="33" customFormat="1" ht="52" hidden="1" x14ac:dyDescent="0.35">
      <c r="A1230" s="8">
        <v>670</v>
      </c>
      <c r="B1230" s="8" t="s">
        <v>7578</v>
      </c>
      <c r="C1230" s="8" t="s">
        <v>76</v>
      </c>
      <c r="D1230" s="9" t="s">
        <v>7655</v>
      </c>
      <c r="E1230" s="8" t="s">
        <v>39</v>
      </c>
      <c r="F1230" s="8" t="s">
        <v>143</v>
      </c>
      <c r="G1230" s="8" t="s">
        <v>225</v>
      </c>
      <c r="H1230" s="8" t="s">
        <v>125</v>
      </c>
      <c r="I1230" s="8" t="s">
        <v>114</v>
      </c>
      <c r="J1230" s="9" t="s">
        <v>25</v>
      </c>
      <c r="K1230" s="8" t="s">
        <v>311</v>
      </c>
      <c r="L1230" s="9" t="s">
        <v>7648</v>
      </c>
      <c r="M1230" s="8" t="s">
        <v>300</v>
      </c>
      <c r="N1230" s="9" t="s">
        <v>7649</v>
      </c>
      <c r="O1230" s="9" t="s">
        <v>7581</v>
      </c>
      <c r="P1230" s="9" t="s">
        <v>239</v>
      </c>
      <c r="Q1230" s="52">
        <v>41639</v>
      </c>
      <c r="R1230" s="9" t="s">
        <v>766</v>
      </c>
      <c r="S1230" s="9" t="s">
        <v>7650</v>
      </c>
      <c r="T1230" s="9" t="s">
        <v>7650</v>
      </c>
      <c r="U1230" s="48">
        <v>4</v>
      </c>
      <c r="V1230" s="8" t="s">
        <v>14</v>
      </c>
      <c r="W1230" s="8" t="s">
        <v>98</v>
      </c>
      <c r="X1230" s="9" t="s">
        <v>207</v>
      </c>
      <c r="Y1230" s="13">
        <v>1613</v>
      </c>
      <c r="Z1230" s="38">
        <v>1593</v>
      </c>
      <c r="AA1230" s="8" t="s">
        <v>276</v>
      </c>
      <c r="AB1230" s="8" t="s">
        <v>276</v>
      </c>
      <c r="AC1230" s="8">
        <v>5</v>
      </c>
      <c r="AD1230" s="8" t="s">
        <v>968</v>
      </c>
      <c r="AE1230" s="8">
        <v>15</v>
      </c>
      <c r="AF1230" s="8" t="s">
        <v>968</v>
      </c>
      <c r="AG1230" s="9" t="s">
        <v>7656</v>
      </c>
      <c r="AH1230" s="9" t="s">
        <v>866</v>
      </c>
      <c r="AI1230" s="38">
        <v>9</v>
      </c>
      <c r="AJ1230" s="38">
        <v>8</v>
      </c>
      <c r="AK1230" s="38">
        <v>1613</v>
      </c>
      <c r="AL1230" s="38">
        <v>1593</v>
      </c>
      <c r="AM1230" s="38" t="s">
        <v>292</v>
      </c>
      <c r="AN1230" s="8" t="s">
        <v>276</v>
      </c>
      <c r="AO1230" s="14">
        <f t="shared" si="372"/>
        <v>0.55796652200867947</v>
      </c>
      <c r="AP1230" s="8" t="s">
        <v>276</v>
      </c>
      <c r="AQ1230" s="8" t="s">
        <v>276</v>
      </c>
      <c r="AR1230" s="8" t="s">
        <v>276</v>
      </c>
      <c r="AS1230" s="14">
        <f t="shared" si="373"/>
        <v>0.50219711236660391</v>
      </c>
      <c r="AT1230" s="8" t="s">
        <v>276</v>
      </c>
      <c r="AU1230" s="8" t="s">
        <v>276</v>
      </c>
      <c r="AV1230" s="9" t="s">
        <v>268</v>
      </c>
      <c r="AW1230" s="40" t="s">
        <v>276</v>
      </c>
      <c r="AX1230" s="40">
        <f t="shared" si="374"/>
        <v>1.1110508369497829</v>
      </c>
      <c r="AY1230" s="9" t="s">
        <v>276</v>
      </c>
      <c r="AZ1230" s="9" t="s">
        <v>276</v>
      </c>
      <c r="BA1230" s="9" t="s">
        <v>276</v>
      </c>
      <c r="BB1230" s="9" t="s">
        <v>282</v>
      </c>
      <c r="BC1230" s="9" t="s">
        <v>276</v>
      </c>
      <c r="BD1230" s="9" t="s">
        <v>276</v>
      </c>
      <c r="BE1230" s="9" t="s">
        <v>276</v>
      </c>
      <c r="BF1230" s="9" t="s">
        <v>298</v>
      </c>
      <c r="BG1230" s="9" t="s">
        <v>276</v>
      </c>
      <c r="BH1230" s="9" t="s">
        <v>100</v>
      </c>
      <c r="BI1230" s="9" t="s">
        <v>100</v>
      </c>
      <c r="BJ1230" s="32"/>
      <c r="BN1230" s="32"/>
      <c r="BO1230" s="32"/>
    </row>
    <row r="1231" spans="1:67" s="33" customFormat="1" ht="52" hidden="1" x14ac:dyDescent="0.35">
      <c r="A1231" s="8">
        <v>670</v>
      </c>
      <c r="B1231" s="8" t="s">
        <v>7578</v>
      </c>
      <c r="C1231" s="8" t="s">
        <v>76</v>
      </c>
      <c r="D1231" s="9" t="s">
        <v>7657</v>
      </c>
      <c r="E1231" s="8" t="s">
        <v>39</v>
      </c>
      <c r="F1231" s="8" t="s">
        <v>143</v>
      </c>
      <c r="G1231" s="8" t="s">
        <v>225</v>
      </c>
      <c r="H1231" s="8" t="s">
        <v>125</v>
      </c>
      <c r="I1231" s="8" t="s">
        <v>114</v>
      </c>
      <c r="J1231" s="9" t="s">
        <v>25</v>
      </c>
      <c r="K1231" s="8" t="s">
        <v>314</v>
      </c>
      <c r="L1231" s="9" t="s">
        <v>7648</v>
      </c>
      <c r="M1231" s="8" t="s">
        <v>300</v>
      </c>
      <c r="N1231" s="9" t="s">
        <v>7649</v>
      </c>
      <c r="O1231" s="9" t="s">
        <v>7581</v>
      </c>
      <c r="P1231" s="9" t="s">
        <v>239</v>
      </c>
      <c r="Q1231" s="52">
        <v>41639</v>
      </c>
      <c r="R1231" s="9" t="s">
        <v>766</v>
      </c>
      <c r="S1231" s="9" t="s">
        <v>7650</v>
      </c>
      <c r="T1231" s="9" t="s">
        <v>7650</v>
      </c>
      <c r="U1231" s="48">
        <v>4</v>
      </c>
      <c r="V1231" s="8" t="s">
        <v>14</v>
      </c>
      <c r="W1231" s="8" t="s">
        <v>98</v>
      </c>
      <c r="X1231" s="9" t="s">
        <v>207</v>
      </c>
      <c r="Y1231" s="13">
        <v>1613</v>
      </c>
      <c r="Z1231" s="38">
        <v>1593</v>
      </c>
      <c r="AA1231" s="8" t="s">
        <v>276</v>
      </c>
      <c r="AB1231" s="8" t="s">
        <v>276</v>
      </c>
      <c r="AC1231" s="8">
        <v>5</v>
      </c>
      <c r="AD1231" s="8" t="s">
        <v>968</v>
      </c>
      <c r="AE1231" s="8">
        <v>15</v>
      </c>
      <c r="AF1231" s="8" t="s">
        <v>968</v>
      </c>
      <c r="AG1231" s="9" t="s">
        <v>7658</v>
      </c>
      <c r="AH1231" s="9" t="s">
        <v>866</v>
      </c>
      <c r="AI1231" s="38">
        <v>24</v>
      </c>
      <c r="AJ1231" s="38">
        <v>35</v>
      </c>
      <c r="AK1231" s="38">
        <v>1613</v>
      </c>
      <c r="AL1231" s="38">
        <v>1593</v>
      </c>
      <c r="AM1231" s="38" t="s">
        <v>292</v>
      </c>
      <c r="AN1231" s="8" t="s">
        <v>276</v>
      </c>
      <c r="AO1231" s="14">
        <f t="shared" si="372"/>
        <v>1.4879107253564785</v>
      </c>
      <c r="AP1231" s="8" t="s">
        <v>276</v>
      </c>
      <c r="AQ1231" s="8" t="s">
        <v>276</v>
      </c>
      <c r="AR1231" s="8" t="s">
        <v>276</v>
      </c>
      <c r="AS1231" s="14">
        <f t="shared" si="373"/>
        <v>2.1971123666038919</v>
      </c>
      <c r="AT1231" s="8" t="s">
        <v>276</v>
      </c>
      <c r="AU1231" s="8" t="s">
        <v>276</v>
      </c>
      <c r="AV1231" s="9" t="s">
        <v>268</v>
      </c>
      <c r="AW1231" s="40" t="s">
        <v>276</v>
      </c>
      <c r="AX1231" s="40">
        <f t="shared" si="374"/>
        <v>0.67721193871224872</v>
      </c>
      <c r="AY1231" s="9" t="s">
        <v>276</v>
      </c>
      <c r="AZ1231" s="9" t="s">
        <v>276</v>
      </c>
      <c r="BA1231" s="9" t="s">
        <v>276</v>
      </c>
      <c r="BB1231" s="9" t="s">
        <v>282</v>
      </c>
      <c r="BC1231" s="9" t="s">
        <v>276</v>
      </c>
      <c r="BD1231" s="9" t="s">
        <v>276</v>
      </c>
      <c r="BE1231" s="9" t="s">
        <v>276</v>
      </c>
      <c r="BF1231" s="9" t="s">
        <v>298</v>
      </c>
      <c r="BG1231" s="9" t="s">
        <v>276</v>
      </c>
      <c r="BH1231" s="9" t="s">
        <v>100</v>
      </c>
      <c r="BI1231" s="9" t="s">
        <v>100</v>
      </c>
      <c r="BJ1231" s="32"/>
      <c r="BN1231" s="32"/>
      <c r="BO1231" s="32"/>
    </row>
    <row r="1232" spans="1:67" s="33" customFormat="1" ht="52" hidden="1" x14ac:dyDescent="0.35">
      <c r="A1232" s="8">
        <v>670</v>
      </c>
      <c r="B1232" s="8" t="s">
        <v>7578</v>
      </c>
      <c r="C1232" s="8" t="s">
        <v>76</v>
      </c>
      <c r="D1232" s="9" t="s">
        <v>7659</v>
      </c>
      <c r="E1232" s="8" t="s">
        <v>39</v>
      </c>
      <c r="F1232" s="8" t="s">
        <v>143</v>
      </c>
      <c r="G1232" s="8" t="s">
        <v>225</v>
      </c>
      <c r="H1232" s="8" t="s">
        <v>125</v>
      </c>
      <c r="I1232" s="8" t="s">
        <v>114</v>
      </c>
      <c r="J1232" s="9" t="s">
        <v>25</v>
      </c>
      <c r="K1232" s="8" t="s">
        <v>317</v>
      </c>
      <c r="L1232" s="9" t="s">
        <v>7648</v>
      </c>
      <c r="M1232" s="8" t="s">
        <v>300</v>
      </c>
      <c r="N1232" s="9" t="s">
        <v>7649</v>
      </c>
      <c r="O1232" s="9" t="s">
        <v>7581</v>
      </c>
      <c r="P1232" s="9" t="s">
        <v>239</v>
      </c>
      <c r="Q1232" s="52">
        <v>41639</v>
      </c>
      <c r="R1232" s="9" t="s">
        <v>766</v>
      </c>
      <c r="S1232" s="9" t="s">
        <v>7650</v>
      </c>
      <c r="T1232" s="9" t="s">
        <v>7650</v>
      </c>
      <c r="U1232" s="48">
        <v>4</v>
      </c>
      <c r="V1232" s="8" t="s">
        <v>14</v>
      </c>
      <c r="W1232" s="8" t="s">
        <v>98</v>
      </c>
      <c r="X1232" s="9" t="s">
        <v>207</v>
      </c>
      <c r="Y1232" s="13">
        <v>1613</v>
      </c>
      <c r="Z1232" s="38">
        <v>1593</v>
      </c>
      <c r="AA1232" s="8" t="s">
        <v>276</v>
      </c>
      <c r="AB1232" s="8" t="s">
        <v>276</v>
      </c>
      <c r="AC1232" s="8">
        <v>5</v>
      </c>
      <c r="AD1232" s="8" t="s">
        <v>968</v>
      </c>
      <c r="AE1232" s="8">
        <v>15</v>
      </c>
      <c r="AF1232" s="8" t="s">
        <v>968</v>
      </c>
      <c r="AG1232" s="9" t="s">
        <v>7660</v>
      </c>
      <c r="AH1232" s="9" t="s">
        <v>866</v>
      </c>
      <c r="AI1232" s="38">
        <f>AI1231+AI1230</f>
        <v>33</v>
      </c>
      <c r="AJ1232" s="38">
        <f>AJ1231+AJ1230</f>
        <v>43</v>
      </c>
      <c r="AK1232" s="38">
        <v>1613</v>
      </c>
      <c r="AL1232" s="38">
        <v>1593</v>
      </c>
      <c r="AM1232" s="38" t="s">
        <v>292</v>
      </c>
      <c r="AN1232" s="8" t="s">
        <v>276</v>
      </c>
      <c r="AO1232" s="14">
        <f t="shared" si="372"/>
        <v>2.0458772473651581</v>
      </c>
      <c r="AP1232" s="8" t="s">
        <v>276</v>
      </c>
      <c r="AQ1232" s="8" t="s">
        <v>276</v>
      </c>
      <c r="AR1232" s="8" t="s">
        <v>276</v>
      </c>
      <c r="AS1232" s="14">
        <f t="shared" si="373"/>
        <v>2.6993094789704961</v>
      </c>
      <c r="AT1232" s="8" t="s">
        <v>276</v>
      </c>
      <c r="AU1232" s="8" t="s">
        <v>276</v>
      </c>
      <c r="AV1232" s="9" t="s">
        <v>268</v>
      </c>
      <c r="AW1232" s="40" t="s">
        <v>276</v>
      </c>
      <c r="AX1232" s="40">
        <f t="shared" si="374"/>
        <v>0.75792615233783645</v>
      </c>
      <c r="AY1232" s="9" t="s">
        <v>276</v>
      </c>
      <c r="AZ1232" s="9" t="s">
        <v>276</v>
      </c>
      <c r="BA1232" s="9" t="s">
        <v>276</v>
      </c>
      <c r="BB1232" s="9" t="s">
        <v>282</v>
      </c>
      <c r="BC1232" s="9" t="s">
        <v>276</v>
      </c>
      <c r="BD1232" s="9" t="s">
        <v>276</v>
      </c>
      <c r="BE1232" s="9" t="s">
        <v>276</v>
      </c>
      <c r="BF1232" s="9" t="s">
        <v>298</v>
      </c>
      <c r="BG1232" s="9" t="s">
        <v>7661</v>
      </c>
      <c r="BH1232" s="9" t="s">
        <v>100</v>
      </c>
      <c r="BI1232" s="9" t="s">
        <v>100</v>
      </c>
      <c r="BJ1232" s="32"/>
      <c r="BN1232" s="32"/>
      <c r="BO1232" s="32"/>
    </row>
    <row r="1233" spans="1:67" s="33" customFormat="1" ht="52" hidden="1" x14ac:dyDescent="0.35">
      <c r="A1233" s="8">
        <v>670</v>
      </c>
      <c r="B1233" s="8" t="s">
        <v>7578</v>
      </c>
      <c r="C1233" s="8" t="s">
        <v>76</v>
      </c>
      <c r="D1233" s="9" t="s">
        <v>7662</v>
      </c>
      <c r="E1233" s="8" t="s">
        <v>39</v>
      </c>
      <c r="F1233" s="8" t="s">
        <v>143</v>
      </c>
      <c r="G1233" s="8" t="s">
        <v>225</v>
      </c>
      <c r="H1233" s="8" t="s">
        <v>125</v>
      </c>
      <c r="I1233" s="8" t="s">
        <v>114</v>
      </c>
      <c r="J1233" s="9" t="s">
        <v>25</v>
      </c>
      <c r="K1233" s="8" t="s">
        <v>317</v>
      </c>
      <c r="L1233" s="9" t="s">
        <v>7648</v>
      </c>
      <c r="M1233" s="8" t="s">
        <v>300</v>
      </c>
      <c r="N1233" s="9" t="s">
        <v>7649</v>
      </c>
      <c r="O1233" s="9" t="s">
        <v>7581</v>
      </c>
      <c r="P1233" s="9" t="s">
        <v>235</v>
      </c>
      <c r="Q1233" s="52">
        <v>41639</v>
      </c>
      <c r="R1233" s="9" t="s">
        <v>766</v>
      </c>
      <c r="S1233" s="9" t="s">
        <v>7650</v>
      </c>
      <c r="T1233" s="9" t="s">
        <v>7650</v>
      </c>
      <c r="U1233" s="48">
        <v>4</v>
      </c>
      <c r="V1233" s="8" t="s">
        <v>14</v>
      </c>
      <c r="W1233" s="8" t="s">
        <v>98</v>
      </c>
      <c r="X1233" s="9" t="s">
        <v>207</v>
      </c>
      <c r="Y1233" s="13" t="s">
        <v>98</v>
      </c>
      <c r="Z1233" s="38" t="s">
        <v>98</v>
      </c>
      <c r="AA1233" s="8" t="s">
        <v>276</v>
      </c>
      <c r="AB1233" s="8" t="s">
        <v>276</v>
      </c>
      <c r="AC1233" s="8">
        <v>5</v>
      </c>
      <c r="AD1233" s="8" t="s">
        <v>968</v>
      </c>
      <c r="AE1233" s="8">
        <v>15</v>
      </c>
      <c r="AF1233" s="8" t="s">
        <v>968</v>
      </c>
      <c r="AG1233" s="9" t="s">
        <v>7660</v>
      </c>
      <c r="AH1233" s="9" t="s">
        <v>7663</v>
      </c>
      <c r="AI1233" s="38">
        <v>33</v>
      </c>
      <c r="AJ1233" s="38">
        <v>43</v>
      </c>
      <c r="AK1233" s="38">
        <v>67</v>
      </c>
      <c r="AL1233" s="38">
        <v>71</v>
      </c>
      <c r="AM1233" s="38" t="s">
        <v>292</v>
      </c>
      <c r="AN1233" s="8" t="s">
        <v>276</v>
      </c>
      <c r="AO1233" s="14">
        <f t="shared" si="372"/>
        <v>49.253731343283583</v>
      </c>
      <c r="AP1233" s="8" t="s">
        <v>276</v>
      </c>
      <c r="AQ1233" s="8" t="s">
        <v>276</v>
      </c>
      <c r="AR1233" s="8" t="s">
        <v>276</v>
      </c>
      <c r="AS1233" s="14">
        <f t="shared" si="373"/>
        <v>60.563380281690144</v>
      </c>
      <c r="AT1233" s="8" t="s">
        <v>276</v>
      </c>
      <c r="AU1233" s="8" t="s">
        <v>276</v>
      </c>
      <c r="AV1233" s="9" t="s">
        <v>268</v>
      </c>
      <c r="AW1233" s="40" t="s">
        <v>276</v>
      </c>
      <c r="AX1233" s="40">
        <f t="shared" si="374"/>
        <v>0.81325928497049638</v>
      </c>
      <c r="AY1233" s="9" t="s">
        <v>276</v>
      </c>
      <c r="AZ1233" s="9" t="s">
        <v>276</v>
      </c>
      <c r="BA1233" s="9" t="s">
        <v>276</v>
      </c>
      <c r="BB1233" s="9" t="s">
        <v>282</v>
      </c>
      <c r="BC1233" s="9" t="s">
        <v>276</v>
      </c>
      <c r="BD1233" s="9" t="s">
        <v>276</v>
      </c>
      <c r="BE1233" s="9" t="s">
        <v>276</v>
      </c>
      <c r="BF1233" s="9" t="s">
        <v>298</v>
      </c>
      <c r="BG1233" s="9" t="s">
        <v>7661</v>
      </c>
      <c r="BH1233" s="9" t="s">
        <v>100</v>
      </c>
      <c r="BI1233" s="9" t="s">
        <v>100</v>
      </c>
      <c r="BJ1233" s="32"/>
      <c r="BN1233" s="32"/>
      <c r="BO1233" s="32"/>
    </row>
    <row r="1234" spans="1:67" s="79" customFormat="1" ht="65" hidden="1" x14ac:dyDescent="0.35">
      <c r="A1234" s="72">
        <v>670</v>
      </c>
      <c r="B1234" s="72" t="s">
        <v>7578</v>
      </c>
      <c r="C1234" s="72" t="s">
        <v>76</v>
      </c>
      <c r="D1234" s="73" t="s">
        <v>7664</v>
      </c>
      <c r="E1234" s="72" t="s">
        <v>39</v>
      </c>
      <c r="F1234" s="72" t="s">
        <v>143</v>
      </c>
      <c r="G1234" s="72" t="s">
        <v>225</v>
      </c>
      <c r="H1234" s="72" t="s">
        <v>125</v>
      </c>
      <c r="I1234" s="72" t="s">
        <v>114</v>
      </c>
      <c r="J1234" s="73" t="s">
        <v>98</v>
      </c>
      <c r="K1234" s="72" t="s">
        <v>98</v>
      </c>
      <c r="L1234" s="72" t="s">
        <v>98</v>
      </c>
      <c r="M1234" s="72" t="s">
        <v>98</v>
      </c>
      <c r="N1234" s="72" t="s">
        <v>7665</v>
      </c>
      <c r="O1234" s="73" t="s">
        <v>7581</v>
      </c>
      <c r="P1234" s="73" t="s">
        <v>238</v>
      </c>
      <c r="Q1234" s="77" t="s">
        <v>276</v>
      </c>
      <c r="R1234" s="73" t="s">
        <v>721</v>
      </c>
      <c r="S1234" s="73" t="s">
        <v>276</v>
      </c>
      <c r="T1234" s="73" t="s">
        <v>98</v>
      </c>
      <c r="U1234" s="73">
        <v>4</v>
      </c>
      <c r="V1234" s="72" t="s">
        <v>14</v>
      </c>
      <c r="W1234" s="72" t="s">
        <v>98</v>
      </c>
      <c r="X1234" s="73" t="s">
        <v>209</v>
      </c>
      <c r="Y1234" s="74">
        <v>1613</v>
      </c>
      <c r="Z1234" s="73" t="s">
        <v>98</v>
      </c>
      <c r="AA1234" s="73" t="s">
        <v>276</v>
      </c>
      <c r="AB1234" s="73" t="s">
        <v>98</v>
      </c>
      <c r="AC1234" s="72">
        <v>0</v>
      </c>
      <c r="AD1234" s="72" t="s">
        <v>98</v>
      </c>
      <c r="AE1234" s="72" t="s">
        <v>98</v>
      </c>
      <c r="AF1234" s="72" t="s">
        <v>98</v>
      </c>
      <c r="AG1234" s="73" t="s">
        <v>7666</v>
      </c>
      <c r="AH1234" s="73" t="s">
        <v>866</v>
      </c>
      <c r="AI1234" s="75">
        <v>38</v>
      </c>
      <c r="AJ1234" s="75" t="s">
        <v>98</v>
      </c>
      <c r="AK1234" s="75">
        <v>1613</v>
      </c>
      <c r="AL1234" s="75" t="s">
        <v>98</v>
      </c>
      <c r="AM1234" s="75" t="s">
        <v>292</v>
      </c>
      <c r="AN1234" s="72" t="s">
        <v>276</v>
      </c>
      <c r="AO1234" s="86">
        <f t="shared" si="372"/>
        <v>2.3558586484810911</v>
      </c>
      <c r="AP1234" s="72" t="s">
        <v>276</v>
      </c>
      <c r="AQ1234" s="72" t="s">
        <v>276</v>
      </c>
      <c r="AR1234" s="72" t="s">
        <v>98</v>
      </c>
      <c r="AS1234" s="72" t="s">
        <v>98</v>
      </c>
      <c r="AT1234" s="72" t="s">
        <v>98</v>
      </c>
      <c r="AU1234" s="72" t="s">
        <v>98</v>
      </c>
      <c r="AV1234" s="72" t="s">
        <v>98</v>
      </c>
      <c r="AW1234" s="72" t="s">
        <v>98</v>
      </c>
      <c r="AX1234" s="72" t="s">
        <v>98</v>
      </c>
      <c r="AY1234" s="72" t="s">
        <v>98</v>
      </c>
      <c r="AZ1234" s="72" t="s">
        <v>98</v>
      </c>
      <c r="BA1234" s="72" t="s">
        <v>98</v>
      </c>
      <c r="BB1234" s="72" t="s">
        <v>98</v>
      </c>
      <c r="BC1234" s="72" t="s">
        <v>98</v>
      </c>
      <c r="BD1234" s="72" t="s">
        <v>98</v>
      </c>
      <c r="BE1234" s="72" t="s">
        <v>98</v>
      </c>
      <c r="BF1234" s="73" t="s">
        <v>7667</v>
      </c>
      <c r="BG1234" s="73" t="s">
        <v>276</v>
      </c>
      <c r="BH1234" s="9" t="s">
        <v>100</v>
      </c>
      <c r="BI1234" s="9" t="s">
        <v>100</v>
      </c>
      <c r="BJ1234" s="78"/>
      <c r="BN1234" s="78"/>
      <c r="BO1234" s="78"/>
    </row>
    <row r="1235" spans="1:67" s="79" customFormat="1" ht="65" x14ac:dyDescent="0.35">
      <c r="A1235" s="72">
        <v>670</v>
      </c>
      <c r="B1235" s="72" t="s">
        <v>7578</v>
      </c>
      <c r="C1235" s="72" t="s">
        <v>76</v>
      </c>
      <c r="D1235" s="73" t="s">
        <v>7668</v>
      </c>
      <c r="E1235" s="72" t="s">
        <v>39</v>
      </c>
      <c r="F1235" s="72" t="s">
        <v>143</v>
      </c>
      <c r="G1235" s="72" t="s">
        <v>225</v>
      </c>
      <c r="H1235" s="72" t="s">
        <v>125</v>
      </c>
      <c r="I1235" s="72" t="s">
        <v>114</v>
      </c>
      <c r="J1235" s="73" t="s">
        <v>98</v>
      </c>
      <c r="K1235" s="72" t="s">
        <v>98</v>
      </c>
      <c r="L1235" s="72" t="s">
        <v>98</v>
      </c>
      <c r="M1235" s="72" t="s">
        <v>98</v>
      </c>
      <c r="N1235" s="72" t="s">
        <v>7665</v>
      </c>
      <c r="O1235" s="73" t="s">
        <v>7581</v>
      </c>
      <c r="P1235" s="73" t="s">
        <v>236</v>
      </c>
      <c r="Q1235" s="77">
        <v>41639</v>
      </c>
      <c r="R1235" s="73" t="s">
        <v>766</v>
      </c>
      <c r="S1235" s="73" t="s">
        <v>7650</v>
      </c>
      <c r="T1235" s="73" t="s">
        <v>98</v>
      </c>
      <c r="U1235" s="443">
        <v>4</v>
      </c>
      <c r="V1235" s="72" t="s">
        <v>14</v>
      </c>
      <c r="W1235" s="72" t="s">
        <v>98</v>
      </c>
      <c r="X1235" s="73" t="s">
        <v>209</v>
      </c>
      <c r="Y1235" s="74" t="s">
        <v>98</v>
      </c>
      <c r="Z1235" s="73" t="s">
        <v>98</v>
      </c>
      <c r="AA1235" s="73" t="s">
        <v>276</v>
      </c>
      <c r="AB1235" s="73" t="s">
        <v>98</v>
      </c>
      <c r="AC1235" s="72">
        <v>0</v>
      </c>
      <c r="AD1235" s="72" t="s">
        <v>98</v>
      </c>
      <c r="AE1235" s="72" t="s">
        <v>98</v>
      </c>
      <c r="AF1235" s="72" t="s">
        <v>98</v>
      </c>
      <c r="AG1235" s="73" t="s">
        <v>7666</v>
      </c>
      <c r="AH1235" s="73" t="s">
        <v>7669</v>
      </c>
      <c r="AI1235" s="75">
        <v>38</v>
      </c>
      <c r="AJ1235" s="75" t="s">
        <v>98</v>
      </c>
      <c r="AK1235" s="75">
        <v>67</v>
      </c>
      <c r="AL1235" s="75" t="s">
        <v>98</v>
      </c>
      <c r="AM1235" s="75" t="s">
        <v>292</v>
      </c>
      <c r="AN1235" s="309">
        <v>57</v>
      </c>
      <c r="AO1235" s="76">
        <f t="shared" si="372"/>
        <v>56.71641791044776</v>
      </c>
      <c r="AP1235" s="72" t="s">
        <v>276</v>
      </c>
      <c r="AQ1235" s="72" t="s">
        <v>276</v>
      </c>
      <c r="AR1235" s="72" t="s">
        <v>98</v>
      </c>
      <c r="AS1235" s="76" t="s">
        <v>98</v>
      </c>
      <c r="AT1235" s="72" t="s">
        <v>98</v>
      </c>
      <c r="AU1235" s="72" t="s">
        <v>98</v>
      </c>
      <c r="AV1235" s="73" t="s">
        <v>98</v>
      </c>
      <c r="AW1235" s="83" t="s">
        <v>98</v>
      </c>
      <c r="AX1235" s="83" t="s">
        <v>98</v>
      </c>
      <c r="AY1235" s="83" t="s">
        <v>98</v>
      </c>
      <c r="AZ1235" s="83" t="s">
        <v>98</v>
      </c>
      <c r="BA1235" s="83" t="s">
        <v>98</v>
      </c>
      <c r="BB1235" s="83" t="s">
        <v>98</v>
      </c>
      <c r="BC1235" s="83" t="s">
        <v>98</v>
      </c>
      <c r="BD1235" s="83" t="s">
        <v>98</v>
      </c>
      <c r="BE1235" s="83" t="s">
        <v>98</v>
      </c>
      <c r="BF1235" s="73" t="s">
        <v>7667</v>
      </c>
      <c r="BG1235" s="73" t="s">
        <v>276</v>
      </c>
      <c r="BH1235" s="9" t="s">
        <v>99</v>
      </c>
      <c r="BI1235" s="9" t="s">
        <v>99</v>
      </c>
      <c r="BJ1235" s="78"/>
      <c r="BN1235" s="78"/>
      <c r="BO1235" s="78"/>
    </row>
    <row r="1236" spans="1:67" s="137" customFormat="1" ht="52" hidden="1" x14ac:dyDescent="0.35">
      <c r="A1236" s="126">
        <v>669</v>
      </c>
      <c r="B1236" s="126" t="s">
        <v>7670</v>
      </c>
      <c r="C1236" s="126" t="s">
        <v>76</v>
      </c>
      <c r="D1236" s="127" t="s">
        <v>7671</v>
      </c>
      <c r="E1236" s="126" t="s">
        <v>39</v>
      </c>
      <c r="F1236" s="126" t="s">
        <v>143</v>
      </c>
      <c r="G1236" s="126" t="s">
        <v>225</v>
      </c>
      <c r="H1236" s="126" t="s">
        <v>125</v>
      </c>
      <c r="I1236" s="126" t="s">
        <v>114</v>
      </c>
      <c r="J1236" s="127" t="s">
        <v>98</v>
      </c>
      <c r="K1236" s="126" t="s">
        <v>98</v>
      </c>
      <c r="L1236" s="126" t="s">
        <v>98</v>
      </c>
      <c r="M1236" s="126" t="s">
        <v>98</v>
      </c>
      <c r="N1236" s="126" t="s">
        <v>276</v>
      </c>
      <c r="O1236" s="127" t="s">
        <v>276</v>
      </c>
      <c r="P1236" s="127" t="s">
        <v>236</v>
      </c>
      <c r="Q1236" s="146">
        <v>42735</v>
      </c>
      <c r="R1236" s="127" t="s">
        <v>276</v>
      </c>
      <c r="S1236" s="127" t="s">
        <v>7638</v>
      </c>
      <c r="T1236" s="127" t="s">
        <v>7638</v>
      </c>
      <c r="U1236" s="446">
        <v>4</v>
      </c>
      <c r="V1236" s="126" t="s">
        <v>14</v>
      </c>
      <c r="W1236" s="126" t="s">
        <v>98</v>
      </c>
      <c r="X1236" s="127" t="s">
        <v>207</v>
      </c>
      <c r="Y1236" s="132" t="s">
        <v>98</v>
      </c>
      <c r="Z1236" s="134" t="s">
        <v>98</v>
      </c>
      <c r="AA1236" s="127" t="s">
        <v>276</v>
      </c>
      <c r="AB1236" s="127" t="s">
        <v>276</v>
      </c>
      <c r="AC1236" s="126">
        <v>0</v>
      </c>
      <c r="AD1236" s="126" t="s">
        <v>98</v>
      </c>
      <c r="AE1236" s="126" t="s">
        <v>98</v>
      </c>
      <c r="AF1236" s="126" t="s">
        <v>98</v>
      </c>
      <c r="AG1236" s="127" t="s">
        <v>7666</v>
      </c>
      <c r="AH1236" s="127" t="s">
        <v>7672</v>
      </c>
      <c r="AI1236" s="134">
        <v>38</v>
      </c>
      <c r="AJ1236" s="134" t="s">
        <v>98</v>
      </c>
      <c r="AK1236" s="134">
        <f>38+53</f>
        <v>91</v>
      </c>
      <c r="AL1236" s="134" t="s">
        <v>98</v>
      </c>
      <c r="AM1236" s="134" t="s">
        <v>292</v>
      </c>
      <c r="AN1236" s="477">
        <v>42</v>
      </c>
      <c r="AO1236" s="135">
        <f t="shared" si="372"/>
        <v>41.758241758241759</v>
      </c>
      <c r="AP1236" s="126" t="s">
        <v>276</v>
      </c>
      <c r="AQ1236" s="126" t="s">
        <v>276</v>
      </c>
      <c r="AR1236" s="126" t="s">
        <v>98</v>
      </c>
      <c r="AS1236" s="135" t="s">
        <v>98</v>
      </c>
      <c r="AT1236" s="126" t="s">
        <v>98</v>
      </c>
      <c r="AU1236" s="126" t="s">
        <v>98</v>
      </c>
      <c r="AV1236" s="127" t="s">
        <v>98</v>
      </c>
      <c r="AW1236" s="234" t="s">
        <v>98</v>
      </c>
      <c r="AX1236" s="234" t="s">
        <v>98</v>
      </c>
      <c r="AY1236" s="234" t="s">
        <v>98</v>
      </c>
      <c r="AZ1236" s="234" t="s">
        <v>98</v>
      </c>
      <c r="BA1236" s="234" t="s">
        <v>98</v>
      </c>
      <c r="BB1236" s="234" t="s">
        <v>98</v>
      </c>
      <c r="BC1236" s="234" t="s">
        <v>98</v>
      </c>
      <c r="BD1236" s="234" t="s">
        <v>98</v>
      </c>
      <c r="BE1236" s="234" t="s">
        <v>98</v>
      </c>
      <c r="BF1236" s="127" t="s">
        <v>7673</v>
      </c>
      <c r="BG1236" s="127" t="s">
        <v>276</v>
      </c>
      <c r="BH1236" s="9" t="s">
        <v>100</v>
      </c>
      <c r="BI1236" s="9" t="s">
        <v>100</v>
      </c>
      <c r="BJ1236" s="136"/>
      <c r="BN1236" s="136"/>
      <c r="BO1236" s="136"/>
    </row>
    <row r="1237" spans="1:67" s="172" customFormat="1" ht="52" hidden="1" x14ac:dyDescent="0.35">
      <c r="A1237" s="150">
        <v>669</v>
      </c>
      <c r="B1237" s="150" t="s">
        <v>7670</v>
      </c>
      <c r="C1237" s="150" t="s">
        <v>76</v>
      </c>
      <c r="D1237" s="151" t="s">
        <v>7674</v>
      </c>
      <c r="E1237" s="150" t="s">
        <v>39</v>
      </c>
      <c r="F1237" s="150" t="s">
        <v>143</v>
      </c>
      <c r="G1237" s="150" t="s">
        <v>225</v>
      </c>
      <c r="H1237" s="150" t="s">
        <v>125</v>
      </c>
      <c r="I1237" s="150" t="s">
        <v>114</v>
      </c>
      <c r="J1237" s="151" t="s">
        <v>25</v>
      </c>
      <c r="K1237" s="150" t="s">
        <v>300</v>
      </c>
      <c r="L1237" s="150" t="s">
        <v>964</v>
      </c>
      <c r="M1237" s="150" t="s">
        <v>965</v>
      </c>
      <c r="N1237" s="150" t="s">
        <v>276</v>
      </c>
      <c r="O1237" s="151" t="s">
        <v>276</v>
      </c>
      <c r="P1237" s="151" t="s">
        <v>239</v>
      </c>
      <c r="Q1237" s="154">
        <v>42735</v>
      </c>
      <c r="R1237" s="151" t="s">
        <v>276</v>
      </c>
      <c r="S1237" s="151" t="s">
        <v>7638</v>
      </c>
      <c r="T1237" s="151" t="s">
        <v>7638</v>
      </c>
      <c r="U1237" s="447">
        <v>4</v>
      </c>
      <c r="V1237" s="150" t="s">
        <v>14</v>
      </c>
      <c r="W1237" s="150" t="s">
        <v>98</v>
      </c>
      <c r="X1237" s="151" t="s">
        <v>207</v>
      </c>
      <c r="Y1237" s="155">
        <v>1613</v>
      </c>
      <c r="Z1237" s="156">
        <v>1593</v>
      </c>
      <c r="AA1237" s="151" t="s">
        <v>276</v>
      </c>
      <c r="AB1237" s="151" t="s">
        <v>276</v>
      </c>
      <c r="AC1237" s="150">
        <v>13</v>
      </c>
      <c r="AD1237" s="151" t="s">
        <v>7675</v>
      </c>
      <c r="AE1237" s="150">
        <v>27</v>
      </c>
      <c r="AF1237" s="150" t="s">
        <v>968</v>
      </c>
      <c r="AG1237" s="151" t="s">
        <v>7676</v>
      </c>
      <c r="AH1237" s="151" t="s">
        <v>866</v>
      </c>
      <c r="AI1237" s="156">
        <f>23+4</f>
        <v>27</v>
      </c>
      <c r="AJ1237" s="156">
        <v>12</v>
      </c>
      <c r="AK1237" s="156">
        <v>1613</v>
      </c>
      <c r="AL1237" s="156">
        <v>1593</v>
      </c>
      <c r="AM1237" s="156" t="s">
        <v>292</v>
      </c>
      <c r="AN1237" s="448" t="s">
        <v>276</v>
      </c>
      <c r="AO1237" s="159">
        <f t="shared" si="372"/>
        <v>1.6738995660260385</v>
      </c>
      <c r="AP1237" s="150" t="s">
        <v>276</v>
      </c>
      <c r="AQ1237" s="150" t="s">
        <v>276</v>
      </c>
      <c r="AR1237" s="150" t="s">
        <v>276</v>
      </c>
      <c r="AS1237" s="159">
        <f>AJ1237*100/AL1237</f>
        <v>0.75329566854990582</v>
      </c>
      <c r="AT1237" s="150" t="s">
        <v>276</v>
      </c>
      <c r="AU1237" s="150" t="s">
        <v>276</v>
      </c>
      <c r="AV1237" s="151" t="s">
        <v>268</v>
      </c>
      <c r="AW1237" s="235" t="s">
        <v>276</v>
      </c>
      <c r="AX1237" s="235">
        <f t="shared" ref="AX1237:AX1247" si="378">AO1237/AS1237</f>
        <v>2.2221016738995663</v>
      </c>
      <c r="AY1237" s="235" t="s">
        <v>276</v>
      </c>
      <c r="AZ1237" s="235" t="s">
        <v>276</v>
      </c>
      <c r="BA1237" s="235" t="s">
        <v>276</v>
      </c>
      <c r="BB1237" s="235" t="s">
        <v>282</v>
      </c>
      <c r="BC1237" s="235" t="s">
        <v>276</v>
      </c>
      <c r="BD1237" s="235" t="s">
        <v>276</v>
      </c>
      <c r="BE1237" s="235" t="s">
        <v>276</v>
      </c>
      <c r="BF1237" s="151" t="s">
        <v>1358</v>
      </c>
      <c r="BG1237" s="151" t="s">
        <v>276</v>
      </c>
      <c r="BH1237" s="9" t="s">
        <v>100</v>
      </c>
      <c r="BI1237" s="9" t="s">
        <v>100</v>
      </c>
      <c r="BJ1237" s="171"/>
      <c r="BN1237" s="171"/>
      <c r="BO1237" s="171"/>
    </row>
    <row r="1238" spans="1:67" s="172" customFormat="1" ht="52" hidden="1" x14ac:dyDescent="0.35">
      <c r="A1238" s="150">
        <v>669</v>
      </c>
      <c r="B1238" s="150" t="s">
        <v>7670</v>
      </c>
      <c r="C1238" s="150" t="s">
        <v>76</v>
      </c>
      <c r="D1238" s="151" t="s">
        <v>7677</v>
      </c>
      <c r="E1238" s="150" t="s">
        <v>39</v>
      </c>
      <c r="F1238" s="150" t="s">
        <v>143</v>
      </c>
      <c r="G1238" s="150" t="s">
        <v>225</v>
      </c>
      <c r="H1238" s="150" t="s">
        <v>125</v>
      </c>
      <c r="I1238" s="150" t="s">
        <v>114</v>
      </c>
      <c r="J1238" s="151" t="s">
        <v>25</v>
      </c>
      <c r="K1238" s="150" t="s">
        <v>300</v>
      </c>
      <c r="L1238" s="150" t="s">
        <v>964</v>
      </c>
      <c r="M1238" s="150" t="s">
        <v>965</v>
      </c>
      <c r="N1238" s="150" t="s">
        <v>276</v>
      </c>
      <c r="O1238" s="151" t="s">
        <v>276</v>
      </c>
      <c r="P1238" s="151" t="s">
        <v>239</v>
      </c>
      <c r="Q1238" s="154">
        <v>42735</v>
      </c>
      <c r="R1238" s="151" t="s">
        <v>276</v>
      </c>
      <c r="S1238" s="151" t="s">
        <v>7638</v>
      </c>
      <c r="T1238" s="151" t="s">
        <v>7638</v>
      </c>
      <c r="U1238" s="447">
        <v>4</v>
      </c>
      <c r="V1238" s="150" t="s">
        <v>14</v>
      </c>
      <c r="W1238" s="150" t="s">
        <v>98</v>
      </c>
      <c r="X1238" s="151" t="s">
        <v>207</v>
      </c>
      <c r="Y1238" s="155">
        <v>1613</v>
      </c>
      <c r="Z1238" s="156">
        <v>1593</v>
      </c>
      <c r="AA1238" s="151" t="s">
        <v>276</v>
      </c>
      <c r="AB1238" s="151" t="s">
        <v>276</v>
      </c>
      <c r="AC1238" s="150">
        <v>13</v>
      </c>
      <c r="AD1238" s="151" t="s">
        <v>7675</v>
      </c>
      <c r="AE1238" s="150">
        <v>27</v>
      </c>
      <c r="AF1238" s="150" t="s">
        <v>968</v>
      </c>
      <c r="AG1238" s="151" t="s">
        <v>7676</v>
      </c>
      <c r="AH1238" s="151" t="s">
        <v>7678</v>
      </c>
      <c r="AI1238" s="156">
        <f>23+4</f>
        <v>27</v>
      </c>
      <c r="AJ1238" s="156">
        <v>12</v>
      </c>
      <c r="AK1238" s="156">
        <v>16870</v>
      </c>
      <c r="AL1238" s="156">
        <v>17306</v>
      </c>
      <c r="AM1238" s="156" t="s">
        <v>4702</v>
      </c>
      <c r="AN1238" s="448" t="s">
        <v>276</v>
      </c>
      <c r="AO1238" s="159">
        <f>AI1238*10000/AK1238</f>
        <v>16.004742145820984</v>
      </c>
      <c r="AP1238" s="150" t="s">
        <v>276</v>
      </c>
      <c r="AQ1238" s="150" t="s">
        <v>276</v>
      </c>
      <c r="AR1238" s="150" t="s">
        <v>276</v>
      </c>
      <c r="AS1238" s="159">
        <f>AJ1238*10000/AL1238</f>
        <v>6.9340113255518316</v>
      </c>
      <c r="AT1238" s="150" t="s">
        <v>276</v>
      </c>
      <c r="AU1238" s="150" t="s">
        <v>276</v>
      </c>
      <c r="AV1238" s="151" t="s">
        <v>268</v>
      </c>
      <c r="AW1238" s="235" t="s">
        <v>276</v>
      </c>
      <c r="AX1238" s="235">
        <f t="shared" si="378"/>
        <v>2.3081505631298165</v>
      </c>
      <c r="AY1238" s="235" t="s">
        <v>276</v>
      </c>
      <c r="AZ1238" s="235" t="s">
        <v>276</v>
      </c>
      <c r="BA1238" s="235" t="s">
        <v>276</v>
      </c>
      <c r="BB1238" s="235" t="s">
        <v>282</v>
      </c>
      <c r="BC1238" s="235" t="s">
        <v>276</v>
      </c>
      <c r="BD1238" s="235" t="s">
        <v>276</v>
      </c>
      <c r="BE1238" s="235" t="s">
        <v>276</v>
      </c>
      <c r="BF1238" s="151" t="s">
        <v>7679</v>
      </c>
      <c r="BG1238" s="151" t="s">
        <v>276</v>
      </c>
      <c r="BH1238" s="9" t="s">
        <v>100</v>
      </c>
      <c r="BI1238" s="9" t="s">
        <v>100</v>
      </c>
      <c r="BJ1238" s="171"/>
      <c r="BN1238" s="171"/>
      <c r="BO1238" s="171"/>
    </row>
    <row r="1239" spans="1:67" s="172" customFormat="1" ht="52" hidden="1" x14ac:dyDescent="0.35">
      <c r="A1239" s="150">
        <v>669</v>
      </c>
      <c r="B1239" s="150" t="s">
        <v>7670</v>
      </c>
      <c r="C1239" s="150" t="s">
        <v>76</v>
      </c>
      <c r="D1239" s="151" t="s">
        <v>7680</v>
      </c>
      <c r="E1239" s="150" t="s">
        <v>39</v>
      </c>
      <c r="F1239" s="150" t="s">
        <v>143</v>
      </c>
      <c r="G1239" s="150" t="s">
        <v>225</v>
      </c>
      <c r="H1239" s="150" t="s">
        <v>125</v>
      </c>
      <c r="I1239" s="150" t="s">
        <v>114</v>
      </c>
      <c r="J1239" s="151" t="s">
        <v>25</v>
      </c>
      <c r="K1239" s="150" t="s">
        <v>304</v>
      </c>
      <c r="L1239" s="150" t="s">
        <v>964</v>
      </c>
      <c r="M1239" s="150" t="s">
        <v>965</v>
      </c>
      <c r="N1239" s="150" t="s">
        <v>276</v>
      </c>
      <c r="O1239" s="151" t="s">
        <v>276</v>
      </c>
      <c r="P1239" s="151" t="s">
        <v>239</v>
      </c>
      <c r="Q1239" s="154">
        <v>42735</v>
      </c>
      <c r="R1239" s="151" t="s">
        <v>276</v>
      </c>
      <c r="S1239" s="151" t="s">
        <v>7638</v>
      </c>
      <c r="T1239" s="151" t="s">
        <v>7638</v>
      </c>
      <c r="U1239" s="447">
        <v>4</v>
      </c>
      <c r="V1239" s="150" t="s">
        <v>14</v>
      </c>
      <c r="W1239" s="150" t="s">
        <v>98</v>
      </c>
      <c r="X1239" s="151" t="s">
        <v>207</v>
      </c>
      <c r="Y1239" s="155">
        <v>1613</v>
      </c>
      <c r="Z1239" s="156">
        <v>1593</v>
      </c>
      <c r="AA1239" s="151" t="s">
        <v>276</v>
      </c>
      <c r="AB1239" s="151" t="s">
        <v>276</v>
      </c>
      <c r="AC1239" s="150">
        <v>13</v>
      </c>
      <c r="AD1239" s="151" t="s">
        <v>7675</v>
      </c>
      <c r="AE1239" s="150">
        <v>27</v>
      </c>
      <c r="AF1239" s="150" t="s">
        <v>968</v>
      </c>
      <c r="AG1239" s="151" t="s">
        <v>7681</v>
      </c>
      <c r="AH1239" s="151" t="s">
        <v>866</v>
      </c>
      <c r="AI1239" s="156">
        <f>5+1</f>
        <v>6</v>
      </c>
      <c r="AJ1239" s="156">
        <v>7</v>
      </c>
      <c r="AK1239" s="156">
        <v>1613</v>
      </c>
      <c r="AL1239" s="156">
        <v>1593</v>
      </c>
      <c r="AM1239" s="156" t="s">
        <v>292</v>
      </c>
      <c r="AN1239" s="448" t="s">
        <v>276</v>
      </c>
      <c r="AO1239" s="159">
        <f>AI1239*100/AK1239</f>
        <v>0.37197768133911963</v>
      </c>
      <c r="AP1239" s="150" t="s">
        <v>276</v>
      </c>
      <c r="AQ1239" s="150" t="s">
        <v>276</v>
      </c>
      <c r="AR1239" s="150" t="s">
        <v>276</v>
      </c>
      <c r="AS1239" s="159">
        <f>AJ1239*100/AL1239</f>
        <v>0.43942247332077838</v>
      </c>
      <c r="AT1239" s="150" t="s">
        <v>276</v>
      </c>
      <c r="AU1239" s="150" t="s">
        <v>276</v>
      </c>
      <c r="AV1239" s="151" t="s">
        <v>268</v>
      </c>
      <c r="AW1239" s="235" t="s">
        <v>276</v>
      </c>
      <c r="AX1239" s="235">
        <f t="shared" si="378"/>
        <v>0.84651492339031087</v>
      </c>
      <c r="AY1239" s="235" t="s">
        <v>276</v>
      </c>
      <c r="AZ1239" s="235" t="s">
        <v>276</v>
      </c>
      <c r="BA1239" s="235" t="s">
        <v>276</v>
      </c>
      <c r="BB1239" s="235" t="s">
        <v>282</v>
      </c>
      <c r="BC1239" s="235" t="s">
        <v>276</v>
      </c>
      <c r="BD1239" s="235" t="s">
        <v>276</v>
      </c>
      <c r="BE1239" s="235" t="s">
        <v>276</v>
      </c>
      <c r="BF1239" s="151" t="s">
        <v>1358</v>
      </c>
      <c r="BG1239" s="151" t="s">
        <v>276</v>
      </c>
      <c r="BH1239" s="9" t="s">
        <v>100</v>
      </c>
      <c r="BI1239" s="9" t="s">
        <v>100</v>
      </c>
      <c r="BJ1239" s="171"/>
      <c r="BN1239" s="171"/>
      <c r="BO1239" s="171"/>
    </row>
    <row r="1240" spans="1:67" s="172" customFormat="1" ht="52" hidden="1" x14ac:dyDescent="0.35">
      <c r="A1240" s="150">
        <v>669</v>
      </c>
      <c r="B1240" s="150" t="s">
        <v>7670</v>
      </c>
      <c r="C1240" s="150" t="s">
        <v>76</v>
      </c>
      <c r="D1240" s="151" t="s">
        <v>7682</v>
      </c>
      <c r="E1240" s="150" t="s">
        <v>39</v>
      </c>
      <c r="F1240" s="150" t="s">
        <v>143</v>
      </c>
      <c r="G1240" s="150" t="s">
        <v>225</v>
      </c>
      <c r="H1240" s="150" t="s">
        <v>125</v>
      </c>
      <c r="I1240" s="150" t="s">
        <v>114</v>
      </c>
      <c r="J1240" s="151" t="s">
        <v>25</v>
      </c>
      <c r="K1240" s="150" t="s">
        <v>304</v>
      </c>
      <c r="L1240" s="150" t="s">
        <v>964</v>
      </c>
      <c r="M1240" s="150" t="s">
        <v>965</v>
      </c>
      <c r="N1240" s="150" t="s">
        <v>276</v>
      </c>
      <c r="O1240" s="151" t="s">
        <v>276</v>
      </c>
      <c r="P1240" s="151" t="s">
        <v>239</v>
      </c>
      <c r="Q1240" s="154">
        <v>42735</v>
      </c>
      <c r="R1240" s="151" t="s">
        <v>276</v>
      </c>
      <c r="S1240" s="151" t="s">
        <v>7638</v>
      </c>
      <c r="T1240" s="151" t="s">
        <v>7638</v>
      </c>
      <c r="U1240" s="447">
        <v>4</v>
      </c>
      <c r="V1240" s="150" t="s">
        <v>14</v>
      </c>
      <c r="W1240" s="150" t="s">
        <v>98</v>
      </c>
      <c r="X1240" s="151" t="s">
        <v>207</v>
      </c>
      <c r="Y1240" s="155">
        <v>1613</v>
      </c>
      <c r="Z1240" s="156">
        <v>1593</v>
      </c>
      <c r="AA1240" s="151" t="s">
        <v>276</v>
      </c>
      <c r="AB1240" s="151" t="s">
        <v>276</v>
      </c>
      <c r="AC1240" s="150">
        <v>13</v>
      </c>
      <c r="AD1240" s="151" t="s">
        <v>7675</v>
      </c>
      <c r="AE1240" s="150">
        <v>27</v>
      </c>
      <c r="AF1240" s="150" t="s">
        <v>968</v>
      </c>
      <c r="AG1240" s="151" t="s">
        <v>7681</v>
      </c>
      <c r="AH1240" s="151" t="s">
        <v>7678</v>
      </c>
      <c r="AI1240" s="156">
        <v>6</v>
      </c>
      <c r="AJ1240" s="156">
        <v>7</v>
      </c>
      <c r="AK1240" s="156">
        <v>16870</v>
      </c>
      <c r="AL1240" s="156">
        <v>17306</v>
      </c>
      <c r="AM1240" s="156" t="s">
        <v>4702</v>
      </c>
      <c r="AN1240" s="448" t="s">
        <v>276</v>
      </c>
      <c r="AO1240" s="159">
        <f>AI1240*10000/AK1240</f>
        <v>3.5566093657379962</v>
      </c>
      <c r="AP1240" s="150" t="s">
        <v>276</v>
      </c>
      <c r="AQ1240" s="150" t="s">
        <v>276</v>
      </c>
      <c r="AR1240" s="150" t="s">
        <v>276</v>
      </c>
      <c r="AS1240" s="159">
        <f>AJ1240*10000/AL1240</f>
        <v>4.044839939905235</v>
      </c>
      <c r="AT1240" s="150" t="s">
        <v>276</v>
      </c>
      <c r="AU1240" s="150" t="s">
        <v>276</v>
      </c>
      <c r="AV1240" s="151" t="s">
        <v>269</v>
      </c>
      <c r="AW1240" s="235" t="s">
        <v>276</v>
      </c>
      <c r="AX1240" s="235">
        <f t="shared" si="378"/>
        <v>0.87929545262088238</v>
      </c>
      <c r="AY1240" s="235" t="s">
        <v>276</v>
      </c>
      <c r="AZ1240" s="235" t="s">
        <v>276</v>
      </c>
      <c r="BA1240" s="235" t="s">
        <v>276</v>
      </c>
      <c r="BB1240" s="235" t="s">
        <v>282</v>
      </c>
      <c r="BC1240" s="235" t="s">
        <v>276</v>
      </c>
      <c r="BD1240" s="235" t="s">
        <v>276</v>
      </c>
      <c r="BE1240" s="235" t="s">
        <v>276</v>
      </c>
      <c r="BF1240" s="151" t="s">
        <v>7679</v>
      </c>
      <c r="BG1240" s="151" t="s">
        <v>276</v>
      </c>
      <c r="BH1240" s="9" t="s">
        <v>100</v>
      </c>
      <c r="BI1240" s="9" t="s">
        <v>100</v>
      </c>
      <c r="BJ1240" s="171"/>
      <c r="BN1240" s="171"/>
      <c r="BO1240" s="171"/>
    </row>
    <row r="1241" spans="1:67" s="172" customFormat="1" ht="52" hidden="1" x14ac:dyDescent="0.35">
      <c r="A1241" s="150">
        <v>669</v>
      </c>
      <c r="B1241" s="150" t="s">
        <v>7670</v>
      </c>
      <c r="C1241" s="150" t="s">
        <v>76</v>
      </c>
      <c r="D1241" s="151" t="s">
        <v>7683</v>
      </c>
      <c r="E1241" s="150" t="s">
        <v>39</v>
      </c>
      <c r="F1241" s="150" t="s">
        <v>143</v>
      </c>
      <c r="G1241" s="150" t="s">
        <v>225</v>
      </c>
      <c r="H1241" s="150" t="s">
        <v>125</v>
      </c>
      <c r="I1241" s="150" t="s">
        <v>114</v>
      </c>
      <c r="J1241" s="151" t="s">
        <v>25</v>
      </c>
      <c r="K1241" s="150" t="s">
        <v>311</v>
      </c>
      <c r="L1241" s="150" t="s">
        <v>964</v>
      </c>
      <c r="M1241" s="150" t="s">
        <v>965</v>
      </c>
      <c r="N1241" s="150" t="s">
        <v>276</v>
      </c>
      <c r="O1241" s="151" t="s">
        <v>276</v>
      </c>
      <c r="P1241" s="151" t="s">
        <v>239</v>
      </c>
      <c r="Q1241" s="154">
        <v>42735</v>
      </c>
      <c r="R1241" s="151" t="s">
        <v>276</v>
      </c>
      <c r="S1241" s="151" t="s">
        <v>7638</v>
      </c>
      <c r="T1241" s="151" t="s">
        <v>7638</v>
      </c>
      <c r="U1241" s="447">
        <v>4</v>
      </c>
      <c r="V1241" s="150" t="s">
        <v>14</v>
      </c>
      <c r="W1241" s="150" t="s">
        <v>98</v>
      </c>
      <c r="X1241" s="151" t="s">
        <v>207</v>
      </c>
      <c r="Y1241" s="155">
        <v>1613</v>
      </c>
      <c r="Z1241" s="156">
        <v>1593</v>
      </c>
      <c r="AA1241" s="151" t="s">
        <v>276</v>
      </c>
      <c r="AB1241" s="151" t="s">
        <v>276</v>
      </c>
      <c r="AC1241" s="150">
        <v>13</v>
      </c>
      <c r="AD1241" s="151" t="s">
        <v>7675</v>
      </c>
      <c r="AE1241" s="150">
        <v>27</v>
      </c>
      <c r="AF1241" s="150" t="s">
        <v>968</v>
      </c>
      <c r="AG1241" s="151" t="s">
        <v>7684</v>
      </c>
      <c r="AH1241" s="151" t="s">
        <v>866</v>
      </c>
      <c r="AI1241" s="156">
        <f>4+8</f>
        <v>12</v>
      </c>
      <c r="AJ1241" s="156">
        <v>10</v>
      </c>
      <c r="AK1241" s="156">
        <v>1613</v>
      </c>
      <c r="AL1241" s="156">
        <v>1593</v>
      </c>
      <c r="AM1241" s="156" t="s">
        <v>292</v>
      </c>
      <c r="AN1241" s="448" t="s">
        <v>276</v>
      </c>
      <c r="AO1241" s="159">
        <f>AI1241*100/AK1241</f>
        <v>0.74395536267823925</v>
      </c>
      <c r="AP1241" s="150" t="s">
        <v>276</v>
      </c>
      <c r="AQ1241" s="150" t="s">
        <v>276</v>
      </c>
      <c r="AR1241" s="150" t="s">
        <v>276</v>
      </c>
      <c r="AS1241" s="159">
        <f>AJ1241*100/AL1241</f>
        <v>0.62774639045825487</v>
      </c>
      <c r="AT1241" s="150" t="s">
        <v>276</v>
      </c>
      <c r="AU1241" s="150" t="s">
        <v>276</v>
      </c>
      <c r="AV1241" s="151" t="s">
        <v>268</v>
      </c>
      <c r="AW1241" s="235" t="s">
        <v>276</v>
      </c>
      <c r="AX1241" s="235">
        <f t="shared" si="378"/>
        <v>1.1851208927464352</v>
      </c>
      <c r="AY1241" s="235" t="s">
        <v>276</v>
      </c>
      <c r="AZ1241" s="235" t="s">
        <v>276</v>
      </c>
      <c r="BA1241" s="235" t="s">
        <v>276</v>
      </c>
      <c r="BB1241" s="235" t="s">
        <v>282</v>
      </c>
      <c r="BC1241" s="235" t="s">
        <v>276</v>
      </c>
      <c r="BD1241" s="235" t="s">
        <v>276</v>
      </c>
      <c r="BE1241" s="235" t="s">
        <v>276</v>
      </c>
      <c r="BF1241" s="151" t="s">
        <v>1358</v>
      </c>
      <c r="BG1241" s="151" t="s">
        <v>276</v>
      </c>
      <c r="BH1241" s="9" t="s">
        <v>100</v>
      </c>
      <c r="BI1241" s="9" t="s">
        <v>100</v>
      </c>
      <c r="BJ1241" s="171"/>
      <c r="BN1241" s="171"/>
      <c r="BO1241" s="171"/>
    </row>
    <row r="1242" spans="1:67" s="172" customFormat="1" ht="52" hidden="1" x14ac:dyDescent="0.35">
      <c r="A1242" s="150">
        <v>669</v>
      </c>
      <c r="B1242" s="150" t="s">
        <v>7670</v>
      </c>
      <c r="C1242" s="150" t="s">
        <v>76</v>
      </c>
      <c r="D1242" s="151" t="s">
        <v>7685</v>
      </c>
      <c r="E1242" s="150" t="s">
        <v>39</v>
      </c>
      <c r="F1242" s="150" t="s">
        <v>143</v>
      </c>
      <c r="G1242" s="150" t="s">
        <v>225</v>
      </c>
      <c r="H1242" s="150" t="s">
        <v>125</v>
      </c>
      <c r="I1242" s="150" t="s">
        <v>114</v>
      </c>
      <c r="J1242" s="151" t="s">
        <v>25</v>
      </c>
      <c r="K1242" s="150" t="s">
        <v>311</v>
      </c>
      <c r="L1242" s="150" t="s">
        <v>964</v>
      </c>
      <c r="M1242" s="150" t="s">
        <v>965</v>
      </c>
      <c r="N1242" s="150" t="s">
        <v>276</v>
      </c>
      <c r="O1242" s="151" t="s">
        <v>276</v>
      </c>
      <c r="P1242" s="151" t="s">
        <v>239</v>
      </c>
      <c r="Q1242" s="154">
        <v>42735</v>
      </c>
      <c r="R1242" s="151" t="s">
        <v>276</v>
      </c>
      <c r="S1242" s="151" t="s">
        <v>7638</v>
      </c>
      <c r="T1242" s="151" t="s">
        <v>7638</v>
      </c>
      <c r="U1242" s="447">
        <v>4</v>
      </c>
      <c r="V1242" s="150" t="s">
        <v>14</v>
      </c>
      <c r="W1242" s="150" t="s">
        <v>98</v>
      </c>
      <c r="X1242" s="151" t="s">
        <v>207</v>
      </c>
      <c r="Y1242" s="155">
        <v>1613</v>
      </c>
      <c r="Z1242" s="156">
        <v>1593</v>
      </c>
      <c r="AA1242" s="151" t="s">
        <v>276</v>
      </c>
      <c r="AB1242" s="151" t="s">
        <v>276</v>
      </c>
      <c r="AC1242" s="150">
        <v>13</v>
      </c>
      <c r="AD1242" s="151" t="s">
        <v>7675</v>
      </c>
      <c r="AE1242" s="150">
        <v>27</v>
      </c>
      <c r="AF1242" s="150" t="s">
        <v>968</v>
      </c>
      <c r="AG1242" s="151" t="s">
        <v>7684</v>
      </c>
      <c r="AH1242" s="151" t="s">
        <v>7678</v>
      </c>
      <c r="AI1242" s="156">
        <v>12</v>
      </c>
      <c r="AJ1242" s="156">
        <v>10</v>
      </c>
      <c r="AK1242" s="156">
        <v>16870</v>
      </c>
      <c r="AL1242" s="156">
        <v>17306</v>
      </c>
      <c r="AM1242" s="156" t="s">
        <v>4702</v>
      </c>
      <c r="AN1242" s="448" t="s">
        <v>276</v>
      </c>
      <c r="AO1242" s="159">
        <f>AI1242*10000/AK1242</f>
        <v>7.1132187314759925</v>
      </c>
      <c r="AP1242" s="150" t="s">
        <v>276</v>
      </c>
      <c r="AQ1242" s="150" t="s">
        <v>276</v>
      </c>
      <c r="AR1242" s="150" t="s">
        <v>276</v>
      </c>
      <c r="AS1242" s="159">
        <f>AJ1242*10000/AL1242</f>
        <v>5.7783427712931932</v>
      </c>
      <c r="AT1242" s="150" t="s">
        <v>276</v>
      </c>
      <c r="AU1242" s="150" t="s">
        <v>276</v>
      </c>
      <c r="AV1242" s="151" t="s">
        <v>269</v>
      </c>
      <c r="AW1242" s="235" t="s">
        <v>276</v>
      </c>
      <c r="AX1242" s="235">
        <f t="shared" si="378"/>
        <v>1.2310136336692352</v>
      </c>
      <c r="AY1242" s="235" t="s">
        <v>276</v>
      </c>
      <c r="AZ1242" s="235" t="s">
        <v>276</v>
      </c>
      <c r="BA1242" s="235" t="s">
        <v>276</v>
      </c>
      <c r="BB1242" s="235" t="s">
        <v>282</v>
      </c>
      <c r="BC1242" s="235" t="s">
        <v>276</v>
      </c>
      <c r="BD1242" s="235" t="s">
        <v>276</v>
      </c>
      <c r="BE1242" s="235" t="s">
        <v>276</v>
      </c>
      <c r="BF1242" s="151" t="s">
        <v>7679</v>
      </c>
      <c r="BG1242" s="151" t="s">
        <v>276</v>
      </c>
      <c r="BH1242" s="9" t="s">
        <v>100</v>
      </c>
      <c r="BI1242" s="9" t="s">
        <v>100</v>
      </c>
      <c r="BJ1242" s="171"/>
      <c r="BN1242" s="171"/>
      <c r="BO1242" s="171"/>
    </row>
    <row r="1243" spans="1:67" s="172" customFormat="1" ht="52" hidden="1" x14ac:dyDescent="0.35">
      <c r="A1243" s="150">
        <v>669</v>
      </c>
      <c r="B1243" s="150" t="s">
        <v>7670</v>
      </c>
      <c r="C1243" s="150" t="s">
        <v>76</v>
      </c>
      <c r="D1243" s="151" t="s">
        <v>7686</v>
      </c>
      <c r="E1243" s="150" t="s">
        <v>39</v>
      </c>
      <c r="F1243" s="150" t="s">
        <v>143</v>
      </c>
      <c r="G1243" s="150" t="s">
        <v>225</v>
      </c>
      <c r="H1243" s="150" t="s">
        <v>125</v>
      </c>
      <c r="I1243" s="150" t="s">
        <v>114</v>
      </c>
      <c r="J1243" s="151" t="s">
        <v>25</v>
      </c>
      <c r="K1243" s="150" t="s">
        <v>314</v>
      </c>
      <c r="L1243" s="150" t="s">
        <v>964</v>
      </c>
      <c r="M1243" s="150" t="s">
        <v>965</v>
      </c>
      <c r="N1243" s="150" t="s">
        <v>276</v>
      </c>
      <c r="O1243" s="151" t="s">
        <v>276</v>
      </c>
      <c r="P1243" s="151" t="s">
        <v>239</v>
      </c>
      <c r="Q1243" s="154">
        <v>42735</v>
      </c>
      <c r="R1243" s="151" t="s">
        <v>276</v>
      </c>
      <c r="S1243" s="151" t="s">
        <v>7638</v>
      </c>
      <c r="T1243" s="151" t="s">
        <v>7638</v>
      </c>
      <c r="U1243" s="447">
        <v>4</v>
      </c>
      <c r="V1243" s="150" t="s">
        <v>14</v>
      </c>
      <c r="W1243" s="150" t="s">
        <v>98</v>
      </c>
      <c r="X1243" s="151" t="s">
        <v>207</v>
      </c>
      <c r="Y1243" s="155">
        <v>1613</v>
      </c>
      <c r="Z1243" s="156">
        <v>1593</v>
      </c>
      <c r="AA1243" s="151" t="s">
        <v>276</v>
      </c>
      <c r="AB1243" s="151" t="s">
        <v>276</v>
      </c>
      <c r="AC1243" s="150">
        <v>13</v>
      </c>
      <c r="AD1243" s="151" t="s">
        <v>7675</v>
      </c>
      <c r="AE1243" s="150">
        <v>27</v>
      </c>
      <c r="AF1243" s="150" t="s">
        <v>968</v>
      </c>
      <c r="AG1243" s="151" t="s">
        <v>7687</v>
      </c>
      <c r="AH1243" s="151" t="s">
        <v>866</v>
      </c>
      <c r="AI1243" s="156">
        <f>6+27</f>
        <v>33</v>
      </c>
      <c r="AJ1243" s="156">
        <v>44</v>
      </c>
      <c r="AK1243" s="156">
        <v>1613</v>
      </c>
      <c r="AL1243" s="156">
        <v>1593</v>
      </c>
      <c r="AM1243" s="156" t="s">
        <v>292</v>
      </c>
      <c r="AN1243" s="448" t="s">
        <v>276</v>
      </c>
      <c r="AO1243" s="159">
        <f>AI1243*100/AK1243</f>
        <v>2.0458772473651581</v>
      </c>
      <c r="AP1243" s="150" t="s">
        <v>276</v>
      </c>
      <c r="AQ1243" s="150" t="s">
        <v>276</v>
      </c>
      <c r="AR1243" s="150" t="s">
        <v>276</v>
      </c>
      <c r="AS1243" s="159">
        <f>AJ1243*100/AL1243</f>
        <v>2.7620841180163214</v>
      </c>
      <c r="AT1243" s="150" t="s">
        <v>276</v>
      </c>
      <c r="AU1243" s="150" t="s">
        <v>276</v>
      </c>
      <c r="AV1243" s="151" t="s">
        <v>268</v>
      </c>
      <c r="AW1243" s="235" t="s">
        <v>276</v>
      </c>
      <c r="AX1243" s="235">
        <f t="shared" si="378"/>
        <v>0.74070055796652201</v>
      </c>
      <c r="AY1243" s="235" t="s">
        <v>276</v>
      </c>
      <c r="AZ1243" s="235" t="s">
        <v>276</v>
      </c>
      <c r="BA1243" s="235" t="s">
        <v>276</v>
      </c>
      <c r="BB1243" s="235" t="s">
        <v>282</v>
      </c>
      <c r="BC1243" s="235" t="s">
        <v>276</v>
      </c>
      <c r="BD1243" s="235" t="s">
        <v>276</v>
      </c>
      <c r="BE1243" s="235" t="s">
        <v>276</v>
      </c>
      <c r="BF1243" s="151" t="s">
        <v>1358</v>
      </c>
      <c r="BG1243" s="151" t="s">
        <v>276</v>
      </c>
      <c r="BH1243" s="9" t="s">
        <v>100</v>
      </c>
      <c r="BI1243" s="9" t="s">
        <v>100</v>
      </c>
      <c r="BJ1243" s="171"/>
      <c r="BN1243" s="171"/>
      <c r="BO1243" s="171"/>
    </row>
    <row r="1244" spans="1:67" s="172" customFormat="1" ht="52" hidden="1" x14ac:dyDescent="0.35">
      <c r="A1244" s="150">
        <v>669</v>
      </c>
      <c r="B1244" s="150" t="s">
        <v>7670</v>
      </c>
      <c r="C1244" s="150" t="s">
        <v>76</v>
      </c>
      <c r="D1244" s="151" t="s">
        <v>7688</v>
      </c>
      <c r="E1244" s="150" t="s">
        <v>39</v>
      </c>
      <c r="F1244" s="150" t="s">
        <v>143</v>
      </c>
      <c r="G1244" s="150" t="s">
        <v>225</v>
      </c>
      <c r="H1244" s="150" t="s">
        <v>125</v>
      </c>
      <c r="I1244" s="150" t="s">
        <v>114</v>
      </c>
      <c r="J1244" s="151" t="s">
        <v>25</v>
      </c>
      <c r="K1244" s="150" t="s">
        <v>314</v>
      </c>
      <c r="L1244" s="150" t="s">
        <v>964</v>
      </c>
      <c r="M1244" s="150" t="s">
        <v>965</v>
      </c>
      <c r="N1244" s="150" t="s">
        <v>276</v>
      </c>
      <c r="O1244" s="151" t="s">
        <v>276</v>
      </c>
      <c r="P1244" s="151" t="s">
        <v>239</v>
      </c>
      <c r="Q1244" s="154">
        <v>42735</v>
      </c>
      <c r="R1244" s="151" t="s">
        <v>276</v>
      </c>
      <c r="S1244" s="151" t="s">
        <v>7638</v>
      </c>
      <c r="T1244" s="151" t="s">
        <v>7638</v>
      </c>
      <c r="U1244" s="447">
        <v>4</v>
      </c>
      <c r="V1244" s="150" t="s">
        <v>14</v>
      </c>
      <c r="W1244" s="150" t="s">
        <v>98</v>
      </c>
      <c r="X1244" s="151" t="s">
        <v>207</v>
      </c>
      <c r="Y1244" s="155">
        <v>1613</v>
      </c>
      <c r="Z1244" s="156">
        <v>1593</v>
      </c>
      <c r="AA1244" s="151" t="s">
        <v>276</v>
      </c>
      <c r="AB1244" s="151" t="s">
        <v>276</v>
      </c>
      <c r="AC1244" s="150">
        <v>13</v>
      </c>
      <c r="AD1244" s="151" t="s">
        <v>7675</v>
      </c>
      <c r="AE1244" s="150">
        <v>27</v>
      </c>
      <c r="AF1244" s="150" t="s">
        <v>968</v>
      </c>
      <c r="AG1244" s="151" t="s">
        <v>7687</v>
      </c>
      <c r="AH1244" s="151" t="s">
        <v>7678</v>
      </c>
      <c r="AI1244" s="156">
        <v>33</v>
      </c>
      <c r="AJ1244" s="156">
        <v>44</v>
      </c>
      <c r="AK1244" s="156">
        <v>16870</v>
      </c>
      <c r="AL1244" s="156">
        <v>17306</v>
      </c>
      <c r="AM1244" s="156" t="s">
        <v>4702</v>
      </c>
      <c r="AN1244" s="448" t="s">
        <v>276</v>
      </c>
      <c r="AO1244" s="159">
        <f>AI1244*10000/AK1244</f>
        <v>19.561351511558982</v>
      </c>
      <c r="AP1244" s="150" t="s">
        <v>276</v>
      </c>
      <c r="AQ1244" s="150" t="s">
        <v>276</v>
      </c>
      <c r="AR1244" s="150" t="s">
        <v>276</v>
      </c>
      <c r="AS1244" s="159">
        <f>AJ1244*10000/AL1244</f>
        <v>25.424708193690051</v>
      </c>
      <c r="AT1244" s="150" t="s">
        <v>276</v>
      </c>
      <c r="AU1244" s="150" t="s">
        <v>276</v>
      </c>
      <c r="AV1244" s="151" t="s">
        <v>269</v>
      </c>
      <c r="AW1244" s="235" t="s">
        <v>276</v>
      </c>
      <c r="AX1244" s="235">
        <f t="shared" si="378"/>
        <v>0.76938352104327212</v>
      </c>
      <c r="AY1244" s="235" t="s">
        <v>276</v>
      </c>
      <c r="AZ1244" s="235" t="s">
        <v>276</v>
      </c>
      <c r="BA1244" s="235" t="s">
        <v>276</v>
      </c>
      <c r="BB1244" s="235" t="s">
        <v>282</v>
      </c>
      <c r="BC1244" s="235" t="s">
        <v>276</v>
      </c>
      <c r="BD1244" s="235" t="s">
        <v>276</v>
      </c>
      <c r="BE1244" s="235" t="s">
        <v>276</v>
      </c>
      <c r="BF1244" s="151" t="s">
        <v>7679</v>
      </c>
      <c r="BG1244" s="151" t="s">
        <v>276</v>
      </c>
      <c r="BH1244" s="9" t="s">
        <v>100</v>
      </c>
      <c r="BI1244" s="9" t="s">
        <v>100</v>
      </c>
      <c r="BJ1244" s="171"/>
      <c r="BN1244" s="171"/>
      <c r="BO1244" s="171"/>
    </row>
    <row r="1245" spans="1:67" s="172" customFormat="1" ht="52" hidden="1" x14ac:dyDescent="0.35">
      <c r="A1245" s="150">
        <v>669</v>
      </c>
      <c r="B1245" s="150" t="s">
        <v>7670</v>
      </c>
      <c r="C1245" s="150" t="s">
        <v>76</v>
      </c>
      <c r="D1245" s="151" t="s">
        <v>7689</v>
      </c>
      <c r="E1245" s="150" t="s">
        <v>39</v>
      </c>
      <c r="F1245" s="150" t="s">
        <v>143</v>
      </c>
      <c r="G1245" s="150" t="s">
        <v>225</v>
      </c>
      <c r="H1245" s="150" t="s">
        <v>125</v>
      </c>
      <c r="I1245" s="150" t="s">
        <v>114</v>
      </c>
      <c r="J1245" s="151" t="s">
        <v>25</v>
      </c>
      <c r="K1245" s="150" t="s">
        <v>317</v>
      </c>
      <c r="L1245" s="150" t="s">
        <v>964</v>
      </c>
      <c r="M1245" s="150" t="s">
        <v>965</v>
      </c>
      <c r="N1245" s="150" t="s">
        <v>276</v>
      </c>
      <c r="O1245" s="151" t="s">
        <v>276</v>
      </c>
      <c r="P1245" s="151" t="s">
        <v>239</v>
      </c>
      <c r="Q1245" s="154">
        <v>42735</v>
      </c>
      <c r="R1245" s="151" t="s">
        <v>276</v>
      </c>
      <c r="S1245" s="151" t="s">
        <v>7638</v>
      </c>
      <c r="T1245" s="151" t="s">
        <v>7638</v>
      </c>
      <c r="U1245" s="447">
        <v>4</v>
      </c>
      <c r="V1245" s="150" t="s">
        <v>14</v>
      </c>
      <c r="W1245" s="150" t="s">
        <v>98</v>
      </c>
      <c r="X1245" s="151" t="s">
        <v>207</v>
      </c>
      <c r="Y1245" s="155">
        <v>1613</v>
      </c>
      <c r="Z1245" s="156">
        <v>1593</v>
      </c>
      <c r="AA1245" s="151" t="s">
        <v>276</v>
      </c>
      <c r="AB1245" s="151" t="s">
        <v>276</v>
      </c>
      <c r="AC1245" s="150">
        <v>13</v>
      </c>
      <c r="AD1245" s="151" t="s">
        <v>7675</v>
      </c>
      <c r="AE1245" s="150">
        <v>27</v>
      </c>
      <c r="AF1245" s="150" t="s">
        <v>968</v>
      </c>
      <c r="AG1245" s="151" t="s">
        <v>7690</v>
      </c>
      <c r="AH1245" s="151" t="s">
        <v>866</v>
      </c>
      <c r="AI1245" s="156">
        <f>AI1243+AI1241</f>
        <v>45</v>
      </c>
      <c r="AJ1245" s="156">
        <f>AJ1243+AJ1241</f>
        <v>54</v>
      </c>
      <c r="AK1245" s="156">
        <v>1613</v>
      </c>
      <c r="AL1245" s="156">
        <v>1593</v>
      </c>
      <c r="AM1245" s="156" t="s">
        <v>292</v>
      </c>
      <c r="AN1245" s="448" t="s">
        <v>276</v>
      </c>
      <c r="AO1245" s="159">
        <f>AI1245*100/AK1245</f>
        <v>2.7898326100433972</v>
      </c>
      <c r="AP1245" s="150" t="s">
        <v>276</v>
      </c>
      <c r="AQ1245" s="150" t="s">
        <v>276</v>
      </c>
      <c r="AR1245" s="150" t="s">
        <v>276</v>
      </c>
      <c r="AS1245" s="159">
        <f>AJ1245*100/AL1245</f>
        <v>3.3898305084745761</v>
      </c>
      <c r="AT1245" s="150" t="s">
        <v>276</v>
      </c>
      <c r="AU1245" s="150" t="s">
        <v>276</v>
      </c>
      <c r="AV1245" s="151" t="s">
        <v>268</v>
      </c>
      <c r="AW1245" s="235" t="s">
        <v>276</v>
      </c>
      <c r="AX1245" s="235">
        <f t="shared" si="378"/>
        <v>0.82300061996280227</v>
      </c>
      <c r="AY1245" s="235" t="s">
        <v>276</v>
      </c>
      <c r="AZ1245" s="235" t="s">
        <v>276</v>
      </c>
      <c r="BA1245" s="235" t="s">
        <v>276</v>
      </c>
      <c r="BB1245" s="235" t="s">
        <v>282</v>
      </c>
      <c r="BC1245" s="235" t="s">
        <v>276</v>
      </c>
      <c r="BD1245" s="235" t="s">
        <v>276</v>
      </c>
      <c r="BE1245" s="235" t="s">
        <v>276</v>
      </c>
      <c r="BF1245" s="151" t="s">
        <v>1358</v>
      </c>
      <c r="BG1245" s="151" t="s">
        <v>7691</v>
      </c>
      <c r="BH1245" s="9" t="s">
        <v>100</v>
      </c>
      <c r="BI1245" s="9" t="s">
        <v>100</v>
      </c>
      <c r="BJ1245" s="171"/>
      <c r="BN1245" s="171"/>
      <c r="BO1245" s="171"/>
    </row>
    <row r="1246" spans="1:67" s="172" customFormat="1" ht="52" hidden="1" x14ac:dyDescent="0.35">
      <c r="A1246" s="150">
        <v>669</v>
      </c>
      <c r="B1246" s="150" t="s">
        <v>7670</v>
      </c>
      <c r="C1246" s="150" t="s">
        <v>76</v>
      </c>
      <c r="D1246" s="151" t="s">
        <v>7692</v>
      </c>
      <c r="E1246" s="150" t="s">
        <v>39</v>
      </c>
      <c r="F1246" s="150" t="s">
        <v>143</v>
      </c>
      <c r="G1246" s="150" t="s">
        <v>225</v>
      </c>
      <c r="H1246" s="150" t="s">
        <v>125</v>
      </c>
      <c r="I1246" s="150" t="s">
        <v>114</v>
      </c>
      <c r="J1246" s="151" t="s">
        <v>25</v>
      </c>
      <c r="K1246" s="150" t="s">
        <v>317</v>
      </c>
      <c r="L1246" s="150" t="s">
        <v>964</v>
      </c>
      <c r="M1246" s="150" t="s">
        <v>965</v>
      </c>
      <c r="N1246" s="150" t="s">
        <v>276</v>
      </c>
      <c r="O1246" s="151" t="s">
        <v>276</v>
      </c>
      <c r="P1246" s="151" t="s">
        <v>239</v>
      </c>
      <c r="Q1246" s="154">
        <v>42735</v>
      </c>
      <c r="R1246" s="151" t="s">
        <v>276</v>
      </c>
      <c r="S1246" s="151" t="s">
        <v>7638</v>
      </c>
      <c r="T1246" s="151" t="s">
        <v>7638</v>
      </c>
      <c r="U1246" s="447">
        <v>4</v>
      </c>
      <c r="V1246" s="150" t="s">
        <v>14</v>
      </c>
      <c r="W1246" s="150" t="s">
        <v>98</v>
      </c>
      <c r="X1246" s="151" t="s">
        <v>207</v>
      </c>
      <c r="Y1246" s="155">
        <v>1613</v>
      </c>
      <c r="Z1246" s="156">
        <v>1593</v>
      </c>
      <c r="AA1246" s="151" t="s">
        <v>276</v>
      </c>
      <c r="AB1246" s="151" t="s">
        <v>276</v>
      </c>
      <c r="AC1246" s="150">
        <v>13</v>
      </c>
      <c r="AD1246" s="151" t="s">
        <v>7675</v>
      </c>
      <c r="AE1246" s="150">
        <v>27</v>
      </c>
      <c r="AF1246" s="150" t="s">
        <v>968</v>
      </c>
      <c r="AG1246" s="151" t="s">
        <v>7690</v>
      </c>
      <c r="AH1246" s="151" t="s">
        <v>7678</v>
      </c>
      <c r="AI1246" s="156">
        <v>45</v>
      </c>
      <c r="AJ1246" s="156">
        <v>54</v>
      </c>
      <c r="AK1246" s="156">
        <v>16870</v>
      </c>
      <c r="AL1246" s="156">
        <v>17306</v>
      </c>
      <c r="AM1246" s="156" t="s">
        <v>4702</v>
      </c>
      <c r="AN1246" s="448" t="s">
        <v>276</v>
      </c>
      <c r="AO1246" s="159">
        <f>AI1246*10000/AK1246</f>
        <v>26.674570243034974</v>
      </c>
      <c r="AP1246" s="150" t="s">
        <v>276</v>
      </c>
      <c r="AQ1246" s="150" t="s">
        <v>276</v>
      </c>
      <c r="AR1246" s="150" t="s">
        <v>276</v>
      </c>
      <c r="AS1246" s="159">
        <f>AJ1246*10000/AL1246</f>
        <v>31.203050964983241</v>
      </c>
      <c r="AT1246" s="150" t="s">
        <v>276</v>
      </c>
      <c r="AU1246" s="150" t="s">
        <v>276</v>
      </c>
      <c r="AV1246" s="151" t="s">
        <v>269</v>
      </c>
      <c r="AW1246" s="235" t="s">
        <v>276</v>
      </c>
      <c r="AX1246" s="235">
        <f t="shared" si="378"/>
        <v>0.85487057893696905</v>
      </c>
      <c r="AY1246" s="235" t="s">
        <v>276</v>
      </c>
      <c r="AZ1246" s="235" t="s">
        <v>276</v>
      </c>
      <c r="BA1246" s="235" t="s">
        <v>276</v>
      </c>
      <c r="BB1246" s="235" t="s">
        <v>282</v>
      </c>
      <c r="BC1246" s="235" t="s">
        <v>276</v>
      </c>
      <c r="BD1246" s="235" t="s">
        <v>276</v>
      </c>
      <c r="BE1246" s="235" t="s">
        <v>276</v>
      </c>
      <c r="BF1246" s="151" t="s">
        <v>7679</v>
      </c>
      <c r="BG1246" s="151" t="s">
        <v>276</v>
      </c>
      <c r="BH1246" s="9" t="s">
        <v>100</v>
      </c>
      <c r="BI1246" s="9" t="s">
        <v>100</v>
      </c>
      <c r="BJ1246" s="171"/>
      <c r="BN1246" s="171"/>
      <c r="BO1246" s="171"/>
    </row>
    <row r="1247" spans="1:67" s="172" customFormat="1" ht="52" hidden="1" x14ac:dyDescent="0.35">
      <c r="A1247" s="150">
        <v>669</v>
      </c>
      <c r="B1247" s="150" t="s">
        <v>7670</v>
      </c>
      <c r="C1247" s="150" t="s">
        <v>76</v>
      </c>
      <c r="D1247" s="151" t="s">
        <v>7693</v>
      </c>
      <c r="E1247" s="150" t="s">
        <v>39</v>
      </c>
      <c r="F1247" s="150" t="s">
        <v>143</v>
      </c>
      <c r="G1247" s="150" t="s">
        <v>225</v>
      </c>
      <c r="H1247" s="150" t="s">
        <v>125</v>
      </c>
      <c r="I1247" s="150" t="s">
        <v>114</v>
      </c>
      <c r="J1247" s="151" t="s">
        <v>25</v>
      </c>
      <c r="K1247" s="150" t="s">
        <v>317</v>
      </c>
      <c r="L1247" s="150" t="s">
        <v>964</v>
      </c>
      <c r="M1247" s="150" t="s">
        <v>965</v>
      </c>
      <c r="N1247" s="150" t="s">
        <v>276</v>
      </c>
      <c r="O1247" s="151" t="s">
        <v>276</v>
      </c>
      <c r="P1247" s="151" t="s">
        <v>235</v>
      </c>
      <c r="Q1247" s="154">
        <v>42735</v>
      </c>
      <c r="R1247" s="151" t="s">
        <v>276</v>
      </c>
      <c r="S1247" s="151" t="s">
        <v>7638</v>
      </c>
      <c r="T1247" s="151" t="s">
        <v>7638</v>
      </c>
      <c r="U1247" s="447">
        <v>4</v>
      </c>
      <c r="V1247" s="150" t="s">
        <v>14</v>
      </c>
      <c r="W1247" s="150" t="s">
        <v>98</v>
      </c>
      <c r="X1247" s="151" t="s">
        <v>207</v>
      </c>
      <c r="Y1247" s="155" t="s">
        <v>98</v>
      </c>
      <c r="Z1247" s="156" t="s">
        <v>98</v>
      </c>
      <c r="AA1247" s="151" t="s">
        <v>276</v>
      </c>
      <c r="AB1247" s="151" t="s">
        <v>276</v>
      </c>
      <c r="AC1247" s="150">
        <v>13</v>
      </c>
      <c r="AD1247" s="151" t="s">
        <v>7675</v>
      </c>
      <c r="AE1247" s="150">
        <v>27</v>
      </c>
      <c r="AF1247" s="150" t="s">
        <v>968</v>
      </c>
      <c r="AG1247" s="151" t="s">
        <v>7690</v>
      </c>
      <c r="AH1247" s="151" t="s">
        <v>7694</v>
      </c>
      <c r="AI1247" s="156">
        <v>45</v>
      </c>
      <c r="AJ1247" s="156">
        <v>54</v>
      </c>
      <c r="AK1247" s="156">
        <v>91</v>
      </c>
      <c r="AL1247" s="156">
        <v>100</v>
      </c>
      <c r="AM1247" s="156" t="s">
        <v>292</v>
      </c>
      <c r="AN1247" s="448" t="s">
        <v>276</v>
      </c>
      <c r="AO1247" s="159">
        <f>AI1247*100/AK1247</f>
        <v>49.450549450549453</v>
      </c>
      <c r="AP1247" s="150" t="s">
        <v>276</v>
      </c>
      <c r="AQ1247" s="150" t="s">
        <v>276</v>
      </c>
      <c r="AR1247" s="150" t="s">
        <v>276</v>
      </c>
      <c r="AS1247" s="159">
        <f>AJ1247*100/AL1247</f>
        <v>54</v>
      </c>
      <c r="AT1247" s="150" t="s">
        <v>276</v>
      </c>
      <c r="AU1247" s="150" t="s">
        <v>276</v>
      </c>
      <c r="AV1247" s="151" t="s">
        <v>268</v>
      </c>
      <c r="AW1247" s="235" t="s">
        <v>276</v>
      </c>
      <c r="AX1247" s="235">
        <f t="shared" si="378"/>
        <v>0.91575091575091583</v>
      </c>
      <c r="AY1247" s="235" t="s">
        <v>276</v>
      </c>
      <c r="AZ1247" s="235" t="s">
        <v>276</v>
      </c>
      <c r="BA1247" s="235" t="s">
        <v>276</v>
      </c>
      <c r="BB1247" s="235" t="s">
        <v>282</v>
      </c>
      <c r="BC1247" s="235" t="s">
        <v>276</v>
      </c>
      <c r="BD1247" s="235" t="s">
        <v>276</v>
      </c>
      <c r="BE1247" s="235" t="s">
        <v>276</v>
      </c>
      <c r="BF1247" s="151" t="s">
        <v>1358</v>
      </c>
      <c r="BG1247" s="151" t="s">
        <v>7695</v>
      </c>
      <c r="BH1247" s="9" t="s">
        <v>100</v>
      </c>
      <c r="BI1247" s="9" t="s">
        <v>100</v>
      </c>
      <c r="BJ1247" s="171"/>
      <c r="BN1247" s="171"/>
      <c r="BO1247" s="171"/>
    </row>
    <row r="1248" spans="1:67" s="33" customFormat="1" ht="39" hidden="1" x14ac:dyDescent="0.35">
      <c r="A1248" s="8">
        <v>3854</v>
      </c>
      <c r="B1248" s="9" t="s">
        <v>7780</v>
      </c>
      <c r="C1248" s="8" t="s">
        <v>7697</v>
      </c>
      <c r="D1248" s="9" t="s">
        <v>7781</v>
      </c>
      <c r="E1248" s="8" t="s">
        <v>35</v>
      </c>
      <c r="F1248" s="8" t="s">
        <v>97</v>
      </c>
      <c r="G1248" s="8" t="s">
        <v>225</v>
      </c>
      <c r="H1248" s="8" t="s">
        <v>225</v>
      </c>
      <c r="I1248" s="8" t="s">
        <v>98</v>
      </c>
      <c r="J1248" s="9" t="s">
        <v>98</v>
      </c>
      <c r="K1248" s="8" t="s">
        <v>98</v>
      </c>
      <c r="L1248" s="8" t="s">
        <v>98</v>
      </c>
      <c r="M1248" s="8" t="s">
        <v>98</v>
      </c>
      <c r="N1248" s="8" t="s">
        <v>276</v>
      </c>
      <c r="O1248" s="9" t="s">
        <v>276</v>
      </c>
      <c r="P1248" s="9" t="s">
        <v>238</v>
      </c>
      <c r="Q1248" s="52" t="s">
        <v>276</v>
      </c>
      <c r="R1248" s="9" t="s">
        <v>7782</v>
      </c>
      <c r="S1248" s="9" t="s">
        <v>276</v>
      </c>
      <c r="T1248" s="9" t="s">
        <v>98</v>
      </c>
      <c r="U1248" s="9">
        <v>3</v>
      </c>
      <c r="V1248" s="8" t="s">
        <v>14</v>
      </c>
      <c r="W1248" s="8" t="s">
        <v>98</v>
      </c>
      <c r="X1248" s="9" t="s">
        <v>209</v>
      </c>
      <c r="Y1248" s="38" t="s">
        <v>11136</v>
      </c>
      <c r="Z1248" s="9" t="s">
        <v>98</v>
      </c>
      <c r="AA1248" s="9" t="s">
        <v>276</v>
      </c>
      <c r="AB1248" s="9" t="s">
        <v>98</v>
      </c>
      <c r="AC1248" s="8" t="s">
        <v>276</v>
      </c>
      <c r="AD1248" s="9" t="s">
        <v>3843</v>
      </c>
      <c r="AE1248" s="8" t="s">
        <v>98</v>
      </c>
      <c r="AF1248" s="8" t="s">
        <v>98</v>
      </c>
      <c r="AG1248" s="9" t="s">
        <v>7783</v>
      </c>
      <c r="AH1248" s="9" t="s">
        <v>4678</v>
      </c>
      <c r="AI1248" s="38">
        <f>118+58+46</f>
        <v>222</v>
      </c>
      <c r="AJ1248" s="38" t="s">
        <v>98</v>
      </c>
      <c r="AK1248" s="38">
        <v>21000</v>
      </c>
      <c r="AL1248" s="38" t="s">
        <v>98</v>
      </c>
      <c r="AM1248" s="38" t="s">
        <v>281</v>
      </c>
      <c r="AN1248" s="8" t="s">
        <v>276</v>
      </c>
      <c r="AO1248" s="14">
        <f>AI1248*1000/AK1248</f>
        <v>10.571428571428571</v>
      </c>
      <c r="AP1248" s="8" t="s">
        <v>276</v>
      </c>
      <c r="AQ1248" s="8" t="s">
        <v>276</v>
      </c>
      <c r="AR1248" s="8" t="s">
        <v>276</v>
      </c>
      <c r="AS1248" s="14" t="s">
        <v>98</v>
      </c>
      <c r="AT1248" s="8" t="s">
        <v>98</v>
      </c>
      <c r="AU1248" s="8" t="s">
        <v>98</v>
      </c>
      <c r="AV1248" s="8" t="s">
        <v>98</v>
      </c>
      <c r="AW1248" s="40" t="s">
        <v>98</v>
      </c>
      <c r="AX1248" s="40" t="s">
        <v>98</v>
      </c>
      <c r="AY1248" s="40" t="s">
        <v>98</v>
      </c>
      <c r="AZ1248" s="40" t="s">
        <v>98</v>
      </c>
      <c r="BA1248" s="40" t="s">
        <v>98</v>
      </c>
      <c r="BB1248" s="40" t="s">
        <v>98</v>
      </c>
      <c r="BC1248" s="40" t="s">
        <v>98</v>
      </c>
      <c r="BD1248" s="40" t="s">
        <v>98</v>
      </c>
      <c r="BE1248" s="40" t="s">
        <v>98</v>
      </c>
      <c r="BF1248" s="9" t="s">
        <v>841</v>
      </c>
      <c r="BG1248" s="9" t="s">
        <v>7784</v>
      </c>
      <c r="BH1248" s="9" t="s">
        <v>100</v>
      </c>
      <c r="BI1248" s="9" t="s">
        <v>100</v>
      </c>
      <c r="BJ1248" s="32"/>
      <c r="BN1248" s="32"/>
      <c r="BO1248" s="32"/>
    </row>
    <row r="1249" spans="1:67" s="33" customFormat="1" ht="52" hidden="1" x14ac:dyDescent="0.35">
      <c r="A1249" s="8">
        <v>3854</v>
      </c>
      <c r="B1249" s="9" t="s">
        <v>7780</v>
      </c>
      <c r="C1249" s="8" t="s">
        <v>7697</v>
      </c>
      <c r="D1249" s="9" t="s">
        <v>7785</v>
      </c>
      <c r="E1249" s="8" t="s">
        <v>35</v>
      </c>
      <c r="F1249" s="8" t="s">
        <v>97</v>
      </c>
      <c r="G1249" s="8" t="s">
        <v>225</v>
      </c>
      <c r="H1249" s="8" t="s">
        <v>225</v>
      </c>
      <c r="I1249" s="8" t="s">
        <v>98</v>
      </c>
      <c r="J1249" s="9" t="s">
        <v>98</v>
      </c>
      <c r="K1249" s="8" t="s">
        <v>98</v>
      </c>
      <c r="L1249" s="8" t="s">
        <v>98</v>
      </c>
      <c r="M1249" s="8" t="s">
        <v>98</v>
      </c>
      <c r="N1249" s="8" t="s">
        <v>276</v>
      </c>
      <c r="O1249" s="9" t="s">
        <v>276</v>
      </c>
      <c r="P1249" s="9" t="s">
        <v>236</v>
      </c>
      <c r="Q1249" s="52" t="s">
        <v>276</v>
      </c>
      <c r="R1249" s="9" t="s">
        <v>7782</v>
      </c>
      <c r="S1249" s="9" t="s">
        <v>276</v>
      </c>
      <c r="T1249" s="9" t="s">
        <v>98</v>
      </c>
      <c r="U1249" s="9">
        <v>3</v>
      </c>
      <c r="V1249" s="8" t="s">
        <v>14</v>
      </c>
      <c r="W1249" s="8" t="s">
        <v>98</v>
      </c>
      <c r="X1249" s="9" t="s">
        <v>209</v>
      </c>
      <c r="Y1249" s="13" t="s">
        <v>98</v>
      </c>
      <c r="Z1249" s="9" t="s">
        <v>98</v>
      </c>
      <c r="AA1249" s="9" t="s">
        <v>276</v>
      </c>
      <c r="AB1249" s="9" t="s">
        <v>98</v>
      </c>
      <c r="AC1249" s="8" t="s">
        <v>276</v>
      </c>
      <c r="AD1249" s="9" t="s">
        <v>3843</v>
      </c>
      <c r="AE1249" s="8" t="s">
        <v>98</v>
      </c>
      <c r="AF1249" s="8" t="s">
        <v>98</v>
      </c>
      <c r="AG1249" s="9" t="s">
        <v>7783</v>
      </c>
      <c r="AH1249" s="9" t="s">
        <v>7786</v>
      </c>
      <c r="AI1249" s="38">
        <f>118+58+46</f>
        <v>222</v>
      </c>
      <c r="AJ1249" s="38" t="s">
        <v>98</v>
      </c>
      <c r="AK1249" s="38">
        <v>318</v>
      </c>
      <c r="AL1249" s="38" t="s">
        <v>98</v>
      </c>
      <c r="AM1249" s="38" t="s">
        <v>292</v>
      </c>
      <c r="AN1249" s="8" t="s">
        <v>276</v>
      </c>
      <c r="AO1249" s="14">
        <f>AI1249*100/AK1249</f>
        <v>69.811320754716988</v>
      </c>
      <c r="AP1249" s="8" t="s">
        <v>276</v>
      </c>
      <c r="AQ1249" s="8" t="s">
        <v>276</v>
      </c>
      <c r="AR1249" s="8" t="s">
        <v>276</v>
      </c>
      <c r="AS1249" s="14" t="s">
        <v>98</v>
      </c>
      <c r="AT1249" s="8" t="s">
        <v>98</v>
      </c>
      <c r="AU1249" s="8" t="s">
        <v>98</v>
      </c>
      <c r="AV1249" s="8" t="s">
        <v>98</v>
      </c>
      <c r="AW1249" s="40" t="s">
        <v>98</v>
      </c>
      <c r="AX1249" s="40" t="s">
        <v>98</v>
      </c>
      <c r="AY1249" s="40" t="s">
        <v>98</v>
      </c>
      <c r="AZ1249" s="40" t="s">
        <v>98</v>
      </c>
      <c r="BA1249" s="40" t="s">
        <v>98</v>
      </c>
      <c r="BB1249" s="40" t="s">
        <v>98</v>
      </c>
      <c r="BC1249" s="40" t="s">
        <v>98</v>
      </c>
      <c r="BD1249" s="40" t="s">
        <v>98</v>
      </c>
      <c r="BE1249" s="40" t="s">
        <v>98</v>
      </c>
      <c r="BF1249" s="9" t="s">
        <v>841</v>
      </c>
      <c r="BG1249" s="9" t="s">
        <v>7784</v>
      </c>
      <c r="BH1249" s="9" t="s">
        <v>100</v>
      </c>
      <c r="BI1249" s="9" t="s">
        <v>100</v>
      </c>
      <c r="BJ1249" s="32"/>
      <c r="BN1249" s="32"/>
      <c r="BO1249" s="32"/>
    </row>
    <row r="1250" spans="1:67" s="79" customFormat="1" ht="65" hidden="1" x14ac:dyDescent="0.35">
      <c r="A1250" s="72">
        <v>3854</v>
      </c>
      <c r="B1250" s="73" t="s">
        <v>7780</v>
      </c>
      <c r="C1250" s="72" t="s">
        <v>7697</v>
      </c>
      <c r="D1250" s="73" t="s">
        <v>7787</v>
      </c>
      <c r="E1250" s="72" t="s">
        <v>35</v>
      </c>
      <c r="F1250" s="72" t="s">
        <v>97</v>
      </c>
      <c r="G1250" s="72" t="s">
        <v>225</v>
      </c>
      <c r="H1250" s="72" t="s">
        <v>125</v>
      </c>
      <c r="I1250" s="72" t="s">
        <v>114</v>
      </c>
      <c r="J1250" s="73" t="s">
        <v>31</v>
      </c>
      <c r="K1250" s="424" t="s">
        <v>7788</v>
      </c>
      <c r="L1250" s="73" t="s">
        <v>7789</v>
      </c>
      <c r="M1250" s="73" t="s">
        <v>7790</v>
      </c>
      <c r="N1250" s="72" t="s">
        <v>276</v>
      </c>
      <c r="O1250" s="73" t="s">
        <v>276</v>
      </c>
      <c r="P1250" s="73" t="s">
        <v>239</v>
      </c>
      <c r="Q1250" s="77" t="s">
        <v>276</v>
      </c>
      <c r="R1250" s="73" t="s">
        <v>7782</v>
      </c>
      <c r="S1250" s="73" t="s">
        <v>276</v>
      </c>
      <c r="T1250" s="73" t="s">
        <v>276</v>
      </c>
      <c r="U1250" s="73">
        <v>3</v>
      </c>
      <c r="V1250" s="72" t="s">
        <v>14</v>
      </c>
      <c r="W1250" s="72" t="s">
        <v>98</v>
      </c>
      <c r="X1250" s="73" t="s">
        <v>207</v>
      </c>
      <c r="Y1250" s="74">
        <v>21000</v>
      </c>
      <c r="Z1250" s="73">
        <v>21000</v>
      </c>
      <c r="AA1250" s="73" t="s">
        <v>276</v>
      </c>
      <c r="AB1250" s="73" t="s">
        <v>276</v>
      </c>
      <c r="AC1250" s="72" t="s">
        <v>276</v>
      </c>
      <c r="AD1250" s="73" t="s">
        <v>3921</v>
      </c>
      <c r="AE1250" s="72" t="s">
        <v>276</v>
      </c>
      <c r="AF1250" s="72" t="s">
        <v>3921</v>
      </c>
      <c r="AG1250" s="73" t="s">
        <v>7791</v>
      </c>
      <c r="AH1250" s="73" t="s">
        <v>4658</v>
      </c>
      <c r="AI1250" s="75">
        <f>51+28+21+7+4</f>
        <v>111</v>
      </c>
      <c r="AJ1250" s="75">
        <v>33</v>
      </c>
      <c r="AK1250" s="75">
        <v>21000</v>
      </c>
      <c r="AL1250" s="75">
        <v>21000</v>
      </c>
      <c r="AM1250" s="75" t="s">
        <v>281</v>
      </c>
      <c r="AN1250" s="72" t="s">
        <v>276</v>
      </c>
      <c r="AO1250" s="76">
        <f>AI1250*1000/AK1250</f>
        <v>5.2857142857142856</v>
      </c>
      <c r="AP1250" s="72" t="s">
        <v>276</v>
      </c>
      <c r="AQ1250" s="72" t="s">
        <v>276</v>
      </c>
      <c r="AR1250" s="72" t="s">
        <v>276</v>
      </c>
      <c r="AS1250" s="76">
        <f>AJ1250*1000/AL1250</f>
        <v>1.5714285714285714</v>
      </c>
      <c r="AT1250" s="72" t="s">
        <v>276</v>
      </c>
      <c r="AU1250" s="72" t="s">
        <v>276</v>
      </c>
      <c r="AV1250" s="72" t="s">
        <v>268</v>
      </c>
      <c r="AW1250" s="83" t="s">
        <v>276</v>
      </c>
      <c r="AX1250" s="83">
        <f t="shared" ref="AX1250:AX1255" si="379">AO1250/AS1250</f>
        <v>3.3636363636363638</v>
      </c>
      <c r="AY1250" s="83" t="s">
        <v>276</v>
      </c>
      <c r="AZ1250" s="83" t="s">
        <v>276</v>
      </c>
      <c r="BA1250" s="83" t="s">
        <v>276</v>
      </c>
      <c r="BB1250" s="83" t="s">
        <v>282</v>
      </c>
      <c r="BC1250" s="83" t="s">
        <v>98</v>
      </c>
      <c r="BD1250" s="83" t="s">
        <v>98</v>
      </c>
      <c r="BE1250" s="83" t="s">
        <v>98</v>
      </c>
      <c r="BF1250" s="73" t="s">
        <v>7792</v>
      </c>
      <c r="BG1250" s="73" t="s">
        <v>7784</v>
      </c>
      <c r="BH1250" s="9" t="s">
        <v>100</v>
      </c>
      <c r="BI1250" s="9" t="s">
        <v>100</v>
      </c>
      <c r="BJ1250" s="78"/>
      <c r="BN1250" s="78"/>
      <c r="BO1250" s="78"/>
    </row>
    <row r="1251" spans="1:67" s="79" customFormat="1" ht="78" hidden="1" x14ac:dyDescent="0.35">
      <c r="A1251" s="72">
        <v>3854</v>
      </c>
      <c r="B1251" s="73" t="s">
        <v>7780</v>
      </c>
      <c r="C1251" s="72" t="s">
        <v>7697</v>
      </c>
      <c r="D1251" s="73" t="s">
        <v>7793</v>
      </c>
      <c r="E1251" s="72" t="s">
        <v>35</v>
      </c>
      <c r="F1251" s="72" t="s">
        <v>97</v>
      </c>
      <c r="G1251" s="72" t="s">
        <v>225</v>
      </c>
      <c r="H1251" s="72" t="s">
        <v>125</v>
      </c>
      <c r="I1251" s="72" t="s">
        <v>114</v>
      </c>
      <c r="J1251" s="72" t="s">
        <v>31</v>
      </c>
      <c r="K1251" s="308" t="s">
        <v>7794</v>
      </c>
      <c r="L1251" s="73" t="s">
        <v>7789</v>
      </c>
      <c r="M1251" s="73" t="s">
        <v>7790</v>
      </c>
      <c r="N1251" s="72" t="s">
        <v>276</v>
      </c>
      <c r="O1251" s="73" t="s">
        <v>276</v>
      </c>
      <c r="P1251" s="73" t="s">
        <v>239</v>
      </c>
      <c r="Q1251" s="77" t="s">
        <v>276</v>
      </c>
      <c r="R1251" s="73" t="s">
        <v>7782</v>
      </c>
      <c r="S1251" s="73" t="s">
        <v>276</v>
      </c>
      <c r="T1251" s="73" t="s">
        <v>276</v>
      </c>
      <c r="U1251" s="73">
        <v>3</v>
      </c>
      <c r="V1251" s="72" t="s">
        <v>14</v>
      </c>
      <c r="W1251" s="72" t="s">
        <v>98</v>
      </c>
      <c r="X1251" s="73" t="s">
        <v>207</v>
      </c>
      <c r="Y1251" s="74">
        <v>21000</v>
      </c>
      <c r="Z1251" s="73">
        <v>21000</v>
      </c>
      <c r="AA1251" s="73" t="s">
        <v>276</v>
      </c>
      <c r="AB1251" s="73" t="s">
        <v>276</v>
      </c>
      <c r="AC1251" s="72" t="s">
        <v>276</v>
      </c>
      <c r="AD1251" s="73" t="s">
        <v>3921</v>
      </c>
      <c r="AE1251" s="72" t="s">
        <v>276</v>
      </c>
      <c r="AF1251" s="72" t="s">
        <v>3921</v>
      </c>
      <c r="AG1251" s="73" t="s">
        <v>7795</v>
      </c>
      <c r="AH1251" s="73" t="s">
        <v>4658</v>
      </c>
      <c r="AI1251" s="75">
        <f>70+40+28+14+5</f>
        <v>157</v>
      </c>
      <c r="AJ1251" s="75">
        <v>55</v>
      </c>
      <c r="AK1251" s="75">
        <v>21000</v>
      </c>
      <c r="AL1251" s="75">
        <v>21000</v>
      </c>
      <c r="AM1251" s="75" t="s">
        <v>281</v>
      </c>
      <c r="AN1251" s="72" t="s">
        <v>276</v>
      </c>
      <c r="AO1251" s="76">
        <f>AI1251*1000/AK1251</f>
        <v>7.4761904761904763</v>
      </c>
      <c r="AP1251" s="72" t="s">
        <v>276</v>
      </c>
      <c r="AQ1251" s="72" t="s">
        <v>276</v>
      </c>
      <c r="AR1251" s="72" t="s">
        <v>276</v>
      </c>
      <c r="AS1251" s="76">
        <f>AJ1251*1000/AL1251</f>
        <v>2.6190476190476191</v>
      </c>
      <c r="AT1251" s="72" t="s">
        <v>276</v>
      </c>
      <c r="AU1251" s="72" t="s">
        <v>276</v>
      </c>
      <c r="AV1251" s="72" t="s">
        <v>268</v>
      </c>
      <c r="AW1251" s="83" t="s">
        <v>276</v>
      </c>
      <c r="AX1251" s="83">
        <f t="shared" si="379"/>
        <v>2.8545454545454545</v>
      </c>
      <c r="AY1251" s="83" t="s">
        <v>276</v>
      </c>
      <c r="AZ1251" s="83" t="s">
        <v>276</v>
      </c>
      <c r="BA1251" s="83" t="s">
        <v>276</v>
      </c>
      <c r="BB1251" s="83" t="s">
        <v>282</v>
      </c>
      <c r="BC1251" s="83" t="s">
        <v>98</v>
      </c>
      <c r="BD1251" s="83" t="s">
        <v>98</v>
      </c>
      <c r="BE1251" s="83" t="s">
        <v>98</v>
      </c>
      <c r="BF1251" s="73" t="s">
        <v>7792</v>
      </c>
      <c r="BG1251" s="73" t="s">
        <v>7784</v>
      </c>
      <c r="BH1251" s="9" t="s">
        <v>100</v>
      </c>
      <c r="BI1251" s="9" t="s">
        <v>100</v>
      </c>
      <c r="BJ1251" s="78"/>
      <c r="BN1251" s="78"/>
      <c r="BO1251" s="78"/>
    </row>
    <row r="1252" spans="1:67" s="33" customFormat="1" ht="78" hidden="1" x14ac:dyDescent="0.35">
      <c r="A1252" s="8">
        <v>3854</v>
      </c>
      <c r="B1252" s="9" t="s">
        <v>7780</v>
      </c>
      <c r="C1252" s="8" t="s">
        <v>7697</v>
      </c>
      <c r="D1252" s="9" t="s">
        <v>7796</v>
      </c>
      <c r="E1252" s="8" t="s">
        <v>35</v>
      </c>
      <c r="F1252" s="8" t="s">
        <v>97</v>
      </c>
      <c r="G1252" s="8" t="s">
        <v>225</v>
      </c>
      <c r="H1252" s="8" t="s">
        <v>125</v>
      </c>
      <c r="I1252" s="8" t="s">
        <v>114</v>
      </c>
      <c r="J1252" s="9" t="s">
        <v>1116</v>
      </c>
      <c r="K1252" s="46" t="s">
        <v>7797</v>
      </c>
      <c r="L1252" s="9" t="s">
        <v>7789</v>
      </c>
      <c r="M1252" s="9" t="s">
        <v>7790</v>
      </c>
      <c r="N1252" s="8" t="s">
        <v>276</v>
      </c>
      <c r="O1252" s="9" t="s">
        <v>276</v>
      </c>
      <c r="P1252" s="9" t="s">
        <v>239</v>
      </c>
      <c r="Q1252" s="52" t="s">
        <v>276</v>
      </c>
      <c r="R1252" s="9" t="s">
        <v>7782</v>
      </c>
      <c r="S1252" s="9" t="s">
        <v>276</v>
      </c>
      <c r="T1252" s="9" t="s">
        <v>276</v>
      </c>
      <c r="U1252" s="9">
        <v>3</v>
      </c>
      <c r="V1252" s="8" t="s">
        <v>14</v>
      </c>
      <c r="W1252" s="8" t="s">
        <v>98</v>
      </c>
      <c r="X1252" s="9" t="s">
        <v>207</v>
      </c>
      <c r="Y1252" s="13">
        <v>21000</v>
      </c>
      <c r="Z1252" s="9">
        <v>21000</v>
      </c>
      <c r="AA1252" s="9" t="s">
        <v>276</v>
      </c>
      <c r="AB1252" s="9" t="s">
        <v>276</v>
      </c>
      <c r="AC1252" s="8" t="s">
        <v>276</v>
      </c>
      <c r="AD1252" s="9" t="s">
        <v>6273</v>
      </c>
      <c r="AE1252" s="8" t="s">
        <v>276</v>
      </c>
      <c r="AF1252" s="9" t="s">
        <v>6273</v>
      </c>
      <c r="AG1252" s="9" t="s">
        <v>7798</v>
      </c>
      <c r="AH1252" s="9" t="s">
        <v>4658</v>
      </c>
      <c r="AI1252" s="38">
        <f>21+10+9+15+28</f>
        <v>83</v>
      </c>
      <c r="AJ1252" s="38">
        <v>78</v>
      </c>
      <c r="AK1252" s="38">
        <v>21000</v>
      </c>
      <c r="AL1252" s="38">
        <v>21000</v>
      </c>
      <c r="AM1252" s="38" t="s">
        <v>281</v>
      </c>
      <c r="AN1252" s="8" t="s">
        <v>276</v>
      </c>
      <c r="AO1252" s="14">
        <f>AI1252*1000/AK1252</f>
        <v>3.9523809523809526</v>
      </c>
      <c r="AP1252" s="8" t="s">
        <v>276</v>
      </c>
      <c r="AQ1252" s="8" t="s">
        <v>276</v>
      </c>
      <c r="AR1252" s="8" t="s">
        <v>276</v>
      </c>
      <c r="AS1252" s="14">
        <f>AJ1252*1000/AL1252</f>
        <v>3.7142857142857144</v>
      </c>
      <c r="AT1252" s="8" t="s">
        <v>276</v>
      </c>
      <c r="AU1252" s="8" t="s">
        <v>276</v>
      </c>
      <c r="AV1252" s="8" t="s">
        <v>268</v>
      </c>
      <c r="AW1252" s="40" t="s">
        <v>276</v>
      </c>
      <c r="AX1252" s="40">
        <f t="shared" si="379"/>
        <v>1.0641025641025641</v>
      </c>
      <c r="AY1252" s="40" t="s">
        <v>276</v>
      </c>
      <c r="AZ1252" s="40" t="s">
        <v>276</v>
      </c>
      <c r="BA1252" s="40" t="s">
        <v>276</v>
      </c>
      <c r="BB1252" s="40" t="s">
        <v>282</v>
      </c>
      <c r="BC1252" s="40" t="s">
        <v>98</v>
      </c>
      <c r="BD1252" s="40" t="s">
        <v>98</v>
      </c>
      <c r="BE1252" s="40" t="s">
        <v>98</v>
      </c>
      <c r="BF1252" s="9" t="s">
        <v>7799</v>
      </c>
      <c r="BG1252" s="9" t="s">
        <v>7784</v>
      </c>
      <c r="BH1252" s="9" t="s">
        <v>100</v>
      </c>
      <c r="BI1252" s="9" t="s">
        <v>100</v>
      </c>
      <c r="BJ1252" s="32"/>
      <c r="BN1252" s="32"/>
      <c r="BO1252" s="32"/>
    </row>
    <row r="1253" spans="1:67" s="33" customFormat="1" ht="65" hidden="1" x14ac:dyDescent="0.35">
      <c r="A1253" s="8">
        <v>3854</v>
      </c>
      <c r="B1253" s="9" t="s">
        <v>7780</v>
      </c>
      <c r="C1253" s="8" t="s">
        <v>7697</v>
      </c>
      <c r="D1253" s="9" t="s">
        <v>7800</v>
      </c>
      <c r="E1253" s="8" t="s">
        <v>35</v>
      </c>
      <c r="F1253" s="8" t="s">
        <v>97</v>
      </c>
      <c r="G1253" s="8" t="s">
        <v>225</v>
      </c>
      <c r="H1253" s="8" t="s">
        <v>125</v>
      </c>
      <c r="I1253" s="8" t="s">
        <v>114</v>
      </c>
      <c r="J1253" s="9" t="s">
        <v>25</v>
      </c>
      <c r="K1253" s="46" t="s">
        <v>7801</v>
      </c>
      <c r="L1253" s="9" t="s">
        <v>7789</v>
      </c>
      <c r="M1253" s="9" t="s">
        <v>7790</v>
      </c>
      <c r="N1253" s="8" t="s">
        <v>276</v>
      </c>
      <c r="O1253" s="9" t="s">
        <v>276</v>
      </c>
      <c r="P1253" s="9" t="s">
        <v>239</v>
      </c>
      <c r="Q1253" s="52" t="s">
        <v>276</v>
      </c>
      <c r="R1253" s="9" t="s">
        <v>7782</v>
      </c>
      <c r="S1253" s="9" t="s">
        <v>276</v>
      </c>
      <c r="T1253" s="9" t="s">
        <v>276</v>
      </c>
      <c r="U1253" s="9">
        <v>3</v>
      </c>
      <c r="V1253" s="8" t="s">
        <v>14</v>
      </c>
      <c r="W1253" s="8" t="s">
        <v>98</v>
      </c>
      <c r="X1253" s="9" t="s">
        <v>207</v>
      </c>
      <c r="Y1253" s="13">
        <v>21000</v>
      </c>
      <c r="Z1253" s="9">
        <v>21000</v>
      </c>
      <c r="AA1253" s="9" t="s">
        <v>276</v>
      </c>
      <c r="AB1253" s="9" t="s">
        <v>276</v>
      </c>
      <c r="AC1253" s="8" t="s">
        <v>276</v>
      </c>
      <c r="AD1253" s="9" t="s">
        <v>968</v>
      </c>
      <c r="AE1253" s="8" t="s">
        <v>276</v>
      </c>
      <c r="AF1253" s="9" t="s">
        <v>968</v>
      </c>
      <c r="AG1253" s="9" t="s">
        <v>7802</v>
      </c>
      <c r="AH1253" s="9" t="s">
        <v>4658</v>
      </c>
      <c r="AI1253" s="38">
        <v>98</v>
      </c>
      <c r="AJ1253" s="38">
        <v>106</v>
      </c>
      <c r="AK1253" s="38">
        <v>21000</v>
      </c>
      <c r="AL1253" s="38">
        <v>21000</v>
      </c>
      <c r="AM1253" s="38" t="s">
        <v>281</v>
      </c>
      <c r="AN1253" s="8" t="s">
        <v>276</v>
      </c>
      <c r="AO1253" s="14">
        <f>AI1253*1000/AK1253</f>
        <v>4.666666666666667</v>
      </c>
      <c r="AP1253" s="8" t="s">
        <v>276</v>
      </c>
      <c r="AQ1253" s="8" t="s">
        <v>276</v>
      </c>
      <c r="AR1253" s="8" t="s">
        <v>276</v>
      </c>
      <c r="AS1253" s="14">
        <f>AJ1253*1000/AL1253</f>
        <v>5.0476190476190474</v>
      </c>
      <c r="AT1253" s="8" t="s">
        <v>276</v>
      </c>
      <c r="AU1253" s="8" t="s">
        <v>276</v>
      </c>
      <c r="AV1253" s="8" t="s">
        <v>268</v>
      </c>
      <c r="AW1253" s="40" t="s">
        <v>276</v>
      </c>
      <c r="AX1253" s="40">
        <f t="shared" si="379"/>
        <v>0.92452830188679258</v>
      </c>
      <c r="AY1253" s="40" t="s">
        <v>276</v>
      </c>
      <c r="AZ1253" s="40" t="s">
        <v>276</v>
      </c>
      <c r="BA1253" s="40" t="s">
        <v>276</v>
      </c>
      <c r="BB1253" s="40" t="s">
        <v>282</v>
      </c>
      <c r="BC1253" s="40" t="s">
        <v>98</v>
      </c>
      <c r="BD1253" s="40" t="s">
        <v>98</v>
      </c>
      <c r="BE1253" s="40" t="s">
        <v>98</v>
      </c>
      <c r="BF1253" s="9" t="s">
        <v>7799</v>
      </c>
      <c r="BG1253" s="9" t="s">
        <v>7784</v>
      </c>
      <c r="BH1253" s="9" t="s">
        <v>100</v>
      </c>
      <c r="BI1253" s="9" t="s">
        <v>100</v>
      </c>
      <c r="BJ1253" s="32"/>
      <c r="BN1253" s="32"/>
      <c r="BO1253" s="32"/>
    </row>
    <row r="1254" spans="1:67" s="79" customFormat="1" ht="65" hidden="1" x14ac:dyDescent="0.35">
      <c r="A1254" s="72">
        <v>3854</v>
      </c>
      <c r="B1254" s="73" t="s">
        <v>7780</v>
      </c>
      <c r="C1254" s="72" t="s">
        <v>7697</v>
      </c>
      <c r="D1254" s="73" t="s">
        <v>7803</v>
      </c>
      <c r="E1254" s="72" t="s">
        <v>35</v>
      </c>
      <c r="F1254" s="72" t="s">
        <v>97</v>
      </c>
      <c r="G1254" s="72" t="s">
        <v>225</v>
      </c>
      <c r="H1254" s="72" t="s">
        <v>125</v>
      </c>
      <c r="I1254" s="72" t="s">
        <v>114</v>
      </c>
      <c r="J1254" s="73" t="s">
        <v>25</v>
      </c>
      <c r="K1254" s="308" t="s">
        <v>7801</v>
      </c>
      <c r="L1254" s="73" t="s">
        <v>7789</v>
      </c>
      <c r="M1254" s="73" t="s">
        <v>7790</v>
      </c>
      <c r="N1254" s="72" t="s">
        <v>276</v>
      </c>
      <c r="O1254" s="73" t="s">
        <v>276</v>
      </c>
      <c r="P1254" s="73" t="s">
        <v>235</v>
      </c>
      <c r="Q1254" s="77" t="s">
        <v>276</v>
      </c>
      <c r="R1254" s="73" t="s">
        <v>7782</v>
      </c>
      <c r="S1254" s="73" t="s">
        <v>276</v>
      </c>
      <c r="T1254" s="73" t="s">
        <v>276</v>
      </c>
      <c r="U1254" s="73">
        <v>3</v>
      </c>
      <c r="V1254" s="72" t="s">
        <v>14</v>
      </c>
      <c r="W1254" s="72" t="s">
        <v>98</v>
      </c>
      <c r="X1254" s="73" t="s">
        <v>207</v>
      </c>
      <c r="Y1254" s="74" t="s">
        <v>98</v>
      </c>
      <c r="Z1254" s="73" t="s">
        <v>98</v>
      </c>
      <c r="AA1254" s="73" t="s">
        <v>276</v>
      </c>
      <c r="AB1254" s="73" t="s">
        <v>276</v>
      </c>
      <c r="AC1254" s="72" t="s">
        <v>276</v>
      </c>
      <c r="AD1254" s="73" t="s">
        <v>968</v>
      </c>
      <c r="AE1254" s="72" t="s">
        <v>276</v>
      </c>
      <c r="AF1254" s="73" t="s">
        <v>968</v>
      </c>
      <c r="AG1254" s="73" t="s">
        <v>7802</v>
      </c>
      <c r="AH1254" s="73" t="s">
        <v>7804</v>
      </c>
      <c r="AI1254" s="75">
        <f>24+15+8+21+30</f>
        <v>98</v>
      </c>
      <c r="AJ1254" s="75">
        <v>106</v>
      </c>
      <c r="AK1254" s="75">
        <v>318</v>
      </c>
      <c r="AL1254" s="75">
        <v>204</v>
      </c>
      <c r="AM1254" s="75" t="s">
        <v>292</v>
      </c>
      <c r="AN1254" s="72" t="s">
        <v>276</v>
      </c>
      <c r="AO1254" s="76">
        <f>AI1254*100/AK1254</f>
        <v>30.817610062893081</v>
      </c>
      <c r="AP1254" s="72" t="s">
        <v>276</v>
      </c>
      <c r="AQ1254" s="72" t="s">
        <v>276</v>
      </c>
      <c r="AR1254" s="72">
        <v>52</v>
      </c>
      <c r="AS1254" s="76">
        <f>AJ1254*100/AL1254</f>
        <v>51.96078431372549</v>
      </c>
      <c r="AT1254" s="72" t="s">
        <v>276</v>
      </c>
      <c r="AU1254" s="72" t="s">
        <v>276</v>
      </c>
      <c r="AV1254" s="72" t="s">
        <v>268</v>
      </c>
      <c r="AW1254" s="83" t="s">
        <v>276</v>
      </c>
      <c r="AX1254" s="83">
        <f t="shared" si="379"/>
        <v>0.59309362762548945</v>
      </c>
      <c r="AY1254" s="83" t="s">
        <v>276</v>
      </c>
      <c r="AZ1254" s="83" t="s">
        <v>276</v>
      </c>
      <c r="BA1254" s="83" t="s">
        <v>276</v>
      </c>
      <c r="BB1254" s="83" t="s">
        <v>282</v>
      </c>
      <c r="BC1254" s="83" t="s">
        <v>98</v>
      </c>
      <c r="BD1254" s="83" t="s">
        <v>98</v>
      </c>
      <c r="BE1254" s="83" t="s">
        <v>98</v>
      </c>
      <c r="BF1254" s="73" t="s">
        <v>7799</v>
      </c>
      <c r="BG1254" s="73" t="s">
        <v>7784</v>
      </c>
      <c r="BH1254" s="9" t="s">
        <v>100</v>
      </c>
      <c r="BI1254" s="9" t="s">
        <v>100</v>
      </c>
      <c r="BJ1254" s="78"/>
      <c r="BN1254" s="78"/>
      <c r="BO1254" s="78"/>
    </row>
    <row r="1255" spans="1:67" s="33" customFormat="1" ht="65" hidden="1" x14ac:dyDescent="0.35">
      <c r="A1255" s="8">
        <v>3854</v>
      </c>
      <c r="B1255" s="9" t="s">
        <v>7780</v>
      </c>
      <c r="C1255" s="8" t="s">
        <v>7697</v>
      </c>
      <c r="D1255" s="9" t="s">
        <v>7805</v>
      </c>
      <c r="E1255" s="8" t="s">
        <v>35</v>
      </c>
      <c r="F1255" s="8" t="s">
        <v>97</v>
      </c>
      <c r="G1255" s="8" t="s">
        <v>225</v>
      </c>
      <c r="H1255" s="8" t="s">
        <v>125</v>
      </c>
      <c r="I1255" s="8" t="s">
        <v>114</v>
      </c>
      <c r="J1255" s="9" t="s">
        <v>25</v>
      </c>
      <c r="K1255" s="46" t="s">
        <v>7801</v>
      </c>
      <c r="L1255" s="9" t="s">
        <v>7789</v>
      </c>
      <c r="M1255" s="9" t="s">
        <v>7790</v>
      </c>
      <c r="N1255" s="9" t="s">
        <v>276</v>
      </c>
      <c r="O1255" s="9" t="s">
        <v>276</v>
      </c>
      <c r="P1255" s="9" t="s">
        <v>239</v>
      </c>
      <c r="Q1255" s="52" t="s">
        <v>276</v>
      </c>
      <c r="R1255" s="9" t="s">
        <v>7806</v>
      </c>
      <c r="S1255" s="9" t="s">
        <v>276</v>
      </c>
      <c r="T1255" s="9" t="s">
        <v>276</v>
      </c>
      <c r="U1255" s="9">
        <v>4</v>
      </c>
      <c r="V1255" s="8" t="s">
        <v>14</v>
      </c>
      <c r="W1255" s="8" t="s">
        <v>98</v>
      </c>
      <c r="X1255" s="9" t="s">
        <v>207</v>
      </c>
      <c r="Y1255" s="13">
        <v>21000</v>
      </c>
      <c r="Z1255" s="9">
        <v>21000</v>
      </c>
      <c r="AA1255" s="9" t="s">
        <v>276</v>
      </c>
      <c r="AB1255" s="9" t="s">
        <v>276</v>
      </c>
      <c r="AC1255" s="8" t="s">
        <v>276</v>
      </c>
      <c r="AD1255" s="9" t="s">
        <v>968</v>
      </c>
      <c r="AE1255" s="8" t="s">
        <v>276</v>
      </c>
      <c r="AF1255" s="9" t="s">
        <v>968</v>
      </c>
      <c r="AG1255" s="9" t="s">
        <v>7807</v>
      </c>
      <c r="AH1255" s="9" t="s">
        <v>4658</v>
      </c>
      <c r="AI1255" s="38">
        <v>132</v>
      </c>
      <c r="AJ1255" s="38">
        <v>144</v>
      </c>
      <c r="AK1255" s="38">
        <v>21000</v>
      </c>
      <c r="AL1255" s="38">
        <v>21000</v>
      </c>
      <c r="AM1255" s="38" t="s">
        <v>281</v>
      </c>
      <c r="AN1255" s="8" t="s">
        <v>276</v>
      </c>
      <c r="AO1255" s="14">
        <f>AI1255*1000/AK1255</f>
        <v>6.2857142857142856</v>
      </c>
      <c r="AP1255" s="8" t="s">
        <v>276</v>
      </c>
      <c r="AQ1255" s="8" t="s">
        <v>276</v>
      </c>
      <c r="AR1255" s="8" t="s">
        <v>276</v>
      </c>
      <c r="AS1255" s="14">
        <f>AJ1255*1000/AL1255</f>
        <v>6.8571428571428568</v>
      </c>
      <c r="AT1255" s="8" t="s">
        <v>276</v>
      </c>
      <c r="AU1255" s="8" t="s">
        <v>276</v>
      </c>
      <c r="AV1255" s="8" t="s">
        <v>268</v>
      </c>
      <c r="AW1255" s="40" t="s">
        <v>276</v>
      </c>
      <c r="AX1255" s="40">
        <f t="shared" si="379"/>
        <v>0.91666666666666674</v>
      </c>
      <c r="AY1255" s="40" t="s">
        <v>276</v>
      </c>
      <c r="AZ1255" s="40" t="s">
        <v>276</v>
      </c>
      <c r="BA1255" s="40" t="s">
        <v>276</v>
      </c>
      <c r="BB1255" s="40" t="s">
        <v>282</v>
      </c>
      <c r="BC1255" s="40" t="s">
        <v>98</v>
      </c>
      <c r="BD1255" s="40" t="s">
        <v>98</v>
      </c>
      <c r="BE1255" s="40" t="s">
        <v>98</v>
      </c>
      <c r="BF1255" s="9" t="s">
        <v>1168</v>
      </c>
      <c r="BG1255" s="9" t="s">
        <v>7784</v>
      </c>
      <c r="BH1255" s="9" t="s">
        <v>100</v>
      </c>
      <c r="BI1255" s="9" t="s">
        <v>100</v>
      </c>
      <c r="BJ1255" s="32"/>
      <c r="BN1255" s="32"/>
      <c r="BO1255" s="32"/>
    </row>
    <row r="1256" spans="1:67" s="110" customFormat="1" ht="39" hidden="1" x14ac:dyDescent="0.35">
      <c r="A1256" s="94">
        <v>3853</v>
      </c>
      <c r="B1256" s="95" t="s">
        <v>7814</v>
      </c>
      <c r="C1256" s="94" t="s">
        <v>7697</v>
      </c>
      <c r="D1256" s="95" t="s">
        <v>7808</v>
      </c>
      <c r="E1256" s="94" t="s">
        <v>35</v>
      </c>
      <c r="F1256" s="94" t="s">
        <v>97</v>
      </c>
      <c r="G1256" s="94" t="s">
        <v>225</v>
      </c>
      <c r="H1256" s="94" t="s">
        <v>225</v>
      </c>
      <c r="I1256" s="94" t="s">
        <v>98</v>
      </c>
      <c r="J1256" s="95" t="s">
        <v>98</v>
      </c>
      <c r="K1256" s="94" t="s">
        <v>98</v>
      </c>
      <c r="L1256" s="94" t="s">
        <v>98</v>
      </c>
      <c r="M1256" s="94" t="s">
        <v>98</v>
      </c>
      <c r="N1256" s="94" t="s">
        <v>276</v>
      </c>
      <c r="O1256" s="95" t="s">
        <v>276</v>
      </c>
      <c r="P1256" s="95" t="s">
        <v>238</v>
      </c>
      <c r="Q1256" s="140">
        <v>31228</v>
      </c>
      <c r="R1256" s="95" t="s">
        <v>278</v>
      </c>
      <c r="S1256" s="95" t="s">
        <v>276</v>
      </c>
      <c r="T1256" s="95" t="s">
        <v>98</v>
      </c>
      <c r="U1256" s="95">
        <v>5</v>
      </c>
      <c r="V1256" s="94" t="s">
        <v>14</v>
      </c>
      <c r="W1256" s="94" t="s">
        <v>98</v>
      </c>
      <c r="X1256" s="95" t="s">
        <v>209</v>
      </c>
      <c r="Y1256" s="98">
        <v>21000</v>
      </c>
      <c r="Z1256" s="95" t="s">
        <v>98</v>
      </c>
      <c r="AA1256" s="95" t="s">
        <v>276</v>
      </c>
      <c r="AB1256" s="95" t="s">
        <v>98</v>
      </c>
      <c r="AC1256" s="94" t="s">
        <v>276</v>
      </c>
      <c r="AD1256" s="95" t="s">
        <v>3843</v>
      </c>
      <c r="AE1256" s="94" t="s">
        <v>98</v>
      </c>
      <c r="AF1256" s="94" t="s">
        <v>98</v>
      </c>
      <c r="AG1256" s="95" t="s">
        <v>7809</v>
      </c>
      <c r="AH1256" s="95" t="s">
        <v>4678</v>
      </c>
      <c r="AI1256" s="99">
        <v>332</v>
      </c>
      <c r="AJ1256" s="99" t="s">
        <v>98</v>
      </c>
      <c r="AK1256" s="99">
        <v>21000</v>
      </c>
      <c r="AL1256" s="99" t="s">
        <v>98</v>
      </c>
      <c r="AM1256" s="99" t="s">
        <v>281</v>
      </c>
      <c r="AN1256" s="94" t="s">
        <v>276</v>
      </c>
      <c r="AO1256" s="102">
        <f>AI1256*1000/AK1256</f>
        <v>15.80952380952381</v>
      </c>
      <c r="AP1256" s="94" t="s">
        <v>276</v>
      </c>
      <c r="AQ1256" s="94" t="s">
        <v>276</v>
      </c>
      <c r="AR1256" s="94" t="s">
        <v>276</v>
      </c>
      <c r="AS1256" s="102" t="s">
        <v>98</v>
      </c>
      <c r="AT1256" s="94" t="s">
        <v>98</v>
      </c>
      <c r="AU1256" s="94" t="s">
        <v>98</v>
      </c>
      <c r="AV1256" s="94" t="s">
        <v>98</v>
      </c>
      <c r="AW1256" s="141" t="s">
        <v>98</v>
      </c>
      <c r="AX1256" s="141" t="s">
        <v>98</v>
      </c>
      <c r="AY1256" s="141" t="s">
        <v>98</v>
      </c>
      <c r="AZ1256" s="141" t="s">
        <v>98</v>
      </c>
      <c r="BA1256" s="141" t="s">
        <v>98</v>
      </c>
      <c r="BB1256" s="141" t="s">
        <v>98</v>
      </c>
      <c r="BC1256" s="141" t="s">
        <v>98</v>
      </c>
      <c r="BD1256" s="141" t="s">
        <v>98</v>
      </c>
      <c r="BE1256" s="141" t="s">
        <v>98</v>
      </c>
      <c r="BF1256" s="95" t="s">
        <v>7810</v>
      </c>
      <c r="BG1256" s="95"/>
      <c r="BH1256" s="9" t="s">
        <v>100</v>
      </c>
      <c r="BI1256" s="9" t="s">
        <v>100</v>
      </c>
      <c r="BJ1256" s="109"/>
      <c r="BN1256" s="109"/>
      <c r="BO1256" s="109"/>
    </row>
    <row r="1257" spans="1:67" s="110" customFormat="1" ht="39" hidden="1" x14ac:dyDescent="0.35">
      <c r="A1257" s="94">
        <v>3853</v>
      </c>
      <c r="B1257" s="95" t="s">
        <v>7814</v>
      </c>
      <c r="C1257" s="94" t="s">
        <v>7697</v>
      </c>
      <c r="D1257" s="95" t="s">
        <v>7811</v>
      </c>
      <c r="E1257" s="94" t="s">
        <v>35</v>
      </c>
      <c r="F1257" s="94" t="s">
        <v>97</v>
      </c>
      <c r="G1257" s="94" t="s">
        <v>225</v>
      </c>
      <c r="H1257" s="94" t="s">
        <v>225</v>
      </c>
      <c r="I1257" s="94" t="s">
        <v>98</v>
      </c>
      <c r="J1257" s="95" t="s">
        <v>98</v>
      </c>
      <c r="K1257" s="94" t="s">
        <v>98</v>
      </c>
      <c r="L1257" s="94" t="s">
        <v>98</v>
      </c>
      <c r="M1257" s="94" t="s">
        <v>98</v>
      </c>
      <c r="N1257" s="94" t="s">
        <v>276</v>
      </c>
      <c r="O1257" s="95" t="s">
        <v>276</v>
      </c>
      <c r="P1257" s="95" t="s">
        <v>236</v>
      </c>
      <c r="Q1257" s="140">
        <v>31228</v>
      </c>
      <c r="R1257" s="95" t="s">
        <v>278</v>
      </c>
      <c r="S1257" s="95" t="s">
        <v>276</v>
      </c>
      <c r="T1257" s="95" t="s">
        <v>98</v>
      </c>
      <c r="U1257" s="95">
        <v>5</v>
      </c>
      <c r="V1257" s="94" t="s">
        <v>14</v>
      </c>
      <c r="W1257" s="94" t="s">
        <v>98</v>
      </c>
      <c r="X1257" s="95" t="s">
        <v>209</v>
      </c>
      <c r="Y1257" s="98" t="s">
        <v>98</v>
      </c>
      <c r="Z1257" s="95" t="s">
        <v>98</v>
      </c>
      <c r="AA1257" s="95" t="s">
        <v>276</v>
      </c>
      <c r="AB1257" s="95" t="s">
        <v>98</v>
      </c>
      <c r="AC1257" s="94" t="s">
        <v>276</v>
      </c>
      <c r="AD1257" s="95" t="s">
        <v>3843</v>
      </c>
      <c r="AE1257" s="94" t="s">
        <v>98</v>
      </c>
      <c r="AF1257" s="94" t="s">
        <v>98</v>
      </c>
      <c r="AG1257" s="95" t="s">
        <v>7809</v>
      </c>
      <c r="AH1257" s="95" t="s">
        <v>7812</v>
      </c>
      <c r="AI1257" s="99">
        <v>332</v>
      </c>
      <c r="AJ1257" s="99" t="s">
        <v>98</v>
      </c>
      <c r="AK1257" s="99">
        <v>509</v>
      </c>
      <c r="AL1257" s="99" t="s">
        <v>98</v>
      </c>
      <c r="AM1257" s="99" t="s">
        <v>292</v>
      </c>
      <c r="AN1257" s="94" t="s">
        <v>276</v>
      </c>
      <c r="AO1257" s="102">
        <f>AI1257*100/AK1257</f>
        <v>65.225933202357567</v>
      </c>
      <c r="AP1257" s="94" t="s">
        <v>276</v>
      </c>
      <c r="AQ1257" s="94" t="s">
        <v>276</v>
      </c>
      <c r="AR1257" s="94" t="s">
        <v>276</v>
      </c>
      <c r="AS1257" s="102" t="s">
        <v>98</v>
      </c>
      <c r="AT1257" s="94" t="s">
        <v>98</v>
      </c>
      <c r="AU1257" s="94" t="s">
        <v>98</v>
      </c>
      <c r="AV1257" s="94" t="s">
        <v>98</v>
      </c>
      <c r="AW1257" s="141" t="s">
        <v>98</v>
      </c>
      <c r="AX1257" s="141" t="s">
        <v>98</v>
      </c>
      <c r="AY1257" s="141" t="s">
        <v>98</v>
      </c>
      <c r="AZ1257" s="141" t="s">
        <v>98</v>
      </c>
      <c r="BA1257" s="141" t="s">
        <v>98</v>
      </c>
      <c r="BB1257" s="141" t="s">
        <v>98</v>
      </c>
      <c r="BC1257" s="141" t="s">
        <v>98</v>
      </c>
      <c r="BD1257" s="141" t="s">
        <v>98</v>
      </c>
      <c r="BE1257" s="141" t="s">
        <v>98</v>
      </c>
      <c r="BF1257" s="95" t="s">
        <v>7813</v>
      </c>
      <c r="BG1257" s="95"/>
      <c r="BH1257" s="9" t="s">
        <v>100</v>
      </c>
      <c r="BI1257" s="9" t="s">
        <v>100</v>
      </c>
      <c r="BJ1257" s="109"/>
      <c r="BN1257" s="109"/>
      <c r="BO1257" s="109"/>
    </row>
    <row r="1258" spans="1:67" s="124" customFormat="1" ht="52" hidden="1" x14ac:dyDescent="0.35">
      <c r="A1258" s="112">
        <v>3853</v>
      </c>
      <c r="B1258" s="113" t="s">
        <v>7814</v>
      </c>
      <c r="C1258" s="112" t="s">
        <v>7697</v>
      </c>
      <c r="D1258" s="113" t="s">
        <v>7815</v>
      </c>
      <c r="E1258" s="112" t="s">
        <v>35</v>
      </c>
      <c r="F1258" s="112" t="s">
        <v>97</v>
      </c>
      <c r="G1258" s="112" t="s">
        <v>225</v>
      </c>
      <c r="H1258" s="112" t="s">
        <v>125</v>
      </c>
      <c r="I1258" s="112" t="s">
        <v>114</v>
      </c>
      <c r="J1258" s="113" t="s">
        <v>25</v>
      </c>
      <c r="K1258" s="328" t="s">
        <v>7801</v>
      </c>
      <c r="L1258" s="113" t="s">
        <v>4151</v>
      </c>
      <c r="M1258" s="113" t="s">
        <v>276</v>
      </c>
      <c r="N1258" s="113" t="s">
        <v>276</v>
      </c>
      <c r="O1258" s="113" t="s">
        <v>276</v>
      </c>
      <c r="P1258" s="113" t="s">
        <v>239</v>
      </c>
      <c r="Q1258" s="142">
        <v>31228</v>
      </c>
      <c r="R1258" s="113" t="s">
        <v>746</v>
      </c>
      <c r="S1258" s="113" t="s">
        <v>276</v>
      </c>
      <c r="T1258" s="113" t="s">
        <v>276</v>
      </c>
      <c r="U1258" s="113">
        <v>5</v>
      </c>
      <c r="V1258" s="112" t="s">
        <v>14</v>
      </c>
      <c r="W1258" s="112" t="s">
        <v>98</v>
      </c>
      <c r="X1258" s="113" t="s">
        <v>207</v>
      </c>
      <c r="Y1258" s="118">
        <v>21000</v>
      </c>
      <c r="Z1258" s="113">
        <v>21000</v>
      </c>
      <c r="AA1258" s="113" t="s">
        <v>276</v>
      </c>
      <c r="AB1258" s="113" t="s">
        <v>276</v>
      </c>
      <c r="AC1258" s="112" t="s">
        <v>276</v>
      </c>
      <c r="AD1258" s="113" t="s">
        <v>968</v>
      </c>
      <c r="AE1258" s="112" t="s">
        <v>276</v>
      </c>
      <c r="AF1258" s="113" t="s">
        <v>968</v>
      </c>
      <c r="AG1258" s="113" t="s">
        <v>7816</v>
      </c>
      <c r="AH1258" s="113" t="s">
        <v>4658</v>
      </c>
      <c r="AI1258" s="119">
        <v>161</v>
      </c>
      <c r="AJ1258" s="119">
        <v>184</v>
      </c>
      <c r="AK1258" s="119">
        <v>21000</v>
      </c>
      <c r="AL1258" s="119">
        <v>21000</v>
      </c>
      <c r="AM1258" s="119" t="s">
        <v>281</v>
      </c>
      <c r="AN1258" s="112" t="s">
        <v>276</v>
      </c>
      <c r="AO1258" s="121">
        <f>AI1258*1000/AK1258</f>
        <v>7.666666666666667</v>
      </c>
      <c r="AP1258" s="112" t="s">
        <v>276</v>
      </c>
      <c r="AQ1258" s="112" t="s">
        <v>276</v>
      </c>
      <c r="AR1258" s="112" t="s">
        <v>276</v>
      </c>
      <c r="AS1258" s="121">
        <f>AJ1258*1000/AL1258</f>
        <v>8.7619047619047628</v>
      </c>
      <c r="AT1258" s="112" t="s">
        <v>276</v>
      </c>
      <c r="AU1258" s="112" t="s">
        <v>276</v>
      </c>
      <c r="AV1258" s="112" t="s">
        <v>268</v>
      </c>
      <c r="AW1258" s="143" t="s">
        <v>276</v>
      </c>
      <c r="AX1258" s="143">
        <f>AO1258/AS1258</f>
        <v>0.875</v>
      </c>
      <c r="AY1258" s="143" t="s">
        <v>276</v>
      </c>
      <c r="AZ1258" s="143" t="s">
        <v>276</v>
      </c>
      <c r="BA1258" s="143" t="s">
        <v>276</v>
      </c>
      <c r="BB1258" s="143" t="s">
        <v>282</v>
      </c>
      <c r="BC1258" s="143" t="s">
        <v>98</v>
      </c>
      <c r="BD1258" s="143" t="s">
        <v>98</v>
      </c>
      <c r="BE1258" s="143" t="s">
        <v>98</v>
      </c>
      <c r="BF1258" s="113" t="s">
        <v>1168</v>
      </c>
      <c r="BG1258" s="113" t="s">
        <v>7817</v>
      </c>
      <c r="BH1258" s="9" t="s">
        <v>100</v>
      </c>
      <c r="BI1258" s="9" t="s">
        <v>100</v>
      </c>
      <c r="BJ1258" s="123"/>
      <c r="BN1258" s="123"/>
      <c r="BO1258" s="123"/>
    </row>
    <row r="1259" spans="1:67" s="124" customFormat="1" ht="52" hidden="1" x14ac:dyDescent="0.35">
      <c r="A1259" s="112">
        <v>3853</v>
      </c>
      <c r="B1259" s="113" t="s">
        <v>7814</v>
      </c>
      <c r="C1259" s="112" t="s">
        <v>7697</v>
      </c>
      <c r="D1259" s="113" t="s">
        <v>7818</v>
      </c>
      <c r="E1259" s="112" t="s">
        <v>35</v>
      </c>
      <c r="F1259" s="112" t="s">
        <v>97</v>
      </c>
      <c r="G1259" s="112" t="s">
        <v>225</v>
      </c>
      <c r="H1259" s="112" t="s">
        <v>125</v>
      </c>
      <c r="I1259" s="112" t="s">
        <v>114</v>
      </c>
      <c r="J1259" s="113" t="s">
        <v>25</v>
      </c>
      <c r="K1259" s="328" t="s">
        <v>7801</v>
      </c>
      <c r="L1259" s="113" t="s">
        <v>4151</v>
      </c>
      <c r="M1259" s="113" t="s">
        <v>276</v>
      </c>
      <c r="N1259" s="113" t="s">
        <v>276</v>
      </c>
      <c r="O1259" s="113" t="s">
        <v>276</v>
      </c>
      <c r="P1259" s="113" t="s">
        <v>239</v>
      </c>
      <c r="Q1259" s="142" t="s">
        <v>276</v>
      </c>
      <c r="R1259" s="113" t="s">
        <v>733</v>
      </c>
      <c r="S1259" s="113" t="s">
        <v>276</v>
      </c>
      <c r="T1259" s="113" t="s">
        <v>276</v>
      </c>
      <c r="U1259" s="113">
        <v>4</v>
      </c>
      <c r="V1259" s="112" t="s">
        <v>14</v>
      </c>
      <c r="W1259" s="112" t="s">
        <v>98</v>
      </c>
      <c r="X1259" s="113" t="s">
        <v>207</v>
      </c>
      <c r="Y1259" s="118">
        <v>21000</v>
      </c>
      <c r="Z1259" s="113">
        <v>21000</v>
      </c>
      <c r="AA1259" s="113" t="s">
        <v>276</v>
      </c>
      <c r="AB1259" s="113" t="s">
        <v>276</v>
      </c>
      <c r="AC1259" s="112" t="s">
        <v>276</v>
      </c>
      <c r="AD1259" s="113" t="s">
        <v>968</v>
      </c>
      <c r="AE1259" s="112" t="s">
        <v>276</v>
      </c>
      <c r="AF1259" s="113" t="s">
        <v>968</v>
      </c>
      <c r="AG1259" s="113" t="s">
        <v>7819</v>
      </c>
      <c r="AH1259" s="113" t="s">
        <v>4658</v>
      </c>
      <c r="AI1259" s="119">
        <v>135</v>
      </c>
      <c r="AJ1259" s="119">
        <v>165</v>
      </c>
      <c r="AK1259" s="119">
        <v>21000</v>
      </c>
      <c r="AL1259" s="119">
        <v>21000</v>
      </c>
      <c r="AM1259" s="119" t="s">
        <v>281</v>
      </c>
      <c r="AN1259" s="112" t="s">
        <v>276</v>
      </c>
      <c r="AO1259" s="121">
        <f>AI1259*1000/AK1259</f>
        <v>6.4285714285714288</v>
      </c>
      <c r="AP1259" s="112" t="s">
        <v>276</v>
      </c>
      <c r="AQ1259" s="112" t="s">
        <v>276</v>
      </c>
      <c r="AR1259" s="112" t="s">
        <v>276</v>
      </c>
      <c r="AS1259" s="121">
        <f>AJ1259*1000/AL1259</f>
        <v>7.8571428571428568</v>
      </c>
      <c r="AT1259" s="112" t="s">
        <v>276</v>
      </c>
      <c r="AU1259" s="112" t="s">
        <v>276</v>
      </c>
      <c r="AV1259" s="112" t="s">
        <v>268</v>
      </c>
      <c r="AW1259" s="143" t="s">
        <v>276</v>
      </c>
      <c r="AX1259" s="143">
        <f>AO1259/AS1259</f>
        <v>0.81818181818181823</v>
      </c>
      <c r="AY1259" s="143" t="s">
        <v>276</v>
      </c>
      <c r="AZ1259" s="143" t="s">
        <v>276</v>
      </c>
      <c r="BA1259" s="143" t="s">
        <v>276</v>
      </c>
      <c r="BB1259" s="143" t="s">
        <v>282</v>
      </c>
      <c r="BC1259" s="143" t="s">
        <v>98</v>
      </c>
      <c r="BD1259" s="143" t="s">
        <v>98</v>
      </c>
      <c r="BE1259" s="143" t="s">
        <v>98</v>
      </c>
      <c r="BF1259" s="113" t="s">
        <v>7820</v>
      </c>
      <c r="BG1259" s="113"/>
      <c r="BH1259" s="9" t="s">
        <v>100</v>
      </c>
      <c r="BI1259" s="9" t="s">
        <v>100</v>
      </c>
      <c r="BJ1259" s="123"/>
      <c r="BN1259" s="123"/>
      <c r="BO1259" s="123"/>
    </row>
    <row r="1260" spans="1:67" s="137" customFormat="1" ht="39" hidden="1" x14ac:dyDescent="0.35">
      <c r="A1260" s="126">
        <v>3852</v>
      </c>
      <c r="B1260" s="127" t="s">
        <v>7696</v>
      </c>
      <c r="C1260" s="126" t="s">
        <v>7697</v>
      </c>
      <c r="D1260" s="127" t="s">
        <v>7821</v>
      </c>
      <c r="E1260" s="126" t="s">
        <v>35</v>
      </c>
      <c r="F1260" s="126" t="s">
        <v>97</v>
      </c>
      <c r="G1260" s="126" t="s">
        <v>225</v>
      </c>
      <c r="H1260" s="126" t="s">
        <v>225</v>
      </c>
      <c r="I1260" s="126" t="s">
        <v>98</v>
      </c>
      <c r="J1260" s="127" t="s">
        <v>98</v>
      </c>
      <c r="K1260" s="126" t="s">
        <v>98</v>
      </c>
      <c r="L1260" s="126" t="s">
        <v>98</v>
      </c>
      <c r="M1260" s="126" t="s">
        <v>98</v>
      </c>
      <c r="N1260" s="126" t="s">
        <v>276</v>
      </c>
      <c r="O1260" s="127" t="s">
        <v>276</v>
      </c>
      <c r="P1260" s="127" t="s">
        <v>238</v>
      </c>
      <c r="Q1260" s="146">
        <v>31777</v>
      </c>
      <c r="R1260" s="127" t="s">
        <v>276</v>
      </c>
      <c r="S1260" s="127" t="s">
        <v>7822</v>
      </c>
      <c r="T1260" s="127" t="s">
        <v>98</v>
      </c>
      <c r="U1260" s="167" t="s">
        <v>1716</v>
      </c>
      <c r="V1260" s="126" t="s">
        <v>14</v>
      </c>
      <c r="W1260" s="126" t="s">
        <v>98</v>
      </c>
      <c r="X1260" s="127" t="s">
        <v>209</v>
      </c>
      <c r="Y1260" s="132">
        <v>21088</v>
      </c>
      <c r="Z1260" s="127" t="s">
        <v>98</v>
      </c>
      <c r="AA1260" s="127" t="s">
        <v>276</v>
      </c>
      <c r="AB1260" s="127" t="s">
        <v>98</v>
      </c>
      <c r="AC1260" s="126" t="s">
        <v>276</v>
      </c>
      <c r="AD1260" s="127" t="s">
        <v>3843</v>
      </c>
      <c r="AE1260" s="126" t="s">
        <v>98</v>
      </c>
      <c r="AF1260" s="126" t="s">
        <v>98</v>
      </c>
      <c r="AG1260" s="127" t="s">
        <v>11690</v>
      </c>
      <c r="AH1260" s="127" t="s">
        <v>4678</v>
      </c>
      <c r="AI1260" s="134">
        <v>374</v>
      </c>
      <c r="AJ1260" s="134" t="s">
        <v>98</v>
      </c>
      <c r="AK1260" s="134">
        <v>21088</v>
      </c>
      <c r="AL1260" s="134" t="s">
        <v>98</v>
      </c>
      <c r="AM1260" s="134" t="s">
        <v>281</v>
      </c>
      <c r="AN1260" s="126" t="s">
        <v>276</v>
      </c>
      <c r="AO1260" s="135">
        <f>AI1260*1000/AK1260</f>
        <v>17.735204855842184</v>
      </c>
      <c r="AP1260" s="126" t="s">
        <v>276</v>
      </c>
      <c r="AQ1260" s="126" t="s">
        <v>276</v>
      </c>
      <c r="AR1260" s="126" t="s">
        <v>276</v>
      </c>
      <c r="AS1260" s="135" t="s">
        <v>98</v>
      </c>
      <c r="AT1260" s="126" t="s">
        <v>98</v>
      </c>
      <c r="AU1260" s="126" t="s">
        <v>98</v>
      </c>
      <c r="AV1260" s="126" t="s">
        <v>98</v>
      </c>
      <c r="AW1260" s="234" t="s">
        <v>98</v>
      </c>
      <c r="AX1260" s="234" t="s">
        <v>98</v>
      </c>
      <c r="AY1260" s="234" t="s">
        <v>98</v>
      </c>
      <c r="AZ1260" s="234" t="s">
        <v>98</v>
      </c>
      <c r="BA1260" s="234" t="s">
        <v>98</v>
      </c>
      <c r="BB1260" s="234" t="s">
        <v>98</v>
      </c>
      <c r="BC1260" s="234" t="s">
        <v>98</v>
      </c>
      <c r="BD1260" s="234" t="s">
        <v>98</v>
      </c>
      <c r="BE1260" s="234" t="s">
        <v>98</v>
      </c>
      <c r="BF1260" s="127" t="s">
        <v>841</v>
      </c>
      <c r="BG1260" s="127"/>
      <c r="BH1260" s="9" t="s">
        <v>100</v>
      </c>
      <c r="BI1260" s="9" t="s">
        <v>100</v>
      </c>
      <c r="BJ1260" s="136"/>
      <c r="BN1260" s="136"/>
      <c r="BO1260" s="136"/>
    </row>
    <row r="1261" spans="1:67" s="137" customFormat="1" ht="91" x14ac:dyDescent="0.35">
      <c r="A1261" s="126">
        <v>3852</v>
      </c>
      <c r="B1261" s="127" t="s">
        <v>7696</v>
      </c>
      <c r="C1261" s="126" t="s">
        <v>7697</v>
      </c>
      <c r="D1261" s="127" t="s">
        <v>7824</v>
      </c>
      <c r="E1261" s="126" t="s">
        <v>35</v>
      </c>
      <c r="F1261" s="126" t="s">
        <v>97</v>
      </c>
      <c r="G1261" s="126" t="s">
        <v>225</v>
      </c>
      <c r="H1261" s="126" t="s">
        <v>225</v>
      </c>
      <c r="I1261" s="126" t="s">
        <v>98</v>
      </c>
      <c r="J1261" s="127" t="s">
        <v>98</v>
      </c>
      <c r="K1261" s="126" t="s">
        <v>98</v>
      </c>
      <c r="L1261" s="126" t="s">
        <v>98</v>
      </c>
      <c r="M1261" s="126" t="s">
        <v>98</v>
      </c>
      <c r="N1261" s="126" t="s">
        <v>276</v>
      </c>
      <c r="O1261" s="127" t="s">
        <v>276</v>
      </c>
      <c r="P1261" s="127" t="s">
        <v>236</v>
      </c>
      <c r="Q1261" s="146">
        <v>31777</v>
      </c>
      <c r="R1261" s="127" t="s">
        <v>276</v>
      </c>
      <c r="S1261" s="127" t="s">
        <v>7822</v>
      </c>
      <c r="T1261" s="127" t="s">
        <v>98</v>
      </c>
      <c r="U1261" s="167" t="s">
        <v>1716</v>
      </c>
      <c r="V1261" s="126" t="s">
        <v>14</v>
      </c>
      <c r="W1261" s="126" t="s">
        <v>98</v>
      </c>
      <c r="X1261" s="127" t="s">
        <v>209</v>
      </c>
      <c r="Y1261" s="132" t="s">
        <v>98</v>
      </c>
      <c r="Z1261" s="127" t="s">
        <v>98</v>
      </c>
      <c r="AA1261" s="127" t="s">
        <v>276</v>
      </c>
      <c r="AB1261" s="127" t="s">
        <v>98</v>
      </c>
      <c r="AC1261" s="126" t="s">
        <v>276</v>
      </c>
      <c r="AD1261" s="127" t="s">
        <v>3843</v>
      </c>
      <c r="AE1261" s="126" t="s">
        <v>98</v>
      </c>
      <c r="AF1261" s="126" t="s">
        <v>98</v>
      </c>
      <c r="AG1261" s="127" t="s">
        <v>7823</v>
      </c>
      <c r="AH1261" s="127" t="s">
        <v>7825</v>
      </c>
      <c r="AI1261" s="134">
        <v>374</v>
      </c>
      <c r="AJ1261" s="134" t="s">
        <v>98</v>
      </c>
      <c r="AK1261" s="134">
        <v>588</v>
      </c>
      <c r="AL1261" s="134" t="s">
        <v>98</v>
      </c>
      <c r="AM1261" s="134" t="s">
        <v>292</v>
      </c>
      <c r="AN1261" s="126" t="s">
        <v>276</v>
      </c>
      <c r="AO1261" s="135">
        <f>AI1261*100/AK1261</f>
        <v>63.605442176870746</v>
      </c>
      <c r="AP1261" s="126" t="s">
        <v>276</v>
      </c>
      <c r="AQ1261" s="126" t="s">
        <v>276</v>
      </c>
      <c r="AR1261" s="126" t="s">
        <v>276</v>
      </c>
      <c r="AS1261" s="135" t="s">
        <v>98</v>
      </c>
      <c r="AT1261" s="126" t="s">
        <v>98</v>
      </c>
      <c r="AU1261" s="126" t="s">
        <v>98</v>
      </c>
      <c r="AV1261" s="126" t="s">
        <v>98</v>
      </c>
      <c r="AW1261" s="234" t="s">
        <v>98</v>
      </c>
      <c r="AX1261" s="234" t="s">
        <v>98</v>
      </c>
      <c r="AY1261" s="234" t="s">
        <v>98</v>
      </c>
      <c r="AZ1261" s="234" t="s">
        <v>98</v>
      </c>
      <c r="BA1261" s="234" t="s">
        <v>98</v>
      </c>
      <c r="BB1261" s="234" t="s">
        <v>98</v>
      </c>
      <c r="BC1261" s="234" t="s">
        <v>98</v>
      </c>
      <c r="BD1261" s="234" t="s">
        <v>98</v>
      </c>
      <c r="BE1261" s="234" t="s">
        <v>98</v>
      </c>
      <c r="BF1261" s="127" t="s">
        <v>11696</v>
      </c>
      <c r="BG1261" s="127"/>
      <c r="BH1261" s="9" t="s">
        <v>99</v>
      </c>
      <c r="BI1261" s="9" t="s">
        <v>100</v>
      </c>
      <c r="BJ1261" s="136"/>
      <c r="BN1261" s="136"/>
      <c r="BO1261" s="136"/>
    </row>
    <row r="1262" spans="1:67" s="172" customFormat="1" ht="91" hidden="1" x14ac:dyDescent="0.35">
      <c r="A1262" s="150">
        <v>3852</v>
      </c>
      <c r="B1262" s="151" t="s">
        <v>7696</v>
      </c>
      <c r="C1262" s="150" t="s">
        <v>7697</v>
      </c>
      <c r="D1262" s="151" t="s">
        <v>7826</v>
      </c>
      <c r="E1262" s="150" t="s">
        <v>35</v>
      </c>
      <c r="F1262" s="150" t="s">
        <v>97</v>
      </c>
      <c r="G1262" s="150" t="s">
        <v>225</v>
      </c>
      <c r="H1262" s="150" t="s">
        <v>125</v>
      </c>
      <c r="I1262" s="150" t="s">
        <v>114</v>
      </c>
      <c r="J1262" s="151" t="s">
        <v>25</v>
      </c>
      <c r="K1262" s="449">
        <v>0</v>
      </c>
      <c r="L1262" s="151" t="s">
        <v>4151</v>
      </c>
      <c r="M1262" s="151" t="s">
        <v>276</v>
      </c>
      <c r="N1262" s="151" t="s">
        <v>7827</v>
      </c>
      <c r="O1262" s="151" t="s">
        <v>276</v>
      </c>
      <c r="P1262" s="151" t="s">
        <v>239</v>
      </c>
      <c r="Q1262" s="154">
        <v>31777</v>
      </c>
      <c r="R1262" s="151" t="s">
        <v>276</v>
      </c>
      <c r="S1262" s="156" t="s">
        <v>7700</v>
      </c>
      <c r="T1262" s="156" t="s">
        <v>7701</v>
      </c>
      <c r="U1262" s="168" t="s">
        <v>1716</v>
      </c>
      <c r="V1262" s="150" t="s">
        <v>14</v>
      </c>
      <c r="W1262" s="150" t="s">
        <v>98</v>
      </c>
      <c r="X1262" s="151" t="s">
        <v>207</v>
      </c>
      <c r="Y1262" s="155">
        <v>21088</v>
      </c>
      <c r="Z1262" s="151">
        <v>21195</v>
      </c>
      <c r="AA1262" s="151" t="s">
        <v>276</v>
      </c>
      <c r="AB1262" s="151" t="s">
        <v>276</v>
      </c>
      <c r="AC1262" s="150">
        <v>9</v>
      </c>
      <c r="AD1262" s="151" t="s">
        <v>7828</v>
      </c>
      <c r="AE1262" s="150">
        <v>4</v>
      </c>
      <c r="AF1262" s="151" t="s">
        <v>7829</v>
      </c>
      <c r="AG1262" s="151" t="s">
        <v>7830</v>
      </c>
      <c r="AH1262" s="151" t="s">
        <v>1674</v>
      </c>
      <c r="AI1262" s="156">
        <v>93</v>
      </c>
      <c r="AJ1262" s="156">
        <v>50</v>
      </c>
      <c r="AK1262" s="156">
        <v>186297</v>
      </c>
      <c r="AL1262" s="156">
        <v>187016</v>
      </c>
      <c r="AM1262" s="156" t="s">
        <v>1019</v>
      </c>
      <c r="AN1262" s="150" t="s">
        <v>276</v>
      </c>
      <c r="AO1262" s="159">
        <f t="shared" ref="AO1262:AO1269" si="380">AI1262*100000/AK1262</f>
        <v>49.920288571474579</v>
      </c>
      <c r="AP1262" s="150" t="s">
        <v>276</v>
      </c>
      <c r="AQ1262" s="150" t="s">
        <v>276</v>
      </c>
      <c r="AR1262" s="150" t="s">
        <v>276</v>
      </c>
      <c r="AS1262" s="159">
        <f t="shared" ref="AS1262:AS1269" si="381">AJ1262*100000/AL1262</f>
        <v>26.735680369594046</v>
      </c>
      <c r="AT1262" s="150" t="s">
        <v>276</v>
      </c>
      <c r="AU1262" s="150" t="s">
        <v>276</v>
      </c>
      <c r="AV1262" s="150" t="s">
        <v>269</v>
      </c>
      <c r="AW1262" s="235" t="s">
        <v>276</v>
      </c>
      <c r="AX1262" s="235">
        <f t="shared" ref="AX1262:AX1271" si="382">AO1262/AS1262</f>
        <v>1.8671785374965779</v>
      </c>
      <c r="AY1262" s="235" t="s">
        <v>276</v>
      </c>
      <c r="AZ1262" s="235" t="s">
        <v>276</v>
      </c>
      <c r="BA1262" s="235" t="s">
        <v>276</v>
      </c>
      <c r="BB1262" s="235" t="s">
        <v>282</v>
      </c>
      <c r="BC1262" s="235" t="s">
        <v>98</v>
      </c>
      <c r="BD1262" s="235" t="s">
        <v>98</v>
      </c>
      <c r="BE1262" s="235" t="s">
        <v>98</v>
      </c>
      <c r="BF1262" s="151" t="s">
        <v>763</v>
      </c>
      <c r="BG1262" s="151"/>
      <c r="BH1262" s="9" t="s">
        <v>100</v>
      </c>
      <c r="BI1262" s="9" t="s">
        <v>100</v>
      </c>
      <c r="BJ1262" s="171"/>
      <c r="BN1262" s="171"/>
      <c r="BO1262" s="171"/>
    </row>
    <row r="1263" spans="1:67" s="172" customFormat="1" ht="91" hidden="1" x14ac:dyDescent="0.35">
      <c r="A1263" s="150">
        <v>3852</v>
      </c>
      <c r="B1263" s="151" t="s">
        <v>7696</v>
      </c>
      <c r="C1263" s="150" t="s">
        <v>7697</v>
      </c>
      <c r="D1263" s="151" t="s">
        <v>7831</v>
      </c>
      <c r="E1263" s="150" t="s">
        <v>35</v>
      </c>
      <c r="F1263" s="150" t="s">
        <v>97</v>
      </c>
      <c r="G1263" s="150" t="s">
        <v>225</v>
      </c>
      <c r="H1263" s="150" t="s">
        <v>125</v>
      </c>
      <c r="I1263" s="150" t="s">
        <v>114</v>
      </c>
      <c r="J1263" s="151" t="s">
        <v>25</v>
      </c>
      <c r="K1263" s="449" t="s">
        <v>1499</v>
      </c>
      <c r="L1263" s="151" t="s">
        <v>4151</v>
      </c>
      <c r="M1263" s="151" t="s">
        <v>276</v>
      </c>
      <c r="N1263" s="151" t="s">
        <v>7827</v>
      </c>
      <c r="O1263" s="151" t="s">
        <v>276</v>
      </c>
      <c r="P1263" s="151" t="s">
        <v>239</v>
      </c>
      <c r="Q1263" s="154">
        <v>31777</v>
      </c>
      <c r="R1263" s="151" t="s">
        <v>276</v>
      </c>
      <c r="S1263" s="156" t="s">
        <v>7700</v>
      </c>
      <c r="T1263" s="156" t="s">
        <v>7701</v>
      </c>
      <c r="U1263" s="168" t="s">
        <v>1716</v>
      </c>
      <c r="V1263" s="150" t="s">
        <v>14</v>
      </c>
      <c r="W1263" s="150" t="s">
        <v>98</v>
      </c>
      <c r="X1263" s="151" t="s">
        <v>207</v>
      </c>
      <c r="Y1263" s="155">
        <v>21088</v>
      </c>
      <c r="Z1263" s="151">
        <v>21195</v>
      </c>
      <c r="AA1263" s="151" t="s">
        <v>276</v>
      </c>
      <c r="AB1263" s="151" t="s">
        <v>276</v>
      </c>
      <c r="AC1263" s="150">
        <v>9</v>
      </c>
      <c r="AD1263" s="151" t="s">
        <v>7828</v>
      </c>
      <c r="AE1263" s="150">
        <v>4</v>
      </c>
      <c r="AF1263" s="151" t="s">
        <v>7829</v>
      </c>
      <c r="AG1263" s="151" t="s">
        <v>7832</v>
      </c>
      <c r="AH1263" s="151" t="s">
        <v>1674</v>
      </c>
      <c r="AI1263" s="156">
        <v>296</v>
      </c>
      <c r="AJ1263" s="156">
        <v>162</v>
      </c>
      <c r="AK1263" s="156">
        <v>186297</v>
      </c>
      <c r="AL1263" s="156">
        <v>187016</v>
      </c>
      <c r="AM1263" s="156" t="s">
        <v>1019</v>
      </c>
      <c r="AN1263" s="150" t="s">
        <v>276</v>
      </c>
      <c r="AO1263" s="159">
        <f t="shared" ref="AO1263" si="383">AI1263*100000/AK1263</f>
        <v>158.88607975437071</v>
      </c>
      <c r="AP1263" s="150" t="s">
        <v>276</v>
      </c>
      <c r="AQ1263" s="150" t="s">
        <v>276</v>
      </c>
      <c r="AR1263" s="150" t="s">
        <v>276</v>
      </c>
      <c r="AS1263" s="159">
        <f t="shared" ref="AS1263" si="384">AJ1263*100000/AL1263</f>
        <v>86.623604397484712</v>
      </c>
      <c r="AT1263" s="150" t="s">
        <v>276</v>
      </c>
      <c r="AU1263" s="150" t="s">
        <v>276</v>
      </c>
      <c r="AV1263" s="150" t="s">
        <v>269</v>
      </c>
      <c r="AW1263" s="235" t="s">
        <v>276</v>
      </c>
      <c r="AX1263" s="235">
        <f t="shared" ref="AX1263" si="385">AO1263/AS1263</f>
        <v>1.8342122895890982</v>
      </c>
      <c r="AY1263" s="235" t="s">
        <v>276</v>
      </c>
      <c r="AZ1263" s="235" t="s">
        <v>276</v>
      </c>
      <c r="BA1263" s="235" t="s">
        <v>276</v>
      </c>
      <c r="BB1263" s="235" t="s">
        <v>282</v>
      </c>
      <c r="BC1263" s="235" t="s">
        <v>98</v>
      </c>
      <c r="BD1263" s="235" t="s">
        <v>98</v>
      </c>
      <c r="BE1263" s="235" t="s">
        <v>98</v>
      </c>
      <c r="BF1263" s="151" t="s">
        <v>763</v>
      </c>
      <c r="BG1263" s="151"/>
      <c r="BH1263" s="9" t="s">
        <v>100</v>
      </c>
      <c r="BI1263" s="9" t="s">
        <v>100</v>
      </c>
      <c r="BJ1263" s="171"/>
      <c r="BN1263" s="171"/>
      <c r="BO1263" s="171"/>
    </row>
    <row r="1264" spans="1:67" s="172" customFormat="1" ht="91" hidden="1" x14ac:dyDescent="0.35">
      <c r="A1264" s="150">
        <v>3852</v>
      </c>
      <c r="B1264" s="151" t="s">
        <v>7696</v>
      </c>
      <c r="C1264" s="150" t="s">
        <v>7697</v>
      </c>
      <c r="D1264" s="151" t="s">
        <v>11620</v>
      </c>
      <c r="E1264" s="150" t="s">
        <v>35</v>
      </c>
      <c r="F1264" s="150" t="s">
        <v>97</v>
      </c>
      <c r="G1264" s="150" t="s">
        <v>225</v>
      </c>
      <c r="H1264" s="150" t="s">
        <v>125</v>
      </c>
      <c r="I1264" s="150" t="s">
        <v>114</v>
      </c>
      <c r="J1264" s="151" t="s">
        <v>25</v>
      </c>
      <c r="K1264" s="449" t="s">
        <v>11621</v>
      </c>
      <c r="L1264" s="151" t="s">
        <v>4151</v>
      </c>
      <c r="M1264" s="151" t="s">
        <v>276</v>
      </c>
      <c r="N1264" s="151" t="s">
        <v>7827</v>
      </c>
      <c r="O1264" s="151" t="s">
        <v>276</v>
      </c>
      <c r="P1264" s="151" t="s">
        <v>239</v>
      </c>
      <c r="Q1264" s="154">
        <v>31777</v>
      </c>
      <c r="R1264" s="151" t="s">
        <v>276</v>
      </c>
      <c r="S1264" s="156" t="s">
        <v>7700</v>
      </c>
      <c r="T1264" s="156" t="s">
        <v>7701</v>
      </c>
      <c r="U1264" s="168" t="s">
        <v>1716</v>
      </c>
      <c r="V1264" s="150" t="s">
        <v>14</v>
      </c>
      <c r="W1264" s="150" t="s">
        <v>98</v>
      </c>
      <c r="X1264" s="151" t="s">
        <v>207</v>
      </c>
      <c r="Y1264" s="155">
        <v>21088</v>
      </c>
      <c r="Z1264" s="151">
        <v>21195</v>
      </c>
      <c r="AA1264" s="151" t="s">
        <v>276</v>
      </c>
      <c r="AB1264" s="151" t="s">
        <v>276</v>
      </c>
      <c r="AC1264" s="150">
        <v>9</v>
      </c>
      <c r="AD1264" s="151" t="s">
        <v>7828</v>
      </c>
      <c r="AE1264" s="150">
        <v>4</v>
      </c>
      <c r="AF1264" s="151" t="s">
        <v>7829</v>
      </c>
      <c r="AG1264" s="151" t="s">
        <v>11622</v>
      </c>
      <c r="AH1264" s="151" t="s">
        <v>1674</v>
      </c>
      <c r="AI1264" s="156">
        <f>296+93</f>
        <v>389</v>
      </c>
      <c r="AJ1264" s="156">
        <f>162+50</f>
        <v>212</v>
      </c>
      <c r="AK1264" s="156">
        <v>186297</v>
      </c>
      <c r="AL1264" s="156">
        <v>187016</v>
      </c>
      <c r="AM1264" s="156" t="s">
        <v>1019</v>
      </c>
      <c r="AN1264" s="150" t="s">
        <v>276</v>
      </c>
      <c r="AO1264" s="159">
        <f t="shared" si="380"/>
        <v>208.80636832584528</v>
      </c>
      <c r="AP1264" s="150" t="s">
        <v>276</v>
      </c>
      <c r="AQ1264" s="150" t="s">
        <v>276</v>
      </c>
      <c r="AR1264" s="150" t="s">
        <v>276</v>
      </c>
      <c r="AS1264" s="159">
        <f t="shared" si="381"/>
        <v>113.35928476707875</v>
      </c>
      <c r="AT1264" s="150" t="s">
        <v>276</v>
      </c>
      <c r="AU1264" s="150" t="s">
        <v>276</v>
      </c>
      <c r="AV1264" s="150" t="s">
        <v>269</v>
      </c>
      <c r="AW1264" s="235" t="s">
        <v>276</v>
      </c>
      <c r="AX1264" s="235">
        <f t="shared" si="382"/>
        <v>1.8419873480578435</v>
      </c>
      <c r="AY1264" s="235" t="s">
        <v>276</v>
      </c>
      <c r="AZ1264" s="235" t="s">
        <v>276</v>
      </c>
      <c r="BA1264" s="235" t="s">
        <v>276</v>
      </c>
      <c r="BB1264" s="235" t="s">
        <v>282</v>
      </c>
      <c r="BC1264" s="235" t="s">
        <v>98</v>
      </c>
      <c r="BD1264" s="235" t="s">
        <v>98</v>
      </c>
      <c r="BE1264" s="235" t="s">
        <v>98</v>
      </c>
      <c r="BF1264" s="151" t="s">
        <v>763</v>
      </c>
      <c r="BG1264" s="151"/>
      <c r="BH1264" s="9" t="s">
        <v>100</v>
      </c>
      <c r="BI1264" s="9" t="s">
        <v>100</v>
      </c>
      <c r="BJ1264" s="171"/>
      <c r="BN1264" s="171"/>
      <c r="BO1264" s="171"/>
    </row>
    <row r="1265" spans="1:67" s="172" customFormat="1" ht="91" hidden="1" x14ac:dyDescent="0.35">
      <c r="A1265" s="150">
        <v>3852</v>
      </c>
      <c r="B1265" s="151" t="s">
        <v>7696</v>
      </c>
      <c r="C1265" s="150" t="s">
        <v>7697</v>
      </c>
      <c r="D1265" s="151" t="s">
        <v>7833</v>
      </c>
      <c r="E1265" s="150" t="s">
        <v>35</v>
      </c>
      <c r="F1265" s="150" t="s">
        <v>97</v>
      </c>
      <c r="G1265" s="150" t="s">
        <v>225</v>
      </c>
      <c r="H1265" s="150" t="s">
        <v>125</v>
      </c>
      <c r="I1265" s="150" t="s">
        <v>114</v>
      </c>
      <c r="J1265" s="151" t="s">
        <v>25</v>
      </c>
      <c r="K1265" s="449" t="s">
        <v>1510</v>
      </c>
      <c r="L1265" s="151" t="s">
        <v>4151</v>
      </c>
      <c r="M1265" s="151" t="s">
        <v>276</v>
      </c>
      <c r="N1265" s="151" t="s">
        <v>7827</v>
      </c>
      <c r="O1265" s="151" t="s">
        <v>276</v>
      </c>
      <c r="P1265" s="151" t="s">
        <v>239</v>
      </c>
      <c r="Q1265" s="154">
        <v>31777</v>
      </c>
      <c r="R1265" s="151" t="s">
        <v>276</v>
      </c>
      <c r="S1265" s="156" t="s">
        <v>7700</v>
      </c>
      <c r="T1265" s="156" t="s">
        <v>7701</v>
      </c>
      <c r="U1265" s="168" t="s">
        <v>1716</v>
      </c>
      <c r="V1265" s="150" t="s">
        <v>14</v>
      </c>
      <c r="W1265" s="150" t="s">
        <v>98</v>
      </c>
      <c r="X1265" s="151" t="s">
        <v>207</v>
      </c>
      <c r="Y1265" s="155">
        <v>21088</v>
      </c>
      <c r="Z1265" s="151">
        <v>21195</v>
      </c>
      <c r="AA1265" s="151" t="s">
        <v>276</v>
      </c>
      <c r="AB1265" s="151" t="s">
        <v>276</v>
      </c>
      <c r="AC1265" s="150">
        <v>9</v>
      </c>
      <c r="AD1265" s="151" t="s">
        <v>7828</v>
      </c>
      <c r="AE1265" s="150">
        <v>4</v>
      </c>
      <c r="AF1265" s="151" t="s">
        <v>7829</v>
      </c>
      <c r="AG1265" s="151" t="s">
        <v>7834</v>
      </c>
      <c r="AH1265" s="151" t="s">
        <v>1674</v>
      </c>
      <c r="AI1265" s="156">
        <v>142</v>
      </c>
      <c r="AJ1265" s="156">
        <v>172</v>
      </c>
      <c r="AK1265" s="156">
        <v>186297</v>
      </c>
      <c r="AL1265" s="156">
        <v>187016</v>
      </c>
      <c r="AM1265" s="156" t="s">
        <v>1019</v>
      </c>
      <c r="AN1265" s="150" t="s">
        <v>276</v>
      </c>
      <c r="AO1265" s="159">
        <f t="shared" si="380"/>
        <v>76.222376098380536</v>
      </c>
      <c r="AP1265" s="150" t="s">
        <v>276</v>
      </c>
      <c r="AQ1265" s="150" t="s">
        <v>276</v>
      </c>
      <c r="AR1265" s="150" t="s">
        <v>276</v>
      </c>
      <c r="AS1265" s="159">
        <f t="shared" si="381"/>
        <v>91.970740471403516</v>
      </c>
      <c r="AT1265" s="150" t="s">
        <v>276</v>
      </c>
      <c r="AU1265" s="150" t="s">
        <v>276</v>
      </c>
      <c r="AV1265" s="150" t="s">
        <v>269</v>
      </c>
      <c r="AW1265" s="235" t="s">
        <v>276</v>
      </c>
      <c r="AX1265" s="235">
        <f t="shared" si="382"/>
        <v>0.82876766793108925</v>
      </c>
      <c r="AY1265" s="235" t="s">
        <v>276</v>
      </c>
      <c r="AZ1265" s="235" t="s">
        <v>276</v>
      </c>
      <c r="BA1265" s="235" t="s">
        <v>276</v>
      </c>
      <c r="BB1265" s="235" t="s">
        <v>282</v>
      </c>
      <c r="BC1265" s="235" t="s">
        <v>98</v>
      </c>
      <c r="BD1265" s="235" t="s">
        <v>98</v>
      </c>
      <c r="BE1265" s="235" t="s">
        <v>98</v>
      </c>
      <c r="BF1265" s="151" t="s">
        <v>763</v>
      </c>
      <c r="BG1265" s="151"/>
      <c r="BH1265" s="9" t="s">
        <v>100</v>
      </c>
      <c r="BI1265" s="9" t="s">
        <v>100</v>
      </c>
      <c r="BJ1265" s="171"/>
      <c r="BN1265" s="171"/>
      <c r="BO1265" s="171"/>
    </row>
    <row r="1266" spans="1:67" s="172" customFormat="1" ht="91" hidden="1" x14ac:dyDescent="0.35">
      <c r="A1266" s="150">
        <v>3852</v>
      </c>
      <c r="B1266" s="151" t="s">
        <v>7696</v>
      </c>
      <c r="C1266" s="150" t="s">
        <v>7697</v>
      </c>
      <c r="D1266" s="151" t="s">
        <v>7835</v>
      </c>
      <c r="E1266" s="150" t="s">
        <v>35</v>
      </c>
      <c r="F1266" s="150" t="s">
        <v>97</v>
      </c>
      <c r="G1266" s="150" t="s">
        <v>225</v>
      </c>
      <c r="H1266" s="150" t="s">
        <v>125</v>
      </c>
      <c r="I1266" s="150" t="s">
        <v>114</v>
      </c>
      <c r="J1266" s="151" t="s">
        <v>25</v>
      </c>
      <c r="K1266" s="449" t="s">
        <v>1513</v>
      </c>
      <c r="L1266" s="151" t="s">
        <v>4151</v>
      </c>
      <c r="M1266" s="151" t="s">
        <v>276</v>
      </c>
      <c r="N1266" s="151" t="s">
        <v>7827</v>
      </c>
      <c r="O1266" s="151" t="s">
        <v>276</v>
      </c>
      <c r="P1266" s="151" t="s">
        <v>239</v>
      </c>
      <c r="Q1266" s="154">
        <v>31777</v>
      </c>
      <c r="R1266" s="151" t="s">
        <v>276</v>
      </c>
      <c r="S1266" s="156" t="s">
        <v>7700</v>
      </c>
      <c r="T1266" s="156" t="s">
        <v>7701</v>
      </c>
      <c r="U1266" s="168" t="s">
        <v>1716</v>
      </c>
      <c r="V1266" s="150" t="s">
        <v>14</v>
      </c>
      <c r="W1266" s="150" t="s">
        <v>98</v>
      </c>
      <c r="X1266" s="151" t="s">
        <v>207</v>
      </c>
      <c r="Y1266" s="155">
        <v>21088</v>
      </c>
      <c r="Z1266" s="151">
        <v>21195</v>
      </c>
      <c r="AA1266" s="151" t="s">
        <v>276</v>
      </c>
      <c r="AB1266" s="151" t="s">
        <v>276</v>
      </c>
      <c r="AC1266" s="150">
        <v>9</v>
      </c>
      <c r="AD1266" s="151" t="s">
        <v>7828</v>
      </c>
      <c r="AE1266" s="150">
        <v>4</v>
      </c>
      <c r="AF1266" s="151" t="s">
        <v>7829</v>
      </c>
      <c r="AG1266" s="151" t="s">
        <v>7836</v>
      </c>
      <c r="AH1266" s="151" t="s">
        <v>1674</v>
      </c>
      <c r="AI1266" s="156">
        <v>26</v>
      </c>
      <c r="AJ1266" s="156">
        <v>27</v>
      </c>
      <c r="AK1266" s="156">
        <v>186297</v>
      </c>
      <c r="AL1266" s="156">
        <v>187016</v>
      </c>
      <c r="AM1266" s="156" t="s">
        <v>1019</v>
      </c>
      <c r="AN1266" s="150" t="s">
        <v>276</v>
      </c>
      <c r="AO1266" s="159">
        <f t="shared" si="380"/>
        <v>13.956209708154184</v>
      </c>
      <c r="AP1266" s="150" t="s">
        <v>276</v>
      </c>
      <c r="AQ1266" s="150" t="s">
        <v>276</v>
      </c>
      <c r="AR1266" s="150" t="s">
        <v>276</v>
      </c>
      <c r="AS1266" s="159">
        <f t="shared" si="381"/>
        <v>14.437267399580785</v>
      </c>
      <c r="AT1266" s="150" t="s">
        <v>276</v>
      </c>
      <c r="AU1266" s="150" t="s">
        <v>276</v>
      </c>
      <c r="AV1266" s="150" t="s">
        <v>269</v>
      </c>
      <c r="AW1266" s="235" t="s">
        <v>276</v>
      </c>
      <c r="AX1266" s="235">
        <f t="shared" si="382"/>
        <v>0.96667944991857879</v>
      </c>
      <c r="AY1266" s="235" t="s">
        <v>276</v>
      </c>
      <c r="AZ1266" s="235" t="s">
        <v>276</v>
      </c>
      <c r="BA1266" s="235" t="s">
        <v>276</v>
      </c>
      <c r="BB1266" s="235" t="s">
        <v>282</v>
      </c>
      <c r="BC1266" s="235" t="s">
        <v>98</v>
      </c>
      <c r="BD1266" s="235" t="s">
        <v>98</v>
      </c>
      <c r="BE1266" s="235" t="s">
        <v>98</v>
      </c>
      <c r="BF1266" s="151" t="s">
        <v>763</v>
      </c>
      <c r="BG1266" s="151"/>
      <c r="BH1266" s="9" t="s">
        <v>100</v>
      </c>
      <c r="BI1266" s="9" t="s">
        <v>100</v>
      </c>
      <c r="BJ1266" s="171"/>
      <c r="BN1266" s="171"/>
      <c r="BO1266" s="171"/>
    </row>
    <row r="1267" spans="1:67" s="172" customFormat="1" ht="91" hidden="1" x14ac:dyDescent="0.35">
      <c r="A1267" s="150">
        <v>3852</v>
      </c>
      <c r="B1267" s="151" t="s">
        <v>7696</v>
      </c>
      <c r="C1267" s="150" t="s">
        <v>7697</v>
      </c>
      <c r="D1267" s="151" t="s">
        <v>7837</v>
      </c>
      <c r="E1267" s="150" t="s">
        <v>35</v>
      </c>
      <c r="F1267" s="150" t="s">
        <v>97</v>
      </c>
      <c r="G1267" s="150" t="s">
        <v>225</v>
      </c>
      <c r="H1267" s="150" t="s">
        <v>125</v>
      </c>
      <c r="I1267" s="150" t="s">
        <v>114</v>
      </c>
      <c r="J1267" s="151" t="s">
        <v>25</v>
      </c>
      <c r="K1267" s="449" t="s">
        <v>1516</v>
      </c>
      <c r="L1267" s="151" t="s">
        <v>4151</v>
      </c>
      <c r="M1267" s="151" t="s">
        <v>276</v>
      </c>
      <c r="N1267" s="151" t="s">
        <v>7827</v>
      </c>
      <c r="O1267" s="151" t="s">
        <v>276</v>
      </c>
      <c r="P1267" s="151" t="s">
        <v>239</v>
      </c>
      <c r="Q1267" s="154">
        <v>31777</v>
      </c>
      <c r="R1267" s="151" t="s">
        <v>276</v>
      </c>
      <c r="S1267" s="156" t="s">
        <v>7700</v>
      </c>
      <c r="T1267" s="156" t="s">
        <v>7701</v>
      </c>
      <c r="U1267" s="168" t="s">
        <v>1716</v>
      </c>
      <c r="V1267" s="150" t="s">
        <v>14</v>
      </c>
      <c r="W1267" s="150" t="s">
        <v>98</v>
      </c>
      <c r="X1267" s="151" t="s">
        <v>207</v>
      </c>
      <c r="Y1267" s="155">
        <v>21088</v>
      </c>
      <c r="Z1267" s="151">
        <v>21195</v>
      </c>
      <c r="AA1267" s="151" t="s">
        <v>276</v>
      </c>
      <c r="AB1267" s="151" t="s">
        <v>276</v>
      </c>
      <c r="AC1267" s="150">
        <v>9</v>
      </c>
      <c r="AD1267" s="151" t="s">
        <v>7828</v>
      </c>
      <c r="AE1267" s="150">
        <v>4</v>
      </c>
      <c r="AF1267" s="151" t="s">
        <v>7829</v>
      </c>
      <c r="AG1267" s="151" t="s">
        <v>7838</v>
      </c>
      <c r="AH1267" s="151" t="s">
        <v>1674</v>
      </c>
      <c r="AI1267" s="156">
        <v>22</v>
      </c>
      <c r="AJ1267" s="156">
        <v>32</v>
      </c>
      <c r="AK1267" s="156">
        <v>186297</v>
      </c>
      <c r="AL1267" s="156">
        <v>187016</v>
      </c>
      <c r="AM1267" s="156" t="s">
        <v>1019</v>
      </c>
      <c r="AN1267" s="150" t="s">
        <v>276</v>
      </c>
      <c r="AO1267" s="159">
        <f t="shared" ref="AO1267" si="386">AI1267*100000/AK1267</f>
        <v>11.809100522284309</v>
      </c>
      <c r="AP1267" s="150" t="s">
        <v>276</v>
      </c>
      <c r="AQ1267" s="150" t="s">
        <v>276</v>
      </c>
      <c r="AR1267" s="150" t="s">
        <v>276</v>
      </c>
      <c r="AS1267" s="159">
        <f t="shared" ref="AS1267" si="387">AJ1267*100000/AL1267</f>
        <v>17.110835436540189</v>
      </c>
      <c r="AT1267" s="150" t="s">
        <v>276</v>
      </c>
      <c r="AU1267" s="150" t="s">
        <v>276</v>
      </c>
      <c r="AV1267" s="150" t="s">
        <v>269</v>
      </c>
      <c r="AW1267" s="235" t="s">
        <v>276</v>
      </c>
      <c r="AX1267" s="235">
        <f t="shared" ref="AX1267" si="388">AO1267/AS1267</f>
        <v>0.69015335727360072</v>
      </c>
      <c r="AY1267" s="235" t="s">
        <v>276</v>
      </c>
      <c r="AZ1267" s="235" t="s">
        <v>276</v>
      </c>
      <c r="BA1267" s="235" t="s">
        <v>276</v>
      </c>
      <c r="BB1267" s="235" t="s">
        <v>282</v>
      </c>
      <c r="BC1267" s="235" t="s">
        <v>98</v>
      </c>
      <c r="BD1267" s="235" t="s">
        <v>98</v>
      </c>
      <c r="BE1267" s="235" t="s">
        <v>98</v>
      </c>
      <c r="BF1267" s="151" t="s">
        <v>763</v>
      </c>
      <c r="BG1267" s="151"/>
      <c r="BH1267" s="9" t="s">
        <v>100</v>
      </c>
      <c r="BI1267" s="9" t="s">
        <v>100</v>
      </c>
      <c r="BJ1267" s="171"/>
      <c r="BN1267" s="171"/>
      <c r="BO1267" s="171"/>
    </row>
    <row r="1268" spans="1:67" s="172" customFormat="1" ht="91" hidden="1" x14ac:dyDescent="0.35">
      <c r="A1268" s="150">
        <v>3852</v>
      </c>
      <c r="B1268" s="151" t="s">
        <v>7696</v>
      </c>
      <c r="C1268" s="150" t="s">
        <v>7697</v>
      </c>
      <c r="D1268" s="151" t="s">
        <v>11572</v>
      </c>
      <c r="E1268" s="150" t="s">
        <v>35</v>
      </c>
      <c r="F1268" s="150" t="s">
        <v>97</v>
      </c>
      <c r="G1268" s="150" t="s">
        <v>225</v>
      </c>
      <c r="H1268" s="150" t="s">
        <v>125</v>
      </c>
      <c r="I1268" s="150" t="s">
        <v>114</v>
      </c>
      <c r="J1268" s="151" t="s">
        <v>25</v>
      </c>
      <c r="K1268" s="449" t="s">
        <v>1519</v>
      </c>
      <c r="L1268" s="151" t="s">
        <v>4151</v>
      </c>
      <c r="M1268" s="151" t="s">
        <v>276</v>
      </c>
      <c r="N1268" s="151" t="s">
        <v>7827</v>
      </c>
      <c r="O1268" s="151" t="s">
        <v>276</v>
      </c>
      <c r="P1268" s="151" t="s">
        <v>239</v>
      </c>
      <c r="Q1268" s="154">
        <v>31777</v>
      </c>
      <c r="R1268" s="151" t="s">
        <v>276</v>
      </c>
      <c r="S1268" s="156" t="s">
        <v>7700</v>
      </c>
      <c r="T1268" s="156" t="s">
        <v>7701</v>
      </c>
      <c r="U1268" s="168" t="s">
        <v>1716</v>
      </c>
      <c r="V1268" s="150" t="s">
        <v>14</v>
      </c>
      <c r="W1268" s="150" t="s">
        <v>98</v>
      </c>
      <c r="X1268" s="151" t="s">
        <v>207</v>
      </c>
      <c r="Y1268" s="155">
        <v>21088</v>
      </c>
      <c r="Z1268" s="151">
        <v>21195</v>
      </c>
      <c r="AA1268" s="151" t="s">
        <v>276</v>
      </c>
      <c r="AB1268" s="151" t="s">
        <v>276</v>
      </c>
      <c r="AC1268" s="150">
        <v>9</v>
      </c>
      <c r="AD1268" s="151" t="s">
        <v>7828</v>
      </c>
      <c r="AE1268" s="150">
        <v>4</v>
      </c>
      <c r="AF1268" s="151" t="s">
        <v>7829</v>
      </c>
      <c r="AG1268" s="151" t="s">
        <v>11573</v>
      </c>
      <c r="AH1268" s="151" t="s">
        <v>1674</v>
      </c>
      <c r="AI1268" s="156">
        <f>22+26</f>
        <v>48</v>
      </c>
      <c r="AJ1268" s="156">
        <f>32+27</f>
        <v>59</v>
      </c>
      <c r="AK1268" s="156">
        <v>186297</v>
      </c>
      <c r="AL1268" s="156">
        <v>187016</v>
      </c>
      <c r="AM1268" s="156" t="s">
        <v>1019</v>
      </c>
      <c r="AN1268" s="150" t="s">
        <v>276</v>
      </c>
      <c r="AO1268" s="159">
        <f t="shared" si="380"/>
        <v>25.765310230438494</v>
      </c>
      <c r="AP1268" s="150" t="s">
        <v>276</v>
      </c>
      <c r="AQ1268" s="150" t="s">
        <v>276</v>
      </c>
      <c r="AR1268" s="150" t="s">
        <v>276</v>
      </c>
      <c r="AS1268" s="159">
        <f t="shared" si="381"/>
        <v>31.548102836120975</v>
      </c>
      <c r="AT1268" s="150" t="s">
        <v>276</v>
      </c>
      <c r="AU1268" s="150" t="s">
        <v>276</v>
      </c>
      <c r="AV1268" s="150" t="s">
        <v>269</v>
      </c>
      <c r="AW1268" s="235" t="s">
        <v>276</v>
      </c>
      <c r="AX1268" s="235">
        <f t="shared" si="382"/>
        <v>0.8166991962806246</v>
      </c>
      <c r="AY1268" s="235" t="s">
        <v>276</v>
      </c>
      <c r="AZ1268" s="235" t="s">
        <v>276</v>
      </c>
      <c r="BA1268" s="235" t="s">
        <v>276</v>
      </c>
      <c r="BB1268" s="235" t="s">
        <v>282</v>
      </c>
      <c r="BC1268" s="235" t="s">
        <v>98</v>
      </c>
      <c r="BD1268" s="235" t="s">
        <v>98</v>
      </c>
      <c r="BE1268" s="235" t="s">
        <v>98</v>
      </c>
      <c r="BF1268" s="151" t="s">
        <v>763</v>
      </c>
      <c r="BG1268" s="151"/>
      <c r="BH1268" s="9" t="s">
        <v>100</v>
      </c>
      <c r="BI1268" s="9" t="s">
        <v>100</v>
      </c>
      <c r="BJ1268" s="171"/>
      <c r="BN1268" s="171"/>
      <c r="BO1268" s="171"/>
    </row>
    <row r="1269" spans="1:67" s="172" customFormat="1" ht="91" hidden="1" x14ac:dyDescent="0.35">
      <c r="A1269" s="150">
        <v>3852</v>
      </c>
      <c r="B1269" s="151" t="s">
        <v>7696</v>
      </c>
      <c r="C1269" s="150" t="s">
        <v>7697</v>
      </c>
      <c r="D1269" s="151" t="s">
        <v>7839</v>
      </c>
      <c r="E1269" s="150" t="s">
        <v>35</v>
      </c>
      <c r="F1269" s="150" t="s">
        <v>97</v>
      </c>
      <c r="G1269" s="150" t="s">
        <v>225</v>
      </c>
      <c r="H1269" s="150" t="s">
        <v>125</v>
      </c>
      <c r="I1269" s="150" t="s">
        <v>114</v>
      </c>
      <c r="J1269" s="151" t="s">
        <v>25</v>
      </c>
      <c r="K1269" s="449" t="s">
        <v>7801</v>
      </c>
      <c r="L1269" s="151" t="s">
        <v>4151</v>
      </c>
      <c r="M1269" s="151" t="s">
        <v>276</v>
      </c>
      <c r="N1269" s="151" t="s">
        <v>7827</v>
      </c>
      <c r="O1269" s="151" t="s">
        <v>276</v>
      </c>
      <c r="P1269" s="151" t="s">
        <v>239</v>
      </c>
      <c r="Q1269" s="154">
        <v>31777</v>
      </c>
      <c r="R1269" s="151" t="s">
        <v>276</v>
      </c>
      <c r="S1269" s="156" t="s">
        <v>7700</v>
      </c>
      <c r="T1269" s="156" t="s">
        <v>7701</v>
      </c>
      <c r="U1269" s="168" t="s">
        <v>1716</v>
      </c>
      <c r="V1269" s="150" t="s">
        <v>14</v>
      </c>
      <c r="W1269" s="150" t="s">
        <v>98</v>
      </c>
      <c r="X1269" s="151" t="s">
        <v>207</v>
      </c>
      <c r="Y1269" s="155">
        <v>21088</v>
      </c>
      <c r="Z1269" s="151">
        <v>21195</v>
      </c>
      <c r="AA1269" s="151" t="s">
        <v>276</v>
      </c>
      <c r="AB1269" s="151" t="s">
        <v>276</v>
      </c>
      <c r="AC1269" s="150">
        <v>9</v>
      </c>
      <c r="AD1269" s="151" t="s">
        <v>7828</v>
      </c>
      <c r="AE1269" s="150">
        <v>4</v>
      </c>
      <c r="AF1269" s="151" t="s">
        <v>7829</v>
      </c>
      <c r="AG1269" s="151" t="s">
        <v>7840</v>
      </c>
      <c r="AH1269" s="151" t="s">
        <v>1674</v>
      </c>
      <c r="AI1269" s="156">
        <f>22+26+142</f>
        <v>190</v>
      </c>
      <c r="AJ1269" s="156">
        <f>32+27+172</f>
        <v>231</v>
      </c>
      <c r="AK1269" s="156">
        <v>186297</v>
      </c>
      <c r="AL1269" s="156">
        <v>187016</v>
      </c>
      <c r="AM1269" s="156" t="s">
        <v>1019</v>
      </c>
      <c r="AN1269" s="150" t="s">
        <v>276</v>
      </c>
      <c r="AO1269" s="159">
        <f t="shared" si="380"/>
        <v>101.98768632881904</v>
      </c>
      <c r="AP1269" s="150" t="s">
        <v>276</v>
      </c>
      <c r="AQ1269" s="150" t="s">
        <v>276</v>
      </c>
      <c r="AR1269" s="150" t="s">
        <v>276</v>
      </c>
      <c r="AS1269" s="159">
        <f t="shared" si="381"/>
        <v>123.51884330752449</v>
      </c>
      <c r="AT1269" s="150" t="s">
        <v>276</v>
      </c>
      <c r="AU1269" s="150" t="s">
        <v>276</v>
      </c>
      <c r="AV1269" s="150" t="s">
        <v>269</v>
      </c>
      <c r="AW1269" s="235" t="s">
        <v>276</v>
      </c>
      <c r="AX1269" s="235">
        <f t="shared" si="382"/>
        <v>0.82568524443594893</v>
      </c>
      <c r="AY1269" s="235" t="s">
        <v>276</v>
      </c>
      <c r="AZ1269" s="235" t="s">
        <v>276</v>
      </c>
      <c r="BA1269" s="235" t="s">
        <v>276</v>
      </c>
      <c r="BB1269" s="235" t="s">
        <v>282</v>
      </c>
      <c r="BC1269" s="235" t="s">
        <v>98</v>
      </c>
      <c r="BD1269" s="235" t="s">
        <v>98</v>
      </c>
      <c r="BE1269" s="235" t="s">
        <v>98</v>
      </c>
      <c r="BF1269" s="151" t="s">
        <v>763</v>
      </c>
      <c r="BG1269" s="151"/>
      <c r="BH1269" s="9" t="s">
        <v>100</v>
      </c>
      <c r="BI1269" s="9" t="s">
        <v>100</v>
      </c>
      <c r="BJ1269" s="171"/>
      <c r="BN1269" s="171"/>
      <c r="BO1269" s="171"/>
    </row>
    <row r="1270" spans="1:67" s="137" customFormat="1" ht="91" hidden="1" x14ac:dyDescent="0.35">
      <c r="A1270" s="126">
        <v>3852</v>
      </c>
      <c r="B1270" s="127" t="s">
        <v>7696</v>
      </c>
      <c r="C1270" s="126" t="s">
        <v>7697</v>
      </c>
      <c r="D1270" s="127" t="s">
        <v>7841</v>
      </c>
      <c r="E1270" s="126" t="s">
        <v>35</v>
      </c>
      <c r="F1270" s="126" t="s">
        <v>97</v>
      </c>
      <c r="G1270" s="126" t="s">
        <v>225</v>
      </c>
      <c r="H1270" s="126" t="s">
        <v>125</v>
      </c>
      <c r="I1270" s="126" t="s">
        <v>114</v>
      </c>
      <c r="J1270" s="127" t="s">
        <v>25</v>
      </c>
      <c r="K1270" s="450" t="s">
        <v>7801</v>
      </c>
      <c r="L1270" s="127" t="s">
        <v>4151</v>
      </c>
      <c r="M1270" s="127" t="s">
        <v>276</v>
      </c>
      <c r="N1270" s="127" t="s">
        <v>7827</v>
      </c>
      <c r="O1270" s="127" t="s">
        <v>276</v>
      </c>
      <c r="P1270" s="127" t="s">
        <v>235</v>
      </c>
      <c r="Q1270" s="146">
        <v>31777</v>
      </c>
      <c r="R1270" s="127" t="s">
        <v>276</v>
      </c>
      <c r="S1270" s="134" t="s">
        <v>7700</v>
      </c>
      <c r="T1270" s="134" t="s">
        <v>7701</v>
      </c>
      <c r="U1270" s="167" t="s">
        <v>1716</v>
      </c>
      <c r="V1270" s="126" t="s">
        <v>14</v>
      </c>
      <c r="W1270" s="126" t="s">
        <v>98</v>
      </c>
      <c r="X1270" s="127" t="s">
        <v>207</v>
      </c>
      <c r="Y1270" s="132" t="s">
        <v>98</v>
      </c>
      <c r="Z1270" s="127" t="s">
        <v>98</v>
      </c>
      <c r="AA1270" s="127" t="s">
        <v>276</v>
      </c>
      <c r="AB1270" s="127" t="s">
        <v>276</v>
      </c>
      <c r="AC1270" s="126">
        <v>9</v>
      </c>
      <c r="AD1270" s="127" t="s">
        <v>7828</v>
      </c>
      <c r="AE1270" s="126">
        <v>4</v>
      </c>
      <c r="AF1270" s="127" t="s">
        <v>7829</v>
      </c>
      <c r="AG1270" s="127" t="s">
        <v>7840</v>
      </c>
      <c r="AH1270" s="127" t="s">
        <v>7842</v>
      </c>
      <c r="AI1270" s="134">
        <f>22+26+142</f>
        <v>190</v>
      </c>
      <c r="AJ1270" s="134">
        <f>32+27+172</f>
        <v>231</v>
      </c>
      <c r="AK1270" s="134">
        <v>579</v>
      </c>
      <c r="AL1270" s="134">
        <v>443</v>
      </c>
      <c r="AM1270" s="134" t="s">
        <v>292</v>
      </c>
      <c r="AN1270" s="126">
        <v>33</v>
      </c>
      <c r="AO1270" s="135">
        <f>AI1270*100/AK1270</f>
        <v>32.815198618307427</v>
      </c>
      <c r="AP1270" s="126" t="s">
        <v>276</v>
      </c>
      <c r="AQ1270" s="126" t="s">
        <v>276</v>
      </c>
      <c r="AR1270" s="126">
        <v>52</v>
      </c>
      <c r="AS1270" s="135">
        <f>AJ1270*100/AL1270</f>
        <v>52.144469525959366</v>
      </c>
      <c r="AT1270" s="126" t="s">
        <v>276</v>
      </c>
      <c r="AU1270" s="126" t="s">
        <v>276</v>
      </c>
      <c r="AV1270" s="126" t="s">
        <v>268</v>
      </c>
      <c r="AW1270" s="234" t="s">
        <v>276</v>
      </c>
      <c r="AX1270" s="234">
        <f t="shared" si="382"/>
        <v>0.62931311635974851</v>
      </c>
      <c r="AY1270" s="234" t="s">
        <v>276</v>
      </c>
      <c r="AZ1270" s="234" t="s">
        <v>276</v>
      </c>
      <c r="BA1270" s="234" t="s">
        <v>276</v>
      </c>
      <c r="BB1270" s="234" t="s">
        <v>282</v>
      </c>
      <c r="BC1270" s="234" t="s">
        <v>98</v>
      </c>
      <c r="BD1270" s="234" t="s">
        <v>98</v>
      </c>
      <c r="BE1270" s="234" t="s">
        <v>98</v>
      </c>
      <c r="BF1270" s="127" t="s">
        <v>7843</v>
      </c>
      <c r="BG1270" s="127" t="s">
        <v>7844</v>
      </c>
      <c r="BH1270" s="9" t="s">
        <v>100</v>
      </c>
      <c r="BI1270" s="9" t="s">
        <v>100</v>
      </c>
      <c r="BJ1270" s="136"/>
      <c r="BN1270" s="136"/>
      <c r="BO1270" s="136"/>
    </row>
    <row r="1271" spans="1:67" s="137" customFormat="1" ht="91" hidden="1" x14ac:dyDescent="0.35">
      <c r="A1271" s="126">
        <v>3852</v>
      </c>
      <c r="B1271" s="127" t="s">
        <v>7696</v>
      </c>
      <c r="C1271" s="126" t="s">
        <v>7697</v>
      </c>
      <c r="D1271" s="127" t="s">
        <v>7845</v>
      </c>
      <c r="E1271" s="126" t="s">
        <v>35</v>
      </c>
      <c r="F1271" s="126" t="s">
        <v>97</v>
      </c>
      <c r="G1271" s="126" t="s">
        <v>225</v>
      </c>
      <c r="H1271" s="126" t="s">
        <v>125</v>
      </c>
      <c r="I1271" s="126" t="s">
        <v>114</v>
      </c>
      <c r="J1271" s="127" t="s">
        <v>25</v>
      </c>
      <c r="K1271" s="450" t="s">
        <v>7801</v>
      </c>
      <c r="L1271" s="127" t="s">
        <v>4151</v>
      </c>
      <c r="M1271" s="127" t="s">
        <v>276</v>
      </c>
      <c r="N1271" s="127" t="s">
        <v>7827</v>
      </c>
      <c r="O1271" s="127" t="s">
        <v>276</v>
      </c>
      <c r="P1271" s="127" t="s">
        <v>235</v>
      </c>
      <c r="Q1271" s="146">
        <v>31777</v>
      </c>
      <c r="R1271" s="127" t="s">
        <v>276</v>
      </c>
      <c r="S1271" s="134" t="s">
        <v>7700</v>
      </c>
      <c r="T1271" s="134" t="s">
        <v>7701</v>
      </c>
      <c r="U1271" s="167" t="s">
        <v>1716</v>
      </c>
      <c r="V1271" s="126" t="s">
        <v>14</v>
      </c>
      <c r="W1271" s="126" t="s">
        <v>98</v>
      </c>
      <c r="X1271" s="127" t="s">
        <v>207</v>
      </c>
      <c r="Y1271" s="132" t="s">
        <v>98</v>
      </c>
      <c r="Z1271" s="127" t="s">
        <v>98</v>
      </c>
      <c r="AA1271" s="127" t="s">
        <v>276</v>
      </c>
      <c r="AB1271" s="127" t="s">
        <v>276</v>
      </c>
      <c r="AC1271" s="126">
        <v>9</v>
      </c>
      <c r="AD1271" s="127" t="s">
        <v>7828</v>
      </c>
      <c r="AE1271" s="126">
        <v>4</v>
      </c>
      <c r="AF1271" s="127" t="s">
        <v>7829</v>
      </c>
      <c r="AG1271" s="127" t="s">
        <v>7840</v>
      </c>
      <c r="AH1271" s="127" t="s">
        <v>7846</v>
      </c>
      <c r="AI1271" s="134">
        <f>22+26+142</f>
        <v>190</v>
      </c>
      <c r="AJ1271" s="134">
        <f>32+27+172</f>
        <v>231</v>
      </c>
      <c r="AK1271" s="134">
        <v>486</v>
      </c>
      <c r="AL1271" s="134">
        <v>393</v>
      </c>
      <c r="AM1271" s="134" t="s">
        <v>292</v>
      </c>
      <c r="AN1271" s="126">
        <v>39</v>
      </c>
      <c r="AO1271" s="135">
        <f>AI1271*100/AK1271</f>
        <v>39.094650205761319</v>
      </c>
      <c r="AP1271" s="126" t="s">
        <v>276</v>
      </c>
      <c r="AQ1271" s="126" t="s">
        <v>276</v>
      </c>
      <c r="AR1271" s="126">
        <v>59</v>
      </c>
      <c r="AS1271" s="135">
        <f>AJ1271*100/AL1271</f>
        <v>58.778625954198475</v>
      </c>
      <c r="AT1271" s="126" t="s">
        <v>276</v>
      </c>
      <c r="AU1271" s="126" t="s">
        <v>276</v>
      </c>
      <c r="AV1271" s="126" t="s">
        <v>268</v>
      </c>
      <c r="AW1271" s="234" t="s">
        <v>276</v>
      </c>
      <c r="AX1271" s="234">
        <f t="shared" si="382"/>
        <v>0.66511677622788734</v>
      </c>
      <c r="AY1271" s="234" t="s">
        <v>276</v>
      </c>
      <c r="AZ1271" s="234" t="s">
        <v>276</v>
      </c>
      <c r="BA1271" s="234" t="s">
        <v>276</v>
      </c>
      <c r="BB1271" s="234" t="s">
        <v>282</v>
      </c>
      <c r="BC1271" s="234" t="s">
        <v>98</v>
      </c>
      <c r="BD1271" s="234" t="s">
        <v>98</v>
      </c>
      <c r="BE1271" s="234" t="s">
        <v>98</v>
      </c>
      <c r="BF1271" s="127" t="s">
        <v>7843</v>
      </c>
      <c r="BG1271" s="127" t="s">
        <v>7844</v>
      </c>
      <c r="BH1271" s="9" t="s">
        <v>100</v>
      </c>
      <c r="BI1271" s="9" t="s">
        <v>100</v>
      </c>
      <c r="BJ1271" s="136"/>
      <c r="BN1271" s="136"/>
      <c r="BO1271" s="136"/>
    </row>
    <row r="1272" spans="1:67" s="172" customFormat="1" ht="52" hidden="1" x14ac:dyDescent="0.35">
      <c r="A1272" s="150">
        <v>3852</v>
      </c>
      <c r="B1272" s="151" t="s">
        <v>7696</v>
      </c>
      <c r="C1272" s="150" t="s">
        <v>7697</v>
      </c>
      <c r="D1272" s="151" t="s">
        <v>7847</v>
      </c>
      <c r="E1272" s="150" t="s">
        <v>35</v>
      </c>
      <c r="F1272" s="150" t="s">
        <v>97</v>
      </c>
      <c r="G1272" s="150" t="s">
        <v>225</v>
      </c>
      <c r="H1272" s="150" t="s">
        <v>125</v>
      </c>
      <c r="I1272" s="150" t="s">
        <v>114</v>
      </c>
      <c r="J1272" s="151" t="s">
        <v>25</v>
      </c>
      <c r="K1272" s="449" t="s">
        <v>7801</v>
      </c>
      <c r="L1272" s="151" t="s">
        <v>4151</v>
      </c>
      <c r="M1272" s="151" t="s">
        <v>276</v>
      </c>
      <c r="N1272" s="151" t="s">
        <v>7827</v>
      </c>
      <c r="O1272" s="151" t="s">
        <v>276</v>
      </c>
      <c r="P1272" s="151" t="s">
        <v>239</v>
      </c>
      <c r="Q1272" s="154" t="s">
        <v>98</v>
      </c>
      <c r="R1272" s="151" t="s">
        <v>705</v>
      </c>
      <c r="S1272" s="156" t="s">
        <v>276</v>
      </c>
      <c r="T1272" s="156" t="s">
        <v>276</v>
      </c>
      <c r="U1272" s="168" t="s">
        <v>1212</v>
      </c>
      <c r="V1272" s="150" t="s">
        <v>14</v>
      </c>
      <c r="W1272" s="150" t="s">
        <v>98</v>
      </c>
      <c r="X1272" s="151" t="s">
        <v>207</v>
      </c>
      <c r="Y1272" s="155">
        <v>21088</v>
      </c>
      <c r="Z1272" s="151">
        <v>21195</v>
      </c>
      <c r="AA1272" s="151" t="s">
        <v>276</v>
      </c>
      <c r="AB1272" s="151" t="s">
        <v>276</v>
      </c>
      <c r="AC1272" s="150" t="s">
        <v>276</v>
      </c>
      <c r="AD1272" s="151" t="s">
        <v>7848</v>
      </c>
      <c r="AE1272" s="150" t="s">
        <v>276</v>
      </c>
      <c r="AF1272" s="151" t="s">
        <v>7848</v>
      </c>
      <c r="AG1272" s="151" t="s">
        <v>7849</v>
      </c>
      <c r="AH1272" s="151" t="s">
        <v>1674</v>
      </c>
      <c r="AI1272" s="156" t="s">
        <v>276</v>
      </c>
      <c r="AJ1272" s="156" t="s">
        <v>276</v>
      </c>
      <c r="AK1272" s="156" t="s">
        <v>276</v>
      </c>
      <c r="AL1272" s="156" t="s">
        <v>276</v>
      </c>
      <c r="AM1272" s="156" t="s">
        <v>1019</v>
      </c>
      <c r="AN1272" s="150">
        <v>196</v>
      </c>
      <c r="AO1272" s="159" t="s">
        <v>98</v>
      </c>
      <c r="AP1272" s="150" t="s">
        <v>276</v>
      </c>
      <c r="AQ1272" s="150" t="s">
        <v>276</v>
      </c>
      <c r="AR1272" s="150">
        <v>152</v>
      </c>
      <c r="AS1272" s="159" t="s">
        <v>98</v>
      </c>
      <c r="AT1272" s="150" t="s">
        <v>276</v>
      </c>
      <c r="AU1272" s="150" t="s">
        <v>276</v>
      </c>
      <c r="AV1272" s="150" t="s">
        <v>269</v>
      </c>
      <c r="AW1272" s="235" t="s">
        <v>276</v>
      </c>
      <c r="AX1272" s="235">
        <f t="shared" ref="AX1272:AX1282" si="389">AN1272/AR1272</f>
        <v>1.2894736842105263</v>
      </c>
      <c r="AY1272" s="235" t="s">
        <v>276</v>
      </c>
      <c r="AZ1272" s="235" t="s">
        <v>276</v>
      </c>
      <c r="BA1272" s="235" t="s">
        <v>276</v>
      </c>
      <c r="BB1272" s="235" t="s">
        <v>282</v>
      </c>
      <c r="BC1272" s="235" t="s">
        <v>98</v>
      </c>
      <c r="BD1272" s="235" t="s">
        <v>98</v>
      </c>
      <c r="BE1272" s="235" t="s">
        <v>98</v>
      </c>
      <c r="BF1272" s="151" t="s">
        <v>4694</v>
      </c>
      <c r="BG1272" s="151"/>
      <c r="BH1272" s="9" t="s">
        <v>100</v>
      </c>
      <c r="BI1272" s="9" t="s">
        <v>100</v>
      </c>
      <c r="BJ1272" s="171"/>
      <c r="BN1272" s="171"/>
      <c r="BO1272" s="171"/>
    </row>
    <row r="1273" spans="1:67" s="172" customFormat="1" ht="52" hidden="1" x14ac:dyDescent="0.35">
      <c r="A1273" s="150">
        <v>3852</v>
      </c>
      <c r="B1273" s="151" t="s">
        <v>7696</v>
      </c>
      <c r="C1273" s="150" t="s">
        <v>7697</v>
      </c>
      <c r="D1273" s="151" t="s">
        <v>7850</v>
      </c>
      <c r="E1273" s="150" t="s">
        <v>35</v>
      </c>
      <c r="F1273" s="150" t="s">
        <v>97</v>
      </c>
      <c r="G1273" s="150" t="s">
        <v>225</v>
      </c>
      <c r="H1273" s="150" t="s">
        <v>125</v>
      </c>
      <c r="I1273" s="150" t="s">
        <v>114</v>
      </c>
      <c r="J1273" s="151" t="s">
        <v>25</v>
      </c>
      <c r="K1273" s="449" t="s">
        <v>7801</v>
      </c>
      <c r="L1273" s="151" t="s">
        <v>4151</v>
      </c>
      <c r="M1273" s="151" t="s">
        <v>276</v>
      </c>
      <c r="N1273" s="151" t="s">
        <v>7827</v>
      </c>
      <c r="O1273" s="151" t="s">
        <v>276</v>
      </c>
      <c r="P1273" s="151" t="s">
        <v>239</v>
      </c>
      <c r="Q1273" s="154" t="s">
        <v>98</v>
      </c>
      <c r="R1273" s="151" t="s">
        <v>710</v>
      </c>
      <c r="S1273" s="156" t="s">
        <v>276</v>
      </c>
      <c r="T1273" s="156" t="s">
        <v>276</v>
      </c>
      <c r="U1273" s="168" t="s">
        <v>1191</v>
      </c>
      <c r="V1273" s="150" t="s">
        <v>14</v>
      </c>
      <c r="W1273" s="150" t="s">
        <v>98</v>
      </c>
      <c r="X1273" s="151" t="s">
        <v>207</v>
      </c>
      <c r="Y1273" s="155">
        <v>21088</v>
      </c>
      <c r="Z1273" s="151">
        <v>21195</v>
      </c>
      <c r="AA1273" s="151" t="s">
        <v>276</v>
      </c>
      <c r="AB1273" s="151" t="s">
        <v>276</v>
      </c>
      <c r="AC1273" s="150" t="s">
        <v>276</v>
      </c>
      <c r="AD1273" s="151" t="s">
        <v>7848</v>
      </c>
      <c r="AE1273" s="150" t="s">
        <v>276</v>
      </c>
      <c r="AF1273" s="151" t="s">
        <v>7848</v>
      </c>
      <c r="AG1273" s="151" t="s">
        <v>7851</v>
      </c>
      <c r="AH1273" s="151" t="s">
        <v>1674</v>
      </c>
      <c r="AI1273" s="156" t="s">
        <v>276</v>
      </c>
      <c r="AJ1273" s="156" t="s">
        <v>276</v>
      </c>
      <c r="AK1273" s="156" t="s">
        <v>276</v>
      </c>
      <c r="AL1273" s="156" t="s">
        <v>276</v>
      </c>
      <c r="AM1273" s="156" t="s">
        <v>1019</v>
      </c>
      <c r="AN1273" s="150">
        <v>287</v>
      </c>
      <c r="AO1273" s="159" t="s">
        <v>98</v>
      </c>
      <c r="AP1273" s="150" t="s">
        <v>276</v>
      </c>
      <c r="AQ1273" s="150" t="s">
        <v>276</v>
      </c>
      <c r="AR1273" s="150">
        <v>286</v>
      </c>
      <c r="AS1273" s="159" t="s">
        <v>98</v>
      </c>
      <c r="AT1273" s="150" t="s">
        <v>276</v>
      </c>
      <c r="AU1273" s="150" t="s">
        <v>276</v>
      </c>
      <c r="AV1273" s="150" t="s">
        <v>269</v>
      </c>
      <c r="AW1273" s="235" t="s">
        <v>276</v>
      </c>
      <c r="AX1273" s="235">
        <f t="shared" si="389"/>
        <v>1.0034965034965035</v>
      </c>
      <c r="AY1273" s="235" t="s">
        <v>276</v>
      </c>
      <c r="AZ1273" s="235" t="s">
        <v>276</v>
      </c>
      <c r="BA1273" s="235" t="s">
        <v>276</v>
      </c>
      <c r="BB1273" s="235" t="s">
        <v>282</v>
      </c>
      <c r="BC1273" s="235" t="s">
        <v>98</v>
      </c>
      <c r="BD1273" s="235" t="s">
        <v>98</v>
      </c>
      <c r="BE1273" s="235" t="s">
        <v>98</v>
      </c>
      <c r="BF1273" s="151" t="s">
        <v>4694</v>
      </c>
      <c r="BG1273" s="151"/>
      <c r="BH1273" s="9" t="s">
        <v>100</v>
      </c>
      <c r="BI1273" s="9" t="s">
        <v>100</v>
      </c>
      <c r="BJ1273" s="171"/>
      <c r="BN1273" s="171"/>
      <c r="BO1273" s="171"/>
    </row>
    <row r="1274" spans="1:67" s="172" customFormat="1" ht="52" hidden="1" x14ac:dyDescent="0.35">
      <c r="A1274" s="150">
        <v>3852</v>
      </c>
      <c r="B1274" s="151" t="s">
        <v>7696</v>
      </c>
      <c r="C1274" s="150" t="s">
        <v>7697</v>
      </c>
      <c r="D1274" s="151" t="s">
        <v>7852</v>
      </c>
      <c r="E1274" s="150" t="s">
        <v>35</v>
      </c>
      <c r="F1274" s="150" t="s">
        <v>97</v>
      </c>
      <c r="G1274" s="150" t="s">
        <v>225</v>
      </c>
      <c r="H1274" s="150" t="s">
        <v>125</v>
      </c>
      <c r="I1274" s="150" t="s">
        <v>114</v>
      </c>
      <c r="J1274" s="151" t="s">
        <v>25</v>
      </c>
      <c r="K1274" s="449" t="s">
        <v>7801</v>
      </c>
      <c r="L1274" s="151" t="s">
        <v>4151</v>
      </c>
      <c r="M1274" s="151" t="s">
        <v>276</v>
      </c>
      <c r="N1274" s="151" t="s">
        <v>7827</v>
      </c>
      <c r="O1274" s="151" t="s">
        <v>276</v>
      </c>
      <c r="P1274" s="151" t="s">
        <v>239</v>
      </c>
      <c r="Q1274" s="154" t="s">
        <v>98</v>
      </c>
      <c r="R1274" s="151" t="s">
        <v>686</v>
      </c>
      <c r="S1274" s="156" t="s">
        <v>276</v>
      </c>
      <c r="T1274" s="156" t="s">
        <v>276</v>
      </c>
      <c r="U1274" s="168" t="s">
        <v>1191</v>
      </c>
      <c r="V1274" s="150" t="s">
        <v>14</v>
      </c>
      <c r="W1274" s="150" t="s">
        <v>98</v>
      </c>
      <c r="X1274" s="151" t="s">
        <v>207</v>
      </c>
      <c r="Y1274" s="155">
        <v>21088</v>
      </c>
      <c r="Z1274" s="151">
        <v>21195</v>
      </c>
      <c r="AA1274" s="151" t="s">
        <v>276</v>
      </c>
      <c r="AB1274" s="151" t="s">
        <v>276</v>
      </c>
      <c r="AC1274" s="150" t="s">
        <v>276</v>
      </c>
      <c r="AD1274" s="151" t="s">
        <v>7848</v>
      </c>
      <c r="AE1274" s="150" t="s">
        <v>276</v>
      </c>
      <c r="AF1274" s="151" t="s">
        <v>7848</v>
      </c>
      <c r="AG1274" s="151" t="s">
        <v>7853</v>
      </c>
      <c r="AH1274" s="151" t="s">
        <v>1674</v>
      </c>
      <c r="AI1274" s="156" t="s">
        <v>276</v>
      </c>
      <c r="AJ1274" s="156" t="s">
        <v>276</v>
      </c>
      <c r="AK1274" s="156" t="s">
        <v>276</v>
      </c>
      <c r="AL1274" s="156" t="s">
        <v>276</v>
      </c>
      <c r="AM1274" s="156" t="s">
        <v>1019</v>
      </c>
      <c r="AN1274" s="150">
        <v>398</v>
      </c>
      <c r="AO1274" s="159" t="s">
        <v>98</v>
      </c>
      <c r="AP1274" s="150" t="s">
        <v>276</v>
      </c>
      <c r="AQ1274" s="150" t="s">
        <v>276</v>
      </c>
      <c r="AR1274" s="150">
        <v>401</v>
      </c>
      <c r="AS1274" s="159" t="s">
        <v>98</v>
      </c>
      <c r="AT1274" s="150" t="s">
        <v>276</v>
      </c>
      <c r="AU1274" s="150" t="s">
        <v>276</v>
      </c>
      <c r="AV1274" s="150" t="s">
        <v>269</v>
      </c>
      <c r="AW1274" s="235" t="s">
        <v>276</v>
      </c>
      <c r="AX1274" s="235">
        <f t="shared" si="389"/>
        <v>0.99251870324189528</v>
      </c>
      <c r="AY1274" s="235" t="s">
        <v>276</v>
      </c>
      <c r="AZ1274" s="235" t="s">
        <v>276</v>
      </c>
      <c r="BA1274" s="235" t="s">
        <v>276</v>
      </c>
      <c r="BB1274" s="235" t="s">
        <v>282</v>
      </c>
      <c r="BC1274" s="235" t="s">
        <v>98</v>
      </c>
      <c r="BD1274" s="235" t="s">
        <v>98</v>
      </c>
      <c r="BE1274" s="235" t="s">
        <v>98</v>
      </c>
      <c r="BF1274" s="151" t="s">
        <v>4694</v>
      </c>
      <c r="BG1274" s="151"/>
      <c r="BH1274" s="9" t="s">
        <v>100</v>
      </c>
      <c r="BI1274" s="9" t="s">
        <v>100</v>
      </c>
      <c r="BJ1274" s="171"/>
      <c r="BN1274" s="171"/>
      <c r="BO1274" s="171"/>
    </row>
    <row r="1275" spans="1:67" s="172" customFormat="1" ht="52" hidden="1" x14ac:dyDescent="0.35">
      <c r="A1275" s="150">
        <v>3852</v>
      </c>
      <c r="B1275" s="151" t="s">
        <v>7696</v>
      </c>
      <c r="C1275" s="150" t="s">
        <v>7697</v>
      </c>
      <c r="D1275" s="151" t="s">
        <v>7854</v>
      </c>
      <c r="E1275" s="150" t="s">
        <v>35</v>
      </c>
      <c r="F1275" s="150" t="s">
        <v>97</v>
      </c>
      <c r="G1275" s="150" t="s">
        <v>225</v>
      </c>
      <c r="H1275" s="150" t="s">
        <v>125</v>
      </c>
      <c r="I1275" s="150" t="s">
        <v>114</v>
      </c>
      <c r="J1275" s="151" t="s">
        <v>25</v>
      </c>
      <c r="K1275" s="449" t="s">
        <v>7801</v>
      </c>
      <c r="L1275" s="151" t="s">
        <v>4151</v>
      </c>
      <c r="M1275" s="151" t="s">
        <v>276</v>
      </c>
      <c r="N1275" s="151" t="s">
        <v>7827</v>
      </c>
      <c r="O1275" s="151" t="s">
        <v>276</v>
      </c>
      <c r="P1275" s="151" t="s">
        <v>239</v>
      </c>
      <c r="Q1275" s="154" t="s">
        <v>98</v>
      </c>
      <c r="R1275" s="151" t="s">
        <v>721</v>
      </c>
      <c r="S1275" s="156" t="s">
        <v>276</v>
      </c>
      <c r="T1275" s="156" t="s">
        <v>276</v>
      </c>
      <c r="U1275" s="168" t="s">
        <v>1219</v>
      </c>
      <c r="V1275" s="150" t="s">
        <v>14</v>
      </c>
      <c r="W1275" s="150" t="s">
        <v>98</v>
      </c>
      <c r="X1275" s="151" t="s">
        <v>207</v>
      </c>
      <c r="Y1275" s="155">
        <v>21088</v>
      </c>
      <c r="Z1275" s="151">
        <v>21195</v>
      </c>
      <c r="AA1275" s="151" t="s">
        <v>276</v>
      </c>
      <c r="AB1275" s="151" t="s">
        <v>276</v>
      </c>
      <c r="AC1275" s="150" t="s">
        <v>276</v>
      </c>
      <c r="AD1275" s="151" t="s">
        <v>7848</v>
      </c>
      <c r="AE1275" s="150" t="s">
        <v>276</v>
      </c>
      <c r="AF1275" s="151" t="s">
        <v>7848</v>
      </c>
      <c r="AG1275" s="151" t="s">
        <v>7855</v>
      </c>
      <c r="AH1275" s="151" t="s">
        <v>1674</v>
      </c>
      <c r="AI1275" s="156" t="s">
        <v>276</v>
      </c>
      <c r="AJ1275" s="156" t="s">
        <v>276</v>
      </c>
      <c r="AK1275" s="156" t="s">
        <v>276</v>
      </c>
      <c r="AL1275" s="156" t="s">
        <v>276</v>
      </c>
      <c r="AM1275" s="156" t="s">
        <v>1019</v>
      </c>
      <c r="AN1275" s="150">
        <v>500</v>
      </c>
      <c r="AO1275" s="159" t="s">
        <v>98</v>
      </c>
      <c r="AP1275" s="150" t="s">
        <v>276</v>
      </c>
      <c r="AQ1275" s="150" t="s">
        <v>276</v>
      </c>
      <c r="AR1275" s="150">
        <v>513</v>
      </c>
      <c r="AS1275" s="159" t="s">
        <v>98</v>
      </c>
      <c r="AT1275" s="150" t="s">
        <v>276</v>
      </c>
      <c r="AU1275" s="150" t="s">
        <v>276</v>
      </c>
      <c r="AV1275" s="150" t="s">
        <v>269</v>
      </c>
      <c r="AW1275" s="235" t="s">
        <v>276</v>
      </c>
      <c r="AX1275" s="235">
        <f t="shared" si="389"/>
        <v>0.97465886939571145</v>
      </c>
      <c r="AY1275" s="235" t="s">
        <v>276</v>
      </c>
      <c r="AZ1275" s="235" t="s">
        <v>276</v>
      </c>
      <c r="BA1275" s="235" t="s">
        <v>276</v>
      </c>
      <c r="BB1275" s="235" t="s">
        <v>282</v>
      </c>
      <c r="BC1275" s="235" t="s">
        <v>98</v>
      </c>
      <c r="BD1275" s="235" t="s">
        <v>98</v>
      </c>
      <c r="BE1275" s="235" t="s">
        <v>98</v>
      </c>
      <c r="BF1275" s="151" t="s">
        <v>4694</v>
      </c>
      <c r="BG1275" s="151"/>
      <c r="BH1275" s="9" t="s">
        <v>100</v>
      </c>
      <c r="BI1275" s="9" t="s">
        <v>100</v>
      </c>
      <c r="BJ1275" s="171"/>
      <c r="BN1275" s="171"/>
      <c r="BO1275" s="171"/>
    </row>
    <row r="1276" spans="1:67" s="172" customFormat="1" ht="52" hidden="1" x14ac:dyDescent="0.35">
      <c r="A1276" s="150">
        <v>3852</v>
      </c>
      <c r="B1276" s="151" t="s">
        <v>7696</v>
      </c>
      <c r="C1276" s="150" t="s">
        <v>7697</v>
      </c>
      <c r="D1276" s="151" t="s">
        <v>7856</v>
      </c>
      <c r="E1276" s="150" t="s">
        <v>35</v>
      </c>
      <c r="F1276" s="150" t="s">
        <v>97</v>
      </c>
      <c r="G1276" s="150" t="s">
        <v>225</v>
      </c>
      <c r="H1276" s="150" t="s">
        <v>125</v>
      </c>
      <c r="I1276" s="150" t="s">
        <v>114</v>
      </c>
      <c r="J1276" s="151" t="s">
        <v>25</v>
      </c>
      <c r="K1276" s="449" t="s">
        <v>7801</v>
      </c>
      <c r="L1276" s="151" t="s">
        <v>4151</v>
      </c>
      <c r="M1276" s="151" t="s">
        <v>276</v>
      </c>
      <c r="N1276" s="151" t="s">
        <v>7827</v>
      </c>
      <c r="O1276" s="151" t="s">
        <v>276</v>
      </c>
      <c r="P1276" s="151" t="s">
        <v>239</v>
      </c>
      <c r="Q1276" s="154" t="s">
        <v>98</v>
      </c>
      <c r="R1276" s="151" t="s">
        <v>728</v>
      </c>
      <c r="S1276" s="156" t="s">
        <v>276</v>
      </c>
      <c r="T1276" s="156" t="s">
        <v>276</v>
      </c>
      <c r="U1276" s="168" t="s">
        <v>1219</v>
      </c>
      <c r="V1276" s="150" t="s">
        <v>14</v>
      </c>
      <c r="W1276" s="150" t="s">
        <v>98</v>
      </c>
      <c r="X1276" s="151" t="s">
        <v>207</v>
      </c>
      <c r="Y1276" s="155">
        <v>21088</v>
      </c>
      <c r="Z1276" s="151">
        <v>21195</v>
      </c>
      <c r="AA1276" s="151" t="s">
        <v>276</v>
      </c>
      <c r="AB1276" s="151" t="s">
        <v>276</v>
      </c>
      <c r="AC1276" s="150" t="s">
        <v>276</v>
      </c>
      <c r="AD1276" s="151" t="s">
        <v>7848</v>
      </c>
      <c r="AE1276" s="150" t="s">
        <v>276</v>
      </c>
      <c r="AF1276" s="151" t="s">
        <v>7848</v>
      </c>
      <c r="AG1276" s="151" t="s">
        <v>7857</v>
      </c>
      <c r="AH1276" s="151" t="s">
        <v>1674</v>
      </c>
      <c r="AI1276" s="156" t="s">
        <v>276</v>
      </c>
      <c r="AJ1276" s="156" t="s">
        <v>276</v>
      </c>
      <c r="AK1276" s="156" t="s">
        <v>276</v>
      </c>
      <c r="AL1276" s="156" t="s">
        <v>276</v>
      </c>
      <c r="AM1276" s="156" t="s">
        <v>1019</v>
      </c>
      <c r="AN1276" s="150">
        <v>584</v>
      </c>
      <c r="AO1276" s="159" t="s">
        <v>98</v>
      </c>
      <c r="AP1276" s="150" t="s">
        <v>276</v>
      </c>
      <c r="AQ1276" s="150" t="s">
        <v>276</v>
      </c>
      <c r="AR1276" s="150">
        <v>661</v>
      </c>
      <c r="AS1276" s="159" t="s">
        <v>98</v>
      </c>
      <c r="AT1276" s="150" t="s">
        <v>276</v>
      </c>
      <c r="AU1276" s="150" t="s">
        <v>276</v>
      </c>
      <c r="AV1276" s="150" t="s">
        <v>269</v>
      </c>
      <c r="AW1276" s="235" t="s">
        <v>276</v>
      </c>
      <c r="AX1276" s="235">
        <f t="shared" si="389"/>
        <v>0.88350983358547652</v>
      </c>
      <c r="AY1276" s="235" t="s">
        <v>276</v>
      </c>
      <c r="AZ1276" s="235" t="s">
        <v>276</v>
      </c>
      <c r="BA1276" s="235" t="s">
        <v>276</v>
      </c>
      <c r="BB1276" s="235" t="s">
        <v>282</v>
      </c>
      <c r="BC1276" s="235" t="s">
        <v>98</v>
      </c>
      <c r="BD1276" s="235" t="s">
        <v>98</v>
      </c>
      <c r="BE1276" s="235" t="s">
        <v>98</v>
      </c>
      <c r="BF1276" s="151" t="s">
        <v>4694</v>
      </c>
      <c r="BG1276" s="151"/>
      <c r="BH1276" s="9" t="s">
        <v>100</v>
      </c>
      <c r="BI1276" s="9" t="s">
        <v>100</v>
      </c>
      <c r="BJ1276" s="171"/>
      <c r="BN1276" s="171"/>
      <c r="BO1276" s="171"/>
    </row>
    <row r="1277" spans="1:67" s="172" customFormat="1" ht="52" hidden="1" x14ac:dyDescent="0.35">
      <c r="A1277" s="150">
        <v>3852</v>
      </c>
      <c r="B1277" s="151" t="s">
        <v>7696</v>
      </c>
      <c r="C1277" s="150" t="s">
        <v>7697</v>
      </c>
      <c r="D1277" s="151" t="s">
        <v>7858</v>
      </c>
      <c r="E1277" s="150" t="s">
        <v>35</v>
      </c>
      <c r="F1277" s="150" t="s">
        <v>97</v>
      </c>
      <c r="G1277" s="150" t="s">
        <v>225</v>
      </c>
      <c r="H1277" s="150" t="s">
        <v>125</v>
      </c>
      <c r="I1277" s="150" t="s">
        <v>114</v>
      </c>
      <c r="J1277" s="151" t="s">
        <v>25</v>
      </c>
      <c r="K1277" s="449" t="s">
        <v>7801</v>
      </c>
      <c r="L1277" s="151" t="s">
        <v>4151</v>
      </c>
      <c r="M1277" s="151" t="s">
        <v>276</v>
      </c>
      <c r="N1277" s="151" t="s">
        <v>7827</v>
      </c>
      <c r="O1277" s="151" t="s">
        <v>276</v>
      </c>
      <c r="P1277" s="151" t="s">
        <v>239</v>
      </c>
      <c r="Q1277" s="154" t="s">
        <v>98</v>
      </c>
      <c r="R1277" s="151" t="s">
        <v>733</v>
      </c>
      <c r="S1277" s="156" t="s">
        <v>276</v>
      </c>
      <c r="T1277" s="156" t="s">
        <v>276</v>
      </c>
      <c r="U1277" s="168" t="s">
        <v>1192</v>
      </c>
      <c r="V1277" s="150" t="s">
        <v>14</v>
      </c>
      <c r="W1277" s="150" t="s">
        <v>98</v>
      </c>
      <c r="X1277" s="151" t="s">
        <v>207</v>
      </c>
      <c r="Y1277" s="155">
        <v>21088</v>
      </c>
      <c r="Z1277" s="151">
        <v>21195</v>
      </c>
      <c r="AA1277" s="151" t="s">
        <v>276</v>
      </c>
      <c r="AB1277" s="151" t="s">
        <v>276</v>
      </c>
      <c r="AC1277" s="150" t="s">
        <v>276</v>
      </c>
      <c r="AD1277" s="151" t="s">
        <v>7848</v>
      </c>
      <c r="AE1277" s="150" t="s">
        <v>276</v>
      </c>
      <c r="AF1277" s="151" t="s">
        <v>7848</v>
      </c>
      <c r="AG1277" s="151" t="s">
        <v>7859</v>
      </c>
      <c r="AH1277" s="151" t="s">
        <v>1674</v>
      </c>
      <c r="AI1277" s="156" t="s">
        <v>276</v>
      </c>
      <c r="AJ1277" s="156" t="s">
        <v>276</v>
      </c>
      <c r="AK1277" s="156" t="s">
        <v>276</v>
      </c>
      <c r="AL1277" s="156" t="s">
        <v>276</v>
      </c>
      <c r="AM1277" s="156" t="s">
        <v>1019</v>
      </c>
      <c r="AN1277" s="150">
        <v>654</v>
      </c>
      <c r="AO1277" s="159" t="s">
        <v>98</v>
      </c>
      <c r="AP1277" s="150" t="s">
        <v>276</v>
      </c>
      <c r="AQ1277" s="150" t="s">
        <v>276</v>
      </c>
      <c r="AR1277" s="150">
        <v>795</v>
      </c>
      <c r="AS1277" s="159" t="s">
        <v>98</v>
      </c>
      <c r="AT1277" s="150" t="s">
        <v>276</v>
      </c>
      <c r="AU1277" s="150" t="s">
        <v>276</v>
      </c>
      <c r="AV1277" s="150" t="s">
        <v>269</v>
      </c>
      <c r="AW1277" s="235" t="s">
        <v>276</v>
      </c>
      <c r="AX1277" s="235">
        <f t="shared" si="389"/>
        <v>0.8226415094339623</v>
      </c>
      <c r="AY1277" s="235" t="s">
        <v>276</v>
      </c>
      <c r="AZ1277" s="235" t="s">
        <v>276</v>
      </c>
      <c r="BA1277" s="235" t="s">
        <v>276</v>
      </c>
      <c r="BB1277" s="235" t="s">
        <v>282</v>
      </c>
      <c r="BC1277" s="235" t="s">
        <v>98</v>
      </c>
      <c r="BD1277" s="235" t="s">
        <v>98</v>
      </c>
      <c r="BE1277" s="235" t="s">
        <v>98</v>
      </c>
      <c r="BF1277" s="151" t="s">
        <v>4694</v>
      </c>
      <c r="BG1277" s="151"/>
      <c r="BH1277" s="9" t="s">
        <v>100</v>
      </c>
      <c r="BI1277" s="9" t="s">
        <v>100</v>
      </c>
      <c r="BJ1277" s="171"/>
      <c r="BN1277" s="171"/>
      <c r="BO1277" s="171"/>
    </row>
    <row r="1278" spans="1:67" s="172" customFormat="1" ht="52" hidden="1" x14ac:dyDescent="0.35">
      <c r="A1278" s="150">
        <v>3852</v>
      </c>
      <c r="B1278" s="151" t="s">
        <v>7696</v>
      </c>
      <c r="C1278" s="150" t="s">
        <v>7697</v>
      </c>
      <c r="D1278" s="151" t="s">
        <v>7860</v>
      </c>
      <c r="E1278" s="150" t="s">
        <v>35</v>
      </c>
      <c r="F1278" s="150" t="s">
        <v>97</v>
      </c>
      <c r="G1278" s="150" t="s">
        <v>225</v>
      </c>
      <c r="H1278" s="150" t="s">
        <v>125</v>
      </c>
      <c r="I1278" s="150" t="s">
        <v>114</v>
      </c>
      <c r="J1278" s="151" t="s">
        <v>25</v>
      </c>
      <c r="K1278" s="449" t="s">
        <v>7801</v>
      </c>
      <c r="L1278" s="151" t="s">
        <v>4151</v>
      </c>
      <c r="M1278" s="151" t="s">
        <v>276</v>
      </c>
      <c r="N1278" s="151" t="s">
        <v>7827</v>
      </c>
      <c r="O1278" s="151" t="s">
        <v>276</v>
      </c>
      <c r="P1278" s="151" t="s">
        <v>239</v>
      </c>
      <c r="Q1278" s="154" t="s">
        <v>98</v>
      </c>
      <c r="R1278" s="151" t="s">
        <v>741</v>
      </c>
      <c r="S1278" s="156" t="s">
        <v>276</v>
      </c>
      <c r="T1278" s="156" t="s">
        <v>276</v>
      </c>
      <c r="U1278" s="168" t="s">
        <v>1192</v>
      </c>
      <c r="V1278" s="150" t="s">
        <v>14</v>
      </c>
      <c r="W1278" s="150" t="s">
        <v>98</v>
      </c>
      <c r="X1278" s="151" t="s">
        <v>207</v>
      </c>
      <c r="Y1278" s="155">
        <v>21088</v>
      </c>
      <c r="Z1278" s="151">
        <v>21195</v>
      </c>
      <c r="AA1278" s="151" t="s">
        <v>276</v>
      </c>
      <c r="AB1278" s="151" t="s">
        <v>276</v>
      </c>
      <c r="AC1278" s="150" t="s">
        <v>276</v>
      </c>
      <c r="AD1278" s="151" t="s">
        <v>7848</v>
      </c>
      <c r="AE1278" s="150" t="s">
        <v>276</v>
      </c>
      <c r="AF1278" s="151" t="s">
        <v>7848</v>
      </c>
      <c r="AG1278" s="151" t="s">
        <v>7861</v>
      </c>
      <c r="AH1278" s="151" t="s">
        <v>1674</v>
      </c>
      <c r="AI1278" s="156" t="s">
        <v>276</v>
      </c>
      <c r="AJ1278" s="156" t="s">
        <v>276</v>
      </c>
      <c r="AK1278" s="156" t="s">
        <v>276</v>
      </c>
      <c r="AL1278" s="156" t="s">
        <v>276</v>
      </c>
      <c r="AM1278" s="156" t="s">
        <v>1019</v>
      </c>
      <c r="AN1278" s="150">
        <v>749</v>
      </c>
      <c r="AO1278" s="159" t="s">
        <v>98</v>
      </c>
      <c r="AP1278" s="150" t="s">
        <v>276</v>
      </c>
      <c r="AQ1278" s="150" t="s">
        <v>276</v>
      </c>
      <c r="AR1278" s="150">
        <v>890</v>
      </c>
      <c r="AS1278" s="159" t="s">
        <v>98</v>
      </c>
      <c r="AT1278" s="150" t="s">
        <v>276</v>
      </c>
      <c r="AU1278" s="150" t="s">
        <v>276</v>
      </c>
      <c r="AV1278" s="150" t="s">
        <v>269</v>
      </c>
      <c r="AW1278" s="235" t="s">
        <v>276</v>
      </c>
      <c r="AX1278" s="235">
        <f t="shared" si="389"/>
        <v>0.84157303370786518</v>
      </c>
      <c r="AY1278" s="235" t="s">
        <v>276</v>
      </c>
      <c r="AZ1278" s="235" t="s">
        <v>276</v>
      </c>
      <c r="BA1278" s="235" t="s">
        <v>276</v>
      </c>
      <c r="BB1278" s="235" t="s">
        <v>282</v>
      </c>
      <c r="BC1278" s="235" t="s">
        <v>98</v>
      </c>
      <c r="BD1278" s="235" t="s">
        <v>98</v>
      </c>
      <c r="BE1278" s="235" t="s">
        <v>98</v>
      </c>
      <c r="BF1278" s="151" t="s">
        <v>4694</v>
      </c>
      <c r="BG1278" s="151"/>
      <c r="BH1278" s="9" t="s">
        <v>100</v>
      </c>
      <c r="BI1278" s="9" t="s">
        <v>100</v>
      </c>
      <c r="BJ1278" s="171"/>
      <c r="BN1278" s="171"/>
      <c r="BO1278" s="171"/>
    </row>
    <row r="1279" spans="1:67" s="172" customFormat="1" ht="52" hidden="1" x14ac:dyDescent="0.35">
      <c r="A1279" s="150">
        <v>3852</v>
      </c>
      <c r="B1279" s="151" t="s">
        <v>7696</v>
      </c>
      <c r="C1279" s="150" t="s">
        <v>7697</v>
      </c>
      <c r="D1279" s="151" t="s">
        <v>7862</v>
      </c>
      <c r="E1279" s="150" t="s">
        <v>35</v>
      </c>
      <c r="F1279" s="150" t="s">
        <v>97</v>
      </c>
      <c r="G1279" s="150" t="s">
        <v>225</v>
      </c>
      <c r="H1279" s="150" t="s">
        <v>125</v>
      </c>
      <c r="I1279" s="150" t="s">
        <v>114</v>
      </c>
      <c r="J1279" s="151" t="s">
        <v>25</v>
      </c>
      <c r="K1279" s="449" t="s">
        <v>7801</v>
      </c>
      <c r="L1279" s="151" t="s">
        <v>4151</v>
      </c>
      <c r="M1279" s="151" t="s">
        <v>276</v>
      </c>
      <c r="N1279" s="151" t="s">
        <v>7827</v>
      </c>
      <c r="O1279" s="151" t="s">
        <v>276</v>
      </c>
      <c r="P1279" s="151" t="s">
        <v>239</v>
      </c>
      <c r="Q1279" s="154" t="s">
        <v>98</v>
      </c>
      <c r="R1279" s="151" t="s">
        <v>746</v>
      </c>
      <c r="S1279" s="156" t="s">
        <v>276</v>
      </c>
      <c r="T1279" s="156" t="s">
        <v>276</v>
      </c>
      <c r="U1279" s="168" t="s">
        <v>1224</v>
      </c>
      <c r="V1279" s="150" t="s">
        <v>14</v>
      </c>
      <c r="W1279" s="150" t="s">
        <v>98</v>
      </c>
      <c r="X1279" s="151" t="s">
        <v>207</v>
      </c>
      <c r="Y1279" s="155">
        <v>21088</v>
      </c>
      <c r="Z1279" s="151">
        <v>21195</v>
      </c>
      <c r="AA1279" s="151" t="s">
        <v>276</v>
      </c>
      <c r="AB1279" s="151" t="s">
        <v>276</v>
      </c>
      <c r="AC1279" s="150" t="s">
        <v>276</v>
      </c>
      <c r="AD1279" s="151" t="s">
        <v>7848</v>
      </c>
      <c r="AE1279" s="150" t="s">
        <v>276</v>
      </c>
      <c r="AF1279" s="151" t="s">
        <v>7848</v>
      </c>
      <c r="AG1279" s="151" t="s">
        <v>7863</v>
      </c>
      <c r="AH1279" s="151" t="s">
        <v>1674</v>
      </c>
      <c r="AI1279" s="156" t="s">
        <v>276</v>
      </c>
      <c r="AJ1279" s="156" t="s">
        <v>276</v>
      </c>
      <c r="AK1279" s="156" t="s">
        <v>276</v>
      </c>
      <c r="AL1279" s="156" t="s">
        <v>276</v>
      </c>
      <c r="AM1279" s="156" t="s">
        <v>1019</v>
      </c>
      <c r="AN1279" s="150">
        <v>831</v>
      </c>
      <c r="AO1279" s="159" t="s">
        <v>98</v>
      </c>
      <c r="AP1279" s="150" t="s">
        <v>276</v>
      </c>
      <c r="AQ1279" s="150" t="s">
        <v>276</v>
      </c>
      <c r="AR1279" s="150">
        <v>971</v>
      </c>
      <c r="AS1279" s="159" t="s">
        <v>98</v>
      </c>
      <c r="AT1279" s="150" t="s">
        <v>276</v>
      </c>
      <c r="AU1279" s="150" t="s">
        <v>276</v>
      </c>
      <c r="AV1279" s="150" t="s">
        <v>269</v>
      </c>
      <c r="AW1279" s="235" t="s">
        <v>276</v>
      </c>
      <c r="AX1279" s="235">
        <f t="shared" si="389"/>
        <v>0.85581874356333676</v>
      </c>
      <c r="AY1279" s="235" t="s">
        <v>276</v>
      </c>
      <c r="AZ1279" s="235" t="s">
        <v>276</v>
      </c>
      <c r="BA1279" s="235" t="s">
        <v>276</v>
      </c>
      <c r="BB1279" s="235" t="s">
        <v>282</v>
      </c>
      <c r="BC1279" s="235" t="s">
        <v>98</v>
      </c>
      <c r="BD1279" s="235" t="s">
        <v>98</v>
      </c>
      <c r="BE1279" s="235" t="s">
        <v>98</v>
      </c>
      <c r="BF1279" s="151" t="s">
        <v>4694</v>
      </c>
      <c r="BG1279" s="151"/>
      <c r="BH1279" s="9" t="s">
        <v>100</v>
      </c>
      <c r="BI1279" s="9" t="s">
        <v>100</v>
      </c>
      <c r="BJ1279" s="171"/>
      <c r="BN1279" s="171"/>
      <c r="BO1279" s="171"/>
    </row>
    <row r="1280" spans="1:67" s="172" customFormat="1" ht="52" hidden="1" x14ac:dyDescent="0.35">
      <c r="A1280" s="150">
        <v>3852</v>
      </c>
      <c r="B1280" s="151" t="s">
        <v>7696</v>
      </c>
      <c r="C1280" s="150" t="s">
        <v>7697</v>
      </c>
      <c r="D1280" s="151" t="s">
        <v>7864</v>
      </c>
      <c r="E1280" s="150" t="s">
        <v>35</v>
      </c>
      <c r="F1280" s="150" t="s">
        <v>97</v>
      </c>
      <c r="G1280" s="150" t="s">
        <v>225</v>
      </c>
      <c r="H1280" s="150" t="s">
        <v>125</v>
      </c>
      <c r="I1280" s="150" t="s">
        <v>114</v>
      </c>
      <c r="J1280" s="151" t="s">
        <v>25</v>
      </c>
      <c r="K1280" s="449" t="s">
        <v>7801</v>
      </c>
      <c r="L1280" s="151" t="s">
        <v>4151</v>
      </c>
      <c r="M1280" s="151" t="s">
        <v>276</v>
      </c>
      <c r="N1280" s="151" t="s">
        <v>7827</v>
      </c>
      <c r="O1280" s="151" t="s">
        <v>276</v>
      </c>
      <c r="P1280" s="151" t="s">
        <v>239</v>
      </c>
      <c r="Q1280" s="154" t="s">
        <v>98</v>
      </c>
      <c r="R1280" s="151" t="s">
        <v>752</v>
      </c>
      <c r="S1280" s="156" t="s">
        <v>276</v>
      </c>
      <c r="T1280" s="156" t="s">
        <v>276</v>
      </c>
      <c r="U1280" s="168" t="s">
        <v>1224</v>
      </c>
      <c r="V1280" s="150" t="s">
        <v>14</v>
      </c>
      <c r="W1280" s="150" t="s">
        <v>98</v>
      </c>
      <c r="X1280" s="151" t="s">
        <v>207</v>
      </c>
      <c r="Y1280" s="155">
        <v>21088</v>
      </c>
      <c r="Z1280" s="151">
        <v>21195</v>
      </c>
      <c r="AA1280" s="151" t="s">
        <v>276</v>
      </c>
      <c r="AB1280" s="151" t="s">
        <v>276</v>
      </c>
      <c r="AC1280" s="150" t="s">
        <v>276</v>
      </c>
      <c r="AD1280" s="151" t="s">
        <v>7848</v>
      </c>
      <c r="AE1280" s="150" t="s">
        <v>276</v>
      </c>
      <c r="AF1280" s="151" t="s">
        <v>7848</v>
      </c>
      <c r="AG1280" s="151" t="s">
        <v>7865</v>
      </c>
      <c r="AH1280" s="151" t="s">
        <v>1674</v>
      </c>
      <c r="AI1280" s="156" t="s">
        <v>276</v>
      </c>
      <c r="AJ1280" s="156" t="s">
        <v>276</v>
      </c>
      <c r="AK1280" s="156" t="s">
        <v>276</v>
      </c>
      <c r="AL1280" s="156" t="s">
        <v>276</v>
      </c>
      <c r="AM1280" s="156" t="s">
        <v>1019</v>
      </c>
      <c r="AN1280" s="150">
        <v>930</v>
      </c>
      <c r="AO1280" s="159" t="s">
        <v>98</v>
      </c>
      <c r="AP1280" s="150" t="s">
        <v>276</v>
      </c>
      <c r="AQ1280" s="150" t="s">
        <v>276</v>
      </c>
      <c r="AR1280" s="150">
        <v>1111</v>
      </c>
      <c r="AS1280" s="159" t="s">
        <v>98</v>
      </c>
      <c r="AT1280" s="150" t="s">
        <v>276</v>
      </c>
      <c r="AU1280" s="150" t="s">
        <v>276</v>
      </c>
      <c r="AV1280" s="150" t="s">
        <v>269</v>
      </c>
      <c r="AW1280" s="235" t="s">
        <v>276</v>
      </c>
      <c r="AX1280" s="235">
        <f t="shared" si="389"/>
        <v>0.83708370837083712</v>
      </c>
      <c r="AY1280" s="235" t="s">
        <v>276</v>
      </c>
      <c r="AZ1280" s="235" t="s">
        <v>276</v>
      </c>
      <c r="BA1280" s="235" t="s">
        <v>276</v>
      </c>
      <c r="BB1280" s="235" t="s">
        <v>282</v>
      </c>
      <c r="BC1280" s="235" t="s">
        <v>98</v>
      </c>
      <c r="BD1280" s="235" t="s">
        <v>98</v>
      </c>
      <c r="BE1280" s="235" t="s">
        <v>98</v>
      </c>
      <c r="BF1280" s="151" t="s">
        <v>4694</v>
      </c>
      <c r="BG1280" s="151"/>
      <c r="BH1280" s="9" t="s">
        <v>100</v>
      </c>
      <c r="BI1280" s="9" t="s">
        <v>100</v>
      </c>
      <c r="BJ1280" s="171"/>
      <c r="BN1280" s="171"/>
      <c r="BO1280" s="171"/>
    </row>
    <row r="1281" spans="1:67" s="172" customFormat="1" ht="52" hidden="1" x14ac:dyDescent="0.35">
      <c r="A1281" s="150">
        <v>3852</v>
      </c>
      <c r="B1281" s="151" t="s">
        <v>7696</v>
      </c>
      <c r="C1281" s="150" t="s">
        <v>7697</v>
      </c>
      <c r="D1281" s="151" t="s">
        <v>7866</v>
      </c>
      <c r="E1281" s="150" t="s">
        <v>35</v>
      </c>
      <c r="F1281" s="150" t="s">
        <v>97</v>
      </c>
      <c r="G1281" s="150" t="s">
        <v>225</v>
      </c>
      <c r="H1281" s="150" t="s">
        <v>125</v>
      </c>
      <c r="I1281" s="150" t="s">
        <v>114</v>
      </c>
      <c r="J1281" s="151" t="s">
        <v>25</v>
      </c>
      <c r="K1281" s="449" t="s">
        <v>7801</v>
      </c>
      <c r="L1281" s="151" t="s">
        <v>4151</v>
      </c>
      <c r="M1281" s="151" t="s">
        <v>276</v>
      </c>
      <c r="N1281" s="151" t="s">
        <v>7827</v>
      </c>
      <c r="O1281" s="151" t="s">
        <v>276</v>
      </c>
      <c r="P1281" s="151" t="s">
        <v>239</v>
      </c>
      <c r="Q1281" s="154" t="s">
        <v>98</v>
      </c>
      <c r="R1281" s="151" t="s">
        <v>766</v>
      </c>
      <c r="S1281" s="156" t="s">
        <v>276</v>
      </c>
      <c r="T1281" s="156" t="s">
        <v>276</v>
      </c>
      <c r="U1281" s="168" t="s">
        <v>1193</v>
      </c>
      <c r="V1281" s="150" t="s">
        <v>14</v>
      </c>
      <c r="W1281" s="150" t="s">
        <v>98</v>
      </c>
      <c r="X1281" s="151" t="s">
        <v>207</v>
      </c>
      <c r="Y1281" s="155">
        <v>21088</v>
      </c>
      <c r="Z1281" s="151">
        <v>21195</v>
      </c>
      <c r="AA1281" s="151" t="s">
        <v>276</v>
      </c>
      <c r="AB1281" s="151" t="s">
        <v>276</v>
      </c>
      <c r="AC1281" s="150" t="s">
        <v>276</v>
      </c>
      <c r="AD1281" s="151" t="s">
        <v>7848</v>
      </c>
      <c r="AE1281" s="150" t="s">
        <v>276</v>
      </c>
      <c r="AF1281" s="151" t="s">
        <v>7848</v>
      </c>
      <c r="AG1281" s="151" t="s">
        <v>7867</v>
      </c>
      <c r="AH1281" s="151" t="s">
        <v>1674</v>
      </c>
      <c r="AI1281" s="156" t="s">
        <v>276</v>
      </c>
      <c r="AJ1281" s="156" t="s">
        <v>276</v>
      </c>
      <c r="AK1281" s="156" t="s">
        <v>276</v>
      </c>
      <c r="AL1281" s="156" t="s">
        <v>276</v>
      </c>
      <c r="AM1281" s="156" t="s">
        <v>1019</v>
      </c>
      <c r="AN1281" s="150">
        <v>980</v>
      </c>
      <c r="AO1281" s="159" t="s">
        <v>98</v>
      </c>
      <c r="AP1281" s="150" t="s">
        <v>276</v>
      </c>
      <c r="AQ1281" s="150" t="s">
        <v>276</v>
      </c>
      <c r="AR1281" s="150">
        <v>1210</v>
      </c>
      <c r="AS1281" s="159" t="s">
        <v>98</v>
      </c>
      <c r="AT1281" s="150" t="s">
        <v>276</v>
      </c>
      <c r="AU1281" s="150" t="s">
        <v>276</v>
      </c>
      <c r="AV1281" s="150" t="s">
        <v>269</v>
      </c>
      <c r="AW1281" s="235" t="s">
        <v>276</v>
      </c>
      <c r="AX1281" s="235">
        <f t="shared" si="389"/>
        <v>0.80991735537190079</v>
      </c>
      <c r="AY1281" s="235" t="s">
        <v>276</v>
      </c>
      <c r="AZ1281" s="235" t="s">
        <v>276</v>
      </c>
      <c r="BA1281" s="235" t="s">
        <v>276</v>
      </c>
      <c r="BB1281" s="235" t="s">
        <v>282</v>
      </c>
      <c r="BC1281" s="235" t="s">
        <v>98</v>
      </c>
      <c r="BD1281" s="235" t="s">
        <v>98</v>
      </c>
      <c r="BE1281" s="235" t="s">
        <v>98</v>
      </c>
      <c r="BF1281" s="151" t="s">
        <v>4694</v>
      </c>
      <c r="BG1281" s="151"/>
      <c r="BH1281" s="9" t="s">
        <v>100</v>
      </c>
      <c r="BI1281" s="9" t="s">
        <v>100</v>
      </c>
      <c r="BJ1281" s="171"/>
      <c r="BN1281" s="171"/>
      <c r="BO1281" s="171"/>
    </row>
    <row r="1282" spans="1:67" s="183" customFormat="1" ht="94" hidden="1" customHeight="1" x14ac:dyDescent="0.35">
      <c r="A1282" s="175">
        <v>4672</v>
      </c>
      <c r="B1282" s="175" t="s">
        <v>11137</v>
      </c>
      <c r="C1282" s="175" t="s">
        <v>7697</v>
      </c>
      <c r="D1282" s="176" t="s">
        <v>11138</v>
      </c>
      <c r="E1282" s="175" t="s">
        <v>35</v>
      </c>
      <c r="F1282" s="175" t="s">
        <v>97</v>
      </c>
      <c r="G1282" s="175" t="s">
        <v>225</v>
      </c>
      <c r="H1282" s="175" t="s">
        <v>125</v>
      </c>
      <c r="I1282" s="175" t="s">
        <v>114</v>
      </c>
      <c r="J1282" s="176" t="s">
        <v>25</v>
      </c>
      <c r="K1282" s="175" t="s">
        <v>7801</v>
      </c>
      <c r="L1282" s="175" t="s">
        <v>4151</v>
      </c>
      <c r="M1282" s="175" t="s">
        <v>276</v>
      </c>
      <c r="N1282" s="175" t="s">
        <v>11139</v>
      </c>
      <c r="O1282" s="176" t="s">
        <v>276</v>
      </c>
      <c r="P1282" s="176" t="s">
        <v>239</v>
      </c>
      <c r="Q1282" s="304" t="s">
        <v>276</v>
      </c>
      <c r="R1282" s="176" t="s">
        <v>3900</v>
      </c>
      <c r="S1282" s="176" t="s">
        <v>5426</v>
      </c>
      <c r="T1282" s="176" t="s">
        <v>5426</v>
      </c>
      <c r="U1282" s="178" t="s">
        <v>11140</v>
      </c>
      <c r="V1282" s="175" t="s">
        <v>14</v>
      </c>
      <c r="W1282" s="175" t="s">
        <v>98</v>
      </c>
      <c r="X1282" s="176" t="s">
        <v>207</v>
      </c>
      <c r="Y1282" s="180">
        <v>21088</v>
      </c>
      <c r="Z1282" s="179">
        <v>21195</v>
      </c>
      <c r="AA1282" s="176" t="s">
        <v>276</v>
      </c>
      <c r="AB1282" s="176" t="s">
        <v>276</v>
      </c>
      <c r="AC1282" s="175" t="s">
        <v>276</v>
      </c>
      <c r="AD1282" s="176" t="s">
        <v>7848</v>
      </c>
      <c r="AE1282" s="175" t="s">
        <v>276</v>
      </c>
      <c r="AF1282" s="176" t="s">
        <v>7848</v>
      </c>
      <c r="AG1282" s="176" t="s">
        <v>11141</v>
      </c>
      <c r="AH1282" s="176" t="s">
        <v>2034</v>
      </c>
      <c r="AI1282" s="179">
        <v>190</v>
      </c>
      <c r="AJ1282" s="179">
        <v>231</v>
      </c>
      <c r="AK1282" s="180">
        <v>21088</v>
      </c>
      <c r="AL1282" s="179">
        <v>21195</v>
      </c>
      <c r="AM1282" s="179" t="s">
        <v>281</v>
      </c>
      <c r="AN1282" s="175">
        <v>9.01</v>
      </c>
      <c r="AO1282" s="181">
        <f>AI1282*1000/AK1282</f>
        <v>9.0098634294385427</v>
      </c>
      <c r="AP1282" s="175" t="s">
        <v>276</v>
      </c>
      <c r="AQ1282" s="175" t="s">
        <v>276</v>
      </c>
      <c r="AR1282" s="181">
        <v>10.9</v>
      </c>
      <c r="AS1282" s="181">
        <f>AJ1282*1000/AL1282</f>
        <v>10.898796886058033</v>
      </c>
      <c r="AT1282" s="175" t="s">
        <v>276</v>
      </c>
      <c r="AU1282" s="175" t="s">
        <v>276</v>
      </c>
      <c r="AV1282" s="175" t="s">
        <v>268</v>
      </c>
      <c r="AW1282" s="305">
        <v>0.83</v>
      </c>
      <c r="AX1282" s="305">
        <f t="shared" si="389"/>
        <v>0.82660550458715587</v>
      </c>
      <c r="AY1282" s="176">
        <v>0.68</v>
      </c>
      <c r="AZ1282" s="176">
        <v>1</v>
      </c>
      <c r="BA1282" s="176" t="s">
        <v>276</v>
      </c>
      <c r="BB1282" s="176" t="s">
        <v>282</v>
      </c>
      <c r="BC1282" s="176" t="s">
        <v>98</v>
      </c>
      <c r="BD1282" s="176" t="s">
        <v>98</v>
      </c>
      <c r="BE1282" s="176" t="s">
        <v>98</v>
      </c>
      <c r="BF1282" s="176" t="s">
        <v>298</v>
      </c>
      <c r="BG1282" s="176" t="s">
        <v>11142</v>
      </c>
      <c r="BH1282" s="9" t="s">
        <v>100</v>
      </c>
      <c r="BI1282" s="9" t="s">
        <v>100</v>
      </c>
      <c r="BJ1282" s="182"/>
      <c r="BN1282" s="182"/>
      <c r="BO1282" s="182"/>
    </row>
    <row r="1283" spans="1:67" s="33" customFormat="1" ht="39" hidden="1" x14ac:dyDescent="0.35">
      <c r="A1283" s="8">
        <v>9609</v>
      </c>
      <c r="B1283" s="9" t="s">
        <v>7868</v>
      </c>
      <c r="C1283" s="9" t="s">
        <v>81</v>
      </c>
      <c r="D1283" s="9" t="s">
        <v>7985</v>
      </c>
      <c r="E1283" s="8" t="s">
        <v>39</v>
      </c>
      <c r="F1283" s="9" t="s">
        <v>263</v>
      </c>
      <c r="G1283" s="8" t="s">
        <v>225</v>
      </c>
      <c r="H1283" s="8" t="s">
        <v>125</v>
      </c>
      <c r="I1283" s="8" t="s">
        <v>114</v>
      </c>
      <c r="J1283" s="9" t="s">
        <v>98</v>
      </c>
      <c r="K1283" s="8" t="s">
        <v>98</v>
      </c>
      <c r="L1283" s="8" t="s">
        <v>98</v>
      </c>
      <c r="M1283" s="8" t="s">
        <v>98</v>
      </c>
      <c r="N1283" s="8" t="s">
        <v>276</v>
      </c>
      <c r="O1283" s="9" t="s">
        <v>276</v>
      </c>
      <c r="P1283" s="9" t="s">
        <v>236</v>
      </c>
      <c r="Q1283" s="52">
        <v>28430</v>
      </c>
      <c r="R1283" s="9" t="s">
        <v>276</v>
      </c>
      <c r="S1283" s="9" t="s">
        <v>276</v>
      </c>
      <c r="T1283" s="9" t="s">
        <v>276</v>
      </c>
      <c r="U1283" s="9" t="s">
        <v>276</v>
      </c>
      <c r="V1283" s="8" t="s">
        <v>14</v>
      </c>
      <c r="W1283" s="8" t="s">
        <v>98</v>
      </c>
      <c r="X1283" s="9" t="s">
        <v>209</v>
      </c>
      <c r="Y1283" s="13" t="s">
        <v>98</v>
      </c>
      <c r="Z1283" s="9" t="s">
        <v>98</v>
      </c>
      <c r="AA1283" s="9" t="s">
        <v>276</v>
      </c>
      <c r="AB1283" s="9" t="s">
        <v>98</v>
      </c>
      <c r="AC1283" s="8">
        <v>0</v>
      </c>
      <c r="AD1283" s="8" t="s">
        <v>98</v>
      </c>
      <c r="AE1283" s="8" t="s">
        <v>98</v>
      </c>
      <c r="AF1283" s="8" t="s">
        <v>98</v>
      </c>
      <c r="AG1283" s="9" t="s">
        <v>7986</v>
      </c>
      <c r="AH1283" s="9" t="s">
        <v>7987</v>
      </c>
      <c r="AI1283" s="38">
        <f>37+11+4</f>
        <v>52</v>
      </c>
      <c r="AJ1283" s="38" t="s">
        <v>98</v>
      </c>
      <c r="AK1283" s="38">
        <v>59</v>
      </c>
      <c r="AL1283" s="38" t="s">
        <v>98</v>
      </c>
      <c r="AM1283" s="38" t="s">
        <v>292</v>
      </c>
      <c r="AN1283" s="8">
        <f>100-12</f>
        <v>88</v>
      </c>
      <c r="AO1283" s="14">
        <f>AI1283*100/AK1283</f>
        <v>88.13559322033899</v>
      </c>
      <c r="AP1283" s="8" t="s">
        <v>276</v>
      </c>
      <c r="AQ1283" s="8" t="s">
        <v>276</v>
      </c>
      <c r="AR1283" s="8" t="s">
        <v>98</v>
      </c>
      <c r="AS1283" s="8" t="s">
        <v>98</v>
      </c>
      <c r="AT1283" s="8" t="s">
        <v>98</v>
      </c>
      <c r="AU1283" s="8" t="s">
        <v>98</v>
      </c>
      <c r="AV1283" s="8" t="s">
        <v>98</v>
      </c>
      <c r="AW1283" s="8" t="s">
        <v>98</v>
      </c>
      <c r="AX1283" s="8" t="s">
        <v>98</v>
      </c>
      <c r="AY1283" s="8" t="s">
        <v>98</v>
      </c>
      <c r="AZ1283" s="8" t="s">
        <v>98</v>
      </c>
      <c r="BA1283" s="8" t="s">
        <v>98</v>
      </c>
      <c r="BB1283" s="8" t="s">
        <v>98</v>
      </c>
      <c r="BC1283" s="8" t="s">
        <v>98</v>
      </c>
      <c r="BD1283" s="8" t="s">
        <v>98</v>
      </c>
      <c r="BE1283" s="8" t="s">
        <v>98</v>
      </c>
      <c r="BF1283" s="9" t="s">
        <v>1020</v>
      </c>
      <c r="BG1283" s="9" t="s">
        <v>7988</v>
      </c>
      <c r="BH1283" s="9" t="s">
        <v>100</v>
      </c>
      <c r="BI1283" s="9" t="s">
        <v>100</v>
      </c>
      <c r="BJ1283" s="32"/>
      <c r="BN1283" s="32"/>
      <c r="BO1283" s="32"/>
    </row>
    <row r="1284" spans="1:67" s="79" customFormat="1" ht="52" hidden="1" x14ac:dyDescent="0.35">
      <c r="A1284" s="72">
        <v>9609</v>
      </c>
      <c r="B1284" s="73" t="s">
        <v>7868</v>
      </c>
      <c r="C1284" s="73" t="s">
        <v>81</v>
      </c>
      <c r="D1284" s="73" t="s">
        <v>7989</v>
      </c>
      <c r="E1284" s="72" t="s">
        <v>39</v>
      </c>
      <c r="F1284" s="73" t="s">
        <v>263</v>
      </c>
      <c r="G1284" s="72" t="s">
        <v>225</v>
      </c>
      <c r="H1284" s="72" t="s">
        <v>125</v>
      </c>
      <c r="I1284" s="72" t="s">
        <v>114</v>
      </c>
      <c r="J1284" s="73" t="s">
        <v>25</v>
      </c>
      <c r="K1284" s="72" t="s">
        <v>300</v>
      </c>
      <c r="L1284" s="72" t="s">
        <v>276</v>
      </c>
      <c r="M1284" s="72" t="s">
        <v>276</v>
      </c>
      <c r="N1284" s="72" t="s">
        <v>276</v>
      </c>
      <c r="O1284" s="73" t="s">
        <v>276</v>
      </c>
      <c r="P1284" s="73" t="s">
        <v>239</v>
      </c>
      <c r="Q1284" s="77">
        <v>28430</v>
      </c>
      <c r="R1284" s="73" t="s">
        <v>276</v>
      </c>
      <c r="S1284" s="73" t="s">
        <v>276</v>
      </c>
      <c r="T1284" s="73" t="s">
        <v>276</v>
      </c>
      <c r="U1284" s="73" t="s">
        <v>276</v>
      </c>
      <c r="V1284" s="72" t="s">
        <v>14</v>
      </c>
      <c r="W1284" s="72" t="s">
        <v>98</v>
      </c>
      <c r="X1284" s="73" t="s">
        <v>207</v>
      </c>
      <c r="Y1284" s="74" t="s">
        <v>276</v>
      </c>
      <c r="Z1284" s="73" t="s">
        <v>276</v>
      </c>
      <c r="AA1284" s="73" t="s">
        <v>276</v>
      </c>
      <c r="AB1284" s="73" t="s">
        <v>276</v>
      </c>
      <c r="AC1284" s="72" t="s">
        <v>276</v>
      </c>
      <c r="AD1284" s="72" t="s">
        <v>276</v>
      </c>
      <c r="AE1284" s="72" t="s">
        <v>276</v>
      </c>
      <c r="AF1284" s="72" t="s">
        <v>276</v>
      </c>
      <c r="AG1284" s="73" t="s">
        <v>7990</v>
      </c>
      <c r="AH1284" s="73" t="s">
        <v>7991</v>
      </c>
      <c r="AI1284" s="75">
        <v>36</v>
      </c>
      <c r="AJ1284" s="75">
        <v>10</v>
      </c>
      <c r="AK1284" s="75">
        <v>13466</v>
      </c>
      <c r="AL1284" s="75">
        <v>12418</v>
      </c>
      <c r="AM1284" s="75" t="s">
        <v>425</v>
      </c>
      <c r="AN1284" s="72" t="s">
        <v>276</v>
      </c>
      <c r="AO1284" s="76">
        <f>AI1284*1000/AK1284</f>
        <v>2.6733996732511511</v>
      </c>
      <c r="AP1284" s="72" t="s">
        <v>276</v>
      </c>
      <c r="AQ1284" s="72" t="s">
        <v>276</v>
      </c>
      <c r="AR1284" s="72" t="s">
        <v>276</v>
      </c>
      <c r="AS1284" s="76">
        <f>AJ1284*1000/AL1284</f>
        <v>0.80528265421162826</v>
      </c>
      <c r="AT1284" s="72" t="s">
        <v>276</v>
      </c>
      <c r="AU1284" s="72" t="s">
        <v>276</v>
      </c>
      <c r="AV1284" s="72" t="s">
        <v>269</v>
      </c>
      <c r="AW1284" s="72" t="s">
        <v>276</v>
      </c>
      <c r="AX1284" s="76">
        <f t="shared" ref="AX1284:AX1290" si="390">AO1284/AS1284</f>
        <v>3.3198277142432797</v>
      </c>
      <c r="AY1284" s="72" t="s">
        <v>276</v>
      </c>
      <c r="AZ1284" s="72" t="s">
        <v>276</v>
      </c>
      <c r="BA1284" s="72" t="s">
        <v>276</v>
      </c>
      <c r="BB1284" s="72" t="s">
        <v>282</v>
      </c>
      <c r="BC1284" s="72" t="s">
        <v>276</v>
      </c>
      <c r="BD1284" s="72" t="s">
        <v>276</v>
      </c>
      <c r="BE1284" s="72" t="s">
        <v>276</v>
      </c>
      <c r="BF1284" s="73" t="s">
        <v>1010</v>
      </c>
      <c r="BG1284" s="73" t="s">
        <v>7988</v>
      </c>
      <c r="BH1284" s="9" t="s">
        <v>100</v>
      </c>
      <c r="BI1284" s="9" t="s">
        <v>100</v>
      </c>
      <c r="BJ1284" s="78"/>
      <c r="BN1284" s="78"/>
      <c r="BO1284" s="78"/>
    </row>
    <row r="1285" spans="1:67" s="79" customFormat="1" ht="52" hidden="1" x14ac:dyDescent="0.35">
      <c r="A1285" s="72">
        <v>9609</v>
      </c>
      <c r="B1285" s="73" t="s">
        <v>7868</v>
      </c>
      <c r="C1285" s="73" t="s">
        <v>81</v>
      </c>
      <c r="D1285" s="73" t="s">
        <v>7992</v>
      </c>
      <c r="E1285" s="72" t="s">
        <v>39</v>
      </c>
      <c r="F1285" s="73" t="s">
        <v>263</v>
      </c>
      <c r="G1285" s="72" t="s">
        <v>225</v>
      </c>
      <c r="H1285" s="72" t="s">
        <v>125</v>
      </c>
      <c r="I1285" s="72" t="s">
        <v>114</v>
      </c>
      <c r="J1285" s="73" t="s">
        <v>25</v>
      </c>
      <c r="K1285" s="72" t="s">
        <v>311</v>
      </c>
      <c r="L1285" s="72" t="s">
        <v>276</v>
      </c>
      <c r="M1285" s="72" t="s">
        <v>276</v>
      </c>
      <c r="N1285" s="72" t="s">
        <v>276</v>
      </c>
      <c r="O1285" s="73" t="s">
        <v>276</v>
      </c>
      <c r="P1285" s="73" t="s">
        <v>239</v>
      </c>
      <c r="Q1285" s="77">
        <v>28430</v>
      </c>
      <c r="R1285" s="73" t="s">
        <v>276</v>
      </c>
      <c r="S1285" s="73" t="s">
        <v>276</v>
      </c>
      <c r="T1285" s="73" t="s">
        <v>276</v>
      </c>
      <c r="U1285" s="73" t="s">
        <v>276</v>
      </c>
      <c r="V1285" s="72" t="s">
        <v>14</v>
      </c>
      <c r="W1285" s="72" t="s">
        <v>98</v>
      </c>
      <c r="X1285" s="73" t="s">
        <v>207</v>
      </c>
      <c r="Y1285" s="74" t="s">
        <v>276</v>
      </c>
      <c r="Z1285" s="73" t="s">
        <v>276</v>
      </c>
      <c r="AA1285" s="73" t="s">
        <v>276</v>
      </c>
      <c r="AB1285" s="73" t="s">
        <v>276</v>
      </c>
      <c r="AC1285" s="72" t="s">
        <v>276</v>
      </c>
      <c r="AD1285" s="72" t="s">
        <v>276</v>
      </c>
      <c r="AE1285" s="72" t="s">
        <v>276</v>
      </c>
      <c r="AF1285" s="72" t="s">
        <v>276</v>
      </c>
      <c r="AG1285" s="73" t="s">
        <v>7993</v>
      </c>
      <c r="AH1285" s="73" t="s">
        <v>7991</v>
      </c>
      <c r="AI1285" s="75">
        <v>20</v>
      </c>
      <c r="AJ1285" s="75">
        <v>24</v>
      </c>
      <c r="AK1285" s="75">
        <v>13466</v>
      </c>
      <c r="AL1285" s="75">
        <v>12418</v>
      </c>
      <c r="AM1285" s="75" t="s">
        <v>425</v>
      </c>
      <c r="AN1285" s="72" t="s">
        <v>276</v>
      </c>
      <c r="AO1285" s="76">
        <f>AI1285*1000/AK1285</f>
        <v>1.485222040695084</v>
      </c>
      <c r="AP1285" s="72" t="s">
        <v>276</v>
      </c>
      <c r="AQ1285" s="72" t="s">
        <v>276</v>
      </c>
      <c r="AR1285" s="72" t="s">
        <v>276</v>
      </c>
      <c r="AS1285" s="76">
        <f>AJ1285*1000/AL1285</f>
        <v>1.9326783701079078</v>
      </c>
      <c r="AT1285" s="72" t="s">
        <v>276</v>
      </c>
      <c r="AU1285" s="72" t="s">
        <v>276</v>
      </c>
      <c r="AV1285" s="72" t="s">
        <v>269</v>
      </c>
      <c r="AW1285" s="72" t="s">
        <v>276</v>
      </c>
      <c r="AX1285" s="76">
        <f t="shared" si="390"/>
        <v>0.76847863755631474</v>
      </c>
      <c r="AY1285" s="72" t="s">
        <v>276</v>
      </c>
      <c r="AZ1285" s="72" t="s">
        <v>276</v>
      </c>
      <c r="BA1285" s="72" t="s">
        <v>276</v>
      </c>
      <c r="BB1285" s="72" t="s">
        <v>282</v>
      </c>
      <c r="BC1285" s="72" t="s">
        <v>276</v>
      </c>
      <c r="BD1285" s="72" t="s">
        <v>276</v>
      </c>
      <c r="BE1285" s="72" t="s">
        <v>276</v>
      </c>
      <c r="BF1285" s="73" t="s">
        <v>1010</v>
      </c>
      <c r="BG1285" s="73" t="s">
        <v>7988</v>
      </c>
      <c r="BH1285" s="9" t="s">
        <v>100</v>
      </c>
      <c r="BI1285" s="9" t="s">
        <v>100</v>
      </c>
      <c r="BJ1285" s="78"/>
      <c r="BN1285" s="78"/>
      <c r="BO1285" s="78"/>
    </row>
    <row r="1286" spans="1:67" s="79" customFormat="1" ht="52" hidden="1" x14ac:dyDescent="0.35">
      <c r="A1286" s="72">
        <v>9609</v>
      </c>
      <c r="B1286" s="73" t="s">
        <v>7868</v>
      </c>
      <c r="C1286" s="73" t="s">
        <v>81</v>
      </c>
      <c r="D1286" s="73" t="s">
        <v>7994</v>
      </c>
      <c r="E1286" s="72" t="s">
        <v>39</v>
      </c>
      <c r="F1286" s="73" t="s">
        <v>263</v>
      </c>
      <c r="G1286" s="72" t="s">
        <v>225</v>
      </c>
      <c r="H1286" s="72" t="s">
        <v>125</v>
      </c>
      <c r="I1286" s="72" t="s">
        <v>114</v>
      </c>
      <c r="J1286" s="73" t="s">
        <v>1024</v>
      </c>
      <c r="K1286" s="72" t="s">
        <v>1025</v>
      </c>
      <c r="L1286" s="72" t="s">
        <v>276</v>
      </c>
      <c r="M1286" s="72" t="s">
        <v>276</v>
      </c>
      <c r="N1286" s="72" t="s">
        <v>276</v>
      </c>
      <c r="O1286" s="73" t="s">
        <v>276</v>
      </c>
      <c r="P1286" s="73" t="s">
        <v>239</v>
      </c>
      <c r="Q1286" s="77">
        <v>28430</v>
      </c>
      <c r="R1286" s="73" t="s">
        <v>276</v>
      </c>
      <c r="S1286" s="73" t="s">
        <v>276</v>
      </c>
      <c r="T1286" s="73" t="s">
        <v>276</v>
      </c>
      <c r="U1286" s="73" t="s">
        <v>276</v>
      </c>
      <c r="V1286" s="72" t="s">
        <v>14</v>
      </c>
      <c r="W1286" s="72" t="s">
        <v>98</v>
      </c>
      <c r="X1286" s="73" t="s">
        <v>207</v>
      </c>
      <c r="Y1286" s="74" t="s">
        <v>276</v>
      </c>
      <c r="Z1286" s="73" t="s">
        <v>276</v>
      </c>
      <c r="AA1286" s="73" t="s">
        <v>276</v>
      </c>
      <c r="AB1286" s="73" t="s">
        <v>276</v>
      </c>
      <c r="AC1286" s="72" t="s">
        <v>276</v>
      </c>
      <c r="AD1286" s="72" t="s">
        <v>276</v>
      </c>
      <c r="AE1286" s="72" t="s">
        <v>276</v>
      </c>
      <c r="AF1286" s="72" t="s">
        <v>276</v>
      </c>
      <c r="AG1286" s="417" t="s">
        <v>7995</v>
      </c>
      <c r="AH1286" s="73" t="s">
        <v>7991</v>
      </c>
      <c r="AI1286" s="75">
        <v>37</v>
      </c>
      <c r="AJ1286" s="75">
        <v>11</v>
      </c>
      <c r="AK1286" s="75">
        <v>13466</v>
      </c>
      <c r="AL1286" s="75">
        <v>12418</v>
      </c>
      <c r="AM1286" s="75" t="s">
        <v>425</v>
      </c>
      <c r="AN1286" s="72" t="s">
        <v>276</v>
      </c>
      <c r="AO1286" s="76">
        <f>AI1286*1000/AK1286</f>
        <v>2.747660775285905</v>
      </c>
      <c r="AP1286" s="72" t="s">
        <v>276</v>
      </c>
      <c r="AQ1286" s="72" t="s">
        <v>276</v>
      </c>
      <c r="AR1286" s="72" t="s">
        <v>276</v>
      </c>
      <c r="AS1286" s="76">
        <f>AJ1286*1000/AL1286</f>
        <v>0.88581091963279113</v>
      </c>
      <c r="AT1286" s="72" t="s">
        <v>276</v>
      </c>
      <c r="AU1286" s="72" t="s">
        <v>276</v>
      </c>
      <c r="AV1286" s="72" t="s">
        <v>269</v>
      </c>
      <c r="AW1286" s="72" t="s">
        <v>276</v>
      </c>
      <c r="AX1286" s="76">
        <f t="shared" si="390"/>
        <v>3.1018592279545789</v>
      </c>
      <c r="AY1286" s="72" t="s">
        <v>276</v>
      </c>
      <c r="AZ1286" s="72" t="s">
        <v>276</v>
      </c>
      <c r="BA1286" s="72" t="s">
        <v>276</v>
      </c>
      <c r="BB1286" s="72" t="s">
        <v>282</v>
      </c>
      <c r="BC1286" s="72" t="s">
        <v>276</v>
      </c>
      <c r="BD1286" s="72" t="s">
        <v>276</v>
      </c>
      <c r="BE1286" s="72" t="s">
        <v>276</v>
      </c>
      <c r="BF1286" s="73" t="s">
        <v>1010</v>
      </c>
      <c r="BG1286" s="73" t="s">
        <v>7988</v>
      </c>
      <c r="BH1286" s="9" t="s">
        <v>100</v>
      </c>
      <c r="BI1286" s="9" t="s">
        <v>100</v>
      </c>
      <c r="BJ1286" s="78"/>
      <c r="BN1286" s="78"/>
      <c r="BO1286" s="78"/>
    </row>
    <row r="1287" spans="1:67" s="299" customFormat="1" ht="52" hidden="1" x14ac:dyDescent="0.35">
      <c r="A1287" s="291">
        <v>9609</v>
      </c>
      <c r="B1287" s="292" t="s">
        <v>7868</v>
      </c>
      <c r="C1287" s="292" t="s">
        <v>81</v>
      </c>
      <c r="D1287" s="292" t="s">
        <v>7996</v>
      </c>
      <c r="E1287" s="291" t="s">
        <v>39</v>
      </c>
      <c r="F1287" s="292" t="s">
        <v>263</v>
      </c>
      <c r="G1287" s="291" t="s">
        <v>225</v>
      </c>
      <c r="H1287" s="291" t="s">
        <v>125</v>
      </c>
      <c r="I1287" s="291" t="s">
        <v>114</v>
      </c>
      <c r="J1287" s="292" t="s">
        <v>25</v>
      </c>
      <c r="K1287" s="291" t="s">
        <v>311</v>
      </c>
      <c r="L1287" s="291" t="s">
        <v>276</v>
      </c>
      <c r="M1287" s="291" t="s">
        <v>276</v>
      </c>
      <c r="N1287" s="291" t="s">
        <v>276</v>
      </c>
      <c r="O1287" s="292" t="s">
        <v>276</v>
      </c>
      <c r="P1287" s="292" t="s">
        <v>235</v>
      </c>
      <c r="Q1287" s="293">
        <v>28430</v>
      </c>
      <c r="R1287" s="292" t="s">
        <v>98</v>
      </c>
      <c r="S1287" s="292" t="s">
        <v>98</v>
      </c>
      <c r="T1287" s="292" t="s">
        <v>276</v>
      </c>
      <c r="U1287" s="292" t="s">
        <v>276</v>
      </c>
      <c r="V1287" s="291" t="s">
        <v>14</v>
      </c>
      <c r="W1287" s="291" t="s">
        <v>98</v>
      </c>
      <c r="X1287" s="292" t="s">
        <v>207</v>
      </c>
      <c r="Y1287" s="294" t="s">
        <v>276</v>
      </c>
      <c r="Z1287" s="292" t="s">
        <v>276</v>
      </c>
      <c r="AA1287" s="292" t="s">
        <v>276</v>
      </c>
      <c r="AB1287" s="292" t="s">
        <v>276</v>
      </c>
      <c r="AC1287" s="291" t="s">
        <v>276</v>
      </c>
      <c r="AD1287" s="291" t="s">
        <v>276</v>
      </c>
      <c r="AE1287" s="291" t="s">
        <v>276</v>
      </c>
      <c r="AF1287" s="291" t="s">
        <v>276</v>
      </c>
      <c r="AG1287" s="292" t="s">
        <v>7993</v>
      </c>
      <c r="AH1287" s="292" t="s">
        <v>7987</v>
      </c>
      <c r="AI1287" s="295">
        <v>20</v>
      </c>
      <c r="AJ1287" s="295">
        <v>24</v>
      </c>
      <c r="AK1287" s="295">
        <v>59</v>
      </c>
      <c r="AL1287" s="295">
        <v>36</v>
      </c>
      <c r="AM1287" s="295" t="s">
        <v>292</v>
      </c>
      <c r="AN1287" s="291" t="s">
        <v>276</v>
      </c>
      <c r="AO1287" s="296">
        <f t="shared" ref="AO1287:AO1293" si="391">AI1287*100/AK1287</f>
        <v>33.898305084745765</v>
      </c>
      <c r="AP1287" s="291" t="s">
        <v>276</v>
      </c>
      <c r="AQ1287" s="291" t="s">
        <v>276</v>
      </c>
      <c r="AR1287" s="291" t="s">
        <v>276</v>
      </c>
      <c r="AS1287" s="296">
        <f>AJ1287*100/AL1287</f>
        <v>66.666666666666671</v>
      </c>
      <c r="AT1287" s="291" t="s">
        <v>276</v>
      </c>
      <c r="AU1287" s="291" t="s">
        <v>276</v>
      </c>
      <c r="AV1287" s="291" t="s">
        <v>7997</v>
      </c>
      <c r="AW1287" s="291" t="s">
        <v>276</v>
      </c>
      <c r="AX1287" s="296">
        <f t="shared" si="390"/>
        <v>0.50847457627118642</v>
      </c>
      <c r="AY1287" s="291" t="s">
        <v>276</v>
      </c>
      <c r="AZ1287" s="291" t="s">
        <v>276</v>
      </c>
      <c r="BA1287" s="291" t="s">
        <v>276</v>
      </c>
      <c r="BB1287" s="291" t="s">
        <v>282</v>
      </c>
      <c r="BC1287" s="291" t="s">
        <v>276</v>
      </c>
      <c r="BD1287" s="291" t="s">
        <v>276</v>
      </c>
      <c r="BE1287" s="291" t="s">
        <v>276</v>
      </c>
      <c r="BF1287" s="292" t="s">
        <v>1010</v>
      </c>
      <c r="BG1287" s="292"/>
      <c r="BH1287" s="9" t="s">
        <v>100</v>
      </c>
      <c r="BI1287" s="9" t="s">
        <v>100</v>
      </c>
      <c r="BJ1287" s="298"/>
      <c r="BN1287" s="298"/>
      <c r="BO1287" s="298"/>
    </row>
    <row r="1288" spans="1:67" s="110" customFormat="1" ht="65" hidden="1" x14ac:dyDescent="0.35">
      <c r="A1288" s="94">
        <v>502</v>
      </c>
      <c r="B1288" s="95" t="s">
        <v>7877</v>
      </c>
      <c r="C1288" s="95" t="s">
        <v>81</v>
      </c>
      <c r="D1288" s="95" t="s">
        <v>7998</v>
      </c>
      <c r="E1288" s="94" t="s">
        <v>39</v>
      </c>
      <c r="F1288" s="95" t="s">
        <v>263</v>
      </c>
      <c r="G1288" s="94" t="s">
        <v>225</v>
      </c>
      <c r="H1288" s="94" t="s">
        <v>125</v>
      </c>
      <c r="I1288" s="94" t="s">
        <v>114</v>
      </c>
      <c r="J1288" s="95" t="s">
        <v>25</v>
      </c>
      <c r="K1288" s="94" t="s">
        <v>300</v>
      </c>
      <c r="L1288" s="95" t="s">
        <v>7999</v>
      </c>
      <c r="M1288" s="95" t="s">
        <v>8000</v>
      </c>
      <c r="N1288" s="94" t="s">
        <v>276</v>
      </c>
      <c r="O1288" s="95" t="s">
        <v>276</v>
      </c>
      <c r="P1288" s="95" t="s">
        <v>239</v>
      </c>
      <c r="Q1288" s="140">
        <v>29220</v>
      </c>
      <c r="R1288" s="95" t="s">
        <v>276</v>
      </c>
      <c r="S1288" s="95" t="s">
        <v>276</v>
      </c>
      <c r="T1288" s="95" t="s">
        <v>276</v>
      </c>
      <c r="U1288" s="95" t="s">
        <v>276</v>
      </c>
      <c r="V1288" s="94" t="s">
        <v>14</v>
      </c>
      <c r="W1288" s="94" t="s">
        <v>98</v>
      </c>
      <c r="X1288" s="95" t="s">
        <v>207</v>
      </c>
      <c r="Y1288" s="98">
        <v>4500</v>
      </c>
      <c r="Z1288" s="95">
        <v>4500</v>
      </c>
      <c r="AA1288" s="95" t="s">
        <v>276</v>
      </c>
      <c r="AB1288" s="95" t="s">
        <v>276</v>
      </c>
      <c r="AC1288" s="94">
        <v>0</v>
      </c>
      <c r="AD1288" s="94" t="s">
        <v>98</v>
      </c>
      <c r="AE1288" s="94">
        <v>0</v>
      </c>
      <c r="AF1288" s="94" t="s">
        <v>98</v>
      </c>
      <c r="AG1288" s="95" t="s">
        <v>8001</v>
      </c>
      <c r="AH1288" s="95" t="s">
        <v>689</v>
      </c>
      <c r="AI1288" s="99">
        <v>50</v>
      </c>
      <c r="AJ1288" s="99">
        <v>15</v>
      </c>
      <c r="AK1288" s="99">
        <v>4500</v>
      </c>
      <c r="AL1288" s="99">
        <v>4500</v>
      </c>
      <c r="AM1288" s="99" t="s">
        <v>292</v>
      </c>
      <c r="AN1288" s="94" t="s">
        <v>276</v>
      </c>
      <c r="AO1288" s="102">
        <f t="shared" si="391"/>
        <v>1.1111111111111112</v>
      </c>
      <c r="AP1288" s="94" t="s">
        <v>276</v>
      </c>
      <c r="AQ1288" s="94" t="s">
        <v>276</v>
      </c>
      <c r="AR1288" s="94" t="s">
        <v>276</v>
      </c>
      <c r="AS1288" s="102">
        <f>AJ1288*100/AL1288</f>
        <v>0.33333333333333331</v>
      </c>
      <c r="AT1288" s="94" t="s">
        <v>276</v>
      </c>
      <c r="AU1288" s="94" t="s">
        <v>276</v>
      </c>
      <c r="AV1288" s="94" t="s">
        <v>268</v>
      </c>
      <c r="AW1288" s="94" t="s">
        <v>276</v>
      </c>
      <c r="AX1288" s="102">
        <f t="shared" si="390"/>
        <v>3.3333333333333335</v>
      </c>
      <c r="AY1288" s="94" t="s">
        <v>276</v>
      </c>
      <c r="AZ1288" s="94" t="s">
        <v>276</v>
      </c>
      <c r="BA1288" s="94" t="s">
        <v>276</v>
      </c>
      <c r="BB1288" s="94" t="s">
        <v>282</v>
      </c>
      <c r="BC1288" s="94" t="s">
        <v>276</v>
      </c>
      <c r="BD1288" s="94" t="s">
        <v>276</v>
      </c>
      <c r="BE1288" s="94" t="s">
        <v>276</v>
      </c>
      <c r="BF1288" s="95" t="s">
        <v>8002</v>
      </c>
      <c r="BG1288" s="95"/>
      <c r="BH1288" s="9" t="s">
        <v>100</v>
      </c>
      <c r="BI1288" s="9" t="s">
        <v>100</v>
      </c>
      <c r="BJ1288" s="109"/>
      <c r="BN1288" s="109"/>
      <c r="BO1288" s="109"/>
    </row>
    <row r="1289" spans="1:67" s="124" customFormat="1" ht="65" hidden="1" x14ac:dyDescent="0.35">
      <c r="A1289" s="112">
        <v>502</v>
      </c>
      <c r="B1289" s="113" t="s">
        <v>7877</v>
      </c>
      <c r="C1289" s="113" t="s">
        <v>81</v>
      </c>
      <c r="D1289" s="113" t="s">
        <v>8003</v>
      </c>
      <c r="E1289" s="112" t="s">
        <v>39</v>
      </c>
      <c r="F1289" s="113" t="s">
        <v>263</v>
      </c>
      <c r="G1289" s="112" t="s">
        <v>225</v>
      </c>
      <c r="H1289" s="112" t="s">
        <v>125</v>
      </c>
      <c r="I1289" s="112" t="s">
        <v>114</v>
      </c>
      <c r="J1289" s="113" t="s">
        <v>25</v>
      </c>
      <c r="K1289" s="112" t="s">
        <v>8004</v>
      </c>
      <c r="L1289" s="113" t="s">
        <v>7999</v>
      </c>
      <c r="M1289" s="113" t="s">
        <v>8000</v>
      </c>
      <c r="N1289" s="112" t="s">
        <v>276</v>
      </c>
      <c r="O1289" s="113" t="s">
        <v>276</v>
      </c>
      <c r="P1289" s="113" t="s">
        <v>239</v>
      </c>
      <c r="Q1289" s="142">
        <v>29220</v>
      </c>
      <c r="R1289" s="113" t="s">
        <v>276</v>
      </c>
      <c r="S1289" s="113" t="s">
        <v>276</v>
      </c>
      <c r="T1289" s="113" t="s">
        <v>276</v>
      </c>
      <c r="U1289" s="113" t="s">
        <v>276</v>
      </c>
      <c r="V1289" s="112" t="s">
        <v>14</v>
      </c>
      <c r="W1289" s="112" t="s">
        <v>98</v>
      </c>
      <c r="X1289" s="113" t="s">
        <v>207</v>
      </c>
      <c r="Y1289" s="118">
        <v>4500</v>
      </c>
      <c r="Z1289" s="113">
        <v>4500</v>
      </c>
      <c r="AA1289" s="113" t="s">
        <v>276</v>
      </c>
      <c r="AB1289" s="113" t="s">
        <v>276</v>
      </c>
      <c r="AC1289" s="112">
        <v>0</v>
      </c>
      <c r="AD1289" s="112" t="s">
        <v>98</v>
      </c>
      <c r="AE1289" s="112">
        <v>0</v>
      </c>
      <c r="AF1289" s="112" t="s">
        <v>98</v>
      </c>
      <c r="AG1289" s="113" t="s">
        <v>8005</v>
      </c>
      <c r="AH1289" s="113" t="s">
        <v>689</v>
      </c>
      <c r="AI1289" s="119">
        <v>54</v>
      </c>
      <c r="AJ1289" s="119">
        <v>57</v>
      </c>
      <c r="AK1289" s="119">
        <v>4500</v>
      </c>
      <c r="AL1289" s="119">
        <v>4500</v>
      </c>
      <c r="AM1289" s="119" t="s">
        <v>292</v>
      </c>
      <c r="AN1289" s="112" t="s">
        <v>276</v>
      </c>
      <c r="AO1289" s="121">
        <f t="shared" si="391"/>
        <v>1.2</v>
      </c>
      <c r="AP1289" s="112" t="s">
        <v>276</v>
      </c>
      <c r="AQ1289" s="112" t="s">
        <v>276</v>
      </c>
      <c r="AR1289" s="112" t="s">
        <v>276</v>
      </c>
      <c r="AS1289" s="121">
        <f>AJ1289*100/AL1289</f>
        <v>1.2666666666666666</v>
      </c>
      <c r="AT1289" s="112" t="s">
        <v>276</v>
      </c>
      <c r="AU1289" s="112" t="s">
        <v>276</v>
      </c>
      <c r="AV1289" s="112" t="s">
        <v>268</v>
      </c>
      <c r="AW1289" s="112" t="s">
        <v>276</v>
      </c>
      <c r="AX1289" s="121">
        <f t="shared" si="390"/>
        <v>0.94736842105263164</v>
      </c>
      <c r="AY1289" s="112" t="s">
        <v>276</v>
      </c>
      <c r="AZ1289" s="112" t="s">
        <v>276</v>
      </c>
      <c r="BA1289" s="112" t="s">
        <v>276</v>
      </c>
      <c r="BB1289" s="112" t="s">
        <v>282</v>
      </c>
      <c r="BC1289" s="112" t="s">
        <v>276</v>
      </c>
      <c r="BD1289" s="112" t="s">
        <v>276</v>
      </c>
      <c r="BE1289" s="112" t="s">
        <v>276</v>
      </c>
      <c r="BF1289" s="113" t="s">
        <v>1358</v>
      </c>
      <c r="BG1289" s="113"/>
      <c r="BH1289" s="9" t="s">
        <v>100</v>
      </c>
      <c r="BI1289" s="9" t="s">
        <v>100</v>
      </c>
      <c r="BJ1289" s="123"/>
      <c r="BN1289" s="123"/>
      <c r="BO1289" s="123"/>
    </row>
    <row r="1290" spans="1:67" s="110" customFormat="1" ht="52" hidden="1" x14ac:dyDescent="0.35">
      <c r="A1290" s="94">
        <v>502</v>
      </c>
      <c r="B1290" s="95" t="s">
        <v>7877</v>
      </c>
      <c r="C1290" s="95" t="s">
        <v>81</v>
      </c>
      <c r="D1290" s="95" t="s">
        <v>8006</v>
      </c>
      <c r="E1290" s="94" t="s">
        <v>39</v>
      </c>
      <c r="F1290" s="95" t="s">
        <v>263</v>
      </c>
      <c r="G1290" s="94" t="s">
        <v>225</v>
      </c>
      <c r="H1290" s="94" t="s">
        <v>125</v>
      </c>
      <c r="I1290" s="94" t="s">
        <v>114</v>
      </c>
      <c r="J1290" s="95" t="s">
        <v>25</v>
      </c>
      <c r="K1290" s="94" t="s">
        <v>8004</v>
      </c>
      <c r="L1290" s="95" t="s">
        <v>7999</v>
      </c>
      <c r="M1290" s="95" t="s">
        <v>8000</v>
      </c>
      <c r="N1290" s="94" t="s">
        <v>276</v>
      </c>
      <c r="O1290" s="95" t="s">
        <v>276</v>
      </c>
      <c r="P1290" s="95" t="s">
        <v>235</v>
      </c>
      <c r="Q1290" s="140">
        <v>29220</v>
      </c>
      <c r="R1290" s="95" t="s">
        <v>276</v>
      </c>
      <c r="S1290" s="95" t="s">
        <v>276</v>
      </c>
      <c r="T1290" s="95" t="s">
        <v>276</v>
      </c>
      <c r="U1290" s="95" t="s">
        <v>276</v>
      </c>
      <c r="V1290" s="94" t="s">
        <v>14</v>
      </c>
      <c r="W1290" s="94" t="s">
        <v>98</v>
      </c>
      <c r="X1290" s="95" t="s">
        <v>207</v>
      </c>
      <c r="Y1290" s="98">
        <v>4500</v>
      </c>
      <c r="Z1290" s="95">
        <v>4500</v>
      </c>
      <c r="AA1290" s="95" t="s">
        <v>276</v>
      </c>
      <c r="AB1290" s="95" t="s">
        <v>276</v>
      </c>
      <c r="AC1290" s="94">
        <v>0</v>
      </c>
      <c r="AD1290" s="94" t="s">
        <v>98</v>
      </c>
      <c r="AE1290" s="94">
        <v>0</v>
      </c>
      <c r="AF1290" s="94" t="s">
        <v>98</v>
      </c>
      <c r="AG1290" s="95" t="s">
        <v>8005</v>
      </c>
      <c r="AH1290" s="95" t="s">
        <v>8007</v>
      </c>
      <c r="AI1290" s="99">
        <v>54</v>
      </c>
      <c r="AJ1290" s="99">
        <v>57</v>
      </c>
      <c r="AK1290" s="99">
        <v>104</v>
      </c>
      <c r="AL1290" s="99">
        <v>72</v>
      </c>
      <c r="AM1290" s="99" t="s">
        <v>292</v>
      </c>
      <c r="AN1290" s="94" t="s">
        <v>276</v>
      </c>
      <c r="AO1290" s="102">
        <f t="shared" si="391"/>
        <v>51.92307692307692</v>
      </c>
      <c r="AP1290" s="94" t="s">
        <v>276</v>
      </c>
      <c r="AQ1290" s="94" t="s">
        <v>276</v>
      </c>
      <c r="AR1290" s="94" t="s">
        <v>276</v>
      </c>
      <c r="AS1290" s="102">
        <f>AJ1290*100/AL1290</f>
        <v>79.166666666666671</v>
      </c>
      <c r="AT1290" s="94" t="s">
        <v>276</v>
      </c>
      <c r="AU1290" s="94" t="s">
        <v>276</v>
      </c>
      <c r="AV1290" s="94" t="s">
        <v>7997</v>
      </c>
      <c r="AW1290" s="94" t="s">
        <v>276</v>
      </c>
      <c r="AX1290" s="102">
        <f t="shared" si="390"/>
        <v>0.65587044534412953</v>
      </c>
      <c r="AY1290" s="94" t="s">
        <v>276</v>
      </c>
      <c r="AZ1290" s="94" t="s">
        <v>276</v>
      </c>
      <c r="BA1290" s="94" t="s">
        <v>276</v>
      </c>
      <c r="BB1290" s="94" t="s">
        <v>282</v>
      </c>
      <c r="BC1290" s="94" t="s">
        <v>276</v>
      </c>
      <c r="BD1290" s="94" t="s">
        <v>276</v>
      </c>
      <c r="BE1290" s="94" t="s">
        <v>276</v>
      </c>
      <c r="BF1290" s="95" t="s">
        <v>1358</v>
      </c>
      <c r="BG1290" s="95"/>
      <c r="BH1290" s="9" t="s">
        <v>100</v>
      </c>
      <c r="BI1290" s="9" t="s">
        <v>100</v>
      </c>
      <c r="BJ1290" s="109"/>
      <c r="BN1290" s="109"/>
      <c r="BO1290" s="109"/>
    </row>
    <row r="1291" spans="1:67" s="124" customFormat="1" ht="65" hidden="1" x14ac:dyDescent="0.35">
      <c r="A1291" s="112">
        <v>502</v>
      </c>
      <c r="B1291" s="113" t="s">
        <v>7877</v>
      </c>
      <c r="C1291" s="113" t="s">
        <v>81</v>
      </c>
      <c r="D1291" s="113" t="s">
        <v>8008</v>
      </c>
      <c r="E1291" s="112" t="s">
        <v>39</v>
      </c>
      <c r="F1291" s="113" t="s">
        <v>263</v>
      </c>
      <c r="G1291" s="112" t="s">
        <v>225</v>
      </c>
      <c r="H1291" s="112" t="s">
        <v>225</v>
      </c>
      <c r="I1291" s="112" t="s">
        <v>114</v>
      </c>
      <c r="J1291" s="113" t="s">
        <v>98</v>
      </c>
      <c r="K1291" s="112" t="s">
        <v>98</v>
      </c>
      <c r="L1291" s="112" t="s">
        <v>98</v>
      </c>
      <c r="M1291" s="112" t="s">
        <v>98</v>
      </c>
      <c r="N1291" s="112" t="s">
        <v>276</v>
      </c>
      <c r="O1291" s="113" t="s">
        <v>276</v>
      </c>
      <c r="P1291" s="113" t="s">
        <v>236</v>
      </c>
      <c r="Q1291" s="142">
        <v>29220</v>
      </c>
      <c r="R1291" s="113" t="s">
        <v>276</v>
      </c>
      <c r="S1291" s="113" t="s">
        <v>276</v>
      </c>
      <c r="T1291" s="113" t="s">
        <v>276</v>
      </c>
      <c r="U1291" s="113" t="s">
        <v>276</v>
      </c>
      <c r="V1291" s="112" t="s">
        <v>14</v>
      </c>
      <c r="W1291" s="112" t="s">
        <v>98</v>
      </c>
      <c r="X1291" s="113" t="s">
        <v>209</v>
      </c>
      <c r="Y1291" s="118" t="s">
        <v>98</v>
      </c>
      <c r="Z1291" s="113" t="s">
        <v>98</v>
      </c>
      <c r="AA1291" s="113" t="s">
        <v>276</v>
      </c>
      <c r="AB1291" s="113" t="s">
        <v>98</v>
      </c>
      <c r="AC1291" s="112">
        <v>0</v>
      </c>
      <c r="AD1291" s="112" t="s">
        <v>98</v>
      </c>
      <c r="AE1291" s="112" t="s">
        <v>98</v>
      </c>
      <c r="AF1291" s="112" t="s">
        <v>98</v>
      </c>
      <c r="AG1291" s="113" t="s">
        <v>8009</v>
      </c>
      <c r="AH1291" s="113" t="s">
        <v>8007</v>
      </c>
      <c r="AI1291" s="119">
        <v>69</v>
      </c>
      <c r="AJ1291" s="119" t="s">
        <v>98</v>
      </c>
      <c r="AK1291" s="119">
        <v>104</v>
      </c>
      <c r="AL1291" s="119" t="s">
        <v>98</v>
      </c>
      <c r="AM1291" s="119" t="s">
        <v>292</v>
      </c>
      <c r="AN1291" s="112">
        <f>32+2</f>
        <v>34</v>
      </c>
      <c r="AO1291" s="121">
        <f t="shared" si="391"/>
        <v>66.34615384615384</v>
      </c>
      <c r="AP1291" s="112" t="s">
        <v>276</v>
      </c>
      <c r="AQ1291" s="112" t="s">
        <v>276</v>
      </c>
      <c r="AR1291" s="112" t="s">
        <v>98</v>
      </c>
      <c r="AS1291" s="112" t="s">
        <v>98</v>
      </c>
      <c r="AT1291" s="112" t="s">
        <v>98</v>
      </c>
      <c r="AU1291" s="112" t="s">
        <v>98</v>
      </c>
      <c r="AV1291" s="112" t="s">
        <v>98</v>
      </c>
      <c r="AW1291" s="112" t="s">
        <v>98</v>
      </c>
      <c r="AX1291" s="112" t="s">
        <v>98</v>
      </c>
      <c r="AY1291" s="112" t="s">
        <v>98</v>
      </c>
      <c r="AZ1291" s="112" t="s">
        <v>98</v>
      </c>
      <c r="BA1291" s="112" t="s">
        <v>98</v>
      </c>
      <c r="BB1291" s="112" t="s">
        <v>98</v>
      </c>
      <c r="BC1291" s="112" t="s">
        <v>98</v>
      </c>
      <c r="BD1291" s="112" t="s">
        <v>98</v>
      </c>
      <c r="BE1291" s="112" t="s">
        <v>98</v>
      </c>
      <c r="BF1291" s="113" t="s">
        <v>1358</v>
      </c>
      <c r="BG1291" s="113" t="s">
        <v>11463</v>
      </c>
      <c r="BH1291" s="9" t="s">
        <v>100</v>
      </c>
      <c r="BI1291" s="9" t="s">
        <v>100</v>
      </c>
      <c r="BJ1291" s="123"/>
      <c r="BN1291" s="123"/>
      <c r="BO1291" s="123"/>
    </row>
    <row r="1292" spans="1:67" s="110" customFormat="1" ht="65" hidden="1" x14ac:dyDescent="0.35">
      <c r="A1292" s="94">
        <v>502</v>
      </c>
      <c r="B1292" s="95" t="s">
        <v>7877</v>
      </c>
      <c r="C1292" s="95" t="s">
        <v>81</v>
      </c>
      <c r="D1292" s="95" t="s">
        <v>8010</v>
      </c>
      <c r="E1292" s="94" t="s">
        <v>39</v>
      </c>
      <c r="F1292" s="95" t="s">
        <v>263</v>
      </c>
      <c r="G1292" s="94" t="s">
        <v>225</v>
      </c>
      <c r="H1292" s="94" t="s">
        <v>225</v>
      </c>
      <c r="I1292" s="94" t="s">
        <v>114</v>
      </c>
      <c r="J1292" s="95" t="s">
        <v>98</v>
      </c>
      <c r="K1292" s="94" t="s">
        <v>98</v>
      </c>
      <c r="L1292" s="94" t="s">
        <v>98</v>
      </c>
      <c r="M1292" s="94" t="s">
        <v>98</v>
      </c>
      <c r="N1292" s="94" t="s">
        <v>276</v>
      </c>
      <c r="O1292" s="95" t="s">
        <v>276</v>
      </c>
      <c r="P1292" s="95" t="s">
        <v>238</v>
      </c>
      <c r="Q1292" s="140">
        <v>29220</v>
      </c>
      <c r="R1292" s="95" t="s">
        <v>276</v>
      </c>
      <c r="S1292" s="95" t="s">
        <v>276</v>
      </c>
      <c r="T1292" s="95" t="s">
        <v>276</v>
      </c>
      <c r="U1292" s="95" t="s">
        <v>276</v>
      </c>
      <c r="V1292" s="94" t="s">
        <v>14</v>
      </c>
      <c r="W1292" s="94" t="s">
        <v>98</v>
      </c>
      <c r="X1292" s="95" t="s">
        <v>209</v>
      </c>
      <c r="Y1292" s="98">
        <v>4500</v>
      </c>
      <c r="Z1292" s="95" t="s">
        <v>98</v>
      </c>
      <c r="AA1292" s="95" t="s">
        <v>276</v>
      </c>
      <c r="AB1292" s="95" t="s">
        <v>98</v>
      </c>
      <c r="AC1292" s="94">
        <v>0</v>
      </c>
      <c r="AD1292" s="94" t="s">
        <v>98</v>
      </c>
      <c r="AE1292" s="94" t="s">
        <v>98</v>
      </c>
      <c r="AF1292" s="94" t="s">
        <v>98</v>
      </c>
      <c r="AG1292" s="95" t="s">
        <v>8009</v>
      </c>
      <c r="AH1292" s="95" t="s">
        <v>689</v>
      </c>
      <c r="AI1292" s="99">
        <v>69</v>
      </c>
      <c r="AJ1292" s="99" t="s">
        <v>98</v>
      </c>
      <c r="AK1292" s="99">
        <v>4500</v>
      </c>
      <c r="AL1292" s="99" t="s">
        <v>98</v>
      </c>
      <c r="AM1292" s="99" t="s">
        <v>292</v>
      </c>
      <c r="AN1292" s="94" t="s">
        <v>276</v>
      </c>
      <c r="AO1292" s="102">
        <f t="shared" si="391"/>
        <v>1.5333333333333334</v>
      </c>
      <c r="AP1292" s="94" t="s">
        <v>276</v>
      </c>
      <c r="AQ1292" s="94" t="s">
        <v>276</v>
      </c>
      <c r="AR1292" s="94" t="s">
        <v>98</v>
      </c>
      <c r="AS1292" s="94" t="s">
        <v>98</v>
      </c>
      <c r="AT1292" s="94" t="s">
        <v>98</v>
      </c>
      <c r="AU1292" s="94" t="s">
        <v>98</v>
      </c>
      <c r="AV1292" s="94" t="s">
        <v>98</v>
      </c>
      <c r="AW1292" s="94" t="s">
        <v>98</v>
      </c>
      <c r="AX1292" s="94" t="s">
        <v>98</v>
      </c>
      <c r="AY1292" s="94" t="s">
        <v>98</v>
      </c>
      <c r="AZ1292" s="94" t="s">
        <v>98</v>
      </c>
      <c r="BA1292" s="94" t="s">
        <v>98</v>
      </c>
      <c r="BB1292" s="94" t="s">
        <v>98</v>
      </c>
      <c r="BC1292" s="94" t="s">
        <v>98</v>
      </c>
      <c r="BD1292" s="94" t="s">
        <v>98</v>
      </c>
      <c r="BE1292" s="94" t="s">
        <v>98</v>
      </c>
      <c r="BF1292" s="95" t="s">
        <v>1358</v>
      </c>
      <c r="BG1292" s="95" t="s">
        <v>11463</v>
      </c>
      <c r="BH1292" s="9" t="s">
        <v>100</v>
      </c>
      <c r="BI1292" s="9" t="s">
        <v>100</v>
      </c>
      <c r="BJ1292" s="109"/>
      <c r="BN1292" s="109"/>
      <c r="BO1292" s="109"/>
    </row>
    <row r="1293" spans="1:67" s="137" customFormat="1" ht="78" hidden="1" x14ac:dyDescent="0.35">
      <c r="A1293" s="126">
        <v>513</v>
      </c>
      <c r="B1293" s="127" t="s">
        <v>7881</v>
      </c>
      <c r="C1293" s="127" t="s">
        <v>81</v>
      </c>
      <c r="D1293" s="127" t="s">
        <v>8011</v>
      </c>
      <c r="E1293" s="126" t="s">
        <v>39</v>
      </c>
      <c r="F1293" s="127" t="s">
        <v>263</v>
      </c>
      <c r="G1293" s="126" t="s">
        <v>225</v>
      </c>
      <c r="H1293" s="126" t="s">
        <v>125</v>
      </c>
      <c r="I1293" s="126" t="s">
        <v>114</v>
      </c>
      <c r="J1293" s="127" t="s">
        <v>25</v>
      </c>
      <c r="K1293" s="126" t="s">
        <v>300</v>
      </c>
      <c r="L1293" s="127" t="s">
        <v>7999</v>
      </c>
      <c r="M1293" s="127" t="s">
        <v>8000</v>
      </c>
      <c r="N1293" s="126" t="s">
        <v>276</v>
      </c>
      <c r="O1293" s="127" t="s">
        <v>276</v>
      </c>
      <c r="P1293" s="127" t="s">
        <v>239</v>
      </c>
      <c r="Q1293" s="146">
        <v>29312</v>
      </c>
      <c r="R1293" s="127" t="s">
        <v>276</v>
      </c>
      <c r="S1293" s="127" t="s">
        <v>276</v>
      </c>
      <c r="T1293" s="127" t="s">
        <v>276</v>
      </c>
      <c r="U1293" s="127" t="s">
        <v>276</v>
      </c>
      <c r="V1293" s="126" t="s">
        <v>14</v>
      </c>
      <c r="W1293" s="126" t="s">
        <v>98</v>
      </c>
      <c r="X1293" s="127" t="s">
        <v>207</v>
      </c>
      <c r="Y1293" s="132">
        <v>4624</v>
      </c>
      <c r="Z1293" s="127">
        <v>4598</v>
      </c>
      <c r="AA1293" s="127" t="s">
        <v>276</v>
      </c>
      <c r="AB1293" s="127" t="s">
        <v>276</v>
      </c>
      <c r="AC1293" s="126">
        <v>1</v>
      </c>
      <c r="AD1293" s="126" t="s">
        <v>8012</v>
      </c>
      <c r="AE1293" s="126">
        <v>1</v>
      </c>
      <c r="AF1293" s="126" t="s">
        <v>8012</v>
      </c>
      <c r="AG1293" s="127" t="s">
        <v>8013</v>
      </c>
      <c r="AH1293" s="127" t="s">
        <v>689</v>
      </c>
      <c r="AI1293" s="134">
        <v>51</v>
      </c>
      <c r="AJ1293" s="134">
        <v>16</v>
      </c>
      <c r="AK1293" s="134">
        <v>4624</v>
      </c>
      <c r="AL1293" s="134">
        <v>4598</v>
      </c>
      <c r="AM1293" s="134" t="s">
        <v>292</v>
      </c>
      <c r="AN1293" s="126" t="s">
        <v>276</v>
      </c>
      <c r="AO1293" s="135">
        <f t="shared" si="391"/>
        <v>1.1029411764705883</v>
      </c>
      <c r="AP1293" s="126" t="s">
        <v>276</v>
      </c>
      <c r="AQ1293" s="126" t="s">
        <v>276</v>
      </c>
      <c r="AR1293" s="126" t="s">
        <v>276</v>
      </c>
      <c r="AS1293" s="135">
        <f>AJ1293*100/AL1293</f>
        <v>0.34797738147020446</v>
      </c>
      <c r="AT1293" s="126" t="s">
        <v>276</v>
      </c>
      <c r="AU1293" s="126" t="s">
        <v>276</v>
      </c>
      <c r="AV1293" s="126" t="s">
        <v>268</v>
      </c>
      <c r="AW1293" s="126" t="s">
        <v>276</v>
      </c>
      <c r="AX1293" s="135">
        <f t="shared" ref="AX1293:AX1299" si="392">AO1293/AS1293</f>
        <v>3.1695772058823528</v>
      </c>
      <c r="AY1293" s="126" t="s">
        <v>276</v>
      </c>
      <c r="AZ1293" s="126" t="s">
        <v>276</v>
      </c>
      <c r="BA1293" s="126" t="s">
        <v>276</v>
      </c>
      <c r="BB1293" s="126" t="s">
        <v>282</v>
      </c>
      <c r="BC1293" s="126" t="s">
        <v>276</v>
      </c>
      <c r="BD1293" s="126" t="s">
        <v>276</v>
      </c>
      <c r="BE1293" s="126" t="s">
        <v>276</v>
      </c>
      <c r="BF1293" s="127" t="s">
        <v>8014</v>
      </c>
      <c r="BG1293" s="127"/>
      <c r="BH1293" s="9" t="s">
        <v>100</v>
      </c>
      <c r="BI1293" s="9" t="s">
        <v>100</v>
      </c>
      <c r="BJ1293" s="136"/>
      <c r="BN1293" s="136"/>
      <c r="BO1293" s="136"/>
    </row>
    <row r="1294" spans="1:67" s="137" customFormat="1" ht="52" hidden="1" x14ac:dyDescent="0.35">
      <c r="A1294" s="126">
        <v>513</v>
      </c>
      <c r="B1294" s="127" t="s">
        <v>7881</v>
      </c>
      <c r="C1294" s="127" t="s">
        <v>81</v>
      </c>
      <c r="D1294" s="127" t="s">
        <v>8015</v>
      </c>
      <c r="E1294" s="126" t="s">
        <v>39</v>
      </c>
      <c r="F1294" s="127" t="s">
        <v>263</v>
      </c>
      <c r="G1294" s="126" t="s">
        <v>225</v>
      </c>
      <c r="H1294" s="126" t="s">
        <v>125</v>
      </c>
      <c r="I1294" s="126" t="s">
        <v>114</v>
      </c>
      <c r="J1294" s="127" t="s">
        <v>25</v>
      </c>
      <c r="K1294" s="126" t="s">
        <v>300</v>
      </c>
      <c r="L1294" s="127" t="s">
        <v>7999</v>
      </c>
      <c r="M1294" s="127" t="s">
        <v>8000</v>
      </c>
      <c r="N1294" s="126" t="s">
        <v>276</v>
      </c>
      <c r="O1294" s="127" t="s">
        <v>276</v>
      </c>
      <c r="P1294" s="127" t="s">
        <v>239</v>
      </c>
      <c r="Q1294" s="146">
        <v>29312</v>
      </c>
      <c r="R1294" s="127" t="s">
        <v>276</v>
      </c>
      <c r="S1294" s="127" t="s">
        <v>276</v>
      </c>
      <c r="T1294" s="127" t="s">
        <v>276</v>
      </c>
      <c r="U1294" s="127" t="s">
        <v>276</v>
      </c>
      <c r="V1294" s="126" t="s">
        <v>14</v>
      </c>
      <c r="W1294" s="126" t="s">
        <v>98</v>
      </c>
      <c r="X1294" s="127" t="s">
        <v>207</v>
      </c>
      <c r="Y1294" s="132">
        <v>4624</v>
      </c>
      <c r="Z1294" s="127">
        <v>4598</v>
      </c>
      <c r="AA1294" s="127" t="s">
        <v>276</v>
      </c>
      <c r="AB1294" s="127" t="s">
        <v>276</v>
      </c>
      <c r="AC1294" s="126">
        <v>1</v>
      </c>
      <c r="AD1294" s="126" t="s">
        <v>8012</v>
      </c>
      <c r="AE1294" s="126">
        <v>1</v>
      </c>
      <c r="AF1294" s="126" t="s">
        <v>8012</v>
      </c>
      <c r="AG1294" s="127" t="s">
        <v>8013</v>
      </c>
      <c r="AH1294" s="127" t="s">
        <v>8016</v>
      </c>
      <c r="AI1294" s="134">
        <v>51</v>
      </c>
      <c r="AJ1294" s="134">
        <v>16</v>
      </c>
      <c r="AK1294" s="134">
        <v>23482.9</v>
      </c>
      <c r="AL1294" s="134">
        <v>23036.6</v>
      </c>
      <c r="AM1294" s="134" t="s">
        <v>425</v>
      </c>
      <c r="AN1294" s="126">
        <v>2.2000000000000002</v>
      </c>
      <c r="AO1294" s="135">
        <f>AI1294*1000/AK1294</f>
        <v>2.1717930919946</v>
      </c>
      <c r="AP1294" s="126" t="s">
        <v>276</v>
      </c>
      <c r="AQ1294" s="126" t="s">
        <v>276</v>
      </c>
      <c r="AR1294" s="126">
        <v>0.7</v>
      </c>
      <c r="AS1294" s="135">
        <f>AJ1294*1000/AL1294</f>
        <v>0.69454693835027748</v>
      </c>
      <c r="AT1294" s="126" t="s">
        <v>276</v>
      </c>
      <c r="AU1294" s="126" t="s">
        <v>276</v>
      </c>
      <c r="AV1294" s="126" t="s">
        <v>269</v>
      </c>
      <c r="AW1294" s="126" t="s">
        <v>276</v>
      </c>
      <c r="AX1294" s="135">
        <f t="shared" si="392"/>
        <v>3.1269205464401746</v>
      </c>
      <c r="AY1294" s="126" t="s">
        <v>276</v>
      </c>
      <c r="AZ1294" s="126" t="s">
        <v>276</v>
      </c>
      <c r="BA1294" s="126" t="s">
        <v>276</v>
      </c>
      <c r="BB1294" s="126" t="s">
        <v>282</v>
      </c>
      <c r="BC1294" s="126" t="s">
        <v>276</v>
      </c>
      <c r="BD1294" s="126" t="s">
        <v>276</v>
      </c>
      <c r="BE1294" s="126" t="s">
        <v>276</v>
      </c>
      <c r="BF1294" s="127" t="s">
        <v>8017</v>
      </c>
      <c r="BG1294" s="127"/>
      <c r="BH1294" s="9" t="s">
        <v>100</v>
      </c>
      <c r="BI1294" s="9" t="s">
        <v>100</v>
      </c>
      <c r="BJ1294" s="136"/>
      <c r="BN1294" s="136"/>
      <c r="BO1294" s="136"/>
    </row>
    <row r="1295" spans="1:67" s="172" customFormat="1" ht="65" hidden="1" x14ac:dyDescent="0.35">
      <c r="A1295" s="150">
        <v>513</v>
      </c>
      <c r="B1295" s="151" t="s">
        <v>7881</v>
      </c>
      <c r="C1295" s="151" t="s">
        <v>81</v>
      </c>
      <c r="D1295" s="151" t="s">
        <v>8018</v>
      </c>
      <c r="E1295" s="150" t="s">
        <v>39</v>
      </c>
      <c r="F1295" s="151" t="s">
        <v>263</v>
      </c>
      <c r="G1295" s="150" t="s">
        <v>225</v>
      </c>
      <c r="H1295" s="150" t="s">
        <v>125</v>
      </c>
      <c r="I1295" s="150" t="s">
        <v>114</v>
      </c>
      <c r="J1295" s="151" t="s">
        <v>25</v>
      </c>
      <c r="K1295" s="151" t="s">
        <v>7999</v>
      </c>
      <c r="L1295" s="151" t="s">
        <v>7999</v>
      </c>
      <c r="M1295" s="151" t="s">
        <v>8000</v>
      </c>
      <c r="N1295" s="150" t="s">
        <v>276</v>
      </c>
      <c r="O1295" s="151" t="s">
        <v>276</v>
      </c>
      <c r="P1295" s="151" t="s">
        <v>239</v>
      </c>
      <c r="Q1295" s="154">
        <v>29312</v>
      </c>
      <c r="R1295" s="151" t="s">
        <v>276</v>
      </c>
      <c r="S1295" s="151" t="s">
        <v>276</v>
      </c>
      <c r="T1295" s="151" t="s">
        <v>276</v>
      </c>
      <c r="U1295" s="151" t="s">
        <v>276</v>
      </c>
      <c r="V1295" s="150" t="s">
        <v>14</v>
      </c>
      <c r="W1295" s="150" t="s">
        <v>98</v>
      </c>
      <c r="X1295" s="151" t="s">
        <v>207</v>
      </c>
      <c r="Y1295" s="155">
        <v>4624</v>
      </c>
      <c r="Z1295" s="151">
        <v>4598</v>
      </c>
      <c r="AA1295" s="151" t="s">
        <v>276</v>
      </c>
      <c r="AB1295" s="151" t="s">
        <v>276</v>
      </c>
      <c r="AC1295" s="150">
        <v>1</v>
      </c>
      <c r="AD1295" s="150" t="s">
        <v>8012</v>
      </c>
      <c r="AE1295" s="150">
        <v>1</v>
      </c>
      <c r="AF1295" s="150" t="s">
        <v>8012</v>
      </c>
      <c r="AG1295" s="151" t="s">
        <v>8019</v>
      </c>
      <c r="AH1295" s="151" t="s">
        <v>689</v>
      </c>
      <c r="AI1295" s="156">
        <v>58</v>
      </c>
      <c r="AJ1295" s="156">
        <v>61</v>
      </c>
      <c r="AK1295" s="156">
        <v>4624</v>
      </c>
      <c r="AL1295" s="156">
        <v>4598</v>
      </c>
      <c r="AM1295" s="156" t="s">
        <v>292</v>
      </c>
      <c r="AN1295" s="150" t="s">
        <v>276</v>
      </c>
      <c r="AO1295" s="159">
        <f>AI1295*100/AK1295</f>
        <v>1.2543252595155709</v>
      </c>
      <c r="AP1295" s="150" t="s">
        <v>276</v>
      </c>
      <c r="AQ1295" s="150" t="s">
        <v>276</v>
      </c>
      <c r="AR1295" s="150" t="s">
        <v>276</v>
      </c>
      <c r="AS1295" s="159">
        <f>AJ1295*100/AL1295</f>
        <v>1.3266637668551544</v>
      </c>
      <c r="AT1295" s="150" t="s">
        <v>276</v>
      </c>
      <c r="AU1295" s="150" t="s">
        <v>276</v>
      </c>
      <c r="AV1295" s="150" t="s">
        <v>268</v>
      </c>
      <c r="AW1295" s="150" t="s">
        <v>276</v>
      </c>
      <c r="AX1295" s="159">
        <f t="shared" si="392"/>
        <v>0.94547336774632706</v>
      </c>
      <c r="AY1295" s="150" t="s">
        <v>276</v>
      </c>
      <c r="AZ1295" s="150" t="s">
        <v>276</v>
      </c>
      <c r="BA1295" s="150" t="s">
        <v>276</v>
      </c>
      <c r="BB1295" s="150" t="s">
        <v>282</v>
      </c>
      <c r="BC1295" s="150" t="s">
        <v>276</v>
      </c>
      <c r="BD1295" s="150" t="s">
        <v>276</v>
      </c>
      <c r="BE1295" s="150" t="s">
        <v>276</v>
      </c>
      <c r="BF1295" s="151" t="s">
        <v>1020</v>
      </c>
      <c r="BG1295" s="151"/>
      <c r="BH1295" s="9" t="s">
        <v>100</v>
      </c>
      <c r="BI1295" s="9" t="s">
        <v>100</v>
      </c>
      <c r="BJ1295" s="171"/>
      <c r="BN1295" s="171"/>
      <c r="BO1295" s="171"/>
    </row>
    <row r="1296" spans="1:67" s="172" customFormat="1" ht="65" hidden="1" x14ac:dyDescent="0.35">
      <c r="A1296" s="150">
        <v>513</v>
      </c>
      <c r="B1296" s="151" t="s">
        <v>7881</v>
      </c>
      <c r="C1296" s="151" t="s">
        <v>81</v>
      </c>
      <c r="D1296" s="151" t="s">
        <v>8020</v>
      </c>
      <c r="E1296" s="150" t="s">
        <v>39</v>
      </c>
      <c r="F1296" s="151" t="s">
        <v>263</v>
      </c>
      <c r="G1296" s="150" t="s">
        <v>225</v>
      </c>
      <c r="H1296" s="150" t="s">
        <v>125</v>
      </c>
      <c r="I1296" s="150" t="s">
        <v>114</v>
      </c>
      <c r="J1296" s="151" t="s">
        <v>25</v>
      </c>
      <c r="K1296" s="151" t="s">
        <v>7999</v>
      </c>
      <c r="L1296" s="151" t="s">
        <v>7999</v>
      </c>
      <c r="M1296" s="151" t="s">
        <v>8000</v>
      </c>
      <c r="N1296" s="150" t="s">
        <v>276</v>
      </c>
      <c r="O1296" s="151" t="s">
        <v>276</v>
      </c>
      <c r="P1296" s="151" t="s">
        <v>239</v>
      </c>
      <c r="Q1296" s="154">
        <v>29312</v>
      </c>
      <c r="R1296" s="151" t="s">
        <v>276</v>
      </c>
      <c r="S1296" s="151" t="s">
        <v>276</v>
      </c>
      <c r="T1296" s="151" t="s">
        <v>276</v>
      </c>
      <c r="U1296" s="151" t="s">
        <v>276</v>
      </c>
      <c r="V1296" s="150" t="s">
        <v>14</v>
      </c>
      <c r="W1296" s="150" t="s">
        <v>98</v>
      </c>
      <c r="X1296" s="151" t="s">
        <v>207</v>
      </c>
      <c r="Y1296" s="155">
        <v>4624</v>
      </c>
      <c r="Z1296" s="151">
        <v>4598</v>
      </c>
      <c r="AA1296" s="151" t="s">
        <v>276</v>
      </c>
      <c r="AB1296" s="151" t="s">
        <v>276</v>
      </c>
      <c r="AC1296" s="150">
        <v>1</v>
      </c>
      <c r="AD1296" s="150" t="s">
        <v>8012</v>
      </c>
      <c r="AE1296" s="150">
        <v>1</v>
      </c>
      <c r="AF1296" s="150" t="s">
        <v>8012</v>
      </c>
      <c r="AG1296" s="151" t="s">
        <v>8019</v>
      </c>
      <c r="AH1296" s="151" t="s">
        <v>8016</v>
      </c>
      <c r="AI1296" s="156">
        <v>58</v>
      </c>
      <c r="AJ1296" s="156">
        <v>61</v>
      </c>
      <c r="AK1296" s="156">
        <v>23482.9</v>
      </c>
      <c r="AL1296" s="156">
        <v>23036.6</v>
      </c>
      <c r="AM1296" s="156" t="s">
        <v>425</v>
      </c>
      <c r="AN1296" s="150">
        <v>2.5</v>
      </c>
      <c r="AO1296" s="159">
        <f>AI1296*1000/AK1296</f>
        <v>2.4698823399154275</v>
      </c>
      <c r="AP1296" s="150" t="s">
        <v>276</v>
      </c>
      <c r="AQ1296" s="150" t="s">
        <v>276</v>
      </c>
      <c r="AR1296" s="150">
        <v>2.6</v>
      </c>
      <c r="AS1296" s="159">
        <f>AJ1296*1000/AL1296</f>
        <v>2.6479602024604327</v>
      </c>
      <c r="AT1296" s="150" t="s">
        <v>276</v>
      </c>
      <c r="AU1296" s="150" t="s">
        <v>276</v>
      </c>
      <c r="AV1296" s="150" t="s">
        <v>269</v>
      </c>
      <c r="AW1296" s="150" t="s">
        <v>276</v>
      </c>
      <c r="AX1296" s="159">
        <f t="shared" si="392"/>
        <v>0.93274904117533985</v>
      </c>
      <c r="AY1296" s="150" t="s">
        <v>276</v>
      </c>
      <c r="AZ1296" s="150" t="s">
        <v>276</v>
      </c>
      <c r="BA1296" s="150" t="s">
        <v>276</v>
      </c>
      <c r="BB1296" s="150" t="s">
        <v>282</v>
      </c>
      <c r="BC1296" s="150" t="s">
        <v>276</v>
      </c>
      <c r="BD1296" s="150" t="s">
        <v>276</v>
      </c>
      <c r="BE1296" s="150" t="s">
        <v>276</v>
      </c>
      <c r="BF1296" s="151" t="s">
        <v>8021</v>
      </c>
      <c r="BG1296" s="151"/>
      <c r="BH1296" s="9" t="s">
        <v>100</v>
      </c>
      <c r="BI1296" s="9" t="s">
        <v>100</v>
      </c>
      <c r="BJ1296" s="171"/>
      <c r="BN1296" s="171"/>
      <c r="BO1296" s="171"/>
    </row>
    <row r="1297" spans="1:67" s="137" customFormat="1" ht="52" hidden="1" x14ac:dyDescent="0.35">
      <c r="A1297" s="126">
        <v>513</v>
      </c>
      <c r="B1297" s="127" t="s">
        <v>7881</v>
      </c>
      <c r="C1297" s="127" t="s">
        <v>81</v>
      </c>
      <c r="D1297" s="127" t="s">
        <v>8022</v>
      </c>
      <c r="E1297" s="126" t="s">
        <v>39</v>
      </c>
      <c r="F1297" s="127" t="s">
        <v>263</v>
      </c>
      <c r="G1297" s="126" t="s">
        <v>225</v>
      </c>
      <c r="H1297" s="126" t="s">
        <v>125</v>
      </c>
      <c r="I1297" s="126" t="s">
        <v>114</v>
      </c>
      <c r="J1297" s="127" t="s">
        <v>25</v>
      </c>
      <c r="K1297" s="126" t="s">
        <v>8004</v>
      </c>
      <c r="L1297" s="127" t="s">
        <v>7999</v>
      </c>
      <c r="M1297" s="127" t="s">
        <v>8000</v>
      </c>
      <c r="N1297" s="126" t="s">
        <v>276</v>
      </c>
      <c r="O1297" s="127" t="s">
        <v>276</v>
      </c>
      <c r="P1297" s="127" t="s">
        <v>235</v>
      </c>
      <c r="Q1297" s="146">
        <v>29312</v>
      </c>
      <c r="R1297" s="127" t="s">
        <v>276</v>
      </c>
      <c r="S1297" s="127" t="s">
        <v>276</v>
      </c>
      <c r="T1297" s="127" t="s">
        <v>276</v>
      </c>
      <c r="U1297" s="127" t="s">
        <v>276</v>
      </c>
      <c r="V1297" s="126" t="s">
        <v>14</v>
      </c>
      <c r="W1297" s="126" t="s">
        <v>98</v>
      </c>
      <c r="X1297" s="127" t="s">
        <v>207</v>
      </c>
      <c r="Y1297" s="132" t="s">
        <v>98</v>
      </c>
      <c r="Z1297" s="127" t="s">
        <v>98</v>
      </c>
      <c r="AA1297" s="127" t="s">
        <v>276</v>
      </c>
      <c r="AB1297" s="127" t="s">
        <v>276</v>
      </c>
      <c r="AC1297" s="126">
        <v>1</v>
      </c>
      <c r="AD1297" s="126" t="s">
        <v>8012</v>
      </c>
      <c r="AE1297" s="126">
        <v>1</v>
      </c>
      <c r="AF1297" s="126" t="s">
        <v>8012</v>
      </c>
      <c r="AG1297" s="127" t="s">
        <v>8019</v>
      </c>
      <c r="AH1297" s="127" t="s">
        <v>8023</v>
      </c>
      <c r="AI1297" s="134">
        <v>58</v>
      </c>
      <c r="AJ1297" s="134">
        <v>61</v>
      </c>
      <c r="AK1297" s="134">
        <v>110</v>
      </c>
      <c r="AL1297" s="134">
        <v>78</v>
      </c>
      <c r="AM1297" s="134" t="s">
        <v>292</v>
      </c>
      <c r="AN1297" s="126">
        <v>52.7</v>
      </c>
      <c r="AO1297" s="135">
        <f>AI1297*100/AK1297</f>
        <v>52.727272727272727</v>
      </c>
      <c r="AP1297" s="126" t="s">
        <v>276</v>
      </c>
      <c r="AQ1297" s="126" t="s">
        <v>276</v>
      </c>
      <c r="AR1297" s="126">
        <v>78.2</v>
      </c>
      <c r="AS1297" s="135">
        <f>AJ1297*100/AL1297</f>
        <v>78.205128205128204</v>
      </c>
      <c r="AT1297" s="126" t="s">
        <v>276</v>
      </c>
      <c r="AU1297" s="126" t="s">
        <v>276</v>
      </c>
      <c r="AV1297" s="126" t="s">
        <v>7997</v>
      </c>
      <c r="AW1297" s="126" t="s">
        <v>276</v>
      </c>
      <c r="AX1297" s="135">
        <f t="shared" si="392"/>
        <v>0.6742175856929955</v>
      </c>
      <c r="AY1297" s="126" t="s">
        <v>276</v>
      </c>
      <c r="AZ1297" s="126" t="s">
        <v>276</v>
      </c>
      <c r="BA1297" s="126" t="s">
        <v>276</v>
      </c>
      <c r="BB1297" s="126" t="s">
        <v>282</v>
      </c>
      <c r="BC1297" s="126" t="s">
        <v>276</v>
      </c>
      <c r="BD1297" s="126" t="s">
        <v>276</v>
      </c>
      <c r="BE1297" s="126" t="s">
        <v>276</v>
      </c>
      <c r="BF1297" s="127" t="s">
        <v>1020</v>
      </c>
      <c r="BG1297" s="127"/>
      <c r="BH1297" s="9" t="s">
        <v>100</v>
      </c>
      <c r="BI1297" s="9" t="s">
        <v>100</v>
      </c>
      <c r="BJ1297" s="136"/>
      <c r="BN1297" s="136"/>
      <c r="BO1297" s="136"/>
    </row>
    <row r="1298" spans="1:67" s="172" customFormat="1" ht="52" hidden="1" x14ac:dyDescent="0.35">
      <c r="A1298" s="150">
        <v>513</v>
      </c>
      <c r="B1298" s="151" t="s">
        <v>7881</v>
      </c>
      <c r="C1298" s="151" t="s">
        <v>81</v>
      </c>
      <c r="D1298" s="151" t="s">
        <v>8024</v>
      </c>
      <c r="E1298" s="150" t="s">
        <v>39</v>
      </c>
      <c r="F1298" s="151" t="s">
        <v>263</v>
      </c>
      <c r="G1298" s="150" t="s">
        <v>225</v>
      </c>
      <c r="H1298" s="150" t="s">
        <v>125</v>
      </c>
      <c r="I1298" s="150" t="s">
        <v>114</v>
      </c>
      <c r="J1298" s="151" t="s">
        <v>1024</v>
      </c>
      <c r="K1298" s="150" t="s">
        <v>1025</v>
      </c>
      <c r="L1298" s="151" t="s">
        <v>7999</v>
      </c>
      <c r="M1298" s="151" t="s">
        <v>8000</v>
      </c>
      <c r="N1298" s="150" t="s">
        <v>276</v>
      </c>
      <c r="O1298" s="151" t="s">
        <v>276</v>
      </c>
      <c r="P1298" s="151" t="s">
        <v>239</v>
      </c>
      <c r="Q1298" s="154">
        <v>29312</v>
      </c>
      <c r="R1298" s="151" t="s">
        <v>276</v>
      </c>
      <c r="S1298" s="151" t="s">
        <v>276</v>
      </c>
      <c r="T1298" s="151" t="s">
        <v>276</v>
      </c>
      <c r="U1298" s="151" t="s">
        <v>276</v>
      </c>
      <c r="V1298" s="150" t="s">
        <v>14</v>
      </c>
      <c r="W1298" s="150" t="s">
        <v>98</v>
      </c>
      <c r="X1298" s="151" t="s">
        <v>207</v>
      </c>
      <c r="Y1298" s="155">
        <v>4624</v>
      </c>
      <c r="Z1298" s="151">
        <v>4598</v>
      </c>
      <c r="AA1298" s="151" t="s">
        <v>276</v>
      </c>
      <c r="AB1298" s="151" t="s">
        <v>276</v>
      </c>
      <c r="AC1298" s="150">
        <v>1</v>
      </c>
      <c r="AD1298" s="150" t="s">
        <v>8012</v>
      </c>
      <c r="AE1298" s="150">
        <v>1</v>
      </c>
      <c r="AF1298" s="150" t="s">
        <v>8012</v>
      </c>
      <c r="AG1298" s="151" t="s">
        <v>8025</v>
      </c>
      <c r="AH1298" s="151" t="s">
        <v>689</v>
      </c>
      <c r="AI1298" s="156">
        <v>61</v>
      </c>
      <c r="AJ1298" s="156">
        <v>21</v>
      </c>
      <c r="AK1298" s="156">
        <v>4624</v>
      </c>
      <c r="AL1298" s="156">
        <v>4598</v>
      </c>
      <c r="AM1298" s="156" t="s">
        <v>292</v>
      </c>
      <c r="AN1298" s="150" t="s">
        <v>276</v>
      </c>
      <c r="AO1298" s="159">
        <f>AI1298*100/AK1298</f>
        <v>1.3192041522491349</v>
      </c>
      <c r="AP1298" s="150" t="s">
        <v>276</v>
      </c>
      <c r="AQ1298" s="150" t="s">
        <v>276</v>
      </c>
      <c r="AR1298" s="150" t="s">
        <v>276</v>
      </c>
      <c r="AS1298" s="159">
        <f>AJ1298*100/AL1298</f>
        <v>0.45672031317964334</v>
      </c>
      <c r="AT1298" s="150" t="s">
        <v>276</v>
      </c>
      <c r="AU1298" s="150" t="s">
        <v>276</v>
      </c>
      <c r="AV1298" s="150" t="s">
        <v>268</v>
      </c>
      <c r="AW1298" s="150" t="s">
        <v>276</v>
      </c>
      <c r="AX1298" s="159">
        <f t="shared" si="392"/>
        <v>2.8884289009721531</v>
      </c>
      <c r="AY1298" s="150" t="s">
        <v>276</v>
      </c>
      <c r="AZ1298" s="150" t="s">
        <v>276</v>
      </c>
      <c r="BA1298" s="150" t="s">
        <v>276</v>
      </c>
      <c r="BB1298" s="150" t="s">
        <v>282</v>
      </c>
      <c r="BC1298" s="150" t="s">
        <v>276</v>
      </c>
      <c r="BD1298" s="150" t="s">
        <v>276</v>
      </c>
      <c r="BE1298" s="150" t="s">
        <v>276</v>
      </c>
      <c r="BF1298" s="151" t="s">
        <v>3834</v>
      </c>
      <c r="BG1298" s="151"/>
      <c r="BH1298" s="9" t="s">
        <v>100</v>
      </c>
      <c r="BI1298" s="9" t="s">
        <v>100</v>
      </c>
      <c r="BJ1298" s="171"/>
      <c r="BN1298" s="171"/>
      <c r="BO1298" s="171"/>
    </row>
    <row r="1299" spans="1:67" s="172" customFormat="1" ht="52" hidden="1" x14ac:dyDescent="0.35">
      <c r="A1299" s="150">
        <v>513</v>
      </c>
      <c r="B1299" s="151" t="s">
        <v>7881</v>
      </c>
      <c r="C1299" s="151" t="s">
        <v>81</v>
      </c>
      <c r="D1299" s="151" t="s">
        <v>8026</v>
      </c>
      <c r="E1299" s="150" t="s">
        <v>39</v>
      </c>
      <c r="F1299" s="151" t="s">
        <v>263</v>
      </c>
      <c r="G1299" s="150" t="s">
        <v>225</v>
      </c>
      <c r="H1299" s="150" t="s">
        <v>125</v>
      </c>
      <c r="I1299" s="150" t="s">
        <v>114</v>
      </c>
      <c r="J1299" s="151" t="s">
        <v>1024</v>
      </c>
      <c r="K1299" s="150" t="s">
        <v>1025</v>
      </c>
      <c r="L1299" s="151" t="s">
        <v>7999</v>
      </c>
      <c r="M1299" s="151" t="s">
        <v>8000</v>
      </c>
      <c r="N1299" s="150" t="s">
        <v>276</v>
      </c>
      <c r="O1299" s="151" t="s">
        <v>276</v>
      </c>
      <c r="P1299" s="151" t="s">
        <v>239</v>
      </c>
      <c r="Q1299" s="154">
        <v>29312</v>
      </c>
      <c r="R1299" s="151" t="s">
        <v>276</v>
      </c>
      <c r="S1299" s="151" t="s">
        <v>276</v>
      </c>
      <c r="T1299" s="151" t="s">
        <v>276</v>
      </c>
      <c r="U1299" s="151" t="s">
        <v>276</v>
      </c>
      <c r="V1299" s="150" t="s">
        <v>14</v>
      </c>
      <c r="W1299" s="150" t="s">
        <v>98</v>
      </c>
      <c r="X1299" s="151" t="s">
        <v>207</v>
      </c>
      <c r="Y1299" s="155">
        <v>4624</v>
      </c>
      <c r="Z1299" s="151">
        <v>4598</v>
      </c>
      <c r="AA1299" s="151" t="s">
        <v>276</v>
      </c>
      <c r="AB1299" s="151" t="s">
        <v>276</v>
      </c>
      <c r="AC1299" s="150">
        <v>1</v>
      </c>
      <c r="AD1299" s="150" t="s">
        <v>8012</v>
      </c>
      <c r="AE1299" s="150">
        <v>1</v>
      </c>
      <c r="AF1299" s="150" t="s">
        <v>8012</v>
      </c>
      <c r="AG1299" s="151" t="s">
        <v>8025</v>
      </c>
      <c r="AH1299" s="151" t="s">
        <v>8016</v>
      </c>
      <c r="AI1299" s="156">
        <v>61</v>
      </c>
      <c r="AJ1299" s="156">
        <v>21</v>
      </c>
      <c r="AK1299" s="156">
        <v>23482.9</v>
      </c>
      <c r="AL1299" s="156">
        <v>23036.6</v>
      </c>
      <c r="AM1299" s="156" t="s">
        <v>425</v>
      </c>
      <c r="AN1299" s="150" t="s">
        <v>276</v>
      </c>
      <c r="AO1299" s="159">
        <f>AI1299*1000/AK1299</f>
        <v>2.5976348747386395</v>
      </c>
      <c r="AP1299" s="150" t="s">
        <v>276</v>
      </c>
      <c r="AQ1299" s="150" t="s">
        <v>276</v>
      </c>
      <c r="AR1299" s="150" t="s">
        <v>276</v>
      </c>
      <c r="AS1299" s="159">
        <f>AJ1299*1000/AL1299</f>
        <v>0.9115928565847391</v>
      </c>
      <c r="AT1299" s="150" t="s">
        <v>276</v>
      </c>
      <c r="AU1299" s="150" t="s">
        <v>276</v>
      </c>
      <c r="AV1299" s="150" t="s">
        <v>269</v>
      </c>
      <c r="AW1299" s="150" t="s">
        <v>276</v>
      </c>
      <c r="AX1299" s="159">
        <f t="shared" si="392"/>
        <v>2.8495559788287688</v>
      </c>
      <c r="AY1299" s="150" t="s">
        <v>276</v>
      </c>
      <c r="AZ1299" s="150" t="s">
        <v>276</v>
      </c>
      <c r="BA1299" s="150" t="s">
        <v>276</v>
      </c>
      <c r="BB1299" s="150" t="s">
        <v>282</v>
      </c>
      <c r="BC1299" s="150" t="s">
        <v>276</v>
      </c>
      <c r="BD1299" s="150" t="s">
        <v>276</v>
      </c>
      <c r="BE1299" s="150" t="s">
        <v>276</v>
      </c>
      <c r="BF1299" s="151" t="s">
        <v>3834</v>
      </c>
      <c r="BG1299" s="151"/>
      <c r="BH1299" s="9" t="s">
        <v>100</v>
      </c>
      <c r="BI1299" s="9" t="s">
        <v>100</v>
      </c>
      <c r="BJ1299" s="171"/>
      <c r="BN1299" s="171"/>
      <c r="BO1299" s="171"/>
    </row>
    <row r="1300" spans="1:67" s="137" customFormat="1" ht="39" hidden="1" x14ac:dyDescent="0.35">
      <c r="A1300" s="126">
        <v>513</v>
      </c>
      <c r="B1300" s="127" t="s">
        <v>7881</v>
      </c>
      <c r="C1300" s="127" t="s">
        <v>81</v>
      </c>
      <c r="D1300" s="127" t="s">
        <v>8027</v>
      </c>
      <c r="E1300" s="126" t="s">
        <v>39</v>
      </c>
      <c r="F1300" s="127" t="s">
        <v>263</v>
      </c>
      <c r="G1300" s="126" t="s">
        <v>225</v>
      </c>
      <c r="H1300" s="126" t="s">
        <v>225</v>
      </c>
      <c r="I1300" s="126" t="s">
        <v>114</v>
      </c>
      <c r="J1300" s="127" t="s">
        <v>98</v>
      </c>
      <c r="K1300" s="126" t="s">
        <v>98</v>
      </c>
      <c r="L1300" s="126" t="s">
        <v>98</v>
      </c>
      <c r="M1300" s="126" t="s">
        <v>98</v>
      </c>
      <c r="N1300" s="126" t="s">
        <v>276</v>
      </c>
      <c r="O1300" s="127" t="s">
        <v>276</v>
      </c>
      <c r="P1300" s="127" t="s">
        <v>236</v>
      </c>
      <c r="Q1300" s="146">
        <v>29312</v>
      </c>
      <c r="R1300" s="127" t="s">
        <v>276</v>
      </c>
      <c r="S1300" s="127" t="s">
        <v>276</v>
      </c>
      <c r="T1300" s="127" t="s">
        <v>276</v>
      </c>
      <c r="U1300" s="127" t="s">
        <v>276</v>
      </c>
      <c r="V1300" s="126" t="s">
        <v>14</v>
      </c>
      <c r="W1300" s="126" t="s">
        <v>98</v>
      </c>
      <c r="X1300" s="127" t="s">
        <v>209</v>
      </c>
      <c r="Y1300" s="132" t="s">
        <v>98</v>
      </c>
      <c r="Z1300" s="127" t="s">
        <v>98</v>
      </c>
      <c r="AA1300" s="127" t="s">
        <v>276</v>
      </c>
      <c r="AB1300" s="127" t="s">
        <v>98</v>
      </c>
      <c r="AC1300" s="126">
        <v>1</v>
      </c>
      <c r="AD1300" s="126" t="s">
        <v>8012</v>
      </c>
      <c r="AE1300" s="126" t="s">
        <v>98</v>
      </c>
      <c r="AF1300" s="126" t="s">
        <v>98</v>
      </c>
      <c r="AG1300" s="127" t="s">
        <v>8028</v>
      </c>
      <c r="AH1300" s="127" t="s">
        <v>8029</v>
      </c>
      <c r="AI1300" s="134">
        <v>71</v>
      </c>
      <c r="AJ1300" s="134" t="s">
        <v>98</v>
      </c>
      <c r="AK1300" s="134">
        <v>110</v>
      </c>
      <c r="AL1300" s="134" t="s">
        <v>98</v>
      </c>
      <c r="AM1300" s="134" t="s">
        <v>292</v>
      </c>
      <c r="AN1300" s="126" t="s">
        <v>276</v>
      </c>
      <c r="AO1300" s="135">
        <f>AI1300*100/AK1300</f>
        <v>64.545454545454547</v>
      </c>
      <c r="AP1300" s="126" t="s">
        <v>276</v>
      </c>
      <c r="AQ1300" s="126" t="s">
        <v>276</v>
      </c>
      <c r="AR1300" s="126" t="s">
        <v>98</v>
      </c>
      <c r="AS1300" s="126" t="s">
        <v>98</v>
      </c>
      <c r="AT1300" s="126" t="s">
        <v>98</v>
      </c>
      <c r="AU1300" s="126" t="s">
        <v>98</v>
      </c>
      <c r="AV1300" s="126" t="s">
        <v>98</v>
      </c>
      <c r="AW1300" s="126" t="s">
        <v>98</v>
      </c>
      <c r="AX1300" s="126" t="s">
        <v>98</v>
      </c>
      <c r="AY1300" s="126" t="s">
        <v>98</v>
      </c>
      <c r="AZ1300" s="126" t="s">
        <v>98</v>
      </c>
      <c r="BA1300" s="126" t="s">
        <v>98</v>
      </c>
      <c r="BB1300" s="126" t="s">
        <v>98</v>
      </c>
      <c r="BC1300" s="126" t="s">
        <v>98</v>
      </c>
      <c r="BD1300" s="126" t="s">
        <v>98</v>
      </c>
      <c r="BE1300" s="126" t="s">
        <v>98</v>
      </c>
      <c r="BF1300" s="127" t="s">
        <v>3834</v>
      </c>
      <c r="BG1300" s="127"/>
      <c r="BH1300" s="9" t="s">
        <v>100</v>
      </c>
      <c r="BI1300" s="9" t="s">
        <v>100</v>
      </c>
      <c r="BJ1300" s="136"/>
      <c r="BN1300" s="136"/>
      <c r="BO1300" s="136"/>
    </row>
    <row r="1301" spans="1:67" s="137" customFormat="1" ht="52" hidden="1" x14ac:dyDescent="0.35">
      <c r="A1301" s="126">
        <v>513</v>
      </c>
      <c r="B1301" s="127" t="s">
        <v>7881</v>
      </c>
      <c r="C1301" s="127" t="s">
        <v>81</v>
      </c>
      <c r="D1301" s="127" t="s">
        <v>8030</v>
      </c>
      <c r="E1301" s="126" t="s">
        <v>39</v>
      </c>
      <c r="F1301" s="127" t="s">
        <v>263</v>
      </c>
      <c r="G1301" s="126" t="s">
        <v>225</v>
      </c>
      <c r="H1301" s="126" t="s">
        <v>225</v>
      </c>
      <c r="I1301" s="126" t="s">
        <v>114</v>
      </c>
      <c r="J1301" s="127" t="s">
        <v>98</v>
      </c>
      <c r="K1301" s="126" t="s">
        <v>98</v>
      </c>
      <c r="L1301" s="126" t="s">
        <v>98</v>
      </c>
      <c r="M1301" s="126" t="s">
        <v>98</v>
      </c>
      <c r="N1301" s="126" t="s">
        <v>276</v>
      </c>
      <c r="O1301" s="127" t="s">
        <v>276</v>
      </c>
      <c r="P1301" s="127" t="s">
        <v>238</v>
      </c>
      <c r="Q1301" s="146">
        <v>29312</v>
      </c>
      <c r="R1301" s="127" t="s">
        <v>276</v>
      </c>
      <c r="S1301" s="127" t="s">
        <v>276</v>
      </c>
      <c r="T1301" s="127" t="s">
        <v>276</v>
      </c>
      <c r="U1301" s="127" t="s">
        <v>276</v>
      </c>
      <c r="V1301" s="126" t="s">
        <v>14</v>
      </c>
      <c r="W1301" s="126" t="s">
        <v>98</v>
      </c>
      <c r="X1301" s="127" t="s">
        <v>209</v>
      </c>
      <c r="Y1301" s="132">
        <v>4624</v>
      </c>
      <c r="Z1301" s="127" t="s">
        <v>98</v>
      </c>
      <c r="AA1301" s="127" t="s">
        <v>276</v>
      </c>
      <c r="AB1301" s="127" t="s">
        <v>98</v>
      </c>
      <c r="AC1301" s="126">
        <v>1</v>
      </c>
      <c r="AD1301" s="126" t="s">
        <v>8012</v>
      </c>
      <c r="AE1301" s="126" t="s">
        <v>98</v>
      </c>
      <c r="AF1301" s="126" t="s">
        <v>98</v>
      </c>
      <c r="AG1301" s="127" t="s">
        <v>8028</v>
      </c>
      <c r="AH1301" s="127" t="s">
        <v>689</v>
      </c>
      <c r="AI1301" s="134">
        <v>71</v>
      </c>
      <c r="AJ1301" s="134" t="s">
        <v>98</v>
      </c>
      <c r="AK1301" s="134">
        <v>4624</v>
      </c>
      <c r="AL1301" s="134" t="s">
        <v>98</v>
      </c>
      <c r="AM1301" s="134" t="s">
        <v>292</v>
      </c>
      <c r="AN1301" s="126" t="s">
        <v>276</v>
      </c>
      <c r="AO1301" s="135">
        <f>AI1301*100/AK1301</f>
        <v>1.5354671280276817</v>
      </c>
      <c r="AP1301" s="126" t="s">
        <v>276</v>
      </c>
      <c r="AQ1301" s="126" t="s">
        <v>276</v>
      </c>
      <c r="AR1301" s="126" t="s">
        <v>98</v>
      </c>
      <c r="AS1301" s="126" t="s">
        <v>98</v>
      </c>
      <c r="AT1301" s="126" t="s">
        <v>98</v>
      </c>
      <c r="AU1301" s="126" t="s">
        <v>98</v>
      </c>
      <c r="AV1301" s="126" t="s">
        <v>98</v>
      </c>
      <c r="AW1301" s="126" t="s">
        <v>98</v>
      </c>
      <c r="AX1301" s="126" t="s">
        <v>98</v>
      </c>
      <c r="AY1301" s="126" t="s">
        <v>98</v>
      </c>
      <c r="AZ1301" s="126" t="s">
        <v>98</v>
      </c>
      <c r="BA1301" s="126" t="s">
        <v>98</v>
      </c>
      <c r="BB1301" s="126" t="s">
        <v>98</v>
      </c>
      <c r="BC1301" s="126" t="s">
        <v>98</v>
      </c>
      <c r="BD1301" s="126" t="s">
        <v>98</v>
      </c>
      <c r="BE1301" s="126" t="s">
        <v>98</v>
      </c>
      <c r="BF1301" s="127" t="s">
        <v>3834</v>
      </c>
      <c r="BG1301" s="127"/>
      <c r="BH1301" s="9" t="s">
        <v>100</v>
      </c>
      <c r="BI1301" s="9" t="s">
        <v>100</v>
      </c>
      <c r="BJ1301" s="136"/>
      <c r="BN1301" s="136"/>
      <c r="BO1301" s="136"/>
    </row>
    <row r="1302" spans="1:67" s="172" customFormat="1" ht="65" hidden="1" x14ac:dyDescent="0.35">
      <c r="A1302" s="150">
        <v>513</v>
      </c>
      <c r="B1302" s="151" t="s">
        <v>7881</v>
      </c>
      <c r="C1302" s="151" t="s">
        <v>81</v>
      </c>
      <c r="D1302" s="151" t="s">
        <v>8031</v>
      </c>
      <c r="E1302" s="150" t="s">
        <v>39</v>
      </c>
      <c r="F1302" s="151" t="s">
        <v>263</v>
      </c>
      <c r="G1302" s="150" t="s">
        <v>225</v>
      </c>
      <c r="H1302" s="150" t="s">
        <v>125</v>
      </c>
      <c r="I1302" s="150" t="s">
        <v>114</v>
      </c>
      <c r="J1302" s="151" t="s">
        <v>25</v>
      </c>
      <c r="K1302" s="150" t="s">
        <v>300</v>
      </c>
      <c r="L1302" s="151" t="s">
        <v>7999</v>
      </c>
      <c r="M1302" s="151" t="s">
        <v>8000</v>
      </c>
      <c r="N1302" s="150" t="s">
        <v>276</v>
      </c>
      <c r="O1302" s="151" t="s">
        <v>276</v>
      </c>
      <c r="P1302" s="151" t="s">
        <v>239</v>
      </c>
      <c r="Q1302" s="154">
        <v>29312</v>
      </c>
      <c r="R1302" s="151" t="s">
        <v>276</v>
      </c>
      <c r="S1302" s="151" t="s">
        <v>276</v>
      </c>
      <c r="T1302" s="151" t="s">
        <v>276</v>
      </c>
      <c r="U1302" s="151" t="s">
        <v>276</v>
      </c>
      <c r="V1302" s="150" t="s">
        <v>14</v>
      </c>
      <c r="W1302" s="150" t="s">
        <v>98</v>
      </c>
      <c r="X1302" s="151" t="s">
        <v>207</v>
      </c>
      <c r="Y1302" s="155">
        <v>4624</v>
      </c>
      <c r="Z1302" s="151">
        <v>4598</v>
      </c>
      <c r="AA1302" s="151" t="s">
        <v>276</v>
      </c>
      <c r="AB1302" s="151" t="s">
        <v>276</v>
      </c>
      <c r="AC1302" s="150">
        <v>1</v>
      </c>
      <c r="AD1302" s="150" t="s">
        <v>8012</v>
      </c>
      <c r="AE1302" s="150">
        <v>1</v>
      </c>
      <c r="AF1302" s="150" t="s">
        <v>8012</v>
      </c>
      <c r="AG1302" s="151" t="s">
        <v>8032</v>
      </c>
      <c r="AH1302" s="151" t="s">
        <v>689</v>
      </c>
      <c r="AI1302" s="156">
        <f>51+9</f>
        <v>60</v>
      </c>
      <c r="AJ1302" s="156">
        <f>16+5</f>
        <v>21</v>
      </c>
      <c r="AK1302" s="156">
        <v>4624</v>
      </c>
      <c r="AL1302" s="156">
        <v>4598</v>
      </c>
      <c r="AM1302" s="156" t="s">
        <v>292</v>
      </c>
      <c r="AN1302" s="150" t="s">
        <v>276</v>
      </c>
      <c r="AO1302" s="159">
        <f>AI1302*100/AK1302</f>
        <v>1.2975778546712802</v>
      </c>
      <c r="AP1302" s="150" t="s">
        <v>276</v>
      </c>
      <c r="AQ1302" s="150" t="s">
        <v>276</v>
      </c>
      <c r="AR1302" s="150" t="s">
        <v>276</v>
      </c>
      <c r="AS1302" s="159">
        <f>AJ1302*100/AL1302</f>
        <v>0.45672031317964334</v>
      </c>
      <c r="AT1302" s="150" t="s">
        <v>276</v>
      </c>
      <c r="AU1302" s="150" t="s">
        <v>276</v>
      </c>
      <c r="AV1302" s="150" t="s">
        <v>268</v>
      </c>
      <c r="AW1302" s="150" t="s">
        <v>276</v>
      </c>
      <c r="AX1302" s="159">
        <f t="shared" ref="AX1302:AX1310" si="393">AO1302/AS1302</f>
        <v>2.8410776075135935</v>
      </c>
      <c r="AY1302" s="150" t="s">
        <v>276</v>
      </c>
      <c r="AZ1302" s="150" t="s">
        <v>276</v>
      </c>
      <c r="BA1302" s="150" t="s">
        <v>276</v>
      </c>
      <c r="BB1302" s="150" t="s">
        <v>282</v>
      </c>
      <c r="BC1302" s="150" t="s">
        <v>276</v>
      </c>
      <c r="BD1302" s="150" t="s">
        <v>276</v>
      </c>
      <c r="BE1302" s="150" t="s">
        <v>276</v>
      </c>
      <c r="BF1302" s="151" t="s">
        <v>696</v>
      </c>
      <c r="BG1302" s="151"/>
      <c r="BH1302" s="9" t="s">
        <v>100</v>
      </c>
      <c r="BI1302" s="9" t="s">
        <v>100</v>
      </c>
      <c r="BJ1302" s="171"/>
      <c r="BN1302" s="171"/>
      <c r="BO1302" s="171"/>
    </row>
    <row r="1303" spans="1:67" s="172" customFormat="1" ht="65" hidden="1" x14ac:dyDescent="0.35">
      <c r="A1303" s="150">
        <v>513</v>
      </c>
      <c r="B1303" s="151" t="s">
        <v>7881</v>
      </c>
      <c r="C1303" s="151" t="s">
        <v>81</v>
      </c>
      <c r="D1303" s="151" t="s">
        <v>8033</v>
      </c>
      <c r="E1303" s="150" t="s">
        <v>39</v>
      </c>
      <c r="F1303" s="151" t="s">
        <v>263</v>
      </c>
      <c r="G1303" s="150" t="s">
        <v>225</v>
      </c>
      <c r="H1303" s="150" t="s">
        <v>125</v>
      </c>
      <c r="I1303" s="150" t="s">
        <v>114</v>
      </c>
      <c r="J1303" s="151" t="s">
        <v>25</v>
      </c>
      <c r="K1303" s="150" t="s">
        <v>300</v>
      </c>
      <c r="L1303" s="151" t="s">
        <v>7999</v>
      </c>
      <c r="M1303" s="151" t="s">
        <v>8000</v>
      </c>
      <c r="N1303" s="150" t="s">
        <v>276</v>
      </c>
      <c r="O1303" s="151" t="s">
        <v>276</v>
      </c>
      <c r="P1303" s="151" t="s">
        <v>239</v>
      </c>
      <c r="Q1303" s="154">
        <v>29312</v>
      </c>
      <c r="R1303" s="151" t="s">
        <v>276</v>
      </c>
      <c r="S1303" s="151" t="s">
        <v>276</v>
      </c>
      <c r="T1303" s="151" t="s">
        <v>276</v>
      </c>
      <c r="U1303" s="151" t="s">
        <v>276</v>
      </c>
      <c r="V1303" s="150" t="s">
        <v>14</v>
      </c>
      <c r="W1303" s="150" t="s">
        <v>98</v>
      </c>
      <c r="X1303" s="151" t="s">
        <v>207</v>
      </c>
      <c r="Y1303" s="155">
        <v>4624</v>
      </c>
      <c r="Z1303" s="151">
        <v>4598</v>
      </c>
      <c r="AA1303" s="151" t="s">
        <v>276</v>
      </c>
      <c r="AB1303" s="151" t="s">
        <v>276</v>
      </c>
      <c r="AC1303" s="150">
        <v>1</v>
      </c>
      <c r="AD1303" s="150" t="s">
        <v>8012</v>
      </c>
      <c r="AE1303" s="150">
        <v>1</v>
      </c>
      <c r="AF1303" s="150" t="s">
        <v>8012</v>
      </c>
      <c r="AG1303" s="151" t="s">
        <v>8032</v>
      </c>
      <c r="AH1303" s="151" t="s">
        <v>8016</v>
      </c>
      <c r="AI1303" s="156">
        <f>51+9</f>
        <v>60</v>
      </c>
      <c r="AJ1303" s="156">
        <f>16+5</f>
        <v>21</v>
      </c>
      <c r="AK1303" s="156">
        <v>23482.9</v>
      </c>
      <c r="AL1303" s="156">
        <v>23036.6</v>
      </c>
      <c r="AM1303" s="156" t="s">
        <v>425</v>
      </c>
      <c r="AN1303" s="150" t="s">
        <v>276</v>
      </c>
      <c r="AO1303" s="159">
        <f>AI1303*1000/AK1303</f>
        <v>2.5550506964642357</v>
      </c>
      <c r="AP1303" s="150" t="s">
        <v>276</v>
      </c>
      <c r="AQ1303" s="150" t="s">
        <v>276</v>
      </c>
      <c r="AR1303" s="150" t="s">
        <v>276</v>
      </c>
      <c r="AS1303" s="159">
        <f>AJ1303*1000/AL1303</f>
        <v>0.9115928565847391</v>
      </c>
      <c r="AT1303" s="150" t="s">
        <v>276</v>
      </c>
      <c r="AU1303" s="150" t="s">
        <v>276</v>
      </c>
      <c r="AV1303" s="150" t="s">
        <v>269</v>
      </c>
      <c r="AW1303" s="150" t="s">
        <v>276</v>
      </c>
      <c r="AX1303" s="159">
        <f t="shared" si="393"/>
        <v>2.8028419463889529</v>
      </c>
      <c r="AY1303" s="150" t="s">
        <v>276</v>
      </c>
      <c r="AZ1303" s="150" t="s">
        <v>276</v>
      </c>
      <c r="BA1303" s="150" t="s">
        <v>276</v>
      </c>
      <c r="BB1303" s="150" t="s">
        <v>282</v>
      </c>
      <c r="BC1303" s="150" t="s">
        <v>276</v>
      </c>
      <c r="BD1303" s="150" t="s">
        <v>276</v>
      </c>
      <c r="BE1303" s="150" t="s">
        <v>276</v>
      </c>
      <c r="BF1303" s="151" t="s">
        <v>8034</v>
      </c>
      <c r="BG1303" s="151"/>
      <c r="BH1303" s="9" t="s">
        <v>100</v>
      </c>
      <c r="BI1303" s="9" t="s">
        <v>100</v>
      </c>
      <c r="BJ1303" s="171"/>
      <c r="BN1303" s="171"/>
      <c r="BO1303" s="171"/>
    </row>
    <row r="1304" spans="1:67" s="137" customFormat="1" ht="52" hidden="1" x14ac:dyDescent="0.35">
      <c r="A1304" s="126">
        <v>513</v>
      </c>
      <c r="B1304" s="127" t="s">
        <v>7881</v>
      </c>
      <c r="C1304" s="127" t="s">
        <v>81</v>
      </c>
      <c r="D1304" s="127" t="s">
        <v>8035</v>
      </c>
      <c r="E1304" s="126" t="s">
        <v>39</v>
      </c>
      <c r="F1304" s="127" t="s">
        <v>263</v>
      </c>
      <c r="G1304" s="126" t="s">
        <v>225</v>
      </c>
      <c r="H1304" s="126" t="s">
        <v>125</v>
      </c>
      <c r="I1304" s="126" t="s">
        <v>114</v>
      </c>
      <c r="J1304" s="127" t="s">
        <v>25</v>
      </c>
      <c r="K1304" s="126" t="s">
        <v>304</v>
      </c>
      <c r="L1304" s="127" t="s">
        <v>7999</v>
      </c>
      <c r="M1304" s="127" t="s">
        <v>8000</v>
      </c>
      <c r="N1304" s="126" t="s">
        <v>276</v>
      </c>
      <c r="O1304" s="127" t="s">
        <v>276</v>
      </c>
      <c r="P1304" s="127" t="s">
        <v>239</v>
      </c>
      <c r="Q1304" s="146">
        <v>29312</v>
      </c>
      <c r="R1304" s="127" t="s">
        <v>276</v>
      </c>
      <c r="S1304" s="127" t="s">
        <v>276</v>
      </c>
      <c r="T1304" s="127" t="s">
        <v>276</v>
      </c>
      <c r="U1304" s="127" t="s">
        <v>276</v>
      </c>
      <c r="V1304" s="126" t="s">
        <v>14</v>
      </c>
      <c r="W1304" s="126" t="s">
        <v>98</v>
      </c>
      <c r="X1304" s="127" t="s">
        <v>207</v>
      </c>
      <c r="Y1304" s="132">
        <v>4624</v>
      </c>
      <c r="Z1304" s="127">
        <v>4598</v>
      </c>
      <c r="AA1304" s="127" t="s">
        <v>276</v>
      </c>
      <c r="AB1304" s="127" t="s">
        <v>276</v>
      </c>
      <c r="AC1304" s="126">
        <v>1</v>
      </c>
      <c r="AD1304" s="126" t="s">
        <v>8012</v>
      </c>
      <c r="AE1304" s="126">
        <v>1</v>
      </c>
      <c r="AF1304" s="126" t="s">
        <v>8012</v>
      </c>
      <c r="AG1304" s="127" t="s">
        <v>8036</v>
      </c>
      <c r="AH1304" s="127" t="s">
        <v>689</v>
      </c>
      <c r="AI1304" s="134">
        <v>3</v>
      </c>
      <c r="AJ1304" s="134">
        <v>3</v>
      </c>
      <c r="AK1304" s="134">
        <v>4624</v>
      </c>
      <c r="AL1304" s="134">
        <v>4598</v>
      </c>
      <c r="AM1304" s="134" t="s">
        <v>292</v>
      </c>
      <c r="AN1304" s="126" t="s">
        <v>276</v>
      </c>
      <c r="AO1304" s="135">
        <f>AI1304*100/AK1304</f>
        <v>6.4878892733564009E-2</v>
      </c>
      <c r="AP1304" s="126" t="s">
        <v>276</v>
      </c>
      <c r="AQ1304" s="126" t="s">
        <v>276</v>
      </c>
      <c r="AR1304" s="126" t="s">
        <v>276</v>
      </c>
      <c r="AS1304" s="135">
        <f>AJ1304*100/AL1304</f>
        <v>6.5245759025663333E-2</v>
      </c>
      <c r="AT1304" s="126" t="s">
        <v>276</v>
      </c>
      <c r="AU1304" s="126" t="s">
        <v>276</v>
      </c>
      <c r="AV1304" s="126" t="s">
        <v>268</v>
      </c>
      <c r="AW1304" s="126" t="s">
        <v>276</v>
      </c>
      <c r="AX1304" s="135">
        <f t="shared" si="393"/>
        <v>0.99437716262975773</v>
      </c>
      <c r="AY1304" s="126" t="s">
        <v>276</v>
      </c>
      <c r="AZ1304" s="126" t="s">
        <v>276</v>
      </c>
      <c r="BA1304" s="126" t="s">
        <v>276</v>
      </c>
      <c r="BB1304" s="126" t="s">
        <v>282</v>
      </c>
      <c r="BC1304" s="126" t="s">
        <v>276</v>
      </c>
      <c r="BD1304" s="126" t="s">
        <v>276</v>
      </c>
      <c r="BE1304" s="126" t="s">
        <v>276</v>
      </c>
      <c r="BF1304" s="127" t="s">
        <v>696</v>
      </c>
      <c r="BG1304" s="127"/>
      <c r="BH1304" s="9" t="s">
        <v>100</v>
      </c>
      <c r="BI1304" s="9" t="s">
        <v>100</v>
      </c>
      <c r="BJ1304" s="136"/>
      <c r="BN1304" s="136"/>
      <c r="BO1304" s="136"/>
    </row>
    <row r="1305" spans="1:67" s="137" customFormat="1" ht="52" hidden="1" x14ac:dyDescent="0.35">
      <c r="A1305" s="126">
        <v>513</v>
      </c>
      <c r="B1305" s="127" t="s">
        <v>7881</v>
      </c>
      <c r="C1305" s="127" t="s">
        <v>81</v>
      </c>
      <c r="D1305" s="127" t="s">
        <v>8037</v>
      </c>
      <c r="E1305" s="126" t="s">
        <v>39</v>
      </c>
      <c r="F1305" s="127" t="s">
        <v>263</v>
      </c>
      <c r="G1305" s="126" t="s">
        <v>225</v>
      </c>
      <c r="H1305" s="126" t="s">
        <v>125</v>
      </c>
      <c r="I1305" s="126" t="s">
        <v>114</v>
      </c>
      <c r="J1305" s="127" t="s">
        <v>25</v>
      </c>
      <c r="K1305" s="126" t="s">
        <v>304</v>
      </c>
      <c r="L1305" s="127" t="s">
        <v>7999</v>
      </c>
      <c r="M1305" s="127" t="s">
        <v>8000</v>
      </c>
      <c r="N1305" s="126" t="s">
        <v>276</v>
      </c>
      <c r="O1305" s="127" t="s">
        <v>276</v>
      </c>
      <c r="P1305" s="127" t="s">
        <v>239</v>
      </c>
      <c r="Q1305" s="146">
        <v>29312</v>
      </c>
      <c r="R1305" s="127" t="s">
        <v>276</v>
      </c>
      <c r="S1305" s="127" t="s">
        <v>276</v>
      </c>
      <c r="T1305" s="127" t="s">
        <v>276</v>
      </c>
      <c r="U1305" s="127" t="s">
        <v>276</v>
      </c>
      <c r="V1305" s="126" t="s">
        <v>14</v>
      </c>
      <c r="W1305" s="126" t="s">
        <v>98</v>
      </c>
      <c r="X1305" s="127" t="s">
        <v>207</v>
      </c>
      <c r="Y1305" s="132">
        <v>4624</v>
      </c>
      <c r="Z1305" s="127">
        <v>4598</v>
      </c>
      <c r="AA1305" s="127" t="s">
        <v>276</v>
      </c>
      <c r="AB1305" s="127" t="s">
        <v>276</v>
      </c>
      <c r="AC1305" s="126">
        <v>1</v>
      </c>
      <c r="AD1305" s="126" t="s">
        <v>8012</v>
      </c>
      <c r="AE1305" s="126">
        <v>1</v>
      </c>
      <c r="AF1305" s="126" t="s">
        <v>8012</v>
      </c>
      <c r="AG1305" s="127" t="s">
        <v>8036</v>
      </c>
      <c r="AH1305" s="127" t="s">
        <v>8016</v>
      </c>
      <c r="AI1305" s="134">
        <v>3</v>
      </c>
      <c r="AJ1305" s="134">
        <v>3</v>
      </c>
      <c r="AK1305" s="134">
        <v>23482.9</v>
      </c>
      <c r="AL1305" s="134">
        <v>23036.6</v>
      </c>
      <c r="AM1305" s="134" t="s">
        <v>425</v>
      </c>
      <c r="AN1305" s="126" t="s">
        <v>276</v>
      </c>
      <c r="AO1305" s="135">
        <f>AI1305*1000/AK1305</f>
        <v>0.12775253482321178</v>
      </c>
      <c r="AP1305" s="126" t="s">
        <v>276</v>
      </c>
      <c r="AQ1305" s="126" t="s">
        <v>276</v>
      </c>
      <c r="AR1305" s="126" t="s">
        <v>276</v>
      </c>
      <c r="AS1305" s="135">
        <f>AJ1305*1000/AL1305</f>
        <v>0.13022755094067701</v>
      </c>
      <c r="AT1305" s="126" t="s">
        <v>276</v>
      </c>
      <c r="AU1305" s="126" t="s">
        <v>276</v>
      </c>
      <c r="AV1305" s="126" t="s">
        <v>269</v>
      </c>
      <c r="AW1305" s="126" t="s">
        <v>276</v>
      </c>
      <c r="AX1305" s="135">
        <f t="shared" si="393"/>
        <v>0.98099468123613354</v>
      </c>
      <c r="AY1305" s="126" t="s">
        <v>276</v>
      </c>
      <c r="AZ1305" s="126" t="s">
        <v>276</v>
      </c>
      <c r="BA1305" s="126" t="s">
        <v>276</v>
      </c>
      <c r="BB1305" s="126" t="s">
        <v>282</v>
      </c>
      <c r="BC1305" s="126" t="s">
        <v>276</v>
      </c>
      <c r="BD1305" s="126" t="s">
        <v>276</v>
      </c>
      <c r="BE1305" s="126" t="s">
        <v>276</v>
      </c>
      <c r="BF1305" s="127" t="s">
        <v>8034</v>
      </c>
      <c r="BG1305" s="127"/>
      <c r="BH1305" s="9" t="s">
        <v>100</v>
      </c>
      <c r="BI1305" s="9" t="s">
        <v>100</v>
      </c>
      <c r="BJ1305" s="136"/>
      <c r="BN1305" s="136"/>
      <c r="BO1305" s="136"/>
    </row>
    <row r="1306" spans="1:67" s="172" customFormat="1" ht="52" hidden="1" x14ac:dyDescent="0.35">
      <c r="A1306" s="150">
        <v>513</v>
      </c>
      <c r="B1306" s="151" t="s">
        <v>7881</v>
      </c>
      <c r="C1306" s="151" t="s">
        <v>81</v>
      </c>
      <c r="D1306" s="151" t="s">
        <v>8038</v>
      </c>
      <c r="E1306" s="150" t="s">
        <v>39</v>
      </c>
      <c r="F1306" s="151" t="s">
        <v>263</v>
      </c>
      <c r="G1306" s="150" t="s">
        <v>225</v>
      </c>
      <c r="H1306" s="150" t="s">
        <v>125</v>
      </c>
      <c r="I1306" s="150" t="s">
        <v>114</v>
      </c>
      <c r="J1306" s="151" t="s">
        <v>25</v>
      </c>
      <c r="K1306" s="150" t="s">
        <v>311</v>
      </c>
      <c r="L1306" s="151" t="s">
        <v>7999</v>
      </c>
      <c r="M1306" s="151" t="s">
        <v>8000</v>
      </c>
      <c r="N1306" s="150" t="s">
        <v>276</v>
      </c>
      <c r="O1306" s="151" t="s">
        <v>276</v>
      </c>
      <c r="P1306" s="151" t="s">
        <v>239</v>
      </c>
      <c r="Q1306" s="154">
        <v>29312</v>
      </c>
      <c r="R1306" s="151" t="s">
        <v>276</v>
      </c>
      <c r="S1306" s="151" t="s">
        <v>276</v>
      </c>
      <c r="T1306" s="151" t="s">
        <v>276</v>
      </c>
      <c r="U1306" s="151" t="s">
        <v>276</v>
      </c>
      <c r="V1306" s="150" t="s">
        <v>14</v>
      </c>
      <c r="W1306" s="150" t="s">
        <v>98</v>
      </c>
      <c r="X1306" s="151" t="s">
        <v>207</v>
      </c>
      <c r="Y1306" s="155">
        <v>4624</v>
      </c>
      <c r="Z1306" s="151">
        <v>4598</v>
      </c>
      <c r="AA1306" s="151" t="s">
        <v>276</v>
      </c>
      <c r="AB1306" s="151" t="s">
        <v>276</v>
      </c>
      <c r="AC1306" s="150">
        <v>1</v>
      </c>
      <c r="AD1306" s="150" t="s">
        <v>8012</v>
      </c>
      <c r="AE1306" s="150">
        <v>1</v>
      </c>
      <c r="AF1306" s="150" t="s">
        <v>8012</v>
      </c>
      <c r="AG1306" s="151" t="s">
        <v>8039</v>
      </c>
      <c r="AH1306" s="151" t="s">
        <v>689</v>
      </c>
      <c r="AI1306" s="156">
        <v>46</v>
      </c>
      <c r="AJ1306" s="156">
        <v>53</v>
      </c>
      <c r="AK1306" s="156">
        <v>4624</v>
      </c>
      <c r="AL1306" s="156">
        <v>4598</v>
      </c>
      <c r="AM1306" s="156" t="s">
        <v>292</v>
      </c>
      <c r="AN1306" s="150" t="s">
        <v>276</v>
      </c>
      <c r="AO1306" s="159">
        <f>AI1306*100/AK1306</f>
        <v>0.99480968858131491</v>
      </c>
      <c r="AP1306" s="150" t="s">
        <v>276</v>
      </c>
      <c r="AQ1306" s="150" t="s">
        <v>276</v>
      </c>
      <c r="AR1306" s="150" t="s">
        <v>276</v>
      </c>
      <c r="AS1306" s="159">
        <f>AJ1306*100/AL1306</f>
        <v>1.1526750761200522</v>
      </c>
      <c r="AT1306" s="150" t="s">
        <v>276</v>
      </c>
      <c r="AU1306" s="150" t="s">
        <v>276</v>
      </c>
      <c r="AV1306" s="150" t="s">
        <v>268</v>
      </c>
      <c r="AW1306" s="150" t="s">
        <v>276</v>
      </c>
      <c r="AX1306" s="159">
        <f t="shared" si="393"/>
        <v>0.86304432982960111</v>
      </c>
      <c r="AY1306" s="150" t="s">
        <v>276</v>
      </c>
      <c r="AZ1306" s="150" t="s">
        <v>276</v>
      </c>
      <c r="BA1306" s="150" t="s">
        <v>276</v>
      </c>
      <c r="BB1306" s="150" t="s">
        <v>282</v>
      </c>
      <c r="BC1306" s="150" t="s">
        <v>276</v>
      </c>
      <c r="BD1306" s="150" t="s">
        <v>276</v>
      </c>
      <c r="BE1306" s="150" t="s">
        <v>276</v>
      </c>
      <c r="BF1306" s="151" t="s">
        <v>696</v>
      </c>
      <c r="BG1306" s="151"/>
      <c r="BH1306" s="9" t="s">
        <v>100</v>
      </c>
      <c r="BI1306" s="9" t="s">
        <v>100</v>
      </c>
      <c r="BJ1306" s="171"/>
      <c r="BN1306" s="171"/>
      <c r="BO1306" s="171"/>
    </row>
    <row r="1307" spans="1:67" s="172" customFormat="1" ht="52" hidden="1" x14ac:dyDescent="0.35">
      <c r="A1307" s="150">
        <v>513</v>
      </c>
      <c r="B1307" s="151" t="s">
        <v>7881</v>
      </c>
      <c r="C1307" s="151" t="s">
        <v>81</v>
      </c>
      <c r="D1307" s="151" t="s">
        <v>8040</v>
      </c>
      <c r="E1307" s="150" t="s">
        <v>39</v>
      </c>
      <c r="F1307" s="151" t="s">
        <v>263</v>
      </c>
      <c r="G1307" s="150" t="s">
        <v>225</v>
      </c>
      <c r="H1307" s="150" t="s">
        <v>125</v>
      </c>
      <c r="I1307" s="150" t="s">
        <v>114</v>
      </c>
      <c r="J1307" s="151" t="s">
        <v>25</v>
      </c>
      <c r="K1307" s="150" t="s">
        <v>311</v>
      </c>
      <c r="L1307" s="151" t="s">
        <v>7999</v>
      </c>
      <c r="M1307" s="151" t="s">
        <v>8000</v>
      </c>
      <c r="N1307" s="150" t="s">
        <v>276</v>
      </c>
      <c r="O1307" s="151" t="s">
        <v>276</v>
      </c>
      <c r="P1307" s="151" t="s">
        <v>239</v>
      </c>
      <c r="Q1307" s="154">
        <v>29312</v>
      </c>
      <c r="R1307" s="151" t="s">
        <v>276</v>
      </c>
      <c r="S1307" s="151" t="s">
        <v>276</v>
      </c>
      <c r="T1307" s="151" t="s">
        <v>276</v>
      </c>
      <c r="U1307" s="151" t="s">
        <v>276</v>
      </c>
      <c r="V1307" s="150" t="s">
        <v>14</v>
      </c>
      <c r="W1307" s="150" t="s">
        <v>98</v>
      </c>
      <c r="X1307" s="151" t="s">
        <v>207</v>
      </c>
      <c r="Y1307" s="155">
        <v>4624</v>
      </c>
      <c r="Z1307" s="151">
        <v>4598</v>
      </c>
      <c r="AA1307" s="151" t="s">
        <v>276</v>
      </c>
      <c r="AB1307" s="151" t="s">
        <v>276</v>
      </c>
      <c r="AC1307" s="150">
        <v>1</v>
      </c>
      <c r="AD1307" s="150" t="s">
        <v>8012</v>
      </c>
      <c r="AE1307" s="150">
        <v>1</v>
      </c>
      <c r="AF1307" s="150" t="s">
        <v>8012</v>
      </c>
      <c r="AG1307" s="151" t="s">
        <v>8039</v>
      </c>
      <c r="AH1307" s="151" t="s">
        <v>8016</v>
      </c>
      <c r="AI1307" s="156">
        <v>46</v>
      </c>
      <c r="AJ1307" s="156">
        <v>53</v>
      </c>
      <c r="AK1307" s="156">
        <v>23482.9</v>
      </c>
      <c r="AL1307" s="156">
        <v>23036.6</v>
      </c>
      <c r="AM1307" s="156" t="s">
        <v>425</v>
      </c>
      <c r="AN1307" s="150" t="s">
        <v>276</v>
      </c>
      <c r="AO1307" s="159">
        <f>AI1307*1000/AK1307</f>
        <v>1.9588722006225805</v>
      </c>
      <c r="AP1307" s="150" t="s">
        <v>276</v>
      </c>
      <c r="AQ1307" s="150" t="s">
        <v>276</v>
      </c>
      <c r="AR1307" s="150" t="s">
        <v>276</v>
      </c>
      <c r="AS1307" s="159">
        <f>AJ1307*1000/AL1307</f>
        <v>2.300686733285294</v>
      </c>
      <c r="AT1307" s="150" t="s">
        <v>276</v>
      </c>
      <c r="AU1307" s="150" t="s">
        <v>276</v>
      </c>
      <c r="AV1307" s="150" t="s">
        <v>269</v>
      </c>
      <c r="AW1307" s="150" t="s">
        <v>276</v>
      </c>
      <c r="AX1307" s="159">
        <f t="shared" si="393"/>
        <v>0.85142934597853082</v>
      </c>
      <c r="AY1307" s="150" t="s">
        <v>276</v>
      </c>
      <c r="AZ1307" s="150" t="s">
        <v>276</v>
      </c>
      <c r="BA1307" s="150" t="s">
        <v>276</v>
      </c>
      <c r="BB1307" s="150" t="s">
        <v>282</v>
      </c>
      <c r="BC1307" s="150" t="s">
        <v>276</v>
      </c>
      <c r="BD1307" s="150" t="s">
        <v>276</v>
      </c>
      <c r="BE1307" s="150" t="s">
        <v>276</v>
      </c>
      <c r="BF1307" s="151" t="s">
        <v>8034</v>
      </c>
      <c r="BG1307" s="151"/>
      <c r="BH1307" s="9" t="s">
        <v>100</v>
      </c>
      <c r="BI1307" s="9" t="s">
        <v>100</v>
      </c>
      <c r="BJ1307" s="171"/>
      <c r="BN1307" s="171"/>
      <c r="BO1307" s="171"/>
    </row>
    <row r="1308" spans="1:67" s="137" customFormat="1" ht="52" hidden="1" x14ac:dyDescent="0.35">
      <c r="A1308" s="126">
        <v>513</v>
      </c>
      <c r="B1308" s="127" t="s">
        <v>7881</v>
      </c>
      <c r="C1308" s="127" t="s">
        <v>81</v>
      </c>
      <c r="D1308" s="127" t="s">
        <v>8041</v>
      </c>
      <c r="E1308" s="126" t="s">
        <v>39</v>
      </c>
      <c r="F1308" s="127" t="s">
        <v>263</v>
      </c>
      <c r="G1308" s="126" t="s">
        <v>225</v>
      </c>
      <c r="H1308" s="126" t="s">
        <v>125</v>
      </c>
      <c r="I1308" s="126" t="s">
        <v>114</v>
      </c>
      <c r="J1308" s="127" t="s">
        <v>25</v>
      </c>
      <c r="K1308" s="126" t="s">
        <v>3983</v>
      </c>
      <c r="L1308" s="127" t="s">
        <v>7999</v>
      </c>
      <c r="M1308" s="127" t="s">
        <v>8000</v>
      </c>
      <c r="N1308" s="126" t="s">
        <v>276</v>
      </c>
      <c r="O1308" s="127" t="s">
        <v>276</v>
      </c>
      <c r="P1308" s="127" t="s">
        <v>239</v>
      </c>
      <c r="Q1308" s="146">
        <v>29312</v>
      </c>
      <c r="R1308" s="127" t="s">
        <v>276</v>
      </c>
      <c r="S1308" s="127" t="s">
        <v>276</v>
      </c>
      <c r="T1308" s="127" t="s">
        <v>276</v>
      </c>
      <c r="U1308" s="127" t="s">
        <v>276</v>
      </c>
      <c r="V1308" s="126" t="s">
        <v>14</v>
      </c>
      <c r="W1308" s="126" t="s">
        <v>98</v>
      </c>
      <c r="X1308" s="127" t="s">
        <v>207</v>
      </c>
      <c r="Y1308" s="132">
        <v>4624</v>
      </c>
      <c r="Z1308" s="127">
        <v>4598</v>
      </c>
      <c r="AA1308" s="127" t="s">
        <v>276</v>
      </c>
      <c r="AB1308" s="127" t="s">
        <v>276</v>
      </c>
      <c r="AC1308" s="126">
        <v>1</v>
      </c>
      <c r="AD1308" s="126" t="s">
        <v>8012</v>
      </c>
      <c r="AE1308" s="126">
        <v>1</v>
      </c>
      <c r="AF1308" s="126" t="s">
        <v>8012</v>
      </c>
      <c r="AG1308" s="127" t="s">
        <v>8042</v>
      </c>
      <c r="AH1308" s="127" t="s">
        <v>689</v>
      </c>
      <c r="AI1308" s="134">
        <f>46+3</f>
        <v>49</v>
      </c>
      <c r="AJ1308" s="134">
        <f>53+3</f>
        <v>56</v>
      </c>
      <c r="AK1308" s="134">
        <v>4624</v>
      </c>
      <c r="AL1308" s="134">
        <v>4598</v>
      </c>
      <c r="AM1308" s="134" t="s">
        <v>292</v>
      </c>
      <c r="AN1308" s="126" t="s">
        <v>276</v>
      </c>
      <c r="AO1308" s="135">
        <f>AI1308*100/AK1308</f>
        <v>1.0596885813148789</v>
      </c>
      <c r="AP1308" s="126" t="s">
        <v>276</v>
      </c>
      <c r="AQ1308" s="126" t="s">
        <v>276</v>
      </c>
      <c r="AR1308" s="126" t="s">
        <v>276</v>
      </c>
      <c r="AS1308" s="135">
        <f>AJ1308*100/AL1308</f>
        <v>1.2179208351457156</v>
      </c>
      <c r="AT1308" s="126" t="s">
        <v>276</v>
      </c>
      <c r="AU1308" s="126" t="s">
        <v>276</v>
      </c>
      <c r="AV1308" s="126" t="s">
        <v>268</v>
      </c>
      <c r="AW1308" s="126" t="s">
        <v>276</v>
      </c>
      <c r="AX1308" s="135">
        <f t="shared" si="393"/>
        <v>0.87008001730103801</v>
      </c>
      <c r="AY1308" s="126" t="s">
        <v>276</v>
      </c>
      <c r="AZ1308" s="126" t="s">
        <v>276</v>
      </c>
      <c r="BA1308" s="126" t="s">
        <v>276</v>
      </c>
      <c r="BB1308" s="126" t="s">
        <v>282</v>
      </c>
      <c r="BC1308" s="126" t="s">
        <v>276</v>
      </c>
      <c r="BD1308" s="126" t="s">
        <v>276</v>
      </c>
      <c r="BE1308" s="126" t="s">
        <v>276</v>
      </c>
      <c r="BF1308" s="127" t="s">
        <v>696</v>
      </c>
      <c r="BG1308" s="127"/>
      <c r="BH1308" s="9" t="s">
        <v>100</v>
      </c>
      <c r="BI1308" s="9" t="s">
        <v>100</v>
      </c>
      <c r="BJ1308" s="136"/>
      <c r="BN1308" s="136"/>
      <c r="BO1308" s="136"/>
    </row>
    <row r="1309" spans="1:67" s="137" customFormat="1" ht="52" hidden="1" x14ac:dyDescent="0.35">
      <c r="A1309" s="126">
        <v>513</v>
      </c>
      <c r="B1309" s="127" t="s">
        <v>7881</v>
      </c>
      <c r="C1309" s="127" t="s">
        <v>81</v>
      </c>
      <c r="D1309" s="127" t="s">
        <v>8043</v>
      </c>
      <c r="E1309" s="126" t="s">
        <v>39</v>
      </c>
      <c r="F1309" s="127" t="s">
        <v>263</v>
      </c>
      <c r="G1309" s="126" t="s">
        <v>225</v>
      </c>
      <c r="H1309" s="126" t="s">
        <v>125</v>
      </c>
      <c r="I1309" s="126" t="s">
        <v>114</v>
      </c>
      <c r="J1309" s="127" t="s">
        <v>25</v>
      </c>
      <c r="K1309" s="126" t="s">
        <v>3983</v>
      </c>
      <c r="L1309" s="127" t="s">
        <v>7999</v>
      </c>
      <c r="M1309" s="127" t="s">
        <v>8000</v>
      </c>
      <c r="N1309" s="126" t="s">
        <v>276</v>
      </c>
      <c r="O1309" s="127" t="s">
        <v>276</v>
      </c>
      <c r="P1309" s="127" t="s">
        <v>239</v>
      </c>
      <c r="Q1309" s="146">
        <v>29312</v>
      </c>
      <c r="R1309" s="127" t="s">
        <v>276</v>
      </c>
      <c r="S1309" s="127" t="s">
        <v>276</v>
      </c>
      <c r="T1309" s="127" t="s">
        <v>276</v>
      </c>
      <c r="U1309" s="127" t="s">
        <v>276</v>
      </c>
      <c r="V1309" s="126" t="s">
        <v>14</v>
      </c>
      <c r="W1309" s="126" t="s">
        <v>98</v>
      </c>
      <c r="X1309" s="127" t="s">
        <v>207</v>
      </c>
      <c r="Y1309" s="132">
        <v>4624</v>
      </c>
      <c r="Z1309" s="127">
        <v>4598</v>
      </c>
      <c r="AA1309" s="127" t="s">
        <v>276</v>
      </c>
      <c r="AB1309" s="127" t="s">
        <v>276</v>
      </c>
      <c r="AC1309" s="126">
        <v>1</v>
      </c>
      <c r="AD1309" s="126" t="s">
        <v>8012</v>
      </c>
      <c r="AE1309" s="126">
        <v>1</v>
      </c>
      <c r="AF1309" s="126" t="s">
        <v>8012</v>
      </c>
      <c r="AG1309" s="127" t="s">
        <v>8042</v>
      </c>
      <c r="AH1309" s="127" t="s">
        <v>8016</v>
      </c>
      <c r="AI1309" s="134">
        <f>46+3</f>
        <v>49</v>
      </c>
      <c r="AJ1309" s="134">
        <f>53+3</f>
        <v>56</v>
      </c>
      <c r="AK1309" s="134">
        <v>23482.9</v>
      </c>
      <c r="AL1309" s="134">
        <v>23036.6</v>
      </c>
      <c r="AM1309" s="134" t="s">
        <v>425</v>
      </c>
      <c r="AN1309" s="126" t="s">
        <v>276</v>
      </c>
      <c r="AO1309" s="135">
        <f>AI1309*1000/AK1309</f>
        <v>2.0866247354457923</v>
      </c>
      <c r="AP1309" s="126" t="s">
        <v>276</v>
      </c>
      <c r="AQ1309" s="126" t="s">
        <v>276</v>
      </c>
      <c r="AR1309" s="126" t="s">
        <v>276</v>
      </c>
      <c r="AS1309" s="135">
        <f>AJ1309*1000/AL1309</f>
        <v>2.4309142842259708</v>
      </c>
      <c r="AT1309" s="126" t="s">
        <v>276</v>
      </c>
      <c r="AU1309" s="126" t="s">
        <v>276</v>
      </c>
      <c r="AV1309" s="126" t="s">
        <v>269</v>
      </c>
      <c r="AW1309" s="126" t="s">
        <v>276</v>
      </c>
      <c r="AX1309" s="135">
        <f t="shared" si="393"/>
        <v>0.85837034608161678</v>
      </c>
      <c r="AY1309" s="126" t="s">
        <v>276</v>
      </c>
      <c r="AZ1309" s="126" t="s">
        <v>276</v>
      </c>
      <c r="BA1309" s="126" t="s">
        <v>276</v>
      </c>
      <c r="BB1309" s="126" t="s">
        <v>282</v>
      </c>
      <c r="BC1309" s="126" t="s">
        <v>276</v>
      </c>
      <c r="BD1309" s="126" t="s">
        <v>276</v>
      </c>
      <c r="BE1309" s="126" t="s">
        <v>276</v>
      </c>
      <c r="BF1309" s="127" t="s">
        <v>8034</v>
      </c>
      <c r="BG1309" s="127"/>
      <c r="BH1309" s="9" t="s">
        <v>100</v>
      </c>
      <c r="BI1309" s="9" t="s">
        <v>100</v>
      </c>
      <c r="BJ1309" s="136"/>
      <c r="BN1309" s="136"/>
      <c r="BO1309" s="136"/>
    </row>
    <row r="1310" spans="1:67" s="172" customFormat="1" ht="52" hidden="1" x14ac:dyDescent="0.35">
      <c r="A1310" s="150">
        <v>513</v>
      </c>
      <c r="B1310" s="151" t="s">
        <v>7881</v>
      </c>
      <c r="C1310" s="151" t="s">
        <v>81</v>
      </c>
      <c r="D1310" s="151" t="s">
        <v>8044</v>
      </c>
      <c r="E1310" s="150" t="s">
        <v>39</v>
      </c>
      <c r="F1310" s="151" t="s">
        <v>263</v>
      </c>
      <c r="G1310" s="150" t="s">
        <v>225</v>
      </c>
      <c r="H1310" s="150" t="s">
        <v>125</v>
      </c>
      <c r="I1310" s="150" t="s">
        <v>114</v>
      </c>
      <c r="J1310" s="151" t="s">
        <v>25</v>
      </c>
      <c r="K1310" s="150" t="s">
        <v>3983</v>
      </c>
      <c r="L1310" s="151" t="s">
        <v>7999</v>
      </c>
      <c r="M1310" s="151" t="s">
        <v>8000</v>
      </c>
      <c r="N1310" s="150" t="s">
        <v>276</v>
      </c>
      <c r="O1310" s="151" t="s">
        <v>276</v>
      </c>
      <c r="P1310" s="151" t="s">
        <v>235</v>
      </c>
      <c r="Q1310" s="154">
        <v>29312</v>
      </c>
      <c r="R1310" s="151" t="s">
        <v>276</v>
      </c>
      <c r="S1310" s="151" t="s">
        <v>276</v>
      </c>
      <c r="T1310" s="151" t="s">
        <v>276</v>
      </c>
      <c r="U1310" s="151" t="s">
        <v>276</v>
      </c>
      <c r="V1310" s="150" t="s">
        <v>14</v>
      </c>
      <c r="W1310" s="150" t="s">
        <v>98</v>
      </c>
      <c r="X1310" s="151" t="s">
        <v>207</v>
      </c>
      <c r="Y1310" s="155">
        <v>4624</v>
      </c>
      <c r="Z1310" s="151">
        <v>4598</v>
      </c>
      <c r="AA1310" s="151" t="s">
        <v>276</v>
      </c>
      <c r="AB1310" s="151" t="s">
        <v>276</v>
      </c>
      <c r="AC1310" s="150">
        <v>1</v>
      </c>
      <c r="AD1310" s="150" t="s">
        <v>8012</v>
      </c>
      <c r="AE1310" s="150">
        <v>1</v>
      </c>
      <c r="AF1310" s="150" t="s">
        <v>8012</v>
      </c>
      <c r="AG1310" s="151" t="s">
        <v>8042</v>
      </c>
      <c r="AH1310" s="151" t="s">
        <v>8045</v>
      </c>
      <c r="AI1310" s="156">
        <f>46+3</f>
        <v>49</v>
      </c>
      <c r="AJ1310" s="156">
        <f>53+3</f>
        <v>56</v>
      </c>
      <c r="AK1310" s="156">
        <v>110</v>
      </c>
      <c r="AL1310" s="156">
        <v>78</v>
      </c>
      <c r="AM1310" s="156" t="s">
        <v>292</v>
      </c>
      <c r="AN1310" s="150" t="s">
        <v>276</v>
      </c>
      <c r="AO1310" s="159">
        <f t="shared" ref="AO1310:AO1329" si="394">AI1310*100/AK1310</f>
        <v>44.545454545454547</v>
      </c>
      <c r="AP1310" s="150" t="s">
        <v>276</v>
      </c>
      <c r="AQ1310" s="150" t="s">
        <v>276</v>
      </c>
      <c r="AR1310" s="150" t="s">
        <v>276</v>
      </c>
      <c r="AS1310" s="159">
        <f>AJ1310*100/AL1310</f>
        <v>71.794871794871796</v>
      </c>
      <c r="AT1310" s="150" t="s">
        <v>276</v>
      </c>
      <c r="AU1310" s="150" t="s">
        <v>276</v>
      </c>
      <c r="AV1310" s="150" t="s">
        <v>7997</v>
      </c>
      <c r="AW1310" s="150" t="s">
        <v>276</v>
      </c>
      <c r="AX1310" s="159">
        <f t="shared" si="393"/>
        <v>0.62045454545454548</v>
      </c>
      <c r="AY1310" s="150" t="s">
        <v>276</v>
      </c>
      <c r="AZ1310" s="150" t="s">
        <v>276</v>
      </c>
      <c r="BA1310" s="150" t="s">
        <v>276</v>
      </c>
      <c r="BB1310" s="150" t="s">
        <v>282</v>
      </c>
      <c r="BC1310" s="150" t="s">
        <v>276</v>
      </c>
      <c r="BD1310" s="150" t="s">
        <v>276</v>
      </c>
      <c r="BE1310" s="150" t="s">
        <v>276</v>
      </c>
      <c r="BF1310" s="151" t="s">
        <v>696</v>
      </c>
      <c r="BG1310" s="151"/>
      <c r="BH1310" s="9" t="s">
        <v>100</v>
      </c>
      <c r="BI1310" s="9" t="s">
        <v>100</v>
      </c>
      <c r="BJ1310" s="171"/>
      <c r="BN1310" s="171"/>
      <c r="BO1310" s="171"/>
    </row>
    <row r="1311" spans="1:67" s="183" customFormat="1" ht="65" x14ac:dyDescent="0.35">
      <c r="A1311" s="175">
        <v>531</v>
      </c>
      <c r="B1311" s="176" t="s">
        <v>7888</v>
      </c>
      <c r="C1311" s="176" t="s">
        <v>81</v>
      </c>
      <c r="D1311" s="176" t="s">
        <v>8046</v>
      </c>
      <c r="E1311" s="175" t="s">
        <v>39</v>
      </c>
      <c r="F1311" s="176" t="s">
        <v>263</v>
      </c>
      <c r="G1311" s="175" t="s">
        <v>225</v>
      </c>
      <c r="H1311" s="175" t="s">
        <v>225</v>
      </c>
      <c r="I1311" s="175" t="s">
        <v>114</v>
      </c>
      <c r="J1311" s="176" t="s">
        <v>98</v>
      </c>
      <c r="K1311" s="175" t="s">
        <v>98</v>
      </c>
      <c r="L1311" s="175" t="s">
        <v>98</v>
      </c>
      <c r="M1311" s="175" t="s">
        <v>98</v>
      </c>
      <c r="N1311" s="175" t="s">
        <v>276</v>
      </c>
      <c r="O1311" s="176" t="s">
        <v>276</v>
      </c>
      <c r="P1311" s="176" t="s">
        <v>236</v>
      </c>
      <c r="Q1311" s="304">
        <v>30498</v>
      </c>
      <c r="R1311" s="176" t="s">
        <v>276</v>
      </c>
      <c r="S1311" s="176" t="s">
        <v>7894</v>
      </c>
      <c r="T1311" s="176" t="s">
        <v>98</v>
      </c>
      <c r="U1311" s="176">
        <v>18</v>
      </c>
      <c r="V1311" s="175" t="s">
        <v>14</v>
      </c>
      <c r="W1311" s="175" t="s">
        <v>98</v>
      </c>
      <c r="X1311" s="176" t="s">
        <v>209</v>
      </c>
      <c r="Y1311" s="180" t="s">
        <v>98</v>
      </c>
      <c r="Z1311" s="176" t="s">
        <v>98</v>
      </c>
      <c r="AA1311" s="176" t="s">
        <v>276</v>
      </c>
      <c r="AB1311" s="176" t="s">
        <v>98</v>
      </c>
      <c r="AC1311" s="175" t="s">
        <v>276</v>
      </c>
      <c r="AD1311" s="175" t="s">
        <v>276</v>
      </c>
      <c r="AE1311" s="175" t="s">
        <v>98</v>
      </c>
      <c r="AF1311" s="175" t="s">
        <v>98</v>
      </c>
      <c r="AG1311" s="176" t="s">
        <v>8047</v>
      </c>
      <c r="AH1311" s="176" t="s">
        <v>8048</v>
      </c>
      <c r="AI1311" s="179">
        <v>90</v>
      </c>
      <c r="AJ1311" s="179" t="s">
        <v>98</v>
      </c>
      <c r="AK1311" s="179">
        <v>206</v>
      </c>
      <c r="AL1311" s="179" t="s">
        <v>98</v>
      </c>
      <c r="AM1311" s="179" t="s">
        <v>292</v>
      </c>
      <c r="AN1311" s="175" t="s">
        <v>276</v>
      </c>
      <c r="AO1311" s="181">
        <f t="shared" si="394"/>
        <v>43.689320388349515</v>
      </c>
      <c r="AP1311" s="175" t="s">
        <v>276</v>
      </c>
      <c r="AQ1311" s="175" t="s">
        <v>276</v>
      </c>
      <c r="AR1311" s="175" t="s">
        <v>98</v>
      </c>
      <c r="AS1311" s="175" t="s">
        <v>98</v>
      </c>
      <c r="AT1311" s="175" t="s">
        <v>98</v>
      </c>
      <c r="AU1311" s="175" t="s">
        <v>98</v>
      </c>
      <c r="AV1311" s="175" t="s">
        <v>98</v>
      </c>
      <c r="AW1311" s="175" t="s">
        <v>98</v>
      </c>
      <c r="AX1311" s="175" t="s">
        <v>98</v>
      </c>
      <c r="AY1311" s="175" t="s">
        <v>98</v>
      </c>
      <c r="AZ1311" s="175" t="s">
        <v>98</v>
      </c>
      <c r="BA1311" s="175" t="s">
        <v>98</v>
      </c>
      <c r="BB1311" s="175" t="s">
        <v>98</v>
      </c>
      <c r="BC1311" s="175" t="s">
        <v>98</v>
      </c>
      <c r="BD1311" s="175" t="s">
        <v>98</v>
      </c>
      <c r="BE1311" s="175" t="s">
        <v>98</v>
      </c>
      <c r="BF1311" s="176" t="s">
        <v>8049</v>
      </c>
      <c r="BG1311" s="176" t="s">
        <v>11464</v>
      </c>
      <c r="BH1311" s="9" t="s">
        <v>99</v>
      </c>
      <c r="BI1311" s="9" t="s">
        <v>100</v>
      </c>
      <c r="BJ1311" s="182"/>
      <c r="BN1311" s="182"/>
      <c r="BO1311" s="182"/>
    </row>
    <row r="1312" spans="1:67" s="183" customFormat="1" ht="65" hidden="1" x14ac:dyDescent="0.35">
      <c r="A1312" s="175">
        <v>531</v>
      </c>
      <c r="B1312" s="176" t="s">
        <v>7888</v>
      </c>
      <c r="C1312" s="176" t="s">
        <v>81</v>
      </c>
      <c r="D1312" s="176" t="s">
        <v>8050</v>
      </c>
      <c r="E1312" s="175" t="s">
        <v>39</v>
      </c>
      <c r="F1312" s="176" t="s">
        <v>263</v>
      </c>
      <c r="G1312" s="175" t="s">
        <v>225</v>
      </c>
      <c r="H1312" s="175" t="s">
        <v>225</v>
      </c>
      <c r="I1312" s="175" t="s">
        <v>114</v>
      </c>
      <c r="J1312" s="176" t="s">
        <v>98</v>
      </c>
      <c r="K1312" s="175" t="s">
        <v>98</v>
      </c>
      <c r="L1312" s="175" t="s">
        <v>98</v>
      </c>
      <c r="M1312" s="175" t="s">
        <v>98</v>
      </c>
      <c r="N1312" s="175" t="s">
        <v>276</v>
      </c>
      <c r="O1312" s="176" t="s">
        <v>276</v>
      </c>
      <c r="P1312" s="176" t="s">
        <v>238</v>
      </c>
      <c r="Q1312" s="304">
        <v>30498</v>
      </c>
      <c r="R1312" s="176" t="s">
        <v>276</v>
      </c>
      <c r="S1312" s="176" t="s">
        <v>7894</v>
      </c>
      <c r="T1312" s="176" t="s">
        <v>98</v>
      </c>
      <c r="U1312" s="176">
        <v>18</v>
      </c>
      <c r="V1312" s="175" t="s">
        <v>14</v>
      </c>
      <c r="W1312" s="175" t="s">
        <v>98</v>
      </c>
      <c r="X1312" s="176" t="s">
        <v>209</v>
      </c>
      <c r="Y1312" s="180">
        <v>4618</v>
      </c>
      <c r="Z1312" s="176" t="s">
        <v>98</v>
      </c>
      <c r="AA1312" s="176" t="s">
        <v>276</v>
      </c>
      <c r="AB1312" s="176" t="s">
        <v>98</v>
      </c>
      <c r="AC1312" s="175" t="s">
        <v>276</v>
      </c>
      <c r="AD1312" s="175" t="s">
        <v>276</v>
      </c>
      <c r="AE1312" s="175" t="s">
        <v>98</v>
      </c>
      <c r="AF1312" s="175" t="s">
        <v>98</v>
      </c>
      <c r="AG1312" s="176" t="s">
        <v>8047</v>
      </c>
      <c r="AH1312" s="176" t="s">
        <v>689</v>
      </c>
      <c r="AI1312" s="179">
        <v>90</v>
      </c>
      <c r="AJ1312" s="179" t="s">
        <v>98</v>
      </c>
      <c r="AK1312" s="179">
        <v>4618</v>
      </c>
      <c r="AL1312" s="179" t="s">
        <v>98</v>
      </c>
      <c r="AM1312" s="179" t="s">
        <v>292</v>
      </c>
      <c r="AN1312" s="175" t="s">
        <v>276</v>
      </c>
      <c r="AO1312" s="201">
        <f t="shared" si="394"/>
        <v>1.9488956258120398</v>
      </c>
      <c r="AP1312" s="175" t="s">
        <v>276</v>
      </c>
      <c r="AQ1312" s="175" t="s">
        <v>276</v>
      </c>
      <c r="AR1312" s="175" t="s">
        <v>98</v>
      </c>
      <c r="AS1312" s="175" t="s">
        <v>98</v>
      </c>
      <c r="AT1312" s="175" t="s">
        <v>98</v>
      </c>
      <c r="AU1312" s="175" t="s">
        <v>98</v>
      </c>
      <c r="AV1312" s="175" t="s">
        <v>98</v>
      </c>
      <c r="AW1312" s="175" t="s">
        <v>98</v>
      </c>
      <c r="AX1312" s="175" t="s">
        <v>98</v>
      </c>
      <c r="AY1312" s="175" t="s">
        <v>98</v>
      </c>
      <c r="AZ1312" s="175" t="s">
        <v>98</v>
      </c>
      <c r="BA1312" s="175" t="s">
        <v>98</v>
      </c>
      <c r="BB1312" s="175" t="s">
        <v>98</v>
      </c>
      <c r="BC1312" s="175" t="s">
        <v>98</v>
      </c>
      <c r="BD1312" s="175" t="s">
        <v>98</v>
      </c>
      <c r="BE1312" s="175" t="s">
        <v>98</v>
      </c>
      <c r="BF1312" s="176" t="s">
        <v>8049</v>
      </c>
      <c r="BG1312" s="176" t="s">
        <v>11464</v>
      </c>
      <c r="BH1312" s="9" t="s">
        <v>100</v>
      </c>
      <c r="BI1312" s="9" t="s">
        <v>100</v>
      </c>
      <c r="BJ1312" s="182"/>
      <c r="BN1312" s="182"/>
      <c r="BO1312" s="182"/>
    </row>
    <row r="1313" spans="1:67" s="194" customFormat="1" ht="65" hidden="1" x14ac:dyDescent="0.35">
      <c r="A1313" s="184">
        <v>531</v>
      </c>
      <c r="B1313" s="185" t="s">
        <v>7888</v>
      </c>
      <c r="C1313" s="185" t="s">
        <v>81</v>
      </c>
      <c r="D1313" s="185" t="s">
        <v>8051</v>
      </c>
      <c r="E1313" s="184" t="s">
        <v>39</v>
      </c>
      <c r="F1313" s="185" t="s">
        <v>263</v>
      </c>
      <c r="G1313" s="184" t="s">
        <v>225</v>
      </c>
      <c r="H1313" s="184" t="s">
        <v>125</v>
      </c>
      <c r="I1313" s="184" t="s">
        <v>114</v>
      </c>
      <c r="J1313" s="185" t="s">
        <v>1024</v>
      </c>
      <c r="K1313" s="185" t="s">
        <v>8052</v>
      </c>
      <c r="L1313" s="185" t="s">
        <v>8053</v>
      </c>
      <c r="M1313" s="185" t="s">
        <v>8054</v>
      </c>
      <c r="N1313" s="184" t="s">
        <v>276</v>
      </c>
      <c r="O1313" s="185" t="s">
        <v>276</v>
      </c>
      <c r="P1313" s="185" t="s">
        <v>239</v>
      </c>
      <c r="Q1313" s="302" t="s">
        <v>276</v>
      </c>
      <c r="R1313" s="185" t="s">
        <v>733</v>
      </c>
      <c r="S1313" s="185" t="s">
        <v>276</v>
      </c>
      <c r="T1313" s="185" t="s">
        <v>276</v>
      </c>
      <c r="U1313" s="185">
        <v>18</v>
      </c>
      <c r="V1313" s="184" t="s">
        <v>14</v>
      </c>
      <c r="W1313" s="184" t="s">
        <v>98</v>
      </c>
      <c r="X1313" s="185" t="s">
        <v>207</v>
      </c>
      <c r="Y1313" s="189">
        <v>4618</v>
      </c>
      <c r="Z1313" s="185">
        <v>4593</v>
      </c>
      <c r="AA1313" s="185" t="s">
        <v>276</v>
      </c>
      <c r="AB1313" s="185" t="s">
        <v>276</v>
      </c>
      <c r="AC1313" s="184" t="s">
        <v>276</v>
      </c>
      <c r="AD1313" s="184" t="s">
        <v>276</v>
      </c>
      <c r="AE1313" s="184" t="s">
        <v>276</v>
      </c>
      <c r="AF1313" s="184" t="s">
        <v>276</v>
      </c>
      <c r="AG1313" s="185" t="s">
        <v>8055</v>
      </c>
      <c r="AH1313" s="185" t="s">
        <v>689</v>
      </c>
      <c r="AI1313" s="188">
        <v>77</v>
      </c>
      <c r="AJ1313" s="188">
        <v>26</v>
      </c>
      <c r="AK1313" s="188">
        <v>4618</v>
      </c>
      <c r="AL1313" s="188">
        <v>4593</v>
      </c>
      <c r="AM1313" s="188" t="s">
        <v>292</v>
      </c>
      <c r="AN1313" s="184" t="s">
        <v>276</v>
      </c>
      <c r="AO1313" s="192">
        <f t="shared" si="394"/>
        <v>1.6673884798614118</v>
      </c>
      <c r="AP1313" s="184" t="s">
        <v>276</v>
      </c>
      <c r="AQ1313" s="184" t="s">
        <v>276</v>
      </c>
      <c r="AR1313" s="184" t="s">
        <v>276</v>
      </c>
      <c r="AS1313" s="192">
        <f t="shared" ref="AS1313:AS1321" si="395">AJ1313*100/AL1313</f>
        <v>0.56607881558893969</v>
      </c>
      <c r="AT1313" s="184" t="s">
        <v>276</v>
      </c>
      <c r="AU1313" s="184" t="s">
        <v>276</v>
      </c>
      <c r="AV1313" s="184" t="s">
        <v>268</v>
      </c>
      <c r="AW1313" s="184" t="s">
        <v>276</v>
      </c>
      <c r="AX1313" s="192">
        <f t="shared" ref="AX1313:AX1321" si="396">AO1313/AS1313</f>
        <v>2.9455058800013325</v>
      </c>
      <c r="AY1313" s="184" t="s">
        <v>276</v>
      </c>
      <c r="AZ1313" s="184" t="s">
        <v>276</v>
      </c>
      <c r="BA1313" s="184" t="s">
        <v>276</v>
      </c>
      <c r="BB1313" s="184" t="s">
        <v>282</v>
      </c>
      <c r="BC1313" s="184" t="s">
        <v>276</v>
      </c>
      <c r="BD1313" s="184" t="s">
        <v>276</v>
      </c>
      <c r="BE1313" s="184" t="s">
        <v>276</v>
      </c>
      <c r="BF1313" s="185" t="s">
        <v>2185</v>
      </c>
      <c r="BG1313" s="185"/>
      <c r="BH1313" s="9" t="s">
        <v>100</v>
      </c>
      <c r="BI1313" s="9" t="s">
        <v>100</v>
      </c>
      <c r="BJ1313" s="193"/>
      <c r="BN1313" s="193"/>
      <c r="BO1313" s="193"/>
    </row>
    <row r="1314" spans="1:67" s="194" customFormat="1" ht="78" hidden="1" x14ac:dyDescent="0.35">
      <c r="A1314" s="184">
        <v>531</v>
      </c>
      <c r="B1314" s="185" t="s">
        <v>7888</v>
      </c>
      <c r="C1314" s="185" t="s">
        <v>81</v>
      </c>
      <c r="D1314" s="185" t="s">
        <v>8056</v>
      </c>
      <c r="E1314" s="184" t="s">
        <v>39</v>
      </c>
      <c r="F1314" s="185" t="s">
        <v>263</v>
      </c>
      <c r="G1314" s="184" t="s">
        <v>225</v>
      </c>
      <c r="H1314" s="184" t="s">
        <v>125</v>
      </c>
      <c r="I1314" s="184" t="s">
        <v>114</v>
      </c>
      <c r="J1314" s="185" t="s">
        <v>1024</v>
      </c>
      <c r="K1314" s="185" t="s">
        <v>8052</v>
      </c>
      <c r="L1314" s="185" t="s">
        <v>8053</v>
      </c>
      <c r="M1314" s="185" t="s">
        <v>8054</v>
      </c>
      <c r="N1314" s="184" t="s">
        <v>276</v>
      </c>
      <c r="O1314" s="185" t="s">
        <v>276</v>
      </c>
      <c r="P1314" s="185" t="s">
        <v>239</v>
      </c>
      <c r="Q1314" s="302">
        <v>30498</v>
      </c>
      <c r="R1314" s="185" t="s">
        <v>276</v>
      </c>
      <c r="S1314" s="185" t="s">
        <v>7894</v>
      </c>
      <c r="T1314" s="185" t="s">
        <v>7894</v>
      </c>
      <c r="U1314" s="185">
        <v>18</v>
      </c>
      <c r="V1314" s="184" t="s">
        <v>14</v>
      </c>
      <c r="W1314" s="184" t="s">
        <v>98</v>
      </c>
      <c r="X1314" s="185" t="s">
        <v>207</v>
      </c>
      <c r="Y1314" s="189">
        <v>4618</v>
      </c>
      <c r="Z1314" s="185">
        <v>4593</v>
      </c>
      <c r="AA1314" s="185" t="s">
        <v>276</v>
      </c>
      <c r="AB1314" s="185" t="s">
        <v>276</v>
      </c>
      <c r="AC1314" s="184" t="s">
        <v>276</v>
      </c>
      <c r="AD1314" s="184" t="s">
        <v>276</v>
      </c>
      <c r="AE1314" s="184" t="s">
        <v>276</v>
      </c>
      <c r="AF1314" s="184" t="s">
        <v>276</v>
      </c>
      <c r="AG1314" s="185" t="s">
        <v>8057</v>
      </c>
      <c r="AH1314" s="185" t="s">
        <v>689</v>
      </c>
      <c r="AI1314" s="188">
        <v>94</v>
      </c>
      <c r="AJ1314" s="188">
        <v>51</v>
      </c>
      <c r="AK1314" s="188">
        <v>4618</v>
      </c>
      <c r="AL1314" s="188">
        <v>4593</v>
      </c>
      <c r="AM1314" s="188" t="s">
        <v>292</v>
      </c>
      <c r="AN1314" s="184" t="s">
        <v>276</v>
      </c>
      <c r="AO1314" s="192">
        <f t="shared" si="394"/>
        <v>2.0355132091814641</v>
      </c>
      <c r="AP1314" s="184" t="s">
        <v>276</v>
      </c>
      <c r="AQ1314" s="184" t="s">
        <v>276</v>
      </c>
      <c r="AR1314" s="184" t="s">
        <v>276</v>
      </c>
      <c r="AS1314" s="192">
        <f t="shared" si="395"/>
        <v>1.1103853690398433</v>
      </c>
      <c r="AT1314" s="184" t="s">
        <v>276</v>
      </c>
      <c r="AU1314" s="184" t="s">
        <v>276</v>
      </c>
      <c r="AV1314" s="184" t="s">
        <v>268</v>
      </c>
      <c r="AW1314" s="184" t="s">
        <v>276</v>
      </c>
      <c r="AX1314" s="192">
        <f t="shared" si="396"/>
        <v>1.8331592489746007</v>
      </c>
      <c r="AY1314" s="184" t="s">
        <v>276</v>
      </c>
      <c r="AZ1314" s="184" t="s">
        <v>276</v>
      </c>
      <c r="BA1314" s="184" t="s">
        <v>276</v>
      </c>
      <c r="BB1314" s="184" t="s">
        <v>282</v>
      </c>
      <c r="BC1314" s="184" t="s">
        <v>276</v>
      </c>
      <c r="BD1314" s="184" t="s">
        <v>276</v>
      </c>
      <c r="BE1314" s="184" t="s">
        <v>276</v>
      </c>
      <c r="BF1314" s="185" t="s">
        <v>8058</v>
      </c>
      <c r="BG1314" s="185" t="s">
        <v>11464</v>
      </c>
      <c r="BH1314" s="9" t="s">
        <v>100</v>
      </c>
      <c r="BI1314" s="9" t="s">
        <v>100</v>
      </c>
      <c r="BJ1314" s="193"/>
      <c r="BN1314" s="193"/>
      <c r="BO1314" s="193"/>
    </row>
    <row r="1315" spans="1:67" s="183" customFormat="1" ht="52" hidden="1" x14ac:dyDescent="0.35">
      <c r="A1315" s="175">
        <v>531</v>
      </c>
      <c r="B1315" s="176" t="s">
        <v>7888</v>
      </c>
      <c r="C1315" s="176" t="s">
        <v>81</v>
      </c>
      <c r="D1315" s="176" t="s">
        <v>8059</v>
      </c>
      <c r="E1315" s="175" t="s">
        <v>39</v>
      </c>
      <c r="F1315" s="176" t="s">
        <v>263</v>
      </c>
      <c r="G1315" s="175" t="s">
        <v>225</v>
      </c>
      <c r="H1315" s="175" t="s">
        <v>125</v>
      </c>
      <c r="I1315" s="175" t="s">
        <v>114</v>
      </c>
      <c r="J1315" s="176" t="s">
        <v>1024</v>
      </c>
      <c r="K1315" s="176" t="s">
        <v>8060</v>
      </c>
      <c r="L1315" s="176" t="s">
        <v>8053</v>
      </c>
      <c r="M1315" s="176" t="s">
        <v>8054</v>
      </c>
      <c r="N1315" s="175" t="s">
        <v>276</v>
      </c>
      <c r="O1315" s="176" t="s">
        <v>276</v>
      </c>
      <c r="P1315" s="176" t="s">
        <v>239</v>
      </c>
      <c r="Q1315" s="304" t="s">
        <v>276</v>
      </c>
      <c r="R1315" s="176" t="s">
        <v>733</v>
      </c>
      <c r="S1315" s="176" t="s">
        <v>276</v>
      </c>
      <c r="T1315" s="176" t="s">
        <v>276</v>
      </c>
      <c r="U1315" s="176">
        <v>18</v>
      </c>
      <c r="V1315" s="175" t="s">
        <v>14</v>
      </c>
      <c r="W1315" s="175" t="s">
        <v>98</v>
      </c>
      <c r="X1315" s="176" t="s">
        <v>207</v>
      </c>
      <c r="Y1315" s="180">
        <v>4618</v>
      </c>
      <c r="Z1315" s="176">
        <v>4593</v>
      </c>
      <c r="AA1315" s="176" t="s">
        <v>276</v>
      </c>
      <c r="AB1315" s="176" t="s">
        <v>276</v>
      </c>
      <c r="AC1315" s="175" t="s">
        <v>276</v>
      </c>
      <c r="AD1315" s="175" t="s">
        <v>276</v>
      </c>
      <c r="AE1315" s="175" t="s">
        <v>276</v>
      </c>
      <c r="AF1315" s="175" t="s">
        <v>276</v>
      </c>
      <c r="AG1315" s="176" t="s">
        <v>8061</v>
      </c>
      <c r="AH1315" s="176" t="s">
        <v>689</v>
      </c>
      <c r="AI1315" s="179">
        <v>66</v>
      </c>
      <c r="AJ1315" s="179">
        <v>61</v>
      </c>
      <c r="AK1315" s="179">
        <v>4618</v>
      </c>
      <c r="AL1315" s="179">
        <v>4593</v>
      </c>
      <c r="AM1315" s="179" t="s">
        <v>292</v>
      </c>
      <c r="AN1315" s="175" t="s">
        <v>276</v>
      </c>
      <c r="AO1315" s="181">
        <f t="shared" si="394"/>
        <v>1.429190125595496</v>
      </c>
      <c r="AP1315" s="175" t="s">
        <v>276</v>
      </c>
      <c r="AQ1315" s="175" t="s">
        <v>276</v>
      </c>
      <c r="AR1315" s="175" t="s">
        <v>276</v>
      </c>
      <c r="AS1315" s="181">
        <f t="shared" si="395"/>
        <v>1.3281079904202047</v>
      </c>
      <c r="AT1315" s="175" t="s">
        <v>276</v>
      </c>
      <c r="AU1315" s="175" t="s">
        <v>276</v>
      </c>
      <c r="AV1315" s="175" t="s">
        <v>268</v>
      </c>
      <c r="AW1315" s="175" t="s">
        <v>276</v>
      </c>
      <c r="AX1315" s="181">
        <f t="shared" si="396"/>
        <v>1.0761098765344448</v>
      </c>
      <c r="AY1315" s="175" t="s">
        <v>276</v>
      </c>
      <c r="AZ1315" s="175" t="s">
        <v>276</v>
      </c>
      <c r="BA1315" s="175" t="s">
        <v>276</v>
      </c>
      <c r="BB1315" s="175" t="s">
        <v>282</v>
      </c>
      <c r="BC1315" s="175" t="s">
        <v>276</v>
      </c>
      <c r="BD1315" s="175" t="s">
        <v>276</v>
      </c>
      <c r="BE1315" s="175" t="s">
        <v>276</v>
      </c>
      <c r="BF1315" s="176" t="s">
        <v>800</v>
      </c>
      <c r="BG1315" s="176"/>
      <c r="BH1315" s="9" t="s">
        <v>100</v>
      </c>
      <c r="BI1315" s="9" t="s">
        <v>100</v>
      </c>
      <c r="BJ1315" s="182"/>
      <c r="BN1315" s="182"/>
      <c r="BO1315" s="182"/>
    </row>
    <row r="1316" spans="1:67" s="183" customFormat="1" ht="65" hidden="1" x14ac:dyDescent="0.35">
      <c r="A1316" s="175">
        <v>531</v>
      </c>
      <c r="B1316" s="176" t="s">
        <v>7888</v>
      </c>
      <c r="C1316" s="176" t="s">
        <v>81</v>
      </c>
      <c r="D1316" s="176" t="s">
        <v>8062</v>
      </c>
      <c r="E1316" s="175" t="s">
        <v>39</v>
      </c>
      <c r="F1316" s="176" t="s">
        <v>263</v>
      </c>
      <c r="G1316" s="175" t="s">
        <v>225</v>
      </c>
      <c r="H1316" s="175" t="s">
        <v>125</v>
      </c>
      <c r="I1316" s="175" t="s">
        <v>114</v>
      </c>
      <c r="J1316" s="176" t="s">
        <v>1024</v>
      </c>
      <c r="K1316" s="176" t="s">
        <v>8060</v>
      </c>
      <c r="L1316" s="176" t="s">
        <v>8053</v>
      </c>
      <c r="M1316" s="176" t="s">
        <v>8054</v>
      </c>
      <c r="N1316" s="175" t="s">
        <v>276</v>
      </c>
      <c r="O1316" s="176" t="s">
        <v>276</v>
      </c>
      <c r="P1316" s="176" t="s">
        <v>239</v>
      </c>
      <c r="Q1316" s="304">
        <v>30498</v>
      </c>
      <c r="R1316" s="176" t="s">
        <v>276</v>
      </c>
      <c r="S1316" s="176" t="s">
        <v>7894</v>
      </c>
      <c r="T1316" s="176" t="s">
        <v>7894</v>
      </c>
      <c r="U1316" s="176">
        <v>18</v>
      </c>
      <c r="V1316" s="175" t="s">
        <v>14</v>
      </c>
      <c r="W1316" s="175" t="s">
        <v>98</v>
      </c>
      <c r="X1316" s="176" t="s">
        <v>207</v>
      </c>
      <c r="Y1316" s="180">
        <v>4618</v>
      </c>
      <c r="Z1316" s="176">
        <v>4593</v>
      </c>
      <c r="AA1316" s="176" t="s">
        <v>276</v>
      </c>
      <c r="AB1316" s="176" t="s">
        <v>276</v>
      </c>
      <c r="AC1316" s="175" t="s">
        <v>276</v>
      </c>
      <c r="AD1316" s="175" t="s">
        <v>276</v>
      </c>
      <c r="AE1316" s="175" t="s">
        <v>276</v>
      </c>
      <c r="AF1316" s="175" t="s">
        <v>276</v>
      </c>
      <c r="AG1316" s="176" t="s">
        <v>8063</v>
      </c>
      <c r="AH1316" s="176" t="s">
        <v>689</v>
      </c>
      <c r="AI1316" s="179">
        <v>112</v>
      </c>
      <c r="AJ1316" s="179">
        <v>109</v>
      </c>
      <c r="AK1316" s="179">
        <v>4618</v>
      </c>
      <c r="AL1316" s="179">
        <v>4593</v>
      </c>
      <c r="AM1316" s="179" t="s">
        <v>292</v>
      </c>
      <c r="AN1316" s="175" t="s">
        <v>276</v>
      </c>
      <c r="AO1316" s="181">
        <f t="shared" si="394"/>
        <v>2.4252923343438719</v>
      </c>
      <c r="AP1316" s="175" t="s">
        <v>276</v>
      </c>
      <c r="AQ1316" s="175" t="s">
        <v>276</v>
      </c>
      <c r="AR1316" s="175" t="s">
        <v>276</v>
      </c>
      <c r="AS1316" s="181">
        <f t="shared" si="395"/>
        <v>2.3731765730459395</v>
      </c>
      <c r="AT1316" s="175" t="s">
        <v>276</v>
      </c>
      <c r="AU1316" s="175" t="s">
        <v>276</v>
      </c>
      <c r="AV1316" s="175" t="s">
        <v>268</v>
      </c>
      <c r="AW1316" s="175" t="s">
        <v>276</v>
      </c>
      <c r="AX1316" s="181">
        <f t="shared" si="396"/>
        <v>1.0219603386826976</v>
      </c>
      <c r="AY1316" s="175" t="s">
        <v>276</v>
      </c>
      <c r="AZ1316" s="175" t="s">
        <v>276</v>
      </c>
      <c r="BA1316" s="175" t="s">
        <v>276</v>
      </c>
      <c r="BB1316" s="175" t="s">
        <v>282</v>
      </c>
      <c r="BC1316" s="175" t="s">
        <v>276</v>
      </c>
      <c r="BD1316" s="175" t="s">
        <v>276</v>
      </c>
      <c r="BE1316" s="175" t="s">
        <v>276</v>
      </c>
      <c r="BF1316" s="176" t="s">
        <v>8064</v>
      </c>
      <c r="BG1316" s="176" t="s">
        <v>11464</v>
      </c>
      <c r="BH1316" s="9" t="s">
        <v>100</v>
      </c>
      <c r="BI1316" s="9" t="s">
        <v>100</v>
      </c>
      <c r="BJ1316" s="182"/>
      <c r="BN1316" s="182"/>
      <c r="BO1316" s="182"/>
    </row>
    <row r="1317" spans="1:67" s="194" customFormat="1" ht="78" hidden="1" x14ac:dyDescent="0.35">
      <c r="A1317" s="184">
        <v>531</v>
      </c>
      <c r="B1317" s="185" t="s">
        <v>7888</v>
      </c>
      <c r="C1317" s="185" t="s">
        <v>81</v>
      </c>
      <c r="D1317" s="185" t="s">
        <v>8065</v>
      </c>
      <c r="E1317" s="184" t="s">
        <v>39</v>
      </c>
      <c r="F1317" s="185" t="s">
        <v>263</v>
      </c>
      <c r="G1317" s="184" t="s">
        <v>225</v>
      </c>
      <c r="H1317" s="184" t="s">
        <v>125</v>
      </c>
      <c r="I1317" s="184" t="s">
        <v>114</v>
      </c>
      <c r="J1317" s="185" t="s">
        <v>25</v>
      </c>
      <c r="K1317" s="185" t="s">
        <v>8066</v>
      </c>
      <c r="L1317" s="185" t="s">
        <v>8053</v>
      </c>
      <c r="M1317" s="185" t="s">
        <v>8054</v>
      </c>
      <c r="N1317" s="184" t="s">
        <v>276</v>
      </c>
      <c r="O1317" s="185" t="s">
        <v>276</v>
      </c>
      <c r="P1317" s="185" t="s">
        <v>239</v>
      </c>
      <c r="Q1317" s="302">
        <v>30498</v>
      </c>
      <c r="R1317" s="185" t="s">
        <v>276</v>
      </c>
      <c r="S1317" s="185" t="s">
        <v>7894</v>
      </c>
      <c r="T1317" s="185" t="s">
        <v>7894</v>
      </c>
      <c r="U1317" s="185">
        <v>18</v>
      </c>
      <c r="V1317" s="184" t="s">
        <v>14</v>
      </c>
      <c r="W1317" s="184" t="s">
        <v>98</v>
      </c>
      <c r="X1317" s="185" t="s">
        <v>207</v>
      </c>
      <c r="Y1317" s="189">
        <v>4618</v>
      </c>
      <c r="Z1317" s="185">
        <v>4593</v>
      </c>
      <c r="AA1317" s="185" t="s">
        <v>276</v>
      </c>
      <c r="AB1317" s="185" t="s">
        <v>276</v>
      </c>
      <c r="AC1317" s="184">
        <v>0</v>
      </c>
      <c r="AD1317" s="184" t="s">
        <v>98</v>
      </c>
      <c r="AE1317" s="184">
        <v>0</v>
      </c>
      <c r="AF1317" s="184" t="s">
        <v>98</v>
      </c>
      <c r="AG1317" s="185" t="s">
        <v>8067</v>
      </c>
      <c r="AH1317" s="185" t="s">
        <v>689</v>
      </c>
      <c r="AI1317" s="188">
        <v>83</v>
      </c>
      <c r="AJ1317" s="188">
        <v>41</v>
      </c>
      <c r="AK1317" s="188">
        <v>4618</v>
      </c>
      <c r="AL1317" s="188">
        <v>4593</v>
      </c>
      <c r="AM1317" s="188" t="s">
        <v>292</v>
      </c>
      <c r="AN1317" s="184" t="s">
        <v>276</v>
      </c>
      <c r="AO1317" s="192">
        <f t="shared" si="394"/>
        <v>1.7973148549155478</v>
      </c>
      <c r="AP1317" s="184" t="s">
        <v>276</v>
      </c>
      <c r="AQ1317" s="184" t="s">
        <v>276</v>
      </c>
      <c r="AR1317" s="184" t="s">
        <v>276</v>
      </c>
      <c r="AS1317" s="192">
        <f t="shared" si="395"/>
        <v>0.89266274765948184</v>
      </c>
      <c r="AT1317" s="184" t="s">
        <v>276</v>
      </c>
      <c r="AU1317" s="184" t="s">
        <v>276</v>
      </c>
      <c r="AV1317" s="184" t="s">
        <v>268</v>
      </c>
      <c r="AW1317" s="184" t="s">
        <v>276</v>
      </c>
      <c r="AX1317" s="192">
        <f t="shared" si="396"/>
        <v>2.0134310069822221</v>
      </c>
      <c r="AY1317" s="184" t="s">
        <v>276</v>
      </c>
      <c r="AZ1317" s="184" t="s">
        <v>276</v>
      </c>
      <c r="BA1317" s="184" t="s">
        <v>276</v>
      </c>
      <c r="BB1317" s="184" t="s">
        <v>282</v>
      </c>
      <c r="BC1317" s="184" t="s">
        <v>276</v>
      </c>
      <c r="BD1317" s="184" t="s">
        <v>276</v>
      </c>
      <c r="BE1317" s="184" t="s">
        <v>276</v>
      </c>
      <c r="BF1317" s="185" t="s">
        <v>8068</v>
      </c>
      <c r="BG1317" s="185"/>
      <c r="BH1317" s="9" t="s">
        <v>100</v>
      </c>
      <c r="BI1317" s="9" t="s">
        <v>100</v>
      </c>
      <c r="BJ1317" s="193"/>
      <c r="BN1317" s="193"/>
      <c r="BO1317" s="193"/>
    </row>
    <row r="1318" spans="1:67" s="194" customFormat="1" ht="78" hidden="1" x14ac:dyDescent="0.35">
      <c r="A1318" s="184">
        <v>531</v>
      </c>
      <c r="B1318" s="185" t="s">
        <v>7888</v>
      </c>
      <c r="C1318" s="185" t="s">
        <v>81</v>
      </c>
      <c r="D1318" s="185" t="s">
        <v>8069</v>
      </c>
      <c r="E1318" s="184" t="s">
        <v>39</v>
      </c>
      <c r="F1318" s="185" t="s">
        <v>263</v>
      </c>
      <c r="G1318" s="184" t="s">
        <v>225</v>
      </c>
      <c r="H1318" s="184" t="s">
        <v>125</v>
      </c>
      <c r="I1318" s="184" t="s">
        <v>114</v>
      </c>
      <c r="J1318" s="185" t="s">
        <v>25</v>
      </c>
      <c r="K1318" s="185" t="s">
        <v>317</v>
      </c>
      <c r="L1318" s="185" t="s">
        <v>8053</v>
      </c>
      <c r="M1318" s="185" t="s">
        <v>8054</v>
      </c>
      <c r="N1318" s="184" t="s">
        <v>276</v>
      </c>
      <c r="O1318" s="185" t="s">
        <v>276</v>
      </c>
      <c r="P1318" s="185" t="s">
        <v>239</v>
      </c>
      <c r="Q1318" s="302">
        <v>30498</v>
      </c>
      <c r="R1318" s="185" t="s">
        <v>276</v>
      </c>
      <c r="S1318" s="185" t="s">
        <v>7894</v>
      </c>
      <c r="T1318" s="185" t="s">
        <v>7894</v>
      </c>
      <c r="U1318" s="185">
        <v>18</v>
      </c>
      <c r="V1318" s="184" t="s">
        <v>14</v>
      </c>
      <c r="W1318" s="184" t="s">
        <v>98</v>
      </c>
      <c r="X1318" s="185" t="s">
        <v>207</v>
      </c>
      <c r="Y1318" s="189">
        <v>4618</v>
      </c>
      <c r="Z1318" s="185">
        <v>4593</v>
      </c>
      <c r="AA1318" s="185" t="s">
        <v>276</v>
      </c>
      <c r="AB1318" s="185" t="s">
        <v>276</v>
      </c>
      <c r="AC1318" s="184">
        <v>0</v>
      </c>
      <c r="AD1318" s="184" t="s">
        <v>98</v>
      </c>
      <c r="AE1318" s="184">
        <v>0</v>
      </c>
      <c r="AF1318" s="184" t="s">
        <v>98</v>
      </c>
      <c r="AG1318" s="185" t="s">
        <v>8070</v>
      </c>
      <c r="AH1318" s="185" t="s">
        <v>689</v>
      </c>
      <c r="AI1318" s="188">
        <v>123</v>
      </c>
      <c r="AJ1318" s="188">
        <v>119</v>
      </c>
      <c r="AK1318" s="188">
        <v>4618</v>
      </c>
      <c r="AL1318" s="188">
        <v>4593</v>
      </c>
      <c r="AM1318" s="188" t="s">
        <v>292</v>
      </c>
      <c r="AN1318" s="184" t="s">
        <v>276</v>
      </c>
      <c r="AO1318" s="192">
        <f t="shared" si="394"/>
        <v>2.6634906886097878</v>
      </c>
      <c r="AP1318" s="184" t="s">
        <v>276</v>
      </c>
      <c r="AQ1318" s="184" t="s">
        <v>276</v>
      </c>
      <c r="AR1318" s="184" t="s">
        <v>276</v>
      </c>
      <c r="AS1318" s="192">
        <f t="shared" si="395"/>
        <v>2.5908991944263007</v>
      </c>
      <c r="AT1318" s="184" t="s">
        <v>276</v>
      </c>
      <c r="AU1318" s="184" t="s">
        <v>276</v>
      </c>
      <c r="AV1318" s="184" t="s">
        <v>268</v>
      </c>
      <c r="AW1318" s="184" t="s">
        <v>276</v>
      </c>
      <c r="AX1318" s="192">
        <f t="shared" si="396"/>
        <v>1.0280178767046013</v>
      </c>
      <c r="AY1318" s="184" t="s">
        <v>276</v>
      </c>
      <c r="AZ1318" s="184" t="s">
        <v>276</v>
      </c>
      <c r="BA1318" s="184" t="s">
        <v>276</v>
      </c>
      <c r="BB1318" s="184" t="s">
        <v>282</v>
      </c>
      <c r="BC1318" s="184" t="s">
        <v>276</v>
      </c>
      <c r="BD1318" s="184" t="s">
        <v>276</v>
      </c>
      <c r="BE1318" s="184" t="s">
        <v>276</v>
      </c>
      <c r="BF1318" s="185" t="s">
        <v>8071</v>
      </c>
      <c r="BG1318" s="185" t="s">
        <v>11464</v>
      </c>
      <c r="BH1318" s="9" t="s">
        <v>100</v>
      </c>
      <c r="BI1318" s="9" t="s">
        <v>100</v>
      </c>
      <c r="BJ1318" s="193"/>
      <c r="BN1318" s="193"/>
      <c r="BO1318" s="193"/>
    </row>
    <row r="1319" spans="1:67" s="183" customFormat="1" ht="78" hidden="1" x14ac:dyDescent="0.35">
      <c r="A1319" s="175">
        <v>531</v>
      </c>
      <c r="B1319" s="176" t="s">
        <v>7888</v>
      </c>
      <c r="C1319" s="176" t="s">
        <v>81</v>
      </c>
      <c r="D1319" s="176" t="s">
        <v>8072</v>
      </c>
      <c r="E1319" s="175" t="s">
        <v>39</v>
      </c>
      <c r="F1319" s="176" t="s">
        <v>263</v>
      </c>
      <c r="G1319" s="175" t="s">
        <v>225</v>
      </c>
      <c r="H1319" s="175" t="s">
        <v>125</v>
      </c>
      <c r="I1319" s="175" t="s">
        <v>114</v>
      </c>
      <c r="J1319" s="176" t="s">
        <v>25</v>
      </c>
      <c r="K1319" s="176" t="s">
        <v>8073</v>
      </c>
      <c r="L1319" s="176" t="s">
        <v>8053</v>
      </c>
      <c r="M1319" s="176" t="s">
        <v>8054</v>
      </c>
      <c r="N1319" s="175" t="s">
        <v>276</v>
      </c>
      <c r="O1319" s="176" t="s">
        <v>276</v>
      </c>
      <c r="P1319" s="176" t="s">
        <v>239</v>
      </c>
      <c r="Q1319" s="304">
        <v>30498</v>
      </c>
      <c r="R1319" s="176" t="s">
        <v>276</v>
      </c>
      <c r="S1319" s="176" t="s">
        <v>7894</v>
      </c>
      <c r="T1319" s="176" t="s">
        <v>7894</v>
      </c>
      <c r="U1319" s="176">
        <v>18</v>
      </c>
      <c r="V1319" s="175" t="s">
        <v>14</v>
      </c>
      <c r="W1319" s="175" t="s">
        <v>98</v>
      </c>
      <c r="X1319" s="176" t="s">
        <v>207</v>
      </c>
      <c r="Y1319" s="180">
        <v>4618</v>
      </c>
      <c r="Z1319" s="176">
        <v>4593</v>
      </c>
      <c r="AA1319" s="176" t="s">
        <v>276</v>
      </c>
      <c r="AB1319" s="176" t="s">
        <v>276</v>
      </c>
      <c r="AC1319" s="175">
        <v>0</v>
      </c>
      <c r="AD1319" s="175" t="s">
        <v>98</v>
      </c>
      <c r="AE1319" s="175">
        <v>0</v>
      </c>
      <c r="AF1319" s="175" t="s">
        <v>98</v>
      </c>
      <c r="AG1319" s="176" t="s">
        <v>8074</v>
      </c>
      <c r="AH1319" s="176" t="s">
        <v>689</v>
      </c>
      <c r="AI1319" s="179">
        <v>99</v>
      </c>
      <c r="AJ1319" s="179">
        <v>51</v>
      </c>
      <c r="AK1319" s="179">
        <v>4618</v>
      </c>
      <c r="AL1319" s="179">
        <v>4593</v>
      </c>
      <c r="AM1319" s="179" t="s">
        <v>292</v>
      </c>
      <c r="AN1319" s="175" t="s">
        <v>276</v>
      </c>
      <c r="AO1319" s="181">
        <f t="shared" si="394"/>
        <v>2.1437851883932439</v>
      </c>
      <c r="AP1319" s="175" t="s">
        <v>276</v>
      </c>
      <c r="AQ1319" s="175" t="s">
        <v>276</v>
      </c>
      <c r="AR1319" s="175" t="s">
        <v>276</v>
      </c>
      <c r="AS1319" s="181">
        <f t="shared" si="395"/>
        <v>1.1103853690398433</v>
      </c>
      <c r="AT1319" s="175" t="s">
        <v>276</v>
      </c>
      <c r="AU1319" s="175" t="s">
        <v>276</v>
      </c>
      <c r="AV1319" s="175" t="s">
        <v>268</v>
      </c>
      <c r="AW1319" s="175" t="s">
        <v>276</v>
      </c>
      <c r="AX1319" s="181">
        <f t="shared" si="396"/>
        <v>1.930667719664739</v>
      </c>
      <c r="AY1319" s="175" t="s">
        <v>276</v>
      </c>
      <c r="AZ1319" s="175" t="s">
        <v>276</v>
      </c>
      <c r="BA1319" s="175" t="s">
        <v>276</v>
      </c>
      <c r="BB1319" s="175" t="s">
        <v>282</v>
      </c>
      <c r="BC1319" s="175" t="s">
        <v>276</v>
      </c>
      <c r="BD1319" s="175" t="s">
        <v>276</v>
      </c>
      <c r="BE1319" s="175" t="s">
        <v>276</v>
      </c>
      <c r="BF1319" s="176" t="s">
        <v>426</v>
      </c>
      <c r="BG1319" s="176" t="s">
        <v>8075</v>
      </c>
      <c r="BH1319" s="9" t="s">
        <v>100</v>
      </c>
      <c r="BI1319" s="9" t="s">
        <v>100</v>
      </c>
      <c r="BJ1319" s="182"/>
      <c r="BN1319" s="182"/>
      <c r="BO1319" s="182"/>
    </row>
    <row r="1320" spans="1:67" s="183" customFormat="1" ht="78" hidden="1" x14ac:dyDescent="0.35">
      <c r="A1320" s="175">
        <v>531</v>
      </c>
      <c r="B1320" s="176" t="s">
        <v>7888</v>
      </c>
      <c r="C1320" s="176" t="s">
        <v>81</v>
      </c>
      <c r="D1320" s="176" t="s">
        <v>8076</v>
      </c>
      <c r="E1320" s="175" t="s">
        <v>39</v>
      </c>
      <c r="F1320" s="176" t="s">
        <v>263</v>
      </c>
      <c r="G1320" s="175" t="s">
        <v>225</v>
      </c>
      <c r="H1320" s="175" t="s">
        <v>125</v>
      </c>
      <c r="I1320" s="175" t="s">
        <v>114</v>
      </c>
      <c r="J1320" s="176" t="s">
        <v>25</v>
      </c>
      <c r="K1320" s="176" t="s">
        <v>317</v>
      </c>
      <c r="L1320" s="176" t="s">
        <v>8053</v>
      </c>
      <c r="M1320" s="176" t="s">
        <v>8054</v>
      </c>
      <c r="N1320" s="175" t="s">
        <v>276</v>
      </c>
      <c r="O1320" s="176" t="s">
        <v>276</v>
      </c>
      <c r="P1320" s="176" t="s">
        <v>239</v>
      </c>
      <c r="Q1320" s="304">
        <v>30498</v>
      </c>
      <c r="R1320" s="176" t="s">
        <v>276</v>
      </c>
      <c r="S1320" s="176" t="s">
        <v>7894</v>
      </c>
      <c r="T1320" s="176" t="s">
        <v>7894</v>
      </c>
      <c r="U1320" s="176">
        <v>18</v>
      </c>
      <c r="V1320" s="175" t="s">
        <v>14</v>
      </c>
      <c r="W1320" s="175" t="s">
        <v>98</v>
      </c>
      <c r="X1320" s="176" t="s">
        <v>207</v>
      </c>
      <c r="Y1320" s="180">
        <v>4618</v>
      </c>
      <c r="Z1320" s="176">
        <v>4593</v>
      </c>
      <c r="AA1320" s="176" t="s">
        <v>276</v>
      </c>
      <c r="AB1320" s="176" t="s">
        <v>276</v>
      </c>
      <c r="AC1320" s="175">
        <v>0</v>
      </c>
      <c r="AD1320" s="175" t="s">
        <v>98</v>
      </c>
      <c r="AE1320" s="175">
        <v>0</v>
      </c>
      <c r="AF1320" s="175" t="s">
        <v>98</v>
      </c>
      <c r="AG1320" s="176" t="s">
        <v>8077</v>
      </c>
      <c r="AH1320" s="176" t="s">
        <v>689</v>
      </c>
      <c r="AI1320" s="179">
        <v>107</v>
      </c>
      <c r="AJ1320" s="179">
        <v>109</v>
      </c>
      <c r="AK1320" s="179">
        <v>4618</v>
      </c>
      <c r="AL1320" s="179">
        <v>4593</v>
      </c>
      <c r="AM1320" s="179" t="s">
        <v>292</v>
      </c>
      <c r="AN1320" s="175" t="s">
        <v>276</v>
      </c>
      <c r="AO1320" s="181">
        <f t="shared" si="394"/>
        <v>2.317020355132092</v>
      </c>
      <c r="AP1320" s="175" t="s">
        <v>276</v>
      </c>
      <c r="AQ1320" s="175" t="s">
        <v>276</v>
      </c>
      <c r="AR1320" s="175" t="s">
        <v>276</v>
      </c>
      <c r="AS1320" s="181">
        <f t="shared" si="395"/>
        <v>2.3731765730459395</v>
      </c>
      <c r="AT1320" s="175" t="s">
        <v>276</v>
      </c>
      <c r="AU1320" s="175" t="s">
        <v>276</v>
      </c>
      <c r="AV1320" s="175" t="s">
        <v>268</v>
      </c>
      <c r="AW1320" s="175" t="s">
        <v>276</v>
      </c>
      <c r="AX1320" s="181">
        <f t="shared" si="396"/>
        <v>0.97633710927722006</v>
      </c>
      <c r="AY1320" s="175" t="s">
        <v>276</v>
      </c>
      <c r="AZ1320" s="175" t="s">
        <v>276</v>
      </c>
      <c r="BA1320" s="175" t="s">
        <v>276</v>
      </c>
      <c r="BB1320" s="175" t="s">
        <v>282</v>
      </c>
      <c r="BC1320" s="175" t="s">
        <v>276</v>
      </c>
      <c r="BD1320" s="175" t="s">
        <v>276</v>
      </c>
      <c r="BE1320" s="175" t="s">
        <v>276</v>
      </c>
      <c r="BF1320" s="176" t="s">
        <v>426</v>
      </c>
      <c r="BG1320" s="176" t="s">
        <v>8075</v>
      </c>
      <c r="BH1320" s="9" t="s">
        <v>100</v>
      </c>
      <c r="BI1320" s="9" t="s">
        <v>100</v>
      </c>
      <c r="BJ1320" s="182"/>
      <c r="BN1320" s="182"/>
      <c r="BO1320" s="182"/>
    </row>
    <row r="1321" spans="1:67" s="194" customFormat="1" ht="78" hidden="1" x14ac:dyDescent="0.35">
      <c r="A1321" s="184">
        <v>531</v>
      </c>
      <c r="B1321" s="185" t="s">
        <v>7888</v>
      </c>
      <c r="C1321" s="185" t="s">
        <v>81</v>
      </c>
      <c r="D1321" s="185" t="s">
        <v>8078</v>
      </c>
      <c r="E1321" s="184" t="s">
        <v>39</v>
      </c>
      <c r="F1321" s="185" t="s">
        <v>263</v>
      </c>
      <c r="G1321" s="184" t="s">
        <v>225</v>
      </c>
      <c r="H1321" s="184" t="s">
        <v>125</v>
      </c>
      <c r="I1321" s="184" t="s">
        <v>114</v>
      </c>
      <c r="J1321" s="185" t="s">
        <v>25</v>
      </c>
      <c r="K1321" s="185" t="s">
        <v>317</v>
      </c>
      <c r="L1321" s="185" t="s">
        <v>8053</v>
      </c>
      <c r="M1321" s="185" t="s">
        <v>8054</v>
      </c>
      <c r="N1321" s="184" t="s">
        <v>276</v>
      </c>
      <c r="O1321" s="185" t="s">
        <v>276</v>
      </c>
      <c r="P1321" s="185" t="s">
        <v>235</v>
      </c>
      <c r="Q1321" s="302">
        <v>30498</v>
      </c>
      <c r="R1321" s="185" t="s">
        <v>276</v>
      </c>
      <c r="S1321" s="185" t="s">
        <v>7894</v>
      </c>
      <c r="T1321" s="185" t="s">
        <v>7894</v>
      </c>
      <c r="U1321" s="185">
        <v>18</v>
      </c>
      <c r="V1321" s="184" t="s">
        <v>14</v>
      </c>
      <c r="W1321" s="184" t="s">
        <v>98</v>
      </c>
      <c r="X1321" s="185" t="s">
        <v>207</v>
      </c>
      <c r="Y1321" s="189" t="s">
        <v>98</v>
      </c>
      <c r="Z1321" s="185" t="s">
        <v>98</v>
      </c>
      <c r="AA1321" s="185" t="s">
        <v>276</v>
      </c>
      <c r="AB1321" s="185" t="s">
        <v>276</v>
      </c>
      <c r="AC1321" s="184">
        <v>0</v>
      </c>
      <c r="AD1321" s="184" t="s">
        <v>98</v>
      </c>
      <c r="AE1321" s="184">
        <v>0</v>
      </c>
      <c r="AF1321" s="184" t="s">
        <v>98</v>
      </c>
      <c r="AG1321" s="185" t="s">
        <v>8077</v>
      </c>
      <c r="AH1321" s="185" t="s">
        <v>8079</v>
      </c>
      <c r="AI1321" s="188">
        <v>107</v>
      </c>
      <c r="AJ1321" s="188">
        <v>109</v>
      </c>
      <c r="AK1321" s="188">
        <v>206</v>
      </c>
      <c r="AL1321" s="188">
        <v>160</v>
      </c>
      <c r="AM1321" s="188" t="s">
        <v>292</v>
      </c>
      <c r="AN1321" s="184" t="s">
        <v>276</v>
      </c>
      <c r="AO1321" s="192">
        <f t="shared" si="394"/>
        <v>51.941747572815537</v>
      </c>
      <c r="AP1321" s="184" t="s">
        <v>276</v>
      </c>
      <c r="AQ1321" s="184" t="s">
        <v>276</v>
      </c>
      <c r="AR1321" s="184" t="s">
        <v>276</v>
      </c>
      <c r="AS1321" s="192">
        <f t="shared" si="395"/>
        <v>68.125</v>
      </c>
      <c r="AT1321" s="184" t="s">
        <v>276</v>
      </c>
      <c r="AU1321" s="184" t="s">
        <v>276</v>
      </c>
      <c r="AV1321" s="184" t="s">
        <v>7997</v>
      </c>
      <c r="AW1321" s="184" t="s">
        <v>276</v>
      </c>
      <c r="AX1321" s="192">
        <f t="shared" si="396"/>
        <v>0.76244767079362252</v>
      </c>
      <c r="AY1321" s="184" t="s">
        <v>276</v>
      </c>
      <c r="AZ1321" s="184" t="s">
        <v>276</v>
      </c>
      <c r="BA1321" s="184" t="s">
        <v>276</v>
      </c>
      <c r="BB1321" s="184" t="s">
        <v>282</v>
      </c>
      <c r="BC1321" s="184" t="s">
        <v>276</v>
      </c>
      <c r="BD1321" s="184" t="s">
        <v>276</v>
      </c>
      <c r="BE1321" s="184" t="s">
        <v>276</v>
      </c>
      <c r="BF1321" s="185" t="s">
        <v>426</v>
      </c>
      <c r="BG1321" s="185" t="s">
        <v>8075</v>
      </c>
      <c r="BH1321" s="9" t="s">
        <v>100</v>
      </c>
      <c r="BI1321" s="9" t="s">
        <v>100</v>
      </c>
      <c r="BJ1321" s="193"/>
      <c r="BN1321" s="193"/>
      <c r="BO1321" s="193"/>
    </row>
    <row r="1322" spans="1:67" s="110" customFormat="1" ht="39" hidden="1" x14ac:dyDescent="0.35">
      <c r="A1322" s="94">
        <v>11146</v>
      </c>
      <c r="B1322" s="95" t="s">
        <v>7975</v>
      </c>
      <c r="C1322" s="95" t="s">
        <v>81</v>
      </c>
      <c r="D1322" s="95" t="s">
        <v>8080</v>
      </c>
      <c r="E1322" s="94" t="s">
        <v>39</v>
      </c>
      <c r="F1322" s="95" t="s">
        <v>263</v>
      </c>
      <c r="G1322" s="94" t="s">
        <v>225</v>
      </c>
      <c r="H1322" s="94" t="s">
        <v>225</v>
      </c>
      <c r="I1322" s="94" t="s">
        <v>114</v>
      </c>
      <c r="J1322" s="95" t="s">
        <v>98</v>
      </c>
      <c r="K1322" s="94" t="s">
        <v>98</v>
      </c>
      <c r="L1322" s="94" t="s">
        <v>98</v>
      </c>
      <c r="M1322" s="94" t="s">
        <v>98</v>
      </c>
      <c r="N1322" s="94" t="s">
        <v>276</v>
      </c>
      <c r="O1322" s="95" t="s">
        <v>276</v>
      </c>
      <c r="P1322" s="95" t="s">
        <v>236</v>
      </c>
      <c r="Q1322" s="140">
        <v>29952</v>
      </c>
      <c r="R1322" s="95" t="s">
        <v>276</v>
      </c>
      <c r="S1322" s="95" t="s">
        <v>276</v>
      </c>
      <c r="T1322" s="95" t="s">
        <v>98</v>
      </c>
      <c r="U1322" s="95" t="s">
        <v>276</v>
      </c>
      <c r="V1322" s="94" t="s">
        <v>14</v>
      </c>
      <c r="W1322" s="94" t="s">
        <v>98</v>
      </c>
      <c r="X1322" s="95" t="s">
        <v>209</v>
      </c>
      <c r="Y1322" s="98" t="s">
        <v>98</v>
      </c>
      <c r="Z1322" s="95" t="s">
        <v>98</v>
      </c>
      <c r="AA1322" s="95" t="s">
        <v>276</v>
      </c>
      <c r="AB1322" s="95" t="s">
        <v>98</v>
      </c>
      <c r="AC1322" s="94" t="s">
        <v>276</v>
      </c>
      <c r="AD1322" s="94" t="s">
        <v>276</v>
      </c>
      <c r="AE1322" s="94" t="s">
        <v>98</v>
      </c>
      <c r="AF1322" s="94" t="s">
        <v>98</v>
      </c>
      <c r="AG1322" s="95" t="s">
        <v>8081</v>
      </c>
      <c r="AH1322" s="95" t="s">
        <v>8082</v>
      </c>
      <c r="AI1322" s="99">
        <v>84</v>
      </c>
      <c r="AJ1322" s="99" t="s">
        <v>98</v>
      </c>
      <c r="AK1322" s="99">
        <v>167</v>
      </c>
      <c r="AL1322" s="99" t="s">
        <v>98</v>
      </c>
      <c r="AM1322" s="99" t="s">
        <v>292</v>
      </c>
      <c r="AN1322" s="94">
        <v>50</v>
      </c>
      <c r="AO1322" s="102">
        <f t="shared" si="394"/>
        <v>50.299401197604787</v>
      </c>
      <c r="AP1322" s="94" t="s">
        <v>276</v>
      </c>
      <c r="AQ1322" s="94" t="s">
        <v>276</v>
      </c>
      <c r="AR1322" s="94" t="s">
        <v>98</v>
      </c>
      <c r="AS1322" s="94" t="s">
        <v>98</v>
      </c>
      <c r="AT1322" s="94" t="s">
        <v>98</v>
      </c>
      <c r="AU1322" s="94" t="s">
        <v>98</v>
      </c>
      <c r="AV1322" s="94" t="s">
        <v>98</v>
      </c>
      <c r="AW1322" s="94" t="s">
        <v>98</v>
      </c>
      <c r="AX1322" s="94" t="s">
        <v>98</v>
      </c>
      <c r="AY1322" s="94" t="s">
        <v>98</v>
      </c>
      <c r="AZ1322" s="94" t="s">
        <v>98</v>
      </c>
      <c r="BA1322" s="94" t="s">
        <v>98</v>
      </c>
      <c r="BB1322" s="94" t="s">
        <v>98</v>
      </c>
      <c r="BC1322" s="94" t="s">
        <v>98</v>
      </c>
      <c r="BD1322" s="94" t="s">
        <v>98</v>
      </c>
      <c r="BE1322" s="94" t="s">
        <v>98</v>
      </c>
      <c r="BF1322" s="95" t="s">
        <v>8083</v>
      </c>
      <c r="BG1322" s="95"/>
      <c r="BH1322" s="9" t="s">
        <v>100</v>
      </c>
      <c r="BI1322" s="9" t="s">
        <v>100</v>
      </c>
      <c r="BJ1322" s="109"/>
      <c r="BN1322" s="109"/>
      <c r="BO1322" s="109"/>
    </row>
    <row r="1323" spans="1:67" s="110" customFormat="1" ht="39" hidden="1" x14ac:dyDescent="0.35">
      <c r="A1323" s="94">
        <v>11146</v>
      </c>
      <c r="B1323" s="95" t="s">
        <v>7975</v>
      </c>
      <c r="C1323" s="95" t="s">
        <v>81</v>
      </c>
      <c r="D1323" s="95" t="s">
        <v>8084</v>
      </c>
      <c r="E1323" s="94" t="s">
        <v>39</v>
      </c>
      <c r="F1323" s="95" t="s">
        <v>263</v>
      </c>
      <c r="G1323" s="94" t="s">
        <v>225</v>
      </c>
      <c r="H1323" s="94" t="s">
        <v>225</v>
      </c>
      <c r="I1323" s="94" t="s">
        <v>114</v>
      </c>
      <c r="J1323" s="95" t="s">
        <v>98</v>
      </c>
      <c r="K1323" s="94" t="s">
        <v>98</v>
      </c>
      <c r="L1323" s="94" t="s">
        <v>98</v>
      </c>
      <c r="M1323" s="94" t="s">
        <v>98</v>
      </c>
      <c r="N1323" s="94" t="s">
        <v>276</v>
      </c>
      <c r="O1323" s="95" t="s">
        <v>276</v>
      </c>
      <c r="P1323" s="95" t="s">
        <v>238</v>
      </c>
      <c r="Q1323" s="140">
        <v>29952</v>
      </c>
      <c r="R1323" s="95" t="s">
        <v>276</v>
      </c>
      <c r="S1323" s="95" t="s">
        <v>276</v>
      </c>
      <c r="T1323" s="95" t="s">
        <v>98</v>
      </c>
      <c r="U1323" s="95" t="s">
        <v>276</v>
      </c>
      <c r="V1323" s="94" t="s">
        <v>14</v>
      </c>
      <c r="W1323" s="94" t="s">
        <v>98</v>
      </c>
      <c r="X1323" s="95" t="s">
        <v>209</v>
      </c>
      <c r="Y1323" s="98">
        <v>4618</v>
      </c>
      <c r="Z1323" s="95" t="s">
        <v>98</v>
      </c>
      <c r="AA1323" s="95" t="s">
        <v>276</v>
      </c>
      <c r="AB1323" s="95" t="s">
        <v>98</v>
      </c>
      <c r="AC1323" s="94" t="s">
        <v>276</v>
      </c>
      <c r="AD1323" s="94" t="s">
        <v>276</v>
      </c>
      <c r="AE1323" s="94" t="s">
        <v>98</v>
      </c>
      <c r="AF1323" s="94" t="s">
        <v>98</v>
      </c>
      <c r="AG1323" s="95" t="s">
        <v>8081</v>
      </c>
      <c r="AH1323" s="95" t="s">
        <v>689</v>
      </c>
      <c r="AI1323" s="99">
        <v>84</v>
      </c>
      <c r="AJ1323" s="99" t="s">
        <v>98</v>
      </c>
      <c r="AK1323" s="99">
        <v>4618</v>
      </c>
      <c r="AL1323" s="99" t="s">
        <v>98</v>
      </c>
      <c r="AM1323" s="99" t="s">
        <v>292</v>
      </c>
      <c r="AN1323" s="94" t="s">
        <v>276</v>
      </c>
      <c r="AO1323" s="102">
        <f t="shared" si="394"/>
        <v>1.8189692507579038</v>
      </c>
      <c r="AP1323" s="94" t="s">
        <v>276</v>
      </c>
      <c r="AQ1323" s="94" t="s">
        <v>276</v>
      </c>
      <c r="AR1323" s="94" t="s">
        <v>98</v>
      </c>
      <c r="AS1323" s="94" t="s">
        <v>98</v>
      </c>
      <c r="AT1323" s="94" t="s">
        <v>98</v>
      </c>
      <c r="AU1323" s="94" t="s">
        <v>98</v>
      </c>
      <c r="AV1323" s="94" t="s">
        <v>98</v>
      </c>
      <c r="AW1323" s="94" t="s">
        <v>98</v>
      </c>
      <c r="AX1323" s="94" t="s">
        <v>98</v>
      </c>
      <c r="AY1323" s="94" t="s">
        <v>98</v>
      </c>
      <c r="AZ1323" s="94" t="s">
        <v>98</v>
      </c>
      <c r="BA1323" s="94" t="s">
        <v>98</v>
      </c>
      <c r="BB1323" s="94" t="s">
        <v>98</v>
      </c>
      <c r="BC1323" s="94" t="s">
        <v>98</v>
      </c>
      <c r="BD1323" s="94" t="s">
        <v>98</v>
      </c>
      <c r="BE1323" s="94" t="s">
        <v>98</v>
      </c>
      <c r="BF1323" s="95" t="s">
        <v>8083</v>
      </c>
      <c r="BG1323" s="95"/>
      <c r="BH1323" s="9" t="s">
        <v>100</v>
      </c>
      <c r="BI1323" s="9" t="s">
        <v>100</v>
      </c>
      <c r="BJ1323" s="109"/>
      <c r="BN1323" s="109"/>
      <c r="BO1323" s="109"/>
    </row>
    <row r="1324" spans="1:67" s="124" customFormat="1" ht="52" hidden="1" x14ac:dyDescent="0.35">
      <c r="A1324" s="112">
        <v>11143</v>
      </c>
      <c r="B1324" s="113" t="s">
        <v>7975</v>
      </c>
      <c r="C1324" s="113" t="s">
        <v>81</v>
      </c>
      <c r="D1324" s="113" t="s">
        <v>8085</v>
      </c>
      <c r="E1324" s="112" t="s">
        <v>39</v>
      </c>
      <c r="F1324" s="113" t="s">
        <v>263</v>
      </c>
      <c r="G1324" s="112" t="s">
        <v>225</v>
      </c>
      <c r="H1324" s="112" t="s">
        <v>125</v>
      </c>
      <c r="I1324" s="112" t="s">
        <v>114</v>
      </c>
      <c r="J1324" s="113" t="s">
        <v>1024</v>
      </c>
      <c r="K1324" s="112" t="s">
        <v>1025</v>
      </c>
      <c r="L1324" s="113" t="s">
        <v>8086</v>
      </c>
      <c r="M1324" s="113" t="s">
        <v>8087</v>
      </c>
      <c r="N1324" s="112" t="s">
        <v>276</v>
      </c>
      <c r="O1324" s="113" t="s">
        <v>276</v>
      </c>
      <c r="P1324" s="113" t="s">
        <v>239</v>
      </c>
      <c r="Q1324" s="142">
        <v>29952</v>
      </c>
      <c r="R1324" s="113" t="s">
        <v>276</v>
      </c>
      <c r="S1324" s="113" t="s">
        <v>276</v>
      </c>
      <c r="T1324" s="113" t="s">
        <v>276</v>
      </c>
      <c r="U1324" s="113" t="s">
        <v>276</v>
      </c>
      <c r="V1324" s="112" t="s">
        <v>14</v>
      </c>
      <c r="W1324" s="112" t="s">
        <v>98</v>
      </c>
      <c r="X1324" s="113" t="s">
        <v>207</v>
      </c>
      <c r="Y1324" s="118">
        <v>4618</v>
      </c>
      <c r="Z1324" s="113">
        <v>4593</v>
      </c>
      <c r="AA1324" s="113" t="s">
        <v>276</v>
      </c>
      <c r="AB1324" s="113" t="s">
        <v>276</v>
      </c>
      <c r="AC1324" s="112" t="s">
        <v>276</v>
      </c>
      <c r="AD1324" s="112" t="s">
        <v>276</v>
      </c>
      <c r="AE1324" s="112" t="s">
        <v>276</v>
      </c>
      <c r="AF1324" s="112" t="s">
        <v>276</v>
      </c>
      <c r="AG1324" s="113" t="s">
        <v>8088</v>
      </c>
      <c r="AH1324" s="113" t="s">
        <v>689</v>
      </c>
      <c r="AI1324" s="119">
        <v>82</v>
      </c>
      <c r="AJ1324" s="119">
        <v>40</v>
      </c>
      <c r="AK1324" s="119">
        <v>4618</v>
      </c>
      <c r="AL1324" s="119">
        <v>4593</v>
      </c>
      <c r="AM1324" s="119" t="s">
        <v>292</v>
      </c>
      <c r="AN1324" s="112" t="s">
        <v>276</v>
      </c>
      <c r="AO1324" s="121">
        <f t="shared" si="394"/>
        <v>1.7756604590731919</v>
      </c>
      <c r="AP1324" s="112" t="s">
        <v>276</v>
      </c>
      <c r="AQ1324" s="112" t="s">
        <v>276</v>
      </c>
      <c r="AR1324" s="112" t="s">
        <v>276</v>
      </c>
      <c r="AS1324" s="121">
        <f t="shared" ref="AS1324:AS1329" si="397">AJ1324*100/AL1324</f>
        <v>0.87089048552144566</v>
      </c>
      <c r="AT1324" s="112" t="s">
        <v>276</v>
      </c>
      <c r="AU1324" s="112" t="s">
        <v>276</v>
      </c>
      <c r="AV1324" s="112" t="s">
        <v>268</v>
      </c>
      <c r="AW1324" s="112" t="s">
        <v>276</v>
      </c>
      <c r="AX1324" s="121">
        <f t="shared" ref="AX1324:AX1329" si="398">AO1324/AS1324</f>
        <v>2.0389021221307928</v>
      </c>
      <c r="AY1324" s="112" t="s">
        <v>276</v>
      </c>
      <c r="AZ1324" s="112" t="s">
        <v>276</v>
      </c>
      <c r="BA1324" s="112" t="s">
        <v>276</v>
      </c>
      <c r="BB1324" s="112" t="s">
        <v>282</v>
      </c>
      <c r="BC1324" s="112" t="s">
        <v>276</v>
      </c>
      <c r="BD1324" s="112" t="s">
        <v>276</v>
      </c>
      <c r="BE1324" s="112" t="s">
        <v>276</v>
      </c>
      <c r="BF1324" s="113" t="s">
        <v>8089</v>
      </c>
      <c r="BG1324" s="113"/>
      <c r="BH1324" s="9" t="s">
        <v>100</v>
      </c>
      <c r="BI1324" s="9" t="s">
        <v>100</v>
      </c>
      <c r="BJ1324" s="123"/>
      <c r="BN1324" s="123"/>
      <c r="BO1324" s="123"/>
    </row>
    <row r="1325" spans="1:67" s="124" customFormat="1" ht="52" hidden="1" x14ac:dyDescent="0.35">
      <c r="A1325" s="112">
        <v>11143</v>
      </c>
      <c r="B1325" s="113" t="s">
        <v>7975</v>
      </c>
      <c r="C1325" s="113" t="s">
        <v>81</v>
      </c>
      <c r="D1325" s="113" t="s">
        <v>8090</v>
      </c>
      <c r="E1325" s="112" t="s">
        <v>39</v>
      </c>
      <c r="F1325" s="113" t="s">
        <v>263</v>
      </c>
      <c r="G1325" s="112" t="s">
        <v>225</v>
      </c>
      <c r="H1325" s="112" t="s">
        <v>125</v>
      </c>
      <c r="I1325" s="112" t="s">
        <v>114</v>
      </c>
      <c r="J1325" s="113" t="s">
        <v>25</v>
      </c>
      <c r="K1325" s="113" t="s">
        <v>8091</v>
      </c>
      <c r="L1325" s="113" t="s">
        <v>8086</v>
      </c>
      <c r="M1325" s="113" t="s">
        <v>8087</v>
      </c>
      <c r="N1325" s="112" t="s">
        <v>276</v>
      </c>
      <c r="O1325" s="113" t="s">
        <v>276</v>
      </c>
      <c r="P1325" s="113" t="s">
        <v>239</v>
      </c>
      <c r="Q1325" s="142">
        <v>29952</v>
      </c>
      <c r="R1325" s="113" t="s">
        <v>276</v>
      </c>
      <c r="S1325" s="113" t="s">
        <v>276</v>
      </c>
      <c r="T1325" s="113" t="s">
        <v>276</v>
      </c>
      <c r="U1325" s="113" t="s">
        <v>276</v>
      </c>
      <c r="V1325" s="112" t="s">
        <v>14</v>
      </c>
      <c r="W1325" s="112" t="s">
        <v>98</v>
      </c>
      <c r="X1325" s="113" t="s">
        <v>207</v>
      </c>
      <c r="Y1325" s="118">
        <v>4618</v>
      </c>
      <c r="Z1325" s="113">
        <v>4593</v>
      </c>
      <c r="AA1325" s="113" t="s">
        <v>276</v>
      </c>
      <c r="AB1325" s="113" t="s">
        <v>276</v>
      </c>
      <c r="AC1325" s="112" t="s">
        <v>276</v>
      </c>
      <c r="AD1325" s="112" t="s">
        <v>276</v>
      </c>
      <c r="AE1325" s="112" t="s">
        <v>276</v>
      </c>
      <c r="AF1325" s="112" t="s">
        <v>276</v>
      </c>
      <c r="AG1325" s="113" t="s">
        <v>8092</v>
      </c>
      <c r="AH1325" s="113" t="s">
        <v>689</v>
      </c>
      <c r="AI1325" s="119">
        <v>67</v>
      </c>
      <c r="AJ1325" s="119">
        <v>31</v>
      </c>
      <c r="AK1325" s="119">
        <v>4618</v>
      </c>
      <c r="AL1325" s="119">
        <v>4593</v>
      </c>
      <c r="AM1325" s="119" t="s">
        <v>292</v>
      </c>
      <c r="AN1325" s="112" t="s">
        <v>276</v>
      </c>
      <c r="AO1325" s="121">
        <f t="shared" si="394"/>
        <v>1.4508445214378518</v>
      </c>
      <c r="AP1325" s="112" t="s">
        <v>276</v>
      </c>
      <c r="AQ1325" s="112" t="s">
        <v>276</v>
      </c>
      <c r="AR1325" s="112" t="s">
        <v>276</v>
      </c>
      <c r="AS1325" s="121">
        <f t="shared" si="397"/>
        <v>0.67494012627912037</v>
      </c>
      <c r="AT1325" s="112" t="s">
        <v>276</v>
      </c>
      <c r="AU1325" s="112" t="s">
        <v>276</v>
      </c>
      <c r="AV1325" s="112" t="s">
        <v>268</v>
      </c>
      <c r="AW1325" s="112" t="s">
        <v>276</v>
      </c>
      <c r="AX1325" s="121">
        <f t="shared" si="398"/>
        <v>2.1495899635367914</v>
      </c>
      <c r="AY1325" s="112" t="s">
        <v>276</v>
      </c>
      <c r="AZ1325" s="112" t="s">
        <v>276</v>
      </c>
      <c r="BA1325" s="112" t="s">
        <v>276</v>
      </c>
      <c r="BB1325" s="112" t="s">
        <v>282</v>
      </c>
      <c r="BC1325" s="112" t="s">
        <v>276</v>
      </c>
      <c r="BD1325" s="112" t="s">
        <v>276</v>
      </c>
      <c r="BE1325" s="112" t="s">
        <v>276</v>
      </c>
      <c r="BF1325" s="113" t="s">
        <v>763</v>
      </c>
      <c r="BG1325" s="113"/>
      <c r="BH1325" s="9" t="s">
        <v>100</v>
      </c>
      <c r="BI1325" s="9" t="s">
        <v>100</v>
      </c>
      <c r="BJ1325" s="123"/>
      <c r="BN1325" s="123"/>
      <c r="BO1325" s="123"/>
    </row>
    <row r="1326" spans="1:67" s="124" customFormat="1" ht="52" hidden="1" x14ac:dyDescent="0.35">
      <c r="A1326" s="112">
        <v>11143</v>
      </c>
      <c r="B1326" s="113" t="s">
        <v>7975</v>
      </c>
      <c r="C1326" s="113" t="s">
        <v>81</v>
      </c>
      <c r="D1326" s="113" t="s">
        <v>8093</v>
      </c>
      <c r="E1326" s="112" t="s">
        <v>39</v>
      </c>
      <c r="F1326" s="113" t="s">
        <v>263</v>
      </c>
      <c r="G1326" s="112" t="s">
        <v>225</v>
      </c>
      <c r="H1326" s="112" t="s">
        <v>125</v>
      </c>
      <c r="I1326" s="112" t="s">
        <v>114</v>
      </c>
      <c r="J1326" s="113" t="s">
        <v>25</v>
      </c>
      <c r="K1326" s="113" t="s">
        <v>8094</v>
      </c>
      <c r="L1326" s="113" t="s">
        <v>8086</v>
      </c>
      <c r="M1326" s="113" t="s">
        <v>8087</v>
      </c>
      <c r="N1326" s="112" t="s">
        <v>276</v>
      </c>
      <c r="O1326" s="113" t="s">
        <v>276</v>
      </c>
      <c r="P1326" s="113" t="s">
        <v>239</v>
      </c>
      <c r="Q1326" s="142">
        <v>29952</v>
      </c>
      <c r="R1326" s="113" t="s">
        <v>276</v>
      </c>
      <c r="S1326" s="113" t="s">
        <v>276</v>
      </c>
      <c r="T1326" s="113" t="s">
        <v>276</v>
      </c>
      <c r="U1326" s="113" t="s">
        <v>276</v>
      </c>
      <c r="V1326" s="112" t="s">
        <v>14</v>
      </c>
      <c r="W1326" s="112" t="s">
        <v>98</v>
      </c>
      <c r="X1326" s="113" t="s">
        <v>207</v>
      </c>
      <c r="Y1326" s="118">
        <v>4618</v>
      </c>
      <c r="Z1326" s="113">
        <v>4593</v>
      </c>
      <c r="AA1326" s="113" t="s">
        <v>276</v>
      </c>
      <c r="AB1326" s="113" t="s">
        <v>276</v>
      </c>
      <c r="AC1326" s="112" t="s">
        <v>276</v>
      </c>
      <c r="AD1326" s="112" t="s">
        <v>276</v>
      </c>
      <c r="AE1326" s="112" t="s">
        <v>276</v>
      </c>
      <c r="AF1326" s="112" t="s">
        <v>276</v>
      </c>
      <c r="AG1326" s="113" t="s">
        <v>8095</v>
      </c>
      <c r="AH1326" s="113" t="s">
        <v>689</v>
      </c>
      <c r="AI1326" s="119">
        <v>4</v>
      </c>
      <c r="AJ1326" s="119">
        <v>1</v>
      </c>
      <c r="AK1326" s="119">
        <v>4618</v>
      </c>
      <c r="AL1326" s="119">
        <v>4593</v>
      </c>
      <c r="AM1326" s="119" t="s">
        <v>292</v>
      </c>
      <c r="AN1326" s="112" t="s">
        <v>276</v>
      </c>
      <c r="AO1326" s="121">
        <f t="shared" si="394"/>
        <v>8.6617583369423989E-2</v>
      </c>
      <c r="AP1326" s="112" t="s">
        <v>276</v>
      </c>
      <c r="AQ1326" s="112" t="s">
        <v>276</v>
      </c>
      <c r="AR1326" s="112" t="s">
        <v>276</v>
      </c>
      <c r="AS1326" s="121">
        <f t="shared" si="397"/>
        <v>2.1772262138036142E-2</v>
      </c>
      <c r="AT1326" s="112" t="s">
        <v>276</v>
      </c>
      <c r="AU1326" s="112" t="s">
        <v>276</v>
      </c>
      <c r="AV1326" s="112" t="s">
        <v>268</v>
      </c>
      <c r="AW1326" s="112" t="s">
        <v>276</v>
      </c>
      <c r="AX1326" s="121">
        <f t="shared" si="398"/>
        <v>3.9783456041576439</v>
      </c>
      <c r="AY1326" s="112" t="s">
        <v>276</v>
      </c>
      <c r="AZ1326" s="112" t="s">
        <v>276</v>
      </c>
      <c r="BA1326" s="112" t="s">
        <v>276</v>
      </c>
      <c r="BB1326" s="112" t="s">
        <v>282</v>
      </c>
      <c r="BC1326" s="112" t="s">
        <v>276</v>
      </c>
      <c r="BD1326" s="112" t="s">
        <v>276</v>
      </c>
      <c r="BE1326" s="112" t="s">
        <v>276</v>
      </c>
      <c r="BF1326" s="113" t="s">
        <v>763</v>
      </c>
      <c r="BG1326" s="113"/>
      <c r="BH1326" s="9" t="s">
        <v>100</v>
      </c>
      <c r="BI1326" s="9" t="s">
        <v>100</v>
      </c>
      <c r="BJ1326" s="123"/>
      <c r="BN1326" s="123"/>
      <c r="BO1326" s="123"/>
    </row>
    <row r="1327" spans="1:67" s="124" customFormat="1" ht="65" hidden="1" x14ac:dyDescent="0.35">
      <c r="A1327" s="112">
        <v>11143</v>
      </c>
      <c r="B1327" s="113" t="s">
        <v>7975</v>
      </c>
      <c r="C1327" s="113" t="s">
        <v>81</v>
      </c>
      <c r="D1327" s="113" t="s">
        <v>8096</v>
      </c>
      <c r="E1327" s="112" t="s">
        <v>39</v>
      </c>
      <c r="F1327" s="113" t="s">
        <v>263</v>
      </c>
      <c r="G1327" s="112" t="s">
        <v>225</v>
      </c>
      <c r="H1327" s="112" t="s">
        <v>125</v>
      </c>
      <c r="I1327" s="112" t="s">
        <v>114</v>
      </c>
      <c r="J1327" s="113" t="s">
        <v>25</v>
      </c>
      <c r="K1327" s="113" t="s">
        <v>8097</v>
      </c>
      <c r="L1327" s="113" t="s">
        <v>8086</v>
      </c>
      <c r="M1327" s="113" t="s">
        <v>8087</v>
      </c>
      <c r="N1327" s="112" t="s">
        <v>276</v>
      </c>
      <c r="O1327" s="113" t="s">
        <v>276</v>
      </c>
      <c r="P1327" s="113" t="s">
        <v>239</v>
      </c>
      <c r="Q1327" s="142">
        <v>29952</v>
      </c>
      <c r="R1327" s="113" t="s">
        <v>276</v>
      </c>
      <c r="S1327" s="113" t="s">
        <v>276</v>
      </c>
      <c r="T1327" s="113" t="s">
        <v>276</v>
      </c>
      <c r="U1327" s="113" t="s">
        <v>276</v>
      </c>
      <c r="V1327" s="112" t="s">
        <v>14</v>
      </c>
      <c r="W1327" s="112" t="s">
        <v>98</v>
      </c>
      <c r="X1327" s="113" t="s">
        <v>207</v>
      </c>
      <c r="Y1327" s="118">
        <v>4618</v>
      </c>
      <c r="Z1327" s="113">
        <v>4593</v>
      </c>
      <c r="AA1327" s="113" t="s">
        <v>276</v>
      </c>
      <c r="AB1327" s="113" t="s">
        <v>276</v>
      </c>
      <c r="AC1327" s="112" t="s">
        <v>276</v>
      </c>
      <c r="AD1327" s="112" t="s">
        <v>276</v>
      </c>
      <c r="AE1327" s="112" t="s">
        <v>276</v>
      </c>
      <c r="AF1327" s="112" t="s">
        <v>276</v>
      </c>
      <c r="AG1327" s="113" t="s">
        <v>8098</v>
      </c>
      <c r="AH1327" s="113" t="s">
        <v>689</v>
      </c>
      <c r="AI1327" s="119">
        <v>71</v>
      </c>
      <c r="AJ1327" s="119">
        <v>32</v>
      </c>
      <c r="AK1327" s="119">
        <v>4618</v>
      </c>
      <c r="AL1327" s="119">
        <v>4593</v>
      </c>
      <c r="AM1327" s="119" t="s">
        <v>292</v>
      </c>
      <c r="AN1327" s="112" t="s">
        <v>276</v>
      </c>
      <c r="AO1327" s="121">
        <f t="shared" si="394"/>
        <v>1.5374621048072759</v>
      </c>
      <c r="AP1327" s="112" t="s">
        <v>276</v>
      </c>
      <c r="AQ1327" s="112" t="s">
        <v>276</v>
      </c>
      <c r="AR1327" s="112" t="s">
        <v>276</v>
      </c>
      <c r="AS1327" s="121">
        <f t="shared" si="397"/>
        <v>0.69671238841715655</v>
      </c>
      <c r="AT1327" s="112" t="s">
        <v>276</v>
      </c>
      <c r="AU1327" s="112" t="s">
        <v>276</v>
      </c>
      <c r="AV1327" s="112" t="s">
        <v>268</v>
      </c>
      <c r="AW1327" s="112" t="s">
        <v>276</v>
      </c>
      <c r="AX1327" s="121">
        <f t="shared" si="398"/>
        <v>2.2067385773061932</v>
      </c>
      <c r="AY1327" s="112" t="s">
        <v>276</v>
      </c>
      <c r="AZ1327" s="112" t="s">
        <v>276</v>
      </c>
      <c r="BA1327" s="112" t="s">
        <v>276</v>
      </c>
      <c r="BB1327" s="112" t="s">
        <v>282</v>
      </c>
      <c r="BC1327" s="112" t="s">
        <v>276</v>
      </c>
      <c r="BD1327" s="112" t="s">
        <v>276</v>
      </c>
      <c r="BE1327" s="112" t="s">
        <v>276</v>
      </c>
      <c r="BF1327" s="113" t="s">
        <v>8099</v>
      </c>
      <c r="BG1327" s="113"/>
      <c r="BH1327" s="9" t="s">
        <v>100</v>
      </c>
      <c r="BI1327" s="9" t="s">
        <v>100</v>
      </c>
      <c r="BJ1327" s="123"/>
      <c r="BN1327" s="123"/>
      <c r="BO1327" s="123"/>
    </row>
    <row r="1328" spans="1:67" s="124" customFormat="1" ht="65" hidden="1" x14ac:dyDescent="0.35">
      <c r="A1328" s="112">
        <v>11143</v>
      </c>
      <c r="B1328" s="113" t="s">
        <v>7975</v>
      </c>
      <c r="C1328" s="113" t="s">
        <v>81</v>
      </c>
      <c r="D1328" s="113" t="s">
        <v>8100</v>
      </c>
      <c r="E1328" s="112" t="s">
        <v>39</v>
      </c>
      <c r="F1328" s="113" t="s">
        <v>263</v>
      </c>
      <c r="G1328" s="112" t="s">
        <v>225</v>
      </c>
      <c r="H1328" s="112" t="s">
        <v>125</v>
      </c>
      <c r="I1328" s="112" t="s">
        <v>114</v>
      </c>
      <c r="J1328" s="113" t="s">
        <v>25</v>
      </c>
      <c r="K1328" s="113" t="s">
        <v>8101</v>
      </c>
      <c r="L1328" s="113" t="s">
        <v>8086</v>
      </c>
      <c r="M1328" s="113" t="s">
        <v>8087</v>
      </c>
      <c r="N1328" s="112" t="s">
        <v>276</v>
      </c>
      <c r="O1328" s="113" t="s">
        <v>276</v>
      </c>
      <c r="P1328" s="113" t="s">
        <v>239</v>
      </c>
      <c r="Q1328" s="142">
        <v>29952</v>
      </c>
      <c r="R1328" s="113" t="s">
        <v>276</v>
      </c>
      <c r="S1328" s="113" t="s">
        <v>276</v>
      </c>
      <c r="T1328" s="113" t="s">
        <v>276</v>
      </c>
      <c r="U1328" s="113" t="s">
        <v>276</v>
      </c>
      <c r="V1328" s="112" t="s">
        <v>14</v>
      </c>
      <c r="W1328" s="112" t="s">
        <v>98</v>
      </c>
      <c r="X1328" s="113" t="s">
        <v>207</v>
      </c>
      <c r="Y1328" s="118">
        <v>4618</v>
      </c>
      <c r="Z1328" s="113">
        <v>4593</v>
      </c>
      <c r="AA1328" s="113" t="s">
        <v>276</v>
      </c>
      <c r="AB1328" s="113" t="s">
        <v>276</v>
      </c>
      <c r="AC1328" s="112" t="s">
        <v>276</v>
      </c>
      <c r="AD1328" s="112" t="s">
        <v>276</v>
      </c>
      <c r="AE1328" s="112" t="s">
        <v>276</v>
      </c>
      <c r="AF1328" s="112" t="s">
        <v>276</v>
      </c>
      <c r="AG1328" s="113" t="s">
        <v>8102</v>
      </c>
      <c r="AH1328" s="113" t="s">
        <v>689</v>
      </c>
      <c r="AI1328" s="119">
        <v>96</v>
      </c>
      <c r="AJ1328" s="119">
        <v>99</v>
      </c>
      <c r="AK1328" s="119">
        <v>4618</v>
      </c>
      <c r="AL1328" s="119">
        <v>4593</v>
      </c>
      <c r="AM1328" s="119" t="s">
        <v>292</v>
      </c>
      <c r="AN1328" s="112" t="s">
        <v>276</v>
      </c>
      <c r="AO1328" s="121">
        <f t="shared" si="394"/>
        <v>2.0788220008661757</v>
      </c>
      <c r="AP1328" s="112" t="s">
        <v>276</v>
      </c>
      <c r="AQ1328" s="112" t="s">
        <v>276</v>
      </c>
      <c r="AR1328" s="112" t="s">
        <v>276</v>
      </c>
      <c r="AS1328" s="121">
        <f t="shared" si="397"/>
        <v>2.155453951665578</v>
      </c>
      <c r="AT1328" s="112" t="s">
        <v>276</v>
      </c>
      <c r="AU1328" s="112" t="s">
        <v>276</v>
      </c>
      <c r="AV1328" s="112" t="s">
        <v>268</v>
      </c>
      <c r="AW1328" s="112" t="s">
        <v>276</v>
      </c>
      <c r="AX1328" s="121">
        <f t="shared" si="398"/>
        <v>0.96444741918973187</v>
      </c>
      <c r="AY1328" s="112" t="s">
        <v>276</v>
      </c>
      <c r="AZ1328" s="112" t="s">
        <v>276</v>
      </c>
      <c r="BA1328" s="112" t="s">
        <v>276</v>
      </c>
      <c r="BB1328" s="112" t="s">
        <v>282</v>
      </c>
      <c r="BC1328" s="112" t="s">
        <v>276</v>
      </c>
      <c r="BD1328" s="112" t="s">
        <v>276</v>
      </c>
      <c r="BE1328" s="112" t="s">
        <v>276</v>
      </c>
      <c r="BF1328" s="113" t="s">
        <v>8103</v>
      </c>
      <c r="BG1328" s="113"/>
      <c r="BH1328" s="9" t="s">
        <v>100</v>
      </c>
      <c r="BI1328" s="9" t="s">
        <v>100</v>
      </c>
      <c r="BJ1328" s="123"/>
      <c r="BN1328" s="123"/>
      <c r="BO1328" s="123"/>
    </row>
    <row r="1329" spans="1:67" s="110" customFormat="1" ht="52" hidden="1" x14ac:dyDescent="0.35">
      <c r="A1329" s="94">
        <v>11143</v>
      </c>
      <c r="B1329" s="95" t="s">
        <v>7975</v>
      </c>
      <c r="C1329" s="95" t="s">
        <v>81</v>
      </c>
      <c r="D1329" s="95" t="s">
        <v>8104</v>
      </c>
      <c r="E1329" s="94" t="s">
        <v>39</v>
      </c>
      <c r="F1329" s="95" t="s">
        <v>263</v>
      </c>
      <c r="G1329" s="94" t="s">
        <v>225</v>
      </c>
      <c r="H1329" s="94" t="s">
        <v>125</v>
      </c>
      <c r="I1329" s="94" t="s">
        <v>114</v>
      </c>
      <c r="J1329" s="95" t="s">
        <v>25</v>
      </c>
      <c r="K1329" s="95" t="s">
        <v>8101</v>
      </c>
      <c r="L1329" s="95" t="s">
        <v>8086</v>
      </c>
      <c r="M1329" s="95" t="s">
        <v>8087</v>
      </c>
      <c r="N1329" s="94" t="s">
        <v>276</v>
      </c>
      <c r="O1329" s="95" t="s">
        <v>276</v>
      </c>
      <c r="P1329" s="95" t="s">
        <v>235</v>
      </c>
      <c r="Q1329" s="140">
        <v>29952</v>
      </c>
      <c r="R1329" s="95" t="s">
        <v>276</v>
      </c>
      <c r="S1329" s="95" t="s">
        <v>276</v>
      </c>
      <c r="T1329" s="95" t="s">
        <v>276</v>
      </c>
      <c r="U1329" s="95" t="s">
        <v>276</v>
      </c>
      <c r="V1329" s="94" t="s">
        <v>14</v>
      </c>
      <c r="W1329" s="94" t="s">
        <v>98</v>
      </c>
      <c r="X1329" s="95" t="s">
        <v>207</v>
      </c>
      <c r="Y1329" s="98">
        <v>4618</v>
      </c>
      <c r="Z1329" s="95">
        <v>4593</v>
      </c>
      <c r="AA1329" s="95" t="s">
        <v>276</v>
      </c>
      <c r="AB1329" s="95" t="s">
        <v>276</v>
      </c>
      <c r="AC1329" s="94" t="s">
        <v>276</v>
      </c>
      <c r="AD1329" s="94" t="s">
        <v>276</v>
      </c>
      <c r="AE1329" s="94" t="s">
        <v>276</v>
      </c>
      <c r="AF1329" s="94" t="s">
        <v>276</v>
      </c>
      <c r="AG1329" s="95" t="s">
        <v>8102</v>
      </c>
      <c r="AH1329" s="95" t="s">
        <v>8105</v>
      </c>
      <c r="AI1329" s="99">
        <v>96</v>
      </c>
      <c r="AJ1329" s="99">
        <v>99</v>
      </c>
      <c r="AK1329" s="99">
        <v>167</v>
      </c>
      <c r="AL1329" s="99">
        <v>131</v>
      </c>
      <c r="AM1329" s="99" t="s">
        <v>292</v>
      </c>
      <c r="AN1329" s="94">
        <v>58</v>
      </c>
      <c r="AO1329" s="102">
        <f t="shared" si="394"/>
        <v>57.485029940119759</v>
      </c>
      <c r="AP1329" s="94" t="s">
        <v>276</v>
      </c>
      <c r="AQ1329" s="94" t="s">
        <v>276</v>
      </c>
      <c r="AR1329" s="94">
        <v>75</v>
      </c>
      <c r="AS1329" s="102">
        <f t="shared" si="397"/>
        <v>75.572519083969468</v>
      </c>
      <c r="AT1329" s="94" t="s">
        <v>276</v>
      </c>
      <c r="AU1329" s="94" t="s">
        <v>276</v>
      </c>
      <c r="AV1329" s="94" t="s">
        <v>268</v>
      </c>
      <c r="AW1329" s="94" t="s">
        <v>276</v>
      </c>
      <c r="AX1329" s="102">
        <f t="shared" si="398"/>
        <v>0.76066049718744322</v>
      </c>
      <c r="AY1329" s="94" t="s">
        <v>276</v>
      </c>
      <c r="AZ1329" s="94" t="s">
        <v>276</v>
      </c>
      <c r="BA1329" s="94" t="s">
        <v>276</v>
      </c>
      <c r="BB1329" s="94" t="s">
        <v>282</v>
      </c>
      <c r="BC1329" s="94" t="s">
        <v>276</v>
      </c>
      <c r="BD1329" s="94" t="s">
        <v>276</v>
      </c>
      <c r="BE1329" s="94" t="s">
        <v>276</v>
      </c>
      <c r="BF1329" s="95" t="s">
        <v>8103</v>
      </c>
      <c r="BG1329" s="95"/>
      <c r="BH1329" s="9" t="s">
        <v>100</v>
      </c>
      <c r="BI1329" s="9" t="s">
        <v>100</v>
      </c>
      <c r="BJ1329" s="109"/>
      <c r="BN1329" s="109"/>
      <c r="BO1329" s="109"/>
    </row>
    <row r="1330" spans="1:67" s="33" customFormat="1" ht="52" hidden="1" x14ac:dyDescent="0.35">
      <c r="A1330" s="545">
        <v>258</v>
      </c>
      <c r="B1330" s="545" t="s">
        <v>8250</v>
      </c>
      <c r="C1330" s="545" t="s">
        <v>55</v>
      </c>
      <c r="D1330" s="546" t="s">
        <v>8331</v>
      </c>
      <c r="E1330" s="545" t="s">
        <v>36</v>
      </c>
      <c r="F1330" s="545" t="s">
        <v>8252</v>
      </c>
      <c r="G1330" s="545" t="s">
        <v>225</v>
      </c>
      <c r="H1330" s="545" t="s">
        <v>125</v>
      </c>
      <c r="I1330" s="545" t="s">
        <v>114</v>
      </c>
      <c r="J1330" s="546" t="s">
        <v>28</v>
      </c>
      <c r="K1330" s="545" t="s">
        <v>6737</v>
      </c>
      <c r="L1330" s="545" t="s">
        <v>8332</v>
      </c>
      <c r="M1330" s="545" t="s">
        <v>8333</v>
      </c>
      <c r="N1330" s="546" t="s">
        <v>8334</v>
      </c>
      <c r="O1330" s="546" t="s">
        <v>276</v>
      </c>
      <c r="P1330" s="546" t="s">
        <v>239</v>
      </c>
      <c r="Q1330" s="613" t="s">
        <v>276</v>
      </c>
      <c r="R1330" s="546" t="s">
        <v>776</v>
      </c>
      <c r="S1330" s="546" t="s">
        <v>8254</v>
      </c>
      <c r="T1330" s="546" t="s">
        <v>8255</v>
      </c>
      <c r="U1330" s="546">
        <v>11</v>
      </c>
      <c r="V1330" s="545" t="s">
        <v>14</v>
      </c>
      <c r="W1330" s="545" t="s">
        <v>98</v>
      </c>
      <c r="X1330" s="546" t="s">
        <v>207</v>
      </c>
      <c r="Y1330" s="614">
        <v>15570</v>
      </c>
      <c r="Z1330" s="615">
        <v>15394</v>
      </c>
      <c r="AA1330" s="546" t="s">
        <v>276</v>
      </c>
      <c r="AB1330" s="546" t="s">
        <v>276</v>
      </c>
      <c r="AC1330" s="616">
        <v>33</v>
      </c>
      <c r="AD1330" s="545" t="s">
        <v>2797</v>
      </c>
      <c r="AE1330" s="616">
        <v>39</v>
      </c>
      <c r="AF1330" s="545" t="s">
        <v>2797</v>
      </c>
      <c r="AG1330" s="546" t="s">
        <v>8335</v>
      </c>
      <c r="AH1330" s="546" t="s">
        <v>8257</v>
      </c>
      <c r="AI1330" s="551">
        <v>107</v>
      </c>
      <c r="AJ1330" s="551">
        <v>88</v>
      </c>
      <c r="AK1330" s="550">
        <v>184160</v>
      </c>
      <c r="AL1330" s="550">
        <v>181966</v>
      </c>
      <c r="AM1330" s="550" t="s">
        <v>425</v>
      </c>
      <c r="AN1330" s="545" t="s">
        <v>276</v>
      </c>
      <c r="AO1330" s="554">
        <f t="shared" ref="AO1330:AO1337" si="399">AI1330*1000/AK1330</f>
        <v>0.58101650738488275</v>
      </c>
      <c r="AP1330" s="545" t="s">
        <v>276</v>
      </c>
      <c r="AQ1330" s="545" t="s">
        <v>276</v>
      </c>
      <c r="AR1330" s="545" t="s">
        <v>276</v>
      </c>
      <c r="AS1330" s="554">
        <f t="shared" ref="AS1330:AS1337" si="400">AJ1330*1000/AL1330</f>
        <v>0.48360682764912127</v>
      </c>
      <c r="AT1330" s="545" t="s">
        <v>276</v>
      </c>
      <c r="AU1330" s="545" t="s">
        <v>276</v>
      </c>
      <c r="AV1330" s="545" t="s">
        <v>269</v>
      </c>
      <c r="AW1330" s="617" t="s">
        <v>276</v>
      </c>
      <c r="AX1330" s="618">
        <f t="shared" ref="AX1330:AX1351" si="401">AO1330/AS1330</f>
        <v>1.201423292986336</v>
      </c>
      <c r="AY1330" s="546" t="s">
        <v>276</v>
      </c>
      <c r="AZ1330" s="546" t="s">
        <v>276</v>
      </c>
      <c r="BA1330" s="546" t="s">
        <v>276</v>
      </c>
      <c r="BB1330" s="546" t="s">
        <v>282</v>
      </c>
      <c r="BC1330" s="546" t="s">
        <v>276</v>
      </c>
      <c r="BD1330" s="546" t="s">
        <v>276</v>
      </c>
      <c r="BE1330" s="546" t="s">
        <v>276</v>
      </c>
      <c r="BF1330" s="546" t="s">
        <v>1020</v>
      </c>
      <c r="BG1330" s="546" t="s">
        <v>8336</v>
      </c>
      <c r="BH1330" s="9" t="s">
        <v>100</v>
      </c>
      <c r="BI1330" s="9" t="s">
        <v>100</v>
      </c>
      <c r="BJ1330" s="32"/>
      <c r="BN1330" s="32"/>
      <c r="BO1330" s="32"/>
    </row>
    <row r="1331" spans="1:67" s="33" customFormat="1" ht="65" hidden="1" x14ac:dyDescent="0.35">
      <c r="A1331" s="545">
        <v>258</v>
      </c>
      <c r="B1331" s="545" t="s">
        <v>8250</v>
      </c>
      <c r="C1331" s="545" t="s">
        <v>55</v>
      </c>
      <c r="D1331" s="546" t="s">
        <v>11266</v>
      </c>
      <c r="E1331" s="545" t="s">
        <v>36</v>
      </c>
      <c r="F1331" s="545" t="s">
        <v>8252</v>
      </c>
      <c r="G1331" s="545" t="s">
        <v>225</v>
      </c>
      <c r="H1331" s="545" t="s">
        <v>125</v>
      </c>
      <c r="I1331" s="545" t="s">
        <v>114</v>
      </c>
      <c r="J1331" s="546" t="s">
        <v>28</v>
      </c>
      <c r="K1331" s="545" t="s">
        <v>6737</v>
      </c>
      <c r="L1331" s="545" t="s">
        <v>8332</v>
      </c>
      <c r="M1331" s="545" t="s">
        <v>8333</v>
      </c>
      <c r="N1331" s="546" t="s">
        <v>8334</v>
      </c>
      <c r="O1331" s="546" t="s">
        <v>276</v>
      </c>
      <c r="P1331" s="546" t="s">
        <v>239</v>
      </c>
      <c r="Q1331" s="613" t="s">
        <v>276</v>
      </c>
      <c r="R1331" s="546" t="s">
        <v>776</v>
      </c>
      <c r="S1331" s="546" t="s">
        <v>8254</v>
      </c>
      <c r="T1331" s="546" t="s">
        <v>8255</v>
      </c>
      <c r="U1331" s="546">
        <v>11</v>
      </c>
      <c r="V1331" s="545" t="s">
        <v>14</v>
      </c>
      <c r="W1331" s="545" t="s">
        <v>98</v>
      </c>
      <c r="X1331" s="546" t="s">
        <v>207</v>
      </c>
      <c r="Y1331" s="550">
        <v>15534</v>
      </c>
      <c r="Z1331" s="551">
        <v>15364</v>
      </c>
      <c r="AA1331" s="546" t="s">
        <v>276</v>
      </c>
      <c r="AB1331" s="546" t="s">
        <v>276</v>
      </c>
      <c r="AC1331" s="616" t="s">
        <v>11267</v>
      </c>
      <c r="AD1331" s="545" t="s">
        <v>2797</v>
      </c>
      <c r="AE1331" s="616" t="s">
        <v>11268</v>
      </c>
      <c r="AF1331" s="545" t="s">
        <v>2797</v>
      </c>
      <c r="AG1331" s="546" t="s">
        <v>8335</v>
      </c>
      <c r="AH1331" s="546" t="s">
        <v>11269</v>
      </c>
      <c r="AI1331" s="551" t="s">
        <v>276</v>
      </c>
      <c r="AJ1331" s="551" t="s">
        <v>276</v>
      </c>
      <c r="AK1331" s="550">
        <v>15534</v>
      </c>
      <c r="AL1331" s="551">
        <v>15364</v>
      </c>
      <c r="AM1331" s="551" t="s">
        <v>2047</v>
      </c>
      <c r="AN1331" s="545">
        <v>6.9</v>
      </c>
      <c r="AO1331" s="554" t="s">
        <v>98</v>
      </c>
      <c r="AP1331" s="545" t="s">
        <v>276</v>
      </c>
      <c r="AQ1331" s="545" t="s">
        <v>276</v>
      </c>
      <c r="AR1331" s="545">
        <v>5.5</v>
      </c>
      <c r="AS1331" s="554" t="s">
        <v>98</v>
      </c>
      <c r="AT1331" s="545" t="s">
        <v>276</v>
      </c>
      <c r="AU1331" s="545" t="s">
        <v>276</v>
      </c>
      <c r="AV1331" s="545" t="s">
        <v>268</v>
      </c>
      <c r="AW1331" s="617" t="s">
        <v>276</v>
      </c>
      <c r="AX1331" s="618">
        <f>AN1331/AR1331</f>
        <v>1.2545454545454546</v>
      </c>
      <c r="AY1331" s="546" t="s">
        <v>276</v>
      </c>
      <c r="AZ1331" s="546" t="s">
        <v>276</v>
      </c>
      <c r="BA1331" s="546" t="s">
        <v>276</v>
      </c>
      <c r="BB1331" s="546" t="s">
        <v>282</v>
      </c>
      <c r="BC1331" s="546" t="s">
        <v>276</v>
      </c>
      <c r="BD1331" s="546" t="s">
        <v>276</v>
      </c>
      <c r="BE1331" s="546" t="s">
        <v>276</v>
      </c>
      <c r="BF1331" s="546" t="s">
        <v>11270</v>
      </c>
      <c r="BG1331" s="546" t="s">
        <v>11271</v>
      </c>
      <c r="BH1331" s="9" t="s">
        <v>100</v>
      </c>
      <c r="BI1331" s="9" t="s">
        <v>100</v>
      </c>
      <c r="BJ1331" s="32"/>
      <c r="BN1331" s="32"/>
      <c r="BO1331" s="32"/>
    </row>
    <row r="1332" spans="1:67" s="79" customFormat="1" ht="52" hidden="1" x14ac:dyDescent="0.35">
      <c r="A1332" s="555">
        <v>258</v>
      </c>
      <c r="B1332" s="555" t="s">
        <v>8250</v>
      </c>
      <c r="C1332" s="555" t="s">
        <v>55</v>
      </c>
      <c r="D1332" s="556" t="s">
        <v>8337</v>
      </c>
      <c r="E1332" s="555" t="s">
        <v>36</v>
      </c>
      <c r="F1332" s="555" t="s">
        <v>8252</v>
      </c>
      <c r="G1332" s="555" t="s">
        <v>225</v>
      </c>
      <c r="H1332" s="555" t="s">
        <v>125</v>
      </c>
      <c r="I1332" s="555" t="s">
        <v>114</v>
      </c>
      <c r="J1332" s="556" t="s">
        <v>28</v>
      </c>
      <c r="K1332" s="555" t="s">
        <v>6740</v>
      </c>
      <c r="L1332" s="555" t="s">
        <v>8332</v>
      </c>
      <c r="M1332" s="555" t="s">
        <v>8333</v>
      </c>
      <c r="N1332" s="556" t="s">
        <v>8334</v>
      </c>
      <c r="O1332" s="556" t="s">
        <v>276</v>
      </c>
      <c r="P1332" s="556" t="s">
        <v>239</v>
      </c>
      <c r="Q1332" s="619" t="s">
        <v>276</v>
      </c>
      <c r="R1332" s="556" t="s">
        <v>776</v>
      </c>
      <c r="S1332" s="556" t="s">
        <v>8254</v>
      </c>
      <c r="T1332" s="556" t="s">
        <v>8255</v>
      </c>
      <c r="U1332" s="556">
        <v>11</v>
      </c>
      <c r="V1332" s="555" t="s">
        <v>14</v>
      </c>
      <c r="W1332" s="555" t="s">
        <v>98</v>
      </c>
      <c r="X1332" s="556" t="s">
        <v>207</v>
      </c>
      <c r="Y1332" s="560">
        <v>15570</v>
      </c>
      <c r="Z1332" s="561">
        <v>15394</v>
      </c>
      <c r="AA1332" s="556" t="s">
        <v>276</v>
      </c>
      <c r="AB1332" s="556" t="s">
        <v>276</v>
      </c>
      <c r="AC1332" s="620">
        <v>33</v>
      </c>
      <c r="AD1332" s="555" t="s">
        <v>2797</v>
      </c>
      <c r="AE1332" s="620">
        <v>39</v>
      </c>
      <c r="AF1332" s="555" t="s">
        <v>2797</v>
      </c>
      <c r="AG1332" s="556" t="s">
        <v>8338</v>
      </c>
      <c r="AH1332" s="556" t="s">
        <v>8257</v>
      </c>
      <c r="AI1332" s="561">
        <v>101</v>
      </c>
      <c r="AJ1332" s="561">
        <v>120</v>
      </c>
      <c r="AK1332" s="560">
        <v>184160</v>
      </c>
      <c r="AL1332" s="560">
        <v>181966</v>
      </c>
      <c r="AM1332" s="560" t="s">
        <v>425</v>
      </c>
      <c r="AN1332" s="555" t="s">
        <v>276</v>
      </c>
      <c r="AO1332" s="563">
        <f t="shared" si="399"/>
        <v>0.54843614248479577</v>
      </c>
      <c r="AP1332" s="555" t="s">
        <v>276</v>
      </c>
      <c r="AQ1332" s="555" t="s">
        <v>276</v>
      </c>
      <c r="AR1332" s="555" t="s">
        <v>276</v>
      </c>
      <c r="AS1332" s="563">
        <f t="shared" si="400"/>
        <v>0.65946385588516532</v>
      </c>
      <c r="AT1332" s="555" t="s">
        <v>276</v>
      </c>
      <c r="AU1332" s="555" t="s">
        <v>276</v>
      </c>
      <c r="AV1332" s="555" t="s">
        <v>269</v>
      </c>
      <c r="AW1332" s="621" t="s">
        <v>276</v>
      </c>
      <c r="AX1332" s="622">
        <f t="shared" si="401"/>
        <v>0.83163942586156958</v>
      </c>
      <c r="AY1332" s="556" t="s">
        <v>276</v>
      </c>
      <c r="AZ1332" s="556" t="s">
        <v>276</v>
      </c>
      <c r="BA1332" s="556" t="s">
        <v>276</v>
      </c>
      <c r="BB1332" s="556" t="s">
        <v>282</v>
      </c>
      <c r="BC1332" s="556" t="s">
        <v>276</v>
      </c>
      <c r="BD1332" s="556" t="s">
        <v>276</v>
      </c>
      <c r="BE1332" s="556" t="s">
        <v>276</v>
      </c>
      <c r="BF1332" s="556" t="s">
        <v>1020</v>
      </c>
      <c r="BG1332" s="556" t="s">
        <v>8336</v>
      </c>
      <c r="BH1332" s="9" t="s">
        <v>100</v>
      </c>
      <c r="BI1332" s="9" t="s">
        <v>100</v>
      </c>
      <c r="BJ1332" s="78"/>
      <c r="BN1332" s="78"/>
      <c r="BO1332" s="78"/>
    </row>
    <row r="1333" spans="1:67" s="79" customFormat="1" ht="65" hidden="1" x14ac:dyDescent="0.35">
      <c r="A1333" s="555">
        <v>258</v>
      </c>
      <c r="B1333" s="555" t="s">
        <v>8250</v>
      </c>
      <c r="C1333" s="555" t="s">
        <v>55</v>
      </c>
      <c r="D1333" s="556" t="s">
        <v>11272</v>
      </c>
      <c r="E1333" s="555" t="s">
        <v>36</v>
      </c>
      <c r="F1333" s="555" t="s">
        <v>8252</v>
      </c>
      <c r="G1333" s="555" t="s">
        <v>225</v>
      </c>
      <c r="H1333" s="555" t="s">
        <v>125</v>
      </c>
      <c r="I1333" s="555" t="s">
        <v>114</v>
      </c>
      <c r="J1333" s="556" t="s">
        <v>28</v>
      </c>
      <c r="K1333" s="555" t="s">
        <v>6740</v>
      </c>
      <c r="L1333" s="555" t="s">
        <v>8332</v>
      </c>
      <c r="M1333" s="555" t="s">
        <v>8333</v>
      </c>
      <c r="N1333" s="556" t="s">
        <v>8334</v>
      </c>
      <c r="O1333" s="556" t="s">
        <v>276</v>
      </c>
      <c r="P1333" s="556" t="s">
        <v>239</v>
      </c>
      <c r="Q1333" s="619" t="s">
        <v>276</v>
      </c>
      <c r="R1333" s="556" t="s">
        <v>776</v>
      </c>
      <c r="S1333" s="556" t="s">
        <v>8254</v>
      </c>
      <c r="T1333" s="556" t="s">
        <v>8255</v>
      </c>
      <c r="U1333" s="556">
        <v>11</v>
      </c>
      <c r="V1333" s="555" t="s">
        <v>14</v>
      </c>
      <c r="W1333" s="555" t="s">
        <v>98</v>
      </c>
      <c r="X1333" s="556" t="s">
        <v>207</v>
      </c>
      <c r="Y1333" s="623">
        <v>15534</v>
      </c>
      <c r="Z1333" s="624">
        <v>15364</v>
      </c>
      <c r="AA1333" s="625" t="s">
        <v>276</v>
      </c>
      <c r="AB1333" s="625" t="s">
        <v>276</v>
      </c>
      <c r="AC1333" s="626" t="s">
        <v>11267</v>
      </c>
      <c r="AD1333" s="627" t="s">
        <v>2797</v>
      </c>
      <c r="AE1333" s="626" t="s">
        <v>11268</v>
      </c>
      <c r="AF1333" s="555" t="s">
        <v>2797</v>
      </c>
      <c r="AG1333" s="556" t="s">
        <v>8338</v>
      </c>
      <c r="AH1333" s="556" t="s">
        <v>11269</v>
      </c>
      <c r="AI1333" s="561" t="s">
        <v>276</v>
      </c>
      <c r="AJ1333" s="561" t="s">
        <v>276</v>
      </c>
      <c r="AK1333" s="560">
        <v>15534</v>
      </c>
      <c r="AL1333" s="561">
        <v>15364</v>
      </c>
      <c r="AM1333" s="561" t="s">
        <v>2047</v>
      </c>
      <c r="AN1333" s="555">
        <v>6.4</v>
      </c>
      <c r="AO1333" s="563" t="s">
        <v>98</v>
      </c>
      <c r="AP1333" s="555" t="s">
        <v>276</v>
      </c>
      <c r="AQ1333" s="555" t="s">
        <v>276</v>
      </c>
      <c r="AR1333" s="555">
        <v>7.3</v>
      </c>
      <c r="AS1333" s="563" t="s">
        <v>98</v>
      </c>
      <c r="AT1333" s="555" t="s">
        <v>276</v>
      </c>
      <c r="AU1333" s="555" t="s">
        <v>276</v>
      </c>
      <c r="AV1333" s="555" t="s">
        <v>268</v>
      </c>
      <c r="AW1333" s="621" t="s">
        <v>276</v>
      </c>
      <c r="AX1333" s="622">
        <f>AN1333/AR1333</f>
        <v>0.87671232876712335</v>
      </c>
      <c r="AY1333" s="556" t="s">
        <v>276</v>
      </c>
      <c r="AZ1333" s="556" t="s">
        <v>276</v>
      </c>
      <c r="BA1333" s="556" t="s">
        <v>276</v>
      </c>
      <c r="BB1333" s="556" t="s">
        <v>282</v>
      </c>
      <c r="BC1333" s="556" t="s">
        <v>276</v>
      </c>
      <c r="BD1333" s="556" t="s">
        <v>276</v>
      </c>
      <c r="BE1333" s="556" t="s">
        <v>276</v>
      </c>
      <c r="BF1333" s="556" t="s">
        <v>11273</v>
      </c>
      <c r="BG1333" s="556" t="s">
        <v>11271</v>
      </c>
      <c r="BH1333" s="9" t="s">
        <v>100</v>
      </c>
      <c r="BI1333" s="9" t="s">
        <v>100</v>
      </c>
      <c r="BJ1333" s="78"/>
      <c r="BN1333" s="78"/>
      <c r="BO1333" s="78"/>
    </row>
    <row r="1334" spans="1:67" s="33" customFormat="1" ht="52" hidden="1" x14ac:dyDescent="0.35">
      <c r="A1334" s="545">
        <v>258</v>
      </c>
      <c r="B1334" s="545" t="s">
        <v>8250</v>
      </c>
      <c r="C1334" s="545" t="s">
        <v>55</v>
      </c>
      <c r="D1334" s="546" t="s">
        <v>8339</v>
      </c>
      <c r="E1334" s="545" t="s">
        <v>36</v>
      </c>
      <c r="F1334" s="545" t="s">
        <v>8252</v>
      </c>
      <c r="G1334" s="545" t="s">
        <v>225</v>
      </c>
      <c r="H1334" s="545" t="s">
        <v>125</v>
      </c>
      <c r="I1334" s="545" t="s">
        <v>114</v>
      </c>
      <c r="J1334" s="546" t="s">
        <v>28</v>
      </c>
      <c r="K1334" s="545" t="s">
        <v>6742</v>
      </c>
      <c r="L1334" s="545" t="s">
        <v>8332</v>
      </c>
      <c r="M1334" s="545" t="s">
        <v>8333</v>
      </c>
      <c r="N1334" s="546" t="s">
        <v>8334</v>
      </c>
      <c r="O1334" s="546" t="s">
        <v>276</v>
      </c>
      <c r="P1334" s="546" t="s">
        <v>239</v>
      </c>
      <c r="Q1334" s="613" t="s">
        <v>276</v>
      </c>
      <c r="R1334" s="546" t="s">
        <v>776</v>
      </c>
      <c r="S1334" s="546" t="s">
        <v>8254</v>
      </c>
      <c r="T1334" s="546" t="s">
        <v>8255</v>
      </c>
      <c r="U1334" s="546">
        <v>11</v>
      </c>
      <c r="V1334" s="545" t="s">
        <v>14</v>
      </c>
      <c r="W1334" s="545" t="s">
        <v>98</v>
      </c>
      <c r="X1334" s="546" t="s">
        <v>207</v>
      </c>
      <c r="Y1334" s="614">
        <v>15570</v>
      </c>
      <c r="Z1334" s="615">
        <v>15394</v>
      </c>
      <c r="AA1334" s="546" t="s">
        <v>276</v>
      </c>
      <c r="AB1334" s="546" t="s">
        <v>276</v>
      </c>
      <c r="AC1334" s="616">
        <v>33</v>
      </c>
      <c r="AD1334" s="545" t="s">
        <v>2797</v>
      </c>
      <c r="AE1334" s="616">
        <v>39</v>
      </c>
      <c r="AF1334" s="545" t="s">
        <v>2797</v>
      </c>
      <c r="AG1334" s="546" t="s">
        <v>8340</v>
      </c>
      <c r="AH1334" s="546" t="s">
        <v>8257</v>
      </c>
      <c r="AI1334" s="551">
        <v>80</v>
      </c>
      <c r="AJ1334" s="551">
        <v>82</v>
      </c>
      <c r="AK1334" s="550">
        <v>184160</v>
      </c>
      <c r="AL1334" s="550">
        <v>181966</v>
      </c>
      <c r="AM1334" s="550" t="s">
        <v>425</v>
      </c>
      <c r="AN1334" s="545" t="s">
        <v>276</v>
      </c>
      <c r="AO1334" s="554">
        <f t="shared" si="399"/>
        <v>0.43440486533449174</v>
      </c>
      <c r="AP1334" s="545" t="s">
        <v>276</v>
      </c>
      <c r="AQ1334" s="545" t="s">
        <v>276</v>
      </c>
      <c r="AR1334" s="545" t="s">
        <v>276</v>
      </c>
      <c r="AS1334" s="554">
        <f t="shared" si="400"/>
        <v>0.45063363485486302</v>
      </c>
      <c r="AT1334" s="545" t="s">
        <v>276</v>
      </c>
      <c r="AU1334" s="545" t="s">
        <v>276</v>
      </c>
      <c r="AV1334" s="545" t="s">
        <v>269</v>
      </c>
      <c r="AW1334" s="617" t="s">
        <v>276</v>
      </c>
      <c r="AX1334" s="618">
        <f t="shared" si="401"/>
        <v>0.96398677713970882</v>
      </c>
      <c r="AY1334" s="546" t="s">
        <v>276</v>
      </c>
      <c r="AZ1334" s="546" t="s">
        <v>276</v>
      </c>
      <c r="BA1334" s="546" t="s">
        <v>276</v>
      </c>
      <c r="BB1334" s="546" t="s">
        <v>282</v>
      </c>
      <c r="BC1334" s="546" t="s">
        <v>276</v>
      </c>
      <c r="BD1334" s="546" t="s">
        <v>276</v>
      </c>
      <c r="BE1334" s="546" t="s">
        <v>276</v>
      </c>
      <c r="BF1334" s="546" t="s">
        <v>1020</v>
      </c>
      <c r="BG1334" s="546" t="s">
        <v>8336</v>
      </c>
      <c r="BH1334" s="9" t="s">
        <v>100</v>
      </c>
      <c r="BI1334" s="9" t="s">
        <v>100</v>
      </c>
      <c r="BJ1334" s="32"/>
      <c r="BN1334" s="32"/>
      <c r="BO1334" s="32"/>
    </row>
    <row r="1335" spans="1:67" s="33" customFormat="1" ht="65" hidden="1" x14ac:dyDescent="0.35">
      <c r="A1335" s="545">
        <v>258</v>
      </c>
      <c r="B1335" s="545" t="s">
        <v>8250</v>
      </c>
      <c r="C1335" s="545" t="s">
        <v>55</v>
      </c>
      <c r="D1335" s="546" t="s">
        <v>11274</v>
      </c>
      <c r="E1335" s="545" t="s">
        <v>36</v>
      </c>
      <c r="F1335" s="545" t="s">
        <v>8252</v>
      </c>
      <c r="G1335" s="545" t="s">
        <v>225</v>
      </c>
      <c r="H1335" s="545" t="s">
        <v>125</v>
      </c>
      <c r="I1335" s="545" t="s">
        <v>114</v>
      </c>
      <c r="J1335" s="546" t="s">
        <v>28</v>
      </c>
      <c r="K1335" s="545" t="s">
        <v>6742</v>
      </c>
      <c r="L1335" s="545" t="s">
        <v>8332</v>
      </c>
      <c r="M1335" s="545" t="s">
        <v>8333</v>
      </c>
      <c r="N1335" s="546" t="s">
        <v>8334</v>
      </c>
      <c r="O1335" s="546" t="s">
        <v>276</v>
      </c>
      <c r="P1335" s="546" t="s">
        <v>239</v>
      </c>
      <c r="Q1335" s="613" t="s">
        <v>276</v>
      </c>
      <c r="R1335" s="546" t="s">
        <v>776</v>
      </c>
      <c r="S1335" s="546" t="s">
        <v>8254</v>
      </c>
      <c r="T1335" s="546" t="s">
        <v>8255</v>
      </c>
      <c r="U1335" s="546">
        <v>11</v>
      </c>
      <c r="V1335" s="545" t="s">
        <v>14</v>
      </c>
      <c r="W1335" s="545" t="s">
        <v>98</v>
      </c>
      <c r="X1335" s="546" t="s">
        <v>207</v>
      </c>
      <c r="Y1335" s="550">
        <v>15534</v>
      </c>
      <c r="Z1335" s="551">
        <v>15364</v>
      </c>
      <c r="AA1335" s="546" t="s">
        <v>276</v>
      </c>
      <c r="AB1335" s="546" t="s">
        <v>276</v>
      </c>
      <c r="AC1335" s="616" t="s">
        <v>11267</v>
      </c>
      <c r="AD1335" s="545" t="s">
        <v>2797</v>
      </c>
      <c r="AE1335" s="616" t="s">
        <v>11268</v>
      </c>
      <c r="AF1335" s="545" t="s">
        <v>2797</v>
      </c>
      <c r="AG1335" s="546" t="s">
        <v>8340</v>
      </c>
      <c r="AH1335" s="546" t="s">
        <v>11269</v>
      </c>
      <c r="AI1335" s="551" t="s">
        <v>276</v>
      </c>
      <c r="AJ1335" s="551" t="s">
        <v>276</v>
      </c>
      <c r="AK1335" s="550">
        <v>15534</v>
      </c>
      <c r="AL1335" s="551">
        <v>15364</v>
      </c>
      <c r="AM1335" s="551" t="s">
        <v>2047</v>
      </c>
      <c r="AN1335" s="545">
        <v>5.6</v>
      </c>
      <c r="AO1335" s="554" t="s">
        <v>98</v>
      </c>
      <c r="AP1335" s="545" t="s">
        <v>276</v>
      </c>
      <c r="AQ1335" s="545" t="s">
        <v>276</v>
      </c>
      <c r="AR1335" s="545">
        <v>5.5</v>
      </c>
      <c r="AS1335" s="554" t="s">
        <v>98</v>
      </c>
      <c r="AT1335" s="545" t="s">
        <v>276</v>
      </c>
      <c r="AU1335" s="545" t="s">
        <v>276</v>
      </c>
      <c r="AV1335" s="545" t="s">
        <v>268</v>
      </c>
      <c r="AW1335" s="617" t="s">
        <v>276</v>
      </c>
      <c r="AX1335" s="618">
        <f>AN1335/AR1335</f>
        <v>1.0181818181818181</v>
      </c>
      <c r="AY1335" s="546" t="s">
        <v>276</v>
      </c>
      <c r="AZ1335" s="546" t="s">
        <v>276</v>
      </c>
      <c r="BA1335" s="546" t="s">
        <v>276</v>
      </c>
      <c r="BB1335" s="546" t="s">
        <v>282</v>
      </c>
      <c r="BC1335" s="546" t="s">
        <v>276</v>
      </c>
      <c r="BD1335" s="546" t="s">
        <v>276</v>
      </c>
      <c r="BE1335" s="546" t="s">
        <v>276</v>
      </c>
      <c r="BF1335" s="546" t="s">
        <v>11273</v>
      </c>
      <c r="BG1335" s="546" t="s">
        <v>11271</v>
      </c>
      <c r="BH1335" s="9" t="s">
        <v>100</v>
      </c>
      <c r="BI1335" s="9" t="s">
        <v>100</v>
      </c>
      <c r="BJ1335" s="32"/>
      <c r="BN1335" s="32"/>
      <c r="BO1335" s="32"/>
    </row>
    <row r="1336" spans="1:67" s="79" customFormat="1" ht="52" hidden="1" x14ac:dyDescent="0.35">
      <c r="A1336" s="555">
        <v>258</v>
      </c>
      <c r="B1336" s="555" t="s">
        <v>8250</v>
      </c>
      <c r="C1336" s="555" t="s">
        <v>55</v>
      </c>
      <c r="D1336" s="556" t="s">
        <v>8341</v>
      </c>
      <c r="E1336" s="555" t="s">
        <v>36</v>
      </c>
      <c r="F1336" s="555" t="s">
        <v>8252</v>
      </c>
      <c r="G1336" s="555" t="s">
        <v>225</v>
      </c>
      <c r="H1336" s="555" t="s">
        <v>125</v>
      </c>
      <c r="I1336" s="555" t="s">
        <v>114</v>
      </c>
      <c r="J1336" s="556" t="s">
        <v>28</v>
      </c>
      <c r="K1336" s="555" t="s">
        <v>7100</v>
      </c>
      <c r="L1336" s="555" t="s">
        <v>8332</v>
      </c>
      <c r="M1336" s="555" t="s">
        <v>8333</v>
      </c>
      <c r="N1336" s="556" t="s">
        <v>8334</v>
      </c>
      <c r="O1336" s="556" t="s">
        <v>276</v>
      </c>
      <c r="P1336" s="556" t="s">
        <v>239</v>
      </c>
      <c r="Q1336" s="619" t="s">
        <v>276</v>
      </c>
      <c r="R1336" s="556" t="s">
        <v>776</v>
      </c>
      <c r="S1336" s="556" t="s">
        <v>8254</v>
      </c>
      <c r="T1336" s="556" t="s">
        <v>8255</v>
      </c>
      <c r="U1336" s="556">
        <v>11</v>
      </c>
      <c r="V1336" s="555" t="s">
        <v>14</v>
      </c>
      <c r="W1336" s="555" t="s">
        <v>98</v>
      </c>
      <c r="X1336" s="556" t="s">
        <v>207</v>
      </c>
      <c r="Y1336" s="560">
        <v>15570</v>
      </c>
      <c r="Z1336" s="561">
        <v>15394</v>
      </c>
      <c r="AA1336" s="556" t="s">
        <v>276</v>
      </c>
      <c r="AB1336" s="556" t="s">
        <v>276</v>
      </c>
      <c r="AC1336" s="620">
        <v>33</v>
      </c>
      <c r="AD1336" s="555" t="s">
        <v>2797</v>
      </c>
      <c r="AE1336" s="620">
        <v>39</v>
      </c>
      <c r="AF1336" s="555" t="s">
        <v>2797</v>
      </c>
      <c r="AG1336" s="556" t="s">
        <v>8342</v>
      </c>
      <c r="AH1336" s="556" t="s">
        <v>8257</v>
      </c>
      <c r="AI1336" s="561">
        <v>33</v>
      </c>
      <c r="AJ1336" s="561">
        <v>65</v>
      </c>
      <c r="AK1336" s="560">
        <v>184160</v>
      </c>
      <c r="AL1336" s="560">
        <v>181966</v>
      </c>
      <c r="AM1336" s="560" t="s">
        <v>425</v>
      </c>
      <c r="AN1336" s="555" t="s">
        <v>276</v>
      </c>
      <c r="AO1336" s="563">
        <f t="shared" ref="AO1336" si="402">AI1336*1000/AK1336</f>
        <v>0.17919200695047785</v>
      </c>
      <c r="AP1336" s="555" t="s">
        <v>276</v>
      </c>
      <c r="AQ1336" s="555" t="s">
        <v>276</v>
      </c>
      <c r="AR1336" s="555" t="s">
        <v>276</v>
      </c>
      <c r="AS1336" s="563">
        <f t="shared" ref="AS1336" si="403">AJ1336*1000/AL1336</f>
        <v>0.35720958860446456</v>
      </c>
      <c r="AT1336" s="555" t="s">
        <v>276</v>
      </c>
      <c r="AU1336" s="555" t="s">
        <v>276</v>
      </c>
      <c r="AV1336" s="555" t="s">
        <v>269</v>
      </c>
      <c r="AW1336" s="621" t="s">
        <v>276</v>
      </c>
      <c r="AX1336" s="622">
        <f t="shared" ref="AX1336" si="404">AO1336/AS1336</f>
        <v>0.50164388825770234</v>
      </c>
      <c r="AY1336" s="556" t="s">
        <v>276</v>
      </c>
      <c r="AZ1336" s="556" t="s">
        <v>276</v>
      </c>
      <c r="BA1336" s="556" t="s">
        <v>276</v>
      </c>
      <c r="BB1336" s="556" t="s">
        <v>282</v>
      </c>
      <c r="BC1336" s="556" t="s">
        <v>276</v>
      </c>
      <c r="BD1336" s="556" t="s">
        <v>276</v>
      </c>
      <c r="BE1336" s="556" t="s">
        <v>276</v>
      </c>
      <c r="BF1336" s="556" t="s">
        <v>8343</v>
      </c>
      <c r="BG1336" s="556" t="s">
        <v>8336</v>
      </c>
      <c r="BH1336" s="9" t="s">
        <v>100</v>
      </c>
      <c r="BI1336" s="9" t="s">
        <v>100</v>
      </c>
      <c r="BJ1336" s="73"/>
      <c r="BN1336" s="78"/>
      <c r="BO1336" s="78"/>
    </row>
    <row r="1337" spans="1:67" s="79" customFormat="1" ht="52" hidden="1" x14ac:dyDescent="0.35">
      <c r="A1337" s="555">
        <v>258</v>
      </c>
      <c r="B1337" s="555" t="s">
        <v>8250</v>
      </c>
      <c r="C1337" s="555" t="s">
        <v>55</v>
      </c>
      <c r="D1337" s="556" t="s">
        <v>11567</v>
      </c>
      <c r="E1337" s="555" t="s">
        <v>36</v>
      </c>
      <c r="F1337" s="555" t="s">
        <v>8252</v>
      </c>
      <c r="G1337" s="555" t="s">
        <v>225</v>
      </c>
      <c r="H1337" s="555" t="s">
        <v>125</v>
      </c>
      <c r="I1337" s="555" t="s">
        <v>114</v>
      </c>
      <c r="J1337" s="556" t="s">
        <v>28</v>
      </c>
      <c r="K1337" s="555" t="s">
        <v>8839</v>
      </c>
      <c r="L1337" s="555" t="s">
        <v>8332</v>
      </c>
      <c r="M1337" s="555" t="s">
        <v>8333</v>
      </c>
      <c r="N1337" s="556" t="s">
        <v>8334</v>
      </c>
      <c r="O1337" s="556" t="s">
        <v>276</v>
      </c>
      <c r="P1337" s="556" t="s">
        <v>239</v>
      </c>
      <c r="Q1337" s="619" t="s">
        <v>276</v>
      </c>
      <c r="R1337" s="556" t="s">
        <v>776</v>
      </c>
      <c r="S1337" s="556" t="s">
        <v>8254</v>
      </c>
      <c r="T1337" s="556" t="s">
        <v>8255</v>
      </c>
      <c r="U1337" s="556">
        <v>11</v>
      </c>
      <c r="V1337" s="555" t="s">
        <v>14</v>
      </c>
      <c r="W1337" s="555" t="s">
        <v>98</v>
      </c>
      <c r="X1337" s="556" t="s">
        <v>207</v>
      </c>
      <c r="Y1337" s="560">
        <v>15570</v>
      </c>
      <c r="Z1337" s="561">
        <v>15394</v>
      </c>
      <c r="AA1337" s="556" t="s">
        <v>276</v>
      </c>
      <c r="AB1337" s="556" t="s">
        <v>276</v>
      </c>
      <c r="AC1337" s="620">
        <v>33</v>
      </c>
      <c r="AD1337" s="555" t="s">
        <v>2797</v>
      </c>
      <c r="AE1337" s="620">
        <v>39</v>
      </c>
      <c r="AF1337" s="555" t="s">
        <v>2797</v>
      </c>
      <c r="AG1337" s="556" t="s">
        <v>11568</v>
      </c>
      <c r="AH1337" s="556" t="s">
        <v>8257</v>
      </c>
      <c r="AI1337" s="561">
        <f>33+80</f>
        <v>113</v>
      </c>
      <c r="AJ1337" s="561">
        <f>65+82</f>
        <v>147</v>
      </c>
      <c r="AK1337" s="560">
        <v>184160</v>
      </c>
      <c r="AL1337" s="560">
        <v>181966</v>
      </c>
      <c r="AM1337" s="560" t="s">
        <v>425</v>
      </c>
      <c r="AN1337" s="555" t="s">
        <v>276</v>
      </c>
      <c r="AO1337" s="563">
        <f t="shared" si="399"/>
        <v>0.61359687228496962</v>
      </c>
      <c r="AP1337" s="555" t="s">
        <v>276</v>
      </c>
      <c r="AQ1337" s="555" t="s">
        <v>276</v>
      </c>
      <c r="AR1337" s="555" t="s">
        <v>276</v>
      </c>
      <c r="AS1337" s="563">
        <f t="shared" si="400"/>
        <v>0.80784322345932758</v>
      </c>
      <c r="AT1337" s="555" t="s">
        <v>276</v>
      </c>
      <c r="AU1337" s="555" t="s">
        <v>276</v>
      </c>
      <c r="AV1337" s="555" t="s">
        <v>269</v>
      </c>
      <c r="AW1337" s="621" t="s">
        <v>276</v>
      </c>
      <c r="AX1337" s="622">
        <f t="shared" si="401"/>
        <v>0.75954944532113455</v>
      </c>
      <c r="AY1337" s="556" t="s">
        <v>276</v>
      </c>
      <c r="AZ1337" s="556" t="s">
        <v>276</v>
      </c>
      <c r="BA1337" s="556" t="s">
        <v>276</v>
      </c>
      <c r="BB1337" s="556" t="s">
        <v>282</v>
      </c>
      <c r="BC1337" s="556" t="s">
        <v>276</v>
      </c>
      <c r="BD1337" s="556" t="s">
        <v>276</v>
      </c>
      <c r="BE1337" s="556" t="s">
        <v>276</v>
      </c>
      <c r="BF1337" s="556" t="s">
        <v>8343</v>
      </c>
      <c r="BG1337" s="556" t="s">
        <v>8336</v>
      </c>
      <c r="BH1337" s="9" t="s">
        <v>100</v>
      </c>
      <c r="BI1337" s="9" t="s">
        <v>100</v>
      </c>
      <c r="BJ1337" s="73"/>
      <c r="BN1337" s="78"/>
      <c r="BO1337" s="78"/>
    </row>
    <row r="1338" spans="1:67" s="79" customFormat="1" ht="65" hidden="1" x14ac:dyDescent="0.35">
      <c r="A1338" s="555">
        <v>258</v>
      </c>
      <c r="B1338" s="555" t="s">
        <v>8250</v>
      </c>
      <c r="C1338" s="555" t="s">
        <v>55</v>
      </c>
      <c r="D1338" s="556" t="s">
        <v>11275</v>
      </c>
      <c r="E1338" s="555" t="s">
        <v>36</v>
      </c>
      <c r="F1338" s="555" t="s">
        <v>8252</v>
      </c>
      <c r="G1338" s="555" t="s">
        <v>225</v>
      </c>
      <c r="H1338" s="555" t="s">
        <v>125</v>
      </c>
      <c r="I1338" s="555" t="s">
        <v>114</v>
      </c>
      <c r="J1338" s="556" t="s">
        <v>28</v>
      </c>
      <c r="K1338" s="555" t="s">
        <v>7100</v>
      </c>
      <c r="L1338" s="555" t="s">
        <v>8332</v>
      </c>
      <c r="M1338" s="555" t="s">
        <v>8333</v>
      </c>
      <c r="N1338" s="556" t="s">
        <v>8334</v>
      </c>
      <c r="O1338" s="556" t="s">
        <v>276</v>
      </c>
      <c r="P1338" s="556" t="s">
        <v>239</v>
      </c>
      <c r="Q1338" s="619" t="s">
        <v>276</v>
      </c>
      <c r="R1338" s="556" t="s">
        <v>776</v>
      </c>
      <c r="S1338" s="556" t="s">
        <v>8254</v>
      </c>
      <c r="T1338" s="556" t="s">
        <v>8255</v>
      </c>
      <c r="U1338" s="556">
        <v>11</v>
      </c>
      <c r="V1338" s="555" t="s">
        <v>14</v>
      </c>
      <c r="W1338" s="555" t="s">
        <v>98</v>
      </c>
      <c r="X1338" s="556" t="s">
        <v>207</v>
      </c>
      <c r="Y1338" s="560">
        <v>15534</v>
      </c>
      <c r="Z1338" s="561">
        <v>15364</v>
      </c>
      <c r="AA1338" s="556" t="s">
        <v>276</v>
      </c>
      <c r="AB1338" s="556" t="s">
        <v>276</v>
      </c>
      <c r="AC1338" s="620" t="s">
        <v>11267</v>
      </c>
      <c r="AD1338" s="555" t="s">
        <v>2797</v>
      </c>
      <c r="AE1338" s="620" t="s">
        <v>11268</v>
      </c>
      <c r="AF1338" s="555" t="s">
        <v>2797</v>
      </c>
      <c r="AG1338" s="556" t="s">
        <v>8342</v>
      </c>
      <c r="AH1338" s="556" t="s">
        <v>11269</v>
      </c>
      <c r="AI1338" s="561" t="s">
        <v>276</v>
      </c>
      <c r="AJ1338" s="561" t="s">
        <v>276</v>
      </c>
      <c r="AK1338" s="560">
        <v>15534</v>
      </c>
      <c r="AL1338" s="561">
        <v>15364</v>
      </c>
      <c r="AM1338" s="561" t="s">
        <v>2047</v>
      </c>
      <c r="AN1338" s="555">
        <v>2.2999999999999998</v>
      </c>
      <c r="AO1338" s="563" t="s">
        <v>98</v>
      </c>
      <c r="AP1338" s="555" t="s">
        <v>276</v>
      </c>
      <c r="AQ1338" s="555" t="s">
        <v>276</v>
      </c>
      <c r="AR1338" s="555">
        <v>4.4000000000000004</v>
      </c>
      <c r="AS1338" s="563" t="s">
        <v>98</v>
      </c>
      <c r="AT1338" s="555" t="s">
        <v>276</v>
      </c>
      <c r="AU1338" s="555" t="s">
        <v>276</v>
      </c>
      <c r="AV1338" s="555" t="s">
        <v>268</v>
      </c>
      <c r="AW1338" s="621" t="s">
        <v>276</v>
      </c>
      <c r="AX1338" s="622">
        <f>AN1338/AR1338</f>
        <v>0.5227272727272726</v>
      </c>
      <c r="AY1338" s="556" t="s">
        <v>276</v>
      </c>
      <c r="AZ1338" s="556" t="s">
        <v>276</v>
      </c>
      <c r="BA1338" s="556" t="s">
        <v>844</v>
      </c>
      <c r="BB1338" s="556" t="s">
        <v>282</v>
      </c>
      <c r="BC1338" s="556" t="s">
        <v>276</v>
      </c>
      <c r="BD1338" s="556" t="s">
        <v>276</v>
      </c>
      <c r="BE1338" s="556" t="s">
        <v>276</v>
      </c>
      <c r="BF1338" s="556" t="s">
        <v>11276</v>
      </c>
      <c r="BG1338" s="556" t="s">
        <v>11271</v>
      </c>
      <c r="BH1338" s="9" t="s">
        <v>100</v>
      </c>
      <c r="BI1338" s="9" t="s">
        <v>100</v>
      </c>
      <c r="BJ1338" s="78"/>
      <c r="BN1338" s="78"/>
      <c r="BO1338" s="78"/>
    </row>
    <row r="1339" spans="1:67" s="79" customFormat="1" ht="52" hidden="1" x14ac:dyDescent="0.35">
      <c r="A1339" s="555">
        <v>258</v>
      </c>
      <c r="B1339" s="555" t="s">
        <v>8250</v>
      </c>
      <c r="C1339" s="555" t="s">
        <v>55</v>
      </c>
      <c r="D1339" s="556" t="s">
        <v>8344</v>
      </c>
      <c r="E1339" s="555" t="s">
        <v>36</v>
      </c>
      <c r="F1339" s="555" t="s">
        <v>8252</v>
      </c>
      <c r="G1339" s="555" t="s">
        <v>225</v>
      </c>
      <c r="H1339" s="555" t="s">
        <v>125</v>
      </c>
      <c r="I1339" s="555" t="s">
        <v>114</v>
      </c>
      <c r="J1339" s="556" t="s">
        <v>28</v>
      </c>
      <c r="K1339" s="555" t="s">
        <v>7100</v>
      </c>
      <c r="L1339" s="555" t="s">
        <v>8332</v>
      </c>
      <c r="M1339" s="555" t="s">
        <v>8333</v>
      </c>
      <c r="N1339" s="556" t="s">
        <v>8334</v>
      </c>
      <c r="O1339" s="556" t="s">
        <v>276</v>
      </c>
      <c r="P1339" s="556" t="s">
        <v>235</v>
      </c>
      <c r="Q1339" s="619" t="s">
        <v>276</v>
      </c>
      <c r="R1339" s="556" t="s">
        <v>776</v>
      </c>
      <c r="S1339" s="556" t="s">
        <v>8254</v>
      </c>
      <c r="T1339" s="556" t="s">
        <v>8255</v>
      </c>
      <c r="U1339" s="556">
        <v>11</v>
      </c>
      <c r="V1339" s="555" t="s">
        <v>14</v>
      </c>
      <c r="W1339" s="555" t="s">
        <v>98</v>
      </c>
      <c r="X1339" s="556" t="s">
        <v>207</v>
      </c>
      <c r="Y1339" s="560" t="s">
        <v>98</v>
      </c>
      <c r="Z1339" s="561" t="s">
        <v>98</v>
      </c>
      <c r="AA1339" s="556" t="s">
        <v>276</v>
      </c>
      <c r="AB1339" s="556" t="s">
        <v>276</v>
      </c>
      <c r="AC1339" s="620">
        <v>33</v>
      </c>
      <c r="AD1339" s="555" t="s">
        <v>2797</v>
      </c>
      <c r="AE1339" s="620">
        <v>39</v>
      </c>
      <c r="AF1339" s="555" t="s">
        <v>2797</v>
      </c>
      <c r="AG1339" s="556" t="s">
        <v>8342</v>
      </c>
      <c r="AH1339" s="556" t="s">
        <v>8345</v>
      </c>
      <c r="AI1339" s="561">
        <v>33</v>
      </c>
      <c r="AJ1339" s="561">
        <v>65</v>
      </c>
      <c r="AK1339" s="560">
        <v>354</v>
      </c>
      <c r="AL1339" s="561">
        <v>394</v>
      </c>
      <c r="AM1339" s="561" t="s">
        <v>292</v>
      </c>
      <c r="AN1339" s="555" t="s">
        <v>276</v>
      </c>
      <c r="AO1339" s="563">
        <f>AI1339*100/AK1339</f>
        <v>9.3220338983050848</v>
      </c>
      <c r="AP1339" s="555" t="s">
        <v>276</v>
      </c>
      <c r="AQ1339" s="555" t="s">
        <v>276</v>
      </c>
      <c r="AR1339" s="555" t="s">
        <v>276</v>
      </c>
      <c r="AS1339" s="563">
        <f>AJ1339*100/AL1339</f>
        <v>16.497461928934012</v>
      </c>
      <c r="AT1339" s="555" t="s">
        <v>276</v>
      </c>
      <c r="AU1339" s="555" t="s">
        <v>276</v>
      </c>
      <c r="AV1339" s="555" t="s">
        <v>268</v>
      </c>
      <c r="AW1339" s="621" t="s">
        <v>276</v>
      </c>
      <c r="AX1339" s="622">
        <f t="shared" si="401"/>
        <v>0.56505867014341582</v>
      </c>
      <c r="AY1339" s="556" t="s">
        <v>276</v>
      </c>
      <c r="AZ1339" s="556" t="s">
        <v>276</v>
      </c>
      <c r="BA1339" s="556" t="s">
        <v>276</v>
      </c>
      <c r="BB1339" s="556" t="s">
        <v>282</v>
      </c>
      <c r="BC1339" s="556" t="s">
        <v>276</v>
      </c>
      <c r="BD1339" s="556" t="s">
        <v>276</v>
      </c>
      <c r="BE1339" s="556" t="s">
        <v>276</v>
      </c>
      <c r="BF1339" s="556" t="s">
        <v>1020</v>
      </c>
      <c r="BG1339" s="556" t="s">
        <v>8336</v>
      </c>
      <c r="BH1339" s="9" t="s">
        <v>100</v>
      </c>
      <c r="BI1339" s="9" t="s">
        <v>100</v>
      </c>
      <c r="BJ1339" s="78"/>
      <c r="BN1339" s="78"/>
      <c r="BO1339" s="78"/>
    </row>
    <row r="1340" spans="1:67" s="33" customFormat="1" ht="52" hidden="1" x14ac:dyDescent="0.35">
      <c r="A1340" s="545">
        <v>258</v>
      </c>
      <c r="B1340" s="545" t="s">
        <v>8250</v>
      </c>
      <c r="C1340" s="545" t="s">
        <v>55</v>
      </c>
      <c r="D1340" s="546" t="s">
        <v>8346</v>
      </c>
      <c r="E1340" s="545" t="s">
        <v>36</v>
      </c>
      <c r="F1340" s="545" t="s">
        <v>8265</v>
      </c>
      <c r="G1340" s="545" t="s">
        <v>225</v>
      </c>
      <c r="H1340" s="545" t="s">
        <v>125</v>
      </c>
      <c r="I1340" s="545" t="s">
        <v>114</v>
      </c>
      <c r="J1340" s="546" t="s">
        <v>28</v>
      </c>
      <c r="K1340" s="545" t="s">
        <v>6737</v>
      </c>
      <c r="L1340" s="545" t="s">
        <v>8332</v>
      </c>
      <c r="M1340" s="545" t="s">
        <v>8333</v>
      </c>
      <c r="N1340" s="546" t="s">
        <v>8334</v>
      </c>
      <c r="O1340" s="546" t="s">
        <v>276</v>
      </c>
      <c r="P1340" s="546" t="s">
        <v>239</v>
      </c>
      <c r="Q1340" s="613" t="s">
        <v>276</v>
      </c>
      <c r="R1340" s="546" t="s">
        <v>776</v>
      </c>
      <c r="S1340" s="546" t="s">
        <v>8266</v>
      </c>
      <c r="T1340" s="546" t="s">
        <v>8255</v>
      </c>
      <c r="U1340" s="546">
        <v>6</v>
      </c>
      <c r="V1340" s="545" t="s">
        <v>14</v>
      </c>
      <c r="W1340" s="545" t="s">
        <v>98</v>
      </c>
      <c r="X1340" s="546" t="s">
        <v>207</v>
      </c>
      <c r="Y1340" s="550">
        <v>15587</v>
      </c>
      <c r="Z1340" s="551">
        <v>15394</v>
      </c>
      <c r="AA1340" s="546" t="s">
        <v>276</v>
      </c>
      <c r="AB1340" s="546" t="s">
        <v>276</v>
      </c>
      <c r="AC1340" s="616">
        <v>34</v>
      </c>
      <c r="AD1340" s="616" t="s">
        <v>2797</v>
      </c>
      <c r="AE1340" s="616">
        <v>39</v>
      </c>
      <c r="AF1340" s="545" t="s">
        <v>2797</v>
      </c>
      <c r="AG1340" s="546" t="s">
        <v>8335</v>
      </c>
      <c r="AH1340" s="546" t="s">
        <v>8257</v>
      </c>
      <c r="AI1340" s="551">
        <v>98</v>
      </c>
      <c r="AJ1340" s="551">
        <v>88</v>
      </c>
      <c r="AK1340" s="550">
        <v>183934</v>
      </c>
      <c r="AL1340" s="550">
        <v>181966</v>
      </c>
      <c r="AM1340" s="550" t="s">
        <v>425</v>
      </c>
      <c r="AN1340" s="545" t="s">
        <v>276</v>
      </c>
      <c r="AO1340" s="554">
        <f t="shared" ref="AO1340:AO1346" si="405">AI1340*1000/AK1340</f>
        <v>0.53279980862700749</v>
      </c>
      <c r="AP1340" s="545" t="s">
        <v>276</v>
      </c>
      <c r="AQ1340" s="545" t="s">
        <v>276</v>
      </c>
      <c r="AR1340" s="545" t="s">
        <v>276</v>
      </c>
      <c r="AS1340" s="554">
        <f t="shared" ref="AS1340:AS1346" si="406">AJ1340*1000/AL1340</f>
        <v>0.48360682764912127</v>
      </c>
      <c r="AT1340" s="545" t="s">
        <v>276</v>
      </c>
      <c r="AU1340" s="545" t="s">
        <v>276</v>
      </c>
      <c r="AV1340" s="545" t="s">
        <v>269</v>
      </c>
      <c r="AW1340" s="617" t="s">
        <v>276</v>
      </c>
      <c r="AX1340" s="618">
        <f t="shared" si="401"/>
        <v>1.1017210224616141</v>
      </c>
      <c r="AY1340" s="546" t="s">
        <v>276</v>
      </c>
      <c r="AZ1340" s="546" t="s">
        <v>276</v>
      </c>
      <c r="BA1340" s="546" t="s">
        <v>276</v>
      </c>
      <c r="BB1340" s="546" t="s">
        <v>282</v>
      </c>
      <c r="BC1340" s="546" t="s">
        <v>276</v>
      </c>
      <c r="BD1340" s="546" t="s">
        <v>276</v>
      </c>
      <c r="BE1340" s="546" t="s">
        <v>276</v>
      </c>
      <c r="BF1340" s="546" t="s">
        <v>1020</v>
      </c>
      <c r="BG1340" s="546" t="s">
        <v>8336</v>
      </c>
      <c r="BH1340" s="9" t="s">
        <v>100</v>
      </c>
      <c r="BI1340" s="9" t="s">
        <v>100</v>
      </c>
      <c r="BJ1340" s="32"/>
      <c r="BN1340" s="32"/>
      <c r="BO1340" s="32"/>
    </row>
    <row r="1341" spans="1:67" s="33" customFormat="1" ht="65" hidden="1" x14ac:dyDescent="0.35">
      <c r="A1341" s="545">
        <v>258</v>
      </c>
      <c r="B1341" s="545" t="s">
        <v>8250</v>
      </c>
      <c r="C1341" s="545" t="s">
        <v>55</v>
      </c>
      <c r="D1341" s="546" t="s">
        <v>11277</v>
      </c>
      <c r="E1341" s="545" t="s">
        <v>36</v>
      </c>
      <c r="F1341" s="545" t="s">
        <v>8265</v>
      </c>
      <c r="G1341" s="545" t="s">
        <v>225</v>
      </c>
      <c r="H1341" s="545" t="s">
        <v>125</v>
      </c>
      <c r="I1341" s="545" t="s">
        <v>114</v>
      </c>
      <c r="J1341" s="546" t="s">
        <v>28</v>
      </c>
      <c r="K1341" s="545" t="s">
        <v>6737</v>
      </c>
      <c r="L1341" s="545" t="s">
        <v>8332</v>
      </c>
      <c r="M1341" s="545" t="s">
        <v>8333</v>
      </c>
      <c r="N1341" s="546" t="s">
        <v>8334</v>
      </c>
      <c r="O1341" s="546" t="s">
        <v>276</v>
      </c>
      <c r="P1341" s="546" t="s">
        <v>239</v>
      </c>
      <c r="Q1341" s="613" t="s">
        <v>276</v>
      </c>
      <c r="R1341" s="546" t="s">
        <v>776</v>
      </c>
      <c r="S1341" s="546" t="s">
        <v>8266</v>
      </c>
      <c r="T1341" s="546" t="s">
        <v>8255</v>
      </c>
      <c r="U1341" s="546">
        <v>6</v>
      </c>
      <c r="V1341" s="545" t="s">
        <v>14</v>
      </c>
      <c r="W1341" s="545" t="s">
        <v>98</v>
      </c>
      <c r="X1341" s="546" t="s">
        <v>207</v>
      </c>
      <c r="Y1341" s="550">
        <v>15551</v>
      </c>
      <c r="Z1341" s="551">
        <v>15364</v>
      </c>
      <c r="AA1341" s="546" t="s">
        <v>276</v>
      </c>
      <c r="AB1341" s="546" t="s">
        <v>276</v>
      </c>
      <c r="AC1341" s="616" t="s">
        <v>11278</v>
      </c>
      <c r="AD1341" s="616" t="s">
        <v>2797</v>
      </c>
      <c r="AE1341" s="616" t="s">
        <v>11268</v>
      </c>
      <c r="AF1341" s="545" t="s">
        <v>2797</v>
      </c>
      <c r="AG1341" s="546" t="s">
        <v>8335</v>
      </c>
      <c r="AH1341" s="546" t="s">
        <v>11269</v>
      </c>
      <c r="AI1341" s="551" t="s">
        <v>276</v>
      </c>
      <c r="AJ1341" s="551" t="s">
        <v>276</v>
      </c>
      <c r="AK1341" s="550">
        <v>15551</v>
      </c>
      <c r="AL1341" s="551">
        <v>15364</v>
      </c>
      <c r="AM1341" s="551" t="s">
        <v>2047</v>
      </c>
      <c r="AN1341" s="545">
        <v>5.9</v>
      </c>
      <c r="AO1341" s="554" t="s">
        <v>98</v>
      </c>
      <c r="AP1341" s="545" t="s">
        <v>276</v>
      </c>
      <c r="AQ1341" s="545" t="s">
        <v>276</v>
      </c>
      <c r="AR1341" s="545">
        <v>5.5</v>
      </c>
      <c r="AS1341" s="554" t="s">
        <v>98</v>
      </c>
      <c r="AT1341" s="545" t="s">
        <v>276</v>
      </c>
      <c r="AU1341" s="545" t="s">
        <v>276</v>
      </c>
      <c r="AV1341" s="545" t="s">
        <v>268</v>
      </c>
      <c r="AW1341" s="617" t="s">
        <v>276</v>
      </c>
      <c r="AX1341" s="618">
        <f>AN1341/AR1341</f>
        <v>1.0727272727272728</v>
      </c>
      <c r="AY1341" s="546" t="s">
        <v>276</v>
      </c>
      <c r="AZ1341" s="546" t="s">
        <v>276</v>
      </c>
      <c r="BA1341" s="546" t="s">
        <v>276</v>
      </c>
      <c r="BB1341" s="546" t="s">
        <v>282</v>
      </c>
      <c r="BC1341" s="546" t="s">
        <v>276</v>
      </c>
      <c r="BD1341" s="546" t="s">
        <v>276</v>
      </c>
      <c r="BE1341" s="546" t="s">
        <v>276</v>
      </c>
      <c r="BF1341" s="546" t="s">
        <v>768</v>
      </c>
      <c r="BG1341" s="546" t="s">
        <v>11279</v>
      </c>
      <c r="BH1341" s="9" t="s">
        <v>100</v>
      </c>
      <c r="BI1341" s="9" t="s">
        <v>100</v>
      </c>
      <c r="BJ1341" s="32"/>
      <c r="BN1341" s="32"/>
      <c r="BO1341" s="32"/>
    </row>
    <row r="1342" spans="1:67" s="79" customFormat="1" ht="52" hidden="1" x14ac:dyDescent="0.35">
      <c r="A1342" s="555">
        <v>258</v>
      </c>
      <c r="B1342" s="555" t="s">
        <v>8250</v>
      </c>
      <c r="C1342" s="555" t="s">
        <v>55</v>
      </c>
      <c r="D1342" s="556" t="s">
        <v>8347</v>
      </c>
      <c r="E1342" s="555" t="s">
        <v>36</v>
      </c>
      <c r="F1342" s="555" t="s">
        <v>8265</v>
      </c>
      <c r="G1342" s="555" t="s">
        <v>225</v>
      </c>
      <c r="H1342" s="555" t="s">
        <v>125</v>
      </c>
      <c r="I1342" s="555" t="s">
        <v>114</v>
      </c>
      <c r="J1342" s="556" t="s">
        <v>28</v>
      </c>
      <c r="K1342" s="555" t="s">
        <v>6740</v>
      </c>
      <c r="L1342" s="555" t="s">
        <v>8332</v>
      </c>
      <c r="M1342" s="555" t="s">
        <v>8333</v>
      </c>
      <c r="N1342" s="556" t="s">
        <v>8334</v>
      </c>
      <c r="O1342" s="556" t="s">
        <v>276</v>
      </c>
      <c r="P1342" s="556" t="s">
        <v>239</v>
      </c>
      <c r="Q1342" s="619" t="s">
        <v>276</v>
      </c>
      <c r="R1342" s="556" t="s">
        <v>776</v>
      </c>
      <c r="S1342" s="556" t="s">
        <v>8266</v>
      </c>
      <c r="T1342" s="556" t="s">
        <v>8255</v>
      </c>
      <c r="U1342" s="556">
        <v>6</v>
      </c>
      <c r="V1342" s="555" t="s">
        <v>14</v>
      </c>
      <c r="W1342" s="555" t="s">
        <v>98</v>
      </c>
      <c r="X1342" s="556" t="s">
        <v>207</v>
      </c>
      <c r="Y1342" s="560">
        <v>15587</v>
      </c>
      <c r="Z1342" s="561">
        <v>15394</v>
      </c>
      <c r="AA1342" s="556" t="s">
        <v>276</v>
      </c>
      <c r="AB1342" s="556" t="s">
        <v>276</v>
      </c>
      <c r="AC1342" s="620">
        <v>34</v>
      </c>
      <c r="AD1342" s="620" t="s">
        <v>2797</v>
      </c>
      <c r="AE1342" s="620">
        <v>39</v>
      </c>
      <c r="AF1342" s="555" t="s">
        <v>2797</v>
      </c>
      <c r="AG1342" s="556" t="s">
        <v>8338</v>
      </c>
      <c r="AH1342" s="556" t="s">
        <v>8257</v>
      </c>
      <c r="AI1342" s="561">
        <v>95</v>
      </c>
      <c r="AJ1342" s="561">
        <v>120</v>
      </c>
      <c r="AK1342" s="560">
        <v>183934</v>
      </c>
      <c r="AL1342" s="560">
        <v>181966</v>
      </c>
      <c r="AM1342" s="560" t="s">
        <v>425</v>
      </c>
      <c r="AN1342" s="555" t="s">
        <v>276</v>
      </c>
      <c r="AO1342" s="563">
        <f t="shared" si="405"/>
        <v>0.51648961040373176</v>
      </c>
      <c r="AP1342" s="555" t="s">
        <v>276</v>
      </c>
      <c r="AQ1342" s="555" t="s">
        <v>276</v>
      </c>
      <c r="AR1342" s="555" t="s">
        <v>276</v>
      </c>
      <c r="AS1342" s="563">
        <f t="shared" si="406"/>
        <v>0.65946385588516532</v>
      </c>
      <c r="AT1342" s="555" t="s">
        <v>276</v>
      </c>
      <c r="AU1342" s="555" t="s">
        <v>276</v>
      </c>
      <c r="AV1342" s="555" t="s">
        <v>269</v>
      </c>
      <c r="AW1342" s="621" t="s">
        <v>276</v>
      </c>
      <c r="AX1342" s="622">
        <f t="shared" si="401"/>
        <v>0.78319623705604546</v>
      </c>
      <c r="AY1342" s="556" t="s">
        <v>276</v>
      </c>
      <c r="AZ1342" s="556" t="s">
        <v>276</v>
      </c>
      <c r="BA1342" s="556" t="s">
        <v>276</v>
      </c>
      <c r="BB1342" s="556" t="s">
        <v>282</v>
      </c>
      <c r="BC1342" s="556" t="s">
        <v>276</v>
      </c>
      <c r="BD1342" s="556" t="s">
        <v>276</v>
      </c>
      <c r="BE1342" s="556" t="s">
        <v>276</v>
      </c>
      <c r="BF1342" s="556" t="s">
        <v>8348</v>
      </c>
      <c r="BG1342" s="556" t="s">
        <v>8336</v>
      </c>
      <c r="BH1342" s="9" t="s">
        <v>100</v>
      </c>
      <c r="BI1342" s="9" t="s">
        <v>100</v>
      </c>
      <c r="BJ1342" s="78"/>
      <c r="BN1342" s="78"/>
      <c r="BO1342" s="78"/>
    </row>
    <row r="1343" spans="1:67" s="79" customFormat="1" ht="65" hidden="1" x14ac:dyDescent="0.35">
      <c r="A1343" s="555">
        <v>258</v>
      </c>
      <c r="B1343" s="555" t="s">
        <v>8250</v>
      </c>
      <c r="C1343" s="555" t="s">
        <v>55</v>
      </c>
      <c r="D1343" s="556" t="s">
        <v>11280</v>
      </c>
      <c r="E1343" s="555" t="s">
        <v>36</v>
      </c>
      <c r="F1343" s="555" t="s">
        <v>8265</v>
      </c>
      <c r="G1343" s="555" t="s">
        <v>225</v>
      </c>
      <c r="H1343" s="555" t="s">
        <v>125</v>
      </c>
      <c r="I1343" s="555" t="s">
        <v>114</v>
      </c>
      <c r="J1343" s="556" t="s">
        <v>28</v>
      </c>
      <c r="K1343" s="555" t="s">
        <v>6740</v>
      </c>
      <c r="L1343" s="555" t="s">
        <v>8332</v>
      </c>
      <c r="M1343" s="555" t="s">
        <v>8333</v>
      </c>
      <c r="N1343" s="556" t="s">
        <v>8334</v>
      </c>
      <c r="O1343" s="556" t="s">
        <v>276</v>
      </c>
      <c r="P1343" s="556" t="s">
        <v>239</v>
      </c>
      <c r="Q1343" s="619" t="s">
        <v>276</v>
      </c>
      <c r="R1343" s="556" t="s">
        <v>776</v>
      </c>
      <c r="S1343" s="556" t="s">
        <v>8266</v>
      </c>
      <c r="T1343" s="556" t="s">
        <v>8255</v>
      </c>
      <c r="U1343" s="556">
        <v>6</v>
      </c>
      <c r="V1343" s="555" t="s">
        <v>14</v>
      </c>
      <c r="W1343" s="555" t="s">
        <v>98</v>
      </c>
      <c r="X1343" s="556" t="s">
        <v>207</v>
      </c>
      <c r="Y1343" s="560">
        <v>15551</v>
      </c>
      <c r="Z1343" s="561">
        <v>15364</v>
      </c>
      <c r="AA1343" s="556" t="s">
        <v>276</v>
      </c>
      <c r="AB1343" s="556" t="s">
        <v>276</v>
      </c>
      <c r="AC1343" s="620" t="s">
        <v>11278</v>
      </c>
      <c r="AD1343" s="620" t="s">
        <v>2797</v>
      </c>
      <c r="AE1343" s="620" t="s">
        <v>11268</v>
      </c>
      <c r="AF1343" s="555" t="s">
        <v>2797</v>
      </c>
      <c r="AG1343" s="556" t="s">
        <v>8338</v>
      </c>
      <c r="AH1343" s="556" t="s">
        <v>11269</v>
      </c>
      <c r="AI1343" s="561" t="s">
        <v>276</v>
      </c>
      <c r="AJ1343" s="561" t="s">
        <v>276</v>
      </c>
      <c r="AK1343" s="560">
        <v>15551</v>
      </c>
      <c r="AL1343" s="561">
        <v>15364</v>
      </c>
      <c r="AM1343" s="561" t="s">
        <v>2047</v>
      </c>
      <c r="AN1343" s="555">
        <v>5.7</v>
      </c>
      <c r="AO1343" s="563" t="s">
        <v>98</v>
      </c>
      <c r="AP1343" s="555" t="s">
        <v>276</v>
      </c>
      <c r="AQ1343" s="555" t="s">
        <v>276</v>
      </c>
      <c r="AR1343" s="555">
        <v>7.3</v>
      </c>
      <c r="AS1343" s="563" t="s">
        <v>98</v>
      </c>
      <c r="AT1343" s="555" t="s">
        <v>276</v>
      </c>
      <c r="AU1343" s="555" t="s">
        <v>276</v>
      </c>
      <c r="AV1343" s="555" t="s">
        <v>268</v>
      </c>
      <c r="AW1343" s="621" t="s">
        <v>276</v>
      </c>
      <c r="AX1343" s="622">
        <f>AN1343/AR1343</f>
        <v>0.78082191780821919</v>
      </c>
      <c r="AY1343" s="556" t="s">
        <v>276</v>
      </c>
      <c r="AZ1343" s="556" t="s">
        <v>276</v>
      </c>
      <c r="BA1343" s="556" t="s">
        <v>276</v>
      </c>
      <c r="BB1343" s="556" t="s">
        <v>282</v>
      </c>
      <c r="BC1343" s="556" t="s">
        <v>276</v>
      </c>
      <c r="BD1343" s="556" t="s">
        <v>276</v>
      </c>
      <c r="BE1343" s="556" t="s">
        <v>276</v>
      </c>
      <c r="BF1343" s="556" t="s">
        <v>768</v>
      </c>
      <c r="BG1343" s="556" t="s">
        <v>11271</v>
      </c>
      <c r="BH1343" s="9" t="s">
        <v>100</v>
      </c>
      <c r="BI1343" s="9" t="s">
        <v>100</v>
      </c>
      <c r="BJ1343" s="78"/>
      <c r="BN1343" s="78"/>
      <c r="BO1343" s="78"/>
    </row>
    <row r="1344" spans="1:67" s="33" customFormat="1" ht="52" hidden="1" x14ac:dyDescent="0.35">
      <c r="A1344" s="545">
        <v>258</v>
      </c>
      <c r="B1344" s="545" t="s">
        <v>8250</v>
      </c>
      <c r="C1344" s="545" t="s">
        <v>55</v>
      </c>
      <c r="D1344" s="546" t="s">
        <v>8349</v>
      </c>
      <c r="E1344" s="545" t="s">
        <v>36</v>
      </c>
      <c r="F1344" s="545" t="s">
        <v>8265</v>
      </c>
      <c r="G1344" s="545" t="s">
        <v>225</v>
      </c>
      <c r="H1344" s="545" t="s">
        <v>125</v>
      </c>
      <c r="I1344" s="545" t="s">
        <v>114</v>
      </c>
      <c r="J1344" s="546" t="s">
        <v>28</v>
      </c>
      <c r="K1344" s="545" t="s">
        <v>6742</v>
      </c>
      <c r="L1344" s="545" t="s">
        <v>8332</v>
      </c>
      <c r="M1344" s="545" t="s">
        <v>8333</v>
      </c>
      <c r="N1344" s="546" t="s">
        <v>8334</v>
      </c>
      <c r="O1344" s="546" t="s">
        <v>276</v>
      </c>
      <c r="P1344" s="546" t="s">
        <v>239</v>
      </c>
      <c r="Q1344" s="613" t="s">
        <v>276</v>
      </c>
      <c r="R1344" s="546" t="s">
        <v>776</v>
      </c>
      <c r="S1344" s="546" t="s">
        <v>8266</v>
      </c>
      <c r="T1344" s="546" t="s">
        <v>8255</v>
      </c>
      <c r="U1344" s="546">
        <v>6</v>
      </c>
      <c r="V1344" s="545" t="s">
        <v>14</v>
      </c>
      <c r="W1344" s="545" t="s">
        <v>98</v>
      </c>
      <c r="X1344" s="546" t="s">
        <v>207</v>
      </c>
      <c r="Y1344" s="550">
        <v>15587</v>
      </c>
      <c r="Z1344" s="551">
        <v>15394</v>
      </c>
      <c r="AA1344" s="546" t="s">
        <v>276</v>
      </c>
      <c r="AB1344" s="546" t="s">
        <v>276</v>
      </c>
      <c r="AC1344" s="616">
        <v>34</v>
      </c>
      <c r="AD1344" s="616" t="s">
        <v>2797</v>
      </c>
      <c r="AE1344" s="616">
        <v>39</v>
      </c>
      <c r="AF1344" s="545" t="s">
        <v>2797</v>
      </c>
      <c r="AG1344" s="546" t="s">
        <v>8340</v>
      </c>
      <c r="AH1344" s="546" t="s">
        <v>8257</v>
      </c>
      <c r="AI1344" s="551">
        <v>100</v>
      </c>
      <c r="AJ1344" s="551">
        <v>82</v>
      </c>
      <c r="AK1344" s="550">
        <v>183934</v>
      </c>
      <c r="AL1344" s="550">
        <v>181966</v>
      </c>
      <c r="AM1344" s="550" t="s">
        <v>425</v>
      </c>
      <c r="AN1344" s="545" t="s">
        <v>276</v>
      </c>
      <c r="AO1344" s="554">
        <f t="shared" si="405"/>
        <v>0.54367327410919131</v>
      </c>
      <c r="AP1344" s="545" t="s">
        <v>276</v>
      </c>
      <c r="AQ1344" s="545" t="s">
        <v>276</v>
      </c>
      <c r="AR1344" s="545" t="s">
        <v>276</v>
      </c>
      <c r="AS1344" s="554">
        <f t="shared" si="406"/>
        <v>0.45063363485486302</v>
      </c>
      <c r="AT1344" s="545" t="s">
        <v>276</v>
      </c>
      <c r="AU1344" s="545" t="s">
        <v>276</v>
      </c>
      <c r="AV1344" s="545" t="s">
        <v>269</v>
      </c>
      <c r="AW1344" s="617" t="s">
        <v>276</v>
      </c>
      <c r="AX1344" s="618">
        <f t="shared" si="401"/>
        <v>1.2064640365433306</v>
      </c>
      <c r="AY1344" s="546" t="s">
        <v>276</v>
      </c>
      <c r="AZ1344" s="546" t="s">
        <v>276</v>
      </c>
      <c r="BA1344" s="546" t="s">
        <v>276</v>
      </c>
      <c r="BB1344" s="546" t="s">
        <v>282</v>
      </c>
      <c r="BC1344" s="546" t="s">
        <v>276</v>
      </c>
      <c r="BD1344" s="546" t="s">
        <v>276</v>
      </c>
      <c r="BE1344" s="546" t="s">
        <v>276</v>
      </c>
      <c r="BF1344" s="546" t="s">
        <v>1020</v>
      </c>
      <c r="BG1344" s="546" t="s">
        <v>8336</v>
      </c>
      <c r="BH1344" s="9" t="s">
        <v>100</v>
      </c>
      <c r="BI1344" s="9" t="s">
        <v>100</v>
      </c>
      <c r="BJ1344" s="32"/>
      <c r="BN1344" s="32"/>
      <c r="BO1344" s="32"/>
    </row>
    <row r="1345" spans="1:67" s="33" customFormat="1" ht="65" hidden="1" x14ac:dyDescent="0.35">
      <c r="A1345" s="545">
        <v>258</v>
      </c>
      <c r="B1345" s="545" t="s">
        <v>8250</v>
      </c>
      <c r="C1345" s="545" t="s">
        <v>55</v>
      </c>
      <c r="D1345" s="546" t="s">
        <v>11281</v>
      </c>
      <c r="E1345" s="545" t="s">
        <v>36</v>
      </c>
      <c r="F1345" s="545" t="s">
        <v>8265</v>
      </c>
      <c r="G1345" s="545" t="s">
        <v>225</v>
      </c>
      <c r="H1345" s="545" t="s">
        <v>125</v>
      </c>
      <c r="I1345" s="545" t="s">
        <v>114</v>
      </c>
      <c r="J1345" s="546" t="s">
        <v>28</v>
      </c>
      <c r="K1345" s="545" t="s">
        <v>6742</v>
      </c>
      <c r="L1345" s="545" t="s">
        <v>8332</v>
      </c>
      <c r="M1345" s="545" t="s">
        <v>8333</v>
      </c>
      <c r="N1345" s="546" t="s">
        <v>8334</v>
      </c>
      <c r="O1345" s="546" t="s">
        <v>276</v>
      </c>
      <c r="P1345" s="546" t="s">
        <v>239</v>
      </c>
      <c r="Q1345" s="613" t="s">
        <v>276</v>
      </c>
      <c r="R1345" s="546" t="s">
        <v>776</v>
      </c>
      <c r="S1345" s="546" t="s">
        <v>8266</v>
      </c>
      <c r="T1345" s="546" t="s">
        <v>8255</v>
      </c>
      <c r="U1345" s="546">
        <v>6</v>
      </c>
      <c r="V1345" s="545" t="s">
        <v>14</v>
      </c>
      <c r="W1345" s="545" t="s">
        <v>98</v>
      </c>
      <c r="X1345" s="546" t="s">
        <v>207</v>
      </c>
      <c r="Y1345" s="550">
        <v>15551</v>
      </c>
      <c r="Z1345" s="551">
        <v>15364</v>
      </c>
      <c r="AA1345" s="546" t="s">
        <v>276</v>
      </c>
      <c r="AB1345" s="546" t="s">
        <v>276</v>
      </c>
      <c r="AC1345" s="616" t="s">
        <v>11278</v>
      </c>
      <c r="AD1345" s="616" t="s">
        <v>2797</v>
      </c>
      <c r="AE1345" s="616" t="s">
        <v>11268</v>
      </c>
      <c r="AF1345" s="545" t="s">
        <v>2797</v>
      </c>
      <c r="AG1345" s="546" t="s">
        <v>8340</v>
      </c>
      <c r="AH1345" s="546" t="s">
        <v>11269</v>
      </c>
      <c r="AI1345" s="551" t="s">
        <v>276</v>
      </c>
      <c r="AJ1345" s="551" t="s">
        <v>276</v>
      </c>
      <c r="AK1345" s="550">
        <v>15551</v>
      </c>
      <c r="AL1345" s="551">
        <v>15364</v>
      </c>
      <c r="AM1345" s="551" t="s">
        <v>2047</v>
      </c>
      <c r="AN1345" s="545">
        <v>6.1</v>
      </c>
      <c r="AO1345" s="554" t="s">
        <v>98</v>
      </c>
      <c r="AP1345" s="545" t="s">
        <v>276</v>
      </c>
      <c r="AQ1345" s="545" t="s">
        <v>276</v>
      </c>
      <c r="AR1345" s="545">
        <v>5.5</v>
      </c>
      <c r="AS1345" s="554" t="s">
        <v>98</v>
      </c>
      <c r="AT1345" s="545" t="s">
        <v>276</v>
      </c>
      <c r="AU1345" s="545" t="s">
        <v>276</v>
      </c>
      <c r="AV1345" s="545" t="s">
        <v>268</v>
      </c>
      <c r="AW1345" s="617" t="s">
        <v>276</v>
      </c>
      <c r="AX1345" s="618">
        <f>AN1345/AR1345</f>
        <v>1.1090909090909091</v>
      </c>
      <c r="AY1345" s="546" t="s">
        <v>276</v>
      </c>
      <c r="AZ1345" s="546" t="s">
        <v>276</v>
      </c>
      <c r="BA1345" s="546" t="s">
        <v>276</v>
      </c>
      <c r="BB1345" s="546" t="s">
        <v>282</v>
      </c>
      <c r="BC1345" s="546" t="s">
        <v>276</v>
      </c>
      <c r="BD1345" s="546" t="s">
        <v>276</v>
      </c>
      <c r="BE1345" s="546" t="s">
        <v>276</v>
      </c>
      <c r="BF1345" s="546" t="s">
        <v>768</v>
      </c>
      <c r="BG1345" s="546" t="s">
        <v>11271</v>
      </c>
      <c r="BH1345" s="9" t="s">
        <v>100</v>
      </c>
      <c r="BI1345" s="9" t="s">
        <v>100</v>
      </c>
      <c r="BJ1345" s="32"/>
      <c r="BN1345" s="32"/>
      <c r="BO1345" s="32"/>
    </row>
    <row r="1346" spans="1:67" s="79" customFormat="1" ht="52" hidden="1" x14ac:dyDescent="0.35">
      <c r="A1346" s="555">
        <v>258</v>
      </c>
      <c r="B1346" s="555" t="s">
        <v>8250</v>
      </c>
      <c r="C1346" s="555" t="s">
        <v>55</v>
      </c>
      <c r="D1346" s="556" t="s">
        <v>8350</v>
      </c>
      <c r="E1346" s="555" t="s">
        <v>36</v>
      </c>
      <c r="F1346" s="555" t="s">
        <v>8265</v>
      </c>
      <c r="G1346" s="555" t="s">
        <v>225</v>
      </c>
      <c r="H1346" s="555" t="s">
        <v>125</v>
      </c>
      <c r="I1346" s="555" t="s">
        <v>114</v>
      </c>
      <c r="J1346" s="556" t="s">
        <v>28</v>
      </c>
      <c r="K1346" s="555" t="s">
        <v>7100</v>
      </c>
      <c r="L1346" s="555" t="s">
        <v>8332</v>
      </c>
      <c r="M1346" s="555" t="s">
        <v>8333</v>
      </c>
      <c r="N1346" s="556" t="s">
        <v>8334</v>
      </c>
      <c r="O1346" s="556" t="s">
        <v>276</v>
      </c>
      <c r="P1346" s="556" t="s">
        <v>239</v>
      </c>
      <c r="Q1346" s="619" t="s">
        <v>276</v>
      </c>
      <c r="R1346" s="556" t="s">
        <v>776</v>
      </c>
      <c r="S1346" s="556" t="s">
        <v>8266</v>
      </c>
      <c r="T1346" s="556" t="s">
        <v>8255</v>
      </c>
      <c r="U1346" s="556">
        <v>6</v>
      </c>
      <c r="V1346" s="555" t="s">
        <v>14</v>
      </c>
      <c r="W1346" s="555" t="s">
        <v>98</v>
      </c>
      <c r="X1346" s="556" t="s">
        <v>207</v>
      </c>
      <c r="Y1346" s="560">
        <v>15587</v>
      </c>
      <c r="Z1346" s="561">
        <v>15394</v>
      </c>
      <c r="AA1346" s="556" t="s">
        <v>276</v>
      </c>
      <c r="AB1346" s="556" t="s">
        <v>276</v>
      </c>
      <c r="AC1346" s="620">
        <v>34</v>
      </c>
      <c r="AD1346" s="620" t="s">
        <v>2797</v>
      </c>
      <c r="AE1346" s="620">
        <v>39</v>
      </c>
      <c r="AF1346" s="555" t="s">
        <v>2797</v>
      </c>
      <c r="AG1346" s="556" t="s">
        <v>8342</v>
      </c>
      <c r="AH1346" s="556" t="s">
        <v>8257</v>
      </c>
      <c r="AI1346" s="561">
        <v>41</v>
      </c>
      <c r="AJ1346" s="561">
        <v>65</v>
      </c>
      <c r="AK1346" s="560">
        <v>183934</v>
      </c>
      <c r="AL1346" s="560">
        <v>181966</v>
      </c>
      <c r="AM1346" s="560" t="s">
        <v>425</v>
      </c>
      <c r="AN1346" s="555" t="s">
        <v>276</v>
      </c>
      <c r="AO1346" s="563">
        <f t="shared" si="405"/>
        <v>0.22290604238476844</v>
      </c>
      <c r="AP1346" s="555" t="s">
        <v>276</v>
      </c>
      <c r="AQ1346" s="555" t="s">
        <v>276</v>
      </c>
      <c r="AR1346" s="555" t="s">
        <v>276</v>
      </c>
      <c r="AS1346" s="563">
        <f t="shared" si="406"/>
        <v>0.35720958860446456</v>
      </c>
      <c r="AT1346" s="555" t="s">
        <v>276</v>
      </c>
      <c r="AU1346" s="555" t="s">
        <v>276</v>
      </c>
      <c r="AV1346" s="555" t="s">
        <v>269</v>
      </c>
      <c r="AW1346" s="621" t="s">
        <v>276</v>
      </c>
      <c r="AX1346" s="622">
        <f t="shared" si="401"/>
        <v>0.62402032167056576</v>
      </c>
      <c r="AY1346" s="556" t="s">
        <v>276</v>
      </c>
      <c r="AZ1346" s="556" t="s">
        <v>276</v>
      </c>
      <c r="BA1346" s="556" t="s">
        <v>276</v>
      </c>
      <c r="BB1346" s="556" t="s">
        <v>282</v>
      </c>
      <c r="BC1346" s="556" t="s">
        <v>276</v>
      </c>
      <c r="BD1346" s="556" t="s">
        <v>276</v>
      </c>
      <c r="BE1346" s="556" t="s">
        <v>276</v>
      </c>
      <c r="BF1346" s="556" t="s">
        <v>11282</v>
      </c>
      <c r="BG1346" s="556" t="s">
        <v>8336</v>
      </c>
      <c r="BH1346" s="9" t="s">
        <v>100</v>
      </c>
      <c r="BI1346" s="9" t="s">
        <v>100</v>
      </c>
      <c r="BJ1346" s="78"/>
      <c r="BN1346" s="78"/>
      <c r="BO1346" s="78"/>
    </row>
    <row r="1347" spans="1:67" s="79" customFormat="1" ht="52" hidden="1" x14ac:dyDescent="0.35">
      <c r="A1347" s="555">
        <v>258</v>
      </c>
      <c r="B1347" s="555" t="s">
        <v>8250</v>
      </c>
      <c r="C1347" s="555" t="s">
        <v>55</v>
      </c>
      <c r="D1347" s="556" t="s">
        <v>11569</v>
      </c>
      <c r="E1347" s="555" t="s">
        <v>36</v>
      </c>
      <c r="F1347" s="555" t="s">
        <v>8265</v>
      </c>
      <c r="G1347" s="555" t="s">
        <v>225</v>
      </c>
      <c r="H1347" s="555" t="s">
        <v>125</v>
      </c>
      <c r="I1347" s="555" t="s">
        <v>114</v>
      </c>
      <c r="J1347" s="556" t="s">
        <v>28</v>
      </c>
      <c r="K1347" s="555" t="s">
        <v>8839</v>
      </c>
      <c r="L1347" s="555" t="s">
        <v>8332</v>
      </c>
      <c r="M1347" s="555" t="s">
        <v>8333</v>
      </c>
      <c r="N1347" s="556" t="s">
        <v>8334</v>
      </c>
      <c r="O1347" s="556" t="s">
        <v>276</v>
      </c>
      <c r="P1347" s="556" t="s">
        <v>239</v>
      </c>
      <c r="Q1347" s="619" t="s">
        <v>276</v>
      </c>
      <c r="R1347" s="556" t="s">
        <v>776</v>
      </c>
      <c r="S1347" s="556" t="s">
        <v>8266</v>
      </c>
      <c r="T1347" s="556" t="s">
        <v>8255</v>
      </c>
      <c r="U1347" s="556">
        <v>6</v>
      </c>
      <c r="V1347" s="555" t="s">
        <v>14</v>
      </c>
      <c r="W1347" s="555" t="s">
        <v>98</v>
      </c>
      <c r="X1347" s="556" t="s">
        <v>207</v>
      </c>
      <c r="Y1347" s="560">
        <v>15587</v>
      </c>
      <c r="Z1347" s="561">
        <v>15394</v>
      </c>
      <c r="AA1347" s="556" t="s">
        <v>276</v>
      </c>
      <c r="AB1347" s="556" t="s">
        <v>276</v>
      </c>
      <c r="AC1347" s="620">
        <v>34</v>
      </c>
      <c r="AD1347" s="620" t="s">
        <v>2797</v>
      </c>
      <c r="AE1347" s="620">
        <v>39</v>
      </c>
      <c r="AF1347" s="555" t="s">
        <v>2797</v>
      </c>
      <c r="AG1347" s="556" t="s">
        <v>11568</v>
      </c>
      <c r="AH1347" s="556" t="s">
        <v>8257</v>
      </c>
      <c r="AI1347" s="561">
        <f>41+100</f>
        <v>141</v>
      </c>
      <c r="AJ1347" s="561">
        <f>65+82</f>
        <v>147</v>
      </c>
      <c r="AK1347" s="560">
        <v>183934</v>
      </c>
      <c r="AL1347" s="560">
        <v>181966</v>
      </c>
      <c r="AM1347" s="560" t="s">
        <v>425</v>
      </c>
      <c r="AN1347" s="555" t="s">
        <v>276</v>
      </c>
      <c r="AO1347" s="563">
        <f t="shared" ref="AO1347" si="407">AI1347*1000/AK1347</f>
        <v>0.76657931649395983</v>
      </c>
      <c r="AP1347" s="555" t="s">
        <v>276</v>
      </c>
      <c r="AQ1347" s="555" t="s">
        <v>276</v>
      </c>
      <c r="AR1347" s="555" t="s">
        <v>276</v>
      </c>
      <c r="AS1347" s="563">
        <f t="shared" ref="AS1347" si="408">AJ1347*1000/AL1347</f>
        <v>0.80784322345932758</v>
      </c>
      <c r="AT1347" s="555" t="s">
        <v>276</v>
      </c>
      <c r="AU1347" s="555" t="s">
        <v>276</v>
      </c>
      <c r="AV1347" s="555" t="s">
        <v>269</v>
      </c>
      <c r="AW1347" s="621" t="s">
        <v>276</v>
      </c>
      <c r="AX1347" s="622">
        <f t="shared" ref="AX1347" si="409">AO1347/AS1347</f>
        <v>0.94892089731387685</v>
      </c>
      <c r="AY1347" s="556" t="s">
        <v>276</v>
      </c>
      <c r="AZ1347" s="556" t="s">
        <v>276</v>
      </c>
      <c r="BA1347" s="556" t="s">
        <v>276</v>
      </c>
      <c r="BB1347" s="556" t="s">
        <v>282</v>
      </c>
      <c r="BC1347" s="556" t="s">
        <v>276</v>
      </c>
      <c r="BD1347" s="556" t="s">
        <v>276</v>
      </c>
      <c r="BE1347" s="556" t="s">
        <v>276</v>
      </c>
      <c r="BF1347" s="556" t="s">
        <v>11282</v>
      </c>
      <c r="BG1347" s="556" t="s">
        <v>8336</v>
      </c>
      <c r="BH1347" s="9" t="s">
        <v>100</v>
      </c>
      <c r="BI1347" s="9" t="s">
        <v>100</v>
      </c>
      <c r="BJ1347" s="78"/>
      <c r="BN1347" s="78"/>
      <c r="BO1347" s="78"/>
    </row>
    <row r="1348" spans="1:67" s="79" customFormat="1" ht="65" hidden="1" x14ac:dyDescent="0.35">
      <c r="A1348" s="555">
        <v>258</v>
      </c>
      <c r="B1348" s="555" t="s">
        <v>8250</v>
      </c>
      <c r="C1348" s="555" t="s">
        <v>55</v>
      </c>
      <c r="D1348" s="556" t="s">
        <v>11283</v>
      </c>
      <c r="E1348" s="555" t="s">
        <v>36</v>
      </c>
      <c r="F1348" s="555" t="s">
        <v>8265</v>
      </c>
      <c r="G1348" s="555" t="s">
        <v>225</v>
      </c>
      <c r="H1348" s="555" t="s">
        <v>125</v>
      </c>
      <c r="I1348" s="555" t="s">
        <v>114</v>
      </c>
      <c r="J1348" s="556" t="s">
        <v>28</v>
      </c>
      <c r="K1348" s="555" t="s">
        <v>7100</v>
      </c>
      <c r="L1348" s="555" t="s">
        <v>8332</v>
      </c>
      <c r="M1348" s="555" t="s">
        <v>8333</v>
      </c>
      <c r="N1348" s="556" t="s">
        <v>8334</v>
      </c>
      <c r="O1348" s="556" t="s">
        <v>276</v>
      </c>
      <c r="P1348" s="556" t="s">
        <v>239</v>
      </c>
      <c r="Q1348" s="619" t="s">
        <v>276</v>
      </c>
      <c r="R1348" s="556" t="s">
        <v>776</v>
      </c>
      <c r="S1348" s="556" t="s">
        <v>8266</v>
      </c>
      <c r="T1348" s="556" t="s">
        <v>8255</v>
      </c>
      <c r="U1348" s="556">
        <v>6</v>
      </c>
      <c r="V1348" s="555" t="s">
        <v>14</v>
      </c>
      <c r="W1348" s="555" t="s">
        <v>98</v>
      </c>
      <c r="X1348" s="556" t="s">
        <v>207</v>
      </c>
      <c r="Y1348" s="560">
        <v>15551</v>
      </c>
      <c r="Z1348" s="561">
        <v>15364</v>
      </c>
      <c r="AA1348" s="556" t="s">
        <v>276</v>
      </c>
      <c r="AB1348" s="556" t="s">
        <v>276</v>
      </c>
      <c r="AC1348" s="620" t="s">
        <v>11278</v>
      </c>
      <c r="AD1348" s="620" t="s">
        <v>2797</v>
      </c>
      <c r="AE1348" s="620" t="s">
        <v>11268</v>
      </c>
      <c r="AF1348" s="555" t="s">
        <v>2797</v>
      </c>
      <c r="AG1348" s="556" t="s">
        <v>8342</v>
      </c>
      <c r="AH1348" s="556" t="s">
        <v>11269</v>
      </c>
      <c r="AI1348" s="561" t="s">
        <v>276</v>
      </c>
      <c r="AJ1348" s="561" t="s">
        <v>276</v>
      </c>
      <c r="AK1348" s="560">
        <v>15551</v>
      </c>
      <c r="AL1348" s="561">
        <v>15364</v>
      </c>
      <c r="AM1348" s="561" t="s">
        <v>2047</v>
      </c>
      <c r="AN1348" s="628">
        <v>3</v>
      </c>
      <c r="AO1348" s="563" t="s">
        <v>98</v>
      </c>
      <c r="AP1348" s="555" t="s">
        <v>276</v>
      </c>
      <c r="AQ1348" s="555" t="s">
        <v>276</v>
      </c>
      <c r="AR1348" s="555">
        <v>4.4000000000000004</v>
      </c>
      <c r="AS1348" s="563" t="s">
        <v>98</v>
      </c>
      <c r="AT1348" s="555" t="s">
        <v>276</v>
      </c>
      <c r="AU1348" s="555" t="s">
        <v>276</v>
      </c>
      <c r="AV1348" s="555" t="s">
        <v>268</v>
      </c>
      <c r="AW1348" s="621" t="s">
        <v>276</v>
      </c>
      <c r="AX1348" s="622">
        <f>AN1348/AR1348</f>
        <v>0.68181818181818177</v>
      </c>
      <c r="AY1348" s="556" t="s">
        <v>276</v>
      </c>
      <c r="AZ1348" s="556" t="s">
        <v>276</v>
      </c>
      <c r="BA1348" s="556" t="s">
        <v>844</v>
      </c>
      <c r="BB1348" s="556" t="s">
        <v>282</v>
      </c>
      <c r="BC1348" s="556" t="s">
        <v>276</v>
      </c>
      <c r="BD1348" s="556" t="s">
        <v>276</v>
      </c>
      <c r="BE1348" s="556" t="s">
        <v>276</v>
      </c>
      <c r="BF1348" s="556" t="s">
        <v>11284</v>
      </c>
      <c r="BG1348" s="556" t="s">
        <v>11271</v>
      </c>
      <c r="BH1348" s="9" t="s">
        <v>100</v>
      </c>
      <c r="BI1348" s="9" t="s">
        <v>100</v>
      </c>
      <c r="BJ1348" s="78"/>
      <c r="BN1348" s="78"/>
      <c r="BO1348" s="78"/>
    </row>
    <row r="1349" spans="1:67" s="79" customFormat="1" ht="52" hidden="1" x14ac:dyDescent="0.35">
      <c r="A1349" s="555">
        <v>258</v>
      </c>
      <c r="B1349" s="555" t="s">
        <v>8250</v>
      </c>
      <c r="C1349" s="555" t="s">
        <v>55</v>
      </c>
      <c r="D1349" s="556" t="s">
        <v>8351</v>
      </c>
      <c r="E1349" s="555" t="s">
        <v>36</v>
      </c>
      <c r="F1349" s="555" t="s">
        <v>8265</v>
      </c>
      <c r="G1349" s="555" t="s">
        <v>225</v>
      </c>
      <c r="H1349" s="555" t="s">
        <v>125</v>
      </c>
      <c r="I1349" s="555" t="s">
        <v>114</v>
      </c>
      <c r="J1349" s="556" t="s">
        <v>28</v>
      </c>
      <c r="K1349" s="555" t="s">
        <v>7100</v>
      </c>
      <c r="L1349" s="555" t="s">
        <v>8332</v>
      </c>
      <c r="M1349" s="555" t="s">
        <v>8333</v>
      </c>
      <c r="N1349" s="556" t="s">
        <v>8334</v>
      </c>
      <c r="O1349" s="556" t="s">
        <v>276</v>
      </c>
      <c r="P1349" s="556" t="s">
        <v>235</v>
      </c>
      <c r="Q1349" s="619" t="s">
        <v>276</v>
      </c>
      <c r="R1349" s="556" t="s">
        <v>776</v>
      </c>
      <c r="S1349" s="556" t="s">
        <v>8266</v>
      </c>
      <c r="T1349" s="556" t="s">
        <v>8255</v>
      </c>
      <c r="U1349" s="556">
        <v>6</v>
      </c>
      <c r="V1349" s="555" t="s">
        <v>14</v>
      </c>
      <c r="W1349" s="555" t="s">
        <v>98</v>
      </c>
      <c r="X1349" s="556" t="s">
        <v>207</v>
      </c>
      <c r="Y1349" s="560">
        <v>15587</v>
      </c>
      <c r="Z1349" s="561" t="s">
        <v>98</v>
      </c>
      <c r="AA1349" s="556" t="s">
        <v>276</v>
      </c>
      <c r="AB1349" s="556" t="s">
        <v>276</v>
      </c>
      <c r="AC1349" s="620">
        <v>34</v>
      </c>
      <c r="AD1349" s="620" t="s">
        <v>2797</v>
      </c>
      <c r="AE1349" s="620">
        <v>39</v>
      </c>
      <c r="AF1349" s="555" t="s">
        <v>2797</v>
      </c>
      <c r="AG1349" s="556" t="s">
        <v>8342</v>
      </c>
      <c r="AH1349" s="556" t="s">
        <v>8345</v>
      </c>
      <c r="AI1349" s="561">
        <v>41</v>
      </c>
      <c r="AJ1349" s="561">
        <v>65</v>
      </c>
      <c r="AK1349" s="560">
        <v>368</v>
      </c>
      <c r="AL1349" s="561">
        <v>394</v>
      </c>
      <c r="AM1349" s="561" t="s">
        <v>292</v>
      </c>
      <c r="AN1349" s="555" t="s">
        <v>276</v>
      </c>
      <c r="AO1349" s="563">
        <f>AI1349*100/AK1349</f>
        <v>11.141304347826088</v>
      </c>
      <c r="AP1349" s="555" t="s">
        <v>276</v>
      </c>
      <c r="AQ1349" s="555" t="s">
        <v>276</v>
      </c>
      <c r="AR1349" s="555" t="s">
        <v>276</v>
      </c>
      <c r="AS1349" s="563">
        <f>AJ1349*100/AL1349</f>
        <v>16.497461928934012</v>
      </c>
      <c r="AT1349" s="555" t="s">
        <v>276</v>
      </c>
      <c r="AU1349" s="555" t="s">
        <v>276</v>
      </c>
      <c r="AV1349" s="555" t="s">
        <v>268</v>
      </c>
      <c r="AW1349" s="621" t="s">
        <v>276</v>
      </c>
      <c r="AX1349" s="622">
        <f t="shared" si="401"/>
        <v>0.67533444816053512</v>
      </c>
      <c r="AY1349" s="556" t="s">
        <v>276</v>
      </c>
      <c r="AZ1349" s="556" t="s">
        <v>276</v>
      </c>
      <c r="BA1349" s="556" t="s">
        <v>276</v>
      </c>
      <c r="BB1349" s="556" t="s">
        <v>282</v>
      </c>
      <c r="BC1349" s="556" t="s">
        <v>276</v>
      </c>
      <c r="BD1349" s="556" t="s">
        <v>276</v>
      </c>
      <c r="BE1349" s="556" t="s">
        <v>276</v>
      </c>
      <c r="BF1349" s="556" t="s">
        <v>1020</v>
      </c>
      <c r="BG1349" s="556" t="s">
        <v>8336</v>
      </c>
      <c r="BH1349" s="9" t="s">
        <v>100</v>
      </c>
      <c r="BI1349" s="9" t="s">
        <v>100</v>
      </c>
      <c r="BJ1349" s="78"/>
      <c r="BN1349" s="78"/>
      <c r="BO1349" s="78"/>
    </row>
    <row r="1350" spans="1:67" s="33" customFormat="1" ht="52" hidden="1" x14ac:dyDescent="0.35">
      <c r="A1350" s="545">
        <v>258</v>
      </c>
      <c r="B1350" s="545" t="s">
        <v>8250</v>
      </c>
      <c r="C1350" s="545" t="s">
        <v>55</v>
      </c>
      <c r="D1350" s="546" t="s">
        <v>8352</v>
      </c>
      <c r="E1350" s="545" t="s">
        <v>36</v>
      </c>
      <c r="F1350" s="545" t="s">
        <v>8252</v>
      </c>
      <c r="G1350" s="545" t="s">
        <v>8265</v>
      </c>
      <c r="H1350" s="545" t="s">
        <v>225</v>
      </c>
      <c r="I1350" s="545" t="s">
        <v>98</v>
      </c>
      <c r="J1350" s="546" t="s">
        <v>98</v>
      </c>
      <c r="K1350" s="545" t="s">
        <v>98</v>
      </c>
      <c r="L1350" s="545" t="s">
        <v>98</v>
      </c>
      <c r="M1350" s="545" t="s">
        <v>98</v>
      </c>
      <c r="N1350" s="546" t="s">
        <v>8353</v>
      </c>
      <c r="O1350" s="546" t="s">
        <v>276</v>
      </c>
      <c r="P1350" s="546" t="s">
        <v>238</v>
      </c>
      <c r="Q1350" s="613">
        <v>33662</v>
      </c>
      <c r="R1350" s="546" t="s">
        <v>276</v>
      </c>
      <c r="S1350" s="546" t="s">
        <v>276</v>
      </c>
      <c r="T1350" s="546" t="s">
        <v>276</v>
      </c>
      <c r="U1350" s="546" t="s">
        <v>8354</v>
      </c>
      <c r="V1350" s="545" t="s">
        <v>14</v>
      </c>
      <c r="W1350" s="545" t="s">
        <v>98</v>
      </c>
      <c r="X1350" s="546" t="s">
        <v>208</v>
      </c>
      <c r="Y1350" s="550">
        <v>15570</v>
      </c>
      <c r="Z1350" s="550">
        <v>15587</v>
      </c>
      <c r="AA1350" s="546" t="s">
        <v>276</v>
      </c>
      <c r="AB1350" s="546" t="s">
        <v>276</v>
      </c>
      <c r="AC1350" s="545">
        <v>0</v>
      </c>
      <c r="AD1350" s="545" t="s">
        <v>8355</v>
      </c>
      <c r="AE1350" s="545">
        <v>0</v>
      </c>
      <c r="AF1350" s="545" t="s">
        <v>8355</v>
      </c>
      <c r="AG1350" s="546" t="s">
        <v>8356</v>
      </c>
      <c r="AH1350" s="546" t="s">
        <v>6506</v>
      </c>
      <c r="AI1350" s="551">
        <v>177</v>
      </c>
      <c r="AJ1350" s="551">
        <v>145</v>
      </c>
      <c r="AK1350" s="550">
        <v>15570</v>
      </c>
      <c r="AL1350" s="550">
        <v>15587</v>
      </c>
      <c r="AM1350" s="551" t="s">
        <v>11660</v>
      </c>
      <c r="AN1350" s="545" t="s">
        <v>276</v>
      </c>
      <c r="AO1350" s="553">
        <f>AI1350*1000/AK1350</f>
        <v>11.368015414258188</v>
      </c>
      <c r="AP1350" s="545" t="s">
        <v>276</v>
      </c>
      <c r="AQ1350" s="545" t="s">
        <v>276</v>
      </c>
      <c r="AR1350" s="545" t="s">
        <v>276</v>
      </c>
      <c r="AS1350" s="553">
        <f>AJ1350*1000/AL1350</f>
        <v>9.3026239815230642</v>
      </c>
      <c r="AT1350" s="545" t="s">
        <v>276</v>
      </c>
      <c r="AU1350" s="545" t="s">
        <v>276</v>
      </c>
      <c r="AV1350" s="545" t="s">
        <v>268</v>
      </c>
      <c r="AW1350" s="617" t="s">
        <v>276</v>
      </c>
      <c r="AX1350" s="618">
        <f t="shared" si="401"/>
        <v>1.2220224569796025</v>
      </c>
      <c r="AY1350" s="546" t="s">
        <v>276</v>
      </c>
      <c r="AZ1350" s="546" t="s">
        <v>276</v>
      </c>
      <c r="BA1350" s="546" t="s">
        <v>276</v>
      </c>
      <c r="BB1350" s="546" t="s">
        <v>282</v>
      </c>
      <c r="BC1350" s="546" t="s">
        <v>276</v>
      </c>
      <c r="BD1350" s="546" t="s">
        <v>276</v>
      </c>
      <c r="BE1350" s="546" t="s">
        <v>276</v>
      </c>
      <c r="BF1350" s="546" t="s">
        <v>800</v>
      </c>
      <c r="BG1350" s="546" t="s">
        <v>8336</v>
      </c>
      <c r="BH1350" s="9" t="s">
        <v>100</v>
      </c>
      <c r="BI1350" s="9" t="s">
        <v>100</v>
      </c>
      <c r="BJ1350" s="32"/>
      <c r="BN1350" s="32"/>
      <c r="BO1350" s="32"/>
    </row>
    <row r="1351" spans="1:67" s="33" customFormat="1" ht="52" x14ac:dyDescent="0.35">
      <c r="A1351" s="545">
        <v>258</v>
      </c>
      <c r="B1351" s="545" t="s">
        <v>8250</v>
      </c>
      <c r="C1351" s="545" t="s">
        <v>55</v>
      </c>
      <c r="D1351" s="546" t="s">
        <v>11285</v>
      </c>
      <c r="E1351" s="545" t="s">
        <v>36</v>
      </c>
      <c r="F1351" s="545" t="s">
        <v>8252</v>
      </c>
      <c r="G1351" s="545" t="s">
        <v>8265</v>
      </c>
      <c r="H1351" s="545" t="s">
        <v>225</v>
      </c>
      <c r="I1351" s="545" t="s">
        <v>98</v>
      </c>
      <c r="J1351" s="546" t="s">
        <v>98</v>
      </c>
      <c r="K1351" s="545" t="s">
        <v>98</v>
      </c>
      <c r="L1351" s="545" t="s">
        <v>98</v>
      </c>
      <c r="M1351" s="545" t="s">
        <v>98</v>
      </c>
      <c r="N1351" s="546" t="s">
        <v>8353</v>
      </c>
      <c r="O1351" s="546" t="s">
        <v>276</v>
      </c>
      <c r="P1351" s="546" t="s">
        <v>236</v>
      </c>
      <c r="Q1351" s="613" t="s">
        <v>276</v>
      </c>
      <c r="R1351" s="546" t="s">
        <v>776</v>
      </c>
      <c r="S1351" s="546" t="s">
        <v>8254</v>
      </c>
      <c r="T1351" s="546" t="s">
        <v>8266</v>
      </c>
      <c r="U1351" s="546" t="s">
        <v>8354</v>
      </c>
      <c r="V1351" s="545" t="s">
        <v>14</v>
      </c>
      <c r="W1351" s="545" t="s">
        <v>98</v>
      </c>
      <c r="X1351" s="546" t="s">
        <v>208</v>
      </c>
      <c r="Y1351" s="550" t="s">
        <v>98</v>
      </c>
      <c r="Z1351" s="550" t="s">
        <v>98</v>
      </c>
      <c r="AA1351" s="546" t="s">
        <v>276</v>
      </c>
      <c r="AB1351" s="546" t="s">
        <v>276</v>
      </c>
      <c r="AC1351" s="545">
        <v>0</v>
      </c>
      <c r="AD1351" s="545" t="s">
        <v>8355</v>
      </c>
      <c r="AE1351" s="545">
        <v>0</v>
      </c>
      <c r="AF1351" s="545" t="s">
        <v>8355</v>
      </c>
      <c r="AG1351" s="546" t="s">
        <v>8356</v>
      </c>
      <c r="AH1351" s="546" t="s">
        <v>8357</v>
      </c>
      <c r="AI1351" s="551">
        <v>177</v>
      </c>
      <c r="AJ1351" s="551">
        <v>145</v>
      </c>
      <c r="AK1351" s="550">
        <v>354</v>
      </c>
      <c r="AL1351" s="550">
        <v>368</v>
      </c>
      <c r="AM1351" s="551" t="s">
        <v>292</v>
      </c>
      <c r="AN1351" s="545" t="s">
        <v>276</v>
      </c>
      <c r="AO1351" s="553">
        <f>AI1351*100/AK1351</f>
        <v>50</v>
      </c>
      <c r="AP1351" s="545" t="s">
        <v>276</v>
      </c>
      <c r="AQ1351" s="545" t="s">
        <v>276</v>
      </c>
      <c r="AR1351" s="545" t="s">
        <v>276</v>
      </c>
      <c r="AS1351" s="553">
        <f>AJ1351*100/AL1351</f>
        <v>39.402173913043477</v>
      </c>
      <c r="AT1351" s="545" t="s">
        <v>276</v>
      </c>
      <c r="AU1351" s="545" t="s">
        <v>276</v>
      </c>
      <c r="AV1351" s="545" t="s">
        <v>268</v>
      </c>
      <c r="AW1351" s="617" t="s">
        <v>276</v>
      </c>
      <c r="AX1351" s="618">
        <f t="shared" si="401"/>
        <v>1.2689655172413794</v>
      </c>
      <c r="AY1351" s="546" t="s">
        <v>276</v>
      </c>
      <c r="AZ1351" s="546" t="s">
        <v>276</v>
      </c>
      <c r="BA1351" s="546" t="s">
        <v>276</v>
      </c>
      <c r="BB1351" s="546" t="s">
        <v>282</v>
      </c>
      <c r="BC1351" s="546" t="s">
        <v>276</v>
      </c>
      <c r="BD1351" s="546" t="s">
        <v>276</v>
      </c>
      <c r="BE1351" s="546" t="s">
        <v>276</v>
      </c>
      <c r="BF1351" s="546" t="s">
        <v>800</v>
      </c>
      <c r="BG1351" s="546" t="s">
        <v>8336</v>
      </c>
      <c r="BH1351" s="9" t="s">
        <v>99</v>
      </c>
      <c r="BI1351" s="9" t="s">
        <v>100</v>
      </c>
      <c r="BJ1351" s="32"/>
      <c r="BN1351" s="32"/>
      <c r="BO1351" s="32"/>
    </row>
    <row r="1352" spans="1:67" s="110" customFormat="1" ht="52" hidden="1" x14ac:dyDescent="0.35">
      <c r="A1352" s="577">
        <v>7915</v>
      </c>
      <c r="B1352" s="577" t="s">
        <v>8278</v>
      </c>
      <c r="C1352" s="577" t="s">
        <v>55</v>
      </c>
      <c r="D1352" s="578" t="s">
        <v>8358</v>
      </c>
      <c r="E1352" s="577" t="s">
        <v>36</v>
      </c>
      <c r="F1352" s="577" t="s">
        <v>8265</v>
      </c>
      <c r="G1352" s="577" t="s">
        <v>225</v>
      </c>
      <c r="H1352" s="577" t="s">
        <v>125</v>
      </c>
      <c r="I1352" s="577" t="s">
        <v>114</v>
      </c>
      <c r="J1352" s="578" t="s">
        <v>28</v>
      </c>
      <c r="K1352" s="577" t="s">
        <v>6737</v>
      </c>
      <c r="L1352" s="577" t="s">
        <v>8332</v>
      </c>
      <c r="M1352" s="577" t="s">
        <v>276</v>
      </c>
      <c r="N1352" s="578" t="s">
        <v>8359</v>
      </c>
      <c r="O1352" s="578" t="s">
        <v>276</v>
      </c>
      <c r="P1352" s="578" t="s">
        <v>239</v>
      </c>
      <c r="Q1352" s="629" t="s">
        <v>276</v>
      </c>
      <c r="R1352" s="578" t="s">
        <v>1258</v>
      </c>
      <c r="S1352" s="578" t="s">
        <v>8282</v>
      </c>
      <c r="T1352" s="578" t="s">
        <v>8283</v>
      </c>
      <c r="U1352" s="578">
        <v>11</v>
      </c>
      <c r="V1352" s="577" t="s">
        <v>14</v>
      </c>
      <c r="W1352" s="577" t="s">
        <v>98</v>
      </c>
      <c r="X1352" s="578" t="s">
        <v>207</v>
      </c>
      <c r="Y1352" s="582">
        <v>15570</v>
      </c>
      <c r="Z1352" s="583">
        <v>15394</v>
      </c>
      <c r="AA1352" s="578" t="s">
        <v>276</v>
      </c>
      <c r="AB1352" s="578" t="s">
        <v>276</v>
      </c>
      <c r="AC1352" s="588">
        <f>2.24*Y1352/1000</f>
        <v>34.876800000000003</v>
      </c>
      <c r="AD1352" s="630" t="s">
        <v>2797</v>
      </c>
      <c r="AE1352" s="588">
        <f>3.71*Z1352/1000</f>
        <v>57.111739999999998</v>
      </c>
      <c r="AF1352" s="577" t="s">
        <v>2797</v>
      </c>
      <c r="AG1352" s="578" t="s">
        <v>8360</v>
      </c>
      <c r="AH1352" s="578" t="s">
        <v>6506</v>
      </c>
      <c r="AI1352" s="583" t="s">
        <v>276</v>
      </c>
      <c r="AJ1352" s="583" t="s">
        <v>276</v>
      </c>
      <c r="AK1352" s="582">
        <v>15570</v>
      </c>
      <c r="AL1352" s="583">
        <v>15394</v>
      </c>
      <c r="AM1352" s="583" t="s">
        <v>2047</v>
      </c>
      <c r="AN1352" s="585">
        <v>9.08</v>
      </c>
      <c r="AO1352" s="586" t="s">
        <v>98</v>
      </c>
      <c r="AP1352" s="577" t="s">
        <v>276</v>
      </c>
      <c r="AQ1352" s="577" t="s">
        <v>276</v>
      </c>
      <c r="AR1352" s="577">
        <v>8.2899999999999991</v>
      </c>
      <c r="AS1352" s="586" t="s">
        <v>98</v>
      </c>
      <c r="AT1352" s="577" t="s">
        <v>276</v>
      </c>
      <c r="AU1352" s="577" t="s">
        <v>276</v>
      </c>
      <c r="AV1352" s="577" t="s">
        <v>268</v>
      </c>
      <c r="AW1352" s="631" t="s">
        <v>276</v>
      </c>
      <c r="AX1352" s="632">
        <f t="shared" ref="AX1352:AX1359" si="410">AN1352/AR1352</f>
        <v>1.0952955367913149</v>
      </c>
      <c r="AY1352" s="578" t="s">
        <v>276</v>
      </c>
      <c r="AZ1352" s="578" t="s">
        <v>276</v>
      </c>
      <c r="BA1352" s="631" t="s">
        <v>276</v>
      </c>
      <c r="BB1352" s="578" t="s">
        <v>282</v>
      </c>
      <c r="BC1352" s="578" t="s">
        <v>276</v>
      </c>
      <c r="BD1352" s="578" t="s">
        <v>276</v>
      </c>
      <c r="BE1352" s="578" t="s">
        <v>276</v>
      </c>
      <c r="BF1352" s="578" t="s">
        <v>2051</v>
      </c>
      <c r="BG1352" s="578" t="s">
        <v>8361</v>
      </c>
      <c r="BH1352" s="9" t="s">
        <v>100</v>
      </c>
      <c r="BI1352" s="9" t="s">
        <v>100</v>
      </c>
      <c r="BJ1352" s="109"/>
      <c r="BN1352" s="109"/>
      <c r="BO1352" s="109"/>
    </row>
    <row r="1353" spans="1:67" s="110" customFormat="1" ht="52" hidden="1" x14ac:dyDescent="0.35">
      <c r="A1353" s="577">
        <v>7915</v>
      </c>
      <c r="B1353" s="577" t="s">
        <v>8278</v>
      </c>
      <c r="C1353" s="577" t="s">
        <v>55</v>
      </c>
      <c r="D1353" s="578" t="s">
        <v>8362</v>
      </c>
      <c r="E1353" s="577" t="s">
        <v>36</v>
      </c>
      <c r="F1353" s="577" t="s">
        <v>8265</v>
      </c>
      <c r="G1353" s="577" t="s">
        <v>225</v>
      </c>
      <c r="H1353" s="577" t="s">
        <v>125</v>
      </c>
      <c r="I1353" s="577" t="s">
        <v>114</v>
      </c>
      <c r="J1353" s="578" t="s">
        <v>28</v>
      </c>
      <c r="K1353" s="577" t="s">
        <v>6737</v>
      </c>
      <c r="L1353" s="577" t="s">
        <v>8332</v>
      </c>
      <c r="M1353" s="577" t="s">
        <v>276</v>
      </c>
      <c r="N1353" s="578" t="s">
        <v>8359</v>
      </c>
      <c r="O1353" s="578" t="s">
        <v>276</v>
      </c>
      <c r="P1353" s="578" t="s">
        <v>239</v>
      </c>
      <c r="Q1353" s="629" t="s">
        <v>276</v>
      </c>
      <c r="R1353" s="578" t="s">
        <v>1258</v>
      </c>
      <c r="S1353" s="578" t="s">
        <v>8291</v>
      </c>
      <c r="T1353" s="578" t="s">
        <v>8283</v>
      </c>
      <c r="U1353" s="578">
        <v>6</v>
      </c>
      <c r="V1353" s="577" t="s">
        <v>14</v>
      </c>
      <c r="W1353" s="577" t="s">
        <v>98</v>
      </c>
      <c r="X1353" s="578" t="s">
        <v>207</v>
      </c>
      <c r="Y1353" s="582">
        <v>15587</v>
      </c>
      <c r="Z1353" s="583">
        <v>15394</v>
      </c>
      <c r="AA1353" s="578" t="s">
        <v>276</v>
      </c>
      <c r="AB1353" s="578" t="s">
        <v>276</v>
      </c>
      <c r="AC1353" s="588">
        <f>3.01*Y1353/1000</f>
        <v>46.916869999999996</v>
      </c>
      <c r="AD1353" s="630" t="s">
        <v>2797</v>
      </c>
      <c r="AE1353" s="588">
        <f t="shared" ref="AE1353:AE1359" si="411">3.71*Z1353/1000</f>
        <v>57.111739999999998</v>
      </c>
      <c r="AF1353" s="577" t="s">
        <v>2797</v>
      </c>
      <c r="AG1353" s="578" t="s">
        <v>8360</v>
      </c>
      <c r="AH1353" s="578" t="s">
        <v>6506</v>
      </c>
      <c r="AI1353" s="583" t="s">
        <v>276</v>
      </c>
      <c r="AJ1353" s="583" t="s">
        <v>276</v>
      </c>
      <c r="AK1353" s="582">
        <v>15587</v>
      </c>
      <c r="AL1353" s="583">
        <v>15394</v>
      </c>
      <c r="AM1353" s="583" t="s">
        <v>2047</v>
      </c>
      <c r="AN1353" s="585">
        <v>8.31</v>
      </c>
      <c r="AO1353" s="586" t="s">
        <v>98</v>
      </c>
      <c r="AP1353" s="577" t="s">
        <v>276</v>
      </c>
      <c r="AQ1353" s="577" t="s">
        <v>276</v>
      </c>
      <c r="AR1353" s="577">
        <v>8.2899999999999991</v>
      </c>
      <c r="AS1353" s="586" t="s">
        <v>98</v>
      </c>
      <c r="AT1353" s="577" t="s">
        <v>276</v>
      </c>
      <c r="AU1353" s="577" t="s">
        <v>276</v>
      </c>
      <c r="AV1353" s="577" t="s">
        <v>268</v>
      </c>
      <c r="AW1353" s="631" t="s">
        <v>276</v>
      </c>
      <c r="AX1353" s="632">
        <f t="shared" si="410"/>
        <v>1.0024125452352233</v>
      </c>
      <c r="AY1353" s="578" t="s">
        <v>276</v>
      </c>
      <c r="AZ1353" s="578" t="s">
        <v>276</v>
      </c>
      <c r="BA1353" s="631" t="s">
        <v>276</v>
      </c>
      <c r="BB1353" s="578" t="s">
        <v>282</v>
      </c>
      <c r="BC1353" s="578" t="s">
        <v>276</v>
      </c>
      <c r="BD1353" s="578" t="s">
        <v>276</v>
      </c>
      <c r="BE1353" s="578" t="s">
        <v>276</v>
      </c>
      <c r="BF1353" s="578" t="s">
        <v>2051</v>
      </c>
      <c r="BG1353" s="578" t="s">
        <v>8361</v>
      </c>
      <c r="BH1353" s="9" t="s">
        <v>100</v>
      </c>
      <c r="BI1353" s="9" t="s">
        <v>100</v>
      </c>
      <c r="BJ1353" s="109"/>
      <c r="BN1353" s="109"/>
      <c r="BO1353" s="109"/>
    </row>
    <row r="1354" spans="1:67" s="124" customFormat="1" ht="52" hidden="1" x14ac:dyDescent="0.35">
      <c r="A1354" s="567">
        <v>7915</v>
      </c>
      <c r="B1354" s="567" t="s">
        <v>8278</v>
      </c>
      <c r="C1354" s="567" t="s">
        <v>55</v>
      </c>
      <c r="D1354" s="568" t="s">
        <v>8363</v>
      </c>
      <c r="E1354" s="567" t="s">
        <v>36</v>
      </c>
      <c r="F1354" s="567" t="s">
        <v>8265</v>
      </c>
      <c r="G1354" s="567" t="s">
        <v>225</v>
      </c>
      <c r="H1354" s="567" t="s">
        <v>125</v>
      </c>
      <c r="I1354" s="567" t="s">
        <v>114</v>
      </c>
      <c r="J1354" s="568" t="s">
        <v>28</v>
      </c>
      <c r="K1354" s="567" t="s">
        <v>6740</v>
      </c>
      <c r="L1354" s="567" t="s">
        <v>8332</v>
      </c>
      <c r="M1354" s="567" t="s">
        <v>276</v>
      </c>
      <c r="N1354" s="568" t="s">
        <v>8359</v>
      </c>
      <c r="O1354" s="568" t="s">
        <v>276</v>
      </c>
      <c r="P1354" s="568" t="s">
        <v>239</v>
      </c>
      <c r="Q1354" s="633" t="s">
        <v>276</v>
      </c>
      <c r="R1354" s="568" t="s">
        <v>1258</v>
      </c>
      <c r="S1354" s="568" t="s">
        <v>8282</v>
      </c>
      <c r="T1354" s="568" t="s">
        <v>8283</v>
      </c>
      <c r="U1354" s="568">
        <v>11</v>
      </c>
      <c r="V1354" s="567" t="s">
        <v>14</v>
      </c>
      <c r="W1354" s="567" t="s">
        <v>98</v>
      </c>
      <c r="X1354" s="568" t="s">
        <v>207</v>
      </c>
      <c r="Y1354" s="572">
        <v>15570</v>
      </c>
      <c r="Z1354" s="573">
        <v>15394</v>
      </c>
      <c r="AA1354" s="568" t="s">
        <v>276</v>
      </c>
      <c r="AB1354" s="568" t="s">
        <v>276</v>
      </c>
      <c r="AC1354" s="587">
        <f>2.24*Y1354/1000</f>
        <v>34.876800000000003</v>
      </c>
      <c r="AD1354" s="634" t="s">
        <v>2797</v>
      </c>
      <c r="AE1354" s="587">
        <f t="shared" si="411"/>
        <v>57.111739999999998</v>
      </c>
      <c r="AF1354" s="567" t="s">
        <v>2797</v>
      </c>
      <c r="AG1354" s="568" t="s">
        <v>8364</v>
      </c>
      <c r="AH1354" s="568" t="s">
        <v>6506</v>
      </c>
      <c r="AI1354" s="573" t="s">
        <v>276</v>
      </c>
      <c r="AJ1354" s="573" t="s">
        <v>276</v>
      </c>
      <c r="AK1354" s="572">
        <v>15570</v>
      </c>
      <c r="AL1354" s="573">
        <v>15394</v>
      </c>
      <c r="AM1354" s="573" t="s">
        <v>2047</v>
      </c>
      <c r="AN1354" s="575">
        <v>8.61</v>
      </c>
      <c r="AO1354" s="576" t="s">
        <v>98</v>
      </c>
      <c r="AP1354" s="567" t="s">
        <v>276</v>
      </c>
      <c r="AQ1354" s="567" t="s">
        <v>276</v>
      </c>
      <c r="AR1354" s="567">
        <v>11.93</v>
      </c>
      <c r="AS1354" s="576" t="s">
        <v>98</v>
      </c>
      <c r="AT1354" s="567" t="s">
        <v>276</v>
      </c>
      <c r="AU1354" s="567" t="s">
        <v>276</v>
      </c>
      <c r="AV1354" s="567" t="s">
        <v>268</v>
      </c>
      <c r="AW1354" s="635" t="s">
        <v>276</v>
      </c>
      <c r="AX1354" s="636">
        <f t="shared" si="410"/>
        <v>0.7217099748533109</v>
      </c>
      <c r="AY1354" s="568" t="s">
        <v>276</v>
      </c>
      <c r="AZ1354" s="568" t="s">
        <v>276</v>
      </c>
      <c r="BA1354" s="635" t="s">
        <v>276</v>
      </c>
      <c r="BB1354" s="568" t="s">
        <v>282</v>
      </c>
      <c r="BC1354" s="568" t="s">
        <v>276</v>
      </c>
      <c r="BD1354" s="568" t="s">
        <v>276</v>
      </c>
      <c r="BE1354" s="568" t="s">
        <v>276</v>
      </c>
      <c r="BF1354" s="568" t="s">
        <v>2051</v>
      </c>
      <c r="BG1354" s="568" t="s">
        <v>8361</v>
      </c>
      <c r="BH1354" s="9" t="s">
        <v>100</v>
      </c>
      <c r="BI1354" s="9" t="s">
        <v>100</v>
      </c>
      <c r="BJ1354" s="123"/>
      <c r="BN1354" s="123"/>
      <c r="BO1354" s="123"/>
    </row>
    <row r="1355" spans="1:67" s="124" customFormat="1" ht="52" hidden="1" x14ac:dyDescent="0.35">
      <c r="A1355" s="567">
        <v>7915</v>
      </c>
      <c r="B1355" s="567" t="s">
        <v>8278</v>
      </c>
      <c r="C1355" s="567" t="s">
        <v>55</v>
      </c>
      <c r="D1355" s="568" t="s">
        <v>8365</v>
      </c>
      <c r="E1355" s="567" t="s">
        <v>36</v>
      </c>
      <c r="F1355" s="567" t="s">
        <v>8265</v>
      </c>
      <c r="G1355" s="567" t="s">
        <v>225</v>
      </c>
      <c r="H1355" s="567" t="s">
        <v>125</v>
      </c>
      <c r="I1355" s="567" t="s">
        <v>114</v>
      </c>
      <c r="J1355" s="568" t="s">
        <v>28</v>
      </c>
      <c r="K1355" s="567" t="s">
        <v>6740</v>
      </c>
      <c r="L1355" s="567" t="s">
        <v>8332</v>
      </c>
      <c r="M1355" s="567" t="s">
        <v>276</v>
      </c>
      <c r="N1355" s="568" t="s">
        <v>8359</v>
      </c>
      <c r="O1355" s="568" t="s">
        <v>276</v>
      </c>
      <c r="P1355" s="568" t="s">
        <v>239</v>
      </c>
      <c r="Q1355" s="633" t="s">
        <v>276</v>
      </c>
      <c r="R1355" s="568" t="s">
        <v>1258</v>
      </c>
      <c r="S1355" s="568" t="s">
        <v>8291</v>
      </c>
      <c r="T1355" s="568" t="s">
        <v>8283</v>
      </c>
      <c r="U1355" s="568">
        <v>6</v>
      </c>
      <c r="V1355" s="567" t="s">
        <v>14</v>
      </c>
      <c r="W1355" s="567" t="s">
        <v>98</v>
      </c>
      <c r="X1355" s="568" t="s">
        <v>207</v>
      </c>
      <c r="Y1355" s="572">
        <v>15587</v>
      </c>
      <c r="Z1355" s="573">
        <v>15394</v>
      </c>
      <c r="AA1355" s="568" t="s">
        <v>276</v>
      </c>
      <c r="AB1355" s="568" t="s">
        <v>276</v>
      </c>
      <c r="AC1355" s="587">
        <f>3.01*Y1355/1000</f>
        <v>46.916869999999996</v>
      </c>
      <c r="AD1355" s="634" t="s">
        <v>2797</v>
      </c>
      <c r="AE1355" s="587">
        <f t="shared" si="411"/>
        <v>57.111739999999998</v>
      </c>
      <c r="AF1355" s="567" t="s">
        <v>2797</v>
      </c>
      <c r="AG1355" s="568" t="s">
        <v>8364</v>
      </c>
      <c r="AH1355" s="568" t="s">
        <v>6506</v>
      </c>
      <c r="AI1355" s="573" t="s">
        <v>276</v>
      </c>
      <c r="AJ1355" s="573" t="s">
        <v>276</v>
      </c>
      <c r="AK1355" s="572">
        <v>15587</v>
      </c>
      <c r="AL1355" s="573">
        <v>15394</v>
      </c>
      <c r="AM1355" s="573" t="s">
        <v>2047</v>
      </c>
      <c r="AN1355" s="575">
        <v>8.08</v>
      </c>
      <c r="AO1355" s="576" t="s">
        <v>98</v>
      </c>
      <c r="AP1355" s="567" t="s">
        <v>276</v>
      </c>
      <c r="AQ1355" s="567" t="s">
        <v>276</v>
      </c>
      <c r="AR1355" s="567">
        <v>11.93</v>
      </c>
      <c r="AS1355" s="576" t="s">
        <v>98</v>
      </c>
      <c r="AT1355" s="567" t="s">
        <v>276</v>
      </c>
      <c r="AU1355" s="567" t="s">
        <v>276</v>
      </c>
      <c r="AV1355" s="567" t="s">
        <v>268</v>
      </c>
      <c r="AW1355" s="635" t="s">
        <v>276</v>
      </c>
      <c r="AX1355" s="636">
        <f t="shared" si="410"/>
        <v>0.67728415758591787</v>
      </c>
      <c r="AY1355" s="568" t="s">
        <v>276</v>
      </c>
      <c r="AZ1355" s="568" t="s">
        <v>276</v>
      </c>
      <c r="BA1355" s="635" t="s">
        <v>276</v>
      </c>
      <c r="BB1355" s="568" t="s">
        <v>282</v>
      </c>
      <c r="BC1355" s="568" t="s">
        <v>276</v>
      </c>
      <c r="BD1355" s="568" t="s">
        <v>276</v>
      </c>
      <c r="BE1355" s="568" t="s">
        <v>276</v>
      </c>
      <c r="BF1355" s="568" t="s">
        <v>2051</v>
      </c>
      <c r="BG1355" s="568" t="s">
        <v>8361</v>
      </c>
      <c r="BH1355" s="9" t="s">
        <v>100</v>
      </c>
      <c r="BI1355" s="9" t="s">
        <v>100</v>
      </c>
      <c r="BJ1355" s="123"/>
      <c r="BN1355" s="123"/>
      <c r="BO1355" s="123"/>
    </row>
    <row r="1356" spans="1:67" s="110" customFormat="1" ht="52" hidden="1" x14ac:dyDescent="0.35">
      <c r="A1356" s="577">
        <v>7915</v>
      </c>
      <c r="B1356" s="577" t="s">
        <v>8278</v>
      </c>
      <c r="C1356" s="577" t="s">
        <v>55</v>
      </c>
      <c r="D1356" s="578" t="s">
        <v>8366</v>
      </c>
      <c r="E1356" s="577" t="s">
        <v>36</v>
      </c>
      <c r="F1356" s="577" t="s">
        <v>8265</v>
      </c>
      <c r="G1356" s="577" t="s">
        <v>225</v>
      </c>
      <c r="H1356" s="577" t="s">
        <v>125</v>
      </c>
      <c r="I1356" s="577" t="s">
        <v>114</v>
      </c>
      <c r="J1356" s="578" t="s">
        <v>28</v>
      </c>
      <c r="K1356" s="577" t="s">
        <v>6742</v>
      </c>
      <c r="L1356" s="577" t="s">
        <v>8332</v>
      </c>
      <c r="M1356" s="577" t="s">
        <v>276</v>
      </c>
      <c r="N1356" s="578" t="s">
        <v>8359</v>
      </c>
      <c r="O1356" s="578" t="s">
        <v>276</v>
      </c>
      <c r="P1356" s="578" t="s">
        <v>239</v>
      </c>
      <c r="Q1356" s="629" t="s">
        <v>276</v>
      </c>
      <c r="R1356" s="578" t="s">
        <v>1258</v>
      </c>
      <c r="S1356" s="578" t="s">
        <v>8282</v>
      </c>
      <c r="T1356" s="578" t="s">
        <v>8283</v>
      </c>
      <c r="U1356" s="578">
        <v>11</v>
      </c>
      <c r="V1356" s="577" t="s">
        <v>14</v>
      </c>
      <c r="W1356" s="577" t="s">
        <v>98</v>
      </c>
      <c r="X1356" s="578" t="s">
        <v>207</v>
      </c>
      <c r="Y1356" s="582">
        <v>15570</v>
      </c>
      <c r="Z1356" s="583">
        <v>15394</v>
      </c>
      <c r="AA1356" s="578" t="s">
        <v>276</v>
      </c>
      <c r="AB1356" s="578" t="s">
        <v>276</v>
      </c>
      <c r="AC1356" s="588">
        <f>2.24*Y1356/1000</f>
        <v>34.876800000000003</v>
      </c>
      <c r="AD1356" s="630" t="s">
        <v>2797</v>
      </c>
      <c r="AE1356" s="588">
        <f t="shared" si="411"/>
        <v>57.111739999999998</v>
      </c>
      <c r="AF1356" s="577" t="s">
        <v>2797</v>
      </c>
      <c r="AG1356" s="578" t="s">
        <v>8367</v>
      </c>
      <c r="AH1356" s="578" t="s">
        <v>6506</v>
      </c>
      <c r="AI1356" s="583" t="s">
        <v>276</v>
      </c>
      <c r="AJ1356" s="583" t="s">
        <v>276</v>
      </c>
      <c r="AK1356" s="582">
        <v>15570</v>
      </c>
      <c r="AL1356" s="583">
        <v>15394</v>
      </c>
      <c r="AM1356" s="583" t="s">
        <v>2047</v>
      </c>
      <c r="AN1356" s="585">
        <v>7.33</v>
      </c>
      <c r="AO1356" s="586" t="s">
        <v>98</v>
      </c>
      <c r="AP1356" s="577" t="s">
        <v>276</v>
      </c>
      <c r="AQ1356" s="577" t="s">
        <v>276</v>
      </c>
      <c r="AR1356" s="577">
        <v>7.98</v>
      </c>
      <c r="AS1356" s="586" t="s">
        <v>98</v>
      </c>
      <c r="AT1356" s="577" t="s">
        <v>276</v>
      </c>
      <c r="AU1356" s="577" t="s">
        <v>276</v>
      </c>
      <c r="AV1356" s="577" t="s">
        <v>268</v>
      </c>
      <c r="AW1356" s="631" t="s">
        <v>276</v>
      </c>
      <c r="AX1356" s="632">
        <f t="shared" si="410"/>
        <v>0.91854636591478689</v>
      </c>
      <c r="AY1356" s="578" t="s">
        <v>276</v>
      </c>
      <c r="AZ1356" s="578" t="s">
        <v>276</v>
      </c>
      <c r="BA1356" s="631" t="s">
        <v>276</v>
      </c>
      <c r="BB1356" s="578" t="s">
        <v>282</v>
      </c>
      <c r="BC1356" s="578" t="s">
        <v>276</v>
      </c>
      <c r="BD1356" s="578" t="s">
        <v>276</v>
      </c>
      <c r="BE1356" s="578" t="s">
        <v>276</v>
      </c>
      <c r="BF1356" s="578" t="s">
        <v>2051</v>
      </c>
      <c r="BG1356" s="578" t="s">
        <v>8361</v>
      </c>
      <c r="BH1356" s="9" t="s">
        <v>100</v>
      </c>
      <c r="BI1356" s="9" t="s">
        <v>100</v>
      </c>
      <c r="BJ1356" s="109"/>
      <c r="BN1356" s="109"/>
      <c r="BO1356" s="109"/>
    </row>
    <row r="1357" spans="1:67" s="110" customFormat="1" ht="52" hidden="1" x14ac:dyDescent="0.35">
      <c r="A1357" s="577">
        <v>7915</v>
      </c>
      <c r="B1357" s="577" t="s">
        <v>8278</v>
      </c>
      <c r="C1357" s="577" t="s">
        <v>55</v>
      </c>
      <c r="D1357" s="578" t="s">
        <v>8368</v>
      </c>
      <c r="E1357" s="577" t="s">
        <v>36</v>
      </c>
      <c r="F1357" s="577" t="s">
        <v>8265</v>
      </c>
      <c r="G1357" s="577" t="s">
        <v>225</v>
      </c>
      <c r="H1357" s="577" t="s">
        <v>125</v>
      </c>
      <c r="I1357" s="577" t="s">
        <v>114</v>
      </c>
      <c r="J1357" s="578" t="s">
        <v>28</v>
      </c>
      <c r="K1357" s="577" t="s">
        <v>6742</v>
      </c>
      <c r="L1357" s="577" t="s">
        <v>8332</v>
      </c>
      <c r="M1357" s="577" t="s">
        <v>276</v>
      </c>
      <c r="N1357" s="578" t="s">
        <v>8359</v>
      </c>
      <c r="O1357" s="578" t="s">
        <v>276</v>
      </c>
      <c r="P1357" s="578" t="s">
        <v>239</v>
      </c>
      <c r="Q1357" s="629" t="s">
        <v>276</v>
      </c>
      <c r="R1357" s="578" t="s">
        <v>1258</v>
      </c>
      <c r="S1357" s="578" t="s">
        <v>8291</v>
      </c>
      <c r="T1357" s="578" t="s">
        <v>8283</v>
      </c>
      <c r="U1357" s="578">
        <v>6</v>
      </c>
      <c r="V1357" s="577" t="s">
        <v>14</v>
      </c>
      <c r="W1357" s="577" t="s">
        <v>98</v>
      </c>
      <c r="X1357" s="578" t="s">
        <v>207</v>
      </c>
      <c r="Y1357" s="582">
        <v>15587</v>
      </c>
      <c r="Z1357" s="583">
        <v>15394</v>
      </c>
      <c r="AA1357" s="578" t="s">
        <v>276</v>
      </c>
      <c r="AB1357" s="578" t="s">
        <v>276</v>
      </c>
      <c r="AC1357" s="588">
        <f>3.01*Y1357/1000</f>
        <v>46.916869999999996</v>
      </c>
      <c r="AD1357" s="630" t="s">
        <v>2797</v>
      </c>
      <c r="AE1357" s="588">
        <f t="shared" si="411"/>
        <v>57.111739999999998</v>
      </c>
      <c r="AF1357" s="577" t="s">
        <v>2797</v>
      </c>
      <c r="AG1357" s="578" t="s">
        <v>8367</v>
      </c>
      <c r="AH1357" s="578" t="s">
        <v>6506</v>
      </c>
      <c r="AI1357" s="583" t="s">
        <v>276</v>
      </c>
      <c r="AJ1357" s="583" t="s">
        <v>276</v>
      </c>
      <c r="AK1357" s="582">
        <v>15587</v>
      </c>
      <c r="AL1357" s="583">
        <v>15394</v>
      </c>
      <c r="AM1357" s="583" t="s">
        <v>2047</v>
      </c>
      <c r="AN1357" s="585">
        <v>8.5399999999999991</v>
      </c>
      <c r="AO1357" s="586" t="s">
        <v>98</v>
      </c>
      <c r="AP1357" s="577" t="s">
        <v>276</v>
      </c>
      <c r="AQ1357" s="577" t="s">
        <v>276</v>
      </c>
      <c r="AR1357" s="577">
        <v>7.98</v>
      </c>
      <c r="AS1357" s="586" t="s">
        <v>98</v>
      </c>
      <c r="AT1357" s="577" t="s">
        <v>276</v>
      </c>
      <c r="AU1357" s="577" t="s">
        <v>276</v>
      </c>
      <c r="AV1357" s="577" t="s">
        <v>268</v>
      </c>
      <c r="AW1357" s="631" t="s">
        <v>276</v>
      </c>
      <c r="AX1357" s="632">
        <f t="shared" si="410"/>
        <v>1.070175438596491</v>
      </c>
      <c r="AY1357" s="578" t="s">
        <v>276</v>
      </c>
      <c r="AZ1357" s="578" t="s">
        <v>276</v>
      </c>
      <c r="BA1357" s="631" t="s">
        <v>276</v>
      </c>
      <c r="BB1357" s="578" t="s">
        <v>282</v>
      </c>
      <c r="BC1357" s="578" t="s">
        <v>276</v>
      </c>
      <c r="BD1357" s="578" t="s">
        <v>276</v>
      </c>
      <c r="BE1357" s="578" t="s">
        <v>276</v>
      </c>
      <c r="BF1357" s="578" t="s">
        <v>2051</v>
      </c>
      <c r="BG1357" s="578" t="s">
        <v>8361</v>
      </c>
      <c r="BH1357" s="9" t="s">
        <v>100</v>
      </c>
      <c r="BI1357" s="9" t="s">
        <v>100</v>
      </c>
      <c r="BJ1357" s="109"/>
      <c r="BN1357" s="109"/>
      <c r="BO1357" s="109"/>
    </row>
    <row r="1358" spans="1:67" s="124" customFormat="1" ht="52" hidden="1" x14ac:dyDescent="0.35">
      <c r="A1358" s="567">
        <v>7915</v>
      </c>
      <c r="B1358" s="567" t="s">
        <v>8278</v>
      </c>
      <c r="C1358" s="567" t="s">
        <v>55</v>
      </c>
      <c r="D1358" s="568" t="s">
        <v>8369</v>
      </c>
      <c r="E1358" s="567" t="s">
        <v>36</v>
      </c>
      <c r="F1358" s="567" t="s">
        <v>8265</v>
      </c>
      <c r="G1358" s="567" t="s">
        <v>225</v>
      </c>
      <c r="H1358" s="567" t="s">
        <v>125</v>
      </c>
      <c r="I1358" s="567" t="s">
        <v>114</v>
      </c>
      <c r="J1358" s="568" t="s">
        <v>28</v>
      </c>
      <c r="K1358" s="567" t="s">
        <v>7100</v>
      </c>
      <c r="L1358" s="567" t="s">
        <v>8332</v>
      </c>
      <c r="M1358" s="567" t="s">
        <v>276</v>
      </c>
      <c r="N1358" s="568" t="s">
        <v>8359</v>
      </c>
      <c r="O1358" s="568" t="s">
        <v>276</v>
      </c>
      <c r="P1358" s="568" t="s">
        <v>239</v>
      </c>
      <c r="Q1358" s="633" t="s">
        <v>276</v>
      </c>
      <c r="R1358" s="568" t="s">
        <v>1258</v>
      </c>
      <c r="S1358" s="568" t="s">
        <v>8282</v>
      </c>
      <c r="T1358" s="568" t="s">
        <v>8283</v>
      </c>
      <c r="U1358" s="568">
        <v>11</v>
      </c>
      <c r="V1358" s="567" t="s">
        <v>14</v>
      </c>
      <c r="W1358" s="567" t="s">
        <v>98</v>
      </c>
      <c r="X1358" s="568" t="s">
        <v>207</v>
      </c>
      <c r="Y1358" s="572">
        <v>15570</v>
      </c>
      <c r="Z1358" s="573">
        <v>15394</v>
      </c>
      <c r="AA1358" s="568" t="s">
        <v>276</v>
      </c>
      <c r="AB1358" s="568" t="s">
        <v>276</v>
      </c>
      <c r="AC1358" s="587">
        <f>2.24*Y1358/1000</f>
        <v>34.876800000000003</v>
      </c>
      <c r="AD1358" s="634" t="s">
        <v>2797</v>
      </c>
      <c r="AE1358" s="587">
        <f t="shared" si="411"/>
        <v>57.111739999999998</v>
      </c>
      <c r="AF1358" s="567" t="s">
        <v>2797</v>
      </c>
      <c r="AG1358" s="568" t="s">
        <v>8370</v>
      </c>
      <c r="AH1358" s="568" t="s">
        <v>6506</v>
      </c>
      <c r="AI1358" s="573" t="s">
        <v>276</v>
      </c>
      <c r="AJ1358" s="573" t="s">
        <v>276</v>
      </c>
      <c r="AK1358" s="572">
        <v>15570</v>
      </c>
      <c r="AL1358" s="573">
        <v>15394</v>
      </c>
      <c r="AM1358" s="573" t="s">
        <v>2047</v>
      </c>
      <c r="AN1358" s="575">
        <v>2.89</v>
      </c>
      <c r="AO1358" s="576" t="s">
        <v>98</v>
      </c>
      <c r="AP1358" s="567" t="s">
        <v>276</v>
      </c>
      <c r="AQ1358" s="567" t="s">
        <v>276</v>
      </c>
      <c r="AR1358" s="567">
        <v>5.53</v>
      </c>
      <c r="AS1358" s="576" t="s">
        <v>98</v>
      </c>
      <c r="AT1358" s="567" t="s">
        <v>276</v>
      </c>
      <c r="AU1358" s="567" t="s">
        <v>276</v>
      </c>
      <c r="AV1358" s="567" t="s">
        <v>268</v>
      </c>
      <c r="AW1358" s="635">
        <f>1-0.47</f>
        <v>0.53</v>
      </c>
      <c r="AX1358" s="636">
        <f t="shared" si="410"/>
        <v>0.52260397830018079</v>
      </c>
      <c r="AY1358" s="568" t="s">
        <v>276</v>
      </c>
      <c r="AZ1358" s="568" t="s">
        <v>276</v>
      </c>
      <c r="BA1358" s="568" t="s">
        <v>844</v>
      </c>
      <c r="BB1358" s="568" t="s">
        <v>282</v>
      </c>
      <c r="BC1358" s="568" t="s">
        <v>276</v>
      </c>
      <c r="BD1358" s="568" t="s">
        <v>276</v>
      </c>
      <c r="BE1358" s="568" t="s">
        <v>276</v>
      </c>
      <c r="BF1358" s="568" t="s">
        <v>8371</v>
      </c>
      <c r="BG1358" s="568" t="s">
        <v>8361</v>
      </c>
      <c r="BH1358" s="9" t="s">
        <v>100</v>
      </c>
      <c r="BI1358" s="9" t="s">
        <v>100</v>
      </c>
      <c r="BJ1358" s="123"/>
      <c r="BN1358" s="123"/>
      <c r="BO1358" s="123"/>
    </row>
    <row r="1359" spans="1:67" s="124" customFormat="1" ht="52" hidden="1" x14ac:dyDescent="0.35">
      <c r="A1359" s="567">
        <v>7915</v>
      </c>
      <c r="B1359" s="567" t="s">
        <v>8278</v>
      </c>
      <c r="C1359" s="567" t="s">
        <v>55</v>
      </c>
      <c r="D1359" s="568" t="s">
        <v>8372</v>
      </c>
      <c r="E1359" s="567" t="s">
        <v>36</v>
      </c>
      <c r="F1359" s="567" t="s">
        <v>8265</v>
      </c>
      <c r="G1359" s="567" t="s">
        <v>225</v>
      </c>
      <c r="H1359" s="567" t="s">
        <v>125</v>
      </c>
      <c r="I1359" s="567" t="s">
        <v>114</v>
      </c>
      <c r="J1359" s="568" t="s">
        <v>28</v>
      </c>
      <c r="K1359" s="567" t="s">
        <v>7100</v>
      </c>
      <c r="L1359" s="567" t="s">
        <v>8332</v>
      </c>
      <c r="M1359" s="567" t="s">
        <v>276</v>
      </c>
      <c r="N1359" s="568" t="s">
        <v>8359</v>
      </c>
      <c r="O1359" s="568" t="s">
        <v>276</v>
      </c>
      <c r="P1359" s="568" t="s">
        <v>239</v>
      </c>
      <c r="Q1359" s="633" t="s">
        <v>276</v>
      </c>
      <c r="R1359" s="568" t="s">
        <v>1258</v>
      </c>
      <c r="S1359" s="568" t="s">
        <v>8291</v>
      </c>
      <c r="T1359" s="568" t="s">
        <v>8283</v>
      </c>
      <c r="U1359" s="568">
        <v>6</v>
      </c>
      <c r="V1359" s="567" t="s">
        <v>14</v>
      </c>
      <c r="W1359" s="567" t="s">
        <v>98</v>
      </c>
      <c r="X1359" s="568" t="s">
        <v>207</v>
      </c>
      <c r="Y1359" s="572">
        <v>15587</v>
      </c>
      <c r="Z1359" s="573">
        <v>15394</v>
      </c>
      <c r="AA1359" s="568" t="s">
        <v>276</v>
      </c>
      <c r="AB1359" s="568" t="s">
        <v>276</v>
      </c>
      <c r="AC1359" s="587">
        <f>3.01*Y1359/1000</f>
        <v>46.916869999999996</v>
      </c>
      <c r="AD1359" s="634" t="s">
        <v>2797</v>
      </c>
      <c r="AE1359" s="587">
        <f t="shared" si="411"/>
        <v>57.111739999999998</v>
      </c>
      <c r="AF1359" s="567" t="s">
        <v>2797</v>
      </c>
      <c r="AG1359" s="568" t="s">
        <v>8370</v>
      </c>
      <c r="AH1359" s="568" t="s">
        <v>6506</v>
      </c>
      <c r="AI1359" s="573" t="s">
        <v>276</v>
      </c>
      <c r="AJ1359" s="573" t="s">
        <v>276</v>
      </c>
      <c r="AK1359" s="572">
        <v>15587</v>
      </c>
      <c r="AL1359" s="573">
        <v>15394</v>
      </c>
      <c r="AM1359" s="573" t="s">
        <v>2047</v>
      </c>
      <c r="AN1359" s="575">
        <v>3.73</v>
      </c>
      <c r="AO1359" s="576" t="s">
        <v>98</v>
      </c>
      <c r="AP1359" s="567" t="s">
        <v>276</v>
      </c>
      <c r="AQ1359" s="567" t="s">
        <v>276</v>
      </c>
      <c r="AR1359" s="567">
        <v>5.53</v>
      </c>
      <c r="AS1359" s="576" t="s">
        <v>98</v>
      </c>
      <c r="AT1359" s="567" t="s">
        <v>276</v>
      </c>
      <c r="AU1359" s="567" t="s">
        <v>276</v>
      </c>
      <c r="AV1359" s="567" t="s">
        <v>268</v>
      </c>
      <c r="AW1359" s="635">
        <f>1-0.32</f>
        <v>0.67999999999999994</v>
      </c>
      <c r="AX1359" s="636">
        <f t="shared" si="410"/>
        <v>0.67450271247739602</v>
      </c>
      <c r="AY1359" s="568" t="s">
        <v>276</v>
      </c>
      <c r="AZ1359" s="568" t="s">
        <v>276</v>
      </c>
      <c r="BA1359" s="568" t="s">
        <v>844</v>
      </c>
      <c r="BB1359" s="568" t="s">
        <v>282</v>
      </c>
      <c r="BC1359" s="568" t="s">
        <v>276</v>
      </c>
      <c r="BD1359" s="568" t="s">
        <v>276</v>
      </c>
      <c r="BE1359" s="568" t="s">
        <v>276</v>
      </c>
      <c r="BF1359" s="568" t="s">
        <v>8371</v>
      </c>
      <c r="BG1359" s="568" t="s">
        <v>8361</v>
      </c>
      <c r="BH1359" s="9" t="s">
        <v>100</v>
      </c>
      <c r="BI1359" s="9" t="s">
        <v>100</v>
      </c>
      <c r="BJ1359" s="123"/>
      <c r="BN1359" s="123"/>
      <c r="BO1359" s="123"/>
    </row>
    <row r="1360" spans="1:67" s="33" customFormat="1" ht="52" hidden="1" x14ac:dyDescent="0.35">
      <c r="A1360" s="8">
        <v>398</v>
      </c>
      <c r="B1360" s="8" t="s">
        <v>8373</v>
      </c>
      <c r="C1360" s="8" t="s">
        <v>83</v>
      </c>
      <c r="D1360" s="9" t="s">
        <v>8474</v>
      </c>
      <c r="E1360" s="8" t="s">
        <v>39</v>
      </c>
      <c r="F1360" s="8" t="s">
        <v>143</v>
      </c>
      <c r="G1360" s="8" t="s">
        <v>262</v>
      </c>
      <c r="H1360" s="8" t="s">
        <v>225</v>
      </c>
      <c r="I1360" s="8" t="s">
        <v>98</v>
      </c>
      <c r="J1360" s="9" t="s">
        <v>98</v>
      </c>
      <c r="K1360" s="8" t="s">
        <v>98</v>
      </c>
      <c r="L1360" s="8" t="s">
        <v>98</v>
      </c>
      <c r="M1360" s="8" t="s">
        <v>98</v>
      </c>
      <c r="N1360" s="9" t="s">
        <v>8475</v>
      </c>
      <c r="O1360" s="9" t="s">
        <v>8476</v>
      </c>
      <c r="P1360" s="9" t="s">
        <v>238</v>
      </c>
      <c r="Q1360" s="52" t="s">
        <v>276</v>
      </c>
      <c r="R1360" s="9" t="s">
        <v>276</v>
      </c>
      <c r="S1360" s="9" t="s">
        <v>276</v>
      </c>
      <c r="T1360" s="9" t="s">
        <v>276</v>
      </c>
      <c r="U1360" s="9">
        <v>3</v>
      </c>
      <c r="V1360" s="8" t="s">
        <v>14</v>
      </c>
      <c r="W1360" s="8" t="s">
        <v>98</v>
      </c>
      <c r="X1360" s="9" t="s">
        <v>208</v>
      </c>
      <c r="Y1360" s="13">
        <v>26722</v>
      </c>
      <c r="Z1360" s="9">
        <v>26732</v>
      </c>
      <c r="AA1360" s="9" t="s">
        <v>276</v>
      </c>
      <c r="AB1360" s="9" t="s">
        <v>276</v>
      </c>
      <c r="AC1360" s="9" t="s">
        <v>276</v>
      </c>
      <c r="AD1360" s="9" t="s">
        <v>276</v>
      </c>
      <c r="AE1360" s="9" t="s">
        <v>276</v>
      </c>
      <c r="AF1360" s="9" t="s">
        <v>276</v>
      </c>
      <c r="AG1360" s="9" t="s">
        <v>8477</v>
      </c>
      <c r="AH1360" s="9" t="s">
        <v>866</v>
      </c>
      <c r="AI1360" s="38">
        <v>649</v>
      </c>
      <c r="AJ1360" s="38">
        <v>279</v>
      </c>
      <c r="AK1360" s="38">
        <v>26722</v>
      </c>
      <c r="AL1360" s="38">
        <v>26732</v>
      </c>
      <c r="AM1360" s="38" t="s">
        <v>292</v>
      </c>
      <c r="AN1360" s="8" t="s">
        <v>276</v>
      </c>
      <c r="AO1360" s="31">
        <f t="shared" ref="AO1360:AO1405" si="412">AI1360*100/AK1360</f>
        <v>2.4287104258663272</v>
      </c>
      <c r="AP1360" s="8" t="s">
        <v>276</v>
      </c>
      <c r="AQ1360" s="8" t="s">
        <v>276</v>
      </c>
      <c r="AR1360" s="8" t="s">
        <v>276</v>
      </c>
      <c r="AS1360" s="31">
        <f t="shared" ref="AS1360:AS1405" si="413">AJ1360*100/AL1360</f>
        <v>1.043692952266946</v>
      </c>
      <c r="AT1360" s="8" t="s">
        <v>276</v>
      </c>
      <c r="AU1360" s="8" t="s">
        <v>276</v>
      </c>
      <c r="AV1360" s="9" t="s">
        <v>268</v>
      </c>
      <c r="AW1360" s="40" t="s">
        <v>276</v>
      </c>
      <c r="AX1360" s="40">
        <f t="shared" ref="AX1360:AX1424" si="414">AO1360/AS1360</f>
        <v>2.3270353800809556</v>
      </c>
      <c r="AY1360" s="9" t="s">
        <v>276</v>
      </c>
      <c r="AZ1360" s="9" t="s">
        <v>276</v>
      </c>
      <c r="BA1360" s="9" t="s">
        <v>276</v>
      </c>
      <c r="BB1360" s="9" t="s">
        <v>282</v>
      </c>
      <c r="BC1360" s="9" t="s">
        <v>276</v>
      </c>
      <c r="BD1360" s="9" t="s">
        <v>276</v>
      </c>
      <c r="BE1360" s="9" t="s">
        <v>276</v>
      </c>
      <c r="BF1360" s="9" t="s">
        <v>8478</v>
      </c>
      <c r="BG1360" s="9"/>
      <c r="BH1360" s="9" t="s">
        <v>100</v>
      </c>
      <c r="BI1360" s="9" t="s">
        <v>100</v>
      </c>
      <c r="BJ1360" s="32"/>
      <c r="BN1360" s="32"/>
      <c r="BO1360" s="32"/>
    </row>
    <row r="1361" spans="1:67" s="33" customFormat="1" ht="104" hidden="1" x14ac:dyDescent="0.35">
      <c r="A1361" s="8">
        <v>398</v>
      </c>
      <c r="B1361" s="8" t="s">
        <v>8373</v>
      </c>
      <c r="C1361" s="8" t="s">
        <v>83</v>
      </c>
      <c r="D1361" s="9" t="s">
        <v>8479</v>
      </c>
      <c r="E1361" s="8" t="s">
        <v>39</v>
      </c>
      <c r="F1361" s="8" t="s">
        <v>143</v>
      </c>
      <c r="G1361" s="8" t="s">
        <v>262</v>
      </c>
      <c r="H1361" s="8" t="s">
        <v>225</v>
      </c>
      <c r="I1361" s="8" t="s">
        <v>98</v>
      </c>
      <c r="J1361" s="9" t="s">
        <v>98</v>
      </c>
      <c r="K1361" s="8" t="s">
        <v>98</v>
      </c>
      <c r="L1361" s="8" t="s">
        <v>98</v>
      </c>
      <c r="M1361" s="8" t="s">
        <v>98</v>
      </c>
      <c r="N1361" s="9" t="s">
        <v>8475</v>
      </c>
      <c r="O1361" s="9" t="s">
        <v>8476</v>
      </c>
      <c r="P1361" s="9" t="s">
        <v>236</v>
      </c>
      <c r="Q1361" s="52">
        <v>40178</v>
      </c>
      <c r="R1361" s="9" t="s">
        <v>276</v>
      </c>
      <c r="S1361" s="9" t="s">
        <v>8385</v>
      </c>
      <c r="T1361" s="9" t="s">
        <v>8385</v>
      </c>
      <c r="U1361" s="9">
        <v>3</v>
      </c>
      <c r="V1361" s="8" t="s">
        <v>14</v>
      </c>
      <c r="W1361" s="8" t="s">
        <v>98</v>
      </c>
      <c r="X1361" s="9" t="s">
        <v>208</v>
      </c>
      <c r="Y1361" s="13" t="s">
        <v>98</v>
      </c>
      <c r="Z1361" s="9" t="s">
        <v>98</v>
      </c>
      <c r="AA1361" s="9" t="s">
        <v>276</v>
      </c>
      <c r="AB1361" s="9" t="s">
        <v>276</v>
      </c>
      <c r="AC1361" s="9" t="s">
        <v>276</v>
      </c>
      <c r="AD1361" s="9" t="s">
        <v>276</v>
      </c>
      <c r="AE1361" s="9" t="s">
        <v>276</v>
      </c>
      <c r="AF1361" s="9" t="s">
        <v>276</v>
      </c>
      <c r="AG1361" s="9" t="s">
        <v>8477</v>
      </c>
      <c r="AH1361" s="9" t="s">
        <v>8480</v>
      </c>
      <c r="AI1361" s="38">
        <v>649</v>
      </c>
      <c r="AJ1361" s="38">
        <v>279</v>
      </c>
      <c r="AK1361" s="38">
        <v>1060</v>
      </c>
      <c r="AL1361" s="38">
        <v>941</v>
      </c>
      <c r="AM1361" s="38" t="s">
        <v>292</v>
      </c>
      <c r="AN1361" s="8" t="s">
        <v>276</v>
      </c>
      <c r="AO1361" s="14">
        <f t="shared" si="412"/>
        <v>61.226415094339622</v>
      </c>
      <c r="AP1361" s="8" t="s">
        <v>276</v>
      </c>
      <c r="AQ1361" s="8" t="s">
        <v>276</v>
      </c>
      <c r="AR1361" s="8" t="s">
        <v>276</v>
      </c>
      <c r="AS1361" s="14">
        <f t="shared" si="413"/>
        <v>29.649309245483529</v>
      </c>
      <c r="AT1361" s="8" t="s">
        <v>276</v>
      </c>
      <c r="AU1361" s="8" t="s">
        <v>276</v>
      </c>
      <c r="AV1361" s="9" t="s">
        <v>268</v>
      </c>
      <c r="AW1361" s="40" t="s">
        <v>276</v>
      </c>
      <c r="AX1361" s="40">
        <f t="shared" si="414"/>
        <v>2.0650199499560422</v>
      </c>
      <c r="AY1361" s="9" t="s">
        <v>276</v>
      </c>
      <c r="AZ1361" s="9" t="s">
        <v>276</v>
      </c>
      <c r="BA1361" s="9" t="s">
        <v>276</v>
      </c>
      <c r="BB1361" s="9" t="s">
        <v>282</v>
      </c>
      <c r="BC1361" s="9" t="s">
        <v>276</v>
      </c>
      <c r="BD1361" s="9" t="s">
        <v>276</v>
      </c>
      <c r="BE1361" s="9" t="s">
        <v>276</v>
      </c>
      <c r="BF1361" s="9" t="s">
        <v>8481</v>
      </c>
      <c r="BG1361" s="9"/>
      <c r="BH1361" s="9" t="s">
        <v>100</v>
      </c>
      <c r="BI1361" s="9" t="s">
        <v>100</v>
      </c>
      <c r="BJ1361" s="32"/>
      <c r="BN1361" s="32"/>
      <c r="BO1361" s="32"/>
    </row>
    <row r="1362" spans="1:67" s="299" customFormat="1" ht="52" hidden="1" x14ac:dyDescent="0.35">
      <c r="A1362" s="291">
        <v>398</v>
      </c>
      <c r="B1362" s="291" t="s">
        <v>8373</v>
      </c>
      <c r="C1362" s="291" t="s">
        <v>83</v>
      </c>
      <c r="D1362" s="292" t="s">
        <v>8482</v>
      </c>
      <c r="E1362" s="291" t="s">
        <v>39</v>
      </c>
      <c r="F1362" s="291" t="s">
        <v>143</v>
      </c>
      <c r="G1362" s="291" t="s">
        <v>262</v>
      </c>
      <c r="H1362" s="291" t="s">
        <v>225</v>
      </c>
      <c r="I1362" s="291" t="s">
        <v>98</v>
      </c>
      <c r="J1362" s="292" t="s">
        <v>25</v>
      </c>
      <c r="K1362" s="291" t="s">
        <v>930</v>
      </c>
      <c r="L1362" s="291" t="s">
        <v>276</v>
      </c>
      <c r="M1362" s="291" t="s">
        <v>276</v>
      </c>
      <c r="N1362" s="292" t="s">
        <v>8475</v>
      </c>
      <c r="O1362" s="292" t="s">
        <v>8476</v>
      </c>
      <c r="P1362" s="292" t="s">
        <v>239</v>
      </c>
      <c r="Q1362" s="293">
        <v>40178</v>
      </c>
      <c r="R1362" s="292" t="s">
        <v>276</v>
      </c>
      <c r="S1362" s="292" t="s">
        <v>8385</v>
      </c>
      <c r="T1362" s="292" t="s">
        <v>8385</v>
      </c>
      <c r="U1362" s="292">
        <v>3</v>
      </c>
      <c r="V1362" s="291" t="s">
        <v>14</v>
      </c>
      <c r="W1362" s="291" t="s">
        <v>98</v>
      </c>
      <c r="X1362" s="292" t="s">
        <v>208</v>
      </c>
      <c r="Y1362" s="294">
        <v>26722</v>
      </c>
      <c r="Z1362" s="292">
        <v>26732</v>
      </c>
      <c r="AA1362" s="292" t="s">
        <v>276</v>
      </c>
      <c r="AB1362" s="292" t="s">
        <v>276</v>
      </c>
      <c r="AC1362" s="291">
        <f t="shared" ref="AC1362:AC1373" si="415">1060-1040</f>
        <v>20</v>
      </c>
      <c r="AD1362" s="291" t="s">
        <v>968</v>
      </c>
      <c r="AE1362" s="291">
        <f t="shared" ref="AE1362:AE1373" si="416">941-929</f>
        <v>12</v>
      </c>
      <c r="AF1362" s="291" t="s">
        <v>968</v>
      </c>
      <c r="AG1362" s="292" t="s">
        <v>8483</v>
      </c>
      <c r="AH1362" s="292" t="s">
        <v>866</v>
      </c>
      <c r="AI1362" s="295">
        <v>416</v>
      </c>
      <c r="AJ1362" s="295">
        <v>196</v>
      </c>
      <c r="AK1362" s="295">
        <v>26722</v>
      </c>
      <c r="AL1362" s="295">
        <v>26732</v>
      </c>
      <c r="AM1362" s="295" t="s">
        <v>292</v>
      </c>
      <c r="AN1362" s="291" t="s">
        <v>276</v>
      </c>
      <c r="AO1362" s="296">
        <f t="shared" si="412"/>
        <v>1.5567697028665519</v>
      </c>
      <c r="AP1362" s="291" t="s">
        <v>276</v>
      </c>
      <c r="AQ1362" s="291" t="s">
        <v>276</v>
      </c>
      <c r="AR1362" s="291" t="s">
        <v>276</v>
      </c>
      <c r="AS1362" s="296">
        <f t="shared" si="413"/>
        <v>0.73320365105491547</v>
      </c>
      <c r="AT1362" s="291" t="s">
        <v>276</v>
      </c>
      <c r="AU1362" s="291" t="s">
        <v>276</v>
      </c>
      <c r="AV1362" s="292" t="s">
        <v>268</v>
      </c>
      <c r="AW1362" s="297" t="s">
        <v>276</v>
      </c>
      <c r="AX1362" s="297">
        <f t="shared" si="414"/>
        <v>2.1232432498484011</v>
      </c>
      <c r="AY1362" s="292" t="s">
        <v>276</v>
      </c>
      <c r="AZ1362" s="292" t="s">
        <v>276</v>
      </c>
      <c r="BA1362" s="292" t="s">
        <v>276</v>
      </c>
      <c r="BB1362" s="292" t="s">
        <v>282</v>
      </c>
      <c r="BC1362" s="292" t="s">
        <v>276</v>
      </c>
      <c r="BD1362" s="292" t="s">
        <v>276</v>
      </c>
      <c r="BE1362" s="292" t="s">
        <v>276</v>
      </c>
      <c r="BF1362" s="292" t="s">
        <v>1020</v>
      </c>
      <c r="BG1362" s="292"/>
      <c r="BH1362" s="9" t="s">
        <v>100</v>
      </c>
      <c r="BI1362" s="9" t="s">
        <v>100</v>
      </c>
      <c r="BJ1362" s="298"/>
      <c r="BN1362" s="298"/>
      <c r="BO1362" s="298"/>
    </row>
    <row r="1363" spans="1:67" s="299" customFormat="1" ht="52" hidden="1" x14ac:dyDescent="0.35">
      <c r="A1363" s="291">
        <v>398</v>
      </c>
      <c r="B1363" s="291" t="s">
        <v>8373</v>
      </c>
      <c r="C1363" s="291" t="s">
        <v>83</v>
      </c>
      <c r="D1363" s="292" t="s">
        <v>8484</v>
      </c>
      <c r="E1363" s="291" t="s">
        <v>39</v>
      </c>
      <c r="F1363" s="291" t="s">
        <v>143</v>
      </c>
      <c r="G1363" s="291" t="s">
        <v>262</v>
      </c>
      <c r="H1363" s="291" t="s">
        <v>225</v>
      </c>
      <c r="I1363" s="291" t="s">
        <v>98</v>
      </c>
      <c r="J1363" s="292" t="s">
        <v>25</v>
      </c>
      <c r="K1363" s="291" t="s">
        <v>934</v>
      </c>
      <c r="L1363" s="291" t="s">
        <v>276</v>
      </c>
      <c r="M1363" s="291" t="s">
        <v>276</v>
      </c>
      <c r="N1363" s="292" t="s">
        <v>8475</v>
      </c>
      <c r="O1363" s="292" t="s">
        <v>8476</v>
      </c>
      <c r="P1363" s="292" t="s">
        <v>239</v>
      </c>
      <c r="Q1363" s="293">
        <v>40178</v>
      </c>
      <c r="R1363" s="292" t="s">
        <v>276</v>
      </c>
      <c r="S1363" s="292" t="s">
        <v>8385</v>
      </c>
      <c r="T1363" s="292" t="s">
        <v>8385</v>
      </c>
      <c r="U1363" s="292">
        <v>3</v>
      </c>
      <c r="V1363" s="291" t="s">
        <v>14</v>
      </c>
      <c r="W1363" s="291" t="s">
        <v>98</v>
      </c>
      <c r="X1363" s="292" t="s">
        <v>208</v>
      </c>
      <c r="Y1363" s="294">
        <v>26722</v>
      </c>
      <c r="Z1363" s="292">
        <v>26732</v>
      </c>
      <c r="AA1363" s="292" t="s">
        <v>276</v>
      </c>
      <c r="AB1363" s="292" t="s">
        <v>276</v>
      </c>
      <c r="AC1363" s="291">
        <f t="shared" si="415"/>
        <v>20</v>
      </c>
      <c r="AD1363" s="291" t="s">
        <v>968</v>
      </c>
      <c r="AE1363" s="291">
        <f t="shared" si="416"/>
        <v>12</v>
      </c>
      <c r="AF1363" s="291" t="s">
        <v>968</v>
      </c>
      <c r="AG1363" s="292" t="s">
        <v>8485</v>
      </c>
      <c r="AH1363" s="292" t="s">
        <v>866</v>
      </c>
      <c r="AI1363" s="295">
        <v>104</v>
      </c>
      <c r="AJ1363" s="295">
        <v>93</v>
      </c>
      <c r="AK1363" s="295">
        <v>26722</v>
      </c>
      <c r="AL1363" s="295">
        <v>26732</v>
      </c>
      <c r="AM1363" s="295" t="s">
        <v>292</v>
      </c>
      <c r="AN1363" s="291" t="s">
        <v>276</v>
      </c>
      <c r="AO1363" s="296">
        <f t="shared" si="412"/>
        <v>0.38919242571663798</v>
      </c>
      <c r="AP1363" s="291" t="s">
        <v>276</v>
      </c>
      <c r="AQ1363" s="291" t="s">
        <v>276</v>
      </c>
      <c r="AR1363" s="291" t="s">
        <v>276</v>
      </c>
      <c r="AS1363" s="296">
        <f t="shared" si="413"/>
        <v>0.34789765075564866</v>
      </c>
      <c r="AT1363" s="291" t="s">
        <v>276</v>
      </c>
      <c r="AU1363" s="291" t="s">
        <v>276</v>
      </c>
      <c r="AV1363" s="292" t="s">
        <v>268</v>
      </c>
      <c r="AW1363" s="297" t="s">
        <v>276</v>
      </c>
      <c r="AX1363" s="297">
        <f t="shared" si="414"/>
        <v>1.1186980563717384</v>
      </c>
      <c r="AY1363" s="292" t="s">
        <v>276</v>
      </c>
      <c r="AZ1363" s="292" t="s">
        <v>276</v>
      </c>
      <c r="BA1363" s="292" t="s">
        <v>276</v>
      </c>
      <c r="BB1363" s="292" t="s">
        <v>282</v>
      </c>
      <c r="BC1363" s="292" t="s">
        <v>276</v>
      </c>
      <c r="BD1363" s="292" t="s">
        <v>276</v>
      </c>
      <c r="BE1363" s="292" t="s">
        <v>276</v>
      </c>
      <c r="BF1363" s="292" t="s">
        <v>1020</v>
      </c>
      <c r="BG1363" s="292"/>
      <c r="BH1363" s="9" t="s">
        <v>100</v>
      </c>
      <c r="BI1363" s="9" t="s">
        <v>100</v>
      </c>
      <c r="BJ1363" s="298"/>
      <c r="BN1363" s="298"/>
      <c r="BO1363" s="298"/>
    </row>
    <row r="1364" spans="1:67" s="299" customFormat="1" ht="52" hidden="1" x14ac:dyDescent="0.35">
      <c r="A1364" s="291">
        <v>398</v>
      </c>
      <c r="B1364" s="291" t="s">
        <v>8373</v>
      </c>
      <c r="C1364" s="291" t="s">
        <v>83</v>
      </c>
      <c r="D1364" s="292" t="s">
        <v>8486</v>
      </c>
      <c r="E1364" s="291" t="s">
        <v>39</v>
      </c>
      <c r="F1364" s="291" t="s">
        <v>143</v>
      </c>
      <c r="G1364" s="291" t="s">
        <v>262</v>
      </c>
      <c r="H1364" s="291" t="s">
        <v>225</v>
      </c>
      <c r="I1364" s="291" t="s">
        <v>98</v>
      </c>
      <c r="J1364" s="292" t="s">
        <v>25</v>
      </c>
      <c r="K1364" s="291" t="s">
        <v>300</v>
      </c>
      <c r="L1364" s="291" t="s">
        <v>276</v>
      </c>
      <c r="M1364" s="291" t="s">
        <v>276</v>
      </c>
      <c r="N1364" s="292" t="s">
        <v>8475</v>
      </c>
      <c r="O1364" s="292" t="s">
        <v>8476</v>
      </c>
      <c r="P1364" s="292" t="s">
        <v>239</v>
      </c>
      <c r="Q1364" s="293">
        <v>40178</v>
      </c>
      <c r="R1364" s="292" t="s">
        <v>276</v>
      </c>
      <c r="S1364" s="292" t="s">
        <v>8385</v>
      </c>
      <c r="T1364" s="292" t="s">
        <v>8385</v>
      </c>
      <c r="U1364" s="292">
        <v>3</v>
      </c>
      <c r="V1364" s="291" t="s">
        <v>14</v>
      </c>
      <c r="W1364" s="291" t="s">
        <v>98</v>
      </c>
      <c r="X1364" s="292" t="s">
        <v>208</v>
      </c>
      <c r="Y1364" s="294">
        <v>26722</v>
      </c>
      <c r="Z1364" s="292">
        <v>26732</v>
      </c>
      <c r="AA1364" s="292" t="s">
        <v>276</v>
      </c>
      <c r="AB1364" s="292" t="s">
        <v>276</v>
      </c>
      <c r="AC1364" s="291">
        <f t="shared" si="415"/>
        <v>20</v>
      </c>
      <c r="AD1364" s="291" t="s">
        <v>968</v>
      </c>
      <c r="AE1364" s="291">
        <f t="shared" si="416"/>
        <v>12</v>
      </c>
      <c r="AF1364" s="291" t="s">
        <v>968</v>
      </c>
      <c r="AG1364" s="292" t="s">
        <v>8487</v>
      </c>
      <c r="AH1364" s="292" t="s">
        <v>866</v>
      </c>
      <c r="AI1364" s="295">
        <f>AI1362+AI1363</f>
        <v>520</v>
      </c>
      <c r="AJ1364" s="295">
        <f>AJ1362+AJ1363</f>
        <v>289</v>
      </c>
      <c r="AK1364" s="295">
        <v>26722</v>
      </c>
      <c r="AL1364" s="295">
        <v>26732</v>
      </c>
      <c r="AM1364" s="295" t="s">
        <v>292</v>
      </c>
      <c r="AN1364" s="291" t="s">
        <v>276</v>
      </c>
      <c r="AO1364" s="296">
        <f t="shared" si="412"/>
        <v>1.9459621285831898</v>
      </c>
      <c r="AP1364" s="291" t="s">
        <v>276</v>
      </c>
      <c r="AQ1364" s="291" t="s">
        <v>276</v>
      </c>
      <c r="AR1364" s="291" t="s">
        <v>276</v>
      </c>
      <c r="AS1364" s="296">
        <f t="shared" si="413"/>
        <v>1.0811013018105642</v>
      </c>
      <c r="AT1364" s="291" t="s">
        <v>276</v>
      </c>
      <c r="AU1364" s="291" t="s">
        <v>276</v>
      </c>
      <c r="AV1364" s="292" t="s">
        <v>268</v>
      </c>
      <c r="AW1364" s="297" t="s">
        <v>276</v>
      </c>
      <c r="AX1364" s="297">
        <f t="shared" si="414"/>
        <v>1.799981301774596</v>
      </c>
      <c r="AY1364" s="292" t="s">
        <v>276</v>
      </c>
      <c r="AZ1364" s="292" t="s">
        <v>276</v>
      </c>
      <c r="BA1364" s="292" t="s">
        <v>276</v>
      </c>
      <c r="BB1364" s="292" t="s">
        <v>282</v>
      </c>
      <c r="BC1364" s="292" t="s">
        <v>276</v>
      </c>
      <c r="BD1364" s="292" t="s">
        <v>276</v>
      </c>
      <c r="BE1364" s="292" t="s">
        <v>276</v>
      </c>
      <c r="BF1364" s="292" t="s">
        <v>1020</v>
      </c>
      <c r="BG1364" s="292"/>
      <c r="BH1364" s="9" t="s">
        <v>100</v>
      </c>
      <c r="BI1364" s="9" t="s">
        <v>100</v>
      </c>
      <c r="BJ1364" s="298"/>
      <c r="BN1364" s="298"/>
      <c r="BO1364" s="298"/>
    </row>
    <row r="1365" spans="1:67" s="33" customFormat="1" ht="52" hidden="1" x14ac:dyDescent="0.35">
      <c r="A1365" s="8">
        <v>398</v>
      </c>
      <c r="B1365" s="8" t="s">
        <v>8373</v>
      </c>
      <c r="C1365" s="8" t="s">
        <v>83</v>
      </c>
      <c r="D1365" s="9" t="s">
        <v>8488</v>
      </c>
      <c r="E1365" s="8" t="s">
        <v>39</v>
      </c>
      <c r="F1365" s="8" t="s">
        <v>143</v>
      </c>
      <c r="G1365" s="8" t="s">
        <v>262</v>
      </c>
      <c r="H1365" s="8" t="s">
        <v>225</v>
      </c>
      <c r="I1365" s="8" t="s">
        <v>98</v>
      </c>
      <c r="J1365" s="9" t="s">
        <v>25</v>
      </c>
      <c r="K1365" s="8" t="s">
        <v>939</v>
      </c>
      <c r="L1365" s="8" t="s">
        <v>276</v>
      </c>
      <c r="M1365" s="8" t="s">
        <v>276</v>
      </c>
      <c r="N1365" s="9" t="s">
        <v>8475</v>
      </c>
      <c r="O1365" s="9" t="s">
        <v>8476</v>
      </c>
      <c r="P1365" s="9" t="s">
        <v>239</v>
      </c>
      <c r="Q1365" s="52">
        <v>40178</v>
      </c>
      <c r="R1365" s="9" t="s">
        <v>276</v>
      </c>
      <c r="S1365" s="9" t="s">
        <v>8385</v>
      </c>
      <c r="T1365" s="9" t="s">
        <v>8385</v>
      </c>
      <c r="U1365" s="9">
        <v>3</v>
      </c>
      <c r="V1365" s="8" t="s">
        <v>14</v>
      </c>
      <c r="W1365" s="8" t="s">
        <v>98</v>
      </c>
      <c r="X1365" s="9" t="s">
        <v>208</v>
      </c>
      <c r="Y1365" s="13">
        <v>26722</v>
      </c>
      <c r="Z1365" s="9">
        <v>26732</v>
      </c>
      <c r="AA1365" s="9" t="s">
        <v>276</v>
      </c>
      <c r="AB1365" s="9" t="s">
        <v>276</v>
      </c>
      <c r="AC1365" s="8">
        <f t="shared" si="415"/>
        <v>20</v>
      </c>
      <c r="AD1365" s="8" t="s">
        <v>968</v>
      </c>
      <c r="AE1365" s="8">
        <f t="shared" si="416"/>
        <v>12</v>
      </c>
      <c r="AF1365" s="8" t="s">
        <v>968</v>
      </c>
      <c r="AG1365" s="9" t="s">
        <v>8489</v>
      </c>
      <c r="AH1365" s="9" t="s">
        <v>866</v>
      </c>
      <c r="AI1365" s="38">
        <v>35</v>
      </c>
      <c r="AJ1365" s="38">
        <v>32</v>
      </c>
      <c r="AK1365" s="38">
        <v>26722</v>
      </c>
      <c r="AL1365" s="38">
        <v>26732</v>
      </c>
      <c r="AM1365" s="38" t="s">
        <v>292</v>
      </c>
      <c r="AN1365" s="8" t="s">
        <v>276</v>
      </c>
      <c r="AO1365" s="14">
        <f t="shared" si="412"/>
        <v>0.13097822019309932</v>
      </c>
      <c r="AP1365" s="8" t="s">
        <v>276</v>
      </c>
      <c r="AQ1365" s="8" t="s">
        <v>276</v>
      </c>
      <c r="AR1365" s="8" t="s">
        <v>276</v>
      </c>
      <c r="AS1365" s="14">
        <f t="shared" si="413"/>
        <v>0.11970671853957804</v>
      </c>
      <c r="AT1365" s="8" t="s">
        <v>276</v>
      </c>
      <c r="AU1365" s="8" t="s">
        <v>276</v>
      </c>
      <c r="AV1365" s="9" t="s">
        <v>268</v>
      </c>
      <c r="AW1365" s="40" t="s">
        <v>276</v>
      </c>
      <c r="AX1365" s="40">
        <f t="shared" si="414"/>
        <v>1.0941593069381035</v>
      </c>
      <c r="AY1365" s="9" t="s">
        <v>276</v>
      </c>
      <c r="AZ1365" s="9" t="s">
        <v>276</v>
      </c>
      <c r="BA1365" s="9" t="s">
        <v>276</v>
      </c>
      <c r="BB1365" s="9" t="s">
        <v>282</v>
      </c>
      <c r="BC1365" s="9" t="s">
        <v>276</v>
      </c>
      <c r="BD1365" s="9" t="s">
        <v>276</v>
      </c>
      <c r="BE1365" s="9" t="s">
        <v>276</v>
      </c>
      <c r="BF1365" s="9" t="s">
        <v>1020</v>
      </c>
      <c r="BG1365" s="9"/>
      <c r="BH1365" s="9" t="s">
        <v>100</v>
      </c>
      <c r="BI1365" s="9" t="s">
        <v>100</v>
      </c>
      <c r="BJ1365" s="32"/>
      <c r="BN1365" s="32"/>
      <c r="BO1365" s="32"/>
    </row>
    <row r="1366" spans="1:67" s="33" customFormat="1" ht="52" hidden="1" x14ac:dyDescent="0.35">
      <c r="A1366" s="8">
        <v>398</v>
      </c>
      <c r="B1366" s="8" t="s">
        <v>8373</v>
      </c>
      <c r="C1366" s="8" t="s">
        <v>83</v>
      </c>
      <c r="D1366" s="9" t="s">
        <v>8490</v>
      </c>
      <c r="E1366" s="8" t="s">
        <v>39</v>
      </c>
      <c r="F1366" s="8" t="s">
        <v>143</v>
      </c>
      <c r="G1366" s="8" t="s">
        <v>262</v>
      </c>
      <c r="H1366" s="8" t="s">
        <v>225</v>
      </c>
      <c r="I1366" s="8" t="s">
        <v>98</v>
      </c>
      <c r="J1366" s="9" t="s">
        <v>25</v>
      </c>
      <c r="K1366" s="8" t="s">
        <v>942</v>
      </c>
      <c r="L1366" s="8" t="s">
        <v>276</v>
      </c>
      <c r="M1366" s="8" t="s">
        <v>276</v>
      </c>
      <c r="N1366" s="9" t="s">
        <v>8475</v>
      </c>
      <c r="O1366" s="9" t="s">
        <v>8476</v>
      </c>
      <c r="P1366" s="9" t="s">
        <v>239</v>
      </c>
      <c r="Q1366" s="52">
        <v>40178</v>
      </c>
      <c r="R1366" s="9" t="s">
        <v>276</v>
      </c>
      <c r="S1366" s="9" t="s">
        <v>8385</v>
      </c>
      <c r="T1366" s="9" t="s">
        <v>8385</v>
      </c>
      <c r="U1366" s="9">
        <v>3</v>
      </c>
      <c r="V1366" s="8" t="s">
        <v>14</v>
      </c>
      <c r="W1366" s="8" t="s">
        <v>98</v>
      </c>
      <c r="X1366" s="9" t="s">
        <v>208</v>
      </c>
      <c r="Y1366" s="13">
        <v>26722</v>
      </c>
      <c r="Z1366" s="9">
        <v>26732</v>
      </c>
      <c r="AA1366" s="9" t="s">
        <v>276</v>
      </c>
      <c r="AB1366" s="9" t="s">
        <v>276</v>
      </c>
      <c r="AC1366" s="8">
        <f t="shared" si="415"/>
        <v>20</v>
      </c>
      <c r="AD1366" s="8" t="s">
        <v>968</v>
      </c>
      <c r="AE1366" s="8">
        <f t="shared" si="416"/>
        <v>12</v>
      </c>
      <c r="AF1366" s="8" t="s">
        <v>968</v>
      </c>
      <c r="AG1366" s="9" t="s">
        <v>8491</v>
      </c>
      <c r="AH1366" s="9" t="s">
        <v>866</v>
      </c>
      <c r="AI1366" s="38">
        <v>38</v>
      </c>
      <c r="AJ1366" s="38">
        <v>42</v>
      </c>
      <c r="AK1366" s="38">
        <v>26722</v>
      </c>
      <c r="AL1366" s="38">
        <v>26732</v>
      </c>
      <c r="AM1366" s="38" t="s">
        <v>292</v>
      </c>
      <c r="AN1366" s="8" t="s">
        <v>276</v>
      </c>
      <c r="AO1366" s="14">
        <f t="shared" si="412"/>
        <v>0.14220492478107927</v>
      </c>
      <c r="AP1366" s="8" t="s">
        <v>276</v>
      </c>
      <c r="AQ1366" s="8" t="s">
        <v>276</v>
      </c>
      <c r="AR1366" s="8" t="s">
        <v>276</v>
      </c>
      <c r="AS1366" s="14">
        <f t="shared" si="413"/>
        <v>0.15711506808319617</v>
      </c>
      <c r="AT1366" s="8" t="s">
        <v>276</v>
      </c>
      <c r="AU1366" s="8" t="s">
        <v>276</v>
      </c>
      <c r="AV1366" s="9" t="s">
        <v>268</v>
      </c>
      <c r="AW1366" s="40" t="s">
        <v>276</v>
      </c>
      <c r="AX1366" s="40">
        <f t="shared" si="414"/>
        <v>0.9051004879161455</v>
      </c>
      <c r="AY1366" s="9" t="s">
        <v>276</v>
      </c>
      <c r="AZ1366" s="9" t="s">
        <v>276</v>
      </c>
      <c r="BA1366" s="9" t="s">
        <v>276</v>
      </c>
      <c r="BB1366" s="9" t="s">
        <v>282</v>
      </c>
      <c r="BC1366" s="9" t="s">
        <v>276</v>
      </c>
      <c r="BD1366" s="9" t="s">
        <v>276</v>
      </c>
      <c r="BE1366" s="9" t="s">
        <v>276</v>
      </c>
      <c r="BF1366" s="9" t="s">
        <v>1020</v>
      </c>
      <c r="BG1366" s="9"/>
      <c r="BH1366" s="9" t="s">
        <v>100</v>
      </c>
      <c r="BI1366" s="9" t="s">
        <v>100</v>
      </c>
      <c r="BJ1366" s="32"/>
      <c r="BN1366" s="32"/>
      <c r="BO1366" s="32"/>
    </row>
    <row r="1367" spans="1:67" s="33" customFormat="1" ht="52" hidden="1" x14ac:dyDescent="0.35">
      <c r="A1367" s="8">
        <v>398</v>
      </c>
      <c r="B1367" s="8" t="s">
        <v>8373</v>
      </c>
      <c r="C1367" s="8" t="s">
        <v>83</v>
      </c>
      <c r="D1367" s="9" t="s">
        <v>8492</v>
      </c>
      <c r="E1367" s="8" t="s">
        <v>39</v>
      </c>
      <c r="F1367" s="8" t="s">
        <v>143</v>
      </c>
      <c r="G1367" s="8" t="s">
        <v>262</v>
      </c>
      <c r="H1367" s="8" t="s">
        <v>225</v>
      </c>
      <c r="I1367" s="8" t="s">
        <v>98</v>
      </c>
      <c r="J1367" s="9" t="s">
        <v>25</v>
      </c>
      <c r="K1367" s="8" t="s">
        <v>304</v>
      </c>
      <c r="L1367" s="8" t="s">
        <v>276</v>
      </c>
      <c r="M1367" s="8" t="s">
        <v>276</v>
      </c>
      <c r="N1367" s="9" t="s">
        <v>8493</v>
      </c>
      <c r="O1367" s="9" t="s">
        <v>8476</v>
      </c>
      <c r="P1367" s="9" t="s">
        <v>239</v>
      </c>
      <c r="Q1367" s="52">
        <v>40178</v>
      </c>
      <c r="R1367" s="9" t="s">
        <v>276</v>
      </c>
      <c r="S1367" s="9" t="s">
        <v>8385</v>
      </c>
      <c r="T1367" s="9" t="s">
        <v>8385</v>
      </c>
      <c r="U1367" s="9">
        <v>3</v>
      </c>
      <c r="V1367" s="8" t="s">
        <v>14</v>
      </c>
      <c r="W1367" s="8" t="s">
        <v>98</v>
      </c>
      <c r="X1367" s="9" t="s">
        <v>208</v>
      </c>
      <c r="Y1367" s="13">
        <v>26722</v>
      </c>
      <c r="Z1367" s="9">
        <v>26732</v>
      </c>
      <c r="AA1367" s="9" t="s">
        <v>276</v>
      </c>
      <c r="AB1367" s="9" t="s">
        <v>276</v>
      </c>
      <c r="AC1367" s="8">
        <f t="shared" si="415"/>
        <v>20</v>
      </c>
      <c r="AD1367" s="8" t="s">
        <v>968</v>
      </c>
      <c r="AE1367" s="8">
        <f t="shared" si="416"/>
        <v>12</v>
      </c>
      <c r="AF1367" s="8" t="s">
        <v>968</v>
      </c>
      <c r="AG1367" s="9" t="s">
        <v>8494</v>
      </c>
      <c r="AH1367" s="9" t="s">
        <v>866</v>
      </c>
      <c r="AI1367" s="38">
        <f>35+38</f>
        <v>73</v>
      </c>
      <c r="AJ1367" s="38">
        <f>32+42</f>
        <v>74</v>
      </c>
      <c r="AK1367" s="38">
        <v>26722</v>
      </c>
      <c r="AL1367" s="38">
        <v>26732</v>
      </c>
      <c r="AM1367" s="38" t="s">
        <v>292</v>
      </c>
      <c r="AN1367" s="8" t="s">
        <v>276</v>
      </c>
      <c r="AO1367" s="14">
        <f t="shared" ref="AO1367" si="417">AI1367*100/AK1367</f>
        <v>0.27318314497417856</v>
      </c>
      <c r="AP1367" s="8" t="s">
        <v>276</v>
      </c>
      <c r="AQ1367" s="8" t="s">
        <v>276</v>
      </c>
      <c r="AR1367" s="8" t="s">
        <v>276</v>
      </c>
      <c r="AS1367" s="14">
        <f t="shared" ref="AS1367" si="418">AJ1367*100/AL1367</f>
        <v>0.27682178662277418</v>
      </c>
      <c r="AT1367" s="8" t="s">
        <v>276</v>
      </c>
      <c r="AU1367" s="8" t="s">
        <v>276</v>
      </c>
      <c r="AV1367" s="9" t="s">
        <v>268</v>
      </c>
      <c r="AW1367" s="40" t="s">
        <v>276</v>
      </c>
      <c r="AX1367" s="40">
        <f t="shared" ref="AX1367" si="419">AO1367/AS1367</f>
        <v>0.98685565289861377</v>
      </c>
      <c r="AY1367" s="9" t="s">
        <v>276</v>
      </c>
      <c r="AZ1367" s="9" t="s">
        <v>276</v>
      </c>
      <c r="BA1367" s="9" t="s">
        <v>276</v>
      </c>
      <c r="BB1367" s="9" t="s">
        <v>282</v>
      </c>
      <c r="BC1367" s="9" t="s">
        <v>276</v>
      </c>
      <c r="BD1367" s="9" t="s">
        <v>276</v>
      </c>
      <c r="BE1367" s="9" t="s">
        <v>276</v>
      </c>
      <c r="BF1367" s="9" t="s">
        <v>1020</v>
      </c>
      <c r="BG1367" s="9"/>
      <c r="BH1367" s="9" t="s">
        <v>100</v>
      </c>
      <c r="BI1367" s="9" t="s">
        <v>100</v>
      </c>
      <c r="BJ1367" s="32"/>
      <c r="BN1367" s="32"/>
      <c r="BO1367" s="32"/>
    </row>
    <row r="1368" spans="1:67" s="33" customFormat="1" ht="52" hidden="1" x14ac:dyDescent="0.35">
      <c r="A1368" s="8">
        <v>398</v>
      </c>
      <c r="B1368" s="8" t="s">
        <v>8373</v>
      </c>
      <c r="C1368" s="8" t="s">
        <v>83</v>
      </c>
      <c r="D1368" s="9" t="s">
        <v>11643</v>
      </c>
      <c r="E1368" s="8" t="s">
        <v>39</v>
      </c>
      <c r="F1368" s="8" t="s">
        <v>143</v>
      </c>
      <c r="G1368" s="8" t="s">
        <v>262</v>
      </c>
      <c r="H1368" s="8" t="s">
        <v>225</v>
      </c>
      <c r="I1368" s="8" t="s">
        <v>98</v>
      </c>
      <c r="J1368" s="9" t="s">
        <v>25</v>
      </c>
      <c r="K1368" s="8" t="s">
        <v>307</v>
      </c>
      <c r="L1368" s="8" t="s">
        <v>276</v>
      </c>
      <c r="M1368" s="8" t="s">
        <v>276</v>
      </c>
      <c r="N1368" s="9" t="s">
        <v>8493</v>
      </c>
      <c r="O1368" s="9" t="s">
        <v>8476</v>
      </c>
      <c r="P1368" s="9" t="s">
        <v>239</v>
      </c>
      <c r="Q1368" s="52">
        <v>40178</v>
      </c>
      <c r="R1368" s="9" t="s">
        <v>276</v>
      </c>
      <c r="S1368" s="9" t="s">
        <v>8385</v>
      </c>
      <c r="T1368" s="9" t="s">
        <v>8385</v>
      </c>
      <c r="U1368" s="9">
        <v>3</v>
      </c>
      <c r="V1368" s="8" t="s">
        <v>14</v>
      </c>
      <c r="W1368" s="8" t="s">
        <v>98</v>
      </c>
      <c r="X1368" s="9" t="s">
        <v>208</v>
      </c>
      <c r="Y1368" s="13">
        <v>26722</v>
      </c>
      <c r="Z1368" s="9">
        <v>26732</v>
      </c>
      <c r="AA1368" s="9" t="s">
        <v>276</v>
      </c>
      <c r="AB1368" s="9" t="s">
        <v>276</v>
      </c>
      <c r="AC1368" s="8">
        <f t="shared" si="415"/>
        <v>20</v>
      </c>
      <c r="AD1368" s="8" t="s">
        <v>968</v>
      </c>
      <c r="AE1368" s="8">
        <f t="shared" si="416"/>
        <v>12</v>
      </c>
      <c r="AF1368" s="8" t="s">
        <v>968</v>
      </c>
      <c r="AG1368" s="9" t="s">
        <v>11644</v>
      </c>
      <c r="AH1368" s="9" t="s">
        <v>866</v>
      </c>
      <c r="AI1368" s="38">
        <f>520+73</f>
        <v>593</v>
      </c>
      <c r="AJ1368" s="38">
        <f>289+74</f>
        <v>363</v>
      </c>
      <c r="AK1368" s="38">
        <v>26722</v>
      </c>
      <c r="AL1368" s="38">
        <v>26732</v>
      </c>
      <c r="AM1368" s="38" t="s">
        <v>292</v>
      </c>
      <c r="AN1368" s="8" t="s">
        <v>276</v>
      </c>
      <c r="AO1368" s="14">
        <f t="shared" si="412"/>
        <v>2.2191452735573685</v>
      </c>
      <c r="AP1368" s="8" t="s">
        <v>276</v>
      </c>
      <c r="AQ1368" s="8" t="s">
        <v>276</v>
      </c>
      <c r="AR1368" s="8" t="s">
        <v>276</v>
      </c>
      <c r="AS1368" s="14">
        <f t="shared" si="413"/>
        <v>1.3579230884333384</v>
      </c>
      <c r="AT1368" s="8" t="s">
        <v>276</v>
      </c>
      <c r="AU1368" s="8" t="s">
        <v>276</v>
      </c>
      <c r="AV1368" s="9" t="s">
        <v>268</v>
      </c>
      <c r="AW1368" s="40" t="s">
        <v>276</v>
      </c>
      <c r="AX1368" s="40">
        <f t="shared" si="414"/>
        <v>1.6342201502131011</v>
      </c>
      <c r="AY1368" s="9" t="s">
        <v>276</v>
      </c>
      <c r="AZ1368" s="9" t="s">
        <v>276</v>
      </c>
      <c r="BA1368" s="9" t="s">
        <v>276</v>
      </c>
      <c r="BB1368" s="9" t="s">
        <v>282</v>
      </c>
      <c r="BC1368" s="9" t="s">
        <v>276</v>
      </c>
      <c r="BD1368" s="9" t="s">
        <v>276</v>
      </c>
      <c r="BE1368" s="9" t="s">
        <v>276</v>
      </c>
      <c r="BF1368" s="9" t="s">
        <v>1020</v>
      </c>
      <c r="BG1368" s="9"/>
      <c r="BH1368" s="9" t="s">
        <v>100</v>
      </c>
      <c r="BI1368" s="9" t="s">
        <v>100</v>
      </c>
      <c r="BJ1368" s="32"/>
      <c r="BN1368" s="32"/>
      <c r="BO1368" s="32"/>
    </row>
    <row r="1369" spans="1:67" s="299" customFormat="1" ht="52" hidden="1" x14ac:dyDescent="0.35">
      <c r="A1369" s="291">
        <v>398</v>
      </c>
      <c r="B1369" s="291" t="s">
        <v>8373</v>
      </c>
      <c r="C1369" s="291" t="s">
        <v>83</v>
      </c>
      <c r="D1369" s="292" t="s">
        <v>8495</v>
      </c>
      <c r="E1369" s="291" t="s">
        <v>39</v>
      </c>
      <c r="F1369" s="291" t="s">
        <v>143</v>
      </c>
      <c r="G1369" s="291" t="s">
        <v>262</v>
      </c>
      <c r="H1369" s="291" t="s">
        <v>225</v>
      </c>
      <c r="I1369" s="291" t="s">
        <v>98</v>
      </c>
      <c r="J1369" s="292" t="s">
        <v>25</v>
      </c>
      <c r="K1369" s="291" t="s">
        <v>947</v>
      </c>
      <c r="L1369" s="291" t="s">
        <v>276</v>
      </c>
      <c r="M1369" s="291" t="s">
        <v>276</v>
      </c>
      <c r="N1369" s="292" t="s">
        <v>8475</v>
      </c>
      <c r="O1369" s="292" t="s">
        <v>8476</v>
      </c>
      <c r="P1369" s="292" t="s">
        <v>239</v>
      </c>
      <c r="Q1369" s="293">
        <v>40178</v>
      </c>
      <c r="R1369" s="292" t="s">
        <v>276</v>
      </c>
      <c r="S1369" s="292" t="s">
        <v>8385</v>
      </c>
      <c r="T1369" s="292" t="s">
        <v>8385</v>
      </c>
      <c r="U1369" s="292">
        <v>3</v>
      </c>
      <c r="V1369" s="291" t="s">
        <v>14</v>
      </c>
      <c r="W1369" s="291" t="s">
        <v>98</v>
      </c>
      <c r="X1369" s="292" t="s">
        <v>208</v>
      </c>
      <c r="Y1369" s="294">
        <v>26722</v>
      </c>
      <c r="Z1369" s="292">
        <v>26732</v>
      </c>
      <c r="AA1369" s="292" t="s">
        <v>276</v>
      </c>
      <c r="AB1369" s="292" t="s">
        <v>276</v>
      </c>
      <c r="AC1369" s="291">
        <f t="shared" si="415"/>
        <v>20</v>
      </c>
      <c r="AD1369" s="291" t="s">
        <v>968</v>
      </c>
      <c r="AE1369" s="291">
        <f t="shared" si="416"/>
        <v>12</v>
      </c>
      <c r="AF1369" s="291" t="s">
        <v>968</v>
      </c>
      <c r="AG1369" s="292" t="s">
        <v>8496</v>
      </c>
      <c r="AH1369" s="292" t="s">
        <v>866</v>
      </c>
      <c r="AI1369" s="295">
        <v>99</v>
      </c>
      <c r="AJ1369" s="295">
        <v>109</v>
      </c>
      <c r="AK1369" s="295">
        <v>26722</v>
      </c>
      <c r="AL1369" s="295">
        <v>26732</v>
      </c>
      <c r="AM1369" s="295" t="s">
        <v>292</v>
      </c>
      <c r="AN1369" s="291" t="s">
        <v>276</v>
      </c>
      <c r="AO1369" s="296">
        <f t="shared" si="412"/>
        <v>0.3704812514033381</v>
      </c>
      <c r="AP1369" s="291" t="s">
        <v>276</v>
      </c>
      <c r="AQ1369" s="291" t="s">
        <v>276</v>
      </c>
      <c r="AR1369" s="291" t="s">
        <v>276</v>
      </c>
      <c r="AS1369" s="296">
        <f t="shared" si="413"/>
        <v>0.40775101002543768</v>
      </c>
      <c r="AT1369" s="291" t="s">
        <v>276</v>
      </c>
      <c r="AU1369" s="291" t="s">
        <v>276</v>
      </c>
      <c r="AV1369" s="292" t="s">
        <v>268</v>
      </c>
      <c r="AW1369" s="297" t="s">
        <v>276</v>
      </c>
      <c r="AX1369" s="297">
        <f t="shared" si="414"/>
        <v>0.90859677179027831</v>
      </c>
      <c r="AY1369" s="292" t="s">
        <v>276</v>
      </c>
      <c r="AZ1369" s="292" t="s">
        <v>276</v>
      </c>
      <c r="BA1369" s="292" t="s">
        <v>276</v>
      </c>
      <c r="BB1369" s="292" t="s">
        <v>282</v>
      </c>
      <c r="BC1369" s="292" t="s">
        <v>276</v>
      </c>
      <c r="BD1369" s="292" t="s">
        <v>276</v>
      </c>
      <c r="BE1369" s="292" t="s">
        <v>276</v>
      </c>
      <c r="BF1369" s="292" t="s">
        <v>1020</v>
      </c>
      <c r="BG1369" s="292"/>
      <c r="BH1369" s="9" t="s">
        <v>100</v>
      </c>
      <c r="BI1369" s="9" t="s">
        <v>100</v>
      </c>
      <c r="BJ1369" s="298"/>
      <c r="BN1369" s="298"/>
      <c r="BO1369" s="298"/>
    </row>
    <row r="1370" spans="1:67" s="299" customFormat="1" ht="52" hidden="1" x14ac:dyDescent="0.35">
      <c r="A1370" s="291">
        <v>398</v>
      </c>
      <c r="B1370" s="291" t="s">
        <v>8373</v>
      </c>
      <c r="C1370" s="291" t="s">
        <v>83</v>
      </c>
      <c r="D1370" s="292" t="s">
        <v>8497</v>
      </c>
      <c r="E1370" s="291" t="s">
        <v>39</v>
      </c>
      <c r="F1370" s="291" t="s">
        <v>143</v>
      </c>
      <c r="G1370" s="291" t="s">
        <v>262</v>
      </c>
      <c r="H1370" s="291" t="s">
        <v>225</v>
      </c>
      <c r="I1370" s="291" t="s">
        <v>98</v>
      </c>
      <c r="J1370" s="292" t="s">
        <v>25</v>
      </c>
      <c r="K1370" s="291" t="s">
        <v>950</v>
      </c>
      <c r="L1370" s="291" t="s">
        <v>276</v>
      </c>
      <c r="M1370" s="291" t="s">
        <v>276</v>
      </c>
      <c r="N1370" s="292" t="s">
        <v>8475</v>
      </c>
      <c r="O1370" s="292" t="s">
        <v>8476</v>
      </c>
      <c r="P1370" s="292" t="s">
        <v>239</v>
      </c>
      <c r="Q1370" s="293">
        <v>40178</v>
      </c>
      <c r="R1370" s="292" t="s">
        <v>276</v>
      </c>
      <c r="S1370" s="292" t="s">
        <v>8385</v>
      </c>
      <c r="T1370" s="292" t="s">
        <v>8385</v>
      </c>
      <c r="U1370" s="292">
        <v>3</v>
      </c>
      <c r="V1370" s="291" t="s">
        <v>14</v>
      </c>
      <c r="W1370" s="291" t="s">
        <v>98</v>
      </c>
      <c r="X1370" s="292" t="s">
        <v>208</v>
      </c>
      <c r="Y1370" s="294">
        <v>26722</v>
      </c>
      <c r="Z1370" s="292">
        <v>26732</v>
      </c>
      <c r="AA1370" s="292" t="s">
        <v>276</v>
      </c>
      <c r="AB1370" s="292" t="s">
        <v>276</v>
      </c>
      <c r="AC1370" s="291">
        <f t="shared" si="415"/>
        <v>20</v>
      </c>
      <c r="AD1370" s="291" t="s">
        <v>968</v>
      </c>
      <c r="AE1370" s="291">
        <f t="shared" si="416"/>
        <v>12</v>
      </c>
      <c r="AF1370" s="291" t="s">
        <v>968</v>
      </c>
      <c r="AG1370" s="292" t="s">
        <v>8498</v>
      </c>
      <c r="AH1370" s="292" t="s">
        <v>866</v>
      </c>
      <c r="AI1370" s="295">
        <v>122</v>
      </c>
      <c r="AJ1370" s="295">
        <v>122</v>
      </c>
      <c r="AK1370" s="295">
        <v>26722</v>
      </c>
      <c r="AL1370" s="295">
        <v>26732</v>
      </c>
      <c r="AM1370" s="295" t="s">
        <v>292</v>
      </c>
      <c r="AN1370" s="291" t="s">
        <v>276</v>
      </c>
      <c r="AO1370" s="296">
        <f t="shared" si="412"/>
        <v>0.4565526532445176</v>
      </c>
      <c r="AP1370" s="291" t="s">
        <v>276</v>
      </c>
      <c r="AQ1370" s="291" t="s">
        <v>276</v>
      </c>
      <c r="AR1370" s="291" t="s">
        <v>276</v>
      </c>
      <c r="AS1370" s="296">
        <f t="shared" si="413"/>
        <v>0.45638186443214124</v>
      </c>
      <c r="AT1370" s="291" t="s">
        <v>276</v>
      </c>
      <c r="AU1370" s="291" t="s">
        <v>276</v>
      </c>
      <c r="AV1370" s="292" t="s">
        <v>268</v>
      </c>
      <c r="AW1370" s="297" t="s">
        <v>276</v>
      </c>
      <c r="AX1370" s="297">
        <f t="shared" si="414"/>
        <v>1.000374223486266</v>
      </c>
      <c r="AY1370" s="292" t="s">
        <v>276</v>
      </c>
      <c r="AZ1370" s="292" t="s">
        <v>276</v>
      </c>
      <c r="BA1370" s="292" t="s">
        <v>276</v>
      </c>
      <c r="BB1370" s="292" t="s">
        <v>282</v>
      </c>
      <c r="BC1370" s="292" t="s">
        <v>276</v>
      </c>
      <c r="BD1370" s="292" t="s">
        <v>276</v>
      </c>
      <c r="BE1370" s="292" t="s">
        <v>276</v>
      </c>
      <c r="BF1370" s="292" t="s">
        <v>1020</v>
      </c>
      <c r="BG1370" s="292"/>
      <c r="BH1370" s="9" t="s">
        <v>100</v>
      </c>
      <c r="BI1370" s="9" t="s">
        <v>100</v>
      </c>
      <c r="BJ1370" s="298"/>
      <c r="BN1370" s="298"/>
      <c r="BO1370" s="298"/>
    </row>
    <row r="1371" spans="1:67" s="299" customFormat="1" ht="52" hidden="1" x14ac:dyDescent="0.35">
      <c r="A1371" s="291">
        <v>398</v>
      </c>
      <c r="B1371" s="291" t="s">
        <v>8373</v>
      </c>
      <c r="C1371" s="291" t="s">
        <v>83</v>
      </c>
      <c r="D1371" s="292" t="s">
        <v>8499</v>
      </c>
      <c r="E1371" s="291" t="s">
        <v>39</v>
      </c>
      <c r="F1371" s="291" t="s">
        <v>143</v>
      </c>
      <c r="G1371" s="291" t="s">
        <v>262</v>
      </c>
      <c r="H1371" s="291" t="s">
        <v>225</v>
      </c>
      <c r="I1371" s="291" t="s">
        <v>98</v>
      </c>
      <c r="J1371" s="292" t="s">
        <v>25</v>
      </c>
      <c r="K1371" s="291" t="s">
        <v>311</v>
      </c>
      <c r="L1371" s="291" t="s">
        <v>276</v>
      </c>
      <c r="M1371" s="291" t="s">
        <v>276</v>
      </c>
      <c r="N1371" s="292" t="s">
        <v>8475</v>
      </c>
      <c r="O1371" s="292" t="s">
        <v>8476</v>
      </c>
      <c r="P1371" s="292" t="s">
        <v>239</v>
      </c>
      <c r="Q1371" s="293">
        <v>40178</v>
      </c>
      <c r="R1371" s="292" t="s">
        <v>276</v>
      </c>
      <c r="S1371" s="292" t="s">
        <v>8385</v>
      </c>
      <c r="T1371" s="292" t="s">
        <v>8385</v>
      </c>
      <c r="U1371" s="292">
        <v>3</v>
      </c>
      <c r="V1371" s="291" t="s">
        <v>14</v>
      </c>
      <c r="W1371" s="291" t="s">
        <v>98</v>
      </c>
      <c r="X1371" s="292" t="s">
        <v>208</v>
      </c>
      <c r="Y1371" s="294">
        <v>26722</v>
      </c>
      <c r="Z1371" s="292">
        <v>26732</v>
      </c>
      <c r="AA1371" s="292" t="s">
        <v>276</v>
      </c>
      <c r="AB1371" s="292" t="s">
        <v>276</v>
      </c>
      <c r="AC1371" s="291">
        <f t="shared" si="415"/>
        <v>20</v>
      </c>
      <c r="AD1371" s="291" t="s">
        <v>968</v>
      </c>
      <c r="AE1371" s="291">
        <f t="shared" si="416"/>
        <v>12</v>
      </c>
      <c r="AF1371" s="291" t="s">
        <v>968</v>
      </c>
      <c r="AG1371" s="292" t="s">
        <v>8500</v>
      </c>
      <c r="AH1371" s="292" t="s">
        <v>866</v>
      </c>
      <c r="AI1371" s="295">
        <f>AI1369+AI1370</f>
        <v>221</v>
      </c>
      <c r="AJ1371" s="295">
        <f>AJ1369+AJ1370</f>
        <v>231</v>
      </c>
      <c r="AK1371" s="295">
        <v>26722</v>
      </c>
      <c r="AL1371" s="295">
        <v>26732</v>
      </c>
      <c r="AM1371" s="295" t="s">
        <v>292</v>
      </c>
      <c r="AN1371" s="291" t="s">
        <v>276</v>
      </c>
      <c r="AO1371" s="296">
        <f t="shared" si="412"/>
        <v>0.82703390464785564</v>
      </c>
      <c r="AP1371" s="291" t="s">
        <v>276</v>
      </c>
      <c r="AQ1371" s="291" t="s">
        <v>276</v>
      </c>
      <c r="AR1371" s="291" t="s">
        <v>276</v>
      </c>
      <c r="AS1371" s="296">
        <f t="shared" si="413"/>
        <v>0.86413287445757891</v>
      </c>
      <c r="AT1371" s="291" t="s">
        <v>276</v>
      </c>
      <c r="AU1371" s="291" t="s">
        <v>276</v>
      </c>
      <c r="AV1371" s="292" t="s">
        <v>268</v>
      </c>
      <c r="AW1371" s="297" t="s">
        <v>276</v>
      </c>
      <c r="AX1371" s="297">
        <f t="shared" si="414"/>
        <v>0.95706798004530202</v>
      </c>
      <c r="AY1371" s="292" t="s">
        <v>276</v>
      </c>
      <c r="AZ1371" s="292" t="s">
        <v>276</v>
      </c>
      <c r="BA1371" s="292" t="s">
        <v>276</v>
      </c>
      <c r="BB1371" s="292" t="s">
        <v>282</v>
      </c>
      <c r="BC1371" s="292" t="s">
        <v>276</v>
      </c>
      <c r="BD1371" s="292" t="s">
        <v>276</v>
      </c>
      <c r="BE1371" s="292" t="s">
        <v>276</v>
      </c>
      <c r="BF1371" s="292" t="s">
        <v>1020</v>
      </c>
      <c r="BG1371" s="292"/>
      <c r="BH1371" s="9" t="s">
        <v>100</v>
      </c>
      <c r="BI1371" s="9" t="s">
        <v>100</v>
      </c>
      <c r="BJ1371" s="298"/>
      <c r="BN1371" s="298"/>
      <c r="BO1371" s="298"/>
    </row>
    <row r="1372" spans="1:67" s="33" customFormat="1" ht="52" hidden="1" x14ac:dyDescent="0.35">
      <c r="A1372" s="8">
        <v>398</v>
      </c>
      <c r="B1372" s="8" t="s">
        <v>8373</v>
      </c>
      <c r="C1372" s="8" t="s">
        <v>83</v>
      </c>
      <c r="D1372" s="9" t="s">
        <v>8501</v>
      </c>
      <c r="E1372" s="8" t="s">
        <v>39</v>
      </c>
      <c r="F1372" s="8" t="s">
        <v>143</v>
      </c>
      <c r="G1372" s="8" t="s">
        <v>262</v>
      </c>
      <c r="H1372" s="8" t="s">
        <v>225</v>
      </c>
      <c r="I1372" s="8" t="s">
        <v>98</v>
      </c>
      <c r="J1372" s="9" t="s">
        <v>25</v>
      </c>
      <c r="K1372" s="8" t="s">
        <v>314</v>
      </c>
      <c r="L1372" s="8" t="s">
        <v>276</v>
      </c>
      <c r="M1372" s="8" t="s">
        <v>276</v>
      </c>
      <c r="N1372" s="9" t="s">
        <v>8475</v>
      </c>
      <c r="O1372" s="9" t="s">
        <v>8476</v>
      </c>
      <c r="P1372" s="9" t="s">
        <v>239</v>
      </c>
      <c r="Q1372" s="52">
        <v>40178</v>
      </c>
      <c r="R1372" s="9" t="s">
        <v>276</v>
      </c>
      <c r="S1372" s="9" t="s">
        <v>8385</v>
      </c>
      <c r="T1372" s="9" t="s">
        <v>8385</v>
      </c>
      <c r="U1372" s="9">
        <v>3</v>
      </c>
      <c r="V1372" s="8" t="s">
        <v>14</v>
      </c>
      <c r="W1372" s="8" t="s">
        <v>98</v>
      </c>
      <c r="X1372" s="9" t="s">
        <v>208</v>
      </c>
      <c r="Y1372" s="13">
        <v>26722</v>
      </c>
      <c r="Z1372" s="9">
        <v>26732</v>
      </c>
      <c r="AA1372" s="9" t="s">
        <v>276</v>
      </c>
      <c r="AB1372" s="9" t="s">
        <v>276</v>
      </c>
      <c r="AC1372" s="8">
        <f t="shared" si="415"/>
        <v>20</v>
      </c>
      <c r="AD1372" s="8" t="s">
        <v>968</v>
      </c>
      <c r="AE1372" s="8">
        <f t="shared" si="416"/>
        <v>12</v>
      </c>
      <c r="AF1372" s="8" t="s">
        <v>968</v>
      </c>
      <c r="AG1372" s="9" t="s">
        <v>8502</v>
      </c>
      <c r="AH1372" s="9" t="s">
        <v>866</v>
      </c>
      <c r="AI1372" s="38">
        <v>226</v>
      </c>
      <c r="AJ1372" s="38">
        <v>335</v>
      </c>
      <c r="AK1372" s="38">
        <v>26722</v>
      </c>
      <c r="AL1372" s="38">
        <v>26732</v>
      </c>
      <c r="AM1372" s="38" t="s">
        <v>292</v>
      </c>
      <c r="AN1372" s="8" t="s">
        <v>276</v>
      </c>
      <c r="AO1372" s="14">
        <f t="shared" ref="AO1372" si="420">AI1372*100/AK1372</f>
        <v>0.84574507896115558</v>
      </c>
      <c r="AP1372" s="8" t="s">
        <v>276</v>
      </c>
      <c r="AQ1372" s="8" t="s">
        <v>276</v>
      </c>
      <c r="AR1372" s="8" t="s">
        <v>276</v>
      </c>
      <c r="AS1372" s="14">
        <f t="shared" ref="AS1372" si="421">AJ1372*100/AL1372</f>
        <v>1.2531797097112076</v>
      </c>
      <c r="AT1372" s="8" t="s">
        <v>276</v>
      </c>
      <c r="AU1372" s="8" t="s">
        <v>276</v>
      </c>
      <c r="AV1372" s="9" t="s">
        <v>268</v>
      </c>
      <c r="AW1372" s="40" t="s">
        <v>276</v>
      </c>
      <c r="AX1372" s="40">
        <f t="shared" ref="AX1372" si="422">AO1372/AS1372</f>
        <v>0.67487932688924213</v>
      </c>
      <c r="AY1372" s="9" t="s">
        <v>276</v>
      </c>
      <c r="AZ1372" s="9" t="s">
        <v>276</v>
      </c>
      <c r="BA1372" s="9" t="s">
        <v>276</v>
      </c>
      <c r="BB1372" s="9" t="s">
        <v>282</v>
      </c>
      <c r="BC1372" s="9" t="s">
        <v>276</v>
      </c>
      <c r="BD1372" s="9" t="s">
        <v>276</v>
      </c>
      <c r="BE1372" s="9" t="s">
        <v>276</v>
      </c>
      <c r="BF1372" s="9" t="s">
        <v>1020</v>
      </c>
      <c r="BG1372" s="9"/>
      <c r="BH1372" s="9" t="s">
        <v>100</v>
      </c>
      <c r="BI1372" s="9" t="s">
        <v>100</v>
      </c>
      <c r="BJ1372" s="32"/>
      <c r="BN1372" s="32"/>
      <c r="BO1372" s="32"/>
    </row>
    <row r="1373" spans="1:67" s="33" customFormat="1" ht="52" hidden="1" x14ac:dyDescent="0.35">
      <c r="A1373" s="8">
        <v>398</v>
      </c>
      <c r="B1373" s="8" t="s">
        <v>8373</v>
      </c>
      <c r="C1373" s="8" t="s">
        <v>83</v>
      </c>
      <c r="D1373" s="9" t="s">
        <v>11593</v>
      </c>
      <c r="E1373" s="8" t="s">
        <v>39</v>
      </c>
      <c r="F1373" s="8" t="s">
        <v>143</v>
      </c>
      <c r="G1373" s="8" t="s">
        <v>262</v>
      </c>
      <c r="H1373" s="8" t="s">
        <v>225</v>
      </c>
      <c r="I1373" s="8" t="s">
        <v>98</v>
      </c>
      <c r="J1373" s="9" t="s">
        <v>25</v>
      </c>
      <c r="K1373" s="8" t="s">
        <v>317</v>
      </c>
      <c r="L1373" s="8" t="s">
        <v>276</v>
      </c>
      <c r="M1373" s="8" t="s">
        <v>276</v>
      </c>
      <c r="N1373" s="9" t="s">
        <v>8475</v>
      </c>
      <c r="O1373" s="9" t="s">
        <v>8476</v>
      </c>
      <c r="P1373" s="9" t="s">
        <v>239</v>
      </c>
      <c r="Q1373" s="52">
        <v>40178</v>
      </c>
      <c r="R1373" s="9" t="s">
        <v>276</v>
      </c>
      <c r="S1373" s="9" t="s">
        <v>8385</v>
      </c>
      <c r="T1373" s="9" t="s">
        <v>8385</v>
      </c>
      <c r="U1373" s="9">
        <v>3</v>
      </c>
      <c r="V1373" s="8" t="s">
        <v>14</v>
      </c>
      <c r="W1373" s="8" t="s">
        <v>98</v>
      </c>
      <c r="X1373" s="9" t="s">
        <v>208</v>
      </c>
      <c r="Y1373" s="13">
        <v>26722</v>
      </c>
      <c r="Z1373" s="9">
        <v>26732</v>
      </c>
      <c r="AA1373" s="9" t="s">
        <v>276</v>
      </c>
      <c r="AB1373" s="9" t="s">
        <v>276</v>
      </c>
      <c r="AC1373" s="8">
        <f t="shared" si="415"/>
        <v>20</v>
      </c>
      <c r="AD1373" s="8" t="s">
        <v>968</v>
      </c>
      <c r="AE1373" s="8">
        <f t="shared" si="416"/>
        <v>12</v>
      </c>
      <c r="AF1373" s="8" t="s">
        <v>968</v>
      </c>
      <c r="AG1373" s="9" t="s">
        <v>11594</v>
      </c>
      <c r="AH1373" s="9" t="s">
        <v>866</v>
      </c>
      <c r="AI1373" s="38">
        <f>226+221</f>
        <v>447</v>
      </c>
      <c r="AJ1373" s="38">
        <f>335+231</f>
        <v>566</v>
      </c>
      <c r="AK1373" s="38">
        <v>26722</v>
      </c>
      <c r="AL1373" s="38">
        <v>26732</v>
      </c>
      <c r="AM1373" s="38" t="s">
        <v>292</v>
      </c>
      <c r="AN1373" s="8" t="s">
        <v>276</v>
      </c>
      <c r="AO1373" s="14">
        <f t="shared" si="412"/>
        <v>1.6727789836090112</v>
      </c>
      <c r="AP1373" s="8" t="s">
        <v>276</v>
      </c>
      <c r="AQ1373" s="8" t="s">
        <v>276</v>
      </c>
      <c r="AR1373" s="8" t="s">
        <v>276</v>
      </c>
      <c r="AS1373" s="14">
        <f t="shared" si="413"/>
        <v>2.1173125841687863</v>
      </c>
      <c r="AT1373" s="8" t="s">
        <v>276</v>
      </c>
      <c r="AU1373" s="8" t="s">
        <v>276</v>
      </c>
      <c r="AV1373" s="9" t="s">
        <v>268</v>
      </c>
      <c r="AW1373" s="40" t="s">
        <v>276</v>
      </c>
      <c r="AX1373" s="40">
        <f t="shared" si="414"/>
        <v>0.79004819416671535</v>
      </c>
      <c r="AY1373" s="9" t="s">
        <v>276</v>
      </c>
      <c r="AZ1373" s="9" t="s">
        <v>276</v>
      </c>
      <c r="BA1373" s="9" t="s">
        <v>276</v>
      </c>
      <c r="BB1373" s="9" t="s">
        <v>282</v>
      </c>
      <c r="BC1373" s="9" t="s">
        <v>276</v>
      </c>
      <c r="BD1373" s="9" t="s">
        <v>276</v>
      </c>
      <c r="BE1373" s="9" t="s">
        <v>276</v>
      </c>
      <c r="BF1373" s="9" t="s">
        <v>1020</v>
      </c>
      <c r="BG1373" s="9"/>
      <c r="BH1373" s="9" t="s">
        <v>100</v>
      </c>
      <c r="BI1373" s="9" t="s">
        <v>100</v>
      </c>
      <c r="BJ1373" s="32"/>
      <c r="BN1373" s="32"/>
      <c r="BO1373" s="32"/>
    </row>
    <row r="1374" spans="1:67" s="299" customFormat="1" ht="52" hidden="1" x14ac:dyDescent="0.35">
      <c r="A1374" s="291">
        <v>398</v>
      </c>
      <c r="B1374" s="291" t="s">
        <v>8373</v>
      </c>
      <c r="C1374" s="291" t="s">
        <v>83</v>
      </c>
      <c r="D1374" s="292" t="s">
        <v>8503</v>
      </c>
      <c r="E1374" s="291" t="s">
        <v>39</v>
      </c>
      <c r="F1374" s="291" t="s">
        <v>143</v>
      </c>
      <c r="G1374" s="291" t="s">
        <v>262</v>
      </c>
      <c r="H1374" s="291" t="s">
        <v>225</v>
      </c>
      <c r="I1374" s="291" t="s">
        <v>98</v>
      </c>
      <c r="J1374" s="292" t="s">
        <v>25</v>
      </c>
      <c r="K1374" s="291" t="s">
        <v>930</v>
      </c>
      <c r="L1374" s="291" t="s">
        <v>276</v>
      </c>
      <c r="M1374" s="291" t="s">
        <v>276</v>
      </c>
      <c r="N1374" s="292" t="s">
        <v>8475</v>
      </c>
      <c r="O1374" s="292" t="s">
        <v>8476</v>
      </c>
      <c r="P1374" s="292" t="s">
        <v>239</v>
      </c>
      <c r="Q1374" s="293" t="s">
        <v>8504</v>
      </c>
      <c r="R1374" s="292" t="s">
        <v>276</v>
      </c>
      <c r="S1374" s="292" t="s">
        <v>276</v>
      </c>
      <c r="T1374" s="292" t="s">
        <v>276</v>
      </c>
      <c r="U1374" s="292">
        <v>1</v>
      </c>
      <c r="V1374" s="291" t="s">
        <v>14</v>
      </c>
      <c r="W1374" s="291" t="s">
        <v>98</v>
      </c>
      <c r="X1374" s="292" t="s">
        <v>208</v>
      </c>
      <c r="Y1374" s="294">
        <v>26722</v>
      </c>
      <c r="Z1374" s="292">
        <v>26732</v>
      </c>
      <c r="AA1374" s="292" t="s">
        <v>276</v>
      </c>
      <c r="AB1374" s="292" t="s">
        <v>276</v>
      </c>
      <c r="AC1374" s="291">
        <v>4</v>
      </c>
      <c r="AD1374" s="291" t="s">
        <v>968</v>
      </c>
      <c r="AE1374" s="291">
        <v>5</v>
      </c>
      <c r="AF1374" s="291" t="s">
        <v>968</v>
      </c>
      <c r="AG1374" s="292" t="s">
        <v>8505</v>
      </c>
      <c r="AH1374" s="292" t="s">
        <v>866</v>
      </c>
      <c r="AI1374" s="295">
        <v>133</v>
      </c>
      <c r="AJ1374" s="295">
        <v>46</v>
      </c>
      <c r="AK1374" s="295">
        <v>26722</v>
      </c>
      <c r="AL1374" s="295">
        <v>26732</v>
      </c>
      <c r="AM1374" s="295" t="s">
        <v>292</v>
      </c>
      <c r="AN1374" s="291" t="s">
        <v>276</v>
      </c>
      <c r="AO1374" s="296">
        <f t="shared" si="412"/>
        <v>0.49771723673377744</v>
      </c>
      <c r="AP1374" s="291" t="s">
        <v>276</v>
      </c>
      <c r="AQ1374" s="291" t="s">
        <v>276</v>
      </c>
      <c r="AR1374" s="291" t="s">
        <v>276</v>
      </c>
      <c r="AS1374" s="296">
        <f t="shared" si="413"/>
        <v>0.17207840790064341</v>
      </c>
      <c r="AT1374" s="291" t="s">
        <v>276</v>
      </c>
      <c r="AU1374" s="291" t="s">
        <v>276</v>
      </c>
      <c r="AV1374" s="292" t="s">
        <v>268</v>
      </c>
      <c r="AW1374" s="297" t="s">
        <v>276</v>
      </c>
      <c r="AX1374" s="297">
        <f t="shared" si="414"/>
        <v>2.892386341818987</v>
      </c>
      <c r="AY1374" s="292" t="s">
        <v>276</v>
      </c>
      <c r="AZ1374" s="292" t="s">
        <v>276</v>
      </c>
      <c r="BA1374" s="292" t="s">
        <v>276</v>
      </c>
      <c r="BB1374" s="292" t="s">
        <v>282</v>
      </c>
      <c r="BC1374" s="292" t="s">
        <v>276</v>
      </c>
      <c r="BD1374" s="292" t="s">
        <v>276</v>
      </c>
      <c r="BE1374" s="292" t="s">
        <v>276</v>
      </c>
      <c r="BF1374" s="292" t="s">
        <v>8413</v>
      </c>
      <c r="BG1374" s="292"/>
      <c r="BH1374" s="9" t="s">
        <v>100</v>
      </c>
      <c r="BI1374" s="9" t="s">
        <v>100</v>
      </c>
      <c r="BJ1374" s="298"/>
      <c r="BN1374" s="298"/>
      <c r="BO1374" s="298"/>
    </row>
    <row r="1375" spans="1:67" s="299" customFormat="1" ht="52" hidden="1" x14ac:dyDescent="0.35">
      <c r="A1375" s="291">
        <v>398</v>
      </c>
      <c r="B1375" s="291" t="s">
        <v>8373</v>
      </c>
      <c r="C1375" s="291" t="s">
        <v>83</v>
      </c>
      <c r="D1375" s="292" t="s">
        <v>8506</v>
      </c>
      <c r="E1375" s="291" t="s">
        <v>39</v>
      </c>
      <c r="F1375" s="291" t="s">
        <v>143</v>
      </c>
      <c r="G1375" s="291" t="s">
        <v>262</v>
      </c>
      <c r="H1375" s="291" t="s">
        <v>225</v>
      </c>
      <c r="I1375" s="291" t="s">
        <v>98</v>
      </c>
      <c r="J1375" s="292" t="s">
        <v>25</v>
      </c>
      <c r="K1375" s="291" t="s">
        <v>934</v>
      </c>
      <c r="L1375" s="291" t="s">
        <v>276</v>
      </c>
      <c r="M1375" s="291" t="s">
        <v>276</v>
      </c>
      <c r="N1375" s="292" t="s">
        <v>8475</v>
      </c>
      <c r="O1375" s="292" t="s">
        <v>8476</v>
      </c>
      <c r="P1375" s="292" t="s">
        <v>239</v>
      </c>
      <c r="Q1375" s="293" t="s">
        <v>8504</v>
      </c>
      <c r="R1375" s="292" t="s">
        <v>276</v>
      </c>
      <c r="S1375" s="292" t="s">
        <v>276</v>
      </c>
      <c r="T1375" s="292" t="s">
        <v>276</v>
      </c>
      <c r="U1375" s="292">
        <v>1</v>
      </c>
      <c r="V1375" s="291" t="s">
        <v>14</v>
      </c>
      <c r="W1375" s="291" t="s">
        <v>98</v>
      </c>
      <c r="X1375" s="292" t="s">
        <v>208</v>
      </c>
      <c r="Y1375" s="294">
        <v>26722</v>
      </c>
      <c r="Z1375" s="292">
        <v>26732</v>
      </c>
      <c r="AA1375" s="292" t="s">
        <v>276</v>
      </c>
      <c r="AB1375" s="292" t="s">
        <v>276</v>
      </c>
      <c r="AC1375" s="291">
        <v>4</v>
      </c>
      <c r="AD1375" s="291" t="s">
        <v>968</v>
      </c>
      <c r="AE1375" s="291">
        <v>5</v>
      </c>
      <c r="AF1375" s="291" t="s">
        <v>968</v>
      </c>
      <c r="AG1375" s="292" t="s">
        <v>8507</v>
      </c>
      <c r="AH1375" s="292" t="s">
        <v>866</v>
      </c>
      <c r="AI1375" s="295">
        <v>27</v>
      </c>
      <c r="AJ1375" s="295">
        <v>24</v>
      </c>
      <c r="AK1375" s="295">
        <v>26722</v>
      </c>
      <c r="AL1375" s="295">
        <v>26732</v>
      </c>
      <c r="AM1375" s="295" t="s">
        <v>292</v>
      </c>
      <c r="AN1375" s="291" t="s">
        <v>276</v>
      </c>
      <c r="AO1375" s="296">
        <f t="shared" si="412"/>
        <v>0.10104034129181948</v>
      </c>
      <c r="AP1375" s="291" t="s">
        <v>276</v>
      </c>
      <c r="AQ1375" s="291" t="s">
        <v>276</v>
      </c>
      <c r="AR1375" s="291" t="s">
        <v>276</v>
      </c>
      <c r="AS1375" s="296">
        <f t="shared" si="413"/>
        <v>8.9780038904683529E-2</v>
      </c>
      <c r="AT1375" s="291" t="s">
        <v>276</v>
      </c>
      <c r="AU1375" s="291" t="s">
        <v>276</v>
      </c>
      <c r="AV1375" s="292" t="s">
        <v>268</v>
      </c>
      <c r="AW1375" s="297" t="s">
        <v>276</v>
      </c>
      <c r="AX1375" s="297">
        <f t="shared" si="414"/>
        <v>1.1254210014220491</v>
      </c>
      <c r="AY1375" s="292" t="s">
        <v>276</v>
      </c>
      <c r="AZ1375" s="292" t="s">
        <v>276</v>
      </c>
      <c r="BA1375" s="292" t="s">
        <v>276</v>
      </c>
      <c r="BB1375" s="292" t="s">
        <v>282</v>
      </c>
      <c r="BC1375" s="292" t="s">
        <v>276</v>
      </c>
      <c r="BD1375" s="292" t="s">
        <v>276</v>
      </c>
      <c r="BE1375" s="292" t="s">
        <v>276</v>
      </c>
      <c r="BF1375" s="292" t="s">
        <v>8413</v>
      </c>
      <c r="BG1375" s="292"/>
      <c r="BH1375" s="9" t="s">
        <v>100</v>
      </c>
      <c r="BI1375" s="9" t="s">
        <v>100</v>
      </c>
      <c r="BJ1375" s="298"/>
      <c r="BN1375" s="298"/>
      <c r="BO1375" s="298"/>
    </row>
    <row r="1376" spans="1:67" s="299" customFormat="1" ht="52" hidden="1" x14ac:dyDescent="0.35">
      <c r="A1376" s="291">
        <v>398</v>
      </c>
      <c r="B1376" s="291" t="s">
        <v>8373</v>
      </c>
      <c r="C1376" s="291" t="s">
        <v>83</v>
      </c>
      <c r="D1376" s="292" t="s">
        <v>8508</v>
      </c>
      <c r="E1376" s="291" t="s">
        <v>39</v>
      </c>
      <c r="F1376" s="291" t="s">
        <v>143</v>
      </c>
      <c r="G1376" s="291" t="s">
        <v>262</v>
      </c>
      <c r="H1376" s="291" t="s">
        <v>225</v>
      </c>
      <c r="I1376" s="291" t="s">
        <v>98</v>
      </c>
      <c r="J1376" s="292" t="s">
        <v>25</v>
      </c>
      <c r="K1376" s="291" t="s">
        <v>300</v>
      </c>
      <c r="L1376" s="291" t="s">
        <v>276</v>
      </c>
      <c r="M1376" s="291" t="s">
        <v>276</v>
      </c>
      <c r="N1376" s="292" t="s">
        <v>8475</v>
      </c>
      <c r="O1376" s="292" t="s">
        <v>8476</v>
      </c>
      <c r="P1376" s="292" t="s">
        <v>239</v>
      </c>
      <c r="Q1376" s="293" t="s">
        <v>8504</v>
      </c>
      <c r="R1376" s="292" t="s">
        <v>276</v>
      </c>
      <c r="S1376" s="292" t="s">
        <v>276</v>
      </c>
      <c r="T1376" s="292" t="s">
        <v>276</v>
      </c>
      <c r="U1376" s="292">
        <v>1</v>
      </c>
      <c r="V1376" s="291" t="s">
        <v>14</v>
      </c>
      <c r="W1376" s="291" t="s">
        <v>98</v>
      </c>
      <c r="X1376" s="292" t="s">
        <v>208</v>
      </c>
      <c r="Y1376" s="294">
        <v>26722</v>
      </c>
      <c r="Z1376" s="292">
        <v>26732</v>
      </c>
      <c r="AA1376" s="292" t="s">
        <v>276</v>
      </c>
      <c r="AB1376" s="292" t="s">
        <v>276</v>
      </c>
      <c r="AC1376" s="291">
        <v>4</v>
      </c>
      <c r="AD1376" s="291" t="s">
        <v>968</v>
      </c>
      <c r="AE1376" s="291">
        <v>5</v>
      </c>
      <c r="AF1376" s="291" t="s">
        <v>968</v>
      </c>
      <c r="AG1376" s="292" t="s">
        <v>8509</v>
      </c>
      <c r="AH1376" s="292" t="s">
        <v>866</v>
      </c>
      <c r="AI1376" s="295">
        <f>AI1374+AI1375</f>
        <v>160</v>
      </c>
      <c r="AJ1376" s="295">
        <f>AJ1374+AJ1375</f>
        <v>70</v>
      </c>
      <c r="AK1376" s="295">
        <v>26722</v>
      </c>
      <c r="AL1376" s="295">
        <v>26732</v>
      </c>
      <c r="AM1376" s="295" t="s">
        <v>292</v>
      </c>
      <c r="AN1376" s="291" t="s">
        <v>276</v>
      </c>
      <c r="AO1376" s="296">
        <f t="shared" si="412"/>
        <v>0.59875757802559693</v>
      </c>
      <c r="AP1376" s="291" t="s">
        <v>276</v>
      </c>
      <c r="AQ1376" s="291" t="s">
        <v>276</v>
      </c>
      <c r="AR1376" s="291" t="s">
        <v>276</v>
      </c>
      <c r="AS1376" s="296">
        <f t="shared" si="413"/>
        <v>0.26185844680532694</v>
      </c>
      <c r="AT1376" s="291" t="s">
        <v>276</v>
      </c>
      <c r="AU1376" s="291" t="s">
        <v>276</v>
      </c>
      <c r="AV1376" s="292" t="s">
        <v>268</v>
      </c>
      <c r="AW1376" s="297" t="s">
        <v>276</v>
      </c>
      <c r="AX1376" s="297">
        <f t="shared" si="414"/>
        <v>2.2865696536828941</v>
      </c>
      <c r="AY1376" s="292" t="s">
        <v>276</v>
      </c>
      <c r="AZ1376" s="292" t="s">
        <v>276</v>
      </c>
      <c r="BA1376" s="292" t="s">
        <v>276</v>
      </c>
      <c r="BB1376" s="292" t="s">
        <v>282</v>
      </c>
      <c r="BC1376" s="292" t="s">
        <v>276</v>
      </c>
      <c r="BD1376" s="292" t="s">
        <v>276</v>
      </c>
      <c r="BE1376" s="292" t="s">
        <v>276</v>
      </c>
      <c r="BF1376" s="292" t="s">
        <v>8413</v>
      </c>
      <c r="BG1376" s="292"/>
      <c r="BH1376" s="9" t="s">
        <v>100</v>
      </c>
      <c r="BI1376" s="9" t="s">
        <v>100</v>
      </c>
      <c r="BJ1376" s="298"/>
      <c r="BN1376" s="298"/>
      <c r="BO1376" s="298"/>
    </row>
    <row r="1377" spans="1:67" s="33" customFormat="1" ht="52" hidden="1" x14ac:dyDescent="0.35">
      <c r="A1377" s="8">
        <v>398</v>
      </c>
      <c r="B1377" s="8" t="s">
        <v>8373</v>
      </c>
      <c r="C1377" s="8" t="s">
        <v>83</v>
      </c>
      <c r="D1377" s="9" t="s">
        <v>8510</v>
      </c>
      <c r="E1377" s="8" t="s">
        <v>39</v>
      </c>
      <c r="F1377" s="8" t="s">
        <v>143</v>
      </c>
      <c r="G1377" s="8" t="s">
        <v>262</v>
      </c>
      <c r="H1377" s="8" t="s">
        <v>225</v>
      </c>
      <c r="I1377" s="8" t="s">
        <v>98</v>
      </c>
      <c r="J1377" s="9" t="s">
        <v>25</v>
      </c>
      <c r="K1377" s="8" t="s">
        <v>939</v>
      </c>
      <c r="L1377" s="8" t="s">
        <v>276</v>
      </c>
      <c r="M1377" s="8" t="s">
        <v>276</v>
      </c>
      <c r="N1377" s="9" t="s">
        <v>8475</v>
      </c>
      <c r="O1377" s="9" t="s">
        <v>8476</v>
      </c>
      <c r="P1377" s="9" t="s">
        <v>239</v>
      </c>
      <c r="Q1377" s="52" t="s">
        <v>8504</v>
      </c>
      <c r="R1377" s="9" t="s">
        <v>276</v>
      </c>
      <c r="S1377" s="9" t="s">
        <v>276</v>
      </c>
      <c r="T1377" s="9" t="s">
        <v>276</v>
      </c>
      <c r="U1377" s="9">
        <v>1</v>
      </c>
      <c r="V1377" s="8" t="s">
        <v>14</v>
      </c>
      <c r="W1377" s="8" t="s">
        <v>98</v>
      </c>
      <c r="X1377" s="9" t="s">
        <v>208</v>
      </c>
      <c r="Y1377" s="13">
        <v>26722</v>
      </c>
      <c r="Z1377" s="9">
        <v>26732</v>
      </c>
      <c r="AA1377" s="9" t="s">
        <v>276</v>
      </c>
      <c r="AB1377" s="9" t="s">
        <v>276</v>
      </c>
      <c r="AC1377" s="8">
        <v>4</v>
      </c>
      <c r="AD1377" s="8" t="s">
        <v>968</v>
      </c>
      <c r="AE1377" s="8">
        <v>5</v>
      </c>
      <c r="AF1377" s="8" t="s">
        <v>968</v>
      </c>
      <c r="AG1377" s="9" t="s">
        <v>8511</v>
      </c>
      <c r="AH1377" s="9" t="s">
        <v>866</v>
      </c>
      <c r="AI1377" s="38">
        <v>10</v>
      </c>
      <c r="AJ1377" s="38">
        <v>3</v>
      </c>
      <c r="AK1377" s="38">
        <v>26722</v>
      </c>
      <c r="AL1377" s="38">
        <v>26732</v>
      </c>
      <c r="AM1377" s="38" t="s">
        <v>292</v>
      </c>
      <c r="AN1377" s="8" t="s">
        <v>276</v>
      </c>
      <c r="AO1377" s="14">
        <f t="shared" si="412"/>
        <v>3.7422348626599808E-2</v>
      </c>
      <c r="AP1377" s="8" t="s">
        <v>276</v>
      </c>
      <c r="AQ1377" s="8" t="s">
        <v>276</v>
      </c>
      <c r="AR1377" s="8" t="s">
        <v>276</v>
      </c>
      <c r="AS1377" s="14">
        <f t="shared" si="413"/>
        <v>1.1222504863085441E-2</v>
      </c>
      <c r="AT1377" s="8" t="s">
        <v>276</v>
      </c>
      <c r="AU1377" s="8" t="s">
        <v>276</v>
      </c>
      <c r="AV1377" s="9" t="s">
        <v>268</v>
      </c>
      <c r="AW1377" s="40" t="s">
        <v>276</v>
      </c>
      <c r="AX1377" s="40">
        <f t="shared" si="414"/>
        <v>3.33458074495422</v>
      </c>
      <c r="AY1377" s="9" t="s">
        <v>276</v>
      </c>
      <c r="AZ1377" s="9" t="s">
        <v>276</v>
      </c>
      <c r="BA1377" s="9" t="s">
        <v>276</v>
      </c>
      <c r="BB1377" s="9" t="s">
        <v>282</v>
      </c>
      <c r="BC1377" s="9" t="s">
        <v>276</v>
      </c>
      <c r="BD1377" s="9" t="s">
        <v>276</v>
      </c>
      <c r="BE1377" s="9" t="s">
        <v>276</v>
      </c>
      <c r="BF1377" s="9" t="s">
        <v>8413</v>
      </c>
      <c r="BG1377" s="9"/>
      <c r="BH1377" s="9" t="s">
        <v>100</v>
      </c>
      <c r="BI1377" s="9" t="s">
        <v>100</v>
      </c>
      <c r="BJ1377" s="32"/>
      <c r="BN1377" s="32"/>
      <c r="BO1377" s="32"/>
    </row>
    <row r="1378" spans="1:67" s="33" customFormat="1" ht="52" hidden="1" x14ac:dyDescent="0.35">
      <c r="A1378" s="8">
        <v>398</v>
      </c>
      <c r="B1378" s="8" t="s">
        <v>8373</v>
      </c>
      <c r="C1378" s="8" t="s">
        <v>83</v>
      </c>
      <c r="D1378" s="9" t="s">
        <v>8512</v>
      </c>
      <c r="E1378" s="8" t="s">
        <v>39</v>
      </c>
      <c r="F1378" s="8" t="s">
        <v>143</v>
      </c>
      <c r="G1378" s="8" t="s">
        <v>262</v>
      </c>
      <c r="H1378" s="8" t="s">
        <v>225</v>
      </c>
      <c r="I1378" s="8" t="s">
        <v>98</v>
      </c>
      <c r="J1378" s="9" t="s">
        <v>25</v>
      </c>
      <c r="K1378" s="8" t="s">
        <v>942</v>
      </c>
      <c r="L1378" s="8" t="s">
        <v>276</v>
      </c>
      <c r="M1378" s="8" t="s">
        <v>276</v>
      </c>
      <c r="N1378" s="9" t="s">
        <v>8475</v>
      </c>
      <c r="O1378" s="9" t="s">
        <v>8476</v>
      </c>
      <c r="P1378" s="9" t="s">
        <v>239</v>
      </c>
      <c r="Q1378" s="52" t="s">
        <v>8504</v>
      </c>
      <c r="R1378" s="9" t="s">
        <v>276</v>
      </c>
      <c r="S1378" s="9" t="s">
        <v>276</v>
      </c>
      <c r="T1378" s="9" t="s">
        <v>276</v>
      </c>
      <c r="U1378" s="9">
        <v>1</v>
      </c>
      <c r="V1378" s="8" t="s">
        <v>14</v>
      </c>
      <c r="W1378" s="8" t="s">
        <v>98</v>
      </c>
      <c r="X1378" s="9" t="s">
        <v>208</v>
      </c>
      <c r="Y1378" s="13">
        <v>26722</v>
      </c>
      <c r="Z1378" s="9">
        <v>26732</v>
      </c>
      <c r="AA1378" s="9" t="s">
        <v>276</v>
      </c>
      <c r="AB1378" s="9" t="s">
        <v>276</v>
      </c>
      <c r="AC1378" s="8">
        <v>4</v>
      </c>
      <c r="AD1378" s="8" t="s">
        <v>968</v>
      </c>
      <c r="AE1378" s="8">
        <v>5</v>
      </c>
      <c r="AF1378" s="8" t="s">
        <v>968</v>
      </c>
      <c r="AG1378" s="9" t="s">
        <v>8513</v>
      </c>
      <c r="AH1378" s="9" t="s">
        <v>866</v>
      </c>
      <c r="AI1378" s="38">
        <v>12</v>
      </c>
      <c r="AJ1378" s="38">
        <v>10</v>
      </c>
      <c r="AK1378" s="38">
        <v>26722</v>
      </c>
      <c r="AL1378" s="38">
        <v>26732</v>
      </c>
      <c r="AM1378" s="38" t="s">
        <v>292</v>
      </c>
      <c r="AN1378" s="8" t="s">
        <v>276</v>
      </c>
      <c r="AO1378" s="14">
        <f t="shared" si="412"/>
        <v>4.4906818351919765E-2</v>
      </c>
      <c r="AP1378" s="8" t="s">
        <v>276</v>
      </c>
      <c r="AQ1378" s="8" t="s">
        <v>276</v>
      </c>
      <c r="AR1378" s="8" t="s">
        <v>276</v>
      </c>
      <c r="AS1378" s="14">
        <f t="shared" si="413"/>
        <v>3.7408349543618137E-2</v>
      </c>
      <c r="AT1378" s="8" t="s">
        <v>276</v>
      </c>
      <c r="AU1378" s="8" t="s">
        <v>276</v>
      </c>
      <c r="AV1378" s="9" t="s">
        <v>268</v>
      </c>
      <c r="AW1378" s="40" t="s">
        <v>276</v>
      </c>
      <c r="AX1378" s="40">
        <f t="shared" si="414"/>
        <v>1.2004490681835192</v>
      </c>
      <c r="AY1378" s="9" t="s">
        <v>276</v>
      </c>
      <c r="AZ1378" s="9" t="s">
        <v>276</v>
      </c>
      <c r="BA1378" s="9" t="s">
        <v>276</v>
      </c>
      <c r="BB1378" s="9" t="s">
        <v>282</v>
      </c>
      <c r="BC1378" s="9" t="s">
        <v>276</v>
      </c>
      <c r="BD1378" s="9" t="s">
        <v>276</v>
      </c>
      <c r="BE1378" s="9" t="s">
        <v>276</v>
      </c>
      <c r="BF1378" s="9" t="s">
        <v>8413</v>
      </c>
      <c r="BG1378" s="9"/>
      <c r="BH1378" s="9" t="s">
        <v>100</v>
      </c>
      <c r="BI1378" s="9" t="s">
        <v>100</v>
      </c>
      <c r="BJ1378" s="32"/>
      <c r="BN1378" s="32"/>
      <c r="BO1378" s="32"/>
    </row>
    <row r="1379" spans="1:67" s="33" customFormat="1" ht="52" hidden="1" x14ac:dyDescent="0.35">
      <c r="A1379" s="8">
        <v>398</v>
      </c>
      <c r="B1379" s="8" t="s">
        <v>8373</v>
      </c>
      <c r="C1379" s="8" t="s">
        <v>83</v>
      </c>
      <c r="D1379" s="9" t="s">
        <v>8514</v>
      </c>
      <c r="E1379" s="8" t="s">
        <v>39</v>
      </c>
      <c r="F1379" s="8" t="s">
        <v>143</v>
      </c>
      <c r="G1379" s="8" t="s">
        <v>262</v>
      </c>
      <c r="H1379" s="8" t="s">
        <v>225</v>
      </c>
      <c r="I1379" s="8" t="s">
        <v>98</v>
      </c>
      <c r="J1379" s="9" t="s">
        <v>25</v>
      </c>
      <c r="K1379" s="8" t="s">
        <v>304</v>
      </c>
      <c r="L1379" s="8" t="s">
        <v>276</v>
      </c>
      <c r="M1379" s="8" t="s">
        <v>276</v>
      </c>
      <c r="N1379" s="9" t="s">
        <v>8475</v>
      </c>
      <c r="O1379" s="9" t="s">
        <v>8476</v>
      </c>
      <c r="P1379" s="9" t="s">
        <v>239</v>
      </c>
      <c r="Q1379" s="52" t="s">
        <v>8504</v>
      </c>
      <c r="R1379" s="9" t="s">
        <v>276</v>
      </c>
      <c r="S1379" s="9" t="s">
        <v>276</v>
      </c>
      <c r="T1379" s="9" t="s">
        <v>276</v>
      </c>
      <c r="U1379" s="9">
        <v>1</v>
      </c>
      <c r="V1379" s="8" t="s">
        <v>14</v>
      </c>
      <c r="W1379" s="8" t="s">
        <v>98</v>
      </c>
      <c r="X1379" s="9" t="s">
        <v>208</v>
      </c>
      <c r="Y1379" s="13">
        <v>26722</v>
      </c>
      <c r="Z1379" s="9">
        <v>26732</v>
      </c>
      <c r="AA1379" s="9" t="s">
        <v>276</v>
      </c>
      <c r="AB1379" s="9" t="s">
        <v>276</v>
      </c>
      <c r="AC1379" s="8">
        <v>4</v>
      </c>
      <c r="AD1379" s="8" t="s">
        <v>968</v>
      </c>
      <c r="AE1379" s="8">
        <v>5</v>
      </c>
      <c r="AF1379" s="8" t="s">
        <v>968</v>
      </c>
      <c r="AG1379" s="9" t="s">
        <v>8515</v>
      </c>
      <c r="AH1379" s="9" t="s">
        <v>866</v>
      </c>
      <c r="AI1379" s="38">
        <f>AI1377+AI1378</f>
        <v>22</v>
      </c>
      <c r="AJ1379" s="38">
        <f>AJ1377+AJ1378</f>
        <v>13</v>
      </c>
      <c r="AK1379" s="38">
        <v>26722</v>
      </c>
      <c r="AL1379" s="38">
        <v>26732</v>
      </c>
      <c r="AM1379" s="38" t="s">
        <v>292</v>
      </c>
      <c r="AN1379" s="8" t="s">
        <v>276</v>
      </c>
      <c r="AO1379" s="14">
        <f t="shared" si="412"/>
        <v>8.2329166978519566E-2</v>
      </c>
      <c r="AP1379" s="8" t="s">
        <v>276</v>
      </c>
      <c r="AQ1379" s="8" t="s">
        <v>276</v>
      </c>
      <c r="AR1379" s="8" t="s">
        <v>276</v>
      </c>
      <c r="AS1379" s="14">
        <f t="shared" si="413"/>
        <v>4.8630854406703575E-2</v>
      </c>
      <c r="AT1379" s="8" t="s">
        <v>276</v>
      </c>
      <c r="AU1379" s="8" t="s">
        <v>276</v>
      </c>
      <c r="AV1379" s="9" t="s">
        <v>268</v>
      </c>
      <c r="AW1379" s="40" t="s">
        <v>276</v>
      </c>
      <c r="AX1379" s="40">
        <f t="shared" si="414"/>
        <v>1.6929409935921425</v>
      </c>
      <c r="AY1379" s="9" t="s">
        <v>276</v>
      </c>
      <c r="AZ1379" s="9" t="s">
        <v>276</v>
      </c>
      <c r="BA1379" s="9" t="s">
        <v>276</v>
      </c>
      <c r="BB1379" s="9" t="s">
        <v>282</v>
      </c>
      <c r="BC1379" s="9" t="s">
        <v>276</v>
      </c>
      <c r="BD1379" s="9" t="s">
        <v>276</v>
      </c>
      <c r="BE1379" s="9" t="s">
        <v>276</v>
      </c>
      <c r="BF1379" s="9" t="s">
        <v>8413</v>
      </c>
      <c r="BG1379" s="9"/>
      <c r="BH1379" s="9" t="s">
        <v>100</v>
      </c>
      <c r="BI1379" s="9" t="s">
        <v>100</v>
      </c>
      <c r="BJ1379" s="32"/>
      <c r="BN1379" s="32"/>
      <c r="BO1379" s="32"/>
    </row>
    <row r="1380" spans="1:67" s="299" customFormat="1" ht="52" hidden="1" x14ac:dyDescent="0.35">
      <c r="A1380" s="291">
        <v>398</v>
      </c>
      <c r="B1380" s="291" t="s">
        <v>8373</v>
      </c>
      <c r="C1380" s="291" t="s">
        <v>83</v>
      </c>
      <c r="D1380" s="292" t="s">
        <v>8516</v>
      </c>
      <c r="E1380" s="291" t="s">
        <v>39</v>
      </c>
      <c r="F1380" s="291" t="s">
        <v>143</v>
      </c>
      <c r="G1380" s="291" t="s">
        <v>262</v>
      </c>
      <c r="H1380" s="291" t="s">
        <v>225</v>
      </c>
      <c r="I1380" s="291" t="s">
        <v>98</v>
      </c>
      <c r="J1380" s="292" t="s">
        <v>25</v>
      </c>
      <c r="K1380" s="291" t="s">
        <v>947</v>
      </c>
      <c r="L1380" s="291" t="s">
        <v>276</v>
      </c>
      <c r="M1380" s="291" t="s">
        <v>276</v>
      </c>
      <c r="N1380" s="292" t="s">
        <v>8475</v>
      </c>
      <c r="O1380" s="292" t="s">
        <v>8476</v>
      </c>
      <c r="P1380" s="292" t="s">
        <v>239</v>
      </c>
      <c r="Q1380" s="293" t="s">
        <v>8504</v>
      </c>
      <c r="R1380" s="292" t="s">
        <v>276</v>
      </c>
      <c r="S1380" s="292" t="s">
        <v>276</v>
      </c>
      <c r="T1380" s="292" t="s">
        <v>276</v>
      </c>
      <c r="U1380" s="292">
        <v>1</v>
      </c>
      <c r="V1380" s="291" t="s">
        <v>14</v>
      </c>
      <c r="W1380" s="291" t="s">
        <v>98</v>
      </c>
      <c r="X1380" s="292" t="s">
        <v>208</v>
      </c>
      <c r="Y1380" s="294">
        <v>26722</v>
      </c>
      <c r="Z1380" s="292">
        <v>26732</v>
      </c>
      <c r="AA1380" s="292" t="s">
        <v>276</v>
      </c>
      <c r="AB1380" s="292" t="s">
        <v>276</v>
      </c>
      <c r="AC1380" s="291">
        <v>4</v>
      </c>
      <c r="AD1380" s="291" t="s">
        <v>968</v>
      </c>
      <c r="AE1380" s="291">
        <v>5</v>
      </c>
      <c r="AF1380" s="291" t="s">
        <v>968</v>
      </c>
      <c r="AG1380" s="292" t="s">
        <v>8517</v>
      </c>
      <c r="AH1380" s="292" t="s">
        <v>866</v>
      </c>
      <c r="AI1380" s="295">
        <v>34</v>
      </c>
      <c r="AJ1380" s="295">
        <v>30</v>
      </c>
      <c r="AK1380" s="295">
        <v>26722</v>
      </c>
      <c r="AL1380" s="295">
        <v>26732</v>
      </c>
      <c r="AM1380" s="295" t="s">
        <v>292</v>
      </c>
      <c r="AN1380" s="291" t="s">
        <v>276</v>
      </c>
      <c r="AO1380" s="296">
        <f t="shared" si="412"/>
        <v>0.12723598533043934</v>
      </c>
      <c r="AP1380" s="291" t="s">
        <v>276</v>
      </c>
      <c r="AQ1380" s="291" t="s">
        <v>276</v>
      </c>
      <c r="AR1380" s="291" t="s">
        <v>276</v>
      </c>
      <c r="AS1380" s="296">
        <f t="shared" si="413"/>
        <v>0.1122250486308544</v>
      </c>
      <c r="AT1380" s="291" t="s">
        <v>276</v>
      </c>
      <c r="AU1380" s="291" t="s">
        <v>276</v>
      </c>
      <c r="AV1380" s="292" t="s">
        <v>268</v>
      </c>
      <c r="AW1380" s="297" t="s">
        <v>276</v>
      </c>
      <c r="AX1380" s="297">
        <f t="shared" si="414"/>
        <v>1.1337574532844348</v>
      </c>
      <c r="AY1380" s="292" t="s">
        <v>276</v>
      </c>
      <c r="AZ1380" s="292" t="s">
        <v>276</v>
      </c>
      <c r="BA1380" s="292" t="s">
        <v>276</v>
      </c>
      <c r="BB1380" s="292" t="s">
        <v>282</v>
      </c>
      <c r="BC1380" s="292" t="s">
        <v>276</v>
      </c>
      <c r="BD1380" s="292" t="s">
        <v>276</v>
      </c>
      <c r="BE1380" s="292" t="s">
        <v>276</v>
      </c>
      <c r="BF1380" s="292" t="s">
        <v>8413</v>
      </c>
      <c r="BG1380" s="292"/>
      <c r="BH1380" s="9" t="s">
        <v>100</v>
      </c>
      <c r="BI1380" s="9" t="s">
        <v>100</v>
      </c>
      <c r="BJ1380" s="298"/>
      <c r="BN1380" s="298"/>
      <c r="BO1380" s="298"/>
    </row>
    <row r="1381" spans="1:67" s="299" customFormat="1" ht="52" hidden="1" x14ac:dyDescent="0.35">
      <c r="A1381" s="291">
        <v>398</v>
      </c>
      <c r="B1381" s="291" t="s">
        <v>8373</v>
      </c>
      <c r="C1381" s="291" t="s">
        <v>83</v>
      </c>
      <c r="D1381" s="292" t="s">
        <v>8512</v>
      </c>
      <c r="E1381" s="291" t="s">
        <v>39</v>
      </c>
      <c r="F1381" s="291" t="s">
        <v>143</v>
      </c>
      <c r="G1381" s="291" t="s">
        <v>262</v>
      </c>
      <c r="H1381" s="291" t="s">
        <v>225</v>
      </c>
      <c r="I1381" s="291" t="s">
        <v>98</v>
      </c>
      <c r="J1381" s="292" t="s">
        <v>25</v>
      </c>
      <c r="K1381" s="291" t="s">
        <v>950</v>
      </c>
      <c r="L1381" s="291" t="s">
        <v>276</v>
      </c>
      <c r="M1381" s="291" t="s">
        <v>276</v>
      </c>
      <c r="N1381" s="292" t="s">
        <v>8475</v>
      </c>
      <c r="O1381" s="292" t="s">
        <v>8476</v>
      </c>
      <c r="P1381" s="292" t="s">
        <v>239</v>
      </c>
      <c r="Q1381" s="293" t="s">
        <v>8504</v>
      </c>
      <c r="R1381" s="292" t="s">
        <v>276</v>
      </c>
      <c r="S1381" s="292" t="s">
        <v>276</v>
      </c>
      <c r="T1381" s="292" t="s">
        <v>276</v>
      </c>
      <c r="U1381" s="292">
        <v>1</v>
      </c>
      <c r="V1381" s="291" t="s">
        <v>14</v>
      </c>
      <c r="W1381" s="291" t="s">
        <v>98</v>
      </c>
      <c r="X1381" s="292" t="s">
        <v>208</v>
      </c>
      <c r="Y1381" s="294">
        <v>26722</v>
      </c>
      <c r="Z1381" s="292">
        <v>26732</v>
      </c>
      <c r="AA1381" s="292" t="s">
        <v>276</v>
      </c>
      <c r="AB1381" s="292" t="s">
        <v>276</v>
      </c>
      <c r="AC1381" s="291">
        <v>4</v>
      </c>
      <c r="AD1381" s="291" t="s">
        <v>968</v>
      </c>
      <c r="AE1381" s="291">
        <v>5</v>
      </c>
      <c r="AF1381" s="291" t="s">
        <v>968</v>
      </c>
      <c r="AG1381" s="292" t="s">
        <v>8518</v>
      </c>
      <c r="AH1381" s="292" t="s">
        <v>866</v>
      </c>
      <c r="AI1381" s="295">
        <v>30</v>
      </c>
      <c r="AJ1381" s="295">
        <v>28</v>
      </c>
      <c r="AK1381" s="295">
        <v>26722</v>
      </c>
      <c r="AL1381" s="295">
        <v>26732</v>
      </c>
      <c r="AM1381" s="295" t="s">
        <v>292</v>
      </c>
      <c r="AN1381" s="291" t="s">
        <v>276</v>
      </c>
      <c r="AO1381" s="296">
        <f t="shared" si="412"/>
        <v>0.11226704587979941</v>
      </c>
      <c r="AP1381" s="291" t="s">
        <v>276</v>
      </c>
      <c r="AQ1381" s="291" t="s">
        <v>276</v>
      </c>
      <c r="AR1381" s="291" t="s">
        <v>276</v>
      </c>
      <c r="AS1381" s="296">
        <f t="shared" si="413"/>
        <v>0.10474337872213078</v>
      </c>
      <c r="AT1381" s="291" t="s">
        <v>276</v>
      </c>
      <c r="AU1381" s="291" t="s">
        <v>276</v>
      </c>
      <c r="AV1381" s="292" t="s">
        <v>268</v>
      </c>
      <c r="AW1381" s="297" t="s">
        <v>276</v>
      </c>
      <c r="AX1381" s="297">
        <f t="shared" si="414"/>
        <v>1.0718295251638563</v>
      </c>
      <c r="AY1381" s="292" t="s">
        <v>276</v>
      </c>
      <c r="AZ1381" s="292" t="s">
        <v>276</v>
      </c>
      <c r="BA1381" s="292" t="s">
        <v>276</v>
      </c>
      <c r="BB1381" s="292" t="s">
        <v>282</v>
      </c>
      <c r="BC1381" s="292" t="s">
        <v>276</v>
      </c>
      <c r="BD1381" s="292" t="s">
        <v>276</v>
      </c>
      <c r="BE1381" s="292" t="s">
        <v>276</v>
      </c>
      <c r="BF1381" s="292" t="s">
        <v>8413</v>
      </c>
      <c r="BG1381" s="292"/>
      <c r="BH1381" s="9" t="s">
        <v>100</v>
      </c>
      <c r="BI1381" s="9" t="s">
        <v>100</v>
      </c>
      <c r="BJ1381" s="298"/>
      <c r="BN1381" s="298"/>
      <c r="BO1381" s="298"/>
    </row>
    <row r="1382" spans="1:67" s="299" customFormat="1" ht="52" hidden="1" x14ac:dyDescent="0.35">
      <c r="A1382" s="291">
        <v>398</v>
      </c>
      <c r="B1382" s="291" t="s">
        <v>8373</v>
      </c>
      <c r="C1382" s="291" t="s">
        <v>83</v>
      </c>
      <c r="D1382" s="292" t="s">
        <v>8519</v>
      </c>
      <c r="E1382" s="291" t="s">
        <v>39</v>
      </c>
      <c r="F1382" s="291" t="s">
        <v>143</v>
      </c>
      <c r="G1382" s="291" t="s">
        <v>262</v>
      </c>
      <c r="H1382" s="291" t="s">
        <v>225</v>
      </c>
      <c r="I1382" s="291" t="s">
        <v>98</v>
      </c>
      <c r="J1382" s="292" t="s">
        <v>25</v>
      </c>
      <c r="K1382" s="291" t="s">
        <v>311</v>
      </c>
      <c r="L1382" s="291" t="s">
        <v>276</v>
      </c>
      <c r="M1382" s="291" t="s">
        <v>276</v>
      </c>
      <c r="N1382" s="292" t="s">
        <v>8475</v>
      </c>
      <c r="O1382" s="292" t="s">
        <v>8476</v>
      </c>
      <c r="P1382" s="292" t="s">
        <v>239</v>
      </c>
      <c r="Q1382" s="293" t="s">
        <v>8504</v>
      </c>
      <c r="R1382" s="292" t="s">
        <v>276</v>
      </c>
      <c r="S1382" s="292" t="s">
        <v>276</v>
      </c>
      <c r="T1382" s="292" t="s">
        <v>276</v>
      </c>
      <c r="U1382" s="292">
        <v>1</v>
      </c>
      <c r="V1382" s="291" t="s">
        <v>14</v>
      </c>
      <c r="W1382" s="291" t="s">
        <v>98</v>
      </c>
      <c r="X1382" s="292" t="s">
        <v>208</v>
      </c>
      <c r="Y1382" s="294">
        <v>26722</v>
      </c>
      <c r="Z1382" s="292">
        <v>26732</v>
      </c>
      <c r="AA1382" s="292" t="s">
        <v>276</v>
      </c>
      <c r="AB1382" s="292" t="s">
        <v>276</v>
      </c>
      <c r="AC1382" s="291">
        <v>4</v>
      </c>
      <c r="AD1382" s="291" t="s">
        <v>968</v>
      </c>
      <c r="AE1382" s="291">
        <v>5</v>
      </c>
      <c r="AF1382" s="291" t="s">
        <v>968</v>
      </c>
      <c r="AG1382" s="292" t="s">
        <v>8520</v>
      </c>
      <c r="AH1382" s="292" t="s">
        <v>866</v>
      </c>
      <c r="AI1382" s="295">
        <f>AI1380+AI1381</f>
        <v>64</v>
      </c>
      <c r="AJ1382" s="295">
        <f>AJ1380+AJ1381</f>
        <v>58</v>
      </c>
      <c r="AK1382" s="295">
        <v>26722</v>
      </c>
      <c r="AL1382" s="295">
        <v>26732</v>
      </c>
      <c r="AM1382" s="295" t="s">
        <v>292</v>
      </c>
      <c r="AN1382" s="291" t="s">
        <v>276</v>
      </c>
      <c r="AO1382" s="296">
        <f t="shared" si="412"/>
        <v>0.23950303121023875</v>
      </c>
      <c r="AP1382" s="291" t="s">
        <v>276</v>
      </c>
      <c r="AQ1382" s="291" t="s">
        <v>276</v>
      </c>
      <c r="AR1382" s="291" t="s">
        <v>276</v>
      </c>
      <c r="AS1382" s="296">
        <f t="shared" si="413"/>
        <v>0.21696842735298519</v>
      </c>
      <c r="AT1382" s="291" t="s">
        <v>276</v>
      </c>
      <c r="AU1382" s="291" t="s">
        <v>276</v>
      </c>
      <c r="AV1382" s="292" t="s">
        <v>268</v>
      </c>
      <c r="AW1382" s="297" t="s">
        <v>276</v>
      </c>
      <c r="AX1382" s="297">
        <f t="shared" si="414"/>
        <v>1.1038612121227762</v>
      </c>
      <c r="AY1382" s="292" t="s">
        <v>276</v>
      </c>
      <c r="AZ1382" s="292" t="s">
        <v>276</v>
      </c>
      <c r="BA1382" s="292" t="s">
        <v>276</v>
      </c>
      <c r="BB1382" s="292" t="s">
        <v>282</v>
      </c>
      <c r="BC1382" s="292" t="s">
        <v>276</v>
      </c>
      <c r="BD1382" s="292" t="s">
        <v>276</v>
      </c>
      <c r="BE1382" s="292" t="s">
        <v>276</v>
      </c>
      <c r="BF1382" s="292" t="s">
        <v>8413</v>
      </c>
      <c r="BG1382" s="292"/>
      <c r="BH1382" s="9" t="s">
        <v>100</v>
      </c>
      <c r="BI1382" s="9" t="s">
        <v>100</v>
      </c>
      <c r="BJ1382" s="298"/>
      <c r="BN1382" s="298"/>
      <c r="BO1382" s="298"/>
    </row>
    <row r="1383" spans="1:67" s="33" customFormat="1" ht="52" hidden="1" x14ac:dyDescent="0.35">
      <c r="A1383" s="8">
        <v>398</v>
      </c>
      <c r="B1383" s="8" t="s">
        <v>8373</v>
      </c>
      <c r="C1383" s="8" t="s">
        <v>83</v>
      </c>
      <c r="D1383" s="9" t="s">
        <v>8521</v>
      </c>
      <c r="E1383" s="8" t="s">
        <v>39</v>
      </c>
      <c r="F1383" s="8" t="s">
        <v>143</v>
      </c>
      <c r="G1383" s="8" t="s">
        <v>262</v>
      </c>
      <c r="H1383" s="8" t="s">
        <v>225</v>
      </c>
      <c r="I1383" s="8" t="s">
        <v>98</v>
      </c>
      <c r="J1383" s="9" t="s">
        <v>25</v>
      </c>
      <c r="K1383" s="8" t="s">
        <v>314</v>
      </c>
      <c r="L1383" s="8" t="s">
        <v>276</v>
      </c>
      <c r="M1383" s="8" t="s">
        <v>276</v>
      </c>
      <c r="N1383" s="9" t="s">
        <v>8475</v>
      </c>
      <c r="O1383" s="9" t="s">
        <v>8476</v>
      </c>
      <c r="P1383" s="9" t="s">
        <v>239</v>
      </c>
      <c r="Q1383" s="52" t="s">
        <v>8504</v>
      </c>
      <c r="R1383" s="9" t="s">
        <v>276</v>
      </c>
      <c r="S1383" s="9" t="s">
        <v>276</v>
      </c>
      <c r="T1383" s="9" t="s">
        <v>276</v>
      </c>
      <c r="U1383" s="9">
        <v>1</v>
      </c>
      <c r="V1383" s="8" t="s">
        <v>14</v>
      </c>
      <c r="W1383" s="8" t="s">
        <v>98</v>
      </c>
      <c r="X1383" s="9" t="s">
        <v>208</v>
      </c>
      <c r="Y1383" s="13">
        <v>26722</v>
      </c>
      <c r="Z1383" s="9">
        <v>26732</v>
      </c>
      <c r="AA1383" s="9" t="s">
        <v>276</v>
      </c>
      <c r="AB1383" s="9" t="s">
        <v>276</v>
      </c>
      <c r="AC1383" s="8">
        <v>4</v>
      </c>
      <c r="AD1383" s="8" t="s">
        <v>968</v>
      </c>
      <c r="AE1383" s="8">
        <v>5</v>
      </c>
      <c r="AF1383" s="8" t="s">
        <v>968</v>
      </c>
      <c r="AG1383" s="9" t="s">
        <v>8522</v>
      </c>
      <c r="AH1383" s="9" t="s">
        <v>866</v>
      </c>
      <c r="AI1383" s="38">
        <v>47</v>
      </c>
      <c r="AJ1383" s="38">
        <v>47</v>
      </c>
      <c r="AK1383" s="38">
        <v>26722</v>
      </c>
      <c r="AL1383" s="38">
        <v>26732</v>
      </c>
      <c r="AM1383" s="38" t="s">
        <v>292</v>
      </c>
      <c r="AN1383" s="8" t="s">
        <v>276</v>
      </c>
      <c r="AO1383" s="14">
        <f t="shared" si="412"/>
        <v>0.17588503854501908</v>
      </c>
      <c r="AP1383" s="8" t="s">
        <v>276</v>
      </c>
      <c r="AQ1383" s="8" t="s">
        <v>276</v>
      </c>
      <c r="AR1383" s="8" t="s">
        <v>276</v>
      </c>
      <c r="AS1383" s="14">
        <f t="shared" si="413"/>
        <v>0.17581924285500525</v>
      </c>
      <c r="AT1383" s="8" t="s">
        <v>276</v>
      </c>
      <c r="AU1383" s="8" t="s">
        <v>276</v>
      </c>
      <c r="AV1383" s="9" t="s">
        <v>268</v>
      </c>
      <c r="AW1383" s="40" t="s">
        <v>276</v>
      </c>
      <c r="AX1383" s="40">
        <f t="shared" si="414"/>
        <v>1.0003742234862658</v>
      </c>
      <c r="AY1383" s="9" t="s">
        <v>276</v>
      </c>
      <c r="AZ1383" s="9" t="s">
        <v>276</v>
      </c>
      <c r="BA1383" s="9" t="s">
        <v>276</v>
      </c>
      <c r="BB1383" s="9" t="s">
        <v>282</v>
      </c>
      <c r="BC1383" s="9" t="s">
        <v>276</v>
      </c>
      <c r="BD1383" s="9" t="s">
        <v>276</v>
      </c>
      <c r="BE1383" s="9" t="s">
        <v>276</v>
      </c>
      <c r="BF1383" s="9" t="s">
        <v>8413</v>
      </c>
      <c r="BG1383" s="9"/>
      <c r="BH1383" s="9" t="s">
        <v>100</v>
      </c>
      <c r="BI1383" s="9" t="s">
        <v>100</v>
      </c>
      <c r="BJ1383" s="32"/>
      <c r="BN1383" s="32"/>
      <c r="BO1383" s="32"/>
    </row>
    <row r="1384" spans="1:67" s="299" customFormat="1" ht="52" hidden="1" x14ac:dyDescent="0.35">
      <c r="A1384" s="291">
        <v>398</v>
      </c>
      <c r="B1384" s="291" t="s">
        <v>8373</v>
      </c>
      <c r="C1384" s="291" t="s">
        <v>83</v>
      </c>
      <c r="D1384" s="292" t="s">
        <v>8523</v>
      </c>
      <c r="E1384" s="291" t="s">
        <v>39</v>
      </c>
      <c r="F1384" s="291" t="s">
        <v>143</v>
      </c>
      <c r="G1384" s="291" t="s">
        <v>262</v>
      </c>
      <c r="H1384" s="291" t="s">
        <v>225</v>
      </c>
      <c r="I1384" s="291" t="s">
        <v>98</v>
      </c>
      <c r="J1384" s="292" t="s">
        <v>25</v>
      </c>
      <c r="K1384" s="291" t="s">
        <v>930</v>
      </c>
      <c r="L1384" s="291" t="s">
        <v>276</v>
      </c>
      <c r="M1384" s="291" t="s">
        <v>276</v>
      </c>
      <c r="N1384" s="292" t="s">
        <v>8475</v>
      </c>
      <c r="O1384" s="292" t="s">
        <v>8476</v>
      </c>
      <c r="P1384" s="292" t="s">
        <v>239</v>
      </c>
      <c r="Q1384" s="293" t="s">
        <v>8524</v>
      </c>
      <c r="R1384" s="292" t="s">
        <v>276</v>
      </c>
      <c r="S1384" s="292" t="s">
        <v>276</v>
      </c>
      <c r="T1384" s="292" t="s">
        <v>276</v>
      </c>
      <c r="U1384" s="292">
        <v>1</v>
      </c>
      <c r="V1384" s="291" t="s">
        <v>14</v>
      </c>
      <c r="W1384" s="291" t="s">
        <v>98</v>
      </c>
      <c r="X1384" s="292" t="s">
        <v>208</v>
      </c>
      <c r="Y1384" s="294">
        <v>26722</v>
      </c>
      <c r="Z1384" s="292">
        <v>26732</v>
      </c>
      <c r="AA1384" s="292" t="s">
        <v>276</v>
      </c>
      <c r="AB1384" s="292" t="s">
        <v>276</v>
      </c>
      <c r="AC1384" s="291">
        <v>3</v>
      </c>
      <c r="AD1384" s="291" t="s">
        <v>968</v>
      </c>
      <c r="AE1384" s="291">
        <v>1</v>
      </c>
      <c r="AF1384" s="291" t="s">
        <v>968</v>
      </c>
      <c r="AG1384" s="292" t="s">
        <v>8525</v>
      </c>
      <c r="AH1384" s="292" t="s">
        <v>866</v>
      </c>
      <c r="AI1384" s="295">
        <v>87</v>
      </c>
      <c r="AJ1384" s="295">
        <v>31</v>
      </c>
      <c r="AK1384" s="295">
        <v>26722</v>
      </c>
      <c r="AL1384" s="295">
        <v>26732</v>
      </c>
      <c r="AM1384" s="295" t="s">
        <v>292</v>
      </c>
      <c r="AN1384" s="291" t="s">
        <v>276</v>
      </c>
      <c r="AO1384" s="296">
        <f t="shared" si="412"/>
        <v>0.32557443305141831</v>
      </c>
      <c r="AP1384" s="291" t="s">
        <v>276</v>
      </c>
      <c r="AQ1384" s="291" t="s">
        <v>276</v>
      </c>
      <c r="AR1384" s="291" t="s">
        <v>276</v>
      </c>
      <c r="AS1384" s="296">
        <f t="shared" si="413"/>
        <v>0.11596588358521621</v>
      </c>
      <c r="AT1384" s="291" t="s">
        <v>276</v>
      </c>
      <c r="AU1384" s="291" t="s">
        <v>276</v>
      </c>
      <c r="AV1384" s="292" t="s">
        <v>268</v>
      </c>
      <c r="AW1384" s="297" t="s">
        <v>276</v>
      </c>
      <c r="AX1384" s="297">
        <f t="shared" si="414"/>
        <v>2.8075018530098435</v>
      </c>
      <c r="AY1384" s="292" t="s">
        <v>276</v>
      </c>
      <c r="AZ1384" s="292" t="s">
        <v>276</v>
      </c>
      <c r="BA1384" s="292" t="s">
        <v>276</v>
      </c>
      <c r="BB1384" s="292" t="s">
        <v>282</v>
      </c>
      <c r="BC1384" s="292" t="s">
        <v>276</v>
      </c>
      <c r="BD1384" s="292" t="s">
        <v>276</v>
      </c>
      <c r="BE1384" s="292" t="s">
        <v>276</v>
      </c>
      <c r="BF1384" s="292" t="s">
        <v>8413</v>
      </c>
      <c r="BG1384" s="292"/>
      <c r="BH1384" s="9" t="s">
        <v>100</v>
      </c>
      <c r="BI1384" s="9" t="s">
        <v>100</v>
      </c>
      <c r="BJ1384" s="298"/>
      <c r="BN1384" s="298"/>
      <c r="BO1384" s="298"/>
    </row>
    <row r="1385" spans="1:67" s="299" customFormat="1" ht="52" hidden="1" x14ac:dyDescent="0.35">
      <c r="A1385" s="291">
        <v>398</v>
      </c>
      <c r="B1385" s="291" t="s">
        <v>8373</v>
      </c>
      <c r="C1385" s="291" t="s">
        <v>83</v>
      </c>
      <c r="D1385" s="292" t="s">
        <v>8526</v>
      </c>
      <c r="E1385" s="291" t="s">
        <v>39</v>
      </c>
      <c r="F1385" s="291" t="s">
        <v>143</v>
      </c>
      <c r="G1385" s="291" t="s">
        <v>262</v>
      </c>
      <c r="H1385" s="291" t="s">
        <v>225</v>
      </c>
      <c r="I1385" s="291" t="s">
        <v>98</v>
      </c>
      <c r="J1385" s="292" t="s">
        <v>25</v>
      </c>
      <c r="K1385" s="291" t="s">
        <v>934</v>
      </c>
      <c r="L1385" s="291" t="s">
        <v>276</v>
      </c>
      <c r="M1385" s="291" t="s">
        <v>276</v>
      </c>
      <c r="N1385" s="292" t="s">
        <v>8475</v>
      </c>
      <c r="O1385" s="292" t="s">
        <v>8476</v>
      </c>
      <c r="P1385" s="292" t="s">
        <v>239</v>
      </c>
      <c r="Q1385" s="293" t="s">
        <v>8524</v>
      </c>
      <c r="R1385" s="292" t="s">
        <v>276</v>
      </c>
      <c r="S1385" s="292" t="s">
        <v>276</v>
      </c>
      <c r="T1385" s="292" t="s">
        <v>276</v>
      </c>
      <c r="U1385" s="292">
        <v>1</v>
      </c>
      <c r="V1385" s="291" t="s">
        <v>14</v>
      </c>
      <c r="W1385" s="291" t="s">
        <v>98</v>
      </c>
      <c r="X1385" s="292" t="s">
        <v>208</v>
      </c>
      <c r="Y1385" s="294">
        <v>26722</v>
      </c>
      <c r="Z1385" s="292">
        <v>26732</v>
      </c>
      <c r="AA1385" s="292" t="s">
        <v>276</v>
      </c>
      <c r="AB1385" s="292" t="s">
        <v>276</v>
      </c>
      <c r="AC1385" s="291">
        <v>3</v>
      </c>
      <c r="AD1385" s="291" t="s">
        <v>968</v>
      </c>
      <c r="AE1385" s="291">
        <v>1</v>
      </c>
      <c r="AF1385" s="291" t="s">
        <v>968</v>
      </c>
      <c r="AG1385" s="292" t="s">
        <v>8527</v>
      </c>
      <c r="AH1385" s="292" t="s">
        <v>866</v>
      </c>
      <c r="AI1385" s="295">
        <v>21</v>
      </c>
      <c r="AJ1385" s="295">
        <v>11</v>
      </c>
      <c r="AK1385" s="295">
        <v>26722</v>
      </c>
      <c r="AL1385" s="295">
        <v>26732</v>
      </c>
      <c r="AM1385" s="295" t="s">
        <v>292</v>
      </c>
      <c r="AN1385" s="291" t="s">
        <v>276</v>
      </c>
      <c r="AO1385" s="296">
        <f t="shared" si="412"/>
        <v>7.8586932115859598E-2</v>
      </c>
      <c r="AP1385" s="291" t="s">
        <v>276</v>
      </c>
      <c r="AQ1385" s="291" t="s">
        <v>276</v>
      </c>
      <c r="AR1385" s="291" t="s">
        <v>276</v>
      </c>
      <c r="AS1385" s="296">
        <f t="shared" si="413"/>
        <v>4.1149184497979947E-2</v>
      </c>
      <c r="AT1385" s="291" t="s">
        <v>276</v>
      </c>
      <c r="AU1385" s="291" t="s">
        <v>276</v>
      </c>
      <c r="AV1385" s="292" t="s">
        <v>268</v>
      </c>
      <c r="AW1385" s="297" t="s">
        <v>276</v>
      </c>
      <c r="AX1385" s="297">
        <f t="shared" si="414"/>
        <v>1.9098053357465081</v>
      </c>
      <c r="AY1385" s="292" t="s">
        <v>276</v>
      </c>
      <c r="AZ1385" s="292" t="s">
        <v>276</v>
      </c>
      <c r="BA1385" s="292" t="s">
        <v>276</v>
      </c>
      <c r="BB1385" s="292" t="s">
        <v>282</v>
      </c>
      <c r="BC1385" s="292" t="s">
        <v>276</v>
      </c>
      <c r="BD1385" s="292" t="s">
        <v>276</v>
      </c>
      <c r="BE1385" s="292" t="s">
        <v>276</v>
      </c>
      <c r="BF1385" s="292" t="s">
        <v>8413</v>
      </c>
      <c r="BG1385" s="292"/>
      <c r="BH1385" s="9" t="s">
        <v>100</v>
      </c>
      <c r="BI1385" s="9" t="s">
        <v>100</v>
      </c>
      <c r="BJ1385" s="298"/>
      <c r="BN1385" s="298"/>
      <c r="BO1385" s="298"/>
    </row>
    <row r="1386" spans="1:67" s="299" customFormat="1" ht="52" hidden="1" x14ac:dyDescent="0.35">
      <c r="A1386" s="291">
        <v>398</v>
      </c>
      <c r="B1386" s="291" t="s">
        <v>8373</v>
      </c>
      <c r="C1386" s="291" t="s">
        <v>83</v>
      </c>
      <c r="D1386" s="292" t="s">
        <v>8528</v>
      </c>
      <c r="E1386" s="291" t="s">
        <v>39</v>
      </c>
      <c r="F1386" s="291" t="s">
        <v>143</v>
      </c>
      <c r="G1386" s="291" t="s">
        <v>262</v>
      </c>
      <c r="H1386" s="291" t="s">
        <v>225</v>
      </c>
      <c r="I1386" s="291" t="s">
        <v>98</v>
      </c>
      <c r="J1386" s="292" t="s">
        <v>25</v>
      </c>
      <c r="K1386" s="291" t="s">
        <v>300</v>
      </c>
      <c r="L1386" s="291" t="s">
        <v>276</v>
      </c>
      <c r="M1386" s="291" t="s">
        <v>276</v>
      </c>
      <c r="N1386" s="292" t="s">
        <v>8475</v>
      </c>
      <c r="O1386" s="292" t="s">
        <v>8476</v>
      </c>
      <c r="P1386" s="292" t="s">
        <v>239</v>
      </c>
      <c r="Q1386" s="293" t="s">
        <v>8524</v>
      </c>
      <c r="R1386" s="292" t="s">
        <v>276</v>
      </c>
      <c r="S1386" s="292" t="s">
        <v>276</v>
      </c>
      <c r="T1386" s="292" t="s">
        <v>276</v>
      </c>
      <c r="U1386" s="292">
        <v>1</v>
      </c>
      <c r="V1386" s="291" t="s">
        <v>14</v>
      </c>
      <c r="W1386" s="291" t="s">
        <v>98</v>
      </c>
      <c r="X1386" s="292" t="s">
        <v>208</v>
      </c>
      <c r="Y1386" s="294">
        <v>26722</v>
      </c>
      <c r="Z1386" s="292">
        <v>26732</v>
      </c>
      <c r="AA1386" s="292" t="s">
        <v>276</v>
      </c>
      <c r="AB1386" s="292" t="s">
        <v>276</v>
      </c>
      <c r="AC1386" s="291">
        <v>3</v>
      </c>
      <c r="AD1386" s="291" t="s">
        <v>968</v>
      </c>
      <c r="AE1386" s="291">
        <v>1</v>
      </c>
      <c r="AF1386" s="291" t="s">
        <v>968</v>
      </c>
      <c r="AG1386" s="292" t="s">
        <v>8529</v>
      </c>
      <c r="AH1386" s="292" t="s">
        <v>866</v>
      </c>
      <c r="AI1386" s="295">
        <f>AI1384+AI1385</f>
        <v>108</v>
      </c>
      <c r="AJ1386" s="295">
        <f>AJ1384+AJ1385</f>
        <v>42</v>
      </c>
      <c r="AK1386" s="295">
        <v>26722</v>
      </c>
      <c r="AL1386" s="295">
        <v>26732</v>
      </c>
      <c r="AM1386" s="295" t="s">
        <v>292</v>
      </c>
      <c r="AN1386" s="291" t="s">
        <v>276</v>
      </c>
      <c r="AO1386" s="296">
        <f t="shared" si="412"/>
        <v>0.40416136516727791</v>
      </c>
      <c r="AP1386" s="291" t="s">
        <v>276</v>
      </c>
      <c r="AQ1386" s="291" t="s">
        <v>276</v>
      </c>
      <c r="AR1386" s="291" t="s">
        <v>276</v>
      </c>
      <c r="AS1386" s="296">
        <f t="shared" si="413"/>
        <v>0.15711506808319617</v>
      </c>
      <c r="AT1386" s="291" t="s">
        <v>276</v>
      </c>
      <c r="AU1386" s="291" t="s">
        <v>276</v>
      </c>
      <c r="AV1386" s="292" t="s">
        <v>268</v>
      </c>
      <c r="AW1386" s="297" t="s">
        <v>276</v>
      </c>
      <c r="AX1386" s="297">
        <f t="shared" si="414"/>
        <v>2.5723908603932557</v>
      </c>
      <c r="AY1386" s="292" t="s">
        <v>276</v>
      </c>
      <c r="AZ1386" s="292" t="s">
        <v>276</v>
      </c>
      <c r="BA1386" s="292" t="s">
        <v>276</v>
      </c>
      <c r="BB1386" s="292" t="s">
        <v>282</v>
      </c>
      <c r="BC1386" s="292" t="s">
        <v>276</v>
      </c>
      <c r="BD1386" s="292" t="s">
        <v>276</v>
      </c>
      <c r="BE1386" s="292" t="s">
        <v>276</v>
      </c>
      <c r="BF1386" s="292" t="s">
        <v>8413</v>
      </c>
      <c r="BG1386" s="292"/>
      <c r="BH1386" s="9" t="s">
        <v>100</v>
      </c>
      <c r="BI1386" s="9" t="s">
        <v>100</v>
      </c>
      <c r="BJ1386" s="298"/>
      <c r="BN1386" s="298"/>
      <c r="BO1386" s="298"/>
    </row>
    <row r="1387" spans="1:67" s="33" customFormat="1" ht="52" hidden="1" x14ac:dyDescent="0.35">
      <c r="A1387" s="8">
        <v>398</v>
      </c>
      <c r="B1387" s="8" t="s">
        <v>8373</v>
      </c>
      <c r="C1387" s="8" t="s">
        <v>83</v>
      </c>
      <c r="D1387" s="9" t="s">
        <v>8530</v>
      </c>
      <c r="E1387" s="8" t="s">
        <v>39</v>
      </c>
      <c r="F1387" s="8" t="s">
        <v>143</v>
      </c>
      <c r="G1387" s="8" t="s">
        <v>262</v>
      </c>
      <c r="H1387" s="8" t="s">
        <v>225</v>
      </c>
      <c r="I1387" s="8" t="s">
        <v>98</v>
      </c>
      <c r="J1387" s="9" t="s">
        <v>25</v>
      </c>
      <c r="K1387" s="8" t="s">
        <v>939</v>
      </c>
      <c r="L1387" s="8" t="s">
        <v>276</v>
      </c>
      <c r="M1387" s="8" t="s">
        <v>276</v>
      </c>
      <c r="N1387" s="9" t="s">
        <v>8475</v>
      </c>
      <c r="O1387" s="9" t="s">
        <v>8476</v>
      </c>
      <c r="P1387" s="9" t="s">
        <v>239</v>
      </c>
      <c r="Q1387" s="52" t="s">
        <v>8524</v>
      </c>
      <c r="R1387" s="9" t="s">
        <v>276</v>
      </c>
      <c r="S1387" s="9" t="s">
        <v>276</v>
      </c>
      <c r="T1387" s="9" t="s">
        <v>276</v>
      </c>
      <c r="U1387" s="9">
        <v>1</v>
      </c>
      <c r="V1387" s="8" t="s">
        <v>14</v>
      </c>
      <c r="W1387" s="8" t="s">
        <v>98</v>
      </c>
      <c r="X1387" s="9" t="s">
        <v>208</v>
      </c>
      <c r="Y1387" s="13">
        <v>26722</v>
      </c>
      <c r="Z1387" s="9">
        <v>26732</v>
      </c>
      <c r="AA1387" s="9" t="s">
        <v>276</v>
      </c>
      <c r="AB1387" s="9" t="s">
        <v>276</v>
      </c>
      <c r="AC1387" s="8">
        <v>3</v>
      </c>
      <c r="AD1387" s="8" t="s">
        <v>968</v>
      </c>
      <c r="AE1387" s="8">
        <v>1</v>
      </c>
      <c r="AF1387" s="8" t="s">
        <v>968</v>
      </c>
      <c r="AG1387" s="9" t="s">
        <v>8531</v>
      </c>
      <c r="AH1387" s="9" t="s">
        <v>866</v>
      </c>
      <c r="AI1387" s="38">
        <v>11</v>
      </c>
      <c r="AJ1387" s="38">
        <v>7</v>
      </c>
      <c r="AK1387" s="38">
        <v>26722</v>
      </c>
      <c r="AL1387" s="38">
        <v>26732</v>
      </c>
      <c r="AM1387" s="38" t="s">
        <v>292</v>
      </c>
      <c r="AN1387" s="8" t="s">
        <v>276</v>
      </c>
      <c r="AO1387" s="14">
        <f t="shared" si="412"/>
        <v>4.1164583489259783E-2</v>
      </c>
      <c r="AP1387" s="8" t="s">
        <v>276</v>
      </c>
      <c r="AQ1387" s="8" t="s">
        <v>276</v>
      </c>
      <c r="AR1387" s="8" t="s">
        <v>276</v>
      </c>
      <c r="AS1387" s="14">
        <f t="shared" si="413"/>
        <v>2.6185844680532696E-2</v>
      </c>
      <c r="AT1387" s="8" t="s">
        <v>276</v>
      </c>
      <c r="AU1387" s="8" t="s">
        <v>276</v>
      </c>
      <c r="AV1387" s="9" t="s">
        <v>268</v>
      </c>
      <c r="AW1387" s="40" t="s">
        <v>276</v>
      </c>
      <c r="AX1387" s="40">
        <f t="shared" si="414"/>
        <v>1.5720166369069892</v>
      </c>
      <c r="AY1387" s="9" t="s">
        <v>276</v>
      </c>
      <c r="AZ1387" s="9" t="s">
        <v>276</v>
      </c>
      <c r="BA1387" s="9" t="s">
        <v>276</v>
      </c>
      <c r="BB1387" s="9" t="s">
        <v>282</v>
      </c>
      <c r="BC1387" s="9" t="s">
        <v>276</v>
      </c>
      <c r="BD1387" s="9" t="s">
        <v>276</v>
      </c>
      <c r="BE1387" s="9" t="s">
        <v>276</v>
      </c>
      <c r="BF1387" s="9" t="s">
        <v>8413</v>
      </c>
      <c r="BG1387" s="9"/>
      <c r="BH1387" s="9" t="s">
        <v>100</v>
      </c>
      <c r="BI1387" s="9" t="s">
        <v>100</v>
      </c>
      <c r="BJ1387" s="32"/>
      <c r="BN1387" s="32"/>
      <c r="BO1387" s="32"/>
    </row>
    <row r="1388" spans="1:67" s="33" customFormat="1" ht="52" hidden="1" x14ac:dyDescent="0.35">
      <c r="A1388" s="8">
        <v>398</v>
      </c>
      <c r="B1388" s="8" t="s">
        <v>8373</v>
      </c>
      <c r="C1388" s="8" t="s">
        <v>83</v>
      </c>
      <c r="D1388" s="9" t="s">
        <v>8532</v>
      </c>
      <c r="E1388" s="8" t="s">
        <v>39</v>
      </c>
      <c r="F1388" s="8" t="s">
        <v>143</v>
      </c>
      <c r="G1388" s="8" t="s">
        <v>262</v>
      </c>
      <c r="H1388" s="8" t="s">
        <v>225</v>
      </c>
      <c r="I1388" s="8" t="s">
        <v>98</v>
      </c>
      <c r="J1388" s="9" t="s">
        <v>25</v>
      </c>
      <c r="K1388" s="8" t="s">
        <v>942</v>
      </c>
      <c r="L1388" s="8" t="s">
        <v>276</v>
      </c>
      <c r="M1388" s="8" t="s">
        <v>276</v>
      </c>
      <c r="N1388" s="9" t="s">
        <v>8475</v>
      </c>
      <c r="O1388" s="9" t="s">
        <v>8476</v>
      </c>
      <c r="P1388" s="9" t="s">
        <v>239</v>
      </c>
      <c r="Q1388" s="52" t="s">
        <v>8524</v>
      </c>
      <c r="R1388" s="9" t="s">
        <v>276</v>
      </c>
      <c r="S1388" s="9" t="s">
        <v>276</v>
      </c>
      <c r="T1388" s="9" t="s">
        <v>276</v>
      </c>
      <c r="U1388" s="9">
        <v>1</v>
      </c>
      <c r="V1388" s="8" t="s">
        <v>14</v>
      </c>
      <c r="W1388" s="8" t="s">
        <v>98</v>
      </c>
      <c r="X1388" s="9" t="s">
        <v>208</v>
      </c>
      <c r="Y1388" s="13">
        <v>26722</v>
      </c>
      <c r="Z1388" s="9">
        <v>26732</v>
      </c>
      <c r="AA1388" s="9" t="s">
        <v>276</v>
      </c>
      <c r="AB1388" s="9" t="s">
        <v>276</v>
      </c>
      <c r="AC1388" s="8">
        <v>3</v>
      </c>
      <c r="AD1388" s="8" t="s">
        <v>968</v>
      </c>
      <c r="AE1388" s="8">
        <v>1</v>
      </c>
      <c r="AF1388" s="8" t="s">
        <v>968</v>
      </c>
      <c r="AG1388" s="9" t="s">
        <v>8533</v>
      </c>
      <c r="AH1388" s="9" t="s">
        <v>866</v>
      </c>
      <c r="AI1388" s="38">
        <v>7</v>
      </c>
      <c r="AJ1388" s="38">
        <v>5</v>
      </c>
      <c r="AK1388" s="38">
        <v>26722</v>
      </c>
      <c r="AL1388" s="38">
        <v>26732</v>
      </c>
      <c r="AM1388" s="38" t="s">
        <v>292</v>
      </c>
      <c r="AN1388" s="8" t="s">
        <v>276</v>
      </c>
      <c r="AO1388" s="14">
        <f t="shared" si="412"/>
        <v>2.6195644038619865E-2</v>
      </c>
      <c r="AP1388" s="8" t="s">
        <v>276</v>
      </c>
      <c r="AQ1388" s="8" t="s">
        <v>276</v>
      </c>
      <c r="AR1388" s="8" t="s">
        <v>276</v>
      </c>
      <c r="AS1388" s="14">
        <f t="shared" si="413"/>
        <v>1.8704174771809069E-2</v>
      </c>
      <c r="AT1388" s="8" t="s">
        <v>276</v>
      </c>
      <c r="AU1388" s="8" t="s">
        <v>276</v>
      </c>
      <c r="AV1388" s="9" t="s">
        <v>268</v>
      </c>
      <c r="AW1388" s="40" t="s">
        <v>276</v>
      </c>
      <c r="AX1388" s="40">
        <f t="shared" si="414"/>
        <v>1.4005239128807725</v>
      </c>
      <c r="AY1388" s="9" t="s">
        <v>276</v>
      </c>
      <c r="AZ1388" s="9" t="s">
        <v>276</v>
      </c>
      <c r="BA1388" s="9" t="s">
        <v>276</v>
      </c>
      <c r="BB1388" s="9" t="s">
        <v>282</v>
      </c>
      <c r="BC1388" s="9" t="s">
        <v>276</v>
      </c>
      <c r="BD1388" s="9" t="s">
        <v>276</v>
      </c>
      <c r="BE1388" s="9" t="s">
        <v>276</v>
      </c>
      <c r="BF1388" s="9" t="s">
        <v>8413</v>
      </c>
      <c r="BG1388" s="9"/>
      <c r="BH1388" s="9" t="s">
        <v>100</v>
      </c>
      <c r="BI1388" s="9" t="s">
        <v>100</v>
      </c>
      <c r="BJ1388" s="32"/>
      <c r="BN1388" s="32"/>
      <c r="BO1388" s="32"/>
    </row>
    <row r="1389" spans="1:67" s="33" customFormat="1" ht="52" hidden="1" x14ac:dyDescent="0.35">
      <c r="A1389" s="8">
        <v>398</v>
      </c>
      <c r="B1389" s="8" t="s">
        <v>8373</v>
      </c>
      <c r="C1389" s="8" t="s">
        <v>83</v>
      </c>
      <c r="D1389" s="9" t="s">
        <v>8534</v>
      </c>
      <c r="E1389" s="8" t="s">
        <v>39</v>
      </c>
      <c r="F1389" s="8" t="s">
        <v>143</v>
      </c>
      <c r="G1389" s="8" t="s">
        <v>262</v>
      </c>
      <c r="H1389" s="8" t="s">
        <v>225</v>
      </c>
      <c r="I1389" s="8" t="s">
        <v>98</v>
      </c>
      <c r="J1389" s="9" t="s">
        <v>25</v>
      </c>
      <c r="K1389" s="8" t="s">
        <v>304</v>
      </c>
      <c r="L1389" s="8" t="s">
        <v>276</v>
      </c>
      <c r="M1389" s="8" t="s">
        <v>276</v>
      </c>
      <c r="N1389" s="9" t="s">
        <v>8475</v>
      </c>
      <c r="O1389" s="9" t="s">
        <v>8476</v>
      </c>
      <c r="P1389" s="9" t="s">
        <v>239</v>
      </c>
      <c r="Q1389" s="52" t="s">
        <v>8524</v>
      </c>
      <c r="R1389" s="9" t="s">
        <v>276</v>
      </c>
      <c r="S1389" s="9" t="s">
        <v>276</v>
      </c>
      <c r="T1389" s="9" t="s">
        <v>276</v>
      </c>
      <c r="U1389" s="9">
        <v>1</v>
      </c>
      <c r="V1389" s="8" t="s">
        <v>14</v>
      </c>
      <c r="W1389" s="8" t="s">
        <v>98</v>
      </c>
      <c r="X1389" s="9" t="s">
        <v>208</v>
      </c>
      <c r="Y1389" s="13">
        <v>26722</v>
      </c>
      <c r="Z1389" s="9">
        <v>26732</v>
      </c>
      <c r="AA1389" s="9" t="s">
        <v>276</v>
      </c>
      <c r="AB1389" s="9" t="s">
        <v>276</v>
      </c>
      <c r="AC1389" s="8">
        <v>3</v>
      </c>
      <c r="AD1389" s="8" t="s">
        <v>968</v>
      </c>
      <c r="AE1389" s="8">
        <v>1</v>
      </c>
      <c r="AF1389" s="8" t="s">
        <v>968</v>
      </c>
      <c r="AG1389" s="9" t="s">
        <v>8535</v>
      </c>
      <c r="AH1389" s="9" t="s">
        <v>866</v>
      </c>
      <c r="AI1389" s="38">
        <f>AI1387+AI1388</f>
        <v>18</v>
      </c>
      <c r="AJ1389" s="38">
        <f>AJ1387+AJ1388</f>
        <v>12</v>
      </c>
      <c r="AK1389" s="38">
        <v>26722</v>
      </c>
      <c r="AL1389" s="38">
        <v>26732</v>
      </c>
      <c r="AM1389" s="38" t="s">
        <v>292</v>
      </c>
      <c r="AN1389" s="8" t="s">
        <v>276</v>
      </c>
      <c r="AO1389" s="14">
        <f t="shared" si="412"/>
        <v>6.7360227527879651E-2</v>
      </c>
      <c r="AP1389" s="8" t="s">
        <v>276</v>
      </c>
      <c r="AQ1389" s="8" t="s">
        <v>276</v>
      </c>
      <c r="AR1389" s="8" t="s">
        <v>276</v>
      </c>
      <c r="AS1389" s="14">
        <f t="shared" si="413"/>
        <v>4.4890019452341764E-2</v>
      </c>
      <c r="AT1389" s="8" t="s">
        <v>276</v>
      </c>
      <c r="AU1389" s="8" t="s">
        <v>276</v>
      </c>
      <c r="AV1389" s="9" t="s">
        <v>268</v>
      </c>
      <c r="AW1389" s="40" t="s">
        <v>276</v>
      </c>
      <c r="AX1389" s="40">
        <f t="shared" si="414"/>
        <v>1.5005613352293989</v>
      </c>
      <c r="AY1389" s="9" t="s">
        <v>276</v>
      </c>
      <c r="AZ1389" s="9" t="s">
        <v>276</v>
      </c>
      <c r="BA1389" s="9" t="s">
        <v>276</v>
      </c>
      <c r="BB1389" s="9" t="s">
        <v>282</v>
      </c>
      <c r="BC1389" s="9" t="s">
        <v>276</v>
      </c>
      <c r="BD1389" s="9" t="s">
        <v>276</v>
      </c>
      <c r="BE1389" s="9" t="s">
        <v>276</v>
      </c>
      <c r="BF1389" s="9" t="s">
        <v>8413</v>
      </c>
      <c r="BG1389" s="9"/>
      <c r="BH1389" s="9" t="s">
        <v>100</v>
      </c>
      <c r="BI1389" s="9" t="s">
        <v>100</v>
      </c>
      <c r="BJ1389" s="32"/>
      <c r="BN1389" s="32"/>
      <c r="BO1389" s="32"/>
    </row>
    <row r="1390" spans="1:67" s="299" customFormat="1" ht="52" hidden="1" x14ac:dyDescent="0.35">
      <c r="A1390" s="291">
        <v>398</v>
      </c>
      <c r="B1390" s="291" t="s">
        <v>8373</v>
      </c>
      <c r="C1390" s="291" t="s">
        <v>83</v>
      </c>
      <c r="D1390" s="292" t="s">
        <v>8536</v>
      </c>
      <c r="E1390" s="291" t="s">
        <v>39</v>
      </c>
      <c r="F1390" s="291" t="s">
        <v>143</v>
      </c>
      <c r="G1390" s="291" t="s">
        <v>262</v>
      </c>
      <c r="H1390" s="291" t="s">
        <v>225</v>
      </c>
      <c r="I1390" s="291" t="s">
        <v>98</v>
      </c>
      <c r="J1390" s="292" t="s">
        <v>25</v>
      </c>
      <c r="K1390" s="291" t="s">
        <v>947</v>
      </c>
      <c r="L1390" s="291" t="s">
        <v>276</v>
      </c>
      <c r="M1390" s="291" t="s">
        <v>276</v>
      </c>
      <c r="N1390" s="292" t="s">
        <v>8475</v>
      </c>
      <c r="O1390" s="292" t="s">
        <v>8476</v>
      </c>
      <c r="P1390" s="292" t="s">
        <v>239</v>
      </c>
      <c r="Q1390" s="293" t="s">
        <v>8524</v>
      </c>
      <c r="R1390" s="292" t="s">
        <v>276</v>
      </c>
      <c r="S1390" s="292" t="s">
        <v>276</v>
      </c>
      <c r="T1390" s="292" t="s">
        <v>276</v>
      </c>
      <c r="U1390" s="292">
        <v>1</v>
      </c>
      <c r="V1390" s="291" t="s">
        <v>14</v>
      </c>
      <c r="W1390" s="291" t="s">
        <v>98</v>
      </c>
      <c r="X1390" s="292" t="s">
        <v>208</v>
      </c>
      <c r="Y1390" s="294">
        <v>26722</v>
      </c>
      <c r="Z1390" s="292">
        <v>26732</v>
      </c>
      <c r="AA1390" s="292" t="s">
        <v>276</v>
      </c>
      <c r="AB1390" s="292" t="s">
        <v>276</v>
      </c>
      <c r="AC1390" s="291">
        <v>3</v>
      </c>
      <c r="AD1390" s="291" t="s">
        <v>968</v>
      </c>
      <c r="AE1390" s="291">
        <v>1</v>
      </c>
      <c r="AF1390" s="291" t="s">
        <v>968</v>
      </c>
      <c r="AG1390" s="292" t="s">
        <v>8537</v>
      </c>
      <c r="AH1390" s="292" t="s">
        <v>866</v>
      </c>
      <c r="AI1390" s="295">
        <v>14</v>
      </c>
      <c r="AJ1390" s="295">
        <v>14</v>
      </c>
      <c r="AK1390" s="295">
        <v>26722</v>
      </c>
      <c r="AL1390" s="295">
        <v>26732</v>
      </c>
      <c r="AM1390" s="295" t="s">
        <v>292</v>
      </c>
      <c r="AN1390" s="291" t="s">
        <v>276</v>
      </c>
      <c r="AO1390" s="296">
        <f t="shared" si="412"/>
        <v>5.239128807723973E-2</v>
      </c>
      <c r="AP1390" s="291" t="s">
        <v>276</v>
      </c>
      <c r="AQ1390" s="291" t="s">
        <v>276</v>
      </c>
      <c r="AR1390" s="291" t="s">
        <v>276</v>
      </c>
      <c r="AS1390" s="296">
        <f t="shared" si="413"/>
        <v>5.2371689361065392E-2</v>
      </c>
      <c r="AT1390" s="291" t="s">
        <v>276</v>
      </c>
      <c r="AU1390" s="291" t="s">
        <v>276</v>
      </c>
      <c r="AV1390" s="292" t="s">
        <v>268</v>
      </c>
      <c r="AW1390" s="297" t="s">
        <v>276</v>
      </c>
      <c r="AX1390" s="297">
        <f t="shared" si="414"/>
        <v>1.000374223486266</v>
      </c>
      <c r="AY1390" s="292" t="s">
        <v>276</v>
      </c>
      <c r="AZ1390" s="292" t="s">
        <v>276</v>
      </c>
      <c r="BA1390" s="292" t="s">
        <v>276</v>
      </c>
      <c r="BB1390" s="292" t="s">
        <v>282</v>
      </c>
      <c r="BC1390" s="292" t="s">
        <v>276</v>
      </c>
      <c r="BD1390" s="292" t="s">
        <v>276</v>
      </c>
      <c r="BE1390" s="292" t="s">
        <v>276</v>
      </c>
      <c r="BF1390" s="292" t="s">
        <v>8413</v>
      </c>
      <c r="BG1390" s="292"/>
      <c r="BH1390" s="9" t="s">
        <v>100</v>
      </c>
      <c r="BI1390" s="9" t="s">
        <v>100</v>
      </c>
      <c r="BJ1390" s="298"/>
      <c r="BN1390" s="298"/>
      <c r="BO1390" s="298"/>
    </row>
    <row r="1391" spans="1:67" s="299" customFormat="1" ht="52" hidden="1" x14ac:dyDescent="0.35">
      <c r="A1391" s="291">
        <v>398</v>
      </c>
      <c r="B1391" s="291" t="s">
        <v>8373</v>
      </c>
      <c r="C1391" s="291" t="s">
        <v>83</v>
      </c>
      <c r="D1391" s="292" t="s">
        <v>8532</v>
      </c>
      <c r="E1391" s="291" t="s">
        <v>39</v>
      </c>
      <c r="F1391" s="291" t="s">
        <v>143</v>
      </c>
      <c r="G1391" s="291" t="s">
        <v>262</v>
      </c>
      <c r="H1391" s="291" t="s">
        <v>225</v>
      </c>
      <c r="I1391" s="291" t="s">
        <v>98</v>
      </c>
      <c r="J1391" s="292" t="s">
        <v>25</v>
      </c>
      <c r="K1391" s="291" t="s">
        <v>950</v>
      </c>
      <c r="L1391" s="291" t="s">
        <v>276</v>
      </c>
      <c r="M1391" s="291" t="s">
        <v>276</v>
      </c>
      <c r="N1391" s="292" t="s">
        <v>8475</v>
      </c>
      <c r="O1391" s="292" t="s">
        <v>8476</v>
      </c>
      <c r="P1391" s="292" t="s">
        <v>239</v>
      </c>
      <c r="Q1391" s="293" t="s">
        <v>8524</v>
      </c>
      <c r="R1391" s="292" t="s">
        <v>276</v>
      </c>
      <c r="S1391" s="292" t="s">
        <v>276</v>
      </c>
      <c r="T1391" s="292" t="s">
        <v>276</v>
      </c>
      <c r="U1391" s="292">
        <v>1</v>
      </c>
      <c r="V1391" s="291" t="s">
        <v>14</v>
      </c>
      <c r="W1391" s="291" t="s">
        <v>98</v>
      </c>
      <c r="X1391" s="292" t="s">
        <v>208</v>
      </c>
      <c r="Y1391" s="294">
        <v>26722</v>
      </c>
      <c r="Z1391" s="292">
        <v>26732</v>
      </c>
      <c r="AA1391" s="292" t="s">
        <v>276</v>
      </c>
      <c r="AB1391" s="292" t="s">
        <v>276</v>
      </c>
      <c r="AC1391" s="291">
        <v>3</v>
      </c>
      <c r="AD1391" s="291" t="s">
        <v>968</v>
      </c>
      <c r="AE1391" s="291">
        <v>1</v>
      </c>
      <c r="AF1391" s="291" t="s">
        <v>968</v>
      </c>
      <c r="AG1391" s="292" t="s">
        <v>8538</v>
      </c>
      <c r="AH1391" s="292" t="s">
        <v>866</v>
      </c>
      <c r="AI1391" s="295">
        <v>19</v>
      </c>
      <c r="AJ1391" s="295">
        <v>12</v>
      </c>
      <c r="AK1391" s="295">
        <v>26722</v>
      </c>
      <c r="AL1391" s="295">
        <v>26732</v>
      </c>
      <c r="AM1391" s="295" t="s">
        <v>292</v>
      </c>
      <c r="AN1391" s="291" t="s">
        <v>276</v>
      </c>
      <c r="AO1391" s="296">
        <f t="shared" si="412"/>
        <v>7.1102462390539634E-2</v>
      </c>
      <c r="AP1391" s="291" t="s">
        <v>276</v>
      </c>
      <c r="AQ1391" s="291" t="s">
        <v>276</v>
      </c>
      <c r="AR1391" s="291" t="s">
        <v>276</v>
      </c>
      <c r="AS1391" s="296">
        <f t="shared" si="413"/>
        <v>4.4890019452341764E-2</v>
      </c>
      <c r="AT1391" s="291" t="s">
        <v>276</v>
      </c>
      <c r="AU1391" s="291" t="s">
        <v>276</v>
      </c>
      <c r="AV1391" s="292" t="s">
        <v>268</v>
      </c>
      <c r="AW1391" s="297" t="s">
        <v>276</v>
      </c>
      <c r="AX1391" s="297">
        <f t="shared" si="414"/>
        <v>1.5839258538532546</v>
      </c>
      <c r="AY1391" s="292" t="s">
        <v>276</v>
      </c>
      <c r="AZ1391" s="292" t="s">
        <v>276</v>
      </c>
      <c r="BA1391" s="292" t="s">
        <v>276</v>
      </c>
      <c r="BB1391" s="292" t="s">
        <v>282</v>
      </c>
      <c r="BC1391" s="292" t="s">
        <v>276</v>
      </c>
      <c r="BD1391" s="292" t="s">
        <v>276</v>
      </c>
      <c r="BE1391" s="292" t="s">
        <v>276</v>
      </c>
      <c r="BF1391" s="292" t="s">
        <v>8413</v>
      </c>
      <c r="BG1391" s="292"/>
      <c r="BH1391" s="9" t="s">
        <v>100</v>
      </c>
      <c r="BI1391" s="9" t="s">
        <v>100</v>
      </c>
      <c r="BJ1391" s="298"/>
      <c r="BN1391" s="298"/>
      <c r="BO1391" s="298"/>
    </row>
    <row r="1392" spans="1:67" s="299" customFormat="1" ht="52" hidden="1" x14ac:dyDescent="0.35">
      <c r="A1392" s="291">
        <v>398</v>
      </c>
      <c r="B1392" s="291" t="s">
        <v>8373</v>
      </c>
      <c r="C1392" s="291" t="s">
        <v>83</v>
      </c>
      <c r="D1392" s="292" t="s">
        <v>8539</v>
      </c>
      <c r="E1392" s="291" t="s">
        <v>39</v>
      </c>
      <c r="F1392" s="291" t="s">
        <v>143</v>
      </c>
      <c r="G1392" s="291" t="s">
        <v>262</v>
      </c>
      <c r="H1392" s="291" t="s">
        <v>225</v>
      </c>
      <c r="I1392" s="291" t="s">
        <v>98</v>
      </c>
      <c r="J1392" s="292" t="s">
        <v>25</v>
      </c>
      <c r="K1392" s="291" t="s">
        <v>311</v>
      </c>
      <c r="L1392" s="291" t="s">
        <v>276</v>
      </c>
      <c r="M1392" s="291" t="s">
        <v>276</v>
      </c>
      <c r="N1392" s="292" t="s">
        <v>8475</v>
      </c>
      <c r="O1392" s="292" t="s">
        <v>8476</v>
      </c>
      <c r="P1392" s="292" t="s">
        <v>239</v>
      </c>
      <c r="Q1392" s="293" t="s">
        <v>8524</v>
      </c>
      <c r="R1392" s="292" t="s">
        <v>276</v>
      </c>
      <c r="S1392" s="292" t="s">
        <v>276</v>
      </c>
      <c r="T1392" s="292" t="s">
        <v>276</v>
      </c>
      <c r="U1392" s="292">
        <v>1</v>
      </c>
      <c r="V1392" s="291" t="s">
        <v>14</v>
      </c>
      <c r="W1392" s="291" t="s">
        <v>98</v>
      </c>
      <c r="X1392" s="292" t="s">
        <v>208</v>
      </c>
      <c r="Y1392" s="294">
        <v>26722</v>
      </c>
      <c r="Z1392" s="292">
        <v>26732</v>
      </c>
      <c r="AA1392" s="292" t="s">
        <v>276</v>
      </c>
      <c r="AB1392" s="292" t="s">
        <v>276</v>
      </c>
      <c r="AC1392" s="291">
        <v>3</v>
      </c>
      <c r="AD1392" s="291" t="s">
        <v>968</v>
      </c>
      <c r="AE1392" s="291">
        <v>1</v>
      </c>
      <c r="AF1392" s="291" t="s">
        <v>968</v>
      </c>
      <c r="AG1392" s="292" t="s">
        <v>8540</v>
      </c>
      <c r="AH1392" s="292" t="s">
        <v>866</v>
      </c>
      <c r="AI1392" s="295">
        <f>AI1390+AI1391</f>
        <v>33</v>
      </c>
      <c r="AJ1392" s="295">
        <f>AJ1390+AJ1391</f>
        <v>26</v>
      </c>
      <c r="AK1392" s="295">
        <v>26722</v>
      </c>
      <c r="AL1392" s="295">
        <v>26732</v>
      </c>
      <c r="AM1392" s="295" t="s">
        <v>292</v>
      </c>
      <c r="AN1392" s="291" t="s">
        <v>276</v>
      </c>
      <c r="AO1392" s="296">
        <f t="shared" si="412"/>
        <v>0.12349375046777936</v>
      </c>
      <c r="AP1392" s="291" t="s">
        <v>276</v>
      </c>
      <c r="AQ1392" s="291" t="s">
        <v>276</v>
      </c>
      <c r="AR1392" s="291" t="s">
        <v>276</v>
      </c>
      <c r="AS1392" s="296">
        <f t="shared" si="413"/>
        <v>9.7261708813407149E-2</v>
      </c>
      <c r="AT1392" s="291" t="s">
        <v>276</v>
      </c>
      <c r="AU1392" s="291" t="s">
        <v>276</v>
      </c>
      <c r="AV1392" s="292" t="s">
        <v>268</v>
      </c>
      <c r="AW1392" s="297" t="s">
        <v>276</v>
      </c>
      <c r="AX1392" s="297">
        <f t="shared" si="414"/>
        <v>1.2697057451941069</v>
      </c>
      <c r="AY1392" s="292" t="s">
        <v>276</v>
      </c>
      <c r="AZ1392" s="292" t="s">
        <v>276</v>
      </c>
      <c r="BA1392" s="292" t="s">
        <v>276</v>
      </c>
      <c r="BB1392" s="292" t="s">
        <v>282</v>
      </c>
      <c r="BC1392" s="292" t="s">
        <v>276</v>
      </c>
      <c r="BD1392" s="292" t="s">
        <v>276</v>
      </c>
      <c r="BE1392" s="292" t="s">
        <v>276</v>
      </c>
      <c r="BF1392" s="292" t="s">
        <v>8413</v>
      </c>
      <c r="BG1392" s="292"/>
      <c r="BH1392" s="9" t="s">
        <v>100</v>
      </c>
      <c r="BI1392" s="9" t="s">
        <v>100</v>
      </c>
      <c r="BJ1392" s="298"/>
      <c r="BN1392" s="298"/>
      <c r="BO1392" s="298"/>
    </row>
    <row r="1393" spans="1:68" s="33" customFormat="1" ht="52" hidden="1" x14ac:dyDescent="0.35">
      <c r="A1393" s="8">
        <v>398</v>
      </c>
      <c r="B1393" s="8" t="s">
        <v>8373</v>
      </c>
      <c r="C1393" s="8" t="s">
        <v>83</v>
      </c>
      <c r="D1393" s="9" t="s">
        <v>8541</v>
      </c>
      <c r="E1393" s="8" t="s">
        <v>39</v>
      </c>
      <c r="F1393" s="8" t="s">
        <v>143</v>
      </c>
      <c r="G1393" s="8" t="s">
        <v>262</v>
      </c>
      <c r="H1393" s="8" t="s">
        <v>225</v>
      </c>
      <c r="I1393" s="8" t="s">
        <v>98</v>
      </c>
      <c r="J1393" s="9" t="s">
        <v>25</v>
      </c>
      <c r="K1393" s="8" t="s">
        <v>314</v>
      </c>
      <c r="L1393" s="8" t="s">
        <v>276</v>
      </c>
      <c r="M1393" s="8" t="s">
        <v>276</v>
      </c>
      <c r="N1393" s="9" t="s">
        <v>8475</v>
      </c>
      <c r="O1393" s="9" t="s">
        <v>8476</v>
      </c>
      <c r="P1393" s="9" t="s">
        <v>239</v>
      </c>
      <c r="Q1393" s="52" t="s">
        <v>8524</v>
      </c>
      <c r="R1393" s="9" t="s">
        <v>276</v>
      </c>
      <c r="S1393" s="9" t="s">
        <v>276</v>
      </c>
      <c r="T1393" s="9" t="s">
        <v>276</v>
      </c>
      <c r="U1393" s="9">
        <v>1</v>
      </c>
      <c r="V1393" s="8" t="s">
        <v>14</v>
      </c>
      <c r="W1393" s="8" t="s">
        <v>98</v>
      </c>
      <c r="X1393" s="9" t="s">
        <v>208</v>
      </c>
      <c r="Y1393" s="13">
        <v>26722</v>
      </c>
      <c r="Z1393" s="9">
        <v>26732</v>
      </c>
      <c r="AA1393" s="9" t="s">
        <v>276</v>
      </c>
      <c r="AB1393" s="9" t="s">
        <v>276</v>
      </c>
      <c r="AC1393" s="8">
        <v>3</v>
      </c>
      <c r="AD1393" s="8" t="s">
        <v>968</v>
      </c>
      <c r="AE1393" s="8">
        <v>1</v>
      </c>
      <c r="AF1393" s="8" t="s">
        <v>968</v>
      </c>
      <c r="AG1393" s="9" t="s">
        <v>8542</v>
      </c>
      <c r="AH1393" s="9" t="s">
        <v>866</v>
      </c>
      <c r="AI1393" s="38">
        <v>24</v>
      </c>
      <c r="AJ1393" s="38">
        <v>52</v>
      </c>
      <c r="AK1393" s="38">
        <v>26722</v>
      </c>
      <c r="AL1393" s="38">
        <v>26732</v>
      </c>
      <c r="AM1393" s="38" t="s">
        <v>292</v>
      </c>
      <c r="AN1393" s="8" t="s">
        <v>276</v>
      </c>
      <c r="AO1393" s="14">
        <f t="shared" ref="AO1393" si="423">AI1393*100/AK1393</f>
        <v>8.9813636703839531E-2</v>
      </c>
      <c r="AP1393" s="8" t="s">
        <v>276</v>
      </c>
      <c r="AQ1393" s="8" t="s">
        <v>276</v>
      </c>
      <c r="AR1393" s="8" t="s">
        <v>276</v>
      </c>
      <c r="AS1393" s="14">
        <f t="shared" ref="AS1393" si="424">AJ1393*100/AL1393</f>
        <v>0.1945234176268143</v>
      </c>
      <c r="AT1393" s="8" t="s">
        <v>276</v>
      </c>
      <c r="AU1393" s="8" t="s">
        <v>276</v>
      </c>
      <c r="AV1393" s="9" t="s">
        <v>268</v>
      </c>
      <c r="AW1393" s="40" t="s">
        <v>276</v>
      </c>
      <c r="AX1393" s="40">
        <f t="shared" ref="AX1393" si="425">AO1393/AS1393</f>
        <v>0.46171118007058431</v>
      </c>
      <c r="AY1393" s="9" t="s">
        <v>276</v>
      </c>
      <c r="AZ1393" s="9" t="s">
        <v>276</v>
      </c>
      <c r="BA1393" s="9" t="s">
        <v>276</v>
      </c>
      <c r="BB1393" s="9" t="s">
        <v>282</v>
      </c>
      <c r="BC1393" s="9" t="s">
        <v>276</v>
      </c>
      <c r="BD1393" s="9" t="s">
        <v>276</v>
      </c>
      <c r="BE1393" s="9" t="s">
        <v>276</v>
      </c>
      <c r="BF1393" s="9" t="s">
        <v>8413</v>
      </c>
      <c r="BG1393" s="9"/>
      <c r="BH1393" s="9" t="s">
        <v>100</v>
      </c>
      <c r="BI1393" s="9" t="s">
        <v>100</v>
      </c>
      <c r="BJ1393" s="32"/>
      <c r="BN1393" s="32"/>
      <c r="BO1393" s="32"/>
    </row>
    <row r="1394" spans="1:68" s="33" customFormat="1" ht="65" hidden="1" x14ac:dyDescent="0.35">
      <c r="A1394" s="8">
        <v>398</v>
      </c>
      <c r="B1394" s="8" t="s">
        <v>8373</v>
      </c>
      <c r="C1394" s="8" t="s">
        <v>83</v>
      </c>
      <c r="D1394" s="9" t="s">
        <v>11595</v>
      </c>
      <c r="E1394" s="8" t="s">
        <v>39</v>
      </c>
      <c r="F1394" s="8" t="s">
        <v>143</v>
      </c>
      <c r="G1394" s="8" t="s">
        <v>262</v>
      </c>
      <c r="H1394" s="8" t="s">
        <v>225</v>
      </c>
      <c r="I1394" s="8" t="s">
        <v>98</v>
      </c>
      <c r="J1394" s="9" t="s">
        <v>25</v>
      </c>
      <c r="K1394" s="8" t="s">
        <v>317</v>
      </c>
      <c r="L1394" s="8" t="s">
        <v>276</v>
      </c>
      <c r="M1394" s="8" t="s">
        <v>276</v>
      </c>
      <c r="N1394" s="9" t="s">
        <v>8475</v>
      </c>
      <c r="O1394" s="9" t="s">
        <v>8476</v>
      </c>
      <c r="P1394" s="9" t="s">
        <v>239</v>
      </c>
      <c r="Q1394" s="52" t="s">
        <v>8524</v>
      </c>
      <c r="R1394" s="9" t="s">
        <v>276</v>
      </c>
      <c r="S1394" s="9" t="s">
        <v>276</v>
      </c>
      <c r="T1394" s="9" t="s">
        <v>276</v>
      </c>
      <c r="U1394" s="9">
        <v>1</v>
      </c>
      <c r="V1394" s="8" t="s">
        <v>14</v>
      </c>
      <c r="W1394" s="8" t="s">
        <v>98</v>
      </c>
      <c r="X1394" s="9" t="s">
        <v>208</v>
      </c>
      <c r="Y1394" s="13">
        <v>26722</v>
      </c>
      <c r="Z1394" s="9">
        <v>26732</v>
      </c>
      <c r="AA1394" s="9" t="s">
        <v>276</v>
      </c>
      <c r="AB1394" s="9" t="s">
        <v>276</v>
      </c>
      <c r="AC1394" s="8">
        <v>3</v>
      </c>
      <c r="AD1394" s="8" t="s">
        <v>968</v>
      </c>
      <c r="AE1394" s="8">
        <v>1</v>
      </c>
      <c r="AF1394" s="8" t="s">
        <v>968</v>
      </c>
      <c r="AG1394" s="9" t="s">
        <v>11596</v>
      </c>
      <c r="AH1394" s="9" t="s">
        <v>866</v>
      </c>
      <c r="AI1394" s="38">
        <f>64+47+33+24</f>
        <v>168</v>
      </c>
      <c r="AJ1394" s="38">
        <f>58+47+26+52</f>
        <v>183</v>
      </c>
      <c r="AK1394" s="38">
        <v>26722</v>
      </c>
      <c r="AL1394" s="38">
        <v>26732</v>
      </c>
      <c r="AM1394" s="38" t="s">
        <v>292</v>
      </c>
      <c r="AN1394" s="8" t="s">
        <v>276</v>
      </c>
      <c r="AO1394" s="14">
        <f t="shared" si="412"/>
        <v>0.62869545692687678</v>
      </c>
      <c r="AP1394" s="8" t="s">
        <v>276</v>
      </c>
      <c r="AQ1394" s="8" t="s">
        <v>276</v>
      </c>
      <c r="AR1394" s="8" t="s">
        <v>276</v>
      </c>
      <c r="AS1394" s="14">
        <f t="shared" si="413"/>
        <v>0.68457279664821191</v>
      </c>
      <c r="AT1394" s="8" t="s">
        <v>276</v>
      </c>
      <c r="AU1394" s="8" t="s">
        <v>276</v>
      </c>
      <c r="AV1394" s="9" t="s">
        <v>268</v>
      </c>
      <c r="AW1394" s="40" t="s">
        <v>276</v>
      </c>
      <c r="AX1394" s="40">
        <f t="shared" si="414"/>
        <v>0.91837633631526061</v>
      </c>
      <c r="AY1394" s="9" t="s">
        <v>276</v>
      </c>
      <c r="AZ1394" s="9" t="s">
        <v>276</v>
      </c>
      <c r="BA1394" s="9" t="s">
        <v>276</v>
      </c>
      <c r="BB1394" s="9" t="s">
        <v>282</v>
      </c>
      <c r="BC1394" s="9" t="s">
        <v>276</v>
      </c>
      <c r="BD1394" s="9" t="s">
        <v>276</v>
      </c>
      <c r="BE1394" s="9" t="s">
        <v>276</v>
      </c>
      <c r="BF1394" s="9" t="s">
        <v>8413</v>
      </c>
      <c r="BG1394" s="9"/>
      <c r="BH1394" s="9" t="s">
        <v>100</v>
      </c>
      <c r="BI1394" s="9" t="s">
        <v>100</v>
      </c>
      <c r="BJ1394" s="32"/>
      <c r="BN1394" s="32"/>
      <c r="BO1394" s="32"/>
    </row>
    <row r="1395" spans="1:68" s="299" customFormat="1" ht="52" hidden="1" x14ac:dyDescent="0.35">
      <c r="A1395" s="291">
        <v>398</v>
      </c>
      <c r="B1395" s="291" t="s">
        <v>8373</v>
      </c>
      <c r="C1395" s="291" t="s">
        <v>83</v>
      </c>
      <c r="D1395" s="292" t="s">
        <v>8543</v>
      </c>
      <c r="E1395" s="291" t="s">
        <v>39</v>
      </c>
      <c r="F1395" s="291" t="s">
        <v>143</v>
      </c>
      <c r="G1395" s="291" t="s">
        <v>262</v>
      </c>
      <c r="H1395" s="291" t="s">
        <v>225</v>
      </c>
      <c r="I1395" s="291" t="s">
        <v>98</v>
      </c>
      <c r="J1395" s="292" t="s">
        <v>25</v>
      </c>
      <c r="K1395" s="291" t="s">
        <v>930</v>
      </c>
      <c r="L1395" s="291" t="s">
        <v>276</v>
      </c>
      <c r="M1395" s="291" t="s">
        <v>276</v>
      </c>
      <c r="N1395" s="292" t="s">
        <v>8475</v>
      </c>
      <c r="O1395" s="292" t="s">
        <v>8476</v>
      </c>
      <c r="P1395" s="292" t="s">
        <v>239</v>
      </c>
      <c r="Q1395" s="293" t="s">
        <v>8544</v>
      </c>
      <c r="R1395" s="292" t="s">
        <v>276</v>
      </c>
      <c r="S1395" s="292" t="s">
        <v>276</v>
      </c>
      <c r="T1395" s="292" t="s">
        <v>276</v>
      </c>
      <c r="U1395" s="292">
        <v>1</v>
      </c>
      <c r="V1395" s="291" t="s">
        <v>14</v>
      </c>
      <c r="W1395" s="291" t="s">
        <v>98</v>
      </c>
      <c r="X1395" s="292" t="s">
        <v>208</v>
      </c>
      <c r="Y1395" s="294">
        <v>26722</v>
      </c>
      <c r="Z1395" s="292">
        <v>26732</v>
      </c>
      <c r="AA1395" s="292" t="s">
        <v>276</v>
      </c>
      <c r="AB1395" s="292" t="s">
        <v>276</v>
      </c>
      <c r="AC1395" s="291">
        <v>7</v>
      </c>
      <c r="AD1395" s="291" t="s">
        <v>968</v>
      </c>
      <c r="AE1395" s="291">
        <v>1</v>
      </c>
      <c r="AF1395" s="291" t="s">
        <v>968</v>
      </c>
      <c r="AG1395" s="292" t="s">
        <v>8545</v>
      </c>
      <c r="AH1395" s="292" t="s">
        <v>866</v>
      </c>
      <c r="AI1395" s="295">
        <v>116</v>
      </c>
      <c r="AJ1395" s="295">
        <v>35</v>
      </c>
      <c r="AK1395" s="295">
        <v>26722</v>
      </c>
      <c r="AL1395" s="295">
        <v>26732</v>
      </c>
      <c r="AM1395" s="295" t="s">
        <v>292</v>
      </c>
      <c r="AN1395" s="291" t="s">
        <v>276</v>
      </c>
      <c r="AO1395" s="296">
        <f t="shared" si="412"/>
        <v>0.43409924406855777</v>
      </c>
      <c r="AP1395" s="291" t="s">
        <v>276</v>
      </c>
      <c r="AQ1395" s="291" t="s">
        <v>276</v>
      </c>
      <c r="AR1395" s="291" t="s">
        <v>276</v>
      </c>
      <c r="AS1395" s="296">
        <f t="shared" si="413"/>
        <v>0.13092922340266347</v>
      </c>
      <c r="AT1395" s="291" t="s">
        <v>276</v>
      </c>
      <c r="AU1395" s="291" t="s">
        <v>276</v>
      </c>
      <c r="AV1395" s="292" t="s">
        <v>268</v>
      </c>
      <c r="AW1395" s="297" t="s">
        <v>276</v>
      </c>
      <c r="AX1395" s="297">
        <f t="shared" si="414"/>
        <v>3.3155259978401963</v>
      </c>
      <c r="AY1395" s="292" t="s">
        <v>276</v>
      </c>
      <c r="AZ1395" s="292" t="s">
        <v>276</v>
      </c>
      <c r="BA1395" s="292" t="s">
        <v>276</v>
      </c>
      <c r="BB1395" s="292" t="s">
        <v>282</v>
      </c>
      <c r="BC1395" s="292" t="s">
        <v>276</v>
      </c>
      <c r="BD1395" s="292" t="s">
        <v>276</v>
      </c>
      <c r="BE1395" s="292" t="s">
        <v>276</v>
      </c>
      <c r="BF1395" s="292" t="s">
        <v>8413</v>
      </c>
      <c r="BG1395" s="292"/>
      <c r="BH1395" s="9" t="s">
        <v>100</v>
      </c>
      <c r="BI1395" s="9" t="s">
        <v>100</v>
      </c>
      <c r="BJ1395" s="298"/>
      <c r="BN1395" s="298"/>
      <c r="BO1395" s="298"/>
    </row>
    <row r="1396" spans="1:68" s="299" customFormat="1" ht="52" hidden="1" x14ac:dyDescent="0.35">
      <c r="A1396" s="291">
        <v>398</v>
      </c>
      <c r="B1396" s="291" t="s">
        <v>8373</v>
      </c>
      <c r="C1396" s="291" t="s">
        <v>83</v>
      </c>
      <c r="D1396" s="292" t="s">
        <v>8546</v>
      </c>
      <c r="E1396" s="291" t="s">
        <v>39</v>
      </c>
      <c r="F1396" s="291" t="s">
        <v>143</v>
      </c>
      <c r="G1396" s="291" t="s">
        <v>262</v>
      </c>
      <c r="H1396" s="291" t="s">
        <v>225</v>
      </c>
      <c r="I1396" s="291" t="s">
        <v>98</v>
      </c>
      <c r="J1396" s="292" t="s">
        <v>25</v>
      </c>
      <c r="K1396" s="291" t="s">
        <v>934</v>
      </c>
      <c r="L1396" s="291" t="s">
        <v>276</v>
      </c>
      <c r="M1396" s="291" t="s">
        <v>276</v>
      </c>
      <c r="N1396" s="292" t="s">
        <v>8475</v>
      </c>
      <c r="O1396" s="292" t="s">
        <v>8476</v>
      </c>
      <c r="P1396" s="292" t="s">
        <v>239</v>
      </c>
      <c r="Q1396" s="293" t="s">
        <v>8544</v>
      </c>
      <c r="R1396" s="292" t="s">
        <v>276</v>
      </c>
      <c r="S1396" s="292" t="s">
        <v>276</v>
      </c>
      <c r="T1396" s="292" t="s">
        <v>276</v>
      </c>
      <c r="U1396" s="292">
        <v>1</v>
      </c>
      <c r="V1396" s="291" t="s">
        <v>14</v>
      </c>
      <c r="W1396" s="291" t="s">
        <v>98</v>
      </c>
      <c r="X1396" s="292" t="s">
        <v>208</v>
      </c>
      <c r="Y1396" s="294">
        <v>26722</v>
      </c>
      <c r="Z1396" s="292">
        <v>26732</v>
      </c>
      <c r="AA1396" s="292" t="s">
        <v>276</v>
      </c>
      <c r="AB1396" s="292" t="s">
        <v>276</v>
      </c>
      <c r="AC1396" s="291">
        <v>7</v>
      </c>
      <c r="AD1396" s="291" t="s">
        <v>968</v>
      </c>
      <c r="AE1396" s="291">
        <v>1</v>
      </c>
      <c r="AF1396" s="291" t="s">
        <v>968</v>
      </c>
      <c r="AG1396" s="292" t="s">
        <v>8547</v>
      </c>
      <c r="AH1396" s="292" t="s">
        <v>866</v>
      </c>
      <c r="AI1396" s="295">
        <v>31</v>
      </c>
      <c r="AJ1396" s="295">
        <v>13</v>
      </c>
      <c r="AK1396" s="295">
        <v>26722</v>
      </c>
      <c r="AL1396" s="295">
        <v>26732</v>
      </c>
      <c r="AM1396" s="295" t="s">
        <v>292</v>
      </c>
      <c r="AN1396" s="291" t="s">
        <v>276</v>
      </c>
      <c r="AO1396" s="296">
        <f t="shared" si="412"/>
        <v>0.11600928074245939</v>
      </c>
      <c r="AP1396" s="291" t="s">
        <v>276</v>
      </c>
      <c r="AQ1396" s="291" t="s">
        <v>276</v>
      </c>
      <c r="AR1396" s="291" t="s">
        <v>276</v>
      </c>
      <c r="AS1396" s="296">
        <f t="shared" si="413"/>
        <v>4.8630854406703575E-2</v>
      </c>
      <c r="AT1396" s="291" t="s">
        <v>276</v>
      </c>
      <c r="AU1396" s="291" t="s">
        <v>276</v>
      </c>
      <c r="AV1396" s="292" t="s">
        <v>268</v>
      </c>
      <c r="AW1396" s="297" t="s">
        <v>276</v>
      </c>
      <c r="AX1396" s="297">
        <f t="shared" si="414"/>
        <v>2.3855077636980191</v>
      </c>
      <c r="AY1396" s="292" t="s">
        <v>276</v>
      </c>
      <c r="AZ1396" s="292" t="s">
        <v>276</v>
      </c>
      <c r="BA1396" s="292" t="s">
        <v>276</v>
      </c>
      <c r="BB1396" s="292" t="s">
        <v>282</v>
      </c>
      <c r="BC1396" s="292" t="s">
        <v>276</v>
      </c>
      <c r="BD1396" s="292" t="s">
        <v>276</v>
      </c>
      <c r="BE1396" s="292" t="s">
        <v>276</v>
      </c>
      <c r="BF1396" s="292" t="s">
        <v>8413</v>
      </c>
      <c r="BG1396" s="292"/>
      <c r="BH1396" s="9" t="s">
        <v>100</v>
      </c>
      <c r="BI1396" s="9" t="s">
        <v>100</v>
      </c>
      <c r="BJ1396" s="298"/>
      <c r="BN1396" s="298"/>
      <c r="BO1396" s="298"/>
    </row>
    <row r="1397" spans="1:68" s="299" customFormat="1" ht="52" hidden="1" x14ac:dyDescent="0.35">
      <c r="A1397" s="291">
        <v>398</v>
      </c>
      <c r="B1397" s="291" t="s">
        <v>8373</v>
      </c>
      <c r="C1397" s="291" t="s">
        <v>83</v>
      </c>
      <c r="D1397" s="292" t="s">
        <v>8548</v>
      </c>
      <c r="E1397" s="291" t="s">
        <v>39</v>
      </c>
      <c r="F1397" s="291" t="s">
        <v>143</v>
      </c>
      <c r="G1397" s="291" t="s">
        <v>262</v>
      </c>
      <c r="H1397" s="291" t="s">
        <v>225</v>
      </c>
      <c r="I1397" s="291" t="s">
        <v>98</v>
      </c>
      <c r="J1397" s="292" t="s">
        <v>25</v>
      </c>
      <c r="K1397" s="291" t="s">
        <v>300</v>
      </c>
      <c r="L1397" s="291" t="s">
        <v>276</v>
      </c>
      <c r="M1397" s="291" t="s">
        <v>276</v>
      </c>
      <c r="N1397" s="292" t="s">
        <v>8475</v>
      </c>
      <c r="O1397" s="292" t="s">
        <v>8476</v>
      </c>
      <c r="P1397" s="292" t="s">
        <v>239</v>
      </c>
      <c r="Q1397" s="293" t="s">
        <v>8544</v>
      </c>
      <c r="R1397" s="292" t="s">
        <v>276</v>
      </c>
      <c r="S1397" s="292" t="s">
        <v>276</v>
      </c>
      <c r="T1397" s="292" t="s">
        <v>276</v>
      </c>
      <c r="U1397" s="292">
        <v>1</v>
      </c>
      <c r="V1397" s="291" t="s">
        <v>14</v>
      </c>
      <c r="W1397" s="291" t="s">
        <v>98</v>
      </c>
      <c r="X1397" s="292" t="s">
        <v>208</v>
      </c>
      <c r="Y1397" s="294">
        <v>26722</v>
      </c>
      <c r="Z1397" s="292">
        <v>26732</v>
      </c>
      <c r="AA1397" s="292" t="s">
        <v>276</v>
      </c>
      <c r="AB1397" s="292" t="s">
        <v>276</v>
      </c>
      <c r="AC1397" s="291">
        <v>7</v>
      </c>
      <c r="AD1397" s="291" t="s">
        <v>968</v>
      </c>
      <c r="AE1397" s="291">
        <v>1</v>
      </c>
      <c r="AF1397" s="291" t="s">
        <v>968</v>
      </c>
      <c r="AG1397" s="292" t="s">
        <v>8549</v>
      </c>
      <c r="AH1397" s="292" t="s">
        <v>866</v>
      </c>
      <c r="AI1397" s="295">
        <f>AI1395+AI1396</f>
        <v>147</v>
      </c>
      <c r="AJ1397" s="295">
        <f>AJ1395+AJ1396</f>
        <v>48</v>
      </c>
      <c r="AK1397" s="295">
        <v>26722</v>
      </c>
      <c r="AL1397" s="295">
        <v>26732</v>
      </c>
      <c r="AM1397" s="295" t="s">
        <v>292</v>
      </c>
      <c r="AN1397" s="291" t="s">
        <v>276</v>
      </c>
      <c r="AO1397" s="296">
        <f t="shared" si="412"/>
        <v>0.55010852481101713</v>
      </c>
      <c r="AP1397" s="291" t="s">
        <v>276</v>
      </c>
      <c r="AQ1397" s="291" t="s">
        <v>276</v>
      </c>
      <c r="AR1397" s="291" t="s">
        <v>276</v>
      </c>
      <c r="AS1397" s="296">
        <f t="shared" si="413"/>
        <v>0.17956007780936706</v>
      </c>
      <c r="AT1397" s="291" t="s">
        <v>276</v>
      </c>
      <c r="AU1397" s="291" t="s">
        <v>276</v>
      </c>
      <c r="AV1397" s="292" t="s">
        <v>268</v>
      </c>
      <c r="AW1397" s="297" t="s">
        <v>276</v>
      </c>
      <c r="AX1397" s="297">
        <f t="shared" si="414"/>
        <v>3.0636460594266897</v>
      </c>
      <c r="AY1397" s="292" t="s">
        <v>276</v>
      </c>
      <c r="AZ1397" s="292" t="s">
        <v>276</v>
      </c>
      <c r="BA1397" s="292" t="s">
        <v>276</v>
      </c>
      <c r="BB1397" s="292" t="s">
        <v>282</v>
      </c>
      <c r="BC1397" s="292" t="s">
        <v>276</v>
      </c>
      <c r="BD1397" s="292" t="s">
        <v>276</v>
      </c>
      <c r="BE1397" s="292" t="s">
        <v>276</v>
      </c>
      <c r="BF1397" s="292" t="s">
        <v>8413</v>
      </c>
      <c r="BG1397" s="292"/>
      <c r="BH1397" s="9" t="s">
        <v>100</v>
      </c>
      <c r="BI1397" s="9" t="s">
        <v>100</v>
      </c>
      <c r="BJ1397" s="298"/>
      <c r="BN1397" s="298"/>
      <c r="BO1397" s="298"/>
    </row>
    <row r="1398" spans="1:68" s="33" customFormat="1" ht="52" hidden="1" x14ac:dyDescent="0.35">
      <c r="A1398" s="8">
        <v>398</v>
      </c>
      <c r="B1398" s="8" t="s">
        <v>8373</v>
      </c>
      <c r="C1398" s="8" t="s">
        <v>83</v>
      </c>
      <c r="D1398" s="9" t="s">
        <v>8550</v>
      </c>
      <c r="E1398" s="8" t="s">
        <v>39</v>
      </c>
      <c r="F1398" s="8" t="s">
        <v>143</v>
      </c>
      <c r="G1398" s="8" t="s">
        <v>262</v>
      </c>
      <c r="H1398" s="8" t="s">
        <v>225</v>
      </c>
      <c r="I1398" s="8" t="s">
        <v>98</v>
      </c>
      <c r="J1398" s="9" t="s">
        <v>25</v>
      </c>
      <c r="K1398" s="8" t="s">
        <v>939</v>
      </c>
      <c r="L1398" s="8" t="s">
        <v>276</v>
      </c>
      <c r="M1398" s="8" t="s">
        <v>276</v>
      </c>
      <c r="N1398" s="9" t="s">
        <v>8475</v>
      </c>
      <c r="O1398" s="9" t="s">
        <v>8476</v>
      </c>
      <c r="P1398" s="9" t="s">
        <v>239</v>
      </c>
      <c r="Q1398" s="52" t="s">
        <v>8544</v>
      </c>
      <c r="R1398" s="9" t="s">
        <v>276</v>
      </c>
      <c r="S1398" s="9" t="s">
        <v>276</v>
      </c>
      <c r="T1398" s="9" t="s">
        <v>276</v>
      </c>
      <c r="U1398" s="9">
        <v>1</v>
      </c>
      <c r="V1398" s="8" t="s">
        <v>14</v>
      </c>
      <c r="W1398" s="8" t="s">
        <v>98</v>
      </c>
      <c r="X1398" s="9" t="s">
        <v>208</v>
      </c>
      <c r="Y1398" s="13">
        <v>26722</v>
      </c>
      <c r="Z1398" s="9">
        <v>26732</v>
      </c>
      <c r="AA1398" s="9" t="s">
        <v>276</v>
      </c>
      <c r="AB1398" s="9" t="s">
        <v>276</v>
      </c>
      <c r="AC1398" s="8">
        <v>7</v>
      </c>
      <c r="AD1398" s="8" t="s">
        <v>968</v>
      </c>
      <c r="AE1398" s="8">
        <v>1</v>
      </c>
      <c r="AF1398" s="8" t="s">
        <v>968</v>
      </c>
      <c r="AG1398" s="9" t="s">
        <v>8551</v>
      </c>
      <c r="AH1398" s="9" t="s">
        <v>866</v>
      </c>
      <c r="AI1398" s="38">
        <v>8</v>
      </c>
      <c r="AJ1398" s="38">
        <v>9</v>
      </c>
      <c r="AK1398" s="38">
        <v>26722</v>
      </c>
      <c r="AL1398" s="38">
        <v>26732</v>
      </c>
      <c r="AM1398" s="38" t="s">
        <v>292</v>
      </c>
      <c r="AN1398" s="8" t="s">
        <v>276</v>
      </c>
      <c r="AO1398" s="14">
        <f t="shared" si="412"/>
        <v>2.9937878901279844E-2</v>
      </c>
      <c r="AP1398" s="8" t="s">
        <v>276</v>
      </c>
      <c r="AQ1398" s="8" t="s">
        <v>276</v>
      </c>
      <c r="AR1398" s="8" t="s">
        <v>276</v>
      </c>
      <c r="AS1398" s="14">
        <f t="shared" si="413"/>
        <v>3.366751458925632E-2</v>
      </c>
      <c r="AT1398" s="8" t="s">
        <v>276</v>
      </c>
      <c r="AU1398" s="8" t="s">
        <v>276</v>
      </c>
      <c r="AV1398" s="9" t="s">
        <v>268</v>
      </c>
      <c r="AW1398" s="40" t="s">
        <v>276</v>
      </c>
      <c r="AX1398" s="40">
        <f t="shared" si="414"/>
        <v>0.88922153198779208</v>
      </c>
      <c r="AY1398" s="9" t="s">
        <v>276</v>
      </c>
      <c r="AZ1398" s="9" t="s">
        <v>276</v>
      </c>
      <c r="BA1398" s="9" t="s">
        <v>276</v>
      </c>
      <c r="BB1398" s="9" t="s">
        <v>282</v>
      </c>
      <c r="BC1398" s="9" t="s">
        <v>276</v>
      </c>
      <c r="BD1398" s="9" t="s">
        <v>276</v>
      </c>
      <c r="BE1398" s="9" t="s">
        <v>276</v>
      </c>
      <c r="BF1398" s="9" t="s">
        <v>8413</v>
      </c>
      <c r="BG1398" s="9"/>
      <c r="BH1398" s="9" t="s">
        <v>100</v>
      </c>
      <c r="BI1398" s="9" t="s">
        <v>100</v>
      </c>
      <c r="BJ1398" s="32"/>
      <c r="BN1398" s="32"/>
      <c r="BO1398" s="32"/>
    </row>
    <row r="1399" spans="1:68" s="33" customFormat="1" ht="52" hidden="1" x14ac:dyDescent="0.35">
      <c r="A1399" s="8">
        <v>398</v>
      </c>
      <c r="B1399" s="8" t="s">
        <v>8373</v>
      </c>
      <c r="C1399" s="8" t="s">
        <v>83</v>
      </c>
      <c r="D1399" s="9" t="s">
        <v>8552</v>
      </c>
      <c r="E1399" s="8" t="s">
        <v>39</v>
      </c>
      <c r="F1399" s="8" t="s">
        <v>143</v>
      </c>
      <c r="G1399" s="8" t="s">
        <v>262</v>
      </c>
      <c r="H1399" s="8" t="s">
        <v>225</v>
      </c>
      <c r="I1399" s="8" t="s">
        <v>98</v>
      </c>
      <c r="J1399" s="9" t="s">
        <v>25</v>
      </c>
      <c r="K1399" s="8" t="s">
        <v>942</v>
      </c>
      <c r="L1399" s="8" t="s">
        <v>276</v>
      </c>
      <c r="M1399" s="8" t="s">
        <v>276</v>
      </c>
      <c r="N1399" s="9" t="s">
        <v>8475</v>
      </c>
      <c r="O1399" s="9" t="s">
        <v>8476</v>
      </c>
      <c r="P1399" s="9" t="s">
        <v>239</v>
      </c>
      <c r="Q1399" s="52" t="s">
        <v>8544</v>
      </c>
      <c r="R1399" s="9" t="s">
        <v>276</v>
      </c>
      <c r="S1399" s="9" t="s">
        <v>276</v>
      </c>
      <c r="T1399" s="9" t="s">
        <v>276</v>
      </c>
      <c r="U1399" s="9">
        <v>1</v>
      </c>
      <c r="V1399" s="8" t="s">
        <v>14</v>
      </c>
      <c r="W1399" s="8" t="s">
        <v>98</v>
      </c>
      <c r="X1399" s="9" t="s">
        <v>208</v>
      </c>
      <c r="Y1399" s="13">
        <v>26722</v>
      </c>
      <c r="Z1399" s="9">
        <v>26732</v>
      </c>
      <c r="AA1399" s="9" t="s">
        <v>276</v>
      </c>
      <c r="AB1399" s="9" t="s">
        <v>276</v>
      </c>
      <c r="AC1399" s="8">
        <v>7</v>
      </c>
      <c r="AD1399" s="8" t="s">
        <v>968</v>
      </c>
      <c r="AE1399" s="8">
        <v>1</v>
      </c>
      <c r="AF1399" s="8" t="s">
        <v>968</v>
      </c>
      <c r="AG1399" s="9" t="s">
        <v>8553</v>
      </c>
      <c r="AH1399" s="9" t="s">
        <v>866</v>
      </c>
      <c r="AI1399" s="38">
        <v>5</v>
      </c>
      <c r="AJ1399" s="38">
        <v>3</v>
      </c>
      <c r="AK1399" s="38">
        <v>26722</v>
      </c>
      <c r="AL1399" s="38">
        <v>26732</v>
      </c>
      <c r="AM1399" s="38" t="s">
        <v>292</v>
      </c>
      <c r="AN1399" s="8" t="s">
        <v>276</v>
      </c>
      <c r="AO1399" s="14">
        <f t="shared" si="412"/>
        <v>1.8711174313299904E-2</v>
      </c>
      <c r="AP1399" s="8" t="s">
        <v>276</v>
      </c>
      <c r="AQ1399" s="8" t="s">
        <v>276</v>
      </c>
      <c r="AR1399" s="8" t="s">
        <v>276</v>
      </c>
      <c r="AS1399" s="14">
        <f t="shared" si="413"/>
        <v>1.1222504863085441E-2</v>
      </c>
      <c r="AT1399" s="8" t="s">
        <v>276</v>
      </c>
      <c r="AU1399" s="8" t="s">
        <v>276</v>
      </c>
      <c r="AV1399" s="9" t="s">
        <v>268</v>
      </c>
      <c r="AW1399" s="40" t="s">
        <v>276</v>
      </c>
      <c r="AX1399" s="40">
        <f t="shared" si="414"/>
        <v>1.66729037247711</v>
      </c>
      <c r="AY1399" s="9" t="s">
        <v>276</v>
      </c>
      <c r="AZ1399" s="9" t="s">
        <v>276</v>
      </c>
      <c r="BA1399" s="9" t="s">
        <v>276</v>
      </c>
      <c r="BB1399" s="9" t="s">
        <v>282</v>
      </c>
      <c r="BC1399" s="9" t="s">
        <v>276</v>
      </c>
      <c r="BD1399" s="9" t="s">
        <v>276</v>
      </c>
      <c r="BE1399" s="9" t="s">
        <v>276</v>
      </c>
      <c r="BF1399" s="9" t="s">
        <v>8413</v>
      </c>
      <c r="BG1399" s="9"/>
      <c r="BH1399" s="9" t="s">
        <v>100</v>
      </c>
      <c r="BI1399" s="9" t="s">
        <v>100</v>
      </c>
      <c r="BJ1399" s="32"/>
      <c r="BN1399" s="32"/>
      <c r="BO1399" s="32"/>
    </row>
    <row r="1400" spans="1:68" s="33" customFormat="1" ht="52" hidden="1" x14ac:dyDescent="0.35">
      <c r="A1400" s="8">
        <v>398</v>
      </c>
      <c r="B1400" s="8" t="s">
        <v>8373</v>
      </c>
      <c r="C1400" s="8" t="s">
        <v>83</v>
      </c>
      <c r="D1400" s="9" t="s">
        <v>8554</v>
      </c>
      <c r="E1400" s="8" t="s">
        <v>39</v>
      </c>
      <c r="F1400" s="8" t="s">
        <v>143</v>
      </c>
      <c r="G1400" s="8" t="s">
        <v>262</v>
      </c>
      <c r="H1400" s="8" t="s">
        <v>225</v>
      </c>
      <c r="I1400" s="8" t="s">
        <v>98</v>
      </c>
      <c r="J1400" s="9" t="s">
        <v>25</v>
      </c>
      <c r="K1400" s="8" t="s">
        <v>304</v>
      </c>
      <c r="L1400" s="8" t="s">
        <v>276</v>
      </c>
      <c r="M1400" s="8" t="s">
        <v>276</v>
      </c>
      <c r="N1400" s="9" t="s">
        <v>8475</v>
      </c>
      <c r="O1400" s="9" t="s">
        <v>8476</v>
      </c>
      <c r="P1400" s="9" t="s">
        <v>239</v>
      </c>
      <c r="Q1400" s="52" t="s">
        <v>8544</v>
      </c>
      <c r="R1400" s="9" t="s">
        <v>276</v>
      </c>
      <c r="S1400" s="9" t="s">
        <v>276</v>
      </c>
      <c r="T1400" s="9" t="s">
        <v>276</v>
      </c>
      <c r="U1400" s="9">
        <v>1</v>
      </c>
      <c r="V1400" s="8" t="s">
        <v>14</v>
      </c>
      <c r="W1400" s="8" t="s">
        <v>98</v>
      </c>
      <c r="X1400" s="9" t="s">
        <v>208</v>
      </c>
      <c r="Y1400" s="13">
        <v>26722</v>
      </c>
      <c r="Z1400" s="9">
        <v>26732</v>
      </c>
      <c r="AA1400" s="9" t="s">
        <v>276</v>
      </c>
      <c r="AB1400" s="9" t="s">
        <v>276</v>
      </c>
      <c r="AC1400" s="8">
        <v>7</v>
      </c>
      <c r="AD1400" s="8" t="s">
        <v>968</v>
      </c>
      <c r="AE1400" s="8">
        <v>1</v>
      </c>
      <c r="AF1400" s="8" t="s">
        <v>968</v>
      </c>
      <c r="AG1400" s="9" t="s">
        <v>8555</v>
      </c>
      <c r="AH1400" s="9" t="s">
        <v>866</v>
      </c>
      <c r="AI1400" s="38">
        <f>AI1398+AI1399</f>
        <v>13</v>
      </c>
      <c r="AJ1400" s="38">
        <f>AJ1398+AJ1399</f>
        <v>12</v>
      </c>
      <c r="AK1400" s="38">
        <v>26722</v>
      </c>
      <c r="AL1400" s="38">
        <v>26732</v>
      </c>
      <c r="AM1400" s="38" t="s">
        <v>292</v>
      </c>
      <c r="AN1400" s="8" t="s">
        <v>276</v>
      </c>
      <c r="AO1400" s="14">
        <f t="shared" si="412"/>
        <v>4.8649053214579747E-2</v>
      </c>
      <c r="AP1400" s="8" t="s">
        <v>276</v>
      </c>
      <c r="AQ1400" s="8" t="s">
        <v>276</v>
      </c>
      <c r="AR1400" s="8" t="s">
        <v>276</v>
      </c>
      <c r="AS1400" s="14">
        <f t="shared" si="413"/>
        <v>4.4890019452341764E-2</v>
      </c>
      <c r="AT1400" s="8" t="s">
        <v>276</v>
      </c>
      <c r="AU1400" s="8" t="s">
        <v>276</v>
      </c>
      <c r="AV1400" s="9" t="s">
        <v>268</v>
      </c>
      <c r="AW1400" s="40" t="s">
        <v>276</v>
      </c>
      <c r="AX1400" s="40">
        <f t="shared" si="414"/>
        <v>1.0837387421101214</v>
      </c>
      <c r="AY1400" s="9" t="s">
        <v>276</v>
      </c>
      <c r="AZ1400" s="9" t="s">
        <v>276</v>
      </c>
      <c r="BA1400" s="9" t="s">
        <v>276</v>
      </c>
      <c r="BB1400" s="9" t="s">
        <v>282</v>
      </c>
      <c r="BC1400" s="9" t="s">
        <v>276</v>
      </c>
      <c r="BD1400" s="9" t="s">
        <v>276</v>
      </c>
      <c r="BE1400" s="9" t="s">
        <v>276</v>
      </c>
      <c r="BF1400" s="9" t="s">
        <v>8413</v>
      </c>
      <c r="BG1400" s="9"/>
      <c r="BH1400" s="9" t="s">
        <v>100</v>
      </c>
      <c r="BI1400" s="9" t="s">
        <v>100</v>
      </c>
      <c r="BJ1400" s="32"/>
      <c r="BN1400" s="32"/>
      <c r="BO1400" s="32"/>
    </row>
    <row r="1401" spans="1:68" s="299" customFormat="1" ht="52" hidden="1" x14ac:dyDescent="0.35">
      <c r="A1401" s="291">
        <v>398</v>
      </c>
      <c r="B1401" s="291" t="s">
        <v>8373</v>
      </c>
      <c r="C1401" s="291" t="s">
        <v>83</v>
      </c>
      <c r="D1401" s="292" t="s">
        <v>8556</v>
      </c>
      <c r="E1401" s="291" t="s">
        <v>39</v>
      </c>
      <c r="F1401" s="291" t="s">
        <v>143</v>
      </c>
      <c r="G1401" s="291" t="s">
        <v>262</v>
      </c>
      <c r="H1401" s="291" t="s">
        <v>225</v>
      </c>
      <c r="I1401" s="291" t="s">
        <v>98</v>
      </c>
      <c r="J1401" s="292" t="s">
        <v>25</v>
      </c>
      <c r="K1401" s="291" t="s">
        <v>947</v>
      </c>
      <c r="L1401" s="291" t="s">
        <v>276</v>
      </c>
      <c r="M1401" s="291" t="s">
        <v>276</v>
      </c>
      <c r="N1401" s="292" t="s">
        <v>8475</v>
      </c>
      <c r="O1401" s="292" t="s">
        <v>8476</v>
      </c>
      <c r="P1401" s="292" t="s">
        <v>239</v>
      </c>
      <c r="Q1401" s="293" t="s">
        <v>8544</v>
      </c>
      <c r="R1401" s="292" t="s">
        <v>276</v>
      </c>
      <c r="S1401" s="292" t="s">
        <v>276</v>
      </c>
      <c r="T1401" s="292" t="s">
        <v>276</v>
      </c>
      <c r="U1401" s="292">
        <v>1</v>
      </c>
      <c r="V1401" s="291" t="s">
        <v>14</v>
      </c>
      <c r="W1401" s="291" t="s">
        <v>98</v>
      </c>
      <c r="X1401" s="292" t="s">
        <v>208</v>
      </c>
      <c r="Y1401" s="294">
        <v>26722</v>
      </c>
      <c r="Z1401" s="292">
        <v>26732</v>
      </c>
      <c r="AA1401" s="292" t="s">
        <v>276</v>
      </c>
      <c r="AB1401" s="292" t="s">
        <v>276</v>
      </c>
      <c r="AC1401" s="291">
        <v>7</v>
      </c>
      <c r="AD1401" s="291" t="s">
        <v>968</v>
      </c>
      <c r="AE1401" s="291">
        <v>1</v>
      </c>
      <c r="AF1401" s="291" t="s">
        <v>968</v>
      </c>
      <c r="AG1401" s="292" t="s">
        <v>8557</v>
      </c>
      <c r="AH1401" s="292" t="s">
        <v>866</v>
      </c>
      <c r="AI1401" s="295">
        <v>15</v>
      </c>
      <c r="AJ1401" s="295">
        <v>18</v>
      </c>
      <c r="AK1401" s="295">
        <v>26722</v>
      </c>
      <c r="AL1401" s="295">
        <v>26732</v>
      </c>
      <c r="AM1401" s="295" t="s">
        <v>292</v>
      </c>
      <c r="AN1401" s="291" t="s">
        <v>276</v>
      </c>
      <c r="AO1401" s="296">
        <f t="shared" si="412"/>
        <v>5.6133522939899705E-2</v>
      </c>
      <c r="AP1401" s="291" t="s">
        <v>276</v>
      </c>
      <c r="AQ1401" s="291" t="s">
        <v>276</v>
      </c>
      <c r="AR1401" s="291" t="s">
        <v>276</v>
      </c>
      <c r="AS1401" s="296">
        <f t="shared" si="413"/>
        <v>6.733502917851264E-2</v>
      </c>
      <c r="AT1401" s="291" t="s">
        <v>276</v>
      </c>
      <c r="AU1401" s="291" t="s">
        <v>276</v>
      </c>
      <c r="AV1401" s="292" t="s">
        <v>268</v>
      </c>
      <c r="AW1401" s="297" t="s">
        <v>276</v>
      </c>
      <c r="AX1401" s="297">
        <f t="shared" si="414"/>
        <v>0.83364518623855499</v>
      </c>
      <c r="AY1401" s="292" t="s">
        <v>276</v>
      </c>
      <c r="AZ1401" s="292" t="s">
        <v>276</v>
      </c>
      <c r="BA1401" s="292" t="s">
        <v>276</v>
      </c>
      <c r="BB1401" s="292" t="s">
        <v>282</v>
      </c>
      <c r="BC1401" s="292" t="s">
        <v>276</v>
      </c>
      <c r="BD1401" s="292" t="s">
        <v>276</v>
      </c>
      <c r="BE1401" s="292" t="s">
        <v>276</v>
      </c>
      <c r="BF1401" s="292" t="s">
        <v>8413</v>
      </c>
      <c r="BG1401" s="292"/>
      <c r="BH1401" s="9" t="s">
        <v>100</v>
      </c>
      <c r="BI1401" s="9" t="s">
        <v>100</v>
      </c>
      <c r="BJ1401" s="298"/>
      <c r="BN1401" s="298"/>
      <c r="BO1401" s="298"/>
    </row>
    <row r="1402" spans="1:68" s="299" customFormat="1" ht="52" hidden="1" x14ac:dyDescent="0.35">
      <c r="A1402" s="291">
        <v>398</v>
      </c>
      <c r="B1402" s="291" t="s">
        <v>8373</v>
      </c>
      <c r="C1402" s="291" t="s">
        <v>83</v>
      </c>
      <c r="D1402" s="292" t="s">
        <v>8552</v>
      </c>
      <c r="E1402" s="291" t="s">
        <v>39</v>
      </c>
      <c r="F1402" s="291" t="s">
        <v>143</v>
      </c>
      <c r="G1402" s="291" t="s">
        <v>262</v>
      </c>
      <c r="H1402" s="291" t="s">
        <v>225</v>
      </c>
      <c r="I1402" s="291" t="s">
        <v>98</v>
      </c>
      <c r="J1402" s="292" t="s">
        <v>25</v>
      </c>
      <c r="K1402" s="291" t="s">
        <v>950</v>
      </c>
      <c r="L1402" s="291" t="s">
        <v>276</v>
      </c>
      <c r="M1402" s="291" t="s">
        <v>276</v>
      </c>
      <c r="N1402" s="292" t="s">
        <v>8475</v>
      </c>
      <c r="O1402" s="292" t="s">
        <v>8476</v>
      </c>
      <c r="P1402" s="292" t="s">
        <v>239</v>
      </c>
      <c r="Q1402" s="293" t="s">
        <v>8544</v>
      </c>
      <c r="R1402" s="292" t="s">
        <v>276</v>
      </c>
      <c r="S1402" s="292" t="s">
        <v>276</v>
      </c>
      <c r="T1402" s="292" t="s">
        <v>276</v>
      </c>
      <c r="U1402" s="292">
        <v>1</v>
      </c>
      <c r="V1402" s="291" t="s">
        <v>14</v>
      </c>
      <c r="W1402" s="291" t="s">
        <v>98</v>
      </c>
      <c r="X1402" s="292" t="s">
        <v>208</v>
      </c>
      <c r="Y1402" s="294">
        <v>26722</v>
      </c>
      <c r="Z1402" s="292">
        <v>26732</v>
      </c>
      <c r="AA1402" s="292" t="s">
        <v>276</v>
      </c>
      <c r="AB1402" s="292" t="s">
        <v>276</v>
      </c>
      <c r="AC1402" s="291">
        <v>7</v>
      </c>
      <c r="AD1402" s="291" t="s">
        <v>968</v>
      </c>
      <c r="AE1402" s="291">
        <v>1</v>
      </c>
      <c r="AF1402" s="291" t="s">
        <v>968</v>
      </c>
      <c r="AG1402" s="292" t="s">
        <v>8558</v>
      </c>
      <c r="AH1402" s="292" t="s">
        <v>866</v>
      </c>
      <c r="AI1402" s="295">
        <v>20</v>
      </c>
      <c r="AJ1402" s="295">
        <v>21</v>
      </c>
      <c r="AK1402" s="295">
        <v>26722</v>
      </c>
      <c r="AL1402" s="295">
        <v>26732</v>
      </c>
      <c r="AM1402" s="295" t="s">
        <v>292</v>
      </c>
      <c r="AN1402" s="291" t="s">
        <v>276</v>
      </c>
      <c r="AO1402" s="296">
        <f t="shared" si="412"/>
        <v>7.4844697253199616E-2</v>
      </c>
      <c r="AP1402" s="291" t="s">
        <v>276</v>
      </c>
      <c r="AQ1402" s="291" t="s">
        <v>276</v>
      </c>
      <c r="AR1402" s="291" t="s">
        <v>276</v>
      </c>
      <c r="AS1402" s="296">
        <f t="shared" si="413"/>
        <v>7.8557534041598084E-2</v>
      </c>
      <c r="AT1402" s="291" t="s">
        <v>276</v>
      </c>
      <c r="AU1402" s="291" t="s">
        <v>276</v>
      </c>
      <c r="AV1402" s="292" t="s">
        <v>268</v>
      </c>
      <c r="AW1402" s="297" t="s">
        <v>276</v>
      </c>
      <c r="AX1402" s="297">
        <f t="shared" si="414"/>
        <v>0.95273735570120577</v>
      </c>
      <c r="AY1402" s="292" t="s">
        <v>276</v>
      </c>
      <c r="AZ1402" s="292" t="s">
        <v>276</v>
      </c>
      <c r="BA1402" s="292" t="s">
        <v>276</v>
      </c>
      <c r="BB1402" s="292" t="s">
        <v>282</v>
      </c>
      <c r="BC1402" s="292" t="s">
        <v>276</v>
      </c>
      <c r="BD1402" s="292" t="s">
        <v>276</v>
      </c>
      <c r="BE1402" s="292" t="s">
        <v>276</v>
      </c>
      <c r="BF1402" s="292" t="s">
        <v>8413</v>
      </c>
      <c r="BG1402" s="292"/>
      <c r="BH1402" s="9" t="s">
        <v>100</v>
      </c>
      <c r="BI1402" s="9" t="s">
        <v>100</v>
      </c>
      <c r="BJ1402" s="298"/>
      <c r="BN1402" s="298"/>
      <c r="BO1402" s="298"/>
    </row>
    <row r="1403" spans="1:68" s="299" customFormat="1" ht="52" hidden="1" x14ac:dyDescent="0.35">
      <c r="A1403" s="291">
        <v>398</v>
      </c>
      <c r="B1403" s="291" t="s">
        <v>8373</v>
      </c>
      <c r="C1403" s="291" t="s">
        <v>83</v>
      </c>
      <c r="D1403" s="292" t="s">
        <v>8559</v>
      </c>
      <c r="E1403" s="291" t="s">
        <v>39</v>
      </c>
      <c r="F1403" s="291" t="s">
        <v>143</v>
      </c>
      <c r="G1403" s="291" t="s">
        <v>262</v>
      </c>
      <c r="H1403" s="291" t="s">
        <v>225</v>
      </c>
      <c r="I1403" s="291" t="s">
        <v>98</v>
      </c>
      <c r="J1403" s="292" t="s">
        <v>25</v>
      </c>
      <c r="K1403" s="291" t="s">
        <v>311</v>
      </c>
      <c r="L1403" s="291" t="s">
        <v>276</v>
      </c>
      <c r="M1403" s="291" t="s">
        <v>276</v>
      </c>
      <c r="N1403" s="292" t="s">
        <v>8475</v>
      </c>
      <c r="O1403" s="292" t="s">
        <v>8476</v>
      </c>
      <c r="P1403" s="292" t="s">
        <v>239</v>
      </c>
      <c r="Q1403" s="293" t="s">
        <v>8544</v>
      </c>
      <c r="R1403" s="292" t="s">
        <v>276</v>
      </c>
      <c r="S1403" s="292" t="s">
        <v>276</v>
      </c>
      <c r="T1403" s="292" t="s">
        <v>276</v>
      </c>
      <c r="U1403" s="292">
        <v>1</v>
      </c>
      <c r="V1403" s="291" t="s">
        <v>14</v>
      </c>
      <c r="W1403" s="291" t="s">
        <v>98</v>
      </c>
      <c r="X1403" s="292" t="s">
        <v>208</v>
      </c>
      <c r="Y1403" s="294">
        <v>26722</v>
      </c>
      <c r="Z1403" s="292">
        <v>26732</v>
      </c>
      <c r="AA1403" s="292" t="s">
        <v>276</v>
      </c>
      <c r="AB1403" s="292" t="s">
        <v>276</v>
      </c>
      <c r="AC1403" s="291">
        <v>7</v>
      </c>
      <c r="AD1403" s="291" t="s">
        <v>968</v>
      </c>
      <c r="AE1403" s="291">
        <v>1</v>
      </c>
      <c r="AF1403" s="291" t="s">
        <v>968</v>
      </c>
      <c r="AG1403" s="292" t="s">
        <v>8560</v>
      </c>
      <c r="AH1403" s="292" t="s">
        <v>866</v>
      </c>
      <c r="AI1403" s="295">
        <f>AI1401+AI1402</f>
        <v>35</v>
      </c>
      <c r="AJ1403" s="295">
        <f>AJ1401+AJ1402</f>
        <v>39</v>
      </c>
      <c r="AK1403" s="295">
        <v>26722</v>
      </c>
      <c r="AL1403" s="295">
        <v>26732</v>
      </c>
      <c r="AM1403" s="295" t="s">
        <v>292</v>
      </c>
      <c r="AN1403" s="291" t="s">
        <v>276</v>
      </c>
      <c r="AO1403" s="296">
        <f t="shared" si="412"/>
        <v>0.13097822019309932</v>
      </c>
      <c r="AP1403" s="291" t="s">
        <v>276</v>
      </c>
      <c r="AQ1403" s="291" t="s">
        <v>276</v>
      </c>
      <c r="AR1403" s="291" t="s">
        <v>276</v>
      </c>
      <c r="AS1403" s="296">
        <f t="shared" si="413"/>
        <v>0.14589256322011074</v>
      </c>
      <c r="AT1403" s="291" t="s">
        <v>276</v>
      </c>
      <c r="AU1403" s="291" t="s">
        <v>276</v>
      </c>
      <c r="AV1403" s="292" t="s">
        <v>268</v>
      </c>
      <c r="AW1403" s="297" t="s">
        <v>276</v>
      </c>
      <c r="AX1403" s="297">
        <f t="shared" si="414"/>
        <v>0.89777173902613605</v>
      </c>
      <c r="AY1403" s="292" t="s">
        <v>276</v>
      </c>
      <c r="AZ1403" s="292" t="s">
        <v>276</v>
      </c>
      <c r="BA1403" s="292" t="s">
        <v>276</v>
      </c>
      <c r="BB1403" s="292" t="s">
        <v>282</v>
      </c>
      <c r="BC1403" s="292" t="s">
        <v>276</v>
      </c>
      <c r="BD1403" s="292" t="s">
        <v>276</v>
      </c>
      <c r="BE1403" s="292" t="s">
        <v>276</v>
      </c>
      <c r="BF1403" s="292" t="s">
        <v>8413</v>
      </c>
      <c r="BG1403" s="292"/>
      <c r="BH1403" s="9" t="s">
        <v>100</v>
      </c>
      <c r="BI1403" s="9" t="s">
        <v>100</v>
      </c>
      <c r="BJ1403" s="298"/>
      <c r="BN1403" s="298"/>
      <c r="BO1403" s="298"/>
    </row>
    <row r="1404" spans="1:68" s="33" customFormat="1" ht="52" hidden="1" x14ac:dyDescent="0.35">
      <c r="A1404" s="8">
        <v>398</v>
      </c>
      <c r="B1404" s="8" t="s">
        <v>8373</v>
      </c>
      <c r="C1404" s="8" t="s">
        <v>83</v>
      </c>
      <c r="D1404" s="9" t="s">
        <v>8561</v>
      </c>
      <c r="E1404" s="8" t="s">
        <v>39</v>
      </c>
      <c r="F1404" s="8" t="s">
        <v>143</v>
      </c>
      <c r="G1404" s="8" t="s">
        <v>262</v>
      </c>
      <c r="H1404" s="8" t="s">
        <v>225</v>
      </c>
      <c r="I1404" s="8" t="s">
        <v>98</v>
      </c>
      <c r="J1404" s="9" t="s">
        <v>25</v>
      </c>
      <c r="K1404" s="8" t="s">
        <v>314</v>
      </c>
      <c r="L1404" s="8" t="s">
        <v>276</v>
      </c>
      <c r="M1404" s="8" t="s">
        <v>276</v>
      </c>
      <c r="N1404" s="9" t="s">
        <v>8475</v>
      </c>
      <c r="O1404" s="9" t="s">
        <v>8476</v>
      </c>
      <c r="P1404" s="9" t="s">
        <v>239</v>
      </c>
      <c r="Q1404" s="52" t="s">
        <v>8544</v>
      </c>
      <c r="R1404" s="9" t="s">
        <v>276</v>
      </c>
      <c r="S1404" s="9" t="s">
        <v>276</v>
      </c>
      <c r="T1404" s="9" t="s">
        <v>276</v>
      </c>
      <c r="U1404" s="9">
        <v>1</v>
      </c>
      <c r="V1404" s="8" t="s">
        <v>14</v>
      </c>
      <c r="W1404" s="8" t="s">
        <v>98</v>
      </c>
      <c r="X1404" s="9" t="s">
        <v>208</v>
      </c>
      <c r="Y1404" s="13">
        <v>26722</v>
      </c>
      <c r="Z1404" s="9">
        <v>26732</v>
      </c>
      <c r="AA1404" s="9" t="s">
        <v>276</v>
      </c>
      <c r="AB1404" s="9" t="s">
        <v>276</v>
      </c>
      <c r="AC1404" s="8">
        <v>7</v>
      </c>
      <c r="AD1404" s="8" t="s">
        <v>968</v>
      </c>
      <c r="AE1404" s="8">
        <v>1</v>
      </c>
      <c r="AF1404" s="8" t="s">
        <v>968</v>
      </c>
      <c r="AG1404" s="9" t="s">
        <v>8562</v>
      </c>
      <c r="AH1404" s="9" t="s">
        <v>866</v>
      </c>
      <c r="AI1404" s="38">
        <v>35</v>
      </c>
      <c r="AJ1404" s="38">
        <v>44</v>
      </c>
      <c r="AK1404" s="38">
        <v>26722</v>
      </c>
      <c r="AL1404" s="38">
        <v>26732</v>
      </c>
      <c r="AM1404" s="38" t="s">
        <v>292</v>
      </c>
      <c r="AN1404" s="8" t="s">
        <v>276</v>
      </c>
      <c r="AO1404" s="14">
        <f t="shared" ref="AO1404" si="426">AI1404*100/AK1404</f>
        <v>0.13097822019309932</v>
      </c>
      <c r="AP1404" s="8" t="s">
        <v>276</v>
      </c>
      <c r="AQ1404" s="8" t="s">
        <v>276</v>
      </c>
      <c r="AR1404" s="8" t="s">
        <v>276</v>
      </c>
      <c r="AS1404" s="14">
        <f t="shared" ref="AS1404" si="427">AJ1404*100/AL1404</f>
        <v>0.16459673799191979</v>
      </c>
      <c r="AT1404" s="8" t="s">
        <v>276</v>
      </c>
      <c r="AU1404" s="8" t="s">
        <v>276</v>
      </c>
      <c r="AV1404" s="9" t="s">
        <v>268</v>
      </c>
      <c r="AW1404" s="40" t="s">
        <v>276</v>
      </c>
      <c r="AX1404" s="40">
        <f t="shared" ref="AX1404" si="428">AO1404/AS1404</f>
        <v>0.79575222322771166</v>
      </c>
      <c r="AY1404" s="9" t="s">
        <v>276</v>
      </c>
      <c r="AZ1404" s="9" t="s">
        <v>276</v>
      </c>
      <c r="BA1404" s="9" t="s">
        <v>276</v>
      </c>
      <c r="BB1404" s="9" t="s">
        <v>282</v>
      </c>
      <c r="BC1404" s="9" t="s">
        <v>276</v>
      </c>
      <c r="BD1404" s="9" t="s">
        <v>276</v>
      </c>
      <c r="BE1404" s="9" t="s">
        <v>276</v>
      </c>
      <c r="BF1404" s="9" t="s">
        <v>8413</v>
      </c>
      <c r="BG1404" s="9"/>
      <c r="BH1404" s="9" t="s">
        <v>100</v>
      </c>
      <c r="BI1404" s="9" t="s">
        <v>100</v>
      </c>
      <c r="BJ1404" s="32"/>
      <c r="BN1404" s="32"/>
      <c r="BO1404" s="32"/>
    </row>
    <row r="1405" spans="1:68" s="33" customFormat="1" ht="52" hidden="1" x14ac:dyDescent="0.35">
      <c r="A1405" s="8">
        <v>398</v>
      </c>
      <c r="B1405" s="8" t="s">
        <v>8373</v>
      </c>
      <c r="C1405" s="8" t="s">
        <v>83</v>
      </c>
      <c r="D1405" s="9" t="s">
        <v>11597</v>
      </c>
      <c r="E1405" s="8" t="s">
        <v>39</v>
      </c>
      <c r="F1405" s="8" t="s">
        <v>143</v>
      </c>
      <c r="G1405" s="8" t="s">
        <v>262</v>
      </c>
      <c r="H1405" s="8" t="s">
        <v>225</v>
      </c>
      <c r="I1405" s="8" t="s">
        <v>98</v>
      </c>
      <c r="J1405" s="9" t="s">
        <v>25</v>
      </c>
      <c r="K1405" s="8" t="s">
        <v>314</v>
      </c>
      <c r="L1405" s="8" t="s">
        <v>276</v>
      </c>
      <c r="M1405" s="8" t="s">
        <v>276</v>
      </c>
      <c r="N1405" s="9" t="s">
        <v>8475</v>
      </c>
      <c r="O1405" s="9" t="s">
        <v>8476</v>
      </c>
      <c r="P1405" s="9" t="s">
        <v>239</v>
      </c>
      <c r="Q1405" s="52" t="s">
        <v>8544</v>
      </c>
      <c r="R1405" s="9" t="s">
        <v>276</v>
      </c>
      <c r="S1405" s="9" t="s">
        <v>276</v>
      </c>
      <c r="T1405" s="9" t="s">
        <v>276</v>
      </c>
      <c r="U1405" s="9">
        <v>1</v>
      </c>
      <c r="V1405" s="8" t="s">
        <v>14</v>
      </c>
      <c r="W1405" s="8" t="s">
        <v>98</v>
      </c>
      <c r="X1405" s="9" t="s">
        <v>208</v>
      </c>
      <c r="Y1405" s="13">
        <v>26722</v>
      </c>
      <c r="Z1405" s="9">
        <v>26732</v>
      </c>
      <c r="AA1405" s="9" t="s">
        <v>276</v>
      </c>
      <c r="AB1405" s="9" t="s">
        <v>276</v>
      </c>
      <c r="AC1405" s="8">
        <v>7</v>
      </c>
      <c r="AD1405" s="8" t="s">
        <v>968</v>
      </c>
      <c r="AE1405" s="8">
        <v>1</v>
      </c>
      <c r="AF1405" s="8" t="s">
        <v>968</v>
      </c>
      <c r="AG1405" s="9" t="s">
        <v>11598</v>
      </c>
      <c r="AH1405" s="9" t="s">
        <v>866</v>
      </c>
      <c r="AI1405" s="38">
        <f>168+35+35</f>
        <v>238</v>
      </c>
      <c r="AJ1405" s="38">
        <f>183+39+44</f>
        <v>266</v>
      </c>
      <c r="AK1405" s="38">
        <v>26722</v>
      </c>
      <c r="AL1405" s="38">
        <v>26732</v>
      </c>
      <c r="AM1405" s="38" t="s">
        <v>292</v>
      </c>
      <c r="AN1405" s="8" t="s">
        <v>276</v>
      </c>
      <c r="AO1405" s="14">
        <f t="shared" si="412"/>
        <v>0.89065189731307537</v>
      </c>
      <c r="AP1405" s="8" t="s">
        <v>276</v>
      </c>
      <c r="AQ1405" s="8" t="s">
        <v>276</v>
      </c>
      <c r="AR1405" s="8" t="s">
        <v>276</v>
      </c>
      <c r="AS1405" s="14">
        <f t="shared" si="413"/>
        <v>0.99506209786024236</v>
      </c>
      <c r="AT1405" s="8" t="s">
        <v>276</v>
      </c>
      <c r="AU1405" s="8" t="s">
        <v>276</v>
      </c>
      <c r="AV1405" s="9" t="s">
        <v>268</v>
      </c>
      <c r="AW1405" s="40" t="s">
        <v>276</v>
      </c>
      <c r="AX1405" s="40">
        <f t="shared" si="414"/>
        <v>0.89507167364560647</v>
      </c>
      <c r="AY1405" s="9" t="s">
        <v>276</v>
      </c>
      <c r="AZ1405" s="9" t="s">
        <v>276</v>
      </c>
      <c r="BA1405" s="9" t="s">
        <v>276</v>
      </c>
      <c r="BB1405" s="9" t="s">
        <v>282</v>
      </c>
      <c r="BC1405" s="9" t="s">
        <v>276</v>
      </c>
      <c r="BD1405" s="9" t="s">
        <v>276</v>
      </c>
      <c r="BE1405" s="9" t="s">
        <v>276</v>
      </c>
      <c r="BF1405" s="9" t="s">
        <v>8413</v>
      </c>
      <c r="BG1405" s="9"/>
      <c r="BH1405" s="9" t="s">
        <v>100</v>
      </c>
      <c r="BI1405" s="9" t="s">
        <v>100</v>
      </c>
      <c r="BJ1405" s="32"/>
      <c r="BN1405" s="32"/>
      <c r="BO1405" s="32"/>
    </row>
    <row r="1406" spans="1:68" s="111" customFormat="1" ht="65" hidden="1" x14ac:dyDescent="0.35">
      <c r="A1406" s="94">
        <v>11135</v>
      </c>
      <c r="B1406" s="94" t="s">
        <v>8400</v>
      </c>
      <c r="C1406" s="94" t="s">
        <v>83</v>
      </c>
      <c r="D1406" s="105" t="s">
        <v>8563</v>
      </c>
      <c r="E1406" s="94" t="s">
        <v>39</v>
      </c>
      <c r="F1406" s="94" t="s">
        <v>143</v>
      </c>
      <c r="G1406" s="94" t="s">
        <v>262</v>
      </c>
      <c r="H1406" s="94" t="s">
        <v>225</v>
      </c>
      <c r="I1406" s="94" t="s">
        <v>98</v>
      </c>
      <c r="J1406" s="95" t="s">
        <v>25</v>
      </c>
      <c r="K1406" s="104" t="s">
        <v>300</v>
      </c>
      <c r="L1406" s="104" t="s">
        <v>276</v>
      </c>
      <c r="M1406" s="104" t="s">
        <v>276</v>
      </c>
      <c r="N1406" s="95" t="s">
        <v>8564</v>
      </c>
      <c r="O1406" s="105" t="s">
        <v>8565</v>
      </c>
      <c r="P1406" s="95" t="s">
        <v>239</v>
      </c>
      <c r="Q1406" s="106">
        <v>42004</v>
      </c>
      <c r="R1406" s="105" t="s">
        <v>276</v>
      </c>
      <c r="S1406" s="95" t="s">
        <v>8566</v>
      </c>
      <c r="T1406" s="95" t="s">
        <v>8567</v>
      </c>
      <c r="U1406" s="95">
        <v>3</v>
      </c>
      <c r="V1406" s="94" t="s">
        <v>14</v>
      </c>
      <c r="W1406" s="104" t="s">
        <v>98</v>
      </c>
      <c r="X1406" s="105" t="s">
        <v>208</v>
      </c>
      <c r="Y1406" s="98">
        <v>26722</v>
      </c>
      <c r="Z1406" s="105">
        <v>26730</v>
      </c>
      <c r="AA1406" s="105" t="s">
        <v>276</v>
      </c>
      <c r="AB1406" s="105" t="s">
        <v>276</v>
      </c>
      <c r="AC1406" s="94">
        <v>112</v>
      </c>
      <c r="AD1406" s="94" t="s">
        <v>968</v>
      </c>
      <c r="AE1406" s="94">
        <v>143</v>
      </c>
      <c r="AF1406" s="94" t="s">
        <v>968</v>
      </c>
      <c r="AG1406" s="95" t="s">
        <v>8568</v>
      </c>
      <c r="AH1406" s="95" t="s">
        <v>866</v>
      </c>
      <c r="AI1406" s="107">
        <v>673</v>
      </c>
      <c r="AJ1406" s="107">
        <v>462</v>
      </c>
      <c r="AK1406" s="107">
        <v>26722</v>
      </c>
      <c r="AL1406" s="105">
        <v>26730</v>
      </c>
      <c r="AM1406" s="99" t="s">
        <v>2047</v>
      </c>
      <c r="AN1406" s="94" t="s">
        <v>276</v>
      </c>
      <c r="AO1406" s="102">
        <f>AI1406*1000/AK1406</f>
        <v>25.18524062570167</v>
      </c>
      <c r="AP1406" s="94" t="s">
        <v>276</v>
      </c>
      <c r="AQ1406" s="94" t="s">
        <v>276</v>
      </c>
      <c r="AR1406" s="94" t="s">
        <v>276</v>
      </c>
      <c r="AS1406" s="102">
        <f t="shared" ref="AS1406:AS1423" si="429">AJ1406*1000/AL1406</f>
        <v>17.283950617283949</v>
      </c>
      <c r="AT1406" s="94" t="s">
        <v>276</v>
      </c>
      <c r="AU1406" s="94" t="s">
        <v>276</v>
      </c>
      <c r="AV1406" s="95" t="s">
        <v>268</v>
      </c>
      <c r="AW1406" s="108" t="s">
        <v>276</v>
      </c>
      <c r="AX1406" s="108">
        <f t="shared" si="414"/>
        <v>1.4571460647727397</v>
      </c>
      <c r="AY1406" s="105" t="s">
        <v>276</v>
      </c>
      <c r="AZ1406" s="105" t="s">
        <v>276</v>
      </c>
      <c r="BA1406" s="105" t="s">
        <v>276</v>
      </c>
      <c r="BB1406" s="105" t="s">
        <v>282</v>
      </c>
      <c r="BC1406" s="105" t="s">
        <v>276</v>
      </c>
      <c r="BD1406" s="105" t="s">
        <v>276</v>
      </c>
      <c r="BE1406" s="105" t="s">
        <v>276</v>
      </c>
      <c r="BF1406" s="95" t="s">
        <v>298</v>
      </c>
      <c r="BG1406" s="95" t="s">
        <v>8569</v>
      </c>
      <c r="BH1406" s="9" t="s">
        <v>100</v>
      </c>
      <c r="BI1406" s="9" t="s">
        <v>100</v>
      </c>
      <c r="BJ1406" s="109"/>
      <c r="BK1406" s="110"/>
      <c r="BL1406" s="110"/>
      <c r="BM1406" s="110"/>
      <c r="BN1406" s="109"/>
      <c r="BO1406" s="109"/>
      <c r="BP1406" s="110"/>
    </row>
    <row r="1407" spans="1:68" s="111" customFormat="1" ht="65" hidden="1" x14ac:dyDescent="0.35">
      <c r="A1407" s="94">
        <v>11135</v>
      </c>
      <c r="B1407" s="94" t="s">
        <v>8400</v>
      </c>
      <c r="C1407" s="94" t="s">
        <v>83</v>
      </c>
      <c r="D1407" s="105" t="s">
        <v>8570</v>
      </c>
      <c r="E1407" s="94" t="s">
        <v>39</v>
      </c>
      <c r="F1407" s="94" t="s">
        <v>143</v>
      </c>
      <c r="G1407" s="94" t="s">
        <v>262</v>
      </c>
      <c r="H1407" s="94" t="s">
        <v>225</v>
      </c>
      <c r="I1407" s="94" t="s">
        <v>98</v>
      </c>
      <c r="J1407" s="95" t="s">
        <v>25</v>
      </c>
      <c r="K1407" s="104" t="s">
        <v>930</v>
      </c>
      <c r="L1407" s="104" t="s">
        <v>276</v>
      </c>
      <c r="M1407" s="104" t="s">
        <v>276</v>
      </c>
      <c r="N1407" s="95" t="s">
        <v>8564</v>
      </c>
      <c r="O1407" s="105" t="s">
        <v>8565</v>
      </c>
      <c r="P1407" s="95" t="s">
        <v>239</v>
      </c>
      <c r="Q1407" s="106">
        <v>42004</v>
      </c>
      <c r="R1407" s="105" t="s">
        <v>276</v>
      </c>
      <c r="S1407" s="95" t="s">
        <v>8566</v>
      </c>
      <c r="T1407" s="95" t="s">
        <v>8567</v>
      </c>
      <c r="U1407" s="95">
        <v>3</v>
      </c>
      <c r="V1407" s="94" t="s">
        <v>14</v>
      </c>
      <c r="W1407" s="104" t="s">
        <v>98</v>
      </c>
      <c r="X1407" s="105" t="s">
        <v>208</v>
      </c>
      <c r="Y1407" s="98">
        <v>26722</v>
      </c>
      <c r="Z1407" s="105">
        <v>26730</v>
      </c>
      <c r="AA1407" s="105" t="s">
        <v>276</v>
      </c>
      <c r="AB1407" s="105" t="s">
        <v>276</v>
      </c>
      <c r="AC1407" s="94">
        <v>112</v>
      </c>
      <c r="AD1407" s="94" t="s">
        <v>968</v>
      </c>
      <c r="AE1407" s="94">
        <v>143</v>
      </c>
      <c r="AF1407" s="94" t="s">
        <v>968</v>
      </c>
      <c r="AG1407" s="95" t="s">
        <v>8571</v>
      </c>
      <c r="AH1407" s="95" t="s">
        <v>866</v>
      </c>
      <c r="AI1407" s="107">
        <v>523</v>
      </c>
      <c r="AJ1407" s="107">
        <v>326</v>
      </c>
      <c r="AK1407" s="107">
        <v>26722</v>
      </c>
      <c r="AL1407" s="105">
        <v>26730</v>
      </c>
      <c r="AM1407" s="99" t="s">
        <v>2047</v>
      </c>
      <c r="AN1407" s="94" t="s">
        <v>276</v>
      </c>
      <c r="AO1407" s="102">
        <f t="shared" ref="AO1407:AO1424" si="430">AI1407*1000/AK1407</f>
        <v>19.571888331711698</v>
      </c>
      <c r="AP1407" s="94" t="s">
        <v>276</v>
      </c>
      <c r="AQ1407" s="94" t="s">
        <v>276</v>
      </c>
      <c r="AR1407" s="94" t="s">
        <v>276</v>
      </c>
      <c r="AS1407" s="102">
        <f t="shared" si="429"/>
        <v>12.196034418256641</v>
      </c>
      <c r="AT1407" s="94" t="s">
        <v>276</v>
      </c>
      <c r="AU1407" s="94" t="s">
        <v>276</v>
      </c>
      <c r="AV1407" s="95" t="s">
        <v>268</v>
      </c>
      <c r="AW1407" s="108" t="s">
        <v>276</v>
      </c>
      <c r="AX1407" s="108">
        <f t="shared" si="414"/>
        <v>1.6047747702658088</v>
      </c>
      <c r="AY1407" s="105" t="s">
        <v>276</v>
      </c>
      <c r="AZ1407" s="105" t="s">
        <v>276</v>
      </c>
      <c r="BA1407" s="105" t="s">
        <v>276</v>
      </c>
      <c r="BB1407" s="105" t="s">
        <v>282</v>
      </c>
      <c r="BC1407" s="105" t="s">
        <v>276</v>
      </c>
      <c r="BD1407" s="105" t="s">
        <v>276</v>
      </c>
      <c r="BE1407" s="105" t="s">
        <v>276</v>
      </c>
      <c r="BF1407" s="95" t="s">
        <v>298</v>
      </c>
      <c r="BG1407" s="95" t="s">
        <v>8572</v>
      </c>
      <c r="BH1407" s="9" t="s">
        <v>100</v>
      </c>
      <c r="BI1407" s="9" t="s">
        <v>100</v>
      </c>
      <c r="BJ1407" s="109"/>
      <c r="BK1407" s="110"/>
      <c r="BL1407" s="110"/>
      <c r="BM1407" s="110"/>
      <c r="BN1407" s="109"/>
      <c r="BO1407" s="109"/>
      <c r="BP1407" s="110"/>
    </row>
    <row r="1408" spans="1:68" s="111" customFormat="1" ht="65" hidden="1" x14ac:dyDescent="0.35">
      <c r="A1408" s="94">
        <v>11135</v>
      </c>
      <c r="B1408" s="94" t="s">
        <v>8400</v>
      </c>
      <c r="C1408" s="94" t="s">
        <v>83</v>
      </c>
      <c r="D1408" s="105" t="s">
        <v>8573</v>
      </c>
      <c r="E1408" s="94" t="s">
        <v>39</v>
      </c>
      <c r="F1408" s="94" t="s">
        <v>143</v>
      </c>
      <c r="G1408" s="94" t="s">
        <v>262</v>
      </c>
      <c r="H1408" s="94" t="s">
        <v>225</v>
      </c>
      <c r="I1408" s="94" t="s">
        <v>98</v>
      </c>
      <c r="J1408" s="95" t="s">
        <v>25</v>
      </c>
      <c r="K1408" s="104" t="s">
        <v>934</v>
      </c>
      <c r="L1408" s="104" t="s">
        <v>276</v>
      </c>
      <c r="M1408" s="104" t="s">
        <v>276</v>
      </c>
      <c r="N1408" s="95" t="s">
        <v>8564</v>
      </c>
      <c r="O1408" s="105" t="s">
        <v>8565</v>
      </c>
      <c r="P1408" s="95" t="s">
        <v>239</v>
      </c>
      <c r="Q1408" s="106">
        <v>42004</v>
      </c>
      <c r="R1408" s="105" t="s">
        <v>276</v>
      </c>
      <c r="S1408" s="95" t="s">
        <v>8566</v>
      </c>
      <c r="T1408" s="95" t="s">
        <v>8567</v>
      </c>
      <c r="U1408" s="95">
        <v>3</v>
      </c>
      <c r="V1408" s="94" t="s">
        <v>14</v>
      </c>
      <c r="W1408" s="104" t="s">
        <v>98</v>
      </c>
      <c r="X1408" s="105" t="s">
        <v>208</v>
      </c>
      <c r="Y1408" s="98">
        <v>26722</v>
      </c>
      <c r="Z1408" s="105">
        <v>26730</v>
      </c>
      <c r="AA1408" s="105" t="s">
        <v>276</v>
      </c>
      <c r="AB1408" s="105" t="s">
        <v>276</v>
      </c>
      <c r="AC1408" s="94">
        <v>112</v>
      </c>
      <c r="AD1408" s="94" t="s">
        <v>968</v>
      </c>
      <c r="AE1408" s="94">
        <v>143</v>
      </c>
      <c r="AF1408" s="94" t="s">
        <v>968</v>
      </c>
      <c r="AG1408" s="95" t="s">
        <v>8574</v>
      </c>
      <c r="AH1408" s="95" t="s">
        <v>866</v>
      </c>
      <c r="AI1408" s="107">
        <v>148</v>
      </c>
      <c r="AJ1408" s="107">
        <v>134</v>
      </c>
      <c r="AK1408" s="107">
        <v>26722</v>
      </c>
      <c r="AL1408" s="105">
        <v>26730</v>
      </c>
      <c r="AM1408" s="99" t="s">
        <v>2047</v>
      </c>
      <c r="AN1408" s="94" t="s">
        <v>276</v>
      </c>
      <c r="AO1408" s="102">
        <f t="shared" si="430"/>
        <v>5.5385075967367712</v>
      </c>
      <c r="AP1408" s="94" t="s">
        <v>276</v>
      </c>
      <c r="AQ1408" s="94" t="s">
        <v>276</v>
      </c>
      <c r="AR1408" s="94" t="s">
        <v>276</v>
      </c>
      <c r="AS1408" s="102">
        <f t="shared" si="429"/>
        <v>5.0130939019827911</v>
      </c>
      <c r="AT1408" s="94" t="s">
        <v>276</v>
      </c>
      <c r="AU1408" s="94" t="s">
        <v>276</v>
      </c>
      <c r="AV1408" s="95" t="s">
        <v>268</v>
      </c>
      <c r="AW1408" s="108" t="s">
        <v>276</v>
      </c>
      <c r="AX1408" s="108">
        <f t="shared" si="414"/>
        <v>1.104808269110253</v>
      </c>
      <c r="AY1408" s="105" t="s">
        <v>276</v>
      </c>
      <c r="AZ1408" s="105" t="s">
        <v>276</v>
      </c>
      <c r="BA1408" s="105" t="s">
        <v>276</v>
      </c>
      <c r="BB1408" s="105" t="s">
        <v>282</v>
      </c>
      <c r="BC1408" s="105" t="s">
        <v>276</v>
      </c>
      <c r="BD1408" s="105" t="s">
        <v>276</v>
      </c>
      <c r="BE1408" s="105" t="s">
        <v>276</v>
      </c>
      <c r="BF1408" s="95" t="s">
        <v>298</v>
      </c>
      <c r="BG1408" s="95" t="s">
        <v>8572</v>
      </c>
      <c r="BH1408" s="9" t="s">
        <v>100</v>
      </c>
      <c r="BI1408" s="9" t="s">
        <v>100</v>
      </c>
      <c r="BJ1408" s="109"/>
      <c r="BK1408" s="110"/>
      <c r="BL1408" s="110"/>
      <c r="BM1408" s="110"/>
      <c r="BN1408" s="109"/>
      <c r="BO1408" s="109"/>
      <c r="BP1408" s="110"/>
    </row>
    <row r="1409" spans="1:68" s="125" customFormat="1" ht="65" hidden="1" x14ac:dyDescent="0.35">
      <c r="A1409" s="112">
        <v>11135</v>
      </c>
      <c r="B1409" s="112" t="s">
        <v>8400</v>
      </c>
      <c r="C1409" s="112" t="s">
        <v>83</v>
      </c>
      <c r="D1409" s="115" t="s">
        <v>8575</v>
      </c>
      <c r="E1409" s="112" t="s">
        <v>39</v>
      </c>
      <c r="F1409" s="112" t="s">
        <v>143</v>
      </c>
      <c r="G1409" s="112" t="s">
        <v>262</v>
      </c>
      <c r="H1409" s="112" t="s">
        <v>225</v>
      </c>
      <c r="I1409" s="112" t="s">
        <v>98</v>
      </c>
      <c r="J1409" s="113" t="s">
        <v>25</v>
      </c>
      <c r="K1409" s="114" t="s">
        <v>304</v>
      </c>
      <c r="L1409" s="114" t="s">
        <v>276</v>
      </c>
      <c r="M1409" s="114" t="s">
        <v>276</v>
      </c>
      <c r="N1409" s="113" t="s">
        <v>8564</v>
      </c>
      <c r="O1409" s="115" t="s">
        <v>8565</v>
      </c>
      <c r="P1409" s="113" t="s">
        <v>239</v>
      </c>
      <c r="Q1409" s="116">
        <v>42004</v>
      </c>
      <c r="R1409" s="115" t="s">
        <v>276</v>
      </c>
      <c r="S1409" s="113" t="s">
        <v>8566</v>
      </c>
      <c r="T1409" s="113" t="s">
        <v>8567</v>
      </c>
      <c r="U1409" s="113">
        <v>3</v>
      </c>
      <c r="V1409" s="112" t="s">
        <v>14</v>
      </c>
      <c r="W1409" s="114" t="s">
        <v>98</v>
      </c>
      <c r="X1409" s="115" t="s">
        <v>208</v>
      </c>
      <c r="Y1409" s="118">
        <v>26722</v>
      </c>
      <c r="Z1409" s="115">
        <v>26730</v>
      </c>
      <c r="AA1409" s="115" t="s">
        <v>276</v>
      </c>
      <c r="AB1409" s="115" t="s">
        <v>276</v>
      </c>
      <c r="AC1409" s="112">
        <v>112</v>
      </c>
      <c r="AD1409" s="112" t="s">
        <v>968</v>
      </c>
      <c r="AE1409" s="112">
        <v>143</v>
      </c>
      <c r="AF1409" s="112" t="s">
        <v>968</v>
      </c>
      <c r="AG1409" s="113" t="s">
        <v>8576</v>
      </c>
      <c r="AH1409" s="113" t="s">
        <v>866</v>
      </c>
      <c r="AI1409" s="120">
        <v>145</v>
      </c>
      <c r="AJ1409" s="120">
        <v>153</v>
      </c>
      <c r="AK1409" s="120">
        <v>26722</v>
      </c>
      <c r="AL1409" s="115">
        <v>26730</v>
      </c>
      <c r="AM1409" s="119" t="s">
        <v>2047</v>
      </c>
      <c r="AN1409" s="112" t="s">
        <v>276</v>
      </c>
      <c r="AO1409" s="121">
        <f t="shared" si="430"/>
        <v>5.4262405508569715</v>
      </c>
      <c r="AP1409" s="112" t="s">
        <v>276</v>
      </c>
      <c r="AQ1409" s="112" t="s">
        <v>276</v>
      </c>
      <c r="AR1409" s="112" t="s">
        <v>276</v>
      </c>
      <c r="AS1409" s="121">
        <f t="shared" si="429"/>
        <v>5.7239057239057241</v>
      </c>
      <c r="AT1409" s="112" t="s">
        <v>276</v>
      </c>
      <c r="AU1409" s="112" t="s">
        <v>276</v>
      </c>
      <c r="AV1409" s="113" t="s">
        <v>268</v>
      </c>
      <c r="AW1409" s="122" t="s">
        <v>276</v>
      </c>
      <c r="AX1409" s="122">
        <f t="shared" si="414"/>
        <v>0.94799614329677673</v>
      </c>
      <c r="AY1409" s="115" t="s">
        <v>276</v>
      </c>
      <c r="AZ1409" s="115" t="s">
        <v>276</v>
      </c>
      <c r="BA1409" s="115" t="s">
        <v>276</v>
      </c>
      <c r="BB1409" s="115" t="s">
        <v>282</v>
      </c>
      <c r="BC1409" s="115" t="s">
        <v>276</v>
      </c>
      <c r="BD1409" s="115" t="s">
        <v>276</v>
      </c>
      <c r="BE1409" s="115" t="s">
        <v>276</v>
      </c>
      <c r="BF1409" s="113" t="s">
        <v>298</v>
      </c>
      <c r="BG1409" s="113" t="s">
        <v>8577</v>
      </c>
      <c r="BH1409" s="9" t="s">
        <v>100</v>
      </c>
      <c r="BI1409" s="9" t="s">
        <v>100</v>
      </c>
      <c r="BJ1409" s="123"/>
      <c r="BK1409" s="124"/>
      <c r="BL1409" s="124"/>
      <c r="BM1409" s="124"/>
      <c r="BN1409" s="123"/>
      <c r="BO1409" s="123"/>
      <c r="BP1409" s="124"/>
    </row>
    <row r="1410" spans="1:68" s="125" customFormat="1" ht="65" hidden="1" x14ac:dyDescent="0.35">
      <c r="A1410" s="112">
        <v>11135</v>
      </c>
      <c r="B1410" s="112" t="s">
        <v>8400</v>
      </c>
      <c r="C1410" s="112" t="s">
        <v>83</v>
      </c>
      <c r="D1410" s="115" t="s">
        <v>8578</v>
      </c>
      <c r="E1410" s="112" t="s">
        <v>39</v>
      </c>
      <c r="F1410" s="112" t="s">
        <v>143</v>
      </c>
      <c r="G1410" s="112" t="s">
        <v>262</v>
      </c>
      <c r="H1410" s="112" t="s">
        <v>225</v>
      </c>
      <c r="I1410" s="112" t="s">
        <v>98</v>
      </c>
      <c r="J1410" s="113" t="s">
        <v>25</v>
      </c>
      <c r="K1410" s="114" t="s">
        <v>939</v>
      </c>
      <c r="L1410" s="114" t="s">
        <v>276</v>
      </c>
      <c r="M1410" s="114" t="s">
        <v>276</v>
      </c>
      <c r="N1410" s="113" t="s">
        <v>8564</v>
      </c>
      <c r="O1410" s="115" t="s">
        <v>8565</v>
      </c>
      <c r="P1410" s="113" t="s">
        <v>239</v>
      </c>
      <c r="Q1410" s="116">
        <v>42004</v>
      </c>
      <c r="R1410" s="115" t="s">
        <v>276</v>
      </c>
      <c r="S1410" s="113" t="s">
        <v>8566</v>
      </c>
      <c r="T1410" s="113" t="s">
        <v>8567</v>
      </c>
      <c r="U1410" s="113">
        <v>3</v>
      </c>
      <c r="V1410" s="112" t="s">
        <v>14</v>
      </c>
      <c r="W1410" s="114" t="s">
        <v>98</v>
      </c>
      <c r="X1410" s="115" t="s">
        <v>208</v>
      </c>
      <c r="Y1410" s="118">
        <v>26722</v>
      </c>
      <c r="Z1410" s="115">
        <v>26730</v>
      </c>
      <c r="AA1410" s="115" t="s">
        <v>276</v>
      </c>
      <c r="AB1410" s="115" t="s">
        <v>276</v>
      </c>
      <c r="AC1410" s="112">
        <v>112</v>
      </c>
      <c r="AD1410" s="112" t="s">
        <v>968</v>
      </c>
      <c r="AE1410" s="112">
        <v>143</v>
      </c>
      <c r="AF1410" s="112" t="s">
        <v>968</v>
      </c>
      <c r="AG1410" s="113" t="s">
        <v>8579</v>
      </c>
      <c r="AH1410" s="113" t="s">
        <v>866</v>
      </c>
      <c r="AI1410" s="120">
        <v>91</v>
      </c>
      <c r="AJ1410" s="120">
        <v>80</v>
      </c>
      <c r="AK1410" s="120">
        <v>26722</v>
      </c>
      <c r="AL1410" s="115">
        <v>26730</v>
      </c>
      <c r="AM1410" s="119" t="s">
        <v>2047</v>
      </c>
      <c r="AN1410" s="112" t="s">
        <v>276</v>
      </c>
      <c r="AO1410" s="121">
        <f t="shared" si="430"/>
        <v>3.4054337250205822</v>
      </c>
      <c r="AP1410" s="112" t="s">
        <v>276</v>
      </c>
      <c r="AQ1410" s="112" t="s">
        <v>276</v>
      </c>
      <c r="AR1410" s="112" t="s">
        <v>276</v>
      </c>
      <c r="AS1410" s="121">
        <f t="shared" si="429"/>
        <v>2.9928918817807708</v>
      </c>
      <c r="AT1410" s="112" t="s">
        <v>276</v>
      </c>
      <c r="AU1410" s="112" t="s">
        <v>276</v>
      </c>
      <c r="AV1410" s="113" t="s">
        <v>268</v>
      </c>
      <c r="AW1410" s="122" t="s">
        <v>276</v>
      </c>
      <c r="AX1410" s="122">
        <f t="shared" si="414"/>
        <v>1.1378405433725021</v>
      </c>
      <c r="AY1410" s="115" t="s">
        <v>276</v>
      </c>
      <c r="AZ1410" s="115" t="s">
        <v>276</v>
      </c>
      <c r="BA1410" s="115" t="s">
        <v>276</v>
      </c>
      <c r="BB1410" s="115" t="s">
        <v>282</v>
      </c>
      <c r="BC1410" s="115" t="s">
        <v>276</v>
      </c>
      <c r="BD1410" s="115" t="s">
        <v>276</v>
      </c>
      <c r="BE1410" s="115" t="s">
        <v>276</v>
      </c>
      <c r="BF1410" s="113" t="s">
        <v>298</v>
      </c>
      <c r="BG1410" s="113" t="s">
        <v>8580</v>
      </c>
      <c r="BH1410" s="9" t="s">
        <v>100</v>
      </c>
      <c r="BI1410" s="9" t="s">
        <v>100</v>
      </c>
      <c r="BJ1410" s="123"/>
      <c r="BK1410" s="124"/>
      <c r="BL1410" s="124"/>
      <c r="BM1410" s="124"/>
      <c r="BN1410" s="123"/>
      <c r="BO1410" s="123"/>
      <c r="BP1410" s="124"/>
    </row>
    <row r="1411" spans="1:68" s="125" customFormat="1" ht="65" hidden="1" x14ac:dyDescent="0.35">
      <c r="A1411" s="112">
        <v>11135</v>
      </c>
      <c r="B1411" s="112" t="s">
        <v>8400</v>
      </c>
      <c r="C1411" s="112" t="s">
        <v>83</v>
      </c>
      <c r="D1411" s="115" t="s">
        <v>8581</v>
      </c>
      <c r="E1411" s="112" t="s">
        <v>39</v>
      </c>
      <c r="F1411" s="112" t="s">
        <v>143</v>
      </c>
      <c r="G1411" s="112" t="s">
        <v>262</v>
      </c>
      <c r="H1411" s="112" t="s">
        <v>225</v>
      </c>
      <c r="I1411" s="112" t="s">
        <v>98</v>
      </c>
      <c r="J1411" s="113" t="s">
        <v>25</v>
      </c>
      <c r="K1411" s="114" t="s">
        <v>942</v>
      </c>
      <c r="L1411" s="114" t="s">
        <v>276</v>
      </c>
      <c r="M1411" s="114" t="s">
        <v>276</v>
      </c>
      <c r="N1411" s="113" t="s">
        <v>8564</v>
      </c>
      <c r="O1411" s="115" t="s">
        <v>8565</v>
      </c>
      <c r="P1411" s="113" t="s">
        <v>239</v>
      </c>
      <c r="Q1411" s="116">
        <v>42004</v>
      </c>
      <c r="R1411" s="115" t="s">
        <v>276</v>
      </c>
      <c r="S1411" s="113" t="s">
        <v>8566</v>
      </c>
      <c r="T1411" s="113" t="s">
        <v>8567</v>
      </c>
      <c r="U1411" s="113">
        <v>3</v>
      </c>
      <c r="V1411" s="112" t="s">
        <v>14</v>
      </c>
      <c r="W1411" s="114" t="s">
        <v>98</v>
      </c>
      <c r="X1411" s="115" t="s">
        <v>208</v>
      </c>
      <c r="Y1411" s="118">
        <v>26722</v>
      </c>
      <c r="Z1411" s="115">
        <v>26730</v>
      </c>
      <c r="AA1411" s="115" t="s">
        <v>276</v>
      </c>
      <c r="AB1411" s="115" t="s">
        <v>276</v>
      </c>
      <c r="AC1411" s="112">
        <v>112</v>
      </c>
      <c r="AD1411" s="112" t="s">
        <v>968</v>
      </c>
      <c r="AE1411" s="112">
        <v>143</v>
      </c>
      <c r="AF1411" s="112" t="s">
        <v>968</v>
      </c>
      <c r="AG1411" s="113" t="s">
        <v>8582</v>
      </c>
      <c r="AH1411" s="113" t="s">
        <v>866</v>
      </c>
      <c r="AI1411" s="120">
        <v>43</v>
      </c>
      <c r="AJ1411" s="120">
        <v>66</v>
      </c>
      <c r="AK1411" s="120">
        <v>26722</v>
      </c>
      <c r="AL1411" s="115">
        <v>26730</v>
      </c>
      <c r="AM1411" s="119" t="s">
        <v>2047</v>
      </c>
      <c r="AN1411" s="112" t="s">
        <v>276</v>
      </c>
      <c r="AO1411" s="121">
        <f t="shared" si="430"/>
        <v>1.6091609909437916</v>
      </c>
      <c r="AP1411" s="112" t="s">
        <v>276</v>
      </c>
      <c r="AQ1411" s="112" t="s">
        <v>276</v>
      </c>
      <c r="AR1411" s="112" t="s">
        <v>276</v>
      </c>
      <c r="AS1411" s="121">
        <f t="shared" si="429"/>
        <v>2.4691358024691357</v>
      </c>
      <c r="AT1411" s="112" t="s">
        <v>276</v>
      </c>
      <c r="AU1411" s="112" t="s">
        <v>276</v>
      </c>
      <c r="AV1411" s="113" t="s">
        <v>268</v>
      </c>
      <c r="AW1411" s="122" t="s">
        <v>276</v>
      </c>
      <c r="AX1411" s="122">
        <f t="shared" si="414"/>
        <v>0.65171020133223567</v>
      </c>
      <c r="AY1411" s="115" t="s">
        <v>276</v>
      </c>
      <c r="AZ1411" s="115" t="s">
        <v>276</v>
      </c>
      <c r="BA1411" s="115" t="s">
        <v>276</v>
      </c>
      <c r="BB1411" s="115" t="s">
        <v>282</v>
      </c>
      <c r="BC1411" s="115" t="s">
        <v>276</v>
      </c>
      <c r="BD1411" s="115" t="s">
        <v>276</v>
      </c>
      <c r="BE1411" s="115" t="s">
        <v>276</v>
      </c>
      <c r="BF1411" s="113" t="s">
        <v>298</v>
      </c>
      <c r="BG1411" s="113" t="s">
        <v>8580</v>
      </c>
      <c r="BH1411" s="9" t="s">
        <v>100</v>
      </c>
      <c r="BI1411" s="9" t="s">
        <v>100</v>
      </c>
      <c r="BJ1411" s="123"/>
      <c r="BK1411" s="124"/>
      <c r="BL1411" s="124"/>
      <c r="BM1411" s="124"/>
      <c r="BN1411" s="123"/>
      <c r="BO1411" s="123"/>
      <c r="BP1411" s="124"/>
    </row>
    <row r="1412" spans="1:68" s="111" customFormat="1" ht="65" hidden="1" x14ac:dyDescent="0.35">
      <c r="A1412" s="94">
        <v>11135</v>
      </c>
      <c r="B1412" s="94" t="s">
        <v>8400</v>
      </c>
      <c r="C1412" s="94" t="s">
        <v>83</v>
      </c>
      <c r="D1412" s="105" t="s">
        <v>8583</v>
      </c>
      <c r="E1412" s="94" t="s">
        <v>39</v>
      </c>
      <c r="F1412" s="94" t="s">
        <v>143</v>
      </c>
      <c r="G1412" s="94" t="s">
        <v>262</v>
      </c>
      <c r="H1412" s="94" t="s">
        <v>225</v>
      </c>
      <c r="I1412" s="94" t="s">
        <v>98</v>
      </c>
      <c r="J1412" s="95" t="s">
        <v>25</v>
      </c>
      <c r="K1412" s="104" t="s">
        <v>311</v>
      </c>
      <c r="L1412" s="104" t="s">
        <v>276</v>
      </c>
      <c r="M1412" s="104" t="s">
        <v>276</v>
      </c>
      <c r="N1412" s="95" t="s">
        <v>8564</v>
      </c>
      <c r="O1412" s="105" t="s">
        <v>8565</v>
      </c>
      <c r="P1412" s="95" t="s">
        <v>239</v>
      </c>
      <c r="Q1412" s="106">
        <v>42004</v>
      </c>
      <c r="R1412" s="105" t="s">
        <v>276</v>
      </c>
      <c r="S1412" s="95" t="s">
        <v>8566</v>
      </c>
      <c r="T1412" s="95" t="s">
        <v>8567</v>
      </c>
      <c r="U1412" s="95">
        <v>3</v>
      </c>
      <c r="V1412" s="94" t="s">
        <v>14</v>
      </c>
      <c r="W1412" s="104" t="s">
        <v>98</v>
      </c>
      <c r="X1412" s="105" t="s">
        <v>208</v>
      </c>
      <c r="Y1412" s="98">
        <v>26722</v>
      </c>
      <c r="Z1412" s="105">
        <v>26730</v>
      </c>
      <c r="AA1412" s="105" t="s">
        <v>276</v>
      </c>
      <c r="AB1412" s="105" t="s">
        <v>276</v>
      </c>
      <c r="AC1412" s="94">
        <v>112</v>
      </c>
      <c r="AD1412" s="94" t="s">
        <v>968</v>
      </c>
      <c r="AE1412" s="94">
        <v>143</v>
      </c>
      <c r="AF1412" s="94" t="s">
        <v>968</v>
      </c>
      <c r="AG1412" s="95" t="s">
        <v>8584</v>
      </c>
      <c r="AH1412" s="95" t="s">
        <v>866</v>
      </c>
      <c r="AI1412" s="107">
        <v>298</v>
      </c>
      <c r="AJ1412" s="107">
        <v>321</v>
      </c>
      <c r="AK1412" s="107">
        <v>26722</v>
      </c>
      <c r="AL1412" s="105">
        <v>26730</v>
      </c>
      <c r="AM1412" s="99" t="s">
        <v>2047</v>
      </c>
      <c r="AN1412" s="94" t="s">
        <v>276</v>
      </c>
      <c r="AO1412" s="102">
        <f t="shared" si="430"/>
        <v>11.151859890726742</v>
      </c>
      <c r="AP1412" s="94" t="s">
        <v>276</v>
      </c>
      <c r="AQ1412" s="94" t="s">
        <v>276</v>
      </c>
      <c r="AR1412" s="94" t="s">
        <v>276</v>
      </c>
      <c r="AS1412" s="102">
        <f t="shared" si="429"/>
        <v>12.008978675645343</v>
      </c>
      <c r="AT1412" s="94" t="s">
        <v>276</v>
      </c>
      <c r="AU1412" s="94" t="s">
        <v>276</v>
      </c>
      <c r="AV1412" s="95" t="s">
        <v>268</v>
      </c>
      <c r="AW1412" s="108" t="s">
        <v>276</v>
      </c>
      <c r="AX1412" s="108">
        <f t="shared" si="414"/>
        <v>0.92862683762967535</v>
      </c>
      <c r="AY1412" s="105" t="s">
        <v>276</v>
      </c>
      <c r="AZ1412" s="105" t="s">
        <v>276</v>
      </c>
      <c r="BA1412" s="105" t="s">
        <v>276</v>
      </c>
      <c r="BB1412" s="105" t="s">
        <v>282</v>
      </c>
      <c r="BC1412" s="105" t="s">
        <v>276</v>
      </c>
      <c r="BD1412" s="105" t="s">
        <v>276</v>
      </c>
      <c r="BE1412" s="105" t="s">
        <v>276</v>
      </c>
      <c r="BF1412" s="95" t="s">
        <v>298</v>
      </c>
      <c r="BG1412" s="95" t="s">
        <v>8585</v>
      </c>
      <c r="BH1412" s="9" t="s">
        <v>100</v>
      </c>
      <c r="BI1412" s="9" t="s">
        <v>100</v>
      </c>
      <c r="BJ1412" s="109"/>
      <c r="BK1412" s="110"/>
      <c r="BL1412" s="110"/>
      <c r="BM1412" s="110"/>
      <c r="BN1412" s="109"/>
      <c r="BO1412" s="109"/>
      <c r="BP1412" s="110"/>
    </row>
    <row r="1413" spans="1:68" s="111" customFormat="1" ht="65" hidden="1" x14ac:dyDescent="0.35">
      <c r="A1413" s="94">
        <v>11135</v>
      </c>
      <c r="B1413" s="94" t="s">
        <v>8400</v>
      </c>
      <c r="C1413" s="94" t="s">
        <v>83</v>
      </c>
      <c r="D1413" s="105" t="s">
        <v>8586</v>
      </c>
      <c r="E1413" s="94" t="s">
        <v>39</v>
      </c>
      <c r="F1413" s="94" t="s">
        <v>143</v>
      </c>
      <c r="G1413" s="94" t="s">
        <v>262</v>
      </c>
      <c r="H1413" s="94" t="s">
        <v>225</v>
      </c>
      <c r="I1413" s="94" t="s">
        <v>98</v>
      </c>
      <c r="J1413" s="95" t="s">
        <v>25</v>
      </c>
      <c r="K1413" s="104" t="s">
        <v>947</v>
      </c>
      <c r="L1413" s="104" t="s">
        <v>276</v>
      </c>
      <c r="M1413" s="104" t="s">
        <v>276</v>
      </c>
      <c r="N1413" s="95" t="s">
        <v>8564</v>
      </c>
      <c r="O1413" s="105" t="s">
        <v>8565</v>
      </c>
      <c r="P1413" s="95" t="s">
        <v>239</v>
      </c>
      <c r="Q1413" s="106">
        <v>42004</v>
      </c>
      <c r="R1413" s="105" t="s">
        <v>276</v>
      </c>
      <c r="S1413" s="95" t="s">
        <v>8566</v>
      </c>
      <c r="T1413" s="95" t="s">
        <v>8567</v>
      </c>
      <c r="U1413" s="95">
        <v>3</v>
      </c>
      <c r="V1413" s="94" t="s">
        <v>14</v>
      </c>
      <c r="W1413" s="104" t="s">
        <v>98</v>
      </c>
      <c r="X1413" s="105" t="s">
        <v>208</v>
      </c>
      <c r="Y1413" s="98">
        <v>26722</v>
      </c>
      <c r="Z1413" s="105">
        <v>26730</v>
      </c>
      <c r="AA1413" s="105" t="s">
        <v>276</v>
      </c>
      <c r="AB1413" s="105" t="s">
        <v>276</v>
      </c>
      <c r="AC1413" s="94">
        <v>112</v>
      </c>
      <c r="AD1413" s="94" t="s">
        <v>968</v>
      </c>
      <c r="AE1413" s="94">
        <v>143</v>
      </c>
      <c r="AF1413" s="94" t="s">
        <v>968</v>
      </c>
      <c r="AG1413" s="95" t="s">
        <v>8587</v>
      </c>
      <c r="AH1413" s="95" t="s">
        <v>866</v>
      </c>
      <c r="AI1413" s="107">
        <v>204</v>
      </c>
      <c r="AJ1413" s="107">
        <v>216</v>
      </c>
      <c r="AK1413" s="107">
        <v>26722</v>
      </c>
      <c r="AL1413" s="105">
        <v>26730</v>
      </c>
      <c r="AM1413" s="99" t="s">
        <v>2047</v>
      </c>
      <c r="AN1413" s="94" t="s">
        <v>276</v>
      </c>
      <c r="AO1413" s="102">
        <f t="shared" si="430"/>
        <v>7.6341591198263599</v>
      </c>
      <c r="AP1413" s="94" t="s">
        <v>276</v>
      </c>
      <c r="AQ1413" s="94" t="s">
        <v>276</v>
      </c>
      <c r="AR1413" s="94" t="s">
        <v>276</v>
      </c>
      <c r="AS1413" s="102">
        <f t="shared" si="429"/>
        <v>8.0808080808080813</v>
      </c>
      <c r="AT1413" s="94" t="s">
        <v>276</v>
      </c>
      <c r="AU1413" s="94" t="s">
        <v>276</v>
      </c>
      <c r="AV1413" s="95" t="s">
        <v>268</v>
      </c>
      <c r="AW1413" s="108" t="s">
        <v>276</v>
      </c>
      <c r="AX1413" s="108">
        <f t="shared" si="414"/>
        <v>0.944727191078512</v>
      </c>
      <c r="AY1413" s="105" t="s">
        <v>276</v>
      </c>
      <c r="AZ1413" s="105" t="s">
        <v>276</v>
      </c>
      <c r="BA1413" s="105" t="s">
        <v>276</v>
      </c>
      <c r="BB1413" s="105" t="s">
        <v>282</v>
      </c>
      <c r="BC1413" s="105" t="s">
        <v>276</v>
      </c>
      <c r="BD1413" s="105" t="s">
        <v>276</v>
      </c>
      <c r="BE1413" s="105" t="s">
        <v>276</v>
      </c>
      <c r="BF1413" s="95" t="s">
        <v>298</v>
      </c>
      <c r="BG1413" s="95" t="s">
        <v>8588</v>
      </c>
      <c r="BH1413" s="9" t="s">
        <v>100</v>
      </c>
      <c r="BI1413" s="9" t="s">
        <v>100</v>
      </c>
      <c r="BJ1413" s="109"/>
      <c r="BK1413" s="110"/>
      <c r="BL1413" s="110"/>
      <c r="BM1413" s="110"/>
      <c r="BN1413" s="109"/>
      <c r="BO1413" s="109"/>
      <c r="BP1413" s="110"/>
    </row>
    <row r="1414" spans="1:68" s="111" customFormat="1" ht="65" hidden="1" x14ac:dyDescent="0.35">
      <c r="A1414" s="94">
        <v>11135</v>
      </c>
      <c r="B1414" s="94" t="s">
        <v>8400</v>
      </c>
      <c r="C1414" s="94" t="s">
        <v>83</v>
      </c>
      <c r="D1414" s="105" t="s">
        <v>8589</v>
      </c>
      <c r="E1414" s="94" t="s">
        <v>39</v>
      </c>
      <c r="F1414" s="94" t="s">
        <v>143</v>
      </c>
      <c r="G1414" s="94" t="s">
        <v>262</v>
      </c>
      <c r="H1414" s="94" t="s">
        <v>225</v>
      </c>
      <c r="I1414" s="94" t="s">
        <v>98</v>
      </c>
      <c r="J1414" s="95" t="s">
        <v>25</v>
      </c>
      <c r="K1414" s="104" t="s">
        <v>950</v>
      </c>
      <c r="L1414" s="104" t="s">
        <v>276</v>
      </c>
      <c r="M1414" s="104" t="s">
        <v>276</v>
      </c>
      <c r="N1414" s="95" t="s">
        <v>8564</v>
      </c>
      <c r="O1414" s="105" t="s">
        <v>8565</v>
      </c>
      <c r="P1414" s="95" t="s">
        <v>239</v>
      </c>
      <c r="Q1414" s="106">
        <v>42004</v>
      </c>
      <c r="R1414" s="105" t="s">
        <v>276</v>
      </c>
      <c r="S1414" s="95" t="s">
        <v>8566</v>
      </c>
      <c r="T1414" s="95" t="s">
        <v>8567</v>
      </c>
      <c r="U1414" s="95">
        <v>3</v>
      </c>
      <c r="V1414" s="94" t="s">
        <v>14</v>
      </c>
      <c r="W1414" s="104" t="s">
        <v>98</v>
      </c>
      <c r="X1414" s="105" t="s">
        <v>208</v>
      </c>
      <c r="Y1414" s="98">
        <v>26722</v>
      </c>
      <c r="Z1414" s="105">
        <v>26730</v>
      </c>
      <c r="AA1414" s="105" t="s">
        <v>276</v>
      </c>
      <c r="AB1414" s="105" t="s">
        <v>276</v>
      </c>
      <c r="AC1414" s="94">
        <v>112</v>
      </c>
      <c r="AD1414" s="94" t="s">
        <v>968</v>
      </c>
      <c r="AE1414" s="94">
        <v>143</v>
      </c>
      <c r="AF1414" s="94" t="s">
        <v>968</v>
      </c>
      <c r="AG1414" s="95" t="s">
        <v>8590</v>
      </c>
      <c r="AH1414" s="95" t="s">
        <v>866</v>
      </c>
      <c r="AI1414" s="107">
        <v>84</v>
      </c>
      <c r="AJ1414" s="107">
        <v>94</v>
      </c>
      <c r="AK1414" s="107">
        <v>26722</v>
      </c>
      <c r="AL1414" s="105">
        <v>26730</v>
      </c>
      <c r="AM1414" s="99" t="s">
        <v>2047</v>
      </c>
      <c r="AN1414" s="94" t="s">
        <v>276</v>
      </c>
      <c r="AO1414" s="102">
        <f t="shared" si="430"/>
        <v>3.1434772846343835</v>
      </c>
      <c r="AP1414" s="94" t="s">
        <v>276</v>
      </c>
      <c r="AQ1414" s="94" t="s">
        <v>276</v>
      </c>
      <c r="AR1414" s="94" t="s">
        <v>276</v>
      </c>
      <c r="AS1414" s="102">
        <f t="shared" si="429"/>
        <v>3.5166479610924055</v>
      </c>
      <c r="AT1414" s="94" t="s">
        <v>276</v>
      </c>
      <c r="AU1414" s="94" t="s">
        <v>276</v>
      </c>
      <c r="AV1414" s="95" t="s">
        <v>268</v>
      </c>
      <c r="AW1414" s="108" t="s">
        <v>276</v>
      </c>
      <c r="AX1414" s="108">
        <f t="shared" si="414"/>
        <v>0.89388455125826671</v>
      </c>
      <c r="AY1414" s="105" t="s">
        <v>276</v>
      </c>
      <c r="AZ1414" s="105" t="s">
        <v>276</v>
      </c>
      <c r="BA1414" s="105" t="s">
        <v>276</v>
      </c>
      <c r="BB1414" s="105" t="s">
        <v>282</v>
      </c>
      <c r="BC1414" s="105" t="s">
        <v>276</v>
      </c>
      <c r="BD1414" s="105" t="s">
        <v>276</v>
      </c>
      <c r="BE1414" s="105" t="s">
        <v>276</v>
      </c>
      <c r="BF1414" s="95" t="s">
        <v>298</v>
      </c>
      <c r="BG1414" s="95" t="s">
        <v>8591</v>
      </c>
      <c r="BH1414" s="9" t="s">
        <v>100</v>
      </c>
      <c r="BI1414" s="9" t="s">
        <v>100</v>
      </c>
      <c r="BJ1414" s="109"/>
      <c r="BK1414" s="110"/>
      <c r="BL1414" s="110"/>
      <c r="BM1414" s="110"/>
      <c r="BN1414" s="109"/>
      <c r="BO1414" s="109"/>
      <c r="BP1414" s="110"/>
    </row>
    <row r="1415" spans="1:68" s="125" customFormat="1" ht="65" hidden="1" x14ac:dyDescent="0.35">
      <c r="A1415" s="112">
        <v>11135</v>
      </c>
      <c r="B1415" s="112" t="s">
        <v>8400</v>
      </c>
      <c r="C1415" s="112" t="s">
        <v>83</v>
      </c>
      <c r="D1415" s="115" t="s">
        <v>8592</v>
      </c>
      <c r="E1415" s="112" t="s">
        <v>39</v>
      </c>
      <c r="F1415" s="112" t="s">
        <v>143</v>
      </c>
      <c r="G1415" s="112" t="s">
        <v>262</v>
      </c>
      <c r="H1415" s="112" t="s">
        <v>225</v>
      </c>
      <c r="I1415" s="112" t="s">
        <v>98</v>
      </c>
      <c r="J1415" s="113" t="s">
        <v>25</v>
      </c>
      <c r="K1415" s="114" t="s">
        <v>314</v>
      </c>
      <c r="L1415" s="114" t="s">
        <v>276</v>
      </c>
      <c r="M1415" s="114" t="s">
        <v>276</v>
      </c>
      <c r="N1415" s="113" t="s">
        <v>8564</v>
      </c>
      <c r="O1415" s="115" t="s">
        <v>8565</v>
      </c>
      <c r="P1415" s="113" t="s">
        <v>239</v>
      </c>
      <c r="Q1415" s="116">
        <v>42004</v>
      </c>
      <c r="R1415" s="115" t="s">
        <v>276</v>
      </c>
      <c r="S1415" s="113" t="s">
        <v>8566</v>
      </c>
      <c r="T1415" s="113" t="s">
        <v>8567</v>
      </c>
      <c r="U1415" s="113">
        <v>3</v>
      </c>
      <c r="V1415" s="112" t="s">
        <v>14</v>
      </c>
      <c r="W1415" s="114" t="s">
        <v>98</v>
      </c>
      <c r="X1415" s="115" t="s">
        <v>208</v>
      </c>
      <c r="Y1415" s="118">
        <v>26722</v>
      </c>
      <c r="Z1415" s="115">
        <v>26730</v>
      </c>
      <c r="AA1415" s="115" t="s">
        <v>276</v>
      </c>
      <c r="AB1415" s="115" t="s">
        <v>276</v>
      </c>
      <c r="AC1415" s="112">
        <v>112</v>
      </c>
      <c r="AD1415" s="112" t="s">
        <v>968</v>
      </c>
      <c r="AE1415" s="112">
        <v>143</v>
      </c>
      <c r="AF1415" s="112" t="s">
        <v>968</v>
      </c>
      <c r="AG1415" s="113" t="s">
        <v>8593</v>
      </c>
      <c r="AH1415" s="113" t="s">
        <v>866</v>
      </c>
      <c r="AI1415" s="120">
        <v>468</v>
      </c>
      <c r="AJ1415" s="120">
        <v>597</v>
      </c>
      <c r="AK1415" s="120">
        <v>26722</v>
      </c>
      <c r="AL1415" s="115">
        <v>26730</v>
      </c>
      <c r="AM1415" s="119" t="s">
        <v>2047</v>
      </c>
      <c r="AN1415" s="112">
        <v>17.5</v>
      </c>
      <c r="AO1415" s="121">
        <f t="shared" si="430"/>
        <v>17.513659157248711</v>
      </c>
      <c r="AP1415" s="112" t="s">
        <v>276</v>
      </c>
      <c r="AQ1415" s="112" t="s">
        <v>276</v>
      </c>
      <c r="AR1415" s="112">
        <v>22.3</v>
      </c>
      <c r="AS1415" s="121">
        <f t="shared" si="429"/>
        <v>22.334455667789001</v>
      </c>
      <c r="AT1415" s="112" t="s">
        <v>276</v>
      </c>
      <c r="AU1415" s="112" t="s">
        <v>276</v>
      </c>
      <c r="AV1415" s="113" t="s">
        <v>268</v>
      </c>
      <c r="AW1415" s="122">
        <v>0.79</v>
      </c>
      <c r="AX1415" s="122">
        <f t="shared" si="414"/>
        <v>0.78415428688987943</v>
      </c>
      <c r="AY1415" s="122">
        <v>0.7</v>
      </c>
      <c r="AZ1415" s="122">
        <v>0.89</v>
      </c>
      <c r="BA1415" s="115" t="s">
        <v>276</v>
      </c>
      <c r="BB1415" s="115" t="s">
        <v>282</v>
      </c>
      <c r="BC1415" s="115" t="s">
        <v>276</v>
      </c>
      <c r="BD1415" s="115" t="s">
        <v>276</v>
      </c>
      <c r="BE1415" s="115" t="s">
        <v>276</v>
      </c>
      <c r="BF1415" s="113" t="s">
        <v>8594</v>
      </c>
      <c r="BG1415" s="113"/>
      <c r="BH1415" s="9" t="s">
        <v>100</v>
      </c>
      <c r="BI1415" s="9" t="s">
        <v>100</v>
      </c>
      <c r="BJ1415" s="123"/>
      <c r="BK1415" s="124"/>
      <c r="BL1415" s="124"/>
      <c r="BM1415" s="124"/>
      <c r="BN1415" s="123"/>
      <c r="BO1415" s="123"/>
      <c r="BP1415" s="124"/>
    </row>
    <row r="1416" spans="1:68" s="125" customFormat="1" ht="65" hidden="1" x14ac:dyDescent="0.35">
      <c r="A1416" s="112">
        <v>11135</v>
      </c>
      <c r="B1416" s="112" t="s">
        <v>8400</v>
      </c>
      <c r="C1416" s="112" t="s">
        <v>83</v>
      </c>
      <c r="D1416" s="115" t="s">
        <v>8595</v>
      </c>
      <c r="E1416" s="112" t="s">
        <v>39</v>
      </c>
      <c r="F1416" s="112" t="s">
        <v>143</v>
      </c>
      <c r="G1416" s="112" t="s">
        <v>262</v>
      </c>
      <c r="H1416" s="112" t="s">
        <v>225</v>
      </c>
      <c r="I1416" s="112" t="s">
        <v>98</v>
      </c>
      <c r="J1416" s="113" t="s">
        <v>25</v>
      </c>
      <c r="K1416" s="114" t="s">
        <v>314</v>
      </c>
      <c r="L1416" s="114" t="s">
        <v>276</v>
      </c>
      <c r="M1416" s="114" t="s">
        <v>276</v>
      </c>
      <c r="N1416" s="113" t="s">
        <v>8564</v>
      </c>
      <c r="O1416" s="115" t="s">
        <v>8565</v>
      </c>
      <c r="P1416" s="113" t="s">
        <v>239</v>
      </c>
      <c r="Q1416" s="116" t="s">
        <v>276</v>
      </c>
      <c r="R1416" s="115" t="s">
        <v>733</v>
      </c>
      <c r="S1416" s="113" t="s">
        <v>276</v>
      </c>
      <c r="T1416" s="113" t="s">
        <v>276</v>
      </c>
      <c r="U1416" s="113">
        <v>3</v>
      </c>
      <c r="V1416" s="112" t="s">
        <v>14</v>
      </c>
      <c r="W1416" s="114" t="s">
        <v>98</v>
      </c>
      <c r="X1416" s="115" t="s">
        <v>208</v>
      </c>
      <c r="Y1416" s="118">
        <v>26722</v>
      </c>
      <c r="Z1416" s="115">
        <v>26730</v>
      </c>
      <c r="AA1416" s="115" t="s">
        <v>276</v>
      </c>
      <c r="AB1416" s="115" t="s">
        <v>276</v>
      </c>
      <c r="AC1416" s="112" t="s">
        <v>276</v>
      </c>
      <c r="AD1416" s="112" t="s">
        <v>276</v>
      </c>
      <c r="AE1416" s="112" t="s">
        <v>276</v>
      </c>
      <c r="AF1416" s="112" t="s">
        <v>276</v>
      </c>
      <c r="AG1416" s="113" t="s">
        <v>8596</v>
      </c>
      <c r="AH1416" s="113" t="s">
        <v>866</v>
      </c>
      <c r="AI1416" s="120">
        <v>245</v>
      </c>
      <c r="AJ1416" s="120">
        <v>344</v>
      </c>
      <c r="AK1416" s="120">
        <v>26722</v>
      </c>
      <c r="AL1416" s="115">
        <v>26730</v>
      </c>
      <c r="AM1416" s="119" t="s">
        <v>2047</v>
      </c>
      <c r="AN1416" s="112">
        <v>9.1999999999999993</v>
      </c>
      <c r="AO1416" s="121">
        <f t="shared" si="430"/>
        <v>9.1684754135169531</v>
      </c>
      <c r="AP1416" s="112" t="s">
        <v>276</v>
      </c>
      <c r="AQ1416" s="112" t="s">
        <v>276</v>
      </c>
      <c r="AR1416" s="112">
        <v>12.9</v>
      </c>
      <c r="AS1416" s="121">
        <f t="shared" si="429"/>
        <v>12.869435091657314</v>
      </c>
      <c r="AT1416" s="112" t="s">
        <v>276</v>
      </c>
      <c r="AU1416" s="112" t="s">
        <v>276</v>
      </c>
      <c r="AV1416" s="113" t="s">
        <v>268</v>
      </c>
      <c r="AW1416" s="122">
        <v>0.72</v>
      </c>
      <c r="AX1416" s="122">
        <f t="shared" si="414"/>
        <v>0.71242252268403539</v>
      </c>
      <c r="AY1416" s="122">
        <v>0.61</v>
      </c>
      <c r="AZ1416" s="122">
        <v>0.84</v>
      </c>
      <c r="BA1416" s="115" t="s">
        <v>276</v>
      </c>
      <c r="BB1416" s="115" t="s">
        <v>282</v>
      </c>
      <c r="BC1416" s="115" t="s">
        <v>276</v>
      </c>
      <c r="BD1416" s="115" t="s">
        <v>276</v>
      </c>
      <c r="BE1416" s="115" t="s">
        <v>276</v>
      </c>
      <c r="BF1416" s="113" t="s">
        <v>8597</v>
      </c>
      <c r="BG1416" s="113" t="s">
        <v>8410</v>
      </c>
      <c r="BH1416" s="9" t="s">
        <v>100</v>
      </c>
      <c r="BI1416" s="9" t="s">
        <v>100</v>
      </c>
      <c r="BJ1416" s="123"/>
      <c r="BK1416" s="124"/>
      <c r="BL1416" s="124"/>
      <c r="BM1416" s="124"/>
      <c r="BN1416" s="123"/>
      <c r="BO1416" s="123"/>
      <c r="BP1416" s="124"/>
    </row>
    <row r="1417" spans="1:68" s="111" customFormat="1" ht="65" hidden="1" x14ac:dyDescent="0.35">
      <c r="A1417" s="94">
        <v>11135</v>
      </c>
      <c r="B1417" s="94" t="s">
        <v>8400</v>
      </c>
      <c r="C1417" s="94" t="s">
        <v>83</v>
      </c>
      <c r="D1417" s="105" t="s">
        <v>8598</v>
      </c>
      <c r="E1417" s="94" t="s">
        <v>39</v>
      </c>
      <c r="F1417" s="94" t="s">
        <v>143</v>
      </c>
      <c r="G1417" s="94" t="s">
        <v>262</v>
      </c>
      <c r="H1417" s="94" t="s">
        <v>225</v>
      </c>
      <c r="I1417" s="94" t="s">
        <v>98</v>
      </c>
      <c r="J1417" s="95" t="s">
        <v>25</v>
      </c>
      <c r="K1417" s="104" t="s">
        <v>314</v>
      </c>
      <c r="L1417" s="104" t="s">
        <v>276</v>
      </c>
      <c r="M1417" s="104" t="s">
        <v>276</v>
      </c>
      <c r="N1417" s="95" t="s">
        <v>8564</v>
      </c>
      <c r="O1417" s="105" t="s">
        <v>8565</v>
      </c>
      <c r="P1417" s="95" t="s">
        <v>239</v>
      </c>
      <c r="Q1417" s="106">
        <v>42004</v>
      </c>
      <c r="R1417" s="105" t="s">
        <v>276</v>
      </c>
      <c r="S1417" s="95" t="s">
        <v>276</v>
      </c>
      <c r="T1417" s="95" t="s">
        <v>276</v>
      </c>
      <c r="U1417" s="95">
        <v>3</v>
      </c>
      <c r="V1417" s="94" t="s">
        <v>16</v>
      </c>
      <c r="W1417" s="104" t="s">
        <v>170</v>
      </c>
      <c r="X1417" s="105" t="s">
        <v>208</v>
      </c>
      <c r="Y1417" s="98">
        <v>15769</v>
      </c>
      <c r="Z1417" s="107">
        <v>15761</v>
      </c>
      <c r="AA1417" s="105" t="s">
        <v>276</v>
      </c>
      <c r="AB1417" s="105" t="s">
        <v>276</v>
      </c>
      <c r="AC1417" s="94" t="s">
        <v>276</v>
      </c>
      <c r="AD1417" s="94" t="s">
        <v>276</v>
      </c>
      <c r="AE1417" s="94" t="s">
        <v>276</v>
      </c>
      <c r="AF1417" s="94" t="s">
        <v>276</v>
      </c>
      <c r="AG1417" s="95" t="s">
        <v>8599</v>
      </c>
      <c r="AH1417" s="95" t="s">
        <v>689</v>
      </c>
      <c r="AI1417" s="107">
        <v>303</v>
      </c>
      <c r="AJ1417" s="107">
        <v>365</v>
      </c>
      <c r="AK1417" s="107">
        <v>15769</v>
      </c>
      <c r="AL1417" s="107">
        <v>15761</v>
      </c>
      <c r="AM1417" s="99" t="s">
        <v>2047</v>
      </c>
      <c r="AN1417" s="94">
        <v>19.2</v>
      </c>
      <c r="AO1417" s="102">
        <f t="shared" si="430"/>
        <v>19.21491534022449</v>
      </c>
      <c r="AP1417" s="94" t="s">
        <v>276</v>
      </c>
      <c r="AQ1417" s="94" t="s">
        <v>276</v>
      </c>
      <c r="AR1417" s="94">
        <v>23.2</v>
      </c>
      <c r="AS1417" s="102">
        <f t="shared" si="429"/>
        <v>23.158429033690755</v>
      </c>
      <c r="AT1417" s="94" t="s">
        <v>276</v>
      </c>
      <c r="AU1417" s="94" t="s">
        <v>276</v>
      </c>
      <c r="AV1417" s="95" t="s">
        <v>268</v>
      </c>
      <c r="AW1417" s="108">
        <v>0.83</v>
      </c>
      <c r="AX1417" s="108">
        <f t="shared" si="414"/>
        <v>0.82971583747199507</v>
      </c>
      <c r="AY1417" s="108">
        <v>0.71</v>
      </c>
      <c r="AZ1417" s="108">
        <v>0.97</v>
      </c>
      <c r="BA1417" s="105" t="s">
        <v>276</v>
      </c>
      <c r="BB1417" s="105" t="s">
        <v>282</v>
      </c>
      <c r="BC1417" s="105" t="s">
        <v>276</v>
      </c>
      <c r="BD1417" s="105" t="s">
        <v>276</v>
      </c>
      <c r="BE1417" s="105" t="s">
        <v>276</v>
      </c>
      <c r="BF1417" s="95" t="s">
        <v>1029</v>
      </c>
      <c r="BG1417" s="95"/>
      <c r="BH1417" s="9" t="s">
        <v>100</v>
      </c>
      <c r="BI1417" s="9" t="s">
        <v>100</v>
      </c>
      <c r="BJ1417" s="109"/>
      <c r="BK1417" s="110"/>
      <c r="BL1417" s="110"/>
      <c r="BM1417" s="110"/>
      <c r="BN1417" s="109"/>
      <c r="BO1417" s="109"/>
      <c r="BP1417" s="110"/>
    </row>
    <row r="1418" spans="1:68" s="111" customFormat="1" ht="65" hidden="1" x14ac:dyDescent="0.35">
      <c r="A1418" s="94">
        <v>11135</v>
      </c>
      <c r="B1418" s="94" t="s">
        <v>8400</v>
      </c>
      <c r="C1418" s="94" t="s">
        <v>83</v>
      </c>
      <c r="D1418" s="105" t="s">
        <v>8600</v>
      </c>
      <c r="E1418" s="94" t="s">
        <v>39</v>
      </c>
      <c r="F1418" s="94" t="s">
        <v>143</v>
      </c>
      <c r="G1418" s="94" t="s">
        <v>262</v>
      </c>
      <c r="H1418" s="94" t="s">
        <v>225</v>
      </c>
      <c r="I1418" s="94" t="s">
        <v>98</v>
      </c>
      <c r="J1418" s="95" t="s">
        <v>25</v>
      </c>
      <c r="K1418" s="104" t="s">
        <v>314</v>
      </c>
      <c r="L1418" s="104" t="s">
        <v>276</v>
      </c>
      <c r="M1418" s="104" t="s">
        <v>276</v>
      </c>
      <c r="N1418" s="95" t="s">
        <v>8564</v>
      </c>
      <c r="O1418" s="105" t="s">
        <v>8565</v>
      </c>
      <c r="P1418" s="95" t="s">
        <v>239</v>
      </c>
      <c r="Q1418" s="106" t="s">
        <v>276</v>
      </c>
      <c r="R1418" s="105" t="s">
        <v>733</v>
      </c>
      <c r="S1418" s="95" t="s">
        <v>276</v>
      </c>
      <c r="T1418" s="95" t="s">
        <v>276</v>
      </c>
      <c r="U1418" s="95">
        <v>3</v>
      </c>
      <c r="V1418" s="94" t="s">
        <v>16</v>
      </c>
      <c r="W1418" s="104" t="s">
        <v>170</v>
      </c>
      <c r="X1418" s="105" t="s">
        <v>208</v>
      </c>
      <c r="Y1418" s="98">
        <v>15769</v>
      </c>
      <c r="Z1418" s="107">
        <v>15761</v>
      </c>
      <c r="AA1418" s="105" t="s">
        <v>276</v>
      </c>
      <c r="AB1418" s="105" t="s">
        <v>276</v>
      </c>
      <c r="AC1418" s="94" t="s">
        <v>276</v>
      </c>
      <c r="AD1418" s="94" t="s">
        <v>276</v>
      </c>
      <c r="AE1418" s="94" t="s">
        <v>276</v>
      </c>
      <c r="AF1418" s="94" t="s">
        <v>276</v>
      </c>
      <c r="AG1418" s="95" t="s">
        <v>8601</v>
      </c>
      <c r="AH1418" s="95" t="s">
        <v>689</v>
      </c>
      <c r="AI1418" s="107">
        <v>165</v>
      </c>
      <c r="AJ1418" s="107">
        <v>214</v>
      </c>
      <c r="AK1418" s="107">
        <v>15769</v>
      </c>
      <c r="AL1418" s="107">
        <v>15761</v>
      </c>
      <c r="AM1418" s="99" t="s">
        <v>2047</v>
      </c>
      <c r="AN1418" s="94">
        <v>10.5</v>
      </c>
      <c r="AO1418" s="102">
        <f t="shared" si="430"/>
        <v>10.463567759528189</v>
      </c>
      <c r="AP1418" s="94" t="s">
        <v>276</v>
      </c>
      <c r="AQ1418" s="94" t="s">
        <v>276</v>
      </c>
      <c r="AR1418" s="94">
        <v>13.6</v>
      </c>
      <c r="AS1418" s="102">
        <f t="shared" si="429"/>
        <v>13.577818666328278</v>
      </c>
      <c r="AT1418" s="94" t="s">
        <v>276</v>
      </c>
      <c r="AU1418" s="94" t="s">
        <v>276</v>
      </c>
      <c r="AV1418" s="95" t="s">
        <v>268</v>
      </c>
      <c r="AW1418" s="108">
        <v>0.77</v>
      </c>
      <c r="AX1418" s="108">
        <f t="shared" si="414"/>
        <v>0.77063687597160646</v>
      </c>
      <c r="AY1418" s="108">
        <v>0.63</v>
      </c>
      <c r="AZ1418" s="108">
        <v>0.95</v>
      </c>
      <c r="BA1418" s="105" t="s">
        <v>276</v>
      </c>
      <c r="BB1418" s="105" t="s">
        <v>282</v>
      </c>
      <c r="BC1418" s="105" t="s">
        <v>276</v>
      </c>
      <c r="BD1418" s="105" t="s">
        <v>276</v>
      </c>
      <c r="BE1418" s="105" t="s">
        <v>276</v>
      </c>
      <c r="BF1418" s="95" t="s">
        <v>1029</v>
      </c>
      <c r="BG1418" s="95" t="s">
        <v>8410</v>
      </c>
      <c r="BH1418" s="9" t="s">
        <v>100</v>
      </c>
      <c r="BI1418" s="9" t="s">
        <v>100</v>
      </c>
      <c r="BJ1418" s="109"/>
      <c r="BK1418" s="110"/>
      <c r="BL1418" s="110"/>
      <c r="BM1418" s="110"/>
      <c r="BN1418" s="109"/>
      <c r="BO1418" s="109"/>
      <c r="BP1418" s="110"/>
    </row>
    <row r="1419" spans="1:68" s="125" customFormat="1" ht="65" hidden="1" x14ac:dyDescent="0.35">
      <c r="A1419" s="112">
        <v>11135</v>
      </c>
      <c r="B1419" s="112" t="s">
        <v>8400</v>
      </c>
      <c r="C1419" s="112" t="s">
        <v>83</v>
      </c>
      <c r="D1419" s="115" t="s">
        <v>8602</v>
      </c>
      <c r="E1419" s="112" t="s">
        <v>39</v>
      </c>
      <c r="F1419" s="112" t="s">
        <v>143</v>
      </c>
      <c r="G1419" s="112" t="s">
        <v>262</v>
      </c>
      <c r="H1419" s="112" t="s">
        <v>225</v>
      </c>
      <c r="I1419" s="112" t="s">
        <v>98</v>
      </c>
      <c r="J1419" s="113" t="s">
        <v>25</v>
      </c>
      <c r="K1419" s="114" t="s">
        <v>314</v>
      </c>
      <c r="L1419" s="114" t="s">
        <v>276</v>
      </c>
      <c r="M1419" s="114" t="s">
        <v>276</v>
      </c>
      <c r="N1419" s="113" t="s">
        <v>8564</v>
      </c>
      <c r="O1419" s="115" t="s">
        <v>8565</v>
      </c>
      <c r="P1419" s="113" t="s">
        <v>239</v>
      </c>
      <c r="Q1419" s="116">
        <v>42004</v>
      </c>
      <c r="R1419" s="115" t="s">
        <v>276</v>
      </c>
      <c r="S1419" s="113" t="s">
        <v>276</v>
      </c>
      <c r="T1419" s="113" t="s">
        <v>276</v>
      </c>
      <c r="U1419" s="113">
        <v>3</v>
      </c>
      <c r="V1419" s="112" t="s">
        <v>16</v>
      </c>
      <c r="W1419" s="114" t="s">
        <v>171</v>
      </c>
      <c r="X1419" s="115" t="s">
        <v>208</v>
      </c>
      <c r="Y1419" s="118">
        <v>10953</v>
      </c>
      <c r="Z1419" s="120">
        <v>10969</v>
      </c>
      <c r="AA1419" s="115" t="s">
        <v>276</v>
      </c>
      <c r="AB1419" s="115" t="s">
        <v>276</v>
      </c>
      <c r="AC1419" s="112" t="s">
        <v>276</v>
      </c>
      <c r="AD1419" s="112" t="s">
        <v>276</v>
      </c>
      <c r="AE1419" s="112" t="s">
        <v>276</v>
      </c>
      <c r="AF1419" s="112" t="s">
        <v>276</v>
      </c>
      <c r="AG1419" s="113" t="s">
        <v>8603</v>
      </c>
      <c r="AH1419" s="113" t="s">
        <v>280</v>
      </c>
      <c r="AI1419" s="120">
        <v>165</v>
      </c>
      <c r="AJ1419" s="120">
        <v>232</v>
      </c>
      <c r="AK1419" s="120">
        <v>10953</v>
      </c>
      <c r="AL1419" s="120">
        <v>10969</v>
      </c>
      <c r="AM1419" s="119" t="s">
        <v>2047</v>
      </c>
      <c r="AN1419" s="112">
        <v>15.1</v>
      </c>
      <c r="AO1419" s="121">
        <f t="shared" si="430"/>
        <v>15.064365927143248</v>
      </c>
      <c r="AP1419" s="112" t="s">
        <v>276</v>
      </c>
      <c r="AQ1419" s="112" t="s">
        <v>276</v>
      </c>
      <c r="AR1419" s="112">
        <v>21.2</v>
      </c>
      <c r="AS1419" s="121">
        <f t="shared" si="429"/>
        <v>21.150515087975204</v>
      </c>
      <c r="AT1419" s="112" t="s">
        <v>276</v>
      </c>
      <c r="AU1419" s="112" t="s">
        <v>276</v>
      </c>
      <c r="AV1419" s="113" t="s">
        <v>268</v>
      </c>
      <c r="AW1419" s="122">
        <v>0.71</v>
      </c>
      <c r="AX1419" s="122">
        <f t="shared" si="414"/>
        <v>0.71224581833980294</v>
      </c>
      <c r="AY1419" s="122">
        <v>0.57999999999999996</v>
      </c>
      <c r="AZ1419" s="122">
        <v>0.87</v>
      </c>
      <c r="BA1419" s="115" t="s">
        <v>276</v>
      </c>
      <c r="BB1419" s="115" t="s">
        <v>282</v>
      </c>
      <c r="BC1419" s="115" t="s">
        <v>276</v>
      </c>
      <c r="BD1419" s="115" t="s">
        <v>276</v>
      </c>
      <c r="BE1419" s="115" t="s">
        <v>276</v>
      </c>
      <c r="BF1419" s="113" t="s">
        <v>1029</v>
      </c>
      <c r="BG1419" s="113"/>
      <c r="BH1419" s="9" t="s">
        <v>100</v>
      </c>
      <c r="BI1419" s="9" t="s">
        <v>100</v>
      </c>
      <c r="BJ1419" s="123"/>
      <c r="BK1419" s="124"/>
      <c r="BL1419" s="124"/>
      <c r="BM1419" s="124"/>
      <c r="BN1419" s="123"/>
      <c r="BO1419" s="123"/>
      <c r="BP1419" s="124"/>
    </row>
    <row r="1420" spans="1:68" s="125" customFormat="1" ht="65" hidden="1" x14ac:dyDescent="0.35">
      <c r="A1420" s="112">
        <v>11135</v>
      </c>
      <c r="B1420" s="112" t="s">
        <v>8400</v>
      </c>
      <c r="C1420" s="112" t="s">
        <v>83</v>
      </c>
      <c r="D1420" s="115" t="s">
        <v>8604</v>
      </c>
      <c r="E1420" s="112" t="s">
        <v>39</v>
      </c>
      <c r="F1420" s="112" t="s">
        <v>143</v>
      </c>
      <c r="G1420" s="112" t="s">
        <v>262</v>
      </c>
      <c r="H1420" s="112" t="s">
        <v>225</v>
      </c>
      <c r="I1420" s="112" t="s">
        <v>98</v>
      </c>
      <c r="J1420" s="113" t="s">
        <v>25</v>
      </c>
      <c r="K1420" s="114" t="s">
        <v>314</v>
      </c>
      <c r="L1420" s="114" t="s">
        <v>276</v>
      </c>
      <c r="M1420" s="114" t="s">
        <v>276</v>
      </c>
      <c r="N1420" s="113" t="s">
        <v>8564</v>
      </c>
      <c r="O1420" s="115" t="s">
        <v>8565</v>
      </c>
      <c r="P1420" s="113" t="s">
        <v>239</v>
      </c>
      <c r="Q1420" s="116" t="s">
        <v>276</v>
      </c>
      <c r="R1420" s="115" t="s">
        <v>733</v>
      </c>
      <c r="S1420" s="113" t="s">
        <v>276</v>
      </c>
      <c r="T1420" s="113" t="s">
        <v>276</v>
      </c>
      <c r="U1420" s="113">
        <v>3</v>
      </c>
      <c r="V1420" s="112" t="s">
        <v>16</v>
      </c>
      <c r="W1420" s="114" t="s">
        <v>171</v>
      </c>
      <c r="X1420" s="115" t="s">
        <v>208</v>
      </c>
      <c r="Y1420" s="118">
        <v>10953</v>
      </c>
      <c r="Z1420" s="120">
        <v>10969</v>
      </c>
      <c r="AA1420" s="115" t="s">
        <v>276</v>
      </c>
      <c r="AB1420" s="115" t="s">
        <v>276</v>
      </c>
      <c r="AC1420" s="112" t="s">
        <v>276</v>
      </c>
      <c r="AD1420" s="112" t="s">
        <v>276</v>
      </c>
      <c r="AE1420" s="112" t="s">
        <v>276</v>
      </c>
      <c r="AF1420" s="112" t="s">
        <v>276</v>
      </c>
      <c r="AG1420" s="113" t="s">
        <v>8605</v>
      </c>
      <c r="AH1420" s="113" t="s">
        <v>280</v>
      </c>
      <c r="AI1420" s="120">
        <v>80</v>
      </c>
      <c r="AJ1420" s="120">
        <v>130</v>
      </c>
      <c r="AK1420" s="120">
        <v>10953</v>
      </c>
      <c r="AL1420" s="120">
        <v>10969</v>
      </c>
      <c r="AM1420" s="119" t="s">
        <v>2047</v>
      </c>
      <c r="AN1420" s="112">
        <v>7.3</v>
      </c>
      <c r="AO1420" s="121">
        <f t="shared" si="430"/>
        <v>7.3039349949785448</v>
      </c>
      <c r="AP1420" s="112" t="s">
        <v>276</v>
      </c>
      <c r="AQ1420" s="112" t="s">
        <v>276</v>
      </c>
      <c r="AR1420" s="112">
        <v>11.9</v>
      </c>
      <c r="AS1420" s="121">
        <f t="shared" si="429"/>
        <v>11.851581730330933</v>
      </c>
      <c r="AT1420" s="112" t="s">
        <v>276</v>
      </c>
      <c r="AU1420" s="112" t="s">
        <v>276</v>
      </c>
      <c r="AV1420" s="113" t="s">
        <v>268</v>
      </c>
      <c r="AW1420" s="122">
        <v>0.62</v>
      </c>
      <c r="AX1420" s="122">
        <f t="shared" si="414"/>
        <v>0.61628356123015116</v>
      </c>
      <c r="AY1420" s="122">
        <v>0.47</v>
      </c>
      <c r="AZ1420" s="122">
        <v>0.82</v>
      </c>
      <c r="BA1420" s="115" t="s">
        <v>276</v>
      </c>
      <c r="BB1420" s="115" t="s">
        <v>282</v>
      </c>
      <c r="BC1420" s="115" t="s">
        <v>276</v>
      </c>
      <c r="BD1420" s="115" t="s">
        <v>276</v>
      </c>
      <c r="BE1420" s="115" t="s">
        <v>276</v>
      </c>
      <c r="BF1420" s="113" t="s">
        <v>1029</v>
      </c>
      <c r="BG1420" s="113" t="s">
        <v>8410</v>
      </c>
      <c r="BH1420" s="9" t="s">
        <v>100</v>
      </c>
      <c r="BI1420" s="9" t="s">
        <v>100</v>
      </c>
      <c r="BJ1420" s="123"/>
      <c r="BK1420" s="124"/>
      <c r="BL1420" s="124"/>
      <c r="BM1420" s="124"/>
      <c r="BN1420" s="123"/>
      <c r="BO1420" s="123"/>
      <c r="BP1420" s="124"/>
    </row>
    <row r="1421" spans="1:68" s="111" customFormat="1" ht="78" hidden="1" x14ac:dyDescent="0.35">
      <c r="A1421" s="94">
        <v>11135</v>
      </c>
      <c r="B1421" s="94" t="s">
        <v>8400</v>
      </c>
      <c r="C1421" s="94" t="s">
        <v>83</v>
      </c>
      <c r="D1421" s="105" t="s">
        <v>8606</v>
      </c>
      <c r="E1421" s="94" t="s">
        <v>39</v>
      </c>
      <c r="F1421" s="94" t="s">
        <v>143</v>
      </c>
      <c r="G1421" s="94" t="s">
        <v>262</v>
      </c>
      <c r="H1421" s="94" t="s">
        <v>225</v>
      </c>
      <c r="I1421" s="94" t="s">
        <v>98</v>
      </c>
      <c r="J1421" s="95" t="s">
        <v>25</v>
      </c>
      <c r="K1421" s="104" t="s">
        <v>314</v>
      </c>
      <c r="L1421" s="104" t="s">
        <v>276</v>
      </c>
      <c r="M1421" s="104" t="s">
        <v>276</v>
      </c>
      <c r="N1421" s="95" t="s">
        <v>8564</v>
      </c>
      <c r="O1421" s="105" t="s">
        <v>8565</v>
      </c>
      <c r="P1421" s="95" t="s">
        <v>239</v>
      </c>
      <c r="Q1421" s="106">
        <v>42004</v>
      </c>
      <c r="R1421" s="105" t="s">
        <v>276</v>
      </c>
      <c r="S1421" s="95" t="s">
        <v>276</v>
      </c>
      <c r="T1421" s="95" t="s">
        <v>276</v>
      </c>
      <c r="U1421" s="95">
        <v>3</v>
      </c>
      <c r="V1421" s="94" t="s">
        <v>15</v>
      </c>
      <c r="W1421" s="105" t="s">
        <v>8460</v>
      </c>
      <c r="X1421" s="105" t="s">
        <v>208</v>
      </c>
      <c r="Y1421" s="98">
        <f>11442+8170</f>
        <v>19612</v>
      </c>
      <c r="Z1421" s="107">
        <f>11423+8199</f>
        <v>19622</v>
      </c>
      <c r="AA1421" s="105" t="s">
        <v>276</v>
      </c>
      <c r="AB1421" s="105" t="s">
        <v>276</v>
      </c>
      <c r="AC1421" s="94" t="s">
        <v>276</v>
      </c>
      <c r="AD1421" s="94" t="s">
        <v>276</v>
      </c>
      <c r="AE1421" s="94" t="s">
        <v>276</v>
      </c>
      <c r="AF1421" s="94" t="s">
        <v>276</v>
      </c>
      <c r="AG1421" s="95" t="s">
        <v>8607</v>
      </c>
      <c r="AH1421" s="95" t="s">
        <v>8462</v>
      </c>
      <c r="AI1421" s="107">
        <v>278</v>
      </c>
      <c r="AJ1421" s="107">
        <v>367</v>
      </c>
      <c r="AK1421" s="98">
        <f>11442+8170</f>
        <v>19612</v>
      </c>
      <c r="AL1421" s="107">
        <f>11423+8199</f>
        <v>19622</v>
      </c>
      <c r="AM1421" s="99" t="s">
        <v>2047</v>
      </c>
      <c r="AN1421" s="94">
        <v>14.2</v>
      </c>
      <c r="AO1421" s="102">
        <f t="shared" si="430"/>
        <v>14.174994901080971</v>
      </c>
      <c r="AP1421" s="94" t="s">
        <v>276</v>
      </c>
      <c r="AQ1421" s="94" t="s">
        <v>276</v>
      </c>
      <c r="AR1421" s="94">
        <v>18.7</v>
      </c>
      <c r="AS1421" s="102">
        <f t="shared" si="429"/>
        <v>18.703496075833247</v>
      </c>
      <c r="AT1421" s="94" t="s">
        <v>276</v>
      </c>
      <c r="AU1421" s="94" t="s">
        <v>276</v>
      </c>
      <c r="AV1421" s="95" t="s">
        <v>268</v>
      </c>
      <c r="AW1421" s="108">
        <v>0.76</v>
      </c>
      <c r="AX1421" s="108">
        <f t="shared" si="414"/>
        <v>0.75787942765398053</v>
      </c>
      <c r="AY1421" s="108">
        <v>0.65</v>
      </c>
      <c r="AZ1421" s="108">
        <v>0.89</v>
      </c>
      <c r="BA1421" s="105" t="s">
        <v>276</v>
      </c>
      <c r="BB1421" s="105" t="s">
        <v>282</v>
      </c>
      <c r="BC1421" s="105" t="s">
        <v>276</v>
      </c>
      <c r="BD1421" s="105" t="s">
        <v>276</v>
      </c>
      <c r="BE1421" s="105" t="s">
        <v>276</v>
      </c>
      <c r="BF1421" s="95" t="s">
        <v>1029</v>
      </c>
      <c r="BG1421" s="95"/>
      <c r="BH1421" s="9" t="s">
        <v>100</v>
      </c>
      <c r="BI1421" s="9" t="s">
        <v>100</v>
      </c>
      <c r="BJ1421" s="109"/>
      <c r="BK1421" s="110"/>
      <c r="BL1421" s="110"/>
      <c r="BM1421" s="110"/>
      <c r="BN1421" s="109"/>
      <c r="BO1421" s="109"/>
      <c r="BP1421" s="110"/>
    </row>
    <row r="1422" spans="1:68" s="111" customFormat="1" ht="78" hidden="1" x14ac:dyDescent="0.35">
      <c r="A1422" s="94">
        <v>11135</v>
      </c>
      <c r="B1422" s="94" t="s">
        <v>8400</v>
      </c>
      <c r="C1422" s="94" t="s">
        <v>83</v>
      </c>
      <c r="D1422" s="105" t="s">
        <v>8608</v>
      </c>
      <c r="E1422" s="94" t="s">
        <v>39</v>
      </c>
      <c r="F1422" s="94" t="s">
        <v>143</v>
      </c>
      <c r="G1422" s="94" t="s">
        <v>262</v>
      </c>
      <c r="H1422" s="94" t="s">
        <v>225</v>
      </c>
      <c r="I1422" s="94" t="s">
        <v>98</v>
      </c>
      <c r="J1422" s="95" t="s">
        <v>25</v>
      </c>
      <c r="K1422" s="104" t="s">
        <v>314</v>
      </c>
      <c r="L1422" s="104" t="s">
        <v>276</v>
      </c>
      <c r="M1422" s="104" t="s">
        <v>276</v>
      </c>
      <c r="N1422" s="95" t="s">
        <v>8564</v>
      </c>
      <c r="O1422" s="105" t="s">
        <v>8565</v>
      </c>
      <c r="P1422" s="95" t="s">
        <v>239</v>
      </c>
      <c r="Q1422" s="106" t="s">
        <v>276</v>
      </c>
      <c r="R1422" s="105" t="s">
        <v>733</v>
      </c>
      <c r="S1422" s="95" t="s">
        <v>276</v>
      </c>
      <c r="T1422" s="95" t="s">
        <v>276</v>
      </c>
      <c r="U1422" s="95">
        <v>3</v>
      </c>
      <c r="V1422" s="94" t="s">
        <v>15</v>
      </c>
      <c r="W1422" s="105" t="s">
        <v>8460</v>
      </c>
      <c r="X1422" s="105" t="s">
        <v>208</v>
      </c>
      <c r="Y1422" s="98">
        <f>11442+8170</f>
        <v>19612</v>
      </c>
      <c r="Z1422" s="107">
        <f>11423+8199</f>
        <v>19622</v>
      </c>
      <c r="AA1422" s="105" t="s">
        <v>276</v>
      </c>
      <c r="AB1422" s="105" t="s">
        <v>276</v>
      </c>
      <c r="AC1422" s="94" t="s">
        <v>276</v>
      </c>
      <c r="AD1422" s="94" t="s">
        <v>276</v>
      </c>
      <c r="AE1422" s="94" t="s">
        <v>276</v>
      </c>
      <c r="AF1422" s="94" t="s">
        <v>276</v>
      </c>
      <c r="AG1422" s="95" t="s">
        <v>8609</v>
      </c>
      <c r="AH1422" s="95" t="s">
        <v>8462</v>
      </c>
      <c r="AI1422" s="107">
        <v>140</v>
      </c>
      <c r="AJ1422" s="107">
        <v>207</v>
      </c>
      <c r="AK1422" s="98">
        <f>11442+8170</f>
        <v>19612</v>
      </c>
      <c r="AL1422" s="107">
        <f>11423+8199</f>
        <v>19622</v>
      </c>
      <c r="AM1422" s="99" t="s">
        <v>2047</v>
      </c>
      <c r="AN1422" s="94">
        <v>7.1</v>
      </c>
      <c r="AO1422" s="102">
        <f t="shared" si="430"/>
        <v>7.1384866408321432</v>
      </c>
      <c r="AP1422" s="94" t="s">
        <v>276</v>
      </c>
      <c r="AQ1422" s="94" t="s">
        <v>276</v>
      </c>
      <c r="AR1422" s="94">
        <v>10.5</v>
      </c>
      <c r="AS1422" s="102">
        <f t="shared" si="429"/>
        <v>10.549383345224747</v>
      </c>
      <c r="AT1422" s="94" t="s">
        <v>276</v>
      </c>
      <c r="AU1422" s="94" t="s">
        <v>276</v>
      </c>
      <c r="AV1422" s="95" t="s">
        <v>268</v>
      </c>
      <c r="AW1422" s="108">
        <v>0.68</v>
      </c>
      <c r="AX1422" s="108">
        <f t="shared" si="414"/>
        <v>0.67667335684255225</v>
      </c>
      <c r="AY1422" s="108">
        <v>0.55000000000000004</v>
      </c>
      <c r="AZ1422" s="108">
        <v>0.84</v>
      </c>
      <c r="BA1422" s="105" t="s">
        <v>276</v>
      </c>
      <c r="BB1422" s="105" t="s">
        <v>282</v>
      </c>
      <c r="BC1422" s="105" t="s">
        <v>276</v>
      </c>
      <c r="BD1422" s="105" t="s">
        <v>276</v>
      </c>
      <c r="BE1422" s="105" t="s">
        <v>276</v>
      </c>
      <c r="BF1422" s="95" t="s">
        <v>1029</v>
      </c>
      <c r="BG1422" s="95" t="s">
        <v>8410</v>
      </c>
      <c r="BH1422" s="9" t="s">
        <v>100</v>
      </c>
      <c r="BI1422" s="9" t="s">
        <v>100</v>
      </c>
      <c r="BJ1422" s="109"/>
      <c r="BK1422" s="110"/>
      <c r="BL1422" s="110"/>
      <c r="BM1422" s="110"/>
      <c r="BN1422" s="109"/>
      <c r="BO1422" s="109"/>
      <c r="BP1422" s="110"/>
    </row>
    <row r="1423" spans="1:68" s="125" customFormat="1" ht="78" hidden="1" x14ac:dyDescent="0.35">
      <c r="A1423" s="112">
        <v>11135</v>
      </c>
      <c r="B1423" s="112" t="s">
        <v>8400</v>
      </c>
      <c r="C1423" s="112" t="s">
        <v>83</v>
      </c>
      <c r="D1423" s="115" t="s">
        <v>8610</v>
      </c>
      <c r="E1423" s="112" t="s">
        <v>39</v>
      </c>
      <c r="F1423" s="112" t="s">
        <v>143</v>
      </c>
      <c r="G1423" s="112" t="s">
        <v>262</v>
      </c>
      <c r="H1423" s="112" t="s">
        <v>225</v>
      </c>
      <c r="I1423" s="112" t="s">
        <v>98</v>
      </c>
      <c r="J1423" s="113" t="s">
        <v>25</v>
      </c>
      <c r="K1423" s="114" t="s">
        <v>314</v>
      </c>
      <c r="L1423" s="114" t="s">
        <v>276</v>
      </c>
      <c r="M1423" s="114" t="s">
        <v>276</v>
      </c>
      <c r="N1423" s="113" t="s">
        <v>8564</v>
      </c>
      <c r="O1423" s="115" t="s">
        <v>8565</v>
      </c>
      <c r="P1423" s="113" t="s">
        <v>239</v>
      </c>
      <c r="Q1423" s="116">
        <v>42004</v>
      </c>
      <c r="R1423" s="115" t="s">
        <v>276</v>
      </c>
      <c r="S1423" s="113" t="s">
        <v>276</v>
      </c>
      <c r="T1423" s="113" t="s">
        <v>276</v>
      </c>
      <c r="U1423" s="113">
        <v>3</v>
      </c>
      <c r="V1423" s="112" t="s">
        <v>15</v>
      </c>
      <c r="W1423" s="115" t="s">
        <v>8468</v>
      </c>
      <c r="X1423" s="115" t="s">
        <v>208</v>
      </c>
      <c r="Y1423" s="118">
        <f>4756+2354</f>
        <v>7110</v>
      </c>
      <c r="Z1423" s="120">
        <f>4761+2347</f>
        <v>7108</v>
      </c>
      <c r="AA1423" s="115" t="s">
        <v>276</v>
      </c>
      <c r="AB1423" s="115" t="s">
        <v>276</v>
      </c>
      <c r="AC1423" s="112" t="s">
        <v>276</v>
      </c>
      <c r="AD1423" s="112" t="s">
        <v>276</v>
      </c>
      <c r="AE1423" s="112" t="s">
        <v>276</v>
      </c>
      <c r="AF1423" s="112" t="s">
        <v>276</v>
      </c>
      <c r="AG1423" s="113" t="s">
        <v>8611</v>
      </c>
      <c r="AH1423" s="113" t="s">
        <v>8470</v>
      </c>
      <c r="AI1423" s="120">
        <v>190</v>
      </c>
      <c r="AJ1423" s="120">
        <v>230</v>
      </c>
      <c r="AK1423" s="118">
        <f>4756+2354</f>
        <v>7110</v>
      </c>
      <c r="AL1423" s="120">
        <f>4761+2347</f>
        <v>7108</v>
      </c>
      <c r="AM1423" s="119" t="s">
        <v>2047</v>
      </c>
      <c r="AN1423" s="112">
        <v>26.7</v>
      </c>
      <c r="AO1423" s="121">
        <f t="shared" si="430"/>
        <v>26.722925457102672</v>
      </c>
      <c r="AP1423" s="112" t="s">
        <v>276</v>
      </c>
      <c r="AQ1423" s="112" t="s">
        <v>276</v>
      </c>
      <c r="AR1423" s="112">
        <v>32.4</v>
      </c>
      <c r="AS1423" s="121">
        <f t="shared" si="429"/>
        <v>32.357906584130561</v>
      </c>
      <c r="AT1423" s="112" t="s">
        <v>276</v>
      </c>
      <c r="AU1423" s="112" t="s">
        <v>276</v>
      </c>
      <c r="AV1423" s="113" t="s">
        <v>268</v>
      </c>
      <c r="AW1423" s="122">
        <v>0.83</v>
      </c>
      <c r="AX1423" s="122">
        <f t="shared" si="414"/>
        <v>0.82585458325689465</v>
      </c>
      <c r="AY1423" s="122">
        <v>0.69</v>
      </c>
      <c r="AZ1423" s="122">
        <v>1.01</v>
      </c>
      <c r="BA1423" s="115" t="s">
        <v>276</v>
      </c>
      <c r="BB1423" s="115" t="s">
        <v>282</v>
      </c>
      <c r="BC1423" s="115" t="s">
        <v>276</v>
      </c>
      <c r="BD1423" s="115" t="s">
        <v>276</v>
      </c>
      <c r="BE1423" s="115" t="s">
        <v>276</v>
      </c>
      <c r="BF1423" s="113" t="s">
        <v>1029</v>
      </c>
      <c r="BG1423" s="113"/>
      <c r="BH1423" s="9" t="s">
        <v>100</v>
      </c>
      <c r="BI1423" s="9" t="s">
        <v>100</v>
      </c>
      <c r="BJ1423" s="123"/>
      <c r="BK1423" s="124"/>
      <c r="BL1423" s="124"/>
      <c r="BM1423" s="124"/>
      <c r="BN1423" s="123"/>
      <c r="BO1423" s="123"/>
      <c r="BP1423" s="124"/>
    </row>
    <row r="1424" spans="1:68" s="125" customFormat="1" ht="78" hidden="1" x14ac:dyDescent="0.35">
      <c r="A1424" s="112">
        <v>11135</v>
      </c>
      <c r="B1424" s="112" t="s">
        <v>8400</v>
      </c>
      <c r="C1424" s="112" t="s">
        <v>83</v>
      </c>
      <c r="D1424" s="115" t="s">
        <v>8612</v>
      </c>
      <c r="E1424" s="112" t="s">
        <v>39</v>
      </c>
      <c r="F1424" s="112" t="s">
        <v>143</v>
      </c>
      <c r="G1424" s="112" t="s">
        <v>262</v>
      </c>
      <c r="H1424" s="112" t="s">
        <v>225</v>
      </c>
      <c r="I1424" s="112" t="s">
        <v>98</v>
      </c>
      <c r="J1424" s="113" t="s">
        <v>25</v>
      </c>
      <c r="K1424" s="114" t="s">
        <v>314</v>
      </c>
      <c r="L1424" s="114" t="s">
        <v>276</v>
      </c>
      <c r="M1424" s="114" t="s">
        <v>276</v>
      </c>
      <c r="N1424" s="113" t="s">
        <v>8564</v>
      </c>
      <c r="O1424" s="115" t="s">
        <v>8565</v>
      </c>
      <c r="P1424" s="113" t="s">
        <v>239</v>
      </c>
      <c r="Q1424" s="116" t="s">
        <v>276</v>
      </c>
      <c r="R1424" s="115" t="s">
        <v>733</v>
      </c>
      <c r="S1424" s="113" t="s">
        <v>276</v>
      </c>
      <c r="T1424" s="113" t="s">
        <v>276</v>
      </c>
      <c r="U1424" s="113">
        <v>3</v>
      </c>
      <c r="V1424" s="112" t="s">
        <v>15</v>
      </c>
      <c r="W1424" s="115" t="s">
        <v>8468</v>
      </c>
      <c r="X1424" s="115" t="s">
        <v>208</v>
      </c>
      <c r="Y1424" s="118">
        <f>4756+2354</f>
        <v>7110</v>
      </c>
      <c r="Z1424" s="120">
        <f>4761+2347</f>
        <v>7108</v>
      </c>
      <c r="AA1424" s="115" t="s">
        <v>276</v>
      </c>
      <c r="AB1424" s="115" t="s">
        <v>276</v>
      </c>
      <c r="AC1424" s="112" t="s">
        <v>276</v>
      </c>
      <c r="AD1424" s="112" t="s">
        <v>276</v>
      </c>
      <c r="AE1424" s="112" t="s">
        <v>276</v>
      </c>
      <c r="AF1424" s="112" t="s">
        <v>276</v>
      </c>
      <c r="AG1424" s="113" t="s">
        <v>8613</v>
      </c>
      <c r="AH1424" s="113" t="s">
        <v>8470</v>
      </c>
      <c r="AI1424" s="120">
        <v>105</v>
      </c>
      <c r="AJ1424" s="120">
        <v>137</v>
      </c>
      <c r="AK1424" s="118">
        <f>4756+2354</f>
        <v>7110</v>
      </c>
      <c r="AL1424" s="120">
        <f>4761+2347</f>
        <v>7108</v>
      </c>
      <c r="AM1424" s="119" t="s">
        <v>2047</v>
      </c>
      <c r="AN1424" s="112">
        <v>14.8</v>
      </c>
      <c r="AO1424" s="121">
        <f t="shared" si="430"/>
        <v>14.767932489451477</v>
      </c>
      <c r="AP1424" s="112" t="s">
        <v>276</v>
      </c>
      <c r="AQ1424" s="112" t="s">
        <v>276</v>
      </c>
      <c r="AR1424" s="112">
        <v>19.3</v>
      </c>
      <c r="AS1424" s="121">
        <f>AJ1424*1000/AL1424</f>
        <v>19.27405740011255</v>
      </c>
      <c r="AT1424" s="112" t="s">
        <v>276</v>
      </c>
      <c r="AU1424" s="112" t="s">
        <v>276</v>
      </c>
      <c r="AV1424" s="113" t="s">
        <v>268</v>
      </c>
      <c r="AW1424" s="122">
        <v>0.77</v>
      </c>
      <c r="AX1424" s="122">
        <f t="shared" si="414"/>
        <v>0.76620776740891305</v>
      </c>
      <c r="AY1424" s="122">
        <v>0.6</v>
      </c>
      <c r="AZ1424" s="122">
        <v>0.99</v>
      </c>
      <c r="BA1424" s="115" t="s">
        <v>276</v>
      </c>
      <c r="BB1424" s="115" t="s">
        <v>282</v>
      </c>
      <c r="BC1424" s="115" t="s">
        <v>276</v>
      </c>
      <c r="BD1424" s="115" t="s">
        <v>276</v>
      </c>
      <c r="BE1424" s="115" t="s">
        <v>276</v>
      </c>
      <c r="BF1424" s="113" t="s">
        <v>1029</v>
      </c>
      <c r="BG1424" s="113" t="s">
        <v>8410</v>
      </c>
      <c r="BH1424" s="9" t="s">
        <v>100</v>
      </c>
      <c r="BI1424" s="9" t="s">
        <v>100</v>
      </c>
      <c r="BJ1424" s="123"/>
      <c r="BK1424" s="124"/>
      <c r="BL1424" s="124"/>
      <c r="BM1424" s="124"/>
      <c r="BN1424" s="123"/>
      <c r="BO1424" s="123"/>
      <c r="BP1424" s="124"/>
    </row>
    <row r="1425" spans="1:67" s="79" customFormat="1" ht="52" hidden="1" x14ac:dyDescent="0.35">
      <c r="A1425" s="555">
        <v>196</v>
      </c>
      <c r="B1425" s="555" t="s">
        <v>8614</v>
      </c>
      <c r="C1425" s="555" t="s">
        <v>50</v>
      </c>
      <c r="D1425" s="556" t="s">
        <v>11390</v>
      </c>
      <c r="E1425" s="555" t="s">
        <v>36</v>
      </c>
      <c r="F1425" s="556" t="s">
        <v>8615</v>
      </c>
      <c r="G1425" s="555" t="s">
        <v>225</v>
      </c>
      <c r="H1425" s="555" t="s">
        <v>225</v>
      </c>
      <c r="I1425" s="555" t="s">
        <v>98</v>
      </c>
      <c r="J1425" s="556" t="s">
        <v>98</v>
      </c>
      <c r="K1425" s="555" t="s">
        <v>98</v>
      </c>
      <c r="L1425" s="555" t="s">
        <v>98</v>
      </c>
      <c r="M1425" s="555" t="s">
        <v>98</v>
      </c>
      <c r="N1425" s="556" t="s">
        <v>8657</v>
      </c>
      <c r="O1425" s="556" t="s">
        <v>8658</v>
      </c>
      <c r="P1425" s="556" t="s">
        <v>238</v>
      </c>
      <c r="Q1425" s="619" t="s">
        <v>8659</v>
      </c>
      <c r="R1425" s="556" t="s">
        <v>276</v>
      </c>
      <c r="S1425" s="556" t="s">
        <v>276</v>
      </c>
      <c r="T1425" s="556" t="s">
        <v>98</v>
      </c>
      <c r="U1425" s="556">
        <v>1</v>
      </c>
      <c r="V1425" s="555" t="s">
        <v>15</v>
      </c>
      <c r="W1425" s="555" t="s">
        <v>8617</v>
      </c>
      <c r="X1425" s="556" t="s">
        <v>209</v>
      </c>
      <c r="Y1425" s="560">
        <v>13653</v>
      </c>
      <c r="Z1425" s="556" t="s">
        <v>98</v>
      </c>
      <c r="AA1425" s="556" t="s">
        <v>276</v>
      </c>
      <c r="AB1425" s="556" t="s">
        <v>98</v>
      </c>
      <c r="AC1425" s="555">
        <v>0</v>
      </c>
      <c r="AD1425" s="555" t="s">
        <v>98</v>
      </c>
      <c r="AE1425" s="555" t="s">
        <v>98</v>
      </c>
      <c r="AF1425" s="555" t="s">
        <v>98</v>
      </c>
      <c r="AG1425" s="556" t="s">
        <v>8660</v>
      </c>
      <c r="AH1425" s="556" t="s">
        <v>2046</v>
      </c>
      <c r="AI1425" s="561">
        <v>33</v>
      </c>
      <c r="AJ1425" s="561" t="s">
        <v>98</v>
      </c>
      <c r="AK1425" s="560">
        <v>13653</v>
      </c>
      <c r="AL1425" s="561" t="s">
        <v>98</v>
      </c>
      <c r="AM1425" s="561" t="s">
        <v>2047</v>
      </c>
      <c r="AN1425" s="555" t="s">
        <v>276</v>
      </c>
      <c r="AO1425" s="564">
        <f>AI1425*1000/AK1425</f>
        <v>2.4170511975390023</v>
      </c>
      <c r="AP1425" s="555" t="s">
        <v>276</v>
      </c>
      <c r="AQ1425" s="555" t="s">
        <v>276</v>
      </c>
      <c r="AR1425" s="555" t="s">
        <v>98</v>
      </c>
      <c r="AS1425" s="555" t="s">
        <v>98</v>
      </c>
      <c r="AT1425" s="555" t="s">
        <v>98</v>
      </c>
      <c r="AU1425" s="555" t="s">
        <v>98</v>
      </c>
      <c r="AV1425" s="555" t="s">
        <v>98</v>
      </c>
      <c r="AW1425" s="555" t="s">
        <v>98</v>
      </c>
      <c r="AX1425" s="555" t="s">
        <v>98</v>
      </c>
      <c r="AY1425" s="555" t="s">
        <v>98</v>
      </c>
      <c r="AZ1425" s="555" t="s">
        <v>98</v>
      </c>
      <c r="BA1425" s="555" t="s">
        <v>98</v>
      </c>
      <c r="BB1425" s="555" t="s">
        <v>98</v>
      </c>
      <c r="BC1425" s="555" t="s">
        <v>98</v>
      </c>
      <c r="BD1425" s="555" t="s">
        <v>98</v>
      </c>
      <c r="BE1425" s="555" t="s">
        <v>98</v>
      </c>
      <c r="BF1425" s="556" t="s">
        <v>8661</v>
      </c>
      <c r="BG1425" s="556"/>
      <c r="BH1425" s="9" t="s">
        <v>100</v>
      </c>
      <c r="BI1425" s="9" t="s">
        <v>100</v>
      </c>
      <c r="BJ1425" s="78"/>
      <c r="BN1425" s="78"/>
      <c r="BO1425" s="78"/>
    </row>
    <row r="1426" spans="1:67" s="79" customFormat="1" ht="78" hidden="1" x14ac:dyDescent="0.35">
      <c r="A1426" s="555">
        <v>196</v>
      </c>
      <c r="B1426" s="555" t="s">
        <v>8614</v>
      </c>
      <c r="C1426" s="555" t="s">
        <v>50</v>
      </c>
      <c r="D1426" s="556" t="s">
        <v>11391</v>
      </c>
      <c r="E1426" s="555" t="s">
        <v>36</v>
      </c>
      <c r="F1426" s="556" t="s">
        <v>134</v>
      </c>
      <c r="G1426" s="556" t="s">
        <v>8662</v>
      </c>
      <c r="H1426" s="555" t="s">
        <v>225</v>
      </c>
      <c r="I1426" s="555" t="s">
        <v>98</v>
      </c>
      <c r="J1426" s="556" t="s">
        <v>98</v>
      </c>
      <c r="K1426" s="555" t="s">
        <v>98</v>
      </c>
      <c r="L1426" s="555" t="s">
        <v>98</v>
      </c>
      <c r="M1426" s="555" t="s">
        <v>98</v>
      </c>
      <c r="N1426" s="556" t="s">
        <v>8657</v>
      </c>
      <c r="O1426" s="556" t="s">
        <v>8658</v>
      </c>
      <c r="P1426" s="556" t="s">
        <v>238</v>
      </c>
      <c r="Q1426" s="619" t="s">
        <v>8659</v>
      </c>
      <c r="R1426" s="556" t="s">
        <v>276</v>
      </c>
      <c r="S1426" s="556" t="s">
        <v>276</v>
      </c>
      <c r="T1426" s="556" t="s">
        <v>98</v>
      </c>
      <c r="U1426" s="556">
        <v>1</v>
      </c>
      <c r="V1426" s="555" t="s">
        <v>15</v>
      </c>
      <c r="W1426" s="555" t="s">
        <v>8617</v>
      </c>
      <c r="X1426" s="556" t="s">
        <v>208</v>
      </c>
      <c r="Y1426" s="560">
        <v>6915</v>
      </c>
      <c r="Z1426" s="556">
        <v>6908</v>
      </c>
      <c r="AA1426" s="556" t="s">
        <v>276</v>
      </c>
      <c r="AB1426" s="556" t="s">
        <v>276</v>
      </c>
      <c r="AC1426" s="555">
        <v>0</v>
      </c>
      <c r="AD1426" s="555" t="s">
        <v>98</v>
      </c>
      <c r="AE1426" s="555">
        <v>0</v>
      </c>
      <c r="AF1426" s="555" t="s">
        <v>98</v>
      </c>
      <c r="AG1426" s="556" t="s">
        <v>8660</v>
      </c>
      <c r="AH1426" s="556" t="s">
        <v>2046</v>
      </c>
      <c r="AI1426" s="561">
        <v>17</v>
      </c>
      <c r="AJ1426" s="561">
        <v>16</v>
      </c>
      <c r="AK1426" s="560">
        <v>6915</v>
      </c>
      <c r="AL1426" s="556">
        <v>6908</v>
      </c>
      <c r="AM1426" s="561" t="s">
        <v>2047</v>
      </c>
      <c r="AN1426" s="555">
        <v>2.5</v>
      </c>
      <c r="AO1426" s="564">
        <f>AI1426*1000/AK1426</f>
        <v>2.4584237165582068</v>
      </c>
      <c r="AP1426" s="555" t="s">
        <v>276</v>
      </c>
      <c r="AQ1426" s="555" t="s">
        <v>276</v>
      </c>
      <c r="AR1426" s="555">
        <v>2.2999999999999998</v>
      </c>
      <c r="AS1426" s="564">
        <f>AJ1426*1000/AL1426</f>
        <v>2.3161551823972206</v>
      </c>
      <c r="AT1426" s="555" t="s">
        <v>276</v>
      </c>
      <c r="AU1426" s="555" t="s">
        <v>276</v>
      </c>
      <c r="AV1426" s="555" t="s">
        <v>268</v>
      </c>
      <c r="AW1426" s="555" t="s">
        <v>276</v>
      </c>
      <c r="AX1426" s="564">
        <f>AO1426/AS1426</f>
        <v>1.0614244396240058</v>
      </c>
      <c r="AY1426" s="555" t="s">
        <v>276</v>
      </c>
      <c r="AZ1426" s="555" t="s">
        <v>276</v>
      </c>
      <c r="BA1426" s="555" t="s">
        <v>276</v>
      </c>
      <c r="BB1426" s="555" t="s">
        <v>282</v>
      </c>
      <c r="BC1426" s="555" t="s">
        <v>276</v>
      </c>
      <c r="BD1426" s="555" t="s">
        <v>276</v>
      </c>
      <c r="BE1426" s="555" t="s">
        <v>276</v>
      </c>
      <c r="BF1426" s="556" t="s">
        <v>8663</v>
      </c>
      <c r="BG1426" s="556"/>
      <c r="BH1426" s="9" t="s">
        <v>100</v>
      </c>
      <c r="BI1426" s="9" t="s">
        <v>100</v>
      </c>
      <c r="BJ1426" s="78"/>
      <c r="BN1426" s="78"/>
      <c r="BO1426" s="78"/>
    </row>
    <row r="1427" spans="1:67" s="33" customFormat="1" ht="52" hidden="1" x14ac:dyDescent="0.35">
      <c r="A1427" s="545">
        <v>196</v>
      </c>
      <c r="B1427" s="545" t="s">
        <v>8614</v>
      </c>
      <c r="C1427" s="545" t="s">
        <v>50</v>
      </c>
      <c r="D1427" s="546" t="s">
        <v>11392</v>
      </c>
      <c r="E1427" s="545" t="s">
        <v>36</v>
      </c>
      <c r="F1427" s="546" t="s">
        <v>8615</v>
      </c>
      <c r="G1427" s="545" t="s">
        <v>225</v>
      </c>
      <c r="H1427" s="545" t="s">
        <v>225</v>
      </c>
      <c r="I1427" s="545" t="s">
        <v>98</v>
      </c>
      <c r="J1427" s="546" t="s">
        <v>98</v>
      </c>
      <c r="K1427" s="545" t="s">
        <v>98</v>
      </c>
      <c r="L1427" s="545" t="s">
        <v>98</v>
      </c>
      <c r="M1427" s="545" t="s">
        <v>98</v>
      </c>
      <c r="N1427" s="546" t="s">
        <v>8657</v>
      </c>
      <c r="O1427" s="546" t="s">
        <v>8658</v>
      </c>
      <c r="P1427" s="546" t="s">
        <v>238</v>
      </c>
      <c r="Q1427" s="613" t="s">
        <v>8659</v>
      </c>
      <c r="R1427" s="546" t="s">
        <v>276</v>
      </c>
      <c r="S1427" s="546" t="s">
        <v>276</v>
      </c>
      <c r="T1427" s="546" t="s">
        <v>98</v>
      </c>
      <c r="U1427" s="546">
        <v>1</v>
      </c>
      <c r="V1427" s="545" t="s">
        <v>15</v>
      </c>
      <c r="W1427" s="545" t="s">
        <v>8617</v>
      </c>
      <c r="X1427" s="546" t="s">
        <v>209</v>
      </c>
      <c r="Y1427" s="550">
        <v>13653</v>
      </c>
      <c r="Z1427" s="546" t="s">
        <v>98</v>
      </c>
      <c r="AA1427" s="546" t="s">
        <v>276</v>
      </c>
      <c r="AB1427" s="546" t="s">
        <v>98</v>
      </c>
      <c r="AC1427" s="545">
        <v>0</v>
      </c>
      <c r="AD1427" s="545" t="s">
        <v>98</v>
      </c>
      <c r="AE1427" s="545" t="s">
        <v>98</v>
      </c>
      <c r="AF1427" s="545" t="s">
        <v>98</v>
      </c>
      <c r="AG1427" s="546" t="s">
        <v>8664</v>
      </c>
      <c r="AH1427" s="546" t="s">
        <v>2046</v>
      </c>
      <c r="AI1427" s="551">
        <v>1685</v>
      </c>
      <c r="AJ1427" s="551" t="s">
        <v>98</v>
      </c>
      <c r="AK1427" s="550">
        <v>13653</v>
      </c>
      <c r="AL1427" s="551" t="s">
        <v>98</v>
      </c>
      <c r="AM1427" s="551" t="s">
        <v>2047</v>
      </c>
      <c r="AN1427" s="545" t="s">
        <v>276</v>
      </c>
      <c r="AO1427" s="553">
        <f t="shared" ref="AO1427:AO1429" si="431">AI1427*1000/AK1427</f>
        <v>123.41609902585512</v>
      </c>
      <c r="AP1427" s="545" t="s">
        <v>276</v>
      </c>
      <c r="AQ1427" s="545" t="s">
        <v>276</v>
      </c>
      <c r="AR1427" s="545" t="s">
        <v>98</v>
      </c>
      <c r="AS1427" s="545" t="s">
        <v>98</v>
      </c>
      <c r="AT1427" s="545" t="s">
        <v>98</v>
      </c>
      <c r="AU1427" s="545" t="s">
        <v>98</v>
      </c>
      <c r="AV1427" s="545" t="s">
        <v>98</v>
      </c>
      <c r="AW1427" s="545" t="s">
        <v>98</v>
      </c>
      <c r="AX1427" s="545" t="s">
        <v>98</v>
      </c>
      <c r="AY1427" s="545" t="s">
        <v>98</v>
      </c>
      <c r="AZ1427" s="545" t="s">
        <v>98</v>
      </c>
      <c r="BA1427" s="545" t="s">
        <v>98</v>
      </c>
      <c r="BB1427" s="545" t="s">
        <v>98</v>
      </c>
      <c r="BC1427" s="545" t="s">
        <v>98</v>
      </c>
      <c r="BD1427" s="545" t="s">
        <v>98</v>
      </c>
      <c r="BE1427" s="545" t="s">
        <v>98</v>
      </c>
      <c r="BF1427" s="546" t="s">
        <v>8665</v>
      </c>
      <c r="BG1427" s="546"/>
      <c r="BH1427" s="9" t="s">
        <v>100</v>
      </c>
      <c r="BI1427" s="9" t="s">
        <v>100</v>
      </c>
      <c r="BJ1427" s="32"/>
      <c r="BN1427" s="32"/>
      <c r="BO1427" s="32"/>
    </row>
    <row r="1428" spans="1:67" s="33" customFormat="1" ht="65" hidden="1" x14ac:dyDescent="0.35">
      <c r="A1428" s="545">
        <v>196</v>
      </c>
      <c r="B1428" s="545" t="s">
        <v>8614</v>
      </c>
      <c r="C1428" s="545" t="s">
        <v>50</v>
      </c>
      <c r="D1428" s="546" t="s">
        <v>11393</v>
      </c>
      <c r="E1428" s="545" t="s">
        <v>36</v>
      </c>
      <c r="F1428" s="546" t="s">
        <v>8615</v>
      </c>
      <c r="G1428" s="545" t="s">
        <v>225</v>
      </c>
      <c r="H1428" s="545" t="s">
        <v>225</v>
      </c>
      <c r="I1428" s="545" t="s">
        <v>98</v>
      </c>
      <c r="J1428" s="546" t="s">
        <v>98</v>
      </c>
      <c r="K1428" s="545" t="s">
        <v>98</v>
      </c>
      <c r="L1428" s="545" t="s">
        <v>98</v>
      </c>
      <c r="M1428" s="545" t="s">
        <v>98</v>
      </c>
      <c r="N1428" s="546" t="s">
        <v>8657</v>
      </c>
      <c r="O1428" s="546" t="s">
        <v>8658</v>
      </c>
      <c r="P1428" s="546" t="s">
        <v>238</v>
      </c>
      <c r="Q1428" s="613" t="s">
        <v>8659</v>
      </c>
      <c r="R1428" s="546" t="s">
        <v>276</v>
      </c>
      <c r="S1428" s="546" t="s">
        <v>276</v>
      </c>
      <c r="T1428" s="546" t="s">
        <v>98</v>
      </c>
      <c r="U1428" s="546">
        <v>1</v>
      </c>
      <c r="V1428" s="545" t="s">
        <v>15</v>
      </c>
      <c r="W1428" s="545" t="s">
        <v>8617</v>
      </c>
      <c r="X1428" s="546" t="s">
        <v>209</v>
      </c>
      <c r="Y1428" s="550">
        <v>13653</v>
      </c>
      <c r="Z1428" s="546" t="s">
        <v>98</v>
      </c>
      <c r="AA1428" s="546" t="s">
        <v>276</v>
      </c>
      <c r="AB1428" s="546" t="s">
        <v>98</v>
      </c>
      <c r="AC1428" s="545">
        <v>0</v>
      </c>
      <c r="AD1428" s="545" t="s">
        <v>98</v>
      </c>
      <c r="AE1428" s="545" t="s">
        <v>98</v>
      </c>
      <c r="AF1428" s="545" t="s">
        <v>98</v>
      </c>
      <c r="AG1428" s="546" t="s">
        <v>8666</v>
      </c>
      <c r="AH1428" s="546" t="s">
        <v>2046</v>
      </c>
      <c r="AI1428" s="551">
        <v>440</v>
      </c>
      <c r="AJ1428" s="551" t="s">
        <v>98</v>
      </c>
      <c r="AK1428" s="550">
        <v>13653</v>
      </c>
      <c r="AL1428" s="551" t="s">
        <v>98</v>
      </c>
      <c r="AM1428" s="551" t="s">
        <v>2047</v>
      </c>
      <c r="AN1428" s="545" t="s">
        <v>276</v>
      </c>
      <c r="AO1428" s="553">
        <f t="shared" si="431"/>
        <v>32.227349300520032</v>
      </c>
      <c r="AP1428" s="545" t="s">
        <v>276</v>
      </c>
      <c r="AQ1428" s="545" t="s">
        <v>276</v>
      </c>
      <c r="AR1428" s="545" t="s">
        <v>98</v>
      </c>
      <c r="AS1428" s="545" t="s">
        <v>98</v>
      </c>
      <c r="AT1428" s="545" t="s">
        <v>98</v>
      </c>
      <c r="AU1428" s="545" t="s">
        <v>98</v>
      </c>
      <c r="AV1428" s="545" t="s">
        <v>98</v>
      </c>
      <c r="AW1428" s="545" t="s">
        <v>98</v>
      </c>
      <c r="AX1428" s="545" t="s">
        <v>98</v>
      </c>
      <c r="AY1428" s="545" t="s">
        <v>98</v>
      </c>
      <c r="AZ1428" s="545" t="s">
        <v>98</v>
      </c>
      <c r="BA1428" s="545" t="s">
        <v>98</v>
      </c>
      <c r="BB1428" s="545" t="s">
        <v>98</v>
      </c>
      <c r="BC1428" s="545" t="s">
        <v>98</v>
      </c>
      <c r="BD1428" s="545" t="s">
        <v>98</v>
      </c>
      <c r="BE1428" s="545" t="s">
        <v>98</v>
      </c>
      <c r="BF1428" s="546" t="s">
        <v>8667</v>
      </c>
      <c r="BG1428" s="546"/>
      <c r="BH1428" s="9" t="s">
        <v>100</v>
      </c>
      <c r="BI1428" s="9" t="s">
        <v>100</v>
      </c>
      <c r="BJ1428" s="32"/>
      <c r="BN1428" s="32"/>
      <c r="BO1428" s="32"/>
    </row>
    <row r="1429" spans="1:67" s="33" customFormat="1" ht="65" hidden="1" x14ac:dyDescent="0.35">
      <c r="A1429" s="545">
        <v>196</v>
      </c>
      <c r="B1429" s="545" t="s">
        <v>8614</v>
      </c>
      <c r="C1429" s="545" t="s">
        <v>50</v>
      </c>
      <c r="D1429" s="546" t="s">
        <v>11394</v>
      </c>
      <c r="E1429" s="545" t="s">
        <v>36</v>
      </c>
      <c r="F1429" s="546" t="s">
        <v>8615</v>
      </c>
      <c r="G1429" s="545" t="s">
        <v>225</v>
      </c>
      <c r="H1429" s="545" t="s">
        <v>225</v>
      </c>
      <c r="I1429" s="545" t="s">
        <v>98</v>
      </c>
      <c r="J1429" s="546" t="s">
        <v>98</v>
      </c>
      <c r="K1429" s="545" t="s">
        <v>98</v>
      </c>
      <c r="L1429" s="545" t="s">
        <v>98</v>
      </c>
      <c r="M1429" s="545" t="s">
        <v>98</v>
      </c>
      <c r="N1429" s="546" t="s">
        <v>8657</v>
      </c>
      <c r="O1429" s="546" t="s">
        <v>8658</v>
      </c>
      <c r="P1429" s="546" t="s">
        <v>238</v>
      </c>
      <c r="Q1429" s="613" t="s">
        <v>8659</v>
      </c>
      <c r="R1429" s="546" t="s">
        <v>276</v>
      </c>
      <c r="S1429" s="546" t="s">
        <v>276</v>
      </c>
      <c r="T1429" s="546" t="s">
        <v>98</v>
      </c>
      <c r="U1429" s="546">
        <v>1</v>
      </c>
      <c r="V1429" s="545" t="s">
        <v>15</v>
      </c>
      <c r="W1429" s="545" t="s">
        <v>8617</v>
      </c>
      <c r="X1429" s="546" t="s">
        <v>209</v>
      </c>
      <c r="Y1429" s="550">
        <v>13653</v>
      </c>
      <c r="Z1429" s="546" t="s">
        <v>98</v>
      </c>
      <c r="AA1429" s="546" t="s">
        <v>276</v>
      </c>
      <c r="AB1429" s="546" t="s">
        <v>98</v>
      </c>
      <c r="AC1429" s="545">
        <v>0</v>
      </c>
      <c r="AD1429" s="545" t="s">
        <v>98</v>
      </c>
      <c r="AE1429" s="545" t="s">
        <v>98</v>
      </c>
      <c r="AF1429" s="545" t="s">
        <v>98</v>
      </c>
      <c r="AG1429" s="546" t="s">
        <v>8668</v>
      </c>
      <c r="AH1429" s="546" t="s">
        <v>2046</v>
      </c>
      <c r="AI1429" s="551">
        <f>440-33</f>
        <v>407</v>
      </c>
      <c r="AJ1429" s="551" t="s">
        <v>98</v>
      </c>
      <c r="AK1429" s="550">
        <v>13653</v>
      </c>
      <c r="AL1429" s="551" t="s">
        <v>98</v>
      </c>
      <c r="AM1429" s="551" t="s">
        <v>2047</v>
      </c>
      <c r="AN1429" s="545" t="s">
        <v>276</v>
      </c>
      <c r="AO1429" s="553">
        <f t="shared" si="431"/>
        <v>29.810298102981029</v>
      </c>
      <c r="AP1429" s="545" t="s">
        <v>276</v>
      </c>
      <c r="AQ1429" s="545" t="s">
        <v>276</v>
      </c>
      <c r="AR1429" s="545" t="s">
        <v>98</v>
      </c>
      <c r="AS1429" s="545" t="s">
        <v>98</v>
      </c>
      <c r="AT1429" s="545" t="s">
        <v>98</v>
      </c>
      <c r="AU1429" s="545" t="s">
        <v>98</v>
      </c>
      <c r="AV1429" s="545" t="s">
        <v>98</v>
      </c>
      <c r="AW1429" s="545" t="s">
        <v>98</v>
      </c>
      <c r="AX1429" s="545" t="s">
        <v>98</v>
      </c>
      <c r="AY1429" s="545" t="s">
        <v>98</v>
      </c>
      <c r="AZ1429" s="545" t="s">
        <v>98</v>
      </c>
      <c r="BA1429" s="545" t="s">
        <v>98</v>
      </c>
      <c r="BB1429" s="545" t="s">
        <v>98</v>
      </c>
      <c r="BC1429" s="545" t="s">
        <v>98</v>
      </c>
      <c r="BD1429" s="545" t="s">
        <v>98</v>
      </c>
      <c r="BE1429" s="545" t="s">
        <v>98</v>
      </c>
      <c r="BF1429" s="546" t="s">
        <v>8667</v>
      </c>
      <c r="BG1429" s="546"/>
      <c r="BH1429" s="9" t="s">
        <v>100</v>
      </c>
      <c r="BI1429" s="9" t="s">
        <v>100</v>
      </c>
      <c r="BJ1429" s="32"/>
      <c r="BN1429" s="32"/>
      <c r="BO1429" s="32"/>
    </row>
    <row r="1430" spans="1:67" s="33" customFormat="1" ht="52" x14ac:dyDescent="0.35">
      <c r="A1430" s="545">
        <v>196</v>
      </c>
      <c r="B1430" s="545" t="s">
        <v>8614</v>
      </c>
      <c r="C1430" s="545" t="s">
        <v>50</v>
      </c>
      <c r="D1430" s="546" t="s">
        <v>11395</v>
      </c>
      <c r="E1430" s="545" t="s">
        <v>36</v>
      </c>
      <c r="F1430" s="546" t="s">
        <v>8615</v>
      </c>
      <c r="G1430" s="545" t="s">
        <v>225</v>
      </c>
      <c r="H1430" s="545" t="s">
        <v>225</v>
      </c>
      <c r="I1430" s="545" t="s">
        <v>98</v>
      </c>
      <c r="J1430" s="546" t="s">
        <v>98</v>
      </c>
      <c r="K1430" s="545" t="s">
        <v>98</v>
      </c>
      <c r="L1430" s="545" t="s">
        <v>98</v>
      </c>
      <c r="M1430" s="545" t="s">
        <v>98</v>
      </c>
      <c r="N1430" s="546" t="s">
        <v>8657</v>
      </c>
      <c r="O1430" s="546" t="s">
        <v>8658</v>
      </c>
      <c r="P1430" s="546" t="s">
        <v>236</v>
      </c>
      <c r="Q1430" s="613">
        <v>39082</v>
      </c>
      <c r="R1430" s="546" t="s">
        <v>8669</v>
      </c>
      <c r="S1430" s="546" t="s">
        <v>8670</v>
      </c>
      <c r="T1430" s="546" t="s">
        <v>98</v>
      </c>
      <c r="U1430" s="546">
        <v>1</v>
      </c>
      <c r="V1430" s="545" t="s">
        <v>15</v>
      </c>
      <c r="W1430" s="545" t="s">
        <v>8617</v>
      </c>
      <c r="X1430" s="546" t="s">
        <v>209</v>
      </c>
      <c r="Y1430" s="550" t="s">
        <v>98</v>
      </c>
      <c r="Z1430" s="546" t="s">
        <v>98</v>
      </c>
      <c r="AA1430" s="546" t="s">
        <v>276</v>
      </c>
      <c r="AB1430" s="546" t="s">
        <v>98</v>
      </c>
      <c r="AC1430" s="545">
        <v>0</v>
      </c>
      <c r="AD1430" s="545" t="s">
        <v>98</v>
      </c>
      <c r="AE1430" s="545" t="s">
        <v>98</v>
      </c>
      <c r="AF1430" s="545" t="s">
        <v>98</v>
      </c>
      <c r="AG1430" s="546" t="s">
        <v>8660</v>
      </c>
      <c r="AH1430" s="546" t="s">
        <v>8671</v>
      </c>
      <c r="AI1430" s="551">
        <v>33</v>
      </c>
      <c r="AJ1430" s="551" t="s">
        <v>98</v>
      </c>
      <c r="AK1430" s="550">
        <v>123</v>
      </c>
      <c r="AL1430" s="551" t="s">
        <v>98</v>
      </c>
      <c r="AM1430" s="551" t="s">
        <v>292</v>
      </c>
      <c r="AN1430" s="545" t="s">
        <v>276</v>
      </c>
      <c r="AO1430" s="553">
        <f>AI1430*100/AK1430</f>
        <v>26.829268292682926</v>
      </c>
      <c r="AP1430" s="545" t="s">
        <v>276</v>
      </c>
      <c r="AQ1430" s="545" t="s">
        <v>276</v>
      </c>
      <c r="AR1430" s="545" t="s">
        <v>98</v>
      </c>
      <c r="AS1430" s="545" t="s">
        <v>98</v>
      </c>
      <c r="AT1430" s="545" t="s">
        <v>98</v>
      </c>
      <c r="AU1430" s="545" t="s">
        <v>98</v>
      </c>
      <c r="AV1430" s="545" t="s">
        <v>98</v>
      </c>
      <c r="AW1430" s="545" t="s">
        <v>98</v>
      </c>
      <c r="AX1430" s="545" t="s">
        <v>98</v>
      </c>
      <c r="AY1430" s="545" t="s">
        <v>98</v>
      </c>
      <c r="AZ1430" s="545" t="s">
        <v>98</v>
      </c>
      <c r="BA1430" s="545" t="s">
        <v>98</v>
      </c>
      <c r="BB1430" s="545" t="s">
        <v>98</v>
      </c>
      <c r="BC1430" s="545" t="s">
        <v>98</v>
      </c>
      <c r="BD1430" s="545" t="s">
        <v>98</v>
      </c>
      <c r="BE1430" s="545" t="s">
        <v>98</v>
      </c>
      <c r="BF1430" s="546" t="s">
        <v>8672</v>
      </c>
      <c r="BG1430" s="546"/>
      <c r="BH1430" s="9" t="s">
        <v>99</v>
      </c>
      <c r="BI1430" s="9" t="s">
        <v>99</v>
      </c>
      <c r="BJ1430" s="32"/>
      <c r="BN1430" s="32"/>
      <c r="BO1430" s="32"/>
    </row>
    <row r="1431" spans="1:67" s="33" customFormat="1" ht="130" hidden="1" x14ac:dyDescent="0.35">
      <c r="A1431" s="545">
        <v>196</v>
      </c>
      <c r="B1431" s="545" t="s">
        <v>8614</v>
      </c>
      <c r="C1431" s="545" t="s">
        <v>50</v>
      </c>
      <c r="D1431" s="546" t="s">
        <v>11396</v>
      </c>
      <c r="E1431" s="545" t="s">
        <v>36</v>
      </c>
      <c r="F1431" s="546" t="s">
        <v>134</v>
      </c>
      <c r="G1431" s="546" t="s">
        <v>8662</v>
      </c>
      <c r="H1431" s="545" t="s">
        <v>225</v>
      </c>
      <c r="I1431" s="545" t="s">
        <v>98</v>
      </c>
      <c r="J1431" s="546" t="s">
        <v>98</v>
      </c>
      <c r="K1431" s="545" t="s">
        <v>98</v>
      </c>
      <c r="L1431" s="545" t="s">
        <v>98</v>
      </c>
      <c r="M1431" s="545" t="s">
        <v>98</v>
      </c>
      <c r="N1431" s="546" t="s">
        <v>8657</v>
      </c>
      <c r="O1431" s="546" t="s">
        <v>8658</v>
      </c>
      <c r="P1431" s="546" t="s">
        <v>236</v>
      </c>
      <c r="Q1431" s="613">
        <v>39082</v>
      </c>
      <c r="R1431" s="546" t="s">
        <v>8669</v>
      </c>
      <c r="S1431" s="546" t="s">
        <v>8670</v>
      </c>
      <c r="T1431" s="546" t="s">
        <v>8670</v>
      </c>
      <c r="U1431" s="546">
        <v>1</v>
      </c>
      <c r="V1431" s="545" t="s">
        <v>15</v>
      </c>
      <c r="W1431" s="545" t="s">
        <v>8617</v>
      </c>
      <c r="X1431" s="546" t="s">
        <v>208</v>
      </c>
      <c r="Y1431" s="550" t="s">
        <v>98</v>
      </c>
      <c r="Z1431" s="546" t="s">
        <v>98</v>
      </c>
      <c r="AA1431" s="546" t="s">
        <v>276</v>
      </c>
      <c r="AB1431" s="546" t="s">
        <v>276</v>
      </c>
      <c r="AC1431" s="545">
        <v>0</v>
      </c>
      <c r="AD1431" s="545" t="s">
        <v>98</v>
      </c>
      <c r="AE1431" s="545">
        <v>0</v>
      </c>
      <c r="AF1431" s="545" t="s">
        <v>98</v>
      </c>
      <c r="AG1431" s="546" t="s">
        <v>8660</v>
      </c>
      <c r="AH1431" s="546" t="s">
        <v>8671</v>
      </c>
      <c r="AI1431" s="551">
        <v>17</v>
      </c>
      <c r="AJ1431" s="551">
        <v>16</v>
      </c>
      <c r="AK1431" s="550">
        <v>54</v>
      </c>
      <c r="AL1431" s="551">
        <v>69</v>
      </c>
      <c r="AM1431" s="551" t="s">
        <v>292</v>
      </c>
      <c r="AN1431" s="545" t="s">
        <v>276</v>
      </c>
      <c r="AO1431" s="553">
        <f>AI1431*100/AK1431</f>
        <v>31.481481481481481</v>
      </c>
      <c r="AP1431" s="545" t="s">
        <v>276</v>
      </c>
      <c r="AQ1431" s="545" t="s">
        <v>276</v>
      </c>
      <c r="AR1431" s="545" t="s">
        <v>276</v>
      </c>
      <c r="AS1431" s="553">
        <f>AJ1431*100/AL1431</f>
        <v>23.188405797101449</v>
      </c>
      <c r="AT1431" s="545" t="s">
        <v>276</v>
      </c>
      <c r="AU1431" s="545" t="s">
        <v>276</v>
      </c>
      <c r="AV1431" s="545" t="s">
        <v>268</v>
      </c>
      <c r="AW1431" s="545" t="s">
        <v>276</v>
      </c>
      <c r="AX1431" s="553">
        <f t="shared" ref="AX1431:AX1437" si="432">AO1431/AS1431</f>
        <v>1.3576388888888888</v>
      </c>
      <c r="AY1431" s="545" t="s">
        <v>276</v>
      </c>
      <c r="AZ1431" s="545" t="s">
        <v>276</v>
      </c>
      <c r="BA1431" s="545" t="s">
        <v>276</v>
      </c>
      <c r="BB1431" s="545" t="s">
        <v>282</v>
      </c>
      <c r="BC1431" s="545" t="s">
        <v>276</v>
      </c>
      <c r="BD1431" s="545" t="s">
        <v>276</v>
      </c>
      <c r="BE1431" s="545" t="s">
        <v>276</v>
      </c>
      <c r="BF1431" s="546" t="s">
        <v>8673</v>
      </c>
      <c r="BG1431" s="546" t="s">
        <v>8674</v>
      </c>
      <c r="BH1431" s="9" t="s">
        <v>100</v>
      </c>
      <c r="BI1431" s="9" t="s">
        <v>100</v>
      </c>
      <c r="BJ1431" s="32"/>
      <c r="BN1431" s="32"/>
      <c r="BO1431" s="32"/>
    </row>
    <row r="1432" spans="1:67" s="79" customFormat="1" ht="52" hidden="1" x14ac:dyDescent="0.35">
      <c r="A1432" s="555">
        <v>196</v>
      </c>
      <c r="B1432" s="555" t="s">
        <v>8614</v>
      </c>
      <c r="C1432" s="555" t="s">
        <v>50</v>
      </c>
      <c r="D1432" s="556" t="s">
        <v>8675</v>
      </c>
      <c r="E1432" s="555" t="s">
        <v>36</v>
      </c>
      <c r="F1432" s="556" t="s">
        <v>8615</v>
      </c>
      <c r="G1432" s="555" t="s">
        <v>225</v>
      </c>
      <c r="H1432" s="555" t="s">
        <v>125</v>
      </c>
      <c r="I1432" s="555" t="s">
        <v>114</v>
      </c>
      <c r="J1432" s="556" t="s">
        <v>28</v>
      </c>
      <c r="K1432" s="556" t="s">
        <v>2217</v>
      </c>
      <c r="L1432" s="556" t="s">
        <v>8676</v>
      </c>
      <c r="M1432" s="555" t="s">
        <v>8677</v>
      </c>
      <c r="N1432" s="556" t="s">
        <v>8657</v>
      </c>
      <c r="O1432" s="556" t="s">
        <v>8658</v>
      </c>
      <c r="P1432" s="556" t="s">
        <v>239</v>
      </c>
      <c r="Q1432" s="619">
        <v>39082</v>
      </c>
      <c r="R1432" s="556" t="s">
        <v>8669</v>
      </c>
      <c r="S1432" s="556" t="s">
        <v>8670</v>
      </c>
      <c r="T1432" s="556" t="s">
        <v>8670</v>
      </c>
      <c r="U1432" s="556">
        <v>1</v>
      </c>
      <c r="V1432" s="555" t="s">
        <v>15</v>
      </c>
      <c r="W1432" s="555" t="s">
        <v>8617</v>
      </c>
      <c r="X1432" s="556" t="s">
        <v>207</v>
      </c>
      <c r="Y1432" s="560">
        <v>13653</v>
      </c>
      <c r="Z1432" s="556">
        <v>41092</v>
      </c>
      <c r="AA1432" s="556" t="s">
        <v>276</v>
      </c>
      <c r="AB1432" s="556" t="s">
        <v>276</v>
      </c>
      <c r="AC1432" s="555">
        <v>12</v>
      </c>
      <c r="AD1432" s="555" t="s">
        <v>8678</v>
      </c>
      <c r="AE1432" s="555">
        <v>38</v>
      </c>
      <c r="AF1432" s="555" t="s">
        <v>8678</v>
      </c>
      <c r="AG1432" s="556" t="s">
        <v>8679</v>
      </c>
      <c r="AH1432" s="556" t="s">
        <v>2046</v>
      </c>
      <c r="AI1432" s="561">
        <v>33</v>
      </c>
      <c r="AJ1432" s="561">
        <v>62</v>
      </c>
      <c r="AK1432" s="560">
        <v>13653</v>
      </c>
      <c r="AL1432" s="556">
        <v>41092</v>
      </c>
      <c r="AM1432" s="561" t="s">
        <v>2047</v>
      </c>
      <c r="AN1432" s="555" t="s">
        <v>276</v>
      </c>
      <c r="AO1432" s="564">
        <f>AI1432*1000/AK1432</f>
        <v>2.4170511975390023</v>
      </c>
      <c r="AP1432" s="555" t="s">
        <v>276</v>
      </c>
      <c r="AQ1432" s="555" t="s">
        <v>276</v>
      </c>
      <c r="AR1432" s="555" t="s">
        <v>276</v>
      </c>
      <c r="AS1432" s="564">
        <f>AJ1432*1000/AL1432</f>
        <v>1.5088095006327267</v>
      </c>
      <c r="AT1432" s="555" t="s">
        <v>276</v>
      </c>
      <c r="AU1432" s="555" t="s">
        <v>276</v>
      </c>
      <c r="AV1432" s="555" t="s">
        <v>268</v>
      </c>
      <c r="AW1432" s="621" t="s">
        <v>276</v>
      </c>
      <c r="AX1432" s="621">
        <f t="shared" si="432"/>
        <v>1.6019591582140755</v>
      </c>
      <c r="AY1432" s="556" t="s">
        <v>276</v>
      </c>
      <c r="AZ1432" s="556" t="s">
        <v>276</v>
      </c>
      <c r="BA1432" s="556" t="s">
        <v>276</v>
      </c>
      <c r="BB1432" s="556" t="s">
        <v>282</v>
      </c>
      <c r="BC1432" s="556" t="s">
        <v>276</v>
      </c>
      <c r="BD1432" s="556" t="s">
        <v>276</v>
      </c>
      <c r="BE1432" s="556" t="s">
        <v>276</v>
      </c>
      <c r="BF1432" s="556" t="s">
        <v>8680</v>
      </c>
      <c r="BG1432" s="556" t="s">
        <v>8674</v>
      </c>
      <c r="BH1432" s="9" t="s">
        <v>100</v>
      </c>
      <c r="BI1432" s="9" t="s">
        <v>100</v>
      </c>
      <c r="BJ1432" s="78"/>
      <c r="BN1432" s="78"/>
      <c r="BO1432" s="78"/>
    </row>
    <row r="1433" spans="1:67" s="79" customFormat="1" ht="65" hidden="1" x14ac:dyDescent="0.35">
      <c r="A1433" s="555">
        <v>196</v>
      </c>
      <c r="B1433" s="555" t="s">
        <v>8614</v>
      </c>
      <c r="C1433" s="555" t="s">
        <v>50</v>
      </c>
      <c r="D1433" s="556" t="s">
        <v>8681</v>
      </c>
      <c r="E1433" s="555" t="s">
        <v>36</v>
      </c>
      <c r="F1433" s="556" t="s">
        <v>8615</v>
      </c>
      <c r="G1433" s="555" t="s">
        <v>225</v>
      </c>
      <c r="H1433" s="555" t="s">
        <v>125</v>
      </c>
      <c r="I1433" s="555" t="s">
        <v>114</v>
      </c>
      <c r="J1433" s="556" t="s">
        <v>28</v>
      </c>
      <c r="K1433" s="556" t="s">
        <v>8682</v>
      </c>
      <c r="L1433" s="556" t="s">
        <v>8676</v>
      </c>
      <c r="M1433" s="555" t="s">
        <v>8677</v>
      </c>
      <c r="N1433" s="556" t="s">
        <v>8657</v>
      </c>
      <c r="O1433" s="556" t="s">
        <v>8658</v>
      </c>
      <c r="P1433" s="556" t="s">
        <v>239</v>
      </c>
      <c r="Q1433" s="619">
        <v>39082</v>
      </c>
      <c r="R1433" s="556" t="s">
        <v>8669</v>
      </c>
      <c r="S1433" s="556" t="s">
        <v>8670</v>
      </c>
      <c r="T1433" s="556" t="s">
        <v>8670</v>
      </c>
      <c r="U1433" s="556">
        <v>1</v>
      </c>
      <c r="V1433" s="555" t="s">
        <v>15</v>
      </c>
      <c r="W1433" s="555" t="s">
        <v>8617</v>
      </c>
      <c r="X1433" s="556" t="s">
        <v>207</v>
      </c>
      <c r="Y1433" s="560">
        <v>13653</v>
      </c>
      <c r="Z1433" s="556">
        <v>41092</v>
      </c>
      <c r="AA1433" s="556" t="s">
        <v>276</v>
      </c>
      <c r="AB1433" s="556" t="s">
        <v>276</v>
      </c>
      <c r="AC1433" s="555">
        <v>12</v>
      </c>
      <c r="AD1433" s="555" t="s">
        <v>8678</v>
      </c>
      <c r="AE1433" s="555">
        <v>38</v>
      </c>
      <c r="AF1433" s="555" t="s">
        <v>8678</v>
      </c>
      <c r="AG1433" s="556" t="s">
        <v>8683</v>
      </c>
      <c r="AH1433" s="556" t="s">
        <v>2046</v>
      </c>
      <c r="AI1433" s="561">
        <v>78</v>
      </c>
      <c r="AJ1433" s="561">
        <v>262</v>
      </c>
      <c r="AK1433" s="560">
        <v>13653</v>
      </c>
      <c r="AL1433" s="556">
        <v>41092</v>
      </c>
      <c r="AM1433" s="561" t="s">
        <v>2047</v>
      </c>
      <c r="AN1433" s="555">
        <v>5.7</v>
      </c>
      <c r="AO1433" s="564">
        <f>AI1433*1000/AK1433</f>
        <v>5.7130301032740061</v>
      </c>
      <c r="AP1433" s="555" t="s">
        <v>276</v>
      </c>
      <c r="AQ1433" s="555" t="s">
        <v>276</v>
      </c>
      <c r="AR1433" s="555">
        <v>6.4</v>
      </c>
      <c r="AS1433" s="564">
        <f>AJ1433*1000/AL1433</f>
        <v>6.3759369220286191</v>
      </c>
      <c r="AT1433" s="555" t="s">
        <v>276</v>
      </c>
      <c r="AU1433" s="555" t="s">
        <v>276</v>
      </c>
      <c r="AV1433" s="555" t="s">
        <v>268</v>
      </c>
      <c r="AW1433" s="621" t="s">
        <v>276</v>
      </c>
      <c r="AX1433" s="621">
        <f t="shared" si="432"/>
        <v>0.89602989696082236</v>
      </c>
      <c r="AY1433" s="556" t="s">
        <v>276</v>
      </c>
      <c r="AZ1433" s="556" t="s">
        <v>276</v>
      </c>
      <c r="BA1433" s="556" t="s">
        <v>276</v>
      </c>
      <c r="BB1433" s="556" t="s">
        <v>282</v>
      </c>
      <c r="BC1433" s="556" t="s">
        <v>276</v>
      </c>
      <c r="BD1433" s="556" t="s">
        <v>276</v>
      </c>
      <c r="BE1433" s="556" t="s">
        <v>276</v>
      </c>
      <c r="BF1433" s="556" t="s">
        <v>8680</v>
      </c>
      <c r="BG1433" s="556" t="s">
        <v>8674</v>
      </c>
      <c r="BH1433" s="9" t="s">
        <v>100</v>
      </c>
      <c r="BI1433" s="9" t="s">
        <v>100</v>
      </c>
      <c r="BJ1433" s="78"/>
      <c r="BN1433" s="78"/>
      <c r="BO1433" s="78"/>
    </row>
    <row r="1434" spans="1:67" s="79" customFormat="1" ht="65" hidden="1" x14ac:dyDescent="0.35">
      <c r="A1434" s="555">
        <v>196</v>
      </c>
      <c r="B1434" s="555" t="s">
        <v>8614</v>
      </c>
      <c r="C1434" s="555" t="s">
        <v>50</v>
      </c>
      <c r="D1434" s="556" t="s">
        <v>8684</v>
      </c>
      <c r="E1434" s="555" t="s">
        <v>36</v>
      </c>
      <c r="F1434" s="556" t="s">
        <v>8615</v>
      </c>
      <c r="G1434" s="555" t="s">
        <v>225</v>
      </c>
      <c r="H1434" s="555" t="s">
        <v>125</v>
      </c>
      <c r="I1434" s="555" t="s">
        <v>114</v>
      </c>
      <c r="J1434" s="556" t="s">
        <v>28</v>
      </c>
      <c r="K1434" s="556" t="s">
        <v>8682</v>
      </c>
      <c r="L1434" s="556" t="s">
        <v>8676</v>
      </c>
      <c r="M1434" s="555" t="s">
        <v>8677</v>
      </c>
      <c r="N1434" s="556" t="s">
        <v>8657</v>
      </c>
      <c r="O1434" s="556" t="s">
        <v>8658</v>
      </c>
      <c r="P1434" s="556" t="s">
        <v>235</v>
      </c>
      <c r="Q1434" s="619">
        <v>39082</v>
      </c>
      <c r="R1434" s="556" t="s">
        <v>8669</v>
      </c>
      <c r="S1434" s="556" t="s">
        <v>8670</v>
      </c>
      <c r="T1434" s="556" t="s">
        <v>8670</v>
      </c>
      <c r="U1434" s="556">
        <v>1</v>
      </c>
      <c r="V1434" s="555" t="s">
        <v>15</v>
      </c>
      <c r="W1434" s="555" t="s">
        <v>8617</v>
      </c>
      <c r="X1434" s="556" t="s">
        <v>207</v>
      </c>
      <c r="Y1434" s="560" t="s">
        <v>98</v>
      </c>
      <c r="Z1434" s="556" t="s">
        <v>98</v>
      </c>
      <c r="AA1434" s="556" t="s">
        <v>276</v>
      </c>
      <c r="AB1434" s="556" t="s">
        <v>276</v>
      </c>
      <c r="AC1434" s="555">
        <v>12</v>
      </c>
      <c r="AD1434" s="555" t="s">
        <v>8678</v>
      </c>
      <c r="AE1434" s="555">
        <v>38</v>
      </c>
      <c r="AF1434" s="555" t="s">
        <v>8678</v>
      </c>
      <c r="AG1434" s="556" t="s">
        <v>8683</v>
      </c>
      <c r="AH1434" s="556" t="s">
        <v>8685</v>
      </c>
      <c r="AI1434" s="561">
        <v>78</v>
      </c>
      <c r="AJ1434" s="561">
        <v>262</v>
      </c>
      <c r="AK1434" s="560">
        <v>123</v>
      </c>
      <c r="AL1434" s="556">
        <v>362</v>
      </c>
      <c r="AM1434" s="561" t="s">
        <v>292</v>
      </c>
      <c r="AN1434" s="555" t="s">
        <v>276</v>
      </c>
      <c r="AO1434" s="564">
        <f>AI1434*100/AK1434</f>
        <v>63.414634146341463</v>
      </c>
      <c r="AP1434" s="555" t="s">
        <v>276</v>
      </c>
      <c r="AQ1434" s="555" t="s">
        <v>276</v>
      </c>
      <c r="AR1434" s="555" t="s">
        <v>276</v>
      </c>
      <c r="AS1434" s="564">
        <f>AJ1434*100/AL1434</f>
        <v>72.375690607734811</v>
      </c>
      <c r="AT1434" s="555" t="s">
        <v>276</v>
      </c>
      <c r="AU1434" s="555" t="s">
        <v>276</v>
      </c>
      <c r="AV1434" s="555" t="s">
        <v>268</v>
      </c>
      <c r="AW1434" s="621" t="s">
        <v>276</v>
      </c>
      <c r="AX1434" s="621">
        <f t="shared" si="432"/>
        <v>0.87618692980822932</v>
      </c>
      <c r="AY1434" s="556" t="s">
        <v>276</v>
      </c>
      <c r="AZ1434" s="556" t="s">
        <v>276</v>
      </c>
      <c r="BA1434" s="556" t="s">
        <v>276</v>
      </c>
      <c r="BB1434" s="556" t="s">
        <v>282</v>
      </c>
      <c r="BC1434" s="556" t="s">
        <v>276</v>
      </c>
      <c r="BD1434" s="556" t="s">
        <v>276</v>
      </c>
      <c r="BE1434" s="556" t="s">
        <v>276</v>
      </c>
      <c r="BF1434" s="556" t="s">
        <v>8680</v>
      </c>
      <c r="BG1434" s="556" t="s">
        <v>8674</v>
      </c>
      <c r="BH1434" s="9" t="s">
        <v>100</v>
      </c>
      <c r="BI1434" s="9" t="s">
        <v>100</v>
      </c>
      <c r="BJ1434" s="78"/>
      <c r="BN1434" s="78"/>
      <c r="BO1434" s="78"/>
    </row>
    <row r="1435" spans="1:67" s="110" customFormat="1" ht="52" hidden="1" x14ac:dyDescent="0.35">
      <c r="A1435" s="577">
        <v>195</v>
      </c>
      <c r="B1435" s="577" t="s">
        <v>8631</v>
      </c>
      <c r="C1435" s="577" t="s">
        <v>50</v>
      </c>
      <c r="D1435" s="578" t="s">
        <v>11397</v>
      </c>
      <c r="E1435" s="577" t="s">
        <v>36</v>
      </c>
      <c r="F1435" s="578" t="s">
        <v>134</v>
      </c>
      <c r="G1435" s="578" t="s">
        <v>8662</v>
      </c>
      <c r="H1435" s="577" t="s">
        <v>225</v>
      </c>
      <c r="I1435" s="577" t="s">
        <v>98</v>
      </c>
      <c r="J1435" s="578" t="s">
        <v>98</v>
      </c>
      <c r="K1435" s="577" t="s">
        <v>98</v>
      </c>
      <c r="L1435" s="577" t="s">
        <v>98</v>
      </c>
      <c r="M1435" s="577" t="s">
        <v>98</v>
      </c>
      <c r="N1435" s="578" t="s">
        <v>8686</v>
      </c>
      <c r="O1435" s="578" t="s">
        <v>8687</v>
      </c>
      <c r="P1435" s="578" t="s">
        <v>238</v>
      </c>
      <c r="Q1435" s="629" t="s">
        <v>8688</v>
      </c>
      <c r="R1435" s="578" t="s">
        <v>276</v>
      </c>
      <c r="S1435" s="578" t="s">
        <v>276</v>
      </c>
      <c r="T1435" s="578" t="s">
        <v>276</v>
      </c>
      <c r="U1435" s="578">
        <v>1</v>
      </c>
      <c r="V1435" s="577" t="s">
        <v>14</v>
      </c>
      <c r="W1435" s="577" t="s">
        <v>98</v>
      </c>
      <c r="X1435" s="578" t="s">
        <v>208</v>
      </c>
      <c r="Y1435" s="582">
        <v>10283</v>
      </c>
      <c r="Z1435" s="578">
        <v>10289</v>
      </c>
      <c r="AA1435" s="578">
        <v>0</v>
      </c>
      <c r="AB1435" s="578">
        <v>0</v>
      </c>
      <c r="AC1435" s="577">
        <v>0</v>
      </c>
      <c r="AD1435" s="577" t="s">
        <v>98</v>
      </c>
      <c r="AE1435" s="577">
        <v>0</v>
      </c>
      <c r="AF1435" s="577" t="s">
        <v>98</v>
      </c>
      <c r="AG1435" s="578" t="s">
        <v>8689</v>
      </c>
      <c r="AH1435" s="578" t="s">
        <v>2046</v>
      </c>
      <c r="AI1435" s="583">
        <v>1156</v>
      </c>
      <c r="AJ1435" s="583">
        <v>1054</v>
      </c>
      <c r="AK1435" s="582">
        <v>10283</v>
      </c>
      <c r="AL1435" s="578">
        <v>10289</v>
      </c>
      <c r="AM1435" s="583" t="s">
        <v>2047</v>
      </c>
      <c r="AN1435" s="577" t="s">
        <v>276</v>
      </c>
      <c r="AO1435" s="585">
        <f t="shared" ref="AO1435:AO1441" si="433">AI1435*1000/AK1435</f>
        <v>112.418554896431</v>
      </c>
      <c r="AP1435" s="577" t="s">
        <v>276</v>
      </c>
      <c r="AQ1435" s="577" t="s">
        <v>276</v>
      </c>
      <c r="AR1435" s="577" t="s">
        <v>276</v>
      </c>
      <c r="AS1435" s="585">
        <f>AJ1435*1000/AL1435</f>
        <v>102.43949849353679</v>
      </c>
      <c r="AT1435" s="577" t="s">
        <v>276</v>
      </c>
      <c r="AU1435" s="577" t="s">
        <v>276</v>
      </c>
      <c r="AV1435" s="577" t="s">
        <v>268</v>
      </c>
      <c r="AW1435" s="631" t="s">
        <v>276</v>
      </c>
      <c r="AX1435" s="631">
        <f t="shared" si="432"/>
        <v>1.097414147371327</v>
      </c>
      <c r="AY1435" s="578" t="s">
        <v>276</v>
      </c>
      <c r="AZ1435" s="578" t="s">
        <v>276</v>
      </c>
      <c r="BA1435" s="578" t="s">
        <v>276</v>
      </c>
      <c r="BB1435" s="578" t="s">
        <v>282</v>
      </c>
      <c r="BC1435" s="578" t="s">
        <v>276</v>
      </c>
      <c r="BD1435" s="578" t="s">
        <v>276</v>
      </c>
      <c r="BE1435" s="578" t="s">
        <v>276</v>
      </c>
      <c r="BF1435" s="578" t="s">
        <v>298</v>
      </c>
      <c r="BG1435" s="578"/>
      <c r="BH1435" s="9" t="s">
        <v>100</v>
      </c>
      <c r="BI1435" s="9" t="s">
        <v>100</v>
      </c>
      <c r="BJ1435" s="109"/>
      <c r="BN1435" s="109"/>
      <c r="BO1435" s="109"/>
    </row>
    <row r="1436" spans="1:67" s="110" customFormat="1" ht="65" hidden="1" x14ac:dyDescent="0.35">
      <c r="A1436" s="577">
        <v>195</v>
      </c>
      <c r="B1436" s="577" t="s">
        <v>8631</v>
      </c>
      <c r="C1436" s="577" t="s">
        <v>50</v>
      </c>
      <c r="D1436" s="578" t="s">
        <v>11398</v>
      </c>
      <c r="E1436" s="577" t="s">
        <v>36</v>
      </c>
      <c r="F1436" s="578" t="s">
        <v>134</v>
      </c>
      <c r="G1436" s="578" t="s">
        <v>8662</v>
      </c>
      <c r="H1436" s="577" t="s">
        <v>225</v>
      </c>
      <c r="I1436" s="577" t="s">
        <v>98</v>
      </c>
      <c r="J1436" s="578" t="s">
        <v>98</v>
      </c>
      <c r="K1436" s="577" t="s">
        <v>98</v>
      </c>
      <c r="L1436" s="577" t="s">
        <v>98</v>
      </c>
      <c r="M1436" s="577" t="s">
        <v>98</v>
      </c>
      <c r="N1436" s="578" t="s">
        <v>8686</v>
      </c>
      <c r="O1436" s="578" t="s">
        <v>8687</v>
      </c>
      <c r="P1436" s="578" t="s">
        <v>238</v>
      </c>
      <c r="Q1436" s="629" t="s">
        <v>8688</v>
      </c>
      <c r="R1436" s="578" t="s">
        <v>276</v>
      </c>
      <c r="S1436" s="578" t="s">
        <v>276</v>
      </c>
      <c r="T1436" s="578" t="s">
        <v>276</v>
      </c>
      <c r="U1436" s="578">
        <v>1</v>
      </c>
      <c r="V1436" s="577" t="s">
        <v>14</v>
      </c>
      <c r="W1436" s="577" t="s">
        <v>98</v>
      </c>
      <c r="X1436" s="578" t="s">
        <v>208</v>
      </c>
      <c r="Y1436" s="582">
        <v>10283</v>
      </c>
      <c r="Z1436" s="578">
        <v>10289</v>
      </c>
      <c r="AA1436" s="578">
        <v>0</v>
      </c>
      <c r="AB1436" s="578">
        <v>0</v>
      </c>
      <c r="AC1436" s="577">
        <v>0</v>
      </c>
      <c r="AD1436" s="577" t="s">
        <v>98</v>
      </c>
      <c r="AE1436" s="577">
        <v>0</v>
      </c>
      <c r="AF1436" s="577" t="s">
        <v>98</v>
      </c>
      <c r="AG1436" s="578" t="s">
        <v>11399</v>
      </c>
      <c r="AH1436" s="578" t="s">
        <v>2046</v>
      </c>
      <c r="AI1436" s="583">
        <v>304</v>
      </c>
      <c r="AJ1436" s="583">
        <v>278</v>
      </c>
      <c r="AK1436" s="582">
        <v>10283</v>
      </c>
      <c r="AL1436" s="578">
        <v>10289</v>
      </c>
      <c r="AM1436" s="583" t="s">
        <v>2047</v>
      </c>
      <c r="AN1436" s="577" t="s">
        <v>276</v>
      </c>
      <c r="AO1436" s="585">
        <f t="shared" si="433"/>
        <v>29.563356996985316</v>
      </c>
      <c r="AP1436" s="577" t="s">
        <v>276</v>
      </c>
      <c r="AQ1436" s="577" t="s">
        <v>276</v>
      </c>
      <c r="AR1436" s="577" t="s">
        <v>276</v>
      </c>
      <c r="AS1436" s="585">
        <f>AJ1436*1000/AL1436</f>
        <v>27.019146661483138</v>
      </c>
      <c r="AT1436" s="577" t="s">
        <v>276</v>
      </c>
      <c r="AU1436" s="577" t="s">
        <v>276</v>
      </c>
      <c r="AV1436" s="577" t="s">
        <v>268</v>
      </c>
      <c r="AW1436" s="631" t="s">
        <v>276</v>
      </c>
      <c r="AX1436" s="631">
        <f t="shared" si="432"/>
        <v>1.0941632379207982</v>
      </c>
      <c r="AY1436" s="578" t="s">
        <v>276</v>
      </c>
      <c r="AZ1436" s="578" t="s">
        <v>276</v>
      </c>
      <c r="BA1436" s="578" t="s">
        <v>276</v>
      </c>
      <c r="BB1436" s="578" t="s">
        <v>282</v>
      </c>
      <c r="BC1436" s="578" t="s">
        <v>276</v>
      </c>
      <c r="BD1436" s="578" t="s">
        <v>276</v>
      </c>
      <c r="BE1436" s="578" t="s">
        <v>276</v>
      </c>
      <c r="BF1436" s="578" t="s">
        <v>298</v>
      </c>
      <c r="BG1436" s="578"/>
      <c r="BH1436" s="9" t="s">
        <v>100</v>
      </c>
      <c r="BI1436" s="9" t="s">
        <v>100</v>
      </c>
      <c r="BJ1436" s="109"/>
      <c r="BN1436" s="109"/>
      <c r="BO1436" s="109"/>
    </row>
    <row r="1437" spans="1:67" s="110" customFormat="1" ht="52" hidden="1" x14ac:dyDescent="0.35">
      <c r="A1437" s="577">
        <v>195</v>
      </c>
      <c r="B1437" s="577" t="s">
        <v>8631</v>
      </c>
      <c r="C1437" s="577" t="s">
        <v>50</v>
      </c>
      <c r="D1437" s="578" t="s">
        <v>11400</v>
      </c>
      <c r="E1437" s="577" t="s">
        <v>36</v>
      </c>
      <c r="F1437" s="578" t="s">
        <v>134</v>
      </c>
      <c r="G1437" s="578" t="s">
        <v>8662</v>
      </c>
      <c r="H1437" s="577" t="s">
        <v>225</v>
      </c>
      <c r="I1437" s="577" t="s">
        <v>98</v>
      </c>
      <c r="J1437" s="578" t="s">
        <v>98</v>
      </c>
      <c r="K1437" s="577" t="s">
        <v>98</v>
      </c>
      <c r="L1437" s="577" t="s">
        <v>98</v>
      </c>
      <c r="M1437" s="577" t="s">
        <v>98</v>
      </c>
      <c r="N1437" s="578" t="s">
        <v>8686</v>
      </c>
      <c r="O1437" s="578" t="s">
        <v>8687</v>
      </c>
      <c r="P1437" s="578" t="s">
        <v>238</v>
      </c>
      <c r="Q1437" s="629" t="s">
        <v>8688</v>
      </c>
      <c r="R1437" s="578" t="s">
        <v>276</v>
      </c>
      <c r="S1437" s="578" t="s">
        <v>276</v>
      </c>
      <c r="T1437" s="578" t="s">
        <v>276</v>
      </c>
      <c r="U1437" s="578">
        <v>1</v>
      </c>
      <c r="V1437" s="577" t="s">
        <v>14</v>
      </c>
      <c r="W1437" s="577" t="s">
        <v>98</v>
      </c>
      <c r="X1437" s="578" t="s">
        <v>208</v>
      </c>
      <c r="Y1437" s="582">
        <v>10283</v>
      </c>
      <c r="Z1437" s="578">
        <v>10289</v>
      </c>
      <c r="AA1437" s="578">
        <v>0</v>
      </c>
      <c r="AB1437" s="578">
        <v>0</v>
      </c>
      <c r="AC1437" s="577">
        <v>0</v>
      </c>
      <c r="AD1437" s="577" t="s">
        <v>98</v>
      </c>
      <c r="AE1437" s="577">
        <v>0</v>
      </c>
      <c r="AF1437" s="577" t="s">
        <v>98</v>
      </c>
      <c r="AG1437" s="578" t="s">
        <v>8690</v>
      </c>
      <c r="AH1437" s="578" t="s">
        <v>2046</v>
      </c>
      <c r="AI1437" s="583">
        <v>21</v>
      </c>
      <c r="AJ1437" s="583">
        <v>20</v>
      </c>
      <c r="AK1437" s="582">
        <v>10283</v>
      </c>
      <c r="AL1437" s="578">
        <v>10289</v>
      </c>
      <c r="AM1437" s="583" t="s">
        <v>2047</v>
      </c>
      <c r="AN1437" s="577" t="s">
        <v>276</v>
      </c>
      <c r="AO1437" s="585">
        <f t="shared" si="433"/>
        <v>2.0422055820285907</v>
      </c>
      <c r="AP1437" s="577" t="s">
        <v>276</v>
      </c>
      <c r="AQ1437" s="577" t="s">
        <v>276</v>
      </c>
      <c r="AR1437" s="577" t="s">
        <v>276</v>
      </c>
      <c r="AS1437" s="585">
        <f>AJ1437*1000/AL1437</f>
        <v>1.9438235008261251</v>
      </c>
      <c r="AT1437" s="577" t="s">
        <v>276</v>
      </c>
      <c r="AU1437" s="577" t="s">
        <v>276</v>
      </c>
      <c r="AV1437" s="577" t="s">
        <v>268</v>
      </c>
      <c r="AW1437" s="631" t="s">
        <v>276</v>
      </c>
      <c r="AX1437" s="631">
        <f t="shared" si="432"/>
        <v>1.0506126616746085</v>
      </c>
      <c r="AY1437" s="578" t="s">
        <v>276</v>
      </c>
      <c r="AZ1437" s="578" t="s">
        <v>276</v>
      </c>
      <c r="BA1437" s="578" t="s">
        <v>276</v>
      </c>
      <c r="BB1437" s="578" t="s">
        <v>282</v>
      </c>
      <c r="BC1437" s="578" t="s">
        <v>276</v>
      </c>
      <c r="BD1437" s="578" t="s">
        <v>276</v>
      </c>
      <c r="BE1437" s="578" t="s">
        <v>276</v>
      </c>
      <c r="BF1437" s="578" t="s">
        <v>298</v>
      </c>
      <c r="BG1437" s="578"/>
      <c r="BH1437" s="9" t="s">
        <v>100</v>
      </c>
      <c r="BI1437" s="9" t="s">
        <v>100</v>
      </c>
      <c r="BJ1437" s="109"/>
      <c r="BN1437" s="109"/>
      <c r="BO1437" s="109"/>
    </row>
    <row r="1438" spans="1:67" s="124" customFormat="1" ht="52" hidden="1" x14ac:dyDescent="0.35">
      <c r="A1438" s="567">
        <v>195</v>
      </c>
      <c r="B1438" s="567" t="s">
        <v>8631</v>
      </c>
      <c r="C1438" s="567" t="s">
        <v>50</v>
      </c>
      <c r="D1438" s="568" t="s">
        <v>11401</v>
      </c>
      <c r="E1438" s="567" t="s">
        <v>36</v>
      </c>
      <c r="F1438" s="568" t="s">
        <v>8615</v>
      </c>
      <c r="G1438" s="568" t="s">
        <v>225</v>
      </c>
      <c r="H1438" s="567" t="s">
        <v>225</v>
      </c>
      <c r="I1438" s="567" t="s">
        <v>98</v>
      </c>
      <c r="J1438" s="568" t="s">
        <v>98</v>
      </c>
      <c r="K1438" s="567" t="s">
        <v>98</v>
      </c>
      <c r="L1438" s="567" t="s">
        <v>98</v>
      </c>
      <c r="M1438" s="567" t="s">
        <v>98</v>
      </c>
      <c r="N1438" s="568" t="s">
        <v>8686</v>
      </c>
      <c r="O1438" s="568" t="s">
        <v>8687</v>
      </c>
      <c r="P1438" s="568" t="s">
        <v>238</v>
      </c>
      <c r="Q1438" s="633" t="s">
        <v>8688</v>
      </c>
      <c r="R1438" s="568" t="s">
        <v>276</v>
      </c>
      <c r="S1438" s="568" t="s">
        <v>276</v>
      </c>
      <c r="T1438" s="568" t="s">
        <v>98</v>
      </c>
      <c r="U1438" s="568">
        <v>1</v>
      </c>
      <c r="V1438" s="567" t="s">
        <v>14</v>
      </c>
      <c r="W1438" s="567" t="s">
        <v>98</v>
      </c>
      <c r="X1438" s="568" t="s">
        <v>209</v>
      </c>
      <c r="Y1438" s="572">
        <v>20572</v>
      </c>
      <c r="Z1438" s="568" t="s">
        <v>98</v>
      </c>
      <c r="AA1438" s="568">
        <v>0</v>
      </c>
      <c r="AB1438" s="568" t="s">
        <v>98</v>
      </c>
      <c r="AC1438" s="567">
        <v>0</v>
      </c>
      <c r="AD1438" s="567" t="s">
        <v>98</v>
      </c>
      <c r="AE1438" s="568" t="s">
        <v>98</v>
      </c>
      <c r="AF1438" s="567" t="s">
        <v>98</v>
      </c>
      <c r="AG1438" s="568" t="s">
        <v>8689</v>
      </c>
      <c r="AH1438" s="568" t="s">
        <v>2046</v>
      </c>
      <c r="AI1438" s="573">
        <f>1156+1054</f>
        <v>2210</v>
      </c>
      <c r="AJ1438" s="573" t="s">
        <v>98</v>
      </c>
      <c r="AK1438" s="572">
        <v>20572</v>
      </c>
      <c r="AL1438" s="568" t="s">
        <v>98</v>
      </c>
      <c r="AM1438" s="573" t="s">
        <v>2047</v>
      </c>
      <c r="AN1438" s="567" t="s">
        <v>276</v>
      </c>
      <c r="AO1438" s="575">
        <f t="shared" si="433"/>
        <v>107.42757145634843</v>
      </c>
      <c r="AP1438" s="567" t="s">
        <v>276</v>
      </c>
      <c r="AQ1438" s="567" t="s">
        <v>276</v>
      </c>
      <c r="AR1438" s="567" t="s">
        <v>276</v>
      </c>
      <c r="AS1438" s="575" t="s">
        <v>98</v>
      </c>
      <c r="AT1438" s="575" t="s">
        <v>98</v>
      </c>
      <c r="AU1438" s="575" t="s">
        <v>98</v>
      </c>
      <c r="AV1438" s="567" t="s">
        <v>98</v>
      </c>
      <c r="AW1438" s="575" t="s">
        <v>98</v>
      </c>
      <c r="AX1438" s="575" t="s">
        <v>98</v>
      </c>
      <c r="AY1438" s="575" t="s">
        <v>98</v>
      </c>
      <c r="AZ1438" s="575" t="s">
        <v>98</v>
      </c>
      <c r="BA1438" s="575" t="s">
        <v>98</v>
      </c>
      <c r="BB1438" s="575" t="s">
        <v>98</v>
      </c>
      <c r="BC1438" s="575" t="s">
        <v>98</v>
      </c>
      <c r="BD1438" s="575" t="s">
        <v>98</v>
      </c>
      <c r="BE1438" s="575" t="s">
        <v>98</v>
      </c>
      <c r="BF1438" s="568" t="s">
        <v>298</v>
      </c>
      <c r="BG1438" s="568"/>
      <c r="BH1438" s="9" t="s">
        <v>100</v>
      </c>
      <c r="BI1438" s="9" t="s">
        <v>100</v>
      </c>
      <c r="BJ1438" s="123"/>
      <c r="BN1438" s="123"/>
      <c r="BO1438" s="123"/>
    </row>
    <row r="1439" spans="1:67" s="124" customFormat="1" ht="65" hidden="1" x14ac:dyDescent="0.35">
      <c r="A1439" s="567">
        <v>195</v>
      </c>
      <c r="B1439" s="567" t="s">
        <v>8631</v>
      </c>
      <c r="C1439" s="567" t="s">
        <v>50</v>
      </c>
      <c r="D1439" s="568" t="s">
        <v>11402</v>
      </c>
      <c r="E1439" s="567" t="s">
        <v>36</v>
      </c>
      <c r="F1439" s="568" t="s">
        <v>8615</v>
      </c>
      <c r="G1439" s="568" t="s">
        <v>225</v>
      </c>
      <c r="H1439" s="567" t="s">
        <v>225</v>
      </c>
      <c r="I1439" s="567" t="s">
        <v>98</v>
      </c>
      <c r="J1439" s="568" t="s">
        <v>98</v>
      </c>
      <c r="K1439" s="567" t="s">
        <v>98</v>
      </c>
      <c r="L1439" s="567" t="s">
        <v>98</v>
      </c>
      <c r="M1439" s="567" t="s">
        <v>98</v>
      </c>
      <c r="N1439" s="568" t="s">
        <v>8686</v>
      </c>
      <c r="O1439" s="568" t="s">
        <v>8687</v>
      </c>
      <c r="P1439" s="568" t="s">
        <v>238</v>
      </c>
      <c r="Q1439" s="633" t="s">
        <v>8688</v>
      </c>
      <c r="R1439" s="568" t="s">
        <v>276</v>
      </c>
      <c r="S1439" s="568" t="s">
        <v>276</v>
      </c>
      <c r="T1439" s="568" t="s">
        <v>98</v>
      </c>
      <c r="U1439" s="568">
        <v>1</v>
      </c>
      <c r="V1439" s="567" t="s">
        <v>14</v>
      </c>
      <c r="W1439" s="567" t="s">
        <v>98</v>
      </c>
      <c r="X1439" s="568" t="s">
        <v>209</v>
      </c>
      <c r="Y1439" s="572">
        <v>20572</v>
      </c>
      <c r="Z1439" s="568" t="s">
        <v>98</v>
      </c>
      <c r="AA1439" s="568">
        <v>0</v>
      </c>
      <c r="AB1439" s="568" t="s">
        <v>98</v>
      </c>
      <c r="AC1439" s="567">
        <v>0</v>
      </c>
      <c r="AD1439" s="567" t="s">
        <v>98</v>
      </c>
      <c r="AE1439" s="568" t="s">
        <v>98</v>
      </c>
      <c r="AF1439" s="567" t="s">
        <v>98</v>
      </c>
      <c r="AG1439" s="568" t="s">
        <v>11399</v>
      </c>
      <c r="AH1439" s="568" t="s">
        <v>2046</v>
      </c>
      <c r="AI1439" s="573">
        <f>304+278</f>
        <v>582</v>
      </c>
      <c r="AJ1439" s="573" t="s">
        <v>98</v>
      </c>
      <c r="AK1439" s="572">
        <v>20572</v>
      </c>
      <c r="AL1439" s="568" t="s">
        <v>98</v>
      </c>
      <c r="AM1439" s="573" t="s">
        <v>2047</v>
      </c>
      <c r="AN1439" s="567" t="s">
        <v>276</v>
      </c>
      <c r="AO1439" s="575">
        <f t="shared" si="433"/>
        <v>28.290880808866419</v>
      </c>
      <c r="AP1439" s="567" t="s">
        <v>276</v>
      </c>
      <c r="AQ1439" s="567" t="s">
        <v>276</v>
      </c>
      <c r="AR1439" s="567" t="s">
        <v>276</v>
      </c>
      <c r="AS1439" s="575" t="s">
        <v>98</v>
      </c>
      <c r="AT1439" s="575" t="s">
        <v>98</v>
      </c>
      <c r="AU1439" s="575" t="s">
        <v>98</v>
      </c>
      <c r="AV1439" s="567" t="s">
        <v>98</v>
      </c>
      <c r="AW1439" s="575" t="s">
        <v>98</v>
      </c>
      <c r="AX1439" s="575" t="s">
        <v>98</v>
      </c>
      <c r="AY1439" s="575" t="s">
        <v>98</v>
      </c>
      <c r="AZ1439" s="575" t="s">
        <v>98</v>
      </c>
      <c r="BA1439" s="575" t="s">
        <v>98</v>
      </c>
      <c r="BB1439" s="575" t="s">
        <v>98</v>
      </c>
      <c r="BC1439" s="575" t="s">
        <v>98</v>
      </c>
      <c r="BD1439" s="575" t="s">
        <v>98</v>
      </c>
      <c r="BE1439" s="575" t="s">
        <v>98</v>
      </c>
      <c r="BF1439" s="568" t="s">
        <v>298</v>
      </c>
      <c r="BG1439" s="568"/>
      <c r="BH1439" s="9" t="s">
        <v>100</v>
      </c>
      <c r="BI1439" s="9" t="s">
        <v>100</v>
      </c>
      <c r="BJ1439" s="123"/>
      <c r="BN1439" s="123"/>
      <c r="BO1439" s="123"/>
    </row>
    <row r="1440" spans="1:67" s="124" customFormat="1" ht="52" hidden="1" x14ac:dyDescent="0.35">
      <c r="A1440" s="567">
        <v>195</v>
      </c>
      <c r="B1440" s="567" t="s">
        <v>8631</v>
      </c>
      <c r="C1440" s="567" t="s">
        <v>50</v>
      </c>
      <c r="D1440" s="568" t="s">
        <v>11403</v>
      </c>
      <c r="E1440" s="567" t="s">
        <v>36</v>
      </c>
      <c r="F1440" s="568" t="s">
        <v>8615</v>
      </c>
      <c r="G1440" s="568" t="s">
        <v>225</v>
      </c>
      <c r="H1440" s="567" t="s">
        <v>225</v>
      </c>
      <c r="I1440" s="567" t="s">
        <v>98</v>
      </c>
      <c r="J1440" s="568" t="s">
        <v>98</v>
      </c>
      <c r="K1440" s="567" t="s">
        <v>98</v>
      </c>
      <c r="L1440" s="567" t="s">
        <v>98</v>
      </c>
      <c r="M1440" s="567" t="s">
        <v>98</v>
      </c>
      <c r="N1440" s="568" t="s">
        <v>8686</v>
      </c>
      <c r="O1440" s="568" t="s">
        <v>8687</v>
      </c>
      <c r="P1440" s="568" t="s">
        <v>238</v>
      </c>
      <c r="Q1440" s="633" t="s">
        <v>8688</v>
      </c>
      <c r="R1440" s="568" t="s">
        <v>276</v>
      </c>
      <c r="S1440" s="568" t="s">
        <v>276</v>
      </c>
      <c r="T1440" s="568" t="s">
        <v>98</v>
      </c>
      <c r="U1440" s="568">
        <v>1</v>
      </c>
      <c r="V1440" s="567" t="s">
        <v>14</v>
      </c>
      <c r="W1440" s="567" t="s">
        <v>98</v>
      </c>
      <c r="X1440" s="568" t="s">
        <v>209</v>
      </c>
      <c r="Y1440" s="572">
        <v>20572</v>
      </c>
      <c r="Z1440" s="568" t="s">
        <v>98</v>
      </c>
      <c r="AA1440" s="568">
        <v>0</v>
      </c>
      <c r="AB1440" s="568" t="s">
        <v>98</v>
      </c>
      <c r="AC1440" s="567">
        <v>0</v>
      </c>
      <c r="AD1440" s="567" t="s">
        <v>98</v>
      </c>
      <c r="AE1440" s="568" t="s">
        <v>98</v>
      </c>
      <c r="AF1440" s="567" t="s">
        <v>98</v>
      </c>
      <c r="AG1440" s="568" t="s">
        <v>8690</v>
      </c>
      <c r="AH1440" s="568" t="s">
        <v>2046</v>
      </c>
      <c r="AI1440" s="573">
        <f>21+20</f>
        <v>41</v>
      </c>
      <c r="AJ1440" s="573" t="s">
        <v>98</v>
      </c>
      <c r="AK1440" s="572">
        <v>20572</v>
      </c>
      <c r="AL1440" s="568" t="s">
        <v>98</v>
      </c>
      <c r="AM1440" s="573" t="s">
        <v>2047</v>
      </c>
      <c r="AN1440" s="567" t="s">
        <v>276</v>
      </c>
      <c r="AO1440" s="575">
        <f t="shared" ref="AO1440" si="434">AI1440*1000/AK1440</f>
        <v>1.9930001944390434</v>
      </c>
      <c r="AP1440" s="567" t="s">
        <v>276</v>
      </c>
      <c r="AQ1440" s="567" t="s">
        <v>276</v>
      </c>
      <c r="AR1440" s="567" t="s">
        <v>276</v>
      </c>
      <c r="AS1440" s="575" t="s">
        <v>98</v>
      </c>
      <c r="AT1440" s="575" t="s">
        <v>98</v>
      </c>
      <c r="AU1440" s="575" t="s">
        <v>98</v>
      </c>
      <c r="AV1440" s="567" t="s">
        <v>98</v>
      </c>
      <c r="AW1440" s="575" t="s">
        <v>98</v>
      </c>
      <c r="AX1440" s="575" t="s">
        <v>98</v>
      </c>
      <c r="AY1440" s="575" t="s">
        <v>98</v>
      </c>
      <c r="AZ1440" s="575" t="s">
        <v>98</v>
      </c>
      <c r="BA1440" s="575" t="s">
        <v>98</v>
      </c>
      <c r="BB1440" s="575" t="s">
        <v>98</v>
      </c>
      <c r="BC1440" s="575" t="s">
        <v>98</v>
      </c>
      <c r="BD1440" s="575" t="s">
        <v>98</v>
      </c>
      <c r="BE1440" s="575" t="s">
        <v>98</v>
      </c>
      <c r="BF1440" s="568" t="s">
        <v>298</v>
      </c>
      <c r="BG1440" s="568"/>
      <c r="BH1440" s="9" t="s">
        <v>100</v>
      </c>
      <c r="BI1440" s="9" t="s">
        <v>100</v>
      </c>
      <c r="BJ1440" s="123"/>
      <c r="BN1440" s="123"/>
      <c r="BO1440" s="123"/>
    </row>
    <row r="1441" spans="1:67" s="124" customFormat="1" ht="52" hidden="1" x14ac:dyDescent="0.35">
      <c r="A1441" s="567">
        <v>195</v>
      </c>
      <c r="B1441" s="567" t="s">
        <v>8631</v>
      </c>
      <c r="C1441" s="567" t="s">
        <v>50</v>
      </c>
      <c r="D1441" s="568" t="s">
        <v>11677</v>
      </c>
      <c r="E1441" s="567" t="s">
        <v>36</v>
      </c>
      <c r="F1441" s="568" t="s">
        <v>8615</v>
      </c>
      <c r="G1441" s="568" t="s">
        <v>225</v>
      </c>
      <c r="H1441" s="567" t="s">
        <v>225</v>
      </c>
      <c r="I1441" s="567" t="s">
        <v>98</v>
      </c>
      <c r="J1441" s="568" t="s">
        <v>98</v>
      </c>
      <c r="K1441" s="567" t="s">
        <v>98</v>
      </c>
      <c r="L1441" s="567" t="s">
        <v>98</v>
      </c>
      <c r="M1441" s="567" t="s">
        <v>98</v>
      </c>
      <c r="N1441" s="568" t="s">
        <v>8686</v>
      </c>
      <c r="O1441" s="568" t="s">
        <v>8687</v>
      </c>
      <c r="P1441" s="568" t="s">
        <v>238</v>
      </c>
      <c r="Q1441" s="633" t="s">
        <v>8688</v>
      </c>
      <c r="R1441" s="568" t="s">
        <v>276</v>
      </c>
      <c r="S1441" s="568" t="s">
        <v>276</v>
      </c>
      <c r="T1441" s="568" t="s">
        <v>98</v>
      </c>
      <c r="U1441" s="568">
        <v>1</v>
      </c>
      <c r="V1441" s="567" t="s">
        <v>14</v>
      </c>
      <c r="W1441" s="567" t="s">
        <v>98</v>
      </c>
      <c r="X1441" s="568" t="s">
        <v>209</v>
      </c>
      <c r="Y1441" s="572">
        <v>20572</v>
      </c>
      <c r="Z1441" s="568" t="s">
        <v>98</v>
      </c>
      <c r="AA1441" s="568">
        <v>0</v>
      </c>
      <c r="AB1441" s="568" t="s">
        <v>98</v>
      </c>
      <c r="AC1441" s="567">
        <v>0</v>
      </c>
      <c r="AD1441" s="567" t="s">
        <v>98</v>
      </c>
      <c r="AE1441" s="568" t="s">
        <v>98</v>
      </c>
      <c r="AF1441" s="567" t="s">
        <v>98</v>
      </c>
      <c r="AG1441" s="568" t="s">
        <v>11678</v>
      </c>
      <c r="AH1441" s="568" t="s">
        <v>2046</v>
      </c>
      <c r="AI1441" s="573">
        <f>41+2210</f>
        <v>2251</v>
      </c>
      <c r="AJ1441" s="573" t="s">
        <v>98</v>
      </c>
      <c r="AK1441" s="572">
        <v>20572</v>
      </c>
      <c r="AL1441" s="568" t="s">
        <v>98</v>
      </c>
      <c r="AM1441" s="573" t="s">
        <v>2047</v>
      </c>
      <c r="AN1441" s="567" t="s">
        <v>276</v>
      </c>
      <c r="AO1441" s="575">
        <f t="shared" si="433"/>
        <v>109.42057165078748</v>
      </c>
      <c r="AP1441" s="567" t="s">
        <v>276</v>
      </c>
      <c r="AQ1441" s="567" t="s">
        <v>276</v>
      </c>
      <c r="AR1441" s="567" t="s">
        <v>276</v>
      </c>
      <c r="AS1441" s="575" t="s">
        <v>98</v>
      </c>
      <c r="AT1441" s="575" t="s">
        <v>98</v>
      </c>
      <c r="AU1441" s="575" t="s">
        <v>98</v>
      </c>
      <c r="AV1441" s="567" t="s">
        <v>98</v>
      </c>
      <c r="AW1441" s="575" t="s">
        <v>98</v>
      </c>
      <c r="AX1441" s="575" t="s">
        <v>98</v>
      </c>
      <c r="AY1441" s="575" t="s">
        <v>98</v>
      </c>
      <c r="AZ1441" s="575" t="s">
        <v>98</v>
      </c>
      <c r="BA1441" s="575" t="s">
        <v>98</v>
      </c>
      <c r="BB1441" s="575" t="s">
        <v>98</v>
      </c>
      <c r="BC1441" s="575" t="s">
        <v>98</v>
      </c>
      <c r="BD1441" s="575" t="s">
        <v>98</v>
      </c>
      <c r="BE1441" s="575" t="s">
        <v>98</v>
      </c>
      <c r="BF1441" s="568" t="s">
        <v>298</v>
      </c>
      <c r="BG1441" s="568"/>
      <c r="BH1441" s="9" t="s">
        <v>100</v>
      </c>
      <c r="BI1441" s="9" t="s">
        <v>100</v>
      </c>
      <c r="BJ1441" s="123"/>
      <c r="BN1441" s="123"/>
      <c r="BO1441" s="123"/>
    </row>
    <row r="1442" spans="1:67" s="124" customFormat="1" ht="52" hidden="1" x14ac:dyDescent="0.35">
      <c r="A1442" s="567">
        <v>195</v>
      </c>
      <c r="B1442" s="567" t="s">
        <v>8631</v>
      </c>
      <c r="C1442" s="567" t="s">
        <v>50</v>
      </c>
      <c r="D1442" s="568" t="s">
        <v>11404</v>
      </c>
      <c r="E1442" s="567" t="s">
        <v>36</v>
      </c>
      <c r="F1442" s="568" t="s">
        <v>8615</v>
      </c>
      <c r="G1442" s="568" t="s">
        <v>225</v>
      </c>
      <c r="H1442" s="567" t="s">
        <v>225</v>
      </c>
      <c r="I1442" s="567" t="s">
        <v>98</v>
      </c>
      <c r="J1442" s="568" t="s">
        <v>98</v>
      </c>
      <c r="K1442" s="567" t="s">
        <v>98</v>
      </c>
      <c r="L1442" s="567" t="s">
        <v>98</v>
      </c>
      <c r="M1442" s="567" t="s">
        <v>98</v>
      </c>
      <c r="N1442" s="568" t="s">
        <v>8686</v>
      </c>
      <c r="O1442" s="568" t="s">
        <v>8687</v>
      </c>
      <c r="P1442" s="568" t="s">
        <v>236</v>
      </c>
      <c r="Q1442" s="633">
        <v>40908</v>
      </c>
      <c r="R1442" s="568" t="s">
        <v>276</v>
      </c>
      <c r="S1442" s="568" t="s">
        <v>8691</v>
      </c>
      <c r="T1442" s="568" t="s">
        <v>98</v>
      </c>
      <c r="U1442" s="568">
        <v>1</v>
      </c>
      <c r="V1442" s="567" t="s">
        <v>14</v>
      </c>
      <c r="W1442" s="567" t="s">
        <v>98</v>
      </c>
      <c r="X1442" s="568" t="s">
        <v>209</v>
      </c>
      <c r="Y1442" s="572" t="s">
        <v>98</v>
      </c>
      <c r="Z1442" s="568" t="s">
        <v>98</v>
      </c>
      <c r="AA1442" s="568" t="s">
        <v>276</v>
      </c>
      <c r="AB1442" s="568" t="s">
        <v>98</v>
      </c>
      <c r="AC1442" s="567">
        <v>0</v>
      </c>
      <c r="AD1442" s="567" t="s">
        <v>98</v>
      </c>
      <c r="AE1442" s="567" t="s">
        <v>98</v>
      </c>
      <c r="AF1442" s="567" t="s">
        <v>98</v>
      </c>
      <c r="AG1442" s="568" t="s">
        <v>8690</v>
      </c>
      <c r="AH1442" s="568" t="s">
        <v>8692</v>
      </c>
      <c r="AI1442" s="573">
        <v>41</v>
      </c>
      <c r="AJ1442" s="573" t="s">
        <v>98</v>
      </c>
      <c r="AK1442" s="572">
        <v>253</v>
      </c>
      <c r="AL1442" s="568" t="s">
        <v>98</v>
      </c>
      <c r="AM1442" s="573" t="s">
        <v>292</v>
      </c>
      <c r="AN1442" s="567" t="s">
        <v>276</v>
      </c>
      <c r="AO1442" s="575">
        <f>AI1442*100/AK1442</f>
        <v>16.205533596837945</v>
      </c>
      <c r="AP1442" s="567" t="s">
        <v>276</v>
      </c>
      <c r="AQ1442" s="567" t="s">
        <v>276</v>
      </c>
      <c r="AR1442" s="567" t="s">
        <v>98</v>
      </c>
      <c r="AS1442" s="567" t="s">
        <v>98</v>
      </c>
      <c r="AT1442" s="567" t="s">
        <v>98</v>
      </c>
      <c r="AU1442" s="567" t="s">
        <v>98</v>
      </c>
      <c r="AV1442" s="567" t="s">
        <v>98</v>
      </c>
      <c r="AW1442" s="567" t="s">
        <v>98</v>
      </c>
      <c r="AX1442" s="567" t="s">
        <v>98</v>
      </c>
      <c r="AY1442" s="567" t="s">
        <v>98</v>
      </c>
      <c r="AZ1442" s="567" t="s">
        <v>98</v>
      </c>
      <c r="BA1442" s="567" t="s">
        <v>98</v>
      </c>
      <c r="BB1442" s="567" t="s">
        <v>98</v>
      </c>
      <c r="BC1442" s="567" t="s">
        <v>98</v>
      </c>
      <c r="BD1442" s="567" t="s">
        <v>98</v>
      </c>
      <c r="BE1442" s="567" t="s">
        <v>98</v>
      </c>
      <c r="BF1442" s="568" t="s">
        <v>1029</v>
      </c>
      <c r="BG1442" s="568"/>
      <c r="BH1442" s="9" t="s">
        <v>100</v>
      </c>
      <c r="BI1442" s="9" t="s">
        <v>100</v>
      </c>
      <c r="BJ1442" s="123"/>
      <c r="BN1442" s="123"/>
      <c r="BO1442" s="123"/>
    </row>
    <row r="1443" spans="1:67" s="110" customFormat="1" ht="52" hidden="1" x14ac:dyDescent="0.35">
      <c r="A1443" s="577">
        <v>195</v>
      </c>
      <c r="B1443" s="577" t="s">
        <v>8631</v>
      </c>
      <c r="C1443" s="577" t="s">
        <v>50</v>
      </c>
      <c r="D1443" s="578" t="s">
        <v>8693</v>
      </c>
      <c r="E1443" s="577" t="s">
        <v>36</v>
      </c>
      <c r="F1443" s="578" t="s">
        <v>8615</v>
      </c>
      <c r="G1443" s="578" t="s">
        <v>225</v>
      </c>
      <c r="H1443" s="577" t="s">
        <v>125</v>
      </c>
      <c r="I1443" s="577" t="s">
        <v>114</v>
      </c>
      <c r="J1443" s="578" t="s">
        <v>28</v>
      </c>
      <c r="K1443" s="578" t="s">
        <v>2217</v>
      </c>
      <c r="L1443" s="578" t="s">
        <v>8694</v>
      </c>
      <c r="M1443" s="578" t="s">
        <v>8695</v>
      </c>
      <c r="N1443" s="578" t="s">
        <v>8686</v>
      </c>
      <c r="O1443" s="578" t="s">
        <v>8687</v>
      </c>
      <c r="P1443" s="578" t="s">
        <v>239</v>
      </c>
      <c r="Q1443" s="629">
        <v>40908</v>
      </c>
      <c r="R1443" s="578" t="s">
        <v>276</v>
      </c>
      <c r="S1443" s="578" t="s">
        <v>8691</v>
      </c>
      <c r="T1443" s="578" t="s">
        <v>8696</v>
      </c>
      <c r="U1443" s="578">
        <v>1</v>
      </c>
      <c r="V1443" s="577" t="s">
        <v>14</v>
      </c>
      <c r="W1443" s="577" t="s">
        <v>98</v>
      </c>
      <c r="X1443" s="578" t="s">
        <v>207</v>
      </c>
      <c r="Y1443" s="582">
        <v>20572</v>
      </c>
      <c r="Z1443" s="578">
        <v>78220</v>
      </c>
      <c r="AA1443" s="578" t="s">
        <v>276</v>
      </c>
      <c r="AB1443" s="578" t="s">
        <v>276</v>
      </c>
      <c r="AC1443" s="577">
        <v>16</v>
      </c>
      <c r="AD1443" s="577" t="s">
        <v>8697</v>
      </c>
      <c r="AE1443" s="577">
        <v>54</v>
      </c>
      <c r="AF1443" s="577" t="s">
        <v>8697</v>
      </c>
      <c r="AG1443" s="578" t="s">
        <v>8698</v>
      </c>
      <c r="AH1443" s="578" t="s">
        <v>2046</v>
      </c>
      <c r="AI1443" s="583">
        <v>117</v>
      </c>
      <c r="AJ1443" s="583">
        <v>470</v>
      </c>
      <c r="AK1443" s="582">
        <v>20572</v>
      </c>
      <c r="AL1443" s="583">
        <v>78220</v>
      </c>
      <c r="AM1443" s="583" t="s">
        <v>2047</v>
      </c>
      <c r="AN1443" s="577" t="s">
        <v>276</v>
      </c>
      <c r="AO1443" s="585">
        <f>AI1443*1000/AK1443</f>
        <v>5.6873420182772705</v>
      </c>
      <c r="AP1443" s="577" t="s">
        <v>276</v>
      </c>
      <c r="AQ1443" s="577" t="s">
        <v>276</v>
      </c>
      <c r="AR1443" s="577" t="s">
        <v>276</v>
      </c>
      <c r="AS1443" s="585">
        <f>AJ1443*1000/AL1443</f>
        <v>6.0086934287905907</v>
      </c>
      <c r="AT1443" s="577" t="s">
        <v>276</v>
      </c>
      <c r="AU1443" s="577" t="s">
        <v>276</v>
      </c>
      <c r="AV1443" s="577" t="s">
        <v>268</v>
      </c>
      <c r="AW1443" s="577" t="s">
        <v>276</v>
      </c>
      <c r="AX1443" s="585">
        <f>AO1443/AS1443</f>
        <v>0.94651892057371934</v>
      </c>
      <c r="AY1443" s="577" t="s">
        <v>276</v>
      </c>
      <c r="AZ1443" s="577" t="s">
        <v>276</v>
      </c>
      <c r="BA1443" s="577" t="s">
        <v>276</v>
      </c>
      <c r="BB1443" s="577" t="s">
        <v>3351</v>
      </c>
      <c r="BC1443" s="585">
        <f>5.7/6.7</f>
        <v>0.85074626865671643</v>
      </c>
      <c r="BD1443" s="577" t="s">
        <v>276</v>
      </c>
      <c r="BE1443" s="577" t="s">
        <v>276</v>
      </c>
      <c r="BF1443" s="578" t="s">
        <v>1029</v>
      </c>
      <c r="BG1443" s="578"/>
      <c r="BH1443" s="9" t="s">
        <v>100</v>
      </c>
      <c r="BI1443" s="9" t="s">
        <v>100</v>
      </c>
      <c r="BJ1443" s="109"/>
      <c r="BN1443" s="109"/>
      <c r="BO1443" s="109"/>
    </row>
    <row r="1444" spans="1:67" s="110" customFormat="1" ht="52" hidden="1" x14ac:dyDescent="0.35">
      <c r="A1444" s="577">
        <v>195</v>
      </c>
      <c r="B1444" s="577" t="s">
        <v>8631</v>
      </c>
      <c r="C1444" s="577" t="s">
        <v>50</v>
      </c>
      <c r="D1444" s="578" t="s">
        <v>8699</v>
      </c>
      <c r="E1444" s="577" t="s">
        <v>36</v>
      </c>
      <c r="F1444" s="578" t="s">
        <v>8615</v>
      </c>
      <c r="G1444" s="578" t="s">
        <v>225</v>
      </c>
      <c r="H1444" s="577" t="s">
        <v>125</v>
      </c>
      <c r="I1444" s="577" t="s">
        <v>114</v>
      </c>
      <c r="J1444" s="578" t="s">
        <v>28</v>
      </c>
      <c r="K1444" s="578" t="s">
        <v>2217</v>
      </c>
      <c r="L1444" s="578" t="s">
        <v>8694</v>
      </c>
      <c r="M1444" s="578" t="s">
        <v>8695</v>
      </c>
      <c r="N1444" s="578" t="s">
        <v>8686</v>
      </c>
      <c r="O1444" s="578" t="s">
        <v>8687</v>
      </c>
      <c r="P1444" s="578" t="s">
        <v>239</v>
      </c>
      <c r="Q1444" s="629">
        <v>40908</v>
      </c>
      <c r="R1444" s="578" t="s">
        <v>276</v>
      </c>
      <c r="S1444" s="578" t="s">
        <v>8691</v>
      </c>
      <c r="T1444" s="578" t="s">
        <v>8696</v>
      </c>
      <c r="U1444" s="578">
        <v>1</v>
      </c>
      <c r="V1444" s="577" t="s">
        <v>14</v>
      </c>
      <c r="W1444" s="577" t="s">
        <v>98</v>
      </c>
      <c r="X1444" s="578" t="s">
        <v>207</v>
      </c>
      <c r="Y1444" s="582">
        <v>20572</v>
      </c>
      <c r="Z1444" s="578">
        <v>78220</v>
      </c>
      <c r="AA1444" s="578" t="s">
        <v>276</v>
      </c>
      <c r="AB1444" s="578" t="s">
        <v>276</v>
      </c>
      <c r="AC1444" s="577">
        <v>16</v>
      </c>
      <c r="AD1444" s="577" t="s">
        <v>8697</v>
      </c>
      <c r="AE1444" s="577">
        <v>54</v>
      </c>
      <c r="AF1444" s="577" t="s">
        <v>8697</v>
      </c>
      <c r="AG1444" s="578" t="s">
        <v>8698</v>
      </c>
      <c r="AH1444" s="578" t="s">
        <v>8700</v>
      </c>
      <c r="AI1444" s="583">
        <v>117</v>
      </c>
      <c r="AJ1444" s="583">
        <v>470</v>
      </c>
      <c r="AK1444" s="582">
        <v>221429</v>
      </c>
      <c r="AL1444" s="583">
        <v>828207</v>
      </c>
      <c r="AM1444" s="583" t="s">
        <v>1019</v>
      </c>
      <c r="AN1444" s="577" t="s">
        <v>276</v>
      </c>
      <c r="AO1444" s="585">
        <f>AI1444*100000/AK1444</f>
        <v>52.838607409146952</v>
      </c>
      <c r="AP1444" s="577" t="s">
        <v>276</v>
      </c>
      <c r="AQ1444" s="577" t="s">
        <v>276</v>
      </c>
      <c r="AR1444" s="577" t="s">
        <v>276</v>
      </c>
      <c r="AS1444" s="585">
        <f>AJ1444*100000/AL1444</f>
        <v>56.749097749717158</v>
      </c>
      <c r="AT1444" s="577" t="s">
        <v>276</v>
      </c>
      <c r="AU1444" s="577" t="s">
        <v>276</v>
      </c>
      <c r="AV1444" s="577" t="s">
        <v>269</v>
      </c>
      <c r="AW1444" s="577" t="s">
        <v>276</v>
      </c>
      <c r="AX1444" s="585">
        <f>AO1444/AS1444</f>
        <v>0.93109158567036965</v>
      </c>
      <c r="AY1444" s="577" t="s">
        <v>276</v>
      </c>
      <c r="AZ1444" s="577" t="s">
        <v>276</v>
      </c>
      <c r="BA1444" s="577" t="s">
        <v>276</v>
      </c>
      <c r="BB1444" s="577" t="s">
        <v>282</v>
      </c>
      <c r="BC1444" s="585" t="s">
        <v>276</v>
      </c>
      <c r="BD1444" s="577" t="s">
        <v>276</v>
      </c>
      <c r="BE1444" s="577" t="s">
        <v>276</v>
      </c>
      <c r="BF1444" s="578" t="s">
        <v>8701</v>
      </c>
      <c r="BG1444" s="578"/>
      <c r="BH1444" s="9" t="s">
        <v>100</v>
      </c>
      <c r="BI1444" s="9" t="s">
        <v>100</v>
      </c>
      <c r="BJ1444" s="109"/>
      <c r="BN1444" s="109"/>
      <c r="BO1444" s="109"/>
    </row>
    <row r="1445" spans="1:67" s="124" customFormat="1" ht="52" hidden="1" x14ac:dyDescent="0.35">
      <c r="A1445" s="567">
        <v>195</v>
      </c>
      <c r="B1445" s="567" t="s">
        <v>8631</v>
      </c>
      <c r="C1445" s="567" t="s">
        <v>50</v>
      </c>
      <c r="D1445" s="568" t="s">
        <v>8702</v>
      </c>
      <c r="E1445" s="567" t="s">
        <v>36</v>
      </c>
      <c r="F1445" s="568" t="s">
        <v>8615</v>
      </c>
      <c r="G1445" s="568" t="s">
        <v>225</v>
      </c>
      <c r="H1445" s="567" t="s">
        <v>125</v>
      </c>
      <c r="I1445" s="567" t="s">
        <v>114</v>
      </c>
      <c r="J1445" s="568" t="s">
        <v>28</v>
      </c>
      <c r="K1445" s="568" t="s">
        <v>2227</v>
      </c>
      <c r="L1445" s="568" t="s">
        <v>8694</v>
      </c>
      <c r="M1445" s="568" t="s">
        <v>8695</v>
      </c>
      <c r="N1445" s="568" t="s">
        <v>8686</v>
      </c>
      <c r="O1445" s="568" t="s">
        <v>8687</v>
      </c>
      <c r="P1445" s="568" t="s">
        <v>239</v>
      </c>
      <c r="Q1445" s="633">
        <v>40908</v>
      </c>
      <c r="R1445" s="568" t="s">
        <v>276</v>
      </c>
      <c r="S1445" s="568" t="s">
        <v>8691</v>
      </c>
      <c r="T1445" s="568" t="s">
        <v>8696</v>
      </c>
      <c r="U1445" s="568">
        <v>1</v>
      </c>
      <c r="V1445" s="567" t="s">
        <v>14</v>
      </c>
      <c r="W1445" s="567" t="s">
        <v>98</v>
      </c>
      <c r="X1445" s="568" t="s">
        <v>207</v>
      </c>
      <c r="Y1445" s="572">
        <v>20572</v>
      </c>
      <c r="Z1445" s="568">
        <v>78220</v>
      </c>
      <c r="AA1445" s="568" t="s">
        <v>276</v>
      </c>
      <c r="AB1445" s="568" t="s">
        <v>276</v>
      </c>
      <c r="AC1445" s="567">
        <v>16</v>
      </c>
      <c r="AD1445" s="567" t="s">
        <v>8697</v>
      </c>
      <c r="AE1445" s="567">
        <v>54</v>
      </c>
      <c r="AF1445" s="567" t="s">
        <v>8697</v>
      </c>
      <c r="AG1445" s="568" t="s">
        <v>8703</v>
      </c>
      <c r="AH1445" s="568" t="s">
        <v>2046</v>
      </c>
      <c r="AI1445" s="573">
        <v>120</v>
      </c>
      <c r="AJ1445" s="573">
        <v>562</v>
      </c>
      <c r="AK1445" s="572">
        <v>20572</v>
      </c>
      <c r="AL1445" s="573">
        <v>78220</v>
      </c>
      <c r="AM1445" s="573" t="s">
        <v>2047</v>
      </c>
      <c r="AN1445" s="567" t="s">
        <v>276</v>
      </c>
      <c r="AO1445" s="575">
        <f>AI1445*1000/AK1445</f>
        <v>5.8331713007971997</v>
      </c>
      <c r="AP1445" s="567" t="s">
        <v>276</v>
      </c>
      <c r="AQ1445" s="567" t="s">
        <v>276</v>
      </c>
      <c r="AR1445" s="567" t="s">
        <v>276</v>
      </c>
      <c r="AS1445" s="575">
        <f>AJ1445*1000/AL1445</f>
        <v>7.1848632063410891</v>
      </c>
      <c r="AT1445" s="567" t="s">
        <v>276</v>
      </c>
      <c r="AU1445" s="567" t="s">
        <v>276</v>
      </c>
      <c r="AV1445" s="567" t="s">
        <v>268</v>
      </c>
      <c r="AW1445" s="567" t="s">
        <v>276</v>
      </c>
      <c r="AX1445" s="575">
        <f>AO1445/AS1445</f>
        <v>0.81186950026398041</v>
      </c>
      <c r="AY1445" s="567" t="s">
        <v>276</v>
      </c>
      <c r="AZ1445" s="567" t="s">
        <v>276</v>
      </c>
      <c r="BA1445" s="567" t="s">
        <v>276</v>
      </c>
      <c r="BB1445" s="567" t="s">
        <v>3351</v>
      </c>
      <c r="BC1445" s="575">
        <f>5.8/7.8</f>
        <v>0.74358974358974361</v>
      </c>
      <c r="BD1445" s="567" t="s">
        <v>276</v>
      </c>
      <c r="BE1445" s="567" t="s">
        <v>276</v>
      </c>
      <c r="BF1445" s="568" t="s">
        <v>1029</v>
      </c>
      <c r="BG1445" s="568"/>
      <c r="BH1445" s="9" t="s">
        <v>100</v>
      </c>
      <c r="BI1445" s="9" t="s">
        <v>100</v>
      </c>
      <c r="BJ1445" s="123"/>
      <c r="BN1445" s="123"/>
      <c r="BO1445" s="123"/>
    </row>
    <row r="1446" spans="1:67" s="124" customFormat="1" ht="52" hidden="1" x14ac:dyDescent="0.35">
      <c r="A1446" s="567">
        <v>195</v>
      </c>
      <c r="B1446" s="567" t="s">
        <v>8631</v>
      </c>
      <c r="C1446" s="567" t="s">
        <v>50</v>
      </c>
      <c r="D1446" s="568" t="s">
        <v>8704</v>
      </c>
      <c r="E1446" s="567" t="s">
        <v>36</v>
      </c>
      <c r="F1446" s="568" t="s">
        <v>8615</v>
      </c>
      <c r="G1446" s="568" t="s">
        <v>225</v>
      </c>
      <c r="H1446" s="567" t="s">
        <v>125</v>
      </c>
      <c r="I1446" s="567" t="s">
        <v>114</v>
      </c>
      <c r="J1446" s="568" t="s">
        <v>28</v>
      </c>
      <c r="K1446" s="568" t="s">
        <v>2227</v>
      </c>
      <c r="L1446" s="568" t="s">
        <v>8694</v>
      </c>
      <c r="M1446" s="568" t="s">
        <v>8695</v>
      </c>
      <c r="N1446" s="568" t="s">
        <v>8686</v>
      </c>
      <c r="O1446" s="568" t="s">
        <v>8687</v>
      </c>
      <c r="P1446" s="568" t="s">
        <v>239</v>
      </c>
      <c r="Q1446" s="633">
        <v>40908</v>
      </c>
      <c r="R1446" s="568" t="s">
        <v>276</v>
      </c>
      <c r="S1446" s="568" t="s">
        <v>8691</v>
      </c>
      <c r="T1446" s="568" t="s">
        <v>8696</v>
      </c>
      <c r="U1446" s="568">
        <v>1</v>
      </c>
      <c r="V1446" s="567" t="s">
        <v>14</v>
      </c>
      <c r="W1446" s="567" t="s">
        <v>98</v>
      </c>
      <c r="X1446" s="568" t="s">
        <v>207</v>
      </c>
      <c r="Y1446" s="572">
        <v>20572</v>
      </c>
      <c r="Z1446" s="568">
        <v>78220</v>
      </c>
      <c r="AA1446" s="568" t="s">
        <v>276</v>
      </c>
      <c r="AB1446" s="568" t="s">
        <v>276</v>
      </c>
      <c r="AC1446" s="567">
        <v>16</v>
      </c>
      <c r="AD1446" s="567" t="s">
        <v>8697</v>
      </c>
      <c r="AE1446" s="567">
        <v>54</v>
      </c>
      <c r="AF1446" s="567" t="s">
        <v>8697</v>
      </c>
      <c r="AG1446" s="568" t="s">
        <v>8703</v>
      </c>
      <c r="AH1446" s="568" t="s">
        <v>8700</v>
      </c>
      <c r="AI1446" s="573">
        <v>120</v>
      </c>
      <c r="AJ1446" s="573">
        <v>562</v>
      </c>
      <c r="AK1446" s="572">
        <v>221429</v>
      </c>
      <c r="AL1446" s="573">
        <v>828207</v>
      </c>
      <c r="AM1446" s="573" t="s">
        <v>1019</v>
      </c>
      <c r="AN1446" s="567" t="s">
        <v>276</v>
      </c>
      <c r="AO1446" s="575">
        <f>AI1446*100000/AK1446</f>
        <v>54.193443496560974</v>
      </c>
      <c r="AP1446" s="567" t="s">
        <v>276</v>
      </c>
      <c r="AQ1446" s="567" t="s">
        <v>276</v>
      </c>
      <c r="AR1446" s="567" t="s">
        <v>276</v>
      </c>
      <c r="AS1446" s="575">
        <f>AJ1446*100000/AL1446</f>
        <v>67.857431777321366</v>
      </c>
      <c r="AT1446" s="567" t="s">
        <v>276</v>
      </c>
      <c r="AU1446" s="567" t="s">
        <v>276</v>
      </c>
      <c r="AV1446" s="567" t="s">
        <v>269</v>
      </c>
      <c r="AW1446" s="567" t="s">
        <v>276</v>
      </c>
      <c r="AX1446" s="575">
        <f>AO1446/AS1446</f>
        <v>0.7986368195365886</v>
      </c>
      <c r="AY1446" s="567" t="s">
        <v>276</v>
      </c>
      <c r="AZ1446" s="567" t="s">
        <v>276</v>
      </c>
      <c r="BA1446" s="567" t="s">
        <v>276</v>
      </c>
      <c r="BB1446" s="567" t="s">
        <v>282</v>
      </c>
      <c r="BC1446" s="575" t="s">
        <v>276</v>
      </c>
      <c r="BD1446" s="567" t="s">
        <v>276</v>
      </c>
      <c r="BE1446" s="567" t="s">
        <v>276</v>
      </c>
      <c r="BF1446" s="568" t="s">
        <v>8701</v>
      </c>
      <c r="BG1446" s="568"/>
      <c r="BH1446" s="9" t="s">
        <v>100</v>
      </c>
      <c r="BI1446" s="9" t="s">
        <v>100</v>
      </c>
      <c r="BJ1446" s="123"/>
      <c r="BN1446" s="123"/>
      <c r="BO1446" s="123"/>
    </row>
    <row r="1447" spans="1:67" s="110" customFormat="1" ht="52" hidden="1" x14ac:dyDescent="0.35">
      <c r="A1447" s="577">
        <v>195</v>
      </c>
      <c r="B1447" s="577" t="s">
        <v>8631</v>
      </c>
      <c r="C1447" s="577" t="s">
        <v>50</v>
      </c>
      <c r="D1447" s="578" t="s">
        <v>8705</v>
      </c>
      <c r="E1447" s="577" t="s">
        <v>36</v>
      </c>
      <c r="F1447" s="578" t="s">
        <v>8615</v>
      </c>
      <c r="G1447" s="578" t="s">
        <v>225</v>
      </c>
      <c r="H1447" s="577" t="s">
        <v>125</v>
      </c>
      <c r="I1447" s="577" t="s">
        <v>114</v>
      </c>
      <c r="J1447" s="578" t="s">
        <v>28</v>
      </c>
      <c r="K1447" s="578" t="s">
        <v>2227</v>
      </c>
      <c r="L1447" s="578" t="s">
        <v>8694</v>
      </c>
      <c r="M1447" s="578" t="s">
        <v>8695</v>
      </c>
      <c r="N1447" s="578" t="s">
        <v>8686</v>
      </c>
      <c r="O1447" s="578" t="s">
        <v>8687</v>
      </c>
      <c r="P1447" s="578" t="s">
        <v>235</v>
      </c>
      <c r="Q1447" s="629">
        <v>40908</v>
      </c>
      <c r="R1447" s="578" t="s">
        <v>276</v>
      </c>
      <c r="S1447" s="578" t="s">
        <v>8691</v>
      </c>
      <c r="T1447" s="578" t="s">
        <v>8696</v>
      </c>
      <c r="U1447" s="578">
        <v>1</v>
      </c>
      <c r="V1447" s="577" t="s">
        <v>14</v>
      </c>
      <c r="W1447" s="577" t="s">
        <v>98</v>
      </c>
      <c r="X1447" s="578" t="s">
        <v>207</v>
      </c>
      <c r="Y1447" s="582" t="s">
        <v>98</v>
      </c>
      <c r="Z1447" s="578" t="s">
        <v>98</v>
      </c>
      <c r="AA1447" s="578" t="s">
        <v>276</v>
      </c>
      <c r="AB1447" s="578" t="s">
        <v>276</v>
      </c>
      <c r="AC1447" s="577">
        <v>16</v>
      </c>
      <c r="AD1447" s="577" t="s">
        <v>8697</v>
      </c>
      <c r="AE1447" s="577">
        <v>54</v>
      </c>
      <c r="AF1447" s="577" t="s">
        <v>8697</v>
      </c>
      <c r="AG1447" s="578" t="s">
        <v>8703</v>
      </c>
      <c r="AH1447" s="578" t="s">
        <v>8706</v>
      </c>
      <c r="AI1447" s="583">
        <v>120</v>
      </c>
      <c r="AJ1447" s="583">
        <v>562</v>
      </c>
      <c r="AK1447" s="582">
        <v>253</v>
      </c>
      <c r="AL1447" s="583">
        <v>1086</v>
      </c>
      <c r="AM1447" s="583" t="s">
        <v>292</v>
      </c>
      <c r="AN1447" s="577" t="s">
        <v>276</v>
      </c>
      <c r="AO1447" s="585">
        <f>AI1447*100/AK1447</f>
        <v>47.430830039525695</v>
      </c>
      <c r="AP1447" s="577" t="s">
        <v>276</v>
      </c>
      <c r="AQ1447" s="577" t="s">
        <v>276</v>
      </c>
      <c r="AR1447" s="577" t="s">
        <v>276</v>
      </c>
      <c r="AS1447" s="585">
        <f>AJ1447*100/AL1447</f>
        <v>51.749539594843462</v>
      </c>
      <c r="AT1447" s="577" t="s">
        <v>276</v>
      </c>
      <c r="AU1447" s="577" t="s">
        <v>276</v>
      </c>
      <c r="AV1447" s="577" t="s">
        <v>268</v>
      </c>
      <c r="AW1447" s="577" t="s">
        <v>276</v>
      </c>
      <c r="AX1447" s="585">
        <f>AO1447/AS1447</f>
        <v>0.91654593279225804</v>
      </c>
      <c r="AY1447" s="577" t="s">
        <v>276</v>
      </c>
      <c r="AZ1447" s="577" t="s">
        <v>276</v>
      </c>
      <c r="BA1447" s="577" t="s">
        <v>276</v>
      </c>
      <c r="BB1447" s="577" t="s">
        <v>282</v>
      </c>
      <c r="BC1447" s="585" t="s">
        <v>276</v>
      </c>
      <c r="BD1447" s="577" t="s">
        <v>276</v>
      </c>
      <c r="BE1447" s="577" t="s">
        <v>276</v>
      </c>
      <c r="BF1447" s="578" t="s">
        <v>1029</v>
      </c>
      <c r="BG1447" s="578"/>
      <c r="BH1447" s="9" t="s">
        <v>100</v>
      </c>
      <c r="BI1447" s="9" t="s">
        <v>100</v>
      </c>
      <c r="BJ1447" s="109"/>
      <c r="BN1447" s="109"/>
      <c r="BO1447" s="109"/>
    </row>
    <row r="1448" spans="1:67" s="528" customFormat="1" ht="65" hidden="1" x14ac:dyDescent="0.35">
      <c r="A1448" s="545">
        <v>166</v>
      </c>
      <c r="B1448" s="546" t="s">
        <v>8765</v>
      </c>
      <c r="C1448" s="545" t="s">
        <v>52</v>
      </c>
      <c r="D1448" s="546" t="s">
        <v>8766</v>
      </c>
      <c r="E1448" s="545" t="s">
        <v>36</v>
      </c>
      <c r="F1448" s="545" t="s">
        <v>123</v>
      </c>
      <c r="G1448" s="545" t="s">
        <v>225</v>
      </c>
      <c r="H1448" s="545" t="s">
        <v>225</v>
      </c>
      <c r="I1448" s="545" t="s">
        <v>98</v>
      </c>
      <c r="J1448" s="546" t="s">
        <v>98</v>
      </c>
      <c r="K1448" s="545" t="s">
        <v>98</v>
      </c>
      <c r="L1448" s="545" t="s">
        <v>98</v>
      </c>
      <c r="M1448" s="545" t="s">
        <v>98</v>
      </c>
      <c r="N1448" s="546" t="s">
        <v>8767</v>
      </c>
      <c r="O1448" s="546" t="s">
        <v>276</v>
      </c>
      <c r="P1448" s="546" t="s">
        <v>238</v>
      </c>
      <c r="Q1448" s="613" t="s">
        <v>3967</v>
      </c>
      <c r="R1448" s="546" t="s">
        <v>1037</v>
      </c>
      <c r="S1448" s="546" t="s">
        <v>276</v>
      </c>
      <c r="T1448" s="546" t="s">
        <v>98</v>
      </c>
      <c r="U1448" s="546">
        <v>1</v>
      </c>
      <c r="V1448" s="545" t="s">
        <v>14</v>
      </c>
      <c r="W1448" s="546" t="s">
        <v>8768</v>
      </c>
      <c r="X1448" s="546" t="s">
        <v>209</v>
      </c>
      <c r="Y1448" s="550">
        <v>53464</v>
      </c>
      <c r="Z1448" s="546" t="s">
        <v>98</v>
      </c>
      <c r="AA1448" s="546" t="s">
        <v>276</v>
      </c>
      <c r="AB1448" s="546" t="s">
        <v>98</v>
      </c>
      <c r="AC1448" s="545">
        <v>0</v>
      </c>
      <c r="AD1448" s="546" t="s">
        <v>8769</v>
      </c>
      <c r="AE1448" s="545" t="s">
        <v>98</v>
      </c>
      <c r="AF1448" s="545" t="s">
        <v>98</v>
      </c>
      <c r="AG1448" s="546" t="s">
        <v>8770</v>
      </c>
      <c r="AH1448" s="546" t="s">
        <v>8771</v>
      </c>
      <c r="AI1448" s="551">
        <v>63</v>
      </c>
      <c r="AJ1448" s="551" t="s">
        <v>98</v>
      </c>
      <c r="AK1448" s="550">
        <v>53464</v>
      </c>
      <c r="AL1448" s="551" t="s">
        <v>98</v>
      </c>
      <c r="AM1448" s="551" t="s">
        <v>2047</v>
      </c>
      <c r="AN1448" s="545" t="s">
        <v>276</v>
      </c>
      <c r="AO1448" s="554">
        <f t="shared" ref="AO1448:AO1459" si="435">AI1448*1000/AK1448</f>
        <v>1.1783630106239713</v>
      </c>
      <c r="AP1448" s="545" t="s">
        <v>276</v>
      </c>
      <c r="AQ1448" s="545" t="s">
        <v>276</v>
      </c>
      <c r="AR1448" s="545" t="s">
        <v>98</v>
      </c>
      <c r="AS1448" s="545" t="s">
        <v>98</v>
      </c>
      <c r="AT1448" s="545" t="s">
        <v>98</v>
      </c>
      <c r="AU1448" s="545" t="s">
        <v>98</v>
      </c>
      <c r="AV1448" s="545" t="s">
        <v>98</v>
      </c>
      <c r="AW1448" s="545" t="s">
        <v>98</v>
      </c>
      <c r="AX1448" s="545" t="s">
        <v>98</v>
      </c>
      <c r="AY1448" s="545" t="s">
        <v>98</v>
      </c>
      <c r="AZ1448" s="545" t="s">
        <v>98</v>
      </c>
      <c r="BA1448" s="545" t="s">
        <v>98</v>
      </c>
      <c r="BB1448" s="545" t="s">
        <v>98</v>
      </c>
      <c r="BC1448" s="545" t="s">
        <v>98</v>
      </c>
      <c r="BD1448" s="545" t="s">
        <v>98</v>
      </c>
      <c r="BE1448" s="545" t="s">
        <v>98</v>
      </c>
      <c r="BF1448" s="546" t="s">
        <v>8772</v>
      </c>
      <c r="BG1448" s="546"/>
      <c r="BH1448" s="9" t="s">
        <v>100</v>
      </c>
      <c r="BI1448" s="9" t="s">
        <v>100</v>
      </c>
      <c r="BJ1448" s="527"/>
      <c r="BN1448" s="527"/>
      <c r="BO1448" s="527"/>
    </row>
    <row r="1449" spans="1:67" s="528" customFormat="1" ht="65" hidden="1" x14ac:dyDescent="0.35">
      <c r="A1449" s="545">
        <v>166</v>
      </c>
      <c r="B1449" s="546" t="s">
        <v>8765</v>
      </c>
      <c r="C1449" s="545" t="s">
        <v>52</v>
      </c>
      <c r="D1449" s="546" t="s">
        <v>8773</v>
      </c>
      <c r="E1449" s="545" t="s">
        <v>36</v>
      </c>
      <c r="F1449" s="545" t="s">
        <v>123</v>
      </c>
      <c r="G1449" s="545" t="s">
        <v>225</v>
      </c>
      <c r="H1449" s="545" t="s">
        <v>225</v>
      </c>
      <c r="I1449" s="545" t="s">
        <v>98</v>
      </c>
      <c r="J1449" s="546" t="s">
        <v>98</v>
      </c>
      <c r="K1449" s="545" t="s">
        <v>98</v>
      </c>
      <c r="L1449" s="545" t="s">
        <v>98</v>
      </c>
      <c r="M1449" s="545" t="s">
        <v>98</v>
      </c>
      <c r="N1449" s="546" t="s">
        <v>8774</v>
      </c>
      <c r="O1449" s="546" t="s">
        <v>276</v>
      </c>
      <c r="P1449" s="546" t="s">
        <v>238</v>
      </c>
      <c r="Q1449" s="613" t="s">
        <v>3967</v>
      </c>
      <c r="R1449" s="546" t="s">
        <v>1037</v>
      </c>
      <c r="S1449" s="546" t="s">
        <v>276</v>
      </c>
      <c r="T1449" s="546" t="s">
        <v>98</v>
      </c>
      <c r="U1449" s="546">
        <v>1</v>
      </c>
      <c r="V1449" s="545" t="s">
        <v>14</v>
      </c>
      <c r="W1449" s="546" t="s">
        <v>8768</v>
      </c>
      <c r="X1449" s="546" t="s">
        <v>209</v>
      </c>
      <c r="Y1449" s="550">
        <v>53464</v>
      </c>
      <c r="Z1449" s="546" t="s">
        <v>98</v>
      </c>
      <c r="AA1449" s="546" t="s">
        <v>276</v>
      </c>
      <c r="AB1449" s="546" t="s">
        <v>98</v>
      </c>
      <c r="AC1449" s="545">
        <v>0</v>
      </c>
      <c r="AD1449" s="546" t="s">
        <v>8769</v>
      </c>
      <c r="AE1449" s="545" t="s">
        <v>98</v>
      </c>
      <c r="AF1449" s="545" t="s">
        <v>98</v>
      </c>
      <c r="AG1449" s="546" t="s">
        <v>8775</v>
      </c>
      <c r="AH1449" s="546" t="s">
        <v>8771</v>
      </c>
      <c r="AI1449" s="551">
        <v>367</v>
      </c>
      <c r="AJ1449" s="551" t="s">
        <v>98</v>
      </c>
      <c r="AK1449" s="550">
        <v>53464</v>
      </c>
      <c r="AL1449" s="551" t="s">
        <v>98</v>
      </c>
      <c r="AM1449" s="551" t="s">
        <v>2047</v>
      </c>
      <c r="AN1449" s="545" t="s">
        <v>276</v>
      </c>
      <c r="AO1449" s="554">
        <f t="shared" si="435"/>
        <v>6.8644321412539275</v>
      </c>
      <c r="AP1449" s="545" t="s">
        <v>276</v>
      </c>
      <c r="AQ1449" s="545" t="s">
        <v>276</v>
      </c>
      <c r="AR1449" s="545" t="s">
        <v>98</v>
      </c>
      <c r="AS1449" s="545" t="s">
        <v>98</v>
      </c>
      <c r="AT1449" s="545" t="s">
        <v>98</v>
      </c>
      <c r="AU1449" s="545" t="s">
        <v>98</v>
      </c>
      <c r="AV1449" s="545" t="s">
        <v>98</v>
      </c>
      <c r="AW1449" s="545" t="s">
        <v>98</v>
      </c>
      <c r="AX1449" s="545" t="s">
        <v>98</v>
      </c>
      <c r="AY1449" s="545" t="s">
        <v>98</v>
      </c>
      <c r="AZ1449" s="545" t="s">
        <v>98</v>
      </c>
      <c r="BA1449" s="545" t="s">
        <v>98</v>
      </c>
      <c r="BB1449" s="545" t="s">
        <v>98</v>
      </c>
      <c r="BC1449" s="545" t="s">
        <v>98</v>
      </c>
      <c r="BD1449" s="545" t="s">
        <v>98</v>
      </c>
      <c r="BE1449" s="545" t="s">
        <v>98</v>
      </c>
      <c r="BF1449" s="546" t="s">
        <v>8776</v>
      </c>
      <c r="BG1449" s="546"/>
      <c r="BH1449" s="9" t="s">
        <v>100</v>
      </c>
      <c r="BI1449" s="9" t="s">
        <v>100</v>
      </c>
      <c r="BJ1449" s="527"/>
      <c r="BN1449" s="527"/>
      <c r="BO1449" s="527"/>
    </row>
    <row r="1450" spans="1:67" s="528" customFormat="1" ht="78" hidden="1" x14ac:dyDescent="0.35">
      <c r="A1450" s="545">
        <v>166</v>
      </c>
      <c r="B1450" s="546" t="s">
        <v>8765</v>
      </c>
      <c r="C1450" s="545" t="s">
        <v>52</v>
      </c>
      <c r="D1450" s="546" t="s">
        <v>8777</v>
      </c>
      <c r="E1450" s="545" t="s">
        <v>36</v>
      </c>
      <c r="F1450" s="545" t="s">
        <v>123</v>
      </c>
      <c r="G1450" s="545" t="s">
        <v>225</v>
      </c>
      <c r="H1450" s="545" t="s">
        <v>225</v>
      </c>
      <c r="I1450" s="545" t="s">
        <v>98</v>
      </c>
      <c r="J1450" s="546" t="s">
        <v>98</v>
      </c>
      <c r="K1450" s="545" t="s">
        <v>98</v>
      </c>
      <c r="L1450" s="545" t="s">
        <v>98</v>
      </c>
      <c r="M1450" s="545" t="s">
        <v>98</v>
      </c>
      <c r="N1450" s="546" t="s">
        <v>8778</v>
      </c>
      <c r="O1450" s="546" t="s">
        <v>276</v>
      </c>
      <c r="P1450" s="546" t="s">
        <v>238</v>
      </c>
      <c r="Q1450" s="613" t="s">
        <v>3967</v>
      </c>
      <c r="R1450" s="546" t="s">
        <v>1037</v>
      </c>
      <c r="S1450" s="546" t="s">
        <v>276</v>
      </c>
      <c r="T1450" s="546" t="s">
        <v>98</v>
      </c>
      <c r="U1450" s="546">
        <v>1</v>
      </c>
      <c r="V1450" s="545" t="s">
        <v>14</v>
      </c>
      <c r="W1450" s="546" t="s">
        <v>8768</v>
      </c>
      <c r="X1450" s="546" t="s">
        <v>209</v>
      </c>
      <c r="Y1450" s="550">
        <v>53464</v>
      </c>
      <c r="Z1450" s="546" t="s">
        <v>98</v>
      </c>
      <c r="AA1450" s="546" t="s">
        <v>276</v>
      </c>
      <c r="AB1450" s="546" t="s">
        <v>98</v>
      </c>
      <c r="AC1450" s="545">
        <v>0</v>
      </c>
      <c r="AD1450" s="546" t="s">
        <v>8779</v>
      </c>
      <c r="AE1450" s="545" t="s">
        <v>98</v>
      </c>
      <c r="AF1450" s="545" t="s">
        <v>98</v>
      </c>
      <c r="AG1450" s="546" t="s">
        <v>8780</v>
      </c>
      <c r="AH1450" s="546" t="s">
        <v>8771</v>
      </c>
      <c r="AI1450" s="551">
        <v>76</v>
      </c>
      <c r="AJ1450" s="551" t="s">
        <v>98</v>
      </c>
      <c r="AK1450" s="550">
        <v>53464</v>
      </c>
      <c r="AL1450" s="551" t="s">
        <v>98</v>
      </c>
      <c r="AM1450" s="551" t="s">
        <v>2047</v>
      </c>
      <c r="AN1450" s="545" t="s">
        <v>276</v>
      </c>
      <c r="AO1450" s="554">
        <f t="shared" si="435"/>
        <v>1.4215172826574891</v>
      </c>
      <c r="AP1450" s="545" t="s">
        <v>276</v>
      </c>
      <c r="AQ1450" s="545" t="s">
        <v>276</v>
      </c>
      <c r="AR1450" s="545" t="s">
        <v>98</v>
      </c>
      <c r="AS1450" s="545" t="s">
        <v>98</v>
      </c>
      <c r="AT1450" s="545" t="s">
        <v>98</v>
      </c>
      <c r="AU1450" s="545" t="s">
        <v>98</v>
      </c>
      <c r="AV1450" s="545" t="s">
        <v>98</v>
      </c>
      <c r="AW1450" s="545" t="s">
        <v>98</v>
      </c>
      <c r="AX1450" s="545" t="s">
        <v>98</v>
      </c>
      <c r="AY1450" s="545" t="s">
        <v>98</v>
      </c>
      <c r="AZ1450" s="545" t="s">
        <v>98</v>
      </c>
      <c r="BA1450" s="545" t="s">
        <v>98</v>
      </c>
      <c r="BB1450" s="545" t="s">
        <v>98</v>
      </c>
      <c r="BC1450" s="545" t="s">
        <v>98</v>
      </c>
      <c r="BD1450" s="545" t="s">
        <v>98</v>
      </c>
      <c r="BE1450" s="545" t="s">
        <v>98</v>
      </c>
      <c r="BF1450" s="546" t="s">
        <v>8781</v>
      </c>
      <c r="BG1450" s="546"/>
      <c r="BH1450" s="9" t="s">
        <v>100</v>
      </c>
      <c r="BI1450" s="9" t="s">
        <v>100</v>
      </c>
      <c r="BJ1450" s="527"/>
      <c r="BN1450" s="527"/>
      <c r="BO1450" s="527"/>
    </row>
    <row r="1451" spans="1:67" s="528" customFormat="1" ht="78" hidden="1" x14ac:dyDescent="0.35">
      <c r="A1451" s="545">
        <v>166</v>
      </c>
      <c r="B1451" s="546" t="s">
        <v>8765</v>
      </c>
      <c r="C1451" s="545" t="s">
        <v>52</v>
      </c>
      <c r="D1451" s="772" t="s">
        <v>11407</v>
      </c>
      <c r="E1451" s="545" t="s">
        <v>36</v>
      </c>
      <c r="F1451" s="545" t="s">
        <v>123</v>
      </c>
      <c r="G1451" s="545" t="s">
        <v>225</v>
      </c>
      <c r="H1451" s="545" t="s">
        <v>225</v>
      </c>
      <c r="I1451" s="545" t="s">
        <v>98</v>
      </c>
      <c r="J1451" s="546" t="s">
        <v>98</v>
      </c>
      <c r="K1451" s="545" t="s">
        <v>98</v>
      </c>
      <c r="L1451" s="545" t="s">
        <v>98</v>
      </c>
      <c r="M1451" s="545" t="s">
        <v>98</v>
      </c>
      <c r="N1451" s="546" t="s">
        <v>8778</v>
      </c>
      <c r="O1451" s="546" t="s">
        <v>276</v>
      </c>
      <c r="P1451" s="546" t="s">
        <v>238</v>
      </c>
      <c r="Q1451" s="613" t="s">
        <v>3967</v>
      </c>
      <c r="R1451" s="546" t="s">
        <v>1037</v>
      </c>
      <c r="S1451" s="546" t="s">
        <v>276</v>
      </c>
      <c r="T1451" s="546" t="s">
        <v>98</v>
      </c>
      <c r="U1451" s="546">
        <v>1</v>
      </c>
      <c r="V1451" s="545" t="s">
        <v>14</v>
      </c>
      <c r="W1451" s="546" t="s">
        <v>8768</v>
      </c>
      <c r="X1451" s="546" t="s">
        <v>209</v>
      </c>
      <c r="Y1451" s="550">
        <v>53464</v>
      </c>
      <c r="Z1451" s="546" t="s">
        <v>98</v>
      </c>
      <c r="AA1451" s="546" t="s">
        <v>276</v>
      </c>
      <c r="AB1451" s="546" t="s">
        <v>98</v>
      </c>
      <c r="AC1451" s="545">
        <v>0</v>
      </c>
      <c r="AD1451" s="546" t="s">
        <v>8779</v>
      </c>
      <c r="AE1451" s="545" t="s">
        <v>98</v>
      </c>
      <c r="AF1451" s="545" t="s">
        <v>98</v>
      </c>
      <c r="AG1451" s="546" t="s">
        <v>11408</v>
      </c>
      <c r="AH1451" s="546" t="s">
        <v>8771</v>
      </c>
      <c r="AI1451" s="551">
        <v>165</v>
      </c>
      <c r="AJ1451" s="551" t="s">
        <v>98</v>
      </c>
      <c r="AK1451" s="550">
        <v>53464</v>
      </c>
      <c r="AL1451" s="551" t="s">
        <v>98</v>
      </c>
      <c r="AM1451" s="551" t="s">
        <v>2047</v>
      </c>
      <c r="AN1451" s="545" t="s">
        <v>276</v>
      </c>
      <c r="AO1451" s="554">
        <f t="shared" si="435"/>
        <v>3.0861888373484963</v>
      </c>
      <c r="AP1451" s="545" t="s">
        <v>276</v>
      </c>
      <c r="AQ1451" s="545" t="s">
        <v>276</v>
      </c>
      <c r="AR1451" s="545" t="s">
        <v>98</v>
      </c>
      <c r="AS1451" s="545" t="s">
        <v>98</v>
      </c>
      <c r="AT1451" s="545" t="s">
        <v>98</v>
      </c>
      <c r="AU1451" s="545" t="s">
        <v>98</v>
      </c>
      <c r="AV1451" s="545" t="s">
        <v>98</v>
      </c>
      <c r="AW1451" s="545" t="s">
        <v>98</v>
      </c>
      <c r="AX1451" s="545" t="s">
        <v>98</v>
      </c>
      <c r="AY1451" s="545" t="s">
        <v>98</v>
      </c>
      <c r="AZ1451" s="545" t="s">
        <v>98</v>
      </c>
      <c r="BA1451" s="545" t="s">
        <v>98</v>
      </c>
      <c r="BB1451" s="545" t="s">
        <v>98</v>
      </c>
      <c r="BC1451" s="545" t="s">
        <v>98</v>
      </c>
      <c r="BD1451" s="545" t="s">
        <v>98</v>
      </c>
      <c r="BE1451" s="545" t="s">
        <v>98</v>
      </c>
      <c r="BF1451" s="546" t="s">
        <v>8781</v>
      </c>
      <c r="BG1451" s="546"/>
      <c r="BH1451" s="9" t="s">
        <v>100</v>
      </c>
      <c r="BI1451" s="9" t="s">
        <v>100</v>
      </c>
      <c r="BJ1451" s="527"/>
      <c r="BN1451" s="527"/>
      <c r="BO1451" s="527"/>
    </row>
    <row r="1452" spans="1:67" s="528" customFormat="1" ht="78" hidden="1" x14ac:dyDescent="0.35">
      <c r="A1452" s="545">
        <v>166</v>
      </c>
      <c r="B1452" s="546" t="s">
        <v>8765</v>
      </c>
      <c r="C1452" s="545" t="s">
        <v>52</v>
      </c>
      <c r="D1452" s="546" t="s">
        <v>11409</v>
      </c>
      <c r="E1452" s="545" t="s">
        <v>36</v>
      </c>
      <c r="F1452" s="545" t="s">
        <v>123</v>
      </c>
      <c r="G1452" s="545" t="s">
        <v>225</v>
      </c>
      <c r="H1452" s="545" t="s">
        <v>225</v>
      </c>
      <c r="I1452" s="545" t="s">
        <v>98</v>
      </c>
      <c r="J1452" s="546" t="s">
        <v>98</v>
      </c>
      <c r="K1452" s="545" t="s">
        <v>98</v>
      </c>
      <c r="L1452" s="545" t="s">
        <v>98</v>
      </c>
      <c r="M1452" s="545" t="s">
        <v>98</v>
      </c>
      <c r="N1452" s="546" t="s">
        <v>8778</v>
      </c>
      <c r="O1452" s="546" t="s">
        <v>276</v>
      </c>
      <c r="P1452" s="546" t="s">
        <v>238</v>
      </c>
      <c r="Q1452" s="613" t="s">
        <v>3967</v>
      </c>
      <c r="R1452" s="546" t="s">
        <v>1037</v>
      </c>
      <c r="S1452" s="546" t="s">
        <v>276</v>
      </c>
      <c r="T1452" s="546" t="s">
        <v>98</v>
      </c>
      <c r="U1452" s="546">
        <v>1</v>
      </c>
      <c r="V1452" s="545" t="s">
        <v>14</v>
      </c>
      <c r="W1452" s="546" t="s">
        <v>8768</v>
      </c>
      <c r="X1452" s="546" t="s">
        <v>209</v>
      </c>
      <c r="Y1452" s="550">
        <v>53464</v>
      </c>
      <c r="Z1452" s="546" t="s">
        <v>98</v>
      </c>
      <c r="AA1452" s="546" t="s">
        <v>276</v>
      </c>
      <c r="AB1452" s="546" t="s">
        <v>98</v>
      </c>
      <c r="AC1452" s="545">
        <v>0</v>
      </c>
      <c r="AD1452" s="546" t="s">
        <v>8779</v>
      </c>
      <c r="AE1452" s="545" t="s">
        <v>98</v>
      </c>
      <c r="AF1452" s="545" t="s">
        <v>98</v>
      </c>
      <c r="AG1452" s="546" t="s">
        <v>8782</v>
      </c>
      <c r="AH1452" s="546" t="s">
        <v>8771</v>
      </c>
      <c r="AI1452" s="551">
        <f>76+165</f>
        <v>241</v>
      </c>
      <c r="AJ1452" s="551" t="s">
        <v>98</v>
      </c>
      <c r="AK1452" s="550">
        <v>53464</v>
      </c>
      <c r="AL1452" s="551" t="s">
        <v>98</v>
      </c>
      <c r="AM1452" s="551" t="s">
        <v>2047</v>
      </c>
      <c r="AN1452" s="545" t="s">
        <v>276</v>
      </c>
      <c r="AO1452" s="554">
        <f t="shared" si="435"/>
        <v>4.5077061200059854</v>
      </c>
      <c r="AP1452" s="545" t="s">
        <v>276</v>
      </c>
      <c r="AQ1452" s="545" t="s">
        <v>276</v>
      </c>
      <c r="AR1452" s="545" t="s">
        <v>98</v>
      </c>
      <c r="AS1452" s="545" t="s">
        <v>98</v>
      </c>
      <c r="AT1452" s="545" t="s">
        <v>98</v>
      </c>
      <c r="AU1452" s="545" t="s">
        <v>98</v>
      </c>
      <c r="AV1452" s="545" t="s">
        <v>98</v>
      </c>
      <c r="AW1452" s="545" t="s">
        <v>98</v>
      </c>
      <c r="AX1452" s="545" t="s">
        <v>98</v>
      </c>
      <c r="AY1452" s="545" t="s">
        <v>98</v>
      </c>
      <c r="AZ1452" s="545" t="s">
        <v>98</v>
      </c>
      <c r="BA1452" s="545" t="s">
        <v>98</v>
      </c>
      <c r="BB1452" s="545" t="s">
        <v>98</v>
      </c>
      <c r="BC1452" s="545" t="s">
        <v>98</v>
      </c>
      <c r="BD1452" s="545" t="s">
        <v>98</v>
      </c>
      <c r="BE1452" s="545" t="s">
        <v>98</v>
      </c>
      <c r="BF1452" s="546" t="s">
        <v>8781</v>
      </c>
      <c r="BG1452" s="546"/>
      <c r="BH1452" s="9" t="s">
        <v>100</v>
      </c>
      <c r="BI1452" s="9" t="s">
        <v>100</v>
      </c>
      <c r="BJ1452" s="527"/>
      <c r="BN1452" s="527"/>
      <c r="BO1452" s="527"/>
    </row>
    <row r="1453" spans="1:67" s="33" customFormat="1" ht="78" hidden="1" x14ac:dyDescent="0.35">
      <c r="A1453" s="8">
        <v>166</v>
      </c>
      <c r="B1453" s="9" t="s">
        <v>8765</v>
      </c>
      <c r="C1453" s="8" t="s">
        <v>52</v>
      </c>
      <c r="D1453" s="46" t="s">
        <v>11410</v>
      </c>
      <c r="E1453" s="8" t="s">
        <v>36</v>
      </c>
      <c r="F1453" s="8" t="s">
        <v>123</v>
      </c>
      <c r="G1453" s="8" t="s">
        <v>225</v>
      </c>
      <c r="H1453" s="8" t="s">
        <v>225</v>
      </c>
      <c r="I1453" s="8" t="s">
        <v>98</v>
      </c>
      <c r="J1453" s="9" t="s">
        <v>98</v>
      </c>
      <c r="K1453" s="8" t="s">
        <v>98</v>
      </c>
      <c r="L1453" s="8" t="s">
        <v>98</v>
      </c>
      <c r="M1453" s="8" t="s">
        <v>98</v>
      </c>
      <c r="N1453" s="9" t="s">
        <v>8778</v>
      </c>
      <c r="O1453" s="9" t="s">
        <v>276</v>
      </c>
      <c r="P1453" s="9" t="s">
        <v>238</v>
      </c>
      <c r="Q1453" s="52" t="s">
        <v>3967</v>
      </c>
      <c r="R1453" s="9" t="s">
        <v>1037</v>
      </c>
      <c r="S1453" s="9" t="s">
        <v>276</v>
      </c>
      <c r="T1453" s="9" t="s">
        <v>98</v>
      </c>
      <c r="U1453" s="9">
        <v>1</v>
      </c>
      <c r="V1453" s="8" t="s">
        <v>14</v>
      </c>
      <c r="W1453" s="9" t="s">
        <v>8768</v>
      </c>
      <c r="X1453" s="9" t="s">
        <v>209</v>
      </c>
      <c r="Y1453" s="13">
        <v>53464</v>
      </c>
      <c r="Z1453" s="9" t="s">
        <v>98</v>
      </c>
      <c r="AA1453" s="9" t="s">
        <v>276</v>
      </c>
      <c r="AB1453" s="9" t="s">
        <v>98</v>
      </c>
      <c r="AC1453" s="8">
        <v>0</v>
      </c>
      <c r="AD1453" s="9" t="s">
        <v>8779</v>
      </c>
      <c r="AE1453" s="8" t="s">
        <v>98</v>
      </c>
      <c r="AF1453" s="8" t="s">
        <v>98</v>
      </c>
      <c r="AG1453" s="9" t="s">
        <v>11411</v>
      </c>
      <c r="AH1453" s="9" t="s">
        <v>8771</v>
      </c>
      <c r="AI1453" s="38">
        <v>126</v>
      </c>
      <c r="AJ1453" s="38" t="s">
        <v>98</v>
      </c>
      <c r="AK1453" s="13">
        <v>53464</v>
      </c>
      <c r="AL1453" s="38" t="s">
        <v>98</v>
      </c>
      <c r="AM1453" s="38" t="s">
        <v>2047</v>
      </c>
      <c r="AN1453" s="8" t="s">
        <v>276</v>
      </c>
      <c r="AO1453" s="31">
        <f t="shared" si="435"/>
        <v>2.3567260212479426</v>
      </c>
      <c r="AP1453" s="8" t="s">
        <v>276</v>
      </c>
      <c r="AQ1453" s="8" t="s">
        <v>276</v>
      </c>
      <c r="AR1453" s="8" t="s">
        <v>98</v>
      </c>
      <c r="AS1453" s="8" t="s">
        <v>98</v>
      </c>
      <c r="AT1453" s="8" t="s">
        <v>98</v>
      </c>
      <c r="AU1453" s="8" t="s">
        <v>98</v>
      </c>
      <c r="AV1453" s="8" t="s">
        <v>98</v>
      </c>
      <c r="AW1453" s="8" t="s">
        <v>98</v>
      </c>
      <c r="AX1453" s="8" t="s">
        <v>98</v>
      </c>
      <c r="AY1453" s="8" t="s">
        <v>98</v>
      </c>
      <c r="AZ1453" s="8" t="s">
        <v>98</v>
      </c>
      <c r="BA1453" s="8" t="s">
        <v>98</v>
      </c>
      <c r="BB1453" s="8" t="s">
        <v>98</v>
      </c>
      <c r="BC1453" s="8" t="s">
        <v>98</v>
      </c>
      <c r="BD1453" s="8" t="s">
        <v>98</v>
      </c>
      <c r="BE1453" s="8" t="s">
        <v>98</v>
      </c>
      <c r="BF1453" s="9" t="s">
        <v>8781</v>
      </c>
      <c r="BG1453" s="9"/>
      <c r="BH1453" s="9" t="s">
        <v>100</v>
      </c>
      <c r="BI1453" s="9" t="s">
        <v>100</v>
      </c>
      <c r="BJ1453" s="32"/>
      <c r="BN1453" s="32"/>
      <c r="BO1453" s="32"/>
    </row>
    <row r="1454" spans="1:67" s="530" customFormat="1" ht="65" hidden="1" x14ac:dyDescent="0.35">
      <c r="A1454" s="555">
        <v>166</v>
      </c>
      <c r="B1454" s="556" t="s">
        <v>8765</v>
      </c>
      <c r="C1454" s="555" t="s">
        <v>52</v>
      </c>
      <c r="D1454" s="556" t="s">
        <v>8783</v>
      </c>
      <c r="E1454" s="555" t="s">
        <v>36</v>
      </c>
      <c r="F1454" s="555" t="s">
        <v>123</v>
      </c>
      <c r="G1454" s="555" t="s">
        <v>225</v>
      </c>
      <c r="H1454" s="555" t="s">
        <v>225</v>
      </c>
      <c r="I1454" s="555" t="s">
        <v>98</v>
      </c>
      <c r="J1454" s="556" t="s">
        <v>98</v>
      </c>
      <c r="K1454" s="555" t="s">
        <v>98</v>
      </c>
      <c r="L1454" s="555" t="s">
        <v>98</v>
      </c>
      <c r="M1454" s="555" t="s">
        <v>98</v>
      </c>
      <c r="N1454" s="556" t="s">
        <v>8767</v>
      </c>
      <c r="O1454" s="556" t="s">
        <v>276</v>
      </c>
      <c r="P1454" s="556" t="s">
        <v>238</v>
      </c>
      <c r="Q1454" s="556" t="s">
        <v>276</v>
      </c>
      <c r="R1454" s="556" t="s">
        <v>2977</v>
      </c>
      <c r="S1454" s="556" t="s">
        <v>8784</v>
      </c>
      <c r="T1454" s="556" t="s">
        <v>98</v>
      </c>
      <c r="U1454" s="773" t="s">
        <v>8785</v>
      </c>
      <c r="V1454" s="555" t="s">
        <v>14</v>
      </c>
      <c r="W1454" s="556" t="s">
        <v>8768</v>
      </c>
      <c r="X1454" s="556" t="s">
        <v>209</v>
      </c>
      <c r="Y1454" s="560">
        <v>53464</v>
      </c>
      <c r="Z1454" s="556" t="s">
        <v>98</v>
      </c>
      <c r="AA1454" s="556" t="s">
        <v>276</v>
      </c>
      <c r="AB1454" s="556" t="s">
        <v>98</v>
      </c>
      <c r="AC1454" s="555">
        <v>0</v>
      </c>
      <c r="AD1454" s="556" t="s">
        <v>8769</v>
      </c>
      <c r="AE1454" s="555" t="s">
        <v>98</v>
      </c>
      <c r="AF1454" s="555" t="s">
        <v>98</v>
      </c>
      <c r="AG1454" s="556" t="s">
        <v>8786</v>
      </c>
      <c r="AH1454" s="556" t="s">
        <v>8771</v>
      </c>
      <c r="AI1454" s="561">
        <v>76</v>
      </c>
      <c r="AJ1454" s="561" t="s">
        <v>98</v>
      </c>
      <c r="AK1454" s="560">
        <v>53464</v>
      </c>
      <c r="AL1454" s="561" t="s">
        <v>98</v>
      </c>
      <c r="AM1454" s="561" t="s">
        <v>2047</v>
      </c>
      <c r="AN1454" s="555" t="s">
        <v>276</v>
      </c>
      <c r="AO1454" s="563">
        <f t="shared" si="435"/>
        <v>1.4215172826574891</v>
      </c>
      <c r="AP1454" s="555" t="s">
        <v>276</v>
      </c>
      <c r="AQ1454" s="555" t="s">
        <v>276</v>
      </c>
      <c r="AR1454" s="555" t="s">
        <v>98</v>
      </c>
      <c r="AS1454" s="555" t="s">
        <v>98</v>
      </c>
      <c r="AT1454" s="555" t="s">
        <v>98</v>
      </c>
      <c r="AU1454" s="555" t="s">
        <v>98</v>
      </c>
      <c r="AV1454" s="555" t="s">
        <v>98</v>
      </c>
      <c r="AW1454" s="555" t="s">
        <v>98</v>
      </c>
      <c r="AX1454" s="555" t="s">
        <v>98</v>
      </c>
      <c r="AY1454" s="555" t="s">
        <v>98</v>
      </c>
      <c r="AZ1454" s="555" t="s">
        <v>98</v>
      </c>
      <c r="BA1454" s="555" t="s">
        <v>98</v>
      </c>
      <c r="BB1454" s="555" t="s">
        <v>98</v>
      </c>
      <c r="BC1454" s="555" t="s">
        <v>98</v>
      </c>
      <c r="BD1454" s="555" t="s">
        <v>98</v>
      </c>
      <c r="BE1454" s="555" t="s">
        <v>98</v>
      </c>
      <c r="BF1454" s="556" t="s">
        <v>4694</v>
      </c>
      <c r="BG1454" s="556" t="s">
        <v>8787</v>
      </c>
      <c r="BH1454" s="9" t="s">
        <v>100</v>
      </c>
      <c r="BI1454" s="9" t="s">
        <v>100</v>
      </c>
      <c r="BJ1454" s="529"/>
      <c r="BN1454" s="529"/>
      <c r="BO1454" s="529"/>
    </row>
    <row r="1455" spans="1:67" s="530" customFormat="1" ht="65" hidden="1" x14ac:dyDescent="0.35">
      <c r="A1455" s="555">
        <v>166</v>
      </c>
      <c r="B1455" s="556" t="s">
        <v>8765</v>
      </c>
      <c r="C1455" s="555" t="s">
        <v>52</v>
      </c>
      <c r="D1455" s="556" t="s">
        <v>8788</v>
      </c>
      <c r="E1455" s="555" t="s">
        <v>36</v>
      </c>
      <c r="F1455" s="555" t="s">
        <v>123</v>
      </c>
      <c r="G1455" s="555" t="s">
        <v>225</v>
      </c>
      <c r="H1455" s="555" t="s">
        <v>225</v>
      </c>
      <c r="I1455" s="555" t="s">
        <v>98</v>
      </c>
      <c r="J1455" s="556" t="s">
        <v>98</v>
      </c>
      <c r="K1455" s="555" t="s">
        <v>98</v>
      </c>
      <c r="L1455" s="555" t="s">
        <v>98</v>
      </c>
      <c r="M1455" s="555" t="s">
        <v>98</v>
      </c>
      <c r="N1455" s="556" t="s">
        <v>8774</v>
      </c>
      <c r="O1455" s="556" t="s">
        <v>276</v>
      </c>
      <c r="P1455" s="556" t="s">
        <v>238</v>
      </c>
      <c r="Q1455" s="556" t="s">
        <v>276</v>
      </c>
      <c r="R1455" s="556" t="s">
        <v>2977</v>
      </c>
      <c r="S1455" s="556" t="s">
        <v>8784</v>
      </c>
      <c r="T1455" s="556" t="s">
        <v>98</v>
      </c>
      <c r="U1455" s="773" t="s">
        <v>8785</v>
      </c>
      <c r="V1455" s="555" t="s">
        <v>14</v>
      </c>
      <c r="W1455" s="556" t="s">
        <v>8768</v>
      </c>
      <c r="X1455" s="556" t="s">
        <v>209</v>
      </c>
      <c r="Y1455" s="560">
        <v>53464</v>
      </c>
      <c r="Z1455" s="556" t="s">
        <v>98</v>
      </c>
      <c r="AA1455" s="556" t="s">
        <v>276</v>
      </c>
      <c r="AB1455" s="556" t="s">
        <v>98</v>
      </c>
      <c r="AC1455" s="555">
        <v>0</v>
      </c>
      <c r="AD1455" s="556" t="s">
        <v>8769</v>
      </c>
      <c r="AE1455" s="555" t="s">
        <v>98</v>
      </c>
      <c r="AF1455" s="555" t="s">
        <v>98</v>
      </c>
      <c r="AG1455" s="556" t="s">
        <v>8789</v>
      </c>
      <c r="AH1455" s="556" t="s">
        <v>8771</v>
      </c>
      <c r="AI1455" s="561">
        <v>432</v>
      </c>
      <c r="AJ1455" s="561" t="s">
        <v>98</v>
      </c>
      <c r="AK1455" s="560">
        <v>53464</v>
      </c>
      <c r="AL1455" s="561" t="s">
        <v>98</v>
      </c>
      <c r="AM1455" s="561" t="s">
        <v>2047</v>
      </c>
      <c r="AN1455" s="555" t="s">
        <v>276</v>
      </c>
      <c r="AO1455" s="563">
        <f t="shared" si="435"/>
        <v>8.0802035014215168</v>
      </c>
      <c r="AP1455" s="555" t="s">
        <v>276</v>
      </c>
      <c r="AQ1455" s="555" t="s">
        <v>276</v>
      </c>
      <c r="AR1455" s="555" t="s">
        <v>98</v>
      </c>
      <c r="AS1455" s="555" t="s">
        <v>98</v>
      </c>
      <c r="AT1455" s="555" t="s">
        <v>98</v>
      </c>
      <c r="AU1455" s="555" t="s">
        <v>98</v>
      </c>
      <c r="AV1455" s="555" t="s">
        <v>98</v>
      </c>
      <c r="AW1455" s="555" t="s">
        <v>98</v>
      </c>
      <c r="AX1455" s="555" t="s">
        <v>98</v>
      </c>
      <c r="AY1455" s="555" t="s">
        <v>98</v>
      </c>
      <c r="AZ1455" s="555" t="s">
        <v>98</v>
      </c>
      <c r="BA1455" s="555" t="s">
        <v>98</v>
      </c>
      <c r="BB1455" s="555" t="s">
        <v>98</v>
      </c>
      <c r="BC1455" s="555" t="s">
        <v>98</v>
      </c>
      <c r="BD1455" s="555" t="s">
        <v>98</v>
      </c>
      <c r="BE1455" s="555" t="s">
        <v>98</v>
      </c>
      <c r="BF1455" s="556" t="s">
        <v>763</v>
      </c>
      <c r="BG1455" s="556" t="s">
        <v>8787</v>
      </c>
      <c r="BH1455" s="9" t="s">
        <v>100</v>
      </c>
      <c r="BI1455" s="9" t="s">
        <v>100</v>
      </c>
      <c r="BJ1455" s="529"/>
      <c r="BN1455" s="529"/>
      <c r="BO1455" s="529"/>
    </row>
    <row r="1456" spans="1:67" s="530" customFormat="1" ht="78" hidden="1" x14ac:dyDescent="0.35">
      <c r="A1456" s="555">
        <v>166</v>
      </c>
      <c r="B1456" s="556" t="s">
        <v>8765</v>
      </c>
      <c r="C1456" s="555" t="s">
        <v>52</v>
      </c>
      <c r="D1456" s="556" t="s">
        <v>8790</v>
      </c>
      <c r="E1456" s="555" t="s">
        <v>36</v>
      </c>
      <c r="F1456" s="555" t="s">
        <v>123</v>
      </c>
      <c r="G1456" s="555" t="s">
        <v>225</v>
      </c>
      <c r="H1456" s="555" t="s">
        <v>225</v>
      </c>
      <c r="I1456" s="555" t="s">
        <v>98</v>
      </c>
      <c r="J1456" s="556" t="s">
        <v>98</v>
      </c>
      <c r="K1456" s="555" t="s">
        <v>98</v>
      </c>
      <c r="L1456" s="555" t="s">
        <v>98</v>
      </c>
      <c r="M1456" s="555" t="s">
        <v>98</v>
      </c>
      <c r="N1456" s="556" t="s">
        <v>8778</v>
      </c>
      <c r="O1456" s="556" t="s">
        <v>276</v>
      </c>
      <c r="P1456" s="556" t="s">
        <v>238</v>
      </c>
      <c r="Q1456" s="556" t="s">
        <v>276</v>
      </c>
      <c r="R1456" s="556" t="s">
        <v>2977</v>
      </c>
      <c r="S1456" s="556" t="s">
        <v>8784</v>
      </c>
      <c r="T1456" s="556" t="s">
        <v>98</v>
      </c>
      <c r="U1456" s="773" t="s">
        <v>8785</v>
      </c>
      <c r="V1456" s="555" t="s">
        <v>14</v>
      </c>
      <c r="W1456" s="556" t="s">
        <v>8768</v>
      </c>
      <c r="X1456" s="556" t="s">
        <v>209</v>
      </c>
      <c r="Y1456" s="560">
        <v>53464</v>
      </c>
      <c r="Z1456" s="556" t="s">
        <v>98</v>
      </c>
      <c r="AA1456" s="556" t="s">
        <v>276</v>
      </c>
      <c r="AB1456" s="556" t="s">
        <v>98</v>
      </c>
      <c r="AC1456" s="555">
        <v>0</v>
      </c>
      <c r="AD1456" s="556" t="s">
        <v>8779</v>
      </c>
      <c r="AE1456" s="555" t="s">
        <v>98</v>
      </c>
      <c r="AF1456" s="555" t="s">
        <v>98</v>
      </c>
      <c r="AG1456" s="556" t="s">
        <v>8791</v>
      </c>
      <c r="AH1456" s="556" t="s">
        <v>8771</v>
      </c>
      <c r="AI1456" s="561">
        <v>79</v>
      </c>
      <c r="AJ1456" s="561" t="s">
        <v>98</v>
      </c>
      <c r="AK1456" s="560">
        <v>53464</v>
      </c>
      <c r="AL1456" s="561" t="s">
        <v>98</v>
      </c>
      <c r="AM1456" s="561" t="s">
        <v>2047</v>
      </c>
      <c r="AN1456" s="555" t="s">
        <v>276</v>
      </c>
      <c r="AO1456" s="563">
        <f t="shared" si="435"/>
        <v>1.4776298069729163</v>
      </c>
      <c r="AP1456" s="555" t="s">
        <v>276</v>
      </c>
      <c r="AQ1456" s="555" t="s">
        <v>276</v>
      </c>
      <c r="AR1456" s="555" t="s">
        <v>98</v>
      </c>
      <c r="AS1456" s="555" t="s">
        <v>98</v>
      </c>
      <c r="AT1456" s="555" t="s">
        <v>98</v>
      </c>
      <c r="AU1456" s="555" t="s">
        <v>98</v>
      </c>
      <c r="AV1456" s="555" t="s">
        <v>98</v>
      </c>
      <c r="AW1456" s="555" t="s">
        <v>98</v>
      </c>
      <c r="AX1456" s="555" t="s">
        <v>98</v>
      </c>
      <c r="AY1456" s="555" t="s">
        <v>98</v>
      </c>
      <c r="AZ1456" s="555" t="s">
        <v>98</v>
      </c>
      <c r="BA1456" s="555" t="s">
        <v>98</v>
      </c>
      <c r="BB1456" s="555" t="s">
        <v>98</v>
      </c>
      <c r="BC1456" s="555" t="s">
        <v>98</v>
      </c>
      <c r="BD1456" s="555" t="s">
        <v>98</v>
      </c>
      <c r="BE1456" s="555" t="s">
        <v>98</v>
      </c>
      <c r="BF1456" s="556" t="s">
        <v>763</v>
      </c>
      <c r="BG1456" s="556" t="s">
        <v>8787</v>
      </c>
      <c r="BH1456" s="9" t="s">
        <v>100</v>
      </c>
      <c r="BI1456" s="9" t="s">
        <v>100</v>
      </c>
      <c r="BJ1456" s="529"/>
      <c r="BN1456" s="529"/>
      <c r="BO1456" s="529"/>
    </row>
    <row r="1457" spans="1:67" s="530" customFormat="1" ht="78" hidden="1" x14ac:dyDescent="0.35">
      <c r="A1457" s="555">
        <v>166</v>
      </c>
      <c r="B1457" s="556" t="s">
        <v>8765</v>
      </c>
      <c r="C1457" s="555" t="s">
        <v>52</v>
      </c>
      <c r="D1457" s="774" t="s">
        <v>11412</v>
      </c>
      <c r="E1457" s="555" t="s">
        <v>36</v>
      </c>
      <c r="F1457" s="555" t="s">
        <v>123</v>
      </c>
      <c r="G1457" s="555" t="s">
        <v>225</v>
      </c>
      <c r="H1457" s="555" t="s">
        <v>225</v>
      </c>
      <c r="I1457" s="555" t="s">
        <v>98</v>
      </c>
      <c r="J1457" s="556" t="s">
        <v>98</v>
      </c>
      <c r="K1457" s="555" t="s">
        <v>98</v>
      </c>
      <c r="L1457" s="555" t="s">
        <v>98</v>
      </c>
      <c r="M1457" s="555" t="s">
        <v>98</v>
      </c>
      <c r="N1457" s="556" t="s">
        <v>8778</v>
      </c>
      <c r="O1457" s="556" t="s">
        <v>276</v>
      </c>
      <c r="P1457" s="556" t="s">
        <v>238</v>
      </c>
      <c r="Q1457" s="556" t="s">
        <v>276</v>
      </c>
      <c r="R1457" s="556" t="s">
        <v>2977</v>
      </c>
      <c r="S1457" s="556" t="s">
        <v>8784</v>
      </c>
      <c r="T1457" s="556" t="s">
        <v>98</v>
      </c>
      <c r="U1457" s="773" t="s">
        <v>8785</v>
      </c>
      <c r="V1457" s="555" t="s">
        <v>14</v>
      </c>
      <c r="W1457" s="556" t="s">
        <v>8768</v>
      </c>
      <c r="X1457" s="556" t="s">
        <v>209</v>
      </c>
      <c r="Y1457" s="560">
        <v>53464</v>
      </c>
      <c r="Z1457" s="556" t="s">
        <v>98</v>
      </c>
      <c r="AA1457" s="556" t="s">
        <v>276</v>
      </c>
      <c r="AB1457" s="556" t="s">
        <v>98</v>
      </c>
      <c r="AC1457" s="555">
        <v>0</v>
      </c>
      <c r="AD1457" s="556" t="s">
        <v>8779</v>
      </c>
      <c r="AE1457" s="555" t="s">
        <v>98</v>
      </c>
      <c r="AF1457" s="555" t="s">
        <v>98</v>
      </c>
      <c r="AG1457" s="556" t="s">
        <v>11413</v>
      </c>
      <c r="AH1457" s="556" t="s">
        <v>8771</v>
      </c>
      <c r="AI1457" s="561">
        <v>191</v>
      </c>
      <c r="AJ1457" s="561" t="s">
        <v>98</v>
      </c>
      <c r="AK1457" s="560">
        <v>53464</v>
      </c>
      <c r="AL1457" s="561" t="s">
        <v>98</v>
      </c>
      <c r="AM1457" s="561" t="s">
        <v>2047</v>
      </c>
      <c r="AN1457" s="555" t="s">
        <v>276</v>
      </c>
      <c r="AO1457" s="563">
        <f t="shared" si="435"/>
        <v>3.5724973814155319</v>
      </c>
      <c r="AP1457" s="555" t="s">
        <v>276</v>
      </c>
      <c r="AQ1457" s="555" t="s">
        <v>276</v>
      </c>
      <c r="AR1457" s="555" t="s">
        <v>98</v>
      </c>
      <c r="AS1457" s="555" t="s">
        <v>98</v>
      </c>
      <c r="AT1457" s="555" t="s">
        <v>98</v>
      </c>
      <c r="AU1457" s="555" t="s">
        <v>98</v>
      </c>
      <c r="AV1457" s="555" t="s">
        <v>98</v>
      </c>
      <c r="AW1457" s="555" t="s">
        <v>98</v>
      </c>
      <c r="AX1457" s="555" t="s">
        <v>98</v>
      </c>
      <c r="AY1457" s="555" t="s">
        <v>98</v>
      </c>
      <c r="AZ1457" s="555" t="s">
        <v>98</v>
      </c>
      <c r="BA1457" s="555" t="s">
        <v>98</v>
      </c>
      <c r="BB1457" s="555" t="s">
        <v>98</v>
      </c>
      <c r="BC1457" s="555" t="s">
        <v>98</v>
      </c>
      <c r="BD1457" s="555" t="s">
        <v>98</v>
      </c>
      <c r="BE1457" s="555" t="s">
        <v>98</v>
      </c>
      <c r="BF1457" s="556" t="s">
        <v>763</v>
      </c>
      <c r="BG1457" s="556" t="s">
        <v>8787</v>
      </c>
      <c r="BH1457" s="9" t="s">
        <v>100</v>
      </c>
      <c r="BI1457" s="9" t="s">
        <v>100</v>
      </c>
      <c r="BJ1457" s="529"/>
      <c r="BN1457" s="529"/>
      <c r="BO1457" s="529"/>
    </row>
    <row r="1458" spans="1:67" s="530" customFormat="1" ht="78" hidden="1" x14ac:dyDescent="0.35">
      <c r="A1458" s="555">
        <v>166</v>
      </c>
      <c r="B1458" s="556" t="s">
        <v>8765</v>
      </c>
      <c r="C1458" s="555" t="s">
        <v>52</v>
      </c>
      <c r="D1458" s="556" t="s">
        <v>11414</v>
      </c>
      <c r="E1458" s="555" t="s">
        <v>36</v>
      </c>
      <c r="F1458" s="555" t="s">
        <v>123</v>
      </c>
      <c r="G1458" s="555" t="s">
        <v>225</v>
      </c>
      <c r="H1458" s="555" t="s">
        <v>225</v>
      </c>
      <c r="I1458" s="555" t="s">
        <v>98</v>
      </c>
      <c r="J1458" s="556" t="s">
        <v>98</v>
      </c>
      <c r="K1458" s="555" t="s">
        <v>98</v>
      </c>
      <c r="L1458" s="555" t="s">
        <v>98</v>
      </c>
      <c r="M1458" s="555" t="s">
        <v>98</v>
      </c>
      <c r="N1458" s="556" t="s">
        <v>8778</v>
      </c>
      <c r="O1458" s="556" t="s">
        <v>276</v>
      </c>
      <c r="P1458" s="556" t="s">
        <v>238</v>
      </c>
      <c r="Q1458" s="556" t="s">
        <v>276</v>
      </c>
      <c r="R1458" s="556" t="s">
        <v>2977</v>
      </c>
      <c r="S1458" s="556" t="s">
        <v>8784</v>
      </c>
      <c r="T1458" s="556" t="s">
        <v>98</v>
      </c>
      <c r="U1458" s="773" t="s">
        <v>8785</v>
      </c>
      <c r="V1458" s="555" t="s">
        <v>14</v>
      </c>
      <c r="W1458" s="556" t="s">
        <v>8768</v>
      </c>
      <c r="X1458" s="556" t="s">
        <v>209</v>
      </c>
      <c r="Y1458" s="560">
        <v>53464</v>
      </c>
      <c r="Z1458" s="556" t="s">
        <v>98</v>
      </c>
      <c r="AA1458" s="556" t="s">
        <v>276</v>
      </c>
      <c r="AB1458" s="556" t="s">
        <v>98</v>
      </c>
      <c r="AC1458" s="555">
        <v>0</v>
      </c>
      <c r="AD1458" s="556" t="s">
        <v>8779</v>
      </c>
      <c r="AE1458" s="555" t="s">
        <v>98</v>
      </c>
      <c r="AF1458" s="555" t="s">
        <v>98</v>
      </c>
      <c r="AG1458" s="556" t="s">
        <v>8792</v>
      </c>
      <c r="AH1458" s="556" t="s">
        <v>8771</v>
      </c>
      <c r="AI1458" s="561">
        <f>79+191</f>
        <v>270</v>
      </c>
      <c r="AJ1458" s="561" t="s">
        <v>98</v>
      </c>
      <c r="AK1458" s="560">
        <v>53464</v>
      </c>
      <c r="AL1458" s="561" t="s">
        <v>98</v>
      </c>
      <c r="AM1458" s="561" t="s">
        <v>2047</v>
      </c>
      <c r="AN1458" s="555" t="s">
        <v>276</v>
      </c>
      <c r="AO1458" s="563">
        <f t="shared" si="435"/>
        <v>5.0501271883884487</v>
      </c>
      <c r="AP1458" s="555" t="s">
        <v>276</v>
      </c>
      <c r="AQ1458" s="555" t="s">
        <v>276</v>
      </c>
      <c r="AR1458" s="555" t="s">
        <v>98</v>
      </c>
      <c r="AS1458" s="555" t="s">
        <v>98</v>
      </c>
      <c r="AT1458" s="555" t="s">
        <v>98</v>
      </c>
      <c r="AU1458" s="555" t="s">
        <v>98</v>
      </c>
      <c r="AV1458" s="555" t="s">
        <v>98</v>
      </c>
      <c r="AW1458" s="555" t="s">
        <v>98</v>
      </c>
      <c r="AX1458" s="555" t="s">
        <v>98</v>
      </c>
      <c r="AY1458" s="555" t="s">
        <v>98</v>
      </c>
      <c r="AZ1458" s="555" t="s">
        <v>98</v>
      </c>
      <c r="BA1458" s="555" t="s">
        <v>98</v>
      </c>
      <c r="BB1458" s="555" t="s">
        <v>98</v>
      </c>
      <c r="BC1458" s="555" t="s">
        <v>98</v>
      </c>
      <c r="BD1458" s="555" t="s">
        <v>98</v>
      </c>
      <c r="BE1458" s="555" t="s">
        <v>98</v>
      </c>
      <c r="BF1458" s="556" t="s">
        <v>763</v>
      </c>
      <c r="BG1458" s="556" t="s">
        <v>8787</v>
      </c>
      <c r="BH1458" s="9" t="s">
        <v>100</v>
      </c>
      <c r="BI1458" s="9" t="s">
        <v>100</v>
      </c>
      <c r="BJ1458" s="529"/>
      <c r="BN1458" s="529"/>
      <c r="BO1458" s="529"/>
    </row>
    <row r="1459" spans="1:67" s="79" customFormat="1" ht="78" hidden="1" x14ac:dyDescent="0.35">
      <c r="A1459" s="72">
        <v>166</v>
      </c>
      <c r="B1459" s="73" t="s">
        <v>8765</v>
      </c>
      <c r="C1459" s="72" t="s">
        <v>52</v>
      </c>
      <c r="D1459" s="73" t="s">
        <v>11415</v>
      </c>
      <c r="E1459" s="72" t="s">
        <v>36</v>
      </c>
      <c r="F1459" s="72" t="s">
        <v>123</v>
      </c>
      <c r="G1459" s="72" t="s">
        <v>225</v>
      </c>
      <c r="H1459" s="72" t="s">
        <v>225</v>
      </c>
      <c r="I1459" s="72" t="s">
        <v>98</v>
      </c>
      <c r="J1459" s="73" t="s">
        <v>98</v>
      </c>
      <c r="K1459" s="72" t="s">
        <v>98</v>
      </c>
      <c r="L1459" s="72" t="s">
        <v>98</v>
      </c>
      <c r="M1459" s="72" t="s">
        <v>98</v>
      </c>
      <c r="N1459" s="73" t="s">
        <v>8778</v>
      </c>
      <c r="O1459" s="73" t="s">
        <v>276</v>
      </c>
      <c r="P1459" s="73" t="s">
        <v>238</v>
      </c>
      <c r="Q1459" s="73" t="s">
        <v>276</v>
      </c>
      <c r="R1459" s="73" t="s">
        <v>2977</v>
      </c>
      <c r="S1459" s="73" t="s">
        <v>8784</v>
      </c>
      <c r="T1459" s="73" t="s">
        <v>98</v>
      </c>
      <c r="U1459" s="89" t="s">
        <v>8785</v>
      </c>
      <c r="V1459" s="72" t="s">
        <v>14</v>
      </c>
      <c r="W1459" s="73" t="s">
        <v>8768</v>
      </c>
      <c r="X1459" s="73" t="s">
        <v>209</v>
      </c>
      <c r="Y1459" s="74">
        <v>53464</v>
      </c>
      <c r="Z1459" s="73" t="s">
        <v>98</v>
      </c>
      <c r="AA1459" s="73" t="s">
        <v>276</v>
      </c>
      <c r="AB1459" s="73" t="s">
        <v>98</v>
      </c>
      <c r="AC1459" s="72">
        <v>0</v>
      </c>
      <c r="AD1459" s="73" t="s">
        <v>8779</v>
      </c>
      <c r="AE1459" s="72" t="s">
        <v>98</v>
      </c>
      <c r="AF1459" s="72" t="s">
        <v>98</v>
      </c>
      <c r="AG1459" s="73" t="s">
        <v>11416</v>
      </c>
      <c r="AH1459" s="73" t="s">
        <v>8771</v>
      </c>
      <c r="AI1459" s="75">
        <v>162</v>
      </c>
      <c r="AJ1459" s="75" t="s">
        <v>98</v>
      </c>
      <c r="AK1459" s="74">
        <v>53464</v>
      </c>
      <c r="AL1459" s="75" t="s">
        <v>98</v>
      </c>
      <c r="AM1459" s="75" t="s">
        <v>2047</v>
      </c>
      <c r="AN1459" s="72" t="s">
        <v>276</v>
      </c>
      <c r="AO1459" s="86">
        <f t="shared" si="435"/>
        <v>3.030076313033069</v>
      </c>
      <c r="AP1459" s="72" t="s">
        <v>276</v>
      </c>
      <c r="AQ1459" s="72" t="s">
        <v>276</v>
      </c>
      <c r="AR1459" s="72" t="s">
        <v>98</v>
      </c>
      <c r="AS1459" s="72" t="s">
        <v>98</v>
      </c>
      <c r="AT1459" s="72" t="s">
        <v>98</v>
      </c>
      <c r="AU1459" s="72" t="s">
        <v>98</v>
      </c>
      <c r="AV1459" s="72" t="s">
        <v>98</v>
      </c>
      <c r="AW1459" s="72" t="s">
        <v>98</v>
      </c>
      <c r="AX1459" s="72" t="s">
        <v>98</v>
      </c>
      <c r="AY1459" s="72" t="s">
        <v>98</v>
      </c>
      <c r="AZ1459" s="72" t="s">
        <v>98</v>
      </c>
      <c r="BA1459" s="72" t="s">
        <v>98</v>
      </c>
      <c r="BB1459" s="72" t="s">
        <v>98</v>
      </c>
      <c r="BC1459" s="72" t="s">
        <v>98</v>
      </c>
      <c r="BD1459" s="72" t="s">
        <v>98</v>
      </c>
      <c r="BE1459" s="72" t="s">
        <v>98</v>
      </c>
      <c r="BF1459" s="73" t="s">
        <v>763</v>
      </c>
      <c r="BG1459" s="73" t="s">
        <v>8787</v>
      </c>
      <c r="BH1459" s="9" t="s">
        <v>100</v>
      </c>
      <c r="BI1459" s="9" t="s">
        <v>100</v>
      </c>
      <c r="BJ1459" s="78"/>
      <c r="BN1459" s="78"/>
      <c r="BO1459" s="78"/>
    </row>
    <row r="1460" spans="1:67" s="530" customFormat="1" ht="65" hidden="1" x14ac:dyDescent="0.35">
      <c r="A1460" s="555">
        <v>166</v>
      </c>
      <c r="B1460" s="556" t="s">
        <v>8765</v>
      </c>
      <c r="C1460" s="555" t="s">
        <v>52</v>
      </c>
      <c r="D1460" s="556" t="s">
        <v>8793</v>
      </c>
      <c r="E1460" s="555" t="s">
        <v>36</v>
      </c>
      <c r="F1460" s="555" t="s">
        <v>123</v>
      </c>
      <c r="G1460" s="555" t="s">
        <v>225</v>
      </c>
      <c r="H1460" s="555" t="s">
        <v>225</v>
      </c>
      <c r="I1460" s="555" t="s">
        <v>98</v>
      </c>
      <c r="J1460" s="556" t="s">
        <v>98</v>
      </c>
      <c r="K1460" s="555" t="s">
        <v>98</v>
      </c>
      <c r="L1460" s="555" t="s">
        <v>98</v>
      </c>
      <c r="M1460" s="555" t="s">
        <v>98</v>
      </c>
      <c r="N1460" s="556" t="s">
        <v>8767</v>
      </c>
      <c r="O1460" s="556" t="s">
        <v>276</v>
      </c>
      <c r="P1460" s="556" t="s">
        <v>236</v>
      </c>
      <c r="Q1460" s="556" t="s">
        <v>276</v>
      </c>
      <c r="R1460" s="556" t="s">
        <v>2977</v>
      </c>
      <c r="S1460" s="556" t="s">
        <v>8784</v>
      </c>
      <c r="T1460" s="556" t="s">
        <v>98</v>
      </c>
      <c r="U1460" s="773" t="s">
        <v>8785</v>
      </c>
      <c r="V1460" s="555" t="s">
        <v>14</v>
      </c>
      <c r="W1460" s="556" t="s">
        <v>8768</v>
      </c>
      <c r="X1460" s="556" t="s">
        <v>209</v>
      </c>
      <c r="Y1460" s="560" t="s">
        <v>98</v>
      </c>
      <c r="Z1460" s="556" t="s">
        <v>98</v>
      </c>
      <c r="AA1460" s="556" t="s">
        <v>276</v>
      </c>
      <c r="AB1460" s="556" t="s">
        <v>98</v>
      </c>
      <c r="AC1460" s="555">
        <v>0</v>
      </c>
      <c r="AD1460" s="556" t="s">
        <v>8769</v>
      </c>
      <c r="AE1460" s="555" t="s">
        <v>98</v>
      </c>
      <c r="AF1460" s="555" t="s">
        <v>98</v>
      </c>
      <c r="AG1460" s="556" t="s">
        <v>8794</v>
      </c>
      <c r="AH1460" s="556" t="s">
        <v>8795</v>
      </c>
      <c r="AI1460" s="561">
        <v>76</v>
      </c>
      <c r="AJ1460" s="561" t="s">
        <v>98</v>
      </c>
      <c r="AK1460" s="560">
        <v>181</v>
      </c>
      <c r="AL1460" s="561" t="s">
        <v>98</v>
      </c>
      <c r="AM1460" s="561" t="s">
        <v>292</v>
      </c>
      <c r="AN1460" s="555" t="s">
        <v>276</v>
      </c>
      <c r="AO1460" s="563">
        <f>AI1460*100/AK1460</f>
        <v>41.988950276243095</v>
      </c>
      <c r="AP1460" s="555" t="s">
        <v>276</v>
      </c>
      <c r="AQ1460" s="555" t="s">
        <v>276</v>
      </c>
      <c r="AR1460" s="555" t="s">
        <v>98</v>
      </c>
      <c r="AS1460" s="555" t="s">
        <v>98</v>
      </c>
      <c r="AT1460" s="555" t="s">
        <v>98</v>
      </c>
      <c r="AU1460" s="555" t="s">
        <v>98</v>
      </c>
      <c r="AV1460" s="555" t="s">
        <v>98</v>
      </c>
      <c r="AW1460" s="555" t="s">
        <v>98</v>
      </c>
      <c r="AX1460" s="555" t="s">
        <v>98</v>
      </c>
      <c r="AY1460" s="555" t="s">
        <v>98</v>
      </c>
      <c r="AZ1460" s="555" t="s">
        <v>98</v>
      </c>
      <c r="BA1460" s="555" t="s">
        <v>98</v>
      </c>
      <c r="BB1460" s="555" t="s">
        <v>98</v>
      </c>
      <c r="BC1460" s="555" t="s">
        <v>98</v>
      </c>
      <c r="BD1460" s="555" t="s">
        <v>98</v>
      </c>
      <c r="BE1460" s="555" t="s">
        <v>98</v>
      </c>
      <c r="BF1460" s="556" t="s">
        <v>4579</v>
      </c>
      <c r="BG1460" s="556" t="s">
        <v>8787</v>
      </c>
      <c r="BH1460" s="9" t="s">
        <v>100</v>
      </c>
      <c r="BI1460" s="9" t="s">
        <v>100</v>
      </c>
      <c r="BJ1460" s="529"/>
      <c r="BN1460" s="529"/>
      <c r="BO1460" s="529"/>
    </row>
    <row r="1461" spans="1:67" s="530" customFormat="1" ht="65" hidden="1" x14ac:dyDescent="0.35">
      <c r="A1461" s="555">
        <v>166</v>
      </c>
      <c r="B1461" s="556" t="s">
        <v>8765</v>
      </c>
      <c r="C1461" s="555" t="s">
        <v>52</v>
      </c>
      <c r="D1461" s="556" t="s">
        <v>8796</v>
      </c>
      <c r="E1461" s="555" t="s">
        <v>36</v>
      </c>
      <c r="F1461" s="555" t="s">
        <v>123</v>
      </c>
      <c r="G1461" s="555" t="s">
        <v>225</v>
      </c>
      <c r="H1461" s="555" t="s">
        <v>225</v>
      </c>
      <c r="I1461" s="555" t="s">
        <v>98</v>
      </c>
      <c r="J1461" s="556" t="s">
        <v>8797</v>
      </c>
      <c r="K1461" s="555" t="s">
        <v>8798</v>
      </c>
      <c r="L1461" s="555" t="s">
        <v>98</v>
      </c>
      <c r="M1461" s="555" t="s">
        <v>98</v>
      </c>
      <c r="N1461" s="556" t="s">
        <v>8767</v>
      </c>
      <c r="O1461" s="556" t="s">
        <v>276</v>
      </c>
      <c r="P1461" s="556" t="s">
        <v>237</v>
      </c>
      <c r="Q1461" s="556" t="s">
        <v>276</v>
      </c>
      <c r="R1461" s="556" t="s">
        <v>2977</v>
      </c>
      <c r="S1461" s="556" t="s">
        <v>8784</v>
      </c>
      <c r="T1461" s="556" t="s">
        <v>98</v>
      </c>
      <c r="U1461" s="773" t="s">
        <v>8785</v>
      </c>
      <c r="V1461" s="555" t="s">
        <v>14</v>
      </c>
      <c r="W1461" s="556" t="s">
        <v>8768</v>
      </c>
      <c r="X1461" s="556" t="s">
        <v>209</v>
      </c>
      <c r="Y1461" s="560" t="s">
        <v>98</v>
      </c>
      <c r="Z1461" s="556" t="s">
        <v>98</v>
      </c>
      <c r="AA1461" s="556" t="s">
        <v>276</v>
      </c>
      <c r="AB1461" s="556" t="s">
        <v>98</v>
      </c>
      <c r="AC1461" s="555">
        <v>14</v>
      </c>
      <c r="AD1461" s="556" t="s">
        <v>8799</v>
      </c>
      <c r="AE1461" s="555" t="s">
        <v>98</v>
      </c>
      <c r="AF1461" s="555" t="s">
        <v>98</v>
      </c>
      <c r="AG1461" s="556" t="s">
        <v>8800</v>
      </c>
      <c r="AH1461" s="556" t="s">
        <v>8801</v>
      </c>
      <c r="AI1461" s="561">
        <v>8</v>
      </c>
      <c r="AJ1461" s="561" t="s">
        <v>98</v>
      </c>
      <c r="AK1461" s="623">
        <v>20</v>
      </c>
      <c r="AL1461" s="561" t="s">
        <v>98</v>
      </c>
      <c r="AM1461" s="561" t="s">
        <v>292</v>
      </c>
      <c r="AN1461" s="555" t="s">
        <v>276</v>
      </c>
      <c r="AO1461" s="563">
        <f>AI1461*100/AK1461</f>
        <v>40</v>
      </c>
      <c r="AP1461" s="555" t="s">
        <v>276</v>
      </c>
      <c r="AQ1461" s="555" t="s">
        <v>276</v>
      </c>
      <c r="AR1461" s="555" t="s">
        <v>98</v>
      </c>
      <c r="AS1461" s="555" t="s">
        <v>98</v>
      </c>
      <c r="AT1461" s="555" t="s">
        <v>98</v>
      </c>
      <c r="AU1461" s="555" t="s">
        <v>98</v>
      </c>
      <c r="AV1461" s="555" t="s">
        <v>98</v>
      </c>
      <c r="AW1461" s="555" t="s">
        <v>98</v>
      </c>
      <c r="AX1461" s="555" t="s">
        <v>98</v>
      </c>
      <c r="AY1461" s="555" t="s">
        <v>98</v>
      </c>
      <c r="AZ1461" s="555" t="s">
        <v>98</v>
      </c>
      <c r="BA1461" s="555" t="s">
        <v>98</v>
      </c>
      <c r="BB1461" s="555" t="s">
        <v>98</v>
      </c>
      <c r="BC1461" s="555" t="s">
        <v>98</v>
      </c>
      <c r="BD1461" s="555" t="s">
        <v>98</v>
      </c>
      <c r="BE1461" s="555" t="s">
        <v>98</v>
      </c>
      <c r="BF1461" s="556" t="s">
        <v>4579</v>
      </c>
      <c r="BG1461" s="556" t="s">
        <v>8787</v>
      </c>
      <c r="BH1461" s="9" t="s">
        <v>100</v>
      </c>
      <c r="BI1461" s="9" t="s">
        <v>100</v>
      </c>
      <c r="BJ1461" s="529"/>
      <c r="BN1461" s="529"/>
      <c r="BO1461" s="529"/>
    </row>
    <row r="1462" spans="1:67" s="528" customFormat="1" ht="91" hidden="1" x14ac:dyDescent="0.35">
      <c r="A1462" s="545">
        <v>166</v>
      </c>
      <c r="B1462" s="546" t="s">
        <v>8765</v>
      </c>
      <c r="C1462" s="545" t="s">
        <v>52</v>
      </c>
      <c r="D1462" s="546" t="s">
        <v>8802</v>
      </c>
      <c r="E1462" s="545" t="s">
        <v>36</v>
      </c>
      <c r="F1462" s="545" t="s">
        <v>123</v>
      </c>
      <c r="G1462" s="545" t="s">
        <v>225</v>
      </c>
      <c r="H1462" s="545" t="s">
        <v>125</v>
      </c>
      <c r="I1462" s="545" t="s">
        <v>114</v>
      </c>
      <c r="J1462" s="546" t="s">
        <v>28</v>
      </c>
      <c r="K1462" s="545" t="s">
        <v>6737</v>
      </c>
      <c r="L1462" s="545" t="s">
        <v>276</v>
      </c>
      <c r="M1462" s="545" t="s">
        <v>276</v>
      </c>
      <c r="N1462" s="546" t="s">
        <v>8803</v>
      </c>
      <c r="O1462" s="546" t="s">
        <v>276</v>
      </c>
      <c r="P1462" s="546" t="s">
        <v>239</v>
      </c>
      <c r="Q1462" s="613" t="s">
        <v>276</v>
      </c>
      <c r="R1462" s="546" t="s">
        <v>2977</v>
      </c>
      <c r="S1462" s="546" t="s">
        <v>8784</v>
      </c>
      <c r="T1462" s="546" t="s">
        <v>8784</v>
      </c>
      <c r="U1462" s="711" t="s">
        <v>8785</v>
      </c>
      <c r="V1462" s="545" t="s">
        <v>14</v>
      </c>
      <c r="W1462" s="546" t="s">
        <v>8768</v>
      </c>
      <c r="X1462" s="546" t="s">
        <v>207</v>
      </c>
      <c r="Y1462" s="550">
        <v>53464</v>
      </c>
      <c r="Z1462" s="551">
        <v>53885</v>
      </c>
      <c r="AA1462" s="546" t="s">
        <v>276</v>
      </c>
      <c r="AB1462" s="546" t="s">
        <v>276</v>
      </c>
      <c r="AC1462" s="545">
        <v>2</v>
      </c>
      <c r="AD1462" s="545" t="s">
        <v>2797</v>
      </c>
      <c r="AE1462" s="545">
        <v>4</v>
      </c>
      <c r="AF1462" s="545" t="s">
        <v>2797</v>
      </c>
      <c r="AG1462" s="546" t="s">
        <v>8804</v>
      </c>
      <c r="AH1462" s="546" t="s">
        <v>6506</v>
      </c>
      <c r="AI1462" s="551">
        <v>56</v>
      </c>
      <c r="AJ1462" s="551">
        <v>13</v>
      </c>
      <c r="AK1462" s="550">
        <v>53464</v>
      </c>
      <c r="AL1462" s="551">
        <v>53885</v>
      </c>
      <c r="AM1462" s="551" t="s">
        <v>2047</v>
      </c>
      <c r="AN1462" s="545" t="s">
        <v>276</v>
      </c>
      <c r="AO1462" s="554">
        <f>AI1462*1000/AK1462</f>
        <v>1.0474337872213078</v>
      </c>
      <c r="AP1462" s="545" t="s">
        <v>276</v>
      </c>
      <c r="AQ1462" s="545" t="s">
        <v>276</v>
      </c>
      <c r="AR1462" s="545" t="s">
        <v>276</v>
      </c>
      <c r="AS1462" s="554">
        <f>AJ1462*1000/AL1462</f>
        <v>0.24125452352231605</v>
      </c>
      <c r="AT1462" s="545" t="s">
        <v>276</v>
      </c>
      <c r="AU1462" s="545" t="s">
        <v>276</v>
      </c>
      <c r="AV1462" s="545" t="s">
        <v>268</v>
      </c>
      <c r="AW1462" s="545" t="s">
        <v>276</v>
      </c>
      <c r="AX1462" s="554">
        <f>AO1462/AS1462</f>
        <v>4.341613048032321</v>
      </c>
      <c r="AY1462" s="545" t="s">
        <v>276</v>
      </c>
      <c r="AZ1462" s="545" t="s">
        <v>276</v>
      </c>
      <c r="BA1462" s="545" t="s">
        <v>276</v>
      </c>
      <c r="BB1462" s="545" t="s">
        <v>282</v>
      </c>
      <c r="BC1462" s="545" t="s">
        <v>98</v>
      </c>
      <c r="BD1462" s="545" t="s">
        <v>98</v>
      </c>
      <c r="BE1462" s="545" t="s">
        <v>98</v>
      </c>
      <c r="BF1462" s="546" t="s">
        <v>8805</v>
      </c>
      <c r="BG1462" s="546"/>
      <c r="BH1462" s="9" t="s">
        <v>100</v>
      </c>
      <c r="BI1462" s="9" t="s">
        <v>100</v>
      </c>
      <c r="BJ1462" s="527"/>
      <c r="BN1462" s="527"/>
      <c r="BO1462" s="527"/>
    </row>
    <row r="1463" spans="1:67" s="528" customFormat="1" ht="91" hidden="1" x14ac:dyDescent="0.35">
      <c r="A1463" s="545">
        <v>166</v>
      </c>
      <c r="B1463" s="546" t="s">
        <v>8765</v>
      </c>
      <c r="C1463" s="545" t="s">
        <v>52</v>
      </c>
      <c r="D1463" s="546" t="s">
        <v>8806</v>
      </c>
      <c r="E1463" s="545" t="s">
        <v>36</v>
      </c>
      <c r="F1463" s="545" t="s">
        <v>123</v>
      </c>
      <c r="G1463" s="545" t="s">
        <v>225</v>
      </c>
      <c r="H1463" s="545" t="s">
        <v>125</v>
      </c>
      <c r="I1463" s="545" t="s">
        <v>114</v>
      </c>
      <c r="J1463" s="546" t="s">
        <v>28</v>
      </c>
      <c r="K1463" s="545" t="s">
        <v>6740</v>
      </c>
      <c r="L1463" s="545" t="s">
        <v>276</v>
      </c>
      <c r="M1463" s="545" t="s">
        <v>276</v>
      </c>
      <c r="N1463" s="546" t="s">
        <v>8803</v>
      </c>
      <c r="O1463" s="546" t="s">
        <v>276</v>
      </c>
      <c r="P1463" s="546" t="s">
        <v>239</v>
      </c>
      <c r="Q1463" s="613" t="s">
        <v>276</v>
      </c>
      <c r="R1463" s="546" t="s">
        <v>2977</v>
      </c>
      <c r="S1463" s="546" t="s">
        <v>8784</v>
      </c>
      <c r="T1463" s="546" t="s">
        <v>8784</v>
      </c>
      <c r="U1463" s="711" t="s">
        <v>8785</v>
      </c>
      <c r="V1463" s="545" t="s">
        <v>14</v>
      </c>
      <c r="W1463" s="546" t="s">
        <v>8768</v>
      </c>
      <c r="X1463" s="546" t="s">
        <v>207</v>
      </c>
      <c r="Y1463" s="550">
        <v>53464</v>
      </c>
      <c r="Z1463" s="551">
        <v>53885</v>
      </c>
      <c r="AA1463" s="546" t="s">
        <v>276</v>
      </c>
      <c r="AB1463" s="546" t="s">
        <v>276</v>
      </c>
      <c r="AC1463" s="545">
        <v>2</v>
      </c>
      <c r="AD1463" s="545" t="s">
        <v>2797</v>
      </c>
      <c r="AE1463" s="545">
        <v>4</v>
      </c>
      <c r="AF1463" s="545" t="s">
        <v>2797</v>
      </c>
      <c r="AG1463" s="546" t="s">
        <v>8807</v>
      </c>
      <c r="AH1463" s="546" t="s">
        <v>6506</v>
      </c>
      <c r="AI1463" s="551">
        <v>54</v>
      </c>
      <c r="AJ1463" s="551">
        <v>40</v>
      </c>
      <c r="AK1463" s="550">
        <v>53464</v>
      </c>
      <c r="AL1463" s="551">
        <v>53885</v>
      </c>
      <c r="AM1463" s="551" t="s">
        <v>2047</v>
      </c>
      <c r="AN1463" s="545" t="s">
        <v>276</v>
      </c>
      <c r="AO1463" s="554">
        <f>AI1463*1000/AK1463</f>
        <v>1.0100254376776896</v>
      </c>
      <c r="AP1463" s="545" t="s">
        <v>276</v>
      </c>
      <c r="AQ1463" s="545" t="s">
        <v>276</v>
      </c>
      <c r="AR1463" s="545" t="s">
        <v>276</v>
      </c>
      <c r="AS1463" s="554">
        <f>AJ1463*1000/AL1463</f>
        <v>0.7423216108378955</v>
      </c>
      <c r="AT1463" s="545" t="s">
        <v>276</v>
      </c>
      <c r="AU1463" s="545" t="s">
        <v>276</v>
      </c>
      <c r="AV1463" s="545" t="s">
        <v>268</v>
      </c>
      <c r="AW1463" s="545" t="s">
        <v>276</v>
      </c>
      <c r="AX1463" s="554">
        <f>AO1463/AS1463</f>
        <v>1.3606305177315576</v>
      </c>
      <c r="AY1463" s="545" t="s">
        <v>276</v>
      </c>
      <c r="AZ1463" s="545" t="s">
        <v>276</v>
      </c>
      <c r="BA1463" s="545" t="s">
        <v>276</v>
      </c>
      <c r="BB1463" s="545" t="s">
        <v>282</v>
      </c>
      <c r="BC1463" s="545" t="s">
        <v>98</v>
      </c>
      <c r="BD1463" s="545" t="s">
        <v>98</v>
      </c>
      <c r="BE1463" s="545" t="s">
        <v>98</v>
      </c>
      <c r="BF1463" s="546" t="s">
        <v>841</v>
      </c>
      <c r="BG1463" s="546"/>
      <c r="BH1463" s="9" t="s">
        <v>100</v>
      </c>
      <c r="BI1463" s="9" t="s">
        <v>100</v>
      </c>
      <c r="BJ1463" s="527"/>
      <c r="BN1463" s="527"/>
      <c r="BO1463" s="527"/>
    </row>
    <row r="1464" spans="1:67" s="528" customFormat="1" ht="91" hidden="1" x14ac:dyDescent="0.35">
      <c r="A1464" s="545">
        <v>166</v>
      </c>
      <c r="B1464" s="546" t="s">
        <v>8765</v>
      </c>
      <c r="C1464" s="545" t="s">
        <v>52</v>
      </c>
      <c r="D1464" s="546" t="s">
        <v>8808</v>
      </c>
      <c r="E1464" s="545" t="s">
        <v>36</v>
      </c>
      <c r="F1464" s="545" t="s">
        <v>123</v>
      </c>
      <c r="G1464" s="545" t="s">
        <v>225</v>
      </c>
      <c r="H1464" s="545" t="s">
        <v>125</v>
      </c>
      <c r="I1464" s="545" t="s">
        <v>114</v>
      </c>
      <c r="J1464" s="546" t="s">
        <v>28</v>
      </c>
      <c r="K1464" s="545" t="s">
        <v>6742</v>
      </c>
      <c r="L1464" s="545" t="s">
        <v>276</v>
      </c>
      <c r="M1464" s="545" t="s">
        <v>276</v>
      </c>
      <c r="N1464" s="546" t="s">
        <v>8803</v>
      </c>
      <c r="O1464" s="546" t="s">
        <v>276</v>
      </c>
      <c r="P1464" s="546" t="s">
        <v>239</v>
      </c>
      <c r="Q1464" s="613" t="s">
        <v>276</v>
      </c>
      <c r="R1464" s="546" t="s">
        <v>2977</v>
      </c>
      <c r="S1464" s="546" t="s">
        <v>8784</v>
      </c>
      <c r="T1464" s="546" t="s">
        <v>8784</v>
      </c>
      <c r="U1464" s="711" t="s">
        <v>8785</v>
      </c>
      <c r="V1464" s="545" t="s">
        <v>14</v>
      </c>
      <c r="W1464" s="546" t="s">
        <v>8768</v>
      </c>
      <c r="X1464" s="546" t="s">
        <v>207</v>
      </c>
      <c r="Y1464" s="550">
        <v>53464</v>
      </c>
      <c r="Z1464" s="551">
        <v>53885</v>
      </c>
      <c r="AA1464" s="546" t="s">
        <v>276</v>
      </c>
      <c r="AB1464" s="546" t="s">
        <v>276</v>
      </c>
      <c r="AC1464" s="545">
        <v>2</v>
      </c>
      <c r="AD1464" s="545" t="s">
        <v>2797</v>
      </c>
      <c r="AE1464" s="545">
        <v>4</v>
      </c>
      <c r="AF1464" s="545" t="s">
        <v>2797</v>
      </c>
      <c r="AG1464" s="546" t="s">
        <v>8809</v>
      </c>
      <c r="AH1464" s="546" t="s">
        <v>6506</v>
      </c>
      <c r="AI1464" s="551">
        <v>35</v>
      </c>
      <c r="AJ1464" s="551">
        <v>40</v>
      </c>
      <c r="AK1464" s="550">
        <v>53464</v>
      </c>
      <c r="AL1464" s="551">
        <v>53885</v>
      </c>
      <c r="AM1464" s="551" t="s">
        <v>2047</v>
      </c>
      <c r="AN1464" s="545" t="s">
        <v>276</v>
      </c>
      <c r="AO1464" s="554">
        <f>AI1464*1000/AK1464</f>
        <v>0.65464611701331732</v>
      </c>
      <c r="AP1464" s="545" t="s">
        <v>276</v>
      </c>
      <c r="AQ1464" s="545" t="s">
        <v>276</v>
      </c>
      <c r="AR1464" s="545" t="s">
        <v>276</v>
      </c>
      <c r="AS1464" s="554">
        <f>AJ1464*1000/AL1464</f>
        <v>0.7423216108378955</v>
      </c>
      <c r="AT1464" s="545" t="s">
        <v>276</v>
      </c>
      <c r="AU1464" s="545" t="s">
        <v>276</v>
      </c>
      <c r="AV1464" s="545" t="s">
        <v>268</v>
      </c>
      <c r="AW1464" s="545" t="s">
        <v>276</v>
      </c>
      <c r="AX1464" s="554">
        <f>AO1464/AS1464</f>
        <v>0.88189015038156515</v>
      </c>
      <c r="AY1464" s="545" t="s">
        <v>276</v>
      </c>
      <c r="AZ1464" s="545" t="s">
        <v>276</v>
      </c>
      <c r="BA1464" s="545" t="s">
        <v>276</v>
      </c>
      <c r="BB1464" s="545" t="s">
        <v>282</v>
      </c>
      <c r="BC1464" s="545" t="s">
        <v>98</v>
      </c>
      <c r="BD1464" s="545" t="s">
        <v>98</v>
      </c>
      <c r="BE1464" s="545" t="s">
        <v>98</v>
      </c>
      <c r="BF1464" s="546" t="s">
        <v>841</v>
      </c>
      <c r="BG1464" s="546"/>
      <c r="BH1464" s="9" t="s">
        <v>100</v>
      </c>
      <c r="BI1464" s="9" t="s">
        <v>100</v>
      </c>
      <c r="BJ1464" s="527"/>
      <c r="BN1464" s="527"/>
      <c r="BO1464" s="527"/>
    </row>
    <row r="1465" spans="1:67" s="528" customFormat="1" ht="91" hidden="1" x14ac:dyDescent="0.35">
      <c r="A1465" s="545">
        <v>166</v>
      </c>
      <c r="B1465" s="546" t="s">
        <v>8765</v>
      </c>
      <c r="C1465" s="545" t="s">
        <v>52</v>
      </c>
      <c r="D1465" s="546" t="s">
        <v>8810</v>
      </c>
      <c r="E1465" s="545" t="s">
        <v>36</v>
      </c>
      <c r="F1465" s="545" t="s">
        <v>123</v>
      </c>
      <c r="G1465" s="545" t="s">
        <v>225</v>
      </c>
      <c r="H1465" s="545" t="s">
        <v>125</v>
      </c>
      <c r="I1465" s="545" t="s">
        <v>114</v>
      </c>
      <c r="J1465" s="546" t="s">
        <v>28</v>
      </c>
      <c r="K1465" s="545" t="s">
        <v>7100</v>
      </c>
      <c r="L1465" s="545" t="s">
        <v>276</v>
      </c>
      <c r="M1465" s="545" t="s">
        <v>276</v>
      </c>
      <c r="N1465" s="546" t="s">
        <v>8803</v>
      </c>
      <c r="O1465" s="546" t="s">
        <v>276</v>
      </c>
      <c r="P1465" s="546" t="s">
        <v>239</v>
      </c>
      <c r="Q1465" s="613" t="s">
        <v>276</v>
      </c>
      <c r="R1465" s="546" t="s">
        <v>2977</v>
      </c>
      <c r="S1465" s="546" t="s">
        <v>8784</v>
      </c>
      <c r="T1465" s="546" t="s">
        <v>8784</v>
      </c>
      <c r="U1465" s="711" t="s">
        <v>8785</v>
      </c>
      <c r="V1465" s="545" t="s">
        <v>14</v>
      </c>
      <c r="W1465" s="546" t="s">
        <v>8768</v>
      </c>
      <c r="X1465" s="546" t="s">
        <v>207</v>
      </c>
      <c r="Y1465" s="550">
        <v>53464</v>
      </c>
      <c r="Z1465" s="551">
        <v>53885</v>
      </c>
      <c r="AA1465" s="546" t="s">
        <v>276</v>
      </c>
      <c r="AB1465" s="546" t="s">
        <v>276</v>
      </c>
      <c r="AC1465" s="545">
        <v>2</v>
      </c>
      <c r="AD1465" s="545" t="s">
        <v>2797</v>
      </c>
      <c r="AE1465" s="545">
        <v>4</v>
      </c>
      <c r="AF1465" s="545" t="s">
        <v>2797</v>
      </c>
      <c r="AG1465" s="546" t="s">
        <v>8811</v>
      </c>
      <c r="AH1465" s="546" t="s">
        <v>6506</v>
      </c>
      <c r="AI1465" s="551">
        <v>34</v>
      </c>
      <c r="AJ1465" s="551">
        <v>26</v>
      </c>
      <c r="AK1465" s="550">
        <v>53464</v>
      </c>
      <c r="AL1465" s="551">
        <v>53885</v>
      </c>
      <c r="AM1465" s="551" t="s">
        <v>2047</v>
      </c>
      <c r="AN1465" s="545" t="s">
        <v>276</v>
      </c>
      <c r="AO1465" s="554">
        <f>AI1465*1000/AK1465</f>
        <v>0.63594194224150835</v>
      </c>
      <c r="AP1465" s="545" t="s">
        <v>276</v>
      </c>
      <c r="AQ1465" s="545" t="s">
        <v>276</v>
      </c>
      <c r="AR1465" s="545" t="s">
        <v>276</v>
      </c>
      <c r="AS1465" s="554">
        <f>AJ1465*1000/AL1465</f>
        <v>0.4825090470446321</v>
      </c>
      <c r="AT1465" s="545" t="s">
        <v>276</v>
      </c>
      <c r="AU1465" s="545" t="s">
        <v>276</v>
      </c>
      <c r="AV1465" s="545" t="s">
        <v>268</v>
      </c>
      <c r="AW1465" s="545" t="s">
        <v>276</v>
      </c>
      <c r="AX1465" s="554">
        <f>AO1465/AS1465</f>
        <v>1.317989675295526</v>
      </c>
      <c r="AY1465" s="545" t="s">
        <v>276</v>
      </c>
      <c r="AZ1465" s="545" t="s">
        <v>276</v>
      </c>
      <c r="BA1465" s="545" t="s">
        <v>276</v>
      </c>
      <c r="BB1465" s="545" t="s">
        <v>282</v>
      </c>
      <c r="BC1465" s="545" t="s">
        <v>98</v>
      </c>
      <c r="BD1465" s="545" t="s">
        <v>98</v>
      </c>
      <c r="BE1465" s="545" t="s">
        <v>98</v>
      </c>
      <c r="BF1465" s="546" t="s">
        <v>8812</v>
      </c>
      <c r="BG1465" s="546"/>
      <c r="BH1465" s="9" t="s">
        <v>100</v>
      </c>
      <c r="BI1465" s="9" t="s">
        <v>100</v>
      </c>
      <c r="BJ1465" s="527"/>
      <c r="BN1465" s="527"/>
      <c r="BO1465" s="527"/>
    </row>
    <row r="1466" spans="1:67" s="528" customFormat="1" ht="91" hidden="1" x14ac:dyDescent="0.35">
      <c r="A1466" s="545">
        <v>166</v>
      </c>
      <c r="B1466" s="546" t="s">
        <v>8765</v>
      </c>
      <c r="C1466" s="545" t="s">
        <v>52</v>
      </c>
      <c r="D1466" s="546" t="s">
        <v>8813</v>
      </c>
      <c r="E1466" s="545" t="s">
        <v>36</v>
      </c>
      <c r="F1466" s="545" t="s">
        <v>123</v>
      </c>
      <c r="G1466" s="545" t="s">
        <v>225</v>
      </c>
      <c r="H1466" s="545" t="s">
        <v>125</v>
      </c>
      <c r="I1466" s="545" t="s">
        <v>114</v>
      </c>
      <c r="J1466" s="546" t="s">
        <v>28</v>
      </c>
      <c r="K1466" s="545" t="s">
        <v>7100</v>
      </c>
      <c r="L1466" s="545" t="s">
        <v>276</v>
      </c>
      <c r="M1466" s="545" t="s">
        <v>276</v>
      </c>
      <c r="N1466" s="546" t="s">
        <v>8803</v>
      </c>
      <c r="O1466" s="546" t="s">
        <v>276</v>
      </c>
      <c r="P1466" s="546" t="s">
        <v>239</v>
      </c>
      <c r="Q1466" s="613" t="s">
        <v>276</v>
      </c>
      <c r="R1466" s="546" t="s">
        <v>2977</v>
      </c>
      <c r="S1466" s="546" t="s">
        <v>8784</v>
      </c>
      <c r="T1466" s="546" t="s">
        <v>8784</v>
      </c>
      <c r="U1466" s="711" t="s">
        <v>8785</v>
      </c>
      <c r="V1466" s="545" t="s">
        <v>14</v>
      </c>
      <c r="W1466" s="546" t="s">
        <v>8768</v>
      </c>
      <c r="X1466" s="546" t="s">
        <v>207</v>
      </c>
      <c r="Y1466" s="550">
        <v>53464</v>
      </c>
      <c r="Z1466" s="551">
        <v>53885</v>
      </c>
      <c r="AA1466" s="546" t="s">
        <v>276</v>
      </c>
      <c r="AB1466" s="546" t="s">
        <v>276</v>
      </c>
      <c r="AC1466" s="545">
        <v>2</v>
      </c>
      <c r="AD1466" s="545" t="s">
        <v>2797</v>
      </c>
      <c r="AE1466" s="545">
        <v>4</v>
      </c>
      <c r="AF1466" s="545" t="s">
        <v>2797</v>
      </c>
      <c r="AG1466" s="546" t="s">
        <v>8811</v>
      </c>
      <c r="AH1466" s="546" t="s">
        <v>1487</v>
      </c>
      <c r="AI1466" s="551">
        <v>34</v>
      </c>
      <c r="AJ1466" s="551">
        <v>26</v>
      </c>
      <c r="AK1466" s="550" t="s">
        <v>276</v>
      </c>
      <c r="AL1466" s="551" t="s">
        <v>276</v>
      </c>
      <c r="AM1466" s="551" t="s">
        <v>425</v>
      </c>
      <c r="AN1466" s="545">
        <v>0.2</v>
      </c>
      <c r="AO1466" s="554" t="s">
        <v>98</v>
      </c>
      <c r="AP1466" s="545" t="s">
        <v>276</v>
      </c>
      <c r="AQ1466" s="545" t="s">
        <v>276</v>
      </c>
      <c r="AR1466" s="545">
        <v>0.15</v>
      </c>
      <c r="AS1466" s="554" t="s">
        <v>98</v>
      </c>
      <c r="AT1466" s="545" t="s">
        <v>276</v>
      </c>
      <c r="AU1466" s="545" t="s">
        <v>276</v>
      </c>
      <c r="AV1466" s="545" t="s">
        <v>269</v>
      </c>
      <c r="AW1466" s="545" t="s">
        <v>276</v>
      </c>
      <c r="AX1466" s="554">
        <f>AN1466/AR1466</f>
        <v>1.3333333333333335</v>
      </c>
      <c r="AY1466" s="545" t="s">
        <v>276</v>
      </c>
      <c r="AZ1466" s="545" t="s">
        <v>276</v>
      </c>
      <c r="BA1466" s="545" t="s">
        <v>276</v>
      </c>
      <c r="BB1466" s="545" t="s">
        <v>282</v>
      </c>
      <c r="BC1466" s="545" t="s">
        <v>98</v>
      </c>
      <c r="BD1466" s="545" t="s">
        <v>98</v>
      </c>
      <c r="BE1466" s="545" t="s">
        <v>98</v>
      </c>
      <c r="BF1466" s="546" t="s">
        <v>8814</v>
      </c>
      <c r="BG1466" s="546"/>
      <c r="BH1466" s="9" t="s">
        <v>100</v>
      </c>
      <c r="BI1466" s="9" t="s">
        <v>100</v>
      </c>
      <c r="BJ1466" s="527"/>
      <c r="BN1466" s="527"/>
      <c r="BO1466" s="527"/>
    </row>
    <row r="1467" spans="1:67" s="532" customFormat="1" ht="78" hidden="1" x14ac:dyDescent="0.35">
      <c r="A1467" s="577">
        <v>165</v>
      </c>
      <c r="B1467" s="578" t="s">
        <v>8707</v>
      </c>
      <c r="C1467" s="577" t="s">
        <v>52</v>
      </c>
      <c r="D1467" s="578" t="s">
        <v>8815</v>
      </c>
      <c r="E1467" s="577" t="s">
        <v>36</v>
      </c>
      <c r="F1467" s="577" t="s">
        <v>123</v>
      </c>
      <c r="G1467" s="577" t="s">
        <v>225</v>
      </c>
      <c r="H1467" s="577" t="s">
        <v>225</v>
      </c>
      <c r="I1467" s="577" t="s">
        <v>98</v>
      </c>
      <c r="J1467" s="578" t="s">
        <v>98</v>
      </c>
      <c r="K1467" s="577" t="s">
        <v>98</v>
      </c>
      <c r="L1467" s="577" t="s">
        <v>98</v>
      </c>
      <c r="M1467" s="577" t="s">
        <v>98</v>
      </c>
      <c r="N1467" s="578" t="s">
        <v>8816</v>
      </c>
      <c r="O1467" s="578" t="s">
        <v>8710</v>
      </c>
      <c r="P1467" s="578" t="s">
        <v>238</v>
      </c>
      <c r="Q1467" s="629">
        <v>34880</v>
      </c>
      <c r="R1467" s="578" t="s">
        <v>8711</v>
      </c>
      <c r="S1467" s="578" t="s">
        <v>8712</v>
      </c>
      <c r="T1467" s="578" t="s">
        <v>98</v>
      </c>
      <c r="U1467" s="717" t="s">
        <v>8713</v>
      </c>
      <c r="V1467" s="577" t="s">
        <v>14</v>
      </c>
      <c r="W1467" s="578" t="s">
        <v>98</v>
      </c>
      <c r="X1467" s="578" t="s">
        <v>209</v>
      </c>
      <c r="Y1467" s="582">
        <v>75253</v>
      </c>
      <c r="Z1467" s="578" t="s">
        <v>98</v>
      </c>
      <c r="AA1467" s="578" t="s">
        <v>276</v>
      </c>
      <c r="AB1467" s="578" t="s">
        <v>98</v>
      </c>
      <c r="AC1467" s="577">
        <v>0</v>
      </c>
      <c r="AD1467" s="578" t="s">
        <v>8769</v>
      </c>
      <c r="AE1467" s="577" t="s">
        <v>98</v>
      </c>
      <c r="AF1467" s="577" t="s">
        <v>98</v>
      </c>
      <c r="AG1467" s="578" t="s">
        <v>8817</v>
      </c>
      <c r="AH1467" s="578" t="s">
        <v>6547</v>
      </c>
      <c r="AI1467" s="583">
        <v>236</v>
      </c>
      <c r="AJ1467" s="583" t="s">
        <v>98</v>
      </c>
      <c r="AK1467" s="582">
        <v>75253</v>
      </c>
      <c r="AL1467" s="583" t="s">
        <v>98</v>
      </c>
      <c r="AM1467" s="583" t="s">
        <v>2047</v>
      </c>
      <c r="AN1467" s="577" t="s">
        <v>276</v>
      </c>
      <c r="AO1467" s="586">
        <f>AI1467*1000/AK1467</f>
        <v>3.1360875978366312</v>
      </c>
      <c r="AP1467" s="577" t="s">
        <v>276</v>
      </c>
      <c r="AQ1467" s="577" t="s">
        <v>276</v>
      </c>
      <c r="AR1467" s="577" t="s">
        <v>98</v>
      </c>
      <c r="AS1467" s="577" t="s">
        <v>98</v>
      </c>
      <c r="AT1467" s="577" t="s">
        <v>98</v>
      </c>
      <c r="AU1467" s="577" t="s">
        <v>98</v>
      </c>
      <c r="AV1467" s="577" t="s">
        <v>98</v>
      </c>
      <c r="AW1467" s="577" t="s">
        <v>98</v>
      </c>
      <c r="AX1467" s="577" t="s">
        <v>98</v>
      </c>
      <c r="AY1467" s="577" t="s">
        <v>98</v>
      </c>
      <c r="AZ1467" s="577" t="s">
        <v>98</v>
      </c>
      <c r="BA1467" s="577" t="s">
        <v>98</v>
      </c>
      <c r="BB1467" s="577" t="s">
        <v>98</v>
      </c>
      <c r="BC1467" s="577" t="s">
        <v>98</v>
      </c>
      <c r="BD1467" s="577" t="s">
        <v>98</v>
      </c>
      <c r="BE1467" s="577" t="s">
        <v>98</v>
      </c>
      <c r="BF1467" s="578" t="s">
        <v>8818</v>
      </c>
      <c r="BG1467" s="578"/>
      <c r="BH1467" s="9" t="s">
        <v>100</v>
      </c>
      <c r="BI1467" s="9" t="s">
        <v>100</v>
      </c>
      <c r="BJ1467" s="531"/>
      <c r="BN1467" s="531"/>
      <c r="BO1467" s="531"/>
    </row>
    <row r="1468" spans="1:67" s="534" customFormat="1" ht="78" x14ac:dyDescent="0.35">
      <c r="A1468" s="567">
        <v>165</v>
      </c>
      <c r="B1468" s="568" t="s">
        <v>8707</v>
      </c>
      <c r="C1468" s="567" t="s">
        <v>52</v>
      </c>
      <c r="D1468" s="568" t="s">
        <v>8819</v>
      </c>
      <c r="E1468" s="567" t="s">
        <v>36</v>
      </c>
      <c r="F1468" s="567" t="s">
        <v>123</v>
      </c>
      <c r="G1468" s="567" t="s">
        <v>225</v>
      </c>
      <c r="H1468" s="567" t="s">
        <v>225</v>
      </c>
      <c r="I1468" s="567" t="s">
        <v>98</v>
      </c>
      <c r="J1468" s="568" t="s">
        <v>98</v>
      </c>
      <c r="K1468" s="567" t="s">
        <v>98</v>
      </c>
      <c r="L1468" s="567" t="s">
        <v>98</v>
      </c>
      <c r="M1468" s="567" t="s">
        <v>98</v>
      </c>
      <c r="N1468" s="568" t="s">
        <v>8816</v>
      </c>
      <c r="O1468" s="568" t="s">
        <v>8710</v>
      </c>
      <c r="P1468" s="568" t="s">
        <v>236</v>
      </c>
      <c r="Q1468" s="633">
        <v>34880</v>
      </c>
      <c r="R1468" s="568" t="s">
        <v>8711</v>
      </c>
      <c r="S1468" s="568" t="s">
        <v>8712</v>
      </c>
      <c r="T1468" s="568" t="s">
        <v>98</v>
      </c>
      <c r="U1468" s="719" t="s">
        <v>8713</v>
      </c>
      <c r="V1468" s="567" t="s">
        <v>14</v>
      </c>
      <c r="W1468" s="568" t="s">
        <v>98</v>
      </c>
      <c r="X1468" s="568" t="s">
        <v>209</v>
      </c>
      <c r="Y1468" s="572" t="s">
        <v>98</v>
      </c>
      <c r="Z1468" s="568" t="s">
        <v>98</v>
      </c>
      <c r="AA1468" s="568" t="s">
        <v>276</v>
      </c>
      <c r="AB1468" s="568" t="s">
        <v>98</v>
      </c>
      <c r="AC1468" s="567">
        <v>0</v>
      </c>
      <c r="AD1468" s="568" t="s">
        <v>8769</v>
      </c>
      <c r="AE1468" s="567" t="s">
        <v>98</v>
      </c>
      <c r="AF1468" s="567" t="s">
        <v>98</v>
      </c>
      <c r="AG1468" s="568" t="s">
        <v>8817</v>
      </c>
      <c r="AH1468" s="568" t="s">
        <v>8820</v>
      </c>
      <c r="AI1468" s="573">
        <v>236</v>
      </c>
      <c r="AJ1468" s="573" t="s">
        <v>98</v>
      </c>
      <c r="AK1468" s="572">
        <v>893</v>
      </c>
      <c r="AL1468" s="573" t="s">
        <v>98</v>
      </c>
      <c r="AM1468" s="573" t="s">
        <v>292</v>
      </c>
      <c r="AN1468" s="567" t="s">
        <v>276</v>
      </c>
      <c r="AO1468" s="576">
        <f>AI1468*100/AK1468</f>
        <v>26.427771556550951</v>
      </c>
      <c r="AP1468" s="567" t="s">
        <v>276</v>
      </c>
      <c r="AQ1468" s="567" t="s">
        <v>276</v>
      </c>
      <c r="AR1468" s="567" t="s">
        <v>98</v>
      </c>
      <c r="AS1468" s="567" t="s">
        <v>98</v>
      </c>
      <c r="AT1468" s="567" t="s">
        <v>98</v>
      </c>
      <c r="AU1468" s="567" t="s">
        <v>98</v>
      </c>
      <c r="AV1468" s="567" t="s">
        <v>98</v>
      </c>
      <c r="AW1468" s="567" t="s">
        <v>98</v>
      </c>
      <c r="AX1468" s="567" t="s">
        <v>98</v>
      </c>
      <c r="AY1468" s="567" t="s">
        <v>98</v>
      </c>
      <c r="AZ1468" s="567" t="s">
        <v>98</v>
      </c>
      <c r="BA1468" s="567" t="s">
        <v>98</v>
      </c>
      <c r="BB1468" s="567" t="s">
        <v>98</v>
      </c>
      <c r="BC1468" s="567" t="s">
        <v>98</v>
      </c>
      <c r="BD1468" s="567" t="s">
        <v>98</v>
      </c>
      <c r="BE1468" s="567" t="s">
        <v>98</v>
      </c>
      <c r="BF1468" s="568" t="s">
        <v>8821</v>
      </c>
      <c r="BG1468" s="568"/>
      <c r="BH1468" s="9" t="s">
        <v>99</v>
      </c>
      <c r="BI1468" s="9" t="s">
        <v>100</v>
      </c>
      <c r="BJ1468" s="533"/>
      <c r="BN1468" s="533"/>
      <c r="BO1468" s="533"/>
    </row>
    <row r="1469" spans="1:67" s="532" customFormat="1" ht="52" hidden="1" x14ac:dyDescent="0.35">
      <c r="A1469" s="577">
        <v>165</v>
      </c>
      <c r="B1469" s="578" t="s">
        <v>8707</v>
      </c>
      <c r="C1469" s="577" t="s">
        <v>52</v>
      </c>
      <c r="D1469" s="578" t="s">
        <v>8822</v>
      </c>
      <c r="E1469" s="577" t="s">
        <v>36</v>
      </c>
      <c r="F1469" s="577" t="s">
        <v>123</v>
      </c>
      <c r="G1469" s="577" t="s">
        <v>225</v>
      </c>
      <c r="H1469" s="577" t="s">
        <v>225</v>
      </c>
      <c r="I1469" s="577" t="s">
        <v>98</v>
      </c>
      <c r="J1469" s="578" t="s">
        <v>98</v>
      </c>
      <c r="K1469" s="577" t="s">
        <v>98</v>
      </c>
      <c r="L1469" s="577" t="s">
        <v>98</v>
      </c>
      <c r="M1469" s="577" t="s">
        <v>98</v>
      </c>
      <c r="N1469" s="578" t="s">
        <v>8816</v>
      </c>
      <c r="O1469" s="578" t="s">
        <v>8710</v>
      </c>
      <c r="P1469" s="578" t="s">
        <v>238</v>
      </c>
      <c r="Q1469" s="629">
        <v>34880</v>
      </c>
      <c r="R1469" s="578" t="s">
        <v>8711</v>
      </c>
      <c r="S1469" s="578" t="s">
        <v>8712</v>
      </c>
      <c r="T1469" s="578" t="s">
        <v>98</v>
      </c>
      <c r="U1469" s="717" t="s">
        <v>8713</v>
      </c>
      <c r="V1469" s="577" t="s">
        <v>14</v>
      </c>
      <c r="W1469" s="578" t="s">
        <v>98</v>
      </c>
      <c r="X1469" s="578" t="s">
        <v>209</v>
      </c>
      <c r="Y1469" s="582">
        <v>75253</v>
      </c>
      <c r="Z1469" s="578" t="s">
        <v>98</v>
      </c>
      <c r="AA1469" s="578" t="s">
        <v>276</v>
      </c>
      <c r="AB1469" s="578" t="s">
        <v>98</v>
      </c>
      <c r="AC1469" s="577">
        <v>0</v>
      </c>
      <c r="AD1469" s="578" t="s">
        <v>8769</v>
      </c>
      <c r="AE1469" s="577" t="s">
        <v>98</v>
      </c>
      <c r="AF1469" s="577" t="s">
        <v>98</v>
      </c>
      <c r="AG1469" s="578" t="s">
        <v>8823</v>
      </c>
      <c r="AH1469" s="578" t="s">
        <v>6547</v>
      </c>
      <c r="AI1469" s="583">
        <v>710</v>
      </c>
      <c r="AJ1469" s="583" t="s">
        <v>98</v>
      </c>
      <c r="AK1469" s="582">
        <v>75253</v>
      </c>
      <c r="AL1469" s="583" t="s">
        <v>98</v>
      </c>
      <c r="AM1469" s="583" t="s">
        <v>2047</v>
      </c>
      <c r="AN1469" s="577" t="s">
        <v>276</v>
      </c>
      <c r="AO1469" s="586">
        <f t="shared" ref="AO1469" si="436">AI1469*1000/AK1469</f>
        <v>9.4348398070508814</v>
      </c>
      <c r="AP1469" s="577" t="s">
        <v>276</v>
      </c>
      <c r="AQ1469" s="577" t="s">
        <v>276</v>
      </c>
      <c r="AR1469" s="577" t="s">
        <v>98</v>
      </c>
      <c r="AS1469" s="577" t="s">
        <v>98</v>
      </c>
      <c r="AT1469" s="577" t="s">
        <v>98</v>
      </c>
      <c r="AU1469" s="577" t="s">
        <v>98</v>
      </c>
      <c r="AV1469" s="577" t="s">
        <v>98</v>
      </c>
      <c r="AW1469" s="577" t="s">
        <v>98</v>
      </c>
      <c r="AX1469" s="577" t="s">
        <v>98</v>
      </c>
      <c r="AY1469" s="577" t="s">
        <v>98</v>
      </c>
      <c r="AZ1469" s="577" t="s">
        <v>98</v>
      </c>
      <c r="BA1469" s="577" t="s">
        <v>98</v>
      </c>
      <c r="BB1469" s="577" t="s">
        <v>98</v>
      </c>
      <c r="BC1469" s="577" t="s">
        <v>98</v>
      </c>
      <c r="BD1469" s="577" t="s">
        <v>98</v>
      </c>
      <c r="BE1469" s="577" t="s">
        <v>98</v>
      </c>
      <c r="BF1469" s="578" t="s">
        <v>8824</v>
      </c>
      <c r="BG1469" s="578"/>
      <c r="BH1469" s="9" t="s">
        <v>100</v>
      </c>
      <c r="BI1469" s="9" t="s">
        <v>100</v>
      </c>
      <c r="BJ1469" s="531"/>
      <c r="BN1469" s="531"/>
      <c r="BO1469" s="531"/>
    </row>
    <row r="1470" spans="1:67" s="532" customFormat="1" ht="65" hidden="1" x14ac:dyDescent="0.35">
      <c r="A1470" s="577">
        <v>165</v>
      </c>
      <c r="B1470" s="578" t="s">
        <v>8707</v>
      </c>
      <c r="C1470" s="577" t="s">
        <v>52</v>
      </c>
      <c r="D1470" s="578" t="s">
        <v>11681</v>
      </c>
      <c r="E1470" s="577" t="s">
        <v>36</v>
      </c>
      <c r="F1470" s="577" t="s">
        <v>123</v>
      </c>
      <c r="G1470" s="577" t="s">
        <v>225</v>
      </c>
      <c r="H1470" s="577" t="s">
        <v>225</v>
      </c>
      <c r="I1470" s="577" t="s">
        <v>98</v>
      </c>
      <c r="J1470" s="578" t="s">
        <v>98</v>
      </c>
      <c r="K1470" s="577" t="s">
        <v>98</v>
      </c>
      <c r="L1470" s="577" t="s">
        <v>98</v>
      </c>
      <c r="M1470" s="577" t="s">
        <v>98</v>
      </c>
      <c r="N1470" s="578" t="s">
        <v>8816</v>
      </c>
      <c r="O1470" s="578" t="s">
        <v>8710</v>
      </c>
      <c r="P1470" s="578" t="s">
        <v>238</v>
      </c>
      <c r="Q1470" s="629">
        <v>34880</v>
      </c>
      <c r="R1470" s="578" t="s">
        <v>8711</v>
      </c>
      <c r="S1470" s="578" t="s">
        <v>8712</v>
      </c>
      <c r="T1470" s="578" t="s">
        <v>98</v>
      </c>
      <c r="U1470" s="717" t="s">
        <v>8713</v>
      </c>
      <c r="V1470" s="577" t="s">
        <v>14</v>
      </c>
      <c r="W1470" s="578" t="s">
        <v>98</v>
      </c>
      <c r="X1470" s="578" t="s">
        <v>209</v>
      </c>
      <c r="Y1470" s="582">
        <v>75253</v>
      </c>
      <c r="Z1470" s="578" t="s">
        <v>98</v>
      </c>
      <c r="AA1470" s="578" t="s">
        <v>276</v>
      </c>
      <c r="AB1470" s="578" t="s">
        <v>98</v>
      </c>
      <c r="AC1470" s="577">
        <v>0</v>
      </c>
      <c r="AD1470" s="578" t="s">
        <v>8769</v>
      </c>
      <c r="AE1470" s="577" t="s">
        <v>98</v>
      </c>
      <c r="AF1470" s="577" t="s">
        <v>98</v>
      </c>
      <c r="AG1470" s="578" t="s">
        <v>11682</v>
      </c>
      <c r="AH1470" s="578" t="s">
        <v>6547</v>
      </c>
      <c r="AI1470" s="583">
        <f>710+236</f>
        <v>946</v>
      </c>
      <c r="AJ1470" s="583" t="s">
        <v>98</v>
      </c>
      <c r="AK1470" s="582">
        <v>75253</v>
      </c>
      <c r="AL1470" s="583" t="s">
        <v>98</v>
      </c>
      <c r="AM1470" s="583" t="s">
        <v>2047</v>
      </c>
      <c r="AN1470" s="577" t="s">
        <v>276</v>
      </c>
      <c r="AO1470" s="586">
        <f t="shared" ref="AO1470:AO1485" si="437">AI1470*1000/AK1470</f>
        <v>12.570927404887513</v>
      </c>
      <c r="AP1470" s="577" t="s">
        <v>276</v>
      </c>
      <c r="AQ1470" s="577" t="s">
        <v>276</v>
      </c>
      <c r="AR1470" s="577" t="s">
        <v>98</v>
      </c>
      <c r="AS1470" s="577" t="s">
        <v>98</v>
      </c>
      <c r="AT1470" s="577" t="s">
        <v>98</v>
      </c>
      <c r="AU1470" s="577" t="s">
        <v>98</v>
      </c>
      <c r="AV1470" s="577" t="s">
        <v>98</v>
      </c>
      <c r="AW1470" s="577" t="s">
        <v>98</v>
      </c>
      <c r="AX1470" s="577" t="s">
        <v>98</v>
      </c>
      <c r="AY1470" s="577" t="s">
        <v>98</v>
      </c>
      <c r="AZ1470" s="577" t="s">
        <v>98</v>
      </c>
      <c r="BA1470" s="577" t="s">
        <v>98</v>
      </c>
      <c r="BB1470" s="577" t="s">
        <v>98</v>
      </c>
      <c r="BC1470" s="577" t="s">
        <v>98</v>
      </c>
      <c r="BD1470" s="577" t="s">
        <v>98</v>
      </c>
      <c r="BE1470" s="577" t="s">
        <v>98</v>
      </c>
      <c r="BF1470" s="578" t="s">
        <v>8824</v>
      </c>
      <c r="BG1470" s="578"/>
      <c r="BH1470" s="9" t="s">
        <v>100</v>
      </c>
      <c r="BI1470" s="9" t="s">
        <v>100</v>
      </c>
      <c r="BJ1470" s="531"/>
      <c r="BN1470" s="531"/>
      <c r="BO1470" s="531"/>
    </row>
    <row r="1471" spans="1:67" s="532" customFormat="1" ht="65" hidden="1" x14ac:dyDescent="0.35">
      <c r="A1471" s="577">
        <v>165</v>
      </c>
      <c r="B1471" s="578" t="s">
        <v>8707</v>
      </c>
      <c r="C1471" s="577" t="s">
        <v>52</v>
      </c>
      <c r="D1471" s="578" t="s">
        <v>11417</v>
      </c>
      <c r="E1471" s="577" t="s">
        <v>36</v>
      </c>
      <c r="F1471" s="577" t="s">
        <v>123</v>
      </c>
      <c r="G1471" s="577" t="s">
        <v>225</v>
      </c>
      <c r="H1471" s="577" t="s">
        <v>225</v>
      </c>
      <c r="I1471" s="577" t="s">
        <v>98</v>
      </c>
      <c r="J1471" s="578" t="s">
        <v>98</v>
      </c>
      <c r="K1471" s="577" t="s">
        <v>98</v>
      </c>
      <c r="L1471" s="577" t="s">
        <v>98</v>
      </c>
      <c r="M1471" s="577" t="s">
        <v>98</v>
      </c>
      <c r="N1471" s="578" t="s">
        <v>8816</v>
      </c>
      <c r="O1471" s="578" t="s">
        <v>8710</v>
      </c>
      <c r="P1471" s="578" t="s">
        <v>238</v>
      </c>
      <c r="Q1471" s="629">
        <v>34880</v>
      </c>
      <c r="R1471" s="578" t="s">
        <v>8711</v>
      </c>
      <c r="S1471" s="578" t="s">
        <v>8712</v>
      </c>
      <c r="T1471" s="578" t="s">
        <v>98</v>
      </c>
      <c r="U1471" s="717" t="s">
        <v>8713</v>
      </c>
      <c r="V1471" s="577" t="s">
        <v>14</v>
      </c>
      <c r="W1471" s="578" t="s">
        <v>98</v>
      </c>
      <c r="X1471" s="578" t="s">
        <v>209</v>
      </c>
      <c r="Y1471" s="582">
        <v>75253</v>
      </c>
      <c r="Z1471" s="578" t="s">
        <v>98</v>
      </c>
      <c r="AA1471" s="578" t="s">
        <v>276</v>
      </c>
      <c r="AB1471" s="578" t="s">
        <v>98</v>
      </c>
      <c r="AC1471" s="577">
        <v>0</v>
      </c>
      <c r="AD1471" s="578" t="s">
        <v>8779</v>
      </c>
      <c r="AE1471" s="577" t="s">
        <v>98</v>
      </c>
      <c r="AF1471" s="577" t="s">
        <v>98</v>
      </c>
      <c r="AG1471" s="578" t="s">
        <v>8825</v>
      </c>
      <c r="AH1471" s="578" t="s">
        <v>6547</v>
      </c>
      <c r="AI1471" s="583">
        <v>582</v>
      </c>
      <c r="AJ1471" s="583" t="s">
        <v>98</v>
      </c>
      <c r="AK1471" s="582">
        <v>75253</v>
      </c>
      <c r="AL1471" s="583" t="s">
        <v>98</v>
      </c>
      <c r="AM1471" s="583" t="s">
        <v>2047</v>
      </c>
      <c r="AN1471" s="577" t="s">
        <v>276</v>
      </c>
      <c r="AO1471" s="586">
        <f t="shared" si="437"/>
        <v>7.7339109404276245</v>
      </c>
      <c r="AP1471" s="577" t="s">
        <v>276</v>
      </c>
      <c r="AQ1471" s="577" t="s">
        <v>276</v>
      </c>
      <c r="AR1471" s="577" t="s">
        <v>98</v>
      </c>
      <c r="AS1471" s="577" t="s">
        <v>98</v>
      </c>
      <c r="AT1471" s="577" t="s">
        <v>98</v>
      </c>
      <c r="AU1471" s="577" t="s">
        <v>98</v>
      </c>
      <c r="AV1471" s="577" t="s">
        <v>98</v>
      </c>
      <c r="AW1471" s="577" t="s">
        <v>98</v>
      </c>
      <c r="AX1471" s="577" t="s">
        <v>98</v>
      </c>
      <c r="AY1471" s="577" t="s">
        <v>98</v>
      </c>
      <c r="AZ1471" s="577" t="s">
        <v>98</v>
      </c>
      <c r="BA1471" s="577" t="s">
        <v>98</v>
      </c>
      <c r="BB1471" s="577" t="s">
        <v>98</v>
      </c>
      <c r="BC1471" s="577" t="s">
        <v>98</v>
      </c>
      <c r="BD1471" s="577" t="s">
        <v>98</v>
      </c>
      <c r="BE1471" s="577" t="s">
        <v>98</v>
      </c>
      <c r="BF1471" s="578" t="s">
        <v>8826</v>
      </c>
      <c r="BG1471" s="578"/>
      <c r="BH1471" s="9" t="s">
        <v>100</v>
      </c>
      <c r="BI1471" s="9" t="s">
        <v>100</v>
      </c>
      <c r="BJ1471" s="531"/>
      <c r="BN1471" s="531"/>
      <c r="BO1471" s="531"/>
    </row>
    <row r="1472" spans="1:67" s="532" customFormat="1" ht="65" hidden="1" x14ac:dyDescent="0.35">
      <c r="A1472" s="577">
        <v>165</v>
      </c>
      <c r="B1472" s="578" t="s">
        <v>8707</v>
      </c>
      <c r="C1472" s="577" t="s">
        <v>52</v>
      </c>
      <c r="D1472" s="775" t="s">
        <v>11418</v>
      </c>
      <c r="E1472" s="577" t="s">
        <v>36</v>
      </c>
      <c r="F1472" s="577" t="s">
        <v>123</v>
      </c>
      <c r="G1472" s="577" t="s">
        <v>225</v>
      </c>
      <c r="H1472" s="577" t="s">
        <v>225</v>
      </c>
      <c r="I1472" s="577" t="s">
        <v>98</v>
      </c>
      <c r="J1472" s="578" t="s">
        <v>98</v>
      </c>
      <c r="K1472" s="577" t="s">
        <v>98</v>
      </c>
      <c r="L1472" s="577" t="s">
        <v>98</v>
      </c>
      <c r="M1472" s="577" t="s">
        <v>98</v>
      </c>
      <c r="N1472" s="578" t="s">
        <v>8816</v>
      </c>
      <c r="O1472" s="578" t="s">
        <v>8710</v>
      </c>
      <c r="P1472" s="578" t="s">
        <v>238</v>
      </c>
      <c r="Q1472" s="629">
        <v>34880</v>
      </c>
      <c r="R1472" s="578" t="s">
        <v>8711</v>
      </c>
      <c r="S1472" s="578" t="s">
        <v>8712</v>
      </c>
      <c r="T1472" s="578" t="s">
        <v>98</v>
      </c>
      <c r="U1472" s="717" t="s">
        <v>8713</v>
      </c>
      <c r="V1472" s="577" t="s">
        <v>14</v>
      </c>
      <c r="W1472" s="578" t="s">
        <v>98</v>
      </c>
      <c r="X1472" s="578" t="s">
        <v>209</v>
      </c>
      <c r="Y1472" s="582">
        <v>75253</v>
      </c>
      <c r="Z1472" s="578" t="s">
        <v>98</v>
      </c>
      <c r="AA1472" s="578" t="s">
        <v>276</v>
      </c>
      <c r="AB1472" s="578" t="s">
        <v>98</v>
      </c>
      <c r="AC1472" s="577">
        <v>0</v>
      </c>
      <c r="AD1472" s="578" t="s">
        <v>8779</v>
      </c>
      <c r="AE1472" s="577" t="s">
        <v>98</v>
      </c>
      <c r="AF1472" s="577" t="s">
        <v>98</v>
      </c>
      <c r="AG1472" s="578" t="s">
        <v>11419</v>
      </c>
      <c r="AH1472" s="578" t="s">
        <v>6547</v>
      </c>
      <c r="AI1472" s="583">
        <v>375</v>
      </c>
      <c r="AJ1472" s="583" t="s">
        <v>98</v>
      </c>
      <c r="AK1472" s="582">
        <v>75253</v>
      </c>
      <c r="AL1472" s="583" t="s">
        <v>98</v>
      </c>
      <c r="AM1472" s="583" t="s">
        <v>2047</v>
      </c>
      <c r="AN1472" s="577" t="s">
        <v>276</v>
      </c>
      <c r="AO1472" s="586">
        <f t="shared" si="437"/>
        <v>4.9831900389353248</v>
      </c>
      <c r="AP1472" s="577" t="s">
        <v>276</v>
      </c>
      <c r="AQ1472" s="577" t="s">
        <v>276</v>
      </c>
      <c r="AR1472" s="577" t="s">
        <v>98</v>
      </c>
      <c r="AS1472" s="577" t="s">
        <v>98</v>
      </c>
      <c r="AT1472" s="577" t="s">
        <v>98</v>
      </c>
      <c r="AU1472" s="577" t="s">
        <v>98</v>
      </c>
      <c r="AV1472" s="577" t="s">
        <v>98</v>
      </c>
      <c r="AW1472" s="577" t="s">
        <v>98</v>
      </c>
      <c r="AX1472" s="577" t="s">
        <v>98</v>
      </c>
      <c r="AY1472" s="577" t="s">
        <v>98</v>
      </c>
      <c r="AZ1472" s="577" t="s">
        <v>98</v>
      </c>
      <c r="BA1472" s="577" t="s">
        <v>98</v>
      </c>
      <c r="BB1472" s="577" t="s">
        <v>98</v>
      </c>
      <c r="BC1472" s="577" t="s">
        <v>98</v>
      </c>
      <c r="BD1472" s="577" t="s">
        <v>98</v>
      </c>
      <c r="BE1472" s="577" t="s">
        <v>98</v>
      </c>
      <c r="BF1472" s="578" t="s">
        <v>8826</v>
      </c>
      <c r="BG1472" s="578"/>
      <c r="BH1472" s="9" t="s">
        <v>100</v>
      </c>
      <c r="BI1472" s="9" t="s">
        <v>100</v>
      </c>
      <c r="BJ1472" s="531"/>
      <c r="BN1472" s="531"/>
      <c r="BO1472" s="531"/>
    </row>
    <row r="1473" spans="1:67" s="532" customFormat="1" ht="65" hidden="1" x14ac:dyDescent="0.35">
      <c r="A1473" s="577">
        <v>165</v>
      </c>
      <c r="B1473" s="578" t="s">
        <v>8707</v>
      </c>
      <c r="C1473" s="577" t="s">
        <v>52</v>
      </c>
      <c r="D1473" s="578" t="s">
        <v>11420</v>
      </c>
      <c r="E1473" s="577" t="s">
        <v>36</v>
      </c>
      <c r="F1473" s="577" t="s">
        <v>123</v>
      </c>
      <c r="G1473" s="577" t="s">
        <v>225</v>
      </c>
      <c r="H1473" s="577" t="s">
        <v>225</v>
      </c>
      <c r="I1473" s="577" t="s">
        <v>98</v>
      </c>
      <c r="J1473" s="578" t="s">
        <v>98</v>
      </c>
      <c r="K1473" s="577" t="s">
        <v>98</v>
      </c>
      <c r="L1473" s="577" t="s">
        <v>98</v>
      </c>
      <c r="M1473" s="577" t="s">
        <v>98</v>
      </c>
      <c r="N1473" s="578" t="s">
        <v>8816</v>
      </c>
      <c r="O1473" s="578" t="s">
        <v>8710</v>
      </c>
      <c r="P1473" s="578" t="s">
        <v>238</v>
      </c>
      <c r="Q1473" s="629">
        <v>34880</v>
      </c>
      <c r="R1473" s="578" t="s">
        <v>8711</v>
      </c>
      <c r="S1473" s="578" t="s">
        <v>8712</v>
      </c>
      <c r="T1473" s="578" t="s">
        <v>98</v>
      </c>
      <c r="U1473" s="717" t="s">
        <v>8713</v>
      </c>
      <c r="V1473" s="577" t="s">
        <v>14</v>
      </c>
      <c r="W1473" s="578" t="s">
        <v>98</v>
      </c>
      <c r="X1473" s="578" t="s">
        <v>209</v>
      </c>
      <c r="Y1473" s="582">
        <v>75253</v>
      </c>
      <c r="Z1473" s="578" t="s">
        <v>98</v>
      </c>
      <c r="AA1473" s="578" t="s">
        <v>276</v>
      </c>
      <c r="AB1473" s="578" t="s">
        <v>98</v>
      </c>
      <c r="AC1473" s="577">
        <v>0</v>
      </c>
      <c r="AD1473" s="578" t="s">
        <v>8779</v>
      </c>
      <c r="AE1473" s="577" t="s">
        <v>98</v>
      </c>
      <c r="AF1473" s="577" t="s">
        <v>98</v>
      </c>
      <c r="AG1473" s="578" t="s">
        <v>8827</v>
      </c>
      <c r="AH1473" s="578" t="s">
        <v>6547</v>
      </c>
      <c r="AI1473" s="583">
        <v>207</v>
      </c>
      <c r="AJ1473" s="583" t="s">
        <v>98</v>
      </c>
      <c r="AK1473" s="582">
        <v>75253</v>
      </c>
      <c r="AL1473" s="583" t="s">
        <v>98</v>
      </c>
      <c r="AM1473" s="583" t="s">
        <v>2047</v>
      </c>
      <c r="AN1473" s="577" t="s">
        <v>276</v>
      </c>
      <c r="AO1473" s="586">
        <f t="shared" si="437"/>
        <v>2.7507209014922993</v>
      </c>
      <c r="AP1473" s="577" t="s">
        <v>276</v>
      </c>
      <c r="AQ1473" s="577" t="s">
        <v>276</v>
      </c>
      <c r="AR1473" s="577" t="s">
        <v>98</v>
      </c>
      <c r="AS1473" s="577" t="s">
        <v>98</v>
      </c>
      <c r="AT1473" s="577" t="s">
        <v>98</v>
      </c>
      <c r="AU1473" s="577" t="s">
        <v>98</v>
      </c>
      <c r="AV1473" s="577" t="s">
        <v>98</v>
      </c>
      <c r="AW1473" s="577" t="s">
        <v>98</v>
      </c>
      <c r="AX1473" s="577" t="s">
        <v>98</v>
      </c>
      <c r="AY1473" s="577" t="s">
        <v>98</v>
      </c>
      <c r="AZ1473" s="577" t="s">
        <v>98</v>
      </c>
      <c r="BA1473" s="577" t="s">
        <v>98</v>
      </c>
      <c r="BB1473" s="577" t="s">
        <v>98</v>
      </c>
      <c r="BC1473" s="577" t="s">
        <v>98</v>
      </c>
      <c r="BD1473" s="577" t="s">
        <v>98</v>
      </c>
      <c r="BE1473" s="577" t="s">
        <v>98</v>
      </c>
      <c r="BF1473" s="578" t="s">
        <v>8826</v>
      </c>
      <c r="BG1473" s="578"/>
      <c r="BH1473" s="9" t="s">
        <v>100</v>
      </c>
      <c r="BI1473" s="9" t="s">
        <v>100</v>
      </c>
      <c r="BJ1473" s="531"/>
      <c r="BN1473" s="531"/>
      <c r="BO1473" s="531"/>
    </row>
    <row r="1474" spans="1:67" s="110" customFormat="1" ht="65" hidden="1" x14ac:dyDescent="0.35">
      <c r="A1474" s="94">
        <v>165</v>
      </c>
      <c r="B1474" s="95" t="s">
        <v>8707</v>
      </c>
      <c r="C1474" s="94" t="s">
        <v>52</v>
      </c>
      <c r="D1474" s="329" t="s">
        <v>11421</v>
      </c>
      <c r="E1474" s="94" t="s">
        <v>36</v>
      </c>
      <c r="F1474" s="94" t="s">
        <v>123</v>
      </c>
      <c r="G1474" s="94" t="s">
        <v>225</v>
      </c>
      <c r="H1474" s="94" t="s">
        <v>225</v>
      </c>
      <c r="I1474" s="94" t="s">
        <v>98</v>
      </c>
      <c r="J1474" s="95" t="s">
        <v>98</v>
      </c>
      <c r="K1474" s="94" t="s">
        <v>98</v>
      </c>
      <c r="L1474" s="94" t="s">
        <v>98</v>
      </c>
      <c r="M1474" s="94" t="s">
        <v>98</v>
      </c>
      <c r="N1474" s="95" t="s">
        <v>8816</v>
      </c>
      <c r="O1474" s="95" t="s">
        <v>8710</v>
      </c>
      <c r="P1474" s="95" t="s">
        <v>238</v>
      </c>
      <c r="Q1474" s="140">
        <v>34880</v>
      </c>
      <c r="R1474" s="95" t="s">
        <v>8711</v>
      </c>
      <c r="S1474" s="95" t="s">
        <v>8712</v>
      </c>
      <c r="T1474" s="95" t="s">
        <v>98</v>
      </c>
      <c r="U1474" s="163" t="s">
        <v>8713</v>
      </c>
      <c r="V1474" s="94" t="s">
        <v>14</v>
      </c>
      <c r="W1474" s="95" t="s">
        <v>98</v>
      </c>
      <c r="X1474" s="95" t="s">
        <v>209</v>
      </c>
      <c r="Y1474" s="98">
        <v>75253</v>
      </c>
      <c r="Z1474" s="95" t="s">
        <v>98</v>
      </c>
      <c r="AA1474" s="95" t="s">
        <v>276</v>
      </c>
      <c r="AB1474" s="95" t="s">
        <v>98</v>
      </c>
      <c r="AC1474" s="94">
        <v>0</v>
      </c>
      <c r="AD1474" s="95" t="s">
        <v>8779</v>
      </c>
      <c r="AE1474" s="94" t="s">
        <v>98</v>
      </c>
      <c r="AF1474" s="94" t="s">
        <v>98</v>
      </c>
      <c r="AG1474" s="95" t="s">
        <v>11422</v>
      </c>
      <c r="AH1474" s="95" t="s">
        <v>6547</v>
      </c>
      <c r="AI1474" s="99">
        <f>38+8+82</f>
        <v>128</v>
      </c>
      <c r="AJ1474" s="99" t="s">
        <v>98</v>
      </c>
      <c r="AK1474" s="98">
        <v>75253</v>
      </c>
      <c r="AL1474" s="99" t="s">
        <v>98</v>
      </c>
      <c r="AM1474" s="99" t="s">
        <v>2047</v>
      </c>
      <c r="AN1474" s="94" t="s">
        <v>276</v>
      </c>
      <c r="AO1474" s="101">
        <f t="shared" si="437"/>
        <v>1.7009288666232576</v>
      </c>
      <c r="AP1474" s="94" t="s">
        <v>276</v>
      </c>
      <c r="AQ1474" s="94" t="s">
        <v>276</v>
      </c>
      <c r="AR1474" s="94" t="s">
        <v>98</v>
      </c>
      <c r="AS1474" s="94" t="s">
        <v>98</v>
      </c>
      <c r="AT1474" s="94" t="s">
        <v>98</v>
      </c>
      <c r="AU1474" s="94" t="s">
        <v>98</v>
      </c>
      <c r="AV1474" s="94" t="s">
        <v>98</v>
      </c>
      <c r="AW1474" s="94" t="s">
        <v>98</v>
      </c>
      <c r="AX1474" s="94" t="s">
        <v>98</v>
      </c>
      <c r="AY1474" s="94" t="s">
        <v>98</v>
      </c>
      <c r="AZ1474" s="94" t="s">
        <v>98</v>
      </c>
      <c r="BA1474" s="94" t="s">
        <v>98</v>
      </c>
      <c r="BB1474" s="94" t="s">
        <v>98</v>
      </c>
      <c r="BC1474" s="94" t="s">
        <v>98</v>
      </c>
      <c r="BD1474" s="94" t="s">
        <v>98</v>
      </c>
      <c r="BE1474" s="94" t="s">
        <v>98</v>
      </c>
      <c r="BF1474" s="95" t="s">
        <v>1010</v>
      </c>
      <c r="BG1474" s="95"/>
      <c r="BH1474" s="9" t="s">
        <v>100</v>
      </c>
      <c r="BI1474" s="9" t="s">
        <v>100</v>
      </c>
      <c r="BJ1474" s="109"/>
      <c r="BN1474" s="109"/>
      <c r="BO1474" s="109"/>
    </row>
    <row r="1475" spans="1:67" s="534" customFormat="1" ht="117" hidden="1" x14ac:dyDescent="0.35">
      <c r="A1475" s="567">
        <v>165</v>
      </c>
      <c r="B1475" s="568" t="s">
        <v>8707</v>
      </c>
      <c r="C1475" s="567" t="s">
        <v>52</v>
      </c>
      <c r="D1475" s="568" t="s">
        <v>8828</v>
      </c>
      <c r="E1475" s="567" t="s">
        <v>36</v>
      </c>
      <c r="F1475" s="567" t="s">
        <v>123</v>
      </c>
      <c r="G1475" s="567" t="s">
        <v>225</v>
      </c>
      <c r="H1475" s="567" t="s">
        <v>125</v>
      </c>
      <c r="I1475" s="567" t="s">
        <v>114</v>
      </c>
      <c r="J1475" s="568" t="s">
        <v>28</v>
      </c>
      <c r="K1475" s="567" t="s">
        <v>6737</v>
      </c>
      <c r="L1475" s="568" t="s">
        <v>8829</v>
      </c>
      <c r="M1475" s="567" t="s">
        <v>276</v>
      </c>
      <c r="N1475" s="568" t="s">
        <v>8830</v>
      </c>
      <c r="O1475" s="568" t="s">
        <v>8710</v>
      </c>
      <c r="P1475" s="568" t="s">
        <v>239</v>
      </c>
      <c r="Q1475" s="571">
        <v>34880</v>
      </c>
      <c r="R1475" s="568" t="s">
        <v>8711</v>
      </c>
      <c r="S1475" s="568" t="s">
        <v>8712</v>
      </c>
      <c r="T1475" s="568" t="s">
        <v>8712</v>
      </c>
      <c r="U1475" s="719" t="s">
        <v>8713</v>
      </c>
      <c r="V1475" s="567" t="s">
        <v>14</v>
      </c>
      <c r="W1475" s="568" t="s">
        <v>98</v>
      </c>
      <c r="X1475" s="568" t="s">
        <v>207</v>
      </c>
      <c r="Y1475" s="572">
        <v>75253</v>
      </c>
      <c r="Z1475" s="573">
        <v>74998</v>
      </c>
      <c r="AA1475" s="568" t="s">
        <v>276</v>
      </c>
      <c r="AB1475" s="568" t="s">
        <v>276</v>
      </c>
      <c r="AC1475" s="567">
        <v>19</v>
      </c>
      <c r="AD1475" s="567" t="s">
        <v>4555</v>
      </c>
      <c r="AE1475" s="567">
        <v>33</v>
      </c>
      <c r="AF1475" s="567" t="s">
        <v>4555</v>
      </c>
      <c r="AG1475" s="568" t="s">
        <v>8831</v>
      </c>
      <c r="AH1475" s="568" t="s">
        <v>6506</v>
      </c>
      <c r="AI1475" s="573">
        <v>181</v>
      </c>
      <c r="AJ1475" s="573">
        <v>95</v>
      </c>
      <c r="AK1475" s="572">
        <v>75253</v>
      </c>
      <c r="AL1475" s="573">
        <v>74998</v>
      </c>
      <c r="AM1475" s="573" t="s">
        <v>2047</v>
      </c>
      <c r="AN1475" s="567" t="s">
        <v>276</v>
      </c>
      <c r="AO1475" s="576">
        <f t="shared" si="437"/>
        <v>2.4052197254594501</v>
      </c>
      <c r="AP1475" s="567" t="s">
        <v>276</v>
      </c>
      <c r="AQ1475" s="567" t="s">
        <v>276</v>
      </c>
      <c r="AR1475" s="567" t="s">
        <v>276</v>
      </c>
      <c r="AS1475" s="576">
        <f t="shared" ref="AS1475:AS1485" si="438">AJ1475*1000/AL1475</f>
        <v>1.2667004453452093</v>
      </c>
      <c r="AT1475" s="567" t="s">
        <v>276</v>
      </c>
      <c r="AU1475" s="567" t="s">
        <v>276</v>
      </c>
      <c r="AV1475" s="567" t="s">
        <v>268</v>
      </c>
      <c r="AW1475" s="567" t="s">
        <v>276</v>
      </c>
      <c r="AX1475" s="576">
        <f t="shared" ref="AX1475:AX1492" si="439">AO1475/AS1475</f>
        <v>1.8988070417895559</v>
      </c>
      <c r="AY1475" s="567" t="s">
        <v>276</v>
      </c>
      <c r="AZ1475" s="567" t="s">
        <v>276</v>
      </c>
      <c r="BA1475" s="567" t="s">
        <v>276</v>
      </c>
      <c r="BB1475" s="567" t="s">
        <v>282</v>
      </c>
      <c r="BC1475" s="567" t="s">
        <v>98</v>
      </c>
      <c r="BD1475" s="567" t="s">
        <v>98</v>
      </c>
      <c r="BE1475" s="567" t="s">
        <v>98</v>
      </c>
      <c r="BF1475" s="568" t="s">
        <v>1029</v>
      </c>
      <c r="BG1475" s="568"/>
      <c r="BH1475" s="9" t="s">
        <v>100</v>
      </c>
      <c r="BI1475" s="9" t="s">
        <v>100</v>
      </c>
      <c r="BJ1475" s="533"/>
      <c r="BN1475" s="533"/>
      <c r="BO1475" s="533"/>
    </row>
    <row r="1476" spans="1:67" s="534" customFormat="1" ht="117" hidden="1" x14ac:dyDescent="0.35">
      <c r="A1476" s="567">
        <v>165</v>
      </c>
      <c r="B1476" s="568" t="s">
        <v>8707</v>
      </c>
      <c r="C1476" s="567" t="s">
        <v>52</v>
      </c>
      <c r="D1476" s="568" t="s">
        <v>8832</v>
      </c>
      <c r="E1476" s="567" t="s">
        <v>36</v>
      </c>
      <c r="F1476" s="567" t="s">
        <v>123</v>
      </c>
      <c r="G1476" s="567" t="s">
        <v>225</v>
      </c>
      <c r="H1476" s="567" t="s">
        <v>125</v>
      </c>
      <c r="I1476" s="567" t="s">
        <v>114</v>
      </c>
      <c r="J1476" s="568" t="s">
        <v>28</v>
      </c>
      <c r="K1476" s="567" t="s">
        <v>6740</v>
      </c>
      <c r="L1476" s="568" t="s">
        <v>8829</v>
      </c>
      <c r="M1476" s="567" t="s">
        <v>276</v>
      </c>
      <c r="N1476" s="568" t="s">
        <v>8830</v>
      </c>
      <c r="O1476" s="568" t="s">
        <v>8710</v>
      </c>
      <c r="P1476" s="568" t="s">
        <v>239</v>
      </c>
      <c r="Q1476" s="571">
        <v>34880</v>
      </c>
      <c r="R1476" s="568" t="s">
        <v>8711</v>
      </c>
      <c r="S1476" s="568" t="s">
        <v>8712</v>
      </c>
      <c r="T1476" s="568" t="s">
        <v>8712</v>
      </c>
      <c r="U1476" s="719" t="s">
        <v>8713</v>
      </c>
      <c r="V1476" s="567" t="s">
        <v>14</v>
      </c>
      <c r="W1476" s="568" t="s">
        <v>98</v>
      </c>
      <c r="X1476" s="568" t="s">
        <v>207</v>
      </c>
      <c r="Y1476" s="572">
        <v>75253</v>
      </c>
      <c r="Z1476" s="573">
        <v>74998</v>
      </c>
      <c r="AA1476" s="568" t="s">
        <v>276</v>
      </c>
      <c r="AB1476" s="568" t="s">
        <v>276</v>
      </c>
      <c r="AC1476" s="567">
        <v>19</v>
      </c>
      <c r="AD1476" s="567" t="s">
        <v>4555</v>
      </c>
      <c r="AE1476" s="567">
        <v>33</v>
      </c>
      <c r="AF1476" s="567" t="s">
        <v>4555</v>
      </c>
      <c r="AG1476" s="568" t="s">
        <v>8833</v>
      </c>
      <c r="AH1476" s="568" t="s">
        <v>6506</v>
      </c>
      <c r="AI1476" s="573">
        <v>286</v>
      </c>
      <c r="AJ1476" s="573">
        <v>285</v>
      </c>
      <c r="AK1476" s="572">
        <v>75253</v>
      </c>
      <c r="AL1476" s="573">
        <v>74998</v>
      </c>
      <c r="AM1476" s="573" t="s">
        <v>2047</v>
      </c>
      <c r="AN1476" s="567" t="s">
        <v>276</v>
      </c>
      <c r="AO1476" s="576">
        <f t="shared" si="437"/>
        <v>3.8005129363613412</v>
      </c>
      <c r="AP1476" s="567" t="s">
        <v>276</v>
      </c>
      <c r="AQ1476" s="567" t="s">
        <v>276</v>
      </c>
      <c r="AR1476" s="567" t="s">
        <v>276</v>
      </c>
      <c r="AS1476" s="576">
        <f t="shared" si="438"/>
        <v>3.8001013360356275</v>
      </c>
      <c r="AT1476" s="567" t="s">
        <v>276</v>
      </c>
      <c r="AU1476" s="567" t="s">
        <v>276</v>
      </c>
      <c r="AV1476" s="567" t="s">
        <v>268</v>
      </c>
      <c r="AW1476" s="567" t="s">
        <v>276</v>
      </c>
      <c r="AX1476" s="576">
        <f t="shared" si="439"/>
        <v>1.0001083129867645</v>
      </c>
      <c r="AY1476" s="567" t="s">
        <v>276</v>
      </c>
      <c r="AZ1476" s="567" t="s">
        <v>276</v>
      </c>
      <c r="BA1476" s="567" t="s">
        <v>276</v>
      </c>
      <c r="BB1476" s="567" t="s">
        <v>282</v>
      </c>
      <c r="BC1476" s="567" t="s">
        <v>98</v>
      </c>
      <c r="BD1476" s="567" t="s">
        <v>98</v>
      </c>
      <c r="BE1476" s="567" t="s">
        <v>98</v>
      </c>
      <c r="BF1476" s="568" t="s">
        <v>1029</v>
      </c>
      <c r="BG1476" s="568"/>
      <c r="BH1476" s="9" t="s">
        <v>100</v>
      </c>
      <c r="BI1476" s="9" t="s">
        <v>100</v>
      </c>
      <c r="BJ1476" s="533"/>
      <c r="BN1476" s="533"/>
      <c r="BO1476" s="533"/>
    </row>
    <row r="1477" spans="1:67" s="534" customFormat="1" ht="117" hidden="1" x14ac:dyDescent="0.35">
      <c r="A1477" s="567">
        <v>165</v>
      </c>
      <c r="B1477" s="568" t="s">
        <v>8707</v>
      </c>
      <c r="C1477" s="567" t="s">
        <v>52</v>
      </c>
      <c r="D1477" s="568" t="s">
        <v>8834</v>
      </c>
      <c r="E1477" s="567" t="s">
        <v>36</v>
      </c>
      <c r="F1477" s="567" t="s">
        <v>123</v>
      </c>
      <c r="G1477" s="567" t="s">
        <v>225</v>
      </c>
      <c r="H1477" s="567" t="s">
        <v>125</v>
      </c>
      <c r="I1477" s="567" t="s">
        <v>114</v>
      </c>
      <c r="J1477" s="568" t="s">
        <v>28</v>
      </c>
      <c r="K1477" s="567" t="s">
        <v>6742</v>
      </c>
      <c r="L1477" s="568" t="s">
        <v>8829</v>
      </c>
      <c r="M1477" s="567" t="s">
        <v>276</v>
      </c>
      <c r="N1477" s="568" t="s">
        <v>8830</v>
      </c>
      <c r="O1477" s="568" t="s">
        <v>8710</v>
      </c>
      <c r="P1477" s="568" t="s">
        <v>239</v>
      </c>
      <c r="Q1477" s="571">
        <v>34880</v>
      </c>
      <c r="R1477" s="568" t="s">
        <v>8711</v>
      </c>
      <c r="S1477" s="568" t="s">
        <v>8712</v>
      </c>
      <c r="T1477" s="568" t="s">
        <v>8712</v>
      </c>
      <c r="U1477" s="719" t="s">
        <v>8713</v>
      </c>
      <c r="V1477" s="567" t="s">
        <v>14</v>
      </c>
      <c r="W1477" s="568" t="s">
        <v>98</v>
      </c>
      <c r="X1477" s="568" t="s">
        <v>207</v>
      </c>
      <c r="Y1477" s="572">
        <v>75253</v>
      </c>
      <c r="Z1477" s="573">
        <v>74998</v>
      </c>
      <c r="AA1477" s="568" t="s">
        <v>276</v>
      </c>
      <c r="AB1477" s="568" t="s">
        <v>276</v>
      </c>
      <c r="AC1477" s="567">
        <v>19</v>
      </c>
      <c r="AD1477" s="567" t="s">
        <v>4555</v>
      </c>
      <c r="AE1477" s="567">
        <v>33</v>
      </c>
      <c r="AF1477" s="567" t="s">
        <v>4555</v>
      </c>
      <c r="AG1477" s="568" t="s">
        <v>8835</v>
      </c>
      <c r="AH1477" s="568" t="s">
        <v>6506</v>
      </c>
      <c r="AI1477" s="573">
        <v>215</v>
      </c>
      <c r="AJ1477" s="573">
        <v>264</v>
      </c>
      <c r="AK1477" s="572">
        <v>75253</v>
      </c>
      <c r="AL1477" s="573">
        <v>74998</v>
      </c>
      <c r="AM1477" s="573" t="s">
        <v>2047</v>
      </c>
      <c r="AN1477" s="567" t="s">
        <v>276</v>
      </c>
      <c r="AO1477" s="576">
        <f t="shared" si="437"/>
        <v>2.8570289556562529</v>
      </c>
      <c r="AP1477" s="567" t="s">
        <v>276</v>
      </c>
      <c r="AQ1477" s="567" t="s">
        <v>276</v>
      </c>
      <c r="AR1477" s="567" t="s">
        <v>276</v>
      </c>
      <c r="AS1477" s="576">
        <f t="shared" si="438"/>
        <v>3.5200938691698447</v>
      </c>
      <c r="AT1477" s="567" t="s">
        <v>276</v>
      </c>
      <c r="AU1477" s="567" t="s">
        <v>276</v>
      </c>
      <c r="AV1477" s="567" t="s">
        <v>268</v>
      </c>
      <c r="AW1477" s="567" t="s">
        <v>276</v>
      </c>
      <c r="AX1477" s="576">
        <f t="shared" si="439"/>
        <v>0.81163430915268053</v>
      </c>
      <c r="AY1477" s="567" t="s">
        <v>276</v>
      </c>
      <c r="AZ1477" s="567" t="s">
        <v>276</v>
      </c>
      <c r="BA1477" s="567" t="s">
        <v>276</v>
      </c>
      <c r="BB1477" s="567" t="s">
        <v>282</v>
      </c>
      <c r="BC1477" s="567" t="s">
        <v>98</v>
      </c>
      <c r="BD1477" s="567" t="s">
        <v>98</v>
      </c>
      <c r="BE1477" s="567" t="s">
        <v>98</v>
      </c>
      <c r="BF1477" s="568" t="s">
        <v>1029</v>
      </c>
      <c r="BG1477" s="568"/>
      <c r="BH1477" s="9" t="s">
        <v>100</v>
      </c>
      <c r="BI1477" s="9" t="s">
        <v>100</v>
      </c>
      <c r="BJ1477" s="533"/>
      <c r="BN1477" s="533"/>
      <c r="BO1477" s="533"/>
    </row>
    <row r="1478" spans="1:67" s="534" customFormat="1" ht="117" hidden="1" x14ac:dyDescent="0.35">
      <c r="A1478" s="567">
        <v>165</v>
      </c>
      <c r="B1478" s="568" t="s">
        <v>8707</v>
      </c>
      <c r="C1478" s="567" t="s">
        <v>52</v>
      </c>
      <c r="D1478" s="568" t="s">
        <v>8836</v>
      </c>
      <c r="E1478" s="567" t="s">
        <v>36</v>
      </c>
      <c r="F1478" s="567" t="s">
        <v>123</v>
      </c>
      <c r="G1478" s="567" t="s">
        <v>225</v>
      </c>
      <c r="H1478" s="567" t="s">
        <v>125</v>
      </c>
      <c r="I1478" s="567" t="s">
        <v>114</v>
      </c>
      <c r="J1478" s="568" t="s">
        <v>28</v>
      </c>
      <c r="K1478" s="567" t="s">
        <v>7100</v>
      </c>
      <c r="L1478" s="568" t="s">
        <v>8829</v>
      </c>
      <c r="M1478" s="567" t="s">
        <v>276</v>
      </c>
      <c r="N1478" s="568" t="s">
        <v>8830</v>
      </c>
      <c r="O1478" s="568" t="s">
        <v>8710</v>
      </c>
      <c r="P1478" s="568" t="s">
        <v>239</v>
      </c>
      <c r="Q1478" s="571">
        <v>34880</v>
      </c>
      <c r="R1478" s="568" t="s">
        <v>8711</v>
      </c>
      <c r="S1478" s="568" t="s">
        <v>8712</v>
      </c>
      <c r="T1478" s="568" t="s">
        <v>8712</v>
      </c>
      <c r="U1478" s="719" t="s">
        <v>8713</v>
      </c>
      <c r="V1478" s="567" t="s">
        <v>14</v>
      </c>
      <c r="W1478" s="568" t="s">
        <v>98</v>
      </c>
      <c r="X1478" s="568" t="s">
        <v>207</v>
      </c>
      <c r="Y1478" s="572">
        <v>75253</v>
      </c>
      <c r="Z1478" s="573">
        <v>74998</v>
      </c>
      <c r="AA1478" s="568" t="s">
        <v>276</v>
      </c>
      <c r="AB1478" s="568" t="s">
        <v>276</v>
      </c>
      <c r="AC1478" s="567">
        <v>19</v>
      </c>
      <c r="AD1478" s="567" t="s">
        <v>4555</v>
      </c>
      <c r="AE1478" s="567">
        <v>33</v>
      </c>
      <c r="AF1478" s="567" t="s">
        <v>4555</v>
      </c>
      <c r="AG1478" s="568" t="s">
        <v>8837</v>
      </c>
      <c r="AH1478" s="568" t="s">
        <v>6506</v>
      </c>
      <c r="AI1478" s="573">
        <v>192</v>
      </c>
      <c r="AJ1478" s="573">
        <v>179</v>
      </c>
      <c r="AK1478" s="572">
        <v>75253</v>
      </c>
      <c r="AL1478" s="573">
        <v>74998</v>
      </c>
      <c r="AM1478" s="573" t="s">
        <v>2047</v>
      </c>
      <c r="AN1478" s="567" t="s">
        <v>276</v>
      </c>
      <c r="AO1478" s="576">
        <f t="shared" si="437"/>
        <v>2.5513932999348863</v>
      </c>
      <c r="AP1478" s="567" t="s">
        <v>276</v>
      </c>
      <c r="AQ1478" s="567" t="s">
        <v>276</v>
      </c>
      <c r="AR1478" s="567" t="s">
        <v>276</v>
      </c>
      <c r="AS1478" s="576">
        <f t="shared" si="438"/>
        <v>2.3867303128083415</v>
      </c>
      <c r="AT1478" s="567" t="s">
        <v>276</v>
      </c>
      <c r="AU1478" s="567" t="s">
        <v>276</v>
      </c>
      <c r="AV1478" s="567" t="s">
        <v>268</v>
      </c>
      <c r="AW1478" s="567" t="s">
        <v>276</v>
      </c>
      <c r="AX1478" s="576">
        <f t="shared" si="439"/>
        <v>1.0689910318911542</v>
      </c>
      <c r="AY1478" s="567" t="s">
        <v>276</v>
      </c>
      <c r="AZ1478" s="567" t="s">
        <v>276</v>
      </c>
      <c r="BA1478" s="567" t="s">
        <v>276</v>
      </c>
      <c r="BB1478" s="567" t="s">
        <v>282</v>
      </c>
      <c r="BC1478" s="567" t="s">
        <v>98</v>
      </c>
      <c r="BD1478" s="567" t="s">
        <v>98</v>
      </c>
      <c r="BE1478" s="567" t="s">
        <v>98</v>
      </c>
      <c r="BF1478" s="568" t="s">
        <v>1029</v>
      </c>
      <c r="BG1478" s="568"/>
      <c r="BH1478" s="9" t="s">
        <v>100</v>
      </c>
      <c r="BI1478" s="9" t="s">
        <v>100</v>
      </c>
      <c r="BJ1478" s="533"/>
      <c r="BN1478" s="533"/>
      <c r="BO1478" s="533"/>
    </row>
    <row r="1479" spans="1:67" s="534" customFormat="1" ht="117" hidden="1" x14ac:dyDescent="0.35">
      <c r="A1479" s="567">
        <v>165</v>
      </c>
      <c r="B1479" s="568" t="s">
        <v>8707</v>
      </c>
      <c r="C1479" s="567" t="s">
        <v>52</v>
      </c>
      <c r="D1479" s="568" t="s">
        <v>8838</v>
      </c>
      <c r="E1479" s="567" t="s">
        <v>36</v>
      </c>
      <c r="F1479" s="567" t="s">
        <v>123</v>
      </c>
      <c r="G1479" s="567" t="s">
        <v>225</v>
      </c>
      <c r="H1479" s="567" t="s">
        <v>125</v>
      </c>
      <c r="I1479" s="567" t="s">
        <v>114</v>
      </c>
      <c r="J1479" s="568" t="s">
        <v>28</v>
      </c>
      <c r="K1479" s="567" t="s">
        <v>8839</v>
      </c>
      <c r="L1479" s="568" t="s">
        <v>8829</v>
      </c>
      <c r="M1479" s="567" t="s">
        <v>276</v>
      </c>
      <c r="N1479" s="568" t="s">
        <v>8830</v>
      </c>
      <c r="O1479" s="568" t="s">
        <v>8710</v>
      </c>
      <c r="P1479" s="568" t="s">
        <v>239</v>
      </c>
      <c r="Q1479" s="571">
        <v>34880</v>
      </c>
      <c r="R1479" s="568" t="s">
        <v>8711</v>
      </c>
      <c r="S1479" s="568" t="s">
        <v>8712</v>
      </c>
      <c r="T1479" s="568" t="s">
        <v>8712</v>
      </c>
      <c r="U1479" s="719" t="s">
        <v>8713</v>
      </c>
      <c r="V1479" s="567" t="s">
        <v>14</v>
      </c>
      <c r="W1479" s="568" t="s">
        <v>98</v>
      </c>
      <c r="X1479" s="568" t="s">
        <v>207</v>
      </c>
      <c r="Y1479" s="572">
        <v>75253</v>
      </c>
      <c r="Z1479" s="573">
        <v>74998</v>
      </c>
      <c r="AA1479" s="568" t="s">
        <v>276</v>
      </c>
      <c r="AB1479" s="568" t="s">
        <v>276</v>
      </c>
      <c r="AC1479" s="567">
        <v>19</v>
      </c>
      <c r="AD1479" s="567" t="s">
        <v>4555</v>
      </c>
      <c r="AE1479" s="567">
        <v>33</v>
      </c>
      <c r="AF1479" s="567" t="s">
        <v>4555</v>
      </c>
      <c r="AG1479" s="568" t="s">
        <v>8840</v>
      </c>
      <c r="AH1479" s="568" t="s">
        <v>6506</v>
      </c>
      <c r="AI1479" s="573">
        <f>192+215</f>
        <v>407</v>
      </c>
      <c r="AJ1479" s="573">
        <f>179+264</f>
        <v>443</v>
      </c>
      <c r="AK1479" s="572">
        <v>75253</v>
      </c>
      <c r="AL1479" s="573">
        <v>74998</v>
      </c>
      <c r="AM1479" s="573" t="s">
        <v>2047</v>
      </c>
      <c r="AN1479" s="567" t="s">
        <v>276</v>
      </c>
      <c r="AO1479" s="576">
        <f t="shared" si="437"/>
        <v>5.4084222555911392</v>
      </c>
      <c r="AP1479" s="567" t="s">
        <v>276</v>
      </c>
      <c r="AQ1479" s="567" t="s">
        <v>276</v>
      </c>
      <c r="AR1479" s="567" t="s">
        <v>276</v>
      </c>
      <c r="AS1479" s="576">
        <f t="shared" si="438"/>
        <v>5.9068241819781857</v>
      </c>
      <c r="AT1479" s="567" t="s">
        <v>276</v>
      </c>
      <c r="AU1479" s="567" t="s">
        <v>276</v>
      </c>
      <c r="AV1479" s="567" t="s">
        <v>268</v>
      </c>
      <c r="AW1479" s="567" t="s">
        <v>276</v>
      </c>
      <c r="AX1479" s="576">
        <f t="shared" si="439"/>
        <v>0.91562269147815867</v>
      </c>
      <c r="AY1479" s="567" t="s">
        <v>276</v>
      </c>
      <c r="AZ1479" s="567" t="s">
        <v>276</v>
      </c>
      <c r="BA1479" s="567" t="s">
        <v>276</v>
      </c>
      <c r="BB1479" s="567" t="s">
        <v>282</v>
      </c>
      <c r="BC1479" s="567" t="s">
        <v>98</v>
      </c>
      <c r="BD1479" s="567" t="s">
        <v>98</v>
      </c>
      <c r="BE1479" s="567" t="s">
        <v>98</v>
      </c>
      <c r="BF1479" s="568" t="s">
        <v>1029</v>
      </c>
      <c r="BG1479" s="568"/>
      <c r="BH1479" s="9" t="s">
        <v>100</v>
      </c>
      <c r="BI1479" s="9" t="s">
        <v>100</v>
      </c>
      <c r="BJ1479" s="533"/>
      <c r="BN1479" s="533"/>
      <c r="BO1479" s="533"/>
    </row>
    <row r="1480" spans="1:67" s="532" customFormat="1" ht="117" hidden="1" x14ac:dyDescent="0.35">
      <c r="A1480" s="577">
        <v>165</v>
      </c>
      <c r="B1480" s="578" t="s">
        <v>8707</v>
      </c>
      <c r="C1480" s="577" t="s">
        <v>52</v>
      </c>
      <c r="D1480" s="578" t="s">
        <v>8841</v>
      </c>
      <c r="E1480" s="577" t="s">
        <v>36</v>
      </c>
      <c r="F1480" s="577" t="s">
        <v>123</v>
      </c>
      <c r="G1480" s="577" t="s">
        <v>225</v>
      </c>
      <c r="H1480" s="577" t="s">
        <v>125</v>
      </c>
      <c r="I1480" s="577" t="s">
        <v>114</v>
      </c>
      <c r="J1480" s="578" t="s">
        <v>28</v>
      </c>
      <c r="K1480" s="577" t="s">
        <v>6737</v>
      </c>
      <c r="L1480" s="578" t="s">
        <v>8829</v>
      </c>
      <c r="M1480" s="577" t="s">
        <v>276</v>
      </c>
      <c r="N1480" s="578" t="s">
        <v>8830</v>
      </c>
      <c r="O1480" s="578" t="s">
        <v>8710</v>
      </c>
      <c r="P1480" s="578" t="s">
        <v>239</v>
      </c>
      <c r="Q1480" s="581">
        <v>34880</v>
      </c>
      <c r="R1480" s="578" t="s">
        <v>8711</v>
      </c>
      <c r="S1480" s="578" t="s">
        <v>8712</v>
      </c>
      <c r="T1480" s="578" t="s">
        <v>8712</v>
      </c>
      <c r="U1480" s="717" t="s">
        <v>8713</v>
      </c>
      <c r="V1480" s="577" t="s">
        <v>14</v>
      </c>
      <c r="W1480" s="578" t="s">
        <v>98</v>
      </c>
      <c r="X1480" s="578" t="s">
        <v>207</v>
      </c>
      <c r="Y1480" s="582">
        <v>75253</v>
      </c>
      <c r="Z1480" s="583">
        <v>74998</v>
      </c>
      <c r="AA1480" s="578" t="s">
        <v>276</v>
      </c>
      <c r="AB1480" s="578" t="s">
        <v>276</v>
      </c>
      <c r="AC1480" s="577">
        <v>19</v>
      </c>
      <c r="AD1480" s="577" t="s">
        <v>4555</v>
      </c>
      <c r="AE1480" s="577">
        <v>33</v>
      </c>
      <c r="AF1480" s="577" t="s">
        <v>4555</v>
      </c>
      <c r="AG1480" s="578" t="s">
        <v>8831</v>
      </c>
      <c r="AH1480" s="578" t="s">
        <v>8842</v>
      </c>
      <c r="AI1480" s="583">
        <v>181</v>
      </c>
      <c r="AJ1480" s="583">
        <v>95</v>
      </c>
      <c r="AK1480" s="582">
        <v>597944</v>
      </c>
      <c r="AL1480" s="582">
        <v>596369</v>
      </c>
      <c r="AM1480" s="583" t="s">
        <v>425</v>
      </c>
      <c r="AN1480" s="577" t="s">
        <v>276</v>
      </c>
      <c r="AO1480" s="586">
        <f t="shared" si="437"/>
        <v>0.30270393214080249</v>
      </c>
      <c r="AP1480" s="577" t="s">
        <v>276</v>
      </c>
      <c r="AQ1480" s="577" t="s">
        <v>276</v>
      </c>
      <c r="AR1480" s="577" t="s">
        <v>276</v>
      </c>
      <c r="AS1480" s="586">
        <f t="shared" si="438"/>
        <v>0.15929734778300011</v>
      </c>
      <c r="AT1480" s="577" t="s">
        <v>276</v>
      </c>
      <c r="AU1480" s="577" t="s">
        <v>276</v>
      </c>
      <c r="AV1480" s="577" t="s">
        <v>269</v>
      </c>
      <c r="AW1480" s="577" t="s">
        <v>276</v>
      </c>
      <c r="AX1480" s="586">
        <f t="shared" si="439"/>
        <v>1.9002446453355606</v>
      </c>
      <c r="AY1480" s="577" t="s">
        <v>276</v>
      </c>
      <c r="AZ1480" s="577" t="s">
        <v>276</v>
      </c>
      <c r="BA1480" s="577" t="s">
        <v>276</v>
      </c>
      <c r="BB1480" s="577" t="s">
        <v>282</v>
      </c>
      <c r="BC1480" s="577" t="s">
        <v>98</v>
      </c>
      <c r="BD1480" s="577" t="s">
        <v>98</v>
      </c>
      <c r="BE1480" s="577" t="s">
        <v>98</v>
      </c>
      <c r="BF1480" s="578" t="s">
        <v>1029</v>
      </c>
      <c r="BG1480" s="578"/>
      <c r="BH1480" s="9" t="s">
        <v>100</v>
      </c>
      <c r="BI1480" s="9" t="s">
        <v>100</v>
      </c>
      <c r="BJ1480" s="531"/>
      <c r="BN1480" s="531"/>
      <c r="BO1480" s="531"/>
    </row>
    <row r="1481" spans="1:67" s="532" customFormat="1" ht="117" hidden="1" x14ac:dyDescent="0.35">
      <c r="A1481" s="577">
        <v>165</v>
      </c>
      <c r="B1481" s="578" t="s">
        <v>8707</v>
      </c>
      <c r="C1481" s="577" t="s">
        <v>52</v>
      </c>
      <c r="D1481" s="578" t="s">
        <v>8843</v>
      </c>
      <c r="E1481" s="577" t="s">
        <v>36</v>
      </c>
      <c r="F1481" s="577" t="s">
        <v>123</v>
      </c>
      <c r="G1481" s="577" t="s">
        <v>225</v>
      </c>
      <c r="H1481" s="577" t="s">
        <v>125</v>
      </c>
      <c r="I1481" s="577" t="s">
        <v>114</v>
      </c>
      <c r="J1481" s="578" t="s">
        <v>28</v>
      </c>
      <c r="K1481" s="577" t="s">
        <v>6740</v>
      </c>
      <c r="L1481" s="578" t="s">
        <v>8829</v>
      </c>
      <c r="M1481" s="577" t="s">
        <v>276</v>
      </c>
      <c r="N1481" s="578" t="s">
        <v>8830</v>
      </c>
      <c r="O1481" s="578" t="s">
        <v>8710</v>
      </c>
      <c r="P1481" s="578" t="s">
        <v>239</v>
      </c>
      <c r="Q1481" s="581">
        <v>34880</v>
      </c>
      <c r="R1481" s="578" t="s">
        <v>8711</v>
      </c>
      <c r="S1481" s="578" t="s">
        <v>8712</v>
      </c>
      <c r="T1481" s="578" t="s">
        <v>8712</v>
      </c>
      <c r="U1481" s="717" t="s">
        <v>8713</v>
      </c>
      <c r="V1481" s="577" t="s">
        <v>14</v>
      </c>
      <c r="W1481" s="578" t="s">
        <v>98</v>
      </c>
      <c r="X1481" s="578" t="s">
        <v>207</v>
      </c>
      <c r="Y1481" s="582">
        <v>75253</v>
      </c>
      <c r="Z1481" s="583">
        <v>74998</v>
      </c>
      <c r="AA1481" s="578" t="s">
        <v>276</v>
      </c>
      <c r="AB1481" s="578" t="s">
        <v>276</v>
      </c>
      <c r="AC1481" s="577">
        <v>19</v>
      </c>
      <c r="AD1481" s="577" t="s">
        <v>4555</v>
      </c>
      <c r="AE1481" s="577">
        <v>33</v>
      </c>
      <c r="AF1481" s="577" t="s">
        <v>4555</v>
      </c>
      <c r="AG1481" s="578" t="s">
        <v>8833</v>
      </c>
      <c r="AH1481" s="578" t="s">
        <v>8842</v>
      </c>
      <c r="AI1481" s="583">
        <v>286</v>
      </c>
      <c r="AJ1481" s="583">
        <v>285</v>
      </c>
      <c r="AK1481" s="582">
        <v>597944</v>
      </c>
      <c r="AL1481" s="582">
        <v>596369</v>
      </c>
      <c r="AM1481" s="583" t="s">
        <v>425</v>
      </c>
      <c r="AN1481" s="577" t="s">
        <v>276</v>
      </c>
      <c r="AO1481" s="586">
        <f t="shared" ref="AO1481" si="440">AI1481*1000/AK1481</f>
        <v>0.4783056607307708</v>
      </c>
      <c r="AP1481" s="577" t="s">
        <v>276</v>
      </c>
      <c r="AQ1481" s="577" t="s">
        <v>276</v>
      </c>
      <c r="AR1481" s="577" t="s">
        <v>276</v>
      </c>
      <c r="AS1481" s="586">
        <f t="shared" ref="AS1481" si="441">AJ1481*1000/AL1481</f>
        <v>0.47789204334900037</v>
      </c>
      <c r="AT1481" s="577" t="s">
        <v>276</v>
      </c>
      <c r="AU1481" s="577" t="s">
        <v>276</v>
      </c>
      <c r="AV1481" s="577" t="s">
        <v>269</v>
      </c>
      <c r="AW1481" s="577" t="s">
        <v>276</v>
      </c>
      <c r="AX1481" s="586">
        <f t="shared" ref="AX1481" si="442">AO1481/AS1481</f>
        <v>1.0008655038047336</v>
      </c>
      <c r="AY1481" s="577" t="s">
        <v>276</v>
      </c>
      <c r="AZ1481" s="577" t="s">
        <v>276</v>
      </c>
      <c r="BA1481" s="577" t="s">
        <v>276</v>
      </c>
      <c r="BB1481" s="577" t="s">
        <v>282</v>
      </c>
      <c r="BC1481" s="577" t="s">
        <v>98</v>
      </c>
      <c r="BD1481" s="577" t="s">
        <v>98</v>
      </c>
      <c r="BE1481" s="577" t="s">
        <v>98</v>
      </c>
      <c r="BF1481" s="578" t="s">
        <v>1029</v>
      </c>
      <c r="BG1481" s="578"/>
      <c r="BH1481" s="9" t="s">
        <v>100</v>
      </c>
      <c r="BI1481" s="9" t="s">
        <v>100</v>
      </c>
      <c r="BJ1481" s="531"/>
      <c r="BN1481" s="531"/>
      <c r="BO1481" s="531"/>
    </row>
    <row r="1482" spans="1:67" s="532" customFormat="1" ht="117" hidden="1" x14ac:dyDescent="0.35">
      <c r="A1482" s="577">
        <v>165</v>
      </c>
      <c r="B1482" s="578" t="s">
        <v>8707</v>
      </c>
      <c r="C1482" s="577" t="s">
        <v>52</v>
      </c>
      <c r="D1482" s="578" t="s">
        <v>11610</v>
      </c>
      <c r="E1482" s="577" t="s">
        <v>36</v>
      </c>
      <c r="F1482" s="577" t="s">
        <v>123</v>
      </c>
      <c r="G1482" s="577" t="s">
        <v>225</v>
      </c>
      <c r="H1482" s="577" t="s">
        <v>125</v>
      </c>
      <c r="I1482" s="577" t="s">
        <v>114</v>
      </c>
      <c r="J1482" s="578" t="s">
        <v>28</v>
      </c>
      <c r="K1482" s="577" t="s">
        <v>9119</v>
      </c>
      <c r="L1482" s="578" t="s">
        <v>8829</v>
      </c>
      <c r="M1482" s="577" t="s">
        <v>276</v>
      </c>
      <c r="N1482" s="578" t="s">
        <v>8830</v>
      </c>
      <c r="O1482" s="578" t="s">
        <v>8710</v>
      </c>
      <c r="P1482" s="578" t="s">
        <v>239</v>
      </c>
      <c r="Q1482" s="581">
        <v>34880</v>
      </c>
      <c r="R1482" s="578" t="s">
        <v>8711</v>
      </c>
      <c r="S1482" s="578" t="s">
        <v>8712</v>
      </c>
      <c r="T1482" s="578" t="s">
        <v>8712</v>
      </c>
      <c r="U1482" s="717" t="s">
        <v>8713</v>
      </c>
      <c r="V1482" s="577" t="s">
        <v>14</v>
      </c>
      <c r="W1482" s="578" t="s">
        <v>98</v>
      </c>
      <c r="X1482" s="578" t="s">
        <v>207</v>
      </c>
      <c r="Y1482" s="582">
        <v>75253</v>
      </c>
      <c r="Z1482" s="583">
        <v>74998</v>
      </c>
      <c r="AA1482" s="578" t="s">
        <v>276</v>
      </c>
      <c r="AB1482" s="578" t="s">
        <v>276</v>
      </c>
      <c r="AC1482" s="577">
        <v>19</v>
      </c>
      <c r="AD1482" s="577" t="s">
        <v>4555</v>
      </c>
      <c r="AE1482" s="577">
        <v>33</v>
      </c>
      <c r="AF1482" s="577" t="s">
        <v>4555</v>
      </c>
      <c r="AG1482" s="578" t="s">
        <v>11611</v>
      </c>
      <c r="AH1482" s="578" t="s">
        <v>8842</v>
      </c>
      <c r="AI1482" s="583">
        <f>286+181</f>
        <v>467</v>
      </c>
      <c r="AJ1482" s="583">
        <f>285+95</f>
        <v>380</v>
      </c>
      <c r="AK1482" s="582">
        <v>597944</v>
      </c>
      <c r="AL1482" s="582">
        <v>596369</v>
      </c>
      <c r="AM1482" s="583" t="s">
        <v>425</v>
      </c>
      <c r="AN1482" s="577" t="s">
        <v>276</v>
      </c>
      <c r="AO1482" s="586">
        <f t="shared" si="437"/>
        <v>0.78100959287157323</v>
      </c>
      <c r="AP1482" s="577" t="s">
        <v>276</v>
      </c>
      <c r="AQ1482" s="577" t="s">
        <v>276</v>
      </c>
      <c r="AR1482" s="577" t="s">
        <v>276</v>
      </c>
      <c r="AS1482" s="586">
        <f t="shared" si="438"/>
        <v>0.63718939113200046</v>
      </c>
      <c r="AT1482" s="577" t="s">
        <v>276</v>
      </c>
      <c r="AU1482" s="577" t="s">
        <v>276</v>
      </c>
      <c r="AV1482" s="577" t="s">
        <v>269</v>
      </c>
      <c r="AW1482" s="577" t="s">
        <v>276</v>
      </c>
      <c r="AX1482" s="586">
        <f t="shared" si="439"/>
        <v>1.2257102891874403</v>
      </c>
      <c r="AY1482" s="577" t="s">
        <v>276</v>
      </c>
      <c r="AZ1482" s="577" t="s">
        <v>276</v>
      </c>
      <c r="BA1482" s="577" t="s">
        <v>276</v>
      </c>
      <c r="BB1482" s="577" t="s">
        <v>282</v>
      </c>
      <c r="BC1482" s="577" t="s">
        <v>98</v>
      </c>
      <c r="BD1482" s="577" t="s">
        <v>98</v>
      </c>
      <c r="BE1482" s="577" t="s">
        <v>98</v>
      </c>
      <c r="BF1482" s="578" t="s">
        <v>1029</v>
      </c>
      <c r="BG1482" s="578"/>
      <c r="BH1482" s="9" t="s">
        <v>100</v>
      </c>
      <c r="BI1482" s="9" t="s">
        <v>100</v>
      </c>
      <c r="BJ1482" s="531"/>
      <c r="BN1482" s="531"/>
      <c r="BO1482" s="531"/>
    </row>
    <row r="1483" spans="1:67" s="532" customFormat="1" ht="117" hidden="1" x14ac:dyDescent="0.35">
      <c r="A1483" s="577">
        <v>165</v>
      </c>
      <c r="B1483" s="578" t="s">
        <v>8707</v>
      </c>
      <c r="C1483" s="577" t="s">
        <v>52</v>
      </c>
      <c r="D1483" s="578" t="s">
        <v>8844</v>
      </c>
      <c r="E1483" s="577" t="s">
        <v>36</v>
      </c>
      <c r="F1483" s="577" t="s">
        <v>123</v>
      </c>
      <c r="G1483" s="577" t="s">
        <v>225</v>
      </c>
      <c r="H1483" s="577" t="s">
        <v>125</v>
      </c>
      <c r="I1483" s="577" t="s">
        <v>114</v>
      </c>
      <c r="J1483" s="578" t="s">
        <v>28</v>
      </c>
      <c r="K1483" s="577" t="s">
        <v>6742</v>
      </c>
      <c r="L1483" s="578" t="s">
        <v>8829</v>
      </c>
      <c r="M1483" s="577" t="s">
        <v>276</v>
      </c>
      <c r="N1483" s="578" t="s">
        <v>8830</v>
      </c>
      <c r="O1483" s="578" t="s">
        <v>8710</v>
      </c>
      <c r="P1483" s="578" t="s">
        <v>239</v>
      </c>
      <c r="Q1483" s="581">
        <v>34880</v>
      </c>
      <c r="R1483" s="578" t="s">
        <v>8711</v>
      </c>
      <c r="S1483" s="578" t="s">
        <v>8712</v>
      </c>
      <c r="T1483" s="578" t="s">
        <v>8712</v>
      </c>
      <c r="U1483" s="717" t="s">
        <v>8713</v>
      </c>
      <c r="V1483" s="577" t="s">
        <v>14</v>
      </c>
      <c r="W1483" s="578" t="s">
        <v>98</v>
      </c>
      <c r="X1483" s="578" t="s">
        <v>207</v>
      </c>
      <c r="Y1483" s="582">
        <v>75253</v>
      </c>
      <c r="Z1483" s="583">
        <v>74998</v>
      </c>
      <c r="AA1483" s="578" t="s">
        <v>276</v>
      </c>
      <c r="AB1483" s="578" t="s">
        <v>276</v>
      </c>
      <c r="AC1483" s="577">
        <v>19</v>
      </c>
      <c r="AD1483" s="577" t="s">
        <v>4555</v>
      </c>
      <c r="AE1483" s="577">
        <v>33</v>
      </c>
      <c r="AF1483" s="577" t="s">
        <v>4555</v>
      </c>
      <c r="AG1483" s="578" t="s">
        <v>8835</v>
      </c>
      <c r="AH1483" s="578" t="s">
        <v>8842</v>
      </c>
      <c r="AI1483" s="583">
        <v>215</v>
      </c>
      <c r="AJ1483" s="583">
        <v>264</v>
      </c>
      <c r="AK1483" s="582">
        <v>597944</v>
      </c>
      <c r="AL1483" s="582">
        <v>596369</v>
      </c>
      <c r="AM1483" s="583" t="s">
        <v>425</v>
      </c>
      <c r="AN1483" s="577" t="s">
        <v>276</v>
      </c>
      <c r="AO1483" s="586">
        <f t="shared" si="437"/>
        <v>0.35956544425564935</v>
      </c>
      <c r="AP1483" s="577" t="s">
        <v>276</v>
      </c>
      <c r="AQ1483" s="577" t="s">
        <v>276</v>
      </c>
      <c r="AR1483" s="577" t="s">
        <v>276</v>
      </c>
      <c r="AS1483" s="586">
        <f t="shared" si="438"/>
        <v>0.44267894541802139</v>
      </c>
      <c r="AT1483" s="577" t="s">
        <v>276</v>
      </c>
      <c r="AU1483" s="577" t="s">
        <v>276</v>
      </c>
      <c r="AV1483" s="577" t="s">
        <v>269</v>
      </c>
      <c r="AW1483" s="577" t="s">
        <v>276</v>
      </c>
      <c r="AX1483" s="586">
        <f t="shared" si="439"/>
        <v>0.8122488046412778</v>
      </c>
      <c r="AY1483" s="577" t="s">
        <v>276</v>
      </c>
      <c r="AZ1483" s="577" t="s">
        <v>276</v>
      </c>
      <c r="BA1483" s="577" t="s">
        <v>276</v>
      </c>
      <c r="BB1483" s="577" t="s">
        <v>282</v>
      </c>
      <c r="BC1483" s="577" t="s">
        <v>98</v>
      </c>
      <c r="BD1483" s="577" t="s">
        <v>98</v>
      </c>
      <c r="BE1483" s="577" t="s">
        <v>98</v>
      </c>
      <c r="BF1483" s="578" t="s">
        <v>1029</v>
      </c>
      <c r="BG1483" s="578"/>
      <c r="BH1483" s="9" t="s">
        <v>100</v>
      </c>
      <c r="BI1483" s="9" t="s">
        <v>100</v>
      </c>
      <c r="BJ1483" s="531"/>
      <c r="BN1483" s="531"/>
      <c r="BO1483" s="531"/>
    </row>
    <row r="1484" spans="1:67" s="532" customFormat="1" ht="117" hidden="1" x14ac:dyDescent="0.35">
      <c r="A1484" s="577">
        <v>165</v>
      </c>
      <c r="B1484" s="578" t="s">
        <v>8707</v>
      </c>
      <c r="C1484" s="577" t="s">
        <v>52</v>
      </c>
      <c r="D1484" s="578" t="s">
        <v>8845</v>
      </c>
      <c r="E1484" s="577" t="s">
        <v>36</v>
      </c>
      <c r="F1484" s="577" t="s">
        <v>123</v>
      </c>
      <c r="G1484" s="577" t="s">
        <v>225</v>
      </c>
      <c r="H1484" s="577" t="s">
        <v>125</v>
      </c>
      <c r="I1484" s="577" t="s">
        <v>114</v>
      </c>
      <c r="J1484" s="578" t="s">
        <v>28</v>
      </c>
      <c r="K1484" s="577" t="s">
        <v>7100</v>
      </c>
      <c r="L1484" s="578" t="s">
        <v>8829</v>
      </c>
      <c r="M1484" s="577" t="s">
        <v>276</v>
      </c>
      <c r="N1484" s="578" t="s">
        <v>8830</v>
      </c>
      <c r="O1484" s="578" t="s">
        <v>8710</v>
      </c>
      <c r="P1484" s="578" t="s">
        <v>239</v>
      </c>
      <c r="Q1484" s="581">
        <v>34880</v>
      </c>
      <c r="R1484" s="578" t="s">
        <v>8711</v>
      </c>
      <c r="S1484" s="578" t="s">
        <v>8712</v>
      </c>
      <c r="T1484" s="578" t="s">
        <v>8712</v>
      </c>
      <c r="U1484" s="717" t="s">
        <v>8713</v>
      </c>
      <c r="V1484" s="577" t="s">
        <v>14</v>
      </c>
      <c r="W1484" s="578" t="s">
        <v>98</v>
      </c>
      <c r="X1484" s="578" t="s">
        <v>207</v>
      </c>
      <c r="Y1484" s="582">
        <v>75253</v>
      </c>
      <c r="Z1484" s="583">
        <v>74998</v>
      </c>
      <c r="AA1484" s="578" t="s">
        <v>276</v>
      </c>
      <c r="AB1484" s="578" t="s">
        <v>276</v>
      </c>
      <c r="AC1484" s="577">
        <v>19</v>
      </c>
      <c r="AD1484" s="577" t="s">
        <v>4555</v>
      </c>
      <c r="AE1484" s="577">
        <v>33</v>
      </c>
      <c r="AF1484" s="577" t="s">
        <v>4555</v>
      </c>
      <c r="AG1484" s="578" t="s">
        <v>8837</v>
      </c>
      <c r="AH1484" s="578" t="s">
        <v>8842</v>
      </c>
      <c r="AI1484" s="583">
        <v>192</v>
      </c>
      <c r="AJ1484" s="583">
        <v>179</v>
      </c>
      <c r="AK1484" s="582">
        <v>597944</v>
      </c>
      <c r="AL1484" s="582">
        <v>596369</v>
      </c>
      <c r="AM1484" s="583" t="s">
        <v>425</v>
      </c>
      <c r="AN1484" s="577" t="s">
        <v>276</v>
      </c>
      <c r="AO1484" s="586">
        <f t="shared" si="437"/>
        <v>0.32110030370737058</v>
      </c>
      <c r="AP1484" s="577" t="s">
        <v>276</v>
      </c>
      <c r="AQ1484" s="577" t="s">
        <v>276</v>
      </c>
      <c r="AR1484" s="577" t="s">
        <v>276</v>
      </c>
      <c r="AS1484" s="586">
        <f t="shared" si="438"/>
        <v>0.30014973950691604</v>
      </c>
      <c r="AT1484" s="577" t="s">
        <v>276</v>
      </c>
      <c r="AU1484" s="577" t="s">
        <v>276</v>
      </c>
      <c r="AV1484" s="577" t="s">
        <v>269</v>
      </c>
      <c r="AW1484" s="577" t="s">
        <v>276</v>
      </c>
      <c r="AX1484" s="586">
        <f t="shared" si="439"/>
        <v>1.0698003744226865</v>
      </c>
      <c r="AY1484" s="577" t="s">
        <v>276</v>
      </c>
      <c r="AZ1484" s="577" t="s">
        <v>276</v>
      </c>
      <c r="BA1484" s="577" t="s">
        <v>276</v>
      </c>
      <c r="BB1484" s="577" t="s">
        <v>282</v>
      </c>
      <c r="BC1484" s="577" t="s">
        <v>98</v>
      </c>
      <c r="BD1484" s="577" t="s">
        <v>98</v>
      </c>
      <c r="BE1484" s="577" t="s">
        <v>98</v>
      </c>
      <c r="BF1484" s="578" t="s">
        <v>1029</v>
      </c>
      <c r="BG1484" s="578"/>
      <c r="BH1484" s="9" t="s">
        <v>100</v>
      </c>
      <c r="BI1484" s="9" t="s">
        <v>100</v>
      </c>
      <c r="BJ1484" s="531"/>
      <c r="BN1484" s="531"/>
      <c r="BO1484" s="531"/>
    </row>
    <row r="1485" spans="1:67" s="532" customFormat="1" ht="117" hidden="1" x14ac:dyDescent="0.35">
      <c r="A1485" s="577">
        <v>165</v>
      </c>
      <c r="B1485" s="578" t="s">
        <v>8707</v>
      </c>
      <c r="C1485" s="577" t="s">
        <v>52</v>
      </c>
      <c r="D1485" s="578" t="s">
        <v>8846</v>
      </c>
      <c r="E1485" s="577" t="s">
        <v>36</v>
      </c>
      <c r="F1485" s="577" t="s">
        <v>123</v>
      </c>
      <c r="G1485" s="577" t="s">
        <v>225</v>
      </c>
      <c r="H1485" s="577" t="s">
        <v>125</v>
      </c>
      <c r="I1485" s="577" t="s">
        <v>114</v>
      </c>
      <c r="J1485" s="578" t="s">
        <v>28</v>
      </c>
      <c r="K1485" s="577" t="s">
        <v>8839</v>
      </c>
      <c r="L1485" s="578" t="s">
        <v>8829</v>
      </c>
      <c r="M1485" s="577" t="s">
        <v>276</v>
      </c>
      <c r="N1485" s="578" t="s">
        <v>8830</v>
      </c>
      <c r="O1485" s="578" t="s">
        <v>8710</v>
      </c>
      <c r="P1485" s="578" t="s">
        <v>239</v>
      </c>
      <c r="Q1485" s="581">
        <v>34880</v>
      </c>
      <c r="R1485" s="578" t="s">
        <v>8711</v>
      </c>
      <c r="S1485" s="578" t="s">
        <v>8712</v>
      </c>
      <c r="T1485" s="578" t="s">
        <v>8712</v>
      </c>
      <c r="U1485" s="717" t="s">
        <v>8713</v>
      </c>
      <c r="V1485" s="577" t="s">
        <v>14</v>
      </c>
      <c r="W1485" s="578" t="s">
        <v>98</v>
      </c>
      <c r="X1485" s="578" t="s">
        <v>207</v>
      </c>
      <c r="Y1485" s="582">
        <v>75253</v>
      </c>
      <c r="Z1485" s="583">
        <v>74998</v>
      </c>
      <c r="AA1485" s="578" t="s">
        <v>276</v>
      </c>
      <c r="AB1485" s="578" t="s">
        <v>276</v>
      </c>
      <c r="AC1485" s="577">
        <v>19</v>
      </c>
      <c r="AD1485" s="577" t="s">
        <v>4555</v>
      </c>
      <c r="AE1485" s="577">
        <v>33</v>
      </c>
      <c r="AF1485" s="577" t="s">
        <v>4555</v>
      </c>
      <c r="AG1485" s="578" t="s">
        <v>8840</v>
      </c>
      <c r="AH1485" s="578" t="s">
        <v>8842</v>
      </c>
      <c r="AI1485" s="583">
        <f>192+215</f>
        <v>407</v>
      </c>
      <c r="AJ1485" s="583">
        <f>179+264</f>
        <v>443</v>
      </c>
      <c r="AK1485" s="582">
        <v>597944</v>
      </c>
      <c r="AL1485" s="582">
        <v>596369</v>
      </c>
      <c r="AM1485" s="583" t="s">
        <v>425</v>
      </c>
      <c r="AN1485" s="577" t="s">
        <v>276</v>
      </c>
      <c r="AO1485" s="586">
        <f t="shared" si="437"/>
        <v>0.68066574796301993</v>
      </c>
      <c r="AP1485" s="577" t="s">
        <v>276</v>
      </c>
      <c r="AQ1485" s="577" t="s">
        <v>276</v>
      </c>
      <c r="AR1485" s="577" t="s">
        <v>276</v>
      </c>
      <c r="AS1485" s="586">
        <f t="shared" si="438"/>
        <v>0.74282868492493737</v>
      </c>
      <c r="AT1485" s="577" t="s">
        <v>276</v>
      </c>
      <c r="AU1485" s="577" t="s">
        <v>276</v>
      </c>
      <c r="AV1485" s="577" t="s">
        <v>269</v>
      </c>
      <c r="AW1485" s="577">
        <v>0.91</v>
      </c>
      <c r="AX1485" s="586">
        <f t="shared" si="439"/>
        <v>0.91631591748749042</v>
      </c>
      <c r="AY1485" s="585">
        <v>0.8</v>
      </c>
      <c r="AZ1485" s="577">
        <v>1.04</v>
      </c>
      <c r="BA1485" s="577" t="s">
        <v>276</v>
      </c>
      <c r="BB1485" s="577" t="s">
        <v>282</v>
      </c>
      <c r="BC1485" s="577" t="s">
        <v>98</v>
      </c>
      <c r="BD1485" s="577" t="s">
        <v>98</v>
      </c>
      <c r="BE1485" s="577" t="s">
        <v>98</v>
      </c>
      <c r="BF1485" s="578" t="s">
        <v>8847</v>
      </c>
      <c r="BG1485" s="578"/>
      <c r="BH1485" s="9" t="s">
        <v>100</v>
      </c>
      <c r="BI1485" s="9" t="s">
        <v>100</v>
      </c>
      <c r="BJ1485" s="531"/>
      <c r="BN1485" s="531"/>
      <c r="BO1485" s="531"/>
    </row>
    <row r="1486" spans="1:67" s="534" customFormat="1" ht="117" hidden="1" x14ac:dyDescent="0.35">
      <c r="A1486" s="567">
        <v>165</v>
      </c>
      <c r="B1486" s="568" t="s">
        <v>8707</v>
      </c>
      <c r="C1486" s="567" t="s">
        <v>52</v>
      </c>
      <c r="D1486" s="568" t="s">
        <v>8848</v>
      </c>
      <c r="E1486" s="567" t="s">
        <v>36</v>
      </c>
      <c r="F1486" s="567" t="s">
        <v>123</v>
      </c>
      <c r="G1486" s="567" t="s">
        <v>225</v>
      </c>
      <c r="H1486" s="567" t="s">
        <v>125</v>
      </c>
      <c r="I1486" s="567" t="s">
        <v>114</v>
      </c>
      <c r="J1486" s="568" t="s">
        <v>28</v>
      </c>
      <c r="K1486" s="567" t="s">
        <v>8839</v>
      </c>
      <c r="L1486" s="568" t="s">
        <v>8829</v>
      </c>
      <c r="M1486" s="567" t="s">
        <v>276</v>
      </c>
      <c r="N1486" s="568" t="s">
        <v>8830</v>
      </c>
      <c r="O1486" s="568" t="s">
        <v>8710</v>
      </c>
      <c r="P1486" s="568" t="s">
        <v>235</v>
      </c>
      <c r="Q1486" s="571">
        <v>34880</v>
      </c>
      <c r="R1486" s="568" t="s">
        <v>8711</v>
      </c>
      <c r="S1486" s="568" t="s">
        <v>8712</v>
      </c>
      <c r="T1486" s="568" t="s">
        <v>8712</v>
      </c>
      <c r="U1486" s="719" t="s">
        <v>8713</v>
      </c>
      <c r="V1486" s="567" t="s">
        <v>14</v>
      </c>
      <c r="W1486" s="568" t="s">
        <v>98</v>
      </c>
      <c r="X1486" s="568" t="s">
        <v>207</v>
      </c>
      <c r="Y1486" s="572" t="s">
        <v>98</v>
      </c>
      <c r="Z1486" s="573" t="s">
        <v>98</v>
      </c>
      <c r="AA1486" s="568" t="s">
        <v>276</v>
      </c>
      <c r="AB1486" s="568" t="s">
        <v>276</v>
      </c>
      <c r="AC1486" s="567">
        <v>19</v>
      </c>
      <c r="AD1486" s="567" t="s">
        <v>4555</v>
      </c>
      <c r="AE1486" s="567">
        <v>33</v>
      </c>
      <c r="AF1486" s="567" t="s">
        <v>4555</v>
      </c>
      <c r="AG1486" s="568" t="s">
        <v>8840</v>
      </c>
      <c r="AH1486" s="568" t="s">
        <v>8849</v>
      </c>
      <c r="AI1486" s="573">
        <f>192+215</f>
        <v>407</v>
      </c>
      <c r="AJ1486" s="573">
        <f>179+264</f>
        <v>443</v>
      </c>
      <c r="AK1486" s="572">
        <v>893</v>
      </c>
      <c r="AL1486" s="573">
        <v>856</v>
      </c>
      <c r="AM1486" s="573" t="s">
        <v>292</v>
      </c>
      <c r="AN1486" s="567">
        <v>46</v>
      </c>
      <c r="AO1486" s="576">
        <f>AI1486*100/AK1486</f>
        <v>45.576707726763715</v>
      </c>
      <c r="AP1486" s="567" t="s">
        <v>276</v>
      </c>
      <c r="AQ1486" s="567" t="s">
        <v>276</v>
      </c>
      <c r="AR1486" s="567">
        <v>52</v>
      </c>
      <c r="AS1486" s="576">
        <f>AJ1486*100/AL1486</f>
        <v>51.752336448598129</v>
      </c>
      <c r="AT1486" s="567" t="s">
        <v>276</v>
      </c>
      <c r="AU1486" s="567" t="s">
        <v>276</v>
      </c>
      <c r="AV1486" s="567" t="s">
        <v>268</v>
      </c>
      <c r="AW1486" s="567" t="s">
        <v>276</v>
      </c>
      <c r="AX1486" s="576">
        <f t="shared" si="439"/>
        <v>0.88066956690992648</v>
      </c>
      <c r="AY1486" s="567" t="s">
        <v>276</v>
      </c>
      <c r="AZ1486" s="567" t="s">
        <v>276</v>
      </c>
      <c r="BA1486" s="567" t="s">
        <v>7430</v>
      </c>
      <c r="BB1486" s="567" t="s">
        <v>282</v>
      </c>
      <c r="BC1486" s="567" t="s">
        <v>98</v>
      </c>
      <c r="BD1486" s="567" t="s">
        <v>98</v>
      </c>
      <c r="BE1486" s="567" t="s">
        <v>98</v>
      </c>
      <c r="BF1486" s="568" t="s">
        <v>8850</v>
      </c>
      <c r="BG1486" s="568"/>
      <c r="BH1486" s="9" t="s">
        <v>100</v>
      </c>
      <c r="BI1486" s="9" t="s">
        <v>100</v>
      </c>
      <c r="BJ1486" s="533"/>
      <c r="BN1486" s="533"/>
      <c r="BO1486" s="533"/>
    </row>
    <row r="1487" spans="1:67" s="542" customFormat="1" ht="65" hidden="1" x14ac:dyDescent="0.35">
      <c r="A1487" s="589">
        <v>162</v>
      </c>
      <c r="B1487" s="590" t="s">
        <v>8851</v>
      </c>
      <c r="C1487" s="589" t="s">
        <v>52</v>
      </c>
      <c r="D1487" s="590" t="s">
        <v>8852</v>
      </c>
      <c r="E1487" s="589" t="s">
        <v>36</v>
      </c>
      <c r="F1487" s="589" t="s">
        <v>123</v>
      </c>
      <c r="G1487" s="589" t="s">
        <v>225</v>
      </c>
      <c r="H1487" s="589" t="s">
        <v>125</v>
      </c>
      <c r="I1487" s="589" t="s">
        <v>114</v>
      </c>
      <c r="J1487" s="590" t="s">
        <v>28</v>
      </c>
      <c r="K1487" s="589" t="s">
        <v>6737</v>
      </c>
      <c r="L1487" s="590" t="s">
        <v>276</v>
      </c>
      <c r="M1487" s="589" t="s">
        <v>276</v>
      </c>
      <c r="N1487" s="590" t="s">
        <v>8853</v>
      </c>
      <c r="O1487" s="590" t="s">
        <v>8854</v>
      </c>
      <c r="P1487" s="590" t="s">
        <v>239</v>
      </c>
      <c r="Q1487" s="593" t="s">
        <v>8855</v>
      </c>
      <c r="R1487" s="590" t="s">
        <v>8856</v>
      </c>
      <c r="S1487" s="590" t="s">
        <v>276</v>
      </c>
      <c r="T1487" s="590" t="s">
        <v>276</v>
      </c>
      <c r="U1487" s="731" t="s">
        <v>8713</v>
      </c>
      <c r="V1487" s="589" t="s">
        <v>14</v>
      </c>
      <c r="W1487" s="590" t="s">
        <v>98</v>
      </c>
      <c r="X1487" s="590" t="s">
        <v>207</v>
      </c>
      <c r="Y1487" s="594">
        <v>75466</v>
      </c>
      <c r="Z1487" s="595">
        <v>76384</v>
      </c>
      <c r="AA1487" s="590" t="s">
        <v>276</v>
      </c>
      <c r="AB1487" s="590" t="s">
        <v>276</v>
      </c>
      <c r="AC1487" s="589">
        <v>29</v>
      </c>
      <c r="AD1487" s="589" t="s">
        <v>4555</v>
      </c>
      <c r="AE1487" s="589">
        <v>43</v>
      </c>
      <c r="AF1487" s="589" t="s">
        <v>4555</v>
      </c>
      <c r="AG1487" s="590" t="s">
        <v>8857</v>
      </c>
      <c r="AH1487" s="590" t="s">
        <v>6506</v>
      </c>
      <c r="AI1487" s="595">
        <v>200</v>
      </c>
      <c r="AJ1487" s="595">
        <v>118</v>
      </c>
      <c r="AK1487" s="594">
        <v>75466</v>
      </c>
      <c r="AL1487" s="595">
        <v>76384</v>
      </c>
      <c r="AM1487" s="595" t="s">
        <v>2047</v>
      </c>
      <c r="AN1487" s="589" t="s">
        <v>276</v>
      </c>
      <c r="AO1487" s="599">
        <f t="shared" ref="AO1487:AO1491" si="443">AI1487*1000/AK1487</f>
        <v>2.6502000901068032</v>
      </c>
      <c r="AP1487" s="589" t="s">
        <v>276</v>
      </c>
      <c r="AQ1487" s="589" t="s">
        <v>276</v>
      </c>
      <c r="AR1487" s="589" t="s">
        <v>276</v>
      </c>
      <c r="AS1487" s="599">
        <f t="shared" ref="AS1487:AS1491" si="444">AJ1487*1000/AL1487</f>
        <v>1.544826141600335</v>
      </c>
      <c r="AT1487" s="589" t="s">
        <v>276</v>
      </c>
      <c r="AU1487" s="589" t="s">
        <v>276</v>
      </c>
      <c r="AV1487" s="589" t="s">
        <v>268</v>
      </c>
      <c r="AW1487" s="589" t="s">
        <v>276</v>
      </c>
      <c r="AX1487" s="599">
        <f t="shared" si="439"/>
        <v>1.7155329125654073</v>
      </c>
      <c r="AY1487" s="589" t="s">
        <v>276</v>
      </c>
      <c r="AZ1487" s="589" t="s">
        <v>276</v>
      </c>
      <c r="BA1487" s="589" t="s">
        <v>276</v>
      </c>
      <c r="BB1487" s="589" t="s">
        <v>282</v>
      </c>
      <c r="BC1487" s="589" t="s">
        <v>98</v>
      </c>
      <c r="BD1487" s="589" t="s">
        <v>98</v>
      </c>
      <c r="BE1487" s="589" t="s">
        <v>98</v>
      </c>
      <c r="BF1487" s="590" t="s">
        <v>1358</v>
      </c>
      <c r="BG1487" s="590"/>
      <c r="BH1487" s="9" t="s">
        <v>100</v>
      </c>
      <c r="BI1487" s="9" t="s">
        <v>100</v>
      </c>
      <c r="BJ1487" s="541"/>
      <c r="BN1487" s="541"/>
      <c r="BO1487" s="541"/>
    </row>
    <row r="1488" spans="1:67" s="542" customFormat="1" ht="65" hidden="1" x14ac:dyDescent="0.35">
      <c r="A1488" s="589">
        <v>162</v>
      </c>
      <c r="B1488" s="590" t="s">
        <v>8851</v>
      </c>
      <c r="C1488" s="589" t="s">
        <v>52</v>
      </c>
      <c r="D1488" s="590" t="s">
        <v>8858</v>
      </c>
      <c r="E1488" s="589" t="s">
        <v>36</v>
      </c>
      <c r="F1488" s="589" t="s">
        <v>123</v>
      </c>
      <c r="G1488" s="589" t="s">
        <v>225</v>
      </c>
      <c r="H1488" s="589" t="s">
        <v>125</v>
      </c>
      <c r="I1488" s="589" t="s">
        <v>114</v>
      </c>
      <c r="J1488" s="590" t="s">
        <v>28</v>
      </c>
      <c r="K1488" s="589" t="s">
        <v>6740</v>
      </c>
      <c r="L1488" s="590" t="s">
        <v>276</v>
      </c>
      <c r="M1488" s="589" t="s">
        <v>276</v>
      </c>
      <c r="N1488" s="590" t="s">
        <v>8853</v>
      </c>
      <c r="O1488" s="590" t="s">
        <v>8854</v>
      </c>
      <c r="P1488" s="590" t="s">
        <v>239</v>
      </c>
      <c r="Q1488" s="593" t="s">
        <v>8855</v>
      </c>
      <c r="R1488" s="590" t="s">
        <v>8856</v>
      </c>
      <c r="S1488" s="590" t="s">
        <v>276</v>
      </c>
      <c r="T1488" s="590" t="s">
        <v>276</v>
      </c>
      <c r="U1488" s="731" t="s">
        <v>8713</v>
      </c>
      <c r="V1488" s="589" t="s">
        <v>14</v>
      </c>
      <c r="W1488" s="590" t="s">
        <v>98</v>
      </c>
      <c r="X1488" s="590" t="s">
        <v>207</v>
      </c>
      <c r="Y1488" s="594">
        <v>75466</v>
      </c>
      <c r="Z1488" s="595">
        <v>76384</v>
      </c>
      <c r="AA1488" s="590" t="s">
        <v>276</v>
      </c>
      <c r="AB1488" s="590" t="s">
        <v>276</v>
      </c>
      <c r="AC1488" s="589">
        <v>29</v>
      </c>
      <c r="AD1488" s="589" t="s">
        <v>4555</v>
      </c>
      <c r="AE1488" s="589">
        <v>43</v>
      </c>
      <c r="AF1488" s="589" t="s">
        <v>4555</v>
      </c>
      <c r="AG1488" s="590" t="s">
        <v>8859</v>
      </c>
      <c r="AH1488" s="590" t="s">
        <v>6506</v>
      </c>
      <c r="AI1488" s="595">
        <v>338</v>
      </c>
      <c r="AJ1488" s="595">
        <v>348</v>
      </c>
      <c r="AK1488" s="594">
        <v>75466</v>
      </c>
      <c r="AL1488" s="595">
        <v>76384</v>
      </c>
      <c r="AM1488" s="595" t="s">
        <v>2047</v>
      </c>
      <c r="AN1488" s="589" t="s">
        <v>276</v>
      </c>
      <c r="AO1488" s="599">
        <f t="shared" si="443"/>
        <v>4.4788381522804972</v>
      </c>
      <c r="AP1488" s="589" t="s">
        <v>276</v>
      </c>
      <c r="AQ1488" s="589" t="s">
        <v>276</v>
      </c>
      <c r="AR1488" s="589" t="s">
        <v>276</v>
      </c>
      <c r="AS1488" s="599">
        <f t="shared" si="444"/>
        <v>4.5559279430247175</v>
      </c>
      <c r="AT1488" s="589" t="s">
        <v>276</v>
      </c>
      <c r="AU1488" s="589" t="s">
        <v>276</v>
      </c>
      <c r="AV1488" s="589" t="s">
        <v>268</v>
      </c>
      <c r="AW1488" s="589" t="s">
        <v>276</v>
      </c>
      <c r="AX1488" s="599">
        <f t="shared" si="439"/>
        <v>0.98307923397641805</v>
      </c>
      <c r="AY1488" s="589" t="s">
        <v>276</v>
      </c>
      <c r="AZ1488" s="589" t="s">
        <v>276</v>
      </c>
      <c r="BA1488" s="589" t="s">
        <v>276</v>
      </c>
      <c r="BB1488" s="589" t="s">
        <v>282</v>
      </c>
      <c r="BC1488" s="589" t="s">
        <v>98</v>
      </c>
      <c r="BD1488" s="589" t="s">
        <v>98</v>
      </c>
      <c r="BE1488" s="589" t="s">
        <v>98</v>
      </c>
      <c r="BF1488" s="590" t="s">
        <v>1358</v>
      </c>
      <c r="BG1488" s="590"/>
      <c r="BH1488" s="9" t="s">
        <v>100</v>
      </c>
      <c r="BI1488" s="9" t="s">
        <v>100</v>
      </c>
      <c r="BJ1488" s="541"/>
      <c r="BN1488" s="541"/>
      <c r="BO1488" s="541"/>
    </row>
    <row r="1489" spans="1:67" s="542" customFormat="1" ht="65" hidden="1" x14ac:dyDescent="0.35">
      <c r="A1489" s="589">
        <v>162</v>
      </c>
      <c r="B1489" s="590" t="s">
        <v>8851</v>
      </c>
      <c r="C1489" s="589" t="s">
        <v>52</v>
      </c>
      <c r="D1489" s="590" t="s">
        <v>8860</v>
      </c>
      <c r="E1489" s="589" t="s">
        <v>36</v>
      </c>
      <c r="F1489" s="589" t="s">
        <v>123</v>
      </c>
      <c r="G1489" s="589" t="s">
        <v>225</v>
      </c>
      <c r="H1489" s="589" t="s">
        <v>125</v>
      </c>
      <c r="I1489" s="589" t="s">
        <v>114</v>
      </c>
      <c r="J1489" s="590" t="s">
        <v>28</v>
      </c>
      <c r="K1489" s="589" t="s">
        <v>6742</v>
      </c>
      <c r="L1489" s="590" t="s">
        <v>276</v>
      </c>
      <c r="M1489" s="589" t="s">
        <v>276</v>
      </c>
      <c r="N1489" s="590" t="s">
        <v>8853</v>
      </c>
      <c r="O1489" s="590" t="s">
        <v>8854</v>
      </c>
      <c r="P1489" s="590" t="s">
        <v>239</v>
      </c>
      <c r="Q1489" s="593" t="s">
        <v>8855</v>
      </c>
      <c r="R1489" s="590" t="s">
        <v>8856</v>
      </c>
      <c r="S1489" s="590" t="s">
        <v>276</v>
      </c>
      <c r="T1489" s="590" t="s">
        <v>276</v>
      </c>
      <c r="U1489" s="731" t="s">
        <v>8713</v>
      </c>
      <c r="V1489" s="589" t="s">
        <v>14</v>
      </c>
      <c r="W1489" s="590" t="s">
        <v>98</v>
      </c>
      <c r="X1489" s="590" t="s">
        <v>207</v>
      </c>
      <c r="Y1489" s="594">
        <v>75466</v>
      </c>
      <c r="Z1489" s="595">
        <v>76384</v>
      </c>
      <c r="AA1489" s="590" t="s">
        <v>276</v>
      </c>
      <c r="AB1489" s="590" t="s">
        <v>276</v>
      </c>
      <c r="AC1489" s="589">
        <v>29</v>
      </c>
      <c r="AD1489" s="589" t="s">
        <v>4555</v>
      </c>
      <c r="AE1489" s="589">
        <v>43</v>
      </c>
      <c r="AF1489" s="589" t="s">
        <v>4555</v>
      </c>
      <c r="AG1489" s="590" t="s">
        <v>8861</v>
      </c>
      <c r="AH1489" s="590" t="s">
        <v>6506</v>
      </c>
      <c r="AI1489" s="595">
        <v>252</v>
      </c>
      <c r="AJ1489" s="595">
        <v>300</v>
      </c>
      <c r="AK1489" s="594">
        <v>75466</v>
      </c>
      <c r="AL1489" s="595">
        <v>76384</v>
      </c>
      <c r="AM1489" s="595" t="s">
        <v>2047</v>
      </c>
      <c r="AN1489" s="589" t="s">
        <v>276</v>
      </c>
      <c r="AO1489" s="599">
        <f t="shared" si="443"/>
        <v>3.3392521135345721</v>
      </c>
      <c r="AP1489" s="589" t="s">
        <v>276</v>
      </c>
      <c r="AQ1489" s="589" t="s">
        <v>276</v>
      </c>
      <c r="AR1489" s="589" t="s">
        <v>276</v>
      </c>
      <c r="AS1489" s="599">
        <f t="shared" si="444"/>
        <v>3.9275240888144114</v>
      </c>
      <c r="AT1489" s="589" t="s">
        <v>276</v>
      </c>
      <c r="AU1489" s="589" t="s">
        <v>276</v>
      </c>
      <c r="AV1489" s="589" t="s">
        <v>268</v>
      </c>
      <c r="AW1489" s="589" t="s">
        <v>276</v>
      </c>
      <c r="AX1489" s="599">
        <f t="shared" si="439"/>
        <v>0.85021811146741588</v>
      </c>
      <c r="AY1489" s="589" t="s">
        <v>276</v>
      </c>
      <c r="AZ1489" s="589" t="s">
        <v>276</v>
      </c>
      <c r="BA1489" s="589" t="s">
        <v>276</v>
      </c>
      <c r="BB1489" s="589" t="s">
        <v>282</v>
      </c>
      <c r="BC1489" s="589" t="s">
        <v>98</v>
      </c>
      <c r="BD1489" s="589" t="s">
        <v>98</v>
      </c>
      <c r="BE1489" s="589" t="s">
        <v>98</v>
      </c>
      <c r="BF1489" s="590" t="s">
        <v>1358</v>
      </c>
      <c r="BG1489" s="590"/>
      <c r="BH1489" s="9" t="s">
        <v>100</v>
      </c>
      <c r="BI1489" s="9" t="s">
        <v>100</v>
      </c>
      <c r="BJ1489" s="541"/>
      <c r="BN1489" s="541"/>
      <c r="BO1489" s="541"/>
    </row>
    <row r="1490" spans="1:67" s="542" customFormat="1" ht="65" hidden="1" x14ac:dyDescent="0.35">
      <c r="A1490" s="589">
        <v>162</v>
      </c>
      <c r="B1490" s="590" t="s">
        <v>8851</v>
      </c>
      <c r="C1490" s="589" t="s">
        <v>52</v>
      </c>
      <c r="D1490" s="590" t="s">
        <v>8862</v>
      </c>
      <c r="E1490" s="589" t="s">
        <v>36</v>
      </c>
      <c r="F1490" s="589" t="s">
        <v>123</v>
      </c>
      <c r="G1490" s="589" t="s">
        <v>225</v>
      </c>
      <c r="H1490" s="589" t="s">
        <v>125</v>
      </c>
      <c r="I1490" s="589" t="s">
        <v>114</v>
      </c>
      <c r="J1490" s="590" t="s">
        <v>28</v>
      </c>
      <c r="K1490" s="589" t="s">
        <v>7100</v>
      </c>
      <c r="L1490" s="590" t="s">
        <v>276</v>
      </c>
      <c r="M1490" s="589" t="s">
        <v>276</v>
      </c>
      <c r="N1490" s="590" t="s">
        <v>8853</v>
      </c>
      <c r="O1490" s="590" t="s">
        <v>8854</v>
      </c>
      <c r="P1490" s="590" t="s">
        <v>239</v>
      </c>
      <c r="Q1490" s="593" t="s">
        <v>8855</v>
      </c>
      <c r="R1490" s="590" t="s">
        <v>8856</v>
      </c>
      <c r="S1490" s="590" t="s">
        <v>276</v>
      </c>
      <c r="T1490" s="590" t="s">
        <v>276</v>
      </c>
      <c r="U1490" s="731" t="s">
        <v>8713</v>
      </c>
      <c r="V1490" s="589" t="s">
        <v>14</v>
      </c>
      <c r="W1490" s="590" t="s">
        <v>98</v>
      </c>
      <c r="X1490" s="590" t="s">
        <v>207</v>
      </c>
      <c r="Y1490" s="594">
        <v>75466</v>
      </c>
      <c r="Z1490" s="595">
        <v>76384</v>
      </c>
      <c r="AA1490" s="590" t="s">
        <v>276</v>
      </c>
      <c r="AB1490" s="590" t="s">
        <v>276</v>
      </c>
      <c r="AC1490" s="589">
        <v>29</v>
      </c>
      <c r="AD1490" s="589" t="s">
        <v>4555</v>
      </c>
      <c r="AE1490" s="589">
        <v>43</v>
      </c>
      <c r="AF1490" s="589" t="s">
        <v>4555</v>
      </c>
      <c r="AG1490" s="590" t="s">
        <v>8861</v>
      </c>
      <c r="AH1490" s="590" t="s">
        <v>6506</v>
      </c>
      <c r="AI1490" s="595">
        <v>213</v>
      </c>
      <c r="AJ1490" s="595">
        <v>210</v>
      </c>
      <c r="AK1490" s="594">
        <v>75466</v>
      </c>
      <c r="AL1490" s="595">
        <v>76384</v>
      </c>
      <c r="AM1490" s="595" t="s">
        <v>2047</v>
      </c>
      <c r="AN1490" s="589" t="s">
        <v>276</v>
      </c>
      <c r="AO1490" s="599">
        <f t="shared" si="443"/>
        <v>2.8224630959637453</v>
      </c>
      <c r="AP1490" s="589" t="s">
        <v>276</v>
      </c>
      <c r="AQ1490" s="589" t="s">
        <v>276</v>
      </c>
      <c r="AR1490" s="589" t="s">
        <v>276</v>
      </c>
      <c r="AS1490" s="599">
        <f t="shared" si="444"/>
        <v>2.7492668621700878</v>
      </c>
      <c r="AT1490" s="589" t="s">
        <v>276</v>
      </c>
      <c r="AU1490" s="589" t="s">
        <v>276</v>
      </c>
      <c r="AV1490" s="589" t="s">
        <v>268</v>
      </c>
      <c r="AW1490" s="589" t="s">
        <v>276</v>
      </c>
      <c r="AX1490" s="599">
        <f t="shared" si="439"/>
        <v>1.026623910105213</v>
      </c>
      <c r="AY1490" s="589" t="s">
        <v>276</v>
      </c>
      <c r="AZ1490" s="589" t="s">
        <v>276</v>
      </c>
      <c r="BA1490" s="589" t="s">
        <v>276</v>
      </c>
      <c r="BB1490" s="589" t="s">
        <v>282</v>
      </c>
      <c r="BC1490" s="589" t="s">
        <v>98</v>
      </c>
      <c r="BD1490" s="589" t="s">
        <v>98</v>
      </c>
      <c r="BE1490" s="589" t="s">
        <v>98</v>
      </c>
      <c r="BF1490" s="590" t="s">
        <v>1358</v>
      </c>
      <c r="BG1490" s="590"/>
      <c r="BH1490" s="9" t="s">
        <v>100</v>
      </c>
      <c r="BI1490" s="9" t="s">
        <v>100</v>
      </c>
      <c r="BJ1490" s="541"/>
      <c r="BN1490" s="541"/>
      <c r="BO1490" s="541"/>
    </row>
    <row r="1491" spans="1:67" s="542" customFormat="1" ht="78" hidden="1" x14ac:dyDescent="0.35">
      <c r="A1491" s="589">
        <v>162</v>
      </c>
      <c r="B1491" s="590" t="s">
        <v>8851</v>
      </c>
      <c r="C1491" s="589" t="s">
        <v>52</v>
      </c>
      <c r="D1491" s="590" t="s">
        <v>8863</v>
      </c>
      <c r="E1491" s="589" t="s">
        <v>36</v>
      </c>
      <c r="F1491" s="589" t="s">
        <v>123</v>
      </c>
      <c r="G1491" s="589" t="s">
        <v>225</v>
      </c>
      <c r="H1491" s="589" t="s">
        <v>125</v>
      </c>
      <c r="I1491" s="589" t="s">
        <v>114</v>
      </c>
      <c r="J1491" s="590" t="s">
        <v>28</v>
      </c>
      <c r="K1491" s="589" t="s">
        <v>8839</v>
      </c>
      <c r="L1491" s="590" t="s">
        <v>276</v>
      </c>
      <c r="M1491" s="589" t="s">
        <v>276</v>
      </c>
      <c r="N1491" s="590" t="s">
        <v>8853</v>
      </c>
      <c r="O1491" s="590" t="s">
        <v>8854</v>
      </c>
      <c r="P1491" s="590" t="s">
        <v>239</v>
      </c>
      <c r="Q1491" s="593" t="s">
        <v>8855</v>
      </c>
      <c r="R1491" s="590" t="s">
        <v>8856</v>
      </c>
      <c r="S1491" s="590" t="s">
        <v>276</v>
      </c>
      <c r="T1491" s="590" t="s">
        <v>276</v>
      </c>
      <c r="U1491" s="731" t="s">
        <v>8713</v>
      </c>
      <c r="V1491" s="589" t="s">
        <v>14</v>
      </c>
      <c r="W1491" s="590" t="s">
        <v>98</v>
      </c>
      <c r="X1491" s="590" t="s">
        <v>207</v>
      </c>
      <c r="Y1491" s="594">
        <v>75466</v>
      </c>
      <c r="Z1491" s="595">
        <v>76384</v>
      </c>
      <c r="AA1491" s="590" t="s">
        <v>276</v>
      </c>
      <c r="AB1491" s="590" t="s">
        <v>276</v>
      </c>
      <c r="AC1491" s="589">
        <v>29</v>
      </c>
      <c r="AD1491" s="589" t="s">
        <v>4555</v>
      </c>
      <c r="AE1491" s="589">
        <v>43</v>
      </c>
      <c r="AF1491" s="589" t="s">
        <v>4555</v>
      </c>
      <c r="AG1491" s="590" t="s">
        <v>8864</v>
      </c>
      <c r="AH1491" s="590" t="s">
        <v>6506</v>
      </c>
      <c r="AI1491" s="595">
        <f>213+252</f>
        <v>465</v>
      </c>
      <c r="AJ1491" s="595">
        <f>210+300</f>
        <v>510</v>
      </c>
      <c r="AK1491" s="594">
        <v>75466</v>
      </c>
      <c r="AL1491" s="595">
        <v>76384</v>
      </c>
      <c r="AM1491" s="595" t="s">
        <v>2047</v>
      </c>
      <c r="AN1491" s="589" t="s">
        <v>276</v>
      </c>
      <c r="AO1491" s="599">
        <f t="shared" si="443"/>
        <v>6.1617152094983174</v>
      </c>
      <c r="AP1491" s="589" t="s">
        <v>276</v>
      </c>
      <c r="AQ1491" s="589" t="s">
        <v>276</v>
      </c>
      <c r="AR1491" s="589" t="s">
        <v>276</v>
      </c>
      <c r="AS1491" s="599">
        <f t="shared" si="444"/>
        <v>6.6767909509844996</v>
      </c>
      <c r="AT1491" s="589" t="s">
        <v>276</v>
      </c>
      <c r="AU1491" s="589" t="s">
        <v>276</v>
      </c>
      <c r="AV1491" s="589" t="s">
        <v>268</v>
      </c>
      <c r="AW1491" s="589" t="s">
        <v>276</v>
      </c>
      <c r="AX1491" s="599">
        <f t="shared" si="439"/>
        <v>0.92285579325944989</v>
      </c>
      <c r="AY1491" s="589" t="s">
        <v>276</v>
      </c>
      <c r="AZ1491" s="589" t="s">
        <v>276</v>
      </c>
      <c r="BA1491" s="589" t="s">
        <v>276</v>
      </c>
      <c r="BB1491" s="589" t="s">
        <v>282</v>
      </c>
      <c r="BC1491" s="589" t="s">
        <v>98</v>
      </c>
      <c r="BD1491" s="589" t="s">
        <v>98</v>
      </c>
      <c r="BE1491" s="589" t="s">
        <v>98</v>
      </c>
      <c r="BF1491" s="590" t="s">
        <v>1358</v>
      </c>
      <c r="BG1491" s="590"/>
      <c r="BH1491" s="9" t="s">
        <v>100</v>
      </c>
      <c r="BI1491" s="9" t="s">
        <v>100</v>
      </c>
      <c r="BJ1491" s="541"/>
      <c r="BN1491" s="541"/>
      <c r="BO1491" s="541"/>
    </row>
    <row r="1492" spans="1:67" s="542" customFormat="1" ht="65" hidden="1" x14ac:dyDescent="0.35">
      <c r="A1492" s="589">
        <v>162</v>
      </c>
      <c r="B1492" s="590" t="s">
        <v>8851</v>
      </c>
      <c r="C1492" s="589" t="s">
        <v>52</v>
      </c>
      <c r="D1492" s="590" t="s">
        <v>8865</v>
      </c>
      <c r="E1492" s="589" t="s">
        <v>36</v>
      </c>
      <c r="F1492" s="589" t="s">
        <v>123</v>
      </c>
      <c r="G1492" s="589" t="s">
        <v>225</v>
      </c>
      <c r="H1492" s="589" t="s">
        <v>125</v>
      </c>
      <c r="I1492" s="589" t="s">
        <v>114</v>
      </c>
      <c r="J1492" s="590" t="s">
        <v>28</v>
      </c>
      <c r="K1492" s="589" t="s">
        <v>8839</v>
      </c>
      <c r="L1492" s="590" t="s">
        <v>276</v>
      </c>
      <c r="M1492" s="589" t="s">
        <v>276</v>
      </c>
      <c r="N1492" s="590" t="s">
        <v>8853</v>
      </c>
      <c r="O1492" s="590" t="s">
        <v>8854</v>
      </c>
      <c r="P1492" s="590" t="s">
        <v>235</v>
      </c>
      <c r="Q1492" s="593" t="s">
        <v>8855</v>
      </c>
      <c r="R1492" s="590" t="s">
        <v>8856</v>
      </c>
      <c r="S1492" s="590" t="s">
        <v>276</v>
      </c>
      <c r="T1492" s="590" t="s">
        <v>276</v>
      </c>
      <c r="U1492" s="731" t="s">
        <v>8713</v>
      </c>
      <c r="V1492" s="589" t="s">
        <v>14</v>
      </c>
      <c r="W1492" s="590" t="s">
        <v>98</v>
      </c>
      <c r="X1492" s="590" t="s">
        <v>207</v>
      </c>
      <c r="Y1492" s="594">
        <v>75466</v>
      </c>
      <c r="Z1492" s="595">
        <v>76384</v>
      </c>
      <c r="AA1492" s="590" t="s">
        <v>276</v>
      </c>
      <c r="AB1492" s="590" t="s">
        <v>276</v>
      </c>
      <c r="AC1492" s="589">
        <v>29</v>
      </c>
      <c r="AD1492" s="589" t="s">
        <v>4555</v>
      </c>
      <c r="AE1492" s="589">
        <v>43</v>
      </c>
      <c r="AF1492" s="589" t="s">
        <v>4555</v>
      </c>
      <c r="AG1492" s="590" t="s">
        <v>8864</v>
      </c>
      <c r="AH1492" s="590" t="s">
        <v>8866</v>
      </c>
      <c r="AI1492" s="595">
        <f>213+252</f>
        <v>465</v>
      </c>
      <c r="AJ1492" s="595">
        <f>210+300</f>
        <v>510</v>
      </c>
      <c r="AK1492" s="594">
        <v>1032</v>
      </c>
      <c r="AL1492" s="595">
        <v>1019</v>
      </c>
      <c r="AM1492" s="595" t="s">
        <v>292</v>
      </c>
      <c r="AN1492" s="589">
        <f>24.4+20.6</f>
        <v>45</v>
      </c>
      <c r="AO1492" s="599">
        <f>AI1492*100/AK1492</f>
        <v>45.058139534883722</v>
      </c>
      <c r="AP1492" s="589" t="s">
        <v>276</v>
      </c>
      <c r="AQ1492" s="589" t="s">
        <v>276</v>
      </c>
      <c r="AR1492" s="589">
        <f>29.4+20.6</f>
        <v>50</v>
      </c>
      <c r="AS1492" s="599">
        <f>AJ1492*100/AL1492</f>
        <v>50.049067713444551</v>
      </c>
      <c r="AT1492" s="589" t="s">
        <v>276</v>
      </c>
      <c r="AU1492" s="589" t="s">
        <v>276</v>
      </c>
      <c r="AV1492" s="589" t="s">
        <v>268</v>
      </c>
      <c r="AW1492" s="589" t="s">
        <v>276</v>
      </c>
      <c r="AX1492" s="599">
        <f t="shared" si="439"/>
        <v>0.90027929776561799</v>
      </c>
      <c r="AY1492" s="589" t="s">
        <v>276</v>
      </c>
      <c r="AZ1492" s="589" t="s">
        <v>276</v>
      </c>
      <c r="BA1492" s="589" t="s">
        <v>276</v>
      </c>
      <c r="BB1492" s="589" t="s">
        <v>282</v>
      </c>
      <c r="BC1492" s="589" t="s">
        <v>98</v>
      </c>
      <c r="BD1492" s="589" t="s">
        <v>98</v>
      </c>
      <c r="BE1492" s="589" t="s">
        <v>98</v>
      </c>
      <c r="BF1492" s="590" t="s">
        <v>1358</v>
      </c>
      <c r="BG1492" s="590"/>
      <c r="BH1492" s="9" t="s">
        <v>100</v>
      </c>
      <c r="BI1492" s="9" t="s">
        <v>100</v>
      </c>
      <c r="BJ1492" s="541"/>
      <c r="BN1492" s="541"/>
      <c r="BO1492" s="541"/>
    </row>
    <row r="1493" spans="1:67" s="544" customFormat="1" ht="52" hidden="1" x14ac:dyDescent="0.35">
      <c r="A1493" s="601">
        <v>162</v>
      </c>
      <c r="B1493" s="602" t="s">
        <v>8851</v>
      </c>
      <c r="C1493" s="601" t="s">
        <v>52</v>
      </c>
      <c r="D1493" s="602" t="s">
        <v>8867</v>
      </c>
      <c r="E1493" s="601" t="s">
        <v>36</v>
      </c>
      <c r="F1493" s="601" t="s">
        <v>123</v>
      </c>
      <c r="G1493" s="601" t="s">
        <v>225</v>
      </c>
      <c r="H1493" s="601" t="s">
        <v>225</v>
      </c>
      <c r="I1493" s="601" t="s">
        <v>98</v>
      </c>
      <c r="J1493" s="602" t="s">
        <v>98</v>
      </c>
      <c r="K1493" s="601" t="s">
        <v>98</v>
      </c>
      <c r="L1493" s="601" t="s">
        <v>98</v>
      </c>
      <c r="M1493" s="601" t="s">
        <v>98</v>
      </c>
      <c r="N1493" s="602" t="s">
        <v>8853</v>
      </c>
      <c r="O1493" s="602" t="s">
        <v>8854</v>
      </c>
      <c r="P1493" s="602" t="s">
        <v>236</v>
      </c>
      <c r="Q1493" s="605" t="s">
        <v>8855</v>
      </c>
      <c r="R1493" s="602" t="s">
        <v>8856</v>
      </c>
      <c r="S1493" s="602" t="s">
        <v>276</v>
      </c>
      <c r="T1493" s="602" t="s">
        <v>98</v>
      </c>
      <c r="U1493" s="729" t="s">
        <v>8713</v>
      </c>
      <c r="V1493" s="601" t="s">
        <v>14</v>
      </c>
      <c r="W1493" s="602" t="s">
        <v>98</v>
      </c>
      <c r="X1493" s="602" t="s">
        <v>209</v>
      </c>
      <c r="Y1493" s="606" t="s">
        <v>98</v>
      </c>
      <c r="Z1493" s="602" t="s">
        <v>98</v>
      </c>
      <c r="AA1493" s="602" t="s">
        <v>276</v>
      </c>
      <c r="AB1493" s="602" t="s">
        <v>98</v>
      </c>
      <c r="AC1493" s="601">
        <v>0</v>
      </c>
      <c r="AD1493" s="601" t="s">
        <v>8769</v>
      </c>
      <c r="AE1493" s="601" t="s">
        <v>98</v>
      </c>
      <c r="AF1493" s="601" t="s">
        <v>98</v>
      </c>
      <c r="AG1493" s="602" t="s">
        <v>8868</v>
      </c>
      <c r="AH1493" s="602" t="s">
        <v>8869</v>
      </c>
      <c r="AI1493" s="607">
        <v>236</v>
      </c>
      <c r="AJ1493" s="607" t="s">
        <v>98</v>
      </c>
      <c r="AK1493" s="606">
        <v>1032</v>
      </c>
      <c r="AL1493" s="607" t="s">
        <v>98</v>
      </c>
      <c r="AM1493" s="607" t="s">
        <v>292</v>
      </c>
      <c r="AN1493" s="601" t="s">
        <v>276</v>
      </c>
      <c r="AO1493" s="611">
        <f>AI1493*100/AK1493</f>
        <v>22.868217054263567</v>
      </c>
      <c r="AP1493" s="601" t="s">
        <v>276</v>
      </c>
      <c r="AQ1493" s="601" t="s">
        <v>276</v>
      </c>
      <c r="AR1493" s="601" t="s">
        <v>98</v>
      </c>
      <c r="AS1493" s="601" t="s">
        <v>98</v>
      </c>
      <c r="AT1493" s="601" t="s">
        <v>98</v>
      </c>
      <c r="AU1493" s="601" t="s">
        <v>98</v>
      </c>
      <c r="AV1493" s="601" t="s">
        <v>98</v>
      </c>
      <c r="AW1493" s="601" t="s">
        <v>98</v>
      </c>
      <c r="AX1493" s="601" t="s">
        <v>98</v>
      </c>
      <c r="AY1493" s="601" t="s">
        <v>98</v>
      </c>
      <c r="AZ1493" s="601" t="s">
        <v>98</v>
      </c>
      <c r="BA1493" s="601" t="s">
        <v>98</v>
      </c>
      <c r="BB1493" s="601" t="s">
        <v>98</v>
      </c>
      <c r="BC1493" s="601" t="s">
        <v>98</v>
      </c>
      <c r="BD1493" s="601" t="s">
        <v>98</v>
      </c>
      <c r="BE1493" s="601" t="s">
        <v>98</v>
      </c>
      <c r="BF1493" s="602" t="s">
        <v>8870</v>
      </c>
      <c r="BG1493" s="602"/>
      <c r="BH1493" s="9" t="s">
        <v>100</v>
      </c>
      <c r="BI1493" s="9" t="s">
        <v>100</v>
      </c>
      <c r="BJ1493" s="543"/>
      <c r="BN1493" s="543"/>
      <c r="BO1493" s="543"/>
    </row>
    <row r="1494" spans="1:67" s="544" customFormat="1" ht="92.25" hidden="1" customHeight="1" x14ac:dyDescent="0.35">
      <c r="A1494" s="601">
        <v>162</v>
      </c>
      <c r="B1494" s="602" t="s">
        <v>8851</v>
      </c>
      <c r="C1494" s="601" t="s">
        <v>52</v>
      </c>
      <c r="D1494" s="602" t="s">
        <v>8871</v>
      </c>
      <c r="E1494" s="601" t="s">
        <v>36</v>
      </c>
      <c r="F1494" s="601" t="s">
        <v>123</v>
      </c>
      <c r="G1494" s="601" t="s">
        <v>225</v>
      </c>
      <c r="H1494" s="601" t="s">
        <v>225</v>
      </c>
      <c r="I1494" s="601" t="s">
        <v>98</v>
      </c>
      <c r="J1494" s="602" t="s">
        <v>8797</v>
      </c>
      <c r="K1494" s="601" t="s">
        <v>8798</v>
      </c>
      <c r="L1494" s="601" t="s">
        <v>98</v>
      </c>
      <c r="M1494" s="601" t="s">
        <v>98</v>
      </c>
      <c r="N1494" s="602" t="s">
        <v>8853</v>
      </c>
      <c r="O1494" s="602" t="s">
        <v>8854</v>
      </c>
      <c r="P1494" s="602" t="s">
        <v>237</v>
      </c>
      <c r="Q1494" s="605" t="s">
        <v>8855</v>
      </c>
      <c r="R1494" s="602" t="s">
        <v>8856</v>
      </c>
      <c r="S1494" s="602" t="s">
        <v>276</v>
      </c>
      <c r="T1494" s="602" t="s">
        <v>98</v>
      </c>
      <c r="U1494" s="729" t="s">
        <v>8713</v>
      </c>
      <c r="V1494" s="601" t="s">
        <v>14</v>
      </c>
      <c r="W1494" s="602" t="s">
        <v>98</v>
      </c>
      <c r="X1494" s="602" t="s">
        <v>209</v>
      </c>
      <c r="Y1494" s="606" t="s">
        <v>98</v>
      </c>
      <c r="Z1494" s="602" t="s">
        <v>98</v>
      </c>
      <c r="AA1494" s="602" t="s">
        <v>276</v>
      </c>
      <c r="AB1494" s="602" t="s">
        <v>98</v>
      </c>
      <c r="AC1494" s="601">
        <v>198</v>
      </c>
      <c r="AD1494" s="602" t="s">
        <v>8872</v>
      </c>
      <c r="AE1494" s="601" t="s">
        <v>98</v>
      </c>
      <c r="AF1494" s="601" t="s">
        <v>98</v>
      </c>
      <c r="AG1494" s="602" t="s">
        <v>8873</v>
      </c>
      <c r="AH1494" s="602" t="s">
        <v>8874</v>
      </c>
      <c r="AI1494" s="607">
        <v>19</v>
      </c>
      <c r="AJ1494" s="607" t="s">
        <v>98</v>
      </c>
      <c r="AK1494" s="606">
        <v>129</v>
      </c>
      <c r="AL1494" s="607" t="s">
        <v>98</v>
      </c>
      <c r="AM1494" s="607" t="s">
        <v>292</v>
      </c>
      <c r="AN1494" s="601" t="s">
        <v>276</v>
      </c>
      <c r="AO1494" s="611">
        <f>AI1494*100/AK1494</f>
        <v>14.728682170542635</v>
      </c>
      <c r="AP1494" s="601" t="s">
        <v>276</v>
      </c>
      <c r="AQ1494" s="601" t="s">
        <v>276</v>
      </c>
      <c r="AR1494" s="601" t="s">
        <v>98</v>
      </c>
      <c r="AS1494" s="601" t="s">
        <v>98</v>
      </c>
      <c r="AT1494" s="601" t="s">
        <v>98</v>
      </c>
      <c r="AU1494" s="601" t="s">
        <v>98</v>
      </c>
      <c r="AV1494" s="601" t="s">
        <v>98</v>
      </c>
      <c r="AW1494" s="601" t="s">
        <v>98</v>
      </c>
      <c r="AX1494" s="601" t="s">
        <v>98</v>
      </c>
      <c r="AY1494" s="601" t="s">
        <v>98</v>
      </c>
      <c r="AZ1494" s="601" t="s">
        <v>98</v>
      </c>
      <c r="BA1494" s="601" t="s">
        <v>98</v>
      </c>
      <c r="BB1494" s="601" t="s">
        <v>98</v>
      </c>
      <c r="BC1494" s="601" t="s">
        <v>98</v>
      </c>
      <c r="BD1494" s="601" t="s">
        <v>98</v>
      </c>
      <c r="BE1494" s="601" t="s">
        <v>98</v>
      </c>
      <c r="BF1494" s="602" t="s">
        <v>8870</v>
      </c>
      <c r="BG1494" s="602"/>
      <c r="BH1494" s="9" t="s">
        <v>100</v>
      </c>
      <c r="BI1494" s="9" t="s">
        <v>100</v>
      </c>
      <c r="BJ1494" s="543"/>
      <c r="BN1494" s="543"/>
      <c r="BO1494" s="543"/>
    </row>
    <row r="1495" spans="1:67" s="239" customFormat="1" ht="39" hidden="1" x14ac:dyDescent="0.35">
      <c r="A1495" s="646">
        <v>7693</v>
      </c>
      <c r="B1495" s="647" t="s">
        <v>8746</v>
      </c>
      <c r="C1495" s="646" t="s">
        <v>52</v>
      </c>
      <c r="D1495" s="647" t="s">
        <v>8875</v>
      </c>
      <c r="E1495" s="646" t="s">
        <v>36</v>
      </c>
      <c r="F1495" s="646" t="s">
        <v>123</v>
      </c>
      <c r="G1495" s="646" t="s">
        <v>225</v>
      </c>
      <c r="H1495" s="646" t="s">
        <v>125</v>
      </c>
      <c r="I1495" s="646" t="s">
        <v>114</v>
      </c>
      <c r="J1495" s="647" t="s">
        <v>28</v>
      </c>
      <c r="K1495" s="646" t="s">
        <v>6737</v>
      </c>
      <c r="L1495" s="646" t="s">
        <v>276</v>
      </c>
      <c r="M1495" s="646" t="s">
        <v>276</v>
      </c>
      <c r="N1495" s="647" t="s">
        <v>8876</v>
      </c>
      <c r="O1495" s="647" t="s">
        <v>8877</v>
      </c>
      <c r="P1495" s="647" t="s">
        <v>239</v>
      </c>
      <c r="Q1495" s="648">
        <v>39994</v>
      </c>
      <c r="R1495" s="647" t="s">
        <v>8749</v>
      </c>
      <c r="S1495" s="647" t="s">
        <v>8750</v>
      </c>
      <c r="T1495" s="647" t="s">
        <v>8750</v>
      </c>
      <c r="U1495" s="768" t="s">
        <v>8751</v>
      </c>
      <c r="V1495" s="646" t="s">
        <v>14</v>
      </c>
      <c r="W1495" s="646" t="s">
        <v>98</v>
      </c>
      <c r="X1495" s="647" t="s">
        <v>207</v>
      </c>
      <c r="Y1495" s="649">
        <v>76056</v>
      </c>
      <c r="Z1495" s="647">
        <v>75919</v>
      </c>
      <c r="AA1495" s="647" t="s">
        <v>276</v>
      </c>
      <c r="AB1495" s="647" t="s">
        <v>276</v>
      </c>
      <c r="AC1495" s="646">
        <v>203</v>
      </c>
      <c r="AD1495" s="646" t="s">
        <v>8878</v>
      </c>
      <c r="AE1495" s="646">
        <v>240</v>
      </c>
      <c r="AF1495" s="646" t="s">
        <v>8878</v>
      </c>
      <c r="AG1495" s="647" t="s">
        <v>8879</v>
      </c>
      <c r="AH1495" s="647" t="s">
        <v>8753</v>
      </c>
      <c r="AI1495" s="650">
        <v>314</v>
      </c>
      <c r="AJ1495" s="650">
        <v>258</v>
      </c>
      <c r="AK1495" s="650">
        <v>1286526</v>
      </c>
      <c r="AL1495" s="650">
        <v>1286877</v>
      </c>
      <c r="AM1495" s="650" t="s">
        <v>425</v>
      </c>
      <c r="AN1495" s="646" t="s">
        <v>276</v>
      </c>
      <c r="AO1495" s="651">
        <f>AI1495*1000/AK1495</f>
        <v>0.2440681338737033</v>
      </c>
      <c r="AP1495" s="646" t="s">
        <v>276</v>
      </c>
      <c r="AQ1495" s="646" t="s">
        <v>276</v>
      </c>
      <c r="AR1495" s="646" t="s">
        <v>276</v>
      </c>
      <c r="AS1495" s="651">
        <f>AJ1495*1000/AL1495</f>
        <v>0.20048536107180406</v>
      </c>
      <c r="AT1495" s="646" t="s">
        <v>276</v>
      </c>
      <c r="AU1495" s="646" t="s">
        <v>276</v>
      </c>
      <c r="AV1495" s="646" t="s">
        <v>269</v>
      </c>
      <c r="AW1495" s="776" t="s">
        <v>276</v>
      </c>
      <c r="AX1495" s="777">
        <f t="shared" ref="AX1495:AX1500" si="445">AO1495/AS1495</f>
        <v>1.217386309748022</v>
      </c>
      <c r="AY1495" s="647" t="s">
        <v>276</v>
      </c>
      <c r="AZ1495" s="647" t="s">
        <v>276</v>
      </c>
      <c r="BA1495" s="647" t="s">
        <v>276</v>
      </c>
      <c r="BB1495" s="647" t="s">
        <v>282</v>
      </c>
      <c r="BC1495" s="647" t="s">
        <v>98</v>
      </c>
      <c r="BD1495" s="647" t="s">
        <v>98</v>
      </c>
      <c r="BE1495" s="647" t="s">
        <v>98</v>
      </c>
      <c r="BF1495" s="647" t="s">
        <v>1358</v>
      </c>
      <c r="BG1495" s="647"/>
      <c r="BH1495" s="9" t="s">
        <v>100</v>
      </c>
      <c r="BI1495" s="9" t="s">
        <v>100</v>
      </c>
      <c r="BJ1495" s="238"/>
      <c r="BN1495" s="238"/>
      <c r="BO1495" s="238"/>
    </row>
    <row r="1496" spans="1:67" s="239" customFormat="1" ht="39" hidden="1" x14ac:dyDescent="0.35">
      <c r="A1496" s="646">
        <v>7693</v>
      </c>
      <c r="B1496" s="647" t="s">
        <v>8746</v>
      </c>
      <c r="C1496" s="646" t="s">
        <v>52</v>
      </c>
      <c r="D1496" s="647" t="s">
        <v>8880</v>
      </c>
      <c r="E1496" s="646" t="s">
        <v>36</v>
      </c>
      <c r="F1496" s="646" t="s">
        <v>123</v>
      </c>
      <c r="G1496" s="646" t="s">
        <v>225</v>
      </c>
      <c r="H1496" s="646" t="s">
        <v>125</v>
      </c>
      <c r="I1496" s="646" t="s">
        <v>114</v>
      </c>
      <c r="J1496" s="647" t="s">
        <v>28</v>
      </c>
      <c r="K1496" s="646" t="s">
        <v>6740</v>
      </c>
      <c r="L1496" s="646" t="s">
        <v>276</v>
      </c>
      <c r="M1496" s="646" t="s">
        <v>276</v>
      </c>
      <c r="N1496" s="647" t="s">
        <v>8876</v>
      </c>
      <c r="O1496" s="647" t="s">
        <v>8877</v>
      </c>
      <c r="P1496" s="647" t="s">
        <v>239</v>
      </c>
      <c r="Q1496" s="648">
        <v>39994</v>
      </c>
      <c r="R1496" s="647" t="s">
        <v>8749</v>
      </c>
      <c r="S1496" s="647" t="s">
        <v>8750</v>
      </c>
      <c r="T1496" s="647" t="s">
        <v>8750</v>
      </c>
      <c r="U1496" s="768" t="s">
        <v>8751</v>
      </c>
      <c r="V1496" s="646" t="s">
        <v>14</v>
      </c>
      <c r="W1496" s="646" t="s">
        <v>98</v>
      </c>
      <c r="X1496" s="647" t="s">
        <v>207</v>
      </c>
      <c r="Y1496" s="649">
        <v>76056</v>
      </c>
      <c r="Z1496" s="647">
        <v>75919</v>
      </c>
      <c r="AA1496" s="647" t="s">
        <v>276</v>
      </c>
      <c r="AB1496" s="647" t="s">
        <v>276</v>
      </c>
      <c r="AC1496" s="646">
        <v>203</v>
      </c>
      <c r="AD1496" s="646" t="s">
        <v>8878</v>
      </c>
      <c r="AE1496" s="646">
        <v>240</v>
      </c>
      <c r="AF1496" s="646" t="s">
        <v>8878</v>
      </c>
      <c r="AG1496" s="647" t="s">
        <v>8881</v>
      </c>
      <c r="AH1496" s="647" t="s">
        <v>8753</v>
      </c>
      <c r="AI1496" s="650">
        <v>719</v>
      </c>
      <c r="AJ1496" s="650">
        <v>735</v>
      </c>
      <c r="AK1496" s="650">
        <v>1286526</v>
      </c>
      <c r="AL1496" s="650">
        <v>1286877</v>
      </c>
      <c r="AM1496" s="650" t="s">
        <v>425</v>
      </c>
      <c r="AN1496" s="646" t="s">
        <v>276</v>
      </c>
      <c r="AO1496" s="651">
        <f>AI1496*1000/AK1496</f>
        <v>0.55886938934774733</v>
      </c>
      <c r="AP1496" s="646" t="s">
        <v>276</v>
      </c>
      <c r="AQ1496" s="646" t="s">
        <v>276</v>
      </c>
      <c r="AR1496" s="646" t="s">
        <v>276</v>
      </c>
      <c r="AS1496" s="651">
        <f>AJ1496*1000/AL1496</f>
        <v>0.57115015654176737</v>
      </c>
      <c r="AT1496" s="646" t="s">
        <v>276</v>
      </c>
      <c r="AU1496" s="646" t="s">
        <v>276</v>
      </c>
      <c r="AV1496" s="646" t="s">
        <v>269</v>
      </c>
      <c r="AW1496" s="776" t="s">
        <v>276</v>
      </c>
      <c r="AX1496" s="777">
        <f t="shared" si="445"/>
        <v>0.97849818116416476</v>
      </c>
      <c r="AY1496" s="647" t="s">
        <v>276</v>
      </c>
      <c r="AZ1496" s="647" t="s">
        <v>276</v>
      </c>
      <c r="BA1496" s="647" t="s">
        <v>276</v>
      </c>
      <c r="BB1496" s="647" t="s">
        <v>282</v>
      </c>
      <c r="BC1496" s="647" t="s">
        <v>98</v>
      </c>
      <c r="BD1496" s="647" t="s">
        <v>98</v>
      </c>
      <c r="BE1496" s="647" t="s">
        <v>98</v>
      </c>
      <c r="BF1496" s="647" t="s">
        <v>1358</v>
      </c>
      <c r="BG1496" s="647"/>
      <c r="BH1496" s="9" t="s">
        <v>100</v>
      </c>
      <c r="BI1496" s="9" t="s">
        <v>100</v>
      </c>
      <c r="BJ1496" s="238"/>
      <c r="BN1496" s="238"/>
      <c r="BO1496" s="238"/>
    </row>
    <row r="1497" spans="1:67" s="239" customFormat="1" ht="39" hidden="1" x14ac:dyDescent="0.35">
      <c r="A1497" s="646">
        <v>7693</v>
      </c>
      <c r="B1497" s="647" t="s">
        <v>8746</v>
      </c>
      <c r="C1497" s="646" t="s">
        <v>52</v>
      </c>
      <c r="D1497" s="647" t="s">
        <v>8882</v>
      </c>
      <c r="E1497" s="646" t="s">
        <v>36</v>
      </c>
      <c r="F1497" s="646" t="s">
        <v>123</v>
      </c>
      <c r="G1497" s="646" t="s">
        <v>225</v>
      </c>
      <c r="H1497" s="646" t="s">
        <v>125</v>
      </c>
      <c r="I1497" s="646" t="s">
        <v>114</v>
      </c>
      <c r="J1497" s="647" t="s">
        <v>28</v>
      </c>
      <c r="K1497" s="646" t="s">
        <v>6742</v>
      </c>
      <c r="L1497" s="646" t="s">
        <v>276</v>
      </c>
      <c r="M1497" s="646" t="s">
        <v>276</v>
      </c>
      <c r="N1497" s="647" t="s">
        <v>8876</v>
      </c>
      <c r="O1497" s="647" t="s">
        <v>8877</v>
      </c>
      <c r="P1497" s="647" t="s">
        <v>239</v>
      </c>
      <c r="Q1497" s="648">
        <v>39994</v>
      </c>
      <c r="R1497" s="647" t="s">
        <v>8749</v>
      </c>
      <c r="S1497" s="647" t="s">
        <v>8750</v>
      </c>
      <c r="T1497" s="647" t="s">
        <v>8750</v>
      </c>
      <c r="U1497" s="768" t="s">
        <v>8751</v>
      </c>
      <c r="V1497" s="646" t="s">
        <v>14</v>
      </c>
      <c r="W1497" s="646" t="s">
        <v>98</v>
      </c>
      <c r="X1497" s="647" t="s">
        <v>207</v>
      </c>
      <c r="Y1497" s="649">
        <v>76056</v>
      </c>
      <c r="Z1497" s="647">
        <v>75919</v>
      </c>
      <c r="AA1497" s="647" t="s">
        <v>276</v>
      </c>
      <c r="AB1497" s="647" t="s">
        <v>276</v>
      </c>
      <c r="AC1497" s="646">
        <v>203</v>
      </c>
      <c r="AD1497" s="646" t="s">
        <v>8878</v>
      </c>
      <c r="AE1497" s="646">
        <v>240</v>
      </c>
      <c r="AF1497" s="646" t="s">
        <v>8878</v>
      </c>
      <c r="AG1497" s="647" t="s">
        <v>8883</v>
      </c>
      <c r="AH1497" s="647" t="s">
        <v>8753</v>
      </c>
      <c r="AI1497" s="650">
        <v>591</v>
      </c>
      <c r="AJ1497" s="650">
        <v>653</v>
      </c>
      <c r="AK1497" s="650">
        <v>1286526</v>
      </c>
      <c r="AL1497" s="650">
        <v>1286877</v>
      </c>
      <c r="AM1497" s="650" t="s">
        <v>425</v>
      </c>
      <c r="AN1497" s="646" t="s">
        <v>276</v>
      </c>
      <c r="AO1497" s="651">
        <f>AI1497*1000/AK1497</f>
        <v>0.45937664687693835</v>
      </c>
      <c r="AP1497" s="646" t="s">
        <v>276</v>
      </c>
      <c r="AQ1497" s="646" t="s">
        <v>276</v>
      </c>
      <c r="AR1497" s="646" t="s">
        <v>276</v>
      </c>
      <c r="AS1497" s="651">
        <f>AJ1497*1000/AL1497</f>
        <v>0.50743000302282193</v>
      </c>
      <c r="AT1497" s="646" t="s">
        <v>276</v>
      </c>
      <c r="AU1497" s="646" t="s">
        <v>276</v>
      </c>
      <c r="AV1497" s="646" t="s">
        <v>269</v>
      </c>
      <c r="AW1497" s="776" t="s">
        <v>276</v>
      </c>
      <c r="AX1497" s="777">
        <f t="shared" si="445"/>
        <v>0.905300522516162</v>
      </c>
      <c r="AY1497" s="647" t="s">
        <v>276</v>
      </c>
      <c r="AZ1497" s="647" t="s">
        <v>276</v>
      </c>
      <c r="BA1497" s="647" t="s">
        <v>276</v>
      </c>
      <c r="BB1497" s="647" t="s">
        <v>282</v>
      </c>
      <c r="BC1497" s="647" t="s">
        <v>98</v>
      </c>
      <c r="BD1497" s="647" t="s">
        <v>98</v>
      </c>
      <c r="BE1497" s="647" t="s">
        <v>98</v>
      </c>
      <c r="BF1497" s="647" t="s">
        <v>1358</v>
      </c>
      <c r="BG1497" s="647"/>
      <c r="BH1497" s="9" t="s">
        <v>100</v>
      </c>
      <c r="BI1497" s="9" t="s">
        <v>100</v>
      </c>
      <c r="BJ1497" s="238"/>
      <c r="BN1497" s="238"/>
      <c r="BO1497" s="238"/>
    </row>
    <row r="1498" spans="1:67" s="239" customFormat="1" ht="39" hidden="1" x14ac:dyDescent="0.35">
      <c r="A1498" s="646">
        <v>7693</v>
      </c>
      <c r="B1498" s="647" t="s">
        <v>8746</v>
      </c>
      <c r="C1498" s="646" t="s">
        <v>52</v>
      </c>
      <c r="D1498" s="647" t="s">
        <v>8884</v>
      </c>
      <c r="E1498" s="646" t="s">
        <v>36</v>
      </c>
      <c r="F1498" s="646" t="s">
        <v>123</v>
      </c>
      <c r="G1498" s="646" t="s">
        <v>225</v>
      </c>
      <c r="H1498" s="646" t="s">
        <v>125</v>
      </c>
      <c r="I1498" s="646" t="s">
        <v>114</v>
      </c>
      <c r="J1498" s="647" t="s">
        <v>28</v>
      </c>
      <c r="K1498" s="646" t="s">
        <v>7100</v>
      </c>
      <c r="L1498" s="646" t="s">
        <v>276</v>
      </c>
      <c r="M1498" s="646" t="s">
        <v>276</v>
      </c>
      <c r="N1498" s="647" t="s">
        <v>8876</v>
      </c>
      <c r="O1498" s="647" t="s">
        <v>8877</v>
      </c>
      <c r="P1498" s="647" t="s">
        <v>239</v>
      </c>
      <c r="Q1498" s="648">
        <v>39994</v>
      </c>
      <c r="R1498" s="647" t="s">
        <v>8749</v>
      </c>
      <c r="S1498" s="647" t="s">
        <v>8750</v>
      </c>
      <c r="T1498" s="647" t="s">
        <v>8750</v>
      </c>
      <c r="U1498" s="768" t="s">
        <v>8751</v>
      </c>
      <c r="V1498" s="646" t="s">
        <v>14</v>
      </c>
      <c r="W1498" s="646" t="s">
        <v>98</v>
      </c>
      <c r="X1498" s="647" t="s">
        <v>207</v>
      </c>
      <c r="Y1498" s="649">
        <v>76056</v>
      </c>
      <c r="Z1498" s="647">
        <v>75919</v>
      </c>
      <c r="AA1498" s="647" t="s">
        <v>276</v>
      </c>
      <c r="AB1498" s="647" t="s">
        <v>276</v>
      </c>
      <c r="AC1498" s="646">
        <v>203</v>
      </c>
      <c r="AD1498" s="646" t="s">
        <v>8878</v>
      </c>
      <c r="AE1498" s="646">
        <v>240</v>
      </c>
      <c r="AF1498" s="646" t="s">
        <v>8878</v>
      </c>
      <c r="AG1498" s="647" t="s">
        <v>8885</v>
      </c>
      <c r="AH1498" s="647" t="s">
        <v>8753</v>
      </c>
      <c r="AI1498" s="650">
        <v>452</v>
      </c>
      <c r="AJ1498" s="650">
        <v>468</v>
      </c>
      <c r="AK1498" s="650">
        <v>1286526</v>
      </c>
      <c r="AL1498" s="650">
        <v>1286877</v>
      </c>
      <c r="AM1498" s="650" t="s">
        <v>425</v>
      </c>
      <c r="AN1498" s="646" t="s">
        <v>276</v>
      </c>
      <c r="AO1498" s="651">
        <f>AI1498*1000/AK1498</f>
        <v>0.3513337468500442</v>
      </c>
      <c r="AP1498" s="646" t="s">
        <v>276</v>
      </c>
      <c r="AQ1498" s="646" t="s">
        <v>276</v>
      </c>
      <c r="AR1498" s="646" t="s">
        <v>276</v>
      </c>
      <c r="AS1498" s="651">
        <f>AJ1498*1000/AL1498</f>
        <v>0.36367112008373759</v>
      </c>
      <c r="AT1498" s="646" t="s">
        <v>276</v>
      </c>
      <c r="AU1498" s="646" t="s">
        <v>276</v>
      </c>
      <c r="AV1498" s="646" t="s">
        <v>269</v>
      </c>
      <c r="AW1498" s="776" t="s">
        <v>276</v>
      </c>
      <c r="AX1498" s="777">
        <f t="shared" si="445"/>
        <v>0.96607546612210338</v>
      </c>
      <c r="AY1498" s="647" t="s">
        <v>276</v>
      </c>
      <c r="AZ1498" s="647" t="s">
        <v>276</v>
      </c>
      <c r="BA1498" s="647" t="s">
        <v>276</v>
      </c>
      <c r="BB1498" s="647" t="s">
        <v>282</v>
      </c>
      <c r="BC1498" s="647" t="s">
        <v>98</v>
      </c>
      <c r="BD1498" s="647" t="s">
        <v>98</v>
      </c>
      <c r="BE1498" s="647" t="s">
        <v>98</v>
      </c>
      <c r="BF1498" s="647" t="s">
        <v>1358</v>
      </c>
      <c r="BG1498" s="647"/>
      <c r="BH1498" s="9" t="s">
        <v>100</v>
      </c>
      <c r="BI1498" s="9" t="s">
        <v>100</v>
      </c>
      <c r="BJ1498" s="238"/>
      <c r="BN1498" s="238"/>
      <c r="BO1498" s="238"/>
    </row>
    <row r="1499" spans="1:67" s="239" customFormat="1" ht="52" hidden="1" x14ac:dyDescent="0.35">
      <c r="A1499" s="646">
        <v>7693</v>
      </c>
      <c r="B1499" s="647" t="s">
        <v>8746</v>
      </c>
      <c r="C1499" s="646" t="s">
        <v>52</v>
      </c>
      <c r="D1499" s="647" t="s">
        <v>8886</v>
      </c>
      <c r="E1499" s="646" t="s">
        <v>36</v>
      </c>
      <c r="F1499" s="646" t="s">
        <v>123</v>
      </c>
      <c r="G1499" s="646" t="s">
        <v>225</v>
      </c>
      <c r="H1499" s="646" t="s">
        <v>125</v>
      </c>
      <c r="I1499" s="646" t="s">
        <v>114</v>
      </c>
      <c r="J1499" s="647" t="s">
        <v>28</v>
      </c>
      <c r="K1499" s="646" t="s">
        <v>8839</v>
      </c>
      <c r="L1499" s="646" t="s">
        <v>276</v>
      </c>
      <c r="M1499" s="646" t="s">
        <v>276</v>
      </c>
      <c r="N1499" s="647" t="s">
        <v>8876</v>
      </c>
      <c r="O1499" s="647" t="s">
        <v>8877</v>
      </c>
      <c r="P1499" s="647" t="s">
        <v>239</v>
      </c>
      <c r="Q1499" s="648">
        <v>39994</v>
      </c>
      <c r="R1499" s="647" t="s">
        <v>8749</v>
      </c>
      <c r="S1499" s="647" t="s">
        <v>8750</v>
      </c>
      <c r="T1499" s="647" t="s">
        <v>8750</v>
      </c>
      <c r="U1499" s="768" t="s">
        <v>8751</v>
      </c>
      <c r="V1499" s="646" t="s">
        <v>14</v>
      </c>
      <c r="W1499" s="646" t="s">
        <v>98</v>
      </c>
      <c r="X1499" s="647" t="s">
        <v>207</v>
      </c>
      <c r="Y1499" s="649">
        <v>76056</v>
      </c>
      <c r="Z1499" s="647">
        <v>75919</v>
      </c>
      <c r="AA1499" s="647" t="s">
        <v>276</v>
      </c>
      <c r="AB1499" s="647" t="s">
        <v>276</v>
      </c>
      <c r="AC1499" s="646">
        <v>203</v>
      </c>
      <c r="AD1499" s="646" t="s">
        <v>8878</v>
      </c>
      <c r="AE1499" s="646">
        <v>240</v>
      </c>
      <c r="AF1499" s="646" t="s">
        <v>8878</v>
      </c>
      <c r="AG1499" s="647" t="s">
        <v>8887</v>
      </c>
      <c r="AH1499" s="647" t="s">
        <v>8753</v>
      </c>
      <c r="AI1499" s="650">
        <f>452+591</f>
        <v>1043</v>
      </c>
      <c r="AJ1499" s="650">
        <f>468+653</f>
        <v>1121</v>
      </c>
      <c r="AK1499" s="650">
        <v>1286526</v>
      </c>
      <c r="AL1499" s="650">
        <v>1286877</v>
      </c>
      <c r="AM1499" s="650" t="s">
        <v>425</v>
      </c>
      <c r="AN1499" s="646" t="s">
        <v>276</v>
      </c>
      <c r="AO1499" s="651">
        <f>AI1499*1000/AK1499</f>
        <v>0.81071039372698261</v>
      </c>
      <c r="AP1499" s="646" t="s">
        <v>276</v>
      </c>
      <c r="AQ1499" s="646" t="s">
        <v>276</v>
      </c>
      <c r="AR1499" s="646" t="s">
        <v>276</v>
      </c>
      <c r="AS1499" s="651">
        <f>AJ1499*1000/AL1499</f>
        <v>0.87110112310655952</v>
      </c>
      <c r="AT1499" s="646" t="s">
        <v>276</v>
      </c>
      <c r="AU1499" s="646" t="s">
        <v>276</v>
      </c>
      <c r="AV1499" s="646" t="s">
        <v>269</v>
      </c>
      <c r="AW1499" s="776" t="s">
        <v>276</v>
      </c>
      <c r="AX1499" s="777">
        <f t="shared" si="445"/>
        <v>0.9306731127102571</v>
      </c>
      <c r="AY1499" s="647" t="s">
        <v>276</v>
      </c>
      <c r="AZ1499" s="647" t="s">
        <v>276</v>
      </c>
      <c r="BA1499" s="647" t="s">
        <v>276</v>
      </c>
      <c r="BB1499" s="647" t="s">
        <v>282</v>
      </c>
      <c r="BC1499" s="647" t="s">
        <v>98</v>
      </c>
      <c r="BD1499" s="647" t="s">
        <v>98</v>
      </c>
      <c r="BE1499" s="647" t="s">
        <v>98</v>
      </c>
      <c r="BF1499" s="647" t="s">
        <v>1358</v>
      </c>
      <c r="BG1499" s="647"/>
      <c r="BH1499" s="9" t="s">
        <v>100</v>
      </c>
      <c r="BI1499" s="9" t="s">
        <v>100</v>
      </c>
      <c r="BJ1499" s="238"/>
      <c r="BN1499" s="238"/>
      <c r="BO1499" s="238"/>
    </row>
    <row r="1500" spans="1:67" s="243" customFormat="1" ht="52" hidden="1" x14ac:dyDescent="0.35">
      <c r="A1500" s="721">
        <v>7693</v>
      </c>
      <c r="B1500" s="722" t="s">
        <v>8746</v>
      </c>
      <c r="C1500" s="721" t="s">
        <v>52</v>
      </c>
      <c r="D1500" s="722" t="s">
        <v>8888</v>
      </c>
      <c r="E1500" s="721" t="s">
        <v>36</v>
      </c>
      <c r="F1500" s="721" t="s">
        <v>123</v>
      </c>
      <c r="G1500" s="721" t="s">
        <v>225</v>
      </c>
      <c r="H1500" s="721" t="s">
        <v>125</v>
      </c>
      <c r="I1500" s="721" t="s">
        <v>114</v>
      </c>
      <c r="J1500" s="722" t="s">
        <v>28</v>
      </c>
      <c r="K1500" s="721" t="s">
        <v>8839</v>
      </c>
      <c r="L1500" s="721" t="s">
        <v>276</v>
      </c>
      <c r="M1500" s="721" t="s">
        <v>276</v>
      </c>
      <c r="N1500" s="722" t="s">
        <v>8876</v>
      </c>
      <c r="O1500" s="722" t="s">
        <v>8877</v>
      </c>
      <c r="P1500" s="722" t="s">
        <v>235</v>
      </c>
      <c r="Q1500" s="771">
        <v>39994</v>
      </c>
      <c r="R1500" s="722" t="s">
        <v>8749</v>
      </c>
      <c r="S1500" s="722" t="s">
        <v>8750</v>
      </c>
      <c r="T1500" s="722" t="s">
        <v>8750</v>
      </c>
      <c r="U1500" s="723" t="s">
        <v>8751</v>
      </c>
      <c r="V1500" s="721" t="s">
        <v>14</v>
      </c>
      <c r="W1500" s="721" t="s">
        <v>98</v>
      </c>
      <c r="X1500" s="722" t="s">
        <v>207</v>
      </c>
      <c r="Y1500" s="724" t="s">
        <v>98</v>
      </c>
      <c r="Z1500" s="722" t="s">
        <v>98</v>
      </c>
      <c r="AA1500" s="722" t="s">
        <v>276</v>
      </c>
      <c r="AB1500" s="722" t="s">
        <v>276</v>
      </c>
      <c r="AC1500" s="721">
        <v>203</v>
      </c>
      <c r="AD1500" s="721" t="s">
        <v>8878</v>
      </c>
      <c r="AE1500" s="721">
        <v>240</v>
      </c>
      <c r="AF1500" s="721" t="s">
        <v>8878</v>
      </c>
      <c r="AG1500" s="722" t="s">
        <v>8887</v>
      </c>
      <c r="AH1500" s="722" t="s">
        <v>8889</v>
      </c>
      <c r="AI1500" s="725">
        <f>452+591</f>
        <v>1043</v>
      </c>
      <c r="AJ1500" s="725">
        <f>468+653</f>
        <v>1121</v>
      </c>
      <c r="AK1500" s="725">
        <v>2279</v>
      </c>
      <c r="AL1500" s="725">
        <v>2354</v>
      </c>
      <c r="AM1500" s="725" t="s">
        <v>292</v>
      </c>
      <c r="AN1500" s="721" t="s">
        <v>276</v>
      </c>
      <c r="AO1500" s="726">
        <f>AI1500*100/AK1500</f>
        <v>45.765686704695042</v>
      </c>
      <c r="AP1500" s="721" t="s">
        <v>276</v>
      </c>
      <c r="AQ1500" s="721" t="s">
        <v>276</v>
      </c>
      <c r="AR1500" s="721" t="s">
        <v>276</v>
      </c>
      <c r="AS1500" s="726">
        <f>AJ1500*100/AL1500</f>
        <v>47.621070518266777</v>
      </c>
      <c r="AT1500" s="721" t="s">
        <v>276</v>
      </c>
      <c r="AU1500" s="721" t="s">
        <v>276</v>
      </c>
      <c r="AV1500" s="721" t="s">
        <v>268</v>
      </c>
      <c r="AW1500" s="728" t="s">
        <v>276</v>
      </c>
      <c r="AX1500" s="778">
        <f t="shared" si="445"/>
        <v>0.96103859502990308</v>
      </c>
      <c r="AY1500" s="722" t="s">
        <v>276</v>
      </c>
      <c r="AZ1500" s="722" t="s">
        <v>276</v>
      </c>
      <c r="BA1500" s="722" t="s">
        <v>276</v>
      </c>
      <c r="BB1500" s="722" t="s">
        <v>282</v>
      </c>
      <c r="BC1500" s="722" t="s">
        <v>98</v>
      </c>
      <c r="BD1500" s="722" t="s">
        <v>98</v>
      </c>
      <c r="BE1500" s="722" t="s">
        <v>98</v>
      </c>
      <c r="BF1500" s="722" t="s">
        <v>1358</v>
      </c>
      <c r="BG1500" s="722"/>
      <c r="BH1500" s="9" t="s">
        <v>100</v>
      </c>
      <c r="BI1500" s="9" t="s">
        <v>100</v>
      </c>
      <c r="BJ1500" s="242"/>
      <c r="BN1500" s="242"/>
      <c r="BO1500" s="242"/>
    </row>
    <row r="1501" spans="1:67" s="243" customFormat="1" ht="65" hidden="1" x14ac:dyDescent="0.35">
      <c r="A1501" s="721">
        <v>7693</v>
      </c>
      <c r="B1501" s="722" t="s">
        <v>8746</v>
      </c>
      <c r="C1501" s="721" t="s">
        <v>52</v>
      </c>
      <c r="D1501" s="722" t="s">
        <v>8890</v>
      </c>
      <c r="E1501" s="721" t="s">
        <v>36</v>
      </c>
      <c r="F1501" s="721" t="s">
        <v>123</v>
      </c>
      <c r="G1501" s="721" t="s">
        <v>225</v>
      </c>
      <c r="H1501" s="721" t="s">
        <v>225</v>
      </c>
      <c r="I1501" s="721" t="s">
        <v>114</v>
      </c>
      <c r="J1501" s="722" t="s">
        <v>98</v>
      </c>
      <c r="K1501" s="721" t="s">
        <v>98</v>
      </c>
      <c r="L1501" s="721" t="s">
        <v>98</v>
      </c>
      <c r="M1501" s="721" t="s">
        <v>98</v>
      </c>
      <c r="N1501" s="722" t="s">
        <v>8876</v>
      </c>
      <c r="O1501" s="722" t="s">
        <v>8877</v>
      </c>
      <c r="P1501" s="722" t="s">
        <v>236</v>
      </c>
      <c r="Q1501" s="771">
        <v>39994</v>
      </c>
      <c r="R1501" s="722" t="s">
        <v>8749</v>
      </c>
      <c r="S1501" s="722" t="s">
        <v>8750</v>
      </c>
      <c r="T1501" s="722" t="s">
        <v>98</v>
      </c>
      <c r="U1501" s="723" t="s">
        <v>8751</v>
      </c>
      <c r="V1501" s="721" t="s">
        <v>14</v>
      </c>
      <c r="W1501" s="721" t="s">
        <v>98</v>
      </c>
      <c r="X1501" s="722" t="s">
        <v>209</v>
      </c>
      <c r="Y1501" s="724" t="s">
        <v>98</v>
      </c>
      <c r="Z1501" s="722" t="s">
        <v>98</v>
      </c>
      <c r="AA1501" s="722" t="s">
        <v>276</v>
      </c>
      <c r="AB1501" s="722" t="s">
        <v>98</v>
      </c>
      <c r="AC1501" s="721">
        <v>0</v>
      </c>
      <c r="AD1501" s="721" t="s">
        <v>6723</v>
      </c>
      <c r="AE1501" s="721" t="s">
        <v>98</v>
      </c>
      <c r="AF1501" s="721" t="s">
        <v>98</v>
      </c>
      <c r="AG1501" s="722" t="s">
        <v>8891</v>
      </c>
      <c r="AH1501" s="722" t="s">
        <v>8892</v>
      </c>
      <c r="AI1501" s="725">
        <v>236</v>
      </c>
      <c r="AJ1501" s="725" t="s">
        <v>98</v>
      </c>
      <c r="AK1501" s="725">
        <v>2279</v>
      </c>
      <c r="AL1501" s="725" t="s">
        <v>98</v>
      </c>
      <c r="AM1501" s="725" t="s">
        <v>292</v>
      </c>
      <c r="AN1501" s="721" t="s">
        <v>276</v>
      </c>
      <c r="AO1501" s="726">
        <f>AI1501*100/AK1501</f>
        <v>10.355419043440106</v>
      </c>
      <c r="AP1501" s="721" t="s">
        <v>276</v>
      </c>
      <c r="AQ1501" s="721" t="s">
        <v>276</v>
      </c>
      <c r="AR1501" s="721" t="s">
        <v>98</v>
      </c>
      <c r="AS1501" s="721" t="s">
        <v>98</v>
      </c>
      <c r="AT1501" s="721" t="s">
        <v>98</v>
      </c>
      <c r="AU1501" s="721" t="s">
        <v>98</v>
      </c>
      <c r="AV1501" s="721" t="s">
        <v>98</v>
      </c>
      <c r="AW1501" s="721" t="s">
        <v>98</v>
      </c>
      <c r="AX1501" s="721" t="s">
        <v>98</v>
      </c>
      <c r="AY1501" s="721" t="s">
        <v>98</v>
      </c>
      <c r="AZ1501" s="721" t="s">
        <v>98</v>
      </c>
      <c r="BA1501" s="721" t="s">
        <v>98</v>
      </c>
      <c r="BB1501" s="721" t="s">
        <v>98</v>
      </c>
      <c r="BC1501" s="721" t="s">
        <v>98</v>
      </c>
      <c r="BD1501" s="721" t="s">
        <v>98</v>
      </c>
      <c r="BE1501" s="721" t="s">
        <v>98</v>
      </c>
      <c r="BF1501" s="722" t="s">
        <v>8893</v>
      </c>
      <c r="BG1501" s="722"/>
      <c r="BH1501" s="9" t="s">
        <v>100</v>
      </c>
      <c r="BI1501" s="9" t="s">
        <v>100</v>
      </c>
      <c r="BJ1501" s="242"/>
      <c r="BN1501" s="242"/>
      <c r="BO1501" s="242"/>
    </row>
    <row r="1502" spans="1:67" s="239" customFormat="1" ht="65" hidden="1" x14ac:dyDescent="0.35">
      <c r="A1502" s="646">
        <v>7693</v>
      </c>
      <c r="B1502" s="647" t="s">
        <v>8746</v>
      </c>
      <c r="C1502" s="646" t="s">
        <v>52</v>
      </c>
      <c r="D1502" s="647" t="s">
        <v>8894</v>
      </c>
      <c r="E1502" s="646" t="s">
        <v>36</v>
      </c>
      <c r="F1502" s="646" t="s">
        <v>123</v>
      </c>
      <c r="G1502" s="646" t="s">
        <v>225</v>
      </c>
      <c r="H1502" s="646" t="s">
        <v>225</v>
      </c>
      <c r="I1502" s="646" t="s">
        <v>98</v>
      </c>
      <c r="J1502" s="647" t="s">
        <v>98</v>
      </c>
      <c r="K1502" s="646" t="s">
        <v>98</v>
      </c>
      <c r="L1502" s="646" t="s">
        <v>98</v>
      </c>
      <c r="M1502" s="646" t="s">
        <v>98</v>
      </c>
      <c r="N1502" s="647" t="s">
        <v>8816</v>
      </c>
      <c r="O1502" s="647" t="s">
        <v>276</v>
      </c>
      <c r="P1502" s="647" t="s">
        <v>238</v>
      </c>
      <c r="Q1502" s="648" t="s">
        <v>276</v>
      </c>
      <c r="R1502" s="648" t="s">
        <v>276</v>
      </c>
      <c r="S1502" s="648" t="s">
        <v>276</v>
      </c>
      <c r="T1502" s="647" t="s">
        <v>98</v>
      </c>
      <c r="U1502" s="768" t="s">
        <v>8751</v>
      </c>
      <c r="V1502" s="646" t="s">
        <v>14</v>
      </c>
      <c r="W1502" s="647" t="s">
        <v>98</v>
      </c>
      <c r="X1502" s="647" t="s">
        <v>209</v>
      </c>
      <c r="Y1502" s="649">
        <v>76056</v>
      </c>
      <c r="Z1502" s="647" t="s">
        <v>98</v>
      </c>
      <c r="AA1502" s="647" t="s">
        <v>276</v>
      </c>
      <c r="AB1502" s="647" t="s">
        <v>98</v>
      </c>
      <c r="AC1502" s="646">
        <v>0</v>
      </c>
      <c r="AD1502" s="647" t="s">
        <v>8779</v>
      </c>
      <c r="AE1502" s="646" t="s">
        <v>98</v>
      </c>
      <c r="AF1502" s="646" t="s">
        <v>98</v>
      </c>
      <c r="AG1502" s="647" t="s">
        <v>8895</v>
      </c>
      <c r="AH1502" s="647" t="s">
        <v>6547</v>
      </c>
      <c r="AI1502" s="650">
        <v>774</v>
      </c>
      <c r="AJ1502" s="650" t="s">
        <v>98</v>
      </c>
      <c r="AK1502" s="649">
        <v>76056</v>
      </c>
      <c r="AL1502" s="650" t="s">
        <v>98</v>
      </c>
      <c r="AM1502" s="650" t="s">
        <v>2047</v>
      </c>
      <c r="AN1502" s="646" t="s">
        <v>276</v>
      </c>
      <c r="AO1502" s="651">
        <f t="shared" ref="AO1502:AO1506" si="446">AI1502*1000/AK1502</f>
        <v>10.176711896497318</v>
      </c>
      <c r="AP1502" s="646" t="s">
        <v>276</v>
      </c>
      <c r="AQ1502" s="646" t="s">
        <v>276</v>
      </c>
      <c r="AR1502" s="646" t="s">
        <v>98</v>
      </c>
      <c r="AS1502" s="646" t="s">
        <v>98</v>
      </c>
      <c r="AT1502" s="646" t="s">
        <v>98</v>
      </c>
      <c r="AU1502" s="646" t="s">
        <v>98</v>
      </c>
      <c r="AV1502" s="646" t="s">
        <v>98</v>
      </c>
      <c r="AW1502" s="646" t="s">
        <v>98</v>
      </c>
      <c r="AX1502" s="646" t="s">
        <v>98</v>
      </c>
      <c r="AY1502" s="646" t="s">
        <v>98</v>
      </c>
      <c r="AZ1502" s="646" t="s">
        <v>98</v>
      </c>
      <c r="BA1502" s="646" t="s">
        <v>98</v>
      </c>
      <c r="BB1502" s="646" t="s">
        <v>98</v>
      </c>
      <c r="BC1502" s="646" t="s">
        <v>98</v>
      </c>
      <c r="BD1502" s="646" t="s">
        <v>98</v>
      </c>
      <c r="BE1502" s="646" t="s">
        <v>98</v>
      </c>
      <c r="BF1502" s="647" t="s">
        <v>1029</v>
      </c>
      <c r="BG1502" s="647"/>
      <c r="BH1502" s="9" t="s">
        <v>100</v>
      </c>
      <c r="BI1502" s="9" t="s">
        <v>100</v>
      </c>
      <c r="BJ1502" s="238"/>
      <c r="BN1502" s="238"/>
      <c r="BO1502" s="238"/>
    </row>
    <row r="1503" spans="1:67" s="239" customFormat="1" ht="65" hidden="1" x14ac:dyDescent="0.35">
      <c r="A1503" s="646">
        <v>7693</v>
      </c>
      <c r="B1503" s="647" t="s">
        <v>8746</v>
      </c>
      <c r="C1503" s="646" t="s">
        <v>52</v>
      </c>
      <c r="D1503" s="647" t="s">
        <v>11423</v>
      </c>
      <c r="E1503" s="646" t="s">
        <v>36</v>
      </c>
      <c r="F1503" s="646" t="s">
        <v>123</v>
      </c>
      <c r="G1503" s="646" t="s">
        <v>225</v>
      </c>
      <c r="H1503" s="646" t="s">
        <v>225</v>
      </c>
      <c r="I1503" s="646" t="s">
        <v>98</v>
      </c>
      <c r="J1503" s="647" t="s">
        <v>98</v>
      </c>
      <c r="K1503" s="646" t="s">
        <v>98</v>
      </c>
      <c r="L1503" s="646" t="s">
        <v>98</v>
      </c>
      <c r="M1503" s="646" t="s">
        <v>98</v>
      </c>
      <c r="N1503" s="647" t="s">
        <v>8816</v>
      </c>
      <c r="O1503" s="647" t="s">
        <v>276</v>
      </c>
      <c r="P1503" s="647" t="s">
        <v>238</v>
      </c>
      <c r="Q1503" s="648" t="s">
        <v>276</v>
      </c>
      <c r="R1503" s="648" t="s">
        <v>276</v>
      </c>
      <c r="S1503" s="648" t="s">
        <v>276</v>
      </c>
      <c r="T1503" s="647" t="s">
        <v>98</v>
      </c>
      <c r="U1503" s="768" t="s">
        <v>8751</v>
      </c>
      <c r="V1503" s="646" t="s">
        <v>14</v>
      </c>
      <c r="W1503" s="647" t="s">
        <v>98</v>
      </c>
      <c r="X1503" s="647" t="s">
        <v>209</v>
      </c>
      <c r="Y1503" s="649">
        <v>76056</v>
      </c>
      <c r="Z1503" s="647" t="s">
        <v>98</v>
      </c>
      <c r="AA1503" s="647" t="s">
        <v>276</v>
      </c>
      <c r="AB1503" s="647" t="s">
        <v>98</v>
      </c>
      <c r="AC1503" s="646">
        <v>0</v>
      </c>
      <c r="AD1503" s="647" t="s">
        <v>8779</v>
      </c>
      <c r="AE1503" s="646" t="s">
        <v>98</v>
      </c>
      <c r="AF1503" s="646" t="s">
        <v>98</v>
      </c>
      <c r="AG1503" s="780" t="s">
        <v>11424</v>
      </c>
      <c r="AH1503" s="647" t="s">
        <v>6547</v>
      </c>
      <c r="AI1503" s="650">
        <f>774-159</f>
        <v>615</v>
      </c>
      <c r="AJ1503" s="650" t="s">
        <v>98</v>
      </c>
      <c r="AK1503" s="649">
        <v>76056</v>
      </c>
      <c r="AL1503" s="650" t="s">
        <v>98</v>
      </c>
      <c r="AM1503" s="650" t="s">
        <v>2047</v>
      </c>
      <c r="AN1503" s="646" t="s">
        <v>276</v>
      </c>
      <c r="AO1503" s="651">
        <f t="shared" si="446"/>
        <v>8.0861470495424417</v>
      </c>
      <c r="AP1503" s="646" t="s">
        <v>276</v>
      </c>
      <c r="AQ1503" s="646" t="s">
        <v>276</v>
      </c>
      <c r="AR1503" s="646" t="s">
        <v>98</v>
      </c>
      <c r="AS1503" s="646" t="s">
        <v>98</v>
      </c>
      <c r="AT1503" s="646" t="s">
        <v>98</v>
      </c>
      <c r="AU1503" s="646" t="s">
        <v>98</v>
      </c>
      <c r="AV1503" s="646" t="s">
        <v>98</v>
      </c>
      <c r="AW1503" s="646" t="s">
        <v>98</v>
      </c>
      <c r="AX1503" s="646" t="s">
        <v>98</v>
      </c>
      <c r="AY1503" s="646" t="s">
        <v>98</v>
      </c>
      <c r="AZ1503" s="646" t="s">
        <v>98</v>
      </c>
      <c r="BA1503" s="646" t="s">
        <v>98</v>
      </c>
      <c r="BB1503" s="646" t="s">
        <v>98</v>
      </c>
      <c r="BC1503" s="646" t="s">
        <v>98</v>
      </c>
      <c r="BD1503" s="646" t="s">
        <v>98</v>
      </c>
      <c r="BE1503" s="646" t="s">
        <v>98</v>
      </c>
      <c r="BF1503" s="647" t="s">
        <v>11425</v>
      </c>
      <c r="BG1503" s="647"/>
      <c r="BH1503" s="9" t="s">
        <v>100</v>
      </c>
      <c r="BI1503" s="9" t="s">
        <v>100</v>
      </c>
      <c r="BJ1503" s="238"/>
      <c r="BN1503" s="238"/>
      <c r="BO1503" s="238"/>
    </row>
    <row r="1504" spans="1:67" s="239" customFormat="1" ht="65" hidden="1" x14ac:dyDescent="0.35">
      <c r="A1504" s="646">
        <v>7693</v>
      </c>
      <c r="B1504" s="647" t="s">
        <v>8746</v>
      </c>
      <c r="C1504" s="646" t="s">
        <v>52</v>
      </c>
      <c r="D1504" s="779" t="s">
        <v>11426</v>
      </c>
      <c r="E1504" s="646" t="s">
        <v>36</v>
      </c>
      <c r="F1504" s="646" t="s">
        <v>123</v>
      </c>
      <c r="G1504" s="646" t="s">
        <v>225</v>
      </c>
      <c r="H1504" s="646" t="s">
        <v>225</v>
      </c>
      <c r="I1504" s="646" t="s">
        <v>98</v>
      </c>
      <c r="J1504" s="647" t="s">
        <v>98</v>
      </c>
      <c r="K1504" s="646" t="s">
        <v>98</v>
      </c>
      <c r="L1504" s="646" t="s">
        <v>98</v>
      </c>
      <c r="M1504" s="646" t="s">
        <v>98</v>
      </c>
      <c r="N1504" s="647" t="s">
        <v>8816</v>
      </c>
      <c r="O1504" s="647" t="s">
        <v>276</v>
      </c>
      <c r="P1504" s="647" t="s">
        <v>238</v>
      </c>
      <c r="Q1504" s="648" t="s">
        <v>276</v>
      </c>
      <c r="R1504" s="648" t="s">
        <v>276</v>
      </c>
      <c r="S1504" s="648" t="s">
        <v>276</v>
      </c>
      <c r="T1504" s="647" t="s">
        <v>98</v>
      </c>
      <c r="U1504" s="768" t="s">
        <v>8751</v>
      </c>
      <c r="V1504" s="646" t="s">
        <v>14</v>
      </c>
      <c r="W1504" s="647" t="s">
        <v>98</v>
      </c>
      <c r="X1504" s="647" t="s">
        <v>209</v>
      </c>
      <c r="Y1504" s="649">
        <v>76056</v>
      </c>
      <c r="Z1504" s="647" t="s">
        <v>98</v>
      </c>
      <c r="AA1504" s="647" t="s">
        <v>276</v>
      </c>
      <c r="AB1504" s="647" t="s">
        <v>98</v>
      </c>
      <c r="AC1504" s="646">
        <v>0</v>
      </c>
      <c r="AD1504" s="647" t="s">
        <v>8779</v>
      </c>
      <c r="AE1504" s="646" t="s">
        <v>98</v>
      </c>
      <c r="AF1504" s="646" t="s">
        <v>98</v>
      </c>
      <c r="AG1504" s="780" t="s">
        <v>11427</v>
      </c>
      <c r="AH1504" s="647" t="s">
        <v>6547</v>
      </c>
      <c r="AI1504" s="650">
        <v>396</v>
      </c>
      <c r="AJ1504" s="650" t="s">
        <v>98</v>
      </c>
      <c r="AK1504" s="649">
        <v>76056</v>
      </c>
      <c r="AL1504" s="650" t="s">
        <v>98</v>
      </c>
      <c r="AM1504" s="650" t="s">
        <v>2047</v>
      </c>
      <c r="AN1504" s="646" t="s">
        <v>276</v>
      </c>
      <c r="AO1504" s="651">
        <f t="shared" si="446"/>
        <v>5.2066898075102559</v>
      </c>
      <c r="AP1504" s="646" t="s">
        <v>276</v>
      </c>
      <c r="AQ1504" s="646" t="s">
        <v>276</v>
      </c>
      <c r="AR1504" s="646" t="s">
        <v>98</v>
      </c>
      <c r="AS1504" s="646" t="s">
        <v>98</v>
      </c>
      <c r="AT1504" s="646" t="s">
        <v>98</v>
      </c>
      <c r="AU1504" s="646" t="s">
        <v>98</v>
      </c>
      <c r="AV1504" s="646" t="s">
        <v>98</v>
      </c>
      <c r="AW1504" s="646" t="s">
        <v>98</v>
      </c>
      <c r="AX1504" s="646" t="s">
        <v>98</v>
      </c>
      <c r="AY1504" s="646" t="s">
        <v>98</v>
      </c>
      <c r="AZ1504" s="646" t="s">
        <v>98</v>
      </c>
      <c r="BA1504" s="646" t="s">
        <v>98</v>
      </c>
      <c r="BB1504" s="646" t="s">
        <v>98</v>
      </c>
      <c r="BC1504" s="646" t="s">
        <v>98</v>
      </c>
      <c r="BD1504" s="646" t="s">
        <v>98</v>
      </c>
      <c r="BE1504" s="646" t="s">
        <v>98</v>
      </c>
      <c r="BF1504" s="647" t="s">
        <v>1029</v>
      </c>
      <c r="BG1504" s="647"/>
      <c r="BH1504" s="9" t="s">
        <v>100</v>
      </c>
      <c r="BI1504" s="9" t="s">
        <v>100</v>
      </c>
      <c r="BJ1504" s="238"/>
      <c r="BN1504" s="238"/>
      <c r="BO1504" s="238"/>
    </row>
    <row r="1505" spans="1:67" s="239" customFormat="1" ht="65" hidden="1" x14ac:dyDescent="0.35">
      <c r="A1505" s="646">
        <v>7693</v>
      </c>
      <c r="B1505" s="647" t="s">
        <v>8746</v>
      </c>
      <c r="C1505" s="646" t="s">
        <v>52</v>
      </c>
      <c r="D1505" s="647" t="s">
        <v>11428</v>
      </c>
      <c r="E1505" s="646" t="s">
        <v>36</v>
      </c>
      <c r="F1505" s="646" t="s">
        <v>123</v>
      </c>
      <c r="G1505" s="646" t="s">
        <v>225</v>
      </c>
      <c r="H1505" s="646" t="s">
        <v>225</v>
      </c>
      <c r="I1505" s="646" t="s">
        <v>98</v>
      </c>
      <c r="J1505" s="647" t="s">
        <v>98</v>
      </c>
      <c r="K1505" s="646" t="s">
        <v>98</v>
      </c>
      <c r="L1505" s="646" t="s">
        <v>98</v>
      </c>
      <c r="M1505" s="646" t="s">
        <v>98</v>
      </c>
      <c r="N1505" s="647" t="s">
        <v>8816</v>
      </c>
      <c r="O1505" s="647" t="s">
        <v>276</v>
      </c>
      <c r="P1505" s="647" t="s">
        <v>238</v>
      </c>
      <c r="Q1505" s="648" t="s">
        <v>276</v>
      </c>
      <c r="R1505" s="648" t="s">
        <v>276</v>
      </c>
      <c r="S1505" s="648" t="s">
        <v>276</v>
      </c>
      <c r="T1505" s="647" t="s">
        <v>98</v>
      </c>
      <c r="U1505" s="768" t="s">
        <v>8751</v>
      </c>
      <c r="V1505" s="646" t="s">
        <v>14</v>
      </c>
      <c r="W1505" s="647" t="s">
        <v>98</v>
      </c>
      <c r="X1505" s="647" t="s">
        <v>209</v>
      </c>
      <c r="Y1505" s="649">
        <v>76056</v>
      </c>
      <c r="Z1505" s="647" t="s">
        <v>98</v>
      </c>
      <c r="AA1505" s="647" t="s">
        <v>276</v>
      </c>
      <c r="AB1505" s="647" t="s">
        <v>98</v>
      </c>
      <c r="AC1505" s="646">
        <v>0</v>
      </c>
      <c r="AD1505" s="647" t="s">
        <v>8779</v>
      </c>
      <c r="AE1505" s="646" t="s">
        <v>98</v>
      </c>
      <c r="AF1505" s="646" t="s">
        <v>98</v>
      </c>
      <c r="AG1505" s="780" t="s">
        <v>11429</v>
      </c>
      <c r="AH1505" s="647" t="s">
        <v>6547</v>
      </c>
      <c r="AI1505" s="650">
        <v>219</v>
      </c>
      <c r="AJ1505" s="650" t="s">
        <v>98</v>
      </c>
      <c r="AK1505" s="649">
        <v>76056</v>
      </c>
      <c r="AL1505" s="650" t="s">
        <v>98</v>
      </c>
      <c r="AM1505" s="650" t="s">
        <v>2047</v>
      </c>
      <c r="AN1505" s="646" t="s">
        <v>276</v>
      </c>
      <c r="AO1505" s="651">
        <f t="shared" si="446"/>
        <v>2.8794572420321867</v>
      </c>
      <c r="AP1505" s="646" t="s">
        <v>276</v>
      </c>
      <c r="AQ1505" s="646" t="s">
        <v>276</v>
      </c>
      <c r="AR1505" s="646" t="s">
        <v>98</v>
      </c>
      <c r="AS1505" s="646" t="s">
        <v>98</v>
      </c>
      <c r="AT1505" s="646" t="s">
        <v>98</v>
      </c>
      <c r="AU1505" s="646" t="s">
        <v>98</v>
      </c>
      <c r="AV1505" s="646" t="s">
        <v>98</v>
      </c>
      <c r="AW1505" s="646" t="s">
        <v>98</v>
      </c>
      <c r="AX1505" s="646" t="s">
        <v>98</v>
      </c>
      <c r="AY1505" s="646" t="s">
        <v>98</v>
      </c>
      <c r="AZ1505" s="646" t="s">
        <v>98</v>
      </c>
      <c r="BA1505" s="646" t="s">
        <v>98</v>
      </c>
      <c r="BB1505" s="646" t="s">
        <v>98</v>
      </c>
      <c r="BC1505" s="646" t="s">
        <v>98</v>
      </c>
      <c r="BD1505" s="646" t="s">
        <v>98</v>
      </c>
      <c r="BE1505" s="646" t="s">
        <v>98</v>
      </c>
      <c r="BF1505" s="647" t="s">
        <v>1029</v>
      </c>
      <c r="BG1505" s="647"/>
      <c r="BH1505" s="9" t="s">
        <v>100</v>
      </c>
      <c r="BI1505" s="9" t="s">
        <v>100</v>
      </c>
      <c r="BJ1505" s="238"/>
      <c r="BN1505" s="238"/>
      <c r="BO1505" s="238"/>
    </row>
    <row r="1506" spans="1:67" s="239" customFormat="1" ht="65" hidden="1" x14ac:dyDescent="0.35">
      <c r="A1506" s="209">
        <v>7693</v>
      </c>
      <c r="B1506" s="210" t="s">
        <v>8746</v>
      </c>
      <c r="C1506" s="209" t="s">
        <v>52</v>
      </c>
      <c r="D1506" s="210" t="s">
        <v>11430</v>
      </c>
      <c r="E1506" s="209" t="s">
        <v>36</v>
      </c>
      <c r="F1506" s="209" t="s">
        <v>123</v>
      </c>
      <c r="G1506" s="209" t="s">
        <v>225</v>
      </c>
      <c r="H1506" s="209" t="s">
        <v>225</v>
      </c>
      <c r="I1506" s="209" t="s">
        <v>98</v>
      </c>
      <c r="J1506" s="210" t="s">
        <v>98</v>
      </c>
      <c r="K1506" s="209" t="s">
        <v>98</v>
      </c>
      <c r="L1506" s="209" t="s">
        <v>98</v>
      </c>
      <c r="M1506" s="209" t="s">
        <v>98</v>
      </c>
      <c r="N1506" s="210" t="s">
        <v>8816</v>
      </c>
      <c r="O1506" s="210" t="s">
        <v>276</v>
      </c>
      <c r="P1506" s="210" t="s">
        <v>238</v>
      </c>
      <c r="Q1506" s="236" t="s">
        <v>276</v>
      </c>
      <c r="R1506" s="236" t="s">
        <v>276</v>
      </c>
      <c r="S1506" s="236" t="s">
        <v>276</v>
      </c>
      <c r="T1506" s="210" t="s">
        <v>98</v>
      </c>
      <c r="U1506" s="483" t="s">
        <v>8751</v>
      </c>
      <c r="V1506" s="209" t="s">
        <v>14</v>
      </c>
      <c r="W1506" s="210" t="s">
        <v>98</v>
      </c>
      <c r="X1506" s="210" t="s">
        <v>209</v>
      </c>
      <c r="Y1506" s="214">
        <v>76056</v>
      </c>
      <c r="Z1506" s="210" t="s">
        <v>98</v>
      </c>
      <c r="AA1506" s="210" t="s">
        <v>276</v>
      </c>
      <c r="AB1506" s="210" t="s">
        <v>98</v>
      </c>
      <c r="AC1506" s="209">
        <v>0</v>
      </c>
      <c r="AD1506" s="210" t="s">
        <v>8779</v>
      </c>
      <c r="AE1506" s="209" t="s">
        <v>98</v>
      </c>
      <c r="AF1506" s="209" t="s">
        <v>98</v>
      </c>
      <c r="AG1506" s="346" t="s">
        <v>11431</v>
      </c>
      <c r="AH1506" s="210" t="s">
        <v>6547</v>
      </c>
      <c r="AI1506" s="215">
        <v>159</v>
      </c>
      <c r="AJ1506" s="215" t="s">
        <v>98</v>
      </c>
      <c r="AK1506" s="214">
        <v>76056</v>
      </c>
      <c r="AL1506" s="215" t="s">
        <v>98</v>
      </c>
      <c r="AM1506" s="215" t="s">
        <v>2047</v>
      </c>
      <c r="AN1506" s="209" t="s">
        <v>276</v>
      </c>
      <c r="AO1506" s="217">
        <f t="shared" si="446"/>
        <v>2.0905648469548752</v>
      </c>
      <c r="AP1506" s="209" t="s">
        <v>276</v>
      </c>
      <c r="AQ1506" s="209" t="s">
        <v>276</v>
      </c>
      <c r="AR1506" s="209" t="s">
        <v>98</v>
      </c>
      <c r="AS1506" s="209" t="s">
        <v>98</v>
      </c>
      <c r="AT1506" s="209" t="s">
        <v>98</v>
      </c>
      <c r="AU1506" s="209" t="s">
        <v>98</v>
      </c>
      <c r="AV1506" s="209" t="s">
        <v>98</v>
      </c>
      <c r="AW1506" s="209" t="s">
        <v>98</v>
      </c>
      <c r="AX1506" s="209" t="s">
        <v>98</v>
      </c>
      <c r="AY1506" s="209" t="s">
        <v>98</v>
      </c>
      <c r="AZ1506" s="209" t="s">
        <v>98</v>
      </c>
      <c r="BA1506" s="209" t="s">
        <v>98</v>
      </c>
      <c r="BB1506" s="209" t="s">
        <v>98</v>
      </c>
      <c r="BC1506" s="209" t="s">
        <v>98</v>
      </c>
      <c r="BD1506" s="209" t="s">
        <v>98</v>
      </c>
      <c r="BE1506" s="209" t="s">
        <v>98</v>
      </c>
      <c r="BF1506" s="210" t="s">
        <v>1029</v>
      </c>
      <c r="BG1506" s="210"/>
      <c r="BH1506" s="9" t="s">
        <v>100</v>
      </c>
      <c r="BI1506" s="9" t="s">
        <v>100</v>
      </c>
      <c r="BJ1506" s="238"/>
      <c r="BN1506" s="238"/>
      <c r="BO1506" s="238"/>
    </row>
    <row r="1507" spans="1:67" s="528" customFormat="1" ht="52" hidden="1" x14ac:dyDescent="0.35">
      <c r="A1507" s="545">
        <v>330</v>
      </c>
      <c r="B1507" s="545" t="s">
        <v>9034</v>
      </c>
      <c r="C1507" s="546" t="s">
        <v>51</v>
      </c>
      <c r="D1507" s="546" t="s">
        <v>11335</v>
      </c>
      <c r="E1507" s="545" t="s">
        <v>36</v>
      </c>
      <c r="F1507" s="546" t="s">
        <v>134</v>
      </c>
      <c r="G1507" s="545" t="s">
        <v>225</v>
      </c>
      <c r="H1507" s="545" t="s">
        <v>225</v>
      </c>
      <c r="I1507" s="545" t="s">
        <v>98</v>
      </c>
      <c r="J1507" s="546" t="s">
        <v>98</v>
      </c>
      <c r="K1507" s="545" t="s">
        <v>98</v>
      </c>
      <c r="L1507" s="545" t="s">
        <v>98</v>
      </c>
      <c r="M1507" s="545" t="s">
        <v>98</v>
      </c>
      <c r="N1507" s="546" t="s">
        <v>9040</v>
      </c>
      <c r="O1507" s="546" t="s">
        <v>276</v>
      </c>
      <c r="P1507" s="546" t="s">
        <v>238</v>
      </c>
      <c r="Q1507" s="711" t="s">
        <v>276</v>
      </c>
      <c r="R1507" s="546" t="s">
        <v>276</v>
      </c>
      <c r="S1507" s="546" t="s">
        <v>276</v>
      </c>
      <c r="T1507" s="546" t="s">
        <v>98</v>
      </c>
      <c r="U1507" s="711" t="s">
        <v>2331</v>
      </c>
      <c r="V1507" s="545" t="s">
        <v>14</v>
      </c>
      <c r="W1507" s="545" t="s">
        <v>98</v>
      </c>
      <c r="X1507" s="546" t="s">
        <v>209</v>
      </c>
      <c r="Y1507" s="550">
        <v>400</v>
      </c>
      <c r="Z1507" s="546" t="s">
        <v>98</v>
      </c>
      <c r="AA1507" s="546" t="s">
        <v>276</v>
      </c>
      <c r="AB1507" s="546" t="s">
        <v>98</v>
      </c>
      <c r="AC1507" s="545" t="s">
        <v>98</v>
      </c>
      <c r="AD1507" s="545" t="s">
        <v>98</v>
      </c>
      <c r="AE1507" s="545" t="s">
        <v>98</v>
      </c>
      <c r="AF1507" s="545" t="s">
        <v>98</v>
      </c>
      <c r="AG1507" s="546" t="s">
        <v>11336</v>
      </c>
      <c r="AH1507" s="546" t="s">
        <v>6725</v>
      </c>
      <c r="AI1507" s="551">
        <v>1</v>
      </c>
      <c r="AJ1507" s="551" t="s">
        <v>98</v>
      </c>
      <c r="AK1507" s="551">
        <v>400</v>
      </c>
      <c r="AL1507" s="551" t="s">
        <v>98</v>
      </c>
      <c r="AM1507" s="551" t="s">
        <v>292</v>
      </c>
      <c r="AN1507" s="545" t="s">
        <v>276</v>
      </c>
      <c r="AO1507" s="554">
        <f>AI1507*100/AK1507</f>
        <v>0.25</v>
      </c>
      <c r="AP1507" s="545" t="s">
        <v>276</v>
      </c>
      <c r="AQ1507" s="545" t="s">
        <v>276</v>
      </c>
      <c r="AR1507" s="545" t="s">
        <v>98</v>
      </c>
      <c r="AS1507" s="553" t="s">
        <v>98</v>
      </c>
      <c r="AT1507" s="545" t="s">
        <v>98</v>
      </c>
      <c r="AU1507" s="545" t="s">
        <v>98</v>
      </c>
      <c r="AV1507" s="545" t="s">
        <v>98</v>
      </c>
      <c r="AW1507" s="617" t="s">
        <v>98</v>
      </c>
      <c r="AX1507" s="617" t="s">
        <v>98</v>
      </c>
      <c r="AY1507" s="617" t="s">
        <v>98</v>
      </c>
      <c r="AZ1507" s="617" t="s">
        <v>98</v>
      </c>
      <c r="BA1507" s="617" t="s">
        <v>98</v>
      </c>
      <c r="BB1507" s="617" t="s">
        <v>98</v>
      </c>
      <c r="BC1507" s="617" t="s">
        <v>98</v>
      </c>
      <c r="BD1507" s="617" t="s">
        <v>98</v>
      </c>
      <c r="BE1507" s="617" t="s">
        <v>98</v>
      </c>
      <c r="BF1507" s="546" t="s">
        <v>841</v>
      </c>
      <c r="BG1507" s="546"/>
      <c r="BH1507" s="9" t="s">
        <v>100</v>
      </c>
      <c r="BI1507" s="9" t="s">
        <v>100</v>
      </c>
      <c r="BJ1507" s="527"/>
      <c r="BN1507" s="527"/>
      <c r="BO1507" s="527"/>
    </row>
    <row r="1508" spans="1:67" s="528" customFormat="1" ht="65" hidden="1" x14ac:dyDescent="0.35">
      <c r="A1508" s="545">
        <v>330</v>
      </c>
      <c r="B1508" s="545" t="s">
        <v>9034</v>
      </c>
      <c r="C1508" s="546" t="s">
        <v>51</v>
      </c>
      <c r="D1508" s="546" t="s">
        <v>11337</v>
      </c>
      <c r="E1508" s="545" t="s">
        <v>36</v>
      </c>
      <c r="F1508" s="546" t="s">
        <v>134</v>
      </c>
      <c r="G1508" s="545" t="s">
        <v>225</v>
      </c>
      <c r="H1508" s="545" t="s">
        <v>225</v>
      </c>
      <c r="I1508" s="545" t="s">
        <v>98</v>
      </c>
      <c r="J1508" s="546" t="s">
        <v>98</v>
      </c>
      <c r="K1508" s="545" t="s">
        <v>98</v>
      </c>
      <c r="L1508" s="545" t="s">
        <v>98</v>
      </c>
      <c r="M1508" s="545" t="s">
        <v>98</v>
      </c>
      <c r="N1508" s="546" t="s">
        <v>9040</v>
      </c>
      <c r="O1508" s="546" t="s">
        <v>276</v>
      </c>
      <c r="P1508" s="546" t="s">
        <v>238</v>
      </c>
      <c r="Q1508" s="711" t="s">
        <v>276</v>
      </c>
      <c r="R1508" s="546" t="s">
        <v>276</v>
      </c>
      <c r="S1508" s="546" t="s">
        <v>276</v>
      </c>
      <c r="T1508" s="546" t="s">
        <v>98</v>
      </c>
      <c r="U1508" s="711" t="s">
        <v>2331</v>
      </c>
      <c r="V1508" s="545" t="s">
        <v>14</v>
      </c>
      <c r="W1508" s="545" t="s">
        <v>98</v>
      </c>
      <c r="X1508" s="546" t="s">
        <v>209</v>
      </c>
      <c r="Y1508" s="550">
        <v>400</v>
      </c>
      <c r="Z1508" s="546" t="s">
        <v>98</v>
      </c>
      <c r="AA1508" s="546" t="s">
        <v>276</v>
      </c>
      <c r="AB1508" s="546" t="s">
        <v>98</v>
      </c>
      <c r="AC1508" s="545" t="s">
        <v>98</v>
      </c>
      <c r="AD1508" s="545" t="s">
        <v>98</v>
      </c>
      <c r="AE1508" s="545" t="s">
        <v>98</v>
      </c>
      <c r="AF1508" s="545" t="s">
        <v>98</v>
      </c>
      <c r="AG1508" s="546" t="s">
        <v>11338</v>
      </c>
      <c r="AH1508" s="546" t="s">
        <v>6725</v>
      </c>
      <c r="AI1508" s="551">
        <v>3</v>
      </c>
      <c r="AJ1508" s="551" t="s">
        <v>98</v>
      </c>
      <c r="AK1508" s="551">
        <v>400</v>
      </c>
      <c r="AL1508" s="551" t="s">
        <v>98</v>
      </c>
      <c r="AM1508" s="551" t="s">
        <v>292</v>
      </c>
      <c r="AN1508" s="545" t="s">
        <v>276</v>
      </c>
      <c r="AO1508" s="554">
        <f t="shared" ref="AO1508:AO1542" si="447">AI1508*100/AK1508</f>
        <v>0.75</v>
      </c>
      <c r="AP1508" s="545" t="s">
        <v>276</v>
      </c>
      <c r="AQ1508" s="545" t="s">
        <v>276</v>
      </c>
      <c r="AR1508" s="545" t="s">
        <v>98</v>
      </c>
      <c r="AS1508" s="553" t="s">
        <v>98</v>
      </c>
      <c r="AT1508" s="545" t="s">
        <v>98</v>
      </c>
      <c r="AU1508" s="545" t="s">
        <v>98</v>
      </c>
      <c r="AV1508" s="545" t="s">
        <v>98</v>
      </c>
      <c r="AW1508" s="617" t="s">
        <v>98</v>
      </c>
      <c r="AX1508" s="617" t="s">
        <v>98</v>
      </c>
      <c r="AY1508" s="617" t="s">
        <v>98</v>
      </c>
      <c r="AZ1508" s="617" t="s">
        <v>98</v>
      </c>
      <c r="BA1508" s="617" t="s">
        <v>98</v>
      </c>
      <c r="BB1508" s="617" t="s">
        <v>98</v>
      </c>
      <c r="BC1508" s="617" t="s">
        <v>98</v>
      </c>
      <c r="BD1508" s="617" t="s">
        <v>98</v>
      </c>
      <c r="BE1508" s="617" t="s">
        <v>98</v>
      </c>
      <c r="BF1508" s="546" t="s">
        <v>841</v>
      </c>
      <c r="BG1508" s="546"/>
      <c r="BH1508" s="9" t="s">
        <v>100</v>
      </c>
      <c r="BI1508" s="9" t="s">
        <v>100</v>
      </c>
      <c r="BJ1508" s="527"/>
      <c r="BN1508" s="527"/>
      <c r="BO1508" s="527"/>
    </row>
    <row r="1509" spans="1:67" s="528" customFormat="1" ht="65" hidden="1" x14ac:dyDescent="0.35">
      <c r="A1509" s="545">
        <v>330</v>
      </c>
      <c r="B1509" s="545" t="s">
        <v>9034</v>
      </c>
      <c r="C1509" s="546" t="s">
        <v>51</v>
      </c>
      <c r="D1509" s="546" t="s">
        <v>11339</v>
      </c>
      <c r="E1509" s="545" t="s">
        <v>36</v>
      </c>
      <c r="F1509" s="546" t="s">
        <v>134</v>
      </c>
      <c r="G1509" s="545" t="s">
        <v>225</v>
      </c>
      <c r="H1509" s="545" t="s">
        <v>225</v>
      </c>
      <c r="I1509" s="545" t="s">
        <v>98</v>
      </c>
      <c r="J1509" s="546" t="s">
        <v>98</v>
      </c>
      <c r="K1509" s="545" t="s">
        <v>98</v>
      </c>
      <c r="L1509" s="545" t="s">
        <v>98</v>
      </c>
      <c r="M1509" s="545" t="s">
        <v>98</v>
      </c>
      <c r="N1509" s="546" t="s">
        <v>9040</v>
      </c>
      <c r="O1509" s="546" t="s">
        <v>276</v>
      </c>
      <c r="P1509" s="546" t="s">
        <v>238</v>
      </c>
      <c r="Q1509" s="711" t="s">
        <v>276</v>
      </c>
      <c r="R1509" s="546" t="s">
        <v>276</v>
      </c>
      <c r="S1509" s="546" t="s">
        <v>276</v>
      </c>
      <c r="T1509" s="546" t="s">
        <v>98</v>
      </c>
      <c r="U1509" s="711" t="s">
        <v>2331</v>
      </c>
      <c r="V1509" s="545" t="s">
        <v>14</v>
      </c>
      <c r="W1509" s="545" t="s">
        <v>98</v>
      </c>
      <c r="X1509" s="546" t="s">
        <v>209</v>
      </c>
      <c r="Y1509" s="550">
        <v>400</v>
      </c>
      <c r="Z1509" s="546" t="s">
        <v>98</v>
      </c>
      <c r="AA1509" s="546" t="s">
        <v>276</v>
      </c>
      <c r="AB1509" s="546" t="s">
        <v>98</v>
      </c>
      <c r="AC1509" s="545" t="s">
        <v>98</v>
      </c>
      <c r="AD1509" s="545" t="s">
        <v>98</v>
      </c>
      <c r="AE1509" s="545" t="s">
        <v>98</v>
      </c>
      <c r="AF1509" s="545" t="s">
        <v>98</v>
      </c>
      <c r="AG1509" s="546" t="s">
        <v>11340</v>
      </c>
      <c r="AH1509" s="546" t="s">
        <v>6725</v>
      </c>
      <c r="AI1509" s="551">
        <f>34+3</f>
        <v>37</v>
      </c>
      <c r="AJ1509" s="551" t="s">
        <v>98</v>
      </c>
      <c r="AK1509" s="551">
        <v>400</v>
      </c>
      <c r="AL1509" s="551" t="s">
        <v>98</v>
      </c>
      <c r="AM1509" s="551" t="s">
        <v>292</v>
      </c>
      <c r="AN1509" s="545" t="s">
        <v>276</v>
      </c>
      <c r="AO1509" s="554">
        <f t="shared" si="447"/>
        <v>9.25</v>
      </c>
      <c r="AP1509" s="545" t="s">
        <v>276</v>
      </c>
      <c r="AQ1509" s="545" t="s">
        <v>276</v>
      </c>
      <c r="AR1509" s="545" t="s">
        <v>98</v>
      </c>
      <c r="AS1509" s="553" t="s">
        <v>98</v>
      </c>
      <c r="AT1509" s="545" t="s">
        <v>98</v>
      </c>
      <c r="AU1509" s="545" t="s">
        <v>98</v>
      </c>
      <c r="AV1509" s="545" t="s">
        <v>98</v>
      </c>
      <c r="AW1509" s="617" t="s">
        <v>98</v>
      </c>
      <c r="AX1509" s="617" t="s">
        <v>98</v>
      </c>
      <c r="AY1509" s="617" t="s">
        <v>98</v>
      </c>
      <c r="AZ1509" s="617" t="s">
        <v>98</v>
      </c>
      <c r="BA1509" s="617" t="s">
        <v>98</v>
      </c>
      <c r="BB1509" s="617" t="s">
        <v>98</v>
      </c>
      <c r="BC1509" s="617" t="s">
        <v>98</v>
      </c>
      <c r="BD1509" s="617" t="s">
        <v>98</v>
      </c>
      <c r="BE1509" s="617" t="s">
        <v>98</v>
      </c>
      <c r="BF1509" s="546" t="s">
        <v>841</v>
      </c>
      <c r="BG1509" s="546"/>
      <c r="BH1509" s="9" t="s">
        <v>100</v>
      </c>
      <c r="BI1509" s="9" t="s">
        <v>100</v>
      </c>
      <c r="BJ1509" s="527"/>
      <c r="BN1509" s="527"/>
      <c r="BO1509" s="527"/>
    </row>
    <row r="1510" spans="1:67" s="528" customFormat="1" ht="65" hidden="1" x14ac:dyDescent="0.35">
      <c r="A1510" s="545">
        <v>330</v>
      </c>
      <c r="B1510" s="545" t="s">
        <v>9034</v>
      </c>
      <c r="C1510" s="546" t="s">
        <v>51</v>
      </c>
      <c r="D1510" s="546" t="s">
        <v>11341</v>
      </c>
      <c r="E1510" s="545" t="s">
        <v>36</v>
      </c>
      <c r="F1510" s="546" t="s">
        <v>134</v>
      </c>
      <c r="G1510" s="545" t="s">
        <v>225</v>
      </c>
      <c r="H1510" s="545" t="s">
        <v>225</v>
      </c>
      <c r="I1510" s="545" t="s">
        <v>98</v>
      </c>
      <c r="J1510" s="546" t="s">
        <v>98</v>
      </c>
      <c r="K1510" s="545" t="s">
        <v>98</v>
      </c>
      <c r="L1510" s="545" t="s">
        <v>98</v>
      </c>
      <c r="M1510" s="545" t="s">
        <v>98</v>
      </c>
      <c r="N1510" s="546" t="s">
        <v>9040</v>
      </c>
      <c r="O1510" s="546" t="s">
        <v>276</v>
      </c>
      <c r="P1510" s="546" t="s">
        <v>238</v>
      </c>
      <c r="Q1510" s="711" t="s">
        <v>276</v>
      </c>
      <c r="R1510" s="546" t="s">
        <v>276</v>
      </c>
      <c r="S1510" s="546" t="s">
        <v>276</v>
      </c>
      <c r="T1510" s="546" t="s">
        <v>98</v>
      </c>
      <c r="U1510" s="711" t="s">
        <v>2331</v>
      </c>
      <c r="V1510" s="545" t="s">
        <v>14</v>
      </c>
      <c r="W1510" s="545" t="s">
        <v>98</v>
      </c>
      <c r="X1510" s="546" t="s">
        <v>209</v>
      </c>
      <c r="Y1510" s="550">
        <v>400</v>
      </c>
      <c r="Z1510" s="546" t="s">
        <v>98</v>
      </c>
      <c r="AA1510" s="546" t="s">
        <v>276</v>
      </c>
      <c r="AB1510" s="546" t="s">
        <v>98</v>
      </c>
      <c r="AC1510" s="545" t="s">
        <v>98</v>
      </c>
      <c r="AD1510" s="545" t="s">
        <v>98</v>
      </c>
      <c r="AE1510" s="545" t="s">
        <v>98</v>
      </c>
      <c r="AF1510" s="545" t="s">
        <v>98</v>
      </c>
      <c r="AG1510" s="546" t="s">
        <v>11342</v>
      </c>
      <c r="AH1510" s="546" t="s">
        <v>6725</v>
      </c>
      <c r="AI1510" s="551">
        <f>22+3</f>
        <v>25</v>
      </c>
      <c r="AJ1510" s="551" t="s">
        <v>98</v>
      </c>
      <c r="AK1510" s="551">
        <v>400</v>
      </c>
      <c r="AL1510" s="551" t="s">
        <v>98</v>
      </c>
      <c r="AM1510" s="551" t="s">
        <v>292</v>
      </c>
      <c r="AN1510" s="545" t="s">
        <v>276</v>
      </c>
      <c r="AO1510" s="554">
        <f t="shared" si="447"/>
        <v>6.25</v>
      </c>
      <c r="AP1510" s="545" t="s">
        <v>276</v>
      </c>
      <c r="AQ1510" s="545" t="s">
        <v>276</v>
      </c>
      <c r="AR1510" s="545" t="s">
        <v>98</v>
      </c>
      <c r="AS1510" s="553" t="s">
        <v>98</v>
      </c>
      <c r="AT1510" s="545" t="s">
        <v>98</v>
      </c>
      <c r="AU1510" s="545" t="s">
        <v>98</v>
      </c>
      <c r="AV1510" s="545" t="s">
        <v>98</v>
      </c>
      <c r="AW1510" s="617" t="s">
        <v>98</v>
      </c>
      <c r="AX1510" s="617" t="s">
        <v>98</v>
      </c>
      <c r="AY1510" s="617" t="s">
        <v>98</v>
      </c>
      <c r="AZ1510" s="617" t="s">
        <v>98</v>
      </c>
      <c r="BA1510" s="617" t="s">
        <v>98</v>
      </c>
      <c r="BB1510" s="617" t="s">
        <v>98</v>
      </c>
      <c r="BC1510" s="617" t="s">
        <v>98</v>
      </c>
      <c r="BD1510" s="617" t="s">
        <v>98</v>
      </c>
      <c r="BE1510" s="617" t="s">
        <v>98</v>
      </c>
      <c r="BF1510" s="546" t="s">
        <v>841</v>
      </c>
      <c r="BG1510" s="546"/>
      <c r="BH1510" s="9" t="s">
        <v>100</v>
      </c>
      <c r="BI1510" s="9" t="s">
        <v>100</v>
      </c>
      <c r="BJ1510" s="527"/>
      <c r="BN1510" s="527"/>
      <c r="BO1510" s="527"/>
    </row>
    <row r="1511" spans="1:67" s="528" customFormat="1" ht="65" hidden="1" x14ac:dyDescent="0.35">
      <c r="A1511" s="545">
        <v>330</v>
      </c>
      <c r="B1511" s="545" t="s">
        <v>9034</v>
      </c>
      <c r="C1511" s="546" t="s">
        <v>51</v>
      </c>
      <c r="D1511" s="546" t="s">
        <v>11343</v>
      </c>
      <c r="E1511" s="545" t="s">
        <v>36</v>
      </c>
      <c r="F1511" s="546" t="s">
        <v>134</v>
      </c>
      <c r="G1511" s="545" t="s">
        <v>225</v>
      </c>
      <c r="H1511" s="545" t="s">
        <v>225</v>
      </c>
      <c r="I1511" s="545" t="s">
        <v>98</v>
      </c>
      <c r="J1511" s="546" t="s">
        <v>98</v>
      </c>
      <c r="K1511" s="545" t="s">
        <v>98</v>
      </c>
      <c r="L1511" s="545" t="s">
        <v>98</v>
      </c>
      <c r="M1511" s="545" t="s">
        <v>98</v>
      </c>
      <c r="N1511" s="546" t="s">
        <v>9040</v>
      </c>
      <c r="O1511" s="546" t="s">
        <v>276</v>
      </c>
      <c r="P1511" s="546" t="s">
        <v>238</v>
      </c>
      <c r="Q1511" s="711" t="s">
        <v>276</v>
      </c>
      <c r="R1511" s="546" t="s">
        <v>276</v>
      </c>
      <c r="S1511" s="546" t="s">
        <v>276</v>
      </c>
      <c r="T1511" s="546" t="s">
        <v>98</v>
      </c>
      <c r="U1511" s="711" t="s">
        <v>2331</v>
      </c>
      <c r="V1511" s="545" t="s">
        <v>14</v>
      </c>
      <c r="W1511" s="545" t="s">
        <v>98</v>
      </c>
      <c r="X1511" s="546" t="s">
        <v>209</v>
      </c>
      <c r="Y1511" s="550">
        <v>400</v>
      </c>
      <c r="Z1511" s="546" t="s">
        <v>98</v>
      </c>
      <c r="AA1511" s="546" t="s">
        <v>276</v>
      </c>
      <c r="AB1511" s="546" t="s">
        <v>98</v>
      </c>
      <c r="AC1511" s="545" t="s">
        <v>98</v>
      </c>
      <c r="AD1511" s="545" t="s">
        <v>98</v>
      </c>
      <c r="AE1511" s="545" t="s">
        <v>98</v>
      </c>
      <c r="AF1511" s="545" t="s">
        <v>98</v>
      </c>
      <c r="AG1511" s="546" t="s">
        <v>11344</v>
      </c>
      <c r="AH1511" s="546" t="s">
        <v>6725</v>
      </c>
      <c r="AI1511" s="551">
        <f>57+6</f>
        <v>63</v>
      </c>
      <c r="AJ1511" s="551" t="s">
        <v>98</v>
      </c>
      <c r="AK1511" s="551">
        <v>400</v>
      </c>
      <c r="AL1511" s="551" t="s">
        <v>98</v>
      </c>
      <c r="AM1511" s="551" t="s">
        <v>292</v>
      </c>
      <c r="AN1511" s="545" t="s">
        <v>276</v>
      </c>
      <c r="AO1511" s="554">
        <f t="shared" si="447"/>
        <v>15.75</v>
      </c>
      <c r="AP1511" s="545" t="s">
        <v>276</v>
      </c>
      <c r="AQ1511" s="545" t="s">
        <v>276</v>
      </c>
      <c r="AR1511" s="545" t="s">
        <v>98</v>
      </c>
      <c r="AS1511" s="553" t="s">
        <v>98</v>
      </c>
      <c r="AT1511" s="545" t="s">
        <v>98</v>
      </c>
      <c r="AU1511" s="545" t="s">
        <v>98</v>
      </c>
      <c r="AV1511" s="545" t="s">
        <v>98</v>
      </c>
      <c r="AW1511" s="617" t="s">
        <v>98</v>
      </c>
      <c r="AX1511" s="617" t="s">
        <v>98</v>
      </c>
      <c r="AY1511" s="617" t="s">
        <v>98</v>
      </c>
      <c r="AZ1511" s="617" t="s">
        <v>98</v>
      </c>
      <c r="BA1511" s="617" t="s">
        <v>98</v>
      </c>
      <c r="BB1511" s="617" t="s">
        <v>98</v>
      </c>
      <c r="BC1511" s="617" t="s">
        <v>98</v>
      </c>
      <c r="BD1511" s="617" t="s">
        <v>98</v>
      </c>
      <c r="BE1511" s="617" t="s">
        <v>98</v>
      </c>
      <c r="BF1511" s="546" t="s">
        <v>841</v>
      </c>
      <c r="BG1511" s="546"/>
      <c r="BH1511" s="9" t="s">
        <v>100</v>
      </c>
      <c r="BI1511" s="9" t="s">
        <v>100</v>
      </c>
      <c r="BJ1511" s="527"/>
      <c r="BN1511" s="527"/>
      <c r="BO1511" s="527"/>
    </row>
    <row r="1512" spans="1:67" s="715" customFormat="1" ht="52" hidden="1" x14ac:dyDescent="0.35">
      <c r="A1512" s="701">
        <v>330</v>
      </c>
      <c r="B1512" s="701" t="s">
        <v>9034</v>
      </c>
      <c r="C1512" s="702" t="s">
        <v>51</v>
      </c>
      <c r="D1512" s="702" t="s">
        <v>11345</v>
      </c>
      <c r="E1512" s="701" t="s">
        <v>36</v>
      </c>
      <c r="F1512" s="702" t="s">
        <v>134</v>
      </c>
      <c r="G1512" s="701" t="s">
        <v>225</v>
      </c>
      <c r="H1512" s="701" t="s">
        <v>225</v>
      </c>
      <c r="I1512" s="701" t="s">
        <v>98</v>
      </c>
      <c r="J1512" s="702" t="s">
        <v>98</v>
      </c>
      <c r="K1512" s="701" t="s">
        <v>98</v>
      </c>
      <c r="L1512" s="701" t="s">
        <v>98</v>
      </c>
      <c r="M1512" s="701" t="s">
        <v>98</v>
      </c>
      <c r="N1512" s="702" t="s">
        <v>9040</v>
      </c>
      <c r="O1512" s="702" t="s">
        <v>276</v>
      </c>
      <c r="P1512" s="702" t="s">
        <v>238</v>
      </c>
      <c r="Q1512" s="712" t="s">
        <v>9086</v>
      </c>
      <c r="R1512" s="702" t="s">
        <v>733</v>
      </c>
      <c r="S1512" s="702" t="s">
        <v>276</v>
      </c>
      <c r="T1512" s="702" t="s">
        <v>98</v>
      </c>
      <c r="U1512" s="712" t="s">
        <v>2331</v>
      </c>
      <c r="V1512" s="701" t="s">
        <v>14</v>
      </c>
      <c r="W1512" s="701" t="s">
        <v>98</v>
      </c>
      <c r="X1512" s="702" t="s">
        <v>209</v>
      </c>
      <c r="Y1512" s="707">
        <v>400</v>
      </c>
      <c r="Z1512" s="702" t="s">
        <v>98</v>
      </c>
      <c r="AA1512" s="702" t="s">
        <v>276</v>
      </c>
      <c r="AB1512" s="702" t="s">
        <v>98</v>
      </c>
      <c r="AC1512" s="701" t="s">
        <v>98</v>
      </c>
      <c r="AD1512" s="701" t="s">
        <v>98</v>
      </c>
      <c r="AE1512" s="701" t="s">
        <v>98</v>
      </c>
      <c r="AF1512" s="701" t="s">
        <v>98</v>
      </c>
      <c r="AG1512" s="702" t="s">
        <v>11346</v>
      </c>
      <c r="AH1512" s="702" t="s">
        <v>6725</v>
      </c>
      <c r="AI1512" s="706">
        <v>1</v>
      </c>
      <c r="AJ1512" s="706" t="s">
        <v>98</v>
      </c>
      <c r="AK1512" s="706">
        <v>400</v>
      </c>
      <c r="AL1512" s="706" t="s">
        <v>98</v>
      </c>
      <c r="AM1512" s="706" t="s">
        <v>292</v>
      </c>
      <c r="AN1512" s="701" t="s">
        <v>276</v>
      </c>
      <c r="AO1512" s="709">
        <f t="shared" si="447"/>
        <v>0.25</v>
      </c>
      <c r="AP1512" s="701" t="s">
        <v>276</v>
      </c>
      <c r="AQ1512" s="701" t="s">
        <v>276</v>
      </c>
      <c r="AR1512" s="701" t="s">
        <v>98</v>
      </c>
      <c r="AS1512" s="710" t="s">
        <v>98</v>
      </c>
      <c r="AT1512" s="701" t="s">
        <v>98</v>
      </c>
      <c r="AU1512" s="701" t="s">
        <v>98</v>
      </c>
      <c r="AV1512" s="701" t="s">
        <v>98</v>
      </c>
      <c r="AW1512" s="713" t="s">
        <v>98</v>
      </c>
      <c r="AX1512" s="713" t="s">
        <v>98</v>
      </c>
      <c r="AY1512" s="713" t="s">
        <v>98</v>
      </c>
      <c r="AZ1512" s="713" t="s">
        <v>98</v>
      </c>
      <c r="BA1512" s="713" t="s">
        <v>98</v>
      </c>
      <c r="BB1512" s="713" t="s">
        <v>98</v>
      </c>
      <c r="BC1512" s="713" t="s">
        <v>98</v>
      </c>
      <c r="BD1512" s="713" t="s">
        <v>98</v>
      </c>
      <c r="BE1512" s="713" t="s">
        <v>98</v>
      </c>
      <c r="BF1512" s="702" t="s">
        <v>841</v>
      </c>
      <c r="BG1512" s="702"/>
      <c r="BH1512" s="9" t="s">
        <v>100</v>
      </c>
      <c r="BI1512" s="9" t="s">
        <v>100</v>
      </c>
      <c r="BJ1512" s="714"/>
      <c r="BN1512" s="714"/>
      <c r="BO1512" s="714"/>
    </row>
    <row r="1513" spans="1:67" s="715" customFormat="1" ht="52" hidden="1" x14ac:dyDescent="0.35">
      <c r="A1513" s="701">
        <v>330</v>
      </c>
      <c r="B1513" s="701" t="s">
        <v>9034</v>
      </c>
      <c r="C1513" s="702" t="s">
        <v>51</v>
      </c>
      <c r="D1513" s="702" t="s">
        <v>11347</v>
      </c>
      <c r="E1513" s="701" t="s">
        <v>36</v>
      </c>
      <c r="F1513" s="702" t="s">
        <v>134</v>
      </c>
      <c r="G1513" s="701" t="s">
        <v>225</v>
      </c>
      <c r="H1513" s="701" t="s">
        <v>225</v>
      </c>
      <c r="I1513" s="701" t="s">
        <v>98</v>
      </c>
      <c r="J1513" s="702" t="s">
        <v>98</v>
      </c>
      <c r="K1513" s="701" t="s">
        <v>98</v>
      </c>
      <c r="L1513" s="701" t="s">
        <v>98</v>
      </c>
      <c r="M1513" s="701" t="s">
        <v>98</v>
      </c>
      <c r="N1513" s="702" t="s">
        <v>9040</v>
      </c>
      <c r="O1513" s="702" t="s">
        <v>276</v>
      </c>
      <c r="P1513" s="702" t="s">
        <v>238</v>
      </c>
      <c r="Q1513" s="712" t="s">
        <v>9086</v>
      </c>
      <c r="R1513" s="702" t="s">
        <v>733</v>
      </c>
      <c r="S1513" s="702" t="s">
        <v>276</v>
      </c>
      <c r="T1513" s="702" t="s">
        <v>98</v>
      </c>
      <c r="U1513" s="712" t="s">
        <v>2331</v>
      </c>
      <c r="V1513" s="701" t="s">
        <v>14</v>
      </c>
      <c r="W1513" s="701" t="s">
        <v>98</v>
      </c>
      <c r="X1513" s="702" t="s">
        <v>209</v>
      </c>
      <c r="Y1513" s="707">
        <v>400</v>
      </c>
      <c r="Z1513" s="702" t="s">
        <v>98</v>
      </c>
      <c r="AA1513" s="702" t="s">
        <v>276</v>
      </c>
      <c r="AB1513" s="702" t="s">
        <v>98</v>
      </c>
      <c r="AC1513" s="701" t="s">
        <v>98</v>
      </c>
      <c r="AD1513" s="701" t="s">
        <v>98</v>
      </c>
      <c r="AE1513" s="701" t="s">
        <v>98</v>
      </c>
      <c r="AF1513" s="701" t="s">
        <v>98</v>
      </c>
      <c r="AG1513" s="702" t="s">
        <v>11348</v>
      </c>
      <c r="AH1513" s="702" t="s">
        <v>6725</v>
      </c>
      <c r="AI1513" s="706">
        <v>3</v>
      </c>
      <c r="AJ1513" s="706" t="s">
        <v>98</v>
      </c>
      <c r="AK1513" s="706">
        <v>400</v>
      </c>
      <c r="AL1513" s="706" t="s">
        <v>98</v>
      </c>
      <c r="AM1513" s="706" t="s">
        <v>292</v>
      </c>
      <c r="AN1513" s="701" t="s">
        <v>276</v>
      </c>
      <c r="AO1513" s="709">
        <f t="shared" si="447"/>
        <v>0.75</v>
      </c>
      <c r="AP1513" s="701" t="s">
        <v>276</v>
      </c>
      <c r="AQ1513" s="701" t="s">
        <v>276</v>
      </c>
      <c r="AR1513" s="701" t="s">
        <v>98</v>
      </c>
      <c r="AS1513" s="710" t="s">
        <v>98</v>
      </c>
      <c r="AT1513" s="701" t="s">
        <v>98</v>
      </c>
      <c r="AU1513" s="701" t="s">
        <v>98</v>
      </c>
      <c r="AV1513" s="701" t="s">
        <v>98</v>
      </c>
      <c r="AW1513" s="713" t="s">
        <v>98</v>
      </c>
      <c r="AX1513" s="713" t="s">
        <v>98</v>
      </c>
      <c r="AY1513" s="713" t="s">
        <v>98</v>
      </c>
      <c r="AZ1513" s="713" t="s">
        <v>98</v>
      </c>
      <c r="BA1513" s="713" t="s">
        <v>98</v>
      </c>
      <c r="BB1513" s="713" t="s">
        <v>98</v>
      </c>
      <c r="BC1513" s="713" t="s">
        <v>98</v>
      </c>
      <c r="BD1513" s="713" t="s">
        <v>98</v>
      </c>
      <c r="BE1513" s="713" t="s">
        <v>98</v>
      </c>
      <c r="BF1513" s="702" t="s">
        <v>841</v>
      </c>
      <c r="BG1513" s="702"/>
      <c r="BH1513" s="9" t="s">
        <v>100</v>
      </c>
      <c r="BI1513" s="9" t="s">
        <v>100</v>
      </c>
      <c r="BJ1513" s="714"/>
      <c r="BN1513" s="714"/>
      <c r="BO1513" s="714"/>
    </row>
    <row r="1514" spans="1:67" s="715" customFormat="1" ht="65" hidden="1" x14ac:dyDescent="0.35">
      <c r="A1514" s="701">
        <v>330</v>
      </c>
      <c r="B1514" s="701" t="s">
        <v>9034</v>
      </c>
      <c r="C1514" s="702" t="s">
        <v>51</v>
      </c>
      <c r="D1514" s="702" t="s">
        <v>11349</v>
      </c>
      <c r="E1514" s="701" t="s">
        <v>36</v>
      </c>
      <c r="F1514" s="702" t="s">
        <v>134</v>
      </c>
      <c r="G1514" s="701" t="s">
        <v>225</v>
      </c>
      <c r="H1514" s="701" t="s">
        <v>225</v>
      </c>
      <c r="I1514" s="701" t="s">
        <v>98</v>
      </c>
      <c r="J1514" s="702" t="s">
        <v>98</v>
      </c>
      <c r="K1514" s="701" t="s">
        <v>98</v>
      </c>
      <c r="L1514" s="701" t="s">
        <v>98</v>
      </c>
      <c r="M1514" s="701" t="s">
        <v>98</v>
      </c>
      <c r="N1514" s="702" t="s">
        <v>9040</v>
      </c>
      <c r="O1514" s="702" t="s">
        <v>276</v>
      </c>
      <c r="P1514" s="702" t="s">
        <v>238</v>
      </c>
      <c r="Q1514" s="712" t="s">
        <v>9086</v>
      </c>
      <c r="R1514" s="702" t="s">
        <v>733</v>
      </c>
      <c r="S1514" s="702" t="s">
        <v>276</v>
      </c>
      <c r="T1514" s="702" t="s">
        <v>98</v>
      </c>
      <c r="U1514" s="712" t="s">
        <v>2331</v>
      </c>
      <c r="V1514" s="701" t="s">
        <v>14</v>
      </c>
      <c r="W1514" s="701" t="s">
        <v>98</v>
      </c>
      <c r="X1514" s="702" t="s">
        <v>209</v>
      </c>
      <c r="Y1514" s="707">
        <v>400</v>
      </c>
      <c r="Z1514" s="702" t="s">
        <v>98</v>
      </c>
      <c r="AA1514" s="702" t="s">
        <v>276</v>
      </c>
      <c r="AB1514" s="702" t="s">
        <v>98</v>
      </c>
      <c r="AC1514" s="701" t="s">
        <v>98</v>
      </c>
      <c r="AD1514" s="701" t="s">
        <v>98</v>
      </c>
      <c r="AE1514" s="701" t="s">
        <v>98</v>
      </c>
      <c r="AF1514" s="701" t="s">
        <v>98</v>
      </c>
      <c r="AG1514" s="702" t="s">
        <v>11350</v>
      </c>
      <c r="AH1514" s="702" t="s">
        <v>6725</v>
      </c>
      <c r="AI1514" s="706">
        <v>42</v>
      </c>
      <c r="AJ1514" s="706" t="s">
        <v>98</v>
      </c>
      <c r="AK1514" s="706">
        <v>400</v>
      </c>
      <c r="AL1514" s="706" t="s">
        <v>98</v>
      </c>
      <c r="AM1514" s="706" t="s">
        <v>292</v>
      </c>
      <c r="AN1514" s="701" t="s">
        <v>276</v>
      </c>
      <c r="AO1514" s="709">
        <f t="shared" si="447"/>
        <v>10.5</v>
      </c>
      <c r="AP1514" s="701" t="s">
        <v>276</v>
      </c>
      <c r="AQ1514" s="701" t="s">
        <v>276</v>
      </c>
      <c r="AR1514" s="701" t="s">
        <v>98</v>
      </c>
      <c r="AS1514" s="710" t="s">
        <v>98</v>
      </c>
      <c r="AT1514" s="701" t="s">
        <v>98</v>
      </c>
      <c r="AU1514" s="701" t="s">
        <v>98</v>
      </c>
      <c r="AV1514" s="701" t="s">
        <v>98</v>
      </c>
      <c r="AW1514" s="713" t="s">
        <v>98</v>
      </c>
      <c r="AX1514" s="713" t="s">
        <v>98</v>
      </c>
      <c r="AY1514" s="713" t="s">
        <v>98</v>
      </c>
      <c r="AZ1514" s="713" t="s">
        <v>98</v>
      </c>
      <c r="BA1514" s="713" t="s">
        <v>98</v>
      </c>
      <c r="BB1514" s="713" t="s">
        <v>98</v>
      </c>
      <c r="BC1514" s="713" t="s">
        <v>98</v>
      </c>
      <c r="BD1514" s="713" t="s">
        <v>98</v>
      </c>
      <c r="BE1514" s="713" t="s">
        <v>98</v>
      </c>
      <c r="BF1514" s="702" t="s">
        <v>841</v>
      </c>
      <c r="BG1514" s="702"/>
      <c r="BH1514" s="9" t="s">
        <v>100</v>
      </c>
      <c r="BI1514" s="9" t="s">
        <v>100</v>
      </c>
      <c r="BJ1514" s="714"/>
      <c r="BN1514" s="714"/>
      <c r="BO1514" s="714"/>
    </row>
    <row r="1515" spans="1:67" s="715" customFormat="1" ht="65" hidden="1" x14ac:dyDescent="0.35">
      <c r="A1515" s="701">
        <v>330</v>
      </c>
      <c r="B1515" s="701" t="s">
        <v>9034</v>
      </c>
      <c r="C1515" s="702" t="s">
        <v>51</v>
      </c>
      <c r="D1515" s="702" t="s">
        <v>11351</v>
      </c>
      <c r="E1515" s="701" t="s">
        <v>36</v>
      </c>
      <c r="F1515" s="702" t="s">
        <v>134</v>
      </c>
      <c r="G1515" s="701" t="s">
        <v>225</v>
      </c>
      <c r="H1515" s="701" t="s">
        <v>225</v>
      </c>
      <c r="I1515" s="701" t="s">
        <v>98</v>
      </c>
      <c r="J1515" s="702" t="s">
        <v>98</v>
      </c>
      <c r="K1515" s="701" t="s">
        <v>98</v>
      </c>
      <c r="L1515" s="701" t="s">
        <v>98</v>
      </c>
      <c r="M1515" s="701" t="s">
        <v>98</v>
      </c>
      <c r="N1515" s="702" t="s">
        <v>9040</v>
      </c>
      <c r="O1515" s="702" t="s">
        <v>276</v>
      </c>
      <c r="P1515" s="702" t="s">
        <v>238</v>
      </c>
      <c r="Q1515" s="712" t="s">
        <v>9086</v>
      </c>
      <c r="R1515" s="702" t="s">
        <v>733</v>
      </c>
      <c r="S1515" s="702" t="s">
        <v>276</v>
      </c>
      <c r="T1515" s="702" t="s">
        <v>98</v>
      </c>
      <c r="U1515" s="712" t="s">
        <v>2331</v>
      </c>
      <c r="V1515" s="701" t="s">
        <v>14</v>
      </c>
      <c r="W1515" s="701" t="s">
        <v>98</v>
      </c>
      <c r="X1515" s="702" t="s">
        <v>209</v>
      </c>
      <c r="Y1515" s="707">
        <v>400</v>
      </c>
      <c r="Z1515" s="702" t="s">
        <v>98</v>
      </c>
      <c r="AA1515" s="702" t="s">
        <v>276</v>
      </c>
      <c r="AB1515" s="702" t="s">
        <v>98</v>
      </c>
      <c r="AC1515" s="701" t="s">
        <v>98</v>
      </c>
      <c r="AD1515" s="701" t="s">
        <v>98</v>
      </c>
      <c r="AE1515" s="701" t="s">
        <v>98</v>
      </c>
      <c r="AF1515" s="701" t="s">
        <v>98</v>
      </c>
      <c r="AG1515" s="702" t="s">
        <v>11352</v>
      </c>
      <c r="AH1515" s="702" t="s">
        <v>6725</v>
      </c>
      <c r="AI1515" s="706">
        <v>36</v>
      </c>
      <c r="AJ1515" s="706" t="s">
        <v>98</v>
      </c>
      <c r="AK1515" s="706">
        <v>400</v>
      </c>
      <c r="AL1515" s="706" t="s">
        <v>98</v>
      </c>
      <c r="AM1515" s="706" t="s">
        <v>292</v>
      </c>
      <c r="AN1515" s="701" t="s">
        <v>276</v>
      </c>
      <c r="AO1515" s="709">
        <f t="shared" si="447"/>
        <v>9</v>
      </c>
      <c r="AP1515" s="701" t="s">
        <v>276</v>
      </c>
      <c r="AQ1515" s="701" t="s">
        <v>276</v>
      </c>
      <c r="AR1515" s="701" t="s">
        <v>98</v>
      </c>
      <c r="AS1515" s="710" t="s">
        <v>98</v>
      </c>
      <c r="AT1515" s="701" t="s">
        <v>98</v>
      </c>
      <c r="AU1515" s="701" t="s">
        <v>98</v>
      </c>
      <c r="AV1515" s="701" t="s">
        <v>98</v>
      </c>
      <c r="AW1515" s="713" t="s">
        <v>98</v>
      </c>
      <c r="AX1515" s="713" t="s">
        <v>98</v>
      </c>
      <c r="AY1515" s="713" t="s">
        <v>98</v>
      </c>
      <c r="AZ1515" s="713" t="s">
        <v>98</v>
      </c>
      <c r="BA1515" s="713" t="s">
        <v>98</v>
      </c>
      <c r="BB1515" s="713" t="s">
        <v>98</v>
      </c>
      <c r="BC1515" s="713" t="s">
        <v>98</v>
      </c>
      <c r="BD1515" s="713" t="s">
        <v>98</v>
      </c>
      <c r="BE1515" s="713" t="s">
        <v>98</v>
      </c>
      <c r="BF1515" s="702" t="s">
        <v>841</v>
      </c>
      <c r="BG1515" s="702"/>
      <c r="BH1515" s="9" t="s">
        <v>100</v>
      </c>
      <c r="BI1515" s="9" t="s">
        <v>100</v>
      </c>
      <c r="BJ1515" s="714"/>
      <c r="BN1515" s="714"/>
      <c r="BO1515" s="714"/>
    </row>
    <row r="1516" spans="1:67" s="715" customFormat="1" ht="52" hidden="1" x14ac:dyDescent="0.35">
      <c r="A1516" s="701">
        <v>330</v>
      </c>
      <c r="B1516" s="701" t="s">
        <v>9034</v>
      </c>
      <c r="C1516" s="702" t="s">
        <v>51</v>
      </c>
      <c r="D1516" s="702" t="s">
        <v>11687</v>
      </c>
      <c r="E1516" s="701" t="s">
        <v>36</v>
      </c>
      <c r="F1516" s="702" t="s">
        <v>134</v>
      </c>
      <c r="G1516" s="701" t="s">
        <v>225</v>
      </c>
      <c r="H1516" s="701" t="s">
        <v>225</v>
      </c>
      <c r="I1516" s="701" t="s">
        <v>98</v>
      </c>
      <c r="J1516" s="702" t="s">
        <v>98</v>
      </c>
      <c r="K1516" s="701" t="s">
        <v>98</v>
      </c>
      <c r="L1516" s="701" t="s">
        <v>98</v>
      </c>
      <c r="M1516" s="701" t="s">
        <v>98</v>
      </c>
      <c r="N1516" s="702" t="s">
        <v>9040</v>
      </c>
      <c r="O1516" s="702" t="s">
        <v>276</v>
      </c>
      <c r="P1516" s="702" t="s">
        <v>238</v>
      </c>
      <c r="Q1516" s="712" t="s">
        <v>9086</v>
      </c>
      <c r="R1516" s="702" t="s">
        <v>733</v>
      </c>
      <c r="S1516" s="702" t="s">
        <v>276</v>
      </c>
      <c r="T1516" s="702" t="s">
        <v>98</v>
      </c>
      <c r="U1516" s="712" t="s">
        <v>2331</v>
      </c>
      <c r="V1516" s="701" t="s">
        <v>14</v>
      </c>
      <c r="W1516" s="701" t="s">
        <v>98</v>
      </c>
      <c r="X1516" s="702" t="s">
        <v>209</v>
      </c>
      <c r="Y1516" s="707">
        <v>400</v>
      </c>
      <c r="Z1516" s="702" t="s">
        <v>98</v>
      </c>
      <c r="AA1516" s="702" t="s">
        <v>276</v>
      </c>
      <c r="AB1516" s="702" t="s">
        <v>98</v>
      </c>
      <c r="AC1516" s="701" t="s">
        <v>98</v>
      </c>
      <c r="AD1516" s="701" t="s">
        <v>98</v>
      </c>
      <c r="AE1516" s="701" t="s">
        <v>98</v>
      </c>
      <c r="AF1516" s="701" t="s">
        <v>98</v>
      </c>
      <c r="AG1516" s="702" t="s">
        <v>11686</v>
      </c>
      <c r="AH1516" s="702" t="s">
        <v>6725</v>
      </c>
      <c r="AI1516" s="706">
        <f>1+42+36</f>
        <v>79</v>
      </c>
      <c r="AJ1516" s="706" t="s">
        <v>98</v>
      </c>
      <c r="AK1516" s="706">
        <v>400</v>
      </c>
      <c r="AL1516" s="706" t="s">
        <v>98</v>
      </c>
      <c r="AM1516" s="706" t="s">
        <v>292</v>
      </c>
      <c r="AN1516" s="701" t="s">
        <v>276</v>
      </c>
      <c r="AO1516" s="709">
        <f t="shared" ref="AO1516" si="448">AI1516*100/AK1516</f>
        <v>19.75</v>
      </c>
      <c r="AP1516" s="701" t="s">
        <v>276</v>
      </c>
      <c r="AQ1516" s="701" t="s">
        <v>276</v>
      </c>
      <c r="AR1516" s="701" t="s">
        <v>98</v>
      </c>
      <c r="AS1516" s="710" t="s">
        <v>98</v>
      </c>
      <c r="AT1516" s="701" t="s">
        <v>98</v>
      </c>
      <c r="AU1516" s="701" t="s">
        <v>98</v>
      </c>
      <c r="AV1516" s="701" t="s">
        <v>98</v>
      </c>
      <c r="AW1516" s="713" t="s">
        <v>98</v>
      </c>
      <c r="AX1516" s="713" t="s">
        <v>98</v>
      </c>
      <c r="AY1516" s="713" t="s">
        <v>98</v>
      </c>
      <c r="AZ1516" s="713" t="s">
        <v>98</v>
      </c>
      <c r="BA1516" s="713" t="s">
        <v>98</v>
      </c>
      <c r="BB1516" s="713" t="s">
        <v>98</v>
      </c>
      <c r="BC1516" s="713" t="s">
        <v>98</v>
      </c>
      <c r="BD1516" s="713" t="s">
        <v>98</v>
      </c>
      <c r="BE1516" s="713" t="s">
        <v>98</v>
      </c>
      <c r="BF1516" s="702" t="s">
        <v>841</v>
      </c>
      <c r="BG1516" s="702"/>
      <c r="BH1516" s="9" t="s">
        <v>100</v>
      </c>
      <c r="BI1516" s="9" t="s">
        <v>100</v>
      </c>
      <c r="BJ1516" s="714"/>
      <c r="BN1516" s="714"/>
      <c r="BO1516" s="714"/>
    </row>
    <row r="1517" spans="1:67" s="715" customFormat="1" ht="52" hidden="1" x14ac:dyDescent="0.35">
      <c r="A1517" s="701">
        <v>330</v>
      </c>
      <c r="B1517" s="701" t="s">
        <v>9034</v>
      </c>
      <c r="C1517" s="702" t="s">
        <v>51</v>
      </c>
      <c r="D1517" s="702" t="s">
        <v>11353</v>
      </c>
      <c r="E1517" s="701" t="s">
        <v>36</v>
      </c>
      <c r="F1517" s="702" t="s">
        <v>134</v>
      </c>
      <c r="G1517" s="701" t="s">
        <v>225</v>
      </c>
      <c r="H1517" s="701" t="s">
        <v>225</v>
      </c>
      <c r="I1517" s="701" t="s">
        <v>98</v>
      </c>
      <c r="J1517" s="702" t="s">
        <v>98</v>
      </c>
      <c r="K1517" s="701" t="s">
        <v>98</v>
      </c>
      <c r="L1517" s="701" t="s">
        <v>98</v>
      </c>
      <c r="M1517" s="701" t="s">
        <v>98</v>
      </c>
      <c r="N1517" s="702" t="s">
        <v>9040</v>
      </c>
      <c r="O1517" s="702" t="s">
        <v>276</v>
      </c>
      <c r="P1517" s="702" t="s">
        <v>238</v>
      </c>
      <c r="Q1517" s="712" t="s">
        <v>9086</v>
      </c>
      <c r="R1517" s="702" t="s">
        <v>733</v>
      </c>
      <c r="S1517" s="702" t="s">
        <v>276</v>
      </c>
      <c r="T1517" s="702" t="s">
        <v>98</v>
      </c>
      <c r="U1517" s="712" t="s">
        <v>2331</v>
      </c>
      <c r="V1517" s="701" t="s">
        <v>14</v>
      </c>
      <c r="W1517" s="701" t="s">
        <v>98</v>
      </c>
      <c r="X1517" s="702" t="s">
        <v>209</v>
      </c>
      <c r="Y1517" s="707">
        <v>400</v>
      </c>
      <c r="Z1517" s="702" t="s">
        <v>98</v>
      </c>
      <c r="AA1517" s="702" t="s">
        <v>276</v>
      </c>
      <c r="AB1517" s="702" t="s">
        <v>98</v>
      </c>
      <c r="AC1517" s="701" t="s">
        <v>98</v>
      </c>
      <c r="AD1517" s="701" t="s">
        <v>98</v>
      </c>
      <c r="AE1517" s="701" t="s">
        <v>98</v>
      </c>
      <c r="AF1517" s="701" t="s">
        <v>98</v>
      </c>
      <c r="AG1517" s="702" t="s">
        <v>11354</v>
      </c>
      <c r="AH1517" s="702" t="s">
        <v>6725</v>
      </c>
      <c r="AI1517" s="706">
        <v>79</v>
      </c>
      <c r="AJ1517" s="706" t="s">
        <v>98</v>
      </c>
      <c r="AK1517" s="706">
        <v>400</v>
      </c>
      <c r="AL1517" s="706" t="s">
        <v>98</v>
      </c>
      <c r="AM1517" s="706" t="s">
        <v>292</v>
      </c>
      <c r="AN1517" s="701" t="s">
        <v>276</v>
      </c>
      <c r="AO1517" s="709">
        <f t="shared" si="447"/>
        <v>19.75</v>
      </c>
      <c r="AP1517" s="701" t="s">
        <v>276</v>
      </c>
      <c r="AQ1517" s="701" t="s">
        <v>276</v>
      </c>
      <c r="AR1517" s="701" t="s">
        <v>98</v>
      </c>
      <c r="AS1517" s="710" t="s">
        <v>98</v>
      </c>
      <c r="AT1517" s="701" t="s">
        <v>98</v>
      </c>
      <c r="AU1517" s="701" t="s">
        <v>98</v>
      </c>
      <c r="AV1517" s="701" t="s">
        <v>98</v>
      </c>
      <c r="AW1517" s="713" t="s">
        <v>98</v>
      </c>
      <c r="AX1517" s="713" t="s">
        <v>98</v>
      </c>
      <c r="AY1517" s="713" t="s">
        <v>98</v>
      </c>
      <c r="AZ1517" s="713" t="s">
        <v>98</v>
      </c>
      <c r="BA1517" s="713" t="s">
        <v>98</v>
      </c>
      <c r="BB1517" s="713" t="s">
        <v>98</v>
      </c>
      <c r="BC1517" s="713" t="s">
        <v>98</v>
      </c>
      <c r="BD1517" s="713" t="s">
        <v>98</v>
      </c>
      <c r="BE1517" s="713" t="s">
        <v>98</v>
      </c>
      <c r="BF1517" s="702" t="s">
        <v>841</v>
      </c>
      <c r="BG1517" s="702"/>
      <c r="BH1517" s="9" t="s">
        <v>100</v>
      </c>
      <c r="BI1517" s="9" t="s">
        <v>100</v>
      </c>
      <c r="BJ1517" s="714"/>
      <c r="BN1517" s="714"/>
      <c r="BO1517" s="714"/>
    </row>
    <row r="1518" spans="1:67" s="528" customFormat="1" ht="52" x14ac:dyDescent="0.35">
      <c r="A1518" s="545">
        <v>330</v>
      </c>
      <c r="B1518" s="545" t="s">
        <v>9034</v>
      </c>
      <c r="C1518" s="546" t="s">
        <v>51</v>
      </c>
      <c r="D1518" s="546" t="s">
        <v>9087</v>
      </c>
      <c r="E1518" s="545" t="s">
        <v>36</v>
      </c>
      <c r="F1518" s="546" t="s">
        <v>134</v>
      </c>
      <c r="G1518" s="545" t="s">
        <v>225</v>
      </c>
      <c r="H1518" s="545" t="s">
        <v>225</v>
      </c>
      <c r="I1518" s="545" t="s">
        <v>98</v>
      </c>
      <c r="J1518" s="546" t="s">
        <v>98</v>
      </c>
      <c r="K1518" s="545" t="s">
        <v>98</v>
      </c>
      <c r="L1518" s="545" t="s">
        <v>98</v>
      </c>
      <c r="M1518" s="545" t="s">
        <v>98</v>
      </c>
      <c r="N1518" s="546" t="s">
        <v>9040</v>
      </c>
      <c r="O1518" s="546" t="s">
        <v>276</v>
      </c>
      <c r="P1518" s="546" t="s">
        <v>236</v>
      </c>
      <c r="Q1518" s="711" t="s">
        <v>276</v>
      </c>
      <c r="R1518" s="546" t="s">
        <v>276</v>
      </c>
      <c r="S1518" s="546" t="s">
        <v>276</v>
      </c>
      <c r="T1518" s="546" t="s">
        <v>98</v>
      </c>
      <c r="U1518" s="711" t="s">
        <v>2331</v>
      </c>
      <c r="V1518" s="545" t="s">
        <v>14</v>
      </c>
      <c r="W1518" s="545" t="s">
        <v>98</v>
      </c>
      <c r="X1518" s="546" t="s">
        <v>209</v>
      </c>
      <c r="Y1518" s="550" t="s">
        <v>98</v>
      </c>
      <c r="Z1518" s="546" t="s">
        <v>98</v>
      </c>
      <c r="AA1518" s="546" t="s">
        <v>276</v>
      </c>
      <c r="AB1518" s="546" t="s">
        <v>98</v>
      </c>
      <c r="AC1518" s="545" t="s">
        <v>98</v>
      </c>
      <c r="AD1518" s="545" t="s">
        <v>98</v>
      </c>
      <c r="AE1518" s="545" t="s">
        <v>98</v>
      </c>
      <c r="AF1518" s="545" t="s">
        <v>98</v>
      </c>
      <c r="AG1518" s="546" t="s">
        <v>9088</v>
      </c>
      <c r="AH1518" s="546" t="s">
        <v>9089</v>
      </c>
      <c r="AI1518" s="551">
        <v>1</v>
      </c>
      <c r="AJ1518" s="551" t="s">
        <v>98</v>
      </c>
      <c r="AK1518" s="551">
        <v>2</v>
      </c>
      <c r="AL1518" s="551" t="s">
        <v>98</v>
      </c>
      <c r="AM1518" s="551" t="s">
        <v>292</v>
      </c>
      <c r="AN1518" s="545" t="s">
        <v>276</v>
      </c>
      <c r="AO1518" s="554">
        <f t="shared" si="447"/>
        <v>50</v>
      </c>
      <c r="AP1518" s="545" t="s">
        <v>276</v>
      </c>
      <c r="AQ1518" s="545" t="s">
        <v>276</v>
      </c>
      <c r="AR1518" s="545" t="s">
        <v>98</v>
      </c>
      <c r="AS1518" s="553" t="s">
        <v>98</v>
      </c>
      <c r="AT1518" s="545" t="s">
        <v>98</v>
      </c>
      <c r="AU1518" s="545" t="s">
        <v>98</v>
      </c>
      <c r="AV1518" s="545" t="s">
        <v>98</v>
      </c>
      <c r="AW1518" s="617" t="s">
        <v>98</v>
      </c>
      <c r="AX1518" s="617" t="s">
        <v>98</v>
      </c>
      <c r="AY1518" s="617" t="s">
        <v>98</v>
      </c>
      <c r="AZ1518" s="617" t="s">
        <v>98</v>
      </c>
      <c r="BA1518" s="617" t="s">
        <v>98</v>
      </c>
      <c r="BB1518" s="617" t="s">
        <v>98</v>
      </c>
      <c r="BC1518" s="617" t="s">
        <v>98</v>
      </c>
      <c r="BD1518" s="617" t="s">
        <v>98</v>
      </c>
      <c r="BE1518" s="617" t="s">
        <v>98</v>
      </c>
      <c r="BF1518" s="546" t="s">
        <v>4694</v>
      </c>
      <c r="BG1518" s="546"/>
      <c r="BH1518" s="9" t="s">
        <v>99</v>
      </c>
      <c r="BI1518" s="9" t="s">
        <v>99</v>
      </c>
      <c r="BJ1518" s="527"/>
      <c r="BN1518" s="527"/>
      <c r="BO1518" s="527"/>
    </row>
    <row r="1519" spans="1:67" s="715" customFormat="1" ht="52" hidden="1" x14ac:dyDescent="0.35">
      <c r="A1519" s="701">
        <v>330</v>
      </c>
      <c r="B1519" s="701" t="s">
        <v>9034</v>
      </c>
      <c r="C1519" s="702" t="s">
        <v>51</v>
      </c>
      <c r="D1519" s="702" t="s">
        <v>9090</v>
      </c>
      <c r="E1519" s="701" t="s">
        <v>36</v>
      </c>
      <c r="F1519" s="702" t="s">
        <v>134</v>
      </c>
      <c r="G1519" s="701" t="s">
        <v>225</v>
      </c>
      <c r="H1519" s="701" t="s">
        <v>125</v>
      </c>
      <c r="I1519" s="701" t="s">
        <v>114</v>
      </c>
      <c r="J1519" s="702" t="s">
        <v>32</v>
      </c>
      <c r="K1519" s="701" t="s">
        <v>3527</v>
      </c>
      <c r="L1519" s="701" t="s">
        <v>276</v>
      </c>
      <c r="M1519" s="701" t="s">
        <v>276</v>
      </c>
      <c r="N1519" s="702" t="s">
        <v>9040</v>
      </c>
      <c r="O1519" s="702" t="s">
        <v>276</v>
      </c>
      <c r="P1519" s="702" t="s">
        <v>239</v>
      </c>
      <c r="Q1519" s="712" t="s">
        <v>9036</v>
      </c>
      <c r="R1519" s="702" t="s">
        <v>766</v>
      </c>
      <c r="S1519" s="702" t="s">
        <v>276</v>
      </c>
      <c r="T1519" s="702" t="s">
        <v>276</v>
      </c>
      <c r="U1519" s="712" t="s">
        <v>2331</v>
      </c>
      <c r="V1519" s="701" t="s">
        <v>14</v>
      </c>
      <c r="W1519" s="701" t="s">
        <v>98</v>
      </c>
      <c r="X1519" s="702" t="s">
        <v>207</v>
      </c>
      <c r="Y1519" s="707">
        <v>400</v>
      </c>
      <c r="Z1519" s="702">
        <v>399</v>
      </c>
      <c r="AA1519" s="702" t="s">
        <v>276</v>
      </c>
      <c r="AB1519" s="702" t="s">
        <v>276</v>
      </c>
      <c r="AC1519" s="701">
        <v>0</v>
      </c>
      <c r="AD1519" s="701" t="s">
        <v>98</v>
      </c>
      <c r="AE1519" s="701">
        <v>0</v>
      </c>
      <c r="AF1519" s="701" t="s">
        <v>98</v>
      </c>
      <c r="AG1519" s="702" t="s">
        <v>9091</v>
      </c>
      <c r="AH1519" s="702" t="s">
        <v>9092</v>
      </c>
      <c r="AI1519" s="706">
        <v>2</v>
      </c>
      <c r="AJ1519" s="706">
        <v>4</v>
      </c>
      <c r="AK1519" s="706">
        <v>400</v>
      </c>
      <c r="AL1519" s="706">
        <v>399</v>
      </c>
      <c r="AM1519" s="706" t="s">
        <v>292</v>
      </c>
      <c r="AN1519" s="701" t="s">
        <v>276</v>
      </c>
      <c r="AO1519" s="709">
        <f t="shared" si="447"/>
        <v>0.5</v>
      </c>
      <c r="AP1519" s="701" t="s">
        <v>276</v>
      </c>
      <c r="AQ1519" s="701" t="s">
        <v>276</v>
      </c>
      <c r="AR1519" s="701" t="s">
        <v>276</v>
      </c>
      <c r="AS1519" s="709">
        <f t="shared" ref="AS1519:AS1534" si="449">AJ1519*100/AL1519</f>
        <v>1.0025062656641603</v>
      </c>
      <c r="AT1519" s="701" t="s">
        <v>276</v>
      </c>
      <c r="AU1519" s="701" t="s">
        <v>276</v>
      </c>
      <c r="AV1519" s="701" t="s">
        <v>268</v>
      </c>
      <c r="AW1519" s="713" t="s">
        <v>276</v>
      </c>
      <c r="AX1519" s="716">
        <f>AO1519/AS1519</f>
        <v>0.49875000000000003</v>
      </c>
      <c r="AY1519" s="713" t="s">
        <v>276</v>
      </c>
      <c r="AZ1519" s="713" t="s">
        <v>276</v>
      </c>
      <c r="BA1519" s="713" t="s">
        <v>276</v>
      </c>
      <c r="BB1519" s="713" t="s">
        <v>282</v>
      </c>
      <c r="BC1519" s="713" t="s">
        <v>98</v>
      </c>
      <c r="BD1519" s="713" t="s">
        <v>98</v>
      </c>
      <c r="BE1519" s="713" t="s">
        <v>98</v>
      </c>
      <c r="BF1519" s="702" t="s">
        <v>4694</v>
      </c>
      <c r="BG1519" s="702"/>
      <c r="BH1519" s="9" t="s">
        <v>100</v>
      </c>
      <c r="BI1519" s="9" t="s">
        <v>100</v>
      </c>
      <c r="BJ1519" s="714"/>
      <c r="BN1519" s="714"/>
      <c r="BO1519" s="714"/>
    </row>
    <row r="1520" spans="1:67" s="528" customFormat="1" ht="52" hidden="1" x14ac:dyDescent="0.35">
      <c r="A1520" s="545">
        <v>330</v>
      </c>
      <c r="B1520" s="545" t="s">
        <v>9034</v>
      </c>
      <c r="C1520" s="546" t="s">
        <v>51</v>
      </c>
      <c r="D1520" s="546" t="s">
        <v>9093</v>
      </c>
      <c r="E1520" s="545" t="s">
        <v>36</v>
      </c>
      <c r="F1520" s="546" t="s">
        <v>134</v>
      </c>
      <c r="G1520" s="545" t="s">
        <v>225</v>
      </c>
      <c r="H1520" s="545" t="s">
        <v>125</v>
      </c>
      <c r="I1520" s="545" t="s">
        <v>114</v>
      </c>
      <c r="J1520" s="546" t="s">
        <v>28</v>
      </c>
      <c r="K1520" s="545" t="s">
        <v>6737</v>
      </c>
      <c r="L1520" s="545" t="s">
        <v>276</v>
      </c>
      <c r="M1520" s="545" t="s">
        <v>276</v>
      </c>
      <c r="N1520" s="546" t="s">
        <v>9040</v>
      </c>
      <c r="O1520" s="546" t="s">
        <v>276</v>
      </c>
      <c r="P1520" s="546" t="s">
        <v>239</v>
      </c>
      <c r="Q1520" s="711" t="s">
        <v>9036</v>
      </c>
      <c r="R1520" s="546" t="s">
        <v>766</v>
      </c>
      <c r="S1520" s="546" t="s">
        <v>276</v>
      </c>
      <c r="T1520" s="546" t="s">
        <v>276</v>
      </c>
      <c r="U1520" s="711" t="s">
        <v>2331</v>
      </c>
      <c r="V1520" s="545" t="s">
        <v>14</v>
      </c>
      <c r="W1520" s="545" t="s">
        <v>98</v>
      </c>
      <c r="X1520" s="546" t="s">
        <v>207</v>
      </c>
      <c r="Y1520" s="550">
        <v>400</v>
      </c>
      <c r="Z1520" s="546">
        <v>399</v>
      </c>
      <c r="AA1520" s="546" t="s">
        <v>276</v>
      </c>
      <c r="AB1520" s="546" t="s">
        <v>276</v>
      </c>
      <c r="AC1520" s="545">
        <v>0</v>
      </c>
      <c r="AD1520" s="545" t="s">
        <v>9094</v>
      </c>
      <c r="AE1520" s="545">
        <v>0</v>
      </c>
      <c r="AF1520" s="545" t="s">
        <v>9094</v>
      </c>
      <c r="AG1520" s="546" t="s">
        <v>9095</v>
      </c>
      <c r="AH1520" s="546" t="s">
        <v>9092</v>
      </c>
      <c r="AI1520" s="551">
        <v>1</v>
      </c>
      <c r="AJ1520" s="551">
        <v>0</v>
      </c>
      <c r="AK1520" s="551">
        <v>400</v>
      </c>
      <c r="AL1520" s="551">
        <v>399</v>
      </c>
      <c r="AM1520" s="551" t="s">
        <v>292</v>
      </c>
      <c r="AN1520" s="545" t="s">
        <v>276</v>
      </c>
      <c r="AO1520" s="554">
        <f t="shared" si="447"/>
        <v>0.25</v>
      </c>
      <c r="AP1520" s="545" t="s">
        <v>276</v>
      </c>
      <c r="AQ1520" s="545" t="s">
        <v>276</v>
      </c>
      <c r="AR1520" s="545" t="s">
        <v>276</v>
      </c>
      <c r="AS1520" s="554">
        <f t="shared" si="449"/>
        <v>0</v>
      </c>
      <c r="AT1520" s="545" t="s">
        <v>276</v>
      </c>
      <c r="AU1520" s="545" t="s">
        <v>276</v>
      </c>
      <c r="AV1520" s="545" t="s">
        <v>268</v>
      </c>
      <c r="AW1520" s="617" t="s">
        <v>276</v>
      </c>
      <c r="AX1520" s="618" t="s">
        <v>98</v>
      </c>
      <c r="AY1520" s="617" t="s">
        <v>276</v>
      </c>
      <c r="AZ1520" s="617" t="s">
        <v>276</v>
      </c>
      <c r="BA1520" s="617" t="s">
        <v>276</v>
      </c>
      <c r="BB1520" s="617" t="s">
        <v>282</v>
      </c>
      <c r="BC1520" s="617" t="s">
        <v>98</v>
      </c>
      <c r="BD1520" s="617" t="s">
        <v>98</v>
      </c>
      <c r="BE1520" s="617" t="s">
        <v>98</v>
      </c>
      <c r="BF1520" s="546" t="s">
        <v>9096</v>
      </c>
      <c r="BG1520" s="546"/>
      <c r="BH1520" s="9" t="s">
        <v>100</v>
      </c>
      <c r="BI1520" s="9" t="s">
        <v>100</v>
      </c>
      <c r="BJ1520" s="527"/>
      <c r="BN1520" s="527"/>
      <c r="BO1520" s="527"/>
    </row>
    <row r="1521" spans="1:67" s="528" customFormat="1" ht="52" hidden="1" x14ac:dyDescent="0.35">
      <c r="A1521" s="545">
        <v>330</v>
      </c>
      <c r="B1521" s="545" t="s">
        <v>9034</v>
      </c>
      <c r="C1521" s="546" t="s">
        <v>51</v>
      </c>
      <c r="D1521" s="546" t="s">
        <v>9097</v>
      </c>
      <c r="E1521" s="545" t="s">
        <v>36</v>
      </c>
      <c r="F1521" s="546" t="s">
        <v>134</v>
      </c>
      <c r="G1521" s="545" t="s">
        <v>225</v>
      </c>
      <c r="H1521" s="545" t="s">
        <v>125</v>
      </c>
      <c r="I1521" s="545" t="s">
        <v>114</v>
      </c>
      <c r="J1521" s="546" t="s">
        <v>28</v>
      </c>
      <c r="K1521" s="545" t="s">
        <v>6740</v>
      </c>
      <c r="L1521" s="545" t="s">
        <v>276</v>
      </c>
      <c r="M1521" s="545" t="s">
        <v>276</v>
      </c>
      <c r="N1521" s="546" t="s">
        <v>9040</v>
      </c>
      <c r="O1521" s="546" t="s">
        <v>276</v>
      </c>
      <c r="P1521" s="546" t="s">
        <v>239</v>
      </c>
      <c r="Q1521" s="711" t="s">
        <v>9036</v>
      </c>
      <c r="R1521" s="546" t="s">
        <v>766</v>
      </c>
      <c r="S1521" s="546" t="s">
        <v>276</v>
      </c>
      <c r="T1521" s="546" t="s">
        <v>276</v>
      </c>
      <c r="U1521" s="711" t="s">
        <v>2331</v>
      </c>
      <c r="V1521" s="545" t="s">
        <v>14</v>
      </c>
      <c r="W1521" s="545" t="s">
        <v>98</v>
      </c>
      <c r="X1521" s="546" t="s">
        <v>207</v>
      </c>
      <c r="Y1521" s="550">
        <v>400</v>
      </c>
      <c r="Z1521" s="546">
        <v>399</v>
      </c>
      <c r="AA1521" s="546" t="s">
        <v>276</v>
      </c>
      <c r="AB1521" s="546" t="s">
        <v>276</v>
      </c>
      <c r="AC1521" s="545">
        <v>0</v>
      </c>
      <c r="AD1521" s="545" t="s">
        <v>9094</v>
      </c>
      <c r="AE1521" s="545">
        <v>0</v>
      </c>
      <c r="AF1521" s="545" t="s">
        <v>9094</v>
      </c>
      <c r="AG1521" s="546" t="s">
        <v>9098</v>
      </c>
      <c r="AH1521" s="546" t="s">
        <v>9092</v>
      </c>
      <c r="AI1521" s="551">
        <v>0</v>
      </c>
      <c r="AJ1521" s="551">
        <v>2</v>
      </c>
      <c r="AK1521" s="551">
        <v>400</v>
      </c>
      <c r="AL1521" s="551">
        <v>399</v>
      </c>
      <c r="AM1521" s="551" t="s">
        <v>292</v>
      </c>
      <c r="AN1521" s="545" t="s">
        <v>276</v>
      </c>
      <c r="AO1521" s="554">
        <f t="shared" si="447"/>
        <v>0</v>
      </c>
      <c r="AP1521" s="545" t="s">
        <v>276</v>
      </c>
      <c r="AQ1521" s="545" t="s">
        <v>276</v>
      </c>
      <c r="AR1521" s="545" t="s">
        <v>276</v>
      </c>
      <c r="AS1521" s="554">
        <f t="shared" si="449"/>
        <v>0.50125313283208017</v>
      </c>
      <c r="AT1521" s="545" t="s">
        <v>276</v>
      </c>
      <c r="AU1521" s="545" t="s">
        <v>276</v>
      </c>
      <c r="AV1521" s="545" t="s">
        <v>268</v>
      </c>
      <c r="AW1521" s="617" t="s">
        <v>276</v>
      </c>
      <c r="AX1521" s="618" t="s">
        <v>98</v>
      </c>
      <c r="AY1521" s="617" t="s">
        <v>276</v>
      </c>
      <c r="AZ1521" s="617" t="s">
        <v>276</v>
      </c>
      <c r="BA1521" s="617" t="s">
        <v>276</v>
      </c>
      <c r="BB1521" s="617" t="s">
        <v>282</v>
      </c>
      <c r="BC1521" s="617" t="s">
        <v>98</v>
      </c>
      <c r="BD1521" s="617" t="s">
        <v>98</v>
      </c>
      <c r="BE1521" s="617" t="s">
        <v>98</v>
      </c>
      <c r="BF1521" s="546" t="s">
        <v>9096</v>
      </c>
      <c r="BG1521" s="546"/>
      <c r="BH1521" s="9" t="s">
        <v>100</v>
      </c>
      <c r="BI1521" s="9" t="s">
        <v>100</v>
      </c>
      <c r="BJ1521" s="527"/>
      <c r="BN1521" s="527"/>
      <c r="BO1521" s="527"/>
    </row>
    <row r="1522" spans="1:67" s="528" customFormat="1" ht="52" hidden="1" x14ac:dyDescent="0.35">
      <c r="A1522" s="545">
        <v>330</v>
      </c>
      <c r="B1522" s="545" t="s">
        <v>9034</v>
      </c>
      <c r="C1522" s="546" t="s">
        <v>51</v>
      </c>
      <c r="D1522" s="546" t="s">
        <v>11615</v>
      </c>
      <c r="E1522" s="545" t="s">
        <v>36</v>
      </c>
      <c r="F1522" s="546" t="s">
        <v>134</v>
      </c>
      <c r="G1522" s="545" t="s">
        <v>225</v>
      </c>
      <c r="H1522" s="545" t="s">
        <v>125</v>
      </c>
      <c r="I1522" s="545" t="s">
        <v>114</v>
      </c>
      <c r="J1522" s="546" t="s">
        <v>28</v>
      </c>
      <c r="K1522" s="545" t="s">
        <v>9119</v>
      </c>
      <c r="L1522" s="545" t="s">
        <v>276</v>
      </c>
      <c r="M1522" s="545" t="s">
        <v>276</v>
      </c>
      <c r="N1522" s="546" t="s">
        <v>9040</v>
      </c>
      <c r="O1522" s="546" t="s">
        <v>276</v>
      </c>
      <c r="P1522" s="546" t="s">
        <v>239</v>
      </c>
      <c r="Q1522" s="711" t="s">
        <v>9036</v>
      </c>
      <c r="R1522" s="546" t="s">
        <v>766</v>
      </c>
      <c r="S1522" s="546" t="s">
        <v>276</v>
      </c>
      <c r="T1522" s="546" t="s">
        <v>276</v>
      </c>
      <c r="U1522" s="711" t="s">
        <v>2331</v>
      </c>
      <c r="V1522" s="545" t="s">
        <v>14</v>
      </c>
      <c r="W1522" s="545" t="s">
        <v>98</v>
      </c>
      <c r="X1522" s="546" t="s">
        <v>207</v>
      </c>
      <c r="Y1522" s="550">
        <v>400</v>
      </c>
      <c r="Z1522" s="546">
        <v>399</v>
      </c>
      <c r="AA1522" s="546" t="s">
        <v>276</v>
      </c>
      <c r="AB1522" s="546" t="s">
        <v>276</v>
      </c>
      <c r="AC1522" s="545">
        <v>0</v>
      </c>
      <c r="AD1522" s="545" t="s">
        <v>9094</v>
      </c>
      <c r="AE1522" s="545">
        <v>0</v>
      </c>
      <c r="AF1522" s="545" t="s">
        <v>9094</v>
      </c>
      <c r="AG1522" s="546" t="s">
        <v>11616</v>
      </c>
      <c r="AH1522" s="546" t="s">
        <v>9092</v>
      </c>
      <c r="AI1522" s="551">
        <f>1+0</f>
        <v>1</v>
      </c>
      <c r="AJ1522" s="551">
        <f>0+2</f>
        <v>2</v>
      </c>
      <c r="AK1522" s="551">
        <v>400</v>
      </c>
      <c r="AL1522" s="551">
        <v>399</v>
      </c>
      <c r="AM1522" s="551" t="s">
        <v>292</v>
      </c>
      <c r="AN1522" s="545" t="s">
        <v>276</v>
      </c>
      <c r="AO1522" s="554">
        <f t="shared" ref="AO1522" si="450">AI1522*100/AK1522</f>
        <v>0.25</v>
      </c>
      <c r="AP1522" s="545" t="s">
        <v>276</v>
      </c>
      <c r="AQ1522" s="545" t="s">
        <v>276</v>
      </c>
      <c r="AR1522" s="545" t="s">
        <v>276</v>
      </c>
      <c r="AS1522" s="554">
        <f t="shared" ref="AS1522" si="451">AJ1522*100/AL1522</f>
        <v>0.50125313283208017</v>
      </c>
      <c r="AT1522" s="545" t="s">
        <v>276</v>
      </c>
      <c r="AU1522" s="545" t="s">
        <v>276</v>
      </c>
      <c r="AV1522" s="545" t="s">
        <v>268</v>
      </c>
      <c r="AW1522" s="617" t="s">
        <v>276</v>
      </c>
      <c r="AX1522" s="618">
        <f>AO1522/AS1522</f>
        <v>0.49875000000000003</v>
      </c>
      <c r="AY1522" s="617" t="s">
        <v>276</v>
      </c>
      <c r="AZ1522" s="617" t="s">
        <v>276</v>
      </c>
      <c r="BA1522" s="617" t="s">
        <v>276</v>
      </c>
      <c r="BB1522" s="617" t="s">
        <v>282</v>
      </c>
      <c r="BC1522" s="617" t="s">
        <v>98</v>
      </c>
      <c r="BD1522" s="617" t="s">
        <v>98</v>
      </c>
      <c r="BE1522" s="617" t="s">
        <v>98</v>
      </c>
      <c r="BF1522" s="546" t="s">
        <v>9096</v>
      </c>
      <c r="BG1522" s="546"/>
      <c r="BH1522" s="9" t="s">
        <v>100</v>
      </c>
      <c r="BI1522" s="9" t="s">
        <v>100</v>
      </c>
      <c r="BJ1522" s="527"/>
      <c r="BN1522" s="527"/>
      <c r="BO1522" s="527"/>
    </row>
    <row r="1523" spans="1:67" s="528" customFormat="1" ht="52" hidden="1" x14ac:dyDescent="0.35">
      <c r="A1523" s="545">
        <v>330</v>
      </c>
      <c r="B1523" s="545" t="s">
        <v>9034</v>
      </c>
      <c r="C1523" s="546" t="s">
        <v>51</v>
      </c>
      <c r="D1523" s="546" t="s">
        <v>9099</v>
      </c>
      <c r="E1523" s="545" t="s">
        <v>36</v>
      </c>
      <c r="F1523" s="546" t="s">
        <v>134</v>
      </c>
      <c r="G1523" s="545" t="s">
        <v>225</v>
      </c>
      <c r="H1523" s="545" t="s">
        <v>125</v>
      </c>
      <c r="I1523" s="545" t="s">
        <v>114</v>
      </c>
      <c r="J1523" s="546" t="s">
        <v>28</v>
      </c>
      <c r="K1523" s="545" t="s">
        <v>6742</v>
      </c>
      <c r="L1523" s="545" t="s">
        <v>276</v>
      </c>
      <c r="M1523" s="545" t="s">
        <v>276</v>
      </c>
      <c r="N1523" s="546" t="s">
        <v>9040</v>
      </c>
      <c r="O1523" s="546" t="s">
        <v>276</v>
      </c>
      <c r="P1523" s="546" t="s">
        <v>239</v>
      </c>
      <c r="Q1523" s="711" t="s">
        <v>9036</v>
      </c>
      <c r="R1523" s="546" t="s">
        <v>766</v>
      </c>
      <c r="S1523" s="546" t="s">
        <v>276</v>
      </c>
      <c r="T1523" s="546" t="s">
        <v>276</v>
      </c>
      <c r="U1523" s="711" t="s">
        <v>2331</v>
      </c>
      <c r="V1523" s="545" t="s">
        <v>14</v>
      </c>
      <c r="W1523" s="545" t="s">
        <v>98</v>
      </c>
      <c r="X1523" s="546" t="s">
        <v>207</v>
      </c>
      <c r="Y1523" s="550">
        <v>400</v>
      </c>
      <c r="Z1523" s="546">
        <v>399</v>
      </c>
      <c r="AA1523" s="546" t="s">
        <v>276</v>
      </c>
      <c r="AB1523" s="546" t="s">
        <v>276</v>
      </c>
      <c r="AC1523" s="545">
        <v>0</v>
      </c>
      <c r="AD1523" s="545" t="s">
        <v>9094</v>
      </c>
      <c r="AE1523" s="545">
        <v>0</v>
      </c>
      <c r="AF1523" s="545" t="s">
        <v>9094</v>
      </c>
      <c r="AG1523" s="546" t="s">
        <v>9100</v>
      </c>
      <c r="AH1523" s="546" t="s">
        <v>9092</v>
      </c>
      <c r="AI1523" s="551">
        <v>1</v>
      </c>
      <c r="AJ1523" s="551">
        <v>2</v>
      </c>
      <c r="AK1523" s="551">
        <v>400</v>
      </c>
      <c r="AL1523" s="551">
        <v>399</v>
      </c>
      <c r="AM1523" s="551" t="s">
        <v>292</v>
      </c>
      <c r="AN1523" s="545" t="s">
        <v>276</v>
      </c>
      <c r="AO1523" s="554">
        <f t="shared" si="447"/>
        <v>0.25</v>
      </c>
      <c r="AP1523" s="545" t="s">
        <v>276</v>
      </c>
      <c r="AQ1523" s="545" t="s">
        <v>276</v>
      </c>
      <c r="AR1523" s="545" t="s">
        <v>276</v>
      </c>
      <c r="AS1523" s="554">
        <f t="shared" si="449"/>
        <v>0.50125313283208017</v>
      </c>
      <c r="AT1523" s="545" t="s">
        <v>276</v>
      </c>
      <c r="AU1523" s="545" t="s">
        <v>276</v>
      </c>
      <c r="AV1523" s="545" t="s">
        <v>268</v>
      </c>
      <c r="AW1523" s="617" t="s">
        <v>276</v>
      </c>
      <c r="AX1523" s="618">
        <f>AO1523/AS1523</f>
        <v>0.49875000000000003</v>
      </c>
      <c r="AY1523" s="617" t="s">
        <v>276</v>
      </c>
      <c r="AZ1523" s="617" t="s">
        <v>276</v>
      </c>
      <c r="BA1523" s="617" t="s">
        <v>276</v>
      </c>
      <c r="BB1523" s="617" t="s">
        <v>282</v>
      </c>
      <c r="BC1523" s="617" t="s">
        <v>98</v>
      </c>
      <c r="BD1523" s="617" t="s">
        <v>98</v>
      </c>
      <c r="BE1523" s="617" t="s">
        <v>98</v>
      </c>
      <c r="BF1523" s="546" t="s">
        <v>9096</v>
      </c>
      <c r="BG1523" s="546"/>
      <c r="BH1523" s="9" t="s">
        <v>100</v>
      </c>
      <c r="BI1523" s="9" t="s">
        <v>100</v>
      </c>
      <c r="BJ1523" s="527"/>
      <c r="BN1523" s="527"/>
      <c r="BO1523" s="527"/>
    </row>
    <row r="1524" spans="1:67" s="532" customFormat="1" ht="52" hidden="1" x14ac:dyDescent="0.35">
      <c r="A1524" s="577">
        <v>311</v>
      </c>
      <c r="B1524" s="578" t="s">
        <v>9044</v>
      </c>
      <c r="C1524" s="578" t="s">
        <v>51</v>
      </c>
      <c r="D1524" s="578" t="s">
        <v>9101</v>
      </c>
      <c r="E1524" s="577" t="s">
        <v>36</v>
      </c>
      <c r="F1524" s="578" t="s">
        <v>134</v>
      </c>
      <c r="G1524" s="577" t="s">
        <v>225</v>
      </c>
      <c r="H1524" s="577" t="s">
        <v>125</v>
      </c>
      <c r="I1524" s="577" t="s">
        <v>113</v>
      </c>
      <c r="J1524" s="578" t="s">
        <v>32</v>
      </c>
      <c r="K1524" s="577" t="s">
        <v>3527</v>
      </c>
      <c r="L1524" s="577" t="s">
        <v>276</v>
      </c>
      <c r="M1524" s="577" t="s">
        <v>276</v>
      </c>
      <c r="N1524" s="578" t="s">
        <v>9102</v>
      </c>
      <c r="O1524" s="578" t="s">
        <v>276</v>
      </c>
      <c r="P1524" s="578" t="s">
        <v>239</v>
      </c>
      <c r="Q1524" s="717" t="s">
        <v>9052</v>
      </c>
      <c r="R1524" s="578" t="s">
        <v>779</v>
      </c>
      <c r="S1524" s="578" t="s">
        <v>276</v>
      </c>
      <c r="T1524" s="578" t="s">
        <v>276</v>
      </c>
      <c r="U1524" s="717" t="s">
        <v>5401</v>
      </c>
      <c r="V1524" s="577" t="s">
        <v>14</v>
      </c>
      <c r="W1524" s="577" t="s">
        <v>98</v>
      </c>
      <c r="X1524" s="578" t="s">
        <v>207</v>
      </c>
      <c r="Y1524" s="582">
        <v>400</v>
      </c>
      <c r="Z1524" s="578">
        <v>399</v>
      </c>
      <c r="AA1524" s="578" t="s">
        <v>276</v>
      </c>
      <c r="AB1524" s="578" t="s">
        <v>276</v>
      </c>
      <c r="AC1524" s="577">
        <v>0</v>
      </c>
      <c r="AD1524" s="577" t="s">
        <v>98</v>
      </c>
      <c r="AE1524" s="577">
        <v>0</v>
      </c>
      <c r="AF1524" s="577" t="s">
        <v>98</v>
      </c>
      <c r="AG1524" s="578" t="s">
        <v>9103</v>
      </c>
      <c r="AH1524" s="578" t="s">
        <v>9092</v>
      </c>
      <c r="AI1524" s="583">
        <v>2</v>
      </c>
      <c r="AJ1524" s="583">
        <v>10</v>
      </c>
      <c r="AK1524" s="583">
        <v>400</v>
      </c>
      <c r="AL1524" s="583">
        <v>399</v>
      </c>
      <c r="AM1524" s="583" t="s">
        <v>292</v>
      </c>
      <c r="AN1524" s="577" t="s">
        <v>276</v>
      </c>
      <c r="AO1524" s="586">
        <f t="shared" si="447"/>
        <v>0.5</v>
      </c>
      <c r="AP1524" s="577" t="s">
        <v>276</v>
      </c>
      <c r="AQ1524" s="577" t="s">
        <v>276</v>
      </c>
      <c r="AR1524" s="577" t="s">
        <v>276</v>
      </c>
      <c r="AS1524" s="586">
        <f t="shared" si="449"/>
        <v>2.5062656641604009</v>
      </c>
      <c r="AT1524" s="577" t="s">
        <v>276</v>
      </c>
      <c r="AU1524" s="577" t="s">
        <v>276</v>
      </c>
      <c r="AV1524" s="577" t="s">
        <v>268</v>
      </c>
      <c r="AW1524" s="718">
        <v>0.2</v>
      </c>
      <c r="AX1524" s="632">
        <f>AO1524/AS1524</f>
        <v>0.19950000000000001</v>
      </c>
      <c r="AY1524" s="631">
        <v>0.03</v>
      </c>
      <c r="AZ1524" s="631">
        <v>0.95</v>
      </c>
      <c r="BA1524" s="631">
        <v>0.02</v>
      </c>
      <c r="BB1524" s="631" t="s">
        <v>282</v>
      </c>
      <c r="BC1524" s="631" t="s">
        <v>98</v>
      </c>
      <c r="BD1524" s="631" t="s">
        <v>98</v>
      </c>
      <c r="BE1524" s="631" t="s">
        <v>98</v>
      </c>
      <c r="BF1524" s="578" t="s">
        <v>9104</v>
      </c>
      <c r="BG1524" s="578" t="s">
        <v>9105</v>
      </c>
      <c r="BH1524" s="9" t="s">
        <v>100</v>
      </c>
      <c r="BI1524" s="9" t="s">
        <v>100</v>
      </c>
      <c r="BJ1524" s="531"/>
      <c r="BN1524" s="531"/>
      <c r="BO1524" s="531"/>
    </row>
    <row r="1525" spans="1:67" s="534" customFormat="1" ht="52" hidden="1" x14ac:dyDescent="0.35">
      <c r="A1525" s="567">
        <v>311</v>
      </c>
      <c r="B1525" s="568" t="s">
        <v>9044</v>
      </c>
      <c r="C1525" s="568" t="s">
        <v>51</v>
      </c>
      <c r="D1525" s="568" t="s">
        <v>9106</v>
      </c>
      <c r="E1525" s="567" t="s">
        <v>36</v>
      </c>
      <c r="F1525" s="568" t="s">
        <v>134</v>
      </c>
      <c r="G1525" s="567" t="s">
        <v>225</v>
      </c>
      <c r="H1525" s="567" t="s">
        <v>125</v>
      </c>
      <c r="I1525" s="567" t="s">
        <v>113</v>
      </c>
      <c r="J1525" s="568" t="s">
        <v>28</v>
      </c>
      <c r="K1525" s="567" t="s">
        <v>6737</v>
      </c>
      <c r="L1525" s="567" t="s">
        <v>276</v>
      </c>
      <c r="M1525" s="567" t="s">
        <v>276</v>
      </c>
      <c r="N1525" s="568" t="s">
        <v>9102</v>
      </c>
      <c r="O1525" s="568" t="s">
        <v>276</v>
      </c>
      <c r="P1525" s="568" t="s">
        <v>239</v>
      </c>
      <c r="Q1525" s="719" t="s">
        <v>9052</v>
      </c>
      <c r="R1525" s="568" t="s">
        <v>779</v>
      </c>
      <c r="S1525" s="568" t="s">
        <v>276</v>
      </c>
      <c r="T1525" s="568" t="s">
        <v>276</v>
      </c>
      <c r="U1525" s="719" t="s">
        <v>5401</v>
      </c>
      <c r="V1525" s="567" t="s">
        <v>14</v>
      </c>
      <c r="W1525" s="567" t="s">
        <v>98</v>
      </c>
      <c r="X1525" s="568" t="s">
        <v>207</v>
      </c>
      <c r="Y1525" s="572">
        <v>400</v>
      </c>
      <c r="Z1525" s="568">
        <v>399</v>
      </c>
      <c r="AA1525" s="568" t="s">
        <v>276</v>
      </c>
      <c r="AB1525" s="568" t="s">
        <v>276</v>
      </c>
      <c r="AC1525" s="567">
        <v>0</v>
      </c>
      <c r="AD1525" s="567" t="s">
        <v>9094</v>
      </c>
      <c r="AE1525" s="567">
        <v>0</v>
      </c>
      <c r="AF1525" s="567" t="s">
        <v>9094</v>
      </c>
      <c r="AG1525" s="568" t="s">
        <v>9107</v>
      </c>
      <c r="AH1525" s="568" t="s">
        <v>9092</v>
      </c>
      <c r="AI1525" s="573">
        <v>1</v>
      </c>
      <c r="AJ1525" s="573">
        <v>0</v>
      </c>
      <c r="AK1525" s="573">
        <v>400</v>
      </c>
      <c r="AL1525" s="573">
        <v>399</v>
      </c>
      <c r="AM1525" s="573" t="s">
        <v>292</v>
      </c>
      <c r="AN1525" s="567" t="s">
        <v>276</v>
      </c>
      <c r="AO1525" s="576">
        <f t="shared" si="447"/>
        <v>0.25</v>
      </c>
      <c r="AP1525" s="567" t="s">
        <v>276</v>
      </c>
      <c r="AQ1525" s="567" t="s">
        <v>276</v>
      </c>
      <c r="AR1525" s="567" t="s">
        <v>276</v>
      </c>
      <c r="AS1525" s="576">
        <f t="shared" si="449"/>
        <v>0</v>
      </c>
      <c r="AT1525" s="567" t="s">
        <v>276</v>
      </c>
      <c r="AU1525" s="567" t="s">
        <v>276</v>
      </c>
      <c r="AV1525" s="567" t="s">
        <v>268</v>
      </c>
      <c r="AW1525" s="635" t="s">
        <v>276</v>
      </c>
      <c r="AX1525" s="636" t="s">
        <v>98</v>
      </c>
      <c r="AY1525" s="635" t="s">
        <v>276</v>
      </c>
      <c r="AZ1525" s="635" t="s">
        <v>276</v>
      </c>
      <c r="BA1525" s="635" t="s">
        <v>276</v>
      </c>
      <c r="BB1525" s="635" t="s">
        <v>282</v>
      </c>
      <c r="BC1525" s="635" t="s">
        <v>98</v>
      </c>
      <c r="BD1525" s="635" t="s">
        <v>98</v>
      </c>
      <c r="BE1525" s="635" t="s">
        <v>98</v>
      </c>
      <c r="BF1525" s="568" t="s">
        <v>763</v>
      </c>
      <c r="BG1525" s="568" t="s">
        <v>9105</v>
      </c>
      <c r="BH1525" s="9" t="s">
        <v>100</v>
      </c>
      <c r="BI1525" s="9" t="s">
        <v>100</v>
      </c>
      <c r="BJ1525" s="533"/>
      <c r="BN1525" s="533"/>
      <c r="BO1525" s="533"/>
    </row>
    <row r="1526" spans="1:67" s="534" customFormat="1" ht="52" hidden="1" x14ac:dyDescent="0.35">
      <c r="A1526" s="567">
        <v>311</v>
      </c>
      <c r="B1526" s="568" t="s">
        <v>9044</v>
      </c>
      <c r="C1526" s="568" t="s">
        <v>51</v>
      </c>
      <c r="D1526" s="568" t="s">
        <v>9108</v>
      </c>
      <c r="E1526" s="567" t="s">
        <v>36</v>
      </c>
      <c r="F1526" s="568" t="s">
        <v>134</v>
      </c>
      <c r="G1526" s="567" t="s">
        <v>225</v>
      </c>
      <c r="H1526" s="567" t="s">
        <v>125</v>
      </c>
      <c r="I1526" s="567" t="s">
        <v>113</v>
      </c>
      <c r="J1526" s="568" t="s">
        <v>28</v>
      </c>
      <c r="K1526" s="567" t="s">
        <v>6740</v>
      </c>
      <c r="L1526" s="567" t="s">
        <v>276</v>
      </c>
      <c r="M1526" s="567" t="s">
        <v>276</v>
      </c>
      <c r="N1526" s="568" t="s">
        <v>9102</v>
      </c>
      <c r="O1526" s="568" t="s">
        <v>276</v>
      </c>
      <c r="P1526" s="568" t="s">
        <v>239</v>
      </c>
      <c r="Q1526" s="719" t="s">
        <v>9052</v>
      </c>
      <c r="R1526" s="568" t="s">
        <v>779</v>
      </c>
      <c r="S1526" s="568" t="s">
        <v>276</v>
      </c>
      <c r="T1526" s="568" t="s">
        <v>276</v>
      </c>
      <c r="U1526" s="719" t="s">
        <v>5401</v>
      </c>
      <c r="V1526" s="567" t="s">
        <v>14</v>
      </c>
      <c r="W1526" s="567" t="s">
        <v>98</v>
      </c>
      <c r="X1526" s="568" t="s">
        <v>207</v>
      </c>
      <c r="Y1526" s="572">
        <v>400</v>
      </c>
      <c r="Z1526" s="568">
        <v>399</v>
      </c>
      <c r="AA1526" s="568" t="s">
        <v>276</v>
      </c>
      <c r="AB1526" s="568" t="s">
        <v>276</v>
      </c>
      <c r="AC1526" s="567">
        <v>0</v>
      </c>
      <c r="AD1526" s="567" t="s">
        <v>9094</v>
      </c>
      <c r="AE1526" s="567">
        <v>0</v>
      </c>
      <c r="AF1526" s="567" t="s">
        <v>9094</v>
      </c>
      <c r="AG1526" s="568" t="s">
        <v>9109</v>
      </c>
      <c r="AH1526" s="568" t="s">
        <v>9092</v>
      </c>
      <c r="AI1526" s="573">
        <v>0</v>
      </c>
      <c r="AJ1526" s="573">
        <v>5</v>
      </c>
      <c r="AK1526" s="573">
        <v>400</v>
      </c>
      <c r="AL1526" s="573">
        <v>399</v>
      </c>
      <c r="AM1526" s="573" t="s">
        <v>292</v>
      </c>
      <c r="AN1526" s="567" t="s">
        <v>276</v>
      </c>
      <c r="AO1526" s="576">
        <f t="shared" si="447"/>
        <v>0</v>
      </c>
      <c r="AP1526" s="567" t="s">
        <v>276</v>
      </c>
      <c r="AQ1526" s="567" t="s">
        <v>276</v>
      </c>
      <c r="AR1526" s="567" t="s">
        <v>276</v>
      </c>
      <c r="AS1526" s="576">
        <f t="shared" si="449"/>
        <v>1.2531328320802004</v>
      </c>
      <c r="AT1526" s="567" t="s">
        <v>276</v>
      </c>
      <c r="AU1526" s="567" t="s">
        <v>276</v>
      </c>
      <c r="AV1526" s="567" t="s">
        <v>268</v>
      </c>
      <c r="AW1526" s="635" t="s">
        <v>276</v>
      </c>
      <c r="AX1526" s="636" t="s">
        <v>98</v>
      </c>
      <c r="AY1526" s="635" t="s">
        <v>276</v>
      </c>
      <c r="AZ1526" s="635" t="s">
        <v>276</v>
      </c>
      <c r="BA1526" s="635" t="s">
        <v>276</v>
      </c>
      <c r="BB1526" s="635" t="s">
        <v>282</v>
      </c>
      <c r="BC1526" s="635" t="s">
        <v>98</v>
      </c>
      <c r="BD1526" s="635" t="s">
        <v>98</v>
      </c>
      <c r="BE1526" s="635" t="s">
        <v>98</v>
      </c>
      <c r="BF1526" s="568" t="s">
        <v>763</v>
      </c>
      <c r="BG1526" s="568" t="s">
        <v>9105</v>
      </c>
      <c r="BH1526" s="9" t="s">
        <v>100</v>
      </c>
      <c r="BI1526" s="9" t="s">
        <v>100</v>
      </c>
      <c r="BJ1526" s="533"/>
      <c r="BN1526" s="533"/>
      <c r="BO1526" s="533"/>
    </row>
    <row r="1527" spans="1:67" s="534" customFormat="1" ht="52" hidden="1" x14ac:dyDescent="0.35">
      <c r="A1527" s="567">
        <v>311</v>
      </c>
      <c r="B1527" s="568" t="s">
        <v>9044</v>
      </c>
      <c r="C1527" s="568" t="s">
        <v>51</v>
      </c>
      <c r="D1527" s="568" t="s">
        <v>9110</v>
      </c>
      <c r="E1527" s="567" t="s">
        <v>36</v>
      </c>
      <c r="F1527" s="568" t="s">
        <v>134</v>
      </c>
      <c r="G1527" s="567" t="s">
        <v>225</v>
      </c>
      <c r="H1527" s="567" t="s">
        <v>125</v>
      </c>
      <c r="I1527" s="567" t="s">
        <v>113</v>
      </c>
      <c r="J1527" s="568" t="s">
        <v>28</v>
      </c>
      <c r="K1527" s="567" t="s">
        <v>6742</v>
      </c>
      <c r="L1527" s="567" t="s">
        <v>276</v>
      </c>
      <c r="M1527" s="567" t="s">
        <v>276</v>
      </c>
      <c r="N1527" s="568" t="s">
        <v>9102</v>
      </c>
      <c r="O1527" s="568" t="s">
        <v>276</v>
      </c>
      <c r="P1527" s="568" t="s">
        <v>239</v>
      </c>
      <c r="Q1527" s="719" t="s">
        <v>9052</v>
      </c>
      <c r="R1527" s="568" t="s">
        <v>779</v>
      </c>
      <c r="S1527" s="568" t="s">
        <v>276</v>
      </c>
      <c r="T1527" s="568" t="s">
        <v>276</v>
      </c>
      <c r="U1527" s="719" t="s">
        <v>5401</v>
      </c>
      <c r="V1527" s="567" t="s">
        <v>14</v>
      </c>
      <c r="W1527" s="567" t="s">
        <v>98</v>
      </c>
      <c r="X1527" s="568" t="s">
        <v>207</v>
      </c>
      <c r="Y1527" s="572">
        <v>400</v>
      </c>
      <c r="Z1527" s="568">
        <v>399</v>
      </c>
      <c r="AA1527" s="568" t="s">
        <v>276</v>
      </c>
      <c r="AB1527" s="568" t="s">
        <v>276</v>
      </c>
      <c r="AC1527" s="567">
        <v>0</v>
      </c>
      <c r="AD1527" s="567" t="s">
        <v>9094</v>
      </c>
      <c r="AE1527" s="567">
        <v>0</v>
      </c>
      <c r="AF1527" s="567" t="s">
        <v>9094</v>
      </c>
      <c r="AG1527" s="568" t="s">
        <v>9111</v>
      </c>
      <c r="AH1527" s="568" t="s">
        <v>9092</v>
      </c>
      <c r="AI1527" s="573">
        <v>1</v>
      </c>
      <c r="AJ1527" s="573">
        <v>3</v>
      </c>
      <c r="AK1527" s="573">
        <v>400</v>
      </c>
      <c r="AL1527" s="573">
        <v>399</v>
      </c>
      <c r="AM1527" s="573" t="s">
        <v>292</v>
      </c>
      <c r="AN1527" s="567" t="s">
        <v>276</v>
      </c>
      <c r="AO1527" s="576">
        <f t="shared" si="447"/>
        <v>0.25</v>
      </c>
      <c r="AP1527" s="567" t="s">
        <v>276</v>
      </c>
      <c r="AQ1527" s="567" t="s">
        <v>276</v>
      </c>
      <c r="AR1527" s="567" t="s">
        <v>276</v>
      </c>
      <c r="AS1527" s="576">
        <f t="shared" si="449"/>
        <v>0.75187969924812026</v>
      </c>
      <c r="AT1527" s="567" t="s">
        <v>276</v>
      </c>
      <c r="AU1527" s="567" t="s">
        <v>276</v>
      </c>
      <c r="AV1527" s="567" t="s">
        <v>268</v>
      </c>
      <c r="AW1527" s="635" t="s">
        <v>276</v>
      </c>
      <c r="AX1527" s="636">
        <f t="shared" ref="AX1527" si="452">AO1527/AS1527</f>
        <v>0.33250000000000002</v>
      </c>
      <c r="AY1527" s="635" t="s">
        <v>276</v>
      </c>
      <c r="AZ1527" s="635" t="s">
        <v>276</v>
      </c>
      <c r="BA1527" s="635" t="s">
        <v>276</v>
      </c>
      <c r="BB1527" s="635" t="s">
        <v>282</v>
      </c>
      <c r="BC1527" s="635" t="s">
        <v>98</v>
      </c>
      <c r="BD1527" s="635" t="s">
        <v>98</v>
      </c>
      <c r="BE1527" s="635" t="s">
        <v>98</v>
      </c>
      <c r="BF1527" s="568" t="s">
        <v>763</v>
      </c>
      <c r="BG1527" s="568" t="s">
        <v>9105</v>
      </c>
      <c r="BH1527" s="9" t="s">
        <v>100</v>
      </c>
      <c r="BI1527" s="9" t="s">
        <v>100</v>
      </c>
      <c r="BJ1527" s="533"/>
      <c r="BN1527" s="533"/>
      <c r="BO1527" s="533"/>
    </row>
    <row r="1528" spans="1:67" s="534" customFormat="1" ht="52" hidden="1" x14ac:dyDescent="0.35">
      <c r="A1528" s="567">
        <v>311</v>
      </c>
      <c r="B1528" s="568" t="s">
        <v>9044</v>
      </c>
      <c r="C1528" s="568" t="s">
        <v>51</v>
      </c>
      <c r="D1528" s="568" t="s">
        <v>9112</v>
      </c>
      <c r="E1528" s="567" t="s">
        <v>36</v>
      </c>
      <c r="F1528" s="568" t="s">
        <v>134</v>
      </c>
      <c r="G1528" s="567" t="s">
        <v>225</v>
      </c>
      <c r="H1528" s="567" t="s">
        <v>125</v>
      </c>
      <c r="I1528" s="567" t="s">
        <v>113</v>
      </c>
      <c r="J1528" s="568" t="s">
        <v>28</v>
      </c>
      <c r="K1528" s="567" t="s">
        <v>7100</v>
      </c>
      <c r="L1528" s="567" t="s">
        <v>276</v>
      </c>
      <c r="M1528" s="567" t="s">
        <v>276</v>
      </c>
      <c r="N1528" s="568" t="s">
        <v>9102</v>
      </c>
      <c r="O1528" s="568" t="s">
        <v>276</v>
      </c>
      <c r="P1528" s="568" t="s">
        <v>239</v>
      </c>
      <c r="Q1528" s="719" t="s">
        <v>9052</v>
      </c>
      <c r="R1528" s="568" t="s">
        <v>779</v>
      </c>
      <c r="S1528" s="568" t="s">
        <v>276</v>
      </c>
      <c r="T1528" s="568" t="s">
        <v>276</v>
      </c>
      <c r="U1528" s="719" t="s">
        <v>5401</v>
      </c>
      <c r="V1528" s="567" t="s">
        <v>14</v>
      </c>
      <c r="W1528" s="567" t="s">
        <v>98</v>
      </c>
      <c r="X1528" s="568" t="s">
        <v>207</v>
      </c>
      <c r="Y1528" s="572">
        <v>400</v>
      </c>
      <c r="Z1528" s="568">
        <v>399</v>
      </c>
      <c r="AA1528" s="568" t="s">
        <v>276</v>
      </c>
      <c r="AB1528" s="568" t="s">
        <v>276</v>
      </c>
      <c r="AC1528" s="567">
        <v>0</v>
      </c>
      <c r="AD1528" s="567" t="s">
        <v>9094</v>
      </c>
      <c r="AE1528" s="567">
        <v>0</v>
      </c>
      <c r="AF1528" s="567" t="s">
        <v>9094</v>
      </c>
      <c r="AG1528" s="568" t="s">
        <v>9113</v>
      </c>
      <c r="AH1528" s="568" t="s">
        <v>9092</v>
      </c>
      <c r="AI1528" s="573">
        <v>0</v>
      </c>
      <c r="AJ1528" s="573">
        <v>2</v>
      </c>
      <c r="AK1528" s="573">
        <v>400</v>
      </c>
      <c r="AL1528" s="573">
        <v>399</v>
      </c>
      <c r="AM1528" s="573" t="s">
        <v>292</v>
      </c>
      <c r="AN1528" s="567" t="s">
        <v>276</v>
      </c>
      <c r="AO1528" s="576">
        <f t="shared" si="447"/>
        <v>0</v>
      </c>
      <c r="AP1528" s="567" t="s">
        <v>276</v>
      </c>
      <c r="AQ1528" s="567" t="s">
        <v>276</v>
      </c>
      <c r="AR1528" s="567" t="s">
        <v>276</v>
      </c>
      <c r="AS1528" s="576">
        <f t="shared" si="449"/>
        <v>0.50125313283208017</v>
      </c>
      <c r="AT1528" s="567" t="s">
        <v>276</v>
      </c>
      <c r="AU1528" s="567" t="s">
        <v>276</v>
      </c>
      <c r="AV1528" s="567" t="s">
        <v>268</v>
      </c>
      <c r="AW1528" s="635" t="s">
        <v>276</v>
      </c>
      <c r="AX1528" s="636" t="s">
        <v>98</v>
      </c>
      <c r="AY1528" s="635" t="s">
        <v>276</v>
      </c>
      <c r="AZ1528" s="635" t="s">
        <v>276</v>
      </c>
      <c r="BA1528" s="635" t="s">
        <v>276</v>
      </c>
      <c r="BB1528" s="635" t="s">
        <v>282</v>
      </c>
      <c r="BC1528" s="635" t="s">
        <v>98</v>
      </c>
      <c r="BD1528" s="635" t="s">
        <v>98</v>
      </c>
      <c r="BE1528" s="635" t="s">
        <v>98</v>
      </c>
      <c r="BF1528" s="568" t="s">
        <v>763</v>
      </c>
      <c r="BG1528" s="568" t="s">
        <v>9105</v>
      </c>
      <c r="BH1528" s="9" t="s">
        <v>100</v>
      </c>
      <c r="BI1528" s="9" t="s">
        <v>100</v>
      </c>
      <c r="BJ1528" s="533"/>
      <c r="BN1528" s="533"/>
      <c r="BO1528" s="533"/>
    </row>
    <row r="1529" spans="1:67" s="532" customFormat="1" ht="52" hidden="1" x14ac:dyDescent="0.35">
      <c r="A1529" s="577">
        <v>311</v>
      </c>
      <c r="B1529" s="578" t="s">
        <v>9044</v>
      </c>
      <c r="C1529" s="578" t="s">
        <v>51</v>
      </c>
      <c r="D1529" s="578" t="s">
        <v>9114</v>
      </c>
      <c r="E1529" s="577" t="s">
        <v>36</v>
      </c>
      <c r="F1529" s="578" t="s">
        <v>134</v>
      </c>
      <c r="G1529" s="577" t="s">
        <v>225</v>
      </c>
      <c r="H1529" s="577" t="s">
        <v>125</v>
      </c>
      <c r="I1529" s="577" t="s">
        <v>114</v>
      </c>
      <c r="J1529" s="578" t="s">
        <v>32</v>
      </c>
      <c r="K1529" s="577" t="s">
        <v>3527</v>
      </c>
      <c r="L1529" s="577" t="s">
        <v>276</v>
      </c>
      <c r="M1529" s="577" t="s">
        <v>276</v>
      </c>
      <c r="N1529" s="578" t="s">
        <v>9102</v>
      </c>
      <c r="O1529" s="578" t="s">
        <v>276</v>
      </c>
      <c r="P1529" s="578" t="s">
        <v>239</v>
      </c>
      <c r="Q1529" s="717" t="s">
        <v>9055</v>
      </c>
      <c r="R1529" s="578" t="s">
        <v>776</v>
      </c>
      <c r="S1529" s="578" t="s">
        <v>276</v>
      </c>
      <c r="T1529" s="578" t="s">
        <v>276</v>
      </c>
      <c r="U1529" s="717" t="s">
        <v>2331</v>
      </c>
      <c r="V1529" s="577" t="s">
        <v>14</v>
      </c>
      <c r="W1529" s="577" t="s">
        <v>98</v>
      </c>
      <c r="X1529" s="578" t="s">
        <v>207</v>
      </c>
      <c r="Y1529" s="582">
        <v>400</v>
      </c>
      <c r="Z1529" s="578">
        <v>399</v>
      </c>
      <c r="AA1529" s="578" t="s">
        <v>276</v>
      </c>
      <c r="AB1529" s="578" t="s">
        <v>276</v>
      </c>
      <c r="AC1529" s="577">
        <v>0</v>
      </c>
      <c r="AD1529" s="577" t="s">
        <v>98</v>
      </c>
      <c r="AE1529" s="577">
        <v>0</v>
      </c>
      <c r="AF1529" s="577" t="s">
        <v>98</v>
      </c>
      <c r="AG1529" s="578" t="s">
        <v>9115</v>
      </c>
      <c r="AH1529" s="578" t="s">
        <v>9092</v>
      </c>
      <c r="AI1529" s="583">
        <v>2</v>
      </c>
      <c r="AJ1529" s="583">
        <v>8</v>
      </c>
      <c r="AK1529" s="583">
        <v>400</v>
      </c>
      <c r="AL1529" s="583">
        <v>399</v>
      </c>
      <c r="AM1529" s="583" t="s">
        <v>292</v>
      </c>
      <c r="AN1529" s="577" t="s">
        <v>276</v>
      </c>
      <c r="AO1529" s="586">
        <f t="shared" si="447"/>
        <v>0.5</v>
      </c>
      <c r="AP1529" s="577" t="s">
        <v>276</v>
      </c>
      <c r="AQ1529" s="577" t="s">
        <v>276</v>
      </c>
      <c r="AR1529" s="577" t="s">
        <v>276</v>
      </c>
      <c r="AS1529" s="586">
        <f t="shared" si="449"/>
        <v>2.0050125313283207</v>
      </c>
      <c r="AT1529" s="577" t="s">
        <v>276</v>
      </c>
      <c r="AU1529" s="577" t="s">
        <v>276</v>
      </c>
      <c r="AV1529" s="577" t="s">
        <v>268</v>
      </c>
      <c r="AW1529" s="718" t="s">
        <v>276</v>
      </c>
      <c r="AX1529" s="632">
        <f t="shared" ref="AX1529:AX1534" si="453">AO1529/AS1529</f>
        <v>0.24937500000000001</v>
      </c>
      <c r="AY1529" s="631" t="s">
        <v>276</v>
      </c>
      <c r="AZ1529" s="631" t="s">
        <v>276</v>
      </c>
      <c r="BA1529" s="631" t="s">
        <v>276</v>
      </c>
      <c r="BB1529" s="631" t="s">
        <v>282</v>
      </c>
      <c r="BC1529" s="631" t="s">
        <v>98</v>
      </c>
      <c r="BD1529" s="631" t="s">
        <v>98</v>
      </c>
      <c r="BE1529" s="631" t="s">
        <v>98</v>
      </c>
      <c r="BF1529" s="578" t="s">
        <v>763</v>
      </c>
      <c r="BG1529" s="578"/>
      <c r="BH1529" s="9" t="s">
        <v>100</v>
      </c>
      <c r="BI1529" s="9" t="s">
        <v>100</v>
      </c>
      <c r="BJ1529" s="531"/>
      <c r="BN1529" s="531"/>
      <c r="BO1529" s="531"/>
    </row>
    <row r="1530" spans="1:67" s="532" customFormat="1" ht="52" hidden="1" x14ac:dyDescent="0.35">
      <c r="A1530" s="577">
        <v>311</v>
      </c>
      <c r="B1530" s="578" t="s">
        <v>9044</v>
      </c>
      <c r="C1530" s="578" t="s">
        <v>51</v>
      </c>
      <c r="D1530" s="578" t="s">
        <v>9116</v>
      </c>
      <c r="E1530" s="577" t="s">
        <v>36</v>
      </c>
      <c r="F1530" s="578" t="s">
        <v>134</v>
      </c>
      <c r="G1530" s="577" t="s">
        <v>225</v>
      </c>
      <c r="H1530" s="577" t="s">
        <v>125</v>
      </c>
      <c r="I1530" s="577" t="s">
        <v>114</v>
      </c>
      <c r="J1530" s="578" t="s">
        <v>32</v>
      </c>
      <c r="K1530" s="577" t="s">
        <v>3527</v>
      </c>
      <c r="L1530" s="577" t="s">
        <v>276</v>
      </c>
      <c r="M1530" s="577" t="s">
        <v>276</v>
      </c>
      <c r="N1530" s="578" t="s">
        <v>9102</v>
      </c>
      <c r="O1530" s="578" t="s">
        <v>276</v>
      </c>
      <c r="P1530" s="578" t="s">
        <v>239</v>
      </c>
      <c r="Q1530" s="717" t="s">
        <v>9058</v>
      </c>
      <c r="R1530" s="578" t="s">
        <v>773</v>
      </c>
      <c r="S1530" s="578" t="s">
        <v>276</v>
      </c>
      <c r="T1530" s="578" t="s">
        <v>276</v>
      </c>
      <c r="U1530" s="717" t="s">
        <v>2331</v>
      </c>
      <c r="V1530" s="577" t="s">
        <v>14</v>
      </c>
      <c r="W1530" s="577" t="s">
        <v>98</v>
      </c>
      <c r="X1530" s="578" t="s">
        <v>207</v>
      </c>
      <c r="Y1530" s="582">
        <v>400</v>
      </c>
      <c r="Z1530" s="578">
        <v>399</v>
      </c>
      <c r="AA1530" s="578" t="s">
        <v>276</v>
      </c>
      <c r="AB1530" s="578" t="s">
        <v>276</v>
      </c>
      <c r="AC1530" s="577">
        <v>0</v>
      </c>
      <c r="AD1530" s="577" t="s">
        <v>98</v>
      </c>
      <c r="AE1530" s="577">
        <v>0</v>
      </c>
      <c r="AF1530" s="577" t="s">
        <v>98</v>
      </c>
      <c r="AG1530" s="578" t="s">
        <v>9117</v>
      </c>
      <c r="AH1530" s="578" t="s">
        <v>9092</v>
      </c>
      <c r="AI1530" s="583">
        <v>2</v>
      </c>
      <c r="AJ1530" s="583">
        <v>6</v>
      </c>
      <c r="AK1530" s="583">
        <v>400</v>
      </c>
      <c r="AL1530" s="583">
        <v>399</v>
      </c>
      <c r="AM1530" s="583" t="s">
        <v>292</v>
      </c>
      <c r="AN1530" s="577" t="s">
        <v>276</v>
      </c>
      <c r="AO1530" s="586">
        <f t="shared" si="447"/>
        <v>0.5</v>
      </c>
      <c r="AP1530" s="577" t="s">
        <v>276</v>
      </c>
      <c r="AQ1530" s="577" t="s">
        <v>276</v>
      </c>
      <c r="AR1530" s="577" t="s">
        <v>276</v>
      </c>
      <c r="AS1530" s="586">
        <f t="shared" si="449"/>
        <v>1.5037593984962405</v>
      </c>
      <c r="AT1530" s="577" t="s">
        <v>276</v>
      </c>
      <c r="AU1530" s="577" t="s">
        <v>276</v>
      </c>
      <c r="AV1530" s="577" t="s">
        <v>268</v>
      </c>
      <c r="AW1530" s="718" t="s">
        <v>276</v>
      </c>
      <c r="AX1530" s="632">
        <f t="shared" si="453"/>
        <v>0.33250000000000002</v>
      </c>
      <c r="AY1530" s="631" t="s">
        <v>276</v>
      </c>
      <c r="AZ1530" s="631" t="s">
        <v>276</v>
      </c>
      <c r="BA1530" s="631" t="s">
        <v>276</v>
      </c>
      <c r="BB1530" s="631" t="s">
        <v>282</v>
      </c>
      <c r="BC1530" s="631" t="s">
        <v>98</v>
      </c>
      <c r="BD1530" s="631" t="s">
        <v>98</v>
      </c>
      <c r="BE1530" s="631" t="s">
        <v>98</v>
      </c>
      <c r="BF1530" s="578" t="s">
        <v>763</v>
      </c>
      <c r="BG1530" s="578"/>
      <c r="BH1530" s="9" t="s">
        <v>100</v>
      </c>
      <c r="BI1530" s="9" t="s">
        <v>100</v>
      </c>
      <c r="BJ1530" s="531"/>
      <c r="BN1530" s="531"/>
      <c r="BO1530" s="531"/>
    </row>
    <row r="1531" spans="1:67" s="534" customFormat="1" ht="52" hidden="1" x14ac:dyDescent="0.35">
      <c r="A1531" s="567">
        <v>311</v>
      </c>
      <c r="B1531" s="568" t="s">
        <v>9044</v>
      </c>
      <c r="C1531" s="568" t="s">
        <v>51</v>
      </c>
      <c r="D1531" s="568" t="s">
        <v>9118</v>
      </c>
      <c r="E1531" s="567" t="s">
        <v>36</v>
      </c>
      <c r="F1531" s="568" t="s">
        <v>134</v>
      </c>
      <c r="G1531" s="567" t="s">
        <v>225</v>
      </c>
      <c r="H1531" s="567" t="s">
        <v>125</v>
      </c>
      <c r="I1531" s="567" t="s">
        <v>114</v>
      </c>
      <c r="J1531" s="568" t="s">
        <v>28</v>
      </c>
      <c r="K1531" s="567" t="s">
        <v>9119</v>
      </c>
      <c r="L1531" s="567" t="s">
        <v>276</v>
      </c>
      <c r="M1531" s="567" t="s">
        <v>276</v>
      </c>
      <c r="N1531" s="568" t="s">
        <v>9102</v>
      </c>
      <c r="O1531" s="568" t="s">
        <v>276</v>
      </c>
      <c r="P1531" s="568" t="s">
        <v>239</v>
      </c>
      <c r="Q1531" s="719" t="s">
        <v>9055</v>
      </c>
      <c r="R1531" s="568" t="s">
        <v>776</v>
      </c>
      <c r="S1531" s="568" t="s">
        <v>276</v>
      </c>
      <c r="T1531" s="568" t="s">
        <v>276</v>
      </c>
      <c r="U1531" s="719" t="s">
        <v>2331</v>
      </c>
      <c r="V1531" s="567" t="s">
        <v>14</v>
      </c>
      <c r="W1531" s="567" t="s">
        <v>98</v>
      </c>
      <c r="X1531" s="568" t="s">
        <v>207</v>
      </c>
      <c r="Y1531" s="572">
        <v>400</v>
      </c>
      <c r="Z1531" s="568">
        <v>399</v>
      </c>
      <c r="AA1531" s="568" t="s">
        <v>276</v>
      </c>
      <c r="AB1531" s="568" t="s">
        <v>276</v>
      </c>
      <c r="AC1531" s="567">
        <v>0</v>
      </c>
      <c r="AD1531" s="567" t="s">
        <v>98</v>
      </c>
      <c r="AE1531" s="567">
        <v>0</v>
      </c>
      <c r="AF1531" s="567" t="s">
        <v>98</v>
      </c>
      <c r="AG1531" s="568" t="s">
        <v>9120</v>
      </c>
      <c r="AH1531" s="568" t="s">
        <v>9092</v>
      </c>
      <c r="AI1531" s="573">
        <v>1</v>
      </c>
      <c r="AJ1531" s="573">
        <v>4</v>
      </c>
      <c r="AK1531" s="573">
        <v>400</v>
      </c>
      <c r="AL1531" s="573">
        <v>399</v>
      </c>
      <c r="AM1531" s="573" t="s">
        <v>292</v>
      </c>
      <c r="AN1531" s="567" t="s">
        <v>276</v>
      </c>
      <c r="AO1531" s="576">
        <f t="shared" si="447"/>
        <v>0.25</v>
      </c>
      <c r="AP1531" s="567" t="s">
        <v>276</v>
      </c>
      <c r="AQ1531" s="567" t="s">
        <v>276</v>
      </c>
      <c r="AR1531" s="567" t="s">
        <v>276</v>
      </c>
      <c r="AS1531" s="576">
        <f t="shared" si="449"/>
        <v>1.0025062656641603</v>
      </c>
      <c r="AT1531" s="567" t="s">
        <v>276</v>
      </c>
      <c r="AU1531" s="567" t="s">
        <v>276</v>
      </c>
      <c r="AV1531" s="567" t="s">
        <v>268</v>
      </c>
      <c r="AW1531" s="720" t="s">
        <v>276</v>
      </c>
      <c r="AX1531" s="636">
        <f t="shared" si="453"/>
        <v>0.24937500000000001</v>
      </c>
      <c r="AY1531" s="635" t="s">
        <v>276</v>
      </c>
      <c r="AZ1531" s="635" t="s">
        <v>276</v>
      </c>
      <c r="BA1531" s="635" t="s">
        <v>276</v>
      </c>
      <c r="BB1531" s="635" t="s">
        <v>282</v>
      </c>
      <c r="BC1531" s="635" t="s">
        <v>98</v>
      </c>
      <c r="BD1531" s="635" t="s">
        <v>98</v>
      </c>
      <c r="BE1531" s="635" t="s">
        <v>98</v>
      </c>
      <c r="BF1531" s="568" t="s">
        <v>763</v>
      </c>
      <c r="BG1531" s="568"/>
      <c r="BH1531" s="9" t="s">
        <v>100</v>
      </c>
      <c r="BI1531" s="9" t="s">
        <v>100</v>
      </c>
      <c r="BJ1531" s="533"/>
      <c r="BN1531" s="533"/>
      <c r="BO1531" s="533"/>
    </row>
    <row r="1532" spans="1:67" s="534" customFormat="1" ht="52" hidden="1" x14ac:dyDescent="0.35">
      <c r="A1532" s="567">
        <v>311</v>
      </c>
      <c r="B1532" s="568" t="s">
        <v>9044</v>
      </c>
      <c r="C1532" s="568" t="s">
        <v>51</v>
      </c>
      <c r="D1532" s="568" t="s">
        <v>9121</v>
      </c>
      <c r="E1532" s="567" t="s">
        <v>36</v>
      </c>
      <c r="F1532" s="568" t="s">
        <v>134</v>
      </c>
      <c r="G1532" s="567" t="s">
        <v>225</v>
      </c>
      <c r="H1532" s="567" t="s">
        <v>125</v>
      </c>
      <c r="I1532" s="567" t="s">
        <v>114</v>
      </c>
      <c r="J1532" s="568" t="s">
        <v>28</v>
      </c>
      <c r="K1532" s="567" t="s">
        <v>8839</v>
      </c>
      <c r="L1532" s="567" t="s">
        <v>276</v>
      </c>
      <c r="M1532" s="567" t="s">
        <v>276</v>
      </c>
      <c r="N1532" s="568" t="s">
        <v>9102</v>
      </c>
      <c r="O1532" s="568" t="s">
        <v>276</v>
      </c>
      <c r="P1532" s="568" t="s">
        <v>239</v>
      </c>
      <c r="Q1532" s="719" t="s">
        <v>9055</v>
      </c>
      <c r="R1532" s="568" t="s">
        <v>776</v>
      </c>
      <c r="S1532" s="568" t="s">
        <v>276</v>
      </c>
      <c r="T1532" s="568" t="s">
        <v>276</v>
      </c>
      <c r="U1532" s="719" t="s">
        <v>2331</v>
      </c>
      <c r="V1532" s="567" t="s">
        <v>14</v>
      </c>
      <c r="W1532" s="567" t="s">
        <v>98</v>
      </c>
      <c r="X1532" s="568" t="s">
        <v>207</v>
      </c>
      <c r="Y1532" s="572">
        <v>400</v>
      </c>
      <c r="Z1532" s="568">
        <v>399</v>
      </c>
      <c r="AA1532" s="568" t="s">
        <v>276</v>
      </c>
      <c r="AB1532" s="568" t="s">
        <v>276</v>
      </c>
      <c r="AC1532" s="567">
        <v>0</v>
      </c>
      <c r="AD1532" s="567" t="s">
        <v>98</v>
      </c>
      <c r="AE1532" s="567">
        <v>0</v>
      </c>
      <c r="AF1532" s="567" t="s">
        <v>98</v>
      </c>
      <c r="AG1532" s="568" t="s">
        <v>9122</v>
      </c>
      <c r="AH1532" s="568" t="s">
        <v>9092</v>
      </c>
      <c r="AI1532" s="573">
        <v>1</v>
      </c>
      <c r="AJ1532" s="573">
        <v>4</v>
      </c>
      <c r="AK1532" s="573">
        <v>400</v>
      </c>
      <c r="AL1532" s="573">
        <v>399</v>
      </c>
      <c r="AM1532" s="573" t="s">
        <v>292</v>
      </c>
      <c r="AN1532" s="567" t="s">
        <v>276</v>
      </c>
      <c r="AO1532" s="576">
        <f t="shared" si="447"/>
        <v>0.25</v>
      </c>
      <c r="AP1532" s="567" t="s">
        <v>276</v>
      </c>
      <c r="AQ1532" s="567" t="s">
        <v>276</v>
      </c>
      <c r="AR1532" s="567" t="s">
        <v>276</v>
      </c>
      <c r="AS1532" s="576">
        <f t="shared" si="449"/>
        <v>1.0025062656641603</v>
      </c>
      <c r="AT1532" s="567" t="s">
        <v>276</v>
      </c>
      <c r="AU1532" s="567" t="s">
        <v>276</v>
      </c>
      <c r="AV1532" s="567" t="s">
        <v>268</v>
      </c>
      <c r="AW1532" s="720" t="s">
        <v>276</v>
      </c>
      <c r="AX1532" s="636">
        <f t="shared" si="453"/>
        <v>0.24937500000000001</v>
      </c>
      <c r="AY1532" s="635" t="s">
        <v>276</v>
      </c>
      <c r="AZ1532" s="635" t="s">
        <v>276</v>
      </c>
      <c r="BA1532" s="635" t="s">
        <v>276</v>
      </c>
      <c r="BB1532" s="635" t="s">
        <v>282</v>
      </c>
      <c r="BC1532" s="635" t="s">
        <v>98</v>
      </c>
      <c r="BD1532" s="635" t="s">
        <v>98</v>
      </c>
      <c r="BE1532" s="635" t="s">
        <v>98</v>
      </c>
      <c r="BF1532" s="568" t="s">
        <v>763</v>
      </c>
      <c r="BG1532" s="568"/>
      <c r="BH1532" s="9" t="s">
        <v>100</v>
      </c>
      <c r="BI1532" s="9" t="s">
        <v>100</v>
      </c>
      <c r="BJ1532" s="533"/>
      <c r="BN1532" s="533"/>
      <c r="BO1532" s="533"/>
    </row>
    <row r="1533" spans="1:67" s="532" customFormat="1" ht="52" hidden="1" x14ac:dyDescent="0.35">
      <c r="A1533" s="577">
        <v>311</v>
      </c>
      <c r="B1533" s="578" t="s">
        <v>9044</v>
      </c>
      <c r="C1533" s="578" t="s">
        <v>51</v>
      </c>
      <c r="D1533" s="578" t="s">
        <v>9123</v>
      </c>
      <c r="E1533" s="577" t="s">
        <v>36</v>
      </c>
      <c r="F1533" s="578" t="s">
        <v>134</v>
      </c>
      <c r="G1533" s="577" t="s">
        <v>225</v>
      </c>
      <c r="H1533" s="577" t="s">
        <v>125</v>
      </c>
      <c r="I1533" s="577" t="s">
        <v>114</v>
      </c>
      <c r="J1533" s="578" t="s">
        <v>28</v>
      </c>
      <c r="K1533" s="577" t="s">
        <v>9119</v>
      </c>
      <c r="L1533" s="577" t="s">
        <v>276</v>
      </c>
      <c r="M1533" s="577" t="s">
        <v>276</v>
      </c>
      <c r="N1533" s="578" t="s">
        <v>9102</v>
      </c>
      <c r="O1533" s="578" t="s">
        <v>276</v>
      </c>
      <c r="P1533" s="578" t="s">
        <v>239</v>
      </c>
      <c r="Q1533" s="717" t="s">
        <v>9058</v>
      </c>
      <c r="R1533" s="578" t="s">
        <v>773</v>
      </c>
      <c r="S1533" s="578" t="s">
        <v>276</v>
      </c>
      <c r="T1533" s="578" t="s">
        <v>276</v>
      </c>
      <c r="U1533" s="717" t="s">
        <v>2331</v>
      </c>
      <c r="V1533" s="577" t="s">
        <v>14</v>
      </c>
      <c r="W1533" s="577" t="s">
        <v>98</v>
      </c>
      <c r="X1533" s="578" t="s">
        <v>207</v>
      </c>
      <c r="Y1533" s="582">
        <v>400</v>
      </c>
      <c r="Z1533" s="578">
        <v>399</v>
      </c>
      <c r="AA1533" s="578" t="s">
        <v>276</v>
      </c>
      <c r="AB1533" s="578" t="s">
        <v>276</v>
      </c>
      <c r="AC1533" s="577">
        <v>0</v>
      </c>
      <c r="AD1533" s="577" t="s">
        <v>98</v>
      </c>
      <c r="AE1533" s="577">
        <v>0</v>
      </c>
      <c r="AF1533" s="577" t="s">
        <v>98</v>
      </c>
      <c r="AG1533" s="578" t="s">
        <v>9124</v>
      </c>
      <c r="AH1533" s="578" t="s">
        <v>9092</v>
      </c>
      <c r="AI1533" s="583">
        <v>1</v>
      </c>
      <c r="AJ1533" s="583">
        <v>3</v>
      </c>
      <c r="AK1533" s="583">
        <v>400</v>
      </c>
      <c r="AL1533" s="583">
        <v>399</v>
      </c>
      <c r="AM1533" s="583" t="s">
        <v>292</v>
      </c>
      <c r="AN1533" s="577" t="s">
        <v>276</v>
      </c>
      <c r="AO1533" s="586">
        <f t="shared" si="447"/>
        <v>0.25</v>
      </c>
      <c r="AP1533" s="577" t="s">
        <v>276</v>
      </c>
      <c r="AQ1533" s="577" t="s">
        <v>276</v>
      </c>
      <c r="AR1533" s="577" t="s">
        <v>276</v>
      </c>
      <c r="AS1533" s="586">
        <f t="shared" si="449"/>
        <v>0.75187969924812026</v>
      </c>
      <c r="AT1533" s="577" t="s">
        <v>276</v>
      </c>
      <c r="AU1533" s="577" t="s">
        <v>276</v>
      </c>
      <c r="AV1533" s="577" t="s">
        <v>268</v>
      </c>
      <c r="AW1533" s="718" t="s">
        <v>276</v>
      </c>
      <c r="AX1533" s="632">
        <f t="shared" si="453"/>
        <v>0.33250000000000002</v>
      </c>
      <c r="AY1533" s="631" t="s">
        <v>276</v>
      </c>
      <c r="AZ1533" s="631" t="s">
        <v>276</v>
      </c>
      <c r="BA1533" s="631" t="s">
        <v>276</v>
      </c>
      <c r="BB1533" s="631" t="s">
        <v>282</v>
      </c>
      <c r="BC1533" s="631" t="s">
        <v>98</v>
      </c>
      <c r="BD1533" s="631" t="s">
        <v>98</v>
      </c>
      <c r="BE1533" s="631" t="s">
        <v>98</v>
      </c>
      <c r="BF1533" s="578" t="s">
        <v>763</v>
      </c>
      <c r="BG1533" s="578"/>
      <c r="BH1533" s="9" t="s">
        <v>100</v>
      </c>
      <c r="BI1533" s="9" t="s">
        <v>100</v>
      </c>
      <c r="BJ1533" s="531"/>
      <c r="BN1533" s="531"/>
      <c r="BO1533" s="531"/>
    </row>
    <row r="1534" spans="1:67" s="532" customFormat="1" ht="52" hidden="1" x14ac:dyDescent="0.35">
      <c r="A1534" s="577">
        <v>311</v>
      </c>
      <c r="B1534" s="578" t="s">
        <v>9044</v>
      </c>
      <c r="C1534" s="578" t="s">
        <v>51</v>
      </c>
      <c r="D1534" s="578" t="s">
        <v>9125</v>
      </c>
      <c r="E1534" s="577" t="s">
        <v>36</v>
      </c>
      <c r="F1534" s="578" t="s">
        <v>134</v>
      </c>
      <c r="G1534" s="577" t="s">
        <v>225</v>
      </c>
      <c r="H1534" s="577" t="s">
        <v>125</v>
      </c>
      <c r="I1534" s="577" t="s">
        <v>114</v>
      </c>
      <c r="J1534" s="578" t="s">
        <v>28</v>
      </c>
      <c r="K1534" s="577" t="s">
        <v>8839</v>
      </c>
      <c r="L1534" s="577" t="s">
        <v>276</v>
      </c>
      <c r="M1534" s="577" t="s">
        <v>276</v>
      </c>
      <c r="N1534" s="578" t="s">
        <v>9102</v>
      </c>
      <c r="O1534" s="578" t="s">
        <v>276</v>
      </c>
      <c r="P1534" s="578" t="s">
        <v>239</v>
      </c>
      <c r="Q1534" s="717" t="s">
        <v>9058</v>
      </c>
      <c r="R1534" s="578" t="s">
        <v>773</v>
      </c>
      <c r="S1534" s="578" t="s">
        <v>276</v>
      </c>
      <c r="T1534" s="578" t="s">
        <v>276</v>
      </c>
      <c r="U1534" s="717" t="s">
        <v>2331</v>
      </c>
      <c r="V1534" s="577" t="s">
        <v>14</v>
      </c>
      <c r="W1534" s="577" t="s">
        <v>98</v>
      </c>
      <c r="X1534" s="578" t="s">
        <v>207</v>
      </c>
      <c r="Y1534" s="582">
        <v>400</v>
      </c>
      <c r="Z1534" s="578">
        <v>399</v>
      </c>
      <c r="AA1534" s="578" t="s">
        <v>276</v>
      </c>
      <c r="AB1534" s="578" t="s">
        <v>276</v>
      </c>
      <c r="AC1534" s="577">
        <v>0</v>
      </c>
      <c r="AD1534" s="577" t="s">
        <v>98</v>
      </c>
      <c r="AE1534" s="577">
        <v>0</v>
      </c>
      <c r="AF1534" s="577" t="s">
        <v>98</v>
      </c>
      <c r="AG1534" s="578" t="s">
        <v>9126</v>
      </c>
      <c r="AH1534" s="578" t="s">
        <v>9092</v>
      </c>
      <c r="AI1534" s="583">
        <v>1</v>
      </c>
      <c r="AJ1534" s="583">
        <v>3</v>
      </c>
      <c r="AK1534" s="583">
        <v>400</v>
      </c>
      <c r="AL1534" s="583">
        <v>399</v>
      </c>
      <c r="AM1534" s="583" t="s">
        <v>292</v>
      </c>
      <c r="AN1534" s="577" t="s">
        <v>276</v>
      </c>
      <c r="AO1534" s="586">
        <f t="shared" si="447"/>
        <v>0.25</v>
      </c>
      <c r="AP1534" s="577" t="s">
        <v>276</v>
      </c>
      <c r="AQ1534" s="577" t="s">
        <v>276</v>
      </c>
      <c r="AR1534" s="577" t="s">
        <v>276</v>
      </c>
      <c r="AS1534" s="586">
        <f t="shared" si="449"/>
        <v>0.75187969924812026</v>
      </c>
      <c r="AT1534" s="577" t="s">
        <v>276</v>
      </c>
      <c r="AU1534" s="577" t="s">
        <v>276</v>
      </c>
      <c r="AV1534" s="577" t="s">
        <v>268</v>
      </c>
      <c r="AW1534" s="718" t="s">
        <v>276</v>
      </c>
      <c r="AX1534" s="632">
        <f t="shared" si="453"/>
        <v>0.33250000000000002</v>
      </c>
      <c r="AY1534" s="631" t="s">
        <v>276</v>
      </c>
      <c r="AZ1534" s="631" t="s">
        <v>276</v>
      </c>
      <c r="BA1534" s="631" t="s">
        <v>276</v>
      </c>
      <c r="BB1534" s="631" t="s">
        <v>282</v>
      </c>
      <c r="BC1534" s="631" t="s">
        <v>98</v>
      </c>
      <c r="BD1534" s="631" t="s">
        <v>98</v>
      </c>
      <c r="BE1534" s="631" t="s">
        <v>98</v>
      </c>
      <c r="BF1534" s="578" t="s">
        <v>763</v>
      </c>
      <c r="BG1534" s="578"/>
      <c r="BH1534" s="9" t="s">
        <v>100</v>
      </c>
      <c r="BI1534" s="9" t="s">
        <v>100</v>
      </c>
      <c r="BJ1534" s="531"/>
      <c r="BN1534" s="531"/>
      <c r="BO1534" s="531"/>
    </row>
    <row r="1535" spans="1:67" s="538" customFormat="1" ht="65" hidden="1" x14ac:dyDescent="0.35">
      <c r="A1535" s="721">
        <v>329</v>
      </c>
      <c r="B1535" s="722" t="s">
        <v>9060</v>
      </c>
      <c r="C1535" s="722" t="s">
        <v>51</v>
      </c>
      <c r="D1535" s="722" t="s">
        <v>11355</v>
      </c>
      <c r="E1535" s="721" t="s">
        <v>36</v>
      </c>
      <c r="F1535" s="722" t="s">
        <v>134</v>
      </c>
      <c r="G1535" s="721" t="s">
        <v>225</v>
      </c>
      <c r="H1535" s="721" t="s">
        <v>225</v>
      </c>
      <c r="I1535" s="721" t="s">
        <v>98</v>
      </c>
      <c r="J1535" s="722" t="s">
        <v>98</v>
      </c>
      <c r="K1535" s="721" t="s">
        <v>98</v>
      </c>
      <c r="L1535" s="721" t="s">
        <v>98</v>
      </c>
      <c r="M1535" s="721" t="s">
        <v>98</v>
      </c>
      <c r="N1535" s="722" t="s">
        <v>9040</v>
      </c>
      <c r="O1535" s="722" t="s">
        <v>276</v>
      </c>
      <c r="P1535" s="722" t="s">
        <v>238</v>
      </c>
      <c r="Q1535" s="723" t="s">
        <v>276</v>
      </c>
      <c r="R1535" s="722" t="s">
        <v>276</v>
      </c>
      <c r="S1535" s="722" t="s">
        <v>276</v>
      </c>
      <c r="T1535" s="722" t="s">
        <v>98</v>
      </c>
      <c r="U1535" s="723" t="s">
        <v>2331</v>
      </c>
      <c r="V1535" s="721" t="s">
        <v>14</v>
      </c>
      <c r="W1535" s="721" t="s">
        <v>98</v>
      </c>
      <c r="X1535" s="722" t="s">
        <v>209</v>
      </c>
      <c r="Y1535" s="724">
        <v>400</v>
      </c>
      <c r="Z1535" s="722" t="s">
        <v>98</v>
      </c>
      <c r="AA1535" s="722" t="s">
        <v>276</v>
      </c>
      <c r="AB1535" s="722" t="s">
        <v>98</v>
      </c>
      <c r="AC1535" s="721" t="s">
        <v>98</v>
      </c>
      <c r="AD1535" s="721" t="s">
        <v>98</v>
      </c>
      <c r="AE1535" s="721" t="s">
        <v>98</v>
      </c>
      <c r="AF1535" s="721" t="s">
        <v>98</v>
      </c>
      <c r="AG1535" s="722" t="s">
        <v>9127</v>
      </c>
      <c r="AH1535" s="722" t="s">
        <v>6725</v>
      </c>
      <c r="AI1535" s="725">
        <v>112</v>
      </c>
      <c r="AJ1535" s="725" t="s">
        <v>98</v>
      </c>
      <c r="AK1535" s="725">
        <v>400</v>
      </c>
      <c r="AL1535" s="725" t="s">
        <v>98</v>
      </c>
      <c r="AM1535" s="725" t="s">
        <v>292</v>
      </c>
      <c r="AN1535" s="721" t="s">
        <v>276</v>
      </c>
      <c r="AO1535" s="726">
        <f t="shared" si="447"/>
        <v>28</v>
      </c>
      <c r="AP1535" s="721" t="s">
        <v>276</v>
      </c>
      <c r="AQ1535" s="721" t="s">
        <v>276</v>
      </c>
      <c r="AR1535" s="721" t="s">
        <v>98</v>
      </c>
      <c r="AS1535" s="727" t="s">
        <v>98</v>
      </c>
      <c r="AT1535" s="721" t="s">
        <v>98</v>
      </c>
      <c r="AU1535" s="721" t="s">
        <v>98</v>
      </c>
      <c r="AV1535" s="721" t="s">
        <v>98</v>
      </c>
      <c r="AW1535" s="728" t="s">
        <v>98</v>
      </c>
      <c r="AX1535" s="728" t="s">
        <v>98</v>
      </c>
      <c r="AY1535" s="728" t="s">
        <v>98</v>
      </c>
      <c r="AZ1535" s="728" t="s">
        <v>98</v>
      </c>
      <c r="BA1535" s="728" t="s">
        <v>98</v>
      </c>
      <c r="BB1535" s="728" t="s">
        <v>98</v>
      </c>
      <c r="BC1535" s="728" t="s">
        <v>98</v>
      </c>
      <c r="BD1535" s="728" t="s">
        <v>98</v>
      </c>
      <c r="BE1535" s="728" t="s">
        <v>98</v>
      </c>
      <c r="BF1535" s="722" t="s">
        <v>9128</v>
      </c>
      <c r="BG1535" s="722"/>
      <c r="BH1535" s="9" t="s">
        <v>100</v>
      </c>
      <c r="BI1535" s="9" t="s">
        <v>100</v>
      </c>
      <c r="BJ1535" s="537"/>
      <c r="BN1535" s="537"/>
      <c r="BO1535" s="537"/>
    </row>
    <row r="1536" spans="1:67" s="194" customFormat="1" ht="52" hidden="1" x14ac:dyDescent="0.35">
      <c r="A1536" s="601">
        <v>8568</v>
      </c>
      <c r="B1536" s="602" t="s">
        <v>9065</v>
      </c>
      <c r="C1536" s="602" t="s">
        <v>51</v>
      </c>
      <c r="D1536" s="602" t="s">
        <v>11356</v>
      </c>
      <c r="E1536" s="601" t="s">
        <v>36</v>
      </c>
      <c r="F1536" s="602" t="s">
        <v>134</v>
      </c>
      <c r="G1536" s="601" t="s">
        <v>225</v>
      </c>
      <c r="H1536" s="601" t="s">
        <v>225</v>
      </c>
      <c r="I1536" s="601" t="s">
        <v>98</v>
      </c>
      <c r="J1536" s="602" t="s">
        <v>98</v>
      </c>
      <c r="K1536" s="601" t="s">
        <v>98</v>
      </c>
      <c r="L1536" s="601" t="s">
        <v>98</v>
      </c>
      <c r="M1536" s="601" t="s">
        <v>98</v>
      </c>
      <c r="N1536" s="602" t="s">
        <v>9040</v>
      </c>
      <c r="O1536" s="602" t="s">
        <v>276</v>
      </c>
      <c r="P1536" s="602" t="s">
        <v>238</v>
      </c>
      <c r="Q1536" s="729" t="s">
        <v>276</v>
      </c>
      <c r="R1536" s="602" t="s">
        <v>276</v>
      </c>
      <c r="S1536" s="602" t="s">
        <v>276</v>
      </c>
      <c r="T1536" s="602" t="s">
        <v>98</v>
      </c>
      <c r="U1536" s="729" t="s">
        <v>1212</v>
      </c>
      <c r="V1536" s="601" t="s">
        <v>14</v>
      </c>
      <c r="W1536" s="601" t="s">
        <v>98</v>
      </c>
      <c r="X1536" s="602" t="s">
        <v>209</v>
      </c>
      <c r="Y1536" s="606">
        <v>400</v>
      </c>
      <c r="Z1536" s="602" t="s">
        <v>98</v>
      </c>
      <c r="AA1536" s="602" t="s">
        <v>276</v>
      </c>
      <c r="AB1536" s="602" t="s">
        <v>98</v>
      </c>
      <c r="AC1536" s="601" t="s">
        <v>98</v>
      </c>
      <c r="AD1536" s="601" t="s">
        <v>98</v>
      </c>
      <c r="AE1536" s="601" t="s">
        <v>98</v>
      </c>
      <c r="AF1536" s="601" t="s">
        <v>98</v>
      </c>
      <c r="AG1536" s="602" t="s">
        <v>9129</v>
      </c>
      <c r="AH1536" s="602" t="s">
        <v>6725</v>
      </c>
      <c r="AI1536" s="607">
        <v>56</v>
      </c>
      <c r="AJ1536" s="607" t="s">
        <v>98</v>
      </c>
      <c r="AK1536" s="607">
        <v>400</v>
      </c>
      <c r="AL1536" s="607" t="s">
        <v>98</v>
      </c>
      <c r="AM1536" s="607" t="s">
        <v>292</v>
      </c>
      <c r="AN1536" s="601" t="s">
        <v>276</v>
      </c>
      <c r="AO1536" s="611">
        <f t="shared" si="447"/>
        <v>14</v>
      </c>
      <c r="AP1536" s="601" t="s">
        <v>276</v>
      </c>
      <c r="AQ1536" s="601" t="s">
        <v>276</v>
      </c>
      <c r="AR1536" s="601" t="s">
        <v>98</v>
      </c>
      <c r="AS1536" s="610" t="s">
        <v>98</v>
      </c>
      <c r="AT1536" s="601" t="s">
        <v>98</v>
      </c>
      <c r="AU1536" s="601" t="s">
        <v>98</v>
      </c>
      <c r="AV1536" s="601" t="s">
        <v>98</v>
      </c>
      <c r="AW1536" s="730" t="s">
        <v>98</v>
      </c>
      <c r="AX1536" s="730" t="s">
        <v>98</v>
      </c>
      <c r="AY1536" s="730" t="s">
        <v>98</v>
      </c>
      <c r="AZ1536" s="730" t="s">
        <v>98</v>
      </c>
      <c r="BA1536" s="730" t="s">
        <v>98</v>
      </c>
      <c r="BB1536" s="730" t="s">
        <v>98</v>
      </c>
      <c r="BC1536" s="730" t="s">
        <v>98</v>
      </c>
      <c r="BD1536" s="730" t="s">
        <v>98</v>
      </c>
      <c r="BE1536" s="730" t="s">
        <v>98</v>
      </c>
      <c r="BF1536" s="602" t="s">
        <v>1358</v>
      </c>
      <c r="BG1536" s="602"/>
      <c r="BH1536" s="9" t="s">
        <v>100</v>
      </c>
      <c r="BI1536" s="9" t="s">
        <v>100</v>
      </c>
      <c r="BJ1536" s="193"/>
      <c r="BN1536" s="193"/>
      <c r="BO1536" s="193"/>
    </row>
    <row r="1537" spans="1:67" s="194" customFormat="1" ht="78" hidden="1" x14ac:dyDescent="0.35">
      <c r="A1537" s="601">
        <v>8568</v>
      </c>
      <c r="B1537" s="602" t="s">
        <v>9065</v>
      </c>
      <c r="C1537" s="602" t="s">
        <v>51</v>
      </c>
      <c r="D1537" s="602" t="s">
        <v>11357</v>
      </c>
      <c r="E1537" s="601" t="s">
        <v>36</v>
      </c>
      <c r="F1537" s="602" t="s">
        <v>134</v>
      </c>
      <c r="G1537" s="601" t="s">
        <v>225</v>
      </c>
      <c r="H1537" s="601" t="s">
        <v>225</v>
      </c>
      <c r="I1537" s="601" t="s">
        <v>98</v>
      </c>
      <c r="J1537" s="602" t="s">
        <v>98</v>
      </c>
      <c r="K1537" s="601" t="s">
        <v>98</v>
      </c>
      <c r="L1537" s="601" t="s">
        <v>98</v>
      </c>
      <c r="M1537" s="601" t="s">
        <v>98</v>
      </c>
      <c r="N1537" s="602" t="s">
        <v>9040</v>
      </c>
      <c r="O1537" s="602" t="s">
        <v>276</v>
      </c>
      <c r="P1537" s="602" t="s">
        <v>238</v>
      </c>
      <c r="Q1537" s="729" t="s">
        <v>276</v>
      </c>
      <c r="R1537" s="602" t="s">
        <v>276</v>
      </c>
      <c r="S1537" s="602" t="s">
        <v>276</v>
      </c>
      <c r="T1537" s="602" t="s">
        <v>98</v>
      </c>
      <c r="U1537" s="729" t="s">
        <v>1212</v>
      </c>
      <c r="V1537" s="601" t="s">
        <v>14</v>
      </c>
      <c r="W1537" s="601" t="s">
        <v>98</v>
      </c>
      <c r="X1537" s="602" t="s">
        <v>209</v>
      </c>
      <c r="Y1537" s="606">
        <v>400</v>
      </c>
      <c r="Z1537" s="602" t="s">
        <v>98</v>
      </c>
      <c r="AA1537" s="602" t="s">
        <v>276</v>
      </c>
      <c r="AB1537" s="602" t="s">
        <v>98</v>
      </c>
      <c r="AC1537" s="601" t="s">
        <v>98</v>
      </c>
      <c r="AD1537" s="601" t="s">
        <v>98</v>
      </c>
      <c r="AE1537" s="601" t="s">
        <v>98</v>
      </c>
      <c r="AF1537" s="601" t="s">
        <v>98</v>
      </c>
      <c r="AG1537" s="602" t="s">
        <v>9130</v>
      </c>
      <c r="AH1537" s="602" t="s">
        <v>6725</v>
      </c>
      <c r="AI1537" s="607">
        <v>8</v>
      </c>
      <c r="AJ1537" s="607" t="s">
        <v>98</v>
      </c>
      <c r="AK1537" s="607">
        <v>400</v>
      </c>
      <c r="AL1537" s="607" t="s">
        <v>98</v>
      </c>
      <c r="AM1537" s="607" t="s">
        <v>292</v>
      </c>
      <c r="AN1537" s="601" t="s">
        <v>276</v>
      </c>
      <c r="AO1537" s="611">
        <f t="shared" si="447"/>
        <v>2</v>
      </c>
      <c r="AP1537" s="601" t="s">
        <v>276</v>
      </c>
      <c r="AQ1537" s="601" t="s">
        <v>276</v>
      </c>
      <c r="AR1537" s="601" t="s">
        <v>98</v>
      </c>
      <c r="AS1537" s="610" t="s">
        <v>98</v>
      </c>
      <c r="AT1537" s="601" t="s">
        <v>98</v>
      </c>
      <c r="AU1537" s="601" t="s">
        <v>98</v>
      </c>
      <c r="AV1537" s="601" t="s">
        <v>98</v>
      </c>
      <c r="AW1537" s="730" t="s">
        <v>98</v>
      </c>
      <c r="AX1537" s="730" t="s">
        <v>98</v>
      </c>
      <c r="AY1537" s="730" t="s">
        <v>98</v>
      </c>
      <c r="AZ1537" s="730" t="s">
        <v>98</v>
      </c>
      <c r="BA1537" s="730" t="s">
        <v>98</v>
      </c>
      <c r="BB1537" s="730" t="s">
        <v>98</v>
      </c>
      <c r="BC1537" s="730" t="s">
        <v>98</v>
      </c>
      <c r="BD1537" s="730" t="s">
        <v>98</v>
      </c>
      <c r="BE1537" s="730" t="s">
        <v>98</v>
      </c>
      <c r="BF1537" s="602" t="s">
        <v>1358</v>
      </c>
      <c r="BG1537" s="602"/>
      <c r="BH1537" s="9" t="s">
        <v>100</v>
      </c>
      <c r="BI1537" s="9" t="s">
        <v>100</v>
      </c>
      <c r="BJ1537" s="193"/>
      <c r="BN1537" s="193"/>
      <c r="BO1537" s="193"/>
    </row>
    <row r="1538" spans="1:67" s="194" customFormat="1" ht="52" hidden="1" x14ac:dyDescent="0.35">
      <c r="A1538" s="601">
        <v>8568</v>
      </c>
      <c r="B1538" s="602" t="s">
        <v>9065</v>
      </c>
      <c r="C1538" s="602" t="s">
        <v>51</v>
      </c>
      <c r="D1538" s="602" t="s">
        <v>11358</v>
      </c>
      <c r="E1538" s="601" t="s">
        <v>36</v>
      </c>
      <c r="F1538" s="602" t="s">
        <v>134</v>
      </c>
      <c r="G1538" s="601" t="s">
        <v>225</v>
      </c>
      <c r="H1538" s="601" t="s">
        <v>225</v>
      </c>
      <c r="I1538" s="601" t="s">
        <v>98</v>
      </c>
      <c r="J1538" s="602" t="s">
        <v>98</v>
      </c>
      <c r="K1538" s="601" t="s">
        <v>98</v>
      </c>
      <c r="L1538" s="601" t="s">
        <v>98</v>
      </c>
      <c r="M1538" s="601" t="s">
        <v>98</v>
      </c>
      <c r="N1538" s="602" t="s">
        <v>9040</v>
      </c>
      <c r="O1538" s="602" t="s">
        <v>276</v>
      </c>
      <c r="P1538" s="602" t="s">
        <v>238</v>
      </c>
      <c r="Q1538" s="729" t="s">
        <v>276</v>
      </c>
      <c r="R1538" s="602" t="s">
        <v>276</v>
      </c>
      <c r="S1538" s="602" t="s">
        <v>276</v>
      </c>
      <c r="T1538" s="602" t="s">
        <v>98</v>
      </c>
      <c r="U1538" s="729" t="s">
        <v>1212</v>
      </c>
      <c r="V1538" s="601" t="s">
        <v>14</v>
      </c>
      <c r="W1538" s="601" t="s">
        <v>98</v>
      </c>
      <c r="X1538" s="602" t="s">
        <v>209</v>
      </c>
      <c r="Y1538" s="606">
        <v>400</v>
      </c>
      <c r="Z1538" s="602" t="s">
        <v>98</v>
      </c>
      <c r="AA1538" s="602" t="s">
        <v>276</v>
      </c>
      <c r="AB1538" s="602" t="s">
        <v>98</v>
      </c>
      <c r="AC1538" s="601" t="s">
        <v>98</v>
      </c>
      <c r="AD1538" s="601" t="s">
        <v>98</v>
      </c>
      <c r="AE1538" s="601" t="s">
        <v>98</v>
      </c>
      <c r="AF1538" s="601" t="s">
        <v>98</v>
      </c>
      <c r="AG1538" s="602" t="s">
        <v>9131</v>
      </c>
      <c r="AH1538" s="602" t="s">
        <v>6725</v>
      </c>
      <c r="AI1538" s="607">
        <v>1</v>
      </c>
      <c r="AJ1538" s="607" t="s">
        <v>98</v>
      </c>
      <c r="AK1538" s="607">
        <v>400</v>
      </c>
      <c r="AL1538" s="607" t="s">
        <v>98</v>
      </c>
      <c r="AM1538" s="607" t="s">
        <v>292</v>
      </c>
      <c r="AN1538" s="601" t="s">
        <v>276</v>
      </c>
      <c r="AO1538" s="611">
        <f t="shared" si="447"/>
        <v>0.25</v>
      </c>
      <c r="AP1538" s="601" t="s">
        <v>276</v>
      </c>
      <c r="AQ1538" s="601" t="s">
        <v>276</v>
      </c>
      <c r="AR1538" s="601" t="s">
        <v>98</v>
      </c>
      <c r="AS1538" s="610" t="s">
        <v>98</v>
      </c>
      <c r="AT1538" s="601" t="s">
        <v>98</v>
      </c>
      <c r="AU1538" s="601" t="s">
        <v>98</v>
      </c>
      <c r="AV1538" s="601" t="s">
        <v>98</v>
      </c>
      <c r="AW1538" s="730" t="s">
        <v>98</v>
      </c>
      <c r="AX1538" s="730" t="s">
        <v>98</v>
      </c>
      <c r="AY1538" s="730" t="s">
        <v>98</v>
      </c>
      <c r="AZ1538" s="730" t="s">
        <v>98</v>
      </c>
      <c r="BA1538" s="730" t="s">
        <v>98</v>
      </c>
      <c r="BB1538" s="730" t="s">
        <v>98</v>
      </c>
      <c r="BC1538" s="730" t="s">
        <v>98</v>
      </c>
      <c r="BD1538" s="730" t="s">
        <v>98</v>
      </c>
      <c r="BE1538" s="730" t="s">
        <v>98</v>
      </c>
      <c r="BF1538" s="602" t="s">
        <v>1358</v>
      </c>
      <c r="BG1538" s="602"/>
      <c r="BH1538" s="9" t="s">
        <v>100</v>
      </c>
      <c r="BI1538" s="9" t="s">
        <v>100</v>
      </c>
      <c r="BJ1538" s="193"/>
      <c r="BN1538" s="193"/>
      <c r="BO1538" s="193"/>
    </row>
    <row r="1539" spans="1:67" s="183" customFormat="1" ht="52" hidden="1" x14ac:dyDescent="0.35">
      <c r="A1539" s="589">
        <v>8568</v>
      </c>
      <c r="B1539" s="590" t="s">
        <v>9065</v>
      </c>
      <c r="C1539" s="590" t="s">
        <v>51</v>
      </c>
      <c r="D1539" s="590" t="s">
        <v>11359</v>
      </c>
      <c r="E1539" s="589" t="s">
        <v>36</v>
      </c>
      <c r="F1539" s="590" t="s">
        <v>134</v>
      </c>
      <c r="G1539" s="589" t="s">
        <v>225</v>
      </c>
      <c r="H1539" s="589" t="s">
        <v>125</v>
      </c>
      <c r="I1539" s="589" t="s">
        <v>113</v>
      </c>
      <c r="J1539" s="590" t="s">
        <v>98</v>
      </c>
      <c r="K1539" s="589" t="s">
        <v>98</v>
      </c>
      <c r="L1539" s="589" t="s">
        <v>98</v>
      </c>
      <c r="M1539" s="589" t="s">
        <v>98</v>
      </c>
      <c r="N1539" s="590" t="s">
        <v>9040</v>
      </c>
      <c r="O1539" s="590" t="s">
        <v>276</v>
      </c>
      <c r="P1539" s="590" t="s">
        <v>238</v>
      </c>
      <c r="Q1539" s="731" t="s">
        <v>276</v>
      </c>
      <c r="R1539" s="590" t="s">
        <v>276</v>
      </c>
      <c r="S1539" s="590" t="s">
        <v>276</v>
      </c>
      <c r="T1539" s="590" t="s">
        <v>276</v>
      </c>
      <c r="U1539" s="731" t="s">
        <v>1212</v>
      </c>
      <c r="V1539" s="589" t="s">
        <v>14</v>
      </c>
      <c r="W1539" s="589" t="s">
        <v>98</v>
      </c>
      <c r="X1539" s="590" t="s">
        <v>207</v>
      </c>
      <c r="Y1539" s="594">
        <v>400</v>
      </c>
      <c r="Z1539" s="590">
        <v>399</v>
      </c>
      <c r="AA1539" s="590" t="s">
        <v>276</v>
      </c>
      <c r="AB1539" s="590" t="s">
        <v>276</v>
      </c>
      <c r="AC1539" s="589" t="s">
        <v>98</v>
      </c>
      <c r="AD1539" s="589" t="s">
        <v>98</v>
      </c>
      <c r="AE1539" s="589" t="s">
        <v>98</v>
      </c>
      <c r="AF1539" s="589" t="s">
        <v>98</v>
      </c>
      <c r="AG1539" s="590" t="s">
        <v>9132</v>
      </c>
      <c r="AH1539" s="590" t="s">
        <v>6506</v>
      </c>
      <c r="AI1539" s="595">
        <v>78</v>
      </c>
      <c r="AJ1539" s="595">
        <v>102</v>
      </c>
      <c r="AK1539" s="595">
        <v>400</v>
      </c>
      <c r="AL1539" s="595">
        <v>399</v>
      </c>
      <c r="AM1539" s="595" t="s">
        <v>292</v>
      </c>
      <c r="AN1539" s="589" t="s">
        <v>276</v>
      </c>
      <c r="AO1539" s="599">
        <f t="shared" si="447"/>
        <v>19.5</v>
      </c>
      <c r="AP1539" s="589" t="s">
        <v>276</v>
      </c>
      <c r="AQ1539" s="589" t="s">
        <v>276</v>
      </c>
      <c r="AR1539" s="589" t="s">
        <v>276</v>
      </c>
      <c r="AS1539" s="599">
        <f>AJ1539*100/AL1539</f>
        <v>25.563909774436091</v>
      </c>
      <c r="AT1539" s="589" t="s">
        <v>276</v>
      </c>
      <c r="AU1539" s="589" t="s">
        <v>276</v>
      </c>
      <c r="AV1539" s="589" t="s">
        <v>268</v>
      </c>
      <c r="AW1539" s="732" t="s">
        <v>276</v>
      </c>
      <c r="AX1539" s="733">
        <f>AO1539/AS1539</f>
        <v>0.76279411764705884</v>
      </c>
      <c r="AY1539" s="732" t="s">
        <v>276</v>
      </c>
      <c r="AZ1539" s="732" t="s">
        <v>276</v>
      </c>
      <c r="BA1539" s="732" t="s">
        <v>276</v>
      </c>
      <c r="BB1539" s="732" t="s">
        <v>282</v>
      </c>
      <c r="BC1539" s="732" t="s">
        <v>98</v>
      </c>
      <c r="BD1539" s="732" t="s">
        <v>98</v>
      </c>
      <c r="BE1539" s="732" t="s">
        <v>98</v>
      </c>
      <c r="BF1539" s="590" t="s">
        <v>1358</v>
      </c>
      <c r="BG1539" s="590"/>
      <c r="BH1539" s="9" t="s">
        <v>100</v>
      </c>
      <c r="BI1539" s="9" t="s">
        <v>100</v>
      </c>
      <c r="BJ1539" s="182"/>
      <c r="BN1539" s="182"/>
      <c r="BO1539" s="182"/>
    </row>
    <row r="1540" spans="1:67" s="183" customFormat="1" ht="78" hidden="1" x14ac:dyDescent="0.35">
      <c r="A1540" s="589">
        <v>8568</v>
      </c>
      <c r="B1540" s="590" t="s">
        <v>9065</v>
      </c>
      <c r="C1540" s="590" t="s">
        <v>51</v>
      </c>
      <c r="D1540" s="590" t="s">
        <v>11360</v>
      </c>
      <c r="E1540" s="589" t="s">
        <v>36</v>
      </c>
      <c r="F1540" s="590" t="s">
        <v>134</v>
      </c>
      <c r="G1540" s="589" t="s">
        <v>225</v>
      </c>
      <c r="H1540" s="589" t="s">
        <v>125</v>
      </c>
      <c r="I1540" s="589" t="s">
        <v>113</v>
      </c>
      <c r="J1540" s="590" t="s">
        <v>98</v>
      </c>
      <c r="K1540" s="589" t="s">
        <v>98</v>
      </c>
      <c r="L1540" s="589" t="s">
        <v>98</v>
      </c>
      <c r="M1540" s="589" t="s">
        <v>98</v>
      </c>
      <c r="N1540" s="590" t="s">
        <v>9040</v>
      </c>
      <c r="O1540" s="590" t="s">
        <v>276</v>
      </c>
      <c r="P1540" s="590" t="s">
        <v>238</v>
      </c>
      <c r="Q1540" s="731" t="s">
        <v>276</v>
      </c>
      <c r="R1540" s="590" t="s">
        <v>276</v>
      </c>
      <c r="S1540" s="590" t="s">
        <v>276</v>
      </c>
      <c r="T1540" s="590" t="s">
        <v>276</v>
      </c>
      <c r="U1540" s="731" t="s">
        <v>1212</v>
      </c>
      <c r="V1540" s="589" t="s">
        <v>14</v>
      </c>
      <c r="W1540" s="589" t="s">
        <v>98</v>
      </c>
      <c r="X1540" s="590" t="s">
        <v>207</v>
      </c>
      <c r="Y1540" s="594">
        <v>400</v>
      </c>
      <c r="Z1540" s="590">
        <v>399</v>
      </c>
      <c r="AA1540" s="590" t="s">
        <v>276</v>
      </c>
      <c r="AB1540" s="590" t="s">
        <v>276</v>
      </c>
      <c r="AC1540" s="589" t="s">
        <v>98</v>
      </c>
      <c r="AD1540" s="589" t="s">
        <v>98</v>
      </c>
      <c r="AE1540" s="589" t="s">
        <v>98</v>
      </c>
      <c r="AF1540" s="589" t="s">
        <v>98</v>
      </c>
      <c r="AG1540" s="590" t="s">
        <v>9133</v>
      </c>
      <c r="AH1540" s="590" t="s">
        <v>6506</v>
      </c>
      <c r="AI1540" s="595">
        <v>16</v>
      </c>
      <c r="AJ1540" s="595">
        <v>32</v>
      </c>
      <c r="AK1540" s="595">
        <v>400</v>
      </c>
      <c r="AL1540" s="595">
        <v>399</v>
      </c>
      <c r="AM1540" s="595" t="s">
        <v>292</v>
      </c>
      <c r="AN1540" s="589" t="s">
        <v>276</v>
      </c>
      <c r="AO1540" s="599">
        <f t="shared" si="447"/>
        <v>4</v>
      </c>
      <c r="AP1540" s="589" t="s">
        <v>276</v>
      </c>
      <c r="AQ1540" s="589" t="s">
        <v>276</v>
      </c>
      <c r="AR1540" s="589" t="s">
        <v>276</v>
      </c>
      <c r="AS1540" s="599">
        <f>AJ1540*100/AL1540</f>
        <v>8.0200501253132828</v>
      </c>
      <c r="AT1540" s="589" t="s">
        <v>276</v>
      </c>
      <c r="AU1540" s="589" t="s">
        <v>276</v>
      </c>
      <c r="AV1540" s="589" t="s">
        <v>268</v>
      </c>
      <c r="AW1540" s="732" t="s">
        <v>276</v>
      </c>
      <c r="AX1540" s="733">
        <f>AO1540/AS1540</f>
        <v>0.49875000000000003</v>
      </c>
      <c r="AY1540" s="732" t="s">
        <v>276</v>
      </c>
      <c r="AZ1540" s="732" t="s">
        <v>276</v>
      </c>
      <c r="BA1540" s="732" t="s">
        <v>276</v>
      </c>
      <c r="BB1540" s="732" t="s">
        <v>282</v>
      </c>
      <c r="BC1540" s="732" t="s">
        <v>98</v>
      </c>
      <c r="BD1540" s="732" t="s">
        <v>98</v>
      </c>
      <c r="BE1540" s="732" t="s">
        <v>98</v>
      </c>
      <c r="BF1540" s="590" t="s">
        <v>1358</v>
      </c>
      <c r="BG1540" s="590"/>
      <c r="BH1540" s="9" t="s">
        <v>100</v>
      </c>
      <c r="BI1540" s="9" t="s">
        <v>100</v>
      </c>
      <c r="BJ1540" s="182"/>
      <c r="BN1540" s="182"/>
      <c r="BO1540" s="182"/>
    </row>
    <row r="1541" spans="1:67" s="183" customFormat="1" ht="52" hidden="1" x14ac:dyDescent="0.35">
      <c r="A1541" s="589">
        <v>8568</v>
      </c>
      <c r="B1541" s="590" t="s">
        <v>9065</v>
      </c>
      <c r="C1541" s="590" t="s">
        <v>51</v>
      </c>
      <c r="D1541" s="590" t="s">
        <v>11361</v>
      </c>
      <c r="E1541" s="589" t="s">
        <v>36</v>
      </c>
      <c r="F1541" s="590" t="s">
        <v>134</v>
      </c>
      <c r="G1541" s="589" t="s">
        <v>225</v>
      </c>
      <c r="H1541" s="589" t="s">
        <v>125</v>
      </c>
      <c r="I1541" s="589" t="s">
        <v>113</v>
      </c>
      <c r="J1541" s="590" t="s">
        <v>98</v>
      </c>
      <c r="K1541" s="589" t="s">
        <v>98</v>
      </c>
      <c r="L1541" s="589" t="s">
        <v>98</v>
      </c>
      <c r="M1541" s="589" t="s">
        <v>98</v>
      </c>
      <c r="N1541" s="590" t="s">
        <v>9040</v>
      </c>
      <c r="O1541" s="590" t="s">
        <v>276</v>
      </c>
      <c r="P1541" s="590" t="s">
        <v>238</v>
      </c>
      <c r="Q1541" s="731" t="s">
        <v>276</v>
      </c>
      <c r="R1541" s="590" t="s">
        <v>276</v>
      </c>
      <c r="S1541" s="590" t="s">
        <v>276</v>
      </c>
      <c r="T1541" s="590" t="s">
        <v>276</v>
      </c>
      <c r="U1541" s="731" t="s">
        <v>1212</v>
      </c>
      <c r="V1541" s="589" t="s">
        <v>14</v>
      </c>
      <c r="W1541" s="589" t="s">
        <v>98</v>
      </c>
      <c r="X1541" s="590" t="s">
        <v>207</v>
      </c>
      <c r="Y1541" s="594">
        <v>400</v>
      </c>
      <c r="Z1541" s="590">
        <v>399</v>
      </c>
      <c r="AA1541" s="590" t="s">
        <v>276</v>
      </c>
      <c r="AB1541" s="590" t="s">
        <v>276</v>
      </c>
      <c r="AC1541" s="589" t="s">
        <v>98</v>
      </c>
      <c r="AD1541" s="589" t="s">
        <v>98</v>
      </c>
      <c r="AE1541" s="589" t="s">
        <v>98</v>
      </c>
      <c r="AF1541" s="589" t="s">
        <v>98</v>
      </c>
      <c r="AG1541" s="590" t="s">
        <v>9134</v>
      </c>
      <c r="AH1541" s="590" t="s">
        <v>6506</v>
      </c>
      <c r="AI1541" s="595">
        <v>0</v>
      </c>
      <c r="AJ1541" s="595">
        <v>2</v>
      </c>
      <c r="AK1541" s="595">
        <v>400</v>
      </c>
      <c r="AL1541" s="595">
        <v>399</v>
      </c>
      <c r="AM1541" s="595" t="s">
        <v>292</v>
      </c>
      <c r="AN1541" s="589" t="s">
        <v>276</v>
      </c>
      <c r="AO1541" s="599">
        <f t="shared" si="447"/>
        <v>0</v>
      </c>
      <c r="AP1541" s="589" t="s">
        <v>276</v>
      </c>
      <c r="AQ1541" s="589" t="s">
        <v>276</v>
      </c>
      <c r="AR1541" s="589" t="s">
        <v>276</v>
      </c>
      <c r="AS1541" s="599">
        <f>AJ1541*100/AL1541</f>
        <v>0.50125313283208017</v>
      </c>
      <c r="AT1541" s="589" t="s">
        <v>276</v>
      </c>
      <c r="AU1541" s="589" t="s">
        <v>276</v>
      </c>
      <c r="AV1541" s="589" t="s">
        <v>268</v>
      </c>
      <c r="AW1541" s="732" t="s">
        <v>276</v>
      </c>
      <c r="AX1541" s="733">
        <f>AO1541/AS1541</f>
        <v>0</v>
      </c>
      <c r="AY1541" s="732" t="s">
        <v>276</v>
      </c>
      <c r="AZ1541" s="732" t="s">
        <v>276</v>
      </c>
      <c r="BA1541" s="732" t="s">
        <v>276</v>
      </c>
      <c r="BB1541" s="732" t="s">
        <v>282</v>
      </c>
      <c r="BC1541" s="732" t="s">
        <v>98</v>
      </c>
      <c r="BD1541" s="732" t="s">
        <v>98</v>
      </c>
      <c r="BE1541" s="732" t="s">
        <v>98</v>
      </c>
      <c r="BF1541" s="590" t="s">
        <v>1358</v>
      </c>
      <c r="BG1541" s="590"/>
      <c r="BH1541" s="9" t="s">
        <v>100</v>
      </c>
      <c r="BI1541" s="9" t="s">
        <v>100</v>
      </c>
      <c r="BJ1541" s="182"/>
      <c r="BN1541" s="182"/>
      <c r="BO1541" s="182"/>
    </row>
    <row r="1542" spans="1:67" s="194" customFormat="1" ht="52" hidden="1" x14ac:dyDescent="0.35">
      <c r="A1542" s="601">
        <v>8568</v>
      </c>
      <c r="B1542" s="602" t="s">
        <v>9065</v>
      </c>
      <c r="C1542" s="602" t="s">
        <v>51</v>
      </c>
      <c r="D1542" s="602" t="s">
        <v>9135</v>
      </c>
      <c r="E1542" s="601" t="s">
        <v>36</v>
      </c>
      <c r="F1542" s="602" t="s">
        <v>134</v>
      </c>
      <c r="G1542" s="601" t="s">
        <v>225</v>
      </c>
      <c r="H1542" s="601" t="s">
        <v>125</v>
      </c>
      <c r="I1542" s="601" t="s">
        <v>113</v>
      </c>
      <c r="J1542" s="602" t="s">
        <v>32</v>
      </c>
      <c r="K1542" s="601" t="s">
        <v>3527</v>
      </c>
      <c r="L1542" s="601" t="s">
        <v>276</v>
      </c>
      <c r="M1542" s="601" t="s">
        <v>276</v>
      </c>
      <c r="N1542" s="602" t="s">
        <v>9040</v>
      </c>
      <c r="O1542" s="602" t="s">
        <v>9068</v>
      </c>
      <c r="P1542" s="602" t="s">
        <v>239</v>
      </c>
      <c r="Q1542" s="729" t="s">
        <v>9136</v>
      </c>
      <c r="R1542" s="602" t="s">
        <v>9069</v>
      </c>
      <c r="S1542" s="734" t="s">
        <v>9137</v>
      </c>
      <c r="T1542" s="734" t="s">
        <v>9138</v>
      </c>
      <c r="U1542" s="729" t="s">
        <v>5401</v>
      </c>
      <c r="V1542" s="601" t="s">
        <v>14</v>
      </c>
      <c r="W1542" s="601" t="s">
        <v>98</v>
      </c>
      <c r="X1542" s="602" t="s">
        <v>207</v>
      </c>
      <c r="Y1542" s="606">
        <v>400</v>
      </c>
      <c r="Z1542" s="602">
        <v>399</v>
      </c>
      <c r="AA1542" s="602" t="s">
        <v>276</v>
      </c>
      <c r="AB1542" s="602" t="s">
        <v>276</v>
      </c>
      <c r="AC1542" s="601">
        <v>0</v>
      </c>
      <c r="AD1542" s="601" t="s">
        <v>98</v>
      </c>
      <c r="AE1542" s="601">
        <v>0</v>
      </c>
      <c r="AF1542" s="601" t="s">
        <v>98</v>
      </c>
      <c r="AG1542" s="602" t="s">
        <v>9139</v>
      </c>
      <c r="AH1542" s="602" t="s">
        <v>6506</v>
      </c>
      <c r="AI1542" s="607">
        <v>7</v>
      </c>
      <c r="AJ1542" s="607">
        <v>19</v>
      </c>
      <c r="AK1542" s="607">
        <v>400</v>
      </c>
      <c r="AL1542" s="607">
        <v>399</v>
      </c>
      <c r="AM1542" s="607" t="s">
        <v>292</v>
      </c>
      <c r="AN1542" s="601">
        <v>1.8</v>
      </c>
      <c r="AO1542" s="611">
        <f t="shared" si="447"/>
        <v>1.75</v>
      </c>
      <c r="AP1542" s="601" t="s">
        <v>276</v>
      </c>
      <c r="AQ1542" s="601" t="s">
        <v>276</v>
      </c>
      <c r="AR1542" s="601">
        <v>4.8</v>
      </c>
      <c r="AS1542" s="611">
        <f>AJ1542*100/AL1542</f>
        <v>4.7619047619047619</v>
      </c>
      <c r="AT1542" s="601" t="s">
        <v>276</v>
      </c>
      <c r="AU1542" s="601" t="s">
        <v>276</v>
      </c>
      <c r="AV1542" s="601" t="s">
        <v>268</v>
      </c>
      <c r="AW1542" s="730" t="s">
        <v>276</v>
      </c>
      <c r="AX1542" s="735">
        <f>AO1542/AS1542</f>
        <v>0.36749999999999999</v>
      </c>
      <c r="AY1542" s="730" t="s">
        <v>276</v>
      </c>
      <c r="AZ1542" s="730" t="s">
        <v>276</v>
      </c>
      <c r="BA1542" s="730" t="s">
        <v>276</v>
      </c>
      <c r="BB1542" s="730" t="s">
        <v>282</v>
      </c>
      <c r="BC1542" s="730" t="s">
        <v>98</v>
      </c>
      <c r="BD1542" s="730" t="s">
        <v>98</v>
      </c>
      <c r="BE1542" s="730" t="s">
        <v>98</v>
      </c>
      <c r="BF1542" s="602" t="s">
        <v>9140</v>
      </c>
      <c r="BG1542" s="602"/>
      <c r="BH1542" s="9" t="s">
        <v>100</v>
      </c>
      <c r="BI1542" s="9" t="s">
        <v>100</v>
      </c>
      <c r="BJ1542" s="193"/>
      <c r="BN1542" s="193"/>
      <c r="BO1542" s="193"/>
    </row>
    <row r="1543" spans="1:67" s="194" customFormat="1" ht="52" hidden="1" x14ac:dyDescent="0.35">
      <c r="A1543" s="601">
        <v>8568</v>
      </c>
      <c r="B1543" s="602" t="s">
        <v>9065</v>
      </c>
      <c r="C1543" s="602" t="s">
        <v>51</v>
      </c>
      <c r="D1543" s="602" t="s">
        <v>9141</v>
      </c>
      <c r="E1543" s="601" t="s">
        <v>36</v>
      </c>
      <c r="F1543" s="602" t="s">
        <v>134</v>
      </c>
      <c r="G1543" s="601" t="s">
        <v>225</v>
      </c>
      <c r="H1543" s="601" t="s">
        <v>125</v>
      </c>
      <c r="I1543" s="601" t="s">
        <v>113</v>
      </c>
      <c r="J1543" s="602" t="s">
        <v>32</v>
      </c>
      <c r="K1543" s="601" t="s">
        <v>3527</v>
      </c>
      <c r="L1543" s="601" t="s">
        <v>276</v>
      </c>
      <c r="M1543" s="601" t="s">
        <v>276</v>
      </c>
      <c r="N1543" s="602" t="s">
        <v>9040</v>
      </c>
      <c r="O1543" s="602" t="s">
        <v>9068</v>
      </c>
      <c r="P1543" s="602" t="s">
        <v>239</v>
      </c>
      <c r="Q1543" s="729" t="s">
        <v>9136</v>
      </c>
      <c r="R1543" s="602" t="s">
        <v>9069</v>
      </c>
      <c r="S1543" s="734" t="s">
        <v>9137</v>
      </c>
      <c r="T1543" s="734" t="s">
        <v>9138</v>
      </c>
      <c r="U1543" s="729" t="s">
        <v>5401</v>
      </c>
      <c r="V1543" s="601" t="s">
        <v>14</v>
      </c>
      <c r="W1543" s="601" t="s">
        <v>98</v>
      </c>
      <c r="X1543" s="602" t="s">
        <v>207</v>
      </c>
      <c r="Y1543" s="606">
        <v>400</v>
      </c>
      <c r="Z1543" s="602">
        <v>399</v>
      </c>
      <c r="AA1543" s="602" t="s">
        <v>276</v>
      </c>
      <c r="AB1543" s="602" t="s">
        <v>276</v>
      </c>
      <c r="AC1543" s="601">
        <v>0</v>
      </c>
      <c r="AD1543" s="601" t="s">
        <v>98</v>
      </c>
      <c r="AE1543" s="601">
        <v>0</v>
      </c>
      <c r="AF1543" s="601" t="s">
        <v>98</v>
      </c>
      <c r="AG1543" s="602" t="s">
        <v>9139</v>
      </c>
      <c r="AH1543" s="602" t="s">
        <v>9075</v>
      </c>
      <c r="AI1543" s="607">
        <v>7</v>
      </c>
      <c r="AJ1543" s="607">
        <v>19</v>
      </c>
      <c r="AK1543" s="734">
        <v>8407.1</v>
      </c>
      <c r="AL1543" s="734">
        <v>8920.2000000000007</v>
      </c>
      <c r="AM1543" s="607" t="s">
        <v>1019</v>
      </c>
      <c r="AN1543" s="601">
        <v>83.5</v>
      </c>
      <c r="AO1543" s="611">
        <f>AI1543*100000/AK1543</f>
        <v>83.262956310737351</v>
      </c>
      <c r="AP1543" s="601" t="s">
        <v>276</v>
      </c>
      <c r="AQ1543" s="601" t="s">
        <v>276</v>
      </c>
      <c r="AR1543" s="601">
        <v>214.1</v>
      </c>
      <c r="AS1543" s="611">
        <f>AJ1543*100000/AL1543</f>
        <v>212.99970852671464</v>
      </c>
      <c r="AT1543" s="601" t="s">
        <v>276</v>
      </c>
      <c r="AU1543" s="601" t="s">
        <v>276</v>
      </c>
      <c r="AV1543" s="601" t="s">
        <v>270</v>
      </c>
      <c r="AW1543" s="730">
        <v>0.4</v>
      </c>
      <c r="AX1543" s="735" t="s">
        <v>98</v>
      </c>
      <c r="AY1543" s="730">
        <v>0.17</v>
      </c>
      <c r="AZ1543" s="730">
        <v>0.95</v>
      </c>
      <c r="BA1543" s="730">
        <v>0.04</v>
      </c>
      <c r="BB1543" s="730" t="s">
        <v>282</v>
      </c>
      <c r="BC1543" s="730" t="s">
        <v>98</v>
      </c>
      <c r="BD1543" s="730" t="s">
        <v>98</v>
      </c>
      <c r="BE1543" s="730" t="s">
        <v>98</v>
      </c>
      <c r="BF1543" s="602" t="s">
        <v>9142</v>
      </c>
      <c r="BG1543" s="602"/>
      <c r="BH1543" s="9" t="s">
        <v>100</v>
      </c>
      <c r="BI1543" s="9" t="s">
        <v>100</v>
      </c>
      <c r="BJ1543" s="193"/>
      <c r="BN1543" s="193"/>
      <c r="BO1543" s="193"/>
    </row>
    <row r="1544" spans="1:67" s="183" customFormat="1" ht="52" hidden="1" x14ac:dyDescent="0.35">
      <c r="A1544" s="589">
        <v>8568</v>
      </c>
      <c r="B1544" s="590" t="s">
        <v>9065</v>
      </c>
      <c r="C1544" s="590" t="s">
        <v>51</v>
      </c>
      <c r="D1544" s="590" t="s">
        <v>9143</v>
      </c>
      <c r="E1544" s="589" t="s">
        <v>36</v>
      </c>
      <c r="F1544" s="590" t="s">
        <v>134</v>
      </c>
      <c r="G1544" s="589" t="s">
        <v>225</v>
      </c>
      <c r="H1544" s="589" t="s">
        <v>125</v>
      </c>
      <c r="I1544" s="589" t="s">
        <v>114</v>
      </c>
      <c r="J1544" s="590" t="s">
        <v>32</v>
      </c>
      <c r="K1544" s="589" t="s">
        <v>3527</v>
      </c>
      <c r="L1544" s="589" t="s">
        <v>276</v>
      </c>
      <c r="M1544" s="589" t="s">
        <v>276</v>
      </c>
      <c r="N1544" s="590" t="s">
        <v>9040</v>
      </c>
      <c r="O1544" s="590" t="s">
        <v>9068</v>
      </c>
      <c r="P1544" s="590" t="s">
        <v>239</v>
      </c>
      <c r="Q1544" s="731" t="s">
        <v>9144</v>
      </c>
      <c r="R1544" s="590" t="s">
        <v>776</v>
      </c>
      <c r="S1544" s="590" t="s">
        <v>276</v>
      </c>
      <c r="T1544" s="590" t="s">
        <v>276</v>
      </c>
      <c r="U1544" s="731" t="s">
        <v>2331</v>
      </c>
      <c r="V1544" s="589" t="s">
        <v>14</v>
      </c>
      <c r="W1544" s="589" t="s">
        <v>98</v>
      </c>
      <c r="X1544" s="590" t="s">
        <v>207</v>
      </c>
      <c r="Y1544" s="594">
        <v>400</v>
      </c>
      <c r="Z1544" s="590">
        <v>399</v>
      </c>
      <c r="AA1544" s="590" t="s">
        <v>276</v>
      </c>
      <c r="AB1544" s="590" t="s">
        <v>276</v>
      </c>
      <c r="AC1544" s="589">
        <v>0</v>
      </c>
      <c r="AD1544" s="589" t="s">
        <v>98</v>
      </c>
      <c r="AE1544" s="589">
        <v>0</v>
      </c>
      <c r="AF1544" s="589" t="s">
        <v>98</v>
      </c>
      <c r="AG1544" s="590" t="s">
        <v>9145</v>
      </c>
      <c r="AH1544" s="590" t="s">
        <v>9084</v>
      </c>
      <c r="AI1544" s="595" t="s">
        <v>276</v>
      </c>
      <c r="AJ1544" s="595" t="s">
        <v>276</v>
      </c>
      <c r="AK1544" s="595" t="s">
        <v>276</v>
      </c>
      <c r="AL1544" s="595" t="s">
        <v>276</v>
      </c>
      <c r="AM1544" s="595" t="s">
        <v>1019</v>
      </c>
      <c r="AN1544" s="589" t="s">
        <v>276</v>
      </c>
      <c r="AO1544" s="599" t="s">
        <v>98</v>
      </c>
      <c r="AP1544" s="589" t="s">
        <v>276</v>
      </c>
      <c r="AQ1544" s="589" t="s">
        <v>276</v>
      </c>
      <c r="AR1544" s="589" t="s">
        <v>276</v>
      </c>
      <c r="AS1544" s="599" t="s">
        <v>98</v>
      </c>
      <c r="AT1544" s="589" t="s">
        <v>276</v>
      </c>
      <c r="AU1544" s="589" t="s">
        <v>276</v>
      </c>
      <c r="AV1544" s="589" t="s">
        <v>270</v>
      </c>
      <c r="AW1544" s="732">
        <v>0.3</v>
      </c>
      <c r="AX1544" s="733" t="s">
        <v>98</v>
      </c>
      <c r="AY1544" s="732">
        <v>0.06</v>
      </c>
      <c r="AZ1544" s="732">
        <v>1.44</v>
      </c>
      <c r="BA1544" s="732">
        <v>0.13</v>
      </c>
      <c r="BB1544" s="732" t="s">
        <v>282</v>
      </c>
      <c r="BC1544" s="732" t="s">
        <v>98</v>
      </c>
      <c r="BD1544" s="732" t="s">
        <v>98</v>
      </c>
      <c r="BE1544" s="732" t="s">
        <v>98</v>
      </c>
      <c r="BF1544" s="590" t="s">
        <v>9146</v>
      </c>
      <c r="BG1544" s="590"/>
      <c r="BH1544" s="9" t="s">
        <v>100</v>
      </c>
      <c r="BI1544" s="9" t="s">
        <v>100</v>
      </c>
      <c r="BJ1544" s="182"/>
      <c r="BN1544" s="182"/>
      <c r="BO1544" s="182"/>
    </row>
    <row r="1545" spans="1:67" s="299" customFormat="1" ht="78" hidden="1" x14ac:dyDescent="0.35">
      <c r="A1545" s="291">
        <v>4566</v>
      </c>
      <c r="B1545" s="291" t="s">
        <v>9164</v>
      </c>
      <c r="C1545" s="292" t="s">
        <v>9148</v>
      </c>
      <c r="D1545" s="292" t="s">
        <v>9165</v>
      </c>
      <c r="E1545" s="291" t="s">
        <v>35</v>
      </c>
      <c r="F1545" s="292" t="s">
        <v>130</v>
      </c>
      <c r="G1545" s="291" t="s">
        <v>225</v>
      </c>
      <c r="H1545" s="291" t="s">
        <v>125</v>
      </c>
      <c r="I1545" s="291" t="s">
        <v>114</v>
      </c>
      <c r="J1545" s="292" t="s">
        <v>98</v>
      </c>
      <c r="K1545" s="291" t="s">
        <v>98</v>
      </c>
      <c r="L1545" s="291" t="s">
        <v>98</v>
      </c>
      <c r="M1545" s="291" t="s">
        <v>98</v>
      </c>
      <c r="N1545" s="292" t="s">
        <v>9166</v>
      </c>
      <c r="O1545" s="292" t="s">
        <v>276</v>
      </c>
      <c r="P1545" s="292" t="s">
        <v>238</v>
      </c>
      <c r="Q1545" s="293">
        <v>39964</v>
      </c>
      <c r="R1545" s="292" t="s">
        <v>276</v>
      </c>
      <c r="S1545" s="292" t="s">
        <v>276</v>
      </c>
      <c r="T1545" s="292" t="s">
        <v>98</v>
      </c>
      <c r="U1545" s="292">
        <v>1</v>
      </c>
      <c r="V1545" s="291" t="s">
        <v>14</v>
      </c>
      <c r="W1545" s="291" t="s">
        <v>98</v>
      </c>
      <c r="X1545" s="292" t="s">
        <v>209</v>
      </c>
      <c r="Y1545" s="294">
        <v>55844</v>
      </c>
      <c r="Z1545" s="292" t="s">
        <v>98</v>
      </c>
      <c r="AA1545" s="292" t="s">
        <v>276</v>
      </c>
      <c r="AB1545" s="292" t="s">
        <v>98</v>
      </c>
      <c r="AC1545" s="291" t="s">
        <v>276</v>
      </c>
      <c r="AD1545" s="291" t="s">
        <v>276</v>
      </c>
      <c r="AE1545" s="291" t="s">
        <v>98</v>
      </c>
      <c r="AF1545" s="291" t="s">
        <v>98</v>
      </c>
      <c r="AG1545" s="292" t="s">
        <v>9167</v>
      </c>
      <c r="AH1545" s="292" t="s">
        <v>280</v>
      </c>
      <c r="AI1545" s="295">
        <v>30</v>
      </c>
      <c r="AJ1545" s="295" t="s">
        <v>98</v>
      </c>
      <c r="AK1545" s="295">
        <v>55844</v>
      </c>
      <c r="AL1545" s="295" t="s">
        <v>276</v>
      </c>
      <c r="AM1545" s="295" t="s">
        <v>281</v>
      </c>
      <c r="AN1545" s="292" t="s">
        <v>9168</v>
      </c>
      <c r="AO1545" s="805">
        <f>AI1545*1000/AK1545</f>
        <v>0.53721080151851586</v>
      </c>
      <c r="AP1545" s="291" t="s">
        <v>276</v>
      </c>
      <c r="AQ1545" s="291" t="s">
        <v>276</v>
      </c>
      <c r="AR1545" s="291" t="s">
        <v>276</v>
      </c>
      <c r="AS1545" s="296" t="s">
        <v>98</v>
      </c>
      <c r="AT1545" s="296" t="s">
        <v>98</v>
      </c>
      <c r="AU1545" s="296" t="s">
        <v>98</v>
      </c>
      <c r="AV1545" s="296" t="s">
        <v>98</v>
      </c>
      <c r="AW1545" s="296" t="s">
        <v>98</v>
      </c>
      <c r="AX1545" s="296" t="s">
        <v>98</v>
      </c>
      <c r="AY1545" s="296" t="s">
        <v>98</v>
      </c>
      <c r="AZ1545" s="296" t="s">
        <v>98</v>
      </c>
      <c r="BA1545" s="296" t="s">
        <v>98</v>
      </c>
      <c r="BB1545" s="296" t="s">
        <v>98</v>
      </c>
      <c r="BC1545" s="296" t="s">
        <v>98</v>
      </c>
      <c r="BD1545" s="296" t="s">
        <v>98</v>
      </c>
      <c r="BE1545" s="296" t="s">
        <v>98</v>
      </c>
      <c r="BF1545" s="292" t="s">
        <v>1358</v>
      </c>
      <c r="BG1545" s="292"/>
      <c r="BH1545" s="9" t="s">
        <v>100</v>
      </c>
      <c r="BI1545" s="9" t="s">
        <v>100</v>
      </c>
      <c r="BJ1545" s="298"/>
      <c r="BN1545" s="298"/>
      <c r="BO1545" s="298"/>
    </row>
    <row r="1546" spans="1:67" s="299" customFormat="1" ht="78" hidden="1" x14ac:dyDescent="0.35">
      <c r="A1546" s="291">
        <v>4566</v>
      </c>
      <c r="B1546" s="291" t="s">
        <v>9164</v>
      </c>
      <c r="C1546" s="292" t="s">
        <v>9148</v>
      </c>
      <c r="D1546" s="292" t="s">
        <v>9169</v>
      </c>
      <c r="E1546" s="291" t="s">
        <v>35</v>
      </c>
      <c r="F1546" s="292" t="s">
        <v>130</v>
      </c>
      <c r="G1546" s="291" t="s">
        <v>225</v>
      </c>
      <c r="H1546" s="291" t="s">
        <v>125</v>
      </c>
      <c r="I1546" s="291" t="s">
        <v>114</v>
      </c>
      <c r="J1546" s="292" t="s">
        <v>98</v>
      </c>
      <c r="K1546" s="291" t="s">
        <v>98</v>
      </c>
      <c r="L1546" s="291" t="s">
        <v>98</v>
      </c>
      <c r="M1546" s="291" t="s">
        <v>98</v>
      </c>
      <c r="N1546" s="292" t="s">
        <v>9166</v>
      </c>
      <c r="O1546" s="292" t="s">
        <v>276</v>
      </c>
      <c r="P1546" s="292" t="s">
        <v>236</v>
      </c>
      <c r="Q1546" s="293">
        <v>39964</v>
      </c>
      <c r="R1546" s="292" t="s">
        <v>276</v>
      </c>
      <c r="S1546" s="292" t="s">
        <v>276</v>
      </c>
      <c r="T1546" s="292" t="s">
        <v>98</v>
      </c>
      <c r="U1546" s="292">
        <v>1</v>
      </c>
      <c r="V1546" s="291" t="s">
        <v>14</v>
      </c>
      <c r="W1546" s="291" t="s">
        <v>98</v>
      </c>
      <c r="X1546" s="292" t="s">
        <v>209</v>
      </c>
      <c r="Y1546" s="294" t="s">
        <v>98</v>
      </c>
      <c r="Z1546" s="292" t="s">
        <v>98</v>
      </c>
      <c r="AA1546" s="292" t="s">
        <v>276</v>
      </c>
      <c r="AB1546" s="292" t="s">
        <v>98</v>
      </c>
      <c r="AC1546" s="291" t="s">
        <v>276</v>
      </c>
      <c r="AD1546" s="291" t="s">
        <v>276</v>
      </c>
      <c r="AE1546" s="291" t="s">
        <v>98</v>
      </c>
      <c r="AF1546" s="291" t="s">
        <v>98</v>
      </c>
      <c r="AG1546" s="292" t="s">
        <v>9167</v>
      </c>
      <c r="AH1546" s="292" t="s">
        <v>11448</v>
      </c>
      <c r="AI1546" s="295">
        <v>30</v>
      </c>
      <c r="AJ1546" s="295" t="s">
        <v>98</v>
      </c>
      <c r="AK1546" s="295">
        <v>80</v>
      </c>
      <c r="AL1546" s="295" t="s">
        <v>276</v>
      </c>
      <c r="AM1546" s="295" t="s">
        <v>292</v>
      </c>
      <c r="AN1546" s="292" t="s">
        <v>276</v>
      </c>
      <c r="AO1546" s="296">
        <f>AI1546*100/AK1546</f>
        <v>37.5</v>
      </c>
      <c r="AP1546" s="291" t="s">
        <v>276</v>
      </c>
      <c r="AQ1546" s="421" t="s">
        <v>276</v>
      </c>
      <c r="AR1546" s="291" t="s">
        <v>276</v>
      </c>
      <c r="AS1546" s="296" t="s">
        <v>98</v>
      </c>
      <c r="AT1546" s="296" t="s">
        <v>98</v>
      </c>
      <c r="AU1546" s="296" t="s">
        <v>98</v>
      </c>
      <c r="AV1546" s="296" t="s">
        <v>98</v>
      </c>
      <c r="AW1546" s="296" t="s">
        <v>98</v>
      </c>
      <c r="AX1546" s="296" t="s">
        <v>98</v>
      </c>
      <c r="AY1546" s="296" t="s">
        <v>98</v>
      </c>
      <c r="AZ1546" s="296" t="s">
        <v>98</v>
      </c>
      <c r="BA1546" s="296" t="s">
        <v>98</v>
      </c>
      <c r="BB1546" s="296" t="s">
        <v>98</v>
      </c>
      <c r="BC1546" s="296" t="s">
        <v>98</v>
      </c>
      <c r="BD1546" s="296" t="s">
        <v>98</v>
      </c>
      <c r="BE1546" s="296" t="s">
        <v>98</v>
      </c>
      <c r="BF1546" s="292" t="s">
        <v>1358</v>
      </c>
      <c r="BG1546" s="292"/>
      <c r="BH1546" s="9" t="s">
        <v>100</v>
      </c>
      <c r="BI1546" s="9" t="s">
        <v>100</v>
      </c>
      <c r="BJ1546" s="298"/>
      <c r="BN1546" s="298"/>
      <c r="BO1546" s="298"/>
    </row>
    <row r="1547" spans="1:67" s="33" customFormat="1" ht="78" hidden="1" x14ac:dyDescent="0.35">
      <c r="A1547" s="8">
        <v>4566</v>
      </c>
      <c r="B1547" s="8" t="s">
        <v>9164</v>
      </c>
      <c r="C1547" s="9" t="s">
        <v>9148</v>
      </c>
      <c r="D1547" s="9" t="s">
        <v>9170</v>
      </c>
      <c r="E1547" s="8" t="s">
        <v>35</v>
      </c>
      <c r="F1547" s="9" t="s">
        <v>130</v>
      </c>
      <c r="G1547" s="8" t="s">
        <v>225</v>
      </c>
      <c r="H1547" s="8" t="s">
        <v>125</v>
      </c>
      <c r="I1547" s="8" t="s">
        <v>114</v>
      </c>
      <c r="J1547" s="9" t="s">
        <v>25</v>
      </c>
      <c r="K1547" s="8" t="s">
        <v>9171</v>
      </c>
      <c r="L1547" s="8" t="s">
        <v>9172</v>
      </c>
      <c r="M1547" s="8" t="s">
        <v>9171</v>
      </c>
      <c r="N1547" s="9" t="s">
        <v>9166</v>
      </c>
      <c r="O1547" s="9" t="s">
        <v>276</v>
      </c>
      <c r="P1547" s="9" t="s">
        <v>239</v>
      </c>
      <c r="Q1547" s="52">
        <v>39964</v>
      </c>
      <c r="R1547" s="9" t="s">
        <v>276</v>
      </c>
      <c r="S1547" s="9" t="s">
        <v>276</v>
      </c>
      <c r="T1547" s="9" t="s">
        <v>276</v>
      </c>
      <c r="U1547" s="9">
        <v>1</v>
      </c>
      <c r="V1547" s="8" t="s">
        <v>14</v>
      </c>
      <c r="W1547" s="8" t="s">
        <v>98</v>
      </c>
      <c r="X1547" s="9" t="s">
        <v>207</v>
      </c>
      <c r="Y1547" s="13">
        <v>55844</v>
      </c>
      <c r="Z1547" s="9">
        <v>59808</v>
      </c>
      <c r="AA1547" s="9" t="s">
        <v>276</v>
      </c>
      <c r="AB1547" s="9" t="s">
        <v>276</v>
      </c>
      <c r="AC1547" s="8">
        <v>9</v>
      </c>
      <c r="AD1547" s="8" t="s">
        <v>968</v>
      </c>
      <c r="AE1547" s="8">
        <v>4</v>
      </c>
      <c r="AF1547" s="8" t="s">
        <v>968</v>
      </c>
      <c r="AG1547" s="9" t="s">
        <v>9173</v>
      </c>
      <c r="AH1547" s="9" t="s">
        <v>9174</v>
      </c>
      <c r="AI1547" s="38">
        <v>35</v>
      </c>
      <c r="AJ1547" s="38">
        <v>16</v>
      </c>
      <c r="AK1547" s="38">
        <v>190370</v>
      </c>
      <c r="AL1547" s="38">
        <v>203925</v>
      </c>
      <c r="AM1547" s="38" t="s">
        <v>1019</v>
      </c>
      <c r="AN1547" s="9" t="s">
        <v>276</v>
      </c>
      <c r="AO1547" s="14">
        <f>AI1547*100000/AK1547</f>
        <v>18.385249776750538</v>
      </c>
      <c r="AP1547" s="8" t="s">
        <v>276</v>
      </c>
      <c r="AQ1547" s="43" t="s">
        <v>276</v>
      </c>
      <c r="AR1547" s="8" t="s">
        <v>276</v>
      </c>
      <c r="AS1547" s="40">
        <f>AJ1547*100000/AL1547</f>
        <v>7.8460218217481916</v>
      </c>
      <c r="AT1547" s="14" t="s">
        <v>276</v>
      </c>
      <c r="AU1547" s="14" t="s">
        <v>276</v>
      </c>
      <c r="AV1547" s="14" t="s">
        <v>269</v>
      </c>
      <c r="AW1547" s="14" t="s">
        <v>276</v>
      </c>
      <c r="AX1547" s="14">
        <f t="shared" ref="AX1547:AX1559" si="454">AO1547/AS1547</f>
        <v>2.3432575379524083</v>
      </c>
      <c r="AY1547" s="14" t="s">
        <v>276</v>
      </c>
      <c r="AZ1547" s="14" t="s">
        <v>276</v>
      </c>
      <c r="BA1547" s="14" t="s">
        <v>276</v>
      </c>
      <c r="BB1547" s="14" t="s">
        <v>3351</v>
      </c>
      <c r="BC1547" s="43">
        <f>18.8/8.1</f>
        <v>2.3209876543209877</v>
      </c>
      <c r="BD1547" s="14" t="s">
        <v>276</v>
      </c>
      <c r="BE1547" s="14" t="s">
        <v>276</v>
      </c>
      <c r="BF1547" s="9" t="s">
        <v>9175</v>
      </c>
      <c r="BG1547" s="9"/>
      <c r="BH1547" s="9" t="s">
        <v>100</v>
      </c>
      <c r="BI1547" s="9" t="s">
        <v>100</v>
      </c>
      <c r="BJ1547" s="32"/>
      <c r="BN1547" s="32"/>
      <c r="BO1547" s="32"/>
    </row>
    <row r="1548" spans="1:67" s="33" customFormat="1" ht="78" hidden="1" x14ac:dyDescent="0.35">
      <c r="A1548" s="8">
        <v>4566</v>
      </c>
      <c r="B1548" s="8" t="s">
        <v>9164</v>
      </c>
      <c r="C1548" s="9" t="s">
        <v>9148</v>
      </c>
      <c r="D1548" s="9" t="s">
        <v>9176</v>
      </c>
      <c r="E1548" s="8" t="s">
        <v>35</v>
      </c>
      <c r="F1548" s="9" t="s">
        <v>130</v>
      </c>
      <c r="G1548" s="8" t="s">
        <v>225</v>
      </c>
      <c r="H1548" s="8" t="s">
        <v>125</v>
      </c>
      <c r="I1548" s="8" t="s">
        <v>114</v>
      </c>
      <c r="J1548" s="9" t="s">
        <v>25</v>
      </c>
      <c r="K1548" s="8" t="s">
        <v>9171</v>
      </c>
      <c r="L1548" s="8" t="s">
        <v>9172</v>
      </c>
      <c r="M1548" s="8" t="s">
        <v>9171</v>
      </c>
      <c r="N1548" s="9" t="s">
        <v>9166</v>
      </c>
      <c r="O1548" s="9" t="s">
        <v>276</v>
      </c>
      <c r="P1548" s="9" t="s">
        <v>239</v>
      </c>
      <c r="Q1548" s="52">
        <v>39964</v>
      </c>
      <c r="R1548" s="9" t="s">
        <v>276</v>
      </c>
      <c r="S1548" s="9" t="s">
        <v>276</v>
      </c>
      <c r="T1548" s="9" t="s">
        <v>276</v>
      </c>
      <c r="U1548" s="9">
        <v>1</v>
      </c>
      <c r="V1548" s="8" t="s">
        <v>14</v>
      </c>
      <c r="W1548" s="8" t="s">
        <v>98</v>
      </c>
      <c r="X1548" s="9" t="s">
        <v>207</v>
      </c>
      <c r="Y1548" s="13">
        <v>55844</v>
      </c>
      <c r="Z1548" s="9">
        <v>59808</v>
      </c>
      <c r="AA1548" s="9" t="s">
        <v>276</v>
      </c>
      <c r="AB1548" s="9" t="s">
        <v>276</v>
      </c>
      <c r="AC1548" s="8">
        <v>9</v>
      </c>
      <c r="AD1548" s="8" t="s">
        <v>968</v>
      </c>
      <c r="AE1548" s="8">
        <v>4</v>
      </c>
      <c r="AF1548" s="8" t="s">
        <v>968</v>
      </c>
      <c r="AG1548" s="9" t="s">
        <v>9173</v>
      </c>
      <c r="AH1548" s="9" t="s">
        <v>280</v>
      </c>
      <c r="AI1548" s="38">
        <v>35</v>
      </c>
      <c r="AJ1548" s="38">
        <v>16</v>
      </c>
      <c r="AK1548" s="38">
        <v>55844</v>
      </c>
      <c r="AL1548" s="38">
        <v>59808</v>
      </c>
      <c r="AM1548" s="38" t="s">
        <v>281</v>
      </c>
      <c r="AN1548" s="9" t="s">
        <v>276</v>
      </c>
      <c r="AO1548" s="14">
        <f>AI1548*1000/AK1548</f>
        <v>0.62674593510493515</v>
      </c>
      <c r="AP1548" s="8" t="s">
        <v>276</v>
      </c>
      <c r="AQ1548" s="43" t="s">
        <v>276</v>
      </c>
      <c r="AR1548" s="8" t="s">
        <v>276</v>
      </c>
      <c r="AS1548" s="14">
        <f>AJ1548*1000/AL1548</f>
        <v>0.26752273943285182</v>
      </c>
      <c r="AT1548" s="14" t="s">
        <v>276</v>
      </c>
      <c r="AU1548" s="14" t="s">
        <v>276</v>
      </c>
      <c r="AV1548" s="14" t="s">
        <v>268</v>
      </c>
      <c r="AW1548" s="14" t="s">
        <v>276</v>
      </c>
      <c r="AX1548" s="14">
        <f t="shared" si="454"/>
        <v>2.3427763054222472</v>
      </c>
      <c r="AY1548" s="14" t="s">
        <v>276</v>
      </c>
      <c r="AZ1548" s="14" t="s">
        <v>276</v>
      </c>
      <c r="BA1548" s="14" t="s">
        <v>276</v>
      </c>
      <c r="BB1548" s="14" t="s">
        <v>282</v>
      </c>
      <c r="BC1548" s="14" t="s">
        <v>276</v>
      </c>
      <c r="BD1548" s="14" t="s">
        <v>276</v>
      </c>
      <c r="BE1548" s="14" t="s">
        <v>276</v>
      </c>
      <c r="BF1548" s="9" t="s">
        <v>4764</v>
      </c>
      <c r="BG1548" s="9"/>
      <c r="BH1548" s="9" t="s">
        <v>100</v>
      </c>
      <c r="BI1548" s="9" t="s">
        <v>100</v>
      </c>
      <c r="BJ1548" s="32"/>
      <c r="BN1548" s="32"/>
      <c r="BO1548" s="32"/>
    </row>
    <row r="1549" spans="1:67" s="299" customFormat="1" ht="78" hidden="1" x14ac:dyDescent="0.35">
      <c r="A1549" s="291">
        <v>4566</v>
      </c>
      <c r="B1549" s="291" t="s">
        <v>9164</v>
      </c>
      <c r="C1549" s="292" t="s">
        <v>9148</v>
      </c>
      <c r="D1549" s="292" t="s">
        <v>9177</v>
      </c>
      <c r="E1549" s="291" t="s">
        <v>35</v>
      </c>
      <c r="F1549" s="292" t="s">
        <v>130</v>
      </c>
      <c r="G1549" s="291" t="s">
        <v>225</v>
      </c>
      <c r="H1549" s="291" t="s">
        <v>125</v>
      </c>
      <c r="I1549" s="291" t="s">
        <v>114</v>
      </c>
      <c r="J1549" s="292" t="s">
        <v>25</v>
      </c>
      <c r="K1549" s="291" t="s">
        <v>9171</v>
      </c>
      <c r="L1549" s="291" t="s">
        <v>9172</v>
      </c>
      <c r="M1549" s="291" t="s">
        <v>9171</v>
      </c>
      <c r="N1549" s="292" t="s">
        <v>9166</v>
      </c>
      <c r="O1549" s="292" t="s">
        <v>276</v>
      </c>
      <c r="P1549" s="292" t="s">
        <v>239</v>
      </c>
      <c r="Q1549" s="293">
        <v>39964</v>
      </c>
      <c r="R1549" s="292" t="s">
        <v>276</v>
      </c>
      <c r="S1549" s="292" t="s">
        <v>276</v>
      </c>
      <c r="T1549" s="292" t="s">
        <v>276</v>
      </c>
      <c r="U1549" s="292">
        <v>1</v>
      </c>
      <c r="V1549" s="291" t="s">
        <v>14</v>
      </c>
      <c r="W1549" s="291" t="s">
        <v>98</v>
      </c>
      <c r="X1549" s="292" t="s">
        <v>207</v>
      </c>
      <c r="Y1549" s="294">
        <v>55844</v>
      </c>
      <c r="Z1549" s="292">
        <v>59808</v>
      </c>
      <c r="AA1549" s="292" t="s">
        <v>276</v>
      </c>
      <c r="AB1549" s="292" t="s">
        <v>276</v>
      </c>
      <c r="AC1549" s="291">
        <v>9</v>
      </c>
      <c r="AD1549" s="291" t="s">
        <v>968</v>
      </c>
      <c r="AE1549" s="291">
        <v>4</v>
      </c>
      <c r="AF1549" s="291" t="s">
        <v>968</v>
      </c>
      <c r="AG1549" s="292" t="s">
        <v>9178</v>
      </c>
      <c r="AH1549" s="292" t="s">
        <v>9174</v>
      </c>
      <c r="AI1549" s="295">
        <v>36</v>
      </c>
      <c r="AJ1549" s="295">
        <v>43</v>
      </c>
      <c r="AK1549" s="295">
        <v>190370</v>
      </c>
      <c r="AL1549" s="295">
        <v>203925</v>
      </c>
      <c r="AM1549" s="295" t="s">
        <v>1019</v>
      </c>
      <c r="AN1549" s="292" t="s">
        <v>276</v>
      </c>
      <c r="AO1549" s="296">
        <f>AI1549*100000/AK1549</f>
        <v>18.91054262751484</v>
      </c>
      <c r="AP1549" s="291" t="s">
        <v>276</v>
      </c>
      <c r="AQ1549" s="421" t="s">
        <v>276</v>
      </c>
      <c r="AR1549" s="291" t="s">
        <v>276</v>
      </c>
      <c r="AS1549" s="296">
        <f>AJ1549*100000/AL1549</f>
        <v>21.086183645948264</v>
      </c>
      <c r="AT1549" s="296" t="s">
        <v>276</v>
      </c>
      <c r="AU1549" s="296" t="s">
        <v>276</v>
      </c>
      <c r="AV1549" s="296" t="s">
        <v>269</v>
      </c>
      <c r="AW1549" s="296" t="s">
        <v>276</v>
      </c>
      <c r="AX1549" s="296">
        <f t="shared" si="454"/>
        <v>0.89682148960836372</v>
      </c>
      <c r="AY1549" s="296" t="s">
        <v>276</v>
      </c>
      <c r="AZ1549" s="296" t="s">
        <v>276</v>
      </c>
      <c r="BA1549" s="296" t="s">
        <v>276</v>
      </c>
      <c r="BB1549" s="296" t="s">
        <v>3351</v>
      </c>
      <c r="BC1549" s="296">
        <f>19.6/21.7</f>
        <v>0.90322580645161299</v>
      </c>
      <c r="BD1549" s="296" t="s">
        <v>276</v>
      </c>
      <c r="BE1549" s="296" t="s">
        <v>276</v>
      </c>
      <c r="BF1549" s="292" t="s">
        <v>9179</v>
      </c>
      <c r="BG1549" s="292"/>
      <c r="BH1549" s="9" t="s">
        <v>100</v>
      </c>
      <c r="BI1549" s="9" t="s">
        <v>100</v>
      </c>
      <c r="BJ1549" s="298"/>
      <c r="BN1549" s="298"/>
      <c r="BO1549" s="298"/>
    </row>
    <row r="1550" spans="1:67" s="299" customFormat="1" ht="78" hidden="1" x14ac:dyDescent="0.35">
      <c r="A1550" s="291">
        <v>4566</v>
      </c>
      <c r="B1550" s="291" t="s">
        <v>9164</v>
      </c>
      <c r="C1550" s="292" t="s">
        <v>9148</v>
      </c>
      <c r="D1550" s="292" t="s">
        <v>9180</v>
      </c>
      <c r="E1550" s="291" t="s">
        <v>35</v>
      </c>
      <c r="F1550" s="292" t="s">
        <v>130</v>
      </c>
      <c r="G1550" s="291" t="s">
        <v>225</v>
      </c>
      <c r="H1550" s="291" t="s">
        <v>125</v>
      </c>
      <c r="I1550" s="291" t="s">
        <v>114</v>
      </c>
      <c r="J1550" s="292" t="s">
        <v>25</v>
      </c>
      <c r="K1550" s="291" t="s">
        <v>9172</v>
      </c>
      <c r="L1550" s="291" t="s">
        <v>9172</v>
      </c>
      <c r="M1550" s="291" t="s">
        <v>9171</v>
      </c>
      <c r="N1550" s="292" t="s">
        <v>9166</v>
      </c>
      <c r="O1550" s="292" t="s">
        <v>276</v>
      </c>
      <c r="P1550" s="292" t="s">
        <v>239</v>
      </c>
      <c r="Q1550" s="293">
        <v>39964</v>
      </c>
      <c r="R1550" s="292" t="s">
        <v>276</v>
      </c>
      <c r="S1550" s="292" t="s">
        <v>276</v>
      </c>
      <c r="T1550" s="292" t="s">
        <v>276</v>
      </c>
      <c r="U1550" s="292">
        <v>1</v>
      </c>
      <c r="V1550" s="291" t="s">
        <v>14</v>
      </c>
      <c r="W1550" s="291" t="s">
        <v>98</v>
      </c>
      <c r="X1550" s="292" t="s">
        <v>207</v>
      </c>
      <c r="Y1550" s="294">
        <v>55844</v>
      </c>
      <c r="Z1550" s="292">
        <v>59808</v>
      </c>
      <c r="AA1550" s="292" t="s">
        <v>276</v>
      </c>
      <c r="AB1550" s="292" t="s">
        <v>276</v>
      </c>
      <c r="AC1550" s="291">
        <v>9</v>
      </c>
      <c r="AD1550" s="291" t="s">
        <v>968</v>
      </c>
      <c r="AE1550" s="291">
        <v>4</v>
      </c>
      <c r="AF1550" s="291" t="s">
        <v>968</v>
      </c>
      <c r="AG1550" s="292" t="s">
        <v>9178</v>
      </c>
      <c r="AH1550" s="292" t="s">
        <v>280</v>
      </c>
      <c r="AI1550" s="295">
        <v>36</v>
      </c>
      <c r="AJ1550" s="295">
        <v>43</v>
      </c>
      <c r="AK1550" s="295">
        <v>55844</v>
      </c>
      <c r="AL1550" s="295">
        <v>59808</v>
      </c>
      <c r="AM1550" s="295" t="s">
        <v>281</v>
      </c>
      <c r="AN1550" s="292" t="s">
        <v>276</v>
      </c>
      <c r="AO1550" s="296">
        <f>AI1550*1000/AK1550</f>
        <v>0.64465296182221898</v>
      </c>
      <c r="AP1550" s="291" t="s">
        <v>276</v>
      </c>
      <c r="AQ1550" s="421" t="s">
        <v>276</v>
      </c>
      <c r="AR1550" s="291" t="s">
        <v>276</v>
      </c>
      <c r="AS1550" s="296">
        <f>AJ1550*1000/AL1550</f>
        <v>0.71896736222578916</v>
      </c>
      <c r="AT1550" s="296" t="s">
        <v>276</v>
      </c>
      <c r="AU1550" s="296" t="s">
        <v>276</v>
      </c>
      <c r="AV1550" s="296" t="s">
        <v>268</v>
      </c>
      <c r="AW1550" s="296" t="s">
        <v>276</v>
      </c>
      <c r="AX1550" s="296">
        <f t="shared" si="454"/>
        <v>0.8966373102479831</v>
      </c>
      <c r="AY1550" s="296" t="s">
        <v>276</v>
      </c>
      <c r="AZ1550" s="296" t="s">
        <v>276</v>
      </c>
      <c r="BA1550" s="296" t="s">
        <v>276</v>
      </c>
      <c r="BB1550" s="296" t="s">
        <v>282</v>
      </c>
      <c r="BC1550" s="296" t="s">
        <v>276</v>
      </c>
      <c r="BD1550" s="296" t="s">
        <v>276</v>
      </c>
      <c r="BE1550" s="296" t="s">
        <v>276</v>
      </c>
      <c r="BF1550" s="292" t="s">
        <v>4764</v>
      </c>
      <c r="BG1550" s="292"/>
      <c r="BH1550" s="9" t="s">
        <v>100</v>
      </c>
      <c r="BI1550" s="9" t="s">
        <v>100</v>
      </c>
      <c r="BJ1550" s="298"/>
      <c r="BN1550" s="298"/>
      <c r="BO1550" s="298"/>
    </row>
    <row r="1551" spans="1:67" s="299" customFormat="1" ht="78" hidden="1" x14ac:dyDescent="0.35">
      <c r="A1551" s="291">
        <v>4566</v>
      </c>
      <c r="B1551" s="291" t="s">
        <v>9164</v>
      </c>
      <c r="C1551" s="292" t="s">
        <v>9148</v>
      </c>
      <c r="D1551" s="292" t="s">
        <v>9181</v>
      </c>
      <c r="E1551" s="291" t="s">
        <v>35</v>
      </c>
      <c r="F1551" s="292" t="s">
        <v>130</v>
      </c>
      <c r="G1551" s="291" t="s">
        <v>225</v>
      </c>
      <c r="H1551" s="291" t="s">
        <v>125</v>
      </c>
      <c r="I1551" s="291" t="s">
        <v>114</v>
      </c>
      <c r="J1551" s="292" t="s">
        <v>25</v>
      </c>
      <c r="K1551" s="291" t="s">
        <v>9172</v>
      </c>
      <c r="L1551" s="291" t="s">
        <v>9172</v>
      </c>
      <c r="M1551" s="291" t="s">
        <v>9171</v>
      </c>
      <c r="N1551" s="292" t="s">
        <v>9166</v>
      </c>
      <c r="O1551" s="292" t="s">
        <v>276</v>
      </c>
      <c r="P1551" s="292" t="s">
        <v>235</v>
      </c>
      <c r="Q1551" s="293">
        <v>39964</v>
      </c>
      <c r="R1551" s="292" t="s">
        <v>276</v>
      </c>
      <c r="S1551" s="292" t="s">
        <v>276</v>
      </c>
      <c r="T1551" s="292" t="s">
        <v>276</v>
      </c>
      <c r="U1551" s="292">
        <v>1</v>
      </c>
      <c r="V1551" s="291" t="s">
        <v>14</v>
      </c>
      <c r="W1551" s="291" t="s">
        <v>98</v>
      </c>
      <c r="X1551" s="292" t="s">
        <v>207</v>
      </c>
      <c r="Y1551" s="294">
        <v>55844</v>
      </c>
      <c r="Z1551" s="292">
        <v>59808</v>
      </c>
      <c r="AA1551" s="292" t="s">
        <v>276</v>
      </c>
      <c r="AB1551" s="292" t="s">
        <v>276</v>
      </c>
      <c r="AC1551" s="291">
        <v>9</v>
      </c>
      <c r="AD1551" s="291" t="s">
        <v>968</v>
      </c>
      <c r="AE1551" s="291">
        <v>4</v>
      </c>
      <c r="AF1551" s="291" t="s">
        <v>968</v>
      </c>
      <c r="AG1551" s="292" t="s">
        <v>9178</v>
      </c>
      <c r="AH1551" s="292" t="s">
        <v>9182</v>
      </c>
      <c r="AI1551" s="295">
        <v>36</v>
      </c>
      <c r="AJ1551" s="295">
        <v>43</v>
      </c>
      <c r="AK1551" s="295">
        <v>80</v>
      </c>
      <c r="AL1551" s="295">
        <v>63</v>
      </c>
      <c r="AM1551" s="295" t="s">
        <v>292</v>
      </c>
      <c r="AN1551" s="495">
        <v>45</v>
      </c>
      <c r="AO1551" s="296">
        <f>AI1551*100/AK1551</f>
        <v>45</v>
      </c>
      <c r="AP1551" s="291">
        <v>34.1</v>
      </c>
      <c r="AQ1551" s="421">
        <v>55.9</v>
      </c>
      <c r="AR1551" s="291">
        <v>68.3</v>
      </c>
      <c r="AS1551" s="296">
        <f>AJ1551*100/AL1551</f>
        <v>68.253968253968253</v>
      </c>
      <c r="AT1551" s="421">
        <v>56.8</v>
      </c>
      <c r="AU1551" s="421">
        <v>79.7</v>
      </c>
      <c r="AV1551" s="296" t="s">
        <v>268</v>
      </c>
      <c r="AW1551" s="296" t="s">
        <v>276</v>
      </c>
      <c r="AX1551" s="296">
        <f t="shared" si="454"/>
        <v>0.65930232558139534</v>
      </c>
      <c r="AY1551" s="296" t="s">
        <v>276</v>
      </c>
      <c r="AZ1551" s="296" t="s">
        <v>276</v>
      </c>
      <c r="BA1551" s="296">
        <v>5.0000000000000001E-3</v>
      </c>
      <c r="BB1551" s="296" t="s">
        <v>282</v>
      </c>
      <c r="BC1551" s="296" t="s">
        <v>276</v>
      </c>
      <c r="BD1551" s="296" t="s">
        <v>276</v>
      </c>
      <c r="BE1551" s="296" t="s">
        <v>276</v>
      </c>
      <c r="BF1551" s="292" t="s">
        <v>4764</v>
      </c>
      <c r="BG1551" s="292"/>
      <c r="BH1551" s="9" t="s">
        <v>100</v>
      </c>
      <c r="BI1551" s="9" t="s">
        <v>100</v>
      </c>
      <c r="BJ1551" s="298"/>
      <c r="BN1551" s="298"/>
      <c r="BO1551" s="298"/>
    </row>
    <row r="1552" spans="1:67" s="33" customFormat="1" ht="78" hidden="1" x14ac:dyDescent="0.35">
      <c r="A1552" s="8">
        <v>4566</v>
      </c>
      <c r="B1552" s="8" t="s">
        <v>9164</v>
      </c>
      <c r="C1552" s="9" t="s">
        <v>9148</v>
      </c>
      <c r="D1552" s="9" t="s">
        <v>9183</v>
      </c>
      <c r="E1552" s="8" t="s">
        <v>35</v>
      </c>
      <c r="F1552" s="9" t="s">
        <v>130</v>
      </c>
      <c r="G1552" s="8" t="s">
        <v>225</v>
      </c>
      <c r="H1552" s="8" t="s">
        <v>125</v>
      </c>
      <c r="I1552" s="8" t="s">
        <v>114</v>
      </c>
      <c r="J1552" s="9" t="s">
        <v>25</v>
      </c>
      <c r="K1552" s="8" t="s">
        <v>9184</v>
      </c>
      <c r="L1552" s="8" t="s">
        <v>9172</v>
      </c>
      <c r="M1552" s="8" t="s">
        <v>9171</v>
      </c>
      <c r="N1552" s="9" t="s">
        <v>9166</v>
      </c>
      <c r="O1552" s="9" t="s">
        <v>276</v>
      </c>
      <c r="P1552" s="9" t="s">
        <v>239</v>
      </c>
      <c r="Q1552" s="52">
        <v>39964</v>
      </c>
      <c r="R1552" s="9" t="s">
        <v>276</v>
      </c>
      <c r="S1552" s="9" t="s">
        <v>276</v>
      </c>
      <c r="T1552" s="9" t="s">
        <v>276</v>
      </c>
      <c r="U1552" s="9">
        <v>1</v>
      </c>
      <c r="V1552" s="8" t="s">
        <v>14</v>
      </c>
      <c r="W1552" s="8" t="s">
        <v>98</v>
      </c>
      <c r="X1552" s="9" t="s">
        <v>207</v>
      </c>
      <c r="Y1552" s="13">
        <v>55844</v>
      </c>
      <c r="Z1552" s="9">
        <v>59808</v>
      </c>
      <c r="AA1552" s="9" t="s">
        <v>276</v>
      </c>
      <c r="AB1552" s="9" t="s">
        <v>276</v>
      </c>
      <c r="AC1552" s="8">
        <v>9</v>
      </c>
      <c r="AD1552" s="8" t="s">
        <v>968</v>
      </c>
      <c r="AE1552" s="8">
        <v>4</v>
      </c>
      <c r="AF1552" s="8" t="s">
        <v>968</v>
      </c>
      <c r="AG1552" s="9" t="s">
        <v>9185</v>
      </c>
      <c r="AH1552" s="9" t="s">
        <v>9174</v>
      </c>
      <c r="AI1552" s="38">
        <v>11</v>
      </c>
      <c r="AJ1552" s="38">
        <v>2</v>
      </c>
      <c r="AK1552" s="38">
        <v>190370</v>
      </c>
      <c r="AL1552" s="38">
        <v>203925</v>
      </c>
      <c r="AM1552" s="38" t="s">
        <v>1019</v>
      </c>
      <c r="AN1552" s="9" t="s">
        <v>276</v>
      </c>
      <c r="AO1552" s="14">
        <f>AI1552*100000/AK1552</f>
        <v>5.7782213584073121</v>
      </c>
      <c r="AP1552" s="8" t="s">
        <v>276</v>
      </c>
      <c r="AQ1552" s="43" t="s">
        <v>276</v>
      </c>
      <c r="AR1552" s="8" t="s">
        <v>276</v>
      </c>
      <c r="AS1552" s="14">
        <f>AJ1552*100000/AL1552</f>
        <v>0.98075272771852395</v>
      </c>
      <c r="AT1552" s="14" t="s">
        <v>276</v>
      </c>
      <c r="AU1552" s="14" t="s">
        <v>276</v>
      </c>
      <c r="AV1552" s="14" t="s">
        <v>269</v>
      </c>
      <c r="AW1552" s="14" t="s">
        <v>276</v>
      </c>
      <c r="AX1552" s="14">
        <f t="shared" si="454"/>
        <v>5.8916189525660556</v>
      </c>
      <c r="AY1552" s="14" t="s">
        <v>276</v>
      </c>
      <c r="AZ1552" s="14" t="s">
        <v>276</v>
      </c>
      <c r="BA1552" s="14" t="s">
        <v>276</v>
      </c>
      <c r="BB1552" s="14" t="s">
        <v>282</v>
      </c>
      <c r="BC1552" s="14" t="s">
        <v>276</v>
      </c>
      <c r="BD1552" s="14" t="s">
        <v>276</v>
      </c>
      <c r="BE1552" s="14" t="s">
        <v>276</v>
      </c>
      <c r="BF1552" s="9" t="s">
        <v>1168</v>
      </c>
      <c r="BG1552" s="9"/>
      <c r="BH1552" s="9" t="s">
        <v>100</v>
      </c>
      <c r="BI1552" s="9" t="s">
        <v>100</v>
      </c>
      <c r="BJ1552" s="32"/>
      <c r="BN1552" s="32"/>
      <c r="BO1552" s="32"/>
    </row>
    <row r="1553" spans="1:67" s="33" customFormat="1" ht="78" hidden="1" x14ac:dyDescent="0.35">
      <c r="A1553" s="8">
        <v>4566</v>
      </c>
      <c r="B1553" s="8" t="s">
        <v>9164</v>
      </c>
      <c r="C1553" s="9" t="s">
        <v>9148</v>
      </c>
      <c r="D1553" s="9" t="s">
        <v>9186</v>
      </c>
      <c r="E1553" s="8" t="s">
        <v>35</v>
      </c>
      <c r="F1553" s="9" t="s">
        <v>130</v>
      </c>
      <c r="G1553" s="8" t="s">
        <v>225</v>
      </c>
      <c r="H1553" s="8" t="s">
        <v>125</v>
      </c>
      <c r="I1553" s="8" t="s">
        <v>114</v>
      </c>
      <c r="J1553" s="9" t="s">
        <v>25</v>
      </c>
      <c r="K1553" s="8" t="s">
        <v>9184</v>
      </c>
      <c r="L1553" s="8" t="s">
        <v>9172</v>
      </c>
      <c r="M1553" s="8" t="s">
        <v>9171</v>
      </c>
      <c r="N1553" s="9" t="s">
        <v>9166</v>
      </c>
      <c r="O1553" s="9" t="s">
        <v>276</v>
      </c>
      <c r="P1553" s="9" t="s">
        <v>239</v>
      </c>
      <c r="Q1553" s="52">
        <v>39964</v>
      </c>
      <c r="R1553" s="9" t="s">
        <v>276</v>
      </c>
      <c r="S1553" s="9" t="s">
        <v>276</v>
      </c>
      <c r="T1553" s="9" t="s">
        <v>276</v>
      </c>
      <c r="U1553" s="9">
        <v>1</v>
      </c>
      <c r="V1553" s="8" t="s">
        <v>14</v>
      </c>
      <c r="W1553" s="8" t="s">
        <v>98</v>
      </c>
      <c r="X1553" s="9" t="s">
        <v>207</v>
      </c>
      <c r="Y1553" s="13">
        <v>55844</v>
      </c>
      <c r="Z1553" s="9">
        <v>59808</v>
      </c>
      <c r="AA1553" s="9" t="s">
        <v>276</v>
      </c>
      <c r="AB1553" s="9" t="s">
        <v>276</v>
      </c>
      <c r="AC1553" s="8">
        <v>9</v>
      </c>
      <c r="AD1553" s="8" t="s">
        <v>968</v>
      </c>
      <c r="AE1553" s="8">
        <v>4</v>
      </c>
      <c r="AF1553" s="8" t="s">
        <v>968</v>
      </c>
      <c r="AG1553" s="9" t="s">
        <v>9185</v>
      </c>
      <c r="AH1553" s="9" t="s">
        <v>280</v>
      </c>
      <c r="AI1553" s="38">
        <v>11</v>
      </c>
      <c r="AJ1553" s="38">
        <v>2</v>
      </c>
      <c r="AK1553" s="38">
        <v>55844</v>
      </c>
      <c r="AL1553" s="38">
        <v>59808</v>
      </c>
      <c r="AM1553" s="38" t="s">
        <v>281</v>
      </c>
      <c r="AN1553" s="9" t="s">
        <v>276</v>
      </c>
      <c r="AO1553" s="14">
        <f>AI1553*1000/AK1553</f>
        <v>0.19697729389012247</v>
      </c>
      <c r="AP1553" s="8" t="s">
        <v>276</v>
      </c>
      <c r="AQ1553" s="43" t="s">
        <v>276</v>
      </c>
      <c r="AR1553" s="8" t="s">
        <v>276</v>
      </c>
      <c r="AS1553" s="14">
        <f>AJ1553*1000/AL1553</f>
        <v>3.3440342429106477E-2</v>
      </c>
      <c r="AT1553" s="14" t="s">
        <v>276</v>
      </c>
      <c r="AU1553" s="14" t="s">
        <v>276</v>
      </c>
      <c r="AV1553" s="14" t="s">
        <v>268</v>
      </c>
      <c r="AW1553" s="14" t="s">
        <v>276</v>
      </c>
      <c r="AX1553" s="14">
        <f t="shared" si="454"/>
        <v>5.8904089964902218</v>
      </c>
      <c r="AY1553" s="14" t="s">
        <v>276</v>
      </c>
      <c r="AZ1553" s="14" t="s">
        <v>276</v>
      </c>
      <c r="BA1553" s="14" t="s">
        <v>276</v>
      </c>
      <c r="BB1553" s="14" t="s">
        <v>282</v>
      </c>
      <c r="BC1553" s="14" t="s">
        <v>276</v>
      </c>
      <c r="BD1553" s="14" t="s">
        <v>276</v>
      </c>
      <c r="BE1553" s="14" t="s">
        <v>276</v>
      </c>
      <c r="BF1553" s="9" t="s">
        <v>1168</v>
      </c>
      <c r="BG1553" s="9"/>
      <c r="BH1553" s="9" t="s">
        <v>100</v>
      </c>
      <c r="BI1553" s="9" t="s">
        <v>100</v>
      </c>
      <c r="BJ1553" s="32"/>
      <c r="BN1553" s="32"/>
      <c r="BO1553" s="32"/>
    </row>
    <row r="1554" spans="1:67" s="299" customFormat="1" ht="78" hidden="1" x14ac:dyDescent="0.35">
      <c r="A1554" s="291">
        <v>4566</v>
      </c>
      <c r="B1554" s="291" t="s">
        <v>9164</v>
      </c>
      <c r="C1554" s="292" t="s">
        <v>9148</v>
      </c>
      <c r="D1554" s="292" t="s">
        <v>9187</v>
      </c>
      <c r="E1554" s="291" t="s">
        <v>35</v>
      </c>
      <c r="F1554" s="292" t="s">
        <v>130</v>
      </c>
      <c r="G1554" s="291" t="s">
        <v>225</v>
      </c>
      <c r="H1554" s="291" t="s">
        <v>125</v>
      </c>
      <c r="I1554" s="291" t="s">
        <v>114</v>
      </c>
      <c r="J1554" s="292" t="s">
        <v>25</v>
      </c>
      <c r="K1554" s="291" t="s">
        <v>939</v>
      </c>
      <c r="L1554" s="291" t="s">
        <v>9172</v>
      </c>
      <c r="M1554" s="291" t="s">
        <v>9171</v>
      </c>
      <c r="N1554" s="292" t="s">
        <v>9166</v>
      </c>
      <c r="O1554" s="292" t="s">
        <v>276</v>
      </c>
      <c r="P1554" s="292" t="s">
        <v>239</v>
      </c>
      <c r="Q1554" s="293">
        <v>39964</v>
      </c>
      <c r="R1554" s="292" t="s">
        <v>276</v>
      </c>
      <c r="S1554" s="292" t="s">
        <v>276</v>
      </c>
      <c r="T1554" s="292" t="s">
        <v>276</v>
      </c>
      <c r="U1554" s="292">
        <v>1</v>
      </c>
      <c r="V1554" s="291" t="s">
        <v>14</v>
      </c>
      <c r="W1554" s="291" t="s">
        <v>98</v>
      </c>
      <c r="X1554" s="292" t="s">
        <v>207</v>
      </c>
      <c r="Y1554" s="294">
        <v>55844</v>
      </c>
      <c r="Z1554" s="292">
        <v>59808</v>
      </c>
      <c r="AA1554" s="292" t="s">
        <v>276</v>
      </c>
      <c r="AB1554" s="292" t="s">
        <v>276</v>
      </c>
      <c r="AC1554" s="291">
        <v>9</v>
      </c>
      <c r="AD1554" s="291" t="s">
        <v>968</v>
      </c>
      <c r="AE1554" s="291">
        <v>4</v>
      </c>
      <c r="AF1554" s="291" t="s">
        <v>968</v>
      </c>
      <c r="AG1554" s="292" t="s">
        <v>9188</v>
      </c>
      <c r="AH1554" s="292" t="s">
        <v>9174</v>
      </c>
      <c r="AI1554" s="295">
        <v>24</v>
      </c>
      <c r="AJ1554" s="295">
        <v>14</v>
      </c>
      <c r="AK1554" s="295">
        <v>190370</v>
      </c>
      <c r="AL1554" s="295">
        <v>203925</v>
      </c>
      <c r="AM1554" s="295" t="s">
        <v>1019</v>
      </c>
      <c r="AN1554" s="292" t="s">
        <v>276</v>
      </c>
      <c r="AO1554" s="296">
        <f>AI1554*100000/AK1554</f>
        <v>12.607028418343226</v>
      </c>
      <c r="AP1554" s="291" t="s">
        <v>276</v>
      </c>
      <c r="AQ1554" s="421" t="s">
        <v>276</v>
      </c>
      <c r="AR1554" s="291" t="s">
        <v>276</v>
      </c>
      <c r="AS1554" s="296">
        <f>AJ1554*100000/AL1554</f>
        <v>6.8652690940296681</v>
      </c>
      <c r="AT1554" s="296" t="s">
        <v>276</v>
      </c>
      <c r="AU1554" s="296" t="s">
        <v>276</v>
      </c>
      <c r="AV1554" s="296" t="s">
        <v>269</v>
      </c>
      <c r="AW1554" s="296" t="s">
        <v>276</v>
      </c>
      <c r="AX1554" s="296">
        <f t="shared" si="454"/>
        <v>1.8363487644361731</v>
      </c>
      <c r="AY1554" s="296" t="s">
        <v>276</v>
      </c>
      <c r="AZ1554" s="296" t="s">
        <v>276</v>
      </c>
      <c r="BA1554" s="296" t="s">
        <v>276</v>
      </c>
      <c r="BB1554" s="296" t="s">
        <v>282</v>
      </c>
      <c r="BC1554" s="296" t="s">
        <v>276</v>
      </c>
      <c r="BD1554" s="296" t="s">
        <v>276</v>
      </c>
      <c r="BE1554" s="296" t="s">
        <v>276</v>
      </c>
      <c r="BF1554" s="292" t="s">
        <v>1168</v>
      </c>
      <c r="BG1554" s="292"/>
      <c r="BH1554" s="9" t="s">
        <v>100</v>
      </c>
      <c r="BI1554" s="9" t="s">
        <v>100</v>
      </c>
      <c r="BJ1554" s="298"/>
      <c r="BN1554" s="298"/>
      <c r="BO1554" s="298"/>
    </row>
    <row r="1555" spans="1:67" s="299" customFormat="1" ht="78" hidden="1" x14ac:dyDescent="0.35">
      <c r="A1555" s="291">
        <v>4566</v>
      </c>
      <c r="B1555" s="291" t="s">
        <v>9164</v>
      </c>
      <c r="C1555" s="292" t="s">
        <v>9148</v>
      </c>
      <c r="D1555" s="292" t="s">
        <v>9189</v>
      </c>
      <c r="E1555" s="291" t="s">
        <v>35</v>
      </c>
      <c r="F1555" s="292" t="s">
        <v>130</v>
      </c>
      <c r="G1555" s="291" t="s">
        <v>225</v>
      </c>
      <c r="H1555" s="291" t="s">
        <v>125</v>
      </c>
      <c r="I1555" s="291" t="s">
        <v>114</v>
      </c>
      <c r="J1555" s="292" t="s">
        <v>25</v>
      </c>
      <c r="K1555" s="291" t="s">
        <v>939</v>
      </c>
      <c r="L1555" s="291" t="s">
        <v>9172</v>
      </c>
      <c r="M1555" s="291" t="s">
        <v>9171</v>
      </c>
      <c r="N1555" s="292" t="s">
        <v>9166</v>
      </c>
      <c r="O1555" s="292" t="s">
        <v>276</v>
      </c>
      <c r="P1555" s="292" t="s">
        <v>239</v>
      </c>
      <c r="Q1555" s="293">
        <v>39964</v>
      </c>
      <c r="R1555" s="292" t="s">
        <v>276</v>
      </c>
      <c r="S1555" s="292" t="s">
        <v>276</v>
      </c>
      <c r="T1555" s="292" t="s">
        <v>276</v>
      </c>
      <c r="U1555" s="292">
        <v>1</v>
      </c>
      <c r="V1555" s="291" t="s">
        <v>14</v>
      </c>
      <c r="W1555" s="291" t="s">
        <v>98</v>
      </c>
      <c r="X1555" s="292" t="s">
        <v>207</v>
      </c>
      <c r="Y1555" s="294">
        <v>55844</v>
      </c>
      <c r="Z1555" s="292">
        <v>59808</v>
      </c>
      <c r="AA1555" s="292" t="s">
        <v>276</v>
      </c>
      <c r="AB1555" s="292" t="s">
        <v>276</v>
      </c>
      <c r="AC1555" s="291">
        <v>9</v>
      </c>
      <c r="AD1555" s="291" t="s">
        <v>968</v>
      </c>
      <c r="AE1555" s="291">
        <v>4</v>
      </c>
      <c r="AF1555" s="291" t="s">
        <v>968</v>
      </c>
      <c r="AG1555" s="292" t="s">
        <v>9188</v>
      </c>
      <c r="AH1555" s="292" t="s">
        <v>280</v>
      </c>
      <c r="AI1555" s="295">
        <v>24</v>
      </c>
      <c r="AJ1555" s="295">
        <v>14</v>
      </c>
      <c r="AK1555" s="295">
        <v>55844</v>
      </c>
      <c r="AL1555" s="295">
        <v>59808</v>
      </c>
      <c r="AM1555" s="295" t="s">
        <v>281</v>
      </c>
      <c r="AN1555" s="292" t="s">
        <v>276</v>
      </c>
      <c r="AO1555" s="296">
        <f>AI1555*1000/AK1555</f>
        <v>0.42976864121481267</v>
      </c>
      <c r="AP1555" s="291" t="s">
        <v>276</v>
      </c>
      <c r="AQ1555" s="421" t="s">
        <v>276</v>
      </c>
      <c r="AR1555" s="291" t="s">
        <v>276</v>
      </c>
      <c r="AS1555" s="296">
        <f>AJ1555*1000/AL1555</f>
        <v>0.23408239700374531</v>
      </c>
      <c r="AT1555" s="296" t="s">
        <v>276</v>
      </c>
      <c r="AU1555" s="296" t="s">
        <v>276</v>
      </c>
      <c r="AV1555" s="296" t="s">
        <v>268</v>
      </c>
      <c r="AW1555" s="296" t="s">
        <v>276</v>
      </c>
      <c r="AX1555" s="296">
        <f t="shared" si="454"/>
        <v>1.8359716352696798</v>
      </c>
      <c r="AY1555" s="296" t="s">
        <v>276</v>
      </c>
      <c r="AZ1555" s="296" t="s">
        <v>276</v>
      </c>
      <c r="BA1555" s="296" t="s">
        <v>276</v>
      </c>
      <c r="BB1555" s="296" t="s">
        <v>282</v>
      </c>
      <c r="BC1555" s="296" t="s">
        <v>276</v>
      </c>
      <c r="BD1555" s="296" t="s">
        <v>276</v>
      </c>
      <c r="BE1555" s="296" t="s">
        <v>276</v>
      </c>
      <c r="BF1555" s="292" t="s">
        <v>1168</v>
      </c>
      <c r="BG1555" s="292"/>
      <c r="BH1555" s="9" t="s">
        <v>100</v>
      </c>
      <c r="BI1555" s="9" t="s">
        <v>100</v>
      </c>
      <c r="BJ1555" s="298"/>
      <c r="BN1555" s="298"/>
      <c r="BO1555" s="298"/>
    </row>
    <row r="1556" spans="1:67" s="33" customFormat="1" ht="78" hidden="1" x14ac:dyDescent="0.35">
      <c r="A1556" s="8">
        <v>4566</v>
      </c>
      <c r="B1556" s="8" t="s">
        <v>9164</v>
      </c>
      <c r="C1556" s="9" t="s">
        <v>9148</v>
      </c>
      <c r="D1556" s="9" t="s">
        <v>9190</v>
      </c>
      <c r="E1556" s="8" t="s">
        <v>35</v>
      </c>
      <c r="F1556" s="9" t="s">
        <v>130</v>
      </c>
      <c r="G1556" s="8" t="s">
        <v>225</v>
      </c>
      <c r="H1556" s="8" t="s">
        <v>125</v>
      </c>
      <c r="I1556" s="8" t="s">
        <v>114</v>
      </c>
      <c r="J1556" s="9" t="s">
        <v>31</v>
      </c>
      <c r="K1556" s="8" t="s">
        <v>4971</v>
      </c>
      <c r="L1556" s="8" t="s">
        <v>9172</v>
      </c>
      <c r="M1556" s="8" t="s">
        <v>9171</v>
      </c>
      <c r="N1556" s="9" t="s">
        <v>9166</v>
      </c>
      <c r="O1556" s="9" t="s">
        <v>276</v>
      </c>
      <c r="P1556" s="9" t="s">
        <v>239</v>
      </c>
      <c r="Q1556" s="52">
        <v>39964</v>
      </c>
      <c r="R1556" s="9" t="s">
        <v>276</v>
      </c>
      <c r="S1556" s="9" t="s">
        <v>276</v>
      </c>
      <c r="T1556" s="9" t="s">
        <v>276</v>
      </c>
      <c r="U1556" s="9">
        <v>1</v>
      </c>
      <c r="V1556" s="8" t="s">
        <v>14</v>
      </c>
      <c r="W1556" s="8" t="s">
        <v>98</v>
      </c>
      <c r="X1556" s="9" t="s">
        <v>207</v>
      </c>
      <c r="Y1556" s="13">
        <v>55844</v>
      </c>
      <c r="Z1556" s="9">
        <v>59808</v>
      </c>
      <c r="AA1556" s="9" t="s">
        <v>276</v>
      </c>
      <c r="AB1556" s="9" t="s">
        <v>276</v>
      </c>
      <c r="AC1556" s="8" t="s">
        <v>276</v>
      </c>
      <c r="AD1556" s="8" t="s">
        <v>276</v>
      </c>
      <c r="AE1556" s="8" t="s">
        <v>276</v>
      </c>
      <c r="AF1556" s="8" t="s">
        <v>276</v>
      </c>
      <c r="AG1556" s="9" t="s">
        <v>9191</v>
      </c>
      <c r="AH1556" s="9" t="s">
        <v>9174</v>
      </c>
      <c r="AI1556" s="38">
        <v>15</v>
      </c>
      <c r="AJ1556" s="38">
        <v>4</v>
      </c>
      <c r="AK1556" s="38">
        <v>190370</v>
      </c>
      <c r="AL1556" s="38">
        <v>203925</v>
      </c>
      <c r="AM1556" s="38" t="s">
        <v>1019</v>
      </c>
      <c r="AN1556" s="9" t="s">
        <v>276</v>
      </c>
      <c r="AO1556" s="14">
        <f>AI1556*100000/AK1556</f>
        <v>7.8793927614645165</v>
      </c>
      <c r="AP1556" s="8" t="s">
        <v>276</v>
      </c>
      <c r="AQ1556" s="43" t="s">
        <v>276</v>
      </c>
      <c r="AR1556" s="8" t="s">
        <v>276</v>
      </c>
      <c r="AS1556" s="14">
        <f>AJ1556*100000/AL1556</f>
        <v>1.9615054554370479</v>
      </c>
      <c r="AT1556" s="14" t="s">
        <v>276</v>
      </c>
      <c r="AU1556" s="14" t="s">
        <v>276</v>
      </c>
      <c r="AV1556" s="14" t="s">
        <v>269</v>
      </c>
      <c r="AW1556" s="14" t="s">
        <v>276</v>
      </c>
      <c r="AX1556" s="14">
        <f t="shared" si="454"/>
        <v>4.0170129222041293</v>
      </c>
      <c r="AY1556" s="14" t="s">
        <v>276</v>
      </c>
      <c r="AZ1556" s="14" t="s">
        <v>276</v>
      </c>
      <c r="BA1556" s="14" t="s">
        <v>276</v>
      </c>
      <c r="BB1556" s="14" t="s">
        <v>282</v>
      </c>
      <c r="BC1556" s="14" t="s">
        <v>276</v>
      </c>
      <c r="BD1556" s="14" t="s">
        <v>276</v>
      </c>
      <c r="BE1556" s="14" t="s">
        <v>276</v>
      </c>
      <c r="BF1556" s="9" t="s">
        <v>1168</v>
      </c>
      <c r="BG1556" s="9"/>
      <c r="BH1556" s="9" t="s">
        <v>100</v>
      </c>
      <c r="BI1556" s="9" t="s">
        <v>100</v>
      </c>
      <c r="BJ1556" s="32"/>
      <c r="BN1556" s="32"/>
      <c r="BO1556" s="32"/>
    </row>
    <row r="1557" spans="1:67" s="33" customFormat="1" ht="78" hidden="1" x14ac:dyDescent="0.35">
      <c r="A1557" s="8">
        <v>4566</v>
      </c>
      <c r="B1557" s="8" t="s">
        <v>9164</v>
      </c>
      <c r="C1557" s="9" t="s">
        <v>9148</v>
      </c>
      <c r="D1557" s="9" t="s">
        <v>9192</v>
      </c>
      <c r="E1557" s="8" t="s">
        <v>35</v>
      </c>
      <c r="F1557" s="9" t="s">
        <v>130</v>
      </c>
      <c r="G1557" s="8" t="s">
        <v>225</v>
      </c>
      <c r="H1557" s="8" t="s">
        <v>125</v>
      </c>
      <c r="I1557" s="8" t="s">
        <v>114</v>
      </c>
      <c r="J1557" s="9" t="s">
        <v>31</v>
      </c>
      <c r="K1557" s="8" t="s">
        <v>4971</v>
      </c>
      <c r="L1557" s="8" t="s">
        <v>9172</v>
      </c>
      <c r="M1557" s="8" t="s">
        <v>9171</v>
      </c>
      <c r="N1557" s="9" t="s">
        <v>9166</v>
      </c>
      <c r="O1557" s="9" t="s">
        <v>276</v>
      </c>
      <c r="P1557" s="9" t="s">
        <v>239</v>
      </c>
      <c r="Q1557" s="52">
        <v>39964</v>
      </c>
      <c r="R1557" s="9" t="s">
        <v>276</v>
      </c>
      <c r="S1557" s="9" t="s">
        <v>276</v>
      </c>
      <c r="T1557" s="9" t="s">
        <v>276</v>
      </c>
      <c r="U1557" s="9">
        <v>1</v>
      </c>
      <c r="V1557" s="8" t="s">
        <v>14</v>
      </c>
      <c r="W1557" s="8" t="s">
        <v>98</v>
      </c>
      <c r="X1557" s="9" t="s">
        <v>207</v>
      </c>
      <c r="Y1557" s="13">
        <v>55844</v>
      </c>
      <c r="Z1557" s="9">
        <v>59808</v>
      </c>
      <c r="AA1557" s="9" t="s">
        <v>276</v>
      </c>
      <c r="AB1557" s="9" t="s">
        <v>276</v>
      </c>
      <c r="AC1557" s="8" t="s">
        <v>276</v>
      </c>
      <c r="AD1557" s="8" t="s">
        <v>276</v>
      </c>
      <c r="AE1557" s="8" t="s">
        <v>276</v>
      </c>
      <c r="AF1557" s="8" t="s">
        <v>276</v>
      </c>
      <c r="AG1557" s="9" t="s">
        <v>9191</v>
      </c>
      <c r="AH1557" s="9" t="s">
        <v>280</v>
      </c>
      <c r="AI1557" s="38">
        <v>15</v>
      </c>
      <c r="AJ1557" s="38">
        <v>4</v>
      </c>
      <c r="AK1557" s="38">
        <v>55844</v>
      </c>
      <c r="AL1557" s="38">
        <v>59808</v>
      </c>
      <c r="AM1557" s="38" t="s">
        <v>281</v>
      </c>
      <c r="AN1557" s="9" t="s">
        <v>276</v>
      </c>
      <c r="AO1557" s="14">
        <f>AI1557*1000/AK1557</f>
        <v>0.26860540075925793</v>
      </c>
      <c r="AP1557" s="8" t="s">
        <v>276</v>
      </c>
      <c r="AQ1557" s="43" t="s">
        <v>276</v>
      </c>
      <c r="AR1557" s="8" t="s">
        <v>276</v>
      </c>
      <c r="AS1557" s="14">
        <f>AJ1557*1000/AL1557</f>
        <v>6.6880684858212955E-2</v>
      </c>
      <c r="AT1557" s="14" t="s">
        <v>276</v>
      </c>
      <c r="AU1557" s="14" t="s">
        <v>276</v>
      </c>
      <c r="AV1557" s="14" t="s">
        <v>268</v>
      </c>
      <c r="AW1557" s="14" t="s">
        <v>276</v>
      </c>
      <c r="AX1557" s="14">
        <f t="shared" si="454"/>
        <v>4.016187952152424</v>
      </c>
      <c r="AY1557" s="14" t="s">
        <v>276</v>
      </c>
      <c r="AZ1557" s="14" t="s">
        <v>276</v>
      </c>
      <c r="BA1557" s="14" t="s">
        <v>276</v>
      </c>
      <c r="BB1557" s="14" t="s">
        <v>282</v>
      </c>
      <c r="BC1557" s="14" t="s">
        <v>276</v>
      </c>
      <c r="BD1557" s="14" t="s">
        <v>276</v>
      </c>
      <c r="BE1557" s="14" t="s">
        <v>276</v>
      </c>
      <c r="BF1557" s="9" t="s">
        <v>1168</v>
      </c>
      <c r="BG1557" s="9"/>
      <c r="BH1557" s="9" t="s">
        <v>100</v>
      </c>
      <c r="BI1557" s="9" t="s">
        <v>100</v>
      </c>
      <c r="BJ1557" s="32"/>
      <c r="BN1557" s="32"/>
      <c r="BO1557" s="32"/>
    </row>
    <row r="1558" spans="1:67" s="299" customFormat="1" ht="78" hidden="1" x14ac:dyDescent="0.35">
      <c r="A1558" s="291">
        <v>4566</v>
      </c>
      <c r="B1558" s="291" t="s">
        <v>9164</v>
      </c>
      <c r="C1558" s="292" t="s">
        <v>9148</v>
      </c>
      <c r="D1558" s="292" t="s">
        <v>9193</v>
      </c>
      <c r="E1558" s="291" t="s">
        <v>35</v>
      </c>
      <c r="F1558" s="292" t="s">
        <v>130</v>
      </c>
      <c r="G1558" s="291" t="s">
        <v>225</v>
      </c>
      <c r="H1558" s="291" t="s">
        <v>125</v>
      </c>
      <c r="I1558" s="291" t="s">
        <v>114</v>
      </c>
      <c r="J1558" s="292" t="s">
        <v>117</v>
      </c>
      <c r="K1558" s="291" t="s">
        <v>4821</v>
      </c>
      <c r="L1558" s="291" t="s">
        <v>9172</v>
      </c>
      <c r="M1558" s="291" t="s">
        <v>9171</v>
      </c>
      <c r="N1558" s="292" t="s">
        <v>9166</v>
      </c>
      <c r="O1558" s="292" t="s">
        <v>276</v>
      </c>
      <c r="P1558" s="292" t="s">
        <v>239</v>
      </c>
      <c r="Q1558" s="293">
        <v>39964</v>
      </c>
      <c r="R1558" s="292" t="s">
        <v>276</v>
      </c>
      <c r="S1558" s="292" t="s">
        <v>276</v>
      </c>
      <c r="T1558" s="292" t="s">
        <v>276</v>
      </c>
      <c r="U1558" s="292">
        <v>1</v>
      </c>
      <c r="V1558" s="291" t="s">
        <v>14</v>
      </c>
      <c r="W1558" s="291" t="s">
        <v>98</v>
      </c>
      <c r="X1558" s="292" t="s">
        <v>207</v>
      </c>
      <c r="Y1558" s="294">
        <v>55844</v>
      </c>
      <c r="Z1558" s="292">
        <v>59808</v>
      </c>
      <c r="AA1558" s="292" t="s">
        <v>276</v>
      </c>
      <c r="AB1558" s="292" t="s">
        <v>276</v>
      </c>
      <c r="AC1558" s="292" t="s">
        <v>276</v>
      </c>
      <c r="AD1558" s="292" t="s">
        <v>276</v>
      </c>
      <c r="AE1558" s="292" t="s">
        <v>276</v>
      </c>
      <c r="AF1558" s="292" t="s">
        <v>276</v>
      </c>
      <c r="AG1558" s="292" t="s">
        <v>9194</v>
      </c>
      <c r="AH1558" s="292" t="s">
        <v>9174</v>
      </c>
      <c r="AI1558" s="295">
        <v>40</v>
      </c>
      <c r="AJ1558" s="295">
        <v>22</v>
      </c>
      <c r="AK1558" s="295">
        <v>190370</v>
      </c>
      <c r="AL1558" s="295">
        <v>203925</v>
      </c>
      <c r="AM1558" s="295" t="s">
        <v>1019</v>
      </c>
      <c r="AN1558" s="292" t="s">
        <v>276</v>
      </c>
      <c r="AO1558" s="296">
        <f>AI1558*100000/AK1558</f>
        <v>21.011714030572044</v>
      </c>
      <c r="AP1558" s="291" t="s">
        <v>276</v>
      </c>
      <c r="AQ1558" s="421" t="s">
        <v>276</v>
      </c>
      <c r="AR1558" s="291" t="s">
        <v>276</v>
      </c>
      <c r="AS1558" s="296">
        <f>AJ1558*100000/AL1558</f>
        <v>10.788280004903763</v>
      </c>
      <c r="AT1558" s="296" t="s">
        <v>276</v>
      </c>
      <c r="AU1558" s="296" t="s">
        <v>276</v>
      </c>
      <c r="AV1558" s="296" t="s">
        <v>269</v>
      </c>
      <c r="AW1558" s="296" t="s">
        <v>276</v>
      </c>
      <c r="AX1558" s="296">
        <f t="shared" si="454"/>
        <v>1.9476426289474564</v>
      </c>
      <c r="AY1558" s="296" t="s">
        <v>276</v>
      </c>
      <c r="AZ1558" s="296" t="s">
        <v>276</v>
      </c>
      <c r="BA1558" s="296" t="s">
        <v>276</v>
      </c>
      <c r="BB1558" s="296" t="s">
        <v>282</v>
      </c>
      <c r="BC1558" s="296" t="s">
        <v>276</v>
      </c>
      <c r="BD1558" s="296" t="s">
        <v>276</v>
      </c>
      <c r="BE1558" s="296" t="s">
        <v>276</v>
      </c>
      <c r="BF1558" s="292" t="s">
        <v>1168</v>
      </c>
      <c r="BG1558" s="292"/>
      <c r="BH1558" s="9" t="s">
        <v>100</v>
      </c>
      <c r="BI1558" s="9" t="s">
        <v>100</v>
      </c>
      <c r="BJ1558" s="298"/>
      <c r="BN1558" s="298"/>
      <c r="BO1558" s="298"/>
    </row>
    <row r="1559" spans="1:67" s="299" customFormat="1" ht="78" hidden="1" x14ac:dyDescent="0.35">
      <c r="A1559" s="291">
        <v>4566</v>
      </c>
      <c r="B1559" s="291" t="s">
        <v>9164</v>
      </c>
      <c r="C1559" s="292" t="s">
        <v>9148</v>
      </c>
      <c r="D1559" s="292" t="s">
        <v>9195</v>
      </c>
      <c r="E1559" s="291" t="s">
        <v>35</v>
      </c>
      <c r="F1559" s="292" t="s">
        <v>130</v>
      </c>
      <c r="G1559" s="291" t="s">
        <v>225</v>
      </c>
      <c r="H1559" s="291" t="s">
        <v>125</v>
      </c>
      <c r="I1559" s="291" t="s">
        <v>114</v>
      </c>
      <c r="J1559" s="292" t="s">
        <v>117</v>
      </c>
      <c r="K1559" s="291" t="s">
        <v>4821</v>
      </c>
      <c r="L1559" s="291" t="s">
        <v>9172</v>
      </c>
      <c r="M1559" s="291" t="s">
        <v>9171</v>
      </c>
      <c r="N1559" s="292" t="s">
        <v>9166</v>
      </c>
      <c r="O1559" s="292" t="s">
        <v>276</v>
      </c>
      <c r="P1559" s="292" t="s">
        <v>239</v>
      </c>
      <c r="Q1559" s="293">
        <v>39964</v>
      </c>
      <c r="R1559" s="292" t="s">
        <v>276</v>
      </c>
      <c r="S1559" s="292" t="s">
        <v>276</v>
      </c>
      <c r="T1559" s="292" t="s">
        <v>276</v>
      </c>
      <c r="U1559" s="292">
        <v>1</v>
      </c>
      <c r="V1559" s="291" t="s">
        <v>14</v>
      </c>
      <c r="W1559" s="291" t="s">
        <v>98</v>
      </c>
      <c r="X1559" s="292" t="s">
        <v>207</v>
      </c>
      <c r="Y1559" s="294">
        <v>55843</v>
      </c>
      <c r="Z1559" s="292">
        <v>59808</v>
      </c>
      <c r="AA1559" s="292" t="s">
        <v>276</v>
      </c>
      <c r="AB1559" s="292" t="s">
        <v>276</v>
      </c>
      <c r="AC1559" s="292" t="s">
        <v>276</v>
      </c>
      <c r="AD1559" s="292" t="s">
        <v>276</v>
      </c>
      <c r="AE1559" s="292" t="s">
        <v>276</v>
      </c>
      <c r="AF1559" s="292" t="s">
        <v>276</v>
      </c>
      <c r="AG1559" s="292" t="s">
        <v>9194</v>
      </c>
      <c r="AH1559" s="292" t="s">
        <v>280</v>
      </c>
      <c r="AI1559" s="295">
        <v>40</v>
      </c>
      <c r="AJ1559" s="295">
        <v>22</v>
      </c>
      <c r="AK1559" s="295">
        <v>55844</v>
      </c>
      <c r="AL1559" s="295">
        <v>59808</v>
      </c>
      <c r="AM1559" s="295" t="s">
        <v>281</v>
      </c>
      <c r="AN1559" s="292" t="s">
        <v>276</v>
      </c>
      <c r="AO1559" s="296">
        <f>AI1559*1000/AK1559</f>
        <v>0.71628106869135444</v>
      </c>
      <c r="AP1559" s="291" t="s">
        <v>276</v>
      </c>
      <c r="AQ1559" s="421" t="s">
        <v>276</v>
      </c>
      <c r="AR1559" s="291" t="s">
        <v>276</v>
      </c>
      <c r="AS1559" s="296">
        <f>AJ1559*1000/AL1559</f>
        <v>0.36784376672017122</v>
      </c>
      <c r="AT1559" s="296" t="s">
        <v>276</v>
      </c>
      <c r="AU1559" s="296" t="s">
        <v>276</v>
      </c>
      <c r="AV1559" s="296" t="s">
        <v>268</v>
      </c>
      <c r="AW1559" s="296" t="s">
        <v>276</v>
      </c>
      <c r="AX1559" s="296">
        <f t="shared" si="454"/>
        <v>1.947242643467842</v>
      </c>
      <c r="AY1559" s="296" t="s">
        <v>276</v>
      </c>
      <c r="AZ1559" s="296" t="s">
        <v>276</v>
      </c>
      <c r="BA1559" s="296" t="s">
        <v>276</v>
      </c>
      <c r="BB1559" s="296" t="s">
        <v>282</v>
      </c>
      <c r="BC1559" s="296" t="s">
        <v>276</v>
      </c>
      <c r="BD1559" s="296" t="s">
        <v>276</v>
      </c>
      <c r="BE1559" s="296" t="s">
        <v>276</v>
      </c>
      <c r="BF1559" s="292" t="s">
        <v>1168</v>
      </c>
      <c r="BG1559" s="292"/>
      <c r="BH1559" s="9" t="s">
        <v>100</v>
      </c>
      <c r="BI1559" s="9" t="s">
        <v>100</v>
      </c>
      <c r="BJ1559" s="298"/>
      <c r="BN1559" s="298"/>
      <c r="BO1559" s="298"/>
    </row>
    <row r="1560" spans="1:67" s="110" customFormat="1" ht="52" hidden="1" x14ac:dyDescent="0.35">
      <c r="A1560" s="94">
        <v>4570</v>
      </c>
      <c r="B1560" s="94" t="s">
        <v>9147</v>
      </c>
      <c r="C1560" s="95" t="s">
        <v>9148</v>
      </c>
      <c r="D1560" s="95" t="s">
        <v>9196</v>
      </c>
      <c r="E1560" s="94" t="s">
        <v>35</v>
      </c>
      <c r="F1560" s="95" t="s">
        <v>130</v>
      </c>
      <c r="G1560" s="94" t="s">
        <v>225</v>
      </c>
      <c r="H1560" s="94" t="s">
        <v>125</v>
      </c>
      <c r="I1560" s="94" t="s">
        <v>114</v>
      </c>
      <c r="J1560" s="95" t="s">
        <v>98</v>
      </c>
      <c r="K1560" s="94" t="s">
        <v>98</v>
      </c>
      <c r="L1560" s="94" t="s">
        <v>98</v>
      </c>
      <c r="M1560" s="94" t="s">
        <v>98</v>
      </c>
      <c r="N1560" s="95" t="s">
        <v>9197</v>
      </c>
      <c r="O1560" s="95" t="s">
        <v>9198</v>
      </c>
      <c r="P1560" s="95" t="s">
        <v>238</v>
      </c>
      <c r="Q1560" s="140" t="s">
        <v>276</v>
      </c>
      <c r="R1560" s="95" t="s">
        <v>276</v>
      </c>
      <c r="S1560" s="95" t="s">
        <v>276</v>
      </c>
      <c r="T1560" s="95" t="s">
        <v>98</v>
      </c>
      <c r="U1560" s="95">
        <v>3</v>
      </c>
      <c r="V1560" s="94" t="s">
        <v>14</v>
      </c>
      <c r="W1560" s="94" t="s">
        <v>98</v>
      </c>
      <c r="X1560" s="95" t="s">
        <v>209</v>
      </c>
      <c r="Y1560" s="98">
        <v>55844</v>
      </c>
      <c r="Z1560" s="95" t="s">
        <v>98</v>
      </c>
      <c r="AA1560" s="95" t="s">
        <v>276</v>
      </c>
      <c r="AB1560" s="95" t="s">
        <v>98</v>
      </c>
      <c r="AC1560" s="94" t="s">
        <v>276</v>
      </c>
      <c r="AD1560" s="94" t="s">
        <v>276</v>
      </c>
      <c r="AE1560" s="94" t="s">
        <v>98</v>
      </c>
      <c r="AF1560" s="94" t="s">
        <v>98</v>
      </c>
      <c r="AG1560" s="95" t="s">
        <v>9199</v>
      </c>
      <c r="AH1560" s="95" t="s">
        <v>280</v>
      </c>
      <c r="AI1560" s="99">
        <v>114</v>
      </c>
      <c r="AJ1560" s="99" t="s">
        <v>98</v>
      </c>
      <c r="AK1560" s="99">
        <v>55844</v>
      </c>
      <c r="AL1560" s="99" t="s">
        <v>276</v>
      </c>
      <c r="AM1560" s="99" t="s">
        <v>281</v>
      </c>
      <c r="AN1560" s="95" t="s">
        <v>9200</v>
      </c>
      <c r="AO1560" s="802">
        <f>AI1560*1000/AK1560</f>
        <v>2.0414010457703604</v>
      </c>
      <c r="AP1560" s="94" t="s">
        <v>276</v>
      </c>
      <c r="AQ1560" s="94" t="s">
        <v>276</v>
      </c>
      <c r="AR1560" s="94" t="s">
        <v>276</v>
      </c>
      <c r="AS1560" s="102" t="s">
        <v>98</v>
      </c>
      <c r="AT1560" s="102" t="s">
        <v>98</v>
      </c>
      <c r="AU1560" s="102" t="s">
        <v>98</v>
      </c>
      <c r="AV1560" s="102" t="s">
        <v>98</v>
      </c>
      <c r="AW1560" s="102" t="s">
        <v>98</v>
      </c>
      <c r="AX1560" s="102" t="s">
        <v>98</v>
      </c>
      <c r="AY1560" s="102" t="s">
        <v>98</v>
      </c>
      <c r="AZ1560" s="102" t="s">
        <v>98</v>
      </c>
      <c r="BA1560" s="102" t="s">
        <v>98</v>
      </c>
      <c r="BB1560" s="102" t="s">
        <v>98</v>
      </c>
      <c r="BC1560" s="102" t="s">
        <v>98</v>
      </c>
      <c r="BD1560" s="102" t="s">
        <v>98</v>
      </c>
      <c r="BE1560" s="102" t="s">
        <v>98</v>
      </c>
      <c r="BF1560" s="95" t="s">
        <v>298</v>
      </c>
      <c r="BG1560" s="95"/>
      <c r="BH1560" s="9" t="s">
        <v>100</v>
      </c>
      <c r="BI1560" s="9" t="s">
        <v>100</v>
      </c>
      <c r="BJ1560" s="109"/>
      <c r="BN1560" s="109"/>
      <c r="BO1560" s="109"/>
    </row>
    <row r="1561" spans="1:67" s="110" customFormat="1" ht="52" x14ac:dyDescent="0.35">
      <c r="A1561" s="94">
        <v>4570</v>
      </c>
      <c r="B1561" s="94" t="s">
        <v>9147</v>
      </c>
      <c r="C1561" s="95" t="s">
        <v>9148</v>
      </c>
      <c r="D1561" s="95" t="s">
        <v>9201</v>
      </c>
      <c r="E1561" s="94" t="s">
        <v>35</v>
      </c>
      <c r="F1561" s="95" t="s">
        <v>130</v>
      </c>
      <c r="G1561" s="94" t="s">
        <v>225</v>
      </c>
      <c r="H1561" s="94" t="s">
        <v>125</v>
      </c>
      <c r="I1561" s="94" t="s">
        <v>114</v>
      </c>
      <c r="J1561" s="95" t="s">
        <v>98</v>
      </c>
      <c r="K1561" s="94" t="s">
        <v>98</v>
      </c>
      <c r="L1561" s="94" t="s">
        <v>98</v>
      </c>
      <c r="M1561" s="94" t="s">
        <v>98</v>
      </c>
      <c r="N1561" s="95" t="s">
        <v>9197</v>
      </c>
      <c r="O1561" s="95" t="s">
        <v>9198</v>
      </c>
      <c r="P1561" s="95" t="s">
        <v>236</v>
      </c>
      <c r="Q1561" s="140">
        <v>43830</v>
      </c>
      <c r="R1561" s="95" t="s">
        <v>276</v>
      </c>
      <c r="S1561" s="95" t="s">
        <v>9152</v>
      </c>
      <c r="T1561" s="95" t="s">
        <v>98</v>
      </c>
      <c r="U1561" s="95">
        <v>3</v>
      </c>
      <c r="V1561" s="94" t="s">
        <v>14</v>
      </c>
      <c r="W1561" s="94" t="s">
        <v>98</v>
      </c>
      <c r="X1561" s="95" t="s">
        <v>209</v>
      </c>
      <c r="Y1561" s="98" t="s">
        <v>98</v>
      </c>
      <c r="Z1561" s="95" t="s">
        <v>98</v>
      </c>
      <c r="AA1561" s="95" t="s">
        <v>276</v>
      </c>
      <c r="AB1561" s="95" t="s">
        <v>98</v>
      </c>
      <c r="AC1561" s="94" t="s">
        <v>276</v>
      </c>
      <c r="AD1561" s="94" t="s">
        <v>276</v>
      </c>
      <c r="AE1561" s="94" t="s">
        <v>98</v>
      </c>
      <c r="AF1561" s="94" t="s">
        <v>98</v>
      </c>
      <c r="AG1561" s="95" t="s">
        <v>9199</v>
      </c>
      <c r="AH1561" s="95" t="s">
        <v>9202</v>
      </c>
      <c r="AI1561" s="99">
        <v>114</v>
      </c>
      <c r="AJ1561" s="99" t="s">
        <v>98</v>
      </c>
      <c r="AK1561" s="99">
        <v>335</v>
      </c>
      <c r="AL1561" s="99" t="s">
        <v>276</v>
      </c>
      <c r="AM1561" s="99" t="s">
        <v>292</v>
      </c>
      <c r="AN1561" s="95" t="s">
        <v>276</v>
      </c>
      <c r="AO1561" s="102">
        <f>AI1561*100/AK1561</f>
        <v>34.029850746268657</v>
      </c>
      <c r="AP1561" s="94" t="s">
        <v>276</v>
      </c>
      <c r="AQ1561" s="100" t="s">
        <v>276</v>
      </c>
      <c r="AR1561" s="94" t="s">
        <v>276</v>
      </c>
      <c r="AS1561" s="102" t="s">
        <v>98</v>
      </c>
      <c r="AT1561" s="102" t="s">
        <v>98</v>
      </c>
      <c r="AU1561" s="102" t="s">
        <v>98</v>
      </c>
      <c r="AV1561" s="102" t="s">
        <v>98</v>
      </c>
      <c r="AW1561" s="102" t="s">
        <v>98</v>
      </c>
      <c r="AX1561" s="102" t="s">
        <v>98</v>
      </c>
      <c r="AY1561" s="102" t="s">
        <v>98</v>
      </c>
      <c r="AZ1561" s="102" t="s">
        <v>98</v>
      </c>
      <c r="BA1561" s="102" t="s">
        <v>98</v>
      </c>
      <c r="BB1561" s="102" t="s">
        <v>98</v>
      </c>
      <c r="BC1561" s="102" t="s">
        <v>98</v>
      </c>
      <c r="BD1561" s="102" t="s">
        <v>98</v>
      </c>
      <c r="BE1561" s="102" t="s">
        <v>98</v>
      </c>
      <c r="BF1561" s="95" t="s">
        <v>11449</v>
      </c>
      <c r="BG1561" s="95"/>
      <c r="BH1561" s="9" t="s">
        <v>99</v>
      </c>
      <c r="BI1561" s="9" t="s">
        <v>100</v>
      </c>
      <c r="BJ1561" s="109"/>
      <c r="BN1561" s="109"/>
      <c r="BO1561" s="109"/>
    </row>
    <row r="1562" spans="1:67" s="124" customFormat="1" ht="52" hidden="1" x14ac:dyDescent="0.35">
      <c r="A1562" s="112">
        <v>4570</v>
      </c>
      <c r="B1562" s="112" t="s">
        <v>9147</v>
      </c>
      <c r="C1562" s="113" t="s">
        <v>9148</v>
      </c>
      <c r="D1562" s="113" t="s">
        <v>9203</v>
      </c>
      <c r="E1562" s="112" t="s">
        <v>35</v>
      </c>
      <c r="F1562" s="113" t="s">
        <v>130</v>
      </c>
      <c r="G1562" s="112" t="s">
        <v>225</v>
      </c>
      <c r="H1562" s="112" t="s">
        <v>125</v>
      </c>
      <c r="I1562" s="112" t="s">
        <v>114</v>
      </c>
      <c r="J1562" s="113" t="s">
        <v>25</v>
      </c>
      <c r="K1562" s="112" t="s">
        <v>300</v>
      </c>
      <c r="L1562" s="113" t="s">
        <v>9204</v>
      </c>
      <c r="M1562" s="113" t="s">
        <v>9205</v>
      </c>
      <c r="N1562" s="113" t="s">
        <v>9197</v>
      </c>
      <c r="O1562" s="113" t="s">
        <v>9198</v>
      </c>
      <c r="P1562" s="113" t="s">
        <v>239</v>
      </c>
      <c r="Q1562" s="142">
        <v>43830</v>
      </c>
      <c r="R1562" s="113" t="s">
        <v>276</v>
      </c>
      <c r="S1562" s="113" t="s">
        <v>9152</v>
      </c>
      <c r="T1562" s="113" t="s">
        <v>9153</v>
      </c>
      <c r="U1562" s="113">
        <v>3</v>
      </c>
      <c r="V1562" s="112" t="s">
        <v>14</v>
      </c>
      <c r="W1562" s="112" t="s">
        <v>98</v>
      </c>
      <c r="X1562" s="113" t="s">
        <v>207</v>
      </c>
      <c r="Y1562" s="118">
        <v>55843</v>
      </c>
      <c r="Z1562" s="119">
        <v>59447</v>
      </c>
      <c r="AA1562" s="113" t="s">
        <v>276</v>
      </c>
      <c r="AB1562" s="113" t="s">
        <v>276</v>
      </c>
      <c r="AC1562" s="112">
        <v>6</v>
      </c>
      <c r="AD1562" s="112" t="s">
        <v>968</v>
      </c>
      <c r="AE1562" s="112">
        <v>2</v>
      </c>
      <c r="AF1562" s="112" t="s">
        <v>968</v>
      </c>
      <c r="AG1562" s="113" t="s">
        <v>9206</v>
      </c>
      <c r="AH1562" s="113" t="s">
        <v>280</v>
      </c>
      <c r="AI1562" s="119">
        <v>54</v>
      </c>
      <c r="AJ1562" s="119">
        <v>31</v>
      </c>
      <c r="AK1562" s="118">
        <v>55843</v>
      </c>
      <c r="AL1562" s="119">
        <v>59447</v>
      </c>
      <c r="AM1562" s="119" t="s">
        <v>281</v>
      </c>
      <c r="AN1562" s="113" t="s">
        <v>276</v>
      </c>
      <c r="AO1562" s="121">
        <f>AI1562*1000/AK1562</f>
        <v>0.96699675877012337</v>
      </c>
      <c r="AP1562" s="112" t="s">
        <v>276</v>
      </c>
      <c r="AQ1562" s="164" t="s">
        <v>276</v>
      </c>
      <c r="AR1562" s="112" t="s">
        <v>276</v>
      </c>
      <c r="AS1562" s="121">
        <f>AJ1562*1000/AL1562</f>
        <v>0.5214729086413108</v>
      </c>
      <c r="AT1562" s="121" t="s">
        <v>276</v>
      </c>
      <c r="AU1562" s="121" t="s">
        <v>276</v>
      </c>
      <c r="AV1562" s="121" t="s">
        <v>268</v>
      </c>
      <c r="AW1562" s="121" t="s">
        <v>276</v>
      </c>
      <c r="AX1562" s="121">
        <f t="shared" ref="AX1562:AX1586" si="455">AO1562/AS1562</f>
        <v>1.8543566554389521</v>
      </c>
      <c r="AY1562" s="121" t="s">
        <v>276</v>
      </c>
      <c r="AZ1562" s="121" t="s">
        <v>276</v>
      </c>
      <c r="BA1562" s="121" t="s">
        <v>276</v>
      </c>
      <c r="BB1562" s="121" t="s">
        <v>282</v>
      </c>
      <c r="BC1562" s="121" t="s">
        <v>276</v>
      </c>
      <c r="BD1562" s="121" t="s">
        <v>276</v>
      </c>
      <c r="BE1562" s="121" t="s">
        <v>276</v>
      </c>
      <c r="BF1562" s="113" t="s">
        <v>3355</v>
      </c>
      <c r="BG1562" s="113"/>
      <c r="BH1562" s="9" t="s">
        <v>100</v>
      </c>
      <c r="BI1562" s="9" t="s">
        <v>100</v>
      </c>
      <c r="BJ1562" s="123"/>
      <c r="BN1562" s="123"/>
      <c r="BO1562" s="123"/>
    </row>
    <row r="1563" spans="1:67" s="124" customFormat="1" ht="52" hidden="1" x14ac:dyDescent="0.35">
      <c r="A1563" s="112">
        <v>4570</v>
      </c>
      <c r="B1563" s="112" t="s">
        <v>9147</v>
      </c>
      <c r="C1563" s="113" t="s">
        <v>9148</v>
      </c>
      <c r="D1563" s="113" t="s">
        <v>9207</v>
      </c>
      <c r="E1563" s="112" t="s">
        <v>35</v>
      </c>
      <c r="F1563" s="113" t="s">
        <v>130</v>
      </c>
      <c r="G1563" s="112" t="s">
        <v>225</v>
      </c>
      <c r="H1563" s="112" t="s">
        <v>125</v>
      </c>
      <c r="I1563" s="112" t="s">
        <v>114</v>
      </c>
      <c r="J1563" s="113" t="s">
        <v>25</v>
      </c>
      <c r="K1563" s="112" t="s">
        <v>300</v>
      </c>
      <c r="L1563" s="113" t="s">
        <v>9204</v>
      </c>
      <c r="M1563" s="113" t="s">
        <v>9205</v>
      </c>
      <c r="N1563" s="113" t="s">
        <v>9197</v>
      </c>
      <c r="O1563" s="113" t="s">
        <v>9198</v>
      </c>
      <c r="P1563" s="113" t="s">
        <v>239</v>
      </c>
      <c r="Q1563" s="142">
        <v>39964</v>
      </c>
      <c r="R1563" s="113" t="s">
        <v>276</v>
      </c>
      <c r="S1563" s="113" t="s">
        <v>9152</v>
      </c>
      <c r="T1563" s="113" t="s">
        <v>9153</v>
      </c>
      <c r="U1563" s="113">
        <v>3</v>
      </c>
      <c r="V1563" s="112" t="s">
        <v>14</v>
      </c>
      <c r="W1563" s="112" t="s">
        <v>98</v>
      </c>
      <c r="X1563" s="113" t="s">
        <v>207</v>
      </c>
      <c r="Y1563" s="118">
        <v>55843</v>
      </c>
      <c r="Z1563" s="119">
        <v>59447</v>
      </c>
      <c r="AA1563" s="113" t="s">
        <v>276</v>
      </c>
      <c r="AB1563" s="113" t="s">
        <v>276</v>
      </c>
      <c r="AC1563" s="112">
        <v>6</v>
      </c>
      <c r="AD1563" s="112" t="s">
        <v>968</v>
      </c>
      <c r="AE1563" s="112">
        <v>2</v>
      </c>
      <c r="AF1563" s="112" t="s">
        <v>968</v>
      </c>
      <c r="AG1563" s="113" t="s">
        <v>9206</v>
      </c>
      <c r="AH1563" s="113" t="s">
        <v>9208</v>
      </c>
      <c r="AI1563" s="119">
        <v>54</v>
      </c>
      <c r="AJ1563" s="119">
        <v>31</v>
      </c>
      <c r="AK1563" s="119">
        <v>687215</v>
      </c>
      <c r="AL1563" s="119">
        <v>734925</v>
      </c>
      <c r="AM1563" s="119" t="s">
        <v>1019</v>
      </c>
      <c r="AN1563" s="113" t="s">
        <v>276</v>
      </c>
      <c r="AO1563" s="121">
        <f>AI1563*100000/AK1563</f>
        <v>7.857802871008345</v>
      </c>
      <c r="AP1563" s="112" t="s">
        <v>276</v>
      </c>
      <c r="AQ1563" s="164" t="s">
        <v>276</v>
      </c>
      <c r="AR1563" s="112" t="s">
        <v>276</v>
      </c>
      <c r="AS1563" s="121">
        <f>AJ1563*100000/AL1563</f>
        <v>4.2181174949824811</v>
      </c>
      <c r="AT1563" s="121" t="s">
        <v>276</v>
      </c>
      <c r="AU1563" s="121" t="s">
        <v>276</v>
      </c>
      <c r="AV1563" s="121" t="s">
        <v>269</v>
      </c>
      <c r="AW1563" s="121" t="s">
        <v>276</v>
      </c>
      <c r="AX1563" s="121">
        <f t="shared" si="455"/>
        <v>1.8628696048309059</v>
      </c>
      <c r="AY1563" s="121" t="s">
        <v>276</v>
      </c>
      <c r="AZ1563" s="121" t="s">
        <v>276</v>
      </c>
      <c r="BA1563" s="121" t="s">
        <v>276</v>
      </c>
      <c r="BB1563" s="121" t="s">
        <v>282</v>
      </c>
      <c r="BC1563" s="121" t="s">
        <v>276</v>
      </c>
      <c r="BD1563" s="121" t="s">
        <v>276</v>
      </c>
      <c r="BE1563" s="121" t="s">
        <v>276</v>
      </c>
      <c r="BF1563" s="113" t="s">
        <v>3355</v>
      </c>
      <c r="BG1563" s="113"/>
      <c r="BH1563" s="9" t="s">
        <v>100</v>
      </c>
      <c r="BI1563" s="9" t="s">
        <v>100</v>
      </c>
      <c r="BJ1563" s="123"/>
      <c r="BN1563" s="123"/>
      <c r="BO1563" s="123"/>
    </row>
    <row r="1564" spans="1:67" s="110" customFormat="1" ht="52" hidden="1" x14ac:dyDescent="0.35">
      <c r="A1564" s="94">
        <v>4570</v>
      </c>
      <c r="B1564" s="94" t="s">
        <v>9147</v>
      </c>
      <c r="C1564" s="95" t="s">
        <v>9148</v>
      </c>
      <c r="D1564" s="95" t="s">
        <v>9209</v>
      </c>
      <c r="E1564" s="94" t="s">
        <v>35</v>
      </c>
      <c r="F1564" s="95" t="s">
        <v>130</v>
      </c>
      <c r="G1564" s="94" t="s">
        <v>225</v>
      </c>
      <c r="H1564" s="94" t="s">
        <v>125</v>
      </c>
      <c r="I1564" s="94" t="s">
        <v>114</v>
      </c>
      <c r="J1564" s="95" t="s">
        <v>25</v>
      </c>
      <c r="K1564" s="94" t="s">
        <v>304</v>
      </c>
      <c r="L1564" s="95" t="s">
        <v>9204</v>
      </c>
      <c r="M1564" s="95" t="s">
        <v>9205</v>
      </c>
      <c r="N1564" s="95" t="s">
        <v>9197</v>
      </c>
      <c r="O1564" s="95" t="s">
        <v>9198</v>
      </c>
      <c r="P1564" s="95" t="s">
        <v>239</v>
      </c>
      <c r="Q1564" s="140">
        <v>43830</v>
      </c>
      <c r="R1564" s="95" t="s">
        <v>276</v>
      </c>
      <c r="S1564" s="95" t="s">
        <v>9152</v>
      </c>
      <c r="T1564" s="95" t="s">
        <v>9153</v>
      </c>
      <c r="U1564" s="95">
        <v>3</v>
      </c>
      <c r="V1564" s="94" t="s">
        <v>14</v>
      </c>
      <c r="W1564" s="94" t="s">
        <v>98</v>
      </c>
      <c r="X1564" s="95" t="s">
        <v>207</v>
      </c>
      <c r="Y1564" s="98">
        <v>55843</v>
      </c>
      <c r="Z1564" s="99">
        <v>59447</v>
      </c>
      <c r="AA1564" s="95" t="s">
        <v>276</v>
      </c>
      <c r="AB1564" s="95" t="s">
        <v>276</v>
      </c>
      <c r="AC1564" s="94">
        <v>6</v>
      </c>
      <c r="AD1564" s="94" t="s">
        <v>968</v>
      </c>
      <c r="AE1564" s="94">
        <v>2</v>
      </c>
      <c r="AF1564" s="94" t="s">
        <v>968</v>
      </c>
      <c r="AG1564" s="95" t="s">
        <v>9210</v>
      </c>
      <c r="AH1564" s="95" t="s">
        <v>280</v>
      </c>
      <c r="AI1564" s="99">
        <v>149</v>
      </c>
      <c r="AJ1564" s="99">
        <v>126</v>
      </c>
      <c r="AK1564" s="98">
        <v>55843</v>
      </c>
      <c r="AL1564" s="99">
        <v>59447</v>
      </c>
      <c r="AM1564" s="99" t="s">
        <v>281</v>
      </c>
      <c r="AN1564" s="95" t="s">
        <v>276</v>
      </c>
      <c r="AO1564" s="102">
        <f>AI1564*1000/AK1564</f>
        <v>2.6681947603101555</v>
      </c>
      <c r="AP1564" s="94" t="s">
        <v>276</v>
      </c>
      <c r="AQ1564" s="100" t="s">
        <v>276</v>
      </c>
      <c r="AR1564" s="94" t="s">
        <v>276</v>
      </c>
      <c r="AS1564" s="102">
        <f>AJ1564*1000/AL1564</f>
        <v>2.1195350480259729</v>
      </c>
      <c r="AT1564" s="102" t="s">
        <v>276</v>
      </c>
      <c r="AU1564" s="102" t="s">
        <v>276</v>
      </c>
      <c r="AV1564" s="102" t="s">
        <v>268</v>
      </c>
      <c r="AW1564" s="102" t="s">
        <v>276</v>
      </c>
      <c r="AX1564" s="102">
        <f t="shared" si="455"/>
        <v>1.2588585231441094</v>
      </c>
      <c r="AY1564" s="102" t="s">
        <v>276</v>
      </c>
      <c r="AZ1564" s="102" t="s">
        <v>276</v>
      </c>
      <c r="BA1564" s="102" t="s">
        <v>276</v>
      </c>
      <c r="BB1564" s="102" t="s">
        <v>282</v>
      </c>
      <c r="BC1564" s="102" t="s">
        <v>276</v>
      </c>
      <c r="BD1564" s="102" t="s">
        <v>276</v>
      </c>
      <c r="BE1564" s="102" t="s">
        <v>276</v>
      </c>
      <c r="BF1564" s="95" t="s">
        <v>3355</v>
      </c>
      <c r="BG1564" s="95"/>
      <c r="BH1564" s="9" t="s">
        <v>100</v>
      </c>
      <c r="BI1564" s="9" t="s">
        <v>100</v>
      </c>
      <c r="BJ1564" s="109"/>
      <c r="BN1564" s="109"/>
      <c r="BO1564" s="109"/>
    </row>
    <row r="1565" spans="1:67" s="110" customFormat="1" ht="52" hidden="1" x14ac:dyDescent="0.35">
      <c r="A1565" s="94">
        <v>4570</v>
      </c>
      <c r="B1565" s="94" t="s">
        <v>9147</v>
      </c>
      <c r="C1565" s="95" t="s">
        <v>9148</v>
      </c>
      <c r="D1565" s="95" t="s">
        <v>9211</v>
      </c>
      <c r="E1565" s="94" t="s">
        <v>35</v>
      </c>
      <c r="F1565" s="95" t="s">
        <v>130</v>
      </c>
      <c r="G1565" s="94" t="s">
        <v>225</v>
      </c>
      <c r="H1565" s="94" t="s">
        <v>125</v>
      </c>
      <c r="I1565" s="94" t="s">
        <v>114</v>
      </c>
      <c r="J1565" s="95" t="s">
        <v>25</v>
      </c>
      <c r="K1565" s="94" t="s">
        <v>304</v>
      </c>
      <c r="L1565" s="95" t="s">
        <v>9204</v>
      </c>
      <c r="M1565" s="95" t="s">
        <v>9205</v>
      </c>
      <c r="N1565" s="95" t="s">
        <v>9197</v>
      </c>
      <c r="O1565" s="95" t="s">
        <v>9198</v>
      </c>
      <c r="P1565" s="95" t="s">
        <v>239</v>
      </c>
      <c r="Q1565" s="140">
        <v>39964</v>
      </c>
      <c r="R1565" s="95" t="s">
        <v>276</v>
      </c>
      <c r="S1565" s="95" t="s">
        <v>9152</v>
      </c>
      <c r="T1565" s="95" t="s">
        <v>9153</v>
      </c>
      <c r="U1565" s="95">
        <v>3</v>
      </c>
      <c r="V1565" s="94" t="s">
        <v>14</v>
      </c>
      <c r="W1565" s="94" t="s">
        <v>98</v>
      </c>
      <c r="X1565" s="95" t="s">
        <v>207</v>
      </c>
      <c r="Y1565" s="98">
        <v>55843</v>
      </c>
      <c r="Z1565" s="99">
        <v>59447</v>
      </c>
      <c r="AA1565" s="95" t="s">
        <v>276</v>
      </c>
      <c r="AB1565" s="95" t="s">
        <v>276</v>
      </c>
      <c r="AC1565" s="94">
        <v>6</v>
      </c>
      <c r="AD1565" s="94" t="s">
        <v>968</v>
      </c>
      <c r="AE1565" s="94">
        <v>2</v>
      </c>
      <c r="AF1565" s="94" t="s">
        <v>968</v>
      </c>
      <c r="AG1565" s="95" t="s">
        <v>9210</v>
      </c>
      <c r="AH1565" s="95" t="s">
        <v>9208</v>
      </c>
      <c r="AI1565" s="99">
        <v>149</v>
      </c>
      <c r="AJ1565" s="99">
        <v>126</v>
      </c>
      <c r="AK1565" s="99">
        <v>687215</v>
      </c>
      <c r="AL1565" s="99">
        <v>734925</v>
      </c>
      <c r="AM1565" s="99" t="s">
        <v>1019</v>
      </c>
      <c r="AN1565" s="95" t="s">
        <v>276</v>
      </c>
      <c r="AO1565" s="102">
        <f>AI1565*100000/AK1565</f>
        <v>21.681715329263767</v>
      </c>
      <c r="AP1565" s="94" t="s">
        <v>276</v>
      </c>
      <c r="AQ1565" s="100" t="s">
        <v>276</v>
      </c>
      <c r="AR1565" s="94" t="s">
        <v>276</v>
      </c>
      <c r="AS1565" s="102">
        <f>AJ1565*100000/AL1565</f>
        <v>17.14460659250944</v>
      </c>
      <c r="AT1565" s="102" t="s">
        <v>276</v>
      </c>
      <c r="AU1565" s="102" t="s">
        <v>276</v>
      </c>
      <c r="AV1565" s="102" t="s">
        <v>269</v>
      </c>
      <c r="AW1565" s="102" t="s">
        <v>276</v>
      </c>
      <c r="AX1565" s="102">
        <f t="shared" si="455"/>
        <v>1.2646376697110455</v>
      </c>
      <c r="AY1565" s="102" t="s">
        <v>276</v>
      </c>
      <c r="AZ1565" s="102" t="s">
        <v>276</v>
      </c>
      <c r="BA1565" s="102" t="s">
        <v>276</v>
      </c>
      <c r="BB1565" s="102" t="s">
        <v>282</v>
      </c>
      <c r="BC1565" s="102" t="s">
        <v>276</v>
      </c>
      <c r="BD1565" s="102" t="s">
        <v>276</v>
      </c>
      <c r="BE1565" s="102" t="s">
        <v>276</v>
      </c>
      <c r="BF1565" s="95" t="s">
        <v>3355</v>
      </c>
      <c r="BG1565" s="95"/>
      <c r="BH1565" s="9" t="s">
        <v>100</v>
      </c>
      <c r="BI1565" s="9" t="s">
        <v>100</v>
      </c>
      <c r="BJ1565" s="109"/>
      <c r="BN1565" s="109"/>
      <c r="BO1565" s="109"/>
    </row>
    <row r="1566" spans="1:67" s="124" customFormat="1" ht="52" hidden="1" x14ac:dyDescent="0.35">
      <c r="A1566" s="112">
        <v>4570</v>
      </c>
      <c r="B1566" s="112" t="s">
        <v>9147</v>
      </c>
      <c r="C1566" s="113" t="s">
        <v>9148</v>
      </c>
      <c r="D1566" s="113" t="s">
        <v>9212</v>
      </c>
      <c r="E1566" s="112" t="s">
        <v>35</v>
      </c>
      <c r="F1566" s="113" t="s">
        <v>130</v>
      </c>
      <c r="G1566" s="112" t="s">
        <v>225</v>
      </c>
      <c r="H1566" s="112" t="s">
        <v>125</v>
      </c>
      <c r="I1566" s="112" t="s">
        <v>114</v>
      </c>
      <c r="J1566" s="113" t="s">
        <v>25</v>
      </c>
      <c r="K1566" s="112" t="s">
        <v>307</v>
      </c>
      <c r="L1566" s="113" t="s">
        <v>9204</v>
      </c>
      <c r="M1566" s="113" t="s">
        <v>9205</v>
      </c>
      <c r="N1566" s="113" t="s">
        <v>9197</v>
      </c>
      <c r="O1566" s="113" t="s">
        <v>9198</v>
      </c>
      <c r="P1566" s="113" t="s">
        <v>239</v>
      </c>
      <c r="Q1566" s="142">
        <v>43830</v>
      </c>
      <c r="R1566" s="113" t="s">
        <v>276</v>
      </c>
      <c r="S1566" s="113" t="s">
        <v>9152</v>
      </c>
      <c r="T1566" s="113" t="s">
        <v>9153</v>
      </c>
      <c r="U1566" s="113">
        <v>3</v>
      </c>
      <c r="V1566" s="112" t="s">
        <v>14</v>
      </c>
      <c r="W1566" s="112" t="s">
        <v>98</v>
      </c>
      <c r="X1566" s="113" t="s">
        <v>207</v>
      </c>
      <c r="Y1566" s="118">
        <v>55843</v>
      </c>
      <c r="Z1566" s="119">
        <v>59447</v>
      </c>
      <c r="AA1566" s="113" t="s">
        <v>276</v>
      </c>
      <c r="AB1566" s="113" t="s">
        <v>276</v>
      </c>
      <c r="AC1566" s="112">
        <v>6</v>
      </c>
      <c r="AD1566" s="112" t="s">
        <v>968</v>
      </c>
      <c r="AE1566" s="112">
        <v>2</v>
      </c>
      <c r="AF1566" s="112" t="s">
        <v>968</v>
      </c>
      <c r="AG1566" s="113" t="s">
        <v>9213</v>
      </c>
      <c r="AH1566" s="113" t="s">
        <v>280</v>
      </c>
      <c r="AI1566" s="119">
        <v>203</v>
      </c>
      <c r="AJ1566" s="119">
        <v>157</v>
      </c>
      <c r="AK1566" s="118">
        <v>55843</v>
      </c>
      <c r="AL1566" s="119">
        <v>59447</v>
      </c>
      <c r="AM1566" s="119" t="s">
        <v>281</v>
      </c>
      <c r="AN1566" s="113" t="s">
        <v>276</v>
      </c>
      <c r="AO1566" s="121">
        <f>AI1566*1000/AK1566</f>
        <v>3.6351915190802786</v>
      </c>
      <c r="AP1566" s="112" t="s">
        <v>276</v>
      </c>
      <c r="AQ1566" s="164" t="s">
        <v>276</v>
      </c>
      <c r="AR1566" s="112" t="s">
        <v>276</v>
      </c>
      <c r="AS1566" s="121">
        <f>AJ1566*1000/AL1566</f>
        <v>2.6410079566672833</v>
      </c>
      <c r="AT1566" s="121" t="s">
        <v>276</v>
      </c>
      <c r="AU1566" s="121" t="s">
        <v>276</v>
      </c>
      <c r="AV1566" s="121" t="s">
        <v>268</v>
      </c>
      <c r="AW1566" s="121" t="s">
        <v>276</v>
      </c>
      <c r="AX1566" s="121">
        <f t="shared" si="455"/>
        <v>1.3764409569093334</v>
      </c>
      <c r="AY1566" s="121" t="s">
        <v>276</v>
      </c>
      <c r="AZ1566" s="121" t="s">
        <v>276</v>
      </c>
      <c r="BA1566" s="121" t="s">
        <v>276</v>
      </c>
      <c r="BB1566" s="121" t="s">
        <v>282</v>
      </c>
      <c r="BC1566" s="121" t="s">
        <v>276</v>
      </c>
      <c r="BD1566" s="121" t="s">
        <v>276</v>
      </c>
      <c r="BE1566" s="121" t="s">
        <v>276</v>
      </c>
      <c r="BF1566" s="113" t="s">
        <v>9214</v>
      </c>
      <c r="BG1566" s="113" t="s">
        <v>9215</v>
      </c>
      <c r="BH1566" s="9" t="s">
        <v>100</v>
      </c>
      <c r="BI1566" s="9" t="s">
        <v>100</v>
      </c>
      <c r="BJ1566" s="123"/>
      <c r="BN1566" s="123"/>
      <c r="BO1566" s="123"/>
    </row>
    <row r="1567" spans="1:67" s="124" customFormat="1" ht="91" hidden="1" x14ac:dyDescent="0.35">
      <c r="A1567" s="112">
        <v>4570</v>
      </c>
      <c r="B1567" s="112" t="s">
        <v>9147</v>
      </c>
      <c r="C1567" s="113" t="s">
        <v>9148</v>
      </c>
      <c r="D1567" s="113" t="s">
        <v>9216</v>
      </c>
      <c r="E1567" s="112" t="s">
        <v>35</v>
      </c>
      <c r="F1567" s="113" t="s">
        <v>130</v>
      </c>
      <c r="G1567" s="112" t="s">
        <v>225</v>
      </c>
      <c r="H1567" s="112" t="s">
        <v>125</v>
      </c>
      <c r="I1567" s="112" t="s">
        <v>114</v>
      </c>
      <c r="J1567" s="113" t="s">
        <v>25</v>
      </c>
      <c r="K1567" s="112" t="s">
        <v>307</v>
      </c>
      <c r="L1567" s="113" t="s">
        <v>9204</v>
      </c>
      <c r="M1567" s="113" t="s">
        <v>9205</v>
      </c>
      <c r="N1567" s="113" t="s">
        <v>9197</v>
      </c>
      <c r="O1567" s="113" t="s">
        <v>9198</v>
      </c>
      <c r="P1567" s="113" t="s">
        <v>239</v>
      </c>
      <c r="Q1567" s="142">
        <v>39964</v>
      </c>
      <c r="R1567" s="113" t="s">
        <v>276</v>
      </c>
      <c r="S1567" s="113" t="s">
        <v>9152</v>
      </c>
      <c r="T1567" s="113" t="s">
        <v>9153</v>
      </c>
      <c r="U1567" s="113">
        <v>3</v>
      </c>
      <c r="V1567" s="112" t="s">
        <v>14</v>
      </c>
      <c r="W1567" s="112" t="s">
        <v>98</v>
      </c>
      <c r="X1567" s="113" t="s">
        <v>207</v>
      </c>
      <c r="Y1567" s="118">
        <v>55843</v>
      </c>
      <c r="Z1567" s="119">
        <v>59447</v>
      </c>
      <c r="AA1567" s="113" t="s">
        <v>276</v>
      </c>
      <c r="AB1567" s="113" t="s">
        <v>276</v>
      </c>
      <c r="AC1567" s="112">
        <v>6</v>
      </c>
      <c r="AD1567" s="112" t="s">
        <v>968</v>
      </c>
      <c r="AE1567" s="112">
        <v>2</v>
      </c>
      <c r="AF1567" s="112" t="s">
        <v>968</v>
      </c>
      <c r="AG1567" s="113" t="s">
        <v>9213</v>
      </c>
      <c r="AH1567" s="113" t="s">
        <v>9208</v>
      </c>
      <c r="AI1567" s="119">
        <v>203</v>
      </c>
      <c r="AJ1567" s="119">
        <v>157</v>
      </c>
      <c r="AK1567" s="119">
        <v>687215</v>
      </c>
      <c r="AL1567" s="119">
        <v>734925</v>
      </c>
      <c r="AM1567" s="119" t="s">
        <v>1019</v>
      </c>
      <c r="AN1567" s="113">
        <v>29.6</v>
      </c>
      <c r="AO1567" s="121">
        <f>AI1567*100000/AK1567</f>
        <v>29.539518200272113</v>
      </c>
      <c r="AP1567" s="112" t="s">
        <v>276</v>
      </c>
      <c r="AQ1567" s="164" t="s">
        <v>276</v>
      </c>
      <c r="AR1567" s="112">
        <v>21.4</v>
      </c>
      <c r="AS1567" s="121">
        <f>AJ1567*100000/AL1567</f>
        <v>21.36272408749192</v>
      </c>
      <c r="AT1567" s="121" t="s">
        <v>276</v>
      </c>
      <c r="AU1567" s="121" t="s">
        <v>276</v>
      </c>
      <c r="AV1567" s="121" t="s">
        <v>269</v>
      </c>
      <c r="AW1567" s="121" t="s">
        <v>276</v>
      </c>
      <c r="AX1567" s="121">
        <f t="shared" si="455"/>
        <v>1.3827598989385339</v>
      </c>
      <c r="AY1567" s="121" t="s">
        <v>276</v>
      </c>
      <c r="AZ1567" s="121" t="s">
        <v>276</v>
      </c>
      <c r="BA1567" s="121" t="s">
        <v>276</v>
      </c>
      <c r="BB1567" s="143" t="s">
        <v>9156</v>
      </c>
      <c r="BC1567" s="121">
        <v>1.41</v>
      </c>
      <c r="BD1567" s="121">
        <v>1.1299999999999999</v>
      </c>
      <c r="BE1567" s="121">
        <v>1.76</v>
      </c>
      <c r="BF1567" s="113" t="s">
        <v>9214</v>
      </c>
      <c r="BG1567" s="113" t="s">
        <v>9215</v>
      </c>
      <c r="BH1567" s="9" t="s">
        <v>100</v>
      </c>
      <c r="BI1567" s="9" t="s">
        <v>100</v>
      </c>
      <c r="BJ1567" s="123"/>
      <c r="BN1567" s="123"/>
      <c r="BO1567" s="123"/>
    </row>
    <row r="1568" spans="1:67" s="110" customFormat="1" ht="52" hidden="1" x14ac:dyDescent="0.35">
      <c r="A1568" s="94">
        <v>4570</v>
      </c>
      <c r="B1568" s="94" t="s">
        <v>9147</v>
      </c>
      <c r="C1568" s="95" t="s">
        <v>9148</v>
      </c>
      <c r="D1568" s="95" t="s">
        <v>9217</v>
      </c>
      <c r="E1568" s="94" t="s">
        <v>35</v>
      </c>
      <c r="F1568" s="95" t="s">
        <v>130</v>
      </c>
      <c r="G1568" s="94" t="s">
        <v>225</v>
      </c>
      <c r="H1568" s="94" t="s">
        <v>125</v>
      </c>
      <c r="I1568" s="94" t="s">
        <v>114</v>
      </c>
      <c r="J1568" s="95" t="s">
        <v>25</v>
      </c>
      <c r="K1568" s="94" t="s">
        <v>311</v>
      </c>
      <c r="L1568" s="95" t="s">
        <v>9204</v>
      </c>
      <c r="M1568" s="95" t="s">
        <v>9205</v>
      </c>
      <c r="N1568" s="95" t="s">
        <v>9197</v>
      </c>
      <c r="O1568" s="95" t="s">
        <v>9198</v>
      </c>
      <c r="P1568" s="95" t="s">
        <v>239</v>
      </c>
      <c r="Q1568" s="140">
        <v>43830</v>
      </c>
      <c r="R1568" s="95" t="s">
        <v>276</v>
      </c>
      <c r="S1568" s="95" t="s">
        <v>9152</v>
      </c>
      <c r="T1568" s="95" t="s">
        <v>9153</v>
      </c>
      <c r="U1568" s="95">
        <v>3</v>
      </c>
      <c r="V1568" s="94" t="s">
        <v>14</v>
      </c>
      <c r="W1568" s="94" t="s">
        <v>98</v>
      </c>
      <c r="X1568" s="95" t="s">
        <v>207</v>
      </c>
      <c r="Y1568" s="98">
        <v>55843</v>
      </c>
      <c r="Z1568" s="99">
        <v>59447</v>
      </c>
      <c r="AA1568" s="95" t="s">
        <v>276</v>
      </c>
      <c r="AB1568" s="95" t="s">
        <v>276</v>
      </c>
      <c r="AC1568" s="94">
        <v>6</v>
      </c>
      <c r="AD1568" s="94" t="s">
        <v>968</v>
      </c>
      <c r="AE1568" s="94">
        <v>2</v>
      </c>
      <c r="AF1568" s="94" t="s">
        <v>968</v>
      </c>
      <c r="AG1568" s="95" t="s">
        <v>9218</v>
      </c>
      <c r="AH1568" s="95" t="s">
        <v>280</v>
      </c>
      <c r="AI1568" s="99">
        <v>94</v>
      </c>
      <c r="AJ1568" s="99">
        <v>90</v>
      </c>
      <c r="AK1568" s="98">
        <v>55843</v>
      </c>
      <c r="AL1568" s="99">
        <v>59447</v>
      </c>
      <c r="AM1568" s="99" t="s">
        <v>281</v>
      </c>
      <c r="AN1568" s="95" t="s">
        <v>276</v>
      </c>
      <c r="AO1568" s="102">
        <f>AI1568*1000/AK1568</f>
        <v>1.6832906541554</v>
      </c>
      <c r="AP1568" s="94" t="s">
        <v>276</v>
      </c>
      <c r="AQ1568" s="100" t="s">
        <v>276</v>
      </c>
      <c r="AR1568" s="94" t="s">
        <v>276</v>
      </c>
      <c r="AS1568" s="102">
        <f>AJ1568*1000/AL1568</f>
        <v>1.5139536057328375</v>
      </c>
      <c r="AT1568" s="102" t="s">
        <v>276</v>
      </c>
      <c r="AU1568" s="102" t="s">
        <v>276</v>
      </c>
      <c r="AV1568" s="102" t="s">
        <v>268</v>
      </c>
      <c r="AW1568" s="102" t="s">
        <v>276</v>
      </c>
      <c r="AX1568" s="102">
        <f t="shared" si="455"/>
        <v>1.1118508835286229</v>
      </c>
      <c r="AY1568" s="102" t="s">
        <v>276</v>
      </c>
      <c r="AZ1568" s="102" t="s">
        <v>276</v>
      </c>
      <c r="BA1568" s="102" t="s">
        <v>276</v>
      </c>
      <c r="BB1568" s="102" t="s">
        <v>282</v>
      </c>
      <c r="BC1568" s="102" t="s">
        <v>276</v>
      </c>
      <c r="BD1568" s="102" t="s">
        <v>276</v>
      </c>
      <c r="BE1568" s="102" t="s">
        <v>276</v>
      </c>
      <c r="BF1568" s="95" t="s">
        <v>3355</v>
      </c>
      <c r="BG1568" s="95"/>
      <c r="BH1568" s="9" t="s">
        <v>100</v>
      </c>
      <c r="BI1568" s="9" t="s">
        <v>100</v>
      </c>
      <c r="BJ1568" s="109"/>
      <c r="BN1568" s="109"/>
      <c r="BO1568" s="109"/>
    </row>
    <row r="1569" spans="1:67" s="110" customFormat="1" ht="52" hidden="1" x14ac:dyDescent="0.35">
      <c r="A1569" s="94">
        <v>4570</v>
      </c>
      <c r="B1569" s="94" t="s">
        <v>9147</v>
      </c>
      <c r="C1569" s="95" t="s">
        <v>9148</v>
      </c>
      <c r="D1569" s="95" t="s">
        <v>9219</v>
      </c>
      <c r="E1569" s="94" t="s">
        <v>35</v>
      </c>
      <c r="F1569" s="95" t="s">
        <v>130</v>
      </c>
      <c r="G1569" s="94" t="s">
        <v>225</v>
      </c>
      <c r="H1569" s="94" t="s">
        <v>125</v>
      </c>
      <c r="I1569" s="94" t="s">
        <v>114</v>
      </c>
      <c r="J1569" s="95" t="s">
        <v>25</v>
      </c>
      <c r="K1569" s="94" t="s">
        <v>311</v>
      </c>
      <c r="L1569" s="95" t="s">
        <v>9204</v>
      </c>
      <c r="M1569" s="95" t="s">
        <v>9205</v>
      </c>
      <c r="N1569" s="95" t="s">
        <v>9197</v>
      </c>
      <c r="O1569" s="95" t="s">
        <v>9198</v>
      </c>
      <c r="P1569" s="95" t="s">
        <v>239</v>
      </c>
      <c r="Q1569" s="140">
        <v>39964</v>
      </c>
      <c r="R1569" s="95" t="s">
        <v>276</v>
      </c>
      <c r="S1569" s="95" t="s">
        <v>9152</v>
      </c>
      <c r="T1569" s="95" t="s">
        <v>9153</v>
      </c>
      <c r="U1569" s="95">
        <v>3</v>
      </c>
      <c r="V1569" s="94" t="s">
        <v>14</v>
      </c>
      <c r="W1569" s="94" t="s">
        <v>98</v>
      </c>
      <c r="X1569" s="95" t="s">
        <v>207</v>
      </c>
      <c r="Y1569" s="98">
        <v>55843</v>
      </c>
      <c r="Z1569" s="99">
        <v>59447</v>
      </c>
      <c r="AA1569" s="95" t="s">
        <v>276</v>
      </c>
      <c r="AB1569" s="95" t="s">
        <v>276</v>
      </c>
      <c r="AC1569" s="94">
        <v>6</v>
      </c>
      <c r="AD1569" s="94" t="s">
        <v>968</v>
      </c>
      <c r="AE1569" s="94">
        <v>2</v>
      </c>
      <c r="AF1569" s="94" t="s">
        <v>968</v>
      </c>
      <c r="AG1569" s="95" t="s">
        <v>9218</v>
      </c>
      <c r="AH1569" s="95" t="s">
        <v>9208</v>
      </c>
      <c r="AI1569" s="99">
        <v>94</v>
      </c>
      <c r="AJ1569" s="99">
        <v>90</v>
      </c>
      <c r="AK1569" s="99">
        <v>687215</v>
      </c>
      <c r="AL1569" s="99">
        <v>734925</v>
      </c>
      <c r="AM1569" s="99" t="s">
        <v>1019</v>
      </c>
      <c r="AN1569" s="95" t="s">
        <v>276</v>
      </c>
      <c r="AO1569" s="102">
        <f>AI1569*100000/AK1569</f>
        <v>13.678397590273786</v>
      </c>
      <c r="AP1569" s="94" t="s">
        <v>276</v>
      </c>
      <c r="AQ1569" s="100" t="s">
        <v>276</v>
      </c>
      <c r="AR1569" s="94" t="s">
        <v>276</v>
      </c>
      <c r="AS1569" s="102">
        <f>AJ1569*100000/AL1569</f>
        <v>12.246147566078172</v>
      </c>
      <c r="AT1569" s="102" t="s">
        <v>276</v>
      </c>
      <c r="AU1569" s="102" t="s">
        <v>276</v>
      </c>
      <c r="AV1569" s="102" t="s">
        <v>269</v>
      </c>
      <c r="AW1569" s="102" t="s">
        <v>276</v>
      </c>
      <c r="AX1569" s="102">
        <f t="shared" si="455"/>
        <v>1.1169551498924402</v>
      </c>
      <c r="AY1569" s="102" t="s">
        <v>276</v>
      </c>
      <c r="AZ1569" s="102" t="s">
        <v>276</v>
      </c>
      <c r="BA1569" s="102" t="s">
        <v>276</v>
      </c>
      <c r="BB1569" s="102" t="s">
        <v>282</v>
      </c>
      <c r="BC1569" s="102" t="s">
        <v>276</v>
      </c>
      <c r="BD1569" s="102" t="s">
        <v>276</v>
      </c>
      <c r="BE1569" s="102" t="s">
        <v>276</v>
      </c>
      <c r="BF1569" s="95" t="s">
        <v>3355</v>
      </c>
      <c r="BG1569" s="95"/>
      <c r="BH1569" s="9" t="s">
        <v>100</v>
      </c>
      <c r="BI1569" s="9" t="s">
        <v>100</v>
      </c>
      <c r="BJ1569" s="109"/>
      <c r="BN1569" s="109"/>
      <c r="BO1569" s="109"/>
    </row>
    <row r="1570" spans="1:67" s="124" customFormat="1" ht="52" hidden="1" x14ac:dyDescent="0.35">
      <c r="A1570" s="112">
        <v>4570</v>
      </c>
      <c r="B1570" s="112" t="s">
        <v>9147</v>
      </c>
      <c r="C1570" s="113" t="s">
        <v>9148</v>
      </c>
      <c r="D1570" s="113" t="s">
        <v>9220</v>
      </c>
      <c r="E1570" s="112" t="s">
        <v>35</v>
      </c>
      <c r="F1570" s="113" t="s">
        <v>130</v>
      </c>
      <c r="G1570" s="112" t="s">
        <v>225</v>
      </c>
      <c r="H1570" s="112" t="s">
        <v>125</v>
      </c>
      <c r="I1570" s="112" t="s">
        <v>114</v>
      </c>
      <c r="J1570" s="113" t="s">
        <v>25</v>
      </c>
      <c r="K1570" s="112" t="s">
        <v>314</v>
      </c>
      <c r="L1570" s="113" t="s">
        <v>9204</v>
      </c>
      <c r="M1570" s="113" t="s">
        <v>9205</v>
      </c>
      <c r="N1570" s="113" t="s">
        <v>9197</v>
      </c>
      <c r="O1570" s="113" t="s">
        <v>9198</v>
      </c>
      <c r="P1570" s="113" t="s">
        <v>239</v>
      </c>
      <c r="Q1570" s="142">
        <v>43830</v>
      </c>
      <c r="R1570" s="113" t="s">
        <v>276</v>
      </c>
      <c r="S1570" s="113" t="s">
        <v>9152</v>
      </c>
      <c r="T1570" s="113" t="s">
        <v>9153</v>
      </c>
      <c r="U1570" s="113">
        <v>3</v>
      </c>
      <c r="V1570" s="112" t="s">
        <v>14</v>
      </c>
      <c r="W1570" s="112" t="s">
        <v>98</v>
      </c>
      <c r="X1570" s="113" t="s">
        <v>207</v>
      </c>
      <c r="Y1570" s="118">
        <v>55843</v>
      </c>
      <c r="Z1570" s="119">
        <v>59447</v>
      </c>
      <c r="AA1570" s="113" t="s">
        <v>276</v>
      </c>
      <c r="AB1570" s="113" t="s">
        <v>276</v>
      </c>
      <c r="AC1570" s="112">
        <v>6</v>
      </c>
      <c r="AD1570" s="112" t="s">
        <v>968</v>
      </c>
      <c r="AE1570" s="112">
        <v>2</v>
      </c>
      <c r="AF1570" s="112" t="s">
        <v>968</v>
      </c>
      <c r="AG1570" s="113" t="s">
        <v>9221</v>
      </c>
      <c r="AH1570" s="113" t="s">
        <v>280</v>
      </c>
      <c r="AI1570" s="119">
        <v>32</v>
      </c>
      <c r="AJ1570" s="119">
        <v>24</v>
      </c>
      <c r="AK1570" s="118">
        <v>55843</v>
      </c>
      <c r="AL1570" s="119">
        <v>59447</v>
      </c>
      <c r="AM1570" s="119" t="s">
        <v>281</v>
      </c>
      <c r="AN1570" s="113" t="s">
        <v>276</v>
      </c>
      <c r="AO1570" s="121">
        <f>AI1570*1000/AK1570</f>
        <v>0.57303511630822124</v>
      </c>
      <c r="AP1570" s="112" t="s">
        <v>276</v>
      </c>
      <c r="AQ1570" s="164" t="s">
        <v>276</v>
      </c>
      <c r="AR1570" s="112" t="s">
        <v>276</v>
      </c>
      <c r="AS1570" s="121">
        <f>AJ1570*1000/AL1570</f>
        <v>0.40372096152875669</v>
      </c>
      <c r="AT1570" s="121" t="s">
        <v>276</v>
      </c>
      <c r="AU1570" s="121" t="s">
        <v>276</v>
      </c>
      <c r="AV1570" s="121" t="s">
        <v>268</v>
      </c>
      <c r="AW1570" s="121" t="s">
        <v>276</v>
      </c>
      <c r="AX1570" s="121">
        <f t="shared" si="455"/>
        <v>1.4193841066322845</v>
      </c>
      <c r="AY1570" s="121" t="s">
        <v>276</v>
      </c>
      <c r="AZ1570" s="121" t="s">
        <v>276</v>
      </c>
      <c r="BA1570" s="121" t="s">
        <v>276</v>
      </c>
      <c r="BB1570" s="121" t="s">
        <v>282</v>
      </c>
      <c r="BC1570" s="121" t="s">
        <v>276</v>
      </c>
      <c r="BD1570" s="121" t="s">
        <v>276</v>
      </c>
      <c r="BE1570" s="121" t="s">
        <v>276</v>
      </c>
      <c r="BF1570" s="113" t="s">
        <v>3355</v>
      </c>
      <c r="BG1570" s="113"/>
      <c r="BH1570" s="9" t="s">
        <v>100</v>
      </c>
      <c r="BI1570" s="9" t="s">
        <v>100</v>
      </c>
      <c r="BJ1570" s="123"/>
      <c r="BN1570" s="123"/>
      <c r="BO1570" s="123"/>
    </row>
    <row r="1571" spans="1:67" s="124" customFormat="1" ht="52" hidden="1" x14ac:dyDescent="0.35">
      <c r="A1571" s="112">
        <v>4570</v>
      </c>
      <c r="B1571" s="112" t="s">
        <v>9147</v>
      </c>
      <c r="C1571" s="113" t="s">
        <v>9148</v>
      </c>
      <c r="D1571" s="113" t="s">
        <v>9222</v>
      </c>
      <c r="E1571" s="112" t="s">
        <v>35</v>
      </c>
      <c r="F1571" s="113" t="s">
        <v>130</v>
      </c>
      <c r="G1571" s="112" t="s">
        <v>225</v>
      </c>
      <c r="H1571" s="112" t="s">
        <v>125</v>
      </c>
      <c r="I1571" s="112" t="s">
        <v>114</v>
      </c>
      <c r="J1571" s="113" t="s">
        <v>25</v>
      </c>
      <c r="K1571" s="112" t="s">
        <v>314</v>
      </c>
      <c r="L1571" s="113" t="s">
        <v>9204</v>
      </c>
      <c r="M1571" s="113" t="s">
        <v>9205</v>
      </c>
      <c r="N1571" s="113" t="s">
        <v>9197</v>
      </c>
      <c r="O1571" s="113" t="s">
        <v>9198</v>
      </c>
      <c r="P1571" s="113" t="s">
        <v>239</v>
      </c>
      <c r="Q1571" s="142">
        <v>39964</v>
      </c>
      <c r="R1571" s="113" t="s">
        <v>276</v>
      </c>
      <c r="S1571" s="113" t="s">
        <v>9152</v>
      </c>
      <c r="T1571" s="113" t="s">
        <v>9153</v>
      </c>
      <c r="U1571" s="113">
        <v>3</v>
      </c>
      <c r="V1571" s="112" t="s">
        <v>14</v>
      </c>
      <c r="W1571" s="112" t="s">
        <v>98</v>
      </c>
      <c r="X1571" s="113" t="s">
        <v>207</v>
      </c>
      <c r="Y1571" s="118">
        <v>55843</v>
      </c>
      <c r="Z1571" s="119">
        <v>59447</v>
      </c>
      <c r="AA1571" s="113" t="s">
        <v>276</v>
      </c>
      <c r="AB1571" s="113" t="s">
        <v>276</v>
      </c>
      <c r="AC1571" s="112">
        <v>6</v>
      </c>
      <c r="AD1571" s="112" t="s">
        <v>968</v>
      </c>
      <c r="AE1571" s="112">
        <v>2</v>
      </c>
      <c r="AF1571" s="112" t="s">
        <v>968</v>
      </c>
      <c r="AG1571" s="113" t="s">
        <v>9221</v>
      </c>
      <c r="AH1571" s="113" t="s">
        <v>9208</v>
      </c>
      <c r="AI1571" s="119">
        <v>32</v>
      </c>
      <c r="AJ1571" s="119">
        <v>24</v>
      </c>
      <c r="AK1571" s="119">
        <v>687215</v>
      </c>
      <c r="AL1571" s="119">
        <v>734925</v>
      </c>
      <c r="AM1571" s="119" t="s">
        <v>1019</v>
      </c>
      <c r="AN1571" s="113" t="s">
        <v>276</v>
      </c>
      <c r="AO1571" s="121">
        <f>AI1571*100000/AK1571</f>
        <v>4.6564757754123525</v>
      </c>
      <c r="AP1571" s="112" t="s">
        <v>276</v>
      </c>
      <c r="AQ1571" s="164" t="s">
        <v>276</v>
      </c>
      <c r="AR1571" s="112" t="s">
        <v>276</v>
      </c>
      <c r="AS1571" s="121">
        <f>AJ1571*100000/AL1571</f>
        <v>3.2656393509541788</v>
      </c>
      <c r="AT1571" s="121" t="s">
        <v>276</v>
      </c>
      <c r="AU1571" s="121" t="s">
        <v>276</v>
      </c>
      <c r="AV1571" s="121" t="s">
        <v>269</v>
      </c>
      <c r="AW1571" s="121" t="s">
        <v>276</v>
      </c>
      <c r="AX1571" s="121">
        <f t="shared" si="455"/>
        <v>1.4259001913520515</v>
      </c>
      <c r="AY1571" s="121" t="s">
        <v>276</v>
      </c>
      <c r="AZ1571" s="121" t="s">
        <v>276</v>
      </c>
      <c r="BA1571" s="121" t="s">
        <v>276</v>
      </c>
      <c r="BB1571" s="121" t="s">
        <v>282</v>
      </c>
      <c r="BC1571" s="121" t="s">
        <v>276</v>
      </c>
      <c r="BD1571" s="121" t="s">
        <v>276</v>
      </c>
      <c r="BE1571" s="121" t="s">
        <v>276</v>
      </c>
      <c r="BF1571" s="113" t="s">
        <v>3355</v>
      </c>
      <c r="BG1571" s="113"/>
      <c r="BH1571" s="9" t="s">
        <v>100</v>
      </c>
      <c r="BI1571" s="9" t="s">
        <v>100</v>
      </c>
      <c r="BJ1571" s="123"/>
      <c r="BN1571" s="123"/>
      <c r="BO1571" s="123"/>
    </row>
    <row r="1572" spans="1:67" s="110" customFormat="1" ht="52" hidden="1" x14ac:dyDescent="0.35">
      <c r="A1572" s="94">
        <v>4570</v>
      </c>
      <c r="B1572" s="94" t="s">
        <v>9147</v>
      </c>
      <c r="C1572" s="95" t="s">
        <v>9148</v>
      </c>
      <c r="D1572" s="95" t="s">
        <v>9223</v>
      </c>
      <c r="E1572" s="94" t="s">
        <v>35</v>
      </c>
      <c r="F1572" s="95" t="s">
        <v>130</v>
      </c>
      <c r="G1572" s="94" t="s">
        <v>225</v>
      </c>
      <c r="H1572" s="94" t="s">
        <v>125</v>
      </c>
      <c r="I1572" s="94" t="s">
        <v>114</v>
      </c>
      <c r="J1572" s="95" t="s">
        <v>25</v>
      </c>
      <c r="K1572" s="94" t="s">
        <v>317</v>
      </c>
      <c r="L1572" s="95" t="s">
        <v>9204</v>
      </c>
      <c r="M1572" s="95" t="s">
        <v>9205</v>
      </c>
      <c r="N1572" s="95" t="s">
        <v>9197</v>
      </c>
      <c r="O1572" s="95" t="s">
        <v>9198</v>
      </c>
      <c r="P1572" s="95" t="s">
        <v>239</v>
      </c>
      <c r="Q1572" s="140">
        <v>43830</v>
      </c>
      <c r="R1572" s="95" t="s">
        <v>276</v>
      </c>
      <c r="S1572" s="95" t="s">
        <v>9152</v>
      </c>
      <c r="T1572" s="95" t="s">
        <v>9153</v>
      </c>
      <c r="U1572" s="95">
        <v>3</v>
      </c>
      <c r="V1572" s="94" t="s">
        <v>14</v>
      </c>
      <c r="W1572" s="94" t="s">
        <v>98</v>
      </c>
      <c r="X1572" s="95" t="s">
        <v>207</v>
      </c>
      <c r="Y1572" s="98">
        <v>55843</v>
      </c>
      <c r="Z1572" s="99">
        <v>59447</v>
      </c>
      <c r="AA1572" s="95" t="s">
        <v>276</v>
      </c>
      <c r="AB1572" s="95" t="s">
        <v>276</v>
      </c>
      <c r="AC1572" s="94">
        <v>6</v>
      </c>
      <c r="AD1572" s="94" t="s">
        <v>968</v>
      </c>
      <c r="AE1572" s="94">
        <v>2</v>
      </c>
      <c r="AF1572" s="94" t="s">
        <v>968</v>
      </c>
      <c r="AG1572" s="95" t="s">
        <v>9224</v>
      </c>
      <c r="AH1572" s="95" t="s">
        <v>280</v>
      </c>
      <c r="AI1572" s="99">
        <v>126</v>
      </c>
      <c r="AJ1572" s="99">
        <v>114</v>
      </c>
      <c r="AK1572" s="98">
        <v>55843</v>
      </c>
      <c r="AL1572" s="99">
        <v>59447</v>
      </c>
      <c r="AM1572" s="99" t="s">
        <v>281</v>
      </c>
      <c r="AN1572" s="95" t="s">
        <v>276</v>
      </c>
      <c r="AO1572" s="102">
        <f>AI1572*1000/AK1572</f>
        <v>2.2563257704636213</v>
      </c>
      <c r="AP1572" s="94" t="s">
        <v>276</v>
      </c>
      <c r="AQ1572" s="100" t="s">
        <v>276</v>
      </c>
      <c r="AR1572" s="94" t="s">
        <v>276</v>
      </c>
      <c r="AS1572" s="102">
        <f>AJ1572*1000/AL1572</f>
        <v>1.9176745672615945</v>
      </c>
      <c r="AT1572" s="102" t="s">
        <v>276</v>
      </c>
      <c r="AU1572" s="102" t="s">
        <v>276</v>
      </c>
      <c r="AV1572" s="102" t="s">
        <v>268</v>
      </c>
      <c r="AW1572" s="102" t="s">
        <v>276</v>
      </c>
      <c r="AX1572" s="102">
        <f t="shared" si="455"/>
        <v>1.176594719971499</v>
      </c>
      <c r="AY1572" s="102" t="s">
        <v>276</v>
      </c>
      <c r="AZ1572" s="102" t="s">
        <v>276</v>
      </c>
      <c r="BA1572" s="102" t="s">
        <v>276</v>
      </c>
      <c r="BB1572" s="102" t="s">
        <v>282</v>
      </c>
      <c r="BC1572" s="102" t="s">
        <v>276</v>
      </c>
      <c r="BD1572" s="102" t="s">
        <v>276</v>
      </c>
      <c r="BE1572" s="102" t="s">
        <v>276</v>
      </c>
      <c r="BF1572" s="95" t="s">
        <v>9225</v>
      </c>
      <c r="BG1572" s="95"/>
      <c r="BH1572" s="9" t="s">
        <v>100</v>
      </c>
      <c r="BI1572" s="9" t="s">
        <v>100</v>
      </c>
      <c r="BJ1572" s="109"/>
      <c r="BN1572" s="109"/>
      <c r="BO1572" s="109"/>
    </row>
    <row r="1573" spans="1:67" s="110" customFormat="1" ht="91" hidden="1" x14ac:dyDescent="0.35">
      <c r="A1573" s="94">
        <v>4570</v>
      </c>
      <c r="B1573" s="94" t="s">
        <v>9147</v>
      </c>
      <c r="C1573" s="95" t="s">
        <v>9148</v>
      </c>
      <c r="D1573" s="95" t="s">
        <v>9226</v>
      </c>
      <c r="E1573" s="94" t="s">
        <v>35</v>
      </c>
      <c r="F1573" s="95" t="s">
        <v>130</v>
      </c>
      <c r="G1573" s="94" t="s">
        <v>225</v>
      </c>
      <c r="H1573" s="94" t="s">
        <v>125</v>
      </c>
      <c r="I1573" s="94" t="s">
        <v>114</v>
      </c>
      <c r="J1573" s="95" t="s">
        <v>25</v>
      </c>
      <c r="K1573" s="94" t="s">
        <v>317</v>
      </c>
      <c r="L1573" s="95" t="s">
        <v>9204</v>
      </c>
      <c r="M1573" s="95" t="s">
        <v>9205</v>
      </c>
      <c r="N1573" s="95" t="s">
        <v>9197</v>
      </c>
      <c r="O1573" s="95" t="s">
        <v>9198</v>
      </c>
      <c r="P1573" s="95" t="s">
        <v>239</v>
      </c>
      <c r="Q1573" s="140">
        <v>39964</v>
      </c>
      <c r="R1573" s="95" t="s">
        <v>276</v>
      </c>
      <c r="S1573" s="95" t="s">
        <v>9152</v>
      </c>
      <c r="T1573" s="95" t="s">
        <v>9153</v>
      </c>
      <c r="U1573" s="95">
        <v>3</v>
      </c>
      <c r="V1573" s="94" t="s">
        <v>14</v>
      </c>
      <c r="W1573" s="94" t="s">
        <v>98</v>
      </c>
      <c r="X1573" s="95" t="s">
        <v>207</v>
      </c>
      <c r="Y1573" s="98">
        <v>55843</v>
      </c>
      <c r="Z1573" s="99">
        <v>59447</v>
      </c>
      <c r="AA1573" s="95" t="s">
        <v>276</v>
      </c>
      <c r="AB1573" s="95" t="s">
        <v>276</v>
      </c>
      <c r="AC1573" s="94">
        <v>6</v>
      </c>
      <c r="AD1573" s="94" t="s">
        <v>968</v>
      </c>
      <c r="AE1573" s="94">
        <v>2</v>
      </c>
      <c r="AF1573" s="94" t="s">
        <v>968</v>
      </c>
      <c r="AG1573" s="95" t="s">
        <v>9224</v>
      </c>
      <c r="AH1573" s="95" t="s">
        <v>9208</v>
      </c>
      <c r="AI1573" s="99">
        <v>126</v>
      </c>
      <c r="AJ1573" s="99">
        <v>114</v>
      </c>
      <c r="AK1573" s="99">
        <v>687215</v>
      </c>
      <c r="AL1573" s="99">
        <v>734925</v>
      </c>
      <c r="AM1573" s="99" t="s">
        <v>1019</v>
      </c>
      <c r="AN1573" s="95">
        <v>18.399999999999999</v>
      </c>
      <c r="AO1573" s="102">
        <f>AI1573*100000/AK1573</f>
        <v>18.334873365686139</v>
      </c>
      <c r="AP1573" s="94" t="s">
        <v>276</v>
      </c>
      <c r="AQ1573" s="100" t="s">
        <v>276</v>
      </c>
      <c r="AR1573" s="94">
        <v>15.5</v>
      </c>
      <c r="AS1573" s="102">
        <f>AJ1573*100000/AL1573</f>
        <v>15.511786917032349</v>
      </c>
      <c r="AT1573" s="102" t="s">
        <v>276</v>
      </c>
      <c r="AU1573" s="102" t="s">
        <v>276</v>
      </c>
      <c r="AV1573" s="102" t="s">
        <v>269</v>
      </c>
      <c r="AW1573" s="102" t="s">
        <v>276</v>
      </c>
      <c r="AX1573" s="102">
        <f t="shared" si="455"/>
        <v>1.1819962112523585</v>
      </c>
      <c r="AY1573" s="102" t="s">
        <v>276</v>
      </c>
      <c r="AZ1573" s="102" t="s">
        <v>276</v>
      </c>
      <c r="BA1573" s="102" t="s">
        <v>276</v>
      </c>
      <c r="BB1573" s="141" t="s">
        <v>9156</v>
      </c>
      <c r="BC1573" s="102">
        <v>1.1200000000000001</v>
      </c>
      <c r="BD1573" s="102">
        <v>0.83</v>
      </c>
      <c r="BE1573" s="102">
        <v>1.51</v>
      </c>
      <c r="BF1573" s="95" t="s">
        <v>9227</v>
      </c>
      <c r="BG1573" s="95"/>
      <c r="BH1573" s="9" t="s">
        <v>100</v>
      </c>
      <c r="BI1573" s="9" t="s">
        <v>100</v>
      </c>
      <c r="BJ1573" s="109"/>
      <c r="BN1573" s="109"/>
      <c r="BO1573" s="109"/>
    </row>
    <row r="1574" spans="1:67" s="110" customFormat="1" ht="52" hidden="1" x14ac:dyDescent="0.35">
      <c r="A1574" s="94">
        <v>4570</v>
      </c>
      <c r="B1574" s="94" t="s">
        <v>9147</v>
      </c>
      <c r="C1574" s="95" t="s">
        <v>9148</v>
      </c>
      <c r="D1574" s="95" t="s">
        <v>9228</v>
      </c>
      <c r="E1574" s="94" t="s">
        <v>35</v>
      </c>
      <c r="F1574" s="95" t="s">
        <v>130</v>
      </c>
      <c r="G1574" s="94" t="s">
        <v>225</v>
      </c>
      <c r="H1574" s="94" t="s">
        <v>125</v>
      </c>
      <c r="I1574" s="94" t="s">
        <v>114</v>
      </c>
      <c r="J1574" s="95" t="s">
        <v>25</v>
      </c>
      <c r="K1574" s="94" t="s">
        <v>317</v>
      </c>
      <c r="L1574" s="95" t="s">
        <v>9204</v>
      </c>
      <c r="M1574" s="95" t="s">
        <v>9205</v>
      </c>
      <c r="N1574" s="95" t="s">
        <v>9197</v>
      </c>
      <c r="O1574" s="95" t="s">
        <v>9198</v>
      </c>
      <c r="P1574" s="95" t="s">
        <v>235</v>
      </c>
      <c r="Q1574" s="140">
        <v>43830</v>
      </c>
      <c r="R1574" s="95" t="s">
        <v>276</v>
      </c>
      <c r="S1574" s="95" t="s">
        <v>9152</v>
      </c>
      <c r="T1574" s="95" t="s">
        <v>9153</v>
      </c>
      <c r="U1574" s="95">
        <v>3</v>
      </c>
      <c r="V1574" s="94" t="s">
        <v>14</v>
      </c>
      <c r="W1574" s="94" t="s">
        <v>98</v>
      </c>
      <c r="X1574" s="95" t="s">
        <v>207</v>
      </c>
      <c r="Y1574" s="98" t="s">
        <v>98</v>
      </c>
      <c r="Z1574" s="99" t="s">
        <v>98</v>
      </c>
      <c r="AA1574" s="95" t="s">
        <v>276</v>
      </c>
      <c r="AB1574" s="95" t="s">
        <v>276</v>
      </c>
      <c r="AC1574" s="94">
        <v>6</v>
      </c>
      <c r="AD1574" s="94" t="s">
        <v>968</v>
      </c>
      <c r="AE1574" s="94">
        <v>2</v>
      </c>
      <c r="AF1574" s="94" t="s">
        <v>968</v>
      </c>
      <c r="AG1574" s="95" t="s">
        <v>9224</v>
      </c>
      <c r="AH1574" s="95" t="s">
        <v>9229</v>
      </c>
      <c r="AI1574" s="99">
        <v>126</v>
      </c>
      <c r="AJ1574" s="99">
        <v>114</v>
      </c>
      <c r="AK1574" s="98">
        <v>335</v>
      </c>
      <c r="AL1574" s="99">
        <v>273</v>
      </c>
      <c r="AM1574" s="99" t="s">
        <v>292</v>
      </c>
      <c r="AN1574" s="95">
        <v>37.700000000000003</v>
      </c>
      <c r="AO1574" s="102">
        <f>AI1574*100/AK1574</f>
        <v>37.611940298507463</v>
      </c>
      <c r="AP1574" s="94" t="s">
        <v>276</v>
      </c>
      <c r="AQ1574" s="100" t="s">
        <v>276</v>
      </c>
      <c r="AR1574" s="94">
        <v>41.8</v>
      </c>
      <c r="AS1574" s="102">
        <f>AJ1574*100/AL1574</f>
        <v>41.758241758241759</v>
      </c>
      <c r="AT1574" s="102" t="s">
        <v>276</v>
      </c>
      <c r="AU1574" s="102" t="s">
        <v>276</v>
      </c>
      <c r="AV1574" s="102" t="s">
        <v>268</v>
      </c>
      <c r="AW1574" s="102" t="s">
        <v>276</v>
      </c>
      <c r="AX1574" s="102">
        <f t="shared" si="455"/>
        <v>0.90070699135899446</v>
      </c>
      <c r="AY1574" s="102" t="s">
        <v>276</v>
      </c>
      <c r="AZ1574" s="102" t="s">
        <v>276</v>
      </c>
      <c r="BA1574" s="102" t="s">
        <v>276</v>
      </c>
      <c r="BB1574" s="102" t="s">
        <v>282</v>
      </c>
      <c r="BC1574" s="102" t="s">
        <v>276</v>
      </c>
      <c r="BD1574" s="102" t="s">
        <v>276</v>
      </c>
      <c r="BE1574" s="102" t="s">
        <v>276</v>
      </c>
      <c r="BF1574" s="95" t="s">
        <v>9225</v>
      </c>
      <c r="BG1574" s="95"/>
      <c r="BH1574" s="9" t="s">
        <v>100</v>
      </c>
      <c r="BI1574" s="9" t="s">
        <v>100</v>
      </c>
      <c r="BJ1574" s="109"/>
      <c r="BN1574" s="109"/>
      <c r="BO1574" s="109"/>
    </row>
    <row r="1575" spans="1:67" s="124" customFormat="1" ht="52" hidden="1" x14ac:dyDescent="0.35">
      <c r="A1575" s="112">
        <v>4570</v>
      </c>
      <c r="B1575" s="112" t="s">
        <v>9147</v>
      </c>
      <c r="C1575" s="113" t="s">
        <v>9148</v>
      </c>
      <c r="D1575" s="113" t="s">
        <v>9230</v>
      </c>
      <c r="E1575" s="112" t="s">
        <v>35</v>
      </c>
      <c r="F1575" s="113" t="s">
        <v>130</v>
      </c>
      <c r="G1575" s="112" t="s">
        <v>225</v>
      </c>
      <c r="H1575" s="112" t="s">
        <v>125</v>
      </c>
      <c r="I1575" s="112" t="s">
        <v>114</v>
      </c>
      <c r="J1575" s="113" t="s">
        <v>31</v>
      </c>
      <c r="K1575" s="112" t="s">
        <v>4971</v>
      </c>
      <c r="L1575" s="113" t="s">
        <v>9204</v>
      </c>
      <c r="M1575" s="113" t="s">
        <v>9205</v>
      </c>
      <c r="N1575" s="113" t="s">
        <v>9197</v>
      </c>
      <c r="O1575" s="113" t="s">
        <v>9198</v>
      </c>
      <c r="P1575" s="113" t="s">
        <v>239</v>
      </c>
      <c r="Q1575" s="142">
        <v>43830</v>
      </c>
      <c r="R1575" s="113" t="s">
        <v>276</v>
      </c>
      <c r="S1575" s="113" t="s">
        <v>9152</v>
      </c>
      <c r="T1575" s="113" t="s">
        <v>9153</v>
      </c>
      <c r="U1575" s="113">
        <v>3</v>
      </c>
      <c r="V1575" s="112" t="s">
        <v>14</v>
      </c>
      <c r="W1575" s="112" t="s">
        <v>98</v>
      </c>
      <c r="X1575" s="113" t="s">
        <v>207</v>
      </c>
      <c r="Y1575" s="118">
        <v>55843</v>
      </c>
      <c r="Z1575" s="119">
        <v>59447</v>
      </c>
      <c r="AA1575" s="113" t="s">
        <v>276</v>
      </c>
      <c r="AB1575" s="113" t="s">
        <v>276</v>
      </c>
      <c r="AC1575" s="112">
        <v>33</v>
      </c>
      <c r="AD1575" s="112" t="s">
        <v>968</v>
      </c>
      <c r="AE1575" s="112">
        <v>44</v>
      </c>
      <c r="AF1575" s="112" t="s">
        <v>968</v>
      </c>
      <c r="AG1575" s="113" t="s">
        <v>9231</v>
      </c>
      <c r="AH1575" s="113" t="s">
        <v>280</v>
      </c>
      <c r="AI1575" s="119">
        <v>65</v>
      </c>
      <c r="AJ1575" s="119">
        <v>36</v>
      </c>
      <c r="AK1575" s="118">
        <v>55843</v>
      </c>
      <c r="AL1575" s="119">
        <v>59447</v>
      </c>
      <c r="AM1575" s="119" t="s">
        <v>281</v>
      </c>
      <c r="AN1575" s="113" t="s">
        <v>276</v>
      </c>
      <c r="AO1575" s="121">
        <f>AI1575*1000/AK1575</f>
        <v>1.1639775800010745</v>
      </c>
      <c r="AP1575" s="112" t="s">
        <v>276</v>
      </c>
      <c r="AQ1575" s="164" t="s">
        <v>276</v>
      </c>
      <c r="AR1575" s="112" t="s">
        <v>276</v>
      </c>
      <c r="AS1575" s="121">
        <f>AJ1575*1000/AL1575</f>
        <v>0.60558144229313504</v>
      </c>
      <c r="AT1575" s="121" t="s">
        <v>276</v>
      </c>
      <c r="AU1575" s="121" t="s">
        <v>276</v>
      </c>
      <c r="AV1575" s="121" t="s">
        <v>268</v>
      </c>
      <c r="AW1575" s="121" t="s">
        <v>276</v>
      </c>
      <c r="AX1575" s="121">
        <f t="shared" si="455"/>
        <v>1.9220826443978856</v>
      </c>
      <c r="AY1575" s="121" t="s">
        <v>276</v>
      </c>
      <c r="AZ1575" s="121" t="s">
        <v>276</v>
      </c>
      <c r="BA1575" s="121" t="s">
        <v>276</v>
      </c>
      <c r="BB1575" s="121" t="s">
        <v>282</v>
      </c>
      <c r="BC1575" s="121" t="s">
        <v>276</v>
      </c>
      <c r="BD1575" s="121" t="s">
        <v>276</v>
      </c>
      <c r="BE1575" s="121" t="s">
        <v>276</v>
      </c>
      <c r="BF1575" s="113" t="s">
        <v>9232</v>
      </c>
      <c r="BG1575" s="113"/>
      <c r="BH1575" s="9" t="s">
        <v>100</v>
      </c>
      <c r="BI1575" s="9" t="s">
        <v>100</v>
      </c>
      <c r="BJ1575" s="123"/>
      <c r="BN1575" s="123"/>
      <c r="BO1575" s="123"/>
    </row>
    <row r="1576" spans="1:67" s="124" customFormat="1" ht="52" hidden="1" x14ac:dyDescent="0.35">
      <c r="A1576" s="112">
        <v>4570</v>
      </c>
      <c r="B1576" s="112" t="s">
        <v>9147</v>
      </c>
      <c r="C1576" s="113" t="s">
        <v>9148</v>
      </c>
      <c r="D1576" s="113" t="s">
        <v>9233</v>
      </c>
      <c r="E1576" s="112" t="s">
        <v>35</v>
      </c>
      <c r="F1576" s="113" t="s">
        <v>130</v>
      </c>
      <c r="G1576" s="112" t="s">
        <v>225</v>
      </c>
      <c r="H1576" s="112" t="s">
        <v>125</v>
      </c>
      <c r="I1576" s="112" t="s">
        <v>114</v>
      </c>
      <c r="J1576" s="113" t="s">
        <v>31</v>
      </c>
      <c r="K1576" s="112" t="s">
        <v>4971</v>
      </c>
      <c r="L1576" s="113" t="s">
        <v>9204</v>
      </c>
      <c r="M1576" s="113" t="s">
        <v>9205</v>
      </c>
      <c r="N1576" s="113" t="s">
        <v>9197</v>
      </c>
      <c r="O1576" s="113" t="s">
        <v>9198</v>
      </c>
      <c r="P1576" s="113" t="s">
        <v>239</v>
      </c>
      <c r="Q1576" s="142">
        <v>39964</v>
      </c>
      <c r="R1576" s="113" t="s">
        <v>276</v>
      </c>
      <c r="S1576" s="113" t="s">
        <v>9152</v>
      </c>
      <c r="T1576" s="113" t="s">
        <v>9153</v>
      </c>
      <c r="U1576" s="113">
        <v>3</v>
      </c>
      <c r="V1576" s="112" t="s">
        <v>14</v>
      </c>
      <c r="W1576" s="112" t="s">
        <v>98</v>
      </c>
      <c r="X1576" s="113" t="s">
        <v>207</v>
      </c>
      <c r="Y1576" s="118">
        <v>55843</v>
      </c>
      <c r="Z1576" s="119">
        <v>59447</v>
      </c>
      <c r="AA1576" s="113" t="s">
        <v>276</v>
      </c>
      <c r="AB1576" s="113" t="s">
        <v>276</v>
      </c>
      <c r="AC1576" s="112">
        <v>33</v>
      </c>
      <c r="AD1576" s="112" t="s">
        <v>968</v>
      </c>
      <c r="AE1576" s="112">
        <v>44</v>
      </c>
      <c r="AF1576" s="112" t="s">
        <v>968</v>
      </c>
      <c r="AG1576" s="113" t="s">
        <v>9231</v>
      </c>
      <c r="AH1576" s="113" t="s">
        <v>9208</v>
      </c>
      <c r="AI1576" s="119">
        <v>65</v>
      </c>
      <c r="AJ1576" s="119">
        <v>36</v>
      </c>
      <c r="AK1576" s="119">
        <v>687215</v>
      </c>
      <c r="AL1576" s="119">
        <v>734925</v>
      </c>
      <c r="AM1576" s="119" t="s">
        <v>1019</v>
      </c>
      <c r="AN1576" s="113" t="s">
        <v>276</v>
      </c>
      <c r="AO1576" s="121">
        <f>AI1576*100000/AK1576</f>
        <v>9.4584664188063421</v>
      </c>
      <c r="AP1576" s="112" t="s">
        <v>276</v>
      </c>
      <c r="AQ1576" s="164" t="s">
        <v>276</v>
      </c>
      <c r="AR1576" s="112" t="s">
        <v>276</v>
      </c>
      <c r="AS1576" s="121">
        <f>AJ1576*100000/AL1576</f>
        <v>4.8984590264312686</v>
      </c>
      <c r="AT1576" s="121" t="s">
        <v>276</v>
      </c>
      <c r="AU1576" s="121" t="s">
        <v>276</v>
      </c>
      <c r="AV1576" s="121" t="s">
        <v>269</v>
      </c>
      <c r="AW1576" s="121" t="s">
        <v>276</v>
      </c>
      <c r="AX1576" s="121">
        <f t="shared" si="455"/>
        <v>1.9309065091225697</v>
      </c>
      <c r="AY1576" s="121" t="s">
        <v>276</v>
      </c>
      <c r="AZ1576" s="121" t="s">
        <v>276</v>
      </c>
      <c r="BA1576" s="121" t="s">
        <v>276</v>
      </c>
      <c r="BB1576" s="121" t="s">
        <v>282</v>
      </c>
      <c r="BC1576" s="121" t="s">
        <v>276</v>
      </c>
      <c r="BD1576" s="121" t="s">
        <v>276</v>
      </c>
      <c r="BE1576" s="121" t="s">
        <v>276</v>
      </c>
      <c r="BF1576" s="113" t="s">
        <v>9232</v>
      </c>
      <c r="BG1576" s="113"/>
      <c r="BH1576" s="9" t="s">
        <v>100</v>
      </c>
      <c r="BI1576" s="9" t="s">
        <v>100</v>
      </c>
      <c r="BJ1576" s="123"/>
      <c r="BN1576" s="123"/>
      <c r="BO1576" s="123"/>
    </row>
    <row r="1577" spans="1:67" s="110" customFormat="1" ht="52" hidden="1" x14ac:dyDescent="0.35">
      <c r="A1577" s="94">
        <v>4570</v>
      </c>
      <c r="B1577" s="94" t="s">
        <v>9147</v>
      </c>
      <c r="C1577" s="95" t="s">
        <v>9148</v>
      </c>
      <c r="D1577" s="95" t="s">
        <v>9234</v>
      </c>
      <c r="E1577" s="94" t="s">
        <v>35</v>
      </c>
      <c r="F1577" s="95" t="s">
        <v>130</v>
      </c>
      <c r="G1577" s="94" t="s">
        <v>225</v>
      </c>
      <c r="H1577" s="94" t="s">
        <v>125</v>
      </c>
      <c r="I1577" s="94" t="s">
        <v>114</v>
      </c>
      <c r="J1577" s="95" t="s">
        <v>31</v>
      </c>
      <c r="K1577" s="94" t="s">
        <v>9235</v>
      </c>
      <c r="L1577" s="95" t="s">
        <v>9204</v>
      </c>
      <c r="M1577" s="95" t="s">
        <v>9205</v>
      </c>
      <c r="N1577" s="95" t="s">
        <v>9197</v>
      </c>
      <c r="O1577" s="95" t="s">
        <v>9198</v>
      </c>
      <c r="P1577" s="95" t="s">
        <v>239</v>
      </c>
      <c r="Q1577" s="140">
        <v>43830</v>
      </c>
      <c r="R1577" s="95" t="s">
        <v>276</v>
      </c>
      <c r="S1577" s="95" t="s">
        <v>9152</v>
      </c>
      <c r="T1577" s="95" t="s">
        <v>9153</v>
      </c>
      <c r="U1577" s="95">
        <v>3</v>
      </c>
      <c r="V1577" s="94" t="s">
        <v>14</v>
      </c>
      <c r="W1577" s="94" t="s">
        <v>98</v>
      </c>
      <c r="X1577" s="95" t="s">
        <v>207</v>
      </c>
      <c r="Y1577" s="98">
        <v>55843</v>
      </c>
      <c r="Z1577" s="99">
        <v>59447</v>
      </c>
      <c r="AA1577" s="95" t="s">
        <v>276</v>
      </c>
      <c r="AB1577" s="95" t="s">
        <v>276</v>
      </c>
      <c r="AC1577" s="94">
        <v>33</v>
      </c>
      <c r="AD1577" s="94" t="s">
        <v>968</v>
      </c>
      <c r="AE1577" s="94">
        <v>44</v>
      </c>
      <c r="AF1577" s="94" t="s">
        <v>968</v>
      </c>
      <c r="AG1577" s="95" t="s">
        <v>9236</v>
      </c>
      <c r="AH1577" s="95" t="s">
        <v>280</v>
      </c>
      <c r="AI1577" s="99">
        <v>156</v>
      </c>
      <c r="AJ1577" s="99">
        <v>125</v>
      </c>
      <c r="AK1577" s="98">
        <v>55843</v>
      </c>
      <c r="AL1577" s="99">
        <v>59447</v>
      </c>
      <c r="AM1577" s="99" t="s">
        <v>281</v>
      </c>
      <c r="AN1577" s="95" t="s">
        <v>276</v>
      </c>
      <c r="AO1577" s="102">
        <f>AI1577*1000/AK1577</f>
        <v>2.7935461920025788</v>
      </c>
      <c r="AP1577" s="94" t="s">
        <v>276</v>
      </c>
      <c r="AQ1577" s="100" t="s">
        <v>276</v>
      </c>
      <c r="AR1577" s="94" t="s">
        <v>276</v>
      </c>
      <c r="AS1577" s="102">
        <f>AJ1577*1000/AL1577</f>
        <v>2.1027133412956078</v>
      </c>
      <c r="AT1577" s="102" t="s">
        <v>276</v>
      </c>
      <c r="AU1577" s="102" t="s">
        <v>276</v>
      </c>
      <c r="AV1577" s="102" t="s">
        <v>268</v>
      </c>
      <c r="AW1577" s="102" t="s">
        <v>276</v>
      </c>
      <c r="AX1577" s="102">
        <f t="shared" si="455"/>
        <v>1.3285435238078185</v>
      </c>
      <c r="AY1577" s="102" t="s">
        <v>276</v>
      </c>
      <c r="AZ1577" s="102" t="s">
        <v>276</v>
      </c>
      <c r="BA1577" s="102" t="s">
        <v>276</v>
      </c>
      <c r="BB1577" s="102" t="s">
        <v>282</v>
      </c>
      <c r="BC1577" s="102" t="s">
        <v>276</v>
      </c>
      <c r="BD1577" s="102" t="s">
        <v>276</v>
      </c>
      <c r="BE1577" s="102" t="s">
        <v>276</v>
      </c>
      <c r="BF1577" s="95" t="s">
        <v>3355</v>
      </c>
      <c r="BG1577" s="95"/>
      <c r="BH1577" s="9" t="s">
        <v>100</v>
      </c>
      <c r="BI1577" s="9" t="s">
        <v>100</v>
      </c>
      <c r="BJ1577" s="109"/>
      <c r="BN1577" s="109"/>
      <c r="BO1577" s="109"/>
    </row>
    <row r="1578" spans="1:67" s="110" customFormat="1" ht="52" hidden="1" x14ac:dyDescent="0.35">
      <c r="A1578" s="94">
        <v>4570</v>
      </c>
      <c r="B1578" s="94" t="s">
        <v>9147</v>
      </c>
      <c r="C1578" s="95" t="s">
        <v>9148</v>
      </c>
      <c r="D1578" s="95" t="s">
        <v>9237</v>
      </c>
      <c r="E1578" s="94" t="s">
        <v>35</v>
      </c>
      <c r="F1578" s="95" t="s">
        <v>130</v>
      </c>
      <c r="G1578" s="94" t="s">
        <v>225</v>
      </c>
      <c r="H1578" s="94" t="s">
        <v>125</v>
      </c>
      <c r="I1578" s="94" t="s">
        <v>114</v>
      </c>
      <c r="J1578" s="95" t="s">
        <v>31</v>
      </c>
      <c r="K1578" s="94" t="s">
        <v>9235</v>
      </c>
      <c r="L1578" s="95" t="s">
        <v>9204</v>
      </c>
      <c r="M1578" s="95" t="s">
        <v>9205</v>
      </c>
      <c r="N1578" s="95" t="s">
        <v>9197</v>
      </c>
      <c r="O1578" s="95" t="s">
        <v>9198</v>
      </c>
      <c r="P1578" s="95" t="s">
        <v>239</v>
      </c>
      <c r="Q1578" s="140">
        <v>39964</v>
      </c>
      <c r="R1578" s="95" t="s">
        <v>276</v>
      </c>
      <c r="S1578" s="95" t="s">
        <v>9152</v>
      </c>
      <c r="T1578" s="95" t="s">
        <v>9153</v>
      </c>
      <c r="U1578" s="95">
        <v>3</v>
      </c>
      <c r="V1578" s="94" t="s">
        <v>14</v>
      </c>
      <c r="W1578" s="94" t="s">
        <v>98</v>
      </c>
      <c r="X1578" s="95" t="s">
        <v>207</v>
      </c>
      <c r="Y1578" s="98">
        <v>55843</v>
      </c>
      <c r="Z1578" s="99">
        <v>59447</v>
      </c>
      <c r="AA1578" s="95" t="s">
        <v>276</v>
      </c>
      <c r="AB1578" s="95" t="s">
        <v>276</v>
      </c>
      <c r="AC1578" s="94">
        <v>33</v>
      </c>
      <c r="AD1578" s="94" t="s">
        <v>968</v>
      </c>
      <c r="AE1578" s="94">
        <v>44</v>
      </c>
      <c r="AF1578" s="94" t="s">
        <v>968</v>
      </c>
      <c r="AG1578" s="95" t="s">
        <v>9236</v>
      </c>
      <c r="AH1578" s="95" t="s">
        <v>9208</v>
      </c>
      <c r="AI1578" s="99">
        <v>156</v>
      </c>
      <c r="AJ1578" s="99">
        <v>125</v>
      </c>
      <c r="AK1578" s="99">
        <v>687215</v>
      </c>
      <c r="AL1578" s="99">
        <v>734925</v>
      </c>
      <c r="AM1578" s="99" t="s">
        <v>1019</v>
      </c>
      <c r="AN1578" s="95" t="s">
        <v>276</v>
      </c>
      <c r="AO1578" s="102">
        <f>AI1578*100000/AK1578</f>
        <v>22.700319405135218</v>
      </c>
      <c r="AP1578" s="94" t="s">
        <v>276</v>
      </c>
      <c r="AQ1578" s="100" t="s">
        <v>276</v>
      </c>
      <c r="AR1578" s="94" t="s">
        <v>276</v>
      </c>
      <c r="AS1578" s="102">
        <f>AJ1578*100000/AL1578</f>
        <v>17.008538286219682</v>
      </c>
      <c r="AT1578" s="102" t="s">
        <v>276</v>
      </c>
      <c r="AU1578" s="102" t="s">
        <v>276</v>
      </c>
      <c r="AV1578" s="102" t="s">
        <v>269</v>
      </c>
      <c r="AW1578" s="102" t="s">
        <v>276</v>
      </c>
      <c r="AX1578" s="102">
        <f t="shared" si="455"/>
        <v>1.3346425791055201</v>
      </c>
      <c r="AY1578" s="102" t="s">
        <v>276</v>
      </c>
      <c r="AZ1578" s="102" t="s">
        <v>276</v>
      </c>
      <c r="BA1578" s="102" t="s">
        <v>276</v>
      </c>
      <c r="BB1578" s="102" t="s">
        <v>282</v>
      </c>
      <c r="BC1578" s="102" t="s">
        <v>276</v>
      </c>
      <c r="BD1578" s="102" t="s">
        <v>276</v>
      </c>
      <c r="BE1578" s="102" t="s">
        <v>276</v>
      </c>
      <c r="BF1578" s="95" t="s">
        <v>3355</v>
      </c>
      <c r="BG1578" s="95"/>
      <c r="BH1578" s="9" t="s">
        <v>100</v>
      </c>
      <c r="BI1578" s="9" t="s">
        <v>100</v>
      </c>
      <c r="BJ1578" s="109"/>
      <c r="BN1578" s="109"/>
      <c r="BO1578" s="109"/>
    </row>
    <row r="1579" spans="1:67" s="124" customFormat="1" ht="52" hidden="1" x14ac:dyDescent="0.35">
      <c r="A1579" s="112">
        <v>4570</v>
      </c>
      <c r="B1579" s="112" t="s">
        <v>9147</v>
      </c>
      <c r="C1579" s="113" t="s">
        <v>9148</v>
      </c>
      <c r="D1579" s="113" t="s">
        <v>9238</v>
      </c>
      <c r="E1579" s="112" t="s">
        <v>35</v>
      </c>
      <c r="F1579" s="113" t="s">
        <v>130</v>
      </c>
      <c r="G1579" s="112" t="s">
        <v>225</v>
      </c>
      <c r="H1579" s="112" t="s">
        <v>125</v>
      </c>
      <c r="I1579" s="112" t="s">
        <v>114</v>
      </c>
      <c r="J1579" s="113" t="s">
        <v>31</v>
      </c>
      <c r="K1579" s="112" t="s">
        <v>9239</v>
      </c>
      <c r="L1579" s="113" t="s">
        <v>9204</v>
      </c>
      <c r="M1579" s="113" t="s">
        <v>9205</v>
      </c>
      <c r="N1579" s="113" t="s">
        <v>9197</v>
      </c>
      <c r="O1579" s="113" t="s">
        <v>9198</v>
      </c>
      <c r="P1579" s="113" t="s">
        <v>239</v>
      </c>
      <c r="Q1579" s="142">
        <v>43830</v>
      </c>
      <c r="R1579" s="113" t="s">
        <v>276</v>
      </c>
      <c r="S1579" s="113" t="s">
        <v>9152</v>
      </c>
      <c r="T1579" s="113" t="s">
        <v>9153</v>
      </c>
      <c r="U1579" s="113">
        <v>3</v>
      </c>
      <c r="V1579" s="112" t="s">
        <v>14</v>
      </c>
      <c r="W1579" s="112" t="s">
        <v>98</v>
      </c>
      <c r="X1579" s="113" t="s">
        <v>207</v>
      </c>
      <c r="Y1579" s="118">
        <v>55843</v>
      </c>
      <c r="Z1579" s="119">
        <v>59447</v>
      </c>
      <c r="AA1579" s="113" t="s">
        <v>276</v>
      </c>
      <c r="AB1579" s="113" t="s">
        <v>276</v>
      </c>
      <c r="AC1579" s="112">
        <v>33</v>
      </c>
      <c r="AD1579" s="112" t="s">
        <v>968</v>
      </c>
      <c r="AE1579" s="112">
        <v>44</v>
      </c>
      <c r="AF1579" s="112" t="s">
        <v>968</v>
      </c>
      <c r="AG1579" s="113" t="s">
        <v>9240</v>
      </c>
      <c r="AH1579" s="113" t="s">
        <v>280</v>
      </c>
      <c r="AI1579" s="119">
        <v>81</v>
      </c>
      <c r="AJ1579" s="119">
        <v>68</v>
      </c>
      <c r="AK1579" s="118">
        <v>55843</v>
      </c>
      <c r="AL1579" s="119">
        <v>59447</v>
      </c>
      <c r="AM1579" s="119" t="s">
        <v>281</v>
      </c>
      <c r="AN1579" s="113" t="s">
        <v>276</v>
      </c>
      <c r="AO1579" s="121">
        <f>AI1579*1000/AK1579</f>
        <v>1.4504951381551852</v>
      </c>
      <c r="AP1579" s="112" t="s">
        <v>276</v>
      </c>
      <c r="AQ1579" s="164" t="s">
        <v>276</v>
      </c>
      <c r="AR1579" s="112" t="s">
        <v>276</v>
      </c>
      <c r="AS1579" s="121">
        <f>AJ1579*1000/AL1579</f>
        <v>1.1438760576648106</v>
      </c>
      <c r="AT1579" s="121" t="s">
        <v>276</v>
      </c>
      <c r="AU1579" s="121" t="s">
        <v>276</v>
      </c>
      <c r="AV1579" s="121" t="s">
        <v>268</v>
      </c>
      <c r="AW1579" s="121" t="s">
        <v>276</v>
      </c>
      <c r="AX1579" s="121">
        <f t="shared" si="455"/>
        <v>1.2680527129104602</v>
      </c>
      <c r="AY1579" s="121" t="s">
        <v>276</v>
      </c>
      <c r="AZ1579" s="121" t="s">
        <v>276</v>
      </c>
      <c r="BA1579" s="121" t="s">
        <v>276</v>
      </c>
      <c r="BB1579" s="121" t="s">
        <v>282</v>
      </c>
      <c r="BC1579" s="121" t="s">
        <v>276</v>
      </c>
      <c r="BD1579" s="121" t="s">
        <v>276</v>
      </c>
      <c r="BE1579" s="121" t="s">
        <v>276</v>
      </c>
      <c r="BF1579" s="113" t="s">
        <v>3355</v>
      </c>
      <c r="BG1579" s="113"/>
      <c r="BH1579" s="9" t="s">
        <v>100</v>
      </c>
      <c r="BI1579" s="9" t="s">
        <v>100</v>
      </c>
      <c r="BJ1579" s="123"/>
      <c r="BN1579" s="123"/>
      <c r="BO1579" s="123"/>
    </row>
    <row r="1580" spans="1:67" s="124" customFormat="1" ht="52" hidden="1" x14ac:dyDescent="0.35">
      <c r="A1580" s="112">
        <v>4570</v>
      </c>
      <c r="B1580" s="112" t="s">
        <v>9147</v>
      </c>
      <c r="C1580" s="113" t="s">
        <v>9148</v>
      </c>
      <c r="D1580" s="113" t="s">
        <v>9241</v>
      </c>
      <c r="E1580" s="112" t="s">
        <v>35</v>
      </c>
      <c r="F1580" s="113" t="s">
        <v>130</v>
      </c>
      <c r="G1580" s="112" t="s">
        <v>225</v>
      </c>
      <c r="H1580" s="112" t="s">
        <v>125</v>
      </c>
      <c r="I1580" s="112" t="s">
        <v>114</v>
      </c>
      <c r="J1580" s="113" t="s">
        <v>31</v>
      </c>
      <c r="K1580" s="112" t="s">
        <v>9239</v>
      </c>
      <c r="L1580" s="113" t="s">
        <v>9204</v>
      </c>
      <c r="M1580" s="113" t="s">
        <v>9205</v>
      </c>
      <c r="N1580" s="113" t="s">
        <v>9197</v>
      </c>
      <c r="O1580" s="113" t="s">
        <v>9198</v>
      </c>
      <c r="P1580" s="113" t="s">
        <v>239</v>
      </c>
      <c r="Q1580" s="142">
        <v>39964</v>
      </c>
      <c r="R1580" s="113" t="s">
        <v>276</v>
      </c>
      <c r="S1580" s="113" t="s">
        <v>9152</v>
      </c>
      <c r="T1580" s="113" t="s">
        <v>9153</v>
      </c>
      <c r="U1580" s="113">
        <v>3</v>
      </c>
      <c r="V1580" s="112" t="s">
        <v>14</v>
      </c>
      <c r="W1580" s="112" t="s">
        <v>98</v>
      </c>
      <c r="X1580" s="113" t="s">
        <v>207</v>
      </c>
      <c r="Y1580" s="118">
        <v>55843</v>
      </c>
      <c r="Z1580" s="119">
        <v>59447</v>
      </c>
      <c r="AA1580" s="113" t="s">
        <v>276</v>
      </c>
      <c r="AB1580" s="113" t="s">
        <v>276</v>
      </c>
      <c r="AC1580" s="112">
        <v>33</v>
      </c>
      <c r="AD1580" s="112" t="s">
        <v>968</v>
      </c>
      <c r="AE1580" s="112">
        <v>44</v>
      </c>
      <c r="AF1580" s="112" t="s">
        <v>968</v>
      </c>
      <c r="AG1580" s="113" t="s">
        <v>9240</v>
      </c>
      <c r="AH1580" s="113" t="s">
        <v>9208</v>
      </c>
      <c r="AI1580" s="119">
        <v>81</v>
      </c>
      <c r="AJ1580" s="119">
        <v>68</v>
      </c>
      <c r="AK1580" s="119">
        <v>687215</v>
      </c>
      <c r="AL1580" s="119">
        <v>734925</v>
      </c>
      <c r="AM1580" s="119" t="s">
        <v>1019</v>
      </c>
      <c r="AN1580" s="113" t="s">
        <v>276</v>
      </c>
      <c r="AO1580" s="121">
        <f>AI1580*100000/AK1580</f>
        <v>11.786704306512519</v>
      </c>
      <c r="AP1580" s="112" t="s">
        <v>276</v>
      </c>
      <c r="AQ1580" s="164" t="s">
        <v>276</v>
      </c>
      <c r="AR1580" s="112" t="s">
        <v>276</v>
      </c>
      <c r="AS1580" s="121">
        <f>AJ1580*100000/AL1580</f>
        <v>9.2526448277035076</v>
      </c>
      <c r="AT1580" s="121" t="s">
        <v>276</v>
      </c>
      <c r="AU1580" s="121" t="s">
        <v>276</v>
      </c>
      <c r="AV1580" s="121" t="s">
        <v>269</v>
      </c>
      <c r="AW1580" s="121" t="s">
        <v>276</v>
      </c>
      <c r="AX1580" s="121">
        <f t="shared" si="455"/>
        <v>1.2738740680093694</v>
      </c>
      <c r="AY1580" s="121" t="s">
        <v>276</v>
      </c>
      <c r="AZ1580" s="121" t="s">
        <v>276</v>
      </c>
      <c r="BA1580" s="121" t="s">
        <v>276</v>
      </c>
      <c r="BB1580" s="121" t="s">
        <v>282</v>
      </c>
      <c r="BC1580" s="121" t="s">
        <v>276</v>
      </c>
      <c r="BD1580" s="121" t="s">
        <v>276</v>
      </c>
      <c r="BE1580" s="121" t="s">
        <v>276</v>
      </c>
      <c r="BF1580" s="113" t="s">
        <v>3355</v>
      </c>
      <c r="BG1580" s="113"/>
      <c r="BH1580" s="9" t="s">
        <v>100</v>
      </c>
      <c r="BI1580" s="9" t="s">
        <v>100</v>
      </c>
      <c r="BJ1580" s="123"/>
      <c r="BN1580" s="123"/>
      <c r="BO1580" s="123"/>
    </row>
    <row r="1581" spans="1:67" s="110" customFormat="1" ht="52" hidden="1" x14ac:dyDescent="0.35">
      <c r="A1581" s="94">
        <v>4570</v>
      </c>
      <c r="B1581" s="94" t="s">
        <v>9147</v>
      </c>
      <c r="C1581" s="95" t="s">
        <v>9148</v>
      </c>
      <c r="D1581" s="95" t="s">
        <v>9242</v>
      </c>
      <c r="E1581" s="94" t="s">
        <v>35</v>
      </c>
      <c r="F1581" s="95" t="s">
        <v>130</v>
      </c>
      <c r="G1581" s="94" t="s">
        <v>225</v>
      </c>
      <c r="H1581" s="94" t="s">
        <v>125</v>
      </c>
      <c r="I1581" s="94" t="s">
        <v>114</v>
      </c>
      <c r="J1581" s="95" t="s">
        <v>31</v>
      </c>
      <c r="K1581" s="94" t="s">
        <v>4974</v>
      </c>
      <c r="L1581" s="95" t="s">
        <v>9204</v>
      </c>
      <c r="M1581" s="95" t="s">
        <v>9205</v>
      </c>
      <c r="N1581" s="95" t="s">
        <v>9197</v>
      </c>
      <c r="O1581" s="95" t="s">
        <v>9198</v>
      </c>
      <c r="P1581" s="95" t="s">
        <v>239</v>
      </c>
      <c r="Q1581" s="140">
        <v>43830</v>
      </c>
      <c r="R1581" s="95" t="s">
        <v>276</v>
      </c>
      <c r="S1581" s="95" t="s">
        <v>9152</v>
      </c>
      <c r="T1581" s="95" t="s">
        <v>9153</v>
      </c>
      <c r="U1581" s="95">
        <v>3</v>
      </c>
      <c r="V1581" s="94" t="s">
        <v>14</v>
      </c>
      <c r="W1581" s="94" t="s">
        <v>98</v>
      </c>
      <c r="X1581" s="95" t="s">
        <v>207</v>
      </c>
      <c r="Y1581" s="98">
        <v>55843</v>
      </c>
      <c r="Z1581" s="99">
        <v>59447</v>
      </c>
      <c r="AA1581" s="95" t="s">
        <v>276</v>
      </c>
      <c r="AB1581" s="95" t="s">
        <v>276</v>
      </c>
      <c r="AC1581" s="94">
        <v>33</v>
      </c>
      <c r="AD1581" s="94" t="s">
        <v>968</v>
      </c>
      <c r="AE1581" s="94">
        <v>44</v>
      </c>
      <c r="AF1581" s="94" t="s">
        <v>968</v>
      </c>
      <c r="AG1581" s="95" t="s">
        <v>9243</v>
      </c>
      <c r="AH1581" s="95" t="s">
        <v>280</v>
      </c>
      <c r="AI1581" s="99">
        <f>156+81</f>
        <v>237</v>
      </c>
      <c r="AJ1581" s="99">
        <f>125+68</f>
        <v>193</v>
      </c>
      <c r="AK1581" s="98">
        <v>55843</v>
      </c>
      <c r="AL1581" s="99">
        <v>59447</v>
      </c>
      <c r="AM1581" s="99" t="s">
        <v>281</v>
      </c>
      <c r="AN1581" s="95" t="s">
        <v>276</v>
      </c>
      <c r="AO1581" s="102">
        <f>AI1581*1000/AK1581</f>
        <v>4.2440413301577635</v>
      </c>
      <c r="AP1581" s="94" t="s">
        <v>276</v>
      </c>
      <c r="AQ1581" s="100" t="s">
        <v>276</v>
      </c>
      <c r="AR1581" s="94" t="s">
        <v>276</v>
      </c>
      <c r="AS1581" s="102">
        <f>AJ1581*1000/AL1581</f>
        <v>3.2465893989604186</v>
      </c>
      <c r="AT1581" s="102" t="s">
        <v>276</v>
      </c>
      <c r="AU1581" s="102" t="s">
        <v>276</v>
      </c>
      <c r="AV1581" s="102" t="s">
        <v>268</v>
      </c>
      <c r="AW1581" s="102" t="s">
        <v>276</v>
      </c>
      <c r="AX1581" s="102">
        <f t="shared" si="455"/>
        <v>1.3072306992429459</v>
      </c>
      <c r="AY1581" s="102" t="s">
        <v>276</v>
      </c>
      <c r="AZ1581" s="102" t="s">
        <v>276</v>
      </c>
      <c r="BA1581" s="102" t="s">
        <v>276</v>
      </c>
      <c r="BB1581" s="102" t="s">
        <v>282</v>
      </c>
      <c r="BC1581" s="102" t="s">
        <v>276</v>
      </c>
      <c r="BD1581" s="102" t="s">
        <v>276</v>
      </c>
      <c r="BE1581" s="102" t="s">
        <v>276</v>
      </c>
      <c r="BF1581" s="95" t="s">
        <v>3355</v>
      </c>
      <c r="BG1581" s="95"/>
      <c r="BH1581" s="9" t="s">
        <v>100</v>
      </c>
      <c r="BI1581" s="9" t="s">
        <v>100</v>
      </c>
      <c r="BJ1581" s="109"/>
      <c r="BN1581" s="109"/>
      <c r="BO1581" s="109"/>
    </row>
    <row r="1582" spans="1:67" s="110" customFormat="1" ht="52" hidden="1" x14ac:dyDescent="0.35">
      <c r="A1582" s="94">
        <v>4570</v>
      </c>
      <c r="B1582" s="94" t="s">
        <v>9147</v>
      </c>
      <c r="C1582" s="95" t="s">
        <v>9148</v>
      </c>
      <c r="D1582" s="95" t="s">
        <v>9244</v>
      </c>
      <c r="E1582" s="94" t="s">
        <v>35</v>
      </c>
      <c r="F1582" s="95" t="s">
        <v>130</v>
      </c>
      <c r="G1582" s="94" t="s">
        <v>225</v>
      </c>
      <c r="H1582" s="94" t="s">
        <v>125</v>
      </c>
      <c r="I1582" s="94" t="s">
        <v>114</v>
      </c>
      <c r="J1582" s="95" t="s">
        <v>31</v>
      </c>
      <c r="K1582" s="94" t="s">
        <v>4974</v>
      </c>
      <c r="L1582" s="95" t="s">
        <v>9204</v>
      </c>
      <c r="M1582" s="95" t="s">
        <v>9205</v>
      </c>
      <c r="N1582" s="95" t="s">
        <v>9197</v>
      </c>
      <c r="O1582" s="95" t="s">
        <v>9198</v>
      </c>
      <c r="P1582" s="95" t="s">
        <v>239</v>
      </c>
      <c r="Q1582" s="140">
        <v>39964</v>
      </c>
      <c r="R1582" s="95" t="s">
        <v>276</v>
      </c>
      <c r="S1582" s="95" t="s">
        <v>9152</v>
      </c>
      <c r="T1582" s="95" t="s">
        <v>9153</v>
      </c>
      <c r="U1582" s="95">
        <v>3</v>
      </c>
      <c r="V1582" s="94" t="s">
        <v>14</v>
      </c>
      <c r="W1582" s="94" t="s">
        <v>98</v>
      </c>
      <c r="X1582" s="95" t="s">
        <v>207</v>
      </c>
      <c r="Y1582" s="98">
        <v>55843</v>
      </c>
      <c r="Z1582" s="99">
        <v>59447</v>
      </c>
      <c r="AA1582" s="95" t="s">
        <v>276</v>
      </c>
      <c r="AB1582" s="95" t="s">
        <v>276</v>
      </c>
      <c r="AC1582" s="94">
        <v>33</v>
      </c>
      <c r="AD1582" s="94" t="s">
        <v>968</v>
      </c>
      <c r="AE1582" s="94">
        <v>44</v>
      </c>
      <c r="AF1582" s="94" t="s">
        <v>968</v>
      </c>
      <c r="AG1582" s="95" t="s">
        <v>9243</v>
      </c>
      <c r="AH1582" s="95" t="s">
        <v>9208</v>
      </c>
      <c r="AI1582" s="99">
        <f>156+81</f>
        <v>237</v>
      </c>
      <c r="AJ1582" s="99">
        <f>125+68</f>
        <v>193</v>
      </c>
      <c r="AK1582" s="99">
        <v>687215</v>
      </c>
      <c r="AL1582" s="99">
        <v>734925</v>
      </c>
      <c r="AM1582" s="99" t="s">
        <v>1019</v>
      </c>
      <c r="AN1582" s="95" t="s">
        <v>276</v>
      </c>
      <c r="AO1582" s="102">
        <f>AI1582*100000/AK1582</f>
        <v>34.487023711647737</v>
      </c>
      <c r="AP1582" s="94" t="s">
        <v>276</v>
      </c>
      <c r="AQ1582" s="100" t="s">
        <v>276</v>
      </c>
      <c r="AR1582" s="94" t="s">
        <v>276</v>
      </c>
      <c r="AS1582" s="102">
        <f>AJ1582*100000/AL1582</f>
        <v>26.261183113923188</v>
      </c>
      <c r="AT1582" s="102" t="s">
        <v>276</v>
      </c>
      <c r="AU1582" s="102" t="s">
        <v>276</v>
      </c>
      <c r="AV1582" s="102" t="s">
        <v>269</v>
      </c>
      <c r="AW1582" s="102" t="s">
        <v>276</v>
      </c>
      <c r="AX1582" s="102">
        <f t="shared" si="455"/>
        <v>1.3132319119835603</v>
      </c>
      <c r="AY1582" s="102" t="s">
        <v>276</v>
      </c>
      <c r="AZ1582" s="102" t="s">
        <v>276</v>
      </c>
      <c r="BA1582" s="102" t="s">
        <v>276</v>
      </c>
      <c r="BB1582" s="102" t="s">
        <v>282</v>
      </c>
      <c r="BC1582" s="102" t="s">
        <v>276</v>
      </c>
      <c r="BD1582" s="102" t="s">
        <v>276</v>
      </c>
      <c r="BE1582" s="102" t="s">
        <v>276</v>
      </c>
      <c r="BF1582" s="95" t="s">
        <v>3355</v>
      </c>
      <c r="BG1582" s="95"/>
      <c r="BH1582" s="9" t="s">
        <v>100</v>
      </c>
      <c r="BI1582" s="9" t="s">
        <v>100</v>
      </c>
      <c r="BJ1582" s="109"/>
      <c r="BN1582" s="109"/>
      <c r="BO1582" s="109"/>
    </row>
    <row r="1583" spans="1:67" s="124" customFormat="1" ht="52" hidden="1" x14ac:dyDescent="0.35">
      <c r="A1583" s="112">
        <v>4570</v>
      </c>
      <c r="B1583" s="112" t="s">
        <v>9147</v>
      </c>
      <c r="C1583" s="113" t="s">
        <v>9148</v>
      </c>
      <c r="D1583" s="113" t="s">
        <v>9245</v>
      </c>
      <c r="E1583" s="112" t="s">
        <v>35</v>
      </c>
      <c r="F1583" s="113" t="s">
        <v>130</v>
      </c>
      <c r="G1583" s="112" t="s">
        <v>225</v>
      </c>
      <c r="H1583" s="112" t="s">
        <v>125</v>
      </c>
      <c r="I1583" s="112" t="s">
        <v>114</v>
      </c>
      <c r="J1583" s="113" t="s">
        <v>117</v>
      </c>
      <c r="K1583" s="112" t="s">
        <v>4821</v>
      </c>
      <c r="L1583" s="113" t="s">
        <v>9204</v>
      </c>
      <c r="M1583" s="113" t="s">
        <v>9205</v>
      </c>
      <c r="N1583" s="113" t="s">
        <v>9197</v>
      </c>
      <c r="O1583" s="113" t="s">
        <v>9198</v>
      </c>
      <c r="P1583" s="113" t="s">
        <v>239</v>
      </c>
      <c r="Q1583" s="142">
        <v>43830</v>
      </c>
      <c r="R1583" s="113" t="s">
        <v>276</v>
      </c>
      <c r="S1583" s="113" t="s">
        <v>9152</v>
      </c>
      <c r="T1583" s="113" t="s">
        <v>9153</v>
      </c>
      <c r="U1583" s="113">
        <v>3</v>
      </c>
      <c r="V1583" s="112" t="s">
        <v>14</v>
      </c>
      <c r="W1583" s="112" t="s">
        <v>98</v>
      </c>
      <c r="X1583" s="113" t="s">
        <v>207</v>
      </c>
      <c r="Y1583" s="118">
        <v>55843</v>
      </c>
      <c r="Z1583" s="119">
        <v>59447</v>
      </c>
      <c r="AA1583" s="113" t="s">
        <v>276</v>
      </c>
      <c r="AB1583" s="113" t="s">
        <v>276</v>
      </c>
      <c r="AC1583" s="112">
        <v>9</v>
      </c>
      <c r="AD1583" s="112" t="s">
        <v>968</v>
      </c>
      <c r="AE1583" s="112">
        <v>4</v>
      </c>
      <c r="AF1583" s="112" t="s">
        <v>968</v>
      </c>
      <c r="AG1583" s="113" t="s">
        <v>9246</v>
      </c>
      <c r="AH1583" s="113" t="s">
        <v>280</v>
      </c>
      <c r="AI1583" s="119">
        <v>162</v>
      </c>
      <c r="AJ1583" s="119">
        <v>123</v>
      </c>
      <c r="AK1583" s="118">
        <v>55843</v>
      </c>
      <c r="AL1583" s="119">
        <v>59447</v>
      </c>
      <c r="AM1583" s="119" t="s">
        <v>281</v>
      </c>
      <c r="AN1583" s="113" t="s">
        <v>276</v>
      </c>
      <c r="AO1583" s="121">
        <f>AI1583*1000/AK1583</f>
        <v>2.9009902763103703</v>
      </c>
      <c r="AP1583" s="112" t="s">
        <v>276</v>
      </c>
      <c r="AQ1583" s="164" t="s">
        <v>276</v>
      </c>
      <c r="AR1583" s="112" t="s">
        <v>276</v>
      </c>
      <c r="AS1583" s="121">
        <f>AJ1583*1000/AL1583</f>
        <v>2.0690699278348781</v>
      </c>
      <c r="AT1583" s="121" t="s">
        <v>276</v>
      </c>
      <c r="AU1583" s="121" t="s">
        <v>276</v>
      </c>
      <c r="AV1583" s="121" t="s">
        <v>268</v>
      </c>
      <c r="AW1583" s="121" t="s">
        <v>276</v>
      </c>
      <c r="AX1583" s="121">
        <f t="shared" si="455"/>
        <v>1.4020745443562812</v>
      </c>
      <c r="AY1583" s="121" t="s">
        <v>276</v>
      </c>
      <c r="AZ1583" s="121" t="s">
        <v>276</v>
      </c>
      <c r="BA1583" s="121" t="s">
        <v>276</v>
      </c>
      <c r="BB1583" s="121" t="s">
        <v>282</v>
      </c>
      <c r="BC1583" s="121" t="s">
        <v>276</v>
      </c>
      <c r="BD1583" s="121" t="s">
        <v>276</v>
      </c>
      <c r="BE1583" s="121" t="s">
        <v>276</v>
      </c>
      <c r="BF1583" s="113" t="s">
        <v>3355</v>
      </c>
      <c r="BG1583" s="113"/>
      <c r="BH1583" s="9" t="s">
        <v>100</v>
      </c>
      <c r="BI1583" s="9" t="s">
        <v>100</v>
      </c>
      <c r="BJ1583" s="123"/>
      <c r="BN1583" s="123"/>
      <c r="BO1583" s="123"/>
    </row>
    <row r="1584" spans="1:67" s="124" customFormat="1" ht="52" hidden="1" x14ac:dyDescent="0.35">
      <c r="A1584" s="112">
        <v>4570</v>
      </c>
      <c r="B1584" s="112" t="s">
        <v>9147</v>
      </c>
      <c r="C1584" s="113" t="s">
        <v>9148</v>
      </c>
      <c r="D1584" s="113" t="s">
        <v>9247</v>
      </c>
      <c r="E1584" s="112" t="s">
        <v>35</v>
      </c>
      <c r="F1584" s="113" t="s">
        <v>130</v>
      </c>
      <c r="G1584" s="112" t="s">
        <v>225</v>
      </c>
      <c r="H1584" s="112" t="s">
        <v>125</v>
      </c>
      <c r="I1584" s="112" t="s">
        <v>114</v>
      </c>
      <c r="J1584" s="113" t="s">
        <v>117</v>
      </c>
      <c r="K1584" s="112" t="s">
        <v>4821</v>
      </c>
      <c r="L1584" s="113" t="s">
        <v>9204</v>
      </c>
      <c r="M1584" s="113" t="s">
        <v>9205</v>
      </c>
      <c r="N1584" s="113" t="s">
        <v>9197</v>
      </c>
      <c r="O1584" s="113" t="s">
        <v>9198</v>
      </c>
      <c r="P1584" s="113" t="s">
        <v>239</v>
      </c>
      <c r="Q1584" s="142">
        <v>39964</v>
      </c>
      <c r="R1584" s="113" t="s">
        <v>276</v>
      </c>
      <c r="S1584" s="113" t="s">
        <v>9152</v>
      </c>
      <c r="T1584" s="113" t="s">
        <v>9153</v>
      </c>
      <c r="U1584" s="113">
        <v>3</v>
      </c>
      <c r="V1584" s="112" t="s">
        <v>14</v>
      </c>
      <c r="W1584" s="112" t="s">
        <v>98</v>
      </c>
      <c r="X1584" s="113" t="s">
        <v>207</v>
      </c>
      <c r="Y1584" s="118">
        <v>55843</v>
      </c>
      <c r="Z1584" s="119">
        <v>59447</v>
      </c>
      <c r="AA1584" s="113" t="s">
        <v>276</v>
      </c>
      <c r="AB1584" s="113" t="s">
        <v>276</v>
      </c>
      <c r="AC1584" s="112">
        <v>9</v>
      </c>
      <c r="AD1584" s="112" t="s">
        <v>968</v>
      </c>
      <c r="AE1584" s="112">
        <v>4</v>
      </c>
      <c r="AF1584" s="112" t="s">
        <v>968</v>
      </c>
      <c r="AG1584" s="113" t="s">
        <v>9246</v>
      </c>
      <c r="AH1584" s="113" t="s">
        <v>9208</v>
      </c>
      <c r="AI1584" s="119">
        <v>162</v>
      </c>
      <c r="AJ1584" s="119">
        <v>123</v>
      </c>
      <c r="AK1584" s="119">
        <v>687215</v>
      </c>
      <c r="AL1584" s="119">
        <v>734925</v>
      </c>
      <c r="AM1584" s="119" t="s">
        <v>1019</v>
      </c>
      <c r="AN1584" s="113" t="s">
        <v>276</v>
      </c>
      <c r="AO1584" s="121">
        <f>AI1584*100000/AK1584</f>
        <v>23.573408613025038</v>
      </c>
      <c r="AP1584" s="112" t="s">
        <v>276</v>
      </c>
      <c r="AQ1584" s="164" t="s">
        <v>276</v>
      </c>
      <c r="AR1584" s="112" t="s">
        <v>276</v>
      </c>
      <c r="AS1584" s="121">
        <f>AJ1584*100000/AL1584</f>
        <v>16.736401673640167</v>
      </c>
      <c r="AT1584" s="121" t="s">
        <v>276</v>
      </c>
      <c r="AU1584" s="121" t="s">
        <v>276</v>
      </c>
      <c r="AV1584" s="121" t="s">
        <v>269</v>
      </c>
      <c r="AW1584" s="121" t="s">
        <v>276</v>
      </c>
      <c r="AX1584" s="121">
        <f t="shared" si="455"/>
        <v>1.408511164628246</v>
      </c>
      <c r="AY1584" s="121" t="s">
        <v>276</v>
      </c>
      <c r="AZ1584" s="121" t="s">
        <v>276</v>
      </c>
      <c r="BA1584" s="121" t="s">
        <v>276</v>
      </c>
      <c r="BB1584" s="121" t="s">
        <v>282</v>
      </c>
      <c r="BC1584" s="121" t="s">
        <v>276</v>
      </c>
      <c r="BD1584" s="121" t="s">
        <v>276</v>
      </c>
      <c r="BE1584" s="121" t="s">
        <v>276</v>
      </c>
      <c r="BF1584" s="113" t="s">
        <v>3355</v>
      </c>
      <c r="BG1584" s="113"/>
      <c r="BH1584" s="9" t="s">
        <v>100</v>
      </c>
      <c r="BI1584" s="9" t="s">
        <v>100</v>
      </c>
      <c r="BJ1584" s="123"/>
      <c r="BN1584" s="123"/>
      <c r="BO1584" s="123"/>
    </row>
    <row r="1585" spans="1:67" s="110" customFormat="1" ht="52" hidden="1" x14ac:dyDescent="0.35">
      <c r="A1585" s="94">
        <v>4570</v>
      </c>
      <c r="B1585" s="94" t="s">
        <v>9147</v>
      </c>
      <c r="C1585" s="95" t="s">
        <v>9148</v>
      </c>
      <c r="D1585" s="95" t="s">
        <v>9248</v>
      </c>
      <c r="E1585" s="94" t="s">
        <v>35</v>
      </c>
      <c r="F1585" s="95" t="s">
        <v>130</v>
      </c>
      <c r="G1585" s="94" t="s">
        <v>225</v>
      </c>
      <c r="H1585" s="94" t="s">
        <v>125</v>
      </c>
      <c r="I1585" s="94" t="s">
        <v>114</v>
      </c>
      <c r="J1585" s="95" t="s">
        <v>117</v>
      </c>
      <c r="K1585" s="94" t="s">
        <v>4825</v>
      </c>
      <c r="L1585" s="95" t="s">
        <v>9204</v>
      </c>
      <c r="M1585" s="95" t="s">
        <v>9205</v>
      </c>
      <c r="N1585" s="95" t="s">
        <v>9197</v>
      </c>
      <c r="O1585" s="95" t="s">
        <v>9198</v>
      </c>
      <c r="P1585" s="95" t="s">
        <v>239</v>
      </c>
      <c r="Q1585" s="140">
        <v>43830</v>
      </c>
      <c r="R1585" s="95" t="s">
        <v>276</v>
      </c>
      <c r="S1585" s="95" t="s">
        <v>9152</v>
      </c>
      <c r="T1585" s="95" t="s">
        <v>9153</v>
      </c>
      <c r="U1585" s="95">
        <v>3</v>
      </c>
      <c r="V1585" s="94" t="s">
        <v>14</v>
      </c>
      <c r="W1585" s="94" t="s">
        <v>98</v>
      </c>
      <c r="X1585" s="95" t="s">
        <v>207</v>
      </c>
      <c r="Y1585" s="98">
        <v>55843</v>
      </c>
      <c r="Z1585" s="99">
        <v>59447</v>
      </c>
      <c r="AA1585" s="95" t="s">
        <v>276</v>
      </c>
      <c r="AB1585" s="95" t="s">
        <v>276</v>
      </c>
      <c r="AC1585" s="94">
        <v>9</v>
      </c>
      <c r="AD1585" s="94" t="s">
        <v>968</v>
      </c>
      <c r="AE1585" s="94">
        <v>4</v>
      </c>
      <c r="AF1585" s="94" t="s">
        <v>968</v>
      </c>
      <c r="AG1585" s="95" t="s">
        <v>9249</v>
      </c>
      <c r="AH1585" s="95" t="s">
        <v>280</v>
      </c>
      <c r="AI1585" s="99">
        <v>164</v>
      </c>
      <c r="AJ1585" s="99">
        <v>146</v>
      </c>
      <c r="AK1585" s="98">
        <v>55843</v>
      </c>
      <c r="AL1585" s="99">
        <v>59447</v>
      </c>
      <c r="AM1585" s="99" t="s">
        <v>281</v>
      </c>
      <c r="AN1585" s="95" t="s">
        <v>276</v>
      </c>
      <c r="AO1585" s="102">
        <f>AI1585*1000/AK1585</f>
        <v>2.936804971079634</v>
      </c>
      <c r="AP1585" s="94" t="s">
        <v>276</v>
      </c>
      <c r="AQ1585" s="100" t="s">
        <v>276</v>
      </c>
      <c r="AR1585" s="94" t="s">
        <v>276</v>
      </c>
      <c r="AS1585" s="102">
        <f>AJ1585*1000/AL1585</f>
        <v>2.4559691826332699</v>
      </c>
      <c r="AT1585" s="102" t="s">
        <v>276</v>
      </c>
      <c r="AU1585" s="102" t="s">
        <v>276</v>
      </c>
      <c r="AV1585" s="102" t="s">
        <v>268</v>
      </c>
      <c r="AW1585" s="102" t="s">
        <v>276</v>
      </c>
      <c r="AX1585" s="102">
        <f t="shared" si="455"/>
        <v>1.1957825007929521</v>
      </c>
      <c r="AY1585" s="102" t="s">
        <v>276</v>
      </c>
      <c r="AZ1585" s="102" t="s">
        <v>276</v>
      </c>
      <c r="BA1585" s="102" t="s">
        <v>276</v>
      </c>
      <c r="BB1585" s="102" t="s">
        <v>282</v>
      </c>
      <c r="BC1585" s="102" t="s">
        <v>276</v>
      </c>
      <c r="BD1585" s="102" t="s">
        <v>276</v>
      </c>
      <c r="BE1585" s="102" t="s">
        <v>276</v>
      </c>
      <c r="BF1585" s="95" t="s">
        <v>3355</v>
      </c>
      <c r="BG1585" s="95"/>
      <c r="BH1585" s="9" t="s">
        <v>100</v>
      </c>
      <c r="BI1585" s="9" t="s">
        <v>100</v>
      </c>
      <c r="BJ1585" s="109"/>
      <c r="BN1585" s="109"/>
      <c r="BO1585" s="109"/>
    </row>
    <row r="1586" spans="1:67" s="110" customFormat="1" ht="52" hidden="1" x14ac:dyDescent="0.35">
      <c r="A1586" s="94">
        <v>4570</v>
      </c>
      <c r="B1586" s="94" t="s">
        <v>9147</v>
      </c>
      <c r="C1586" s="95" t="s">
        <v>9148</v>
      </c>
      <c r="D1586" s="95" t="s">
        <v>9250</v>
      </c>
      <c r="E1586" s="94" t="s">
        <v>35</v>
      </c>
      <c r="F1586" s="95" t="s">
        <v>130</v>
      </c>
      <c r="G1586" s="94" t="s">
        <v>225</v>
      </c>
      <c r="H1586" s="94" t="s">
        <v>125</v>
      </c>
      <c r="I1586" s="94" t="s">
        <v>114</v>
      </c>
      <c r="J1586" s="95" t="s">
        <v>117</v>
      </c>
      <c r="K1586" s="94" t="s">
        <v>4825</v>
      </c>
      <c r="L1586" s="95" t="s">
        <v>9204</v>
      </c>
      <c r="M1586" s="95" t="s">
        <v>9205</v>
      </c>
      <c r="N1586" s="95" t="s">
        <v>9197</v>
      </c>
      <c r="O1586" s="95" t="s">
        <v>9198</v>
      </c>
      <c r="P1586" s="95" t="s">
        <v>239</v>
      </c>
      <c r="Q1586" s="140">
        <v>39964</v>
      </c>
      <c r="R1586" s="95" t="s">
        <v>276</v>
      </c>
      <c r="S1586" s="95" t="s">
        <v>9152</v>
      </c>
      <c r="T1586" s="95" t="s">
        <v>9153</v>
      </c>
      <c r="U1586" s="95">
        <v>3</v>
      </c>
      <c r="V1586" s="94" t="s">
        <v>14</v>
      </c>
      <c r="W1586" s="94" t="s">
        <v>98</v>
      </c>
      <c r="X1586" s="95" t="s">
        <v>207</v>
      </c>
      <c r="Y1586" s="98">
        <v>55843</v>
      </c>
      <c r="Z1586" s="99">
        <v>59447</v>
      </c>
      <c r="AA1586" s="95" t="s">
        <v>276</v>
      </c>
      <c r="AB1586" s="95" t="s">
        <v>276</v>
      </c>
      <c r="AC1586" s="94">
        <v>9</v>
      </c>
      <c r="AD1586" s="94" t="s">
        <v>968</v>
      </c>
      <c r="AE1586" s="94">
        <v>4</v>
      </c>
      <c r="AF1586" s="94" t="s">
        <v>968</v>
      </c>
      <c r="AG1586" s="95" t="s">
        <v>9249</v>
      </c>
      <c r="AH1586" s="95" t="s">
        <v>9208</v>
      </c>
      <c r="AI1586" s="99">
        <v>164</v>
      </c>
      <c r="AJ1586" s="99">
        <v>146</v>
      </c>
      <c r="AK1586" s="99">
        <v>687215</v>
      </c>
      <c r="AL1586" s="99">
        <v>734925</v>
      </c>
      <c r="AM1586" s="99" t="s">
        <v>1019</v>
      </c>
      <c r="AN1586" s="95" t="s">
        <v>276</v>
      </c>
      <c r="AO1586" s="102">
        <f>AI1586*100000/AK1586</f>
        <v>23.864438348988308</v>
      </c>
      <c r="AP1586" s="94" t="s">
        <v>276</v>
      </c>
      <c r="AQ1586" s="100" t="s">
        <v>276</v>
      </c>
      <c r="AR1586" s="94" t="s">
        <v>276</v>
      </c>
      <c r="AS1586" s="102">
        <f>AJ1586*100000/AL1586</f>
        <v>19.86597271830459</v>
      </c>
      <c r="AT1586" s="102" t="s">
        <v>276</v>
      </c>
      <c r="AU1586" s="102" t="s">
        <v>276</v>
      </c>
      <c r="AV1586" s="102" t="s">
        <v>269</v>
      </c>
      <c r="AW1586" s="102" t="s">
        <v>276</v>
      </c>
      <c r="AX1586" s="102">
        <f t="shared" si="455"/>
        <v>1.2012720790157694</v>
      </c>
      <c r="AY1586" s="102" t="s">
        <v>276</v>
      </c>
      <c r="AZ1586" s="102" t="s">
        <v>276</v>
      </c>
      <c r="BA1586" s="102" t="s">
        <v>276</v>
      </c>
      <c r="BB1586" s="102" t="s">
        <v>282</v>
      </c>
      <c r="BC1586" s="102" t="s">
        <v>276</v>
      </c>
      <c r="BD1586" s="102" t="s">
        <v>276</v>
      </c>
      <c r="BE1586" s="102" t="s">
        <v>276</v>
      </c>
      <c r="BF1586" s="95" t="s">
        <v>3355</v>
      </c>
      <c r="BG1586" s="95"/>
      <c r="BH1586" s="9" t="s">
        <v>100</v>
      </c>
      <c r="BI1586" s="9" t="s">
        <v>100</v>
      </c>
      <c r="BJ1586" s="109"/>
      <c r="BN1586" s="109"/>
      <c r="BO1586" s="109"/>
    </row>
    <row r="1587" spans="1:67" s="33" customFormat="1" ht="65" hidden="1" x14ac:dyDescent="0.35">
      <c r="A1587" s="8">
        <v>4100</v>
      </c>
      <c r="B1587" s="8" t="s">
        <v>9945</v>
      </c>
      <c r="C1587" s="9" t="s">
        <v>9264</v>
      </c>
      <c r="D1587" s="9" t="s">
        <v>11538</v>
      </c>
      <c r="E1587" s="8" t="s">
        <v>35</v>
      </c>
      <c r="F1587" s="8" t="s">
        <v>97</v>
      </c>
      <c r="G1587" s="8" t="s">
        <v>225</v>
      </c>
      <c r="H1587" s="8" t="s">
        <v>225</v>
      </c>
      <c r="I1587" s="8" t="s">
        <v>114</v>
      </c>
      <c r="J1587" s="9" t="s">
        <v>98</v>
      </c>
      <c r="K1587" s="8" t="s">
        <v>98</v>
      </c>
      <c r="L1587" s="8" t="s">
        <v>98</v>
      </c>
      <c r="M1587" s="8" t="s">
        <v>98</v>
      </c>
      <c r="N1587" s="8" t="s">
        <v>276</v>
      </c>
      <c r="O1587" s="9" t="s">
        <v>276</v>
      </c>
      <c r="P1587" s="9" t="s">
        <v>238</v>
      </c>
      <c r="Q1587" s="52">
        <v>30163</v>
      </c>
      <c r="R1587" s="9" t="s">
        <v>98</v>
      </c>
      <c r="S1587" s="9" t="s">
        <v>9946</v>
      </c>
      <c r="T1587" s="9" t="s">
        <v>98</v>
      </c>
      <c r="U1587" s="51" t="s">
        <v>2331</v>
      </c>
      <c r="V1587" s="8" t="s">
        <v>14</v>
      </c>
      <c r="W1587" s="8" t="s">
        <v>98</v>
      </c>
      <c r="X1587" s="9" t="s">
        <v>209</v>
      </c>
      <c r="Y1587" s="34">
        <v>47389</v>
      </c>
      <c r="Z1587" s="9" t="s">
        <v>98</v>
      </c>
      <c r="AA1587" s="9" t="s">
        <v>276</v>
      </c>
      <c r="AB1587" s="9" t="s">
        <v>98</v>
      </c>
      <c r="AC1587" s="8">
        <v>0</v>
      </c>
      <c r="AD1587" s="8" t="s">
        <v>5574</v>
      </c>
      <c r="AE1587" s="8" t="s">
        <v>98</v>
      </c>
      <c r="AF1587" s="8" t="s">
        <v>98</v>
      </c>
      <c r="AG1587" s="9" t="s">
        <v>11539</v>
      </c>
      <c r="AH1587" s="9" t="s">
        <v>7518</v>
      </c>
      <c r="AI1587" s="38">
        <f>278+109</f>
        <v>387</v>
      </c>
      <c r="AJ1587" s="38" t="s">
        <v>98</v>
      </c>
      <c r="AK1587" s="38">
        <v>47000</v>
      </c>
      <c r="AL1587" s="38" t="s">
        <v>98</v>
      </c>
      <c r="AM1587" s="38" t="s">
        <v>281</v>
      </c>
      <c r="AN1587" s="8" t="s">
        <v>276</v>
      </c>
      <c r="AO1587" s="14">
        <f>AI1587*1000/AK1587</f>
        <v>8.2340425531914896</v>
      </c>
      <c r="AP1587" s="8" t="s">
        <v>276</v>
      </c>
      <c r="AQ1587" s="8" t="s">
        <v>276</v>
      </c>
      <c r="AR1587" s="8" t="s">
        <v>98</v>
      </c>
      <c r="AS1587" s="8" t="s">
        <v>98</v>
      </c>
      <c r="AT1587" s="8" t="s">
        <v>98</v>
      </c>
      <c r="AU1587" s="8" t="s">
        <v>98</v>
      </c>
      <c r="AV1587" s="8" t="s">
        <v>98</v>
      </c>
      <c r="AW1587" s="8" t="s">
        <v>98</v>
      </c>
      <c r="AX1587" s="8" t="s">
        <v>98</v>
      </c>
      <c r="AY1587" s="8" t="s">
        <v>98</v>
      </c>
      <c r="AZ1587" s="8" t="s">
        <v>98</v>
      </c>
      <c r="BA1587" s="8" t="s">
        <v>98</v>
      </c>
      <c r="BB1587" s="8" t="s">
        <v>98</v>
      </c>
      <c r="BC1587" s="8" t="s">
        <v>98</v>
      </c>
      <c r="BD1587" s="8" t="s">
        <v>98</v>
      </c>
      <c r="BE1587" s="8" t="s">
        <v>98</v>
      </c>
      <c r="BF1587" s="9" t="s">
        <v>9947</v>
      </c>
      <c r="BG1587" s="9"/>
      <c r="BH1587" s="9" t="s">
        <v>100</v>
      </c>
      <c r="BI1587" s="9" t="s">
        <v>100</v>
      </c>
      <c r="BJ1587" s="32"/>
      <c r="BN1587" s="32"/>
      <c r="BO1587" s="32"/>
    </row>
    <row r="1588" spans="1:67" s="33" customFormat="1" ht="91" hidden="1" x14ac:dyDescent="0.35">
      <c r="A1588" s="8">
        <v>4100</v>
      </c>
      <c r="B1588" s="8" t="s">
        <v>9945</v>
      </c>
      <c r="C1588" s="9" t="s">
        <v>9264</v>
      </c>
      <c r="D1588" s="9" t="s">
        <v>11540</v>
      </c>
      <c r="E1588" s="8" t="s">
        <v>35</v>
      </c>
      <c r="F1588" s="8" t="s">
        <v>97</v>
      </c>
      <c r="G1588" s="8" t="s">
        <v>225</v>
      </c>
      <c r="H1588" s="8" t="s">
        <v>225</v>
      </c>
      <c r="I1588" s="8" t="s">
        <v>114</v>
      </c>
      <c r="J1588" s="9" t="s">
        <v>98</v>
      </c>
      <c r="K1588" s="8" t="s">
        <v>98</v>
      </c>
      <c r="L1588" s="8" t="s">
        <v>98</v>
      </c>
      <c r="M1588" s="8" t="s">
        <v>98</v>
      </c>
      <c r="N1588" s="8" t="s">
        <v>276</v>
      </c>
      <c r="O1588" s="9" t="s">
        <v>276</v>
      </c>
      <c r="P1588" s="9" t="s">
        <v>236</v>
      </c>
      <c r="Q1588" s="52">
        <v>30163</v>
      </c>
      <c r="R1588" s="9" t="s">
        <v>98</v>
      </c>
      <c r="S1588" s="9" t="s">
        <v>9946</v>
      </c>
      <c r="T1588" s="9" t="s">
        <v>98</v>
      </c>
      <c r="U1588" s="51" t="s">
        <v>2331</v>
      </c>
      <c r="V1588" s="8" t="s">
        <v>14</v>
      </c>
      <c r="W1588" s="8" t="s">
        <v>98</v>
      </c>
      <c r="X1588" s="9" t="s">
        <v>209</v>
      </c>
      <c r="Y1588" s="13" t="s">
        <v>98</v>
      </c>
      <c r="Z1588" s="9" t="s">
        <v>98</v>
      </c>
      <c r="AA1588" s="9" t="s">
        <v>276</v>
      </c>
      <c r="AB1588" s="9" t="s">
        <v>98</v>
      </c>
      <c r="AC1588" s="8">
        <v>0</v>
      </c>
      <c r="AD1588" s="8" t="s">
        <v>5574</v>
      </c>
      <c r="AE1588" s="8" t="s">
        <v>98</v>
      </c>
      <c r="AF1588" s="8" t="s">
        <v>98</v>
      </c>
      <c r="AG1588" s="9" t="s">
        <v>11539</v>
      </c>
      <c r="AH1588" s="9" t="s">
        <v>11541</v>
      </c>
      <c r="AI1588" s="38">
        <f>278+109</f>
        <v>387</v>
      </c>
      <c r="AJ1588" s="38" t="s">
        <v>98</v>
      </c>
      <c r="AK1588" s="38">
        <v>561</v>
      </c>
      <c r="AL1588" s="38" t="s">
        <v>98</v>
      </c>
      <c r="AM1588" s="38" t="s">
        <v>292</v>
      </c>
      <c r="AN1588" s="8" t="s">
        <v>276</v>
      </c>
      <c r="AO1588" s="14">
        <f>AI1588*100/AK1588</f>
        <v>68.983957219251337</v>
      </c>
      <c r="AP1588" s="8" t="s">
        <v>276</v>
      </c>
      <c r="AQ1588" s="8" t="s">
        <v>276</v>
      </c>
      <c r="AR1588" s="8" t="s">
        <v>98</v>
      </c>
      <c r="AS1588" s="8" t="s">
        <v>98</v>
      </c>
      <c r="AT1588" s="8" t="s">
        <v>98</v>
      </c>
      <c r="AU1588" s="8" t="s">
        <v>98</v>
      </c>
      <c r="AV1588" s="8" t="s">
        <v>98</v>
      </c>
      <c r="AW1588" s="8" t="s">
        <v>98</v>
      </c>
      <c r="AX1588" s="8" t="s">
        <v>98</v>
      </c>
      <c r="AY1588" s="8" t="s">
        <v>98</v>
      </c>
      <c r="AZ1588" s="8" t="s">
        <v>98</v>
      </c>
      <c r="BA1588" s="8" t="s">
        <v>98</v>
      </c>
      <c r="BB1588" s="8" t="s">
        <v>98</v>
      </c>
      <c r="BC1588" s="8" t="s">
        <v>98</v>
      </c>
      <c r="BD1588" s="8" t="s">
        <v>98</v>
      </c>
      <c r="BE1588" s="8" t="s">
        <v>98</v>
      </c>
      <c r="BF1588" s="9" t="s">
        <v>768</v>
      </c>
      <c r="BG1588" s="9"/>
      <c r="BH1588" s="9" t="s">
        <v>100</v>
      </c>
      <c r="BI1588" s="9" t="s">
        <v>100</v>
      </c>
      <c r="BJ1588" s="32"/>
      <c r="BN1588" s="32"/>
      <c r="BO1588" s="32"/>
    </row>
    <row r="1589" spans="1:67" s="79" customFormat="1" ht="52" hidden="1" x14ac:dyDescent="0.35">
      <c r="A1589" s="72">
        <v>4100</v>
      </c>
      <c r="B1589" s="72" t="s">
        <v>9945</v>
      </c>
      <c r="C1589" s="73" t="s">
        <v>9264</v>
      </c>
      <c r="D1589" s="73" t="s">
        <v>9948</v>
      </c>
      <c r="E1589" s="72" t="s">
        <v>35</v>
      </c>
      <c r="F1589" s="72" t="s">
        <v>97</v>
      </c>
      <c r="G1589" s="72" t="s">
        <v>225</v>
      </c>
      <c r="H1589" s="72" t="s">
        <v>125</v>
      </c>
      <c r="I1589" s="72" t="s">
        <v>114</v>
      </c>
      <c r="J1589" s="73" t="s">
        <v>25</v>
      </c>
      <c r="K1589" s="72" t="s">
        <v>9949</v>
      </c>
      <c r="L1589" s="72" t="s">
        <v>9950</v>
      </c>
      <c r="M1589" s="72" t="s">
        <v>9951</v>
      </c>
      <c r="N1589" s="72" t="s">
        <v>276</v>
      </c>
      <c r="O1589" s="73" t="s">
        <v>276</v>
      </c>
      <c r="P1589" s="73" t="s">
        <v>239</v>
      </c>
      <c r="Q1589" s="77">
        <v>30163</v>
      </c>
      <c r="R1589" s="73" t="s">
        <v>98</v>
      </c>
      <c r="S1589" s="73" t="s">
        <v>9946</v>
      </c>
      <c r="T1589" s="73" t="s">
        <v>9946</v>
      </c>
      <c r="U1589" s="89" t="s">
        <v>2331</v>
      </c>
      <c r="V1589" s="72" t="s">
        <v>14</v>
      </c>
      <c r="W1589" s="72" t="s">
        <v>98</v>
      </c>
      <c r="X1589" s="73" t="s">
        <v>207</v>
      </c>
      <c r="Y1589" s="74">
        <v>47389</v>
      </c>
      <c r="Z1589" s="73">
        <v>45000</v>
      </c>
      <c r="AA1589" s="73" t="s">
        <v>276</v>
      </c>
      <c r="AB1589" s="73" t="s">
        <v>276</v>
      </c>
      <c r="AC1589" s="72">
        <v>75</v>
      </c>
      <c r="AD1589" s="73" t="s">
        <v>9952</v>
      </c>
      <c r="AE1589" s="72">
        <v>15</v>
      </c>
      <c r="AF1589" s="73" t="s">
        <v>9952</v>
      </c>
      <c r="AG1589" s="73" t="s">
        <v>9953</v>
      </c>
      <c r="AH1589" s="73" t="s">
        <v>4658</v>
      </c>
      <c r="AI1589" s="75">
        <v>215</v>
      </c>
      <c r="AJ1589" s="75">
        <v>105</v>
      </c>
      <c r="AK1589" s="74">
        <v>47000</v>
      </c>
      <c r="AL1589" s="73">
        <v>22000</v>
      </c>
      <c r="AM1589" s="75" t="s">
        <v>281</v>
      </c>
      <c r="AN1589" s="72" t="s">
        <v>276</v>
      </c>
      <c r="AO1589" s="76">
        <f>AI1589*1000/AK1589</f>
        <v>4.5744680851063828</v>
      </c>
      <c r="AP1589" s="72" t="s">
        <v>276</v>
      </c>
      <c r="AQ1589" s="72" t="s">
        <v>276</v>
      </c>
      <c r="AR1589" s="72" t="s">
        <v>276</v>
      </c>
      <c r="AS1589" s="76">
        <f>AJ1589*1000/AL1589</f>
        <v>4.7727272727272725</v>
      </c>
      <c r="AT1589" s="72" t="s">
        <v>276</v>
      </c>
      <c r="AU1589" s="72" t="s">
        <v>276</v>
      </c>
      <c r="AV1589" s="72" t="s">
        <v>268</v>
      </c>
      <c r="AW1589" s="72" t="s">
        <v>276</v>
      </c>
      <c r="AX1589" s="86">
        <f>AO1589/AS1589</f>
        <v>0.95845997973657548</v>
      </c>
      <c r="AY1589" s="72" t="s">
        <v>276</v>
      </c>
      <c r="AZ1589" s="72" t="s">
        <v>276</v>
      </c>
      <c r="BA1589" s="72" t="s">
        <v>276</v>
      </c>
      <c r="BB1589" s="72" t="s">
        <v>282</v>
      </c>
      <c r="BC1589" s="72" t="s">
        <v>98</v>
      </c>
      <c r="BD1589" s="72" t="s">
        <v>98</v>
      </c>
      <c r="BE1589" s="72" t="s">
        <v>98</v>
      </c>
      <c r="BF1589" s="73" t="s">
        <v>708</v>
      </c>
      <c r="BG1589" s="73"/>
      <c r="BH1589" s="9" t="s">
        <v>100</v>
      </c>
      <c r="BI1589" s="9" t="s">
        <v>100</v>
      </c>
      <c r="BJ1589" s="78"/>
      <c r="BN1589" s="78"/>
      <c r="BO1589" s="78"/>
    </row>
    <row r="1590" spans="1:67" s="79" customFormat="1" ht="52" hidden="1" x14ac:dyDescent="0.35">
      <c r="A1590" s="72">
        <v>4100</v>
      </c>
      <c r="B1590" s="72" t="s">
        <v>9945</v>
      </c>
      <c r="C1590" s="73" t="s">
        <v>9264</v>
      </c>
      <c r="D1590" s="73" t="s">
        <v>9954</v>
      </c>
      <c r="E1590" s="72" t="s">
        <v>35</v>
      </c>
      <c r="F1590" s="72" t="s">
        <v>97</v>
      </c>
      <c r="G1590" s="72" t="s">
        <v>225</v>
      </c>
      <c r="H1590" s="72" t="s">
        <v>125</v>
      </c>
      <c r="I1590" s="72" t="s">
        <v>114</v>
      </c>
      <c r="J1590" s="73" t="s">
        <v>25</v>
      </c>
      <c r="K1590" s="72" t="s">
        <v>9955</v>
      </c>
      <c r="L1590" s="72" t="s">
        <v>9950</v>
      </c>
      <c r="M1590" s="72" t="s">
        <v>9951</v>
      </c>
      <c r="N1590" s="72" t="s">
        <v>276</v>
      </c>
      <c r="O1590" s="73" t="s">
        <v>276</v>
      </c>
      <c r="P1590" s="73" t="s">
        <v>239</v>
      </c>
      <c r="Q1590" s="77">
        <v>30163</v>
      </c>
      <c r="R1590" s="73" t="s">
        <v>98</v>
      </c>
      <c r="S1590" s="73" t="s">
        <v>9946</v>
      </c>
      <c r="T1590" s="73" t="s">
        <v>9946</v>
      </c>
      <c r="U1590" s="89" t="s">
        <v>2331</v>
      </c>
      <c r="V1590" s="72" t="s">
        <v>14</v>
      </c>
      <c r="W1590" s="72" t="s">
        <v>98</v>
      </c>
      <c r="X1590" s="73" t="s">
        <v>207</v>
      </c>
      <c r="Y1590" s="74">
        <v>47389</v>
      </c>
      <c r="Z1590" s="73">
        <v>45000</v>
      </c>
      <c r="AA1590" s="73" t="s">
        <v>276</v>
      </c>
      <c r="AB1590" s="73" t="s">
        <v>276</v>
      </c>
      <c r="AC1590" s="72">
        <v>75</v>
      </c>
      <c r="AD1590" s="73" t="s">
        <v>9952</v>
      </c>
      <c r="AE1590" s="72">
        <v>15</v>
      </c>
      <c r="AF1590" s="73" t="s">
        <v>9952</v>
      </c>
      <c r="AG1590" s="73" t="s">
        <v>9956</v>
      </c>
      <c r="AH1590" s="73" t="s">
        <v>4658</v>
      </c>
      <c r="AI1590" s="75">
        <v>271</v>
      </c>
      <c r="AJ1590" s="75">
        <v>56</v>
      </c>
      <c r="AK1590" s="74">
        <v>47000</v>
      </c>
      <c r="AL1590" s="73">
        <v>22000</v>
      </c>
      <c r="AM1590" s="75" t="s">
        <v>281</v>
      </c>
      <c r="AN1590" s="72" t="s">
        <v>276</v>
      </c>
      <c r="AO1590" s="76">
        <f>AI1590*1000/AK1590</f>
        <v>5.7659574468085104</v>
      </c>
      <c r="AP1590" s="72" t="s">
        <v>276</v>
      </c>
      <c r="AQ1590" s="72" t="s">
        <v>276</v>
      </c>
      <c r="AR1590" s="72" t="s">
        <v>276</v>
      </c>
      <c r="AS1590" s="76">
        <f>AJ1590*1000/AL1590</f>
        <v>2.5454545454545454</v>
      </c>
      <c r="AT1590" s="72" t="s">
        <v>276</v>
      </c>
      <c r="AU1590" s="72" t="s">
        <v>276</v>
      </c>
      <c r="AV1590" s="72" t="s">
        <v>268</v>
      </c>
      <c r="AW1590" s="72" t="s">
        <v>276</v>
      </c>
      <c r="AX1590" s="86">
        <f>AO1590/AS1590</f>
        <v>2.2651975683890577</v>
      </c>
      <c r="AY1590" s="72" t="s">
        <v>276</v>
      </c>
      <c r="AZ1590" s="72" t="s">
        <v>276</v>
      </c>
      <c r="BA1590" s="72" t="s">
        <v>276</v>
      </c>
      <c r="BB1590" s="72" t="s">
        <v>282</v>
      </c>
      <c r="BC1590" s="72" t="s">
        <v>98</v>
      </c>
      <c r="BD1590" s="72" t="s">
        <v>98</v>
      </c>
      <c r="BE1590" s="72" t="s">
        <v>98</v>
      </c>
      <c r="BF1590" s="73" t="s">
        <v>708</v>
      </c>
      <c r="BG1590" s="73"/>
      <c r="BH1590" s="9" t="s">
        <v>100</v>
      </c>
      <c r="BI1590" s="9" t="s">
        <v>100</v>
      </c>
      <c r="BJ1590" s="78"/>
      <c r="BN1590" s="78"/>
      <c r="BO1590" s="78"/>
    </row>
    <row r="1591" spans="1:67" s="33" customFormat="1" ht="52" hidden="1" x14ac:dyDescent="0.35">
      <c r="A1591" s="8">
        <v>4100</v>
      </c>
      <c r="B1591" s="8" t="s">
        <v>9945</v>
      </c>
      <c r="C1591" s="9" t="s">
        <v>9264</v>
      </c>
      <c r="D1591" s="9" t="s">
        <v>9957</v>
      </c>
      <c r="E1591" s="8" t="s">
        <v>35</v>
      </c>
      <c r="F1591" s="8" t="s">
        <v>97</v>
      </c>
      <c r="G1591" s="8" t="s">
        <v>225</v>
      </c>
      <c r="H1591" s="8" t="s">
        <v>125</v>
      </c>
      <c r="I1591" s="8" t="s">
        <v>114</v>
      </c>
      <c r="J1591" s="9" t="s">
        <v>25</v>
      </c>
      <c r="K1591" s="8" t="s">
        <v>9949</v>
      </c>
      <c r="L1591" s="8" t="s">
        <v>9950</v>
      </c>
      <c r="M1591" s="8" t="s">
        <v>9951</v>
      </c>
      <c r="N1591" s="8" t="s">
        <v>276</v>
      </c>
      <c r="O1591" s="9" t="s">
        <v>276</v>
      </c>
      <c r="P1591" s="9" t="s">
        <v>235</v>
      </c>
      <c r="Q1591" s="52">
        <v>30163</v>
      </c>
      <c r="R1591" s="9" t="s">
        <v>98</v>
      </c>
      <c r="S1591" s="9" t="s">
        <v>9946</v>
      </c>
      <c r="T1591" s="9" t="s">
        <v>9946</v>
      </c>
      <c r="U1591" s="51" t="s">
        <v>2331</v>
      </c>
      <c r="V1591" s="8" t="s">
        <v>14</v>
      </c>
      <c r="W1591" s="8" t="s">
        <v>98</v>
      </c>
      <c r="X1591" s="9" t="s">
        <v>207</v>
      </c>
      <c r="Y1591" s="13" t="s">
        <v>98</v>
      </c>
      <c r="Z1591" s="9" t="s">
        <v>98</v>
      </c>
      <c r="AA1591" s="9" t="s">
        <v>276</v>
      </c>
      <c r="AB1591" s="9" t="s">
        <v>276</v>
      </c>
      <c r="AC1591" s="8">
        <v>75</v>
      </c>
      <c r="AD1591" s="9" t="s">
        <v>9952</v>
      </c>
      <c r="AE1591" s="8">
        <v>15</v>
      </c>
      <c r="AF1591" s="9" t="s">
        <v>9952</v>
      </c>
      <c r="AG1591" s="9" t="s">
        <v>9953</v>
      </c>
      <c r="AH1591" s="9" t="s">
        <v>9958</v>
      </c>
      <c r="AI1591" s="38">
        <v>215</v>
      </c>
      <c r="AJ1591" s="38">
        <v>105</v>
      </c>
      <c r="AK1591" s="13">
        <v>561</v>
      </c>
      <c r="AL1591" s="9">
        <v>176</v>
      </c>
      <c r="AM1591" s="38" t="s">
        <v>292</v>
      </c>
      <c r="AN1591" s="8" t="s">
        <v>276</v>
      </c>
      <c r="AO1591" s="14">
        <f>AI1591*100/AK1591</f>
        <v>38.324420677361857</v>
      </c>
      <c r="AP1591" s="8" t="s">
        <v>276</v>
      </c>
      <c r="AQ1591" s="8" t="s">
        <v>276</v>
      </c>
      <c r="AR1591" s="8" t="s">
        <v>276</v>
      </c>
      <c r="AS1591" s="14">
        <f>AJ1591*100/AL1591</f>
        <v>59.659090909090907</v>
      </c>
      <c r="AT1591" s="8" t="s">
        <v>276</v>
      </c>
      <c r="AU1591" s="8" t="s">
        <v>276</v>
      </c>
      <c r="AV1591" s="8" t="s">
        <v>268</v>
      </c>
      <c r="AW1591" s="8" t="s">
        <v>276</v>
      </c>
      <c r="AX1591" s="31">
        <f>AO1591/AS1591</f>
        <v>0.64239028944911303</v>
      </c>
      <c r="AY1591" s="8" t="s">
        <v>276</v>
      </c>
      <c r="AZ1591" s="8" t="s">
        <v>276</v>
      </c>
      <c r="BA1591" s="8" t="s">
        <v>276</v>
      </c>
      <c r="BB1591" s="8" t="s">
        <v>282</v>
      </c>
      <c r="BC1591" s="8" t="s">
        <v>98</v>
      </c>
      <c r="BD1591" s="8" t="s">
        <v>98</v>
      </c>
      <c r="BE1591" s="8" t="s">
        <v>98</v>
      </c>
      <c r="BF1591" s="9" t="s">
        <v>708</v>
      </c>
      <c r="BG1591" s="9"/>
      <c r="BH1591" s="9" t="s">
        <v>100</v>
      </c>
      <c r="BI1591" s="9" t="s">
        <v>100</v>
      </c>
      <c r="BJ1591" s="32"/>
      <c r="BN1591" s="32"/>
      <c r="BO1591" s="32"/>
    </row>
    <row r="1592" spans="1:67" s="79" customFormat="1" ht="130" hidden="1" x14ac:dyDescent="0.35">
      <c r="A1592" s="72">
        <v>4100</v>
      </c>
      <c r="B1592" s="72" t="s">
        <v>9945</v>
      </c>
      <c r="C1592" s="73" t="s">
        <v>9264</v>
      </c>
      <c r="D1592" s="73" t="s">
        <v>9959</v>
      </c>
      <c r="E1592" s="72" t="s">
        <v>35</v>
      </c>
      <c r="F1592" s="72" t="s">
        <v>97</v>
      </c>
      <c r="G1592" s="72" t="s">
        <v>225</v>
      </c>
      <c r="H1592" s="72" t="s">
        <v>125</v>
      </c>
      <c r="I1592" s="72" t="s">
        <v>114</v>
      </c>
      <c r="J1592" s="73" t="s">
        <v>25</v>
      </c>
      <c r="K1592" s="72" t="s">
        <v>9949</v>
      </c>
      <c r="L1592" s="72" t="s">
        <v>9950</v>
      </c>
      <c r="M1592" s="72" t="s">
        <v>9951</v>
      </c>
      <c r="N1592" s="72" t="s">
        <v>276</v>
      </c>
      <c r="O1592" s="73" t="s">
        <v>276</v>
      </c>
      <c r="P1592" s="73" t="s">
        <v>235</v>
      </c>
      <c r="Q1592" s="77">
        <v>30163</v>
      </c>
      <c r="R1592" s="73" t="s">
        <v>98</v>
      </c>
      <c r="S1592" s="73" t="s">
        <v>276</v>
      </c>
      <c r="T1592" s="73" t="s">
        <v>276</v>
      </c>
      <c r="U1592" s="89" t="s">
        <v>2331</v>
      </c>
      <c r="V1592" s="72" t="s">
        <v>15</v>
      </c>
      <c r="W1592" s="72" t="s">
        <v>9960</v>
      </c>
      <c r="X1592" s="73" t="s">
        <v>207</v>
      </c>
      <c r="Y1592" s="74" t="s">
        <v>98</v>
      </c>
      <c r="Z1592" s="73" t="s">
        <v>98</v>
      </c>
      <c r="AA1592" s="73" t="s">
        <v>276</v>
      </c>
      <c r="AB1592" s="73" t="s">
        <v>276</v>
      </c>
      <c r="AC1592" s="72">
        <v>28</v>
      </c>
      <c r="AD1592" s="73" t="s">
        <v>9952</v>
      </c>
      <c r="AE1592" s="72">
        <v>4</v>
      </c>
      <c r="AF1592" s="73" t="s">
        <v>9952</v>
      </c>
      <c r="AG1592" s="73" t="s">
        <v>9961</v>
      </c>
      <c r="AH1592" s="73" t="s">
        <v>9962</v>
      </c>
      <c r="AI1592" s="75">
        <v>116</v>
      </c>
      <c r="AJ1592" s="75">
        <v>69</v>
      </c>
      <c r="AK1592" s="74">
        <v>337</v>
      </c>
      <c r="AL1592" s="73">
        <v>113</v>
      </c>
      <c r="AM1592" s="75" t="s">
        <v>292</v>
      </c>
      <c r="AN1592" s="72" t="s">
        <v>276</v>
      </c>
      <c r="AO1592" s="76">
        <f>AI1592*100/AK1592</f>
        <v>34.421364985163201</v>
      </c>
      <c r="AP1592" s="72" t="s">
        <v>276</v>
      </c>
      <c r="AQ1592" s="72" t="s">
        <v>276</v>
      </c>
      <c r="AR1592" s="72" t="s">
        <v>276</v>
      </c>
      <c r="AS1592" s="76">
        <f>AJ1592*100/AL1592</f>
        <v>61.061946902654867</v>
      </c>
      <c r="AT1592" s="72" t="s">
        <v>276</v>
      </c>
      <c r="AU1592" s="72" t="s">
        <v>276</v>
      </c>
      <c r="AV1592" s="72" t="s">
        <v>268</v>
      </c>
      <c r="AW1592" s="72" t="s">
        <v>276</v>
      </c>
      <c r="AX1592" s="86">
        <f>AO1592/AS1592</f>
        <v>0.56371220917731035</v>
      </c>
      <c r="AY1592" s="72" t="s">
        <v>276</v>
      </c>
      <c r="AZ1592" s="72" t="s">
        <v>276</v>
      </c>
      <c r="BA1592" s="72" t="s">
        <v>276</v>
      </c>
      <c r="BB1592" s="72" t="s">
        <v>282</v>
      </c>
      <c r="BC1592" s="72" t="s">
        <v>98</v>
      </c>
      <c r="BD1592" s="72" t="s">
        <v>98</v>
      </c>
      <c r="BE1592" s="72" t="s">
        <v>98</v>
      </c>
      <c r="BF1592" s="73" t="s">
        <v>9963</v>
      </c>
      <c r="BG1592" s="73"/>
      <c r="BH1592" s="9" t="s">
        <v>100</v>
      </c>
      <c r="BI1592" s="9" t="s">
        <v>100</v>
      </c>
      <c r="BJ1592" s="78"/>
      <c r="BN1592" s="78"/>
      <c r="BO1592" s="78"/>
    </row>
    <row r="1593" spans="1:67" s="110" customFormat="1" ht="78" hidden="1" x14ac:dyDescent="0.35">
      <c r="A1593" s="94">
        <v>5202</v>
      </c>
      <c r="B1593" s="94" t="s">
        <v>9964</v>
      </c>
      <c r="C1593" s="95" t="s">
        <v>9266</v>
      </c>
      <c r="D1593" s="95" t="s">
        <v>9965</v>
      </c>
      <c r="E1593" s="94" t="s">
        <v>35</v>
      </c>
      <c r="F1593" s="94" t="s">
        <v>97</v>
      </c>
      <c r="G1593" s="94" t="s">
        <v>225</v>
      </c>
      <c r="H1593" s="94" t="s">
        <v>225</v>
      </c>
      <c r="I1593" s="94" t="s">
        <v>114</v>
      </c>
      <c r="J1593" s="95" t="s">
        <v>98</v>
      </c>
      <c r="K1593" s="94" t="s">
        <v>98</v>
      </c>
      <c r="L1593" s="94" t="s">
        <v>98</v>
      </c>
      <c r="M1593" s="94" t="s">
        <v>98</v>
      </c>
      <c r="N1593" s="95" t="s">
        <v>9966</v>
      </c>
      <c r="O1593" s="95" t="s">
        <v>276</v>
      </c>
      <c r="P1593" s="95" t="s">
        <v>238</v>
      </c>
      <c r="Q1593" s="140">
        <v>30559</v>
      </c>
      <c r="R1593" s="95" t="s">
        <v>98</v>
      </c>
      <c r="S1593" s="95" t="s">
        <v>9967</v>
      </c>
      <c r="T1593" s="95" t="s">
        <v>98</v>
      </c>
      <c r="U1593" s="163" t="s">
        <v>1191</v>
      </c>
      <c r="V1593" s="94" t="s">
        <v>15</v>
      </c>
      <c r="W1593" s="94" t="s">
        <v>9254</v>
      </c>
      <c r="X1593" s="95" t="s">
        <v>209</v>
      </c>
      <c r="Y1593" s="107">
        <v>39034</v>
      </c>
      <c r="Z1593" s="95" t="s">
        <v>98</v>
      </c>
      <c r="AA1593" s="95" t="s">
        <v>276</v>
      </c>
      <c r="AB1593" s="95" t="s">
        <v>98</v>
      </c>
      <c r="AC1593" s="94">
        <v>0</v>
      </c>
      <c r="AD1593" s="94" t="s">
        <v>5574</v>
      </c>
      <c r="AE1593" s="94" t="s">
        <v>98</v>
      </c>
      <c r="AF1593" s="94" t="s">
        <v>98</v>
      </c>
      <c r="AG1593" s="95" t="s">
        <v>9968</v>
      </c>
      <c r="AH1593" s="95" t="s">
        <v>9969</v>
      </c>
      <c r="AI1593" s="99">
        <v>332</v>
      </c>
      <c r="AJ1593" s="99" t="s">
        <v>98</v>
      </c>
      <c r="AK1593" s="107">
        <v>39034</v>
      </c>
      <c r="AL1593" s="99" t="s">
        <v>98</v>
      </c>
      <c r="AM1593" s="99" t="s">
        <v>281</v>
      </c>
      <c r="AN1593" s="94" t="s">
        <v>276</v>
      </c>
      <c r="AO1593" s="102">
        <f>AI1593*1000/AK1593</f>
        <v>8.5054055438848177</v>
      </c>
      <c r="AP1593" s="94" t="s">
        <v>276</v>
      </c>
      <c r="AQ1593" s="94" t="s">
        <v>276</v>
      </c>
      <c r="AR1593" s="94" t="s">
        <v>98</v>
      </c>
      <c r="AS1593" s="94" t="s">
        <v>98</v>
      </c>
      <c r="AT1593" s="94" t="s">
        <v>98</v>
      </c>
      <c r="AU1593" s="94" t="s">
        <v>98</v>
      </c>
      <c r="AV1593" s="94" t="s">
        <v>98</v>
      </c>
      <c r="AW1593" s="94" t="s">
        <v>98</v>
      </c>
      <c r="AX1593" s="94" t="s">
        <v>98</v>
      </c>
      <c r="AY1593" s="94" t="s">
        <v>98</v>
      </c>
      <c r="AZ1593" s="94" t="s">
        <v>98</v>
      </c>
      <c r="BA1593" s="94" t="s">
        <v>98</v>
      </c>
      <c r="BB1593" s="94" t="s">
        <v>98</v>
      </c>
      <c r="BC1593" s="94" t="s">
        <v>98</v>
      </c>
      <c r="BD1593" s="94" t="s">
        <v>98</v>
      </c>
      <c r="BE1593" s="94" t="s">
        <v>98</v>
      </c>
      <c r="BF1593" s="95" t="s">
        <v>9970</v>
      </c>
      <c r="BG1593" s="95"/>
      <c r="BH1593" s="9" t="s">
        <v>100</v>
      </c>
      <c r="BI1593" s="9" t="s">
        <v>100</v>
      </c>
      <c r="BJ1593" s="109"/>
      <c r="BN1593" s="109"/>
      <c r="BO1593" s="109"/>
    </row>
    <row r="1594" spans="1:67" s="110" customFormat="1" ht="78" hidden="1" x14ac:dyDescent="0.35">
      <c r="A1594" s="94">
        <v>5202</v>
      </c>
      <c r="B1594" s="94" t="s">
        <v>9964</v>
      </c>
      <c r="C1594" s="95" t="s">
        <v>9266</v>
      </c>
      <c r="D1594" s="95" t="s">
        <v>9971</v>
      </c>
      <c r="E1594" s="94" t="s">
        <v>35</v>
      </c>
      <c r="F1594" s="94" t="s">
        <v>97</v>
      </c>
      <c r="G1594" s="94" t="s">
        <v>225</v>
      </c>
      <c r="H1594" s="94" t="s">
        <v>225</v>
      </c>
      <c r="I1594" s="94" t="s">
        <v>114</v>
      </c>
      <c r="J1594" s="95" t="s">
        <v>98</v>
      </c>
      <c r="K1594" s="94" t="s">
        <v>98</v>
      </c>
      <c r="L1594" s="94" t="s">
        <v>98</v>
      </c>
      <c r="M1594" s="94" t="s">
        <v>98</v>
      </c>
      <c r="N1594" s="95" t="s">
        <v>9966</v>
      </c>
      <c r="O1594" s="95" t="s">
        <v>276</v>
      </c>
      <c r="P1594" s="95" t="s">
        <v>236</v>
      </c>
      <c r="Q1594" s="140">
        <v>30559</v>
      </c>
      <c r="R1594" s="95" t="s">
        <v>98</v>
      </c>
      <c r="S1594" s="95" t="s">
        <v>9967</v>
      </c>
      <c r="T1594" s="95" t="s">
        <v>98</v>
      </c>
      <c r="U1594" s="163" t="s">
        <v>1191</v>
      </c>
      <c r="V1594" s="94" t="s">
        <v>15</v>
      </c>
      <c r="W1594" s="94" t="s">
        <v>9254</v>
      </c>
      <c r="X1594" s="95" t="s">
        <v>209</v>
      </c>
      <c r="Y1594" s="107" t="s">
        <v>98</v>
      </c>
      <c r="Z1594" s="95" t="s">
        <v>98</v>
      </c>
      <c r="AA1594" s="95" t="s">
        <v>276</v>
      </c>
      <c r="AB1594" s="95" t="s">
        <v>98</v>
      </c>
      <c r="AC1594" s="94">
        <v>0</v>
      </c>
      <c r="AD1594" s="94" t="s">
        <v>5574</v>
      </c>
      <c r="AE1594" s="94" t="s">
        <v>98</v>
      </c>
      <c r="AF1594" s="94" t="s">
        <v>98</v>
      </c>
      <c r="AG1594" s="95" t="s">
        <v>9968</v>
      </c>
      <c r="AH1594" s="95" t="s">
        <v>9972</v>
      </c>
      <c r="AI1594" s="99">
        <v>332</v>
      </c>
      <c r="AJ1594" s="99" t="s">
        <v>98</v>
      </c>
      <c r="AK1594" s="107">
        <v>413</v>
      </c>
      <c r="AL1594" s="99" t="s">
        <v>98</v>
      </c>
      <c r="AM1594" s="99" t="s">
        <v>292</v>
      </c>
      <c r="AN1594" s="94">
        <v>80</v>
      </c>
      <c r="AO1594" s="102">
        <f>AI1594*100/AK1594</f>
        <v>80.38740920096852</v>
      </c>
      <c r="AP1594" s="94" t="s">
        <v>276</v>
      </c>
      <c r="AQ1594" s="94" t="s">
        <v>276</v>
      </c>
      <c r="AR1594" s="94" t="s">
        <v>98</v>
      </c>
      <c r="AS1594" s="94" t="s">
        <v>98</v>
      </c>
      <c r="AT1594" s="94" t="s">
        <v>98</v>
      </c>
      <c r="AU1594" s="94" t="s">
        <v>98</v>
      </c>
      <c r="AV1594" s="94" t="s">
        <v>98</v>
      </c>
      <c r="AW1594" s="94" t="s">
        <v>98</v>
      </c>
      <c r="AX1594" s="94" t="s">
        <v>98</v>
      </c>
      <c r="AY1594" s="94" t="s">
        <v>98</v>
      </c>
      <c r="AZ1594" s="94" t="s">
        <v>98</v>
      </c>
      <c r="BA1594" s="94" t="s">
        <v>98</v>
      </c>
      <c r="BB1594" s="94" t="s">
        <v>98</v>
      </c>
      <c r="BC1594" s="94" t="s">
        <v>98</v>
      </c>
      <c r="BD1594" s="94" t="s">
        <v>98</v>
      </c>
      <c r="BE1594" s="94" t="s">
        <v>98</v>
      </c>
      <c r="BF1594" s="95" t="s">
        <v>11542</v>
      </c>
      <c r="BG1594" s="95"/>
      <c r="BH1594" s="9" t="s">
        <v>100</v>
      </c>
      <c r="BI1594" s="9" t="s">
        <v>100</v>
      </c>
      <c r="BJ1594" s="109"/>
      <c r="BN1594" s="109"/>
      <c r="BO1594" s="109"/>
    </row>
    <row r="1595" spans="1:67" s="110" customFormat="1" ht="65" hidden="1" x14ac:dyDescent="0.35">
      <c r="A1595" s="94">
        <v>5202</v>
      </c>
      <c r="B1595" s="94" t="s">
        <v>9964</v>
      </c>
      <c r="C1595" s="95" t="s">
        <v>9266</v>
      </c>
      <c r="D1595" s="95" t="s">
        <v>9973</v>
      </c>
      <c r="E1595" s="94" t="s">
        <v>35</v>
      </c>
      <c r="F1595" s="94" t="s">
        <v>97</v>
      </c>
      <c r="G1595" s="94" t="s">
        <v>225</v>
      </c>
      <c r="H1595" s="94" t="s">
        <v>225</v>
      </c>
      <c r="I1595" s="94" t="s">
        <v>114</v>
      </c>
      <c r="J1595" s="95" t="s">
        <v>98</v>
      </c>
      <c r="K1595" s="94" t="s">
        <v>98</v>
      </c>
      <c r="L1595" s="94" t="s">
        <v>98</v>
      </c>
      <c r="M1595" s="94" t="s">
        <v>98</v>
      </c>
      <c r="N1595" s="95" t="s">
        <v>9966</v>
      </c>
      <c r="O1595" s="95" t="s">
        <v>276</v>
      </c>
      <c r="P1595" s="95" t="s">
        <v>238</v>
      </c>
      <c r="Q1595" s="140">
        <v>30559</v>
      </c>
      <c r="R1595" s="95" t="s">
        <v>98</v>
      </c>
      <c r="S1595" s="95" t="s">
        <v>9967</v>
      </c>
      <c r="T1595" s="95" t="s">
        <v>98</v>
      </c>
      <c r="U1595" s="163" t="s">
        <v>1191</v>
      </c>
      <c r="V1595" s="94" t="s">
        <v>15</v>
      </c>
      <c r="W1595" s="94" t="s">
        <v>9254</v>
      </c>
      <c r="X1595" s="95" t="s">
        <v>209</v>
      </c>
      <c r="Y1595" s="107">
        <v>39034</v>
      </c>
      <c r="Z1595" s="95" t="s">
        <v>98</v>
      </c>
      <c r="AA1595" s="95" t="s">
        <v>276</v>
      </c>
      <c r="AB1595" s="95" t="s">
        <v>98</v>
      </c>
      <c r="AC1595" s="94">
        <v>0</v>
      </c>
      <c r="AD1595" s="94" t="s">
        <v>5574</v>
      </c>
      <c r="AE1595" s="94" t="s">
        <v>98</v>
      </c>
      <c r="AF1595" s="94" t="s">
        <v>98</v>
      </c>
      <c r="AG1595" s="95" t="s">
        <v>9974</v>
      </c>
      <c r="AH1595" s="95" t="s">
        <v>9969</v>
      </c>
      <c r="AI1595" s="99">
        <f>23+12</f>
        <v>35</v>
      </c>
      <c r="AJ1595" s="99" t="s">
        <v>98</v>
      </c>
      <c r="AK1595" s="107">
        <v>39034</v>
      </c>
      <c r="AL1595" s="99" t="s">
        <v>98</v>
      </c>
      <c r="AM1595" s="99" t="s">
        <v>281</v>
      </c>
      <c r="AN1595" s="94" t="s">
        <v>276</v>
      </c>
      <c r="AO1595" s="102">
        <f t="shared" ref="AO1595:AO1601" si="456">AI1595*1000/AK1595</f>
        <v>0.89665419890352005</v>
      </c>
      <c r="AP1595" s="94" t="s">
        <v>276</v>
      </c>
      <c r="AQ1595" s="94" t="s">
        <v>276</v>
      </c>
      <c r="AR1595" s="94" t="s">
        <v>98</v>
      </c>
      <c r="AS1595" s="94" t="s">
        <v>98</v>
      </c>
      <c r="AT1595" s="94" t="s">
        <v>98</v>
      </c>
      <c r="AU1595" s="94" t="s">
        <v>98</v>
      </c>
      <c r="AV1595" s="94" t="s">
        <v>98</v>
      </c>
      <c r="AW1595" s="94" t="s">
        <v>98</v>
      </c>
      <c r="AX1595" s="94" t="s">
        <v>98</v>
      </c>
      <c r="AY1595" s="94" t="s">
        <v>98</v>
      </c>
      <c r="AZ1595" s="94" t="s">
        <v>98</v>
      </c>
      <c r="BA1595" s="94" t="s">
        <v>98</v>
      </c>
      <c r="BB1595" s="94" t="s">
        <v>98</v>
      </c>
      <c r="BC1595" s="94" t="s">
        <v>98</v>
      </c>
      <c r="BD1595" s="94" t="s">
        <v>98</v>
      </c>
      <c r="BE1595" s="94" t="s">
        <v>98</v>
      </c>
      <c r="BF1595" s="95" t="s">
        <v>1020</v>
      </c>
      <c r="BG1595" s="95"/>
      <c r="BH1595" s="9" t="s">
        <v>100</v>
      </c>
      <c r="BI1595" s="9" t="s">
        <v>100</v>
      </c>
      <c r="BJ1595" s="109"/>
      <c r="BN1595" s="109"/>
      <c r="BO1595" s="109"/>
    </row>
    <row r="1596" spans="1:67" s="124" customFormat="1" ht="65" hidden="1" x14ac:dyDescent="0.35">
      <c r="A1596" s="112">
        <v>5202</v>
      </c>
      <c r="B1596" s="112" t="s">
        <v>9964</v>
      </c>
      <c r="C1596" s="113" t="s">
        <v>9266</v>
      </c>
      <c r="D1596" s="113" t="s">
        <v>9975</v>
      </c>
      <c r="E1596" s="112" t="s">
        <v>35</v>
      </c>
      <c r="F1596" s="112" t="s">
        <v>97</v>
      </c>
      <c r="G1596" s="112" t="s">
        <v>225</v>
      </c>
      <c r="H1596" s="112" t="s">
        <v>125</v>
      </c>
      <c r="I1596" s="112" t="s">
        <v>114</v>
      </c>
      <c r="J1596" s="113" t="s">
        <v>32</v>
      </c>
      <c r="K1596" s="112" t="s">
        <v>9976</v>
      </c>
      <c r="L1596" s="112" t="s">
        <v>4151</v>
      </c>
      <c r="M1596" s="112" t="s">
        <v>300</v>
      </c>
      <c r="N1596" s="113" t="s">
        <v>9966</v>
      </c>
      <c r="O1596" s="113" t="s">
        <v>276</v>
      </c>
      <c r="P1596" s="113" t="s">
        <v>239</v>
      </c>
      <c r="Q1596" s="142">
        <v>30559</v>
      </c>
      <c r="R1596" s="113" t="s">
        <v>98</v>
      </c>
      <c r="S1596" s="113" t="s">
        <v>9967</v>
      </c>
      <c r="T1596" s="113" t="s">
        <v>9977</v>
      </c>
      <c r="U1596" s="162" t="s">
        <v>1191</v>
      </c>
      <c r="V1596" s="112" t="s">
        <v>15</v>
      </c>
      <c r="W1596" s="112" t="s">
        <v>9254</v>
      </c>
      <c r="X1596" s="113" t="s">
        <v>207</v>
      </c>
      <c r="Y1596" s="120">
        <v>39034</v>
      </c>
      <c r="Z1596" s="119">
        <v>37936</v>
      </c>
      <c r="AA1596" s="113" t="s">
        <v>276</v>
      </c>
      <c r="AB1596" s="113" t="s">
        <v>276</v>
      </c>
      <c r="AC1596" s="112">
        <v>0</v>
      </c>
      <c r="AD1596" s="112" t="s">
        <v>98</v>
      </c>
      <c r="AE1596" s="112">
        <v>0</v>
      </c>
      <c r="AF1596" s="112" t="s">
        <v>98</v>
      </c>
      <c r="AG1596" s="113" t="s">
        <v>9978</v>
      </c>
      <c r="AH1596" s="113" t="s">
        <v>9979</v>
      </c>
      <c r="AI1596" s="119">
        <v>41</v>
      </c>
      <c r="AJ1596" s="119">
        <v>5</v>
      </c>
      <c r="AK1596" s="120">
        <v>146550</v>
      </c>
      <c r="AL1596" s="119">
        <v>145861</v>
      </c>
      <c r="AM1596" s="119" t="s">
        <v>425</v>
      </c>
      <c r="AN1596" s="112" t="s">
        <v>276</v>
      </c>
      <c r="AO1596" s="121">
        <f t="shared" si="456"/>
        <v>0.27976799727055612</v>
      </c>
      <c r="AP1596" s="112" t="s">
        <v>276</v>
      </c>
      <c r="AQ1596" s="112" t="s">
        <v>276</v>
      </c>
      <c r="AR1596" s="112" t="s">
        <v>276</v>
      </c>
      <c r="AS1596" s="121">
        <f t="shared" ref="AS1596:AS1601" si="457">AJ1596*1000/AL1596</f>
        <v>3.4279211029678944E-2</v>
      </c>
      <c r="AT1596" s="112" t="s">
        <v>276</v>
      </c>
      <c r="AU1596" s="112" t="s">
        <v>276</v>
      </c>
      <c r="AV1596" s="112" t="s">
        <v>269</v>
      </c>
      <c r="AW1596" s="112" t="s">
        <v>276</v>
      </c>
      <c r="AX1596" s="207">
        <f t="shared" ref="AX1596:AX1644" si="458">AO1596/AS1596</f>
        <v>8.1614479699761162</v>
      </c>
      <c r="AY1596" s="112" t="s">
        <v>276</v>
      </c>
      <c r="AZ1596" s="112" t="s">
        <v>276</v>
      </c>
      <c r="BA1596" s="112" t="s">
        <v>276</v>
      </c>
      <c r="BB1596" s="112" t="s">
        <v>282</v>
      </c>
      <c r="BC1596" s="112" t="s">
        <v>98</v>
      </c>
      <c r="BD1596" s="112" t="s">
        <v>98</v>
      </c>
      <c r="BE1596" s="112" t="s">
        <v>98</v>
      </c>
      <c r="BF1596" s="113" t="s">
        <v>1020</v>
      </c>
      <c r="BG1596" s="113"/>
      <c r="BH1596" s="9" t="s">
        <v>100</v>
      </c>
      <c r="BI1596" s="9" t="s">
        <v>100</v>
      </c>
      <c r="BJ1596" s="123"/>
      <c r="BN1596" s="123"/>
      <c r="BO1596" s="123"/>
    </row>
    <row r="1597" spans="1:67" s="124" customFormat="1" ht="65" hidden="1" x14ac:dyDescent="0.35">
      <c r="A1597" s="112">
        <v>5202</v>
      </c>
      <c r="B1597" s="112" t="s">
        <v>9964</v>
      </c>
      <c r="C1597" s="113" t="s">
        <v>9266</v>
      </c>
      <c r="D1597" s="113" t="s">
        <v>9980</v>
      </c>
      <c r="E1597" s="112" t="s">
        <v>35</v>
      </c>
      <c r="F1597" s="112" t="s">
        <v>97</v>
      </c>
      <c r="G1597" s="112" t="s">
        <v>225</v>
      </c>
      <c r="H1597" s="112" t="s">
        <v>125</v>
      </c>
      <c r="I1597" s="112" t="s">
        <v>114</v>
      </c>
      <c r="J1597" s="113" t="s">
        <v>31</v>
      </c>
      <c r="K1597" s="112" t="s">
        <v>7788</v>
      </c>
      <c r="L1597" s="112" t="s">
        <v>4151</v>
      </c>
      <c r="M1597" s="112" t="s">
        <v>300</v>
      </c>
      <c r="N1597" s="113" t="s">
        <v>9966</v>
      </c>
      <c r="O1597" s="113" t="s">
        <v>276</v>
      </c>
      <c r="P1597" s="113" t="s">
        <v>239</v>
      </c>
      <c r="Q1597" s="142">
        <v>30559</v>
      </c>
      <c r="R1597" s="113" t="s">
        <v>98</v>
      </c>
      <c r="S1597" s="113" t="s">
        <v>9967</v>
      </c>
      <c r="T1597" s="113" t="s">
        <v>9977</v>
      </c>
      <c r="U1597" s="162" t="s">
        <v>1191</v>
      </c>
      <c r="V1597" s="112" t="s">
        <v>15</v>
      </c>
      <c r="W1597" s="112" t="s">
        <v>9254</v>
      </c>
      <c r="X1597" s="113" t="s">
        <v>207</v>
      </c>
      <c r="Y1597" s="120">
        <v>39034</v>
      </c>
      <c r="Z1597" s="119">
        <v>37936</v>
      </c>
      <c r="AA1597" s="113" t="s">
        <v>276</v>
      </c>
      <c r="AB1597" s="113" t="s">
        <v>276</v>
      </c>
      <c r="AC1597" s="112">
        <v>0</v>
      </c>
      <c r="AD1597" s="112" t="s">
        <v>3921</v>
      </c>
      <c r="AE1597" s="112">
        <v>0</v>
      </c>
      <c r="AF1597" s="112" t="s">
        <v>3921</v>
      </c>
      <c r="AG1597" s="113" t="s">
        <v>9981</v>
      </c>
      <c r="AH1597" s="113" t="s">
        <v>9979</v>
      </c>
      <c r="AI1597" s="119">
        <v>136</v>
      </c>
      <c r="AJ1597" s="119">
        <v>32</v>
      </c>
      <c r="AK1597" s="120">
        <v>146550</v>
      </c>
      <c r="AL1597" s="119">
        <v>145861</v>
      </c>
      <c r="AM1597" s="119" t="s">
        <v>425</v>
      </c>
      <c r="AN1597" s="112" t="s">
        <v>276</v>
      </c>
      <c r="AO1597" s="121">
        <f t="shared" si="456"/>
        <v>0.92801091777550326</v>
      </c>
      <c r="AP1597" s="112" t="s">
        <v>276</v>
      </c>
      <c r="AQ1597" s="112" t="s">
        <v>276</v>
      </c>
      <c r="AR1597" s="112" t="s">
        <v>276</v>
      </c>
      <c r="AS1597" s="121">
        <f t="shared" si="457"/>
        <v>0.21938695058994523</v>
      </c>
      <c r="AT1597" s="112" t="s">
        <v>276</v>
      </c>
      <c r="AU1597" s="112" t="s">
        <v>276</v>
      </c>
      <c r="AV1597" s="112" t="s">
        <v>269</v>
      </c>
      <c r="AW1597" s="112" t="s">
        <v>276</v>
      </c>
      <c r="AX1597" s="207">
        <f t="shared" si="458"/>
        <v>4.2300187649266459</v>
      </c>
      <c r="AY1597" s="112" t="s">
        <v>276</v>
      </c>
      <c r="AZ1597" s="112" t="s">
        <v>276</v>
      </c>
      <c r="BA1597" s="112" t="s">
        <v>276</v>
      </c>
      <c r="BB1597" s="112" t="s">
        <v>282</v>
      </c>
      <c r="BC1597" s="112" t="s">
        <v>98</v>
      </c>
      <c r="BD1597" s="112" t="s">
        <v>98</v>
      </c>
      <c r="BE1597" s="112" t="s">
        <v>98</v>
      </c>
      <c r="BF1597" s="113" t="s">
        <v>1020</v>
      </c>
      <c r="BG1597" s="113"/>
      <c r="BH1597" s="9" t="s">
        <v>100</v>
      </c>
      <c r="BI1597" s="9" t="s">
        <v>100</v>
      </c>
      <c r="BJ1597" s="123"/>
      <c r="BN1597" s="123"/>
      <c r="BO1597" s="123"/>
    </row>
    <row r="1598" spans="1:67" s="124" customFormat="1" ht="65" hidden="1" x14ac:dyDescent="0.35">
      <c r="A1598" s="112">
        <v>5202</v>
      </c>
      <c r="B1598" s="112" t="s">
        <v>9964</v>
      </c>
      <c r="C1598" s="113" t="s">
        <v>9266</v>
      </c>
      <c r="D1598" s="113" t="s">
        <v>9982</v>
      </c>
      <c r="E1598" s="112" t="s">
        <v>35</v>
      </c>
      <c r="F1598" s="112" t="s">
        <v>97</v>
      </c>
      <c r="G1598" s="112" t="s">
        <v>225</v>
      </c>
      <c r="H1598" s="112" t="s">
        <v>125</v>
      </c>
      <c r="I1598" s="112" t="s">
        <v>114</v>
      </c>
      <c r="J1598" s="113" t="s">
        <v>31</v>
      </c>
      <c r="K1598" s="112" t="s">
        <v>9983</v>
      </c>
      <c r="L1598" s="112" t="s">
        <v>4151</v>
      </c>
      <c r="M1598" s="112" t="s">
        <v>300</v>
      </c>
      <c r="N1598" s="113" t="s">
        <v>9966</v>
      </c>
      <c r="O1598" s="113" t="s">
        <v>276</v>
      </c>
      <c r="P1598" s="113" t="s">
        <v>239</v>
      </c>
      <c r="Q1598" s="142">
        <v>30559</v>
      </c>
      <c r="R1598" s="113" t="s">
        <v>98</v>
      </c>
      <c r="S1598" s="113" t="s">
        <v>9967</v>
      </c>
      <c r="T1598" s="113" t="s">
        <v>9977</v>
      </c>
      <c r="U1598" s="162" t="s">
        <v>1191</v>
      </c>
      <c r="V1598" s="112" t="s">
        <v>15</v>
      </c>
      <c r="W1598" s="112" t="s">
        <v>9254</v>
      </c>
      <c r="X1598" s="113" t="s">
        <v>207</v>
      </c>
      <c r="Y1598" s="120">
        <v>39034</v>
      </c>
      <c r="Z1598" s="119">
        <v>37936</v>
      </c>
      <c r="AA1598" s="113" t="s">
        <v>276</v>
      </c>
      <c r="AB1598" s="113" t="s">
        <v>276</v>
      </c>
      <c r="AC1598" s="112">
        <v>0</v>
      </c>
      <c r="AD1598" s="112" t="s">
        <v>3921</v>
      </c>
      <c r="AE1598" s="112">
        <v>0</v>
      </c>
      <c r="AF1598" s="112" t="s">
        <v>3921</v>
      </c>
      <c r="AG1598" s="113" t="s">
        <v>9984</v>
      </c>
      <c r="AH1598" s="113" t="s">
        <v>9979</v>
      </c>
      <c r="AI1598" s="119">
        <v>159</v>
      </c>
      <c r="AJ1598" s="119">
        <v>120</v>
      </c>
      <c r="AK1598" s="120">
        <v>146550</v>
      </c>
      <c r="AL1598" s="119">
        <v>145861</v>
      </c>
      <c r="AM1598" s="119" t="s">
        <v>425</v>
      </c>
      <c r="AN1598" s="112" t="s">
        <v>276</v>
      </c>
      <c r="AO1598" s="121">
        <f t="shared" si="456"/>
        <v>1.0849539406345956</v>
      </c>
      <c r="AP1598" s="112" t="s">
        <v>276</v>
      </c>
      <c r="AQ1598" s="112" t="s">
        <v>276</v>
      </c>
      <c r="AR1598" s="112" t="s">
        <v>276</v>
      </c>
      <c r="AS1598" s="121">
        <f t="shared" si="457"/>
        <v>0.82270106471229454</v>
      </c>
      <c r="AT1598" s="112" t="s">
        <v>276</v>
      </c>
      <c r="AU1598" s="112" t="s">
        <v>276</v>
      </c>
      <c r="AV1598" s="112" t="s">
        <v>269</v>
      </c>
      <c r="AW1598" s="112" t="s">
        <v>276</v>
      </c>
      <c r="AX1598" s="207">
        <f t="shared" si="458"/>
        <v>1.3187705561241896</v>
      </c>
      <c r="AY1598" s="112" t="s">
        <v>276</v>
      </c>
      <c r="AZ1598" s="112" t="s">
        <v>276</v>
      </c>
      <c r="BA1598" s="112" t="s">
        <v>276</v>
      </c>
      <c r="BB1598" s="112" t="s">
        <v>282</v>
      </c>
      <c r="BC1598" s="112" t="s">
        <v>98</v>
      </c>
      <c r="BD1598" s="112" t="s">
        <v>98</v>
      </c>
      <c r="BE1598" s="112" t="s">
        <v>98</v>
      </c>
      <c r="BF1598" s="113" t="s">
        <v>1020</v>
      </c>
      <c r="BG1598" s="113"/>
      <c r="BH1598" s="9" t="s">
        <v>100</v>
      </c>
      <c r="BI1598" s="9" t="s">
        <v>100</v>
      </c>
      <c r="BJ1598" s="123"/>
      <c r="BN1598" s="123"/>
      <c r="BO1598" s="123"/>
    </row>
    <row r="1599" spans="1:67" s="124" customFormat="1" ht="65" hidden="1" x14ac:dyDescent="0.35">
      <c r="A1599" s="112">
        <v>5202</v>
      </c>
      <c r="B1599" s="112" t="s">
        <v>9964</v>
      </c>
      <c r="C1599" s="113" t="s">
        <v>9266</v>
      </c>
      <c r="D1599" s="113" t="s">
        <v>9985</v>
      </c>
      <c r="E1599" s="112" t="s">
        <v>35</v>
      </c>
      <c r="F1599" s="112" t="s">
        <v>97</v>
      </c>
      <c r="G1599" s="112" t="s">
        <v>225</v>
      </c>
      <c r="H1599" s="112" t="s">
        <v>125</v>
      </c>
      <c r="I1599" s="112" t="s">
        <v>114</v>
      </c>
      <c r="J1599" s="113" t="s">
        <v>31</v>
      </c>
      <c r="K1599" s="112" t="s">
        <v>9986</v>
      </c>
      <c r="L1599" s="112" t="s">
        <v>4151</v>
      </c>
      <c r="M1599" s="112" t="s">
        <v>300</v>
      </c>
      <c r="N1599" s="113" t="s">
        <v>9966</v>
      </c>
      <c r="O1599" s="113" t="s">
        <v>276</v>
      </c>
      <c r="P1599" s="113" t="s">
        <v>239</v>
      </c>
      <c r="Q1599" s="142">
        <v>30559</v>
      </c>
      <c r="R1599" s="113" t="s">
        <v>98</v>
      </c>
      <c r="S1599" s="113" t="s">
        <v>9967</v>
      </c>
      <c r="T1599" s="113" t="s">
        <v>9977</v>
      </c>
      <c r="U1599" s="162" t="s">
        <v>1191</v>
      </c>
      <c r="V1599" s="112" t="s">
        <v>15</v>
      </c>
      <c r="W1599" s="112" t="s">
        <v>9254</v>
      </c>
      <c r="X1599" s="113" t="s">
        <v>207</v>
      </c>
      <c r="Y1599" s="120">
        <v>39034</v>
      </c>
      <c r="Z1599" s="119">
        <v>37936</v>
      </c>
      <c r="AA1599" s="113" t="s">
        <v>276</v>
      </c>
      <c r="AB1599" s="113" t="s">
        <v>276</v>
      </c>
      <c r="AC1599" s="112">
        <v>0</v>
      </c>
      <c r="AD1599" s="112" t="s">
        <v>3921</v>
      </c>
      <c r="AE1599" s="112">
        <v>0</v>
      </c>
      <c r="AF1599" s="112" t="s">
        <v>3921</v>
      </c>
      <c r="AG1599" s="113" t="s">
        <v>9987</v>
      </c>
      <c r="AH1599" s="113" t="s">
        <v>9979</v>
      </c>
      <c r="AI1599" s="119">
        <v>68</v>
      </c>
      <c r="AJ1599" s="119">
        <v>103</v>
      </c>
      <c r="AK1599" s="120">
        <v>146550</v>
      </c>
      <c r="AL1599" s="119">
        <v>145861</v>
      </c>
      <c r="AM1599" s="119" t="s">
        <v>425</v>
      </c>
      <c r="AN1599" s="112" t="s">
        <v>276</v>
      </c>
      <c r="AO1599" s="121">
        <f t="shared" si="456"/>
        <v>0.46400545888775163</v>
      </c>
      <c r="AP1599" s="112" t="s">
        <v>276</v>
      </c>
      <c r="AQ1599" s="112" t="s">
        <v>276</v>
      </c>
      <c r="AR1599" s="112" t="s">
        <v>276</v>
      </c>
      <c r="AS1599" s="121">
        <f t="shared" si="457"/>
        <v>0.70615174721138618</v>
      </c>
      <c r="AT1599" s="112" t="s">
        <v>276</v>
      </c>
      <c r="AU1599" s="112" t="s">
        <v>276</v>
      </c>
      <c r="AV1599" s="112" t="s">
        <v>269</v>
      </c>
      <c r="AW1599" s="112" t="s">
        <v>276</v>
      </c>
      <c r="AX1599" s="207">
        <f t="shared" si="458"/>
        <v>0.65709029358083826</v>
      </c>
      <c r="AY1599" s="112" t="s">
        <v>276</v>
      </c>
      <c r="AZ1599" s="112" t="s">
        <v>276</v>
      </c>
      <c r="BA1599" s="112" t="s">
        <v>276</v>
      </c>
      <c r="BB1599" s="112" t="s">
        <v>282</v>
      </c>
      <c r="BC1599" s="112" t="s">
        <v>98</v>
      </c>
      <c r="BD1599" s="112" t="s">
        <v>98</v>
      </c>
      <c r="BE1599" s="112" t="s">
        <v>98</v>
      </c>
      <c r="BF1599" s="113" t="s">
        <v>1020</v>
      </c>
      <c r="BG1599" s="113"/>
      <c r="BH1599" s="9" t="s">
        <v>100</v>
      </c>
      <c r="BI1599" s="9" t="s">
        <v>100</v>
      </c>
      <c r="BJ1599" s="123"/>
      <c r="BN1599" s="123"/>
      <c r="BO1599" s="123"/>
    </row>
    <row r="1600" spans="1:67" s="124" customFormat="1" ht="65" hidden="1" x14ac:dyDescent="0.35">
      <c r="A1600" s="112">
        <v>5202</v>
      </c>
      <c r="B1600" s="112" t="s">
        <v>9964</v>
      </c>
      <c r="C1600" s="113" t="s">
        <v>9266</v>
      </c>
      <c r="D1600" s="113" t="s">
        <v>9988</v>
      </c>
      <c r="E1600" s="112" t="s">
        <v>35</v>
      </c>
      <c r="F1600" s="112" t="s">
        <v>97</v>
      </c>
      <c r="G1600" s="112" t="s">
        <v>225</v>
      </c>
      <c r="H1600" s="112" t="s">
        <v>125</v>
      </c>
      <c r="I1600" s="112" t="s">
        <v>114</v>
      </c>
      <c r="J1600" s="113" t="s">
        <v>31</v>
      </c>
      <c r="K1600" s="112" t="s">
        <v>9989</v>
      </c>
      <c r="L1600" s="112" t="s">
        <v>4151</v>
      </c>
      <c r="M1600" s="112" t="s">
        <v>300</v>
      </c>
      <c r="N1600" s="113" t="s">
        <v>9966</v>
      </c>
      <c r="O1600" s="113" t="s">
        <v>276</v>
      </c>
      <c r="P1600" s="113" t="s">
        <v>239</v>
      </c>
      <c r="Q1600" s="142">
        <v>30559</v>
      </c>
      <c r="R1600" s="113" t="s">
        <v>98</v>
      </c>
      <c r="S1600" s="113" t="s">
        <v>9967</v>
      </c>
      <c r="T1600" s="113" t="s">
        <v>9977</v>
      </c>
      <c r="U1600" s="162" t="s">
        <v>1191</v>
      </c>
      <c r="V1600" s="112" t="s">
        <v>15</v>
      </c>
      <c r="W1600" s="112" t="s">
        <v>9254</v>
      </c>
      <c r="X1600" s="113" t="s">
        <v>207</v>
      </c>
      <c r="Y1600" s="120">
        <v>39034</v>
      </c>
      <c r="Z1600" s="119">
        <v>37936</v>
      </c>
      <c r="AA1600" s="113" t="s">
        <v>276</v>
      </c>
      <c r="AB1600" s="113" t="s">
        <v>276</v>
      </c>
      <c r="AC1600" s="112">
        <v>0</v>
      </c>
      <c r="AD1600" s="112" t="s">
        <v>3921</v>
      </c>
      <c r="AE1600" s="112">
        <v>0</v>
      </c>
      <c r="AF1600" s="112" t="s">
        <v>3921</v>
      </c>
      <c r="AG1600" s="113" t="s">
        <v>9990</v>
      </c>
      <c r="AH1600" s="113" t="s">
        <v>9979</v>
      </c>
      <c r="AI1600" s="119">
        <v>9</v>
      </c>
      <c r="AJ1600" s="119">
        <v>17</v>
      </c>
      <c r="AK1600" s="120">
        <v>146550</v>
      </c>
      <c r="AL1600" s="119">
        <v>145861</v>
      </c>
      <c r="AM1600" s="119" t="s">
        <v>425</v>
      </c>
      <c r="AN1600" s="112" t="s">
        <v>276</v>
      </c>
      <c r="AO1600" s="121">
        <f t="shared" si="456"/>
        <v>6.1412487205731829E-2</v>
      </c>
      <c r="AP1600" s="112" t="s">
        <v>276</v>
      </c>
      <c r="AQ1600" s="112" t="s">
        <v>276</v>
      </c>
      <c r="AR1600" s="112" t="s">
        <v>276</v>
      </c>
      <c r="AS1600" s="121">
        <f t="shared" si="457"/>
        <v>0.1165493175009084</v>
      </c>
      <c r="AT1600" s="112" t="s">
        <v>276</v>
      </c>
      <c r="AU1600" s="112" t="s">
        <v>276</v>
      </c>
      <c r="AV1600" s="112" t="s">
        <v>269</v>
      </c>
      <c r="AW1600" s="112" t="s">
        <v>276</v>
      </c>
      <c r="AX1600" s="207">
        <f t="shared" si="458"/>
        <v>0.52692275272442646</v>
      </c>
      <c r="AY1600" s="112" t="s">
        <v>276</v>
      </c>
      <c r="AZ1600" s="112" t="s">
        <v>276</v>
      </c>
      <c r="BA1600" s="112" t="s">
        <v>276</v>
      </c>
      <c r="BB1600" s="112" t="s">
        <v>282</v>
      </c>
      <c r="BC1600" s="112" t="s">
        <v>98</v>
      </c>
      <c r="BD1600" s="112" t="s">
        <v>98</v>
      </c>
      <c r="BE1600" s="112" t="s">
        <v>98</v>
      </c>
      <c r="BF1600" s="113" t="s">
        <v>1020</v>
      </c>
      <c r="BG1600" s="113"/>
      <c r="BH1600" s="9" t="s">
        <v>100</v>
      </c>
      <c r="BI1600" s="9" t="s">
        <v>100</v>
      </c>
      <c r="BJ1600" s="123"/>
      <c r="BN1600" s="123"/>
      <c r="BO1600" s="123"/>
    </row>
    <row r="1601" spans="1:67" s="110" customFormat="1" ht="65" hidden="1" x14ac:dyDescent="0.35">
      <c r="A1601" s="94">
        <v>5202</v>
      </c>
      <c r="B1601" s="94" t="s">
        <v>9964</v>
      </c>
      <c r="C1601" s="95" t="s">
        <v>9266</v>
      </c>
      <c r="D1601" s="346" t="s">
        <v>11543</v>
      </c>
      <c r="E1601" s="94" t="s">
        <v>35</v>
      </c>
      <c r="F1601" s="94" t="s">
        <v>97</v>
      </c>
      <c r="G1601" s="94" t="s">
        <v>225</v>
      </c>
      <c r="H1601" s="94" t="s">
        <v>125</v>
      </c>
      <c r="I1601" s="94" t="s">
        <v>114</v>
      </c>
      <c r="J1601" s="95" t="s">
        <v>31</v>
      </c>
      <c r="K1601" s="415" t="s">
        <v>3924</v>
      </c>
      <c r="L1601" s="94" t="s">
        <v>4151</v>
      </c>
      <c r="M1601" s="94" t="s">
        <v>300</v>
      </c>
      <c r="N1601" s="95" t="s">
        <v>9966</v>
      </c>
      <c r="O1601" s="95" t="s">
        <v>276</v>
      </c>
      <c r="P1601" s="95" t="s">
        <v>239</v>
      </c>
      <c r="Q1601" s="140">
        <v>30559</v>
      </c>
      <c r="R1601" s="95" t="s">
        <v>98</v>
      </c>
      <c r="S1601" s="95" t="s">
        <v>9967</v>
      </c>
      <c r="T1601" s="95" t="s">
        <v>9977</v>
      </c>
      <c r="U1601" s="163" t="s">
        <v>1191</v>
      </c>
      <c r="V1601" s="94" t="s">
        <v>15</v>
      </c>
      <c r="W1601" s="94" t="s">
        <v>9254</v>
      </c>
      <c r="X1601" s="95" t="s">
        <v>207</v>
      </c>
      <c r="Y1601" s="107">
        <v>39034</v>
      </c>
      <c r="Z1601" s="99">
        <v>37936</v>
      </c>
      <c r="AA1601" s="95" t="s">
        <v>276</v>
      </c>
      <c r="AB1601" s="95" t="s">
        <v>276</v>
      </c>
      <c r="AC1601" s="94">
        <v>0</v>
      </c>
      <c r="AD1601" s="94" t="s">
        <v>3921</v>
      </c>
      <c r="AE1601" s="94">
        <v>0</v>
      </c>
      <c r="AF1601" s="94" t="s">
        <v>3921</v>
      </c>
      <c r="AG1601" s="346" t="s">
        <v>11544</v>
      </c>
      <c r="AH1601" s="95" t="s">
        <v>9979</v>
      </c>
      <c r="AI1601" s="99">
        <f>68+9</f>
        <v>77</v>
      </c>
      <c r="AJ1601" s="99">
        <f>103+17</f>
        <v>120</v>
      </c>
      <c r="AK1601" s="107">
        <v>146550</v>
      </c>
      <c r="AL1601" s="99">
        <v>145861</v>
      </c>
      <c r="AM1601" s="99" t="s">
        <v>425</v>
      </c>
      <c r="AN1601" s="94" t="s">
        <v>276</v>
      </c>
      <c r="AO1601" s="102">
        <f t="shared" si="456"/>
        <v>0.52541794609348347</v>
      </c>
      <c r="AP1601" s="94" t="s">
        <v>276</v>
      </c>
      <c r="AQ1601" s="94" t="s">
        <v>276</v>
      </c>
      <c r="AR1601" s="94" t="s">
        <v>276</v>
      </c>
      <c r="AS1601" s="102">
        <f t="shared" si="457"/>
        <v>0.82270106471229454</v>
      </c>
      <c r="AT1601" s="94" t="s">
        <v>276</v>
      </c>
      <c r="AU1601" s="94" t="s">
        <v>276</v>
      </c>
      <c r="AV1601" s="94" t="s">
        <v>269</v>
      </c>
      <c r="AW1601" s="94" t="s">
        <v>276</v>
      </c>
      <c r="AX1601" s="101">
        <f t="shared" si="458"/>
        <v>0.63864989195951327</v>
      </c>
      <c r="AY1601" s="94" t="s">
        <v>276</v>
      </c>
      <c r="AZ1601" s="94" t="s">
        <v>276</v>
      </c>
      <c r="BA1601" s="94" t="s">
        <v>276</v>
      </c>
      <c r="BB1601" s="94" t="s">
        <v>282</v>
      </c>
      <c r="BC1601" s="94" t="s">
        <v>98</v>
      </c>
      <c r="BD1601" s="94" t="s">
        <v>98</v>
      </c>
      <c r="BE1601" s="94" t="s">
        <v>98</v>
      </c>
      <c r="BF1601" s="95" t="s">
        <v>1020</v>
      </c>
      <c r="BG1601" s="95"/>
      <c r="BH1601" s="9" t="s">
        <v>100</v>
      </c>
      <c r="BI1601" s="9" t="s">
        <v>100</v>
      </c>
      <c r="BJ1601" s="109"/>
      <c r="BN1601" s="109"/>
      <c r="BO1601" s="109"/>
    </row>
    <row r="1602" spans="1:67" s="110" customFormat="1" ht="65" hidden="1" x14ac:dyDescent="0.35">
      <c r="A1602" s="94">
        <v>5202</v>
      </c>
      <c r="B1602" s="94" t="s">
        <v>9964</v>
      </c>
      <c r="C1602" s="95" t="s">
        <v>9266</v>
      </c>
      <c r="D1602" s="346" t="s">
        <v>11545</v>
      </c>
      <c r="E1602" s="94" t="s">
        <v>35</v>
      </c>
      <c r="F1602" s="94" t="s">
        <v>97</v>
      </c>
      <c r="G1602" s="94" t="s">
        <v>225</v>
      </c>
      <c r="H1602" s="94" t="s">
        <v>125</v>
      </c>
      <c r="I1602" s="94" t="s">
        <v>114</v>
      </c>
      <c r="J1602" s="95" t="s">
        <v>31</v>
      </c>
      <c r="K1602" s="415" t="s">
        <v>3924</v>
      </c>
      <c r="L1602" s="94" t="s">
        <v>4151</v>
      </c>
      <c r="M1602" s="94" t="s">
        <v>300</v>
      </c>
      <c r="N1602" s="95" t="s">
        <v>9966</v>
      </c>
      <c r="O1602" s="95" t="s">
        <v>276</v>
      </c>
      <c r="P1602" s="95" t="s">
        <v>235</v>
      </c>
      <c r="Q1602" s="140">
        <v>30559</v>
      </c>
      <c r="R1602" s="95" t="s">
        <v>98</v>
      </c>
      <c r="S1602" s="95" t="s">
        <v>9967</v>
      </c>
      <c r="T1602" s="95" t="s">
        <v>9977</v>
      </c>
      <c r="U1602" s="163" t="s">
        <v>1191</v>
      </c>
      <c r="V1602" s="94" t="s">
        <v>15</v>
      </c>
      <c r="W1602" s="94" t="s">
        <v>9254</v>
      </c>
      <c r="X1602" s="95" t="s">
        <v>207</v>
      </c>
      <c r="Y1602" s="107" t="s">
        <v>98</v>
      </c>
      <c r="Z1602" s="95" t="s">
        <v>98</v>
      </c>
      <c r="AA1602" s="95" t="s">
        <v>276</v>
      </c>
      <c r="AB1602" s="95" t="s">
        <v>276</v>
      </c>
      <c r="AC1602" s="94">
        <v>0</v>
      </c>
      <c r="AD1602" s="94" t="s">
        <v>3921</v>
      </c>
      <c r="AE1602" s="94">
        <v>0</v>
      </c>
      <c r="AF1602" s="94" t="s">
        <v>3921</v>
      </c>
      <c r="AG1602" s="346" t="s">
        <v>11546</v>
      </c>
      <c r="AH1602" s="95" t="s">
        <v>9991</v>
      </c>
      <c r="AI1602" s="99">
        <f>68+9</f>
        <v>77</v>
      </c>
      <c r="AJ1602" s="99">
        <f>103+17</f>
        <v>120</v>
      </c>
      <c r="AK1602" s="107">
        <v>372</v>
      </c>
      <c r="AL1602" s="99">
        <v>272</v>
      </c>
      <c r="AM1602" s="99" t="s">
        <v>292</v>
      </c>
      <c r="AN1602" s="94">
        <v>21</v>
      </c>
      <c r="AO1602" s="102">
        <f>AI1602*100/AK1602</f>
        <v>20.698924731182796</v>
      </c>
      <c r="AP1602" s="94" t="s">
        <v>276</v>
      </c>
      <c r="AQ1602" s="94" t="s">
        <v>276</v>
      </c>
      <c r="AR1602" s="94">
        <v>44</v>
      </c>
      <c r="AS1602" s="102">
        <f>AJ1602*100/AL1602</f>
        <v>44.117647058823529</v>
      </c>
      <c r="AT1602" s="94" t="s">
        <v>276</v>
      </c>
      <c r="AU1602" s="94" t="s">
        <v>276</v>
      </c>
      <c r="AV1602" s="94" t="s">
        <v>268</v>
      </c>
      <c r="AW1602" s="94" t="s">
        <v>276</v>
      </c>
      <c r="AX1602" s="101">
        <f t="shared" si="458"/>
        <v>0.46917562724014339</v>
      </c>
      <c r="AY1602" s="94" t="s">
        <v>276</v>
      </c>
      <c r="AZ1602" s="94" t="s">
        <v>276</v>
      </c>
      <c r="BA1602" s="94" t="s">
        <v>276</v>
      </c>
      <c r="BB1602" s="94" t="s">
        <v>282</v>
      </c>
      <c r="BC1602" s="94" t="s">
        <v>98</v>
      </c>
      <c r="BD1602" s="94" t="s">
        <v>98</v>
      </c>
      <c r="BE1602" s="94" t="s">
        <v>98</v>
      </c>
      <c r="BF1602" s="95" t="s">
        <v>9992</v>
      </c>
      <c r="BG1602" s="95"/>
      <c r="BH1602" s="9" t="s">
        <v>100</v>
      </c>
      <c r="BI1602" s="9" t="s">
        <v>100</v>
      </c>
      <c r="BJ1602" s="109"/>
      <c r="BN1602" s="109"/>
      <c r="BO1602" s="109"/>
    </row>
    <row r="1603" spans="1:67" s="124" customFormat="1" ht="65" hidden="1" x14ac:dyDescent="0.35">
      <c r="A1603" s="112">
        <v>5202</v>
      </c>
      <c r="B1603" s="112" t="s">
        <v>9964</v>
      </c>
      <c r="C1603" s="113" t="s">
        <v>9266</v>
      </c>
      <c r="D1603" s="113" t="s">
        <v>9993</v>
      </c>
      <c r="E1603" s="112" t="s">
        <v>35</v>
      </c>
      <c r="F1603" s="112" t="s">
        <v>97</v>
      </c>
      <c r="G1603" s="112" t="s">
        <v>225</v>
      </c>
      <c r="H1603" s="112" t="s">
        <v>125</v>
      </c>
      <c r="I1603" s="112" t="s">
        <v>114</v>
      </c>
      <c r="J1603" s="113" t="s">
        <v>117</v>
      </c>
      <c r="K1603" s="112" t="s">
        <v>3836</v>
      </c>
      <c r="L1603" s="112" t="s">
        <v>4151</v>
      </c>
      <c r="M1603" s="112" t="s">
        <v>300</v>
      </c>
      <c r="N1603" s="113" t="s">
        <v>9966</v>
      </c>
      <c r="O1603" s="113" t="s">
        <v>276</v>
      </c>
      <c r="P1603" s="113" t="s">
        <v>239</v>
      </c>
      <c r="Q1603" s="142">
        <v>30559</v>
      </c>
      <c r="R1603" s="113" t="s">
        <v>98</v>
      </c>
      <c r="S1603" s="113" t="s">
        <v>9967</v>
      </c>
      <c r="T1603" s="113" t="s">
        <v>9977</v>
      </c>
      <c r="U1603" s="162" t="s">
        <v>1191</v>
      </c>
      <c r="V1603" s="112" t="s">
        <v>15</v>
      </c>
      <c r="W1603" s="112" t="s">
        <v>9254</v>
      </c>
      <c r="X1603" s="113" t="s">
        <v>207</v>
      </c>
      <c r="Y1603" s="120">
        <v>39034</v>
      </c>
      <c r="Z1603" s="119">
        <v>37936</v>
      </c>
      <c r="AA1603" s="113" t="s">
        <v>276</v>
      </c>
      <c r="AB1603" s="113" t="s">
        <v>276</v>
      </c>
      <c r="AC1603" s="112">
        <v>7</v>
      </c>
      <c r="AD1603" s="113" t="s">
        <v>9994</v>
      </c>
      <c r="AE1603" s="112">
        <v>19</v>
      </c>
      <c r="AF1603" s="113" t="s">
        <v>9994</v>
      </c>
      <c r="AG1603" s="113" t="s">
        <v>9995</v>
      </c>
      <c r="AH1603" s="113" t="s">
        <v>9979</v>
      </c>
      <c r="AI1603" s="119">
        <v>75</v>
      </c>
      <c r="AJ1603" s="119">
        <v>110</v>
      </c>
      <c r="AK1603" s="120">
        <v>146550</v>
      </c>
      <c r="AL1603" s="119">
        <v>145861</v>
      </c>
      <c r="AM1603" s="119" t="s">
        <v>425</v>
      </c>
      <c r="AN1603" s="112" t="s">
        <v>276</v>
      </c>
      <c r="AO1603" s="121">
        <f>AI1603*1000/AK1603</f>
        <v>0.51177072671443191</v>
      </c>
      <c r="AP1603" s="112" t="s">
        <v>276</v>
      </c>
      <c r="AQ1603" s="112" t="s">
        <v>276</v>
      </c>
      <c r="AR1603" s="112" t="s">
        <v>276</v>
      </c>
      <c r="AS1603" s="121">
        <f>AJ1603*1000/AL1603</f>
        <v>0.75414264265293673</v>
      </c>
      <c r="AT1603" s="112" t="s">
        <v>276</v>
      </c>
      <c r="AU1603" s="112" t="s">
        <v>276</v>
      </c>
      <c r="AV1603" s="112" t="s">
        <v>269</v>
      </c>
      <c r="AW1603" s="112" t="s">
        <v>276</v>
      </c>
      <c r="AX1603" s="207">
        <f t="shared" si="458"/>
        <v>0.67861263608448863</v>
      </c>
      <c r="AY1603" s="112" t="s">
        <v>276</v>
      </c>
      <c r="AZ1603" s="112" t="s">
        <v>276</v>
      </c>
      <c r="BA1603" s="112" t="s">
        <v>276</v>
      </c>
      <c r="BB1603" s="112" t="s">
        <v>282</v>
      </c>
      <c r="BC1603" s="112" t="s">
        <v>98</v>
      </c>
      <c r="BD1603" s="112" t="s">
        <v>98</v>
      </c>
      <c r="BE1603" s="112" t="s">
        <v>98</v>
      </c>
      <c r="BF1603" s="113" t="s">
        <v>3834</v>
      </c>
      <c r="BG1603" s="113"/>
      <c r="BH1603" s="9" t="s">
        <v>100</v>
      </c>
      <c r="BI1603" s="9" t="s">
        <v>100</v>
      </c>
      <c r="BJ1603" s="123"/>
      <c r="BN1603" s="123"/>
      <c r="BO1603" s="123"/>
    </row>
    <row r="1604" spans="1:67" s="124" customFormat="1" ht="65" hidden="1" x14ac:dyDescent="0.35">
      <c r="A1604" s="112">
        <v>5202</v>
      </c>
      <c r="B1604" s="112" t="s">
        <v>9964</v>
      </c>
      <c r="C1604" s="113" t="s">
        <v>9266</v>
      </c>
      <c r="D1604" s="113" t="s">
        <v>9996</v>
      </c>
      <c r="E1604" s="112" t="s">
        <v>35</v>
      </c>
      <c r="F1604" s="112" t="s">
        <v>97</v>
      </c>
      <c r="G1604" s="112" t="s">
        <v>225</v>
      </c>
      <c r="H1604" s="112" t="s">
        <v>125</v>
      </c>
      <c r="I1604" s="112" t="s">
        <v>114</v>
      </c>
      <c r="J1604" s="113" t="s">
        <v>117</v>
      </c>
      <c r="K1604" s="112" t="s">
        <v>3836</v>
      </c>
      <c r="L1604" s="112" t="s">
        <v>4151</v>
      </c>
      <c r="M1604" s="112" t="s">
        <v>300</v>
      </c>
      <c r="N1604" s="113" t="s">
        <v>9966</v>
      </c>
      <c r="O1604" s="113" t="s">
        <v>276</v>
      </c>
      <c r="P1604" s="113" t="s">
        <v>235</v>
      </c>
      <c r="Q1604" s="142">
        <v>30559</v>
      </c>
      <c r="R1604" s="113" t="s">
        <v>98</v>
      </c>
      <c r="S1604" s="113" t="s">
        <v>9967</v>
      </c>
      <c r="T1604" s="113" t="s">
        <v>9977</v>
      </c>
      <c r="U1604" s="162" t="s">
        <v>1191</v>
      </c>
      <c r="V1604" s="112" t="s">
        <v>15</v>
      </c>
      <c r="W1604" s="112" t="s">
        <v>9254</v>
      </c>
      <c r="X1604" s="113" t="s">
        <v>207</v>
      </c>
      <c r="Y1604" s="120" t="s">
        <v>98</v>
      </c>
      <c r="Z1604" s="113" t="s">
        <v>98</v>
      </c>
      <c r="AA1604" s="113" t="s">
        <v>276</v>
      </c>
      <c r="AB1604" s="113" t="s">
        <v>276</v>
      </c>
      <c r="AC1604" s="112">
        <v>7</v>
      </c>
      <c r="AD1604" s="113" t="s">
        <v>9994</v>
      </c>
      <c r="AE1604" s="112">
        <v>19</v>
      </c>
      <c r="AF1604" s="113" t="s">
        <v>9994</v>
      </c>
      <c r="AG1604" s="113" t="s">
        <v>9995</v>
      </c>
      <c r="AH1604" s="113" t="s">
        <v>9997</v>
      </c>
      <c r="AI1604" s="119">
        <v>75</v>
      </c>
      <c r="AJ1604" s="119">
        <v>110</v>
      </c>
      <c r="AK1604" s="120">
        <v>372</v>
      </c>
      <c r="AL1604" s="119">
        <v>272</v>
      </c>
      <c r="AM1604" s="119" t="s">
        <v>292</v>
      </c>
      <c r="AN1604" s="112">
        <v>20.2</v>
      </c>
      <c r="AO1604" s="121">
        <f>AI1604*100/AK1604</f>
        <v>20.161290322580644</v>
      </c>
      <c r="AP1604" s="112" t="s">
        <v>276</v>
      </c>
      <c r="AQ1604" s="112" t="s">
        <v>276</v>
      </c>
      <c r="AR1604" s="112">
        <v>40.4</v>
      </c>
      <c r="AS1604" s="121">
        <f>AJ1604*100/AL1604</f>
        <v>40.441176470588232</v>
      </c>
      <c r="AT1604" s="112" t="s">
        <v>276</v>
      </c>
      <c r="AU1604" s="112" t="s">
        <v>276</v>
      </c>
      <c r="AV1604" s="112" t="s">
        <v>268</v>
      </c>
      <c r="AW1604" s="112" t="s">
        <v>276</v>
      </c>
      <c r="AX1604" s="207">
        <f t="shared" si="458"/>
        <v>0.49853372434017595</v>
      </c>
      <c r="AY1604" s="112" t="s">
        <v>276</v>
      </c>
      <c r="AZ1604" s="112" t="s">
        <v>276</v>
      </c>
      <c r="BA1604" s="112" t="s">
        <v>276</v>
      </c>
      <c r="BB1604" s="112" t="s">
        <v>282</v>
      </c>
      <c r="BC1604" s="112" t="s">
        <v>98</v>
      </c>
      <c r="BD1604" s="112" t="s">
        <v>98</v>
      </c>
      <c r="BE1604" s="112" t="s">
        <v>98</v>
      </c>
      <c r="BF1604" s="113" t="s">
        <v>3834</v>
      </c>
      <c r="BG1604" s="113"/>
      <c r="BH1604" s="9" t="s">
        <v>100</v>
      </c>
      <c r="BI1604" s="9" t="s">
        <v>100</v>
      </c>
      <c r="BJ1604" s="123"/>
      <c r="BN1604" s="123"/>
      <c r="BO1604" s="123"/>
    </row>
    <row r="1605" spans="1:67" s="110" customFormat="1" ht="65" hidden="1" x14ac:dyDescent="0.35">
      <c r="A1605" s="94">
        <v>5202</v>
      </c>
      <c r="B1605" s="94" t="s">
        <v>9964</v>
      </c>
      <c r="C1605" s="95" t="s">
        <v>9266</v>
      </c>
      <c r="D1605" s="95" t="s">
        <v>9998</v>
      </c>
      <c r="E1605" s="94" t="s">
        <v>35</v>
      </c>
      <c r="F1605" s="94" t="s">
        <v>97</v>
      </c>
      <c r="G1605" s="94" t="s">
        <v>225</v>
      </c>
      <c r="H1605" s="94" t="s">
        <v>125</v>
      </c>
      <c r="I1605" s="94" t="s">
        <v>114</v>
      </c>
      <c r="J1605" s="95" t="s">
        <v>25</v>
      </c>
      <c r="K1605" s="94" t="s">
        <v>1499</v>
      </c>
      <c r="L1605" s="94" t="s">
        <v>4151</v>
      </c>
      <c r="M1605" s="94" t="s">
        <v>300</v>
      </c>
      <c r="N1605" s="95" t="s">
        <v>9966</v>
      </c>
      <c r="O1605" s="95" t="s">
        <v>276</v>
      </c>
      <c r="P1605" s="95" t="s">
        <v>239</v>
      </c>
      <c r="Q1605" s="140">
        <v>31047</v>
      </c>
      <c r="R1605" s="95" t="s">
        <v>9999</v>
      </c>
      <c r="S1605" s="95" t="s">
        <v>10000</v>
      </c>
      <c r="T1605" s="95" t="s">
        <v>10000</v>
      </c>
      <c r="U1605" s="163" t="s">
        <v>1191</v>
      </c>
      <c r="V1605" s="94" t="s">
        <v>15</v>
      </c>
      <c r="W1605" s="94" t="s">
        <v>9254</v>
      </c>
      <c r="X1605" s="95" t="s">
        <v>207</v>
      </c>
      <c r="Y1605" s="107">
        <v>39034</v>
      </c>
      <c r="Z1605" s="99">
        <v>37936</v>
      </c>
      <c r="AA1605" s="95" t="s">
        <v>276</v>
      </c>
      <c r="AB1605" s="95" t="s">
        <v>276</v>
      </c>
      <c r="AC1605" s="94">
        <v>6</v>
      </c>
      <c r="AD1605" s="95" t="s">
        <v>968</v>
      </c>
      <c r="AE1605" s="94">
        <v>4</v>
      </c>
      <c r="AF1605" s="95" t="s">
        <v>968</v>
      </c>
      <c r="AG1605" s="95" t="s">
        <v>10001</v>
      </c>
      <c r="AH1605" s="95" t="s">
        <v>9258</v>
      </c>
      <c r="AI1605" s="99">
        <v>316</v>
      </c>
      <c r="AJ1605" s="99">
        <v>130</v>
      </c>
      <c r="AK1605" s="107">
        <v>39034</v>
      </c>
      <c r="AL1605" s="99">
        <v>37936</v>
      </c>
      <c r="AM1605" s="99" t="s">
        <v>281</v>
      </c>
      <c r="AN1605" s="94">
        <v>8.1</v>
      </c>
      <c r="AO1605" s="102">
        <f>AI1605*1000/AK1605</f>
        <v>8.0955064815289237</v>
      </c>
      <c r="AP1605" s="94" t="s">
        <v>276</v>
      </c>
      <c r="AQ1605" s="94" t="s">
        <v>276</v>
      </c>
      <c r="AR1605" s="94">
        <v>3.4</v>
      </c>
      <c r="AS1605" s="102">
        <f>AJ1605*1000/AL1605</f>
        <v>3.426824124841839</v>
      </c>
      <c r="AT1605" s="94" t="s">
        <v>276</v>
      </c>
      <c r="AU1605" s="94" t="s">
        <v>276</v>
      </c>
      <c r="AV1605" s="94" t="s">
        <v>268</v>
      </c>
      <c r="AW1605" s="94" t="s">
        <v>276</v>
      </c>
      <c r="AX1605" s="101">
        <f t="shared" si="458"/>
        <v>2.3623933375637018</v>
      </c>
      <c r="AY1605" s="94" t="s">
        <v>276</v>
      </c>
      <c r="AZ1605" s="94" t="s">
        <v>276</v>
      </c>
      <c r="BA1605" s="94" t="s">
        <v>276</v>
      </c>
      <c r="BB1605" s="94" t="s">
        <v>282</v>
      </c>
      <c r="BC1605" s="94" t="s">
        <v>98</v>
      </c>
      <c r="BD1605" s="94" t="s">
        <v>98</v>
      </c>
      <c r="BE1605" s="94" t="s">
        <v>98</v>
      </c>
      <c r="BF1605" s="95" t="s">
        <v>696</v>
      </c>
      <c r="BG1605" s="95"/>
      <c r="BH1605" s="9" t="s">
        <v>100</v>
      </c>
      <c r="BI1605" s="9" t="s">
        <v>100</v>
      </c>
      <c r="BJ1605" s="109"/>
      <c r="BN1605" s="109"/>
      <c r="BO1605" s="109"/>
    </row>
    <row r="1606" spans="1:67" s="110" customFormat="1" ht="65" hidden="1" x14ac:dyDescent="0.35">
      <c r="A1606" s="94">
        <v>5202</v>
      </c>
      <c r="B1606" s="94" t="s">
        <v>9964</v>
      </c>
      <c r="C1606" s="95" t="s">
        <v>9266</v>
      </c>
      <c r="D1606" s="95" t="s">
        <v>10002</v>
      </c>
      <c r="E1606" s="94" t="s">
        <v>35</v>
      </c>
      <c r="F1606" s="94" t="s">
        <v>97</v>
      </c>
      <c r="G1606" s="94" t="s">
        <v>225</v>
      </c>
      <c r="H1606" s="94" t="s">
        <v>125</v>
      </c>
      <c r="I1606" s="94" t="s">
        <v>114</v>
      </c>
      <c r="J1606" s="95" t="s">
        <v>25</v>
      </c>
      <c r="K1606" s="94" t="s">
        <v>1510</v>
      </c>
      <c r="L1606" s="94" t="s">
        <v>4151</v>
      </c>
      <c r="M1606" s="94" t="s">
        <v>300</v>
      </c>
      <c r="N1606" s="95" t="s">
        <v>9966</v>
      </c>
      <c r="O1606" s="95" t="s">
        <v>276</v>
      </c>
      <c r="P1606" s="95" t="s">
        <v>239</v>
      </c>
      <c r="Q1606" s="140">
        <v>31047</v>
      </c>
      <c r="R1606" s="95" t="s">
        <v>9999</v>
      </c>
      <c r="S1606" s="95" t="s">
        <v>10000</v>
      </c>
      <c r="T1606" s="95" t="s">
        <v>10000</v>
      </c>
      <c r="U1606" s="163" t="s">
        <v>1191</v>
      </c>
      <c r="V1606" s="94" t="s">
        <v>15</v>
      </c>
      <c r="W1606" s="94" t="s">
        <v>9254</v>
      </c>
      <c r="X1606" s="95" t="s">
        <v>207</v>
      </c>
      <c r="Y1606" s="107">
        <v>39034</v>
      </c>
      <c r="Z1606" s="99">
        <v>37936</v>
      </c>
      <c r="AA1606" s="95" t="s">
        <v>276</v>
      </c>
      <c r="AB1606" s="95" t="s">
        <v>276</v>
      </c>
      <c r="AC1606" s="94">
        <v>6</v>
      </c>
      <c r="AD1606" s="95" t="s">
        <v>968</v>
      </c>
      <c r="AE1606" s="94">
        <v>4</v>
      </c>
      <c r="AF1606" s="95" t="s">
        <v>968</v>
      </c>
      <c r="AG1606" s="95" t="s">
        <v>10003</v>
      </c>
      <c r="AH1606" s="95" t="s">
        <v>9258</v>
      </c>
      <c r="AI1606" s="99">
        <v>153</v>
      </c>
      <c r="AJ1606" s="99">
        <v>163</v>
      </c>
      <c r="AK1606" s="107">
        <v>39034</v>
      </c>
      <c r="AL1606" s="99">
        <v>37936</v>
      </c>
      <c r="AM1606" s="99" t="s">
        <v>281</v>
      </c>
      <c r="AN1606" s="94">
        <v>3.9</v>
      </c>
      <c r="AO1606" s="102">
        <f>AI1606*1000/AK1606</f>
        <v>3.9196597837782448</v>
      </c>
      <c r="AP1606" s="94" t="s">
        <v>276</v>
      </c>
      <c r="AQ1606" s="94" t="s">
        <v>276</v>
      </c>
      <c r="AR1606" s="94">
        <v>4.3</v>
      </c>
      <c r="AS1606" s="102">
        <f>AJ1606*1000/AL1606</f>
        <v>4.2967102488401521</v>
      </c>
      <c r="AT1606" s="94" t="s">
        <v>276</v>
      </c>
      <c r="AU1606" s="94" t="s">
        <v>276</v>
      </c>
      <c r="AV1606" s="94" t="s">
        <v>268</v>
      </c>
      <c r="AW1606" s="94" t="s">
        <v>276</v>
      </c>
      <c r="AX1606" s="101">
        <f t="shared" si="458"/>
        <v>0.91224670894117477</v>
      </c>
      <c r="AY1606" s="94" t="s">
        <v>276</v>
      </c>
      <c r="AZ1606" s="94" t="s">
        <v>276</v>
      </c>
      <c r="BA1606" s="94" t="s">
        <v>276</v>
      </c>
      <c r="BB1606" s="94" t="s">
        <v>282</v>
      </c>
      <c r="BC1606" s="94" t="s">
        <v>98</v>
      </c>
      <c r="BD1606" s="94" t="s">
        <v>98</v>
      </c>
      <c r="BE1606" s="94" t="s">
        <v>98</v>
      </c>
      <c r="BF1606" s="95" t="s">
        <v>696</v>
      </c>
      <c r="BG1606" s="95"/>
      <c r="BH1606" s="9" t="s">
        <v>100</v>
      </c>
      <c r="BI1606" s="9" t="s">
        <v>100</v>
      </c>
      <c r="BJ1606" s="109"/>
      <c r="BN1606" s="109"/>
      <c r="BO1606" s="109"/>
    </row>
    <row r="1607" spans="1:67" s="110" customFormat="1" ht="65" hidden="1" x14ac:dyDescent="0.35">
      <c r="A1607" s="94">
        <v>5202</v>
      </c>
      <c r="B1607" s="94" t="s">
        <v>9964</v>
      </c>
      <c r="C1607" s="95" t="s">
        <v>9266</v>
      </c>
      <c r="D1607" s="95" t="s">
        <v>10004</v>
      </c>
      <c r="E1607" s="94" t="s">
        <v>35</v>
      </c>
      <c r="F1607" s="94" t="s">
        <v>97</v>
      </c>
      <c r="G1607" s="94" t="s">
        <v>225</v>
      </c>
      <c r="H1607" s="94" t="s">
        <v>125</v>
      </c>
      <c r="I1607" s="94" t="s">
        <v>114</v>
      </c>
      <c r="J1607" s="95" t="s">
        <v>25</v>
      </c>
      <c r="K1607" s="94" t="s">
        <v>1519</v>
      </c>
      <c r="L1607" s="94" t="s">
        <v>4151</v>
      </c>
      <c r="M1607" s="94" t="s">
        <v>300</v>
      </c>
      <c r="N1607" s="95" t="s">
        <v>9966</v>
      </c>
      <c r="O1607" s="95" t="s">
        <v>276</v>
      </c>
      <c r="P1607" s="95" t="s">
        <v>239</v>
      </c>
      <c r="Q1607" s="140">
        <v>31047</v>
      </c>
      <c r="R1607" s="95" t="s">
        <v>9999</v>
      </c>
      <c r="S1607" s="95" t="s">
        <v>10000</v>
      </c>
      <c r="T1607" s="95" t="s">
        <v>10000</v>
      </c>
      <c r="U1607" s="163" t="s">
        <v>1191</v>
      </c>
      <c r="V1607" s="94" t="s">
        <v>15</v>
      </c>
      <c r="W1607" s="94" t="s">
        <v>9254</v>
      </c>
      <c r="X1607" s="95" t="s">
        <v>207</v>
      </c>
      <c r="Y1607" s="107">
        <v>39034</v>
      </c>
      <c r="Z1607" s="99">
        <v>37936</v>
      </c>
      <c r="AA1607" s="95" t="s">
        <v>276</v>
      </c>
      <c r="AB1607" s="95" t="s">
        <v>276</v>
      </c>
      <c r="AC1607" s="94">
        <v>6</v>
      </c>
      <c r="AD1607" s="95" t="s">
        <v>968</v>
      </c>
      <c r="AE1607" s="94">
        <v>4</v>
      </c>
      <c r="AF1607" s="95" t="s">
        <v>968</v>
      </c>
      <c r="AG1607" s="95" t="s">
        <v>10005</v>
      </c>
      <c r="AH1607" s="95" t="s">
        <v>9258</v>
      </c>
      <c r="AI1607" s="99">
        <v>28</v>
      </c>
      <c r="AJ1607" s="99">
        <v>62</v>
      </c>
      <c r="AK1607" s="107">
        <v>39034</v>
      </c>
      <c r="AL1607" s="99">
        <v>37936</v>
      </c>
      <c r="AM1607" s="99" t="s">
        <v>281</v>
      </c>
      <c r="AN1607" s="94">
        <v>0.7</v>
      </c>
      <c r="AO1607" s="102">
        <f>AI1607*1000/AK1607</f>
        <v>0.71732335912281597</v>
      </c>
      <c r="AP1607" s="94" t="s">
        <v>276</v>
      </c>
      <c r="AQ1607" s="94" t="s">
        <v>276</v>
      </c>
      <c r="AR1607" s="94">
        <v>1.6</v>
      </c>
      <c r="AS1607" s="102">
        <f>AJ1607*1000/AL1607</f>
        <v>1.6343315056938001</v>
      </c>
      <c r="AT1607" s="94" t="s">
        <v>276</v>
      </c>
      <c r="AU1607" s="94" t="s">
        <v>276</v>
      </c>
      <c r="AV1607" s="94" t="s">
        <v>268</v>
      </c>
      <c r="AW1607" s="94" t="s">
        <v>276</v>
      </c>
      <c r="AX1607" s="101">
        <f t="shared" si="458"/>
        <v>0.43890933793037334</v>
      </c>
      <c r="AY1607" s="94" t="s">
        <v>276</v>
      </c>
      <c r="AZ1607" s="94" t="s">
        <v>276</v>
      </c>
      <c r="BA1607" s="94" t="s">
        <v>431</v>
      </c>
      <c r="BB1607" s="94" t="s">
        <v>282</v>
      </c>
      <c r="BC1607" s="94" t="s">
        <v>98</v>
      </c>
      <c r="BD1607" s="94" t="s">
        <v>98</v>
      </c>
      <c r="BE1607" s="94" t="s">
        <v>98</v>
      </c>
      <c r="BF1607" s="95" t="s">
        <v>10006</v>
      </c>
      <c r="BG1607" s="95"/>
      <c r="BH1607" s="9" t="s">
        <v>100</v>
      </c>
      <c r="BI1607" s="9" t="s">
        <v>100</v>
      </c>
      <c r="BJ1607" s="109"/>
      <c r="BN1607" s="109"/>
      <c r="BO1607" s="109"/>
    </row>
    <row r="1608" spans="1:67" s="110" customFormat="1" ht="65" hidden="1" x14ac:dyDescent="0.35">
      <c r="A1608" s="94">
        <v>5202</v>
      </c>
      <c r="B1608" s="94" t="s">
        <v>9964</v>
      </c>
      <c r="C1608" s="95" t="s">
        <v>9266</v>
      </c>
      <c r="D1608" s="95" t="s">
        <v>10007</v>
      </c>
      <c r="E1608" s="94" t="s">
        <v>35</v>
      </c>
      <c r="F1608" s="94" t="s">
        <v>97</v>
      </c>
      <c r="G1608" s="94" t="s">
        <v>225</v>
      </c>
      <c r="H1608" s="94" t="s">
        <v>125</v>
      </c>
      <c r="I1608" s="94" t="s">
        <v>114</v>
      </c>
      <c r="J1608" s="95" t="s">
        <v>25</v>
      </c>
      <c r="K1608" s="94" t="s">
        <v>7801</v>
      </c>
      <c r="L1608" s="94" t="s">
        <v>4151</v>
      </c>
      <c r="M1608" s="94" t="s">
        <v>300</v>
      </c>
      <c r="N1608" s="95" t="s">
        <v>9966</v>
      </c>
      <c r="O1608" s="95" t="s">
        <v>276</v>
      </c>
      <c r="P1608" s="95" t="s">
        <v>239</v>
      </c>
      <c r="Q1608" s="140">
        <v>31047</v>
      </c>
      <c r="R1608" s="95" t="s">
        <v>9999</v>
      </c>
      <c r="S1608" s="95" t="s">
        <v>10000</v>
      </c>
      <c r="T1608" s="95" t="s">
        <v>10000</v>
      </c>
      <c r="U1608" s="163" t="s">
        <v>1191</v>
      </c>
      <c r="V1608" s="94" t="s">
        <v>15</v>
      </c>
      <c r="W1608" s="94" t="s">
        <v>9254</v>
      </c>
      <c r="X1608" s="95" t="s">
        <v>207</v>
      </c>
      <c r="Y1608" s="107">
        <v>39034</v>
      </c>
      <c r="Z1608" s="99">
        <v>37936</v>
      </c>
      <c r="AA1608" s="95" t="s">
        <v>276</v>
      </c>
      <c r="AB1608" s="95" t="s">
        <v>276</v>
      </c>
      <c r="AC1608" s="94">
        <v>6</v>
      </c>
      <c r="AD1608" s="95" t="s">
        <v>968</v>
      </c>
      <c r="AE1608" s="94">
        <v>4</v>
      </c>
      <c r="AF1608" s="95" t="s">
        <v>968</v>
      </c>
      <c r="AG1608" s="95" t="s">
        <v>10008</v>
      </c>
      <c r="AH1608" s="95" t="s">
        <v>9258</v>
      </c>
      <c r="AI1608" s="99">
        <v>181</v>
      </c>
      <c r="AJ1608" s="99">
        <v>225</v>
      </c>
      <c r="AK1608" s="107">
        <v>39034</v>
      </c>
      <c r="AL1608" s="99">
        <v>37936</v>
      </c>
      <c r="AM1608" s="99" t="s">
        <v>281</v>
      </c>
      <c r="AN1608" s="94">
        <v>4.5999999999999996</v>
      </c>
      <c r="AO1608" s="102">
        <f>AI1608*1000/AK1608</f>
        <v>4.6369831429010606</v>
      </c>
      <c r="AP1608" s="94" t="s">
        <v>276</v>
      </c>
      <c r="AQ1608" s="94" t="s">
        <v>276</v>
      </c>
      <c r="AR1608" s="94">
        <v>5.9</v>
      </c>
      <c r="AS1608" s="102">
        <f>AJ1608*1000/AL1608</f>
        <v>5.9310417545339522</v>
      </c>
      <c r="AT1608" s="94" t="s">
        <v>276</v>
      </c>
      <c r="AU1608" s="94" t="s">
        <v>276</v>
      </c>
      <c r="AV1608" s="94" t="s">
        <v>268</v>
      </c>
      <c r="AW1608" s="94" t="s">
        <v>276</v>
      </c>
      <c r="AX1608" s="101">
        <f t="shared" si="458"/>
        <v>0.7818159667070872</v>
      </c>
      <c r="AY1608" s="94" t="s">
        <v>276</v>
      </c>
      <c r="AZ1608" s="94" t="s">
        <v>276</v>
      </c>
      <c r="BA1608" s="94" t="s">
        <v>844</v>
      </c>
      <c r="BB1608" s="94" t="s">
        <v>282</v>
      </c>
      <c r="BC1608" s="94" t="s">
        <v>98</v>
      </c>
      <c r="BD1608" s="94" t="s">
        <v>98</v>
      </c>
      <c r="BE1608" s="94" t="s">
        <v>98</v>
      </c>
      <c r="BF1608" s="95" t="s">
        <v>10009</v>
      </c>
      <c r="BG1608" s="95"/>
      <c r="BH1608" s="9" t="s">
        <v>100</v>
      </c>
      <c r="BI1608" s="9" t="s">
        <v>100</v>
      </c>
      <c r="BJ1608" s="109"/>
      <c r="BN1608" s="109"/>
      <c r="BO1608" s="109"/>
    </row>
    <row r="1609" spans="1:67" s="110" customFormat="1" ht="65" hidden="1" x14ac:dyDescent="0.35">
      <c r="A1609" s="94">
        <v>5202</v>
      </c>
      <c r="B1609" s="94" t="s">
        <v>9964</v>
      </c>
      <c r="C1609" s="95" t="s">
        <v>9266</v>
      </c>
      <c r="D1609" s="95" t="s">
        <v>10010</v>
      </c>
      <c r="E1609" s="94" t="s">
        <v>35</v>
      </c>
      <c r="F1609" s="94" t="s">
        <v>97</v>
      </c>
      <c r="G1609" s="94" t="s">
        <v>225</v>
      </c>
      <c r="H1609" s="94" t="s">
        <v>125</v>
      </c>
      <c r="I1609" s="94" t="s">
        <v>114</v>
      </c>
      <c r="J1609" s="95" t="s">
        <v>25</v>
      </c>
      <c r="K1609" s="94" t="s">
        <v>7801</v>
      </c>
      <c r="L1609" s="94" t="s">
        <v>4151</v>
      </c>
      <c r="M1609" s="94" t="s">
        <v>300</v>
      </c>
      <c r="N1609" s="95" t="s">
        <v>9966</v>
      </c>
      <c r="O1609" s="95" t="s">
        <v>276</v>
      </c>
      <c r="P1609" s="95" t="s">
        <v>235</v>
      </c>
      <c r="Q1609" s="140">
        <v>31047</v>
      </c>
      <c r="R1609" s="95" t="s">
        <v>9999</v>
      </c>
      <c r="S1609" s="95" t="s">
        <v>10000</v>
      </c>
      <c r="T1609" s="95" t="s">
        <v>10000</v>
      </c>
      <c r="U1609" s="163" t="s">
        <v>1191</v>
      </c>
      <c r="V1609" s="94" t="s">
        <v>15</v>
      </c>
      <c r="W1609" s="94" t="s">
        <v>9254</v>
      </c>
      <c r="X1609" s="95" t="s">
        <v>207</v>
      </c>
      <c r="Y1609" s="107" t="s">
        <v>98</v>
      </c>
      <c r="Z1609" s="99" t="s">
        <v>98</v>
      </c>
      <c r="AA1609" s="95" t="s">
        <v>276</v>
      </c>
      <c r="AB1609" s="95" t="s">
        <v>276</v>
      </c>
      <c r="AC1609" s="94">
        <v>6</v>
      </c>
      <c r="AD1609" s="95" t="s">
        <v>968</v>
      </c>
      <c r="AE1609" s="94">
        <v>4</v>
      </c>
      <c r="AF1609" s="95" t="s">
        <v>968</v>
      </c>
      <c r="AG1609" s="95" t="s">
        <v>10008</v>
      </c>
      <c r="AH1609" s="95" t="s">
        <v>10011</v>
      </c>
      <c r="AI1609" s="99">
        <v>181</v>
      </c>
      <c r="AJ1609" s="99">
        <v>225</v>
      </c>
      <c r="AK1609" s="107">
        <v>503</v>
      </c>
      <c r="AL1609" s="99">
        <v>359</v>
      </c>
      <c r="AM1609" s="99" t="s">
        <v>292</v>
      </c>
      <c r="AN1609" s="94" t="s">
        <v>276</v>
      </c>
      <c r="AO1609" s="102">
        <f>AI1609*100/AK1609</f>
        <v>35.984095427435385</v>
      </c>
      <c r="AP1609" s="94" t="s">
        <v>276</v>
      </c>
      <c r="AQ1609" s="94" t="s">
        <v>276</v>
      </c>
      <c r="AR1609" s="94" t="s">
        <v>276</v>
      </c>
      <c r="AS1609" s="102">
        <f>AJ1609*100/AL1609</f>
        <v>62.674094707520894</v>
      </c>
      <c r="AT1609" s="94" t="s">
        <v>276</v>
      </c>
      <c r="AU1609" s="94" t="s">
        <v>276</v>
      </c>
      <c r="AV1609" s="94" t="s">
        <v>268</v>
      </c>
      <c r="AW1609" s="94" t="s">
        <v>276</v>
      </c>
      <c r="AX1609" s="101">
        <f t="shared" si="458"/>
        <v>0.57414623370885787</v>
      </c>
      <c r="AY1609" s="94" t="s">
        <v>276</v>
      </c>
      <c r="AZ1609" s="94" t="s">
        <v>276</v>
      </c>
      <c r="BA1609" s="94" t="s">
        <v>276</v>
      </c>
      <c r="BB1609" s="94" t="s">
        <v>282</v>
      </c>
      <c r="BC1609" s="94" t="s">
        <v>98</v>
      </c>
      <c r="BD1609" s="94" t="s">
        <v>98</v>
      </c>
      <c r="BE1609" s="94" t="s">
        <v>98</v>
      </c>
      <c r="BF1609" s="95" t="s">
        <v>696</v>
      </c>
      <c r="BG1609" s="95"/>
      <c r="BH1609" s="9" t="s">
        <v>100</v>
      </c>
      <c r="BI1609" s="9" t="s">
        <v>100</v>
      </c>
      <c r="BJ1609" s="109"/>
      <c r="BN1609" s="109"/>
      <c r="BO1609" s="109"/>
    </row>
    <row r="1610" spans="1:67" s="124" customFormat="1" ht="65" hidden="1" x14ac:dyDescent="0.35">
      <c r="A1610" s="112">
        <v>5202</v>
      </c>
      <c r="B1610" s="112" t="s">
        <v>9964</v>
      </c>
      <c r="C1610" s="113" t="s">
        <v>9266</v>
      </c>
      <c r="D1610" s="113" t="s">
        <v>10012</v>
      </c>
      <c r="E1610" s="112" t="s">
        <v>35</v>
      </c>
      <c r="F1610" s="112" t="s">
        <v>97</v>
      </c>
      <c r="G1610" s="112" t="s">
        <v>225</v>
      </c>
      <c r="H1610" s="112" t="s">
        <v>125</v>
      </c>
      <c r="I1610" s="112" t="s">
        <v>114</v>
      </c>
      <c r="J1610" s="113" t="s">
        <v>25</v>
      </c>
      <c r="K1610" s="112" t="s">
        <v>1499</v>
      </c>
      <c r="L1610" s="112" t="s">
        <v>4151</v>
      </c>
      <c r="M1610" s="112" t="s">
        <v>300</v>
      </c>
      <c r="N1610" s="113" t="s">
        <v>9966</v>
      </c>
      <c r="O1610" s="113" t="s">
        <v>276</v>
      </c>
      <c r="P1610" s="113" t="s">
        <v>239</v>
      </c>
      <c r="Q1610" s="142">
        <v>31047</v>
      </c>
      <c r="R1610" s="113" t="s">
        <v>9999</v>
      </c>
      <c r="S1610" s="113" t="s">
        <v>10000</v>
      </c>
      <c r="T1610" s="113" t="s">
        <v>10000</v>
      </c>
      <c r="U1610" s="162" t="s">
        <v>1191</v>
      </c>
      <c r="V1610" s="112" t="s">
        <v>15</v>
      </c>
      <c r="W1610" s="112" t="s">
        <v>3032</v>
      </c>
      <c r="X1610" s="113" t="s">
        <v>207</v>
      </c>
      <c r="Y1610" s="120">
        <v>10312</v>
      </c>
      <c r="Z1610" s="119">
        <v>10625</v>
      </c>
      <c r="AA1610" s="113" t="s">
        <v>276</v>
      </c>
      <c r="AB1610" s="113" t="s">
        <v>276</v>
      </c>
      <c r="AC1610" s="112">
        <v>0</v>
      </c>
      <c r="AD1610" s="113" t="s">
        <v>968</v>
      </c>
      <c r="AE1610" s="112">
        <v>0</v>
      </c>
      <c r="AF1610" s="113" t="s">
        <v>968</v>
      </c>
      <c r="AG1610" s="113" t="s">
        <v>10013</v>
      </c>
      <c r="AH1610" s="113" t="s">
        <v>10014</v>
      </c>
      <c r="AI1610" s="119">
        <v>48</v>
      </c>
      <c r="AJ1610" s="119">
        <v>14</v>
      </c>
      <c r="AK1610" s="120">
        <v>10312</v>
      </c>
      <c r="AL1610" s="119">
        <v>10625</v>
      </c>
      <c r="AM1610" s="119" t="s">
        <v>281</v>
      </c>
      <c r="AN1610" s="112" t="s">
        <v>276</v>
      </c>
      <c r="AO1610" s="121">
        <f>AI1610*1000/AK1610</f>
        <v>4.6547711404189291</v>
      </c>
      <c r="AP1610" s="112" t="s">
        <v>276</v>
      </c>
      <c r="AQ1610" s="112" t="s">
        <v>276</v>
      </c>
      <c r="AR1610" s="112" t="s">
        <v>276</v>
      </c>
      <c r="AS1610" s="121">
        <f>AJ1610*1000/AL1610</f>
        <v>1.3176470588235294</v>
      </c>
      <c r="AT1610" s="112" t="s">
        <v>276</v>
      </c>
      <c r="AU1610" s="112" t="s">
        <v>276</v>
      </c>
      <c r="AV1610" s="112" t="s">
        <v>268</v>
      </c>
      <c r="AW1610" s="112" t="s">
        <v>276</v>
      </c>
      <c r="AX1610" s="207">
        <f t="shared" si="458"/>
        <v>3.53263881192508</v>
      </c>
      <c r="AY1610" s="112" t="s">
        <v>276</v>
      </c>
      <c r="AZ1610" s="112" t="s">
        <v>276</v>
      </c>
      <c r="BA1610" s="112" t="s">
        <v>276</v>
      </c>
      <c r="BB1610" s="112" t="s">
        <v>282</v>
      </c>
      <c r="BC1610" s="112" t="s">
        <v>98</v>
      </c>
      <c r="BD1610" s="112" t="s">
        <v>98</v>
      </c>
      <c r="BE1610" s="112" t="s">
        <v>98</v>
      </c>
      <c r="BF1610" s="113" t="s">
        <v>696</v>
      </c>
      <c r="BG1610" s="113"/>
      <c r="BH1610" s="9" t="s">
        <v>100</v>
      </c>
      <c r="BI1610" s="9" t="s">
        <v>100</v>
      </c>
      <c r="BJ1610" s="123"/>
      <c r="BN1610" s="123"/>
      <c r="BO1610" s="123"/>
    </row>
    <row r="1611" spans="1:67" s="124" customFormat="1" ht="65" hidden="1" x14ac:dyDescent="0.35">
      <c r="A1611" s="112">
        <v>5202</v>
      </c>
      <c r="B1611" s="112" t="s">
        <v>9964</v>
      </c>
      <c r="C1611" s="113" t="s">
        <v>9266</v>
      </c>
      <c r="D1611" s="113" t="s">
        <v>10015</v>
      </c>
      <c r="E1611" s="112" t="s">
        <v>35</v>
      </c>
      <c r="F1611" s="112" t="s">
        <v>97</v>
      </c>
      <c r="G1611" s="112" t="s">
        <v>225</v>
      </c>
      <c r="H1611" s="112" t="s">
        <v>125</v>
      </c>
      <c r="I1611" s="112" t="s">
        <v>114</v>
      </c>
      <c r="J1611" s="113" t="s">
        <v>25</v>
      </c>
      <c r="K1611" s="112" t="s">
        <v>1510</v>
      </c>
      <c r="L1611" s="112" t="s">
        <v>4151</v>
      </c>
      <c r="M1611" s="112" t="s">
        <v>300</v>
      </c>
      <c r="N1611" s="113" t="s">
        <v>9966</v>
      </c>
      <c r="O1611" s="113" t="s">
        <v>276</v>
      </c>
      <c r="P1611" s="113" t="s">
        <v>239</v>
      </c>
      <c r="Q1611" s="142">
        <v>31047</v>
      </c>
      <c r="R1611" s="113" t="s">
        <v>9999</v>
      </c>
      <c r="S1611" s="113" t="s">
        <v>10000</v>
      </c>
      <c r="T1611" s="113" t="s">
        <v>10000</v>
      </c>
      <c r="U1611" s="162" t="s">
        <v>1191</v>
      </c>
      <c r="V1611" s="112" t="s">
        <v>15</v>
      </c>
      <c r="W1611" s="112" t="s">
        <v>3032</v>
      </c>
      <c r="X1611" s="113" t="s">
        <v>207</v>
      </c>
      <c r="Y1611" s="120">
        <v>10312</v>
      </c>
      <c r="Z1611" s="119">
        <v>10625</v>
      </c>
      <c r="AA1611" s="113" t="s">
        <v>276</v>
      </c>
      <c r="AB1611" s="113" t="s">
        <v>276</v>
      </c>
      <c r="AC1611" s="112">
        <v>0</v>
      </c>
      <c r="AD1611" s="113" t="s">
        <v>968</v>
      </c>
      <c r="AE1611" s="112">
        <v>0</v>
      </c>
      <c r="AF1611" s="113" t="s">
        <v>968</v>
      </c>
      <c r="AG1611" s="113" t="s">
        <v>10016</v>
      </c>
      <c r="AH1611" s="113" t="s">
        <v>10014</v>
      </c>
      <c r="AI1611" s="119">
        <v>31</v>
      </c>
      <c r="AJ1611" s="119">
        <v>36</v>
      </c>
      <c r="AK1611" s="120">
        <v>10312</v>
      </c>
      <c r="AL1611" s="119">
        <v>10625</v>
      </c>
      <c r="AM1611" s="119" t="s">
        <v>281</v>
      </c>
      <c r="AN1611" s="112" t="s">
        <v>276</v>
      </c>
      <c r="AO1611" s="121">
        <f>AI1611*1000/AK1611</f>
        <v>3.0062063615205585</v>
      </c>
      <c r="AP1611" s="112" t="s">
        <v>276</v>
      </c>
      <c r="AQ1611" s="112" t="s">
        <v>276</v>
      </c>
      <c r="AR1611" s="112" t="s">
        <v>276</v>
      </c>
      <c r="AS1611" s="121">
        <f>AJ1611*1000/AL1611</f>
        <v>3.388235294117647</v>
      </c>
      <c r="AT1611" s="112" t="s">
        <v>276</v>
      </c>
      <c r="AU1611" s="112" t="s">
        <v>276</v>
      </c>
      <c r="AV1611" s="112" t="s">
        <v>268</v>
      </c>
      <c r="AW1611" s="112" t="s">
        <v>276</v>
      </c>
      <c r="AX1611" s="207">
        <f t="shared" si="458"/>
        <v>0.88724840530988713</v>
      </c>
      <c r="AY1611" s="112" t="s">
        <v>276</v>
      </c>
      <c r="AZ1611" s="112" t="s">
        <v>276</v>
      </c>
      <c r="BA1611" s="112" t="s">
        <v>276</v>
      </c>
      <c r="BB1611" s="112" t="s">
        <v>282</v>
      </c>
      <c r="BC1611" s="112" t="s">
        <v>98</v>
      </c>
      <c r="BD1611" s="112" t="s">
        <v>98</v>
      </c>
      <c r="BE1611" s="112" t="s">
        <v>98</v>
      </c>
      <c r="BF1611" s="113" t="s">
        <v>696</v>
      </c>
      <c r="BG1611" s="113"/>
      <c r="BH1611" s="9" t="s">
        <v>100</v>
      </c>
      <c r="BI1611" s="9" t="s">
        <v>100</v>
      </c>
      <c r="BJ1611" s="123"/>
      <c r="BN1611" s="123"/>
      <c r="BO1611" s="123"/>
    </row>
    <row r="1612" spans="1:67" s="124" customFormat="1" ht="65" hidden="1" x14ac:dyDescent="0.35">
      <c r="A1612" s="112">
        <v>5202</v>
      </c>
      <c r="B1612" s="112" t="s">
        <v>9964</v>
      </c>
      <c r="C1612" s="113" t="s">
        <v>9266</v>
      </c>
      <c r="D1612" s="113" t="s">
        <v>10017</v>
      </c>
      <c r="E1612" s="112" t="s">
        <v>35</v>
      </c>
      <c r="F1612" s="112" t="s">
        <v>97</v>
      </c>
      <c r="G1612" s="112" t="s">
        <v>225</v>
      </c>
      <c r="H1612" s="112" t="s">
        <v>125</v>
      </c>
      <c r="I1612" s="112" t="s">
        <v>114</v>
      </c>
      <c r="J1612" s="113" t="s">
        <v>25</v>
      </c>
      <c r="K1612" s="112" t="s">
        <v>1519</v>
      </c>
      <c r="L1612" s="112" t="s">
        <v>4151</v>
      </c>
      <c r="M1612" s="112" t="s">
        <v>300</v>
      </c>
      <c r="N1612" s="113" t="s">
        <v>9966</v>
      </c>
      <c r="O1612" s="113" t="s">
        <v>276</v>
      </c>
      <c r="P1612" s="113" t="s">
        <v>239</v>
      </c>
      <c r="Q1612" s="142">
        <v>31047</v>
      </c>
      <c r="R1612" s="113" t="s">
        <v>9999</v>
      </c>
      <c r="S1612" s="113" t="s">
        <v>10000</v>
      </c>
      <c r="T1612" s="113" t="s">
        <v>10000</v>
      </c>
      <c r="U1612" s="162" t="s">
        <v>1191</v>
      </c>
      <c r="V1612" s="112" t="s">
        <v>15</v>
      </c>
      <c r="W1612" s="112" t="s">
        <v>3032</v>
      </c>
      <c r="X1612" s="113" t="s">
        <v>207</v>
      </c>
      <c r="Y1612" s="120">
        <v>10312</v>
      </c>
      <c r="Z1612" s="119">
        <v>10625</v>
      </c>
      <c r="AA1612" s="113" t="s">
        <v>276</v>
      </c>
      <c r="AB1612" s="113" t="s">
        <v>276</v>
      </c>
      <c r="AC1612" s="112">
        <v>0</v>
      </c>
      <c r="AD1612" s="113" t="s">
        <v>968</v>
      </c>
      <c r="AE1612" s="112">
        <v>0</v>
      </c>
      <c r="AF1612" s="113" t="s">
        <v>968</v>
      </c>
      <c r="AG1612" s="113" t="s">
        <v>10018</v>
      </c>
      <c r="AH1612" s="113" t="s">
        <v>10014</v>
      </c>
      <c r="AI1612" s="119">
        <v>3</v>
      </c>
      <c r="AJ1612" s="119">
        <v>6</v>
      </c>
      <c r="AK1612" s="120">
        <v>10312</v>
      </c>
      <c r="AL1612" s="119">
        <v>10625</v>
      </c>
      <c r="AM1612" s="119" t="s">
        <v>281</v>
      </c>
      <c r="AN1612" s="112" t="s">
        <v>276</v>
      </c>
      <c r="AO1612" s="121">
        <f>AI1612*1000/AK1612</f>
        <v>0.29092319627618307</v>
      </c>
      <c r="AP1612" s="112" t="s">
        <v>276</v>
      </c>
      <c r="AQ1612" s="112" t="s">
        <v>276</v>
      </c>
      <c r="AR1612" s="112" t="s">
        <v>276</v>
      </c>
      <c r="AS1612" s="121">
        <f>AJ1612*1000/AL1612</f>
        <v>0.56470588235294117</v>
      </c>
      <c r="AT1612" s="112" t="s">
        <v>276</v>
      </c>
      <c r="AU1612" s="112" t="s">
        <v>276</v>
      </c>
      <c r="AV1612" s="112" t="s">
        <v>268</v>
      </c>
      <c r="AW1612" s="112" t="s">
        <v>276</v>
      </c>
      <c r="AX1612" s="207">
        <f t="shared" si="458"/>
        <v>0.5151764934057409</v>
      </c>
      <c r="AY1612" s="112" t="s">
        <v>276</v>
      </c>
      <c r="AZ1612" s="112" t="s">
        <v>276</v>
      </c>
      <c r="BA1612" s="112" t="s">
        <v>431</v>
      </c>
      <c r="BB1612" s="112" t="s">
        <v>282</v>
      </c>
      <c r="BC1612" s="112" t="s">
        <v>98</v>
      </c>
      <c r="BD1612" s="112" t="s">
        <v>98</v>
      </c>
      <c r="BE1612" s="112" t="s">
        <v>98</v>
      </c>
      <c r="BF1612" s="113" t="s">
        <v>10006</v>
      </c>
      <c r="BG1612" s="113"/>
      <c r="BH1612" s="9" t="s">
        <v>100</v>
      </c>
      <c r="BI1612" s="9" t="s">
        <v>100</v>
      </c>
      <c r="BJ1612" s="123"/>
      <c r="BN1612" s="123"/>
      <c r="BO1612" s="123"/>
    </row>
    <row r="1613" spans="1:67" s="124" customFormat="1" ht="65" hidden="1" x14ac:dyDescent="0.35">
      <c r="A1613" s="112">
        <v>5202</v>
      </c>
      <c r="B1613" s="112" t="s">
        <v>9964</v>
      </c>
      <c r="C1613" s="113" t="s">
        <v>9266</v>
      </c>
      <c r="D1613" s="113" t="s">
        <v>10019</v>
      </c>
      <c r="E1613" s="112" t="s">
        <v>35</v>
      </c>
      <c r="F1613" s="112" t="s">
        <v>97</v>
      </c>
      <c r="G1613" s="112" t="s">
        <v>225</v>
      </c>
      <c r="H1613" s="112" t="s">
        <v>125</v>
      </c>
      <c r="I1613" s="112" t="s">
        <v>114</v>
      </c>
      <c r="J1613" s="113" t="s">
        <v>25</v>
      </c>
      <c r="K1613" s="112" t="s">
        <v>7801</v>
      </c>
      <c r="L1613" s="112" t="s">
        <v>4151</v>
      </c>
      <c r="M1613" s="112" t="s">
        <v>300</v>
      </c>
      <c r="N1613" s="113" t="s">
        <v>9966</v>
      </c>
      <c r="O1613" s="113" t="s">
        <v>276</v>
      </c>
      <c r="P1613" s="113" t="s">
        <v>239</v>
      </c>
      <c r="Q1613" s="142">
        <v>31047</v>
      </c>
      <c r="R1613" s="113" t="s">
        <v>9999</v>
      </c>
      <c r="S1613" s="113" t="s">
        <v>10000</v>
      </c>
      <c r="T1613" s="113" t="s">
        <v>10000</v>
      </c>
      <c r="U1613" s="162" t="s">
        <v>1191</v>
      </c>
      <c r="V1613" s="112" t="s">
        <v>15</v>
      </c>
      <c r="W1613" s="112" t="s">
        <v>3032</v>
      </c>
      <c r="X1613" s="113" t="s">
        <v>207</v>
      </c>
      <c r="Y1613" s="120">
        <v>10312</v>
      </c>
      <c r="Z1613" s="119">
        <v>10625</v>
      </c>
      <c r="AA1613" s="113" t="s">
        <v>276</v>
      </c>
      <c r="AB1613" s="113" t="s">
        <v>276</v>
      </c>
      <c r="AC1613" s="112">
        <v>0</v>
      </c>
      <c r="AD1613" s="113" t="s">
        <v>968</v>
      </c>
      <c r="AE1613" s="112">
        <v>0</v>
      </c>
      <c r="AF1613" s="113" t="s">
        <v>968</v>
      </c>
      <c r="AG1613" s="113" t="s">
        <v>10020</v>
      </c>
      <c r="AH1613" s="113" t="s">
        <v>10014</v>
      </c>
      <c r="AI1613" s="119">
        <v>34</v>
      </c>
      <c r="AJ1613" s="119">
        <v>42</v>
      </c>
      <c r="AK1613" s="120">
        <v>10312</v>
      </c>
      <c r="AL1613" s="119">
        <v>10625</v>
      </c>
      <c r="AM1613" s="119" t="s">
        <v>281</v>
      </c>
      <c r="AN1613" s="112" t="s">
        <v>276</v>
      </c>
      <c r="AO1613" s="121">
        <f>AI1613*1000/AK1613</f>
        <v>3.2971295577967417</v>
      </c>
      <c r="AP1613" s="112" t="s">
        <v>276</v>
      </c>
      <c r="AQ1613" s="112" t="s">
        <v>276</v>
      </c>
      <c r="AR1613" s="112" t="s">
        <v>276</v>
      </c>
      <c r="AS1613" s="121">
        <f>AJ1613*1000/AL1613</f>
        <v>3.9529411764705884</v>
      </c>
      <c r="AT1613" s="112" t="s">
        <v>276</v>
      </c>
      <c r="AU1613" s="112" t="s">
        <v>276</v>
      </c>
      <c r="AV1613" s="112" t="s">
        <v>268</v>
      </c>
      <c r="AW1613" s="112" t="s">
        <v>276</v>
      </c>
      <c r="AX1613" s="207">
        <f t="shared" si="458"/>
        <v>0.83409527503786618</v>
      </c>
      <c r="AY1613" s="112" t="s">
        <v>276</v>
      </c>
      <c r="AZ1613" s="112" t="s">
        <v>276</v>
      </c>
      <c r="BA1613" s="112" t="s">
        <v>276</v>
      </c>
      <c r="BB1613" s="112" t="s">
        <v>282</v>
      </c>
      <c r="BC1613" s="112" t="s">
        <v>98</v>
      </c>
      <c r="BD1613" s="112" t="s">
        <v>98</v>
      </c>
      <c r="BE1613" s="112" t="s">
        <v>98</v>
      </c>
      <c r="BF1613" s="113" t="s">
        <v>696</v>
      </c>
      <c r="BG1613" s="113"/>
      <c r="BH1613" s="9" t="s">
        <v>100</v>
      </c>
      <c r="BI1613" s="9" t="s">
        <v>100</v>
      </c>
      <c r="BJ1613" s="123"/>
      <c r="BN1613" s="123"/>
      <c r="BO1613" s="123"/>
    </row>
    <row r="1614" spans="1:67" s="124" customFormat="1" ht="65" hidden="1" x14ac:dyDescent="0.35">
      <c r="A1614" s="112">
        <v>5202</v>
      </c>
      <c r="B1614" s="112" t="s">
        <v>9964</v>
      </c>
      <c r="C1614" s="113" t="s">
        <v>9266</v>
      </c>
      <c r="D1614" s="113" t="s">
        <v>10021</v>
      </c>
      <c r="E1614" s="112" t="s">
        <v>35</v>
      </c>
      <c r="F1614" s="112" t="s">
        <v>97</v>
      </c>
      <c r="G1614" s="112" t="s">
        <v>225</v>
      </c>
      <c r="H1614" s="112" t="s">
        <v>125</v>
      </c>
      <c r="I1614" s="112" t="s">
        <v>114</v>
      </c>
      <c r="J1614" s="113" t="s">
        <v>25</v>
      </c>
      <c r="K1614" s="112" t="s">
        <v>7801</v>
      </c>
      <c r="L1614" s="112" t="s">
        <v>4151</v>
      </c>
      <c r="M1614" s="112" t="s">
        <v>300</v>
      </c>
      <c r="N1614" s="113" t="s">
        <v>9966</v>
      </c>
      <c r="O1614" s="113" t="s">
        <v>276</v>
      </c>
      <c r="P1614" s="113" t="s">
        <v>235</v>
      </c>
      <c r="Q1614" s="142">
        <v>31047</v>
      </c>
      <c r="R1614" s="113" t="s">
        <v>9999</v>
      </c>
      <c r="S1614" s="113" t="s">
        <v>10000</v>
      </c>
      <c r="T1614" s="113" t="s">
        <v>10000</v>
      </c>
      <c r="U1614" s="162" t="s">
        <v>1191</v>
      </c>
      <c r="V1614" s="112" t="s">
        <v>15</v>
      </c>
      <c r="W1614" s="112" t="s">
        <v>3032</v>
      </c>
      <c r="X1614" s="113" t="s">
        <v>207</v>
      </c>
      <c r="Y1614" s="120" t="s">
        <v>98</v>
      </c>
      <c r="Z1614" s="119" t="s">
        <v>98</v>
      </c>
      <c r="AA1614" s="113" t="s">
        <v>276</v>
      </c>
      <c r="AB1614" s="113" t="s">
        <v>276</v>
      </c>
      <c r="AC1614" s="112">
        <v>0</v>
      </c>
      <c r="AD1614" s="113" t="s">
        <v>968</v>
      </c>
      <c r="AE1614" s="112">
        <v>0</v>
      </c>
      <c r="AF1614" s="113" t="s">
        <v>968</v>
      </c>
      <c r="AG1614" s="113" t="s">
        <v>10020</v>
      </c>
      <c r="AH1614" s="113" t="s">
        <v>10022</v>
      </c>
      <c r="AI1614" s="119">
        <v>34</v>
      </c>
      <c r="AJ1614" s="119">
        <v>42</v>
      </c>
      <c r="AK1614" s="120">
        <v>82</v>
      </c>
      <c r="AL1614" s="119">
        <v>56</v>
      </c>
      <c r="AM1614" s="119" t="s">
        <v>292</v>
      </c>
      <c r="AN1614" s="112" t="s">
        <v>276</v>
      </c>
      <c r="AO1614" s="121">
        <f>AI1614*100/AK1614</f>
        <v>41.463414634146339</v>
      </c>
      <c r="AP1614" s="112" t="s">
        <v>276</v>
      </c>
      <c r="AQ1614" s="112" t="s">
        <v>276</v>
      </c>
      <c r="AR1614" s="112" t="s">
        <v>276</v>
      </c>
      <c r="AS1614" s="121">
        <f>AJ1614*100/AL1614</f>
        <v>75</v>
      </c>
      <c r="AT1614" s="112" t="s">
        <v>276</v>
      </c>
      <c r="AU1614" s="112" t="s">
        <v>276</v>
      </c>
      <c r="AV1614" s="112" t="s">
        <v>268</v>
      </c>
      <c r="AW1614" s="112" t="s">
        <v>276</v>
      </c>
      <c r="AX1614" s="207">
        <f t="shared" si="458"/>
        <v>0.55284552845528456</v>
      </c>
      <c r="AY1614" s="112" t="s">
        <v>276</v>
      </c>
      <c r="AZ1614" s="112" t="s">
        <v>276</v>
      </c>
      <c r="BA1614" s="112" t="s">
        <v>276</v>
      </c>
      <c r="BB1614" s="112" t="s">
        <v>282</v>
      </c>
      <c r="BC1614" s="112" t="s">
        <v>98</v>
      </c>
      <c r="BD1614" s="112" t="s">
        <v>98</v>
      </c>
      <c r="BE1614" s="112" t="s">
        <v>98</v>
      </c>
      <c r="BF1614" s="113" t="s">
        <v>696</v>
      </c>
      <c r="BG1614" s="113"/>
      <c r="BH1614" s="9" t="s">
        <v>100</v>
      </c>
      <c r="BI1614" s="9" t="s">
        <v>100</v>
      </c>
      <c r="BJ1614" s="123"/>
      <c r="BN1614" s="123"/>
      <c r="BO1614" s="123"/>
    </row>
    <row r="1615" spans="1:67" s="110" customFormat="1" ht="65" hidden="1" x14ac:dyDescent="0.35">
      <c r="A1615" s="94">
        <v>5202</v>
      </c>
      <c r="B1615" s="94" t="s">
        <v>9964</v>
      </c>
      <c r="C1615" s="95" t="s">
        <v>9266</v>
      </c>
      <c r="D1615" s="95" t="s">
        <v>10023</v>
      </c>
      <c r="E1615" s="94" t="s">
        <v>35</v>
      </c>
      <c r="F1615" s="94" t="s">
        <v>97</v>
      </c>
      <c r="G1615" s="94" t="s">
        <v>225</v>
      </c>
      <c r="H1615" s="94" t="s">
        <v>125</v>
      </c>
      <c r="I1615" s="94" t="s">
        <v>114</v>
      </c>
      <c r="J1615" s="95" t="s">
        <v>25</v>
      </c>
      <c r="K1615" s="94" t="s">
        <v>1499</v>
      </c>
      <c r="L1615" s="94" t="s">
        <v>4151</v>
      </c>
      <c r="M1615" s="94" t="s">
        <v>300</v>
      </c>
      <c r="N1615" s="95" t="s">
        <v>9966</v>
      </c>
      <c r="O1615" s="95" t="s">
        <v>276</v>
      </c>
      <c r="P1615" s="95" t="s">
        <v>239</v>
      </c>
      <c r="Q1615" s="140">
        <v>31047</v>
      </c>
      <c r="R1615" s="95" t="s">
        <v>9999</v>
      </c>
      <c r="S1615" s="95" t="s">
        <v>10000</v>
      </c>
      <c r="T1615" s="95" t="s">
        <v>10000</v>
      </c>
      <c r="U1615" s="163" t="s">
        <v>1191</v>
      </c>
      <c r="V1615" s="94" t="s">
        <v>15</v>
      </c>
      <c r="W1615" s="94" t="s">
        <v>3038</v>
      </c>
      <c r="X1615" s="95" t="s">
        <v>207</v>
      </c>
      <c r="Y1615" s="107">
        <v>11918</v>
      </c>
      <c r="Z1615" s="99">
        <v>11416</v>
      </c>
      <c r="AA1615" s="95" t="s">
        <v>276</v>
      </c>
      <c r="AB1615" s="95" t="s">
        <v>276</v>
      </c>
      <c r="AC1615" s="94">
        <v>2</v>
      </c>
      <c r="AD1615" s="95" t="s">
        <v>968</v>
      </c>
      <c r="AE1615" s="94">
        <v>2</v>
      </c>
      <c r="AF1615" s="95" t="s">
        <v>968</v>
      </c>
      <c r="AG1615" s="95" t="s">
        <v>10024</v>
      </c>
      <c r="AH1615" s="95" t="s">
        <v>10025</v>
      </c>
      <c r="AI1615" s="99">
        <v>93</v>
      </c>
      <c r="AJ1615" s="99">
        <v>41</v>
      </c>
      <c r="AK1615" s="107">
        <v>11918</v>
      </c>
      <c r="AL1615" s="99">
        <v>11416</v>
      </c>
      <c r="AM1615" s="99" t="s">
        <v>281</v>
      </c>
      <c r="AN1615" s="94" t="s">
        <v>276</v>
      </c>
      <c r="AO1615" s="102">
        <f>AI1615*1000/AK1615</f>
        <v>7.8033227051518708</v>
      </c>
      <c r="AP1615" s="94" t="s">
        <v>276</v>
      </c>
      <c r="AQ1615" s="94" t="s">
        <v>276</v>
      </c>
      <c r="AR1615" s="94" t="s">
        <v>276</v>
      </c>
      <c r="AS1615" s="102">
        <f>AJ1615*1000/AL1615</f>
        <v>3.5914505956552207</v>
      </c>
      <c r="AT1615" s="94" t="s">
        <v>276</v>
      </c>
      <c r="AU1615" s="94" t="s">
        <v>276</v>
      </c>
      <c r="AV1615" s="94" t="s">
        <v>268</v>
      </c>
      <c r="AW1615" s="94" t="s">
        <v>276</v>
      </c>
      <c r="AX1615" s="101">
        <f t="shared" si="458"/>
        <v>2.1727495610247258</v>
      </c>
      <c r="AY1615" s="94" t="s">
        <v>276</v>
      </c>
      <c r="AZ1615" s="94" t="s">
        <v>276</v>
      </c>
      <c r="BA1615" s="94" t="s">
        <v>276</v>
      </c>
      <c r="BB1615" s="94" t="s">
        <v>282</v>
      </c>
      <c r="BC1615" s="94" t="s">
        <v>98</v>
      </c>
      <c r="BD1615" s="94" t="s">
        <v>98</v>
      </c>
      <c r="BE1615" s="94" t="s">
        <v>98</v>
      </c>
      <c r="BF1615" s="95" t="s">
        <v>696</v>
      </c>
      <c r="BG1615" s="95"/>
      <c r="BH1615" s="9" t="s">
        <v>100</v>
      </c>
      <c r="BI1615" s="9" t="s">
        <v>100</v>
      </c>
      <c r="BJ1615" s="109"/>
      <c r="BN1615" s="109"/>
      <c r="BO1615" s="109"/>
    </row>
    <row r="1616" spans="1:67" s="110" customFormat="1" ht="65" hidden="1" x14ac:dyDescent="0.35">
      <c r="A1616" s="94">
        <v>5202</v>
      </c>
      <c r="B1616" s="94" t="s">
        <v>9964</v>
      </c>
      <c r="C1616" s="95" t="s">
        <v>9266</v>
      </c>
      <c r="D1616" s="95" t="s">
        <v>10026</v>
      </c>
      <c r="E1616" s="94" t="s">
        <v>35</v>
      </c>
      <c r="F1616" s="94" t="s">
        <v>97</v>
      </c>
      <c r="G1616" s="94" t="s">
        <v>225</v>
      </c>
      <c r="H1616" s="94" t="s">
        <v>125</v>
      </c>
      <c r="I1616" s="94" t="s">
        <v>114</v>
      </c>
      <c r="J1616" s="95" t="s">
        <v>25</v>
      </c>
      <c r="K1616" s="94" t="s">
        <v>1510</v>
      </c>
      <c r="L1616" s="94" t="s">
        <v>4151</v>
      </c>
      <c r="M1616" s="94" t="s">
        <v>300</v>
      </c>
      <c r="N1616" s="95" t="s">
        <v>9966</v>
      </c>
      <c r="O1616" s="95" t="s">
        <v>276</v>
      </c>
      <c r="P1616" s="95" t="s">
        <v>239</v>
      </c>
      <c r="Q1616" s="140">
        <v>31047</v>
      </c>
      <c r="R1616" s="95" t="s">
        <v>9999</v>
      </c>
      <c r="S1616" s="95" t="s">
        <v>10000</v>
      </c>
      <c r="T1616" s="95" t="s">
        <v>10000</v>
      </c>
      <c r="U1616" s="163" t="s">
        <v>1191</v>
      </c>
      <c r="V1616" s="94" t="s">
        <v>15</v>
      </c>
      <c r="W1616" s="94" t="s">
        <v>3038</v>
      </c>
      <c r="X1616" s="95" t="s">
        <v>207</v>
      </c>
      <c r="Y1616" s="107">
        <v>11918</v>
      </c>
      <c r="Z1616" s="99">
        <v>11416</v>
      </c>
      <c r="AA1616" s="95" t="s">
        <v>276</v>
      </c>
      <c r="AB1616" s="95" t="s">
        <v>276</v>
      </c>
      <c r="AC1616" s="94">
        <v>2</v>
      </c>
      <c r="AD1616" s="95" t="s">
        <v>968</v>
      </c>
      <c r="AE1616" s="94">
        <v>2</v>
      </c>
      <c r="AF1616" s="95" t="s">
        <v>968</v>
      </c>
      <c r="AG1616" s="95" t="s">
        <v>10027</v>
      </c>
      <c r="AH1616" s="95" t="s">
        <v>10025</v>
      </c>
      <c r="AI1616" s="99">
        <v>32</v>
      </c>
      <c r="AJ1616" s="99">
        <v>36</v>
      </c>
      <c r="AK1616" s="107">
        <v>11918</v>
      </c>
      <c r="AL1616" s="99">
        <v>11416</v>
      </c>
      <c r="AM1616" s="99" t="s">
        <v>281</v>
      </c>
      <c r="AN1616" s="94" t="s">
        <v>276</v>
      </c>
      <c r="AO1616" s="102">
        <f>AI1616*1000/AK1616</f>
        <v>2.6850142641382782</v>
      </c>
      <c r="AP1616" s="94" t="s">
        <v>276</v>
      </c>
      <c r="AQ1616" s="94" t="s">
        <v>276</v>
      </c>
      <c r="AR1616" s="94" t="s">
        <v>276</v>
      </c>
      <c r="AS1616" s="102">
        <f>AJ1616*1000/AL1616</f>
        <v>3.1534688156972668</v>
      </c>
      <c r="AT1616" s="94" t="s">
        <v>276</v>
      </c>
      <c r="AU1616" s="94" t="s">
        <v>276</v>
      </c>
      <c r="AV1616" s="94" t="s">
        <v>268</v>
      </c>
      <c r="AW1616" s="94" t="s">
        <v>276</v>
      </c>
      <c r="AX1616" s="101">
        <f t="shared" si="458"/>
        <v>0.85144785665007183</v>
      </c>
      <c r="AY1616" s="94" t="s">
        <v>276</v>
      </c>
      <c r="AZ1616" s="94" t="s">
        <v>276</v>
      </c>
      <c r="BA1616" s="94" t="s">
        <v>276</v>
      </c>
      <c r="BB1616" s="94" t="s">
        <v>282</v>
      </c>
      <c r="BC1616" s="94" t="s">
        <v>98</v>
      </c>
      <c r="BD1616" s="94" t="s">
        <v>98</v>
      </c>
      <c r="BE1616" s="94" t="s">
        <v>98</v>
      </c>
      <c r="BF1616" s="95" t="s">
        <v>696</v>
      </c>
      <c r="BG1616" s="95"/>
      <c r="BH1616" s="9" t="s">
        <v>100</v>
      </c>
      <c r="BI1616" s="9" t="s">
        <v>100</v>
      </c>
      <c r="BJ1616" s="109"/>
      <c r="BN1616" s="109"/>
      <c r="BO1616" s="109"/>
    </row>
    <row r="1617" spans="1:67" s="110" customFormat="1" ht="65" hidden="1" x14ac:dyDescent="0.35">
      <c r="A1617" s="94">
        <v>5202</v>
      </c>
      <c r="B1617" s="94" t="s">
        <v>9964</v>
      </c>
      <c r="C1617" s="95" t="s">
        <v>9266</v>
      </c>
      <c r="D1617" s="95" t="s">
        <v>10028</v>
      </c>
      <c r="E1617" s="94" t="s">
        <v>35</v>
      </c>
      <c r="F1617" s="94" t="s">
        <v>97</v>
      </c>
      <c r="G1617" s="94" t="s">
        <v>225</v>
      </c>
      <c r="H1617" s="94" t="s">
        <v>125</v>
      </c>
      <c r="I1617" s="94" t="s">
        <v>114</v>
      </c>
      <c r="J1617" s="95" t="s">
        <v>25</v>
      </c>
      <c r="K1617" s="94" t="s">
        <v>1519</v>
      </c>
      <c r="L1617" s="94" t="s">
        <v>4151</v>
      </c>
      <c r="M1617" s="94" t="s">
        <v>300</v>
      </c>
      <c r="N1617" s="95" t="s">
        <v>9966</v>
      </c>
      <c r="O1617" s="95" t="s">
        <v>276</v>
      </c>
      <c r="P1617" s="95" t="s">
        <v>239</v>
      </c>
      <c r="Q1617" s="140">
        <v>31047</v>
      </c>
      <c r="R1617" s="95" t="s">
        <v>9999</v>
      </c>
      <c r="S1617" s="95" t="s">
        <v>10000</v>
      </c>
      <c r="T1617" s="95" t="s">
        <v>10000</v>
      </c>
      <c r="U1617" s="163" t="s">
        <v>1191</v>
      </c>
      <c r="V1617" s="94" t="s">
        <v>15</v>
      </c>
      <c r="W1617" s="94" t="s">
        <v>3038</v>
      </c>
      <c r="X1617" s="95" t="s">
        <v>207</v>
      </c>
      <c r="Y1617" s="107">
        <v>11918</v>
      </c>
      <c r="Z1617" s="99">
        <v>11416</v>
      </c>
      <c r="AA1617" s="95" t="s">
        <v>276</v>
      </c>
      <c r="AB1617" s="95" t="s">
        <v>276</v>
      </c>
      <c r="AC1617" s="94">
        <v>2</v>
      </c>
      <c r="AD1617" s="95" t="s">
        <v>968</v>
      </c>
      <c r="AE1617" s="94">
        <v>2</v>
      </c>
      <c r="AF1617" s="95" t="s">
        <v>968</v>
      </c>
      <c r="AG1617" s="95" t="s">
        <v>10029</v>
      </c>
      <c r="AH1617" s="95" t="s">
        <v>10025</v>
      </c>
      <c r="AI1617" s="99">
        <v>7</v>
      </c>
      <c r="AJ1617" s="99">
        <v>23</v>
      </c>
      <c r="AK1617" s="107">
        <v>11918</v>
      </c>
      <c r="AL1617" s="99">
        <v>11416</v>
      </c>
      <c r="AM1617" s="99" t="s">
        <v>281</v>
      </c>
      <c r="AN1617" s="94" t="s">
        <v>276</v>
      </c>
      <c r="AO1617" s="102">
        <f>AI1617*1000/AK1617</f>
        <v>0.58734687028024835</v>
      </c>
      <c r="AP1617" s="94" t="s">
        <v>276</v>
      </c>
      <c r="AQ1617" s="94" t="s">
        <v>276</v>
      </c>
      <c r="AR1617" s="94" t="s">
        <v>276</v>
      </c>
      <c r="AS1617" s="102">
        <f>AJ1617*1000/AL1617</f>
        <v>2.0147161878065871</v>
      </c>
      <c r="AT1617" s="94" t="s">
        <v>276</v>
      </c>
      <c r="AU1617" s="94" t="s">
        <v>276</v>
      </c>
      <c r="AV1617" s="94" t="s">
        <v>268</v>
      </c>
      <c r="AW1617" s="94" t="s">
        <v>276</v>
      </c>
      <c r="AX1617" s="101">
        <f t="shared" si="458"/>
        <v>0.29152834222257895</v>
      </c>
      <c r="AY1617" s="94" t="s">
        <v>276</v>
      </c>
      <c r="AZ1617" s="94" t="s">
        <v>276</v>
      </c>
      <c r="BA1617" s="94" t="s">
        <v>431</v>
      </c>
      <c r="BB1617" s="94" t="s">
        <v>282</v>
      </c>
      <c r="BC1617" s="94" t="s">
        <v>98</v>
      </c>
      <c r="BD1617" s="94" t="s">
        <v>98</v>
      </c>
      <c r="BE1617" s="94" t="s">
        <v>98</v>
      </c>
      <c r="BF1617" s="95" t="s">
        <v>10006</v>
      </c>
      <c r="BG1617" s="95"/>
      <c r="BH1617" s="9" t="s">
        <v>100</v>
      </c>
      <c r="BI1617" s="9" t="s">
        <v>100</v>
      </c>
      <c r="BJ1617" s="109"/>
      <c r="BN1617" s="109"/>
      <c r="BO1617" s="109"/>
    </row>
    <row r="1618" spans="1:67" s="110" customFormat="1" ht="65" hidden="1" x14ac:dyDescent="0.35">
      <c r="A1618" s="94">
        <v>5202</v>
      </c>
      <c r="B1618" s="94" t="s">
        <v>9964</v>
      </c>
      <c r="C1618" s="95" t="s">
        <v>9266</v>
      </c>
      <c r="D1618" s="95" t="s">
        <v>10030</v>
      </c>
      <c r="E1618" s="94" t="s">
        <v>35</v>
      </c>
      <c r="F1618" s="94" t="s">
        <v>97</v>
      </c>
      <c r="G1618" s="94" t="s">
        <v>225</v>
      </c>
      <c r="H1618" s="94" t="s">
        <v>125</v>
      </c>
      <c r="I1618" s="94" t="s">
        <v>114</v>
      </c>
      <c r="J1618" s="95" t="s">
        <v>25</v>
      </c>
      <c r="K1618" s="94" t="s">
        <v>7801</v>
      </c>
      <c r="L1618" s="94" t="s">
        <v>4151</v>
      </c>
      <c r="M1618" s="94" t="s">
        <v>300</v>
      </c>
      <c r="N1618" s="95" t="s">
        <v>9966</v>
      </c>
      <c r="O1618" s="95" t="s">
        <v>276</v>
      </c>
      <c r="P1618" s="95" t="s">
        <v>239</v>
      </c>
      <c r="Q1618" s="140">
        <v>31047</v>
      </c>
      <c r="R1618" s="95" t="s">
        <v>9999</v>
      </c>
      <c r="S1618" s="95" t="s">
        <v>10000</v>
      </c>
      <c r="T1618" s="95" t="s">
        <v>10000</v>
      </c>
      <c r="U1618" s="163" t="s">
        <v>1191</v>
      </c>
      <c r="V1618" s="94" t="s">
        <v>15</v>
      </c>
      <c r="W1618" s="94" t="s">
        <v>3038</v>
      </c>
      <c r="X1618" s="95" t="s">
        <v>207</v>
      </c>
      <c r="Y1618" s="107">
        <v>11918</v>
      </c>
      <c r="Z1618" s="99">
        <v>11416</v>
      </c>
      <c r="AA1618" s="95" t="s">
        <v>276</v>
      </c>
      <c r="AB1618" s="95" t="s">
        <v>276</v>
      </c>
      <c r="AC1618" s="94">
        <v>2</v>
      </c>
      <c r="AD1618" s="95" t="s">
        <v>968</v>
      </c>
      <c r="AE1618" s="94">
        <v>2</v>
      </c>
      <c r="AF1618" s="95" t="s">
        <v>968</v>
      </c>
      <c r="AG1618" s="95" t="s">
        <v>10031</v>
      </c>
      <c r="AH1618" s="95" t="s">
        <v>10025</v>
      </c>
      <c r="AI1618" s="99">
        <v>39</v>
      </c>
      <c r="AJ1618" s="99">
        <v>59</v>
      </c>
      <c r="AK1618" s="107">
        <v>11918</v>
      </c>
      <c r="AL1618" s="99">
        <v>11416</v>
      </c>
      <c r="AM1618" s="99" t="s">
        <v>281</v>
      </c>
      <c r="AN1618" s="94" t="s">
        <v>276</v>
      </c>
      <c r="AO1618" s="102">
        <f>AI1618*1000/AK1618</f>
        <v>3.2723611344185266</v>
      </c>
      <c r="AP1618" s="94" t="s">
        <v>276</v>
      </c>
      <c r="AQ1618" s="94" t="s">
        <v>276</v>
      </c>
      <c r="AR1618" s="94" t="s">
        <v>276</v>
      </c>
      <c r="AS1618" s="102">
        <f>AJ1618*1000/AL1618</f>
        <v>5.1681850035038543</v>
      </c>
      <c r="AT1618" s="94" t="s">
        <v>276</v>
      </c>
      <c r="AU1618" s="94" t="s">
        <v>276</v>
      </c>
      <c r="AV1618" s="94" t="s">
        <v>268</v>
      </c>
      <c r="AW1618" s="94" t="s">
        <v>276</v>
      </c>
      <c r="AX1618" s="101">
        <f t="shared" si="458"/>
        <v>0.63317414763596436</v>
      </c>
      <c r="AY1618" s="94" t="s">
        <v>276</v>
      </c>
      <c r="AZ1618" s="94" t="s">
        <v>276</v>
      </c>
      <c r="BA1618" s="94" t="s">
        <v>276</v>
      </c>
      <c r="BB1618" s="94" t="s">
        <v>282</v>
      </c>
      <c r="BC1618" s="94" t="s">
        <v>98</v>
      </c>
      <c r="BD1618" s="94" t="s">
        <v>98</v>
      </c>
      <c r="BE1618" s="94" t="s">
        <v>98</v>
      </c>
      <c r="BF1618" s="95" t="s">
        <v>696</v>
      </c>
      <c r="BG1618" s="95"/>
      <c r="BH1618" s="9" t="s">
        <v>100</v>
      </c>
      <c r="BI1618" s="9" t="s">
        <v>100</v>
      </c>
      <c r="BJ1618" s="109"/>
      <c r="BN1618" s="109"/>
      <c r="BO1618" s="109"/>
    </row>
    <row r="1619" spans="1:67" s="110" customFormat="1" ht="65" hidden="1" x14ac:dyDescent="0.35">
      <c r="A1619" s="94">
        <v>5202</v>
      </c>
      <c r="B1619" s="94" t="s">
        <v>9964</v>
      </c>
      <c r="C1619" s="95" t="s">
        <v>9266</v>
      </c>
      <c r="D1619" s="95" t="s">
        <v>10032</v>
      </c>
      <c r="E1619" s="94" t="s">
        <v>35</v>
      </c>
      <c r="F1619" s="94" t="s">
        <v>97</v>
      </c>
      <c r="G1619" s="94" t="s">
        <v>225</v>
      </c>
      <c r="H1619" s="94" t="s">
        <v>125</v>
      </c>
      <c r="I1619" s="94" t="s">
        <v>114</v>
      </c>
      <c r="J1619" s="95" t="s">
        <v>25</v>
      </c>
      <c r="K1619" s="94" t="s">
        <v>7801</v>
      </c>
      <c r="L1619" s="94" t="s">
        <v>4151</v>
      </c>
      <c r="M1619" s="94" t="s">
        <v>300</v>
      </c>
      <c r="N1619" s="95" t="s">
        <v>9966</v>
      </c>
      <c r="O1619" s="95" t="s">
        <v>276</v>
      </c>
      <c r="P1619" s="95" t="s">
        <v>235</v>
      </c>
      <c r="Q1619" s="140">
        <v>31047</v>
      </c>
      <c r="R1619" s="95" t="s">
        <v>9999</v>
      </c>
      <c r="S1619" s="95" t="s">
        <v>10000</v>
      </c>
      <c r="T1619" s="95" t="s">
        <v>10000</v>
      </c>
      <c r="U1619" s="163" t="s">
        <v>1191</v>
      </c>
      <c r="V1619" s="94" t="s">
        <v>15</v>
      </c>
      <c r="W1619" s="94" t="s">
        <v>3038</v>
      </c>
      <c r="X1619" s="95" t="s">
        <v>207</v>
      </c>
      <c r="Y1619" s="107" t="s">
        <v>98</v>
      </c>
      <c r="Z1619" s="99" t="s">
        <v>98</v>
      </c>
      <c r="AA1619" s="95" t="s">
        <v>276</v>
      </c>
      <c r="AB1619" s="95" t="s">
        <v>276</v>
      </c>
      <c r="AC1619" s="94">
        <v>2</v>
      </c>
      <c r="AD1619" s="95" t="s">
        <v>968</v>
      </c>
      <c r="AE1619" s="94">
        <v>2</v>
      </c>
      <c r="AF1619" s="95" t="s">
        <v>968</v>
      </c>
      <c r="AG1619" s="95" t="s">
        <v>10033</v>
      </c>
      <c r="AH1619" s="95" t="s">
        <v>10034</v>
      </c>
      <c r="AI1619" s="99">
        <v>39</v>
      </c>
      <c r="AJ1619" s="99">
        <v>59</v>
      </c>
      <c r="AK1619" s="107">
        <v>134</v>
      </c>
      <c r="AL1619" s="99">
        <v>102</v>
      </c>
      <c r="AM1619" s="99" t="s">
        <v>292</v>
      </c>
      <c r="AN1619" s="94" t="s">
        <v>276</v>
      </c>
      <c r="AO1619" s="102">
        <f>AI1619*100/AK1619</f>
        <v>29.104477611940297</v>
      </c>
      <c r="AP1619" s="94" t="s">
        <v>276</v>
      </c>
      <c r="AQ1619" s="94" t="s">
        <v>276</v>
      </c>
      <c r="AR1619" s="94" t="s">
        <v>276</v>
      </c>
      <c r="AS1619" s="102">
        <f>AJ1619*100/AL1619</f>
        <v>57.843137254901961</v>
      </c>
      <c r="AT1619" s="94" t="s">
        <v>276</v>
      </c>
      <c r="AU1619" s="94" t="s">
        <v>276</v>
      </c>
      <c r="AV1619" s="94" t="s">
        <v>268</v>
      </c>
      <c r="AW1619" s="94" t="s">
        <v>276</v>
      </c>
      <c r="AX1619" s="101">
        <f t="shared" si="458"/>
        <v>0.50316215532506958</v>
      </c>
      <c r="AY1619" s="94" t="s">
        <v>276</v>
      </c>
      <c r="AZ1619" s="94" t="s">
        <v>276</v>
      </c>
      <c r="BA1619" s="94" t="s">
        <v>276</v>
      </c>
      <c r="BB1619" s="94" t="s">
        <v>282</v>
      </c>
      <c r="BC1619" s="94" t="s">
        <v>98</v>
      </c>
      <c r="BD1619" s="94" t="s">
        <v>98</v>
      </c>
      <c r="BE1619" s="94" t="s">
        <v>98</v>
      </c>
      <c r="BF1619" s="95" t="s">
        <v>696</v>
      </c>
      <c r="BG1619" s="95"/>
      <c r="BH1619" s="9" t="s">
        <v>100</v>
      </c>
      <c r="BI1619" s="9" t="s">
        <v>100</v>
      </c>
      <c r="BJ1619" s="109"/>
      <c r="BN1619" s="109"/>
      <c r="BO1619" s="109"/>
    </row>
    <row r="1620" spans="1:67" s="124" customFormat="1" ht="65" hidden="1" x14ac:dyDescent="0.35">
      <c r="A1620" s="112">
        <v>5202</v>
      </c>
      <c r="B1620" s="112" t="s">
        <v>9964</v>
      </c>
      <c r="C1620" s="113" t="s">
        <v>9266</v>
      </c>
      <c r="D1620" s="113" t="s">
        <v>10035</v>
      </c>
      <c r="E1620" s="112" t="s">
        <v>35</v>
      </c>
      <c r="F1620" s="112" t="s">
        <v>97</v>
      </c>
      <c r="G1620" s="112" t="s">
        <v>225</v>
      </c>
      <c r="H1620" s="112" t="s">
        <v>125</v>
      </c>
      <c r="I1620" s="112" t="s">
        <v>114</v>
      </c>
      <c r="J1620" s="113" t="s">
        <v>25</v>
      </c>
      <c r="K1620" s="112" t="s">
        <v>1499</v>
      </c>
      <c r="L1620" s="112" t="s">
        <v>4151</v>
      </c>
      <c r="M1620" s="112" t="s">
        <v>300</v>
      </c>
      <c r="N1620" s="113" t="s">
        <v>9966</v>
      </c>
      <c r="O1620" s="113" t="s">
        <v>276</v>
      </c>
      <c r="P1620" s="113" t="s">
        <v>239</v>
      </c>
      <c r="Q1620" s="142">
        <v>31047</v>
      </c>
      <c r="R1620" s="113" t="s">
        <v>9999</v>
      </c>
      <c r="S1620" s="113" t="s">
        <v>10000</v>
      </c>
      <c r="T1620" s="113" t="s">
        <v>10000</v>
      </c>
      <c r="U1620" s="162" t="s">
        <v>1191</v>
      </c>
      <c r="V1620" s="112" t="s">
        <v>15</v>
      </c>
      <c r="W1620" s="112" t="s">
        <v>9342</v>
      </c>
      <c r="X1620" s="113" t="s">
        <v>207</v>
      </c>
      <c r="Y1620" s="120">
        <v>11646</v>
      </c>
      <c r="Z1620" s="119">
        <v>10920</v>
      </c>
      <c r="AA1620" s="113" t="s">
        <v>276</v>
      </c>
      <c r="AB1620" s="113" t="s">
        <v>276</v>
      </c>
      <c r="AC1620" s="112">
        <v>2</v>
      </c>
      <c r="AD1620" s="113" t="s">
        <v>968</v>
      </c>
      <c r="AE1620" s="112">
        <v>2</v>
      </c>
      <c r="AF1620" s="113" t="s">
        <v>968</v>
      </c>
      <c r="AG1620" s="113" t="s">
        <v>10036</v>
      </c>
      <c r="AH1620" s="113" t="s">
        <v>10037</v>
      </c>
      <c r="AI1620" s="119">
        <v>119</v>
      </c>
      <c r="AJ1620" s="119">
        <v>56</v>
      </c>
      <c r="AK1620" s="120">
        <v>11646</v>
      </c>
      <c r="AL1620" s="119">
        <v>10920</v>
      </c>
      <c r="AM1620" s="119" t="s">
        <v>281</v>
      </c>
      <c r="AN1620" s="112" t="s">
        <v>276</v>
      </c>
      <c r="AO1620" s="121">
        <f>AI1620*1000/AK1620</f>
        <v>10.2181006354113</v>
      </c>
      <c r="AP1620" s="112" t="s">
        <v>276</v>
      </c>
      <c r="AQ1620" s="112" t="s">
        <v>276</v>
      </c>
      <c r="AR1620" s="112" t="s">
        <v>276</v>
      </c>
      <c r="AS1620" s="121">
        <f>AJ1620*1000/AL1620</f>
        <v>5.1282051282051286</v>
      </c>
      <c r="AT1620" s="112" t="s">
        <v>276</v>
      </c>
      <c r="AU1620" s="112" t="s">
        <v>276</v>
      </c>
      <c r="AV1620" s="112" t="s">
        <v>268</v>
      </c>
      <c r="AW1620" s="112" t="s">
        <v>276</v>
      </c>
      <c r="AX1620" s="207">
        <f t="shared" si="458"/>
        <v>1.9925296239052033</v>
      </c>
      <c r="AY1620" s="112" t="s">
        <v>276</v>
      </c>
      <c r="AZ1620" s="112" t="s">
        <v>276</v>
      </c>
      <c r="BA1620" s="112" t="s">
        <v>276</v>
      </c>
      <c r="BB1620" s="112" t="s">
        <v>282</v>
      </c>
      <c r="BC1620" s="112" t="s">
        <v>98</v>
      </c>
      <c r="BD1620" s="112" t="s">
        <v>98</v>
      </c>
      <c r="BE1620" s="112" t="s">
        <v>98</v>
      </c>
      <c r="BF1620" s="113" t="s">
        <v>696</v>
      </c>
      <c r="BG1620" s="113"/>
      <c r="BH1620" s="9" t="s">
        <v>100</v>
      </c>
      <c r="BI1620" s="9" t="s">
        <v>100</v>
      </c>
      <c r="BJ1620" s="123"/>
      <c r="BN1620" s="123"/>
      <c r="BO1620" s="123"/>
    </row>
    <row r="1621" spans="1:67" s="124" customFormat="1" ht="65" hidden="1" x14ac:dyDescent="0.35">
      <c r="A1621" s="112">
        <v>5202</v>
      </c>
      <c r="B1621" s="112" t="s">
        <v>9964</v>
      </c>
      <c r="C1621" s="113" t="s">
        <v>9266</v>
      </c>
      <c r="D1621" s="113" t="s">
        <v>10038</v>
      </c>
      <c r="E1621" s="112" t="s">
        <v>35</v>
      </c>
      <c r="F1621" s="112" t="s">
        <v>97</v>
      </c>
      <c r="G1621" s="112" t="s">
        <v>225</v>
      </c>
      <c r="H1621" s="112" t="s">
        <v>125</v>
      </c>
      <c r="I1621" s="112" t="s">
        <v>114</v>
      </c>
      <c r="J1621" s="113" t="s">
        <v>25</v>
      </c>
      <c r="K1621" s="112" t="s">
        <v>1510</v>
      </c>
      <c r="L1621" s="112" t="s">
        <v>4151</v>
      </c>
      <c r="M1621" s="112" t="s">
        <v>300</v>
      </c>
      <c r="N1621" s="113" t="s">
        <v>9966</v>
      </c>
      <c r="O1621" s="113" t="s">
        <v>276</v>
      </c>
      <c r="P1621" s="113" t="s">
        <v>239</v>
      </c>
      <c r="Q1621" s="142">
        <v>31047</v>
      </c>
      <c r="R1621" s="113" t="s">
        <v>9999</v>
      </c>
      <c r="S1621" s="113" t="s">
        <v>10000</v>
      </c>
      <c r="T1621" s="113" t="s">
        <v>10000</v>
      </c>
      <c r="U1621" s="162" t="s">
        <v>1191</v>
      </c>
      <c r="V1621" s="112" t="s">
        <v>15</v>
      </c>
      <c r="W1621" s="112" t="s">
        <v>9342</v>
      </c>
      <c r="X1621" s="113" t="s">
        <v>207</v>
      </c>
      <c r="Y1621" s="120">
        <v>11646</v>
      </c>
      <c r="Z1621" s="119">
        <v>10920</v>
      </c>
      <c r="AA1621" s="113" t="s">
        <v>276</v>
      </c>
      <c r="AB1621" s="113" t="s">
        <v>276</v>
      </c>
      <c r="AC1621" s="112">
        <v>2</v>
      </c>
      <c r="AD1621" s="113" t="s">
        <v>968</v>
      </c>
      <c r="AE1621" s="112">
        <v>2</v>
      </c>
      <c r="AF1621" s="113" t="s">
        <v>968</v>
      </c>
      <c r="AG1621" s="113" t="s">
        <v>10039</v>
      </c>
      <c r="AH1621" s="113" t="s">
        <v>10037</v>
      </c>
      <c r="AI1621" s="119">
        <v>59</v>
      </c>
      <c r="AJ1621" s="119">
        <v>64</v>
      </c>
      <c r="AK1621" s="120">
        <v>11646</v>
      </c>
      <c r="AL1621" s="119">
        <v>10920</v>
      </c>
      <c r="AM1621" s="119" t="s">
        <v>281</v>
      </c>
      <c r="AN1621" s="112" t="s">
        <v>276</v>
      </c>
      <c r="AO1621" s="121">
        <f>AI1621*1000/AK1621</f>
        <v>5.0661171217585439</v>
      </c>
      <c r="AP1621" s="112" t="s">
        <v>276</v>
      </c>
      <c r="AQ1621" s="112" t="s">
        <v>276</v>
      </c>
      <c r="AR1621" s="112" t="s">
        <v>276</v>
      </c>
      <c r="AS1621" s="121">
        <f>AJ1621*1000/AL1621</f>
        <v>5.8608058608058604</v>
      </c>
      <c r="AT1621" s="112" t="s">
        <v>276</v>
      </c>
      <c r="AU1621" s="112" t="s">
        <v>276</v>
      </c>
      <c r="AV1621" s="112" t="s">
        <v>268</v>
      </c>
      <c r="AW1621" s="112" t="s">
        <v>276</v>
      </c>
      <c r="AX1621" s="207">
        <f t="shared" si="458"/>
        <v>0.86440623390005156</v>
      </c>
      <c r="AY1621" s="112" t="s">
        <v>276</v>
      </c>
      <c r="AZ1621" s="112" t="s">
        <v>276</v>
      </c>
      <c r="BA1621" s="112" t="s">
        <v>276</v>
      </c>
      <c r="BB1621" s="112" t="s">
        <v>282</v>
      </c>
      <c r="BC1621" s="112" t="s">
        <v>98</v>
      </c>
      <c r="BD1621" s="112" t="s">
        <v>98</v>
      </c>
      <c r="BE1621" s="112" t="s">
        <v>98</v>
      </c>
      <c r="BF1621" s="113" t="s">
        <v>696</v>
      </c>
      <c r="BG1621" s="113"/>
      <c r="BH1621" s="9" t="s">
        <v>100</v>
      </c>
      <c r="BI1621" s="9" t="s">
        <v>100</v>
      </c>
      <c r="BJ1621" s="123"/>
      <c r="BN1621" s="123"/>
      <c r="BO1621" s="123"/>
    </row>
    <row r="1622" spans="1:67" s="124" customFormat="1" ht="65" hidden="1" x14ac:dyDescent="0.35">
      <c r="A1622" s="112">
        <v>5202</v>
      </c>
      <c r="B1622" s="112" t="s">
        <v>9964</v>
      </c>
      <c r="C1622" s="113" t="s">
        <v>9266</v>
      </c>
      <c r="D1622" s="113" t="s">
        <v>10040</v>
      </c>
      <c r="E1622" s="112" t="s">
        <v>35</v>
      </c>
      <c r="F1622" s="112" t="s">
        <v>97</v>
      </c>
      <c r="G1622" s="112" t="s">
        <v>225</v>
      </c>
      <c r="H1622" s="112" t="s">
        <v>125</v>
      </c>
      <c r="I1622" s="112" t="s">
        <v>114</v>
      </c>
      <c r="J1622" s="113" t="s">
        <v>25</v>
      </c>
      <c r="K1622" s="112" t="s">
        <v>1519</v>
      </c>
      <c r="L1622" s="112" t="s">
        <v>4151</v>
      </c>
      <c r="M1622" s="112" t="s">
        <v>300</v>
      </c>
      <c r="N1622" s="113" t="s">
        <v>9966</v>
      </c>
      <c r="O1622" s="113" t="s">
        <v>276</v>
      </c>
      <c r="P1622" s="113" t="s">
        <v>239</v>
      </c>
      <c r="Q1622" s="142">
        <v>31047</v>
      </c>
      <c r="R1622" s="113" t="s">
        <v>9999</v>
      </c>
      <c r="S1622" s="113" t="s">
        <v>10000</v>
      </c>
      <c r="T1622" s="113" t="s">
        <v>10000</v>
      </c>
      <c r="U1622" s="162" t="s">
        <v>1191</v>
      </c>
      <c r="V1622" s="112" t="s">
        <v>15</v>
      </c>
      <c r="W1622" s="112" t="s">
        <v>9342</v>
      </c>
      <c r="X1622" s="113" t="s">
        <v>207</v>
      </c>
      <c r="Y1622" s="120">
        <v>11646</v>
      </c>
      <c r="Z1622" s="119">
        <v>10920</v>
      </c>
      <c r="AA1622" s="113" t="s">
        <v>276</v>
      </c>
      <c r="AB1622" s="113" t="s">
        <v>276</v>
      </c>
      <c r="AC1622" s="112">
        <v>2</v>
      </c>
      <c r="AD1622" s="113" t="s">
        <v>968</v>
      </c>
      <c r="AE1622" s="112">
        <v>2</v>
      </c>
      <c r="AF1622" s="113" t="s">
        <v>968</v>
      </c>
      <c r="AG1622" s="113" t="s">
        <v>10041</v>
      </c>
      <c r="AH1622" s="113" t="s">
        <v>10037</v>
      </c>
      <c r="AI1622" s="119">
        <v>15</v>
      </c>
      <c r="AJ1622" s="119">
        <v>28</v>
      </c>
      <c r="AK1622" s="120">
        <v>11646</v>
      </c>
      <c r="AL1622" s="119">
        <v>10920</v>
      </c>
      <c r="AM1622" s="119" t="s">
        <v>281</v>
      </c>
      <c r="AN1622" s="112" t="s">
        <v>276</v>
      </c>
      <c r="AO1622" s="121">
        <f>AI1622*1000/AK1622</f>
        <v>1.2879958784131891</v>
      </c>
      <c r="AP1622" s="112" t="s">
        <v>276</v>
      </c>
      <c r="AQ1622" s="112" t="s">
        <v>276</v>
      </c>
      <c r="AR1622" s="112" t="s">
        <v>276</v>
      </c>
      <c r="AS1622" s="121">
        <f>AJ1622*1000/AL1622</f>
        <v>2.5641025641025643</v>
      </c>
      <c r="AT1622" s="112" t="s">
        <v>276</v>
      </c>
      <c r="AU1622" s="112" t="s">
        <v>276</v>
      </c>
      <c r="AV1622" s="112" t="s">
        <v>268</v>
      </c>
      <c r="AW1622" s="112" t="s">
        <v>276</v>
      </c>
      <c r="AX1622" s="207">
        <f t="shared" si="458"/>
        <v>0.50231839258114375</v>
      </c>
      <c r="AY1622" s="112" t="s">
        <v>276</v>
      </c>
      <c r="AZ1622" s="112" t="s">
        <v>276</v>
      </c>
      <c r="BA1622" s="112" t="s">
        <v>431</v>
      </c>
      <c r="BB1622" s="112" t="s">
        <v>282</v>
      </c>
      <c r="BC1622" s="112" t="s">
        <v>98</v>
      </c>
      <c r="BD1622" s="112" t="s">
        <v>98</v>
      </c>
      <c r="BE1622" s="112" t="s">
        <v>98</v>
      </c>
      <c r="BF1622" s="113" t="s">
        <v>10006</v>
      </c>
      <c r="BG1622" s="113"/>
      <c r="BH1622" s="9" t="s">
        <v>100</v>
      </c>
      <c r="BI1622" s="9" t="s">
        <v>100</v>
      </c>
      <c r="BJ1622" s="123"/>
      <c r="BN1622" s="123"/>
      <c r="BO1622" s="123"/>
    </row>
    <row r="1623" spans="1:67" s="124" customFormat="1" ht="65" hidden="1" x14ac:dyDescent="0.35">
      <c r="A1623" s="112">
        <v>5202</v>
      </c>
      <c r="B1623" s="112" t="s">
        <v>9964</v>
      </c>
      <c r="C1623" s="113" t="s">
        <v>9266</v>
      </c>
      <c r="D1623" s="113" t="s">
        <v>10042</v>
      </c>
      <c r="E1623" s="112" t="s">
        <v>35</v>
      </c>
      <c r="F1623" s="112" t="s">
        <v>97</v>
      </c>
      <c r="G1623" s="112" t="s">
        <v>225</v>
      </c>
      <c r="H1623" s="112" t="s">
        <v>125</v>
      </c>
      <c r="I1623" s="112" t="s">
        <v>114</v>
      </c>
      <c r="J1623" s="113" t="s">
        <v>25</v>
      </c>
      <c r="K1623" s="112" t="s">
        <v>7801</v>
      </c>
      <c r="L1623" s="112" t="s">
        <v>4151</v>
      </c>
      <c r="M1623" s="112" t="s">
        <v>300</v>
      </c>
      <c r="N1623" s="113" t="s">
        <v>9966</v>
      </c>
      <c r="O1623" s="113" t="s">
        <v>276</v>
      </c>
      <c r="P1623" s="113" t="s">
        <v>239</v>
      </c>
      <c r="Q1623" s="142">
        <v>31047</v>
      </c>
      <c r="R1623" s="113" t="s">
        <v>9999</v>
      </c>
      <c r="S1623" s="113" t="s">
        <v>10000</v>
      </c>
      <c r="T1623" s="113" t="s">
        <v>10000</v>
      </c>
      <c r="U1623" s="162" t="s">
        <v>1191</v>
      </c>
      <c r="V1623" s="112" t="s">
        <v>15</v>
      </c>
      <c r="W1623" s="112" t="s">
        <v>9342</v>
      </c>
      <c r="X1623" s="113" t="s">
        <v>207</v>
      </c>
      <c r="Y1623" s="120">
        <v>11646</v>
      </c>
      <c r="Z1623" s="119">
        <v>10920</v>
      </c>
      <c r="AA1623" s="113" t="s">
        <v>276</v>
      </c>
      <c r="AB1623" s="113" t="s">
        <v>276</v>
      </c>
      <c r="AC1623" s="112">
        <v>2</v>
      </c>
      <c r="AD1623" s="113" t="s">
        <v>968</v>
      </c>
      <c r="AE1623" s="112">
        <v>2</v>
      </c>
      <c r="AF1623" s="113" t="s">
        <v>968</v>
      </c>
      <c r="AG1623" s="113" t="s">
        <v>10043</v>
      </c>
      <c r="AH1623" s="113" t="s">
        <v>10037</v>
      </c>
      <c r="AI1623" s="119">
        <v>74</v>
      </c>
      <c r="AJ1623" s="119">
        <v>92</v>
      </c>
      <c r="AK1623" s="120">
        <v>11646</v>
      </c>
      <c r="AL1623" s="119">
        <v>10920</v>
      </c>
      <c r="AM1623" s="119" t="s">
        <v>281</v>
      </c>
      <c r="AN1623" s="112" t="s">
        <v>276</v>
      </c>
      <c r="AO1623" s="121">
        <f>AI1623*1000/AK1623</f>
        <v>6.3541130001717328</v>
      </c>
      <c r="AP1623" s="112" t="s">
        <v>276</v>
      </c>
      <c r="AQ1623" s="112" t="s">
        <v>276</v>
      </c>
      <c r="AR1623" s="112" t="s">
        <v>276</v>
      </c>
      <c r="AS1623" s="121">
        <f>AJ1623*1000/AL1623</f>
        <v>8.4249084249084252</v>
      </c>
      <c r="AT1623" s="112" t="s">
        <v>276</v>
      </c>
      <c r="AU1623" s="112" t="s">
        <v>276</v>
      </c>
      <c r="AV1623" s="112" t="s">
        <v>268</v>
      </c>
      <c r="AW1623" s="112" t="s">
        <v>276</v>
      </c>
      <c r="AX1623" s="207">
        <f t="shared" si="458"/>
        <v>0.754205586542123</v>
      </c>
      <c r="AY1623" s="112" t="s">
        <v>276</v>
      </c>
      <c r="AZ1623" s="112" t="s">
        <v>276</v>
      </c>
      <c r="BA1623" s="112" t="s">
        <v>276</v>
      </c>
      <c r="BB1623" s="112" t="s">
        <v>282</v>
      </c>
      <c r="BC1623" s="112" t="s">
        <v>98</v>
      </c>
      <c r="BD1623" s="112" t="s">
        <v>98</v>
      </c>
      <c r="BE1623" s="112" t="s">
        <v>98</v>
      </c>
      <c r="BF1623" s="113" t="s">
        <v>696</v>
      </c>
      <c r="BG1623" s="113"/>
      <c r="BH1623" s="9" t="s">
        <v>100</v>
      </c>
      <c r="BI1623" s="9" t="s">
        <v>100</v>
      </c>
      <c r="BJ1623" s="123"/>
      <c r="BN1623" s="123"/>
      <c r="BO1623" s="123"/>
    </row>
    <row r="1624" spans="1:67" s="124" customFormat="1" ht="65" hidden="1" x14ac:dyDescent="0.35">
      <c r="A1624" s="112">
        <v>5202</v>
      </c>
      <c r="B1624" s="112" t="s">
        <v>9964</v>
      </c>
      <c r="C1624" s="113" t="s">
        <v>9266</v>
      </c>
      <c r="D1624" s="113" t="s">
        <v>10044</v>
      </c>
      <c r="E1624" s="112" t="s">
        <v>35</v>
      </c>
      <c r="F1624" s="112" t="s">
        <v>97</v>
      </c>
      <c r="G1624" s="112" t="s">
        <v>225</v>
      </c>
      <c r="H1624" s="112" t="s">
        <v>125</v>
      </c>
      <c r="I1624" s="112" t="s">
        <v>114</v>
      </c>
      <c r="J1624" s="113" t="s">
        <v>25</v>
      </c>
      <c r="K1624" s="112" t="s">
        <v>7801</v>
      </c>
      <c r="L1624" s="112" t="s">
        <v>4151</v>
      </c>
      <c r="M1624" s="112" t="s">
        <v>300</v>
      </c>
      <c r="N1624" s="113" t="s">
        <v>9966</v>
      </c>
      <c r="O1624" s="113" t="s">
        <v>276</v>
      </c>
      <c r="P1624" s="113" t="s">
        <v>235</v>
      </c>
      <c r="Q1624" s="142">
        <v>31047</v>
      </c>
      <c r="R1624" s="113" t="s">
        <v>9999</v>
      </c>
      <c r="S1624" s="113" t="s">
        <v>10000</v>
      </c>
      <c r="T1624" s="113" t="s">
        <v>10000</v>
      </c>
      <c r="U1624" s="162" t="s">
        <v>1191</v>
      </c>
      <c r="V1624" s="112" t="s">
        <v>15</v>
      </c>
      <c r="W1624" s="112" t="s">
        <v>9342</v>
      </c>
      <c r="X1624" s="113" t="s">
        <v>207</v>
      </c>
      <c r="Y1624" s="120" t="s">
        <v>98</v>
      </c>
      <c r="Z1624" s="119" t="s">
        <v>98</v>
      </c>
      <c r="AA1624" s="113" t="s">
        <v>276</v>
      </c>
      <c r="AB1624" s="113" t="s">
        <v>276</v>
      </c>
      <c r="AC1624" s="112">
        <v>2</v>
      </c>
      <c r="AD1624" s="113" t="s">
        <v>968</v>
      </c>
      <c r="AE1624" s="112">
        <v>2</v>
      </c>
      <c r="AF1624" s="113" t="s">
        <v>968</v>
      </c>
      <c r="AG1624" s="113" t="s">
        <v>10043</v>
      </c>
      <c r="AH1624" s="113" t="s">
        <v>10045</v>
      </c>
      <c r="AI1624" s="119">
        <v>74</v>
      </c>
      <c r="AJ1624" s="119">
        <v>92</v>
      </c>
      <c r="AK1624" s="120">
        <v>195</v>
      </c>
      <c r="AL1624" s="119">
        <v>150</v>
      </c>
      <c r="AM1624" s="119" t="s">
        <v>292</v>
      </c>
      <c r="AN1624" s="112" t="s">
        <v>276</v>
      </c>
      <c r="AO1624" s="121">
        <f>AI1624*100/AK1624</f>
        <v>37.948717948717949</v>
      </c>
      <c r="AP1624" s="112" t="s">
        <v>276</v>
      </c>
      <c r="AQ1624" s="112" t="s">
        <v>276</v>
      </c>
      <c r="AR1624" s="112" t="s">
        <v>276</v>
      </c>
      <c r="AS1624" s="121">
        <f>AJ1624*100/AL1624</f>
        <v>61.333333333333336</v>
      </c>
      <c r="AT1624" s="112" t="s">
        <v>276</v>
      </c>
      <c r="AU1624" s="112" t="s">
        <v>276</v>
      </c>
      <c r="AV1624" s="112" t="s">
        <v>268</v>
      </c>
      <c r="AW1624" s="112" t="s">
        <v>276</v>
      </c>
      <c r="AX1624" s="207">
        <f t="shared" si="458"/>
        <v>0.61872909698996659</v>
      </c>
      <c r="AY1624" s="112" t="s">
        <v>276</v>
      </c>
      <c r="AZ1624" s="112" t="s">
        <v>276</v>
      </c>
      <c r="BA1624" s="112" t="s">
        <v>276</v>
      </c>
      <c r="BB1624" s="112" t="s">
        <v>282</v>
      </c>
      <c r="BC1624" s="112" t="s">
        <v>98</v>
      </c>
      <c r="BD1624" s="112" t="s">
        <v>98</v>
      </c>
      <c r="BE1624" s="112" t="s">
        <v>98</v>
      </c>
      <c r="BF1624" s="113" t="s">
        <v>696</v>
      </c>
      <c r="BG1624" s="113"/>
      <c r="BH1624" s="9" t="s">
        <v>100</v>
      </c>
      <c r="BI1624" s="9" t="s">
        <v>100</v>
      </c>
      <c r="BJ1624" s="123"/>
      <c r="BN1624" s="123"/>
      <c r="BO1624" s="123"/>
    </row>
    <row r="1625" spans="1:67" s="110" customFormat="1" ht="65" hidden="1" x14ac:dyDescent="0.35">
      <c r="A1625" s="94">
        <v>5202</v>
      </c>
      <c r="B1625" s="94" t="s">
        <v>9964</v>
      </c>
      <c r="C1625" s="95" t="s">
        <v>9266</v>
      </c>
      <c r="D1625" s="95" t="s">
        <v>10046</v>
      </c>
      <c r="E1625" s="94" t="s">
        <v>35</v>
      </c>
      <c r="F1625" s="94" t="s">
        <v>97</v>
      </c>
      <c r="G1625" s="94" t="s">
        <v>225</v>
      </c>
      <c r="H1625" s="94" t="s">
        <v>125</v>
      </c>
      <c r="I1625" s="94" t="s">
        <v>114</v>
      </c>
      <c r="J1625" s="95" t="s">
        <v>25</v>
      </c>
      <c r="K1625" s="94" t="s">
        <v>1499</v>
      </c>
      <c r="L1625" s="94" t="s">
        <v>4151</v>
      </c>
      <c r="M1625" s="94" t="s">
        <v>300</v>
      </c>
      <c r="N1625" s="95" t="s">
        <v>9966</v>
      </c>
      <c r="O1625" s="95" t="s">
        <v>276</v>
      </c>
      <c r="P1625" s="95" t="s">
        <v>239</v>
      </c>
      <c r="Q1625" s="140">
        <v>31047</v>
      </c>
      <c r="R1625" s="95" t="s">
        <v>9999</v>
      </c>
      <c r="S1625" s="95" t="s">
        <v>10000</v>
      </c>
      <c r="T1625" s="95" t="s">
        <v>10000</v>
      </c>
      <c r="U1625" s="163" t="s">
        <v>1191</v>
      </c>
      <c r="V1625" s="94" t="s">
        <v>15</v>
      </c>
      <c r="W1625" s="94" t="s">
        <v>9350</v>
      </c>
      <c r="X1625" s="95" t="s">
        <v>207</v>
      </c>
      <c r="Y1625" s="107">
        <v>5158</v>
      </c>
      <c r="Z1625" s="99">
        <v>4975</v>
      </c>
      <c r="AA1625" s="95" t="s">
        <v>276</v>
      </c>
      <c r="AB1625" s="95" t="s">
        <v>276</v>
      </c>
      <c r="AC1625" s="94">
        <v>2</v>
      </c>
      <c r="AD1625" s="95" t="s">
        <v>968</v>
      </c>
      <c r="AE1625" s="94">
        <v>0</v>
      </c>
      <c r="AF1625" s="95" t="s">
        <v>968</v>
      </c>
      <c r="AG1625" s="95" t="s">
        <v>10047</v>
      </c>
      <c r="AH1625" s="95" t="s">
        <v>10048</v>
      </c>
      <c r="AI1625" s="99">
        <v>56</v>
      </c>
      <c r="AJ1625" s="99">
        <v>19</v>
      </c>
      <c r="AK1625" s="107">
        <v>5158</v>
      </c>
      <c r="AL1625" s="99">
        <v>4975</v>
      </c>
      <c r="AM1625" s="99" t="s">
        <v>281</v>
      </c>
      <c r="AN1625" s="94" t="s">
        <v>276</v>
      </c>
      <c r="AO1625" s="102">
        <f>AI1625*1000/AK1625</f>
        <v>10.856921287320667</v>
      </c>
      <c r="AP1625" s="94" t="s">
        <v>276</v>
      </c>
      <c r="AQ1625" s="94" t="s">
        <v>276</v>
      </c>
      <c r="AR1625" s="94" t="s">
        <v>276</v>
      </c>
      <c r="AS1625" s="102">
        <f>AJ1625*1000/AL1625</f>
        <v>3.8190954773869348</v>
      </c>
      <c r="AT1625" s="94" t="s">
        <v>276</v>
      </c>
      <c r="AU1625" s="94" t="s">
        <v>276</v>
      </c>
      <c r="AV1625" s="94" t="s">
        <v>268</v>
      </c>
      <c r="AW1625" s="94" t="s">
        <v>276</v>
      </c>
      <c r="AX1625" s="101">
        <f t="shared" si="458"/>
        <v>2.8427991265484378</v>
      </c>
      <c r="AY1625" s="94" t="s">
        <v>276</v>
      </c>
      <c r="AZ1625" s="94" t="s">
        <v>276</v>
      </c>
      <c r="BA1625" s="94" t="s">
        <v>276</v>
      </c>
      <c r="BB1625" s="94" t="s">
        <v>282</v>
      </c>
      <c r="BC1625" s="94" t="s">
        <v>98</v>
      </c>
      <c r="BD1625" s="94" t="s">
        <v>98</v>
      </c>
      <c r="BE1625" s="94" t="s">
        <v>98</v>
      </c>
      <c r="BF1625" s="95" t="s">
        <v>696</v>
      </c>
      <c r="BG1625" s="95"/>
      <c r="BH1625" s="9" t="s">
        <v>100</v>
      </c>
      <c r="BI1625" s="9" t="s">
        <v>100</v>
      </c>
      <c r="BJ1625" s="109"/>
      <c r="BN1625" s="109"/>
      <c r="BO1625" s="109"/>
    </row>
    <row r="1626" spans="1:67" s="110" customFormat="1" ht="65" hidden="1" x14ac:dyDescent="0.35">
      <c r="A1626" s="94">
        <v>5202</v>
      </c>
      <c r="B1626" s="94" t="s">
        <v>9964</v>
      </c>
      <c r="C1626" s="95" t="s">
        <v>9266</v>
      </c>
      <c r="D1626" s="95" t="s">
        <v>10049</v>
      </c>
      <c r="E1626" s="94" t="s">
        <v>35</v>
      </c>
      <c r="F1626" s="94" t="s">
        <v>97</v>
      </c>
      <c r="G1626" s="94" t="s">
        <v>225</v>
      </c>
      <c r="H1626" s="94" t="s">
        <v>125</v>
      </c>
      <c r="I1626" s="94" t="s">
        <v>114</v>
      </c>
      <c r="J1626" s="95" t="s">
        <v>25</v>
      </c>
      <c r="K1626" s="94" t="s">
        <v>1510</v>
      </c>
      <c r="L1626" s="94" t="s">
        <v>4151</v>
      </c>
      <c r="M1626" s="94" t="s">
        <v>300</v>
      </c>
      <c r="N1626" s="95" t="s">
        <v>9966</v>
      </c>
      <c r="O1626" s="95" t="s">
        <v>276</v>
      </c>
      <c r="P1626" s="95" t="s">
        <v>239</v>
      </c>
      <c r="Q1626" s="140">
        <v>31047</v>
      </c>
      <c r="R1626" s="95" t="s">
        <v>9999</v>
      </c>
      <c r="S1626" s="95" t="s">
        <v>10000</v>
      </c>
      <c r="T1626" s="95" t="s">
        <v>10000</v>
      </c>
      <c r="U1626" s="163" t="s">
        <v>1191</v>
      </c>
      <c r="V1626" s="94" t="s">
        <v>15</v>
      </c>
      <c r="W1626" s="94" t="s">
        <v>9350</v>
      </c>
      <c r="X1626" s="95" t="s">
        <v>207</v>
      </c>
      <c r="Y1626" s="107">
        <v>5158</v>
      </c>
      <c r="Z1626" s="99">
        <v>4975</v>
      </c>
      <c r="AA1626" s="95" t="s">
        <v>276</v>
      </c>
      <c r="AB1626" s="95" t="s">
        <v>276</v>
      </c>
      <c r="AC1626" s="94">
        <v>2</v>
      </c>
      <c r="AD1626" s="95" t="s">
        <v>968</v>
      </c>
      <c r="AE1626" s="94">
        <v>0</v>
      </c>
      <c r="AF1626" s="95" t="s">
        <v>968</v>
      </c>
      <c r="AG1626" s="95" t="s">
        <v>10050</v>
      </c>
      <c r="AH1626" s="95" t="s">
        <v>10048</v>
      </c>
      <c r="AI1626" s="99">
        <v>31</v>
      </c>
      <c r="AJ1626" s="99">
        <v>27</v>
      </c>
      <c r="AK1626" s="107">
        <v>5158</v>
      </c>
      <c r="AL1626" s="99">
        <v>4975</v>
      </c>
      <c r="AM1626" s="99" t="s">
        <v>281</v>
      </c>
      <c r="AN1626" s="94" t="s">
        <v>276</v>
      </c>
      <c r="AO1626" s="102">
        <f>AI1626*1000/AK1626</f>
        <v>6.0100814269096547</v>
      </c>
      <c r="AP1626" s="94" t="s">
        <v>276</v>
      </c>
      <c r="AQ1626" s="94" t="s">
        <v>276</v>
      </c>
      <c r="AR1626" s="94" t="s">
        <v>276</v>
      </c>
      <c r="AS1626" s="102">
        <f>AJ1626*1000/AL1626</f>
        <v>5.4271356783919602</v>
      </c>
      <c r="AT1626" s="94" t="s">
        <v>276</v>
      </c>
      <c r="AU1626" s="94" t="s">
        <v>276</v>
      </c>
      <c r="AV1626" s="94" t="s">
        <v>268</v>
      </c>
      <c r="AW1626" s="94" t="s">
        <v>276</v>
      </c>
      <c r="AX1626" s="101">
        <f t="shared" si="458"/>
        <v>1.1074131518102048</v>
      </c>
      <c r="AY1626" s="94" t="s">
        <v>276</v>
      </c>
      <c r="AZ1626" s="94" t="s">
        <v>276</v>
      </c>
      <c r="BA1626" s="94" t="s">
        <v>276</v>
      </c>
      <c r="BB1626" s="94" t="s">
        <v>282</v>
      </c>
      <c r="BC1626" s="94" t="s">
        <v>98</v>
      </c>
      <c r="BD1626" s="94" t="s">
        <v>98</v>
      </c>
      <c r="BE1626" s="94" t="s">
        <v>98</v>
      </c>
      <c r="BF1626" s="95" t="s">
        <v>696</v>
      </c>
      <c r="BG1626" s="95"/>
      <c r="BH1626" s="9" t="s">
        <v>100</v>
      </c>
      <c r="BI1626" s="9" t="s">
        <v>100</v>
      </c>
      <c r="BJ1626" s="109"/>
      <c r="BN1626" s="109"/>
      <c r="BO1626" s="109"/>
    </row>
    <row r="1627" spans="1:67" s="110" customFormat="1" ht="65" hidden="1" x14ac:dyDescent="0.35">
      <c r="A1627" s="94">
        <v>5202</v>
      </c>
      <c r="B1627" s="94" t="s">
        <v>9964</v>
      </c>
      <c r="C1627" s="95" t="s">
        <v>9266</v>
      </c>
      <c r="D1627" s="95" t="s">
        <v>10051</v>
      </c>
      <c r="E1627" s="94" t="s">
        <v>35</v>
      </c>
      <c r="F1627" s="94" t="s">
        <v>97</v>
      </c>
      <c r="G1627" s="94" t="s">
        <v>225</v>
      </c>
      <c r="H1627" s="94" t="s">
        <v>125</v>
      </c>
      <c r="I1627" s="94" t="s">
        <v>114</v>
      </c>
      <c r="J1627" s="95" t="s">
        <v>25</v>
      </c>
      <c r="K1627" s="94" t="s">
        <v>1519</v>
      </c>
      <c r="L1627" s="94" t="s">
        <v>4151</v>
      </c>
      <c r="M1627" s="94" t="s">
        <v>300</v>
      </c>
      <c r="N1627" s="95" t="s">
        <v>9966</v>
      </c>
      <c r="O1627" s="95" t="s">
        <v>276</v>
      </c>
      <c r="P1627" s="95" t="s">
        <v>239</v>
      </c>
      <c r="Q1627" s="140">
        <v>31047</v>
      </c>
      <c r="R1627" s="95" t="s">
        <v>9999</v>
      </c>
      <c r="S1627" s="95" t="s">
        <v>10000</v>
      </c>
      <c r="T1627" s="95" t="s">
        <v>10000</v>
      </c>
      <c r="U1627" s="163" t="s">
        <v>1191</v>
      </c>
      <c r="V1627" s="94" t="s">
        <v>15</v>
      </c>
      <c r="W1627" s="94" t="s">
        <v>9350</v>
      </c>
      <c r="X1627" s="95" t="s">
        <v>207</v>
      </c>
      <c r="Y1627" s="107">
        <v>5158</v>
      </c>
      <c r="Z1627" s="99">
        <v>4975</v>
      </c>
      <c r="AA1627" s="95" t="s">
        <v>276</v>
      </c>
      <c r="AB1627" s="95" t="s">
        <v>276</v>
      </c>
      <c r="AC1627" s="94">
        <v>2</v>
      </c>
      <c r="AD1627" s="95" t="s">
        <v>968</v>
      </c>
      <c r="AE1627" s="94">
        <v>0</v>
      </c>
      <c r="AF1627" s="95" t="s">
        <v>968</v>
      </c>
      <c r="AG1627" s="95" t="s">
        <v>10052</v>
      </c>
      <c r="AH1627" s="95" t="s">
        <v>10048</v>
      </c>
      <c r="AI1627" s="99">
        <v>3</v>
      </c>
      <c r="AJ1627" s="99">
        <v>5</v>
      </c>
      <c r="AK1627" s="107">
        <v>5158</v>
      </c>
      <c r="AL1627" s="99">
        <v>4975</v>
      </c>
      <c r="AM1627" s="99" t="s">
        <v>281</v>
      </c>
      <c r="AN1627" s="94" t="s">
        <v>276</v>
      </c>
      <c r="AO1627" s="102">
        <f>AI1627*1000/AK1627</f>
        <v>0.58162078324932143</v>
      </c>
      <c r="AP1627" s="94" t="s">
        <v>276</v>
      </c>
      <c r="AQ1627" s="94" t="s">
        <v>276</v>
      </c>
      <c r="AR1627" s="94" t="s">
        <v>276</v>
      </c>
      <c r="AS1627" s="102">
        <f>AJ1627*1000/AL1627</f>
        <v>1.0050251256281406</v>
      </c>
      <c r="AT1627" s="94" t="s">
        <v>276</v>
      </c>
      <c r="AU1627" s="94" t="s">
        <v>276</v>
      </c>
      <c r="AV1627" s="94" t="s">
        <v>268</v>
      </c>
      <c r="AW1627" s="94" t="s">
        <v>276</v>
      </c>
      <c r="AX1627" s="101">
        <f t="shared" si="458"/>
        <v>0.57871267933307491</v>
      </c>
      <c r="AY1627" s="94" t="s">
        <v>276</v>
      </c>
      <c r="AZ1627" s="94" t="s">
        <v>276</v>
      </c>
      <c r="BA1627" s="94" t="s">
        <v>431</v>
      </c>
      <c r="BB1627" s="94" t="s">
        <v>282</v>
      </c>
      <c r="BC1627" s="94" t="s">
        <v>98</v>
      </c>
      <c r="BD1627" s="94" t="s">
        <v>98</v>
      </c>
      <c r="BE1627" s="94" t="s">
        <v>98</v>
      </c>
      <c r="BF1627" s="95" t="s">
        <v>10006</v>
      </c>
      <c r="BG1627" s="95"/>
      <c r="BH1627" s="9" t="s">
        <v>100</v>
      </c>
      <c r="BI1627" s="9" t="s">
        <v>100</v>
      </c>
      <c r="BJ1627" s="109"/>
      <c r="BN1627" s="109"/>
      <c r="BO1627" s="109"/>
    </row>
    <row r="1628" spans="1:67" s="110" customFormat="1" ht="65" hidden="1" x14ac:dyDescent="0.35">
      <c r="A1628" s="94">
        <v>5202</v>
      </c>
      <c r="B1628" s="94" t="s">
        <v>9964</v>
      </c>
      <c r="C1628" s="95" t="s">
        <v>9266</v>
      </c>
      <c r="D1628" s="95" t="s">
        <v>10053</v>
      </c>
      <c r="E1628" s="94" t="s">
        <v>35</v>
      </c>
      <c r="F1628" s="94" t="s">
        <v>97</v>
      </c>
      <c r="G1628" s="94" t="s">
        <v>225</v>
      </c>
      <c r="H1628" s="94" t="s">
        <v>125</v>
      </c>
      <c r="I1628" s="94" t="s">
        <v>114</v>
      </c>
      <c r="J1628" s="95" t="s">
        <v>25</v>
      </c>
      <c r="K1628" s="94" t="s">
        <v>7801</v>
      </c>
      <c r="L1628" s="94" t="s">
        <v>4151</v>
      </c>
      <c r="M1628" s="94" t="s">
        <v>300</v>
      </c>
      <c r="N1628" s="95" t="s">
        <v>9966</v>
      </c>
      <c r="O1628" s="95" t="s">
        <v>276</v>
      </c>
      <c r="P1628" s="95" t="s">
        <v>239</v>
      </c>
      <c r="Q1628" s="140">
        <v>31047</v>
      </c>
      <c r="R1628" s="95" t="s">
        <v>9999</v>
      </c>
      <c r="S1628" s="95" t="s">
        <v>10000</v>
      </c>
      <c r="T1628" s="95" t="s">
        <v>10000</v>
      </c>
      <c r="U1628" s="163" t="s">
        <v>1191</v>
      </c>
      <c r="V1628" s="94" t="s">
        <v>15</v>
      </c>
      <c r="W1628" s="94" t="s">
        <v>9350</v>
      </c>
      <c r="X1628" s="95" t="s">
        <v>207</v>
      </c>
      <c r="Y1628" s="107">
        <v>5158</v>
      </c>
      <c r="Z1628" s="99">
        <v>4975</v>
      </c>
      <c r="AA1628" s="95" t="s">
        <v>276</v>
      </c>
      <c r="AB1628" s="95" t="s">
        <v>276</v>
      </c>
      <c r="AC1628" s="94">
        <v>2</v>
      </c>
      <c r="AD1628" s="95" t="s">
        <v>968</v>
      </c>
      <c r="AE1628" s="94">
        <v>0</v>
      </c>
      <c r="AF1628" s="95" t="s">
        <v>968</v>
      </c>
      <c r="AG1628" s="95" t="s">
        <v>10054</v>
      </c>
      <c r="AH1628" s="95" t="s">
        <v>10048</v>
      </c>
      <c r="AI1628" s="99">
        <v>34</v>
      </c>
      <c r="AJ1628" s="99">
        <v>32</v>
      </c>
      <c r="AK1628" s="107">
        <v>5158</v>
      </c>
      <c r="AL1628" s="99">
        <v>4975</v>
      </c>
      <c r="AM1628" s="99" t="s">
        <v>281</v>
      </c>
      <c r="AN1628" s="94" t="s">
        <v>276</v>
      </c>
      <c r="AO1628" s="102">
        <f>AI1628*1000/AK1628</f>
        <v>6.5917022101589762</v>
      </c>
      <c r="AP1628" s="94" t="s">
        <v>276</v>
      </c>
      <c r="AQ1628" s="94" t="s">
        <v>276</v>
      </c>
      <c r="AR1628" s="94" t="s">
        <v>276</v>
      </c>
      <c r="AS1628" s="102">
        <f>AJ1628*1000/AL1628</f>
        <v>6.4321608040201008</v>
      </c>
      <c r="AT1628" s="94" t="s">
        <v>276</v>
      </c>
      <c r="AU1628" s="94" t="s">
        <v>276</v>
      </c>
      <c r="AV1628" s="94" t="s">
        <v>268</v>
      </c>
      <c r="AW1628" s="94" t="s">
        <v>276</v>
      </c>
      <c r="AX1628" s="101">
        <f t="shared" si="458"/>
        <v>1.0248037029856534</v>
      </c>
      <c r="AY1628" s="94" t="s">
        <v>276</v>
      </c>
      <c r="AZ1628" s="94" t="s">
        <v>276</v>
      </c>
      <c r="BA1628" s="94" t="s">
        <v>276</v>
      </c>
      <c r="BB1628" s="94" t="s">
        <v>282</v>
      </c>
      <c r="BC1628" s="94" t="s">
        <v>98</v>
      </c>
      <c r="BD1628" s="94" t="s">
        <v>98</v>
      </c>
      <c r="BE1628" s="94" t="s">
        <v>98</v>
      </c>
      <c r="BF1628" s="95" t="s">
        <v>696</v>
      </c>
      <c r="BG1628" s="95"/>
      <c r="BH1628" s="9" t="s">
        <v>100</v>
      </c>
      <c r="BI1628" s="9" t="s">
        <v>100</v>
      </c>
      <c r="BJ1628" s="109"/>
      <c r="BN1628" s="109"/>
      <c r="BO1628" s="109"/>
    </row>
    <row r="1629" spans="1:67" s="110" customFormat="1" ht="65" hidden="1" x14ac:dyDescent="0.35">
      <c r="A1629" s="94">
        <v>5202</v>
      </c>
      <c r="B1629" s="94" t="s">
        <v>9964</v>
      </c>
      <c r="C1629" s="95" t="s">
        <v>9266</v>
      </c>
      <c r="D1629" s="95" t="s">
        <v>10055</v>
      </c>
      <c r="E1629" s="94" t="s">
        <v>35</v>
      </c>
      <c r="F1629" s="94" t="s">
        <v>97</v>
      </c>
      <c r="G1629" s="94" t="s">
        <v>225</v>
      </c>
      <c r="H1629" s="94" t="s">
        <v>125</v>
      </c>
      <c r="I1629" s="94" t="s">
        <v>114</v>
      </c>
      <c r="J1629" s="95" t="s">
        <v>25</v>
      </c>
      <c r="K1629" s="94" t="s">
        <v>7801</v>
      </c>
      <c r="L1629" s="94" t="s">
        <v>4151</v>
      </c>
      <c r="M1629" s="94" t="s">
        <v>300</v>
      </c>
      <c r="N1629" s="95" t="s">
        <v>9966</v>
      </c>
      <c r="O1629" s="95" t="s">
        <v>276</v>
      </c>
      <c r="P1629" s="95" t="s">
        <v>235</v>
      </c>
      <c r="Q1629" s="140">
        <v>31047</v>
      </c>
      <c r="R1629" s="95" t="s">
        <v>9999</v>
      </c>
      <c r="S1629" s="95" t="s">
        <v>10000</v>
      </c>
      <c r="T1629" s="95" t="s">
        <v>10000</v>
      </c>
      <c r="U1629" s="163" t="s">
        <v>1191</v>
      </c>
      <c r="V1629" s="94" t="s">
        <v>15</v>
      </c>
      <c r="W1629" s="94" t="s">
        <v>9350</v>
      </c>
      <c r="X1629" s="95" t="s">
        <v>207</v>
      </c>
      <c r="Y1629" s="107" t="s">
        <v>98</v>
      </c>
      <c r="Z1629" s="99" t="s">
        <v>98</v>
      </c>
      <c r="AA1629" s="95" t="s">
        <v>276</v>
      </c>
      <c r="AB1629" s="95" t="s">
        <v>276</v>
      </c>
      <c r="AC1629" s="94">
        <v>2</v>
      </c>
      <c r="AD1629" s="95" t="s">
        <v>968</v>
      </c>
      <c r="AE1629" s="94">
        <v>0</v>
      </c>
      <c r="AF1629" s="95" t="s">
        <v>968</v>
      </c>
      <c r="AG1629" s="95" t="s">
        <v>10054</v>
      </c>
      <c r="AH1629" s="95" t="s">
        <v>10056</v>
      </c>
      <c r="AI1629" s="99">
        <v>34</v>
      </c>
      <c r="AJ1629" s="99">
        <v>32</v>
      </c>
      <c r="AK1629" s="107">
        <v>92</v>
      </c>
      <c r="AL1629" s="99">
        <v>51</v>
      </c>
      <c r="AM1629" s="99" t="s">
        <v>292</v>
      </c>
      <c r="AN1629" s="94" t="s">
        <v>276</v>
      </c>
      <c r="AO1629" s="102">
        <f>AI1629*100/AK1629</f>
        <v>36.956521739130437</v>
      </c>
      <c r="AP1629" s="94" t="s">
        <v>276</v>
      </c>
      <c r="AQ1629" s="94" t="s">
        <v>276</v>
      </c>
      <c r="AR1629" s="94" t="s">
        <v>276</v>
      </c>
      <c r="AS1629" s="102">
        <f>AJ1629*100/AL1629</f>
        <v>62.745098039215684</v>
      </c>
      <c r="AT1629" s="94" t="s">
        <v>276</v>
      </c>
      <c r="AU1629" s="94" t="s">
        <v>276</v>
      </c>
      <c r="AV1629" s="94" t="s">
        <v>268</v>
      </c>
      <c r="AW1629" s="94" t="s">
        <v>276</v>
      </c>
      <c r="AX1629" s="101">
        <f t="shared" si="458"/>
        <v>0.58899456521739135</v>
      </c>
      <c r="AY1629" s="94" t="s">
        <v>276</v>
      </c>
      <c r="AZ1629" s="94" t="s">
        <v>276</v>
      </c>
      <c r="BA1629" s="94" t="s">
        <v>276</v>
      </c>
      <c r="BB1629" s="94" t="s">
        <v>282</v>
      </c>
      <c r="BC1629" s="94" t="s">
        <v>98</v>
      </c>
      <c r="BD1629" s="94" t="s">
        <v>98</v>
      </c>
      <c r="BE1629" s="94" t="s">
        <v>98</v>
      </c>
      <c r="BF1629" s="95" t="s">
        <v>696</v>
      </c>
      <c r="BG1629" s="95"/>
      <c r="BH1629" s="9" t="s">
        <v>100</v>
      </c>
      <c r="BI1629" s="9" t="s">
        <v>100</v>
      </c>
      <c r="BJ1629" s="109"/>
      <c r="BN1629" s="109"/>
      <c r="BO1629" s="109"/>
    </row>
    <row r="1630" spans="1:67" s="137" customFormat="1" ht="52" hidden="1" x14ac:dyDescent="0.35">
      <c r="A1630" s="126">
        <v>4099</v>
      </c>
      <c r="B1630" s="126" t="s">
        <v>9251</v>
      </c>
      <c r="C1630" s="127" t="s">
        <v>62</v>
      </c>
      <c r="D1630" s="127" t="s">
        <v>9998</v>
      </c>
      <c r="E1630" s="126" t="s">
        <v>35</v>
      </c>
      <c r="F1630" s="126" t="s">
        <v>97</v>
      </c>
      <c r="G1630" s="126" t="s">
        <v>225</v>
      </c>
      <c r="H1630" s="126" t="s">
        <v>125</v>
      </c>
      <c r="I1630" s="126" t="s">
        <v>114</v>
      </c>
      <c r="J1630" s="127" t="s">
        <v>25</v>
      </c>
      <c r="K1630" s="126" t="s">
        <v>1499</v>
      </c>
      <c r="L1630" s="126" t="s">
        <v>4151</v>
      </c>
      <c r="M1630" s="126" t="s">
        <v>300</v>
      </c>
      <c r="N1630" s="127" t="s">
        <v>10057</v>
      </c>
      <c r="O1630" s="127" t="s">
        <v>276</v>
      </c>
      <c r="P1630" s="127" t="s">
        <v>239</v>
      </c>
      <c r="Q1630" s="146">
        <v>31047</v>
      </c>
      <c r="R1630" s="127" t="s">
        <v>278</v>
      </c>
      <c r="S1630" s="127" t="s">
        <v>9255</v>
      </c>
      <c r="T1630" s="127" t="s">
        <v>9256</v>
      </c>
      <c r="U1630" s="167" t="s">
        <v>1719</v>
      </c>
      <c r="V1630" s="126" t="s">
        <v>15</v>
      </c>
      <c r="W1630" s="126" t="s">
        <v>9254</v>
      </c>
      <c r="X1630" s="127" t="s">
        <v>207</v>
      </c>
      <c r="Y1630" s="132">
        <v>78085</v>
      </c>
      <c r="Z1630" s="134">
        <v>56782</v>
      </c>
      <c r="AA1630" s="127" t="s">
        <v>276</v>
      </c>
      <c r="AB1630" s="127" t="s">
        <v>276</v>
      </c>
      <c r="AC1630" s="126">
        <v>43</v>
      </c>
      <c r="AD1630" s="127" t="s">
        <v>10058</v>
      </c>
      <c r="AE1630" s="126">
        <v>10</v>
      </c>
      <c r="AF1630" s="127" t="s">
        <v>10058</v>
      </c>
      <c r="AG1630" s="127" t="s">
        <v>10059</v>
      </c>
      <c r="AH1630" s="127" t="s">
        <v>9258</v>
      </c>
      <c r="AI1630" s="134">
        <v>616</v>
      </c>
      <c r="AJ1630" s="134">
        <v>209</v>
      </c>
      <c r="AK1630" s="132">
        <v>78085</v>
      </c>
      <c r="AL1630" s="134">
        <v>56782</v>
      </c>
      <c r="AM1630" s="134" t="s">
        <v>281</v>
      </c>
      <c r="AN1630" s="126">
        <v>7.9</v>
      </c>
      <c r="AO1630" s="135">
        <f>AI1630*1000/AK1630</f>
        <v>7.8888390856118331</v>
      </c>
      <c r="AP1630" s="126" t="s">
        <v>276</v>
      </c>
      <c r="AQ1630" s="126" t="s">
        <v>276</v>
      </c>
      <c r="AR1630" s="126">
        <v>3.7</v>
      </c>
      <c r="AS1630" s="135">
        <f>AJ1630*1000/AL1630</f>
        <v>3.6807438977140645</v>
      </c>
      <c r="AT1630" s="126" t="s">
        <v>276</v>
      </c>
      <c r="AU1630" s="126" t="s">
        <v>276</v>
      </c>
      <c r="AV1630" s="126" t="s">
        <v>268</v>
      </c>
      <c r="AW1630" s="126" t="s">
        <v>276</v>
      </c>
      <c r="AX1630" s="148">
        <f t="shared" si="458"/>
        <v>2.1432730189435936</v>
      </c>
      <c r="AY1630" s="126" t="s">
        <v>276</v>
      </c>
      <c r="AZ1630" s="126" t="s">
        <v>276</v>
      </c>
      <c r="BA1630" s="126" t="s">
        <v>276</v>
      </c>
      <c r="BB1630" s="126" t="s">
        <v>282</v>
      </c>
      <c r="BC1630" s="126" t="s">
        <v>98</v>
      </c>
      <c r="BD1630" s="126" t="s">
        <v>98</v>
      </c>
      <c r="BE1630" s="126" t="s">
        <v>98</v>
      </c>
      <c r="BF1630" s="127" t="s">
        <v>4694</v>
      </c>
      <c r="BG1630" s="127"/>
      <c r="BH1630" s="9" t="s">
        <v>100</v>
      </c>
      <c r="BI1630" s="9" t="s">
        <v>100</v>
      </c>
      <c r="BJ1630" s="136"/>
      <c r="BN1630" s="136"/>
      <c r="BO1630" s="136"/>
    </row>
    <row r="1631" spans="1:67" s="137" customFormat="1" ht="52" hidden="1" x14ac:dyDescent="0.35">
      <c r="A1631" s="126">
        <v>4099</v>
      </c>
      <c r="B1631" s="126" t="s">
        <v>9251</v>
      </c>
      <c r="C1631" s="127" t="s">
        <v>62</v>
      </c>
      <c r="D1631" s="127" t="s">
        <v>10060</v>
      </c>
      <c r="E1631" s="126" t="s">
        <v>35</v>
      </c>
      <c r="F1631" s="126" t="s">
        <v>97</v>
      </c>
      <c r="G1631" s="126" t="s">
        <v>225</v>
      </c>
      <c r="H1631" s="126" t="s">
        <v>125</v>
      </c>
      <c r="I1631" s="126" t="s">
        <v>114</v>
      </c>
      <c r="J1631" s="127" t="s">
        <v>25</v>
      </c>
      <c r="K1631" s="126" t="s">
        <v>7801</v>
      </c>
      <c r="L1631" s="126" t="s">
        <v>4151</v>
      </c>
      <c r="M1631" s="126" t="s">
        <v>300</v>
      </c>
      <c r="N1631" s="127" t="s">
        <v>10057</v>
      </c>
      <c r="O1631" s="127" t="s">
        <v>276</v>
      </c>
      <c r="P1631" s="127" t="s">
        <v>239</v>
      </c>
      <c r="Q1631" s="146">
        <v>31047</v>
      </c>
      <c r="R1631" s="127" t="s">
        <v>278</v>
      </c>
      <c r="S1631" s="127" t="s">
        <v>9255</v>
      </c>
      <c r="T1631" s="127" t="s">
        <v>9256</v>
      </c>
      <c r="U1631" s="167" t="s">
        <v>1719</v>
      </c>
      <c r="V1631" s="126" t="s">
        <v>15</v>
      </c>
      <c r="W1631" s="126" t="s">
        <v>9254</v>
      </c>
      <c r="X1631" s="127" t="s">
        <v>207</v>
      </c>
      <c r="Y1631" s="132">
        <v>78085</v>
      </c>
      <c r="Z1631" s="134">
        <v>56782</v>
      </c>
      <c r="AA1631" s="127" t="s">
        <v>276</v>
      </c>
      <c r="AB1631" s="127" t="s">
        <v>276</v>
      </c>
      <c r="AC1631" s="126">
        <v>43</v>
      </c>
      <c r="AD1631" s="127" t="s">
        <v>10058</v>
      </c>
      <c r="AE1631" s="126">
        <v>10</v>
      </c>
      <c r="AF1631" s="127" t="s">
        <v>10058</v>
      </c>
      <c r="AG1631" s="127" t="s">
        <v>10061</v>
      </c>
      <c r="AH1631" s="127" t="s">
        <v>9258</v>
      </c>
      <c r="AI1631" s="134">
        <v>409</v>
      </c>
      <c r="AJ1631" s="134">
        <v>376</v>
      </c>
      <c r="AK1631" s="132">
        <v>78085</v>
      </c>
      <c r="AL1631" s="134">
        <v>56782</v>
      </c>
      <c r="AM1631" s="134" t="s">
        <v>281</v>
      </c>
      <c r="AN1631" s="126">
        <v>5.2</v>
      </c>
      <c r="AO1631" s="135">
        <f>AI1631*1000/AK1631</f>
        <v>5.2378817954792858</v>
      </c>
      <c r="AP1631" s="126" t="s">
        <v>276</v>
      </c>
      <c r="AQ1631" s="126" t="s">
        <v>276</v>
      </c>
      <c r="AR1631" s="126">
        <v>6.6</v>
      </c>
      <c r="AS1631" s="135">
        <f>AJ1631*1000/AL1631</f>
        <v>6.6218167729209965</v>
      </c>
      <c r="AT1631" s="126" t="s">
        <v>276</v>
      </c>
      <c r="AU1631" s="126" t="s">
        <v>276</v>
      </c>
      <c r="AV1631" s="126" t="s">
        <v>268</v>
      </c>
      <c r="AW1631" s="126" t="s">
        <v>276</v>
      </c>
      <c r="AX1631" s="148">
        <f t="shared" si="458"/>
        <v>0.7910037343375127</v>
      </c>
      <c r="AY1631" s="126" t="s">
        <v>276</v>
      </c>
      <c r="AZ1631" s="126" t="s">
        <v>276</v>
      </c>
      <c r="BA1631" s="126" t="s">
        <v>276</v>
      </c>
      <c r="BB1631" s="126" t="s">
        <v>9259</v>
      </c>
      <c r="BC1631" s="126">
        <v>0.75</v>
      </c>
      <c r="BD1631" s="126" t="s">
        <v>276</v>
      </c>
      <c r="BE1631" s="126" t="s">
        <v>276</v>
      </c>
      <c r="BF1631" s="127" t="s">
        <v>10062</v>
      </c>
      <c r="BG1631" s="127"/>
      <c r="BH1631" s="9" t="s">
        <v>100</v>
      </c>
      <c r="BI1631" s="9" t="s">
        <v>100</v>
      </c>
      <c r="BJ1631" s="136"/>
      <c r="BN1631" s="136"/>
      <c r="BO1631" s="136"/>
    </row>
    <row r="1632" spans="1:67" s="172" customFormat="1" ht="78" hidden="1" x14ac:dyDescent="0.35">
      <c r="A1632" s="150">
        <v>4099</v>
      </c>
      <c r="B1632" s="150" t="s">
        <v>9251</v>
      </c>
      <c r="C1632" s="151" t="s">
        <v>62</v>
      </c>
      <c r="D1632" s="151" t="s">
        <v>10063</v>
      </c>
      <c r="E1632" s="150" t="s">
        <v>35</v>
      </c>
      <c r="F1632" s="150" t="s">
        <v>97</v>
      </c>
      <c r="G1632" s="150" t="s">
        <v>225</v>
      </c>
      <c r="H1632" s="150" t="s">
        <v>125</v>
      </c>
      <c r="I1632" s="150" t="s">
        <v>114</v>
      </c>
      <c r="J1632" s="151" t="s">
        <v>117</v>
      </c>
      <c r="K1632" s="151" t="s">
        <v>10064</v>
      </c>
      <c r="L1632" s="150" t="s">
        <v>4151</v>
      </c>
      <c r="M1632" s="150" t="s">
        <v>300</v>
      </c>
      <c r="N1632" s="151" t="s">
        <v>10057</v>
      </c>
      <c r="O1632" s="151" t="s">
        <v>276</v>
      </c>
      <c r="P1632" s="151" t="s">
        <v>239</v>
      </c>
      <c r="Q1632" s="154">
        <v>31047</v>
      </c>
      <c r="R1632" s="151" t="s">
        <v>278</v>
      </c>
      <c r="S1632" s="151" t="s">
        <v>9255</v>
      </c>
      <c r="T1632" s="151" t="s">
        <v>9256</v>
      </c>
      <c r="U1632" s="168" t="s">
        <v>1719</v>
      </c>
      <c r="V1632" s="150" t="s">
        <v>15</v>
      </c>
      <c r="W1632" s="150" t="s">
        <v>9254</v>
      </c>
      <c r="X1632" s="151" t="s">
        <v>207</v>
      </c>
      <c r="Y1632" s="155">
        <v>78085</v>
      </c>
      <c r="Z1632" s="156">
        <v>56782</v>
      </c>
      <c r="AA1632" s="151" t="s">
        <v>276</v>
      </c>
      <c r="AB1632" s="151" t="s">
        <v>276</v>
      </c>
      <c r="AC1632" s="150">
        <v>43</v>
      </c>
      <c r="AD1632" s="151" t="s">
        <v>10058</v>
      </c>
      <c r="AE1632" s="150">
        <v>10</v>
      </c>
      <c r="AF1632" s="151" t="s">
        <v>10058</v>
      </c>
      <c r="AG1632" s="151" t="s">
        <v>10065</v>
      </c>
      <c r="AH1632" s="151" t="s">
        <v>9258</v>
      </c>
      <c r="AI1632" s="156">
        <v>284</v>
      </c>
      <c r="AJ1632" s="156">
        <v>253</v>
      </c>
      <c r="AK1632" s="155">
        <v>78085</v>
      </c>
      <c r="AL1632" s="156">
        <v>56782</v>
      </c>
      <c r="AM1632" s="156" t="s">
        <v>281</v>
      </c>
      <c r="AN1632" s="150">
        <v>3.6</v>
      </c>
      <c r="AO1632" s="159">
        <f>AI1632*1000/AK1632</f>
        <v>3.6370621758340271</v>
      </c>
      <c r="AP1632" s="150" t="s">
        <v>276</v>
      </c>
      <c r="AQ1632" s="150" t="s">
        <v>276</v>
      </c>
      <c r="AR1632" s="150">
        <v>4.5</v>
      </c>
      <c r="AS1632" s="159">
        <f>AJ1632*1000/AL1632</f>
        <v>4.4556373498643937</v>
      </c>
      <c r="AT1632" s="150" t="s">
        <v>276</v>
      </c>
      <c r="AU1632" s="150" t="s">
        <v>276</v>
      </c>
      <c r="AV1632" s="150" t="s">
        <v>268</v>
      </c>
      <c r="AW1632" s="150" t="s">
        <v>276</v>
      </c>
      <c r="AX1632" s="158">
        <f t="shared" si="458"/>
        <v>0.81628325876761942</v>
      </c>
      <c r="AY1632" s="150" t="s">
        <v>276</v>
      </c>
      <c r="AZ1632" s="150" t="s">
        <v>276</v>
      </c>
      <c r="BA1632" s="150" t="s">
        <v>276</v>
      </c>
      <c r="BB1632" s="150" t="s">
        <v>282</v>
      </c>
      <c r="BC1632" s="150" t="s">
        <v>98</v>
      </c>
      <c r="BD1632" s="150" t="s">
        <v>98</v>
      </c>
      <c r="BE1632" s="150" t="s">
        <v>98</v>
      </c>
      <c r="BF1632" s="151" t="s">
        <v>4694</v>
      </c>
      <c r="BG1632" s="151"/>
      <c r="BH1632" s="9" t="s">
        <v>100</v>
      </c>
      <c r="BI1632" s="9" t="s">
        <v>100</v>
      </c>
      <c r="BJ1632" s="171"/>
      <c r="BN1632" s="171"/>
      <c r="BO1632" s="171"/>
    </row>
    <row r="1633" spans="1:67" s="137" customFormat="1" ht="52" hidden="1" x14ac:dyDescent="0.35">
      <c r="A1633" s="126">
        <v>4099</v>
      </c>
      <c r="B1633" s="126" t="s">
        <v>9251</v>
      </c>
      <c r="C1633" s="127" t="s">
        <v>62</v>
      </c>
      <c r="D1633" s="127" t="s">
        <v>10066</v>
      </c>
      <c r="E1633" s="126" t="s">
        <v>35</v>
      </c>
      <c r="F1633" s="126" t="s">
        <v>97</v>
      </c>
      <c r="G1633" s="126" t="s">
        <v>225</v>
      </c>
      <c r="H1633" s="126" t="s">
        <v>125</v>
      </c>
      <c r="I1633" s="126" t="s">
        <v>114</v>
      </c>
      <c r="J1633" s="127" t="s">
        <v>32</v>
      </c>
      <c r="K1633" s="126" t="s">
        <v>9976</v>
      </c>
      <c r="L1633" s="126" t="s">
        <v>4151</v>
      </c>
      <c r="M1633" s="126" t="s">
        <v>300</v>
      </c>
      <c r="N1633" s="127" t="s">
        <v>10057</v>
      </c>
      <c r="O1633" s="127" t="s">
        <v>276</v>
      </c>
      <c r="P1633" s="127" t="s">
        <v>239</v>
      </c>
      <c r="Q1633" s="146">
        <v>31047</v>
      </c>
      <c r="R1633" s="127" t="s">
        <v>278</v>
      </c>
      <c r="S1633" s="127" t="s">
        <v>9255</v>
      </c>
      <c r="T1633" s="127" t="s">
        <v>9256</v>
      </c>
      <c r="U1633" s="167" t="s">
        <v>1719</v>
      </c>
      <c r="V1633" s="126" t="s">
        <v>15</v>
      </c>
      <c r="W1633" s="126" t="s">
        <v>9254</v>
      </c>
      <c r="X1633" s="127" t="s">
        <v>207</v>
      </c>
      <c r="Y1633" s="132">
        <v>78085</v>
      </c>
      <c r="Z1633" s="134">
        <v>56782</v>
      </c>
      <c r="AA1633" s="127" t="s">
        <v>276</v>
      </c>
      <c r="AB1633" s="127" t="s">
        <v>276</v>
      </c>
      <c r="AC1633" s="126">
        <v>0</v>
      </c>
      <c r="AD1633" s="127" t="s">
        <v>98</v>
      </c>
      <c r="AE1633" s="126">
        <v>0</v>
      </c>
      <c r="AF1633" s="127" t="s">
        <v>98</v>
      </c>
      <c r="AG1633" s="127" t="s">
        <v>10067</v>
      </c>
      <c r="AH1633" s="127" t="s">
        <v>9258</v>
      </c>
      <c r="AI1633" s="134">
        <v>98</v>
      </c>
      <c r="AJ1633" s="134">
        <v>15</v>
      </c>
      <c r="AK1633" s="132">
        <v>78085</v>
      </c>
      <c r="AL1633" s="134">
        <v>56782</v>
      </c>
      <c r="AM1633" s="134" t="s">
        <v>281</v>
      </c>
      <c r="AN1633" s="126">
        <v>1.3</v>
      </c>
      <c r="AO1633" s="135">
        <f>AI1633*1000/AK1633</f>
        <v>1.2550425818018827</v>
      </c>
      <c r="AP1633" s="126" t="s">
        <v>276</v>
      </c>
      <c r="AQ1633" s="126" t="s">
        <v>276</v>
      </c>
      <c r="AR1633" s="126">
        <v>0.4</v>
      </c>
      <c r="AS1633" s="135">
        <f>AJ1633*1000/AL1633</f>
        <v>0.26416822232397591</v>
      </c>
      <c r="AT1633" s="126" t="s">
        <v>276</v>
      </c>
      <c r="AU1633" s="126" t="s">
        <v>276</v>
      </c>
      <c r="AV1633" s="126" t="s">
        <v>268</v>
      </c>
      <c r="AW1633" s="126" t="s">
        <v>276</v>
      </c>
      <c r="AX1633" s="148">
        <f t="shared" ref="AX1633" si="459">AO1633/AS1633</f>
        <v>4.7509218586583</v>
      </c>
      <c r="AY1633" s="126" t="s">
        <v>276</v>
      </c>
      <c r="AZ1633" s="126" t="s">
        <v>276</v>
      </c>
      <c r="BA1633" s="126" t="s">
        <v>276</v>
      </c>
      <c r="BB1633" s="126" t="s">
        <v>282</v>
      </c>
      <c r="BC1633" s="126" t="s">
        <v>98</v>
      </c>
      <c r="BD1633" s="126" t="s">
        <v>98</v>
      </c>
      <c r="BE1633" s="126" t="s">
        <v>98</v>
      </c>
      <c r="BF1633" s="127" t="s">
        <v>4694</v>
      </c>
      <c r="BG1633" s="127"/>
      <c r="BH1633" s="9" t="s">
        <v>100</v>
      </c>
      <c r="BI1633" s="9" t="s">
        <v>100</v>
      </c>
      <c r="BJ1633" s="136"/>
      <c r="BN1633" s="136"/>
      <c r="BO1633" s="136"/>
    </row>
    <row r="1634" spans="1:67" s="137" customFormat="1" ht="65" hidden="1" x14ac:dyDescent="0.35">
      <c r="A1634" s="126">
        <v>4099</v>
      </c>
      <c r="B1634" s="126" t="s">
        <v>9251</v>
      </c>
      <c r="C1634" s="127" t="s">
        <v>62</v>
      </c>
      <c r="D1634" s="127" t="s">
        <v>11626</v>
      </c>
      <c r="E1634" s="126" t="s">
        <v>35</v>
      </c>
      <c r="F1634" s="126" t="s">
        <v>97</v>
      </c>
      <c r="G1634" s="126" t="s">
        <v>225</v>
      </c>
      <c r="H1634" s="126" t="s">
        <v>125</v>
      </c>
      <c r="I1634" s="126" t="s">
        <v>114</v>
      </c>
      <c r="J1634" s="127" t="s">
        <v>32</v>
      </c>
      <c r="K1634" s="126" t="s">
        <v>11627</v>
      </c>
      <c r="L1634" s="126" t="s">
        <v>4151</v>
      </c>
      <c r="M1634" s="126" t="s">
        <v>300</v>
      </c>
      <c r="N1634" s="127" t="s">
        <v>10057</v>
      </c>
      <c r="O1634" s="127" t="s">
        <v>276</v>
      </c>
      <c r="P1634" s="127" t="s">
        <v>239</v>
      </c>
      <c r="Q1634" s="146">
        <v>31047</v>
      </c>
      <c r="R1634" s="127" t="s">
        <v>278</v>
      </c>
      <c r="S1634" s="127" t="s">
        <v>9255</v>
      </c>
      <c r="T1634" s="127" t="s">
        <v>9256</v>
      </c>
      <c r="U1634" s="167" t="s">
        <v>1719</v>
      </c>
      <c r="V1634" s="126" t="s">
        <v>15</v>
      </c>
      <c r="W1634" s="126" t="s">
        <v>9254</v>
      </c>
      <c r="X1634" s="127" t="s">
        <v>207</v>
      </c>
      <c r="Y1634" s="132">
        <v>78085</v>
      </c>
      <c r="Z1634" s="134">
        <v>56782</v>
      </c>
      <c r="AA1634" s="127" t="s">
        <v>276</v>
      </c>
      <c r="AB1634" s="127" t="s">
        <v>276</v>
      </c>
      <c r="AC1634" s="126">
        <v>0</v>
      </c>
      <c r="AD1634" s="127" t="s">
        <v>98</v>
      </c>
      <c r="AE1634" s="126">
        <v>0</v>
      </c>
      <c r="AF1634" s="127" t="s">
        <v>98</v>
      </c>
      <c r="AG1634" s="127" t="s">
        <v>11628</v>
      </c>
      <c r="AH1634" s="127" t="s">
        <v>9258</v>
      </c>
      <c r="AI1634" s="134">
        <f>98+616</f>
        <v>714</v>
      </c>
      <c r="AJ1634" s="134">
        <f>15+209</f>
        <v>224</v>
      </c>
      <c r="AK1634" s="132">
        <v>78085</v>
      </c>
      <c r="AL1634" s="134">
        <v>56782</v>
      </c>
      <c r="AM1634" s="134" t="s">
        <v>281</v>
      </c>
      <c r="AN1634" s="126">
        <v>1.3</v>
      </c>
      <c r="AO1634" s="135">
        <f>AI1634*1000/AK1634</f>
        <v>9.1438816674137158</v>
      </c>
      <c r="AP1634" s="126" t="s">
        <v>276</v>
      </c>
      <c r="AQ1634" s="126" t="s">
        <v>276</v>
      </c>
      <c r="AR1634" s="126">
        <v>0.4</v>
      </c>
      <c r="AS1634" s="135">
        <f>AJ1634*1000/AL1634</f>
        <v>3.9449121200380404</v>
      </c>
      <c r="AT1634" s="126" t="s">
        <v>276</v>
      </c>
      <c r="AU1634" s="126" t="s">
        <v>276</v>
      </c>
      <c r="AV1634" s="126" t="s">
        <v>268</v>
      </c>
      <c r="AW1634" s="126" t="s">
        <v>276</v>
      </c>
      <c r="AX1634" s="148">
        <f t="shared" si="458"/>
        <v>2.3178923608887749</v>
      </c>
      <c r="AY1634" s="126" t="s">
        <v>276</v>
      </c>
      <c r="AZ1634" s="126" t="s">
        <v>276</v>
      </c>
      <c r="BA1634" s="126" t="s">
        <v>276</v>
      </c>
      <c r="BB1634" s="126" t="s">
        <v>282</v>
      </c>
      <c r="BC1634" s="126" t="s">
        <v>98</v>
      </c>
      <c r="BD1634" s="126" t="s">
        <v>98</v>
      </c>
      <c r="BE1634" s="126" t="s">
        <v>98</v>
      </c>
      <c r="BF1634" s="127" t="s">
        <v>4694</v>
      </c>
      <c r="BG1634" s="127"/>
      <c r="BH1634" s="9" t="s">
        <v>100</v>
      </c>
      <c r="BI1634" s="9" t="s">
        <v>100</v>
      </c>
      <c r="BJ1634" s="136"/>
      <c r="BN1634" s="136"/>
      <c r="BO1634" s="136"/>
    </row>
    <row r="1635" spans="1:67" s="137" customFormat="1" ht="52" hidden="1" x14ac:dyDescent="0.35">
      <c r="A1635" s="126">
        <v>4099</v>
      </c>
      <c r="B1635" s="126" t="s">
        <v>9251</v>
      </c>
      <c r="C1635" s="127" t="s">
        <v>62</v>
      </c>
      <c r="D1635" s="127" t="s">
        <v>10068</v>
      </c>
      <c r="E1635" s="126" t="s">
        <v>35</v>
      </c>
      <c r="F1635" s="126" t="s">
        <v>97</v>
      </c>
      <c r="G1635" s="126" t="s">
        <v>225</v>
      </c>
      <c r="H1635" s="126" t="s">
        <v>125</v>
      </c>
      <c r="I1635" s="126" t="s">
        <v>114</v>
      </c>
      <c r="J1635" s="127" t="s">
        <v>25</v>
      </c>
      <c r="K1635" s="126" t="s">
        <v>7801</v>
      </c>
      <c r="L1635" s="126" t="s">
        <v>4151</v>
      </c>
      <c r="M1635" s="126" t="s">
        <v>300</v>
      </c>
      <c r="N1635" s="127" t="s">
        <v>276</v>
      </c>
      <c r="O1635" s="127" t="s">
        <v>276</v>
      </c>
      <c r="P1635" s="127" t="s">
        <v>235</v>
      </c>
      <c r="Q1635" s="146">
        <v>31047</v>
      </c>
      <c r="R1635" s="127" t="s">
        <v>3010</v>
      </c>
      <c r="S1635" s="127" t="s">
        <v>9255</v>
      </c>
      <c r="T1635" s="127" t="s">
        <v>9256</v>
      </c>
      <c r="U1635" s="167" t="s">
        <v>1719</v>
      </c>
      <c r="V1635" s="126" t="s">
        <v>15</v>
      </c>
      <c r="W1635" s="126" t="s">
        <v>9254</v>
      </c>
      <c r="X1635" s="127" t="s">
        <v>207</v>
      </c>
      <c r="Y1635" s="132" t="s">
        <v>98</v>
      </c>
      <c r="Z1635" s="134" t="s">
        <v>98</v>
      </c>
      <c r="AA1635" s="127" t="s">
        <v>276</v>
      </c>
      <c r="AB1635" s="127" t="s">
        <v>276</v>
      </c>
      <c r="AC1635" s="126" t="s">
        <v>276</v>
      </c>
      <c r="AD1635" s="127" t="s">
        <v>968</v>
      </c>
      <c r="AE1635" s="126" t="s">
        <v>276</v>
      </c>
      <c r="AF1635" s="127" t="s">
        <v>968</v>
      </c>
      <c r="AG1635" s="127" t="s">
        <v>10061</v>
      </c>
      <c r="AH1635" s="127" t="s">
        <v>10069</v>
      </c>
      <c r="AI1635" s="134">
        <f>228+181</f>
        <v>409</v>
      </c>
      <c r="AJ1635" s="134">
        <f>151+225</f>
        <v>376</v>
      </c>
      <c r="AK1635" s="132">
        <v>1068</v>
      </c>
      <c r="AL1635" s="134">
        <v>595</v>
      </c>
      <c r="AM1635" s="134" t="s">
        <v>292</v>
      </c>
      <c r="AN1635" s="126" t="s">
        <v>276</v>
      </c>
      <c r="AO1635" s="135">
        <f>AI1635*100/AK1635</f>
        <v>38.295880149812731</v>
      </c>
      <c r="AP1635" s="126" t="s">
        <v>276</v>
      </c>
      <c r="AQ1635" s="126" t="s">
        <v>276</v>
      </c>
      <c r="AR1635" s="126" t="s">
        <v>276</v>
      </c>
      <c r="AS1635" s="135">
        <f>AJ1635*100/AL1635</f>
        <v>63.193277310924373</v>
      </c>
      <c r="AT1635" s="126" t="s">
        <v>276</v>
      </c>
      <c r="AU1635" s="126" t="s">
        <v>276</v>
      </c>
      <c r="AV1635" s="126" t="s">
        <v>268</v>
      </c>
      <c r="AW1635" s="126" t="s">
        <v>276</v>
      </c>
      <c r="AX1635" s="148">
        <f t="shared" si="458"/>
        <v>0.6060119332217706</v>
      </c>
      <c r="AY1635" s="126" t="s">
        <v>276</v>
      </c>
      <c r="AZ1635" s="126" t="s">
        <v>276</v>
      </c>
      <c r="BA1635" s="126" t="s">
        <v>276</v>
      </c>
      <c r="BB1635" s="126" t="s">
        <v>282</v>
      </c>
      <c r="BC1635" s="126" t="s">
        <v>98</v>
      </c>
      <c r="BD1635" s="126" t="s">
        <v>98</v>
      </c>
      <c r="BE1635" s="126" t="s">
        <v>98</v>
      </c>
      <c r="BF1635" s="127" t="s">
        <v>10070</v>
      </c>
      <c r="BG1635" s="127"/>
      <c r="BH1635" s="9" t="s">
        <v>100</v>
      </c>
      <c r="BI1635" s="9" t="s">
        <v>100</v>
      </c>
      <c r="BJ1635" s="136"/>
      <c r="BN1635" s="136"/>
      <c r="BO1635" s="136"/>
    </row>
    <row r="1636" spans="1:67" s="172" customFormat="1" ht="52" hidden="1" x14ac:dyDescent="0.35">
      <c r="A1636" s="150">
        <v>4099</v>
      </c>
      <c r="B1636" s="150" t="s">
        <v>9251</v>
      </c>
      <c r="C1636" s="151" t="s">
        <v>9264</v>
      </c>
      <c r="D1636" s="151" t="s">
        <v>10060</v>
      </c>
      <c r="E1636" s="150" t="s">
        <v>35</v>
      </c>
      <c r="F1636" s="150" t="s">
        <v>97</v>
      </c>
      <c r="G1636" s="150" t="s">
        <v>225</v>
      </c>
      <c r="H1636" s="150" t="s">
        <v>125</v>
      </c>
      <c r="I1636" s="150" t="s">
        <v>114</v>
      </c>
      <c r="J1636" s="151" t="s">
        <v>25</v>
      </c>
      <c r="K1636" s="150" t="s">
        <v>7801</v>
      </c>
      <c r="L1636" s="150" t="s">
        <v>4151</v>
      </c>
      <c r="M1636" s="150" t="s">
        <v>300</v>
      </c>
      <c r="N1636" s="151" t="s">
        <v>10057</v>
      </c>
      <c r="O1636" s="151" t="s">
        <v>276</v>
      </c>
      <c r="P1636" s="151" t="s">
        <v>239</v>
      </c>
      <c r="Q1636" s="154">
        <v>31047</v>
      </c>
      <c r="R1636" s="151" t="s">
        <v>278</v>
      </c>
      <c r="S1636" s="151" t="s">
        <v>276</v>
      </c>
      <c r="T1636" s="151" t="s">
        <v>276</v>
      </c>
      <c r="U1636" s="168" t="s">
        <v>1719</v>
      </c>
      <c r="V1636" s="150" t="s">
        <v>15</v>
      </c>
      <c r="W1636" s="150" t="s">
        <v>9254</v>
      </c>
      <c r="X1636" s="151" t="s">
        <v>207</v>
      </c>
      <c r="Y1636" s="155">
        <v>39051</v>
      </c>
      <c r="Z1636" s="156">
        <v>18846</v>
      </c>
      <c r="AA1636" s="151" t="s">
        <v>276</v>
      </c>
      <c r="AB1636" s="151" t="s">
        <v>276</v>
      </c>
      <c r="AC1636" s="150" t="s">
        <v>276</v>
      </c>
      <c r="AD1636" s="151" t="s">
        <v>968</v>
      </c>
      <c r="AE1636" s="150" t="s">
        <v>276</v>
      </c>
      <c r="AF1636" s="151" t="s">
        <v>968</v>
      </c>
      <c r="AG1636" s="151" t="s">
        <v>10061</v>
      </c>
      <c r="AH1636" s="151" t="s">
        <v>9258</v>
      </c>
      <c r="AI1636" s="156">
        <v>228</v>
      </c>
      <c r="AJ1636" s="156">
        <v>151</v>
      </c>
      <c r="AK1636" s="155">
        <v>39051</v>
      </c>
      <c r="AL1636" s="156">
        <v>18846</v>
      </c>
      <c r="AM1636" s="156" t="s">
        <v>281</v>
      </c>
      <c r="AN1636" s="150" t="s">
        <v>276</v>
      </c>
      <c r="AO1636" s="159">
        <f t="shared" ref="AO1636:AO1646" si="460">AI1636*1000/AK1636</f>
        <v>5.8385188599523703</v>
      </c>
      <c r="AP1636" s="150" t="s">
        <v>276</v>
      </c>
      <c r="AQ1636" s="150" t="s">
        <v>276</v>
      </c>
      <c r="AR1636" s="150" t="s">
        <v>276</v>
      </c>
      <c r="AS1636" s="159">
        <f t="shared" ref="AS1636:AS1644" si="461">AJ1636*1000/AL1636</f>
        <v>8.0123103045739157</v>
      </c>
      <c r="AT1636" s="150" t="s">
        <v>276</v>
      </c>
      <c r="AU1636" s="150" t="s">
        <v>276</v>
      </c>
      <c r="AV1636" s="150" t="s">
        <v>268</v>
      </c>
      <c r="AW1636" s="150" t="s">
        <v>276</v>
      </c>
      <c r="AX1636" s="158">
        <f t="shared" si="458"/>
        <v>0.72869355254743284</v>
      </c>
      <c r="AY1636" s="150" t="s">
        <v>276</v>
      </c>
      <c r="AZ1636" s="150" t="s">
        <v>276</v>
      </c>
      <c r="BA1636" s="150" t="s">
        <v>276</v>
      </c>
      <c r="BB1636" s="150" t="s">
        <v>282</v>
      </c>
      <c r="BC1636" s="150" t="s">
        <v>98</v>
      </c>
      <c r="BD1636" s="150" t="s">
        <v>98</v>
      </c>
      <c r="BE1636" s="150" t="s">
        <v>98</v>
      </c>
      <c r="BF1636" s="151" t="s">
        <v>4579</v>
      </c>
      <c r="BG1636" s="151"/>
      <c r="BH1636" s="9" t="s">
        <v>100</v>
      </c>
      <c r="BI1636" s="9" t="s">
        <v>100</v>
      </c>
      <c r="BJ1636" s="171"/>
      <c r="BN1636" s="171"/>
      <c r="BO1636" s="171"/>
    </row>
    <row r="1637" spans="1:67" s="137" customFormat="1" ht="117" hidden="1" x14ac:dyDescent="0.35">
      <c r="A1637" s="126">
        <v>4099</v>
      </c>
      <c r="B1637" s="126" t="s">
        <v>9251</v>
      </c>
      <c r="C1637" s="127" t="s">
        <v>62</v>
      </c>
      <c r="D1637" s="127" t="s">
        <v>10071</v>
      </c>
      <c r="E1637" s="126" t="s">
        <v>35</v>
      </c>
      <c r="F1637" s="126" t="s">
        <v>97</v>
      </c>
      <c r="G1637" s="126" t="s">
        <v>225</v>
      </c>
      <c r="H1637" s="126" t="s">
        <v>125</v>
      </c>
      <c r="I1637" s="126" t="s">
        <v>114</v>
      </c>
      <c r="J1637" s="127" t="s">
        <v>25</v>
      </c>
      <c r="K1637" s="126" t="s">
        <v>7801</v>
      </c>
      <c r="L1637" s="126" t="s">
        <v>4151</v>
      </c>
      <c r="M1637" s="126" t="s">
        <v>300</v>
      </c>
      <c r="N1637" s="127" t="s">
        <v>10057</v>
      </c>
      <c r="O1637" s="127" t="s">
        <v>276</v>
      </c>
      <c r="P1637" s="127" t="s">
        <v>239</v>
      </c>
      <c r="Q1637" s="146" t="s">
        <v>98</v>
      </c>
      <c r="R1637" s="127" t="s">
        <v>705</v>
      </c>
      <c r="S1637" s="127" t="s">
        <v>9276</v>
      </c>
      <c r="T1637" s="127" t="s">
        <v>9277</v>
      </c>
      <c r="U1637" s="167" t="s">
        <v>1212</v>
      </c>
      <c r="V1637" s="126" t="s">
        <v>15</v>
      </c>
      <c r="W1637" s="126" t="s">
        <v>9254</v>
      </c>
      <c r="X1637" s="127" t="s">
        <v>207</v>
      </c>
      <c r="Y1637" s="132">
        <v>78085</v>
      </c>
      <c r="Z1637" s="134">
        <f t="shared" ref="Z1637:Z1644" si="462">37936+18846</f>
        <v>56782</v>
      </c>
      <c r="AA1637" s="127" t="s">
        <v>276</v>
      </c>
      <c r="AB1637" s="127" t="s">
        <v>276</v>
      </c>
      <c r="AC1637" s="126" t="s">
        <v>276</v>
      </c>
      <c r="AD1637" s="127" t="s">
        <v>968</v>
      </c>
      <c r="AE1637" s="126" t="s">
        <v>276</v>
      </c>
      <c r="AF1637" s="127" t="s">
        <v>968</v>
      </c>
      <c r="AG1637" s="127" t="s">
        <v>10072</v>
      </c>
      <c r="AH1637" s="127" t="s">
        <v>10073</v>
      </c>
      <c r="AI1637" s="134">
        <v>147</v>
      </c>
      <c r="AJ1637" s="134">
        <v>86</v>
      </c>
      <c r="AK1637" s="132">
        <v>78085</v>
      </c>
      <c r="AL1637" s="134">
        <f t="shared" ref="AL1637:AL1644" si="463">37936+2*18846</f>
        <v>75628</v>
      </c>
      <c r="AM1637" s="134" t="s">
        <v>281</v>
      </c>
      <c r="AN1637" s="126" t="s">
        <v>276</v>
      </c>
      <c r="AO1637" s="135">
        <f t="shared" si="460"/>
        <v>1.8825638727028238</v>
      </c>
      <c r="AP1637" s="126" t="s">
        <v>276</v>
      </c>
      <c r="AQ1637" s="126" t="s">
        <v>276</v>
      </c>
      <c r="AR1637" s="126" t="s">
        <v>276</v>
      </c>
      <c r="AS1637" s="135">
        <f t="shared" si="461"/>
        <v>1.1371449727614111</v>
      </c>
      <c r="AT1637" s="126" t="s">
        <v>276</v>
      </c>
      <c r="AU1637" s="126" t="s">
        <v>276</v>
      </c>
      <c r="AV1637" s="126" t="s">
        <v>268</v>
      </c>
      <c r="AW1637" s="126" t="s">
        <v>276</v>
      </c>
      <c r="AX1637" s="148">
        <f t="shared" si="458"/>
        <v>1.6555179135438274</v>
      </c>
      <c r="AY1637" s="126" t="s">
        <v>276</v>
      </c>
      <c r="AZ1637" s="126" t="s">
        <v>276</v>
      </c>
      <c r="BA1637" s="126" t="s">
        <v>276</v>
      </c>
      <c r="BB1637" s="126" t="s">
        <v>282</v>
      </c>
      <c r="BC1637" s="126" t="s">
        <v>98</v>
      </c>
      <c r="BD1637" s="126" t="s">
        <v>98</v>
      </c>
      <c r="BE1637" s="126" t="s">
        <v>98</v>
      </c>
      <c r="BF1637" s="127" t="s">
        <v>1168</v>
      </c>
      <c r="BG1637" s="127" t="s">
        <v>10074</v>
      </c>
      <c r="BH1637" s="9" t="s">
        <v>100</v>
      </c>
      <c r="BI1637" s="9" t="s">
        <v>100</v>
      </c>
      <c r="BJ1637" s="136"/>
      <c r="BN1637" s="136"/>
      <c r="BO1637" s="136"/>
    </row>
    <row r="1638" spans="1:67" s="137" customFormat="1" ht="117" hidden="1" x14ac:dyDescent="0.35">
      <c r="A1638" s="126">
        <v>4099</v>
      </c>
      <c r="B1638" s="126" t="s">
        <v>9251</v>
      </c>
      <c r="C1638" s="127" t="s">
        <v>62</v>
      </c>
      <c r="D1638" s="127" t="s">
        <v>10075</v>
      </c>
      <c r="E1638" s="126" t="s">
        <v>35</v>
      </c>
      <c r="F1638" s="126" t="s">
        <v>97</v>
      </c>
      <c r="G1638" s="126" t="s">
        <v>225</v>
      </c>
      <c r="H1638" s="126" t="s">
        <v>125</v>
      </c>
      <c r="I1638" s="126" t="s">
        <v>114</v>
      </c>
      <c r="J1638" s="127" t="s">
        <v>25</v>
      </c>
      <c r="K1638" s="126" t="s">
        <v>7801</v>
      </c>
      <c r="L1638" s="126" t="s">
        <v>4151</v>
      </c>
      <c r="M1638" s="126" t="s">
        <v>300</v>
      </c>
      <c r="N1638" s="127" t="s">
        <v>10057</v>
      </c>
      <c r="O1638" s="127" t="s">
        <v>276</v>
      </c>
      <c r="P1638" s="127" t="s">
        <v>239</v>
      </c>
      <c r="Q1638" s="146" t="s">
        <v>98</v>
      </c>
      <c r="R1638" s="127" t="s">
        <v>710</v>
      </c>
      <c r="S1638" s="127" t="s">
        <v>9283</v>
      </c>
      <c r="T1638" s="127" t="s">
        <v>9284</v>
      </c>
      <c r="U1638" s="167" t="s">
        <v>2331</v>
      </c>
      <c r="V1638" s="126" t="s">
        <v>15</v>
      </c>
      <c r="W1638" s="126" t="s">
        <v>9254</v>
      </c>
      <c r="X1638" s="127" t="s">
        <v>207</v>
      </c>
      <c r="Y1638" s="132">
        <v>78085</v>
      </c>
      <c r="Z1638" s="134">
        <f t="shared" si="462"/>
        <v>56782</v>
      </c>
      <c r="AA1638" s="127" t="s">
        <v>276</v>
      </c>
      <c r="AB1638" s="127" t="s">
        <v>276</v>
      </c>
      <c r="AC1638" s="126" t="s">
        <v>276</v>
      </c>
      <c r="AD1638" s="127" t="s">
        <v>968</v>
      </c>
      <c r="AE1638" s="126" t="s">
        <v>276</v>
      </c>
      <c r="AF1638" s="127" t="s">
        <v>968</v>
      </c>
      <c r="AG1638" s="127" t="s">
        <v>10076</v>
      </c>
      <c r="AH1638" s="127" t="s">
        <v>10073</v>
      </c>
      <c r="AI1638" s="134">
        <v>182</v>
      </c>
      <c r="AJ1638" s="134">
        <v>175</v>
      </c>
      <c r="AK1638" s="132">
        <v>78085</v>
      </c>
      <c r="AL1638" s="134">
        <f t="shared" si="463"/>
        <v>75628</v>
      </c>
      <c r="AM1638" s="134" t="s">
        <v>281</v>
      </c>
      <c r="AN1638" s="126" t="s">
        <v>276</v>
      </c>
      <c r="AO1638" s="135">
        <f t="shared" si="460"/>
        <v>2.3307933662034963</v>
      </c>
      <c r="AP1638" s="126" t="s">
        <v>276</v>
      </c>
      <c r="AQ1638" s="126" t="s">
        <v>276</v>
      </c>
      <c r="AR1638" s="126" t="s">
        <v>276</v>
      </c>
      <c r="AS1638" s="135">
        <f t="shared" si="461"/>
        <v>2.3139577934098483</v>
      </c>
      <c r="AT1638" s="126" t="s">
        <v>276</v>
      </c>
      <c r="AU1638" s="126" t="s">
        <v>276</v>
      </c>
      <c r="AV1638" s="126" t="s">
        <v>268</v>
      </c>
      <c r="AW1638" s="126" t="s">
        <v>276</v>
      </c>
      <c r="AX1638" s="148">
        <f t="shared" si="458"/>
        <v>1.007275661138503</v>
      </c>
      <c r="AY1638" s="126" t="s">
        <v>276</v>
      </c>
      <c r="AZ1638" s="126" t="s">
        <v>276</v>
      </c>
      <c r="BA1638" s="126" t="s">
        <v>276</v>
      </c>
      <c r="BB1638" s="126" t="s">
        <v>282</v>
      </c>
      <c r="BC1638" s="126" t="s">
        <v>98</v>
      </c>
      <c r="BD1638" s="126" t="s">
        <v>98</v>
      </c>
      <c r="BE1638" s="126" t="s">
        <v>98</v>
      </c>
      <c r="BF1638" s="127" t="s">
        <v>1168</v>
      </c>
      <c r="BG1638" s="127" t="s">
        <v>10074</v>
      </c>
      <c r="BH1638" s="9" t="s">
        <v>100</v>
      </c>
      <c r="BI1638" s="9" t="s">
        <v>100</v>
      </c>
      <c r="BJ1638" s="136"/>
      <c r="BN1638" s="136"/>
      <c r="BO1638" s="136"/>
    </row>
    <row r="1639" spans="1:67" s="137" customFormat="1" ht="117" hidden="1" x14ac:dyDescent="0.35">
      <c r="A1639" s="126">
        <v>4099</v>
      </c>
      <c r="B1639" s="126" t="s">
        <v>9251</v>
      </c>
      <c r="C1639" s="127" t="s">
        <v>62</v>
      </c>
      <c r="D1639" s="127" t="s">
        <v>10077</v>
      </c>
      <c r="E1639" s="126" t="s">
        <v>35</v>
      </c>
      <c r="F1639" s="126" t="s">
        <v>97</v>
      </c>
      <c r="G1639" s="126" t="s">
        <v>225</v>
      </c>
      <c r="H1639" s="126" t="s">
        <v>125</v>
      </c>
      <c r="I1639" s="126" t="s">
        <v>114</v>
      </c>
      <c r="J1639" s="127" t="s">
        <v>25</v>
      </c>
      <c r="K1639" s="126" t="s">
        <v>7801</v>
      </c>
      <c r="L1639" s="126" t="s">
        <v>4151</v>
      </c>
      <c r="M1639" s="126" t="s">
        <v>300</v>
      </c>
      <c r="N1639" s="127" t="s">
        <v>10057</v>
      </c>
      <c r="O1639" s="127" t="s">
        <v>276</v>
      </c>
      <c r="P1639" s="127" t="s">
        <v>239</v>
      </c>
      <c r="Q1639" s="146">
        <v>31047</v>
      </c>
      <c r="R1639" s="127" t="s">
        <v>686</v>
      </c>
      <c r="S1639" s="127" t="s">
        <v>9287</v>
      </c>
      <c r="T1639" s="127" t="s">
        <v>9288</v>
      </c>
      <c r="U1639" s="167" t="s">
        <v>1191</v>
      </c>
      <c r="V1639" s="126" t="s">
        <v>15</v>
      </c>
      <c r="W1639" s="126" t="s">
        <v>9254</v>
      </c>
      <c r="X1639" s="127" t="s">
        <v>207</v>
      </c>
      <c r="Y1639" s="132">
        <v>78085</v>
      </c>
      <c r="Z1639" s="134">
        <f t="shared" si="462"/>
        <v>56782</v>
      </c>
      <c r="AA1639" s="127" t="s">
        <v>276</v>
      </c>
      <c r="AB1639" s="127" t="s">
        <v>276</v>
      </c>
      <c r="AC1639" s="126" t="s">
        <v>276</v>
      </c>
      <c r="AD1639" s="127" t="s">
        <v>968</v>
      </c>
      <c r="AE1639" s="126" t="s">
        <v>276</v>
      </c>
      <c r="AF1639" s="127" t="s">
        <v>968</v>
      </c>
      <c r="AG1639" s="127" t="s">
        <v>10078</v>
      </c>
      <c r="AH1639" s="127" t="s">
        <v>10073</v>
      </c>
      <c r="AI1639" s="134">
        <v>234</v>
      </c>
      <c r="AJ1639" s="134">
        <v>268</v>
      </c>
      <c r="AK1639" s="132">
        <v>78085</v>
      </c>
      <c r="AL1639" s="134">
        <f t="shared" si="463"/>
        <v>75628</v>
      </c>
      <c r="AM1639" s="134" t="s">
        <v>281</v>
      </c>
      <c r="AN1639" s="126" t="s">
        <v>276</v>
      </c>
      <c r="AO1639" s="135">
        <f t="shared" si="460"/>
        <v>2.9967343279759238</v>
      </c>
      <c r="AP1639" s="126" t="s">
        <v>276</v>
      </c>
      <c r="AQ1639" s="126" t="s">
        <v>276</v>
      </c>
      <c r="AR1639" s="126" t="s">
        <v>276</v>
      </c>
      <c r="AS1639" s="135">
        <f t="shared" si="461"/>
        <v>3.5436610779076534</v>
      </c>
      <c r="AT1639" s="126" t="s">
        <v>276</v>
      </c>
      <c r="AU1639" s="126" t="s">
        <v>276</v>
      </c>
      <c r="AV1639" s="126" t="s">
        <v>268</v>
      </c>
      <c r="AW1639" s="126" t="s">
        <v>276</v>
      </c>
      <c r="AX1639" s="148">
        <f t="shared" si="458"/>
        <v>0.84566053640359384</v>
      </c>
      <c r="AY1639" s="126" t="s">
        <v>276</v>
      </c>
      <c r="AZ1639" s="126" t="s">
        <v>276</v>
      </c>
      <c r="BA1639" s="126" t="s">
        <v>276</v>
      </c>
      <c r="BB1639" s="126" t="s">
        <v>282</v>
      </c>
      <c r="BC1639" s="126" t="s">
        <v>98</v>
      </c>
      <c r="BD1639" s="126" t="s">
        <v>98</v>
      </c>
      <c r="BE1639" s="126" t="s">
        <v>98</v>
      </c>
      <c r="BF1639" s="127" t="s">
        <v>1168</v>
      </c>
      <c r="BG1639" s="127" t="s">
        <v>10074</v>
      </c>
      <c r="BH1639" s="9" t="s">
        <v>100</v>
      </c>
      <c r="BI1639" s="9" t="s">
        <v>100</v>
      </c>
      <c r="BJ1639" s="136"/>
      <c r="BN1639" s="136"/>
      <c r="BO1639" s="136"/>
    </row>
    <row r="1640" spans="1:67" s="137" customFormat="1" ht="117" hidden="1" x14ac:dyDescent="0.35">
      <c r="A1640" s="126">
        <v>4099</v>
      </c>
      <c r="B1640" s="126" t="s">
        <v>9251</v>
      </c>
      <c r="C1640" s="127" t="s">
        <v>62</v>
      </c>
      <c r="D1640" s="127" t="s">
        <v>10079</v>
      </c>
      <c r="E1640" s="126" t="s">
        <v>35</v>
      </c>
      <c r="F1640" s="126" t="s">
        <v>97</v>
      </c>
      <c r="G1640" s="126" t="s">
        <v>225</v>
      </c>
      <c r="H1640" s="126" t="s">
        <v>125</v>
      </c>
      <c r="I1640" s="126" t="s">
        <v>114</v>
      </c>
      <c r="J1640" s="127" t="s">
        <v>25</v>
      </c>
      <c r="K1640" s="126" t="s">
        <v>7801</v>
      </c>
      <c r="L1640" s="126" t="s">
        <v>4151</v>
      </c>
      <c r="M1640" s="126" t="s">
        <v>300</v>
      </c>
      <c r="N1640" s="127" t="s">
        <v>10057</v>
      </c>
      <c r="O1640" s="127" t="s">
        <v>276</v>
      </c>
      <c r="P1640" s="127" t="s">
        <v>239</v>
      </c>
      <c r="Q1640" s="146">
        <v>31047</v>
      </c>
      <c r="R1640" s="127" t="s">
        <v>721</v>
      </c>
      <c r="S1640" s="127" t="s">
        <v>9291</v>
      </c>
      <c r="T1640" s="127" t="s">
        <v>9292</v>
      </c>
      <c r="U1640" s="167" t="s">
        <v>5401</v>
      </c>
      <c r="V1640" s="126" t="s">
        <v>15</v>
      </c>
      <c r="W1640" s="126" t="s">
        <v>9254</v>
      </c>
      <c r="X1640" s="127" t="s">
        <v>207</v>
      </c>
      <c r="Y1640" s="132">
        <v>78085</v>
      </c>
      <c r="Z1640" s="134">
        <f t="shared" si="462"/>
        <v>56782</v>
      </c>
      <c r="AA1640" s="127" t="s">
        <v>276</v>
      </c>
      <c r="AB1640" s="127" t="s">
        <v>276</v>
      </c>
      <c r="AC1640" s="126" t="s">
        <v>276</v>
      </c>
      <c r="AD1640" s="127" t="s">
        <v>968</v>
      </c>
      <c r="AE1640" s="126" t="s">
        <v>276</v>
      </c>
      <c r="AF1640" s="127" t="s">
        <v>968</v>
      </c>
      <c r="AG1640" s="127" t="s">
        <v>10080</v>
      </c>
      <c r="AH1640" s="127" t="s">
        <v>10073</v>
      </c>
      <c r="AI1640" s="134">
        <v>317</v>
      </c>
      <c r="AJ1640" s="134">
        <v>347</v>
      </c>
      <c r="AK1640" s="132">
        <v>78085</v>
      </c>
      <c r="AL1640" s="134">
        <f t="shared" si="463"/>
        <v>75628</v>
      </c>
      <c r="AM1640" s="134" t="s">
        <v>281</v>
      </c>
      <c r="AN1640" s="126" t="s">
        <v>276</v>
      </c>
      <c r="AO1640" s="135">
        <f t="shared" si="460"/>
        <v>4.0596785554203754</v>
      </c>
      <c r="AP1640" s="126" t="s">
        <v>276</v>
      </c>
      <c r="AQ1640" s="126" t="s">
        <v>276</v>
      </c>
      <c r="AR1640" s="126" t="s">
        <v>276</v>
      </c>
      <c r="AS1640" s="135">
        <f t="shared" si="461"/>
        <v>4.5882477389326706</v>
      </c>
      <c r="AT1640" s="126" t="s">
        <v>276</v>
      </c>
      <c r="AU1640" s="126" t="s">
        <v>276</v>
      </c>
      <c r="AV1640" s="126" t="s">
        <v>268</v>
      </c>
      <c r="AW1640" s="126" t="s">
        <v>276</v>
      </c>
      <c r="AX1640" s="148">
        <f t="shared" si="458"/>
        <v>0.88479933656868048</v>
      </c>
      <c r="AY1640" s="126" t="s">
        <v>276</v>
      </c>
      <c r="AZ1640" s="126" t="s">
        <v>276</v>
      </c>
      <c r="BA1640" s="126" t="s">
        <v>276</v>
      </c>
      <c r="BB1640" s="126" t="s">
        <v>282</v>
      </c>
      <c r="BC1640" s="126" t="s">
        <v>98</v>
      </c>
      <c r="BD1640" s="126" t="s">
        <v>98</v>
      </c>
      <c r="BE1640" s="126" t="s">
        <v>98</v>
      </c>
      <c r="BF1640" s="127" t="s">
        <v>1168</v>
      </c>
      <c r="BG1640" s="127" t="s">
        <v>10074</v>
      </c>
      <c r="BH1640" s="9" t="s">
        <v>100</v>
      </c>
      <c r="BI1640" s="9" t="s">
        <v>100</v>
      </c>
      <c r="BJ1640" s="136"/>
      <c r="BN1640" s="136"/>
      <c r="BO1640" s="136"/>
    </row>
    <row r="1641" spans="1:67" s="137" customFormat="1" ht="117" hidden="1" x14ac:dyDescent="0.35">
      <c r="A1641" s="126">
        <v>4099</v>
      </c>
      <c r="B1641" s="126" t="s">
        <v>9251</v>
      </c>
      <c r="C1641" s="127" t="s">
        <v>62</v>
      </c>
      <c r="D1641" s="127" t="s">
        <v>10081</v>
      </c>
      <c r="E1641" s="126" t="s">
        <v>35</v>
      </c>
      <c r="F1641" s="126" t="s">
        <v>97</v>
      </c>
      <c r="G1641" s="126" t="s">
        <v>225</v>
      </c>
      <c r="H1641" s="126" t="s">
        <v>125</v>
      </c>
      <c r="I1641" s="126" t="s">
        <v>114</v>
      </c>
      <c r="J1641" s="127" t="s">
        <v>25</v>
      </c>
      <c r="K1641" s="126" t="s">
        <v>7801</v>
      </c>
      <c r="L1641" s="126" t="s">
        <v>4151</v>
      </c>
      <c r="M1641" s="126" t="s">
        <v>300</v>
      </c>
      <c r="N1641" s="127" t="s">
        <v>10057</v>
      </c>
      <c r="O1641" s="127" t="s">
        <v>276</v>
      </c>
      <c r="P1641" s="127" t="s">
        <v>239</v>
      </c>
      <c r="Q1641" s="146">
        <v>31047</v>
      </c>
      <c r="R1641" s="127" t="s">
        <v>728</v>
      </c>
      <c r="S1641" s="127" t="s">
        <v>9295</v>
      </c>
      <c r="T1641" s="127" t="s">
        <v>9296</v>
      </c>
      <c r="U1641" s="167" t="s">
        <v>5401</v>
      </c>
      <c r="V1641" s="126" t="s">
        <v>15</v>
      </c>
      <c r="W1641" s="126" t="s">
        <v>9254</v>
      </c>
      <c r="X1641" s="127" t="s">
        <v>207</v>
      </c>
      <c r="Y1641" s="132">
        <v>78085</v>
      </c>
      <c r="Z1641" s="134">
        <f t="shared" si="462"/>
        <v>56782</v>
      </c>
      <c r="AA1641" s="127" t="s">
        <v>276</v>
      </c>
      <c r="AB1641" s="127" t="s">
        <v>276</v>
      </c>
      <c r="AC1641" s="126" t="s">
        <v>276</v>
      </c>
      <c r="AD1641" s="127" t="s">
        <v>968</v>
      </c>
      <c r="AE1641" s="126" t="s">
        <v>276</v>
      </c>
      <c r="AF1641" s="127" t="s">
        <v>968</v>
      </c>
      <c r="AG1641" s="127" t="s">
        <v>10082</v>
      </c>
      <c r="AH1641" s="127" t="s">
        <v>10073</v>
      </c>
      <c r="AI1641" s="134">
        <v>347</v>
      </c>
      <c r="AJ1641" s="134">
        <v>434</v>
      </c>
      <c r="AK1641" s="132">
        <v>78085</v>
      </c>
      <c r="AL1641" s="134">
        <f t="shared" si="463"/>
        <v>75628</v>
      </c>
      <c r="AM1641" s="134" t="s">
        <v>281</v>
      </c>
      <c r="AN1641" s="126" t="s">
        <v>276</v>
      </c>
      <c r="AO1641" s="135">
        <f t="shared" si="460"/>
        <v>4.4438752641352375</v>
      </c>
      <c r="AP1641" s="126" t="s">
        <v>276</v>
      </c>
      <c r="AQ1641" s="126" t="s">
        <v>276</v>
      </c>
      <c r="AR1641" s="126" t="s">
        <v>276</v>
      </c>
      <c r="AS1641" s="135">
        <f t="shared" si="461"/>
        <v>5.7386153276564231</v>
      </c>
      <c r="AT1641" s="126" t="s">
        <v>276</v>
      </c>
      <c r="AU1641" s="126" t="s">
        <v>276</v>
      </c>
      <c r="AV1641" s="126" t="s">
        <v>268</v>
      </c>
      <c r="AW1641" s="126" t="s">
        <v>276</v>
      </c>
      <c r="AX1641" s="148">
        <f t="shared" si="458"/>
        <v>0.77438110247930825</v>
      </c>
      <c r="AY1641" s="126" t="s">
        <v>276</v>
      </c>
      <c r="AZ1641" s="126" t="s">
        <v>276</v>
      </c>
      <c r="BA1641" s="126" t="s">
        <v>276</v>
      </c>
      <c r="BB1641" s="126" t="s">
        <v>282</v>
      </c>
      <c r="BC1641" s="126" t="s">
        <v>98</v>
      </c>
      <c r="BD1641" s="126" t="s">
        <v>98</v>
      </c>
      <c r="BE1641" s="126" t="s">
        <v>98</v>
      </c>
      <c r="BF1641" s="127" t="s">
        <v>1168</v>
      </c>
      <c r="BG1641" s="127" t="s">
        <v>10074</v>
      </c>
      <c r="BH1641" s="9" t="s">
        <v>100</v>
      </c>
      <c r="BI1641" s="9" t="s">
        <v>100</v>
      </c>
      <c r="BJ1641" s="136"/>
      <c r="BN1641" s="136"/>
      <c r="BO1641" s="136"/>
    </row>
    <row r="1642" spans="1:67" s="137" customFormat="1" ht="117" hidden="1" x14ac:dyDescent="0.35">
      <c r="A1642" s="126">
        <v>4099</v>
      </c>
      <c r="B1642" s="126" t="s">
        <v>9251</v>
      </c>
      <c r="C1642" s="127" t="s">
        <v>62</v>
      </c>
      <c r="D1642" s="127" t="s">
        <v>10083</v>
      </c>
      <c r="E1642" s="126" t="s">
        <v>35</v>
      </c>
      <c r="F1642" s="126" t="s">
        <v>97</v>
      </c>
      <c r="G1642" s="126" t="s">
        <v>225</v>
      </c>
      <c r="H1642" s="126" t="s">
        <v>125</v>
      </c>
      <c r="I1642" s="126" t="s">
        <v>114</v>
      </c>
      <c r="J1642" s="127" t="s">
        <v>25</v>
      </c>
      <c r="K1642" s="126" t="s">
        <v>7801</v>
      </c>
      <c r="L1642" s="126" t="s">
        <v>4151</v>
      </c>
      <c r="M1642" s="126" t="s">
        <v>300</v>
      </c>
      <c r="N1642" s="127" t="s">
        <v>10057</v>
      </c>
      <c r="O1642" s="127" t="s">
        <v>276</v>
      </c>
      <c r="P1642" s="127" t="s">
        <v>239</v>
      </c>
      <c r="Q1642" s="146">
        <v>31047</v>
      </c>
      <c r="R1642" s="127" t="s">
        <v>733</v>
      </c>
      <c r="S1642" s="127" t="s">
        <v>9299</v>
      </c>
      <c r="T1642" s="127" t="s">
        <v>9300</v>
      </c>
      <c r="U1642" s="167" t="s">
        <v>1219</v>
      </c>
      <c r="V1642" s="126" t="s">
        <v>15</v>
      </c>
      <c r="W1642" s="126" t="s">
        <v>9254</v>
      </c>
      <c r="X1642" s="127" t="s">
        <v>207</v>
      </c>
      <c r="Y1642" s="132">
        <v>78085</v>
      </c>
      <c r="Z1642" s="134">
        <f t="shared" si="462"/>
        <v>56782</v>
      </c>
      <c r="AA1642" s="127" t="s">
        <v>276</v>
      </c>
      <c r="AB1642" s="127" t="s">
        <v>276</v>
      </c>
      <c r="AC1642" s="126" t="s">
        <v>276</v>
      </c>
      <c r="AD1642" s="127" t="s">
        <v>968</v>
      </c>
      <c r="AE1642" s="126" t="s">
        <v>276</v>
      </c>
      <c r="AF1642" s="127" t="s">
        <v>968</v>
      </c>
      <c r="AG1642" s="127" t="s">
        <v>10084</v>
      </c>
      <c r="AH1642" s="127" t="s">
        <v>10073</v>
      </c>
      <c r="AI1642" s="134">
        <v>391</v>
      </c>
      <c r="AJ1642" s="134">
        <v>499</v>
      </c>
      <c r="AK1642" s="132">
        <v>78085</v>
      </c>
      <c r="AL1642" s="134">
        <f t="shared" si="463"/>
        <v>75628</v>
      </c>
      <c r="AM1642" s="134" t="s">
        <v>281</v>
      </c>
      <c r="AN1642" s="126" t="s">
        <v>276</v>
      </c>
      <c r="AO1642" s="135">
        <f t="shared" si="460"/>
        <v>5.0073637702503682</v>
      </c>
      <c r="AP1642" s="126" t="s">
        <v>276</v>
      </c>
      <c r="AQ1642" s="126" t="s">
        <v>276</v>
      </c>
      <c r="AR1642" s="126" t="s">
        <v>276</v>
      </c>
      <c r="AS1642" s="135">
        <f t="shared" si="461"/>
        <v>6.5980853652086529</v>
      </c>
      <c r="AT1642" s="126" t="s">
        <v>276</v>
      </c>
      <c r="AU1642" s="126" t="s">
        <v>276</v>
      </c>
      <c r="AV1642" s="126" t="s">
        <v>268</v>
      </c>
      <c r="AW1642" s="126" t="s">
        <v>276</v>
      </c>
      <c r="AX1642" s="148">
        <f t="shared" si="458"/>
        <v>0.75891163770840653</v>
      </c>
      <c r="AY1642" s="126" t="s">
        <v>276</v>
      </c>
      <c r="AZ1642" s="126" t="s">
        <v>276</v>
      </c>
      <c r="BA1642" s="126" t="s">
        <v>276</v>
      </c>
      <c r="BB1642" s="126" t="s">
        <v>282</v>
      </c>
      <c r="BC1642" s="126" t="s">
        <v>98</v>
      </c>
      <c r="BD1642" s="126" t="s">
        <v>98</v>
      </c>
      <c r="BE1642" s="126" t="s">
        <v>98</v>
      </c>
      <c r="BF1642" s="127" t="s">
        <v>1168</v>
      </c>
      <c r="BG1642" s="127" t="s">
        <v>10074</v>
      </c>
      <c r="BH1642" s="9" t="s">
        <v>100</v>
      </c>
      <c r="BI1642" s="9" t="s">
        <v>100</v>
      </c>
      <c r="BJ1642" s="136"/>
      <c r="BN1642" s="136"/>
      <c r="BO1642" s="136"/>
    </row>
    <row r="1643" spans="1:67" s="137" customFormat="1" ht="117" hidden="1" x14ac:dyDescent="0.35">
      <c r="A1643" s="126">
        <v>4099</v>
      </c>
      <c r="B1643" s="126" t="s">
        <v>9251</v>
      </c>
      <c r="C1643" s="127" t="s">
        <v>62</v>
      </c>
      <c r="D1643" s="127" t="s">
        <v>10085</v>
      </c>
      <c r="E1643" s="126" t="s">
        <v>35</v>
      </c>
      <c r="F1643" s="126" t="s">
        <v>97</v>
      </c>
      <c r="G1643" s="126" t="s">
        <v>225</v>
      </c>
      <c r="H1643" s="126" t="s">
        <v>125</v>
      </c>
      <c r="I1643" s="126" t="s">
        <v>114</v>
      </c>
      <c r="J1643" s="127" t="s">
        <v>25</v>
      </c>
      <c r="K1643" s="126" t="s">
        <v>7801</v>
      </c>
      <c r="L1643" s="126" t="s">
        <v>4151</v>
      </c>
      <c r="M1643" s="126" t="s">
        <v>300</v>
      </c>
      <c r="N1643" s="127" t="s">
        <v>10057</v>
      </c>
      <c r="O1643" s="127" t="s">
        <v>276</v>
      </c>
      <c r="P1643" s="127" t="s">
        <v>239</v>
      </c>
      <c r="Q1643" s="146">
        <v>31047</v>
      </c>
      <c r="R1643" s="127" t="s">
        <v>741</v>
      </c>
      <c r="S1643" s="127" t="s">
        <v>9303</v>
      </c>
      <c r="T1643" s="127" t="s">
        <v>9304</v>
      </c>
      <c r="U1643" s="167" t="s">
        <v>6411</v>
      </c>
      <c r="V1643" s="126" t="s">
        <v>15</v>
      </c>
      <c r="W1643" s="126" t="s">
        <v>9254</v>
      </c>
      <c r="X1643" s="127" t="s">
        <v>207</v>
      </c>
      <c r="Y1643" s="132">
        <v>78085</v>
      </c>
      <c r="Z1643" s="134">
        <f t="shared" si="462"/>
        <v>56782</v>
      </c>
      <c r="AA1643" s="127" t="s">
        <v>276</v>
      </c>
      <c r="AB1643" s="127" t="s">
        <v>276</v>
      </c>
      <c r="AC1643" s="126" t="s">
        <v>276</v>
      </c>
      <c r="AD1643" s="127" t="s">
        <v>968</v>
      </c>
      <c r="AE1643" s="126" t="s">
        <v>276</v>
      </c>
      <c r="AF1643" s="127" t="s">
        <v>968</v>
      </c>
      <c r="AG1643" s="127" t="s">
        <v>10086</v>
      </c>
      <c r="AH1643" s="127" t="s">
        <v>10073</v>
      </c>
      <c r="AI1643" s="134">
        <v>409</v>
      </c>
      <c r="AJ1643" s="134">
        <v>523</v>
      </c>
      <c r="AK1643" s="132">
        <v>78085</v>
      </c>
      <c r="AL1643" s="134">
        <f t="shared" si="463"/>
        <v>75628</v>
      </c>
      <c r="AM1643" s="134" t="s">
        <v>281</v>
      </c>
      <c r="AN1643" s="126" t="s">
        <v>276</v>
      </c>
      <c r="AO1643" s="135">
        <f t="shared" si="460"/>
        <v>5.2378817954792858</v>
      </c>
      <c r="AP1643" s="126" t="s">
        <v>276</v>
      </c>
      <c r="AQ1643" s="126" t="s">
        <v>276</v>
      </c>
      <c r="AR1643" s="126" t="s">
        <v>276</v>
      </c>
      <c r="AS1643" s="135">
        <f t="shared" si="461"/>
        <v>6.9154281483048603</v>
      </c>
      <c r="AT1643" s="126" t="s">
        <v>276</v>
      </c>
      <c r="AU1643" s="126" t="s">
        <v>276</v>
      </c>
      <c r="AV1643" s="126" t="s">
        <v>268</v>
      </c>
      <c r="AW1643" s="126" t="s">
        <v>276</v>
      </c>
      <c r="AX1643" s="148">
        <f t="shared" si="458"/>
        <v>0.75741974078108498</v>
      </c>
      <c r="AY1643" s="126" t="s">
        <v>276</v>
      </c>
      <c r="AZ1643" s="126" t="s">
        <v>276</v>
      </c>
      <c r="BA1643" s="126" t="s">
        <v>276</v>
      </c>
      <c r="BB1643" s="126" t="s">
        <v>282</v>
      </c>
      <c r="BC1643" s="126" t="s">
        <v>98</v>
      </c>
      <c r="BD1643" s="126" t="s">
        <v>98</v>
      </c>
      <c r="BE1643" s="126" t="s">
        <v>98</v>
      </c>
      <c r="BF1643" s="127" t="s">
        <v>1168</v>
      </c>
      <c r="BG1643" s="127" t="s">
        <v>10074</v>
      </c>
      <c r="BH1643" s="9" t="s">
        <v>100</v>
      </c>
      <c r="BI1643" s="9" t="s">
        <v>100</v>
      </c>
      <c r="BJ1643" s="136"/>
      <c r="BN1643" s="136"/>
      <c r="BO1643" s="136"/>
    </row>
    <row r="1644" spans="1:67" s="137" customFormat="1" ht="117" hidden="1" x14ac:dyDescent="0.35">
      <c r="A1644" s="126">
        <v>4099</v>
      </c>
      <c r="B1644" s="126" t="s">
        <v>9251</v>
      </c>
      <c r="C1644" s="127" t="s">
        <v>62</v>
      </c>
      <c r="D1644" s="127" t="s">
        <v>10087</v>
      </c>
      <c r="E1644" s="126" t="s">
        <v>35</v>
      </c>
      <c r="F1644" s="126" t="s">
        <v>97</v>
      </c>
      <c r="G1644" s="126" t="s">
        <v>225</v>
      </c>
      <c r="H1644" s="126" t="s">
        <v>125</v>
      </c>
      <c r="I1644" s="126" t="s">
        <v>114</v>
      </c>
      <c r="J1644" s="127" t="s">
        <v>25</v>
      </c>
      <c r="K1644" s="126" t="s">
        <v>7801</v>
      </c>
      <c r="L1644" s="126" t="s">
        <v>4151</v>
      </c>
      <c r="M1644" s="126" t="s">
        <v>300</v>
      </c>
      <c r="N1644" s="127" t="s">
        <v>10057</v>
      </c>
      <c r="O1644" s="127" t="s">
        <v>276</v>
      </c>
      <c r="P1644" s="127" t="s">
        <v>239</v>
      </c>
      <c r="Q1644" s="146">
        <v>31047</v>
      </c>
      <c r="R1644" s="127" t="s">
        <v>746</v>
      </c>
      <c r="S1644" s="127" t="s">
        <v>10088</v>
      </c>
      <c r="T1644" s="127" t="s">
        <v>10089</v>
      </c>
      <c r="U1644" s="167" t="s">
        <v>6411</v>
      </c>
      <c r="V1644" s="126" t="s">
        <v>15</v>
      </c>
      <c r="W1644" s="126" t="s">
        <v>9254</v>
      </c>
      <c r="X1644" s="127" t="s">
        <v>207</v>
      </c>
      <c r="Y1644" s="132">
        <v>78085</v>
      </c>
      <c r="Z1644" s="134">
        <f t="shared" si="462"/>
        <v>56782</v>
      </c>
      <c r="AA1644" s="127" t="s">
        <v>276</v>
      </c>
      <c r="AB1644" s="127" t="s">
        <v>276</v>
      </c>
      <c r="AC1644" s="126" t="s">
        <v>276</v>
      </c>
      <c r="AD1644" s="127" t="s">
        <v>968</v>
      </c>
      <c r="AE1644" s="126" t="s">
        <v>276</v>
      </c>
      <c r="AF1644" s="127" t="s">
        <v>968</v>
      </c>
      <c r="AG1644" s="127" t="s">
        <v>10090</v>
      </c>
      <c r="AH1644" s="127" t="s">
        <v>10073</v>
      </c>
      <c r="AI1644" s="134">
        <v>409</v>
      </c>
      <c r="AJ1644" s="134">
        <v>527</v>
      </c>
      <c r="AK1644" s="132">
        <v>78085</v>
      </c>
      <c r="AL1644" s="134">
        <f t="shared" si="463"/>
        <v>75628</v>
      </c>
      <c r="AM1644" s="134" t="s">
        <v>281</v>
      </c>
      <c r="AN1644" s="126" t="s">
        <v>276</v>
      </c>
      <c r="AO1644" s="135">
        <f t="shared" si="460"/>
        <v>5.2378817954792858</v>
      </c>
      <c r="AP1644" s="126" t="s">
        <v>276</v>
      </c>
      <c r="AQ1644" s="126" t="s">
        <v>276</v>
      </c>
      <c r="AR1644" s="126" t="s">
        <v>276</v>
      </c>
      <c r="AS1644" s="135">
        <f t="shared" si="461"/>
        <v>6.9683186121542287</v>
      </c>
      <c r="AT1644" s="126" t="s">
        <v>276</v>
      </c>
      <c r="AU1644" s="126" t="s">
        <v>276</v>
      </c>
      <c r="AV1644" s="126" t="s">
        <v>268</v>
      </c>
      <c r="AW1644" s="126" t="s">
        <v>276</v>
      </c>
      <c r="AX1644" s="148">
        <f t="shared" si="458"/>
        <v>0.75167082434251886</v>
      </c>
      <c r="AY1644" s="126" t="s">
        <v>276</v>
      </c>
      <c r="AZ1644" s="126" t="s">
        <v>276</v>
      </c>
      <c r="BA1644" s="126" t="s">
        <v>276</v>
      </c>
      <c r="BB1644" s="126" t="s">
        <v>282</v>
      </c>
      <c r="BC1644" s="126" t="s">
        <v>98</v>
      </c>
      <c r="BD1644" s="126" t="s">
        <v>98</v>
      </c>
      <c r="BE1644" s="126" t="s">
        <v>98</v>
      </c>
      <c r="BF1644" s="127" t="s">
        <v>1168</v>
      </c>
      <c r="BG1644" s="127" t="s">
        <v>10074</v>
      </c>
      <c r="BH1644" s="9" t="s">
        <v>100</v>
      </c>
      <c r="BI1644" s="9" t="s">
        <v>100</v>
      </c>
      <c r="BJ1644" s="136"/>
      <c r="BN1644" s="136"/>
      <c r="BO1644" s="136"/>
    </row>
    <row r="1645" spans="1:67" s="110" customFormat="1" ht="52" hidden="1" x14ac:dyDescent="0.35">
      <c r="A1645" s="94">
        <v>4098</v>
      </c>
      <c r="B1645" s="94" t="s">
        <v>9251</v>
      </c>
      <c r="C1645" s="95" t="s">
        <v>9264</v>
      </c>
      <c r="D1645" s="95" t="s">
        <v>10091</v>
      </c>
      <c r="E1645" s="94" t="s">
        <v>35</v>
      </c>
      <c r="F1645" s="94" t="s">
        <v>97</v>
      </c>
      <c r="G1645" s="94" t="s">
        <v>225</v>
      </c>
      <c r="H1645" s="94" t="s">
        <v>225</v>
      </c>
      <c r="I1645" s="94" t="s">
        <v>114</v>
      </c>
      <c r="J1645" s="95" t="s">
        <v>98</v>
      </c>
      <c r="K1645" s="94" t="s">
        <v>98</v>
      </c>
      <c r="L1645" s="94" t="s">
        <v>98</v>
      </c>
      <c r="M1645" s="94" t="s">
        <v>98</v>
      </c>
      <c r="N1645" s="94" t="s">
        <v>276</v>
      </c>
      <c r="O1645" s="95" t="s">
        <v>276</v>
      </c>
      <c r="P1645" s="95" t="s">
        <v>238</v>
      </c>
      <c r="Q1645" s="140" t="s">
        <v>98</v>
      </c>
      <c r="R1645" s="95" t="s">
        <v>10092</v>
      </c>
      <c r="S1645" s="95" t="s">
        <v>276</v>
      </c>
      <c r="T1645" s="95" t="s">
        <v>98</v>
      </c>
      <c r="U1645" s="163" t="s">
        <v>1191</v>
      </c>
      <c r="V1645" s="94" t="s">
        <v>15</v>
      </c>
      <c r="W1645" s="94" t="s">
        <v>9960</v>
      </c>
      <c r="X1645" s="95" t="s">
        <v>209</v>
      </c>
      <c r="Y1645" s="107">
        <v>33641</v>
      </c>
      <c r="Z1645" s="95" t="s">
        <v>98</v>
      </c>
      <c r="AA1645" s="95" t="s">
        <v>276</v>
      </c>
      <c r="AB1645" s="95" t="s">
        <v>98</v>
      </c>
      <c r="AC1645" s="94">
        <v>0</v>
      </c>
      <c r="AD1645" s="94" t="s">
        <v>5574</v>
      </c>
      <c r="AE1645" s="94" t="s">
        <v>98</v>
      </c>
      <c r="AF1645" s="94" t="s">
        <v>98</v>
      </c>
      <c r="AG1645" s="95" t="s">
        <v>10093</v>
      </c>
      <c r="AH1645" s="95" t="s">
        <v>10094</v>
      </c>
      <c r="AI1645" s="99">
        <v>257</v>
      </c>
      <c r="AJ1645" s="99" t="s">
        <v>98</v>
      </c>
      <c r="AK1645" s="107">
        <v>33641</v>
      </c>
      <c r="AL1645" s="99" t="s">
        <v>98</v>
      </c>
      <c r="AM1645" s="99" t="s">
        <v>281</v>
      </c>
      <c r="AN1645" s="94" t="s">
        <v>276</v>
      </c>
      <c r="AO1645" s="102">
        <f t="shared" si="460"/>
        <v>7.6394875300972025</v>
      </c>
      <c r="AP1645" s="94" t="s">
        <v>276</v>
      </c>
      <c r="AQ1645" s="94" t="s">
        <v>276</v>
      </c>
      <c r="AR1645" s="94" t="s">
        <v>98</v>
      </c>
      <c r="AS1645" s="94" t="s">
        <v>98</v>
      </c>
      <c r="AT1645" s="94" t="s">
        <v>98</v>
      </c>
      <c r="AU1645" s="94" t="s">
        <v>98</v>
      </c>
      <c r="AV1645" s="94" t="s">
        <v>98</v>
      </c>
      <c r="AW1645" s="94" t="s">
        <v>98</v>
      </c>
      <c r="AX1645" s="94" t="s">
        <v>98</v>
      </c>
      <c r="AY1645" s="94" t="s">
        <v>98</v>
      </c>
      <c r="AZ1645" s="94" t="s">
        <v>98</v>
      </c>
      <c r="BA1645" s="94" t="s">
        <v>98</v>
      </c>
      <c r="BB1645" s="94" t="s">
        <v>98</v>
      </c>
      <c r="BC1645" s="94" t="s">
        <v>98</v>
      </c>
      <c r="BD1645" s="94" t="s">
        <v>98</v>
      </c>
      <c r="BE1645" s="94" t="s">
        <v>98</v>
      </c>
      <c r="BF1645" s="95" t="s">
        <v>10095</v>
      </c>
      <c r="BG1645" s="95"/>
      <c r="BH1645" s="9" t="s">
        <v>100</v>
      </c>
      <c r="BI1645" s="9" t="s">
        <v>100</v>
      </c>
      <c r="BJ1645" s="109"/>
      <c r="BN1645" s="109"/>
      <c r="BO1645" s="109"/>
    </row>
    <row r="1646" spans="1:67" s="110" customFormat="1" ht="65" hidden="1" x14ac:dyDescent="0.35">
      <c r="A1646" s="94">
        <v>4098</v>
      </c>
      <c r="B1646" s="94" t="s">
        <v>9251</v>
      </c>
      <c r="C1646" s="95" t="s">
        <v>9264</v>
      </c>
      <c r="D1646" s="95" t="s">
        <v>10096</v>
      </c>
      <c r="E1646" s="94" t="s">
        <v>35</v>
      </c>
      <c r="F1646" s="94" t="s">
        <v>97</v>
      </c>
      <c r="G1646" s="94" t="s">
        <v>225</v>
      </c>
      <c r="H1646" s="94" t="s">
        <v>225</v>
      </c>
      <c r="I1646" s="94" t="s">
        <v>114</v>
      </c>
      <c r="J1646" s="95" t="s">
        <v>98</v>
      </c>
      <c r="K1646" s="94" t="s">
        <v>98</v>
      </c>
      <c r="L1646" s="94" t="s">
        <v>98</v>
      </c>
      <c r="M1646" s="94" t="s">
        <v>98</v>
      </c>
      <c r="N1646" s="94" t="s">
        <v>276</v>
      </c>
      <c r="O1646" s="95" t="s">
        <v>276</v>
      </c>
      <c r="P1646" s="95" t="s">
        <v>238</v>
      </c>
      <c r="Q1646" s="140">
        <v>30986</v>
      </c>
      <c r="R1646" s="95" t="s">
        <v>10097</v>
      </c>
      <c r="S1646" s="95" t="s">
        <v>276</v>
      </c>
      <c r="T1646" s="95" t="s">
        <v>98</v>
      </c>
      <c r="U1646" s="163" t="s">
        <v>5401</v>
      </c>
      <c r="V1646" s="94" t="s">
        <v>15</v>
      </c>
      <c r="W1646" s="94" t="s">
        <v>9960</v>
      </c>
      <c r="X1646" s="95" t="s">
        <v>209</v>
      </c>
      <c r="Y1646" s="107">
        <v>33641</v>
      </c>
      <c r="Z1646" s="95" t="s">
        <v>98</v>
      </c>
      <c r="AA1646" s="95" t="s">
        <v>276</v>
      </c>
      <c r="AB1646" s="95" t="s">
        <v>98</v>
      </c>
      <c r="AC1646" s="94">
        <v>0</v>
      </c>
      <c r="AD1646" s="94" t="s">
        <v>5574</v>
      </c>
      <c r="AE1646" s="94" t="s">
        <v>98</v>
      </c>
      <c r="AF1646" s="94" t="s">
        <v>98</v>
      </c>
      <c r="AG1646" s="95" t="s">
        <v>10098</v>
      </c>
      <c r="AH1646" s="95" t="s">
        <v>10094</v>
      </c>
      <c r="AI1646" s="99">
        <v>321</v>
      </c>
      <c r="AJ1646" s="99" t="s">
        <v>98</v>
      </c>
      <c r="AK1646" s="107">
        <v>33641</v>
      </c>
      <c r="AL1646" s="99" t="s">
        <v>98</v>
      </c>
      <c r="AM1646" s="99" t="s">
        <v>281</v>
      </c>
      <c r="AN1646" s="94" t="s">
        <v>276</v>
      </c>
      <c r="AO1646" s="102">
        <f t="shared" si="460"/>
        <v>9.5419280045182955</v>
      </c>
      <c r="AP1646" s="94" t="s">
        <v>276</v>
      </c>
      <c r="AQ1646" s="94" t="s">
        <v>276</v>
      </c>
      <c r="AR1646" s="94" t="s">
        <v>98</v>
      </c>
      <c r="AS1646" s="94" t="s">
        <v>98</v>
      </c>
      <c r="AT1646" s="94" t="s">
        <v>98</v>
      </c>
      <c r="AU1646" s="94" t="s">
        <v>98</v>
      </c>
      <c r="AV1646" s="94" t="s">
        <v>98</v>
      </c>
      <c r="AW1646" s="94" t="s">
        <v>98</v>
      </c>
      <c r="AX1646" s="94" t="s">
        <v>98</v>
      </c>
      <c r="AY1646" s="94" t="s">
        <v>98</v>
      </c>
      <c r="AZ1646" s="94" t="s">
        <v>98</v>
      </c>
      <c r="BA1646" s="94" t="s">
        <v>98</v>
      </c>
      <c r="BB1646" s="94" t="s">
        <v>98</v>
      </c>
      <c r="BC1646" s="94" t="s">
        <v>98</v>
      </c>
      <c r="BD1646" s="94" t="s">
        <v>98</v>
      </c>
      <c r="BE1646" s="94" t="s">
        <v>98</v>
      </c>
      <c r="BF1646" s="95" t="s">
        <v>10099</v>
      </c>
      <c r="BG1646" s="95"/>
      <c r="BH1646" s="9" t="s">
        <v>100</v>
      </c>
      <c r="BI1646" s="9" t="s">
        <v>100</v>
      </c>
      <c r="BJ1646" s="109"/>
      <c r="BN1646" s="109"/>
      <c r="BO1646" s="109"/>
    </row>
    <row r="1647" spans="1:67" s="124" customFormat="1" ht="65" hidden="1" x14ac:dyDescent="0.35">
      <c r="A1647" s="112">
        <v>4098</v>
      </c>
      <c r="B1647" s="112" t="s">
        <v>9251</v>
      </c>
      <c r="C1647" s="113" t="s">
        <v>9264</v>
      </c>
      <c r="D1647" s="113" t="s">
        <v>10100</v>
      </c>
      <c r="E1647" s="112" t="s">
        <v>35</v>
      </c>
      <c r="F1647" s="112" t="s">
        <v>97</v>
      </c>
      <c r="G1647" s="112" t="s">
        <v>225</v>
      </c>
      <c r="H1647" s="112" t="s">
        <v>225</v>
      </c>
      <c r="I1647" s="112" t="s">
        <v>114</v>
      </c>
      <c r="J1647" s="113" t="s">
        <v>98</v>
      </c>
      <c r="K1647" s="112" t="s">
        <v>98</v>
      </c>
      <c r="L1647" s="112" t="s">
        <v>98</v>
      </c>
      <c r="M1647" s="112" t="s">
        <v>98</v>
      </c>
      <c r="N1647" s="112" t="s">
        <v>276</v>
      </c>
      <c r="O1647" s="113" t="s">
        <v>276</v>
      </c>
      <c r="P1647" s="113" t="s">
        <v>236</v>
      </c>
      <c r="Q1647" s="142">
        <v>30986</v>
      </c>
      <c r="R1647" s="113" t="s">
        <v>10097</v>
      </c>
      <c r="S1647" s="113" t="s">
        <v>276</v>
      </c>
      <c r="T1647" s="113" t="s">
        <v>98</v>
      </c>
      <c r="U1647" s="162" t="s">
        <v>5401</v>
      </c>
      <c r="V1647" s="112" t="s">
        <v>15</v>
      </c>
      <c r="W1647" s="112" t="s">
        <v>9960</v>
      </c>
      <c r="X1647" s="113" t="s">
        <v>209</v>
      </c>
      <c r="Y1647" s="120" t="s">
        <v>98</v>
      </c>
      <c r="Z1647" s="113" t="s">
        <v>98</v>
      </c>
      <c r="AA1647" s="113" t="s">
        <v>276</v>
      </c>
      <c r="AB1647" s="113" t="s">
        <v>98</v>
      </c>
      <c r="AC1647" s="112">
        <v>0</v>
      </c>
      <c r="AD1647" s="112" t="s">
        <v>5574</v>
      </c>
      <c r="AE1647" s="112" t="s">
        <v>98</v>
      </c>
      <c r="AF1647" s="112" t="s">
        <v>98</v>
      </c>
      <c r="AG1647" s="113" t="s">
        <v>10098</v>
      </c>
      <c r="AH1647" s="113" t="s">
        <v>10101</v>
      </c>
      <c r="AI1647" s="119">
        <v>321</v>
      </c>
      <c r="AJ1647" s="119" t="s">
        <v>98</v>
      </c>
      <c r="AK1647" s="120">
        <v>465</v>
      </c>
      <c r="AL1647" s="119" t="s">
        <v>98</v>
      </c>
      <c r="AM1647" s="119" t="s">
        <v>292</v>
      </c>
      <c r="AN1647" s="112" t="s">
        <v>276</v>
      </c>
      <c r="AO1647" s="121">
        <f>AI1647*100/AK1647</f>
        <v>69.032258064516128</v>
      </c>
      <c r="AP1647" s="112" t="s">
        <v>276</v>
      </c>
      <c r="AQ1647" s="112" t="s">
        <v>276</v>
      </c>
      <c r="AR1647" s="112" t="s">
        <v>98</v>
      </c>
      <c r="AS1647" s="112" t="s">
        <v>98</v>
      </c>
      <c r="AT1647" s="112" t="s">
        <v>98</v>
      </c>
      <c r="AU1647" s="112" t="s">
        <v>98</v>
      </c>
      <c r="AV1647" s="112" t="s">
        <v>98</v>
      </c>
      <c r="AW1647" s="112" t="s">
        <v>98</v>
      </c>
      <c r="AX1647" s="112" t="s">
        <v>98</v>
      </c>
      <c r="AY1647" s="112" t="s">
        <v>98</v>
      </c>
      <c r="AZ1647" s="112" t="s">
        <v>98</v>
      </c>
      <c r="BA1647" s="112" t="s">
        <v>98</v>
      </c>
      <c r="BB1647" s="112" t="s">
        <v>98</v>
      </c>
      <c r="BC1647" s="112" t="s">
        <v>98</v>
      </c>
      <c r="BD1647" s="112" t="s">
        <v>98</v>
      </c>
      <c r="BE1647" s="112" t="s">
        <v>98</v>
      </c>
      <c r="BF1647" s="113" t="s">
        <v>10102</v>
      </c>
      <c r="BG1647" s="113"/>
      <c r="BH1647" s="9" t="s">
        <v>100</v>
      </c>
      <c r="BI1647" s="9" t="s">
        <v>100</v>
      </c>
      <c r="BJ1647" s="123"/>
      <c r="BN1647" s="123"/>
      <c r="BO1647" s="123"/>
    </row>
    <row r="1648" spans="1:67" s="110" customFormat="1" ht="52" hidden="1" x14ac:dyDescent="0.35">
      <c r="A1648" s="94">
        <v>4098</v>
      </c>
      <c r="B1648" s="94" t="s">
        <v>9251</v>
      </c>
      <c r="C1648" s="95" t="s">
        <v>9264</v>
      </c>
      <c r="D1648" s="95" t="s">
        <v>10103</v>
      </c>
      <c r="E1648" s="94" t="s">
        <v>35</v>
      </c>
      <c r="F1648" s="94" t="s">
        <v>97</v>
      </c>
      <c r="G1648" s="94" t="s">
        <v>225</v>
      </c>
      <c r="H1648" s="94" t="s">
        <v>125</v>
      </c>
      <c r="I1648" s="94" t="s">
        <v>114</v>
      </c>
      <c r="J1648" s="95" t="s">
        <v>25</v>
      </c>
      <c r="K1648" s="94" t="s">
        <v>9955</v>
      </c>
      <c r="L1648" s="94" t="s">
        <v>4151</v>
      </c>
      <c r="M1648" s="94" t="s">
        <v>300</v>
      </c>
      <c r="N1648" s="95" t="s">
        <v>276</v>
      </c>
      <c r="O1648" s="95" t="s">
        <v>276</v>
      </c>
      <c r="P1648" s="95" t="s">
        <v>239</v>
      </c>
      <c r="Q1648" s="140">
        <v>30986</v>
      </c>
      <c r="R1648" s="95" t="s">
        <v>10097</v>
      </c>
      <c r="S1648" s="95" t="s">
        <v>276</v>
      </c>
      <c r="T1648" s="95" t="s">
        <v>276</v>
      </c>
      <c r="U1648" s="163" t="s">
        <v>5401</v>
      </c>
      <c r="V1648" s="94" t="s">
        <v>15</v>
      </c>
      <c r="W1648" s="94" t="s">
        <v>9960</v>
      </c>
      <c r="X1648" s="95" t="s">
        <v>207</v>
      </c>
      <c r="Y1648" s="107">
        <v>33641</v>
      </c>
      <c r="Z1648" s="99">
        <v>16359</v>
      </c>
      <c r="AA1648" s="95" t="s">
        <v>276</v>
      </c>
      <c r="AB1648" s="95" t="s">
        <v>276</v>
      </c>
      <c r="AC1648" s="94">
        <v>49</v>
      </c>
      <c r="AD1648" s="95" t="s">
        <v>10058</v>
      </c>
      <c r="AE1648" s="94">
        <v>4</v>
      </c>
      <c r="AF1648" s="95" t="s">
        <v>10058</v>
      </c>
      <c r="AG1648" s="95" t="s">
        <v>10104</v>
      </c>
      <c r="AH1648" s="95" t="s">
        <v>10105</v>
      </c>
      <c r="AI1648" s="99">
        <v>253</v>
      </c>
      <c r="AJ1648" s="99">
        <v>62</v>
      </c>
      <c r="AK1648" s="107">
        <v>33641</v>
      </c>
      <c r="AL1648" s="99">
        <v>16359</v>
      </c>
      <c r="AM1648" s="99" t="s">
        <v>281</v>
      </c>
      <c r="AN1648" s="94" t="s">
        <v>276</v>
      </c>
      <c r="AO1648" s="102">
        <f>AI1648*1000/AK1648</f>
        <v>7.5205850004458847</v>
      </c>
      <c r="AP1648" s="94" t="s">
        <v>276</v>
      </c>
      <c r="AQ1648" s="94" t="s">
        <v>276</v>
      </c>
      <c r="AR1648" s="94" t="s">
        <v>276</v>
      </c>
      <c r="AS1648" s="102">
        <f>AJ1648*1000/AL1648</f>
        <v>3.7899627116571919</v>
      </c>
      <c r="AT1648" s="94" t="s">
        <v>276</v>
      </c>
      <c r="AU1648" s="94" t="s">
        <v>276</v>
      </c>
      <c r="AV1648" s="94" t="s">
        <v>268</v>
      </c>
      <c r="AW1648" s="94" t="s">
        <v>276</v>
      </c>
      <c r="AX1648" s="101">
        <f t="shared" ref="AX1648:AX1681" si="464">AO1648/AS1648</f>
        <v>1.9843427422950681</v>
      </c>
      <c r="AY1648" s="94" t="s">
        <v>276</v>
      </c>
      <c r="AZ1648" s="94" t="s">
        <v>276</v>
      </c>
      <c r="BA1648" s="94" t="s">
        <v>276</v>
      </c>
      <c r="BB1648" s="94" t="s">
        <v>282</v>
      </c>
      <c r="BC1648" s="94" t="s">
        <v>98</v>
      </c>
      <c r="BD1648" s="94" t="s">
        <v>98</v>
      </c>
      <c r="BE1648" s="94" t="s">
        <v>98</v>
      </c>
      <c r="BF1648" s="95" t="s">
        <v>4694</v>
      </c>
      <c r="BG1648" s="95"/>
      <c r="BH1648" s="9" t="s">
        <v>100</v>
      </c>
      <c r="BI1648" s="9" t="s">
        <v>100</v>
      </c>
      <c r="BJ1648" s="109"/>
      <c r="BN1648" s="109"/>
      <c r="BO1648" s="109"/>
    </row>
    <row r="1649" spans="1:67" s="110" customFormat="1" ht="52" hidden="1" x14ac:dyDescent="0.35">
      <c r="A1649" s="94">
        <v>4098</v>
      </c>
      <c r="B1649" s="94" t="s">
        <v>9251</v>
      </c>
      <c r="C1649" s="95" t="s">
        <v>9264</v>
      </c>
      <c r="D1649" s="95" t="s">
        <v>10106</v>
      </c>
      <c r="E1649" s="94" t="s">
        <v>35</v>
      </c>
      <c r="F1649" s="94" t="s">
        <v>97</v>
      </c>
      <c r="G1649" s="94" t="s">
        <v>225</v>
      </c>
      <c r="H1649" s="94" t="s">
        <v>125</v>
      </c>
      <c r="I1649" s="94" t="s">
        <v>114</v>
      </c>
      <c r="J1649" s="95" t="s">
        <v>25</v>
      </c>
      <c r="K1649" s="94" t="s">
        <v>7801</v>
      </c>
      <c r="L1649" s="94" t="s">
        <v>4151</v>
      </c>
      <c r="M1649" s="94" t="s">
        <v>300</v>
      </c>
      <c r="N1649" s="95" t="s">
        <v>276</v>
      </c>
      <c r="O1649" s="95" t="s">
        <v>276</v>
      </c>
      <c r="P1649" s="95" t="s">
        <v>239</v>
      </c>
      <c r="Q1649" s="140">
        <v>30986</v>
      </c>
      <c r="R1649" s="95" t="s">
        <v>10097</v>
      </c>
      <c r="S1649" s="95" t="s">
        <v>276</v>
      </c>
      <c r="T1649" s="95" t="s">
        <v>276</v>
      </c>
      <c r="U1649" s="163" t="s">
        <v>5401</v>
      </c>
      <c r="V1649" s="94" t="s">
        <v>15</v>
      </c>
      <c r="W1649" s="94" t="s">
        <v>9960</v>
      </c>
      <c r="X1649" s="95" t="s">
        <v>207</v>
      </c>
      <c r="Y1649" s="107">
        <v>33641</v>
      </c>
      <c r="Z1649" s="99">
        <v>16359</v>
      </c>
      <c r="AA1649" s="95" t="s">
        <v>276</v>
      </c>
      <c r="AB1649" s="95" t="s">
        <v>276</v>
      </c>
      <c r="AC1649" s="94">
        <v>49</v>
      </c>
      <c r="AD1649" s="95" t="s">
        <v>10058</v>
      </c>
      <c r="AE1649" s="94">
        <v>4</v>
      </c>
      <c r="AF1649" s="95" t="s">
        <v>10058</v>
      </c>
      <c r="AG1649" s="95" t="s">
        <v>10107</v>
      </c>
      <c r="AH1649" s="95" t="s">
        <v>10105</v>
      </c>
      <c r="AI1649" s="99">
        <v>163</v>
      </c>
      <c r="AJ1649" s="99">
        <v>116</v>
      </c>
      <c r="AK1649" s="107">
        <v>33641</v>
      </c>
      <c r="AL1649" s="99">
        <v>16359</v>
      </c>
      <c r="AM1649" s="99" t="s">
        <v>281</v>
      </c>
      <c r="AN1649" s="94" t="s">
        <v>276</v>
      </c>
      <c r="AO1649" s="102">
        <f>AI1649*1000/AK1649</f>
        <v>4.8452780832912223</v>
      </c>
      <c r="AP1649" s="94" t="s">
        <v>276</v>
      </c>
      <c r="AQ1649" s="94" t="s">
        <v>276</v>
      </c>
      <c r="AR1649" s="94" t="s">
        <v>276</v>
      </c>
      <c r="AS1649" s="102">
        <f>AJ1649*1000/AL1649</f>
        <v>7.0908979766489395</v>
      </c>
      <c r="AT1649" s="94" t="s">
        <v>276</v>
      </c>
      <c r="AU1649" s="94" t="s">
        <v>276</v>
      </c>
      <c r="AV1649" s="94" t="s">
        <v>268</v>
      </c>
      <c r="AW1649" s="94" t="s">
        <v>276</v>
      </c>
      <c r="AX1649" s="101">
        <f t="shared" si="464"/>
        <v>0.68330951866000955</v>
      </c>
      <c r="AY1649" s="94" t="s">
        <v>276</v>
      </c>
      <c r="AZ1649" s="94" t="s">
        <v>276</v>
      </c>
      <c r="BA1649" s="94" t="s">
        <v>276</v>
      </c>
      <c r="BB1649" s="94" t="s">
        <v>282</v>
      </c>
      <c r="BC1649" s="94" t="s">
        <v>98</v>
      </c>
      <c r="BD1649" s="94" t="s">
        <v>98</v>
      </c>
      <c r="BE1649" s="94" t="s">
        <v>98</v>
      </c>
      <c r="BF1649" s="95" t="s">
        <v>4694</v>
      </c>
      <c r="BG1649" s="95"/>
      <c r="BH1649" s="9" t="s">
        <v>100</v>
      </c>
      <c r="BI1649" s="9" t="s">
        <v>100</v>
      </c>
      <c r="BJ1649" s="109"/>
      <c r="BN1649" s="109"/>
      <c r="BO1649" s="109"/>
    </row>
    <row r="1650" spans="1:67" s="110" customFormat="1" ht="78" hidden="1" x14ac:dyDescent="0.35">
      <c r="A1650" s="94">
        <v>4098</v>
      </c>
      <c r="B1650" s="94" t="s">
        <v>9251</v>
      </c>
      <c r="C1650" s="95" t="s">
        <v>9264</v>
      </c>
      <c r="D1650" s="95" t="s">
        <v>10108</v>
      </c>
      <c r="E1650" s="94" t="s">
        <v>35</v>
      </c>
      <c r="F1650" s="94" t="s">
        <v>97</v>
      </c>
      <c r="G1650" s="94" t="s">
        <v>225</v>
      </c>
      <c r="H1650" s="94" t="s">
        <v>125</v>
      </c>
      <c r="I1650" s="94" t="s">
        <v>114</v>
      </c>
      <c r="J1650" s="95" t="s">
        <v>25</v>
      </c>
      <c r="K1650" s="94" t="s">
        <v>7801</v>
      </c>
      <c r="L1650" s="94" t="s">
        <v>4151</v>
      </c>
      <c r="M1650" s="94" t="s">
        <v>300</v>
      </c>
      <c r="N1650" s="95" t="s">
        <v>276</v>
      </c>
      <c r="O1650" s="95" t="s">
        <v>276</v>
      </c>
      <c r="P1650" s="95" t="s">
        <v>235</v>
      </c>
      <c r="Q1650" s="140">
        <v>30986</v>
      </c>
      <c r="R1650" s="95" t="s">
        <v>10097</v>
      </c>
      <c r="S1650" s="95" t="s">
        <v>276</v>
      </c>
      <c r="T1650" s="95" t="s">
        <v>276</v>
      </c>
      <c r="U1650" s="163" t="s">
        <v>5401</v>
      </c>
      <c r="V1650" s="94" t="s">
        <v>15</v>
      </c>
      <c r="W1650" s="94" t="s">
        <v>9960</v>
      </c>
      <c r="X1650" s="95" t="s">
        <v>207</v>
      </c>
      <c r="Y1650" s="107" t="s">
        <v>98</v>
      </c>
      <c r="Z1650" s="99" t="s">
        <v>98</v>
      </c>
      <c r="AA1650" s="95" t="s">
        <v>276</v>
      </c>
      <c r="AB1650" s="95" t="s">
        <v>276</v>
      </c>
      <c r="AC1650" s="94">
        <v>49</v>
      </c>
      <c r="AD1650" s="95" t="s">
        <v>10058</v>
      </c>
      <c r="AE1650" s="94">
        <v>4</v>
      </c>
      <c r="AF1650" s="95" t="s">
        <v>10058</v>
      </c>
      <c r="AG1650" s="95" t="s">
        <v>10107</v>
      </c>
      <c r="AH1650" s="95" t="s">
        <v>10109</v>
      </c>
      <c r="AI1650" s="99">
        <v>163</v>
      </c>
      <c r="AJ1650" s="99">
        <v>116</v>
      </c>
      <c r="AK1650" s="107">
        <v>465</v>
      </c>
      <c r="AL1650" s="99">
        <v>182</v>
      </c>
      <c r="AM1650" s="99" t="s">
        <v>292</v>
      </c>
      <c r="AN1650" s="94" t="s">
        <v>10110</v>
      </c>
      <c r="AO1650" s="102">
        <f>AI1650*100/AK1650</f>
        <v>35.053763440860216</v>
      </c>
      <c r="AP1650" s="94" t="s">
        <v>276</v>
      </c>
      <c r="AQ1650" s="94" t="s">
        <v>276</v>
      </c>
      <c r="AR1650" s="94" t="s">
        <v>10111</v>
      </c>
      <c r="AS1650" s="102">
        <f>AJ1650*100/AL1650</f>
        <v>63.736263736263737</v>
      </c>
      <c r="AT1650" s="94" t="s">
        <v>276</v>
      </c>
      <c r="AU1650" s="94" t="s">
        <v>276</v>
      </c>
      <c r="AV1650" s="94" t="s">
        <v>268</v>
      </c>
      <c r="AW1650" s="94" t="s">
        <v>276</v>
      </c>
      <c r="AX1650" s="101">
        <f t="shared" si="464"/>
        <v>0.54998146088246203</v>
      </c>
      <c r="AY1650" s="94" t="s">
        <v>276</v>
      </c>
      <c r="AZ1650" s="94" t="s">
        <v>276</v>
      </c>
      <c r="BA1650" s="94" t="s">
        <v>431</v>
      </c>
      <c r="BB1650" s="94" t="s">
        <v>282</v>
      </c>
      <c r="BC1650" s="94" t="s">
        <v>98</v>
      </c>
      <c r="BD1650" s="94" t="s">
        <v>98</v>
      </c>
      <c r="BE1650" s="94" t="s">
        <v>98</v>
      </c>
      <c r="BF1650" s="95" t="s">
        <v>10112</v>
      </c>
      <c r="BG1650" s="95"/>
      <c r="BH1650" s="9" t="s">
        <v>100</v>
      </c>
      <c r="BI1650" s="9" t="s">
        <v>100</v>
      </c>
      <c r="BJ1650" s="109"/>
      <c r="BN1650" s="109"/>
      <c r="BO1650" s="109"/>
    </row>
    <row r="1651" spans="1:67" s="124" customFormat="1" ht="78" hidden="1" x14ac:dyDescent="0.35">
      <c r="A1651" s="112">
        <v>4098</v>
      </c>
      <c r="B1651" s="112" t="s">
        <v>9251</v>
      </c>
      <c r="C1651" s="113" t="s">
        <v>9264</v>
      </c>
      <c r="D1651" s="113" t="s">
        <v>10113</v>
      </c>
      <c r="E1651" s="112" t="s">
        <v>35</v>
      </c>
      <c r="F1651" s="112" t="s">
        <v>97</v>
      </c>
      <c r="G1651" s="112" t="s">
        <v>225</v>
      </c>
      <c r="H1651" s="112" t="s">
        <v>125</v>
      </c>
      <c r="I1651" s="112" t="s">
        <v>114</v>
      </c>
      <c r="J1651" s="113" t="s">
        <v>25</v>
      </c>
      <c r="K1651" s="112" t="s">
        <v>7801</v>
      </c>
      <c r="L1651" s="112" t="s">
        <v>4151</v>
      </c>
      <c r="M1651" s="112" t="s">
        <v>300</v>
      </c>
      <c r="N1651" s="113" t="s">
        <v>276</v>
      </c>
      <c r="O1651" s="113" t="s">
        <v>276</v>
      </c>
      <c r="P1651" s="113" t="s">
        <v>239</v>
      </c>
      <c r="Q1651" s="142" t="s">
        <v>98</v>
      </c>
      <c r="R1651" s="113" t="s">
        <v>705</v>
      </c>
      <c r="S1651" s="113" t="s">
        <v>276</v>
      </c>
      <c r="T1651" s="113" t="s">
        <v>276</v>
      </c>
      <c r="U1651" s="162" t="s">
        <v>1212</v>
      </c>
      <c r="V1651" s="112" t="s">
        <v>15</v>
      </c>
      <c r="W1651" s="112" t="s">
        <v>9960</v>
      </c>
      <c r="X1651" s="113" t="s">
        <v>207</v>
      </c>
      <c r="Y1651" s="120">
        <v>33641</v>
      </c>
      <c r="Z1651" s="119">
        <v>16359</v>
      </c>
      <c r="AA1651" s="113" t="s">
        <v>276</v>
      </c>
      <c r="AB1651" s="113" t="s">
        <v>276</v>
      </c>
      <c r="AC1651" s="112" t="s">
        <v>276</v>
      </c>
      <c r="AD1651" s="113" t="s">
        <v>968</v>
      </c>
      <c r="AE1651" s="112" t="s">
        <v>276</v>
      </c>
      <c r="AF1651" s="113" t="s">
        <v>968</v>
      </c>
      <c r="AG1651" s="113" t="s">
        <v>10114</v>
      </c>
      <c r="AH1651" s="113" t="s">
        <v>10115</v>
      </c>
      <c r="AI1651" s="119">
        <v>63</v>
      </c>
      <c r="AJ1651" s="119">
        <v>34</v>
      </c>
      <c r="AK1651" s="120">
        <v>33641</v>
      </c>
      <c r="AL1651" s="119">
        <f t="shared" ref="AL1651:AL1657" si="465">16359*2</f>
        <v>32718</v>
      </c>
      <c r="AM1651" s="119" t="s">
        <v>281</v>
      </c>
      <c r="AN1651" s="112" t="s">
        <v>276</v>
      </c>
      <c r="AO1651" s="121">
        <f t="shared" ref="AO1651:AO1679" si="466">AI1651*1000/AK1651</f>
        <v>1.8727148420082638</v>
      </c>
      <c r="AP1651" s="112" t="s">
        <v>276</v>
      </c>
      <c r="AQ1651" s="112" t="s">
        <v>276</v>
      </c>
      <c r="AR1651" s="112" t="s">
        <v>276</v>
      </c>
      <c r="AS1651" s="121">
        <f t="shared" ref="AS1651:AS1679" si="467">AJ1651*1000/AL1651</f>
        <v>1.0391833241640687</v>
      </c>
      <c r="AT1651" s="112" t="s">
        <v>276</v>
      </c>
      <c r="AU1651" s="112" t="s">
        <v>276</v>
      </c>
      <c r="AV1651" s="112" t="s">
        <v>268</v>
      </c>
      <c r="AW1651" s="112" t="s">
        <v>276</v>
      </c>
      <c r="AX1651" s="207">
        <f t="shared" si="464"/>
        <v>1.8021024764948934</v>
      </c>
      <c r="AY1651" s="112" t="s">
        <v>276</v>
      </c>
      <c r="AZ1651" s="112" t="s">
        <v>276</v>
      </c>
      <c r="BA1651" s="112" t="s">
        <v>276</v>
      </c>
      <c r="BB1651" s="112" t="s">
        <v>282</v>
      </c>
      <c r="BC1651" s="112" t="s">
        <v>98</v>
      </c>
      <c r="BD1651" s="112" t="s">
        <v>98</v>
      </c>
      <c r="BE1651" s="112" t="s">
        <v>98</v>
      </c>
      <c r="BF1651" s="113" t="s">
        <v>1168</v>
      </c>
      <c r="BG1651" s="113" t="s">
        <v>10116</v>
      </c>
      <c r="BH1651" s="9" t="s">
        <v>100</v>
      </c>
      <c r="BI1651" s="9" t="s">
        <v>100</v>
      </c>
      <c r="BJ1651" s="123"/>
      <c r="BN1651" s="123"/>
      <c r="BO1651" s="123"/>
    </row>
    <row r="1652" spans="1:67" s="124" customFormat="1" ht="78" hidden="1" x14ac:dyDescent="0.35">
      <c r="A1652" s="112">
        <v>4098</v>
      </c>
      <c r="B1652" s="112" t="s">
        <v>9251</v>
      </c>
      <c r="C1652" s="113" t="s">
        <v>9264</v>
      </c>
      <c r="D1652" s="113" t="s">
        <v>10117</v>
      </c>
      <c r="E1652" s="112" t="s">
        <v>35</v>
      </c>
      <c r="F1652" s="112" t="s">
        <v>97</v>
      </c>
      <c r="G1652" s="112" t="s">
        <v>225</v>
      </c>
      <c r="H1652" s="112" t="s">
        <v>125</v>
      </c>
      <c r="I1652" s="112" t="s">
        <v>114</v>
      </c>
      <c r="J1652" s="113" t="s">
        <v>25</v>
      </c>
      <c r="K1652" s="112" t="s">
        <v>7801</v>
      </c>
      <c r="L1652" s="112" t="s">
        <v>4151</v>
      </c>
      <c r="M1652" s="112" t="s">
        <v>300</v>
      </c>
      <c r="N1652" s="113" t="s">
        <v>276</v>
      </c>
      <c r="O1652" s="113" t="s">
        <v>276</v>
      </c>
      <c r="P1652" s="113" t="s">
        <v>239</v>
      </c>
      <c r="Q1652" s="142" t="s">
        <v>98</v>
      </c>
      <c r="R1652" s="113" t="s">
        <v>710</v>
      </c>
      <c r="S1652" s="113" t="s">
        <v>276</v>
      </c>
      <c r="T1652" s="113" t="s">
        <v>276</v>
      </c>
      <c r="U1652" s="162" t="s">
        <v>1212</v>
      </c>
      <c r="V1652" s="112" t="s">
        <v>15</v>
      </c>
      <c r="W1652" s="112" t="s">
        <v>9960</v>
      </c>
      <c r="X1652" s="113" t="s">
        <v>207</v>
      </c>
      <c r="Y1652" s="120">
        <v>33641</v>
      </c>
      <c r="Z1652" s="119">
        <v>16359</v>
      </c>
      <c r="AA1652" s="113" t="s">
        <v>276</v>
      </c>
      <c r="AB1652" s="113" t="s">
        <v>276</v>
      </c>
      <c r="AC1652" s="112" t="s">
        <v>276</v>
      </c>
      <c r="AD1652" s="113" t="s">
        <v>968</v>
      </c>
      <c r="AE1652" s="112" t="s">
        <v>276</v>
      </c>
      <c r="AF1652" s="113" t="s">
        <v>968</v>
      </c>
      <c r="AG1652" s="113" t="s">
        <v>10118</v>
      </c>
      <c r="AH1652" s="113" t="s">
        <v>10115</v>
      </c>
      <c r="AI1652" s="119">
        <v>74</v>
      </c>
      <c r="AJ1652" s="119">
        <v>76</v>
      </c>
      <c r="AK1652" s="120">
        <v>33641</v>
      </c>
      <c r="AL1652" s="119">
        <f t="shared" si="465"/>
        <v>32718</v>
      </c>
      <c r="AM1652" s="119" t="s">
        <v>281</v>
      </c>
      <c r="AN1652" s="112" t="s">
        <v>276</v>
      </c>
      <c r="AO1652" s="121">
        <f t="shared" si="466"/>
        <v>2.1996967985493892</v>
      </c>
      <c r="AP1652" s="112" t="s">
        <v>276</v>
      </c>
      <c r="AQ1652" s="112" t="s">
        <v>276</v>
      </c>
      <c r="AR1652" s="112" t="s">
        <v>276</v>
      </c>
      <c r="AS1652" s="121">
        <f t="shared" si="467"/>
        <v>2.3228803716608595</v>
      </c>
      <c r="AT1652" s="112" t="s">
        <v>276</v>
      </c>
      <c r="AU1652" s="112" t="s">
        <v>276</v>
      </c>
      <c r="AV1652" s="112" t="s">
        <v>268</v>
      </c>
      <c r="AW1652" s="112" t="s">
        <v>276</v>
      </c>
      <c r="AX1652" s="207">
        <f t="shared" si="464"/>
        <v>0.94696947177551205</v>
      </c>
      <c r="AY1652" s="112" t="s">
        <v>276</v>
      </c>
      <c r="AZ1652" s="112" t="s">
        <v>276</v>
      </c>
      <c r="BA1652" s="112" t="s">
        <v>276</v>
      </c>
      <c r="BB1652" s="112" t="s">
        <v>282</v>
      </c>
      <c r="BC1652" s="112" t="s">
        <v>98</v>
      </c>
      <c r="BD1652" s="112" t="s">
        <v>98</v>
      </c>
      <c r="BE1652" s="112" t="s">
        <v>98</v>
      </c>
      <c r="BF1652" s="113" t="s">
        <v>1168</v>
      </c>
      <c r="BG1652" s="113" t="s">
        <v>10116</v>
      </c>
      <c r="BH1652" s="9" t="s">
        <v>100</v>
      </c>
      <c r="BI1652" s="9" t="s">
        <v>100</v>
      </c>
      <c r="BJ1652" s="123"/>
      <c r="BN1652" s="123"/>
      <c r="BO1652" s="123"/>
    </row>
    <row r="1653" spans="1:67" s="124" customFormat="1" ht="78" hidden="1" x14ac:dyDescent="0.35">
      <c r="A1653" s="112">
        <v>4098</v>
      </c>
      <c r="B1653" s="112" t="s">
        <v>9251</v>
      </c>
      <c r="C1653" s="113" t="s">
        <v>9264</v>
      </c>
      <c r="D1653" s="113" t="s">
        <v>10119</v>
      </c>
      <c r="E1653" s="112" t="s">
        <v>35</v>
      </c>
      <c r="F1653" s="112" t="s">
        <v>97</v>
      </c>
      <c r="G1653" s="112" t="s">
        <v>225</v>
      </c>
      <c r="H1653" s="112" t="s">
        <v>125</v>
      </c>
      <c r="I1653" s="112" t="s">
        <v>114</v>
      </c>
      <c r="J1653" s="113" t="s">
        <v>25</v>
      </c>
      <c r="K1653" s="112" t="s">
        <v>7801</v>
      </c>
      <c r="L1653" s="112" t="s">
        <v>4151</v>
      </c>
      <c r="M1653" s="112" t="s">
        <v>300</v>
      </c>
      <c r="N1653" s="113" t="s">
        <v>276</v>
      </c>
      <c r="O1653" s="113" t="s">
        <v>276</v>
      </c>
      <c r="P1653" s="113" t="s">
        <v>239</v>
      </c>
      <c r="Q1653" s="142" t="s">
        <v>98</v>
      </c>
      <c r="R1653" s="113" t="s">
        <v>686</v>
      </c>
      <c r="S1653" s="113" t="s">
        <v>276</v>
      </c>
      <c r="T1653" s="113" t="s">
        <v>276</v>
      </c>
      <c r="U1653" s="162" t="s">
        <v>2331</v>
      </c>
      <c r="V1653" s="112" t="s">
        <v>15</v>
      </c>
      <c r="W1653" s="112" t="s">
        <v>9960</v>
      </c>
      <c r="X1653" s="113" t="s">
        <v>207</v>
      </c>
      <c r="Y1653" s="120">
        <v>33641</v>
      </c>
      <c r="Z1653" s="119">
        <v>16359</v>
      </c>
      <c r="AA1653" s="113" t="s">
        <v>276</v>
      </c>
      <c r="AB1653" s="113" t="s">
        <v>276</v>
      </c>
      <c r="AC1653" s="112" t="s">
        <v>276</v>
      </c>
      <c r="AD1653" s="113" t="s">
        <v>968</v>
      </c>
      <c r="AE1653" s="112" t="s">
        <v>276</v>
      </c>
      <c r="AF1653" s="113" t="s">
        <v>968</v>
      </c>
      <c r="AG1653" s="113" t="s">
        <v>10120</v>
      </c>
      <c r="AH1653" s="113" t="s">
        <v>10115</v>
      </c>
      <c r="AI1653" s="119">
        <v>96</v>
      </c>
      <c r="AJ1653" s="119">
        <v>112</v>
      </c>
      <c r="AK1653" s="120">
        <v>33641</v>
      </c>
      <c r="AL1653" s="119">
        <f t="shared" si="465"/>
        <v>32718</v>
      </c>
      <c r="AM1653" s="119" t="s">
        <v>281</v>
      </c>
      <c r="AN1653" s="112" t="s">
        <v>276</v>
      </c>
      <c r="AO1653" s="121">
        <f t="shared" si="466"/>
        <v>2.8536607116316399</v>
      </c>
      <c r="AP1653" s="112" t="s">
        <v>276</v>
      </c>
      <c r="AQ1653" s="112" t="s">
        <v>276</v>
      </c>
      <c r="AR1653" s="112" t="s">
        <v>276</v>
      </c>
      <c r="AS1653" s="121">
        <f t="shared" si="467"/>
        <v>3.4231921266581087</v>
      </c>
      <c r="AT1653" s="112" t="s">
        <v>276</v>
      </c>
      <c r="AU1653" s="112" t="s">
        <v>276</v>
      </c>
      <c r="AV1653" s="112" t="s">
        <v>268</v>
      </c>
      <c r="AW1653" s="112" t="s">
        <v>276</v>
      </c>
      <c r="AX1653" s="207">
        <f t="shared" si="464"/>
        <v>0.8336256353853928</v>
      </c>
      <c r="AY1653" s="112" t="s">
        <v>276</v>
      </c>
      <c r="AZ1653" s="112" t="s">
        <v>276</v>
      </c>
      <c r="BA1653" s="112" t="s">
        <v>276</v>
      </c>
      <c r="BB1653" s="112" t="s">
        <v>282</v>
      </c>
      <c r="BC1653" s="112" t="s">
        <v>98</v>
      </c>
      <c r="BD1653" s="112" t="s">
        <v>98</v>
      </c>
      <c r="BE1653" s="112" t="s">
        <v>98</v>
      </c>
      <c r="BF1653" s="113" t="s">
        <v>1168</v>
      </c>
      <c r="BG1653" s="113" t="s">
        <v>10116</v>
      </c>
      <c r="BH1653" s="9" t="s">
        <v>100</v>
      </c>
      <c r="BI1653" s="9" t="s">
        <v>100</v>
      </c>
      <c r="BJ1653" s="123"/>
      <c r="BN1653" s="123"/>
      <c r="BO1653" s="123"/>
    </row>
    <row r="1654" spans="1:67" s="124" customFormat="1" ht="78" hidden="1" x14ac:dyDescent="0.35">
      <c r="A1654" s="112">
        <v>4098</v>
      </c>
      <c r="B1654" s="112" t="s">
        <v>9251</v>
      </c>
      <c r="C1654" s="113" t="s">
        <v>9264</v>
      </c>
      <c r="D1654" s="113" t="s">
        <v>10121</v>
      </c>
      <c r="E1654" s="112" t="s">
        <v>35</v>
      </c>
      <c r="F1654" s="112" t="s">
        <v>97</v>
      </c>
      <c r="G1654" s="112" t="s">
        <v>225</v>
      </c>
      <c r="H1654" s="112" t="s">
        <v>125</v>
      </c>
      <c r="I1654" s="112" t="s">
        <v>114</v>
      </c>
      <c r="J1654" s="113" t="s">
        <v>25</v>
      </c>
      <c r="K1654" s="112" t="s">
        <v>7801</v>
      </c>
      <c r="L1654" s="112" t="s">
        <v>4151</v>
      </c>
      <c r="M1654" s="112" t="s">
        <v>300</v>
      </c>
      <c r="N1654" s="113" t="s">
        <v>276</v>
      </c>
      <c r="O1654" s="113" t="s">
        <v>276</v>
      </c>
      <c r="P1654" s="113" t="s">
        <v>239</v>
      </c>
      <c r="Q1654" s="142" t="s">
        <v>98</v>
      </c>
      <c r="R1654" s="113" t="s">
        <v>721</v>
      </c>
      <c r="S1654" s="113" t="s">
        <v>276</v>
      </c>
      <c r="T1654" s="113" t="s">
        <v>276</v>
      </c>
      <c r="U1654" s="162" t="s">
        <v>1191</v>
      </c>
      <c r="V1654" s="112" t="s">
        <v>15</v>
      </c>
      <c r="W1654" s="112" t="s">
        <v>9960</v>
      </c>
      <c r="X1654" s="113" t="s">
        <v>207</v>
      </c>
      <c r="Y1654" s="120">
        <v>33641</v>
      </c>
      <c r="Z1654" s="119">
        <v>16359</v>
      </c>
      <c r="AA1654" s="113" t="s">
        <v>276</v>
      </c>
      <c r="AB1654" s="113" t="s">
        <v>276</v>
      </c>
      <c r="AC1654" s="112" t="s">
        <v>276</v>
      </c>
      <c r="AD1654" s="113" t="s">
        <v>968</v>
      </c>
      <c r="AE1654" s="112" t="s">
        <v>276</v>
      </c>
      <c r="AF1654" s="113" t="s">
        <v>968</v>
      </c>
      <c r="AG1654" s="113" t="s">
        <v>10122</v>
      </c>
      <c r="AH1654" s="113" t="s">
        <v>10115</v>
      </c>
      <c r="AI1654" s="119">
        <v>130</v>
      </c>
      <c r="AJ1654" s="119">
        <v>142</v>
      </c>
      <c r="AK1654" s="120">
        <v>33641</v>
      </c>
      <c r="AL1654" s="119">
        <f t="shared" si="465"/>
        <v>32718</v>
      </c>
      <c r="AM1654" s="119" t="s">
        <v>281</v>
      </c>
      <c r="AN1654" s="112" t="s">
        <v>276</v>
      </c>
      <c r="AO1654" s="121">
        <f t="shared" si="466"/>
        <v>3.8643322136678457</v>
      </c>
      <c r="AP1654" s="112" t="s">
        <v>276</v>
      </c>
      <c r="AQ1654" s="112" t="s">
        <v>276</v>
      </c>
      <c r="AR1654" s="112" t="s">
        <v>276</v>
      </c>
      <c r="AS1654" s="121">
        <f t="shared" si="467"/>
        <v>4.3401185891558161</v>
      </c>
      <c r="AT1654" s="112" t="s">
        <v>276</v>
      </c>
      <c r="AU1654" s="112" t="s">
        <v>276</v>
      </c>
      <c r="AV1654" s="112" t="s">
        <v>268</v>
      </c>
      <c r="AW1654" s="112" t="s">
        <v>276</v>
      </c>
      <c r="AX1654" s="207">
        <f t="shared" si="464"/>
        <v>0.89037479835763789</v>
      </c>
      <c r="AY1654" s="112" t="s">
        <v>276</v>
      </c>
      <c r="AZ1654" s="112" t="s">
        <v>276</v>
      </c>
      <c r="BA1654" s="112" t="s">
        <v>276</v>
      </c>
      <c r="BB1654" s="112" t="s">
        <v>282</v>
      </c>
      <c r="BC1654" s="112" t="s">
        <v>98</v>
      </c>
      <c r="BD1654" s="112" t="s">
        <v>98</v>
      </c>
      <c r="BE1654" s="112" t="s">
        <v>98</v>
      </c>
      <c r="BF1654" s="113" t="s">
        <v>1168</v>
      </c>
      <c r="BG1654" s="113" t="s">
        <v>10116</v>
      </c>
      <c r="BH1654" s="9" t="s">
        <v>100</v>
      </c>
      <c r="BI1654" s="9" t="s">
        <v>100</v>
      </c>
      <c r="BJ1654" s="123"/>
      <c r="BN1654" s="123"/>
      <c r="BO1654" s="123"/>
    </row>
    <row r="1655" spans="1:67" s="124" customFormat="1" ht="78" hidden="1" x14ac:dyDescent="0.35">
      <c r="A1655" s="112">
        <v>4098</v>
      </c>
      <c r="B1655" s="112" t="s">
        <v>9251</v>
      </c>
      <c r="C1655" s="113" t="s">
        <v>9264</v>
      </c>
      <c r="D1655" s="113" t="s">
        <v>10123</v>
      </c>
      <c r="E1655" s="112" t="s">
        <v>35</v>
      </c>
      <c r="F1655" s="112" t="s">
        <v>97</v>
      </c>
      <c r="G1655" s="112" t="s">
        <v>225</v>
      </c>
      <c r="H1655" s="112" t="s">
        <v>125</v>
      </c>
      <c r="I1655" s="112" t="s">
        <v>114</v>
      </c>
      <c r="J1655" s="113" t="s">
        <v>25</v>
      </c>
      <c r="K1655" s="112" t="s">
        <v>7801</v>
      </c>
      <c r="L1655" s="112" t="s">
        <v>4151</v>
      </c>
      <c r="M1655" s="112" t="s">
        <v>300</v>
      </c>
      <c r="N1655" s="113" t="s">
        <v>276</v>
      </c>
      <c r="O1655" s="113" t="s">
        <v>276</v>
      </c>
      <c r="P1655" s="113" t="s">
        <v>239</v>
      </c>
      <c r="Q1655" s="142">
        <v>30986</v>
      </c>
      <c r="R1655" s="113" t="s">
        <v>728</v>
      </c>
      <c r="S1655" s="113" t="s">
        <v>276</v>
      </c>
      <c r="T1655" s="113" t="s">
        <v>276</v>
      </c>
      <c r="U1655" s="162" t="s">
        <v>5401</v>
      </c>
      <c r="V1655" s="112" t="s">
        <v>15</v>
      </c>
      <c r="W1655" s="112" t="s">
        <v>9960</v>
      </c>
      <c r="X1655" s="113" t="s">
        <v>207</v>
      </c>
      <c r="Y1655" s="120">
        <v>33641</v>
      </c>
      <c r="Z1655" s="119">
        <v>16359</v>
      </c>
      <c r="AA1655" s="113" t="s">
        <v>276</v>
      </c>
      <c r="AB1655" s="113" t="s">
        <v>276</v>
      </c>
      <c r="AC1655" s="112" t="s">
        <v>276</v>
      </c>
      <c r="AD1655" s="113" t="s">
        <v>968</v>
      </c>
      <c r="AE1655" s="112" t="s">
        <v>276</v>
      </c>
      <c r="AF1655" s="113" t="s">
        <v>968</v>
      </c>
      <c r="AG1655" s="113" t="s">
        <v>10124</v>
      </c>
      <c r="AH1655" s="113" t="s">
        <v>10115</v>
      </c>
      <c r="AI1655" s="119">
        <v>136</v>
      </c>
      <c r="AJ1655" s="119">
        <v>186</v>
      </c>
      <c r="AK1655" s="120">
        <v>33641</v>
      </c>
      <c r="AL1655" s="119">
        <f t="shared" si="465"/>
        <v>32718</v>
      </c>
      <c r="AM1655" s="119" t="s">
        <v>281</v>
      </c>
      <c r="AN1655" s="112" t="s">
        <v>276</v>
      </c>
      <c r="AO1655" s="121">
        <f t="shared" si="466"/>
        <v>4.0426860081448233</v>
      </c>
      <c r="AP1655" s="112" t="s">
        <v>276</v>
      </c>
      <c r="AQ1655" s="112" t="s">
        <v>276</v>
      </c>
      <c r="AR1655" s="112" t="s">
        <v>276</v>
      </c>
      <c r="AS1655" s="121">
        <f t="shared" si="467"/>
        <v>5.6849440674857874</v>
      </c>
      <c r="AT1655" s="112" t="s">
        <v>276</v>
      </c>
      <c r="AU1655" s="112" t="s">
        <v>276</v>
      </c>
      <c r="AV1655" s="112" t="s">
        <v>268</v>
      </c>
      <c r="AW1655" s="112" t="s">
        <v>276</v>
      </c>
      <c r="AX1655" s="207">
        <f t="shared" si="464"/>
        <v>0.71112150975528132</v>
      </c>
      <c r="AY1655" s="112" t="s">
        <v>276</v>
      </c>
      <c r="AZ1655" s="112" t="s">
        <v>276</v>
      </c>
      <c r="BA1655" s="112" t="s">
        <v>276</v>
      </c>
      <c r="BB1655" s="112" t="s">
        <v>282</v>
      </c>
      <c r="BC1655" s="112" t="s">
        <v>98</v>
      </c>
      <c r="BD1655" s="112" t="s">
        <v>98</v>
      </c>
      <c r="BE1655" s="112" t="s">
        <v>98</v>
      </c>
      <c r="BF1655" s="113" t="s">
        <v>1168</v>
      </c>
      <c r="BG1655" s="113" t="s">
        <v>10116</v>
      </c>
      <c r="BH1655" s="9" t="s">
        <v>100</v>
      </c>
      <c r="BI1655" s="9" t="s">
        <v>100</v>
      </c>
      <c r="BJ1655" s="123"/>
      <c r="BN1655" s="123"/>
      <c r="BO1655" s="123"/>
    </row>
    <row r="1656" spans="1:67" s="124" customFormat="1" ht="78" hidden="1" x14ac:dyDescent="0.35">
      <c r="A1656" s="112">
        <v>4098</v>
      </c>
      <c r="B1656" s="112" t="s">
        <v>9251</v>
      </c>
      <c r="C1656" s="113" t="s">
        <v>9264</v>
      </c>
      <c r="D1656" s="113" t="s">
        <v>10125</v>
      </c>
      <c r="E1656" s="112" t="s">
        <v>35</v>
      </c>
      <c r="F1656" s="112" t="s">
        <v>97</v>
      </c>
      <c r="G1656" s="112" t="s">
        <v>225</v>
      </c>
      <c r="H1656" s="112" t="s">
        <v>125</v>
      </c>
      <c r="I1656" s="112" t="s">
        <v>114</v>
      </c>
      <c r="J1656" s="113" t="s">
        <v>25</v>
      </c>
      <c r="K1656" s="112" t="s">
        <v>7801</v>
      </c>
      <c r="L1656" s="112" t="s">
        <v>4151</v>
      </c>
      <c r="M1656" s="112" t="s">
        <v>300</v>
      </c>
      <c r="N1656" s="113" t="s">
        <v>276</v>
      </c>
      <c r="O1656" s="113" t="s">
        <v>276</v>
      </c>
      <c r="P1656" s="113" t="s">
        <v>239</v>
      </c>
      <c r="Q1656" s="142">
        <v>30986</v>
      </c>
      <c r="R1656" s="113" t="s">
        <v>733</v>
      </c>
      <c r="S1656" s="113" t="s">
        <v>276</v>
      </c>
      <c r="T1656" s="113" t="s">
        <v>276</v>
      </c>
      <c r="U1656" s="162" t="s">
        <v>5401</v>
      </c>
      <c r="V1656" s="112" t="s">
        <v>15</v>
      </c>
      <c r="W1656" s="112" t="s">
        <v>9960</v>
      </c>
      <c r="X1656" s="113" t="s">
        <v>207</v>
      </c>
      <c r="Y1656" s="120">
        <v>33641</v>
      </c>
      <c r="Z1656" s="119">
        <v>16359</v>
      </c>
      <c r="AA1656" s="113" t="s">
        <v>276</v>
      </c>
      <c r="AB1656" s="113" t="s">
        <v>276</v>
      </c>
      <c r="AC1656" s="112" t="s">
        <v>276</v>
      </c>
      <c r="AD1656" s="113" t="s">
        <v>968</v>
      </c>
      <c r="AE1656" s="112" t="s">
        <v>276</v>
      </c>
      <c r="AF1656" s="113" t="s">
        <v>968</v>
      </c>
      <c r="AG1656" s="113" t="s">
        <v>10126</v>
      </c>
      <c r="AH1656" s="113" t="s">
        <v>10115</v>
      </c>
      <c r="AI1656" s="119">
        <v>154</v>
      </c>
      <c r="AJ1656" s="119">
        <v>218</v>
      </c>
      <c r="AK1656" s="120">
        <v>33641</v>
      </c>
      <c r="AL1656" s="119">
        <f t="shared" si="465"/>
        <v>32718</v>
      </c>
      <c r="AM1656" s="119" t="s">
        <v>281</v>
      </c>
      <c r="AN1656" s="112" t="s">
        <v>276</v>
      </c>
      <c r="AO1656" s="121">
        <f t="shared" si="466"/>
        <v>4.5777473915757554</v>
      </c>
      <c r="AP1656" s="112" t="s">
        <v>276</v>
      </c>
      <c r="AQ1656" s="112" t="s">
        <v>276</v>
      </c>
      <c r="AR1656" s="112" t="s">
        <v>276</v>
      </c>
      <c r="AS1656" s="121">
        <f t="shared" si="467"/>
        <v>6.662998960816676</v>
      </c>
      <c r="AT1656" s="112" t="s">
        <v>276</v>
      </c>
      <c r="AU1656" s="112" t="s">
        <v>276</v>
      </c>
      <c r="AV1656" s="112" t="s">
        <v>268</v>
      </c>
      <c r="AW1656" s="112" t="s">
        <v>276</v>
      </c>
      <c r="AX1656" s="207">
        <f t="shared" si="464"/>
        <v>0.68704008787878701</v>
      </c>
      <c r="AY1656" s="112" t="s">
        <v>276</v>
      </c>
      <c r="AZ1656" s="112" t="s">
        <v>276</v>
      </c>
      <c r="BA1656" s="112" t="s">
        <v>276</v>
      </c>
      <c r="BB1656" s="112" t="s">
        <v>282</v>
      </c>
      <c r="BC1656" s="112" t="s">
        <v>98</v>
      </c>
      <c r="BD1656" s="112" t="s">
        <v>98</v>
      </c>
      <c r="BE1656" s="112" t="s">
        <v>98</v>
      </c>
      <c r="BF1656" s="113" t="s">
        <v>1168</v>
      </c>
      <c r="BG1656" s="113" t="s">
        <v>10116</v>
      </c>
      <c r="BH1656" s="9" t="s">
        <v>100</v>
      </c>
      <c r="BI1656" s="9" t="s">
        <v>100</v>
      </c>
      <c r="BJ1656" s="123"/>
      <c r="BN1656" s="123"/>
      <c r="BO1656" s="123"/>
    </row>
    <row r="1657" spans="1:67" s="124" customFormat="1" ht="78" hidden="1" x14ac:dyDescent="0.35">
      <c r="A1657" s="112">
        <v>4098</v>
      </c>
      <c r="B1657" s="112" t="s">
        <v>9251</v>
      </c>
      <c r="C1657" s="113" t="s">
        <v>9264</v>
      </c>
      <c r="D1657" s="113" t="s">
        <v>10127</v>
      </c>
      <c r="E1657" s="112" t="s">
        <v>35</v>
      </c>
      <c r="F1657" s="112" t="s">
        <v>97</v>
      </c>
      <c r="G1657" s="112" t="s">
        <v>225</v>
      </c>
      <c r="H1657" s="112" t="s">
        <v>125</v>
      </c>
      <c r="I1657" s="112" t="s">
        <v>114</v>
      </c>
      <c r="J1657" s="113" t="s">
        <v>25</v>
      </c>
      <c r="K1657" s="112" t="s">
        <v>7801</v>
      </c>
      <c r="L1657" s="112" t="s">
        <v>4151</v>
      </c>
      <c r="M1657" s="112" t="s">
        <v>300</v>
      </c>
      <c r="N1657" s="113" t="s">
        <v>276</v>
      </c>
      <c r="O1657" s="113" t="s">
        <v>276</v>
      </c>
      <c r="P1657" s="113" t="s">
        <v>239</v>
      </c>
      <c r="Q1657" s="142">
        <v>30986</v>
      </c>
      <c r="R1657" s="113" t="s">
        <v>741</v>
      </c>
      <c r="S1657" s="113" t="s">
        <v>276</v>
      </c>
      <c r="T1657" s="113" t="s">
        <v>276</v>
      </c>
      <c r="U1657" s="162" t="s">
        <v>1219</v>
      </c>
      <c r="V1657" s="112" t="s">
        <v>15</v>
      </c>
      <c r="W1657" s="112" t="s">
        <v>9960</v>
      </c>
      <c r="X1657" s="113" t="s">
        <v>207</v>
      </c>
      <c r="Y1657" s="120">
        <v>33641</v>
      </c>
      <c r="Z1657" s="119">
        <v>16359</v>
      </c>
      <c r="AA1657" s="113" t="s">
        <v>276</v>
      </c>
      <c r="AB1657" s="113" t="s">
        <v>276</v>
      </c>
      <c r="AC1657" s="112" t="s">
        <v>276</v>
      </c>
      <c r="AD1657" s="113" t="s">
        <v>968</v>
      </c>
      <c r="AE1657" s="112" t="s">
        <v>276</v>
      </c>
      <c r="AF1657" s="113" t="s">
        <v>968</v>
      </c>
      <c r="AG1657" s="113" t="s">
        <v>10128</v>
      </c>
      <c r="AH1657" s="113" t="s">
        <v>10115</v>
      </c>
      <c r="AI1657" s="119">
        <v>163</v>
      </c>
      <c r="AJ1657" s="119">
        <v>232</v>
      </c>
      <c r="AK1657" s="120">
        <v>33641</v>
      </c>
      <c r="AL1657" s="119">
        <f t="shared" si="465"/>
        <v>32718</v>
      </c>
      <c r="AM1657" s="119" t="s">
        <v>281</v>
      </c>
      <c r="AN1657" s="112" t="s">
        <v>276</v>
      </c>
      <c r="AO1657" s="121">
        <f t="shared" si="466"/>
        <v>4.8452780832912223</v>
      </c>
      <c r="AP1657" s="112" t="s">
        <v>276</v>
      </c>
      <c r="AQ1657" s="112" t="s">
        <v>276</v>
      </c>
      <c r="AR1657" s="112" t="s">
        <v>276</v>
      </c>
      <c r="AS1657" s="121">
        <f t="shared" si="467"/>
        <v>7.0908979766489395</v>
      </c>
      <c r="AT1657" s="112" t="s">
        <v>276</v>
      </c>
      <c r="AU1657" s="112" t="s">
        <v>276</v>
      </c>
      <c r="AV1657" s="112" t="s">
        <v>268</v>
      </c>
      <c r="AW1657" s="112" t="s">
        <v>276</v>
      </c>
      <c r="AX1657" s="207">
        <f t="shared" si="464"/>
        <v>0.68330951866000955</v>
      </c>
      <c r="AY1657" s="112" t="s">
        <v>276</v>
      </c>
      <c r="AZ1657" s="112" t="s">
        <v>276</v>
      </c>
      <c r="BA1657" s="112" t="s">
        <v>276</v>
      </c>
      <c r="BB1657" s="112" t="s">
        <v>282</v>
      </c>
      <c r="BC1657" s="112" t="s">
        <v>98</v>
      </c>
      <c r="BD1657" s="112" t="s">
        <v>98</v>
      </c>
      <c r="BE1657" s="112" t="s">
        <v>98</v>
      </c>
      <c r="BF1657" s="113" t="s">
        <v>1168</v>
      </c>
      <c r="BG1657" s="113" t="s">
        <v>10116</v>
      </c>
      <c r="BH1657" s="9" t="s">
        <v>100</v>
      </c>
      <c r="BI1657" s="9" t="s">
        <v>100</v>
      </c>
      <c r="BJ1657" s="123"/>
      <c r="BN1657" s="123"/>
      <c r="BO1657" s="123"/>
    </row>
    <row r="1658" spans="1:67" s="110" customFormat="1" ht="78" hidden="1" x14ac:dyDescent="0.35">
      <c r="A1658" s="94">
        <v>4098</v>
      </c>
      <c r="B1658" s="94" t="s">
        <v>9251</v>
      </c>
      <c r="C1658" s="95" t="s">
        <v>9264</v>
      </c>
      <c r="D1658" s="95" t="s">
        <v>10129</v>
      </c>
      <c r="E1658" s="94" t="s">
        <v>35</v>
      </c>
      <c r="F1658" s="94" t="s">
        <v>97</v>
      </c>
      <c r="G1658" s="94" t="s">
        <v>225</v>
      </c>
      <c r="H1658" s="94" t="s">
        <v>125</v>
      </c>
      <c r="I1658" s="94" t="s">
        <v>114</v>
      </c>
      <c r="J1658" s="95" t="s">
        <v>25</v>
      </c>
      <c r="K1658" s="94" t="s">
        <v>7801</v>
      </c>
      <c r="L1658" s="94" t="s">
        <v>4151</v>
      </c>
      <c r="M1658" s="94" t="s">
        <v>300</v>
      </c>
      <c r="N1658" s="95" t="s">
        <v>276</v>
      </c>
      <c r="O1658" s="95" t="s">
        <v>276</v>
      </c>
      <c r="P1658" s="95" t="s">
        <v>239</v>
      </c>
      <c r="Q1658" s="140" t="s">
        <v>98</v>
      </c>
      <c r="R1658" s="95" t="s">
        <v>705</v>
      </c>
      <c r="S1658" s="95" t="s">
        <v>276</v>
      </c>
      <c r="T1658" s="95" t="s">
        <v>276</v>
      </c>
      <c r="U1658" s="163" t="s">
        <v>1212</v>
      </c>
      <c r="V1658" s="94" t="s">
        <v>15</v>
      </c>
      <c r="W1658" s="94" t="s">
        <v>3032</v>
      </c>
      <c r="X1658" s="95" t="s">
        <v>207</v>
      </c>
      <c r="Y1658" s="107">
        <v>9625</v>
      </c>
      <c r="Z1658" s="99">
        <v>5053</v>
      </c>
      <c r="AA1658" s="95" t="s">
        <v>276</v>
      </c>
      <c r="AB1658" s="95" t="s">
        <v>276</v>
      </c>
      <c r="AC1658" s="94" t="s">
        <v>276</v>
      </c>
      <c r="AD1658" s="95" t="s">
        <v>968</v>
      </c>
      <c r="AE1658" s="94" t="s">
        <v>276</v>
      </c>
      <c r="AF1658" s="95" t="s">
        <v>968</v>
      </c>
      <c r="AG1658" s="95" t="s">
        <v>10130</v>
      </c>
      <c r="AH1658" s="95" t="s">
        <v>10131</v>
      </c>
      <c r="AI1658" s="99">
        <v>4</v>
      </c>
      <c r="AJ1658" s="99">
        <v>6</v>
      </c>
      <c r="AK1658" s="107">
        <v>9625</v>
      </c>
      <c r="AL1658" s="99">
        <f t="shared" ref="AL1658:AL1663" si="468">2*5053</f>
        <v>10106</v>
      </c>
      <c r="AM1658" s="99" t="s">
        <v>281</v>
      </c>
      <c r="AN1658" s="94" t="s">
        <v>276</v>
      </c>
      <c r="AO1658" s="102">
        <f t="shared" si="466"/>
        <v>0.41558441558441561</v>
      </c>
      <c r="AP1658" s="94" t="s">
        <v>276</v>
      </c>
      <c r="AQ1658" s="94" t="s">
        <v>276</v>
      </c>
      <c r="AR1658" s="94" t="s">
        <v>276</v>
      </c>
      <c r="AS1658" s="102">
        <f t="shared" si="467"/>
        <v>0.59370670888581045</v>
      </c>
      <c r="AT1658" s="94" t="s">
        <v>276</v>
      </c>
      <c r="AU1658" s="94" t="s">
        <v>276</v>
      </c>
      <c r="AV1658" s="94" t="s">
        <v>268</v>
      </c>
      <c r="AW1658" s="94" t="s">
        <v>276</v>
      </c>
      <c r="AX1658" s="101">
        <f t="shared" si="464"/>
        <v>0.69998268398268393</v>
      </c>
      <c r="AY1658" s="94" t="s">
        <v>276</v>
      </c>
      <c r="AZ1658" s="94" t="s">
        <v>276</v>
      </c>
      <c r="BA1658" s="94" t="s">
        <v>276</v>
      </c>
      <c r="BB1658" s="94" t="s">
        <v>282</v>
      </c>
      <c r="BC1658" s="94" t="s">
        <v>98</v>
      </c>
      <c r="BD1658" s="94" t="s">
        <v>98</v>
      </c>
      <c r="BE1658" s="94" t="s">
        <v>98</v>
      </c>
      <c r="BF1658" s="95" t="s">
        <v>2051</v>
      </c>
      <c r="BG1658" s="95" t="s">
        <v>10116</v>
      </c>
      <c r="BH1658" s="9" t="s">
        <v>100</v>
      </c>
      <c r="BI1658" s="9" t="s">
        <v>100</v>
      </c>
      <c r="BJ1658" s="109"/>
      <c r="BN1658" s="109"/>
      <c r="BO1658" s="109"/>
    </row>
    <row r="1659" spans="1:67" s="110" customFormat="1" ht="78" hidden="1" x14ac:dyDescent="0.35">
      <c r="A1659" s="94">
        <v>4098</v>
      </c>
      <c r="B1659" s="94" t="s">
        <v>9251</v>
      </c>
      <c r="C1659" s="95" t="s">
        <v>9264</v>
      </c>
      <c r="D1659" s="95" t="s">
        <v>10132</v>
      </c>
      <c r="E1659" s="94" t="s">
        <v>35</v>
      </c>
      <c r="F1659" s="94" t="s">
        <v>97</v>
      </c>
      <c r="G1659" s="94" t="s">
        <v>225</v>
      </c>
      <c r="H1659" s="94" t="s">
        <v>125</v>
      </c>
      <c r="I1659" s="94" t="s">
        <v>114</v>
      </c>
      <c r="J1659" s="95" t="s">
        <v>25</v>
      </c>
      <c r="K1659" s="94" t="s">
        <v>7801</v>
      </c>
      <c r="L1659" s="94" t="s">
        <v>4151</v>
      </c>
      <c r="M1659" s="94" t="s">
        <v>300</v>
      </c>
      <c r="N1659" s="95" t="s">
        <v>276</v>
      </c>
      <c r="O1659" s="95" t="s">
        <v>276</v>
      </c>
      <c r="P1659" s="95" t="s">
        <v>239</v>
      </c>
      <c r="Q1659" s="140" t="s">
        <v>98</v>
      </c>
      <c r="R1659" s="95" t="s">
        <v>710</v>
      </c>
      <c r="S1659" s="95" t="s">
        <v>276</v>
      </c>
      <c r="T1659" s="95" t="s">
        <v>276</v>
      </c>
      <c r="U1659" s="163" t="s">
        <v>1212</v>
      </c>
      <c r="V1659" s="94" t="s">
        <v>15</v>
      </c>
      <c r="W1659" s="94" t="s">
        <v>3032</v>
      </c>
      <c r="X1659" s="95" t="s">
        <v>207</v>
      </c>
      <c r="Y1659" s="107">
        <v>9625</v>
      </c>
      <c r="Z1659" s="99">
        <v>5053</v>
      </c>
      <c r="AA1659" s="95" t="s">
        <v>276</v>
      </c>
      <c r="AB1659" s="95" t="s">
        <v>276</v>
      </c>
      <c r="AC1659" s="94" t="s">
        <v>276</v>
      </c>
      <c r="AD1659" s="95" t="s">
        <v>968</v>
      </c>
      <c r="AE1659" s="94" t="s">
        <v>276</v>
      </c>
      <c r="AF1659" s="95" t="s">
        <v>968</v>
      </c>
      <c r="AG1659" s="95" t="s">
        <v>10133</v>
      </c>
      <c r="AH1659" s="95" t="s">
        <v>10131</v>
      </c>
      <c r="AI1659" s="99">
        <v>9</v>
      </c>
      <c r="AJ1659" s="99">
        <v>20</v>
      </c>
      <c r="AK1659" s="107">
        <v>9625</v>
      </c>
      <c r="AL1659" s="99">
        <f t="shared" si="468"/>
        <v>10106</v>
      </c>
      <c r="AM1659" s="99" t="s">
        <v>281</v>
      </c>
      <c r="AN1659" s="94" t="s">
        <v>276</v>
      </c>
      <c r="AO1659" s="102">
        <f t="shared" si="466"/>
        <v>0.93506493506493504</v>
      </c>
      <c r="AP1659" s="94" t="s">
        <v>276</v>
      </c>
      <c r="AQ1659" s="94" t="s">
        <v>276</v>
      </c>
      <c r="AR1659" s="94" t="s">
        <v>276</v>
      </c>
      <c r="AS1659" s="102">
        <f t="shared" si="467"/>
        <v>1.9790223629527013</v>
      </c>
      <c r="AT1659" s="94" t="s">
        <v>276</v>
      </c>
      <c r="AU1659" s="94" t="s">
        <v>276</v>
      </c>
      <c r="AV1659" s="94" t="s">
        <v>268</v>
      </c>
      <c r="AW1659" s="94" t="s">
        <v>276</v>
      </c>
      <c r="AX1659" s="101">
        <f t="shared" si="464"/>
        <v>0.47248831168831168</v>
      </c>
      <c r="AY1659" s="94" t="s">
        <v>276</v>
      </c>
      <c r="AZ1659" s="94" t="s">
        <v>276</v>
      </c>
      <c r="BA1659" s="94" t="s">
        <v>276</v>
      </c>
      <c r="BB1659" s="94" t="s">
        <v>282</v>
      </c>
      <c r="BC1659" s="94" t="s">
        <v>98</v>
      </c>
      <c r="BD1659" s="94" t="s">
        <v>98</v>
      </c>
      <c r="BE1659" s="94" t="s">
        <v>98</v>
      </c>
      <c r="BF1659" s="95" t="s">
        <v>2051</v>
      </c>
      <c r="BG1659" s="95" t="s">
        <v>10116</v>
      </c>
      <c r="BH1659" s="9" t="s">
        <v>100</v>
      </c>
      <c r="BI1659" s="9" t="s">
        <v>100</v>
      </c>
      <c r="BJ1659" s="109"/>
      <c r="BN1659" s="109"/>
      <c r="BO1659" s="109"/>
    </row>
    <row r="1660" spans="1:67" s="110" customFormat="1" ht="78" hidden="1" x14ac:dyDescent="0.35">
      <c r="A1660" s="94">
        <v>4098</v>
      </c>
      <c r="B1660" s="94" t="s">
        <v>9251</v>
      </c>
      <c r="C1660" s="95" t="s">
        <v>9264</v>
      </c>
      <c r="D1660" s="95" t="s">
        <v>10134</v>
      </c>
      <c r="E1660" s="94" t="s">
        <v>35</v>
      </c>
      <c r="F1660" s="94" t="s">
        <v>97</v>
      </c>
      <c r="G1660" s="94" t="s">
        <v>225</v>
      </c>
      <c r="H1660" s="94" t="s">
        <v>125</v>
      </c>
      <c r="I1660" s="94" t="s">
        <v>114</v>
      </c>
      <c r="J1660" s="95" t="s">
        <v>25</v>
      </c>
      <c r="K1660" s="94" t="s">
        <v>7801</v>
      </c>
      <c r="L1660" s="94" t="s">
        <v>4151</v>
      </c>
      <c r="M1660" s="94" t="s">
        <v>300</v>
      </c>
      <c r="N1660" s="95" t="s">
        <v>276</v>
      </c>
      <c r="O1660" s="95" t="s">
        <v>276</v>
      </c>
      <c r="P1660" s="95" t="s">
        <v>239</v>
      </c>
      <c r="Q1660" s="140" t="s">
        <v>98</v>
      </c>
      <c r="R1660" s="95" t="s">
        <v>686</v>
      </c>
      <c r="S1660" s="95" t="s">
        <v>276</v>
      </c>
      <c r="T1660" s="95" t="s">
        <v>276</v>
      </c>
      <c r="U1660" s="163" t="s">
        <v>1191</v>
      </c>
      <c r="V1660" s="94" t="s">
        <v>15</v>
      </c>
      <c r="W1660" s="94" t="s">
        <v>3032</v>
      </c>
      <c r="X1660" s="95" t="s">
        <v>207</v>
      </c>
      <c r="Y1660" s="107">
        <v>9625</v>
      </c>
      <c r="Z1660" s="99">
        <v>5053</v>
      </c>
      <c r="AA1660" s="95" t="s">
        <v>276</v>
      </c>
      <c r="AB1660" s="95" t="s">
        <v>276</v>
      </c>
      <c r="AC1660" s="94" t="s">
        <v>276</v>
      </c>
      <c r="AD1660" s="95" t="s">
        <v>968</v>
      </c>
      <c r="AE1660" s="94" t="s">
        <v>276</v>
      </c>
      <c r="AF1660" s="95" t="s">
        <v>968</v>
      </c>
      <c r="AG1660" s="95" t="s">
        <v>10120</v>
      </c>
      <c r="AH1660" s="95" t="s">
        <v>10131</v>
      </c>
      <c r="AI1660" s="99">
        <v>14</v>
      </c>
      <c r="AJ1660" s="99">
        <v>28</v>
      </c>
      <c r="AK1660" s="107">
        <v>9625</v>
      </c>
      <c r="AL1660" s="99">
        <f t="shared" si="468"/>
        <v>10106</v>
      </c>
      <c r="AM1660" s="99" t="s">
        <v>281</v>
      </c>
      <c r="AN1660" s="94" t="s">
        <v>276</v>
      </c>
      <c r="AO1660" s="102">
        <f t="shared" si="466"/>
        <v>1.4545454545454546</v>
      </c>
      <c r="AP1660" s="94" t="s">
        <v>276</v>
      </c>
      <c r="AQ1660" s="94" t="s">
        <v>276</v>
      </c>
      <c r="AR1660" s="94" t="s">
        <v>276</v>
      </c>
      <c r="AS1660" s="102">
        <f t="shared" si="467"/>
        <v>2.7706313081337819</v>
      </c>
      <c r="AT1660" s="94" t="s">
        <v>276</v>
      </c>
      <c r="AU1660" s="94" t="s">
        <v>276</v>
      </c>
      <c r="AV1660" s="94" t="s">
        <v>268</v>
      </c>
      <c r="AW1660" s="94" t="s">
        <v>276</v>
      </c>
      <c r="AX1660" s="101">
        <f t="shared" si="464"/>
        <v>0.524987012987013</v>
      </c>
      <c r="AY1660" s="94" t="s">
        <v>276</v>
      </c>
      <c r="AZ1660" s="94" t="s">
        <v>276</v>
      </c>
      <c r="BA1660" s="94" t="s">
        <v>276</v>
      </c>
      <c r="BB1660" s="94" t="s">
        <v>282</v>
      </c>
      <c r="BC1660" s="94" t="s">
        <v>98</v>
      </c>
      <c r="BD1660" s="94" t="s">
        <v>98</v>
      </c>
      <c r="BE1660" s="94" t="s">
        <v>98</v>
      </c>
      <c r="BF1660" s="95" t="s">
        <v>2051</v>
      </c>
      <c r="BG1660" s="95" t="s">
        <v>10116</v>
      </c>
      <c r="BH1660" s="9" t="s">
        <v>100</v>
      </c>
      <c r="BI1660" s="9" t="s">
        <v>100</v>
      </c>
      <c r="BJ1660" s="109"/>
      <c r="BN1660" s="109"/>
      <c r="BO1660" s="109"/>
    </row>
    <row r="1661" spans="1:67" s="110" customFormat="1" ht="78" hidden="1" x14ac:dyDescent="0.35">
      <c r="A1661" s="94">
        <v>4098</v>
      </c>
      <c r="B1661" s="94" t="s">
        <v>9251</v>
      </c>
      <c r="C1661" s="95" t="s">
        <v>9264</v>
      </c>
      <c r="D1661" s="95" t="s">
        <v>10135</v>
      </c>
      <c r="E1661" s="94" t="s">
        <v>35</v>
      </c>
      <c r="F1661" s="94" t="s">
        <v>97</v>
      </c>
      <c r="G1661" s="94" t="s">
        <v>225</v>
      </c>
      <c r="H1661" s="94" t="s">
        <v>125</v>
      </c>
      <c r="I1661" s="94" t="s">
        <v>114</v>
      </c>
      <c r="J1661" s="95" t="s">
        <v>25</v>
      </c>
      <c r="K1661" s="94" t="s">
        <v>7801</v>
      </c>
      <c r="L1661" s="94" t="s">
        <v>4151</v>
      </c>
      <c r="M1661" s="94" t="s">
        <v>300</v>
      </c>
      <c r="N1661" s="95" t="s">
        <v>276</v>
      </c>
      <c r="O1661" s="95" t="s">
        <v>276</v>
      </c>
      <c r="P1661" s="95" t="s">
        <v>239</v>
      </c>
      <c r="Q1661" s="140" t="s">
        <v>98</v>
      </c>
      <c r="R1661" s="95" t="s">
        <v>721</v>
      </c>
      <c r="S1661" s="95" t="s">
        <v>276</v>
      </c>
      <c r="T1661" s="95" t="s">
        <v>276</v>
      </c>
      <c r="U1661" s="163" t="s">
        <v>1191</v>
      </c>
      <c r="V1661" s="94" t="s">
        <v>15</v>
      </c>
      <c r="W1661" s="94" t="s">
        <v>3032</v>
      </c>
      <c r="X1661" s="95" t="s">
        <v>207</v>
      </c>
      <c r="Y1661" s="107">
        <v>9625</v>
      </c>
      <c r="Z1661" s="99">
        <v>5053</v>
      </c>
      <c r="AA1661" s="95" t="s">
        <v>276</v>
      </c>
      <c r="AB1661" s="95" t="s">
        <v>276</v>
      </c>
      <c r="AC1661" s="94" t="s">
        <v>276</v>
      </c>
      <c r="AD1661" s="95" t="s">
        <v>968</v>
      </c>
      <c r="AE1661" s="94" t="s">
        <v>276</v>
      </c>
      <c r="AF1661" s="95" t="s">
        <v>968</v>
      </c>
      <c r="AG1661" s="95" t="s">
        <v>10136</v>
      </c>
      <c r="AH1661" s="95" t="s">
        <v>10131</v>
      </c>
      <c r="AI1661" s="99">
        <v>20</v>
      </c>
      <c r="AJ1661" s="99">
        <v>36</v>
      </c>
      <c r="AK1661" s="107">
        <v>9625</v>
      </c>
      <c r="AL1661" s="99">
        <f t="shared" si="468"/>
        <v>10106</v>
      </c>
      <c r="AM1661" s="99" t="s">
        <v>281</v>
      </c>
      <c r="AN1661" s="94" t="s">
        <v>276</v>
      </c>
      <c r="AO1661" s="102">
        <f t="shared" si="466"/>
        <v>2.0779220779220777</v>
      </c>
      <c r="AP1661" s="94" t="s">
        <v>276</v>
      </c>
      <c r="AQ1661" s="94" t="s">
        <v>276</v>
      </c>
      <c r="AR1661" s="94" t="s">
        <v>276</v>
      </c>
      <c r="AS1661" s="102">
        <f t="shared" si="467"/>
        <v>3.5622402533148625</v>
      </c>
      <c r="AT1661" s="94" t="s">
        <v>276</v>
      </c>
      <c r="AU1661" s="94" t="s">
        <v>276</v>
      </c>
      <c r="AV1661" s="94" t="s">
        <v>268</v>
      </c>
      <c r="AW1661" s="94" t="s">
        <v>276</v>
      </c>
      <c r="AX1661" s="101">
        <f t="shared" si="464"/>
        <v>0.58331890331890324</v>
      </c>
      <c r="AY1661" s="94" t="s">
        <v>276</v>
      </c>
      <c r="AZ1661" s="94" t="s">
        <v>276</v>
      </c>
      <c r="BA1661" s="94" t="s">
        <v>276</v>
      </c>
      <c r="BB1661" s="94" t="s">
        <v>282</v>
      </c>
      <c r="BC1661" s="94" t="s">
        <v>98</v>
      </c>
      <c r="BD1661" s="94" t="s">
        <v>98</v>
      </c>
      <c r="BE1661" s="94" t="s">
        <v>98</v>
      </c>
      <c r="BF1661" s="95" t="s">
        <v>2051</v>
      </c>
      <c r="BG1661" s="95" t="s">
        <v>10116</v>
      </c>
      <c r="BH1661" s="9" t="s">
        <v>100</v>
      </c>
      <c r="BI1661" s="9" t="s">
        <v>100</v>
      </c>
      <c r="BJ1661" s="109"/>
      <c r="BN1661" s="109"/>
      <c r="BO1661" s="109"/>
    </row>
    <row r="1662" spans="1:67" s="110" customFormat="1" ht="78" hidden="1" x14ac:dyDescent="0.35">
      <c r="A1662" s="94">
        <v>4098</v>
      </c>
      <c r="B1662" s="94" t="s">
        <v>9251</v>
      </c>
      <c r="C1662" s="95" t="s">
        <v>9264</v>
      </c>
      <c r="D1662" s="95" t="s">
        <v>10137</v>
      </c>
      <c r="E1662" s="94" t="s">
        <v>35</v>
      </c>
      <c r="F1662" s="94" t="s">
        <v>97</v>
      </c>
      <c r="G1662" s="94" t="s">
        <v>225</v>
      </c>
      <c r="H1662" s="94" t="s">
        <v>125</v>
      </c>
      <c r="I1662" s="94" t="s">
        <v>114</v>
      </c>
      <c r="J1662" s="95" t="s">
        <v>25</v>
      </c>
      <c r="K1662" s="94" t="s">
        <v>7801</v>
      </c>
      <c r="L1662" s="94" t="s">
        <v>4151</v>
      </c>
      <c r="M1662" s="94" t="s">
        <v>300</v>
      </c>
      <c r="N1662" s="95" t="s">
        <v>276</v>
      </c>
      <c r="O1662" s="95" t="s">
        <v>276</v>
      </c>
      <c r="P1662" s="95" t="s">
        <v>239</v>
      </c>
      <c r="Q1662" s="140">
        <v>30986</v>
      </c>
      <c r="R1662" s="95" t="s">
        <v>728</v>
      </c>
      <c r="S1662" s="95" t="s">
        <v>276</v>
      </c>
      <c r="T1662" s="95" t="s">
        <v>276</v>
      </c>
      <c r="U1662" s="163" t="s">
        <v>1219</v>
      </c>
      <c r="V1662" s="94" t="s">
        <v>15</v>
      </c>
      <c r="W1662" s="94" t="s">
        <v>3032</v>
      </c>
      <c r="X1662" s="95" t="s">
        <v>207</v>
      </c>
      <c r="Y1662" s="107">
        <v>9625</v>
      </c>
      <c r="Z1662" s="99">
        <v>5053</v>
      </c>
      <c r="AA1662" s="95" t="s">
        <v>276</v>
      </c>
      <c r="AB1662" s="95" t="s">
        <v>276</v>
      </c>
      <c r="AC1662" s="94" t="s">
        <v>276</v>
      </c>
      <c r="AD1662" s="95" t="s">
        <v>968</v>
      </c>
      <c r="AE1662" s="94" t="s">
        <v>276</v>
      </c>
      <c r="AF1662" s="95" t="s">
        <v>968</v>
      </c>
      <c r="AG1662" s="95" t="s">
        <v>10138</v>
      </c>
      <c r="AH1662" s="95" t="s">
        <v>10131</v>
      </c>
      <c r="AI1662" s="99">
        <v>23</v>
      </c>
      <c r="AJ1662" s="99">
        <v>38</v>
      </c>
      <c r="AK1662" s="107">
        <v>9625</v>
      </c>
      <c r="AL1662" s="99">
        <f t="shared" si="468"/>
        <v>10106</v>
      </c>
      <c r="AM1662" s="99" t="s">
        <v>281</v>
      </c>
      <c r="AN1662" s="94" t="s">
        <v>276</v>
      </c>
      <c r="AO1662" s="102">
        <f t="shared" si="466"/>
        <v>2.3896103896103895</v>
      </c>
      <c r="AP1662" s="94" t="s">
        <v>276</v>
      </c>
      <c r="AQ1662" s="94" t="s">
        <v>276</v>
      </c>
      <c r="AR1662" s="94" t="s">
        <v>276</v>
      </c>
      <c r="AS1662" s="102">
        <f t="shared" si="467"/>
        <v>3.7601424896101325</v>
      </c>
      <c r="AT1662" s="94" t="s">
        <v>276</v>
      </c>
      <c r="AU1662" s="94" t="s">
        <v>276</v>
      </c>
      <c r="AV1662" s="94" t="s">
        <v>268</v>
      </c>
      <c r="AW1662" s="94" t="s">
        <v>276</v>
      </c>
      <c r="AX1662" s="101">
        <f t="shared" si="464"/>
        <v>0.63551059466848936</v>
      </c>
      <c r="AY1662" s="94" t="s">
        <v>276</v>
      </c>
      <c r="AZ1662" s="94" t="s">
        <v>276</v>
      </c>
      <c r="BA1662" s="94" t="s">
        <v>276</v>
      </c>
      <c r="BB1662" s="94" t="s">
        <v>282</v>
      </c>
      <c r="BC1662" s="94" t="s">
        <v>98</v>
      </c>
      <c r="BD1662" s="94" t="s">
        <v>98</v>
      </c>
      <c r="BE1662" s="94" t="s">
        <v>98</v>
      </c>
      <c r="BF1662" s="95" t="s">
        <v>2051</v>
      </c>
      <c r="BG1662" s="95" t="s">
        <v>10116</v>
      </c>
      <c r="BH1662" s="9" t="s">
        <v>100</v>
      </c>
      <c r="BI1662" s="9" t="s">
        <v>100</v>
      </c>
      <c r="BJ1662" s="109"/>
      <c r="BN1662" s="109"/>
      <c r="BO1662" s="109"/>
    </row>
    <row r="1663" spans="1:67" s="110" customFormat="1" ht="78" hidden="1" x14ac:dyDescent="0.35">
      <c r="A1663" s="94">
        <v>4098</v>
      </c>
      <c r="B1663" s="94" t="s">
        <v>9251</v>
      </c>
      <c r="C1663" s="95" t="s">
        <v>9264</v>
      </c>
      <c r="D1663" s="95" t="s">
        <v>10139</v>
      </c>
      <c r="E1663" s="94" t="s">
        <v>35</v>
      </c>
      <c r="F1663" s="94" t="s">
        <v>97</v>
      </c>
      <c r="G1663" s="94" t="s">
        <v>225</v>
      </c>
      <c r="H1663" s="94" t="s">
        <v>125</v>
      </c>
      <c r="I1663" s="94" t="s">
        <v>114</v>
      </c>
      <c r="J1663" s="95" t="s">
        <v>25</v>
      </c>
      <c r="K1663" s="94" t="s">
        <v>7801</v>
      </c>
      <c r="L1663" s="94" t="s">
        <v>4151</v>
      </c>
      <c r="M1663" s="94" t="s">
        <v>300</v>
      </c>
      <c r="N1663" s="95" t="s">
        <v>276</v>
      </c>
      <c r="O1663" s="95" t="s">
        <v>276</v>
      </c>
      <c r="P1663" s="95" t="s">
        <v>239</v>
      </c>
      <c r="Q1663" s="140">
        <v>30986</v>
      </c>
      <c r="R1663" s="95" t="s">
        <v>733</v>
      </c>
      <c r="S1663" s="95" t="s">
        <v>276</v>
      </c>
      <c r="T1663" s="95" t="s">
        <v>276</v>
      </c>
      <c r="U1663" s="163" t="s">
        <v>1219</v>
      </c>
      <c r="V1663" s="94" t="s">
        <v>15</v>
      </c>
      <c r="W1663" s="94" t="s">
        <v>3032</v>
      </c>
      <c r="X1663" s="95" t="s">
        <v>207</v>
      </c>
      <c r="Y1663" s="107">
        <v>9625</v>
      </c>
      <c r="Z1663" s="99">
        <v>5053</v>
      </c>
      <c r="AA1663" s="95" t="s">
        <v>276</v>
      </c>
      <c r="AB1663" s="95" t="s">
        <v>276</v>
      </c>
      <c r="AC1663" s="94" t="s">
        <v>276</v>
      </c>
      <c r="AD1663" s="95" t="s">
        <v>968</v>
      </c>
      <c r="AE1663" s="94" t="s">
        <v>276</v>
      </c>
      <c r="AF1663" s="95" t="s">
        <v>968</v>
      </c>
      <c r="AG1663" s="95" t="s">
        <v>10140</v>
      </c>
      <c r="AH1663" s="95" t="s">
        <v>10131</v>
      </c>
      <c r="AI1663" s="99">
        <v>27</v>
      </c>
      <c r="AJ1663" s="99">
        <v>42</v>
      </c>
      <c r="AK1663" s="107">
        <v>9625</v>
      </c>
      <c r="AL1663" s="99">
        <f t="shared" si="468"/>
        <v>10106</v>
      </c>
      <c r="AM1663" s="99" t="s">
        <v>281</v>
      </c>
      <c r="AN1663" s="94" t="s">
        <v>276</v>
      </c>
      <c r="AO1663" s="102">
        <f t="shared" si="466"/>
        <v>2.8051948051948052</v>
      </c>
      <c r="AP1663" s="94" t="s">
        <v>276</v>
      </c>
      <c r="AQ1663" s="94" t="s">
        <v>276</v>
      </c>
      <c r="AR1663" s="94" t="s">
        <v>276</v>
      </c>
      <c r="AS1663" s="102">
        <f t="shared" si="467"/>
        <v>4.1559469622006731</v>
      </c>
      <c r="AT1663" s="94" t="s">
        <v>276</v>
      </c>
      <c r="AU1663" s="94" t="s">
        <v>276</v>
      </c>
      <c r="AV1663" s="94" t="s">
        <v>268</v>
      </c>
      <c r="AW1663" s="94" t="s">
        <v>276</v>
      </c>
      <c r="AX1663" s="101">
        <f t="shared" si="464"/>
        <v>0.67498330241187388</v>
      </c>
      <c r="AY1663" s="94" t="s">
        <v>276</v>
      </c>
      <c r="AZ1663" s="94" t="s">
        <v>276</v>
      </c>
      <c r="BA1663" s="94" t="s">
        <v>276</v>
      </c>
      <c r="BB1663" s="94" t="s">
        <v>282</v>
      </c>
      <c r="BC1663" s="94" t="s">
        <v>98</v>
      </c>
      <c r="BD1663" s="94" t="s">
        <v>98</v>
      </c>
      <c r="BE1663" s="94" t="s">
        <v>98</v>
      </c>
      <c r="BF1663" s="95" t="s">
        <v>2051</v>
      </c>
      <c r="BG1663" s="95" t="s">
        <v>10116</v>
      </c>
      <c r="BH1663" s="9" t="s">
        <v>100</v>
      </c>
      <c r="BI1663" s="9" t="s">
        <v>100</v>
      </c>
      <c r="BJ1663" s="109"/>
      <c r="BN1663" s="109"/>
      <c r="BO1663" s="109"/>
    </row>
    <row r="1664" spans="1:67" s="110" customFormat="1" ht="78" hidden="1" x14ac:dyDescent="0.35">
      <c r="A1664" s="94">
        <v>4098</v>
      </c>
      <c r="B1664" s="94" t="s">
        <v>9251</v>
      </c>
      <c r="C1664" s="95" t="s">
        <v>9264</v>
      </c>
      <c r="D1664" s="95" t="s">
        <v>10141</v>
      </c>
      <c r="E1664" s="94" t="s">
        <v>35</v>
      </c>
      <c r="F1664" s="94" t="s">
        <v>97</v>
      </c>
      <c r="G1664" s="94" t="s">
        <v>225</v>
      </c>
      <c r="H1664" s="94" t="s">
        <v>125</v>
      </c>
      <c r="I1664" s="94" t="s">
        <v>114</v>
      </c>
      <c r="J1664" s="95" t="s">
        <v>25</v>
      </c>
      <c r="K1664" s="94" t="s">
        <v>7801</v>
      </c>
      <c r="L1664" s="94" t="s">
        <v>4151</v>
      </c>
      <c r="M1664" s="94" t="s">
        <v>300</v>
      </c>
      <c r="N1664" s="95" t="s">
        <v>276</v>
      </c>
      <c r="O1664" s="95" t="s">
        <v>276</v>
      </c>
      <c r="P1664" s="95" t="s">
        <v>239</v>
      </c>
      <c r="Q1664" s="140">
        <v>30986</v>
      </c>
      <c r="R1664" s="95" t="s">
        <v>741</v>
      </c>
      <c r="S1664" s="95" t="s">
        <v>276</v>
      </c>
      <c r="T1664" s="95" t="s">
        <v>276</v>
      </c>
      <c r="U1664" s="163" t="s">
        <v>1192</v>
      </c>
      <c r="V1664" s="94" t="s">
        <v>15</v>
      </c>
      <c r="W1664" s="94" t="s">
        <v>3032</v>
      </c>
      <c r="X1664" s="95" t="s">
        <v>207</v>
      </c>
      <c r="Y1664" s="107">
        <v>9625</v>
      </c>
      <c r="Z1664" s="99">
        <v>5053</v>
      </c>
      <c r="AA1664" s="95" t="s">
        <v>276</v>
      </c>
      <c r="AB1664" s="95" t="s">
        <v>276</v>
      </c>
      <c r="AC1664" s="94" t="s">
        <v>276</v>
      </c>
      <c r="AD1664" s="95" t="s">
        <v>968</v>
      </c>
      <c r="AE1664" s="94" t="s">
        <v>276</v>
      </c>
      <c r="AF1664" s="95" t="s">
        <v>968</v>
      </c>
      <c r="AG1664" s="95" t="s">
        <v>10142</v>
      </c>
      <c r="AH1664" s="95" t="s">
        <v>10131</v>
      </c>
      <c r="AI1664" s="99">
        <v>28</v>
      </c>
      <c r="AJ1664" s="99">
        <v>42</v>
      </c>
      <c r="AK1664" s="107">
        <v>9625</v>
      </c>
      <c r="AL1664" s="99">
        <f>2*5053</f>
        <v>10106</v>
      </c>
      <c r="AM1664" s="99" t="s">
        <v>281</v>
      </c>
      <c r="AN1664" s="94" t="s">
        <v>276</v>
      </c>
      <c r="AO1664" s="102">
        <f t="shared" si="466"/>
        <v>2.9090909090909092</v>
      </c>
      <c r="AP1664" s="94" t="s">
        <v>276</v>
      </c>
      <c r="AQ1664" s="94" t="s">
        <v>276</v>
      </c>
      <c r="AR1664" s="94" t="s">
        <v>276</v>
      </c>
      <c r="AS1664" s="102">
        <f t="shared" si="467"/>
        <v>4.1559469622006731</v>
      </c>
      <c r="AT1664" s="94" t="s">
        <v>276</v>
      </c>
      <c r="AU1664" s="94" t="s">
        <v>276</v>
      </c>
      <c r="AV1664" s="94" t="s">
        <v>268</v>
      </c>
      <c r="AW1664" s="94" t="s">
        <v>276</v>
      </c>
      <c r="AX1664" s="101">
        <f t="shared" si="464"/>
        <v>0.69998268398268393</v>
      </c>
      <c r="AY1664" s="94" t="s">
        <v>276</v>
      </c>
      <c r="AZ1664" s="94" t="s">
        <v>276</v>
      </c>
      <c r="BA1664" s="94" t="s">
        <v>276</v>
      </c>
      <c r="BB1664" s="94" t="s">
        <v>282</v>
      </c>
      <c r="BC1664" s="94" t="s">
        <v>98</v>
      </c>
      <c r="BD1664" s="94" t="s">
        <v>98</v>
      </c>
      <c r="BE1664" s="94" t="s">
        <v>98</v>
      </c>
      <c r="BF1664" s="95" t="s">
        <v>2051</v>
      </c>
      <c r="BG1664" s="95" t="s">
        <v>10116</v>
      </c>
      <c r="BH1664" s="9" t="s">
        <v>100</v>
      </c>
      <c r="BI1664" s="9" t="s">
        <v>100</v>
      </c>
      <c r="BJ1664" s="109"/>
      <c r="BN1664" s="109"/>
      <c r="BO1664" s="109"/>
    </row>
    <row r="1665" spans="1:67" s="124" customFormat="1" ht="78" hidden="1" x14ac:dyDescent="0.35">
      <c r="A1665" s="112">
        <v>4098</v>
      </c>
      <c r="B1665" s="112" t="s">
        <v>9251</v>
      </c>
      <c r="C1665" s="113" t="s">
        <v>9264</v>
      </c>
      <c r="D1665" s="113" t="s">
        <v>10143</v>
      </c>
      <c r="E1665" s="112" t="s">
        <v>35</v>
      </c>
      <c r="F1665" s="112" t="s">
        <v>97</v>
      </c>
      <c r="G1665" s="112" t="s">
        <v>225</v>
      </c>
      <c r="H1665" s="112" t="s">
        <v>125</v>
      </c>
      <c r="I1665" s="112" t="s">
        <v>114</v>
      </c>
      <c r="J1665" s="113" t="s">
        <v>25</v>
      </c>
      <c r="K1665" s="112" t="s">
        <v>7801</v>
      </c>
      <c r="L1665" s="112" t="s">
        <v>4151</v>
      </c>
      <c r="M1665" s="112" t="s">
        <v>300</v>
      </c>
      <c r="N1665" s="113" t="s">
        <v>276</v>
      </c>
      <c r="O1665" s="113" t="s">
        <v>276</v>
      </c>
      <c r="P1665" s="113" t="s">
        <v>239</v>
      </c>
      <c r="Q1665" s="142" t="s">
        <v>98</v>
      </c>
      <c r="R1665" s="113" t="s">
        <v>705</v>
      </c>
      <c r="S1665" s="113" t="s">
        <v>276</v>
      </c>
      <c r="T1665" s="113" t="s">
        <v>276</v>
      </c>
      <c r="U1665" s="162" t="s">
        <v>1212</v>
      </c>
      <c r="V1665" s="112" t="s">
        <v>15</v>
      </c>
      <c r="W1665" s="112" t="s">
        <v>3038</v>
      </c>
      <c r="X1665" s="113" t="s">
        <v>207</v>
      </c>
      <c r="Y1665" s="120">
        <v>11863</v>
      </c>
      <c r="Z1665" s="119">
        <v>5632</v>
      </c>
      <c r="AA1665" s="113" t="s">
        <v>276</v>
      </c>
      <c r="AB1665" s="113" t="s">
        <v>276</v>
      </c>
      <c r="AC1665" s="112" t="s">
        <v>276</v>
      </c>
      <c r="AD1665" s="113" t="s">
        <v>968</v>
      </c>
      <c r="AE1665" s="112" t="s">
        <v>276</v>
      </c>
      <c r="AF1665" s="113" t="s">
        <v>968</v>
      </c>
      <c r="AG1665" s="113" t="s">
        <v>10144</v>
      </c>
      <c r="AH1665" s="113" t="s">
        <v>10145</v>
      </c>
      <c r="AI1665" s="119">
        <v>23</v>
      </c>
      <c r="AJ1665" s="119">
        <v>18</v>
      </c>
      <c r="AK1665" s="120">
        <v>11863</v>
      </c>
      <c r="AL1665" s="119">
        <f t="shared" ref="AL1665:AL1670" si="469">5632*2</f>
        <v>11264</v>
      </c>
      <c r="AM1665" s="119" t="s">
        <v>281</v>
      </c>
      <c r="AN1665" s="112" t="s">
        <v>276</v>
      </c>
      <c r="AO1665" s="121">
        <f t="shared" si="466"/>
        <v>1.9388013150130659</v>
      </c>
      <c r="AP1665" s="112" t="s">
        <v>276</v>
      </c>
      <c r="AQ1665" s="112" t="s">
        <v>276</v>
      </c>
      <c r="AR1665" s="112" t="s">
        <v>276</v>
      </c>
      <c r="AS1665" s="121">
        <f t="shared" si="467"/>
        <v>1.5980113636363635</v>
      </c>
      <c r="AT1665" s="112" t="s">
        <v>276</v>
      </c>
      <c r="AU1665" s="112" t="s">
        <v>276</v>
      </c>
      <c r="AV1665" s="112" t="s">
        <v>268</v>
      </c>
      <c r="AW1665" s="112" t="s">
        <v>276</v>
      </c>
      <c r="AX1665" s="207">
        <f t="shared" si="464"/>
        <v>1.2132587784615096</v>
      </c>
      <c r="AY1665" s="112" t="s">
        <v>276</v>
      </c>
      <c r="AZ1665" s="112" t="s">
        <v>276</v>
      </c>
      <c r="BA1665" s="112" t="s">
        <v>276</v>
      </c>
      <c r="BB1665" s="112" t="s">
        <v>282</v>
      </c>
      <c r="BC1665" s="112" t="s">
        <v>98</v>
      </c>
      <c r="BD1665" s="112" t="s">
        <v>98</v>
      </c>
      <c r="BE1665" s="112" t="s">
        <v>98</v>
      </c>
      <c r="BF1665" s="113" t="s">
        <v>1421</v>
      </c>
      <c r="BG1665" s="113" t="s">
        <v>10116</v>
      </c>
      <c r="BH1665" s="9" t="s">
        <v>100</v>
      </c>
      <c r="BI1665" s="9" t="s">
        <v>100</v>
      </c>
      <c r="BJ1665" s="123"/>
      <c r="BN1665" s="123"/>
      <c r="BO1665" s="123"/>
    </row>
    <row r="1666" spans="1:67" s="124" customFormat="1" ht="78" hidden="1" x14ac:dyDescent="0.35">
      <c r="A1666" s="112">
        <v>4098</v>
      </c>
      <c r="B1666" s="112" t="s">
        <v>9251</v>
      </c>
      <c r="C1666" s="113" t="s">
        <v>9264</v>
      </c>
      <c r="D1666" s="113" t="s">
        <v>10146</v>
      </c>
      <c r="E1666" s="112" t="s">
        <v>35</v>
      </c>
      <c r="F1666" s="112" t="s">
        <v>97</v>
      </c>
      <c r="G1666" s="112" t="s">
        <v>225</v>
      </c>
      <c r="H1666" s="112" t="s">
        <v>125</v>
      </c>
      <c r="I1666" s="112" t="s">
        <v>114</v>
      </c>
      <c r="J1666" s="113" t="s">
        <v>25</v>
      </c>
      <c r="K1666" s="112" t="s">
        <v>7801</v>
      </c>
      <c r="L1666" s="112" t="s">
        <v>4151</v>
      </c>
      <c r="M1666" s="112" t="s">
        <v>300</v>
      </c>
      <c r="N1666" s="113" t="s">
        <v>276</v>
      </c>
      <c r="O1666" s="113" t="s">
        <v>276</v>
      </c>
      <c r="P1666" s="113" t="s">
        <v>239</v>
      </c>
      <c r="Q1666" s="142" t="s">
        <v>98</v>
      </c>
      <c r="R1666" s="113" t="s">
        <v>710</v>
      </c>
      <c r="S1666" s="113" t="s">
        <v>276</v>
      </c>
      <c r="T1666" s="113" t="s">
        <v>276</v>
      </c>
      <c r="U1666" s="162" t="s">
        <v>1212</v>
      </c>
      <c r="V1666" s="112" t="s">
        <v>15</v>
      </c>
      <c r="W1666" s="112" t="s">
        <v>3038</v>
      </c>
      <c r="X1666" s="113" t="s">
        <v>207</v>
      </c>
      <c r="Y1666" s="120">
        <v>11863</v>
      </c>
      <c r="Z1666" s="119">
        <v>5632</v>
      </c>
      <c r="AA1666" s="113" t="s">
        <v>276</v>
      </c>
      <c r="AB1666" s="113" t="s">
        <v>276</v>
      </c>
      <c r="AC1666" s="112" t="s">
        <v>276</v>
      </c>
      <c r="AD1666" s="113" t="s">
        <v>968</v>
      </c>
      <c r="AE1666" s="112" t="s">
        <v>276</v>
      </c>
      <c r="AF1666" s="113" t="s">
        <v>968</v>
      </c>
      <c r="AG1666" s="113" t="s">
        <v>10147</v>
      </c>
      <c r="AH1666" s="113" t="s">
        <v>10145</v>
      </c>
      <c r="AI1666" s="119">
        <v>25</v>
      </c>
      <c r="AJ1666" s="119">
        <v>30</v>
      </c>
      <c r="AK1666" s="120">
        <v>11863</v>
      </c>
      <c r="AL1666" s="119">
        <f t="shared" si="469"/>
        <v>11264</v>
      </c>
      <c r="AM1666" s="119" t="s">
        <v>281</v>
      </c>
      <c r="AN1666" s="112" t="s">
        <v>276</v>
      </c>
      <c r="AO1666" s="121">
        <f t="shared" si="466"/>
        <v>2.1073927337098541</v>
      </c>
      <c r="AP1666" s="112" t="s">
        <v>276</v>
      </c>
      <c r="AQ1666" s="112" t="s">
        <v>276</v>
      </c>
      <c r="AR1666" s="112" t="s">
        <v>276</v>
      </c>
      <c r="AS1666" s="121">
        <f t="shared" si="467"/>
        <v>2.6633522727272729</v>
      </c>
      <c r="AT1666" s="112" t="s">
        <v>276</v>
      </c>
      <c r="AU1666" s="112" t="s">
        <v>276</v>
      </c>
      <c r="AV1666" s="112" t="s">
        <v>268</v>
      </c>
      <c r="AW1666" s="112" t="s">
        <v>276</v>
      </c>
      <c r="AX1666" s="207">
        <f t="shared" si="464"/>
        <v>0.79125572508359321</v>
      </c>
      <c r="AY1666" s="112" t="s">
        <v>276</v>
      </c>
      <c r="AZ1666" s="112" t="s">
        <v>276</v>
      </c>
      <c r="BA1666" s="112" t="s">
        <v>276</v>
      </c>
      <c r="BB1666" s="112" t="s">
        <v>282</v>
      </c>
      <c r="BC1666" s="112" t="s">
        <v>98</v>
      </c>
      <c r="BD1666" s="112" t="s">
        <v>98</v>
      </c>
      <c r="BE1666" s="112" t="s">
        <v>98</v>
      </c>
      <c r="BF1666" s="113" t="s">
        <v>1421</v>
      </c>
      <c r="BG1666" s="113" t="s">
        <v>10116</v>
      </c>
      <c r="BH1666" s="9" t="s">
        <v>100</v>
      </c>
      <c r="BI1666" s="9" t="s">
        <v>100</v>
      </c>
      <c r="BJ1666" s="123"/>
      <c r="BN1666" s="123"/>
      <c r="BO1666" s="123"/>
    </row>
    <row r="1667" spans="1:67" s="124" customFormat="1" ht="78" hidden="1" x14ac:dyDescent="0.35">
      <c r="A1667" s="112">
        <v>4098</v>
      </c>
      <c r="B1667" s="112" t="s">
        <v>9251</v>
      </c>
      <c r="C1667" s="113" t="s">
        <v>9264</v>
      </c>
      <c r="D1667" s="113" t="s">
        <v>10148</v>
      </c>
      <c r="E1667" s="112" t="s">
        <v>35</v>
      </c>
      <c r="F1667" s="112" t="s">
        <v>97</v>
      </c>
      <c r="G1667" s="112" t="s">
        <v>225</v>
      </c>
      <c r="H1667" s="112" t="s">
        <v>125</v>
      </c>
      <c r="I1667" s="112" t="s">
        <v>114</v>
      </c>
      <c r="J1667" s="113" t="s">
        <v>25</v>
      </c>
      <c r="K1667" s="112" t="s">
        <v>7801</v>
      </c>
      <c r="L1667" s="112" t="s">
        <v>4151</v>
      </c>
      <c r="M1667" s="112" t="s">
        <v>300</v>
      </c>
      <c r="N1667" s="113" t="s">
        <v>276</v>
      </c>
      <c r="O1667" s="113" t="s">
        <v>276</v>
      </c>
      <c r="P1667" s="113" t="s">
        <v>239</v>
      </c>
      <c r="Q1667" s="142" t="s">
        <v>98</v>
      </c>
      <c r="R1667" s="113" t="s">
        <v>686</v>
      </c>
      <c r="S1667" s="113" t="s">
        <v>276</v>
      </c>
      <c r="T1667" s="113" t="s">
        <v>276</v>
      </c>
      <c r="U1667" s="162" t="s">
        <v>2331</v>
      </c>
      <c r="V1667" s="112" t="s">
        <v>15</v>
      </c>
      <c r="W1667" s="112" t="s">
        <v>3038</v>
      </c>
      <c r="X1667" s="113" t="s">
        <v>207</v>
      </c>
      <c r="Y1667" s="120">
        <v>11863</v>
      </c>
      <c r="Z1667" s="119">
        <v>5632</v>
      </c>
      <c r="AA1667" s="113" t="s">
        <v>276</v>
      </c>
      <c r="AB1667" s="113" t="s">
        <v>276</v>
      </c>
      <c r="AC1667" s="112" t="s">
        <v>276</v>
      </c>
      <c r="AD1667" s="113" t="s">
        <v>968</v>
      </c>
      <c r="AE1667" s="112" t="s">
        <v>276</v>
      </c>
      <c r="AF1667" s="113" t="s">
        <v>968</v>
      </c>
      <c r="AG1667" s="113" t="s">
        <v>10149</v>
      </c>
      <c r="AH1667" s="113" t="s">
        <v>10145</v>
      </c>
      <c r="AI1667" s="119">
        <v>29</v>
      </c>
      <c r="AJ1667" s="119">
        <v>46</v>
      </c>
      <c r="AK1667" s="120">
        <v>11863</v>
      </c>
      <c r="AL1667" s="119">
        <f t="shared" si="469"/>
        <v>11264</v>
      </c>
      <c r="AM1667" s="119" t="s">
        <v>281</v>
      </c>
      <c r="AN1667" s="112" t="s">
        <v>276</v>
      </c>
      <c r="AO1667" s="121">
        <f t="shared" si="466"/>
        <v>2.4445755711034307</v>
      </c>
      <c r="AP1667" s="112" t="s">
        <v>276</v>
      </c>
      <c r="AQ1667" s="112" t="s">
        <v>276</v>
      </c>
      <c r="AR1667" s="112" t="s">
        <v>276</v>
      </c>
      <c r="AS1667" s="121">
        <f t="shared" si="467"/>
        <v>4.0838068181818183</v>
      </c>
      <c r="AT1667" s="112" t="s">
        <v>276</v>
      </c>
      <c r="AU1667" s="112" t="s">
        <v>276</v>
      </c>
      <c r="AV1667" s="112" t="s">
        <v>268</v>
      </c>
      <c r="AW1667" s="112" t="s">
        <v>276</v>
      </c>
      <c r="AX1667" s="207">
        <f t="shared" si="464"/>
        <v>0.59860215723715304</v>
      </c>
      <c r="AY1667" s="112" t="s">
        <v>276</v>
      </c>
      <c r="AZ1667" s="112" t="s">
        <v>276</v>
      </c>
      <c r="BA1667" s="112" t="s">
        <v>276</v>
      </c>
      <c r="BB1667" s="112" t="s">
        <v>282</v>
      </c>
      <c r="BC1667" s="112" t="s">
        <v>98</v>
      </c>
      <c r="BD1667" s="112" t="s">
        <v>98</v>
      </c>
      <c r="BE1667" s="112" t="s">
        <v>98</v>
      </c>
      <c r="BF1667" s="113" t="s">
        <v>1421</v>
      </c>
      <c r="BG1667" s="113" t="s">
        <v>10116</v>
      </c>
      <c r="BH1667" s="9" t="s">
        <v>100</v>
      </c>
      <c r="BI1667" s="9" t="s">
        <v>100</v>
      </c>
      <c r="BJ1667" s="123"/>
      <c r="BN1667" s="123"/>
      <c r="BO1667" s="123"/>
    </row>
    <row r="1668" spans="1:67" s="124" customFormat="1" ht="78" hidden="1" x14ac:dyDescent="0.35">
      <c r="A1668" s="112">
        <v>4098</v>
      </c>
      <c r="B1668" s="112" t="s">
        <v>9251</v>
      </c>
      <c r="C1668" s="113" t="s">
        <v>9264</v>
      </c>
      <c r="D1668" s="113" t="s">
        <v>10150</v>
      </c>
      <c r="E1668" s="112" t="s">
        <v>35</v>
      </c>
      <c r="F1668" s="112" t="s">
        <v>97</v>
      </c>
      <c r="G1668" s="112" t="s">
        <v>225</v>
      </c>
      <c r="H1668" s="112" t="s">
        <v>125</v>
      </c>
      <c r="I1668" s="112" t="s">
        <v>114</v>
      </c>
      <c r="J1668" s="113" t="s">
        <v>25</v>
      </c>
      <c r="K1668" s="112" t="s">
        <v>7801</v>
      </c>
      <c r="L1668" s="112" t="s">
        <v>4151</v>
      </c>
      <c r="M1668" s="112" t="s">
        <v>300</v>
      </c>
      <c r="N1668" s="113" t="s">
        <v>276</v>
      </c>
      <c r="O1668" s="113" t="s">
        <v>276</v>
      </c>
      <c r="P1668" s="113" t="s">
        <v>239</v>
      </c>
      <c r="Q1668" s="142" t="s">
        <v>98</v>
      </c>
      <c r="R1668" s="113" t="s">
        <v>721</v>
      </c>
      <c r="S1668" s="113" t="s">
        <v>276</v>
      </c>
      <c r="T1668" s="113" t="s">
        <v>276</v>
      </c>
      <c r="U1668" s="162" t="s">
        <v>1191</v>
      </c>
      <c r="V1668" s="112" t="s">
        <v>15</v>
      </c>
      <c r="W1668" s="112" t="s">
        <v>3038</v>
      </c>
      <c r="X1668" s="113" t="s">
        <v>207</v>
      </c>
      <c r="Y1668" s="120">
        <v>11863</v>
      </c>
      <c r="Z1668" s="119">
        <v>5632</v>
      </c>
      <c r="AA1668" s="113" t="s">
        <v>276</v>
      </c>
      <c r="AB1668" s="113" t="s">
        <v>276</v>
      </c>
      <c r="AC1668" s="112" t="s">
        <v>276</v>
      </c>
      <c r="AD1668" s="113" t="s">
        <v>968</v>
      </c>
      <c r="AE1668" s="112" t="s">
        <v>276</v>
      </c>
      <c r="AF1668" s="113" t="s">
        <v>968</v>
      </c>
      <c r="AG1668" s="113" t="s">
        <v>10151</v>
      </c>
      <c r="AH1668" s="113" t="s">
        <v>10145</v>
      </c>
      <c r="AI1668" s="119">
        <v>41</v>
      </c>
      <c r="AJ1668" s="119">
        <v>54</v>
      </c>
      <c r="AK1668" s="120">
        <v>11863</v>
      </c>
      <c r="AL1668" s="119">
        <f t="shared" si="469"/>
        <v>11264</v>
      </c>
      <c r="AM1668" s="119" t="s">
        <v>281</v>
      </c>
      <c r="AN1668" s="112" t="s">
        <v>276</v>
      </c>
      <c r="AO1668" s="121">
        <f t="shared" si="466"/>
        <v>3.4561240832841609</v>
      </c>
      <c r="AP1668" s="112" t="s">
        <v>276</v>
      </c>
      <c r="AQ1668" s="112" t="s">
        <v>276</v>
      </c>
      <c r="AR1668" s="112" t="s">
        <v>276</v>
      </c>
      <c r="AS1668" s="121">
        <f t="shared" si="467"/>
        <v>4.7940340909090908</v>
      </c>
      <c r="AT1668" s="112" t="s">
        <v>276</v>
      </c>
      <c r="AU1668" s="112" t="s">
        <v>276</v>
      </c>
      <c r="AV1668" s="112" t="s">
        <v>268</v>
      </c>
      <c r="AW1668" s="112" t="s">
        <v>276</v>
      </c>
      <c r="AX1668" s="207">
        <f t="shared" si="464"/>
        <v>0.72092188285394054</v>
      </c>
      <c r="AY1668" s="112" t="s">
        <v>276</v>
      </c>
      <c r="AZ1668" s="112" t="s">
        <v>276</v>
      </c>
      <c r="BA1668" s="112" t="s">
        <v>276</v>
      </c>
      <c r="BB1668" s="112" t="s">
        <v>282</v>
      </c>
      <c r="BC1668" s="112" t="s">
        <v>98</v>
      </c>
      <c r="BD1668" s="112" t="s">
        <v>98</v>
      </c>
      <c r="BE1668" s="112" t="s">
        <v>98</v>
      </c>
      <c r="BF1668" s="113" t="s">
        <v>1421</v>
      </c>
      <c r="BG1668" s="113" t="s">
        <v>10116</v>
      </c>
      <c r="BH1668" s="9" t="s">
        <v>100</v>
      </c>
      <c r="BI1668" s="9" t="s">
        <v>100</v>
      </c>
      <c r="BJ1668" s="123"/>
      <c r="BN1668" s="123"/>
      <c r="BO1668" s="123"/>
    </row>
    <row r="1669" spans="1:67" s="124" customFormat="1" ht="78" hidden="1" x14ac:dyDescent="0.35">
      <c r="A1669" s="112">
        <v>4098</v>
      </c>
      <c r="B1669" s="112" t="s">
        <v>9251</v>
      </c>
      <c r="C1669" s="113" t="s">
        <v>9264</v>
      </c>
      <c r="D1669" s="113" t="s">
        <v>10152</v>
      </c>
      <c r="E1669" s="112" t="s">
        <v>35</v>
      </c>
      <c r="F1669" s="112" t="s">
        <v>97</v>
      </c>
      <c r="G1669" s="112" t="s">
        <v>225</v>
      </c>
      <c r="H1669" s="112" t="s">
        <v>125</v>
      </c>
      <c r="I1669" s="112" t="s">
        <v>114</v>
      </c>
      <c r="J1669" s="113" t="s">
        <v>25</v>
      </c>
      <c r="K1669" s="112" t="s">
        <v>7801</v>
      </c>
      <c r="L1669" s="112" t="s">
        <v>4151</v>
      </c>
      <c r="M1669" s="112" t="s">
        <v>300</v>
      </c>
      <c r="N1669" s="113" t="s">
        <v>276</v>
      </c>
      <c r="O1669" s="113" t="s">
        <v>276</v>
      </c>
      <c r="P1669" s="113" t="s">
        <v>239</v>
      </c>
      <c r="Q1669" s="142">
        <v>30986</v>
      </c>
      <c r="R1669" s="113" t="s">
        <v>728</v>
      </c>
      <c r="S1669" s="113" t="s">
        <v>276</v>
      </c>
      <c r="T1669" s="113" t="s">
        <v>276</v>
      </c>
      <c r="U1669" s="162" t="s">
        <v>5401</v>
      </c>
      <c r="V1669" s="112" t="s">
        <v>15</v>
      </c>
      <c r="W1669" s="112" t="s">
        <v>3038</v>
      </c>
      <c r="X1669" s="113" t="s">
        <v>207</v>
      </c>
      <c r="Y1669" s="120">
        <v>11863</v>
      </c>
      <c r="Z1669" s="119">
        <v>5632</v>
      </c>
      <c r="AA1669" s="113" t="s">
        <v>276</v>
      </c>
      <c r="AB1669" s="113" t="s">
        <v>276</v>
      </c>
      <c r="AC1669" s="112" t="s">
        <v>276</v>
      </c>
      <c r="AD1669" s="113" t="s">
        <v>968</v>
      </c>
      <c r="AE1669" s="112" t="s">
        <v>276</v>
      </c>
      <c r="AF1669" s="113" t="s">
        <v>968</v>
      </c>
      <c r="AG1669" s="113" t="s">
        <v>10153</v>
      </c>
      <c r="AH1669" s="113" t="s">
        <v>10145</v>
      </c>
      <c r="AI1669" s="119">
        <v>43</v>
      </c>
      <c r="AJ1669" s="119">
        <v>72</v>
      </c>
      <c r="AK1669" s="120">
        <v>11863</v>
      </c>
      <c r="AL1669" s="119">
        <f t="shared" si="469"/>
        <v>11264</v>
      </c>
      <c r="AM1669" s="119" t="s">
        <v>281</v>
      </c>
      <c r="AN1669" s="112" t="s">
        <v>276</v>
      </c>
      <c r="AO1669" s="121">
        <f t="shared" si="466"/>
        <v>3.6247155019809494</v>
      </c>
      <c r="AP1669" s="112" t="s">
        <v>276</v>
      </c>
      <c r="AQ1669" s="112" t="s">
        <v>276</v>
      </c>
      <c r="AR1669" s="112" t="s">
        <v>276</v>
      </c>
      <c r="AS1669" s="121">
        <f t="shared" si="467"/>
        <v>6.3920454545454541</v>
      </c>
      <c r="AT1669" s="112" t="s">
        <v>276</v>
      </c>
      <c r="AU1669" s="112" t="s">
        <v>276</v>
      </c>
      <c r="AV1669" s="112" t="s">
        <v>268</v>
      </c>
      <c r="AW1669" s="112" t="s">
        <v>276</v>
      </c>
      <c r="AX1669" s="207">
        <f t="shared" si="464"/>
        <v>0.56706660297657518</v>
      </c>
      <c r="AY1669" s="112" t="s">
        <v>276</v>
      </c>
      <c r="AZ1669" s="112" t="s">
        <v>276</v>
      </c>
      <c r="BA1669" s="112" t="s">
        <v>276</v>
      </c>
      <c r="BB1669" s="112" t="s">
        <v>282</v>
      </c>
      <c r="BC1669" s="112" t="s">
        <v>98</v>
      </c>
      <c r="BD1669" s="112" t="s">
        <v>98</v>
      </c>
      <c r="BE1669" s="112" t="s">
        <v>98</v>
      </c>
      <c r="BF1669" s="113" t="s">
        <v>1421</v>
      </c>
      <c r="BG1669" s="113" t="s">
        <v>10116</v>
      </c>
      <c r="BH1669" s="9" t="s">
        <v>100</v>
      </c>
      <c r="BI1669" s="9" t="s">
        <v>100</v>
      </c>
      <c r="BJ1669" s="123"/>
      <c r="BN1669" s="123"/>
      <c r="BO1669" s="123"/>
    </row>
    <row r="1670" spans="1:67" s="124" customFormat="1" ht="78" hidden="1" x14ac:dyDescent="0.35">
      <c r="A1670" s="112">
        <v>4098</v>
      </c>
      <c r="B1670" s="112" t="s">
        <v>9251</v>
      </c>
      <c r="C1670" s="113" t="s">
        <v>9264</v>
      </c>
      <c r="D1670" s="113" t="s">
        <v>10154</v>
      </c>
      <c r="E1670" s="112" t="s">
        <v>35</v>
      </c>
      <c r="F1670" s="112" t="s">
        <v>97</v>
      </c>
      <c r="G1670" s="112" t="s">
        <v>225</v>
      </c>
      <c r="H1670" s="112" t="s">
        <v>125</v>
      </c>
      <c r="I1670" s="112" t="s">
        <v>114</v>
      </c>
      <c r="J1670" s="113" t="s">
        <v>25</v>
      </c>
      <c r="K1670" s="112" t="s">
        <v>7801</v>
      </c>
      <c r="L1670" s="112" t="s">
        <v>4151</v>
      </c>
      <c r="M1670" s="112" t="s">
        <v>300</v>
      </c>
      <c r="N1670" s="113" t="s">
        <v>276</v>
      </c>
      <c r="O1670" s="113" t="s">
        <v>276</v>
      </c>
      <c r="P1670" s="113" t="s">
        <v>239</v>
      </c>
      <c r="Q1670" s="142">
        <v>30986</v>
      </c>
      <c r="R1670" s="113" t="s">
        <v>733</v>
      </c>
      <c r="S1670" s="113" t="s">
        <v>276</v>
      </c>
      <c r="T1670" s="113" t="s">
        <v>276</v>
      </c>
      <c r="U1670" s="162" t="s">
        <v>5401</v>
      </c>
      <c r="V1670" s="112" t="s">
        <v>15</v>
      </c>
      <c r="W1670" s="112" t="s">
        <v>3038</v>
      </c>
      <c r="X1670" s="113" t="s">
        <v>207</v>
      </c>
      <c r="Y1670" s="120">
        <v>11863</v>
      </c>
      <c r="Z1670" s="119">
        <v>5632</v>
      </c>
      <c r="AA1670" s="113" t="s">
        <v>276</v>
      </c>
      <c r="AB1670" s="113" t="s">
        <v>276</v>
      </c>
      <c r="AC1670" s="112" t="s">
        <v>276</v>
      </c>
      <c r="AD1670" s="113" t="s">
        <v>968</v>
      </c>
      <c r="AE1670" s="112" t="s">
        <v>276</v>
      </c>
      <c r="AF1670" s="113" t="s">
        <v>968</v>
      </c>
      <c r="AG1670" s="113" t="s">
        <v>10155</v>
      </c>
      <c r="AH1670" s="113" t="s">
        <v>10145</v>
      </c>
      <c r="AI1670" s="119">
        <v>50</v>
      </c>
      <c r="AJ1670" s="119">
        <v>88</v>
      </c>
      <c r="AK1670" s="120">
        <v>11863</v>
      </c>
      <c r="AL1670" s="119">
        <f t="shared" si="469"/>
        <v>11264</v>
      </c>
      <c r="AM1670" s="119" t="s">
        <v>281</v>
      </c>
      <c r="AN1670" s="112" t="s">
        <v>276</v>
      </c>
      <c r="AO1670" s="121">
        <f t="shared" si="466"/>
        <v>4.2147854674197083</v>
      </c>
      <c r="AP1670" s="112" t="s">
        <v>276</v>
      </c>
      <c r="AQ1670" s="112" t="s">
        <v>276</v>
      </c>
      <c r="AR1670" s="112" t="s">
        <v>276</v>
      </c>
      <c r="AS1670" s="121">
        <f t="shared" si="467"/>
        <v>7.8125</v>
      </c>
      <c r="AT1670" s="112" t="s">
        <v>276</v>
      </c>
      <c r="AU1670" s="112" t="s">
        <v>276</v>
      </c>
      <c r="AV1670" s="112" t="s">
        <v>268</v>
      </c>
      <c r="AW1670" s="112" t="s">
        <v>276</v>
      </c>
      <c r="AX1670" s="207">
        <f t="shared" si="464"/>
        <v>0.53949253982972267</v>
      </c>
      <c r="AY1670" s="112" t="s">
        <v>276</v>
      </c>
      <c r="AZ1670" s="112" t="s">
        <v>276</v>
      </c>
      <c r="BA1670" s="112" t="s">
        <v>276</v>
      </c>
      <c r="BB1670" s="112" t="s">
        <v>282</v>
      </c>
      <c r="BC1670" s="112" t="s">
        <v>98</v>
      </c>
      <c r="BD1670" s="112" t="s">
        <v>98</v>
      </c>
      <c r="BE1670" s="112" t="s">
        <v>98</v>
      </c>
      <c r="BF1670" s="113" t="s">
        <v>1421</v>
      </c>
      <c r="BG1670" s="113" t="s">
        <v>10116</v>
      </c>
      <c r="BH1670" s="9" t="s">
        <v>100</v>
      </c>
      <c r="BI1670" s="9" t="s">
        <v>100</v>
      </c>
      <c r="BJ1670" s="123"/>
      <c r="BN1670" s="123"/>
      <c r="BO1670" s="123"/>
    </row>
    <row r="1671" spans="1:67" s="124" customFormat="1" ht="78" hidden="1" x14ac:dyDescent="0.35">
      <c r="A1671" s="112">
        <v>4098</v>
      </c>
      <c r="B1671" s="112" t="s">
        <v>9251</v>
      </c>
      <c r="C1671" s="113" t="s">
        <v>9264</v>
      </c>
      <c r="D1671" s="113" t="s">
        <v>10156</v>
      </c>
      <c r="E1671" s="112" t="s">
        <v>35</v>
      </c>
      <c r="F1671" s="112" t="s">
        <v>97</v>
      </c>
      <c r="G1671" s="112" t="s">
        <v>225</v>
      </c>
      <c r="H1671" s="112" t="s">
        <v>125</v>
      </c>
      <c r="I1671" s="112" t="s">
        <v>114</v>
      </c>
      <c r="J1671" s="113" t="s">
        <v>25</v>
      </c>
      <c r="K1671" s="112" t="s">
        <v>7801</v>
      </c>
      <c r="L1671" s="112" t="s">
        <v>4151</v>
      </c>
      <c r="M1671" s="112" t="s">
        <v>300</v>
      </c>
      <c r="N1671" s="113" t="s">
        <v>276</v>
      </c>
      <c r="O1671" s="113" t="s">
        <v>276</v>
      </c>
      <c r="P1671" s="113" t="s">
        <v>239</v>
      </c>
      <c r="Q1671" s="142">
        <v>30986</v>
      </c>
      <c r="R1671" s="113" t="s">
        <v>741</v>
      </c>
      <c r="S1671" s="113" t="s">
        <v>276</v>
      </c>
      <c r="T1671" s="113" t="s">
        <v>276</v>
      </c>
      <c r="U1671" s="162" t="s">
        <v>1219</v>
      </c>
      <c r="V1671" s="112" t="s">
        <v>15</v>
      </c>
      <c r="W1671" s="112" t="s">
        <v>3038</v>
      </c>
      <c r="X1671" s="113" t="s">
        <v>207</v>
      </c>
      <c r="Y1671" s="120">
        <v>11863</v>
      </c>
      <c r="Z1671" s="119">
        <v>5632</v>
      </c>
      <c r="AA1671" s="113" t="s">
        <v>276</v>
      </c>
      <c r="AB1671" s="113" t="s">
        <v>276</v>
      </c>
      <c r="AC1671" s="112" t="s">
        <v>276</v>
      </c>
      <c r="AD1671" s="113" t="s">
        <v>968</v>
      </c>
      <c r="AE1671" s="112" t="s">
        <v>276</v>
      </c>
      <c r="AF1671" s="113" t="s">
        <v>968</v>
      </c>
      <c r="AG1671" s="113" t="s">
        <v>10157</v>
      </c>
      <c r="AH1671" s="113" t="s">
        <v>10145</v>
      </c>
      <c r="AI1671" s="119">
        <v>54</v>
      </c>
      <c r="AJ1671" s="119">
        <v>94</v>
      </c>
      <c r="AK1671" s="120">
        <v>11863</v>
      </c>
      <c r="AL1671" s="119">
        <f>5632*2</f>
        <v>11264</v>
      </c>
      <c r="AM1671" s="119" t="s">
        <v>281</v>
      </c>
      <c r="AN1671" s="112" t="s">
        <v>276</v>
      </c>
      <c r="AO1671" s="121">
        <f t="shared" si="466"/>
        <v>4.5519683048132853</v>
      </c>
      <c r="AP1671" s="112" t="s">
        <v>276</v>
      </c>
      <c r="AQ1671" s="112" t="s">
        <v>276</v>
      </c>
      <c r="AR1671" s="112" t="s">
        <v>276</v>
      </c>
      <c r="AS1671" s="121">
        <f t="shared" si="467"/>
        <v>8.345170454545455</v>
      </c>
      <c r="AT1671" s="112" t="s">
        <v>276</v>
      </c>
      <c r="AU1671" s="112" t="s">
        <v>276</v>
      </c>
      <c r="AV1671" s="112" t="s">
        <v>268</v>
      </c>
      <c r="AW1671" s="112" t="s">
        <v>276</v>
      </c>
      <c r="AX1671" s="207">
        <f t="shared" si="464"/>
        <v>0.54546139346188127</v>
      </c>
      <c r="AY1671" s="112" t="s">
        <v>276</v>
      </c>
      <c r="AZ1671" s="112" t="s">
        <v>276</v>
      </c>
      <c r="BA1671" s="112" t="s">
        <v>276</v>
      </c>
      <c r="BB1671" s="112" t="s">
        <v>282</v>
      </c>
      <c r="BC1671" s="112" t="s">
        <v>98</v>
      </c>
      <c r="BD1671" s="112" t="s">
        <v>98</v>
      </c>
      <c r="BE1671" s="112" t="s">
        <v>98</v>
      </c>
      <c r="BF1671" s="113" t="s">
        <v>1421</v>
      </c>
      <c r="BG1671" s="113" t="s">
        <v>10116</v>
      </c>
      <c r="BH1671" s="9" t="s">
        <v>100</v>
      </c>
      <c r="BI1671" s="9" t="s">
        <v>100</v>
      </c>
      <c r="BJ1671" s="123"/>
      <c r="BN1671" s="123"/>
      <c r="BO1671" s="123"/>
    </row>
    <row r="1672" spans="1:67" s="110" customFormat="1" ht="78" hidden="1" x14ac:dyDescent="0.35">
      <c r="A1672" s="94">
        <v>4098</v>
      </c>
      <c r="B1672" s="94" t="s">
        <v>9251</v>
      </c>
      <c r="C1672" s="95" t="s">
        <v>9264</v>
      </c>
      <c r="D1672" s="95" t="s">
        <v>10158</v>
      </c>
      <c r="E1672" s="94" t="s">
        <v>35</v>
      </c>
      <c r="F1672" s="94" t="s">
        <v>97</v>
      </c>
      <c r="G1672" s="94" t="s">
        <v>225</v>
      </c>
      <c r="H1672" s="94" t="s">
        <v>125</v>
      </c>
      <c r="I1672" s="94" t="s">
        <v>114</v>
      </c>
      <c r="J1672" s="95" t="s">
        <v>25</v>
      </c>
      <c r="K1672" s="94" t="s">
        <v>7801</v>
      </c>
      <c r="L1672" s="94" t="s">
        <v>4151</v>
      </c>
      <c r="M1672" s="94" t="s">
        <v>300</v>
      </c>
      <c r="N1672" s="95" t="s">
        <v>276</v>
      </c>
      <c r="O1672" s="95" t="s">
        <v>276</v>
      </c>
      <c r="P1672" s="95" t="s">
        <v>239</v>
      </c>
      <c r="Q1672" s="140" t="s">
        <v>98</v>
      </c>
      <c r="R1672" s="95" t="s">
        <v>705</v>
      </c>
      <c r="S1672" s="95" t="s">
        <v>276</v>
      </c>
      <c r="T1672" s="95" t="s">
        <v>276</v>
      </c>
      <c r="U1672" s="163" t="s">
        <v>1212</v>
      </c>
      <c r="V1672" s="94" t="s">
        <v>15</v>
      </c>
      <c r="W1672" s="94" t="s">
        <v>9342</v>
      </c>
      <c r="X1672" s="95" t="s">
        <v>207</v>
      </c>
      <c r="Y1672" s="107">
        <v>12153</v>
      </c>
      <c r="Z1672" s="99">
        <v>5674</v>
      </c>
      <c r="AA1672" s="95" t="s">
        <v>276</v>
      </c>
      <c r="AB1672" s="95" t="s">
        <v>276</v>
      </c>
      <c r="AC1672" s="94" t="s">
        <v>276</v>
      </c>
      <c r="AD1672" s="95" t="s">
        <v>968</v>
      </c>
      <c r="AE1672" s="94" t="s">
        <v>276</v>
      </c>
      <c r="AF1672" s="95" t="s">
        <v>968</v>
      </c>
      <c r="AG1672" s="95" t="s">
        <v>10159</v>
      </c>
      <c r="AH1672" s="95" t="s">
        <v>10160</v>
      </c>
      <c r="AI1672" s="99">
        <v>36</v>
      </c>
      <c r="AJ1672" s="99">
        <v>10</v>
      </c>
      <c r="AK1672" s="107">
        <v>12153</v>
      </c>
      <c r="AL1672" s="99">
        <f t="shared" ref="AL1672:AL1677" si="470">2*5674</f>
        <v>11348</v>
      </c>
      <c r="AM1672" s="99" t="s">
        <v>281</v>
      </c>
      <c r="AN1672" s="94" t="s">
        <v>276</v>
      </c>
      <c r="AO1672" s="102">
        <f t="shared" si="466"/>
        <v>2.9622315477659837</v>
      </c>
      <c r="AP1672" s="94" t="s">
        <v>276</v>
      </c>
      <c r="AQ1672" s="94" t="s">
        <v>276</v>
      </c>
      <c r="AR1672" s="94" t="s">
        <v>276</v>
      </c>
      <c r="AS1672" s="102">
        <f t="shared" si="467"/>
        <v>0.88121254846669017</v>
      </c>
      <c r="AT1672" s="94" t="s">
        <v>276</v>
      </c>
      <c r="AU1672" s="94" t="s">
        <v>276</v>
      </c>
      <c r="AV1672" s="94" t="s">
        <v>268</v>
      </c>
      <c r="AW1672" s="94" t="s">
        <v>276</v>
      </c>
      <c r="AX1672" s="101">
        <f t="shared" si="464"/>
        <v>3.3615403604048382</v>
      </c>
      <c r="AY1672" s="94" t="s">
        <v>276</v>
      </c>
      <c r="AZ1672" s="94" t="s">
        <v>276</v>
      </c>
      <c r="BA1672" s="94" t="s">
        <v>276</v>
      </c>
      <c r="BB1672" s="94" t="s">
        <v>282</v>
      </c>
      <c r="BC1672" s="94" t="s">
        <v>98</v>
      </c>
      <c r="BD1672" s="94" t="s">
        <v>98</v>
      </c>
      <c r="BE1672" s="94" t="s">
        <v>98</v>
      </c>
      <c r="BF1672" s="95" t="s">
        <v>800</v>
      </c>
      <c r="BG1672" s="95" t="s">
        <v>10116</v>
      </c>
      <c r="BH1672" s="9" t="s">
        <v>100</v>
      </c>
      <c r="BI1672" s="9" t="s">
        <v>100</v>
      </c>
      <c r="BJ1672" s="109"/>
      <c r="BN1672" s="109"/>
      <c r="BO1672" s="109"/>
    </row>
    <row r="1673" spans="1:67" s="110" customFormat="1" ht="78" hidden="1" x14ac:dyDescent="0.35">
      <c r="A1673" s="94">
        <v>4098</v>
      </c>
      <c r="B1673" s="94" t="s">
        <v>9251</v>
      </c>
      <c r="C1673" s="95" t="s">
        <v>9264</v>
      </c>
      <c r="D1673" s="95" t="s">
        <v>10161</v>
      </c>
      <c r="E1673" s="94" t="s">
        <v>35</v>
      </c>
      <c r="F1673" s="94" t="s">
        <v>97</v>
      </c>
      <c r="G1673" s="94" t="s">
        <v>225</v>
      </c>
      <c r="H1673" s="94" t="s">
        <v>125</v>
      </c>
      <c r="I1673" s="94" t="s">
        <v>114</v>
      </c>
      <c r="J1673" s="95" t="s">
        <v>25</v>
      </c>
      <c r="K1673" s="94" t="s">
        <v>7801</v>
      </c>
      <c r="L1673" s="94" t="s">
        <v>4151</v>
      </c>
      <c r="M1673" s="94" t="s">
        <v>300</v>
      </c>
      <c r="N1673" s="95" t="s">
        <v>276</v>
      </c>
      <c r="O1673" s="95" t="s">
        <v>276</v>
      </c>
      <c r="P1673" s="95" t="s">
        <v>239</v>
      </c>
      <c r="Q1673" s="140" t="s">
        <v>98</v>
      </c>
      <c r="R1673" s="95" t="s">
        <v>710</v>
      </c>
      <c r="S1673" s="95" t="s">
        <v>276</v>
      </c>
      <c r="T1673" s="95" t="s">
        <v>276</v>
      </c>
      <c r="U1673" s="163" t="s">
        <v>1212</v>
      </c>
      <c r="V1673" s="94" t="s">
        <v>15</v>
      </c>
      <c r="W1673" s="94" t="s">
        <v>9342</v>
      </c>
      <c r="X1673" s="95" t="s">
        <v>207</v>
      </c>
      <c r="Y1673" s="107">
        <v>12153</v>
      </c>
      <c r="Z1673" s="99">
        <v>5674</v>
      </c>
      <c r="AA1673" s="95" t="s">
        <v>276</v>
      </c>
      <c r="AB1673" s="95" t="s">
        <v>276</v>
      </c>
      <c r="AC1673" s="94" t="s">
        <v>276</v>
      </c>
      <c r="AD1673" s="95" t="s">
        <v>968</v>
      </c>
      <c r="AE1673" s="94" t="s">
        <v>276</v>
      </c>
      <c r="AF1673" s="95" t="s">
        <v>968</v>
      </c>
      <c r="AG1673" s="95" t="s">
        <v>10162</v>
      </c>
      <c r="AH1673" s="95" t="s">
        <v>10160</v>
      </c>
      <c r="AI1673" s="99">
        <v>40</v>
      </c>
      <c r="AJ1673" s="99">
        <v>26</v>
      </c>
      <c r="AK1673" s="107">
        <v>12153</v>
      </c>
      <c r="AL1673" s="99">
        <f t="shared" si="470"/>
        <v>11348</v>
      </c>
      <c r="AM1673" s="99" t="s">
        <v>281</v>
      </c>
      <c r="AN1673" s="94" t="s">
        <v>276</v>
      </c>
      <c r="AO1673" s="102">
        <f t="shared" si="466"/>
        <v>3.2913683864066487</v>
      </c>
      <c r="AP1673" s="94" t="s">
        <v>276</v>
      </c>
      <c r="AQ1673" s="94" t="s">
        <v>276</v>
      </c>
      <c r="AR1673" s="94" t="s">
        <v>276</v>
      </c>
      <c r="AS1673" s="102">
        <f t="shared" si="467"/>
        <v>2.2911526260133943</v>
      </c>
      <c r="AT1673" s="94" t="s">
        <v>276</v>
      </c>
      <c r="AU1673" s="94" t="s">
        <v>276</v>
      </c>
      <c r="AV1673" s="94" t="s">
        <v>268</v>
      </c>
      <c r="AW1673" s="94" t="s">
        <v>276</v>
      </c>
      <c r="AX1673" s="101">
        <f t="shared" si="464"/>
        <v>1.4365557095747175</v>
      </c>
      <c r="AY1673" s="94" t="s">
        <v>276</v>
      </c>
      <c r="AZ1673" s="94" t="s">
        <v>276</v>
      </c>
      <c r="BA1673" s="94" t="s">
        <v>276</v>
      </c>
      <c r="BB1673" s="94" t="s">
        <v>282</v>
      </c>
      <c r="BC1673" s="94" t="s">
        <v>98</v>
      </c>
      <c r="BD1673" s="94" t="s">
        <v>98</v>
      </c>
      <c r="BE1673" s="94" t="s">
        <v>98</v>
      </c>
      <c r="BF1673" s="95" t="s">
        <v>800</v>
      </c>
      <c r="BG1673" s="95" t="s">
        <v>10116</v>
      </c>
      <c r="BH1673" s="9" t="s">
        <v>100</v>
      </c>
      <c r="BI1673" s="9" t="s">
        <v>100</v>
      </c>
      <c r="BJ1673" s="109"/>
      <c r="BN1673" s="109"/>
      <c r="BO1673" s="109"/>
    </row>
    <row r="1674" spans="1:67" s="110" customFormat="1" ht="78" hidden="1" x14ac:dyDescent="0.35">
      <c r="A1674" s="94">
        <v>4098</v>
      </c>
      <c r="B1674" s="94" t="s">
        <v>9251</v>
      </c>
      <c r="C1674" s="95" t="s">
        <v>9264</v>
      </c>
      <c r="D1674" s="95" t="s">
        <v>10163</v>
      </c>
      <c r="E1674" s="94" t="s">
        <v>35</v>
      </c>
      <c r="F1674" s="94" t="s">
        <v>97</v>
      </c>
      <c r="G1674" s="94" t="s">
        <v>225</v>
      </c>
      <c r="H1674" s="94" t="s">
        <v>125</v>
      </c>
      <c r="I1674" s="94" t="s">
        <v>114</v>
      </c>
      <c r="J1674" s="95" t="s">
        <v>25</v>
      </c>
      <c r="K1674" s="94" t="s">
        <v>7801</v>
      </c>
      <c r="L1674" s="94" t="s">
        <v>4151</v>
      </c>
      <c r="M1674" s="94" t="s">
        <v>300</v>
      </c>
      <c r="N1674" s="95" t="s">
        <v>276</v>
      </c>
      <c r="O1674" s="95" t="s">
        <v>276</v>
      </c>
      <c r="P1674" s="95" t="s">
        <v>239</v>
      </c>
      <c r="Q1674" s="140" t="s">
        <v>98</v>
      </c>
      <c r="R1674" s="95" t="s">
        <v>686</v>
      </c>
      <c r="S1674" s="95" t="s">
        <v>276</v>
      </c>
      <c r="T1674" s="95" t="s">
        <v>276</v>
      </c>
      <c r="U1674" s="163" t="s">
        <v>2331</v>
      </c>
      <c r="V1674" s="94" t="s">
        <v>15</v>
      </c>
      <c r="W1674" s="94" t="s">
        <v>9342</v>
      </c>
      <c r="X1674" s="95" t="s">
        <v>207</v>
      </c>
      <c r="Y1674" s="107">
        <v>12153</v>
      </c>
      <c r="Z1674" s="99">
        <v>5674</v>
      </c>
      <c r="AA1674" s="95" t="s">
        <v>276</v>
      </c>
      <c r="AB1674" s="95" t="s">
        <v>276</v>
      </c>
      <c r="AC1674" s="94" t="s">
        <v>276</v>
      </c>
      <c r="AD1674" s="95" t="s">
        <v>968</v>
      </c>
      <c r="AE1674" s="94" t="s">
        <v>276</v>
      </c>
      <c r="AF1674" s="95" t="s">
        <v>968</v>
      </c>
      <c r="AG1674" s="95" t="s">
        <v>10164</v>
      </c>
      <c r="AH1674" s="95" t="s">
        <v>10160</v>
      </c>
      <c r="AI1674" s="99">
        <v>53</v>
      </c>
      <c r="AJ1674" s="99">
        <v>38</v>
      </c>
      <c r="AK1674" s="107">
        <v>12153</v>
      </c>
      <c r="AL1674" s="99">
        <f t="shared" si="470"/>
        <v>11348</v>
      </c>
      <c r="AM1674" s="99" t="s">
        <v>281</v>
      </c>
      <c r="AN1674" s="94" t="s">
        <v>276</v>
      </c>
      <c r="AO1674" s="102">
        <f t="shared" si="466"/>
        <v>4.361063111988809</v>
      </c>
      <c r="AP1674" s="94" t="s">
        <v>276</v>
      </c>
      <c r="AQ1674" s="94" t="s">
        <v>276</v>
      </c>
      <c r="AR1674" s="94" t="s">
        <v>276</v>
      </c>
      <c r="AS1674" s="102">
        <f t="shared" si="467"/>
        <v>3.3486076841734227</v>
      </c>
      <c r="AT1674" s="94" t="s">
        <v>276</v>
      </c>
      <c r="AU1674" s="94" t="s">
        <v>276</v>
      </c>
      <c r="AV1674" s="94" t="s">
        <v>268</v>
      </c>
      <c r="AW1674" s="94" t="s">
        <v>276</v>
      </c>
      <c r="AX1674" s="101">
        <f t="shared" si="464"/>
        <v>1.3023511630223421</v>
      </c>
      <c r="AY1674" s="94" t="s">
        <v>276</v>
      </c>
      <c r="AZ1674" s="94" t="s">
        <v>276</v>
      </c>
      <c r="BA1674" s="94" t="s">
        <v>276</v>
      </c>
      <c r="BB1674" s="94" t="s">
        <v>282</v>
      </c>
      <c r="BC1674" s="94" t="s">
        <v>98</v>
      </c>
      <c r="BD1674" s="94" t="s">
        <v>98</v>
      </c>
      <c r="BE1674" s="94" t="s">
        <v>98</v>
      </c>
      <c r="BF1674" s="95" t="s">
        <v>800</v>
      </c>
      <c r="BG1674" s="95" t="s">
        <v>10116</v>
      </c>
      <c r="BH1674" s="9" t="s">
        <v>100</v>
      </c>
      <c r="BI1674" s="9" t="s">
        <v>100</v>
      </c>
      <c r="BJ1674" s="109"/>
      <c r="BN1674" s="109"/>
      <c r="BO1674" s="109"/>
    </row>
    <row r="1675" spans="1:67" s="110" customFormat="1" ht="78" hidden="1" x14ac:dyDescent="0.35">
      <c r="A1675" s="94">
        <v>4098</v>
      </c>
      <c r="B1675" s="94" t="s">
        <v>9251</v>
      </c>
      <c r="C1675" s="95" t="s">
        <v>9264</v>
      </c>
      <c r="D1675" s="95" t="s">
        <v>10165</v>
      </c>
      <c r="E1675" s="94" t="s">
        <v>35</v>
      </c>
      <c r="F1675" s="94" t="s">
        <v>97</v>
      </c>
      <c r="G1675" s="94" t="s">
        <v>225</v>
      </c>
      <c r="H1675" s="94" t="s">
        <v>125</v>
      </c>
      <c r="I1675" s="94" t="s">
        <v>114</v>
      </c>
      <c r="J1675" s="95" t="s">
        <v>25</v>
      </c>
      <c r="K1675" s="94" t="s">
        <v>7801</v>
      </c>
      <c r="L1675" s="94" t="s">
        <v>4151</v>
      </c>
      <c r="M1675" s="94" t="s">
        <v>300</v>
      </c>
      <c r="N1675" s="95" t="s">
        <v>276</v>
      </c>
      <c r="O1675" s="95" t="s">
        <v>276</v>
      </c>
      <c r="P1675" s="95" t="s">
        <v>239</v>
      </c>
      <c r="Q1675" s="140" t="s">
        <v>98</v>
      </c>
      <c r="R1675" s="95" t="s">
        <v>721</v>
      </c>
      <c r="S1675" s="95" t="s">
        <v>276</v>
      </c>
      <c r="T1675" s="95" t="s">
        <v>276</v>
      </c>
      <c r="U1675" s="163" t="s">
        <v>1191</v>
      </c>
      <c r="V1675" s="94" t="s">
        <v>15</v>
      </c>
      <c r="W1675" s="94" t="s">
        <v>9342</v>
      </c>
      <c r="X1675" s="95" t="s">
        <v>207</v>
      </c>
      <c r="Y1675" s="107">
        <v>12153</v>
      </c>
      <c r="Z1675" s="99">
        <v>5674</v>
      </c>
      <c r="AA1675" s="95" t="s">
        <v>276</v>
      </c>
      <c r="AB1675" s="95" t="s">
        <v>276</v>
      </c>
      <c r="AC1675" s="94" t="s">
        <v>276</v>
      </c>
      <c r="AD1675" s="95" t="s">
        <v>968</v>
      </c>
      <c r="AE1675" s="94" t="s">
        <v>276</v>
      </c>
      <c r="AF1675" s="95" t="s">
        <v>968</v>
      </c>
      <c r="AG1675" s="95" t="s">
        <v>10166</v>
      </c>
      <c r="AH1675" s="95" t="s">
        <v>10160</v>
      </c>
      <c r="AI1675" s="99">
        <v>69</v>
      </c>
      <c r="AJ1675" s="99">
        <v>52</v>
      </c>
      <c r="AK1675" s="107">
        <v>12153</v>
      </c>
      <c r="AL1675" s="99">
        <f t="shared" si="470"/>
        <v>11348</v>
      </c>
      <c r="AM1675" s="99" t="s">
        <v>281</v>
      </c>
      <c r="AN1675" s="94" t="s">
        <v>276</v>
      </c>
      <c r="AO1675" s="102">
        <f t="shared" si="466"/>
        <v>5.6776104665514691</v>
      </c>
      <c r="AP1675" s="94" t="s">
        <v>276</v>
      </c>
      <c r="AQ1675" s="94" t="s">
        <v>276</v>
      </c>
      <c r="AR1675" s="94" t="s">
        <v>276</v>
      </c>
      <c r="AS1675" s="102">
        <f t="shared" si="467"/>
        <v>4.5823052520267886</v>
      </c>
      <c r="AT1675" s="94" t="s">
        <v>276</v>
      </c>
      <c r="AU1675" s="94" t="s">
        <v>276</v>
      </c>
      <c r="AV1675" s="94" t="s">
        <v>268</v>
      </c>
      <c r="AW1675" s="94" t="s">
        <v>276</v>
      </c>
      <c r="AX1675" s="101">
        <f t="shared" si="464"/>
        <v>1.2390292995081937</v>
      </c>
      <c r="AY1675" s="94" t="s">
        <v>276</v>
      </c>
      <c r="AZ1675" s="94" t="s">
        <v>276</v>
      </c>
      <c r="BA1675" s="94" t="s">
        <v>276</v>
      </c>
      <c r="BB1675" s="94" t="s">
        <v>282</v>
      </c>
      <c r="BC1675" s="94" t="s">
        <v>98</v>
      </c>
      <c r="BD1675" s="94" t="s">
        <v>98</v>
      </c>
      <c r="BE1675" s="94" t="s">
        <v>98</v>
      </c>
      <c r="BF1675" s="95" t="s">
        <v>800</v>
      </c>
      <c r="BG1675" s="95" t="s">
        <v>10116</v>
      </c>
      <c r="BH1675" s="9" t="s">
        <v>100</v>
      </c>
      <c r="BI1675" s="9" t="s">
        <v>100</v>
      </c>
      <c r="BJ1675" s="109"/>
      <c r="BN1675" s="109"/>
      <c r="BO1675" s="109"/>
    </row>
    <row r="1676" spans="1:67" s="110" customFormat="1" ht="78" hidden="1" x14ac:dyDescent="0.35">
      <c r="A1676" s="94">
        <v>4098</v>
      </c>
      <c r="B1676" s="94" t="s">
        <v>9251</v>
      </c>
      <c r="C1676" s="95" t="s">
        <v>9264</v>
      </c>
      <c r="D1676" s="95" t="s">
        <v>10167</v>
      </c>
      <c r="E1676" s="94" t="s">
        <v>35</v>
      </c>
      <c r="F1676" s="94" t="s">
        <v>97</v>
      </c>
      <c r="G1676" s="94" t="s">
        <v>225</v>
      </c>
      <c r="H1676" s="94" t="s">
        <v>125</v>
      </c>
      <c r="I1676" s="94" t="s">
        <v>114</v>
      </c>
      <c r="J1676" s="95" t="s">
        <v>25</v>
      </c>
      <c r="K1676" s="94" t="s">
        <v>7801</v>
      </c>
      <c r="L1676" s="94" t="s">
        <v>4151</v>
      </c>
      <c r="M1676" s="94" t="s">
        <v>300</v>
      </c>
      <c r="N1676" s="95" t="s">
        <v>276</v>
      </c>
      <c r="O1676" s="95" t="s">
        <v>276</v>
      </c>
      <c r="P1676" s="95" t="s">
        <v>239</v>
      </c>
      <c r="Q1676" s="140">
        <v>30986</v>
      </c>
      <c r="R1676" s="95" t="s">
        <v>728</v>
      </c>
      <c r="S1676" s="95" t="s">
        <v>276</v>
      </c>
      <c r="T1676" s="95" t="s">
        <v>276</v>
      </c>
      <c r="U1676" s="163" t="s">
        <v>5401</v>
      </c>
      <c r="V1676" s="94" t="s">
        <v>15</v>
      </c>
      <c r="W1676" s="94" t="s">
        <v>9342</v>
      </c>
      <c r="X1676" s="95" t="s">
        <v>207</v>
      </c>
      <c r="Y1676" s="107">
        <v>12153</v>
      </c>
      <c r="Z1676" s="99">
        <v>5674</v>
      </c>
      <c r="AA1676" s="95" t="s">
        <v>276</v>
      </c>
      <c r="AB1676" s="95" t="s">
        <v>276</v>
      </c>
      <c r="AC1676" s="94" t="s">
        <v>276</v>
      </c>
      <c r="AD1676" s="95" t="s">
        <v>968</v>
      </c>
      <c r="AE1676" s="94" t="s">
        <v>276</v>
      </c>
      <c r="AF1676" s="95" t="s">
        <v>968</v>
      </c>
      <c r="AG1676" s="95" t="s">
        <v>10168</v>
      </c>
      <c r="AH1676" s="95" t="s">
        <v>10160</v>
      </c>
      <c r="AI1676" s="99">
        <v>70</v>
      </c>
      <c r="AJ1676" s="99">
        <v>76</v>
      </c>
      <c r="AK1676" s="107">
        <v>12153</v>
      </c>
      <c r="AL1676" s="99">
        <f t="shared" si="470"/>
        <v>11348</v>
      </c>
      <c r="AM1676" s="99" t="s">
        <v>281</v>
      </c>
      <c r="AN1676" s="94" t="s">
        <v>276</v>
      </c>
      <c r="AO1676" s="102">
        <f t="shared" si="466"/>
        <v>5.7598946762116352</v>
      </c>
      <c r="AP1676" s="94" t="s">
        <v>276</v>
      </c>
      <c r="AQ1676" s="94" t="s">
        <v>276</v>
      </c>
      <c r="AR1676" s="94" t="s">
        <v>276</v>
      </c>
      <c r="AS1676" s="102">
        <f t="shared" si="467"/>
        <v>6.6972153683468454</v>
      </c>
      <c r="AT1676" s="94" t="s">
        <v>276</v>
      </c>
      <c r="AU1676" s="94" t="s">
        <v>276</v>
      </c>
      <c r="AV1676" s="94" t="s">
        <v>268</v>
      </c>
      <c r="AW1676" s="94" t="s">
        <v>276</v>
      </c>
      <c r="AX1676" s="101">
        <f t="shared" si="464"/>
        <v>0.86004322086381102</v>
      </c>
      <c r="AY1676" s="94" t="s">
        <v>276</v>
      </c>
      <c r="AZ1676" s="94" t="s">
        <v>276</v>
      </c>
      <c r="BA1676" s="94" t="s">
        <v>276</v>
      </c>
      <c r="BB1676" s="94" t="s">
        <v>282</v>
      </c>
      <c r="BC1676" s="94" t="s">
        <v>98</v>
      </c>
      <c r="BD1676" s="94" t="s">
        <v>98</v>
      </c>
      <c r="BE1676" s="94" t="s">
        <v>98</v>
      </c>
      <c r="BF1676" s="95" t="s">
        <v>800</v>
      </c>
      <c r="BG1676" s="95" t="s">
        <v>10116</v>
      </c>
      <c r="BH1676" s="9" t="s">
        <v>100</v>
      </c>
      <c r="BI1676" s="9" t="s">
        <v>100</v>
      </c>
      <c r="BJ1676" s="109"/>
      <c r="BN1676" s="109"/>
      <c r="BO1676" s="109"/>
    </row>
    <row r="1677" spans="1:67" s="110" customFormat="1" ht="78" hidden="1" x14ac:dyDescent="0.35">
      <c r="A1677" s="94">
        <v>4098</v>
      </c>
      <c r="B1677" s="94" t="s">
        <v>9251</v>
      </c>
      <c r="C1677" s="95" t="s">
        <v>9264</v>
      </c>
      <c r="D1677" s="95" t="s">
        <v>10169</v>
      </c>
      <c r="E1677" s="94" t="s">
        <v>35</v>
      </c>
      <c r="F1677" s="94" t="s">
        <v>97</v>
      </c>
      <c r="G1677" s="94" t="s">
        <v>225</v>
      </c>
      <c r="H1677" s="94" t="s">
        <v>125</v>
      </c>
      <c r="I1677" s="94" t="s">
        <v>114</v>
      </c>
      <c r="J1677" s="95" t="s">
        <v>25</v>
      </c>
      <c r="K1677" s="94" t="s">
        <v>7801</v>
      </c>
      <c r="L1677" s="94" t="s">
        <v>4151</v>
      </c>
      <c r="M1677" s="94" t="s">
        <v>300</v>
      </c>
      <c r="N1677" s="95" t="s">
        <v>276</v>
      </c>
      <c r="O1677" s="95" t="s">
        <v>276</v>
      </c>
      <c r="P1677" s="95" t="s">
        <v>239</v>
      </c>
      <c r="Q1677" s="140">
        <v>30986</v>
      </c>
      <c r="R1677" s="95" t="s">
        <v>733</v>
      </c>
      <c r="S1677" s="95" t="s">
        <v>276</v>
      </c>
      <c r="T1677" s="95" t="s">
        <v>276</v>
      </c>
      <c r="U1677" s="163" t="s">
        <v>5401</v>
      </c>
      <c r="V1677" s="94" t="s">
        <v>15</v>
      </c>
      <c r="W1677" s="94" t="s">
        <v>9342</v>
      </c>
      <c r="X1677" s="95" t="s">
        <v>207</v>
      </c>
      <c r="Y1677" s="107">
        <v>12153</v>
      </c>
      <c r="Z1677" s="99">
        <v>5674</v>
      </c>
      <c r="AA1677" s="95" t="s">
        <v>276</v>
      </c>
      <c r="AB1677" s="95" t="s">
        <v>276</v>
      </c>
      <c r="AC1677" s="94" t="s">
        <v>276</v>
      </c>
      <c r="AD1677" s="95" t="s">
        <v>968</v>
      </c>
      <c r="AE1677" s="94" t="s">
        <v>276</v>
      </c>
      <c r="AF1677" s="95" t="s">
        <v>968</v>
      </c>
      <c r="AG1677" s="95" t="s">
        <v>10170</v>
      </c>
      <c r="AH1677" s="95" t="s">
        <v>10160</v>
      </c>
      <c r="AI1677" s="99">
        <v>77</v>
      </c>
      <c r="AJ1677" s="99">
        <v>88</v>
      </c>
      <c r="AK1677" s="107">
        <v>12153</v>
      </c>
      <c r="AL1677" s="99">
        <f t="shared" si="470"/>
        <v>11348</v>
      </c>
      <c r="AM1677" s="99" t="s">
        <v>281</v>
      </c>
      <c r="AN1677" s="94" t="s">
        <v>276</v>
      </c>
      <c r="AO1677" s="102">
        <f t="shared" si="466"/>
        <v>6.3358841438327982</v>
      </c>
      <c r="AP1677" s="94" t="s">
        <v>276</v>
      </c>
      <c r="AQ1677" s="94" t="s">
        <v>276</v>
      </c>
      <c r="AR1677" s="94" t="s">
        <v>276</v>
      </c>
      <c r="AS1677" s="102">
        <f t="shared" si="467"/>
        <v>7.7546704265068733</v>
      </c>
      <c r="AT1677" s="94" t="s">
        <v>276</v>
      </c>
      <c r="AU1677" s="94" t="s">
        <v>276</v>
      </c>
      <c r="AV1677" s="94" t="s">
        <v>268</v>
      </c>
      <c r="AW1677" s="94" t="s">
        <v>276</v>
      </c>
      <c r="AX1677" s="101">
        <f t="shared" si="464"/>
        <v>0.81704105982062036</v>
      </c>
      <c r="AY1677" s="94" t="s">
        <v>276</v>
      </c>
      <c r="AZ1677" s="94" t="s">
        <v>276</v>
      </c>
      <c r="BA1677" s="94" t="s">
        <v>276</v>
      </c>
      <c r="BB1677" s="94" t="s">
        <v>282</v>
      </c>
      <c r="BC1677" s="94" t="s">
        <v>98</v>
      </c>
      <c r="BD1677" s="94" t="s">
        <v>98</v>
      </c>
      <c r="BE1677" s="94" t="s">
        <v>98</v>
      </c>
      <c r="BF1677" s="95" t="s">
        <v>800</v>
      </c>
      <c r="BG1677" s="95" t="s">
        <v>10116</v>
      </c>
      <c r="BH1677" s="9" t="s">
        <v>100</v>
      </c>
      <c r="BI1677" s="9" t="s">
        <v>100</v>
      </c>
      <c r="BJ1677" s="109"/>
      <c r="BN1677" s="109"/>
      <c r="BO1677" s="109"/>
    </row>
    <row r="1678" spans="1:67" s="110" customFormat="1" ht="78" hidden="1" x14ac:dyDescent="0.35">
      <c r="A1678" s="94">
        <v>4098</v>
      </c>
      <c r="B1678" s="94" t="s">
        <v>9251</v>
      </c>
      <c r="C1678" s="95" t="s">
        <v>9264</v>
      </c>
      <c r="D1678" s="95" t="s">
        <v>10171</v>
      </c>
      <c r="E1678" s="94" t="s">
        <v>35</v>
      </c>
      <c r="F1678" s="94" t="s">
        <v>97</v>
      </c>
      <c r="G1678" s="94" t="s">
        <v>225</v>
      </c>
      <c r="H1678" s="94" t="s">
        <v>125</v>
      </c>
      <c r="I1678" s="94" t="s">
        <v>114</v>
      </c>
      <c r="J1678" s="95" t="s">
        <v>25</v>
      </c>
      <c r="K1678" s="94" t="s">
        <v>7801</v>
      </c>
      <c r="L1678" s="94" t="s">
        <v>4151</v>
      </c>
      <c r="M1678" s="94" t="s">
        <v>300</v>
      </c>
      <c r="N1678" s="95" t="s">
        <v>276</v>
      </c>
      <c r="O1678" s="95" t="s">
        <v>276</v>
      </c>
      <c r="P1678" s="95" t="s">
        <v>239</v>
      </c>
      <c r="Q1678" s="140">
        <v>30986</v>
      </c>
      <c r="R1678" s="95" t="s">
        <v>741</v>
      </c>
      <c r="S1678" s="95" t="s">
        <v>276</v>
      </c>
      <c r="T1678" s="95" t="s">
        <v>276</v>
      </c>
      <c r="U1678" s="163" t="s">
        <v>1219</v>
      </c>
      <c r="V1678" s="94" t="s">
        <v>15</v>
      </c>
      <c r="W1678" s="94" t="s">
        <v>9342</v>
      </c>
      <c r="X1678" s="95" t="s">
        <v>207</v>
      </c>
      <c r="Y1678" s="107">
        <v>12153</v>
      </c>
      <c r="Z1678" s="99">
        <v>5674</v>
      </c>
      <c r="AA1678" s="95" t="s">
        <v>276</v>
      </c>
      <c r="AB1678" s="95" t="s">
        <v>276</v>
      </c>
      <c r="AC1678" s="94" t="s">
        <v>276</v>
      </c>
      <c r="AD1678" s="95" t="s">
        <v>968</v>
      </c>
      <c r="AE1678" s="94" t="s">
        <v>276</v>
      </c>
      <c r="AF1678" s="95" t="s">
        <v>968</v>
      </c>
      <c r="AG1678" s="95" t="s">
        <v>10172</v>
      </c>
      <c r="AH1678" s="95" t="s">
        <v>10160</v>
      </c>
      <c r="AI1678" s="99">
        <v>81</v>
      </c>
      <c r="AJ1678" s="99">
        <v>96</v>
      </c>
      <c r="AK1678" s="107">
        <v>12153</v>
      </c>
      <c r="AL1678" s="99">
        <f>2*5674</f>
        <v>11348</v>
      </c>
      <c r="AM1678" s="99" t="s">
        <v>281</v>
      </c>
      <c r="AN1678" s="94" t="s">
        <v>276</v>
      </c>
      <c r="AO1678" s="102">
        <f t="shared" si="466"/>
        <v>6.6650209824734636</v>
      </c>
      <c r="AP1678" s="94" t="s">
        <v>276</v>
      </c>
      <c r="AQ1678" s="94" t="s">
        <v>276</v>
      </c>
      <c r="AR1678" s="94" t="s">
        <v>276</v>
      </c>
      <c r="AS1678" s="102">
        <f t="shared" si="467"/>
        <v>8.4596404652802253</v>
      </c>
      <c r="AT1678" s="94" t="s">
        <v>276</v>
      </c>
      <c r="AU1678" s="94" t="s">
        <v>276</v>
      </c>
      <c r="AV1678" s="94" t="s">
        <v>268</v>
      </c>
      <c r="AW1678" s="94" t="s">
        <v>276</v>
      </c>
      <c r="AX1678" s="101">
        <f t="shared" si="464"/>
        <v>0.78786102196988406</v>
      </c>
      <c r="AY1678" s="94" t="s">
        <v>276</v>
      </c>
      <c r="AZ1678" s="94" t="s">
        <v>276</v>
      </c>
      <c r="BA1678" s="94" t="s">
        <v>276</v>
      </c>
      <c r="BB1678" s="94" t="s">
        <v>282</v>
      </c>
      <c r="BC1678" s="94" t="s">
        <v>98</v>
      </c>
      <c r="BD1678" s="94" t="s">
        <v>98</v>
      </c>
      <c r="BE1678" s="94" t="s">
        <v>98</v>
      </c>
      <c r="BF1678" s="95" t="s">
        <v>800</v>
      </c>
      <c r="BG1678" s="95" t="s">
        <v>10116</v>
      </c>
      <c r="BH1678" s="9" t="s">
        <v>100</v>
      </c>
      <c r="BI1678" s="9" t="s">
        <v>100</v>
      </c>
      <c r="BJ1678" s="109"/>
      <c r="BN1678" s="109"/>
      <c r="BO1678" s="109"/>
    </row>
    <row r="1679" spans="1:67" s="124" customFormat="1" ht="78" hidden="1" x14ac:dyDescent="0.35">
      <c r="A1679" s="112">
        <v>4098</v>
      </c>
      <c r="B1679" s="112" t="s">
        <v>9251</v>
      </c>
      <c r="C1679" s="113" t="s">
        <v>9264</v>
      </c>
      <c r="D1679" s="113" t="s">
        <v>10173</v>
      </c>
      <c r="E1679" s="112" t="s">
        <v>35</v>
      </c>
      <c r="F1679" s="112" t="s">
        <v>97</v>
      </c>
      <c r="G1679" s="112" t="s">
        <v>225</v>
      </c>
      <c r="H1679" s="112" t="s">
        <v>125</v>
      </c>
      <c r="I1679" s="112" t="s">
        <v>114</v>
      </c>
      <c r="J1679" s="113" t="s">
        <v>1116</v>
      </c>
      <c r="K1679" s="113" t="s">
        <v>10064</v>
      </c>
      <c r="L1679" s="112" t="s">
        <v>4151</v>
      </c>
      <c r="M1679" s="112" t="s">
        <v>300</v>
      </c>
      <c r="N1679" s="113" t="s">
        <v>276</v>
      </c>
      <c r="O1679" s="113" t="s">
        <v>276</v>
      </c>
      <c r="P1679" s="113" t="s">
        <v>239</v>
      </c>
      <c r="Q1679" s="142">
        <v>30986</v>
      </c>
      <c r="R1679" s="113" t="s">
        <v>10097</v>
      </c>
      <c r="S1679" s="113" t="s">
        <v>276</v>
      </c>
      <c r="T1679" s="113" t="s">
        <v>276</v>
      </c>
      <c r="U1679" s="162" t="s">
        <v>5401</v>
      </c>
      <c r="V1679" s="112" t="s">
        <v>15</v>
      </c>
      <c r="W1679" s="112" t="s">
        <v>9960</v>
      </c>
      <c r="X1679" s="113" t="s">
        <v>207</v>
      </c>
      <c r="Y1679" s="120">
        <v>33641</v>
      </c>
      <c r="Z1679" s="119">
        <v>16359</v>
      </c>
      <c r="AA1679" s="113" t="s">
        <v>276</v>
      </c>
      <c r="AB1679" s="113" t="s">
        <v>276</v>
      </c>
      <c r="AC1679" s="112">
        <v>49</v>
      </c>
      <c r="AD1679" s="113" t="s">
        <v>10058</v>
      </c>
      <c r="AE1679" s="112">
        <v>4</v>
      </c>
      <c r="AF1679" s="113" t="s">
        <v>10058</v>
      </c>
      <c r="AG1679" s="113" t="s">
        <v>10174</v>
      </c>
      <c r="AH1679" s="113" t="s">
        <v>10105</v>
      </c>
      <c r="AI1679" s="119">
        <v>117</v>
      </c>
      <c r="AJ1679" s="119">
        <v>68</v>
      </c>
      <c r="AK1679" s="120">
        <v>33641</v>
      </c>
      <c r="AL1679" s="119">
        <v>16359</v>
      </c>
      <c r="AM1679" s="119" t="s">
        <v>281</v>
      </c>
      <c r="AN1679" s="112" t="s">
        <v>276</v>
      </c>
      <c r="AO1679" s="121">
        <f t="shared" si="466"/>
        <v>3.477898992301061</v>
      </c>
      <c r="AP1679" s="112" t="s">
        <v>276</v>
      </c>
      <c r="AQ1679" s="112" t="s">
        <v>276</v>
      </c>
      <c r="AR1679" s="112" t="s">
        <v>276</v>
      </c>
      <c r="AS1679" s="121">
        <f t="shared" si="467"/>
        <v>4.1567332966562747</v>
      </c>
      <c r="AT1679" s="112" t="s">
        <v>276</v>
      </c>
      <c r="AU1679" s="112" t="s">
        <v>276</v>
      </c>
      <c r="AV1679" s="112" t="s">
        <v>268</v>
      </c>
      <c r="AW1679" s="112" t="s">
        <v>276</v>
      </c>
      <c r="AX1679" s="207">
        <f t="shared" si="464"/>
        <v>0.83669043551548616</v>
      </c>
      <c r="AY1679" s="112" t="s">
        <v>276</v>
      </c>
      <c r="AZ1679" s="112" t="s">
        <v>276</v>
      </c>
      <c r="BA1679" s="112" t="s">
        <v>276</v>
      </c>
      <c r="BB1679" s="112" t="s">
        <v>282</v>
      </c>
      <c r="BC1679" s="112" t="s">
        <v>98</v>
      </c>
      <c r="BD1679" s="112" t="s">
        <v>98</v>
      </c>
      <c r="BE1679" s="112" t="s">
        <v>98</v>
      </c>
      <c r="BF1679" s="113" t="s">
        <v>10175</v>
      </c>
      <c r="BG1679" s="113"/>
      <c r="BH1679" s="9" t="s">
        <v>100</v>
      </c>
      <c r="BI1679" s="9" t="s">
        <v>100</v>
      </c>
      <c r="BJ1679" s="123"/>
      <c r="BN1679" s="123"/>
      <c r="BO1679" s="123"/>
    </row>
    <row r="1680" spans="1:67" s="124" customFormat="1" ht="78" hidden="1" x14ac:dyDescent="0.35">
      <c r="A1680" s="112">
        <v>4098</v>
      </c>
      <c r="B1680" s="112" t="s">
        <v>9251</v>
      </c>
      <c r="C1680" s="113" t="s">
        <v>9264</v>
      </c>
      <c r="D1680" s="113" t="s">
        <v>10176</v>
      </c>
      <c r="E1680" s="112" t="s">
        <v>35</v>
      </c>
      <c r="F1680" s="112" t="s">
        <v>97</v>
      </c>
      <c r="G1680" s="112" t="s">
        <v>225</v>
      </c>
      <c r="H1680" s="112" t="s">
        <v>125</v>
      </c>
      <c r="I1680" s="112" t="s">
        <v>114</v>
      </c>
      <c r="J1680" s="113" t="s">
        <v>1116</v>
      </c>
      <c r="K1680" s="113" t="s">
        <v>10064</v>
      </c>
      <c r="L1680" s="112" t="s">
        <v>4151</v>
      </c>
      <c r="M1680" s="112" t="s">
        <v>300</v>
      </c>
      <c r="N1680" s="113" t="s">
        <v>276</v>
      </c>
      <c r="O1680" s="113" t="s">
        <v>276</v>
      </c>
      <c r="P1680" s="113" t="s">
        <v>235</v>
      </c>
      <c r="Q1680" s="142">
        <v>30986</v>
      </c>
      <c r="R1680" s="113" t="s">
        <v>10097</v>
      </c>
      <c r="S1680" s="113" t="s">
        <v>276</v>
      </c>
      <c r="T1680" s="113" t="s">
        <v>276</v>
      </c>
      <c r="U1680" s="162" t="s">
        <v>5401</v>
      </c>
      <c r="V1680" s="112" t="s">
        <v>15</v>
      </c>
      <c r="W1680" s="112" t="s">
        <v>9960</v>
      </c>
      <c r="X1680" s="113" t="s">
        <v>207</v>
      </c>
      <c r="Y1680" s="120" t="s">
        <v>98</v>
      </c>
      <c r="Z1680" s="119" t="s">
        <v>98</v>
      </c>
      <c r="AA1680" s="113" t="s">
        <v>276</v>
      </c>
      <c r="AB1680" s="113" t="s">
        <v>276</v>
      </c>
      <c r="AC1680" s="112">
        <v>49</v>
      </c>
      <c r="AD1680" s="113" t="s">
        <v>10058</v>
      </c>
      <c r="AE1680" s="112">
        <v>4</v>
      </c>
      <c r="AF1680" s="113" t="s">
        <v>10058</v>
      </c>
      <c r="AG1680" s="113" t="s">
        <v>10174</v>
      </c>
      <c r="AH1680" s="113" t="s">
        <v>10177</v>
      </c>
      <c r="AI1680" s="119">
        <v>117</v>
      </c>
      <c r="AJ1680" s="119">
        <v>68</v>
      </c>
      <c r="AK1680" s="120">
        <v>465</v>
      </c>
      <c r="AL1680" s="119">
        <v>182</v>
      </c>
      <c r="AM1680" s="119" t="s">
        <v>292</v>
      </c>
      <c r="AN1680" s="112" t="s">
        <v>276</v>
      </c>
      <c r="AO1680" s="121">
        <f>AI1680*100/AK1680</f>
        <v>25.161290322580644</v>
      </c>
      <c r="AP1680" s="112" t="s">
        <v>276</v>
      </c>
      <c r="AQ1680" s="112" t="s">
        <v>276</v>
      </c>
      <c r="AR1680" s="112" t="s">
        <v>276</v>
      </c>
      <c r="AS1680" s="121">
        <f>AJ1680*100/AL1680</f>
        <v>37.362637362637365</v>
      </c>
      <c r="AT1680" s="112" t="s">
        <v>276</v>
      </c>
      <c r="AU1680" s="112" t="s">
        <v>276</v>
      </c>
      <c r="AV1680" s="112" t="s">
        <v>268</v>
      </c>
      <c r="AW1680" s="112" t="s">
        <v>276</v>
      </c>
      <c r="AX1680" s="207">
        <f t="shared" si="464"/>
        <v>0.67343453510436424</v>
      </c>
      <c r="AY1680" s="112" t="s">
        <v>276</v>
      </c>
      <c r="AZ1680" s="112" t="s">
        <v>276</v>
      </c>
      <c r="BA1680" s="112" t="s">
        <v>431</v>
      </c>
      <c r="BB1680" s="112" t="s">
        <v>282</v>
      </c>
      <c r="BC1680" s="112" t="s">
        <v>98</v>
      </c>
      <c r="BD1680" s="112" t="s">
        <v>98</v>
      </c>
      <c r="BE1680" s="112" t="s">
        <v>98</v>
      </c>
      <c r="BF1680" s="113" t="s">
        <v>10175</v>
      </c>
      <c r="BG1680" s="113"/>
      <c r="BH1680" s="9" t="s">
        <v>100</v>
      </c>
      <c r="BI1680" s="9" t="s">
        <v>100</v>
      </c>
      <c r="BJ1680" s="123"/>
      <c r="BN1680" s="123"/>
      <c r="BO1680" s="123"/>
    </row>
    <row r="1681" spans="1:67" s="124" customFormat="1" ht="78" hidden="1" x14ac:dyDescent="0.35">
      <c r="A1681" s="112">
        <v>4098</v>
      </c>
      <c r="B1681" s="112" t="s">
        <v>9251</v>
      </c>
      <c r="C1681" s="113" t="s">
        <v>9264</v>
      </c>
      <c r="D1681" s="113" t="s">
        <v>10178</v>
      </c>
      <c r="E1681" s="112" t="s">
        <v>35</v>
      </c>
      <c r="F1681" s="112" t="s">
        <v>97</v>
      </c>
      <c r="G1681" s="112" t="s">
        <v>225</v>
      </c>
      <c r="H1681" s="112" t="s">
        <v>125</v>
      </c>
      <c r="I1681" s="112" t="s">
        <v>114</v>
      </c>
      <c r="J1681" s="113" t="s">
        <v>1116</v>
      </c>
      <c r="K1681" s="113" t="s">
        <v>10064</v>
      </c>
      <c r="L1681" s="112" t="s">
        <v>4151</v>
      </c>
      <c r="M1681" s="112" t="s">
        <v>300</v>
      </c>
      <c r="N1681" s="113" t="s">
        <v>276</v>
      </c>
      <c r="O1681" s="113" t="s">
        <v>276</v>
      </c>
      <c r="P1681" s="113" t="s">
        <v>235</v>
      </c>
      <c r="Q1681" s="142">
        <v>30986</v>
      </c>
      <c r="R1681" s="113" t="s">
        <v>10097</v>
      </c>
      <c r="S1681" s="113" t="s">
        <v>276</v>
      </c>
      <c r="T1681" s="113" t="s">
        <v>276</v>
      </c>
      <c r="U1681" s="162" t="s">
        <v>5401</v>
      </c>
      <c r="V1681" s="112" t="s">
        <v>15</v>
      </c>
      <c r="W1681" s="112" t="s">
        <v>9960</v>
      </c>
      <c r="X1681" s="113" t="s">
        <v>207</v>
      </c>
      <c r="Y1681" s="120" t="s">
        <v>98</v>
      </c>
      <c r="Z1681" s="119" t="s">
        <v>98</v>
      </c>
      <c r="AA1681" s="113" t="s">
        <v>276</v>
      </c>
      <c r="AB1681" s="113" t="s">
        <v>276</v>
      </c>
      <c r="AC1681" s="112">
        <v>49</v>
      </c>
      <c r="AD1681" s="113" t="s">
        <v>10058</v>
      </c>
      <c r="AE1681" s="112">
        <v>4</v>
      </c>
      <c r="AF1681" s="113" t="s">
        <v>10058</v>
      </c>
      <c r="AG1681" s="113" t="s">
        <v>10174</v>
      </c>
      <c r="AH1681" s="113" t="s">
        <v>10179</v>
      </c>
      <c r="AI1681" s="119">
        <v>117</v>
      </c>
      <c r="AJ1681" s="119">
        <v>68</v>
      </c>
      <c r="AK1681" s="120">
        <v>419</v>
      </c>
      <c r="AL1681" s="119">
        <v>179</v>
      </c>
      <c r="AM1681" s="119" t="s">
        <v>292</v>
      </c>
      <c r="AN1681" s="112" t="s">
        <v>276</v>
      </c>
      <c r="AO1681" s="121">
        <f>AI1681*100/AK1681</f>
        <v>27.923627684964199</v>
      </c>
      <c r="AP1681" s="112" t="s">
        <v>276</v>
      </c>
      <c r="AQ1681" s="112" t="s">
        <v>276</v>
      </c>
      <c r="AR1681" s="112" t="s">
        <v>276</v>
      </c>
      <c r="AS1681" s="121">
        <f>AJ1681*100/AL1681</f>
        <v>37.988826815642462</v>
      </c>
      <c r="AT1681" s="112" t="s">
        <v>276</v>
      </c>
      <c r="AU1681" s="112" t="s">
        <v>276</v>
      </c>
      <c r="AV1681" s="112" t="s">
        <v>268</v>
      </c>
      <c r="AW1681" s="112" t="s">
        <v>276</v>
      </c>
      <c r="AX1681" s="207">
        <f t="shared" si="464"/>
        <v>0.73504843464832226</v>
      </c>
      <c r="AY1681" s="112" t="s">
        <v>276</v>
      </c>
      <c r="AZ1681" s="112" t="s">
        <v>276</v>
      </c>
      <c r="BA1681" s="112" t="s">
        <v>844</v>
      </c>
      <c r="BB1681" s="112" t="s">
        <v>282</v>
      </c>
      <c r="BC1681" s="112" t="s">
        <v>98</v>
      </c>
      <c r="BD1681" s="112" t="s">
        <v>98</v>
      </c>
      <c r="BE1681" s="112" t="s">
        <v>98</v>
      </c>
      <c r="BF1681" s="113" t="s">
        <v>10180</v>
      </c>
      <c r="BG1681" s="113"/>
      <c r="BH1681" s="9" t="s">
        <v>100</v>
      </c>
      <c r="BI1681" s="9" t="s">
        <v>100</v>
      </c>
      <c r="BJ1681" s="123"/>
      <c r="BN1681" s="123"/>
      <c r="BO1681" s="123"/>
    </row>
    <row r="1682" spans="1:67" s="277" customFormat="1" ht="78" hidden="1" x14ac:dyDescent="0.35">
      <c r="A1682" s="244">
        <v>4164</v>
      </c>
      <c r="B1682" s="244" t="s">
        <v>10181</v>
      </c>
      <c r="C1682" s="245" t="s">
        <v>62</v>
      </c>
      <c r="D1682" s="245" t="s">
        <v>10182</v>
      </c>
      <c r="E1682" s="244" t="s">
        <v>35</v>
      </c>
      <c r="F1682" s="244" t="s">
        <v>97</v>
      </c>
      <c r="G1682" s="244" t="s">
        <v>225</v>
      </c>
      <c r="H1682" s="244" t="s">
        <v>225</v>
      </c>
      <c r="I1682" s="244" t="s">
        <v>114</v>
      </c>
      <c r="J1682" s="245" t="s">
        <v>98</v>
      </c>
      <c r="K1682" s="244" t="s">
        <v>98</v>
      </c>
      <c r="L1682" s="244" t="s">
        <v>98</v>
      </c>
      <c r="M1682" s="244" t="s">
        <v>98</v>
      </c>
      <c r="N1682" s="244" t="s">
        <v>276</v>
      </c>
      <c r="O1682" s="245" t="s">
        <v>276</v>
      </c>
      <c r="P1682" s="245" t="s">
        <v>238</v>
      </c>
      <c r="Q1682" s="335" t="s">
        <v>276</v>
      </c>
      <c r="R1682" s="245" t="s">
        <v>276</v>
      </c>
      <c r="S1682" s="245" t="s">
        <v>276</v>
      </c>
      <c r="T1682" s="245" t="s">
        <v>98</v>
      </c>
      <c r="U1682" s="340" t="s">
        <v>276</v>
      </c>
      <c r="V1682" s="244" t="s">
        <v>15</v>
      </c>
      <c r="W1682" s="244" t="s">
        <v>9960</v>
      </c>
      <c r="X1682" s="245" t="s">
        <v>209</v>
      </c>
      <c r="Y1682" s="274">
        <v>66741</v>
      </c>
      <c r="Z1682" s="245" t="s">
        <v>98</v>
      </c>
      <c r="AA1682" s="245" t="s">
        <v>276</v>
      </c>
      <c r="AB1682" s="245" t="s">
        <v>98</v>
      </c>
      <c r="AC1682" s="244">
        <v>0</v>
      </c>
      <c r="AD1682" s="244" t="s">
        <v>5574</v>
      </c>
      <c r="AE1682" s="244" t="s">
        <v>98</v>
      </c>
      <c r="AF1682" s="244" t="s">
        <v>98</v>
      </c>
      <c r="AG1682" s="245" t="s">
        <v>10183</v>
      </c>
      <c r="AH1682" s="245" t="s">
        <v>10094</v>
      </c>
      <c r="AI1682" s="250">
        <f>284+375+1+1</f>
        <v>661</v>
      </c>
      <c r="AJ1682" s="250" t="s">
        <v>98</v>
      </c>
      <c r="AK1682" s="274">
        <v>66741</v>
      </c>
      <c r="AL1682" s="250" t="s">
        <v>98</v>
      </c>
      <c r="AM1682" s="250" t="s">
        <v>281</v>
      </c>
      <c r="AN1682" s="244" t="s">
        <v>276</v>
      </c>
      <c r="AO1682" s="251">
        <f t="shared" ref="AO1682" si="471">AI1682*1000/AK1682</f>
        <v>9.9039570878470506</v>
      </c>
      <c r="AP1682" s="244" t="s">
        <v>276</v>
      </c>
      <c r="AQ1682" s="244" t="s">
        <v>276</v>
      </c>
      <c r="AR1682" s="244" t="s">
        <v>98</v>
      </c>
      <c r="AS1682" s="244" t="s">
        <v>98</v>
      </c>
      <c r="AT1682" s="244" t="s">
        <v>98</v>
      </c>
      <c r="AU1682" s="244" t="s">
        <v>98</v>
      </c>
      <c r="AV1682" s="244" t="s">
        <v>98</v>
      </c>
      <c r="AW1682" s="244" t="s">
        <v>98</v>
      </c>
      <c r="AX1682" s="244" t="s">
        <v>98</v>
      </c>
      <c r="AY1682" s="244" t="s">
        <v>98</v>
      </c>
      <c r="AZ1682" s="244" t="s">
        <v>98</v>
      </c>
      <c r="BA1682" s="244" t="s">
        <v>98</v>
      </c>
      <c r="BB1682" s="244" t="s">
        <v>98</v>
      </c>
      <c r="BC1682" s="244" t="s">
        <v>98</v>
      </c>
      <c r="BD1682" s="244" t="s">
        <v>98</v>
      </c>
      <c r="BE1682" s="244" t="s">
        <v>98</v>
      </c>
      <c r="BF1682" s="245" t="s">
        <v>3863</v>
      </c>
      <c r="BG1682" s="245"/>
      <c r="BH1682" s="9" t="s">
        <v>100</v>
      </c>
      <c r="BI1682" s="9" t="s">
        <v>100</v>
      </c>
      <c r="BJ1682" s="276"/>
      <c r="BN1682" s="276"/>
      <c r="BO1682" s="276"/>
    </row>
    <row r="1683" spans="1:67" s="277" customFormat="1" ht="78" hidden="1" x14ac:dyDescent="0.35">
      <c r="A1683" s="244">
        <v>4164</v>
      </c>
      <c r="B1683" s="244" t="s">
        <v>10181</v>
      </c>
      <c r="C1683" s="245" t="s">
        <v>62</v>
      </c>
      <c r="D1683" s="245" t="s">
        <v>10184</v>
      </c>
      <c r="E1683" s="244" t="s">
        <v>35</v>
      </c>
      <c r="F1683" s="244" t="s">
        <v>97</v>
      </c>
      <c r="G1683" s="244" t="s">
        <v>225</v>
      </c>
      <c r="H1683" s="244" t="s">
        <v>225</v>
      </c>
      <c r="I1683" s="244" t="s">
        <v>114</v>
      </c>
      <c r="J1683" s="245" t="s">
        <v>98</v>
      </c>
      <c r="K1683" s="244" t="s">
        <v>98</v>
      </c>
      <c r="L1683" s="244" t="s">
        <v>98</v>
      </c>
      <c r="M1683" s="244" t="s">
        <v>98</v>
      </c>
      <c r="N1683" s="244" t="s">
        <v>276</v>
      </c>
      <c r="O1683" s="245" t="s">
        <v>276</v>
      </c>
      <c r="P1683" s="245" t="s">
        <v>236</v>
      </c>
      <c r="Q1683" s="335" t="s">
        <v>276</v>
      </c>
      <c r="R1683" s="245" t="s">
        <v>276</v>
      </c>
      <c r="S1683" s="245" t="s">
        <v>276</v>
      </c>
      <c r="T1683" s="245" t="s">
        <v>98</v>
      </c>
      <c r="U1683" s="340" t="s">
        <v>276</v>
      </c>
      <c r="V1683" s="244" t="s">
        <v>15</v>
      </c>
      <c r="W1683" s="244" t="s">
        <v>9960</v>
      </c>
      <c r="X1683" s="245" t="s">
        <v>209</v>
      </c>
      <c r="Y1683" s="245" t="s">
        <v>98</v>
      </c>
      <c r="Z1683" s="245" t="s">
        <v>98</v>
      </c>
      <c r="AA1683" s="245" t="s">
        <v>276</v>
      </c>
      <c r="AB1683" s="245" t="s">
        <v>98</v>
      </c>
      <c r="AC1683" s="244">
        <v>0</v>
      </c>
      <c r="AD1683" s="244" t="s">
        <v>5574</v>
      </c>
      <c r="AE1683" s="244" t="s">
        <v>98</v>
      </c>
      <c r="AF1683" s="244" t="s">
        <v>98</v>
      </c>
      <c r="AG1683" s="245" t="s">
        <v>10183</v>
      </c>
      <c r="AH1683" s="245" t="s">
        <v>10185</v>
      </c>
      <c r="AI1683" s="250">
        <f>284+375+1+1</f>
        <v>661</v>
      </c>
      <c r="AJ1683" s="250" t="s">
        <v>98</v>
      </c>
      <c r="AK1683" s="274">
        <f>284+375+248+81+1+1</f>
        <v>990</v>
      </c>
      <c r="AL1683" s="250" t="s">
        <v>98</v>
      </c>
      <c r="AM1683" s="250" t="s">
        <v>292</v>
      </c>
      <c r="AN1683" s="244" t="s">
        <v>276</v>
      </c>
      <c r="AO1683" s="251">
        <f t="shared" ref="AO1683:AO1688" si="472">AI1683*100/AK1683</f>
        <v>66.767676767676761</v>
      </c>
      <c r="AP1683" s="244" t="s">
        <v>276</v>
      </c>
      <c r="AQ1683" s="244" t="s">
        <v>276</v>
      </c>
      <c r="AR1683" s="244" t="s">
        <v>98</v>
      </c>
      <c r="AS1683" s="244" t="s">
        <v>98</v>
      </c>
      <c r="AT1683" s="244" t="s">
        <v>98</v>
      </c>
      <c r="AU1683" s="244" t="s">
        <v>98</v>
      </c>
      <c r="AV1683" s="244" t="s">
        <v>98</v>
      </c>
      <c r="AW1683" s="244" t="s">
        <v>98</v>
      </c>
      <c r="AX1683" s="244" t="s">
        <v>98</v>
      </c>
      <c r="AY1683" s="244" t="s">
        <v>98</v>
      </c>
      <c r="AZ1683" s="244" t="s">
        <v>98</v>
      </c>
      <c r="BA1683" s="244" t="s">
        <v>98</v>
      </c>
      <c r="BB1683" s="244" t="s">
        <v>98</v>
      </c>
      <c r="BC1683" s="244" t="s">
        <v>98</v>
      </c>
      <c r="BD1683" s="244" t="s">
        <v>98</v>
      </c>
      <c r="BE1683" s="244" t="s">
        <v>98</v>
      </c>
      <c r="BF1683" s="245" t="s">
        <v>3863</v>
      </c>
      <c r="BG1683" s="245"/>
      <c r="BH1683" s="9" t="s">
        <v>100</v>
      </c>
      <c r="BI1683" s="9" t="s">
        <v>100</v>
      </c>
      <c r="BJ1683" s="276"/>
      <c r="BN1683" s="276"/>
      <c r="BO1683" s="276"/>
    </row>
    <row r="1684" spans="1:67" s="277" customFormat="1" ht="78" hidden="1" x14ac:dyDescent="0.35">
      <c r="A1684" s="244">
        <v>4164</v>
      </c>
      <c r="B1684" s="244" t="s">
        <v>10181</v>
      </c>
      <c r="C1684" s="245" t="s">
        <v>62</v>
      </c>
      <c r="D1684" s="245" t="s">
        <v>10186</v>
      </c>
      <c r="E1684" s="244" t="s">
        <v>35</v>
      </c>
      <c r="F1684" s="244" t="s">
        <v>97</v>
      </c>
      <c r="G1684" s="244" t="s">
        <v>225</v>
      </c>
      <c r="H1684" s="244" t="s">
        <v>225</v>
      </c>
      <c r="I1684" s="244" t="s">
        <v>114</v>
      </c>
      <c r="J1684" s="245" t="s">
        <v>27</v>
      </c>
      <c r="K1684" s="244">
        <v>3</v>
      </c>
      <c r="L1684" s="244" t="s">
        <v>98</v>
      </c>
      <c r="M1684" s="244" t="s">
        <v>98</v>
      </c>
      <c r="N1684" s="245" t="s">
        <v>10187</v>
      </c>
      <c r="O1684" s="245" t="s">
        <v>276</v>
      </c>
      <c r="P1684" s="245" t="s">
        <v>237</v>
      </c>
      <c r="Q1684" s="335" t="s">
        <v>276</v>
      </c>
      <c r="R1684" s="245" t="s">
        <v>276</v>
      </c>
      <c r="S1684" s="245" t="s">
        <v>276</v>
      </c>
      <c r="T1684" s="245" t="s">
        <v>98</v>
      </c>
      <c r="U1684" s="340" t="s">
        <v>276</v>
      </c>
      <c r="V1684" s="244" t="s">
        <v>15</v>
      </c>
      <c r="W1684" s="244" t="s">
        <v>9960</v>
      </c>
      <c r="X1684" s="245" t="s">
        <v>209</v>
      </c>
      <c r="Y1684" s="245" t="s">
        <v>98</v>
      </c>
      <c r="Z1684" s="245" t="s">
        <v>98</v>
      </c>
      <c r="AA1684" s="245" t="s">
        <v>276</v>
      </c>
      <c r="AB1684" s="245" t="s">
        <v>98</v>
      </c>
      <c r="AC1684" s="244">
        <f>6+108</f>
        <v>114</v>
      </c>
      <c r="AD1684" s="244" t="s">
        <v>3850</v>
      </c>
      <c r="AE1684" s="244" t="s">
        <v>98</v>
      </c>
      <c r="AF1684" s="244" t="s">
        <v>98</v>
      </c>
      <c r="AG1684" s="245" t="s">
        <v>10188</v>
      </c>
      <c r="AH1684" s="245" t="s">
        <v>10189</v>
      </c>
      <c r="AI1684" s="250">
        <f>94+93</f>
        <v>187</v>
      </c>
      <c r="AJ1684" s="250" t="s">
        <v>98</v>
      </c>
      <c r="AK1684" s="274">
        <f>163+168</f>
        <v>331</v>
      </c>
      <c r="AL1684" s="250" t="s">
        <v>98</v>
      </c>
      <c r="AM1684" s="250" t="s">
        <v>292</v>
      </c>
      <c r="AN1684" s="244" t="s">
        <v>276</v>
      </c>
      <c r="AO1684" s="251">
        <f t="shared" si="472"/>
        <v>56.495468277945619</v>
      </c>
      <c r="AP1684" s="244" t="s">
        <v>276</v>
      </c>
      <c r="AQ1684" s="244" t="s">
        <v>276</v>
      </c>
      <c r="AR1684" s="244" t="s">
        <v>98</v>
      </c>
      <c r="AS1684" s="244" t="s">
        <v>98</v>
      </c>
      <c r="AT1684" s="244" t="s">
        <v>98</v>
      </c>
      <c r="AU1684" s="244" t="s">
        <v>98</v>
      </c>
      <c r="AV1684" s="244" t="s">
        <v>98</v>
      </c>
      <c r="AW1684" s="244" t="s">
        <v>98</v>
      </c>
      <c r="AX1684" s="244" t="s">
        <v>98</v>
      </c>
      <c r="AY1684" s="244" t="s">
        <v>98</v>
      </c>
      <c r="AZ1684" s="244" t="s">
        <v>98</v>
      </c>
      <c r="BA1684" s="244" t="s">
        <v>98</v>
      </c>
      <c r="BB1684" s="244" t="s">
        <v>98</v>
      </c>
      <c r="BC1684" s="244" t="s">
        <v>98</v>
      </c>
      <c r="BD1684" s="244" t="s">
        <v>98</v>
      </c>
      <c r="BE1684" s="244" t="s">
        <v>98</v>
      </c>
      <c r="BF1684" s="245" t="s">
        <v>3863</v>
      </c>
      <c r="BG1684" s="245"/>
      <c r="BH1684" s="9" t="s">
        <v>100</v>
      </c>
      <c r="BI1684" s="9" t="s">
        <v>100</v>
      </c>
      <c r="BJ1684" s="276"/>
      <c r="BN1684" s="276"/>
      <c r="BO1684" s="276"/>
    </row>
    <row r="1685" spans="1:67" s="285" customFormat="1" ht="78" hidden="1" x14ac:dyDescent="0.35">
      <c r="A1685" s="254">
        <v>4164</v>
      </c>
      <c r="B1685" s="254" t="s">
        <v>10181</v>
      </c>
      <c r="C1685" s="255" t="s">
        <v>9264</v>
      </c>
      <c r="D1685" s="255" t="s">
        <v>10184</v>
      </c>
      <c r="E1685" s="254" t="s">
        <v>35</v>
      </c>
      <c r="F1685" s="254" t="s">
        <v>97</v>
      </c>
      <c r="G1685" s="254" t="s">
        <v>225</v>
      </c>
      <c r="H1685" s="254" t="s">
        <v>225</v>
      </c>
      <c r="I1685" s="254" t="s">
        <v>114</v>
      </c>
      <c r="J1685" s="255" t="s">
        <v>98</v>
      </c>
      <c r="K1685" s="254" t="s">
        <v>98</v>
      </c>
      <c r="L1685" s="254" t="s">
        <v>98</v>
      </c>
      <c r="M1685" s="254" t="s">
        <v>98</v>
      </c>
      <c r="N1685" s="254" t="s">
        <v>276</v>
      </c>
      <c r="O1685" s="255" t="s">
        <v>276</v>
      </c>
      <c r="P1685" s="255" t="s">
        <v>236</v>
      </c>
      <c r="Q1685" s="343" t="s">
        <v>276</v>
      </c>
      <c r="R1685" s="255" t="s">
        <v>276</v>
      </c>
      <c r="S1685" s="255" t="s">
        <v>276</v>
      </c>
      <c r="T1685" s="255" t="s">
        <v>98</v>
      </c>
      <c r="U1685" s="341" t="s">
        <v>276</v>
      </c>
      <c r="V1685" s="254" t="s">
        <v>15</v>
      </c>
      <c r="W1685" s="254" t="s">
        <v>9960</v>
      </c>
      <c r="X1685" s="255" t="s">
        <v>209</v>
      </c>
      <c r="Y1685" s="255" t="s">
        <v>98</v>
      </c>
      <c r="Z1685" s="255" t="s">
        <v>98</v>
      </c>
      <c r="AA1685" s="255" t="s">
        <v>276</v>
      </c>
      <c r="AB1685" s="255" t="s">
        <v>98</v>
      </c>
      <c r="AC1685" s="254">
        <v>0</v>
      </c>
      <c r="AD1685" s="254" t="s">
        <v>5574</v>
      </c>
      <c r="AE1685" s="254" t="s">
        <v>98</v>
      </c>
      <c r="AF1685" s="254" t="s">
        <v>98</v>
      </c>
      <c r="AG1685" s="255" t="s">
        <v>10183</v>
      </c>
      <c r="AH1685" s="255" t="s">
        <v>10185</v>
      </c>
      <c r="AI1685" s="260">
        <f>139+182+1+1</f>
        <v>323</v>
      </c>
      <c r="AJ1685" s="260" t="s">
        <v>98</v>
      </c>
      <c r="AK1685" s="260">
        <f>139+182+1+1+113+27+2+2</f>
        <v>467</v>
      </c>
      <c r="AL1685" s="260" t="s">
        <v>98</v>
      </c>
      <c r="AM1685" s="260" t="s">
        <v>292</v>
      </c>
      <c r="AN1685" s="254" t="s">
        <v>276</v>
      </c>
      <c r="AO1685" s="261">
        <f t="shared" si="472"/>
        <v>69.164882226980723</v>
      </c>
      <c r="AP1685" s="254" t="s">
        <v>276</v>
      </c>
      <c r="AQ1685" s="254" t="s">
        <v>276</v>
      </c>
      <c r="AR1685" s="254" t="s">
        <v>98</v>
      </c>
      <c r="AS1685" s="254" t="s">
        <v>98</v>
      </c>
      <c r="AT1685" s="254" t="s">
        <v>98</v>
      </c>
      <c r="AU1685" s="254" t="s">
        <v>98</v>
      </c>
      <c r="AV1685" s="254" t="s">
        <v>98</v>
      </c>
      <c r="AW1685" s="254" t="s">
        <v>98</v>
      </c>
      <c r="AX1685" s="254" t="s">
        <v>98</v>
      </c>
      <c r="AY1685" s="254" t="s">
        <v>98</v>
      </c>
      <c r="AZ1685" s="254" t="s">
        <v>98</v>
      </c>
      <c r="BA1685" s="254" t="s">
        <v>98</v>
      </c>
      <c r="BB1685" s="254" t="s">
        <v>98</v>
      </c>
      <c r="BC1685" s="254" t="s">
        <v>98</v>
      </c>
      <c r="BD1685" s="254" t="s">
        <v>98</v>
      </c>
      <c r="BE1685" s="254" t="s">
        <v>98</v>
      </c>
      <c r="BF1685" s="255" t="s">
        <v>3863</v>
      </c>
      <c r="BG1685" s="255"/>
      <c r="BH1685" s="9" t="s">
        <v>100</v>
      </c>
      <c r="BI1685" s="9" t="s">
        <v>100</v>
      </c>
      <c r="BJ1685" s="284"/>
      <c r="BN1685" s="284"/>
      <c r="BO1685" s="284"/>
    </row>
    <row r="1686" spans="1:67" s="285" customFormat="1" ht="78" hidden="1" x14ac:dyDescent="0.35">
      <c r="A1686" s="254">
        <v>4164</v>
      </c>
      <c r="B1686" s="254" t="s">
        <v>10181</v>
      </c>
      <c r="C1686" s="255" t="s">
        <v>9264</v>
      </c>
      <c r="D1686" s="255" t="s">
        <v>10186</v>
      </c>
      <c r="E1686" s="254" t="s">
        <v>35</v>
      </c>
      <c r="F1686" s="254" t="s">
        <v>97</v>
      </c>
      <c r="G1686" s="254" t="s">
        <v>225</v>
      </c>
      <c r="H1686" s="254" t="s">
        <v>225</v>
      </c>
      <c r="I1686" s="254" t="s">
        <v>114</v>
      </c>
      <c r="J1686" s="255" t="s">
        <v>27</v>
      </c>
      <c r="K1686" s="254">
        <v>3</v>
      </c>
      <c r="L1686" s="254" t="s">
        <v>98</v>
      </c>
      <c r="M1686" s="254" t="s">
        <v>98</v>
      </c>
      <c r="N1686" s="255" t="s">
        <v>10187</v>
      </c>
      <c r="O1686" s="255" t="s">
        <v>276</v>
      </c>
      <c r="P1686" s="255" t="s">
        <v>237</v>
      </c>
      <c r="Q1686" s="343" t="s">
        <v>276</v>
      </c>
      <c r="R1686" s="255" t="s">
        <v>276</v>
      </c>
      <c r="S1686" s="255" t="s">
        <v>276</v>
      </c>
      <c r="T1686" s="255" t="s">
        <v>98</v>
      </c>
      <c r="U1686" s="341" t="s">
        <v>276</v>
      </c>
      <c r="V1686" s="254" t="s">
        <v>15</v>
      </c>
      <c r="W1686" s="254" t="s">
        <v>9960</v>
      </c>
      <c r="X1686" s="255" t="s">
        <v>209</v>
      </c>
      <c r="Y1686" s="255" t="s">
        <v>98</v>
      </c>
      <c r="Z1686" s="255" t="s">
        <v>98</v>
      </c>
      <c r="AA1686" s="255" t="s">
        <v>276</v>
      </c>
      <c r="AB1686" s="255" t="s">
        <v>98</v>
      </c>
      <c r="AC1686" s="254">
        <v>6</v>
      </c>
      <c r="AD1686" s="254" t="s">
        <v>3850</v>
      </c>
      <c r="AE1686" s="254" t="s">
        <v>98</v>
      </c>
      <c r="AF1686" s="254" t="s">
        <v>98</v>
      </c>
      <c r="AG1686" s="255" t="s">
        <v>10188</v>
      </c>
      <c r="AH1686" s="255" t="s">
        <v>10189</v>
      </c>
      <c r="AI1686" s="260">
        <f>52+42</f>
        <v>94</v>
      </c>
      <c r="AJ1686" s="260" t="s">
        <v>98</v>
      </c>
      <c r="AK1686" s="282">
        <v>168</v>
      </c>
      <c r="AL1686" s="260" t="s">
        <v>98</v>
      </c>
      <c r="AM1686" s="260" t="s">
        <v>292</v>
      </c>
      <c r="AN1686" s="254" t="s">
        <v>276</v>
      </c>
      <c r="AO1686" s="261">
        <f t="shared" si="472"/>
        <v>55.952380952380949</v>
      </c>
      <c r="AP1686" s="254" t="s">
        <v>276</v>
      </c>
      <c r="AQ1686" s="254" t="s">
        <v>276</v>
      </c>
      <c r="AR1686" s="254" t="s">
        <v>98</v>
      </c>
      <c r="AS1686" s="254" t="s">
        <v>98</v>
      </c>
      <c r="AT1686" s="254" t="s">
        <v>98</v>
      </c>
      <c r="AU1686" s="254" t="s">
        <v>98</v>
      </c>
      <c r="AV1686" s="254" t="s">
        <v>98</v>
      </c>
      <c r="AW1686" s="254" t="s">
        <v>98</v>
      </c>
      <c r="AX1686" s="254" t="s">
        <v>98</v>
      </c>
      <c r="AY1686" s="254" t="s">
        <v>98</v>
      </c>
      <c r="AZ1686" s="254" t="s">
        <v>98</v>
      </c>
      <c r="BA1686" s="254" t="s">
        <v>98</v>
      </c>
      <c r="BB1686" s="254" t="s">
        <v>98</v>
      </c>
      <c r="BC1686" s="254" t="s">
        <v>98</v>
      </c>
      <c r="BD1686" s="254" t="s">
        <v>98</v>
      </c>
      <c r="BE1686" s="254" t="s">
        <v>98</v>
      </c>
      <c r="BF1686" s="255" t="s">
        <v>3863</v>
      </c>
      <c r="BG1686" s="255"/>
      <c r="BH1686" s="9" t="s">
        <v>100</v>
      </c>
      <c r="BI1686" s="9" t="s">
        <v>100</v>
      </c>
      <c r="BJ1686" s="284"/>
      <c r="BN1686" s="284"/>
      <c r="BO1686" s="284"/>
    </row>
    <row r="1687" spans="1:67" s="277" customFormat="1" ht="78" hidden="1" x14ac:dyDescent="0.35">
      <c r="A1687" s="244">
        <v>4164</v>
      </c>
      <c r="B1687" s="244" t="s">
        <v>10181</v>
      </c>
      <c r="C1687" s="245" t="s">
        <v>9266</v>
      </c>
      <c r="D1687" s="245" t="s">
        <v>10184</v>
      </c>
      <c r="E1687" s="244" t="s">
        <v>35</v>
      </c>
      <c r="F1687" s="244" t="s">
        <v>97</v>
      </c>
      <c r="G1687" s="244" t="s">
        <v>225</v>
      </c>
      <c r="H1687" s="244" t="s">
        <v>225</v>
      </c>
      <c r="I1687" s="244" t="s">
        <v>114</v>
      </c>
      <c r="J1687" s="245" t="s">
        <v>98</v>
      </c>
      <c r="K1687" s="244" t="s">
        <v>98</v>
      </c>
      <c r="L1687" s="244" t="s">
        <v>98</v>
      </c>
      <c r="M1687" s="244" t="s">
        <v>98</v>
      </c>
      <c r="N1687" s="244" t="s">
        <v>276</v>
      </c>
      <c r="O1687" s="245" t="s">
        <v>276</v>
      </c>
      <c r="P1687" s="245" t="s">
        <v>236</v>
      </c>
      <c r="Q1687" s="335" t="s">
        <v>276</v>
      </c>
      <c r="R1687" s="245" t="s">
        <v>276</v>
      </c>
      <c r="S1687" s="245" t="s">
        <v>276</v>
      </c>
      <c r="T1687" s="245" t="s">
        <v>98</v>
      </c>
      <c r="U1687" s="340" t="s">
        <v>276</v>
      </c>
      <c r="V1687" s="244" t="s">
        <v>15</v>
      </c>
      <c r="W1687" s="244" t="s">
        <v>9960</v>
      </c>
      <c r="X1687" s="245" t="s">
        <v>209</v>
      </c>
      <c r="Y1687" s="245" t="s">
        <v>98</v>
      </c>
      <c r="Z1687" s="245" t="s">
        <v>98</v>
      </c>
      <c r="AA1687" s="245" t="s">
        <v>276</v>
      </c>
      <c r="AB1687" s="245" t="s">
        <v>98</v>
      </c>
      <c r="AC1687" s="244">
        <v>0</v>
      </c>
      <c r="AD1687" s="244" t="s">
        <v>5574</v>
      </c>
      <c r="AE1687" s="244" t="s">
        <v>98</v>
      </c>
      <c r="AF1687" s="244" t="s">
        <v>98</v>
      </c>
      <c r="AG1687" s="245" t="s">
        <v>10183</v>
      </c>
      <c r="AH1687" s="245" t="s">
        <v>10185</v>
      </c>
      <c r="AI1687" s="250">
        <f>137+155+8+38</f>
        <v>338</v>
      </c>
      <c r="AJ1687" s="250" t="s">
        <v>98</v>
      </c>
      <c r="AK1687" s="250">
        <f>137+155+8+38+92+31+41+21</f>
        <v>523</v>
      </c>
      <c r="AL1687" s="250" t="s">
        <v>98</v>
      </c>
      <c r="AM1687" s="250" t="s">
        <v>292</v>
      </c>
      <c r="AN1687" s="244" t="s">
        <v>276</v>
      </c>
      <c r="AO1687" s="251">
        <f t="shared" si="472"/>
        <v>64.627151051625233</v>
      </c>
      <c r="AP1687" s="244" t="s">
        <v>276</v>
      </c>
      <c r="AQ1687" s="244" t="s">
        <v>276</v>
      </c>
      <c r="AR1687" s="244" t="s">
        <v>98</v>
      </c>
      <c r="AS1687" s="244" t="s">
        <v>98</v>
      </c>
      <c r="AT1687" s="244" t="s">
        <v>98</v>
      </c>
      <c r="AU1687" s="244" t="s">
        <v>98</v>
      </c>
      <c r="AV1687" s="244" t="s">
        <v>98</v>
      </c>
      <c r="AW1687" s="244" t="s">
        <v>98</v>
      </c>
      <c r="AX1687" s="244" t="s">
        <v>98</v>
      </c>
      <c r="AY1687" s="244" t="s">
        <v>98</v>
      </c>
      <c r="AZ1687" s="244" t="s">
        <v>98</v>
      </c>
      <c r="BA1687" s="244" t="s">
        <v>98</v>
      </c>
      <c r="BB1687" s="244" t="s">
        <v>98</v>
      </c>
      <c r="BC1687" s="244" t="s">
        <v>98</v>
      </c>
      <c r="BD1687" s="244" t="s">
        <v>98</v>
      </c>
      <c r="BE1687" s="244" t="s">
        <v>98</v>
      </c>
      <c r="BF1687" s="245" t="s">
        <v>3863</v>
      </c>
      <c r="BG1687" s="245"/>
      <c r="BH1687" s="9" t="s">
        <v>100</v>
      </c>
      <c r="BI1687" s="9" t="s">
        <v>100</v>
      </c>
      <c r="BJ1687" s="276"/>
      <c r="BN1687" s="276"/>
      <c r="BO1687" s="276"/>
    </row>
    <row r="1688" spans="1:67" s="277" customFormat="1" ht="78" hidden="1" x14ac:dyDescent="0.35">
      <c r="A1688" s="244">
        <v>4164</v>
      </c>
      <c r="B1688" s="244" t="s">
        <v>10181</v>
      </c>
      <c r="C1688" s="245" t="s">
        <v>9266</v>
      </c>
      <c r="D1688" s="245" t="s">
        <v>10186</v>
      </c>
      <c r="E1688" s="244" t="s">
        <v>35</v>
      </c>
      <c r="F1688" s="244" t="s">
        <v>97</v>
      </c>
      <c r="G1688" s="244" t="s">
        <v>225</v>
      </c>
      <c r="H1688" s="244" t="s">
        <v>225</v>
      </c>
      <c r="I1688" s="244" t="s">
        <v>114</v>
      </c>
      <c r="J1688" s="245" t="s">
        <v>27</v>
      </c>
      <c r="K1688" s="244">
        <v>3</v>
      </c>
      <c r="L1688" s="244" t="s">
        <v>98</v>
      </c>
      <c r="M1688" s="244" t="s">
        <v>98</v>
      </c>
      <c r="N1688" s="245" t="s">
        <v>10187</v>
      </c>
      <c r="O1688" s="245" t="s">
        <v>276</v>
      </c>
      <c r="P1688" s="245" t="s">
        <v>237</v>
      </c>
      <c r="Q1688" s="335" t="s">
        <v>276</v>
      </c>
      <c r="R1688" s="245" t="s">
        <v>276</v>
      </c>
      <c r="S1688" s="245" t="s">
        <v>276</v>
      </c>
      <c r="T1688" s="245" t="s">
        <v>98</v>
      </c>
      <c r="U1688" s="340" t="s">
        <v>276</v>
      </c>
      <c r="V1688" s="244" t="s">
        <v>15</v>
      </c>
      <c r="W1688" s="244" t="s">
        <v>9960</v>
      </c>
      <c r="X1688" s="245" t="s">
        <v>209</v>
      </c>
      <c r="Y1688" s="245" t="s">
        <v>98</v>
      </c>
      <c r="Z1688" s="245" t="s">
        <v>98</v>
      </c>
      <c r="AA1688" s="245" t="s">
        <v>276</v>
      </c>
      <c r="AB1688" s="245" t="s">
        <v>98</v>
      </c>
      <c r="AC1688" s="244">
        <v>108</v>
      </c>
      <c r="AD1688" s="244" t="s">
        <v>3850</v>
      </c>
      <c r="AE1688" s="244" t="s">
        <v>98</v>
      </c>
      <c r="AF1688" s="244" t="s">
        <v>98</v>
      </c>
      <c r="AG1688" s="245" t="s">
        <v>10188</v>
      </c>
      <c r="AH1688" s="245" t="s">
        <v>10189</v>
      </c>
      <c r="AI1688" s="250">
        <f>39+54</f>
        <v>93</v>
      </c>
      <c r="AJ1688" s="250" t="s">
        <v>98</v>
      </c>
      <c r="AK1688" s="274">
        <v>163</v>
      </c>
      <c r="AL1688" s="250" t="s">
        <v>98</v>
      </c>
      <c r="AM1688" s="250" t="s">
        <v>292</v>
      </c>
      <c r="AN1688" s="244" t="s">
        <v>276</v>
      </c>
      <c r="AO1688" s="251">
        <f t="shared" si="472"/>
        <v>57.055214723926383</v>
      </c>
      <c r="AP1688" s="244" t="s">
        <v>276</v>
      </c>
      <c r="AQ1688" s="244" t="s">
        <v>276</v>
      </c>
      <c r="AR1688" s="244" t="s">
        <v>98</v>
      </c>
      <c r="AS1688" s="244" t="s">
        <v>98</v>
      </c>
      <c r="AT1688" s="244" t="s">
        <v>98</v>
      </c>
      <c r="AU1688" s="244" t="s">
        <v>98</v>
      </c>
      <c r="AV1688" s="244" t="s">
        <v>98</v>
      </c>
      <c r="AW1688" s="244" t="s">
        <v>98</v>
      </c>
      <c r="AX1688" s="244" t="s">
        <v>98</v>
      </c>
      <c r="AY1688" s="244" t="s">
        <v>98</v>
      </c>
      <c r="AZ1688" s="244" t="s">
        <v>98</v>
      </c>
      <c r="BA1688" s="244" t="s">
        <v>98</v>
      </c>
      <c r="BB1688" s="244" t="s">
        <v>98</v>
      </c>
      <c r="BC1688" s="244" t="s">
        <v>98</v>
      </c>
      <c r="BD1688" s="244" t="s">
        <v>98</v>
      </c>
      <c r="BE1688" s="244" t="s">
        <v>98</v>
      </c>
      <c r="BF1688" s="245" t="s">
        <v>3863</v>
      </c>
      <c r="BG1688" s="245"/>
      <c r="BH1688" s="9" t="s">
        <v>100</v>
      </c>
      <c r="BI1688" s="9" t="s">
        <v>100</v>
      </c>
      <c r="BJ1688" s="276"/>
      <c r="BN1688" s="276"/>
      <c r="BO1688" s="276"/>
    </row>
    <row r="1689" spans="1:67" s="285" customFormat="1" ht="78" hidden="1" x14ac:dyDescent="0.35">
      <c r="A1689" s="254">
        <v>4164</v>
      </c>
      <c r="B1689" s="254" t="s">
        <v>10181</v>
      </c>
      <c r="C1689" s="255" t="s">
        <v>62</v>
      </c>
      <c r="D1689" s="255" t="s">
        <v>10190</v>
      </c>
      <c r="E1689" s="254" t="s">
        <v>35</v>
      </c>
      <c r="F1689" s="254" t="s">
        <v>97</v>
      </c>
      <c r="G1689" s="254" t="s">
        <v>225</v>
      </c>
      <c r="H1689" s="254" t="s">
        <v>125</v>
      </c>
      <c r="I1689" s="254" t="s">
        <v>114</v>
      </c>
      <c r="J1689" s="255" t="s">
        <v>31</v>
      </c>
      <c r="K1689" s="254" t="s">
        <v>3801</v>
      </c>
      <c r="L1689" s="254" t="s">
        <v>276</v>
      </c>
      <c r="M1689" s="254" t="s">
        <v>276</v>
      </c>
      <c r="N1689" s="255" t="s">
        <v>10191</v>
      </c>
      <c r="O1689" s="255" t="s">
        <v>276</v>
      </c>
      <c r="P1689" s="255" t="s">
        <v>239</v>
      </c>
      <c r="Q1689" s="343" t="s">
        <v>10192</v>
      </c>
      <c r="R1689" s="255" t="s">
        <v>98</v>
      </c>
      <c r="S1689" s="255" t="s">
        <v>276</v>
      </c>
      <c r="T1689" s="255" t="s">
        <v>276</v>
      </c>
      <c r="U1689" s="341" t="s">
        <v>276</v>
      </c>
      <c r="V1689" s="254" t="s">
        <v>15</v>
      </c>
      <c r="W1689" s="254" t="s">
        <v>9960</v>
      </c>
      <c r="X1689" s="255" t="s">
        <v>207</v>
      </c>
      <c r="Y1689" s="282">
        <v>66741</v>
      </c>
      <c r="Z1689" s="260">
        <v>48678</v>
      </c>
      <c r="AA1689" s="255" t="s">
        <v>276</v>
      </c>
      <c r="AB1689" s="255" t="s">
        <v>276</v>
      </c>
      <c r="AC1689" s="254">
        <v>2</v>
      </c>
      <c r="AD1689" s="254" t="s">
        <v>3921</v>
      </c>
      <c r="AE1689" s="254">
        <v>2</v>
      </c>
      <c r="AF1689" s="254" t="s">
        <v>3921</v>
      </c>
      <c r="AG1689" s="255" t="s">
        <v>10193</v>
      </c>
      <c r="AH1689" s="255" t="s">
        <v>10094</v>
      </c>
      <c r="AI1689" s="260">
        <v>201</v>
      </c>
      <c r="AJ1689" s="260">
        <v>42</v>
      </c>
      <c r="AK1689" s="282">
        <v>66741</v>
      </c>
      <c r="AL1689" s="260">
        <v>48678</v>
      </c>
      <c r="AM1689" s="260" t="s">
        <v>281</v>
      </c>
      <c r="AN1689" s="254" t="s">
        <v>276</v>
      </c>
      <c r="AO1689" s="261">
        <f t="shared" ref="AO1689:AO1700" si="473">AI1689*1000/AK1689</f>
        <v>3.011642019148649</v>
      </c>
      <c r="AP1689" s="254" t="s">
        <v>276</v>
      </c>
      <c r="AQ1689" s="254" t="s">
        <v>276</v>
      </c>
      <c r="AR1689" s="254" t="s">
        <v>276</v>
      </c>
      <c r="AS1689" s="261">
        <f t="shared" ref="AS1689:AS1699" si="474">AJ1689*1000/AL1689</f>
        <v>0.86281276962899056</v>
      </c>
      <c r="AT1689" s="254" t="s">
        <v>276</v>
      </c>
      <c r="AU1689" s="254" t="s">
        <v>276</v>
      </c>
      <c r="AV1689" s="254" t="s">
        <v>268</v>
      </c>
      <c r="AW1689" s="254" t="s">
        <v>276</v>
      </c>
      <c r="AX1689" s="262">
        <f t="shared" ref="AX1689:AX1699" si="475">AO1689/AS1689</f>
        <v>3.4904931001932842</v>
      </c>
      <c r="AY1689" s="254" t="s">
        <v>276</v>
      </c>
      <c r="AZ1689" s="254" t="s">
        <v>276</v>
      </c>
      <c r="BA1689" s="254" t="s">
        <v>276</v>
      </c>
      <c r="BB1689" s="254" t="s">
        <v>282</v>
      </c>
      <c r="BC1689" s="254" t="s">
        <v>98</v>
      </c>
      <c r="BD1689" s="254" t="s">
        <v>98</v>
      </c>
      <c r="BE1689" s="254" t="s">
        <v>98</v>
      </c>
      <c r="BF1689" s="255" t="s">
        <v>3863</v>
      </c>
      <c r="BG1689" s="255"/>
      <c r="BH1689" s="9" t="s">
        <v>100</v>
      </c>
      <c r="BI1689" s="9" t="s">
        <v>100</v>
      </c>
      <c r="BJ1689" s="284"/>
      <c r="BN1689" s="284"/>
      <c r="BO1689" s="284"/>
    </row>
    <row r="1690" spans="1:67" s="285" customFormat="1" ht="78" hidden="1" x14ac:dyDescent="0.35">
      <c r="A1690" s="254">
        <v>4164</v>
      </c>
      <c r="B1690" s="254" t="s">
        <v>10181</v>
      </c>
      <c r="C1690" s="255" t="s">
        <v>62</v>
      </c>
      <c r="D1690" s="255" t="s">
        <v>10194</v>
      </c>
      <c r="E1690" s="254" t="s">
        <v>35</v>
      </c>
      <c r="F1690" s="254" t="s">
        <v>97</v>
      </c>
      <c r="G1690" s="254" t="s">
        <v>225</v>
      </c>
      <c r="H1690" s="254" t="s">
        <v>125</v>
      </c>
      <c r="I1690" s="254" t="s">
        <v>114</v>
      </c>
      <c r="J1690" s="255" t="s">
        <v>31</v>
      </c>
      <c r="K1690" s="254" t="s">
        <v>3805</v>
      </c>
      <c r="L1690" s="254" t="s">
        <v>276</v>
      </c>
      <c r="M1690" s="254" t="s">
        <v>276</v>
      </c>
      <c r="N1690" s="255" t="s">
        <v>10191</v>
      </c>
      <c r="O1690" s="255" t="s">
        <v>276</v>
      </c>
      <c r="P1690" s="255" t="s">
        <v>239</v>
      </c>
      <c r="Q1690" s="343" t="s">
        <v>10192</v>
      </c>
      <c r="R1690" s="255" t="s">
        <v>98</v>
      </c>
      <c r="S1690" s="255" t="s">
        <v>276</v>
      </c>
      <c r="T1690" s="255" t="s">
        <v>276</v>
      </c>
      <c r="U1690" s="341" t="s">
        <v>276</v>
      </c>
      <c r="V1690" s="254" t="s">
        <v>15</v>
      </c>
      <c r="W1690" s="254" t="s">
        <v>9960</v>
      </c>
      <c r="X1690" s="255" t="s">
        <v>207</v>
      </c>
      <c r="Y1690" s="282">
        <v>66741</v>
      </c>
      <c r="Z1690" s="260">
        <v>48678</v>
      </c>
      <c r="AA1690" s="255" t="s">
        <v>276</v>
      </c>
      <c r="AB1690" s="255" t="s">
        <v>276</v>
      </c>
      <c r="AC1690" s="254">
        <v>2</v>
      </c>
      <c r="AD1690" s="254" t="s">
        <v>3921</v>
      </c>
      <c r="AE1690" s="254">
        <v>2</v>
      </c>
      <c r="AF1690" s="254" t="s">
        <v>3921</v>
      </c>
      <c r="AG1690" s="255" t="s">
        <v>10195</v>
      </c>
      <c r="AH1690" s="255" t="s">
        <v>10094</v>
      </c>
      <c r="AI1690" s="260">
        <v>242</v>
      </c>
      <c r="AJ1690" s="260">
        <v>91</v>
      </c>
      <c r="AK1690" s="282">
        <v>66741</v>
      </c>
      <c r="AL1690" s="260">
        <v>48678</v>
      </c>
      <c r="AM1690" s="260" t="s">
        <v>281</v>
      </c>
      <c r="AN1690" s="254" t="s">
        <v>276</v>
      </c>
      <c r="AO1690" s="261">
        <f t="shared" si="473"/>
        <v>3.6259570578804632</v>
      </c>
      <c r="AP1690" s="254" t="s">
        <v>276</v>
      </c>
      <c r="AQ1690" s="254" t="s">
        <v>276</v>
      </c>
      <c r="AR1690" s="254" t="s">
        <v>276</v>
      </c>
      <c r="AS1690" s="261">
        <f t="shared" si="474"/>
        <v>1.8694276675294794</v>
      </c>
      <c r="AT1690" s="254" t="s">
        <v>276</v>
      </c>
      <c r="AU1690" s="254" t="s">
        <v>276</v>
      </c>
      <c r="AV1690" s="254" t="s">
        <v>268</v>
      </c>
      <c r="AW1690" s="254" t="s">
        <v>276</v>
      </c>
      <c r="AX1690" s="262">
        <f t="shared" si="475"/>
        <v>1.9396081061923647</v>
      </c>
      <c r="AY1690" s="254" t="s">
        <v>276</v>
      </c>
      <c r="AZ1690" s="254" t="s">
        <v>276</v>
      </c>
      <c r="BA1690" s="254" t="s">
        <v>276</v>
      </c>
      <c r="BB1690" s="254" t="s">
        <v>282</v>
      </c>
      <c r="BC1690" s="254" t="s">
        <v>98</v>
      </c>
      <c r="BD1690" s="254" t="s">
        <v>98</v>
      </c>
      <c r="BE1690" s="254" t="s">
        <v>98</v>
      </c>
      <c r="BF1690" s="255" t="s">
        <v>3863</v>
      </c>
      <c r="BG1690" s="255"/>
      <c r="BH1690" s="9" t="s">
        <v>100</v>
      </c>
      <c r="BI1690" s="9" t="s">
        <v>100</v>
      </c>
      <c r="BJ1690" s="284"/>
      <c r="BN1690" s="284"/>
      <c r="BO1690" s="284"/>
    </row>
    <row r="1691" spans="1:67" s="285" customFormat="1" ht="78" hidden="1" x14ac:dyDescent="0.35">
      <c r="A1691" s="254">
        <v>4164</v>
      </c>
      <c r="B1691" s="254" t="s">
        <v>10181</v>
      </c>
      <c r="C1691" s="255" t="s">
        <v>62</v>
      </c>
      <c r="D1691" s="255" t="s">
        <v>10196</v>
      </c>
      <c r="E1691" s="254" t="s">
        <v>35</v>
      </c>
      <c r="F1691" s="254" t="s">
        <v>97</v>
      </c>
      <c r="G1691" s="254" t="s">
        <v>225</v>
      </c>
      <c r="H1691" s="254" t="s">
        <v>125</v>
      </c>
      <c r="I1691" s="254" t="s">
        <v>114</v>
      </c>
      <c r="J1691" s="255" t="s">
        <v>31</v>
      </c>
      <c r="K1691" s="254" t="s">
        <v>3808</v>
      </c>
      <c r="L1691" s="254" t="s">
        <v>276</v>
      </c>
      <c r="M1691" s="254" t="s">
        <v>276</v>
      </c>
      <c r="N1691" s="255" t="s">
        <v>10191</v>
      </c>
      <c r="O1691" s="255" t="s">
        <v>276</v>
      </c>
      <c r="P1691" s="255" t="s">
        <v>239</v>
      </c>
      <c r="Q1691" s="343" t="s">
        <v>10192</v>
      </c>
      <c r="R1691" s="255" t="s">
        <v>98</v>
      </c>
      <c r="S1691" s="255" t="s">
        <v>276</v>
      </c>
      <c r="T1691" s="255" t="s">
        <v>276</v>
      </c>
      <c r="U1691" s="341" t="s">
        <v>276</v>
      </c>
      <c r="V1691" s="254" t="s">
        <v>15</v>
      </c>
      <c r="W1691" s="254" t="s">
        <v>9960</v>
      </c>
      <c r="X1691" s="255" t="s">
        <v>207</v>
      </c>
      <c r="Y1691" s="282">
        <v>66741</v>
      </c>
      <c r="Z1691" s="260">
        <v>48678</v>
      </c>
      <c r="AA1691" s="255" t="s">
        <v>276</v>
      </c>
      <c r="AB1691" s="255" t="s">
        <v>276</v>
      </c>
      <c r="AC1691" s="254">
        <v>2</v>
      </c>
      <c r="AD1691" s="254" t="s">
        <v>3921</v>
      </c>
      <c r="AE1691" s="254">
        <v>2</v>
      </c>
      <c r="AF1691" s="254" t="s">
        <v>3921</v>
      </c>
      <c r="AG1691" s="255" t="s">
        <v>10197</v>
      </c>
      <c r="AH1691" s="255" t="s">
        <v>10094</v>
      </c>
      <c r="AI1691" s="260">
        <v>200</v>
      </c>
      <c r="AJ1691" s="260">
        <v>116</v>
      </c>
      <c r="AK1691" s="282">
        <v>66741</v>
      </c>
      <c r="AL1691" s="260">
        <v>48678</v>
      </c>
      <c r="AM1691" s="260" t="s">
        <v>281</v>
      </c>
      <c r="AN1691" s="254" t="s">
        <v>276</v>
      </c>
      <c r="AO1691" s="261">
        <f t="shared" si="473"/>
        <v>2.9966587255210442</v>
      </c>
      <c r="AP1691" s="254" t="s">
        <v>276</v>
      </c>
      <c r="AQ1691" s="254" t="s">
        <v>276</v>
      </c>
      <c r="AR1691" s="254" t="s">
        <v>276</v>
      </c>
      <c r="AS1691" s="261">
        <f t="shared" si="474"/>
        <v>2.3830066970705452</v>
      </c>
      <c r="AT1691" s="254" t="s">
        <v>276</v>
      </c>
      <c r="AU1691" s="254" t="s">
        <v>276</v>
      </c>
      <c r="AV1691" s="254" t="s">
        <v>268</v>
      </c>
      <c r="AW1691" s="254" t="s">
        <v>276</v>
      </c>
      <c r="AX1691" s="262">
        <f t="shared" si="475"/>
        <v>1.257511667594081</v>
      </c>
      <c r="AY1691" s="254" t="s">
        <v>276</v>
      </c>
      <c r="AZ1691" s="254" t="s">
        <v>276</v>
      </c>
      <c r="BA1691" s="254" t="s">
        <v>276</v>
      </c>
      <c r="BB1691" s="254" t="s">
        <v>282</v>
      </c>
      <c r="BC1691" s="254" t="s">
        <v>98</v>
      </c>
      <c r="BD1691" s="254" t="s">
        <v>98</v>
      </c>
      <c r="BE1691" s="254" t="s">
        <v>98</v>
      </c>
      <c r="BF1691" s="255" t="s">
        <v>3863</v>
      </c>
      <c r="BG1691" s="255"/>
      <c r="BH1691" s="9" t="s">
        <v>100</v>
      </c>
      <c r="BI1691" s="9" t="s">
        <v>100</v>
      </c>
      <c r="BJ1691" s="284"/>
      <c r="BN1691" s="284"/>
      <c r="BO1691" s="284"/>
    </row>
    <row r="1692" spans="1:67" s="285" customFormat="1" ht="78" hidden="1" x14ac:dyDescent="0.35">
      <c r="A1692" s="254">
        <v>4164</v>
      </c>
      <c r="B1692" s="254" t="s">
        <v>10181</v>
      </c>
      <c r="C1692" s="255" t="s">
        <v>62</v>
      </c>
      <c r="D1692" s="255" t="s">
        <v>10198</v>
      </c>
      <c r="E1692" s="254" t="s">
        <v>35</v>
      </c>
      <c r="F1692" s="254" t="s">
        <v>97</v>
      </c>
      <c r="G1692" s="254" t="s">
        <v>225</v>
      </c>
      <c r="H1692" s="254" t="s">
        <v>125</v>
      </c>
      <c r="I1692" s="254" t="s">
        <v>114</v>
      </c>
      <c r="J1692" s="255" t="s">
        <v>31</v>
      </c>
      <c r="K1692" s="254" t="s">
        <v>3811</v>
      </c>
      <c r="L1692" s="254" t="s">
        <v>276</v>
      </c>
      <c r="M1692" s="254" t="s">
        <v>276</v>
      </c>
      <c r="N1692" s="255" t="s">
        <v>10191</v>
      </c>
      <c r="O1692" s="255" t="s">
        <v>276</v>
      </c>
      <c r="P1692" s="255" t="s">
        <v>239</v>
      </c>
      <c r="Q1692" s="343" t="s">
        <v>10192</v>
      </c>
      <c r="R1692" s="255" t="s">
        <v>98</v>
      </c>
      <c r="S1692" s="255" t="s">
        <v>276</v>
      </c>
      <c r="T1692" s="255" t="s">
        <v>276</v>
      </c>
      <c r="U1692" s="341" t="s">
        <v>276</v>
      </c>
      <c r="V1692" s="254" t="s">
        <v>15</v>
      </c>
      <c r="W1692" s="254" t="s">
        <v>9960</v>
      </c>
      <c r="X1692" s="255" t="s">
        <v>207</v>
      </c>
      <c r="Y1692" s="282">
        <v>66741</v>
      </c>
      <c r="Z1692" s="260">
        <v>48678</v>
      </c>
      <c r="AA1692" s="255" t="s">
        <v>276</v>
      </c>
      <c r="AB1692" s="255" t="s">
        <v>276</v>
      </c>
      <c r="AC1692" s="254">
        <v>2</v>
      </c>
      <c r="AD1692" s="254" t="s">
        <v>3921</v>
      </c>
      <c r="AE1692" s="254">
        <v>2</v>
      </c>
      <c r="AF1692" s="254" t="s">
        <v>3921</v>
      </c>
      <c r="AG1692" s="255" t="s">
        <v>10199</v>
      </c>
      <c r="AH1692" s="255" t="s">
        <v>10094</v>
      </c>
      <c r="AI1692" s="260">
        <v>203</v>
      </c>
      <c r="AJ1692" s="260">
        <v>171</v>
      </c>
      <c r="AK1692" s="282">
        <v>66741</v>
      </c>
      <c r="AL1692" s="260">
        <v>48678</v>
      </c>
      <c r="AM1692" s="260" t="s">
        <v>281</v>
      </c>
      <c r="AN1692" s="254" t="s">
        <v>276</v>
      </c>
      <c r="AO1692" s="261">
        <f t="shared" si="473"/>
        <v>3.0416086064038597</v>
      </c>
      <c r="AP1692" s="254" t="s">
        <v>276</v>
      </c>
      <c r="AQ1692" s="254" t="s">
        <v>276</v>
      </c>
      <c r="AR1692" s="254" t="s">
        <v>276</v>
      </c>
      <c r="AS1692" s="261">
        <f t="shared" si="474"/>
        <v>3.5128805620608898</v>
      </c>
      <c r="AT1692" s="254" t="s">
        <v>276</v>
      </c>
      <c r="AU1692" s="254" t="s">
        <v>276</v>
      </c>
      <c r="AV1692" s="254" t="s">
        <v>268</v>
      </c>
      <c r="AW1692" s="254" t="s">
        <v>276</v>
      </c>
      <c r="AX1692" s="262">
        <f t="shared" si="475"/>
        <v>0.8658445832896321</v>
      </c>
      <c r="AY1692" s="254" t="s">
        <v>276</v>
      </c>
      <c r="AZ1692" s="254" t="s">
        <v>276</v>
      </c>
      <c r="BA1692" s="254" t="s">
        <v>276</v>
      </c>
      <c r="BB1692" s="254" t="s">
        <v>282</v>
      </c>
      <c r="BC1692" s="254" t="s">
        <v>98</v>
      </c>
      <c r="BD1692" s="254" t="s">
        <v>98</v>
      </c>
      <c r="BE1692" s="254" t="s">
        <v>98</v>
      </c>
      <c r="BF1692" s="255" t="s">
        <v>3863</v>
      </c>
      <c r="BG1692" s="255"/>
      <c r="BH1692" s="9" t="s">
        <v>100</v>
      </c>
      <c r="BI1692" s="9" t="s">
        <v>100</v>
      </c>
      <c r="BJ1692" s="284"/>
      <c r="BN1692" s="284"/>
      <c r="BO1692" s="284"/>
    </row>
    <row r="1693" spans="1:67" s="285" customFormat="1" ht="78" hidden="1" x14ac:dyDescent="0.35">
      <c r="A1693" s="254">
        <v>4164</v>
      </c>
      <c r="B1693" s="254" t="s">
        <v>10181</v>
      </c>
      <c r="C1693" s="255" t="s">
        <v>62</v>
      </c>
      <c r="D1693" s="255" t="s">
        <v>10200</v>
      </c>
      <c r="E1693" s="254" t="s">
        <v>35</v>
      </c>
      <c r="F1693" s="254" t="s">
        <v>97</v>
      </c>
      <c r="G1693" s="254" t="s">
        <v>225</v>
      </c>
      <c r="H1693" s="254" t="s">
        <v>125</v>
      </c>
      <c r="I1693" s="254" t="s">
        <v>114</v>
      </c>
      <c r="J1693" s="255" t="s">
        <v>31</v>
      </c>
      <c r="K1693" s="254" t="s">
        <v>3814</v>
      </c>
      <c r="L1693" s="254" t="s">
        <v>276</v>
      </c>
      <c r="M1693" s="254" t="s">
        <v>276</v>
      </c>
      <c r="N1693" s="255" t="s">
        <v>10191</v>
      </c>
      <c r="O1693" s="255" t="s">
        <v>276</v>
      </c>
      <c r="P1693" s="255" t="s">
        <v>239</v>
      </c>
      <c r="Q1693" s="343" t="s">
        <v>10192</v>
      </c>
      <c r="R1693" s="255" t="s">
        <v>98</v>
      </c>
      <c r="S1693" s="255" t="s">
        <v>276</v>
      </c>
      <c r="T1693" s="255" t="s">
        <v>276</v>
      </c>
      <c r="U1693" s="341" t="s">
        <v>276</v>
      </c>
      <c r="V1693" s="254" t="s">
        <v>15</v>
      </c>
      <c r="W1693" s="254" t="s">
        <v>9960</v>
      </c>
      <c r="X1693" s="255" t="s">
        <v>207</v>
      </c>
      <c r="Y1693" s="282">
        <v>66741</v>
      </c>
      <c r="Z1693" s="260">
        <v>48678</v>
      </c>
      <c r="AA1693" s="255" t="s">
        <v>276</v>
      </c>
      <c r="AB1693" s="255" t="s">
        <v>276</v>
      </c>
      <c r="AC1693" s="254">
        <v>2</v>
      </c>
      <c r="AD1693" s="254" t="s">
        <v>3921</v>
      </c>
      <c r="AE1693" s="254">
        <v>2</v>
      </c>
      <c r="AF1693" s="254" t="s">
        <v>3921</v>
      </c>
      <c r="AG1693" s="255" t="s">
        <v>10201</v>
      </c>
      <c r="AH1693" s="255" t="s">
        <v>10094</v>
      </c>
      <c r="AI1693" s="260">
        <v>92</v>
      </c>
      <c r="AJ1693" s="260">
        <v>118</v>
      </c>
      <c r="AK1693" s="282">
        <v>66741</v>
      </c>
      <c r="AL1693" s="260">
        <v>48678</v>
      </c>
      <c r="AM1693" s="260" t="s">
        <v>281</v>
      </c>
      <c r="AN1693" s="254" t="s">
        <v>276</v>
      </c>
      <c r="AO1693" s="261">
        <f t="shared" si="473"/>
        <v>1.3784630137396803</v>
      </c>
      <c r="AP1693" s="254" t="s">
        <v>276</v>
      </c>
      <c r="AQ1693" s="254" t="s">
        <v>276</v>
      </c>
      <c r="AR1693" s="254" t="s">
        <v>276</v>
      </c>
      <c r="AS1693" s="261">
        <f t="shared" si="474"/>
        <v>2.4240930194338306</v>
      </c>
      <c r="AT1693" s="254" t="s">
        <v>276</v>
      </c>
      <c r="AU1693" s="254" t="s">
        <v>276</v>
      </c>
      <c r="AV1693" s="254" t="s">
        <v>268</v>
      </c>
      <c r="AW1693" s="254" t="s">
        <v>276</v>
      </c>
      <c r="AX1693" s="262">
        <f t="shared" si="475"/>
        <v>0.56865103883745893</v>
      </c>
      <c r="AY1693" s="254" t="s">
        <v>276</v>
      </c>
      <c r="AZ1693" s="254" t="s">
        <v>276</v>
      </c>
      <c r="BA1693" s="254" t="s">
        <v>276</v>
      </c>
      <c r="BB1693" s="254" t="s">
        <v>282</v>
      </c>
      <c r="BC1693" s="254" t="s">
        <v>98</v>
      </c>
      <c r="BD1693" s="254" t="s">
        <v>98</v>
      </c>
      <c r="BE1693" s="254" t="s">
        <v>98</v>
      </c>
      <c r="BF1693" s="255" t="s">
        <v>3863</v>
      </c>
      <c r="BG1693" s="255"/>
      <c r="BH1693" s="9" t="s">
        <v>100</v>
      </c>
      <c r="BI1693" s="9" t="s">
        <v>100</v>
      </c>
      <c r="BJ1693" s="284"/>
      <c r="BN1693" s="284"/>
      <c r="BO1693" s="284"/>
    </row>
    <row r="1694" spans="1:67" s="285" customFormat="1" ht="78" hidden="1" x14ac:dyDescent="0.35">
      <c r="A1694" s="254">
        <v>4164</v>
      </c>
      <c r="B1694" s="254" t="s">
        <v>10181</v>
      </c>
      <c r="C1694" s="255" t="s">
        <v>62</v>
      </c>
      <c r="D1694" s="255" t="s">
        <v>10202</v>
      </c>
      <c r="E1694" s="254" t="s">
        <v>35</v>
      </c>
      <c r="F1694" s="254" t="s">
        <v>97</v>
      </c>
      <c r="G1694" s="254" t="s">
        <v>225</v>
      </c>
      <c r="H1694" s="254" t="s">
        <v>125</v>
      </c>
      <c r="I1694" s="254" t="s">
        <v>114</v>
      </c>
      <c r="J1694" s="255" t="s">
        <v>31</v>
      </c>
      <c r="K1694" s="254" t="s">
        <v>10203</v>
      </c>
      <c r="L1694" s="254" t="s">
        <v>276</v>
      </c>
      <c r="M1694" s="254" t="s">
        <v>276</v>
      </c>
      <c r="N1694" s="255" t="s">
        <v>10191</v>
      </c>
      <c r="O1694" s="255" t="s">
        <v>276</v>
      </c>
      <c r="P1694" s="255" t="s">
        <v>239</v>
      </c>
      <c r="Q1694" s="343" t="s">
        <v>10192</v>
      </c>
      <c r="R1694" s="255" t="s">
        <v>98</v>
      </c>
      <c r="S1694" s="255" t="s">
        <v>276</v>
      </c>
      <c r="T1694" s="255" t="s">
        <v>276</v>
      </c>
      <c r="U1694" s="341" t="s">
        <v>276</v>
      </c>
      <c r="V1694" s="254" t="s">
        <v>15</v>
      </c>
      <c r="W1694" s="254" t="s">
        <v>9960</v>
      </c>
      <c r="X1694" s="255" t="s">
        <v>207</v>
      </c>
      <c r="Y1694" s="282">
        <v>66741</v>
      </c>
      <c r="Z1694" s="260">
        <v>48678</v>
      </c>
      <c r="AA1694" s="255" t="s">
        <v>276</v>
      </c>
      <c r="AB1694" s="255" t="s">
        <v>276</v>
      </c>
      <c r="AC1694" s="254">
        <v>2</v>
      </c>
      <c r="AD1694" s="254" t="s">
        <v>3921</v>
      </c>
      <c r="AE1694" s="254">
        <v>2</v>
      </c>
      <c r="AF1694" s="254" t="s">
        <v>3921</v>
      </c>
      <c r="AG1694" s="255" t="s">
        <v>10204</v>
      </c>
      <c r="AH1694" s="255" t="s">
        <v>10094</v>
      </c>
      <c r="AI1694" s="260">
        <v>50</v>
      </c>
      <c r="AJ1694" s="260">
        <v>52</v>
      </c>
      <c r="AK1694" s="282">
        <v>66741</v>
      </c>
      <c r="AL1694" s="260">
        <v>48678</v>
      </c>
      <c r="AM1694" s="260" t="s">
        <v>281</v>
      </c>
      <c r="AN1694" s="254" t="s">
        <v>276</v>
      </c>
      <c r="AO1694" s="261">
        <f t="shared" si="473"/>
        <v>0.74916468138026104</v>
      </c>
      <c r="AP1694" s="254" t="s">
        <v>276</v>
      </c>
      <c r="AQ1694" s="254" t="s">
        <v>276</v>
      </c>
      <c r="AR1694" s="254" t="s">
        <v>276</v>
      </c>
      <c r="AS1694" s="261">
        <f t="shared" si="474"/>
        <v>1.0682443814454168</v>
      </c>
      <c r="AT1694" s="254" t="s">
        <v>276</v>
      </c>
      <c r="AU1694" s="254" t="s">
        <v>276</v>
      </c>
      <c r="AV1694" s="254" t="s">
        <v>268</v>
      </c>
      <c r="AW1694" s="254" t="s">
        <v>276</v>
      </c>
      <c r="AX1694" s="262">
        <f t="shared" si="475"/>
        <v>0.70130458385054517</v>
      </c>
      <c r="AY1694" s="254" t="s">
        <v>276</v>
      </c>
      <c r="AZ1694" s="254" t="s">
        <v>276</v>
      </c>
      <c r="BA1694" s="254" t="s">
        <v>276</v>
      </c>
      <c r="BB1694" s="254" t="s">
        <v>282</v>
      </c>
      <c r="BC1694" s="254" t="s">
        <v>98</v>
      </c>
      <c r="BD1694" s="254" t="s">
        <v>98</v>
      </c>
      <c r="BE1694" s="254" t="s">
        <v>98</v>
      </c>
      <c r="BF1694" s="255" t="s">
        <v>3863</v>
      </c>
      <c r="BG1694" s="255"/>
      <c r="BH1694" s="9" t="s">
        <v>100</v>
      </c>
      <c r="BI1694" s="9" t="s">
        <v>100</v>
      </c>
      <c r="BJ1694" s="284"/>
      <c r="BN1694" s="284"/>
      <c r="BO1694" s="284"/>
    </row>
    <row r="1695" spans="1:67" s="285" customFormat="1" ht="78" hidden="1" x14ac:dyDescent="0.35">
      <c r="A1695" s="254">
        <v>4164</v>
      </c>
      <c r="B1695" s="254" t="s">
        <v>10181</v>
      </c>
      <c r="C1695" s="255" t="s">
        <v>62</v>
      </c>
      <c r="D1695" s="255" t="s">
        <v>10205</v>
      </c>
      <c r="E1695" s="254" t="s">
        <v>35</v>
      </c>
      <c r="F1695" s="254" t="s">
        <v>97</v>
      </c>
      <c r="G1695" s="254" t="s">
        <v>225</v>
      </c>
      <c r="H1695" s="254" t="s">
        <v>125</v>
      </c>
      <c r="I1695" s="254" t="s">
        <v>114</v>
      </c>
      <c r="J1695" s="255" t="s">
        <v>31</v>
      </c>
      <c r="K1695" s="254" t="s">
        <v>3824</v>
      </c>
      <c r="L1695" s="254" t="s">
        <v>276</v>
      </c>
      <c r="M1695" s="254" t="s">
        <v>276</v>
      </c>
      <c r="N1695" s="255" t="s">
        <v>10191</v>
      </c>
      <c r="O1695" s="255" t="s">
        <v>276</v>
      </c>
      <c r="P1695" s="255" t="s">
        <v>239</v>
      </c>
      <c r="Q1695" s="343" t="s">
        <v>10192</v>
      </c>
      <c r="R1695" s="255" t="s">
        <v>98</v>
      </c>
      <c r="S1695" s="255" t="s">
        <v>276</v>
      </c>
      <c r="T1695" s="255" t="s">
        <v>276</v>
      </c>
      <c r="U1695" s="341" t="s">
        <v>276</v>
      </c>
      <c r="V1695" s="254" t="s">
        <v>15</v>
      </c>
      <c r="W1695" s="254" t="s">
        <v>9960</v>
      </c>
      <c r="X1695" s="255" t="s">
        <v>207</v>
      </c>
      <c r="Y1695" s="282">
        <v>66741</v>
      </c>
      <c r="Z1695" s="260">
        <v>48678</v>
      </c>
      <c r="AA1695" s="255" t="s">
        <v>276</v>
      </c>
      <c r="AB1695" s="255" t="s">
        <v>276</v>
      </c>
      <c r="AC1695" s="254">
        <v>2</v>
      </c>
      <c r="AD1695" s="254" t="s">
        <v>3921</v>
      </c>
      <c r="AE1695" s="254">
        <v>2</v>
      </c>
      <c r="AF1695" s="254" t="s">
        <v>3921</v>
      </c>
      <c r="AG1695" s="255" t="s">
        <v>10206</v>
      </c>
      <c r="AH1695" s="255" t="s">
        <v>10094</v>
      </c>
      <c r="AI1695" s="260">
        <f>201+242+200</f>
        <v>643</v>
      </c>
      <c r="AJ1695" s="260">
        <f>42+91+116</f>
        <v>249</v>
      </c>
      <c r="AK1695" s="282">
        <v>66741</v>
      </c>
      <c r="AL1695" s="260">
        <v>48678</v>
      </c>
      <c r="AM1695" s="260" t="s">
        <v>281</v>
      </c>
      <c r="AN1695" s="254" t="s">
        <v>276</v>
      </c>
      <c r="AO1695" s="261">
        <f t="shared" si="473"/>
        <v>9.634257802550156</v>
      </c>
      <c r="AP1695" s="254" t="s">
        <v>276</v>
      </c>
      <c r="AQ1695" s="254" t="s">
        <v>276</v>
      </c>
      <c r="AR1695" s="254" t="s">
        <v>276</v>
      </c>
      <c r="AS1695" s="261">
        <f t="shared" si="474"/>
        <v>5.1152471342290156</v>
      </c>
      <c r="AT1695" s="254" t="s">
        <v>276</v>
      </c>
      <c r="AU1695" s="254" t="s">
        <v>276</v>
      </c>
      <c r="AV1695" s="254" t="s">
        <v>268</v>
      </c>
      <c r="AW1695" s="254" t="s">
        <v>276</v>
      </c>
      <c r="AX1695" s="262">
        <f t="shared" si="475"/>
        <v>1.8834393627009496</v>
      </c>
      <c r="AY1695" s="254" t="s">
        <v>276</v>
      </c>
      <c r="AZ1695" s="254" t="s">
        <v>276</v>
      </c>
      <c r="BA1695" s="254" t="s">
        <v>276</v>
      </c>
      <c r="BB1695" s="254" t="s">
        <v>282</v>
      </c>
      <c r="BC1695" s="254" t="s">
        <v>98</v>
      </c>
      <c r="BD1695" s="254" t="s">
        <v>98</v>
      </c>
      <c r="BE1695" s="254" t="s">
        <v>98</v>
      </c>
      <c r="BF1695" s="255" t="s">
        <v>3863</v>
      </c>
      <c r="BG1695" s="255"/>
      <c r="BH1695" s="9" t="s">
        <v>100</v>
      </c>
      <c r="BI1695" s="9" t="s">
        <v>100</v>
      </c>
      <c r="BJ1695" s="284"/>
      <c r="BN1695" s="284"/>
      <c r="BO1695" s="284"/>
    </row>
    <row r="1696" spans="1:67" s="285" customFormat="1" ht="78" hidden="1" x14ac:dyDescent="0.35">
      <c r="A1696" s="254">
        <v>4164</v>
      </c>
      <c r="B1696" s="254" t="s">
        <v>10181</v>
      </c>
      <c r="C1696" s="255" t="s">
        <v>62</v>
      </c>
      <c r="D1696" s="255" t="s">
        <v>10207</v>
      </c>
      <c r="E1696" s="254" t="s">
        <v>35</v>
      </c>
      <c r="F1696" s="254" t="s">
        <v>97</v>
      </c>
      <c r="G1696" s="254" t="s">
        <v>225</v>
      </c>
      <c r="H1696" s="254" t="s">
        <v>125</v>
      </c>
      <c r="I1696" s="254" t="s">
        <v>114</v>
      </c>
      <c r="J1696" s="255" t="s">
        <v>31</v>
      </c>
      <c r="K1696" s="254" t="s">
        <v>10208</v>
      </c>
      <c r="L1696" s="254" t="s">
        <v>276</v>
      </c>
      <c r="M1696" s="254" t="s">
        <v>276</v>
      </c>
      <c r="N1696" s="255" t="s">
        <v>10191</v>
      </c>
      <c r="O1696" s="255" t="s">
        <v>276</v>
      </c>
      <c r="P1696" s="255" t="s">
        <v>239</v>
      </c>
      <c r="Q1696" s="343" t="s">
        <v>10192</v>
      </c>
      <c r="R1696" s="255" t="s">
        <v>98</v>
      </c>
      <c r="S1696" s="255" t="s">
        <v>276</v>
      </c>
      <c r="T1696" s="255" t="s">
        <v>276</v>
      </c>
      <c r="U1696" s="341" t="s">
        <v>276</v>
      </c>
      <c r="V1696" s="254" t="s">
        <v>15</v>
      </c>
      <c r="W1696" s="254" t="s">
        <v>9960</v>
      </c>
      <c r="X1696" s="255" t="s">
        <v>207</v>
      </c>
      <c r="Y1696" s="282">
        <v>66741</v>
      </c>
      <c r="Z1696" s="260">
        <v>48678</v>
      </c>
      <c r="AA1696" s="255" t="s">
        <v>276</v>
      </c>
      <c r="AB1696" s="255" t="s">
        <v>276</v>
      </c>
      <c r="AC1696" s="254">
        <v>2</v>
      </c>
      <c r="AD1696" s="254" t="s">
        <v>3921</v>
      </c>
      <c r="AE1696" s="254">
        <v>2</v>
      </c>
      <c r="AF1696" s="254" t="s">
        <v>3921</v>
      </c>
      <c r="AG1696" s="255" t="s">
        <v>10209</v>
      </c>
      <c r="AH1696" s="255" t="s">
        <v>10094</v>
      </c>
      <c r="AI1696" s="260">
        <f>203+92+50</f>
        <v>345</v>
      </c>
      <c r="AJ1696" s="260">
        <f>171+118+52</f>
        <v>341</v>
      </c>
      <c r="AK1696" s="282">
        <v>66741</v>
      </c>
      <c r="AL1696" s="260">
        <v>48678</v>
      </c>
      <c r="AM1696" s="260" t="s">
        <v>281</v>
      </c>
      <c r="AN1696" s="254" t="s">
        <v>276</v>
      </c>
      <c r="AO1696" s="261">
        <f t="shared" si="473"/>
        <v>5.1692363015238012</v>
      </c>
      <c r="AP1696" s="254" t="s">
        <v>276</v>
      </c>
      <c r="AQ1696" s="254" t="s">
        <v>276</v>
      </c>
      <c r="AR1696" s="254" t="s">
        <v>276</v>
      </c>
      <c r="AS1696" s="261">
        <f t="shared" si="474"/>
        <v>7.0052179629401374</v>
      </c>
      <c r="AT1696" s="254" t="s">
        <v>276</v>
      </c>
      <c r="AU1696" s="254" t="s">
        <v>276</v>
      </c>
      <c r="AV1696" s="254" t="s">
        <v>268</v>
      </c>
      <c r="AW1696" s="254" t="s">
        <v>276</v>
      </c>
      <c r="AX1696" s="262">
        <f t="shared" si="475"/>
        <v>0.73791227180520702</v>
      </c>
      <c r="AY1696" s="254" t="s">
        <v>276</v>
      </c>
      <c r="AZ1696" s="254" t="s">
        <v>276</v>
      </c>
      <c r="BA1696" s="254" t="s">
        <v>276</v>
      </c>
      <c r="BB1696" s="254" t="s">
        <v>282</v>
      </c>
      <c r="BC1696" s="254" t="s">
        <v>98</v>
      </c>
      <c r="BD1696" s="254" t="s">
        <v>98</v>
      </c>
      <c r="BE1696" s="254" t="s">
        <v>98</v>
      </c>
      <c r="BF1696" s="255" t="s">
        <v>3863</v>
      </c>
      <c r="BG1696" s="255"/>
      <c r="BH1696" s="9" t="s">
        <v>100</v>
      </c>
      <c r="BI1696" s="9" t="s">
        <v>100</v>
      </c>
      <c r="BJ1696" s="284"/>
      <c r="BN1696" s="284"/>
      <c r="BO1696" s="284"/>
    </row>
    <row r="1697" spans="1:67" s="277" customFormat="1" ht="78" hidden="1" x14ac:dyDescent="0.35">
      <c r="A1697" s="244">
        <v>4164</v>
      </c>
      <c r="B1697" s="244" t="s">
        <v>10181</v>
      </c>
      <c r="C1697" s="245" t="s">
        <v>62</v>
      </c>
      <c r="D1697" s="245" t="s">
        <v>10210</v>
      </c>
      <c r="E1697" s="244" t="s">
        <v>35</v>
      </c>
      <c r="F1697" s="244" t="s">
        <v>97</v>
      </c>
      <c r="G1697" s="244" t="s">
        <v>225</v>
      </c>
      <c r="H1697" s="244" t="s">
        <v>125</v>
      </c>
      <c r="I1697" s="244" t="s">
        <v>114</v>
      </c>
      <c r="J1697" s="245" t="s">
        <v>117</v>
      </c>
      <c r="K1697" s="244" t="s">
        <v>3830</v>
      </c>
      <c r="L1697" s="244" t="s">
        <v>276</v>
      </c>
      <c r="M1697" s="244" t="s">
        <v>276</v>
      </c>
      <c r="N1697" s="245" t="s">
        <v>10211</v>
      </c>
      <c r="O1697" s="245" t="s">
        <v>276</v>
      </c>
      <c r="P1697" s="245" t="s">
        <v>239</v>
      </c>
      <c r="Q1697" s="335" t="s">
        <v>10192</v>
      </c>
      <c r="R1697" s="245" t="s">
        <v>98</v>
      </c>
      <c r="S1697" s="245" t="s">
        <v>276</v>
      </c>
      <c r="T1697" s="245" t="s">
        <v>276</v>
      </c>
      <c r="U1697" s="340" t="s">
        <v>276</v>
      </c>
      <c r="V1697" s="244" t="s">
        <v>15</v>
      </c>
      <c r="W1697" s="244" t="s">
        <v>9960</v>
      </c>
      <c r="X1697" s="245" t="s">
        <v>207</v>
      </c>
      <c r="Y1697" s="274">
        <v>66741</v>
      </c>
      <c r="Z1697" s="250">
        <v>48678</v>
      </c>
      <c r="AA1697" s="245" t="s">
        <v>276</v>
      </c>
      <c r="AB1697" s="245" t="s">
        <v>276</v>
      </c>
      <c r="AC1697" s="244">
        <v>49</v>
      </c>
      <c r="AD1697" s="245" t="s">
        <v>7545</v>
      </c>
      <c r="AE1697" s="244">
        <v>34</v>
      </c>
      <c r="AF1697" s="245" t="s">
        <v>7545</v>
      </c>
      <c r="AG1697" s="245" t="s">
        <v>10212</v>
      </c>
      <c r="AH1697" s="245" t="s">
        <v>10094</v>
      </c>
      <c r="AI1697" s="250">
        <v>670</v>
      </c>
      <c r="AJ1697" s="250">
        <v>304</v>
      </c>
      <c r="AK1697" s="274">
        <v>66741</v>
      </c>
      <c r="AL1697" s="250">
        <v>48678</v>
      </c>
      <c r="AM1697" s="250" t="s">
        <v>281</v>
      </c>
      <c r="AN1697" s="244" t="s">
        <v>276</v>
      </c>
      <c r="AO1697" s="251">
        <f t="shared" si="473"/>
        <v>10.038806730495498</v>
      </c>
      <c r="AP1697" s="244" t="s">
        <v>276</v>
      </c>
      <c r="AQ1697" s="244" t="s">
        <v>276</v>
      </c>
      <c r="AR1697" s="244" t="s">
        <v>276</v>
      </c>
      <c r="AS1697" s="251">
        <f t="shared" si="474"/>
        <v>6.2451209992193597</v>
      </c>
      <c r="AT1697" s="244" t="s">
        <v>276</v>
      </c>
      <c r="AU1697" s="244" t="s">
        <v>276</v>
      </c>
      <c r="AV1697" s="244" t="s">
        <v>268</v>
      </c>
      <c r="AW1697" s="244" t="s">
        <v>276</v>
      </c>
      <c r="AX1697" s="252">
        <f t="shared" si="475"/>
        <v>1.6074639277205918</v>
      </c>
      <c r="AY1697" s="244" t="s">
        <v>276</v>
      </c>
      <c r="AZ1697" s="244" t="s">
        <v>276</v>
      </c>
      <c r="BA1697" s="244" t="s">
        <v>276</v>
      </c>
      <c r="BB1697" s="244" t="s">
        <v>282</v>
      </c>
      <c r="BC1697" s="244" t="s">
        <v>98</v>
      </c>
      <c r="BD1697" s="244" t="s">
        <v>98</v>
      </c>
      <c r="BE1697" s="244" t="s">
        <v>98</v>
      </c>
      <c r="BF1697" s="245" t="s">
        <v>3863</v>
      </c>
      <c r="BG1697" s="245"/>
      <c r="BH1697" s="9" t="s">
        <v>100</v>
      </c>
      <c r="BI1697" s="9" t="s">
        <v>100</v>
      </c>
      <c r="BJ1697" s="276"/>
      <c r="BN1697" s="276"/>
      <c r="BO1697" s="276"/>
    </row>
    <row r="1698" spans="1:67" s="277" customFormat="1" ht="91" hidden="1" x14ac:dyDescent="0.35">
      <c r="A1698" s="244">
        <v>4164</v>
      </c>
      <c r="B1698" s="244" t="s">
        <v>10181</v>
      </c>
      <c r="C1698" s="245" t="s">
        <v>62</v>
      </c>
      <c r="D1698" s="245" t="s">
        <v>10213</v>
      </c>
      <c r="E1698" s="244" t="s">
        <v>35</v>
      </c>
      <c r="F1698" s="244" t="s">
        <v>97</v>
      </c>
      <c r="G1698" s="244" t="s">
        <v>225</v>
      </c>
      <c r="H1698" s="244" t="s">
        <v>125</v>
      </c>
      <c r="I1698" s="244" t="s">
        <v>114</v>
      </c>
      <c r="J1698" s="245" t="s">
        <v>117</v>
      </c>
      <c r="K1698" s="244" t="s">
        <v>3836</v>
      </c>
      <c r="L1698" s="244" t="s">
        <v>276</v>
      </c>
      <c r="M1698" s="244" t="s">
        <v>276</v>
      </c>
      <c r="N1698" s="245" t="s">
        <v>10211</v>
      </c>
      <c r="O1698" s="245" t="s">
        <v>276</v>
      </c>
      <c r="P1698" s="245" t="s">
        <v>239</v>
      </c>
      <c r="Q1698" s="335" t="s">
        <v>10192</v>
      </c>
      <c r="R1698" s="245" t="s">
        <v>98</v>
      </c>
      <c r="S1698" s="245" t="s">
        <v>276</v>
      </c>
      <c r="T1698" s="245" t="s">
        <v>276</v>
      </c>
      <c r="U1698" s="340" t="s">
        <v>276</v>
      </c>
      <c r="V1698" s="244" t="s">
        <v>15</v>
      </c>
      <c r="W1698" s="244" t="s">
        <v>9960</v>
      </c>
      <c r="X1698" s="245" t="s">
        <v>207</v>
      </c>
      <c r="Y1698" s="274">
        <v>66741</v>
      </c>
      <c r="Z1698" s="250">
        <v>48678</v>
      </c>
      <c r="AA1698" s="245" t="s">
        <v>276</v>
      </c>
      <c r="AB1698" s="245" t="s">
        <v>276</v>
      </c>
      <c r="AC1698" s="244">
        <v>49</v>
      </c>
      <c r="AD1698" s="245" t="s">
        <v>7545</v>
      </c>
      <c r="AE1698" s="244">
        <v>34</v>
      </c>
      <c r="AF1698" s="245" t="s">
        <v>7545</v>
      </c>
      <c r="AG1698" s="245" t="s">
        <v>10214</v>
      </c>
      <c r="AH1698" s="245" t="s">
        <v>10094</v>
      </c>
      <c r="AI1698" s="250">
        <v>241</v>
      </c>
      <c r="AJ1698" s="250">
        <v>222</v>
      </c>
      <c r="AK1698" s="274">
        <v>66741</v>
      </c>
      <c r="AL1698" s="250">
        <v>48678</v>
      </c>
      <c r="AM1698" s="250" t="s">
        <v>281</v>
      </c>
      <c r="AN1698" s="244" t="s">
        <v>276</v>
      </c>
      <c r="AO1698" s="251">
        <f t="shared" si="473"/>
        <v>3.6109737642528579</v>
      </c>
      <c r="AP1698" s="244" t="s">
        <v>276</v>
      </c>
      <c r="AQ1698" s="244" t="s">
        <v>276</v>
      </c>
      <c r="AR1698" s="244" t="s">
        <v>276</v>
      </c>
      <c r="AS1698" s="251">
        <f t="shared" si="474"/>
        <v>4.5605817823246637</v>
      </c>
      <c r="AT1698" s="244" t="s">
        <v>276</v>
      </c>
      <c r="AU1698" s="244" t="s">
        <v>276</v>
      </c>
      <c r="AV1698" s="244" t="s">
        <v>268</v>
      </c>
      <c r="AW1698" s="244" t="s">
        <v>276</v>
      </c>
      <c r="AX1698" s="252">
        <f t="shared" si="475"/>
        <v>0.79177919322657941</v>
      </c>
      <c r="AY1698" s="244" t="s">
        <v>276</v>
      </c>
      <c r="AZ1698" s="244" t="s">
        <v>276</v>
      </c>
      <c r="BA1698" s="244" t="s">
        <v>276</v>
      </c>
      <c r="BB1698" s="244" t="s">
        <v>282</v>
      </c>
      <c r="BC1698" s="244" t="s">
        <v>98</v>
      </c>
      <c r="BD1698" s="244" t="s">
        <v>98</v>
      </c>
      <c r="BE1698" s="244" t="s">
        <v>98</v>
      </c>
      <c r="BF1698" s="245" t="s">
        <v>3863</v>
      </c>
      <c r="BG1698" s="245"/>
      <c r="BH1698" s="9" t="s">
        <v>100</v>
      </c>
      <c r="BI1698" s="9" t="s">
        <v>100</v>
      </c>
      <c r="BJ1698" s="276"/>
      <c r="BN1698" s="276"/>
      <c r="BO1698" s="276"/>
    </row>
    <row r="1699" spans="1:67" s="277" customFormat="1" ht="78" hidden="1" x14ac:dyDescent="0.35">
      <c r="A1699" s="244">
        <v>4164</v>
      </c>
      <c r="B1699" s="244" t="s">
        <v>10181</v>
      </c>
      <c r="C1699" s="245" t="s">
        <v>62</v>
      </c>
      <c r="D1699" s="245" t="s">
        <v>10215</v>
      </c>
      <c r="E1699" s="244" t="s">
        <v>35</v>
      </c>
      <c r="F1699" s="244" t="s">
        <v>97</v>
      </c>
      <c r="G1699" s="244" t="s">
        <v>225</v>
      </c>
      <c r="H1699" s="244" t="s">
        <v>125</v>
      </c>
      <c r="I1699" s="244" t="s">
        <v>114</v>
      </c>
      <c r="J1699" s="245" t="s">
        <v>1116</v>
      </c>
      <c r="K1699" s="245" t="s">
        <v>10216</v>
      </c>
      <c r="L1699" s="244" t="s">
        <v>276</v>
      </c>
      <c r="M1699" s="244" t="s">
        <v>276</v>
      </c>
      <c r="N1699" s="245" t="s">
        <v>10211</v>
      </c>
      <c r="O1699" s="245" t="s">
        <v>276</v>
      </c>
      <c r="P1699" s="245" t="s">
        <v>239</v>
      </c>
      <c r="Q1699" s="335" t="s">
        <v>10192</v>
      </c>
      <c r="R1699" s="245" t="s">
        <v>98</v>
      </c>
      <c r="S1699" s="245" t="s">
        <v>276</v>
      </c>
      <c r="T1699" s="245" t="s">
        <v>276</v>
      </c>
      <c r="U1699" s="340" t="s">
        <v>276</v>
      </c>
      <c r="V1699" s="244" t="s">
        <v>15</v>
      </c>
      <c r="W1699" s="244" t="s">
        <v>9960</v>
      </c>
      <c r="X1699" s="245" t="s">
        <v>207</v>
      </c>
      <c r="Y1699" s="274">
        <v>66741</v>
      </c>
      <c r="Z1699" s="250">
        <v>48678</v>
      </c>
      <c r="AA1699" s="245" t="s">
        <v>276</v>
      </c>
      <c r="AB1699" s="245" t="s">
        <v>276</v>
      </c>
      <c r="AC1699" s="244">
        <v>49</v>
      </c>
      <c r="AD1699" s="245" t="s">
        <v>7545</v>
      </c>
      <c r="AE1699" s="244">
        <v>34</v>
      </c>
      <c r="AF1699" s="245" t="s">
        <v>7545</v>
      </c>
      <c r="AG1699" s="245" t="s">
        <v>10217</v>
      </c>
      <c r="AH1699" s="245" t="s">
        <v>10094</v>
      </c>
      <c r="AI1699" s="250">
        <v>30</v>
      </c>
      <c r="AJ1699" s="250">
        <v>32</v>
      </c>
      <c r="AK1699" s="274">
        <v>66741</v>
      </c>
      <c r="AL1699" s="250">
        <v>48678</v>
      </c>
      <c r="AM1699" s="250" t="s">
        <v>281</v>
      </c>
      <c r="AN1699" s="244" t="s">
        <v>276</v>
      </c>
      <c r="AO1699" s="251">
        <f t="shared" si="473"/>
        <v>0.44949880882815663</v>
      </c>
      <c r="AP1699" s="244" t="s">
        <v>276</v>
      </c>
      <c r="AQ1699" s="244" t="s">
        <v>276</v>
      </c>
      <c r="AR1699" s="244" t="s">
        <v>276</v>
      </c>
      <c r="AS1699" s="251">
        <f t="shared" si="474"/>
        <v>0.65738115781256423</v>
      </c>
      <c r="AT1699" s="244" t="s">
        <v>276</v>
      </c>
      <c r="AU1699" s="244" t="s">
        <v>276</v>
      </c>
      <c r="AV1699" s="244" t="s">
        <v>268</v>
      </c>
      <c r="AW1699" s="244" t="s">
        <v>276</v>
      </c>
      <c r="AX1699" s="252">
        <f t="shared" si="475"/>
        <v>0.68377196925428152</v>
      </c>
      <c r="AY1699" s="244" t="s">
        <v>276</v>
      </c>
      <c r="AZ1699" s="244" t="s">
        <v>276</v>
      </c>
      <c r="BA1699" s="244" t="s">
        <v>276</v>
      </c>
      <c r="BB1699" s="244" t="s">
        <v>282</v>
      </c>
      <c r="BC1699" s="244" t="s">
        <v>98</v>
      </c>
      <c r="BD1699" s="244" t="s">
        <v>98</v>
      </c>
      <c r="BE1699" s="244" t="s">
        <v>98</v>
      </c>
      <c r="BF1699" s="245" t="s">
        <v>3863</v>
      </c>
      <c r="BG1699" s="245"/>
      <c r="BH1699" s="9" t="s">
        <v>100</v>
      </c>
      <c r="BI1699" s="9" t="s">
        <v>100</v>
      </c>
      <c r="BJ1699" s="276"/>
      <c r="BN1699" s="276"/>
      <c r="BO1699" s="276"/>
    </row>
    <row r="1700" spans="1:67" s="172" customFormat="1" ht="52" hidden="1" x14ac:dyDescent="0.35">
      <c r="A1700" s="150">
        <v>4095</v>
      </c>
      <c r="B1700" s="150" t="s">
        <v>9605</v>
      </c>
      <c r="C1700" s="151" t="s">
        <v>62</v>
      </c>
      <c r="D1700" s="151" t="s">
        <v>10218</v>
      </c>
      <c r="E1700" s="150" t="s">
        <v>35</v>
      </c>
      <c r="F1700" s="150" t="s">
        <v>97</v>
      </c>
      <c r="G1700" s="150" t="s">
        <v>225</v>
      </c>
      <c r="H1700" s="150" t="s">
        <v>225</v>
      </c>
      <c r="I1700" s="150" t="s">
        <v>98</v>
      </c>
      <c r="J1700" s="151" t="s">
        <v>98</v>
      </c>
      <c r="K1700" s="150" t="s">
        <v>98</v>
      </c>
      <c r="L1700" s="150" t="s">
        <v>98</v>
      </c>
      <c r="M1700" s="150" t="s">
        <v>98</v>
      </c>
      <c r="N1700" s="496" t="s">
        <v>10219</v>
      </c>
      <c r="O1700" s="151" t="s">
        <v>276</v>
      </c>
      <c r="P1700" s="151" t="s">
        <v>238</v>
      </c>
      <c r="Q1700" s="154" t="s">
        <v>10220</v>
      </c>
      <c r="R1700" s="151" t="s">
        <v>276</v>
      </c>
      <c r="S1700" s="151" t="s">
        <v>276</v>
      </c>
      <c r="T1700" s="151" t="s">
        <v>98</v>
      </c>
      <c r="U1700" s="168" t="s">
        <v>1719</v>
      </c>
      <c r="V1700" s="150" t="s">
        <v>15</v>
      </c>
      <c r="W1700" s="150" t="s">
        <v>9254</v>
      </c>
      <c r="X1700" s="151" t="s">
        <v>209</v>
      </c>
      <c r="Y1700" s="497">
        <v>77080</v>
      </c>
      <c r="Z1700" s="151" t="s">
        <v>98</v>
      </c>
      <c r="AA1700" s="151" t="s">
        <v>276</v>
      </c>
      <c r="AB1700" s="151" t="s">
        <v>98</v>
      </c>
      <c r="AC1700" s="150">
        <v>0</v>
      </c>
      <c r="AD1700" s="150" t="s">
        <v>5574</v>
      </c>
      <c r="AE1700" s="150" t="s">
        <v>98</v>
      </c>
      <c r="AF1700" s="150" t="s">
        <v>98</v>
      </c>
      <c r="AG1700" s="151" t="s">
        <v>10221</v>
      </c>
      <c r="AH1700" s="151" t="s">
        <v>10222</v>
      </c>
      <c r="AI1700" s="156">
        <v>927</v>
      </c>
      <c r="AJ1700" s="156" t="s">
        <v>98</v>
      </c>
      <c r="AK1700" s="497">
        <v>77080</v>
      </c>
      <c r="AL1700" s="156" t="s">
        <v>98</v>
      </c>
      <c r="AM1700" s="156" t="s">
        <v>281</v>
      </c>
      <c r="AN1700" s="150" t="s">
        <v>276</v>
      </c>
      <c r="AO1700" s="159">
        <f t="shared" si="473"/>
        <v>12.026466009340945</v>
      </c>
      <c r="AP1700" s="150" t="s">
        <v>276</v>
      </c>
      <c r="AQ1700" s="150" t="s">
        <v>276</v>
      </c>
      <c r="AR1700" s="150" t="s">
        <v>98</v>
      </c>
      <c r="AS1700" s="150" t="s">
        <v>98</v>
      </c>
      <c r="AT1700" s="150" t="s">
        <v>98</v>
      </c>
      <c r="AU1700" s="150" t="s">
        <v>98</v>
      </c>
      <c r="AV1700" s="150" t="s">
        <v>98</v>
      </c>
      <c r="AW1700" s="150" t="s">
        <v>98</v>
      </c>
      <c r="AX1700" s="150" t="s">
        <v>98</v>
      </c>
      <c r="AY1700" s="150" t="s">
        <v>98</v>
      </c>
      <c r="AZ1700" s="150" t="s">
        <v>98</v>
      </c>
      <c r="BA1700" s="150" t="s">
        <v>98</v>
      </c>
      <c r="BB1700" s="150" t="s">
        <v>98</v>
      </c>
      <c r="BC1700" s="150" t="s">
        <v>98</v>
      </c>
      <c r="BD1700" s="150" t="s">
        <v>98</v>
      </c>
      <c r="BE1700" s="150" t="s">
        <v>98</v>
      </c>
      <c r="BF1700" s="151" t="s">
        <v>4710</v>
      </c>
      <c r="BG1700" s="151"/>
      <c r="BH1700" s="9" t="s">
        <v>100</v>
      </c>
      <c r="BI1700" s="9" t="s">
        <v>100</v>
      </c>
      <c r="BJ1700" s="171"/>
      <c r="BN1700" s="171"/>
      <c r="BO1700" s="171"/>
    </row>
    <row r="1701" spans="1:67" s="172" customFormat="1" ht="65" x14ac:dyDescent="0.35">
      <c r="A1701" s="150">
        <v>4095</v>
      </c>
      <c r="B1701" s="150" t="s">
        <v>9605</v>
      </c>
      <c r="C1701" s="151" t="s">
        <v>62</v>
      </c>
      <c r="D1701" s="151" t="s">
        <v>10223</v>
      </c>
      <c r="E1701" s="150" t="s">
        <v>35</v>
      </c>
      <c r="F1701" s="150" t="s">
        <v>97</v>
      </c>
      <c r="G1701" s="150" t="s">
        <v>225</v>
      </c>
      <c r="H1701" s="150" t="s">
        <v>225</v>
      </c>
      <c r="I1701" s="150" t="s">
        <v>98</v>
      </c>
      <c r="J1701" s="151" t="s">
        <v>98</v>
      </c>
      <c r="K1701" s="150" t="s">
        <v>98</v>
      </c>
      <c r="L1701" s="150" t="s">
        <v>98</v>
      </c>
      <c r="M1701" s="150" t="s">
        <v>98</v>
      </c>
      <c r="N1701" s="496" t="s">
        <v>10219</v>
      </c>
      <c r="O1701" s="151" t="s">
        <v>276</v>
      </c>
      <c r="P1701" s="151" t="s">
        <v>236</v>
      </c>
      <c r="Q1701" s="154" t="s">
        <v>10220</v>
      </c>
      <c r="R1701" s="151" t="s">
        <v>276</v>
      </c>
      <c r="S1701" s="151" t="s">
        <v>276</v>
      </c>
      <c r="T1701" s="151" t="s">
        <v>98</v>
      </c>
      <c r="U1701" s="168" t="s">
        <v>1719</v>
      </c>
      <c r="V1701" s="150" t="s">
        <v>15</v>
      </c>
      <c r="W1701" s="150" t="s">
        <v>9254</v>
      </c>
      <c r="X1701" s="151" t="s">
        <v>209</v>
      </c>
      <c r="Y1701" s="497" t="s">
        <v>98</v>
      </c>
      <c r="Z1701" s="151" t="s">
        <v>98</v>
      </c>
      <c r="AA1701" s="151" t="s">
        <v>276</v>
      </c>
      <c r="AB1701" s="151" t="s">
        <v>98</v>
      </c>
      <c r="AC1701" s="150">
        <v>0</v>
      </c>
      <c r="AD1701" s="150" t="s">
        <v>5574</v>
      </c>
      <c r="AE1701" s="150" t="s">
        <v>98</v>
      </c>
      <c r="AF1701" s="150" t="s">
        <v>98</v>
      </c>
      <c r="AG1701" s="151" t="s">
        <v>10224</v>
      </c>
      <c r="AH1701" s="151" t="s">
        <v>10225</v>
      </c>
      <c r="AI1701" s="156">
        <v>927</v>
      </c>
      <c r="AJ1701" s="156" t="s">
        <v>98</v>
      </c>
      <c r="AK1701" s="497">
        <v>1419</v>
      </c>
      <c r="AL1701" s="156" t="s">
        <v>98</v>
      </c>
      <c r="AM1701" s="156" t="s">
        <v>292</v>
      </c>
      <c r="AN1701" s="150" t="s">
        <v>276</v>
      </c>
      <c r="AO1701" s="159">
        <f t="shared" ref="AO1701:AO1703" si="476">AI1701*100/AK1701</f>
        <v>65.327695560253702</v>
      </c>
      <c r="AP1701" s="150" t="s">
        <v>276</v>
      </c>
      <c r="AQ1701" s="150" t="s">
        <v>276</v>
      </c>
      <c r="AR1701" s="150" t="s">
        <v>98</v>
      </c>
      <c r="AS1701" s="150" t="s">
        <v>98</v>
      </c>
      <c r="AT1701" s="150" t="s">
        <v>98</v>
      </c>
      <c r="AU1701" s="150" t="s">
        <v>98</v>
      </c>
      <c r="AV1701" s="150" t="s">
        <v>98</v>
      </c>
      <c r="AW1701" s="150" t="s">
        <v>98</v>
      </c>
      <c r="AX1701" s="150" t="s">
        <v>98</v>
      </c>
      <c r="AY1701" s="150" t="s">
        <v>98</v>
      </c>
      <c r="AZ1701" s="150" t="s">
        <v>98</v>
      </c>
      <c r="BA1701" s="150" t="s">
        <v>98</v>
      </c>
      <c r="BB1701" s="150" t="s">
        <v>98</v>
      </c>
      <c r="BC1701" s="150" t="s">
        <v>98</v>
      </c>
      <c r="BD1701" s="150" t="s">
        <v>98</v>
      </c>
      <c r="BE1701" s="150" t="s">
        <v>98</v>
      </c>
      <c r="BF1701" s="151" t="s">
        <v>4710</v>
      </c>
      <c r="BG1701" s="151"/>
      <c r="BH1701" s="9" t="s">
        <v>99</v>
      </c>
      <c r="BI1701" s="9" t="s">
        <v>100</v>
      </c>
      <c r="BJ1701" s="171"/>
      <c r="BN1701" s="171"/>
      <c r="BO1701" s="171"/>
    </row>
    <row r="1702" spans="1:67" s="137" customFormat="1" ht="65" hidden="1" x14ac:dyDescent="0.35">
      <c r="A1702" s="126">
        <v>4095</v>
      </c>
      <c r="B1702" s="126" t="s">
        <v>9605</v>
      </c>
      <c r="C1702" s="127" t="s">
        <v>9264</v>
      </c>
      <c r="D1702" s="127" t="s">
        <v>10226</v>
      </c>
      <c r="E1702" s="126" t="s">
        <v>35</v>
      </c>
      <c r="F1702" s="126" t="s">
        <v>97</v>
      </c>
      <c r="G1702" s="126" t="s">
        <v>225</v>
      </c>
      <c r="H1702" s="126" t="s">
        <v>225</v>
      </c>
      <c r="I1702" s="126" t="s">
        <v>98</v>
      </c>
      <c r="J1702" s="127" t="s">
        <v>27</v>
      </c>
      <c r="K1702" s="126">
        <v>3</v>
      </c>
      <c r="L1702" s="126" t="s">
        <v>98</v>
      </c>
      <c r="M1702" s="126" t="s">
        <v>98</v>
      </c>
      <c r="N1702" s="129" t="s">
        <v>10219</v>
      </c>
      <c r="O1702" s="127" t="s">
        <v>276</v>
      </c>
      <c r="P1702" s="127" t="s">
        <v>237</v>
      </c>
      <c r="Q1702" s="146" t="s">
        <v>10227</v>
      </c>
      <c r="R1702" s="127" t="s">
        <v>276</v>
      </c>
      <c r="S1702" s="127" t="s">
        <v>276</v>
      </c>
      <c r="T1702" s="127" t="s">
        <v>98</v>
      </c>
      <c r="U1702" s="167" t="s">
        <v>1719</v>
      </c>
      <c r="V1702" s="126" t="s">
        <v>15</v>
      </c>
      <c r="W1702" s="126" t="s">
        <v>9254</v>
      </c>
      <c r="X1702" s="127" t="s">
        <v>209</v>
      </c>
      <c r="Y1702" s="133" t="s">
        <v>98</v>
      </c>
      <c r="Z1702" s="127" t="s">
        <v>98</v>
      </c>
      <c r="AA1702" s="127" t="s">
        <v>276</v>
      </c>
      <c r="AB1702" s="127" t="s">
        <v>98</v>
      </c>
      <c r="AC1702" s="127" t="s">
        <v>10228</v>
      </c>
      <c r="AD1702" s="126" t="s">
        <v>10229</v>
      </c>
      <c r="AE1702" s="126" t="s">
        <v>98</v>
      </c>
      <c r="AF1702" s="126" t="s">
        <v>98</v>
      </c>
      <c r="AG1702" s="127" t="s">
        <v>10230</v>
      </c>
      <c r="AH1702" s="127" t="s">
        <v>10231</v>
      </c>
      <c r="AI1702" s="134">
        <f>72+57</f>
        <v>129</v>
      </c>
      <c r="AJ1702" s="134" t="s">
        <v>98</v>
      </c>
      <c r="AK1702" s="133">
        <f>342-111</f>
        <v>231</v>
      </c>
      <c r="AL1702" s="134" t="s">
        <v>98</v>
      </c>
      <c r="AM1702" s="134" t="s">
        <v>292</v>
      </c>
      <c r="AN1702" s="126" t="s">
        <v>276</v>
      </c>
      <c r="AO1702" s="135">
        <f t="shared" si="476"/>
        <v>55.844155844155843</v>
      </c>
      <c r="AP1702" s="126" t="s">
        <v>276</v>
      </c>
      <c r="AQ1702" s="126" t="s">
        <v>276</v>
      </c>
      <c r="AR1702" s="126" t="s">
        <v>98</v>
      </c>
      <c r="AS1702" s="126" t="s">
        <v>98</v>
      </c>
      <c r="AT1702" s="126" t="s">
        <v>98</v>
      </c>
      <c r="AU1702" s="126" t="s">
        <v>98</v>
      </c>
      <c r="AV1702" s="126" t="s">
        <v>98</v>
      </c>
      <c r="AW1702" s="126" t="s">
        <v>98</v>
      </c>
      <c r="AX1702" s="126" t="s">
        <v>98</v>
      </c>
      <c r="AY1702" s="126" t="s">
        <v>98</v>
      </c>
      <c r="AZ1702" s="126" t="s">
        <v>98</v>
      </c>
      <c r="BA1702" s="126" t="s">
        <v>98</v>
      </c>
      <c r="BB1702" s="126" t="s">
        <v>98</v>
      </c>
      <c r="BC1702" s="126" t="s">
        <v>98</v>
      </c>
      <c r="BD1702" s="126" t="s">
        <v>98</v>
      </c>
      <c r="BE1702" s="126" t="s">
        <v>98</v>
      </c>
      <c r="BF1702" s="127" t="s">
        <v>7884</v>
      </c>
      <c r="BG1702" s="127" t="s">
        <v>10232</v>
      </c>
      <c r="BH1702" s="9" t="s">
        <v>100</v>
      </c>
      <c r="BI1702" s="9" t="s">
        <v>100</v>
      </c>
      <c r="BJ1702" s="136"/>
      <c r="BN1702" s="136"/>
      <c r="BO1702" s="136"/>
    </row>
    <row r="1703" spans="1:67" s="172" customFormat="1" ht="65" hidden="1" x14ac:dyDescent="0.35">
      <c r="A1703" s="150">
        <v>4095</v>
      </c>
      <c r="B1703" s="150" t="s">
        <v>9605</v>
      </c>
      <c r="C1703" s="151" t="s">
        <v>9266</v>
      </c>
      <c r="D1703" s="151" t="s">
        <v>10226</v>
      </c>
      <c r="E1703" s="150" t="s">
        <v>35</v>
      </c>
      <c r="F1703" s="150" t="s">
        <v>97</v>
      </c>
      <c r="G1703" s="150" t="s">
        <v>225</v>
      </c>
      <c r="H1703" s="150" t="s">
        <v>225</v>
      </c>
      <c r="I1703" s="150" t="s">
        <v>98</v>
      </c>
      <c r="J1703" s="151" t="s">
        <v>27</v>
      </c>
      <c r="K1703" s="150">
        <v>3</v>
      </c>
      <c r="L1703" s="150" t="s">
        <v>98</v>
      </c>
      <c r="M1703" s="150" t="s">
        <v>98</v>
      </c>
      <c r="N1703" s="496" t="s">
        <v>10219</v>
      </c>
      <c r="O1703" s="151" t="s">
        <v>276</v>
      </c>
      <c r="P1703" s="151" t="s">
        <v>237</v>
      </c>
      <c r="Q1703" s="154" t="s">
        <v>10227</v>
      </c>
      <c r="R1703" s="151" t="s">
        <v>276</v>
      </c>
      <c r="S1703" s="151" t="s">
        <v>276</v>
      </c>
      <c r="T1703" s="151" t="s">
        <v>98</v>
      </c>
      <c r="U1703" s="168" t="s">
        <v>1719</v>
      </c>
      <c r="V1703" s="150" t="s">
        <v>15</v>
      </c>
      <c r="W1703" s="150" t="s">
        <v>9254</v>
      </c>
      <c r="X1703" s="151" t="s">
        <v>209</v>
      </c>
      <c r="Y1703" s="497" t="s">
        <v>98</v>
      </c>
      <c r="Z1703" s="151" t="s">
        <v>98</v>
      </c>
      <c r="AA1703" s="151" t="s">
        <v>276</v>
      </c>
      <c r="AB1703" s="151" t="s">
        <v>98</v>
      </c>
      <c r="AC1703" s="151" t="s">
        <v>10228</v>
      </c>
      <c r="AD1703" s="150" t="s">
        <v>10229</v>
      </c>
      <c r="AE1703" s="150" t="s">
        <v>98</v>
      </c>
      <c r="AF1703" s="150" t="s">
        <v>98</v>
      </c>
      <c r="AG1703" s="151" t="s">
        <v>10230</v>
      </c>
      <c r="AH1703" s="151" t="s">
        <v>10231</v>
      </c>
      <c r="AI1703" s="156">
        <f>45+60</f>
        <v>105</v>
      </c>
      <c r="AJ1703" s="156" t="s">
        <v>98</v>
      </c>
      <c r="AK1703" s="497">
        <f>369-171</f>
        <v>198</v>
      </c>
      <c r="AL1703" s="156" t="s">
        <v>98</v>
      </c>
      <c r="AM1703" s="156" t="s">
        <v>292</v>
      </c>
      <c r="AN1703" s="150" t="s">
        <v>276</v>
      </c>
      <c r="AO1703" s="159">
        <f t="shared" si="476"/>
        <v>53.030303030303031</v>
      </c>
      <c r="AP1703" s="150" t="s">
        <v>276</v>
      </c>
      <c r="AQ1703" s="150" t="s">
        <v>276</v>
      </c>
      <c r="AR1703" s="150" t="s">
        <v>98</v>
      </c>
      <c r="AS1703" s="150" t="s">
        <v>98</v>
      </c>
      <c r="AT1703" s="150" t="s">
        <v>98</v>
      </c>
      <c r="AU1703" s="150" t="s">
        <v>98</v>
      </c>
      <c r="AV1703" s="150" t="s">
        <v>98</v>
      </c>
      <c r="AW1703" s="150" t="s">
        <v>98</v>
      </c>
      <c r="AX1703" s="150" t="s">
        <v>98</v>
      </c>
      <c r="AY1703" s="150" t="s">
        <v>98</v>
      </c>
      <c r="AZ1703" s="150" t="s">
        <v>98</v>
      </c>
      <c r="BA1703" s="150" t="s">
        <v>98</v>
      </c>
      <c r="BB1703" s="150" t="s">
        <v>98</v>
      </c>
      <c r="BC1703" s="150" t="s">
        <v>98</v>
      </c>
      <c r="BD1703" s="150" t="s">
        <v>98</v>
      </c>
      <c r="BE1703" s="150" t="s">
        <v>98</v>
      </c>
      <c r="BF1703" s="151" t="s">
        <v>7884</v>
      </c>
      <c r="BG1703" s="151" t="s">
        <v>10232</v>
      </c>
      <c r="BH1703" s="9" t="s">
        <v>100</v>
      </c>
      <c r="BI1703" s="9" t="s">
        <v>100</v>
      </c>
      <c r="BJ1703" s="171"/>
      <c r="BN1703" s="171"/>
      <c r="BO1703" s="171"/>
    </row>
    <row r="1704" spans="1:67" s="137" customFormat="1" ht="52" hidden="1" x14ac:dyDescent="0.35">
      <c r="A1704" s="126">
        <v>4095</v>
      </c>
      <c r="B1704" s="126" t="s">
        <v>9605</v>
      </c>
      <c r="C1704" s="127" t="s">
        <v>62</v>
      </c>
      <c r="D1704" s="127" t="s">
        <v>10233</v>
      </c>
      <c r="E1704" s="126" t="s">
        <v>35</v>
      </c>
      <c r="F1704" s="126" t="s">
        <v>97</v>
      </c>
      <c r="G1704" s="126" t="s">
        <v>225</v>
      </c>
      <c r="H1704" s="126" t="s">
        <v>225</v>
      </c>
      <c r="I1704" s="126" t="s">
        <v>98</v>
      </c>
      <c r="J1704" s="127" t="s">
        <v>98</v>
      </c>
      <c r="K1704" s="126" t="s">
        <v>98</v>
      </c>
      <c r="L1704" s="126" t="s">
        <v>98</v>
      </c>
      <c r="M1704" s="126" t="s">
        <v>98</v>
      </c>
      <c r="N1704" s="129" t="s">
        <v>10219</v>
      </c>
      <c r="O1704" s="127" t="s">
        <v>276</v>
      </c>
      <c r="P1704" s="127" t="s">
        <v>238</v>
      </c>
      <c r="Q1704" s="146" t="s">
        <v>10220</v>
      </c>
      <c r="R1704" s="127" t="s">
        <v>276</v>
      </c>
      <c r="S1704" s="127" t="s">
        <v>276</v>
      </c>
      <c r="T1704" s="127" t="s">
        <v>98</v>
      </c>
      <c r="U1704" s="167" t="s">
        <v>1192</v>
      </c>
      <c r="V1704" s="126" t="s">
        <v>15</v>
      </c>
      <c r="W1704" s="126" t="s">
        <v>3032</v>
      </c>
      <c r="X1704" s="127" t="s">
        <v>209</v>
      </c>
      <c r="Y1704" s="133">
        <v>19844</v>
      </c>
      <c r="Z1704" s="127" t="s">
        <v>98</v>
      </c>
      <c r="AA1704" s="127" t="s">
        <v>276</v>
      </c>
      <c r="AB1704" s="127" t="s">
        <v>98</v>
      </c>
      <c r="AC1704" s="126">
        <v>0</v>
      </c>
      <c r="AD1704" s="126" t="s">
        <v>5574</v>
      </c>
      <c r="AE1704" s="126" t="s">
        <v>98</v>
      </c>
      <c r="AF1704" s="126" t="s">
        <v>98</v>
      </c>
      <c r="AG1704" s="127" t="s">
        <v>10234</v>
      </c>
      <c r="AH1704" s="127" t="s">
        <v>10235</v>
      </c>
      <c r="AI1704" s="134">
        <f>39+110</f>
        <v>149</v>
      </c>
      <c r="AJ1704" s="134" t="s">
        <v>98</v>
      </c>
      <c r="AK1704" s="133">
        <v>19844</v>
      </c>
      <c r="AL1704" s="134" t="s">
        <v>98</v>
      </c>
      <c r="AM1704" s="134" t="s">
        <v>281</v>
      </c>
      <c r="AN1704" s="126" t="s">
        <v>276</v>
      </c>
      <c r="AO1704" s="135">
        <f t="shared" ref="AO1704" si="477">AI1704*1000/AK1704</f>
        <v>7.5085668212054024</v>
      </c>
      <c r="AP1704" s="126" t="s">
        <v>276</v>
      </c>
      <c r="AQ1704" s="126" t="s">
        <v>276</v>
      </c>
      <c r="AR1704" s="126" t="s">
        <v>98</v>
      </c>
      <c r="AS1704" s="126" t="s">
        <v>98</v>
      </c>
      <c r="AT1704" s="126" t="s">
        <v>98</v>
      </c>
      <c r="AU1704" s="126" t="s">
        <v>98</v>
      </c>
      <c r="AV1704" s="126" t="s">
        <v>98</v>
      </c>
      <c r="AW1704" s="126" t="s">
        <v>98</v>
      </c>
      <c r="AX1704" s="126" t="s">
        <v>98</v>
      </c>
      <c r="AY1704" s="126" t="s">
        <v>98</v>
      </c>
      <c r="AZ1704" s="126" t="s">
        <v>98</v>
      </c>
      <c r="BA1704" s="126" t="s">
        <v>98</v>
      </c>
      <c r="BB1704" s="126" t="s">
        <v>98</v>
      </c>
      <c r="BC1704" s="126" t="s">
        <v>98</v>
      </c>
      <c r="BD1704" s="126" t="s">
        <v>98</v>
      </c>
      <c r="BE1704" s="126" t="s">
        <v>98</v>
      </c>
      <c r="BF1704" s="127" t="s">
        <v>4710</v>
      </c>
      <c r="BG1704" s="127"/>
      <c r="BH1704" s="9" t="s">
        <v>100</v>
      </c>
      <c r="BI1704" s="9" t="s">
        <v>100</v>
      </c>
      <c r="BJ1704" s="136"/>
      <c r="BN1704" s="136"/>
      <c r="BO1704" s="136"/>
    </row>
    <row r="1705" spans="1:67" s="137" customFormat="1" ht="65" hidden="1" x14ac:dyDescent="0.35">
      <c r="A1705" s="126">
        <v>4095</v>
      </c>
      <c r="B1705" s="126" t="s">
        <v>9605</v>
      </c>
      <c r="C1705" s="127" t="s">
        <v>62</v>
      </c>
      <c r="D1705" s="127" t="s">
        <v>10236</v>
      </c>
      <c r="E1705" s="126" t="s">
        <v>35</v>
      </c>
      <c r="F1705" s="126" t="s">
        <v>97</v>
      </c>
      <c r="G1705" s="126" t="s">
        <v>225</v>
      </c>
      <c r="H1705" s="126" t="s">
        <v>225</v>
      </c>
      <c r="I1705" s="126" t="s">
        <v>98</v>
      </c>
      <c r="J1705" s="127" t="s">
        <v>98</v>
      </c>
      <c r="K1705" s="126" t="s">
        <v>98</v>
      </c>
      <c r="L1705" s="126" t="s">
        <v>98</v>
      </c>
      <c r="M1705" s="126" t="s">
        <v>98</v>
      </c>
      <c r="N1705" s="129" t="s">
        <v>10219</v>
      </c>
      <c r="O1705" s="127" t="s">
        <v>276</v>
      </c>
      <c r="P1705" s="127" t="s">
        <v>236</v>
      </c>
      <c r="Q1705" s="146" t="s">
        <v>10220</v>
      </c>
      <c r="R1705" s="127" t="s">
        <v>276</v>
      </c>
      <c r="S1705" s="127" t="s">
        <v>276</v>
      </c>
      <c r="T1705" s="127" t="s">
        <v>98</v>
      </c>
      <c r="U1705" s="167" t="s">
        <v>1192</v>
      </c>
      <c r="V1705" s="126" t="s">
        <v>15</v>
      </c>
      <c r="W1705" s="126" t="s">
        <v>3032</v>
      </c>
      <c r="X1705" s="127" t="s">
        <v>209</v>
      </c>
      <c r="Y1705" s="133" t="s">
        <v>98</v>
      </c>
      <c r="Z1705" s="127" t="s">
        <v>98</v>
      </c>
      <c r="AA1705" s="127" t="s">
        <v>276</v>
      </c>
      <c r="AB1705" s="127" t="s">
        <v>98</v>
      </c>
      <c r="AC1705" s="126">
        <v>0</v>
      </c>
      <c r="AD1705" s="126" t="s">
        <v>5574</v>
      </c>
      <c r="AE1705" s="126" t="s">
        <v>98</v>
      </c>
      <c r="AF1705" s="126" t="s">
        <v>98</v>
      </c>
      <c r="AG1705" s="127" t="s">
        <v>10234</v>
      </c>
      <c r="AH1705" s="127" t="s">
        <v>10237</v>
      </c>
      <c r="AI1705" s="134">
        <f>39+110</f>
        <v>149</v>
      </c>
      <c r="AJ1705" s="134" t="s">
        <v>98</v>
      </c>
      <c r="AK1705" s="133">
        <v>256</v>
      </c>
      <c r="AL1705" s="134" t="s">
        <v>98</v>
      </c>
      <c r="AM1705" s="134" t="s">
        <v>292</v>
      </c>
      <c r="AN1705" s="126" t="s">
        <v>276</v>
      </c>
      <c r="AO1705" s="135">
        <f t="shared" ref="AO1705" si="478">AI1705*100/AK1705</f>
        <v>58.203125</v>
      </c>
      <c r="AP1705" s="126" t="s">
        <v>276</v>
      </c>
      <c r="AQ1705" s="126" t="s">
        <v>276</v>
      </c>
      <c r="AR1705" s="126" t="s">
        <v>98</v>
      </c>
      <c r="AS1705" s="126" t="s">
        <v>98</v>
      </c>
      <c r="AT1705" s="126" t="s">
        <v>98</v>
      </c>
      <c r="AU1705" s="126" t="s">
        <v>98</v>
      </c>
      <c r="AV1705" s="126" t="s">
        <v>98</v>
      </c>
      <c r="AW1705" s="126" t="s">
        <v>98</v>
      </c>
      <c r="AX1705" s="126" t="s">
        <v>98</v>
      </c>
      <c r="AY1705" s="126" t="s">
        <v>98</v>
      </c>
      <c r="AZ1705" s="126" t="s">
        <v>98</v>
      </c>
      <c r="BA1705" s="126" t="s">
        <v>98</v>
      </c>
      <c r="BB1705" s="126" t="s">
        <v>98</v>
      </c>
      <c r="BC1705" s="126" t="s">
        <v>98</v>
      </c>
      <c r="BD1705" s="126" t="s">
        <v>98</v>
      </c>
      <c r="BE1705" s="126" t="s">
        <v>98</v>
      </c>
      <c r="BF1705" s="127" t="s">
        <v>4710</v>
      </c>
      <c r="BG1705" s="127"/>
      <c r="BH1705" s="9" t="s">
        <v>100</v>
      </c>
      <c r="BI1705" s="9" t="s">
        <v>100</v>
      </c>
      <c r="BJ1705" s="136"/>
      <c r="BN1705" s="136"/>
      <c r="BO1705" s="136"/>
    </row>
    <row r="1706" spans="1:67" s="172" customFormat="1" ht="52" hidden="1" x14ac:dyDescent="0.35">
      <c r="A1706" s="150">
        <v>4095</v>
      </c>
      <c r="B1706" s="150" t="s">
        <v>9605</v>
      </c>
      <c r="C1706" s="151" t="s">
        <v>62</v>
      </c>
      <c r="D1706" s="151" t="s">
        <v>10238</v>
      </c>
      <c r="E1706" s="150" t="s">
        <v>35</v>
      </c>
      <c r="F1706" s="150" t="s">
        <v>97</v>
      </c>
      <c r="G1706" s="150" t="s">
        <v>225</v>
      </c>
      <c r="H1706" s="150" t="s">
        <v>225</v>
      </c>
      <c r="I1706" s="150" t="s">
        <v>98</v>
      </c>
      <c r="J1706" s="151" t="s">
        <v>98</v>
      </c>
      <c r="K1706" s="150" t="s">
        <v>98</v>
      </c>
      <c r="L1706" s="150" t="s">
        <v>98</v>
      </c>
      <c r="M1706" s="150" t="s">
        <v>98</v>
      </c>
      <c r="N1706" s="496" t="s">
        <v>10219</v>
      </c>
      <c r="O1706" s="151" t="s">
        <v>276</v>
      </c>
      <c r="P1706" s="151" t="s">
        <v>238</v>
      </c>
      <c r="Q1706" s="154" t="s">
        <v>10220</v>
      </c>
      <c r="R1706" s="151" t="s">
        <v>276</v>
      </c>
      <c r="S1706" s="151" t="s">
        <v>276</v>
      </c>
      <c r="T1706" s="151" t="s">
        <v>98</v>
      </c>
      <c r="U1706" s="168" t="s">
        <v>1219</v>
      </c>
      <c r="V1706" s="150" t="s">
        <v>15</v>
      </c>
      <c r="W1706" s="150" t="s">
        <v>3038</v>
      </c>
      <c r="X1706" s="151" t="s">
        <v>209</v>
      </c>
      <c r="Y1706" s="497">
        <v>23485</v>
      </c>
      <c r="Z1706" s="151" t="s">
        <v>98</v>
      </c>
      <c r="AA1706" s="151" t="s">
        <v>276</v>
      </c>
      <c r="AB1706" s="151" t="s">
        <v>98</v>
      </c>
      <c r="AC1706" s="150">
        <v>0</v>
      </c>
      <c r="AD1706" s="150" t="s">
        <v>5574</v>
      </c>
      <c r="AE1706" s="150" t="s">
        <v>98</v>
      </c>
      <c r="AF1706" s="150" t="s">
        <v>98</v>
      </c>
      <c r="AG1706" s="151" t="s">
        <v>10239</v>
      </c>
      <c r="AH1706" s="151" t="s">
        <v>10240</v>
      </c>
      <c r="AI1706" s="156">
        <f>102+156</f>
        <v>258</v>
      </c>
      <c r="AJ1706" s="156" t="s">
        <v>98</v>
      </c>
      <c r="AK1706" s="497">
        <v>23485</v>
      </c>
      <c r="AL1706" s="156" t="s">
        <v>98</v>
      </c>
      <c r="AM1706" s="156" t="s">
        <v>281</v>
      </c>
      <c r="AN1706" s="150" t="s">
        <v>276</v>
      </c>
      <c r="AO1706" s="159">
        <f t="shared" ref="AO1706" si="479">AI1706*1000/AK1706</f>
        <v>10.985735575899509</v>
      </c>
      <c r="AP1706" s="150" t="s">
        <v>276</v>
      </c>
      <c r="AQ1706" s="150" t="s">
        <v>276</v>
      </c>
      <c r="AR1706" s="150" t="s">
        <v>98</v>
      </c>
      <c r="AS1706" s="150" t="s">
        <v>98</v>
      </c>
      <c r="AT1706" s="150" t="s">
        <v>98</v>
      </c>
      <c r="AU1706" s="150" t="s">
        <v>98</v>
      </c>
      <c r="AV1706" s="150" t="s">
        <v>98</v>
      </c>
      <c r="AW1706" s="150" t="s">
        <v>98</v>
      </c>
      <c r="AX1706" s="150" t="s">
        <v>98</v>
      </c>
      <c r="AY1706" s="150" t="s">
        <v>98</v>
      </c>
      <c r="AZ1706" s="150" t="s">
        <v>98</v>
      </c>
      <c r="BA1706" s="150" t="s">
        <v>98</v>
      </c>
      <c r="BB1706" s="150" t="s">
        <v>98</v>
      </c>
      <c r="BC1706" s="150" t="s">
        <v>98</v>
      </c>
      <c r="BD1706" s="150" t="s">
        <v>98</v>
      </c>
      <c r="BE1706" s="150" t="s">
        <v>98</v>
      </c>
      <c r="BF1706" s="151" t="s">
        <v>4710</v>
      </c>
      <c r="BG1706" s="151"/>
      <c r="BH1706" s="9" t="s">
        <v>100</v>
      </c>
      <c r="BI1706" s="9" t="s">
        <v>100</v>
      </c>
      <c r="BJ1706" s="171"/>
      <c r="BN1706" s="171"/>
      <c r="BO1706" s="171"/>
    </row>
    <row r="1707" spans="1:67" s="172" customFormat="1" ht="65" hidden="1" x14ac:dyDescent="0.35">
      <c r="A1707" s="150">
        <v>4095</v>
      </c>
      <c r="B1707" s="150" t="s">
        <v>9605</v>
      </c>
      <c r="C1707" s="151" t="s">
        <v>62</v>
      </c>
      <c r="D1707" s="151" t="s">
        <v>10241</v>
      </c>
      <c r="E1707" s="150" t="s">
        <v>35</v>
      </c>
      <c r="F1707" s="150" t="s">
        <v>97</v>
      </c>
      <c r="G1707" s="150" t="s">
        <v>225</v>
      </c>
      <c r="H1707" s="150" t="s">
        <v>225</v>
      </c>
      <c r="I1707" s="150" t="s">
        <v>98</v>
      </c>
      <c r="J1707" s="151" t="s">
        <v>98</v>
      </c>
      <c r="K1707" s="150" t="s">
        <v>98</v>
      </c>
      <c r="L1707" s="150" t="s">
        <v>98</v>
      </c>
      <c r="M1707" s="150" t="s">
        <v>98</v>
      </c>
      <c r="N1707" s="496" t="s">
        <v>10219</v>
      </c>
      <c r="O1707" s="151" t="s">
        <v>276</v>
      </c>
      <c r="P1707" s="151" t="s">
        <v>236</v>
      </c>
      <c r="Q1707" s="154" t="s">
        <v>10220</v>
      </c>
      <c r="R1707" s="151" t="s">
        <v>276</v>
      </c>
      <c r="S1707" s="151" t="s">
        <v>276</v>
      </c>
      <c r="T1707" s="151" t="s">
        <v>98</v>
      </c>
      <c r="U1707" s="168" t="s">
        <v>1219</v>
      </c>
      <c r="V1707" s="150" t="s">
        <v>15</v>
      </c>
      <c r="W1707" s="150" t="s">
        <v>3038</v>
      </c>
      <c r="X1707" s="151" t="s">
        <v>209</v>
      </c>
      <c r="Y1707" s="497" t="s">
        <v>98</v>
      </c>
      <c r="Z1707" s="151" t="s">
        <v>98</v>
      </c>
      <c r="AA1707" s="151" t="s">
        <v>276</v>
      </c>
      <c r="AB1707" s="151" t="s">
        <v>98</v>
      </c>
      <c r="AC1707" s="150">
        <v>0</v>
      </c>
      <c r="AD1707" s="150" t="s">
        <v>5574</v>
      </c>
      <c r="AE1707" s="150" t="s">
        <v>98</v>
      </c>
      <c r="AF1707" s="150" t="s">
        <v>98</v>
      </c>
      <c r="AG1707" s="151" t="s">
        <v>10242</v>
      </c>
      <c r="AH1707" s="151" t="s">
        <v>10243</v>
      </c>
      <c r="AI1707" s="156">
        <f>102+156</f>
        <v>258</v>
      </c>
      <c r="AJ1707" s="156" t="s">
        <v>98</v>
      </c>
      <c r="AK1707" s="497">
        <v>381</v>
      </c>
      <c r="AL1707" s="156" t="s">
        <v>98</v>
      </c>
      <c r="AM1707" s="156" t="s">
        <v>292</v>
      </c>
      <c r="AN1707" s="150" t="s">
        <v>276</v>
      </c>
      <c r="AO1707" s="159">
        <f t="shared" ref="AO1707" si="480">AI1707*100/AK1707</f>
        <v>67.71653543307086</v>
      </c>
      <c r="AP1707" s="150" t="s">
        <v>276</v>
      </c>
      <c r="AQ1707" s="150" t="s">
        <v>276</v>
      </c>
      <c r="AR1707" s="150" t="s">
        <v>98</v>
      </c>
      <c r="AS1707" s="150" t="s">
        <v>98</v>
      </c>
      <c r="AT1707" s="150" t="s">
        <v>98</v>
      </c>
      <c r="AU1707" s="150" t="s">
        <v>98</v>
      </c>
      <c r="AV1707" s="150" t="s">
        <v>98</v>
      </c>
      <c r="AW1707" s="150" t="s">
        <v>98</v>
      </c>
      <c r="AX1707" s="150" t="s">
        <v>98</v>
      </c>
      <c r="AY1707" s="150" t="s">
        <v>98</v>
      </c>
      <c r="AZ1707" s="150" t="s">
        <v>98</v>
      </c>
      <c r="BA1707" s="150" t="s">
        <v>98</v>
      </c>
      <c r="BB1707" s="150" t="s">
        <v>98</v>
      </c>
      <c r="BC1707" s="150" t="s">
        <v>98</v>
      </c>
      <c r="BD1707" s="150" t="s">
        <v>98</v>
      </c>
      <c r="BE1707" s="150" t="s">
        <v>98</v>
      </c>
      <c r="BF1707" s="151" t="s">
        <v>4710</v>
      </c>
      <c r="BG1707" s="151"/>
      <c r="BH1707" s="9" t="s">
        <v>100</v>
      </c>
      <c r="BI1707" s="9" t="s">
        <v>100</v>
      </c>
      <c r="BJ1707" s="171"/>
      <c r="BN1707" s="171"/>
      <c r="BO1707" s="171"/>
    </row>
    <row r="1708" spans="1:67" s="137" customFormat="1" ht="52" hidden="1" x14ac:dyDescent="0.35">
      <c r="A1708" s="126">
        <v>4095</v>
      </c>
      <c r="B1708" s="126" t="s">
        <v>9605</v>
      </c>
      <c r="C1708" s="127" t="s">
        <v>62</v>
      </c>
      <c r="D1708" s="127" t="s">
        <v>10244</v>
      </c>
      <c r="E1708" s="126" t="s">
        <v>35</v>
      </c>
      <c r="F1708" s="126" t="s">
        <v>97</v>
      </c>
      <c r="G1708" s="126" t="s">
        <v>225</v>
      </c>
      <c r="H1708" s="126" t="s">
        <v>225</v>
      </c>
      <c r="I1708" s="126" t="s">
        <v>98</v>
      </c>
      <c r="J1708" s="127" t="s">
        <v>98</v>
      </c>
      <c r="K1708" s="126" t="s">
        <v>98</v>
      </c>
      <c r="L1708" s="126" t="s">
        <v>98</v>
      </c>
      <c r="M1708" s="126" t="s">
        <v>98</v>
      </c>
      <c r="N1708" s="129" t="s">
        <v>10219</v>
      </c>
      <c r="O1708" s="127" t="s">
        <v>276</v>
      </c>
      <c r="P1708" s="127" t="s">
        <v>238</v>
      </c>
      <c r="Q1708" s="146" t="s">
        <v>10220</v>
      </c>
      <c r="R1708" s="127" t="s">
        <v>276</v>
      </c>
      <c r="S1708" s="127" t="s">
        <v>276</v>
      </c>
      <c r="T1708" s="127" t="s">
        <v>98</v>
      </c>
      <c r="U1708" s="167" t="s">
        <v>1219</v>
      </c>
      <c r="V1708" s="126" t="s">
        <v>15</v>
      </c>
      <c r="W1708" s="126" t="s">
        <v>9342</v>
      </c>
      <c r="X1708" s="127" t="s">
        <v>209</v>
      </c>
      <c r="Y1708" s="133">
        <v>23412</v>
      </c>
      <c r="Z1708" s="127" t="s">
        <v>98</v>
      </c>
      <c r="AA1708" s="127" t="s">
        <v>276</v>
      </c>
      <c r="AB1708" s="127" t="s">
        <v>98</v>
      </c>
      <c r="AC1708" s="126">
        <v>0</v>
      </c>
      <c r="AD1708" s="126" t="s">
        <v>5574</v>
      </c>
      <c r="AE1708" s="126" t="s">
        <v>98</v>
      </c>
      <c r="AF1708" s="126" t="s">
        <v>98</v>
      </c>
      <c r="AG1708" s="127" t="s">
        <v>10245</v>
      </c>
      <c r="AH1708" s="127" t="s">
        <v>10246</v>
      </c>
      <c r="AI1708" s="134">
        <f>184+183</f>
        <v>367</v>
      </c>
      <c r="AJ1708" s="134" t="s">
        <v>98</v>
      </c>
      <c r="AK1708" s="133">
        <v>23412</v>
      </c>
      <c r="AL1708" s="134" t="s">
        <v>98</v>
      </c>
      <c r="AM1708" s="134" t="s">
        <v>281</v>
      </c>
      <c r="AN1708" s="126" t="s">
        <v>276</v>
      </c>
      <c r="AO1708" s="135">
        <f t="shared" ref="AO1708" si="481">AI1708*1000/AK1708</f>
        <v>15.675721852041688</v>
      </c>
      <c r="AP1708" s="126" t="s">
        <v>276</v>
      </c>
      <c r="AQ1708" s="126" t="s">
        <v>276</v>
      </c>
      <c r="AR1708" s="126" t="s">
        <v>98</v>
      </c>
      <c r="AS1708" s="126" t="s">
        <v>98</v>
      </c>
      <c r="AT1708" s="126" t="s">
        <v>98</v>
      </c>
      <c r="AU1708" s="126" t="s">
        <v>98</v>
      </c>
      <c r="AV1708" s="126" t="s">
        <v>98</v>
      </c>
      <c r="AW1708" s="126" t="s">
        <v>98</v>
      </c>
      <c r="AX1708" s="126" t="s">
        <v>98</v>
      </c>
      <c r="AY1708" s="126" t="s">
        <v>98</v>
      </c>
      <c r="AZ1708" s="126" t="s">
        <v>98</v>
      </c>
      <c r="BA1708" s="126" t="s">
        <v>98</v>
      </c>
      <c r="BB1708" s="126" t="s">
        <v>98</v>
      </c>
      <c r="BC1708" s="126" t="s">
        <v>98</v>
      </c>
      <c r="BD1708" s="126" t="s">
        <v>98</v>
      </c>
      <c r="BE1708" s="126" t="s">
        <v>98</v>
      </c>
      <c r="BF1708" s="127" t="s">
        <v>4710</v>
      </c>
      <c r="BG1708" s="127"/>
      <c r="BH1708" s="9" t="s">
        <v>100</v>
      </c>
      <c r="BI1708" s="9" t="s">
        <v>100</v>
      </c>
      <c r="BJ1708" s="136"/>
      <c r="BN1708" s="136"/>
      <c r="BO1708" s="136"/>
    </row>
    <row r="1709" spans="1:67" s="137" customFormat="1" ht="65" hidden="1" x14ac:dyDescent="0.35">
      <c r="A1709" s="126">
        <v>4095</v>
      </c>
      <c r="B1709" s="126" t="s">
        <v>9605</v>
      </c>
      <c r="C1709" s="127" t="s">
        <v>62</v>
      </c>
      <c r="D1709" s="127" t="s">
        <v>10247</v>
      </c>
      <c r="E1709" s="126" t="s">
        <v>35</v>
      </c>
      <c r="F1709" s="126" t="s">
        <v>97</v>
      </c>
      <c r="G1709" s="126" t="s">
        <v>225</v>
      </c>
      <c r="H1709" s="126" t="s">
        <v>225</v>
      </c>
      <c r="I1709" s="126" t="s">
        <v>98</v>
      </c>
      <c r="J1709" s="127" t="s">
        <v>98</v>
      </c>
      <c r="K1709" s="126" t="s">
        <v>98</v>
      </c>
      <c r="L1709" s="126" t="s">
        <v>98</v>
      </c>
      <c r="M1709" s="126" t="s">
        <v>98</v>
      </c>
      <c r="N1709" s="129" t="s">
        <v>10219</v>
      </c>
      <c r="O1709" s="127" t="s">
        <v>276</v>
      </c>
      <c r="P1709" s="127" t="s">
        <v>236</v>
      </c>
      <c r="Q1709" s="146" t="s">
        <v>10220</v>
      </c>
      <c r="R1709" s="127" t="s">
        <v>276</v>
      </c>
      <c r="S1709" s="127" t="s">
        <v>276</v>
      </c>
      <c r="T1709" s="127" t="s">
        <v>98</v>
      </c>
      <c r="U1709" s="167" t="s">
        <v>1219</v>
      </c>
      <c r="V1709" s="126" t="s">
        <v>15</v>
      </c>
      <c r="W1709" s="126" t="s">
        <v>9342</v>
      </c>
      <c r="X1709" s="127" t="s">
        <v>209</v>
      </c>
      <c r="Y1709" s="133" t="s">
        <v>98</v>
      </c>
      <c r="Z1709" s="127" t="s">
        <v>98</v>
      </c>
      <c r="AA1709" s="127" t="s">
        <v>276</v>
      </c>
      <c r="AB1709" s="127" t="s">
        <v>98</v>
      </c>
      <c r="AC1709" s="126">
        <v>0</v>
      </c>
      <c r="AD1709" s="126" t="s">
        <v>5574</v>
      </c>
      <c r="AE1709" s="126" t="s">
        <v>98</v>
      </c>
      <c r="AF1709" s="126" t="s">
        <v>98</v>
      </c>
      <c r="AG1709" s="127" t="s">
        <v>10248</v>
      </c>
      <c r="AH1709" s="127" t="s">
        <v>10249</v>
      </c>
      <c r="AI1709" s="134">
        <f>184+183</f>
        <v>367</v>
      </c>
      <c r="AJ1709" s="134" t="s">
        <v>98</v>
      </c>
      <c r="AK1709" s="133">
        <v>523</v>
      </c>
      <c r="AL1709" s="134" t="s">
        <v>98</v>
      </c>
      <c r="AM1709" s="134" t="s">
        <v>292</v>
      </c>
      <c r="AN1709" s="126" t="s">
        <v>276</v>
      </c>
      <c r="AO1709" s="135">
        <f t="shared" ref="AO1709" si="482">AI1709*100/AK1709</f>
        <v>70.172084130019115</v>
      </c>
      <c r="AP1709" s="126" t="s">
        <v>276</v>
      </c>
      <c r="AQ1709" s="126" t="s">
        <v>276</v>
      </c>
      <c r="AR1709" s="126" t="s">
        <v>98</v>
      </c>
      <c r="AS1709" s="126" t="s">
        <v>98</v>
      </c>
      <c r="AT1709" s="126" t="s">
        <v>98</v>
      </c>
      <c r="AU1709" s="126" t="s">
        <v>98</v>
      </c>
      <c r="AV1709" s="126" t="s">
        <v>98</v>
      </c>
      <c r="AW1709" s="126" t="s">
        <v>98</v>
      </c>
      <c r="AX1709" s="126" t="s">
        <v>98</v>
      </c>
      <c r="AY1709" s="126" t="s">
        <v>98</v>
      </c>
      <c r="AZ1709" s="126" t="s">
        <v>98</v>
      </c>
      <c r="BA1709" s="126" t="s">
        <v>98</v>
      </c>
      <c r="BB1709" s="126" t="s">
        <v>98</v>
      </c>
      <c r="BC1709" s="126" t="s">
        <v>98</v>
      </c>
      <c r="BD1709" s="126" t="s">
        <v>98</v>
      </c>
      <c r="BE1709" s="126" t="s">
        <v>98</v>
      </c>
      <c r="BF1709" s="127" t="s">
        <v>4710</v>
      </c>
      <c r="BG1709" s="127"/>
      <c r="BH1709" s="9" t="s">
        <v>100</v>
      </c>
      <c r="BI1709" s="9" t="s">
        <v>100</v>
      </c>
      <c r="BJ1709" s="136"/>
      <c r="BN1709" s="136"/>
      <c r="BO1709" s="136"/>
    </row>
    <row r="1710" spans="1:67" s="172" customFormat="1" ht="52" hidden="1" x14ac:dyDescent="0.35">
      <c r="A1710" s="150">
        <v>4095</v>
      </c>
      <c r="B1710" s="150" t="s">
        <v>9605</v>
      </c>
      <c r="C1710" s="151" t="s">
        <v>62</v>
      </c>
      <c r="D1710" s="151" t="s">
        <v>10250</v>
      </c>
      <c r="E1710" s="150" t="s">
        <v>35</v>
      </c>
      <c r="F1710" s="150" t="s">
        <v>97</v>
      </c>
      <c r="G1710" s="150" t="s">
        <v>225</v>
      </c>
      <c r="H1710" s="150" t="s">
        <v>225</v>
      </c>
      <c r="I1710" s="150" t="s">
        <v>98</v>
      </c>
      <c r="J1710" s="151" t="s">
        <v>98</v>
      </c>
      <c r="K1710" s="150" t="s">
        <v>98</v>
      </c>
      <c r="L1710" s="150" t="s">
        <v>98</v>
      </c>
      <c r="M1710" s="150" t="s">
        <v>98</v>
      </c>
      <c r="N1710" s="496" t="s">
        <v>10219</v>
      </c>
      <c r="O1710" s="151" t="s">
        <v>276</v>
      </c>
      <c r="P1710" s="151" t="s">
        <v>238</v>
      </c>
      <c r="Q1710" s="154" t="s">
        <v>10220</v>
      </c>
      <c r="R1710" s="151" t="s">
        <v>276</v>
      </c>
      <c r="S1710" s="151" t="s">
        <v>276</v>
      </c>
      <c r="T1710" s="151" t="s">
        <v>98</v>
      </c>
      <c r="U1710" s="168" t="s">
        <v>1191</v>
      </c>
      <c r="V1710" s="150" t="s">
        <v>15</v>
      </c>
      <c r="W1710" s="150" t="s">
        <v>9350</v>
      </c>
      <c r="X1710" s="151" t="s">
        <v>209</v>
      </c>
      <c r="Y1710" s="497">
        <v>10339</v>
      </c>
      <c r="Z1710" s="151" t="s">
        <v>98</v>
      </c>
      <c r="AA1710" s="151" t="s">
        <v>276</v>
      </c>
      <c r="AB1710" s="151" t="s">
        <v>98</v>
      </c>
      <c r="AC1710" s="150">
        <v>0</v>
      </c>
      <c r="AD1710" s="150" t="s">
        <v>5574</v>
      </c>
      <c r="AE1710" s="150" t="s">
        <v>98</v>
      </c>
      <c r="AF1710" s="150" t="s">
        <v>98</v>
      </c>
      <c r="AG1710" s="151" t="s">
        <v>10251</v>
      </c>
      <c r="AH1710" s="151" t="s">
        <v>10252</v>
      </c>
      <c r="AI1710" s="156">
        <f>101+52</f>
        <v>153</v>
      </c>
      <c r="AJ1710" s="156" t="s">
        <v>98</v>
      </c>
      <c r="AK1710" s="497">
        <v>10339</v>
      </c>
      <c r="AL1710" s="156" t="s">
        <v>98</v>
      </c>
      <c r="AM1710" s="156" t="s">
        <v>281</v>
      </c>
      <c r="AN1710" s="150" t="s">
        <v>276</v>
      </c>
      <c r="AO1710" s="159">
        <f t="shared" ref="AO1710" si="483">AI1710*1000/AK1710</f>
        <v>14.798336396169843</v>
      </c>
      <c r="AP1710" s="150" t="s">
        <v>276</v>
      </c>
      <c r="AQ1710" s="150" t="s">
        <v>276</v>
      </c>
      <c r="AR1710" s="150" t="s">
        <v>98</v>
      </c>
      <c r="AS1710" s="150" t="s">
        <v>98</v>
      </c>
      <c r="AT1710" s="150" t="s">
        <v>98</v>
      </c>
      <c r="AU1710" s="150" t="s">
        <v>98</v>
      </c>
      <c r="AV1710" s="150" t="s">
        <v>98</v>
      </c>
      <c r="AW1710" s="150" t="s">
        <v>98</v>
      </c>
      <c r="AX1710" s="150" t="s">
        <v>98</v>
      </c>
      <c r="AY1710" s="150" t="s">
        <v>98</v>
      </c>
      <c r="AZ1710" s="150" t="s">
        <v>98</v>
      </c>
      <c r="BA1710" s="150" t="s">
        <v>98</v>
      </c>
      <c r="BB1710" s="150" t="s">
        <v>98</v>
      </c>
      <c r="BC1710" s="150" t="s">
        <v>98</v>
      </c>
      <c r="BD1710" s="150" t="s">
        <v>98</v>
      </c>
      <c r="BE1710" s="150" t="s">
        <v>98</v>
      </c>
      <c r="BF1710" s="151" t="s">
        <v>4710</v>
      </c>
      <c r="BG1710" s="151"/>
      <c r="BH1710" s="9" t="s">
        <v>100</v>
      </c>
      <c r="BI1710" s="9" t="s">
        <v>100</v>
      </c>
      <c r="BJ1710" s="171"/>
      <c r="BN1710" s="171"/>
      <c r="BO1710" s="171"/>
    </row>
    <row r="1711" spans="1:67" s="172" customFormat="1" ht="65" hidden="1" x14ac:dyDescent="0.35">
      <c r="A1711" s="150">
        <v>4095</v>
      </c>
      <c r="B1711" s="150" t="s">
        <v>9605</v>
      </c>
      <c r="C1711" s="151" t="s">
        <v>62</v>
      </c>
      <c r="D1711" s="151" t="s">
        <v>10253</v>
      </c>
      <c r="E1711" s="150" t="s">
        <v>35</v>
      </c>
      <c r="F1711" s="150" t="s">
        <v>97</v>
      </c>
      <c r="G1711" s="150" t="s">
        <v>225</v>
      </c>
      <c r="H1711" s="150" t="s">
        <v>225</v>
      </c>
      <c r="I1711" s="150" t="s">
        <v>98</v>
      </c>
      <c r="J1711" s="151" t="s">
        <v>98</v>
      </c>
      <c r="K1711" s="150" t="s">
        <v>98</v>
      </c>
      <c r="L1711" s="150" t="s">
        <v>98</v>
      </c>
      <c r="M1711" s="150" t="s">
        <v>98</v>
      </c>
      <c r="N1711" s="496" t="s">
        <v>10219</v>
      </c>
      <c r="O1711" s="151" t="s">
        <v>276</v>
      </c>
      <c r="P1711" s="151" t="s">
        <v>236</v>
      </c>
      <c r="Q1711" s="154" t="s">
        <v>10220</v>
      </c>
      <c r="R1711" s="151" t="s">
        <v>276</v>
      </c>
      <c r="S1711" s="151" t="s">
        <v>276</v>
      </c>
      <c r="T1711" s="151" t="s">
        <v>98</v>
      </c>
      <c r="U1711" s="168" t="s">
        <v>1191</v>
      </c>
      <c r="V1711" s="150" t="s">
        <v>15</v>
      </c>
      <c r="W1711" s="150" t="s">
        <v>9350</v>
      </c>
      <c r="X1711" s="151" t="s">
        <v>209</v>
      </c>
      <c r="Y1711" s="497" t="s">
        <v>98</v>
      </c>
      <c r="Z1711" s="151" t="s">
        <v>98</v>
      </c>
      <c r="AA1711" s="151" t="s">
        <v>276</v>
      </c>
      <c r="AB1711" s="151" t="s">
        <v>98</v>
      </c>
      <c r="AC1711" s="150">
        <v>0</v>
      </c>
      <c r="AD1711" s="150" t="s">
        <v>5574</v>
      </c>
      <c r="AE1711" s="150" t="s">
        <v>98</v>
      </c>
      <c r="AF1711" s="150" t="s">
        <v>98</v>
      </c>
      <c r="AG1711" s="151" t="s">
        <v>10251</v>
      </c>
      <c r="AH1711" s="151" t="s">
        <v>10254</v>
      </c>
      <c r="AI1711" s="156">
        <f>101+52</f>
        <v>153</v>
      </c>
      <c r="AJ1711" s="156" t="s">
        <v>98</v>
      </c>
      <c r="AK1711" s="497">
        <v>259</v>
      </c>
      <c r="AL1711" s="156" t="s">
        <v>98</v>
      </c>
      <c r="AM1711" s="156" t="s">
        <v>292</v>
      </c>
      <c r="AN1711" s="150" t="s">
        <v>276</v>
      </c>
      <c r="AO1711" s="159">
        <f t="shared" ref="AO1711" si="484">AI1711*100/AK1711</f>
        <v>59.073359073359072</v>
      </c>
      <c r="AP1711" s="150" t="s">
        <v>276</v>
      </c>
      <c r="AQ1711" s="150" t="s">
        <v>276</v>
      </c>
      <c r="AR1711" s="150" t="s">
        <v>98</v>
      </c>
      <c r="AS1711" s="150" t="s">
        <v>98</v>
      </c>
      <c r="AT1711" s="150" t="s">
        <v>98</v>
      </c>
      <c r="AU1711" s="150" t="s">
        <v>98</v>
      </c>
      <c r="AV1711" s="150" t="s">
        <v>98</v>
      </c>
      <c r="AW1711" s="150" t="s">
        <v>98</v>
      </c>
      <c r="AX1711" s="150" t="s">
        <v>98</v>
      </c>
      <c r="AY1711" s="150" t="s">
        <v>98</v>
      </c>
      <c r="AZ1711" s="150" t="s">
        <v>98</v>
      </c>
      <c r="BA1711" s="150" t="s">
        <v>98</v>
      </c>
      <c r="BB1711" s="150" t="s">
        <v>98</v>
      </c>
      <c r="BC1711" s="150" t="s">
        <v>98</v>
      </c>
      <c r="BD1711" s="150" t="s">
        <v>98</v>
      </c>
      <c r="BE1711" s="150" t="s">
        <v>98</v>
      </c>
      <c r="BF1711" s="151" t="s">
        <v>4710</v>
      </c>
      <c r="BG1711" s="151"/>
      <c r="BH1711" s="9" t="s">
        <v>100</v>
      </c>
      <c r="BI1711" s="9" t="s">
        <v>100</v>
      </c>
      <c r="BJ1711" s="171"/>
      <c r="BN1711" s="171"/>
      <c r="BO1711" s="171"/>
    </row>
    <row r="1712" spans="1:67" s="137" customFormat="1" ht="78" hidden="1" x14ac:dyDescent="0.35">
      <c r="A1712" s="126">
        <v>4095</v>
      </c>
      <c r="B1712" s="126" t="s">
        <v>9605</v>
      </c>
      <c r="C1712" s="127" t="s">
        <v>62</v>
      </c>
      <c r="D1712" s="127" t="s">
        <v>10255</v>
      </c>
      <c r="E1712" s="126" t="s">
        <v>35</v>
      </c>
      <c r="F1712" s="126" t="s">
        <v>97</v>
      </c>
      <c r="G1712" s="126" t="s">
        <v>225</v>
      </c>
      <c r="H1712" s="126" t="s">
        <v>125</v>
      </c>
      <c r="I1712" s="126" t="s">
        <v>114</v>
      </c>
      <c r="J1712" s="127" t="s">
        <v>117</v>
      </c>
      <c r="K1712" s="126" t="s">
        <v>3830</v>
      </c>
      <c r="L1712" s="126" t="s">
        <v>276</v>
      </c>
      <c r="M1712" s="126" t="s">
        <v>276</v>
      </c>
      <c r="N1712" s="129" t="s">
        <v>10219</v>
      </c>
      <c r="O1712" s="127" t="s">
        <v>276</v>
      </c>
      <c r="P1712" s="127" t="s">
        <v>239</v>
      </c>
      <c r="Q1712" s="146" t="s">
        <v>10256</v>
      </c>
      <c r="R1712" s="127" t="s">
        <v>276</v>
      </c>
      <c r="S1712" s="127" t="s">
        <v>276</v>
      </c>
      <c r="T1712" s="127" t="s">
        <v>276</v>
      </c>
      <c r="U1712" s="167" t="s">
        <v>1719</v>
      </c>
      <c r="V1712" s="126" t="s">
        <v>15</v>
      </c>
      <c r="W1712" s="126" t="s">
        <v>9254</v>
      </c>
      <c r="X1712" s="127" t="s">
        <v>207</v>
      </c>
      <c r="Y1712" s="133">
        <v>77080</v>
      </c>
      <c r="Z1712" s="127">
        <v>55985</v>
      </c>
      <c r="AA1712" s="127" t="s">
        <v>276</v>
      </c>
      <c r="AB1712" s="127" t="s">
        <v>276</v>
      </c>
      <c r="AC1712" s="127" t="s">
        <v>10257</v>
      </c>
      <c r="AD1712" s="127" t="s">
        <v>10258</v>
      </c>
      <c r="AE1712" s="127" t="s">
        <v>10257</v>
      </c>
      <c r="AF1712" s="127" t="s">
        <v>10258</v>
      </c>
      <c r="AG1712" s="127" t="s">
        <v>10259</v>
      </c>
      <c r="AH1712" s="127" t="s">
        <v>9258</v>
      </c>
      <c r="AI1712" s="215">
        <f>1193-367</f>
        <v>826</v>
      </c>
      <c r="AJ1712" s="134">
        <v>367</v>
      </c>
      <c r="AK1712" s="133">
        <v>77080</v>
      </c>
      <c r="AL1712" s="127">
        <v>55985</v>
      </c>
      <c r="AM1712" s="134" t="s">
        <v>281</v>
      </c>
      <c r="AN1712" s="126" t="s">
        <v>276</v>
      </c>
      <c r="AO1712" s="135">
        <f t="shared" ref="AO1712:AO1767" si="485">AI1712*1000/AK1712</f>
        <v>10.71613907628438</v>
      </c>
      <c r="AP1712" s="126" t="s">
        <v>276</v>
      </c>
      <c r="AQ1712" s="126" t="s">
        <v>276</v>
      </c>
      <c r="AR1712" s="126" t="s">
        <v>276</v>
      </c>
      <c r="AS1712" s="135">
        <f t="shared" ref="AS1712:AS1767" si="486">AJ1712*1000/AL1712</f>
        <v>6.5553273198178079</v>
      </c>
      <c r="AT1712" s="126" t="s">
        <v>276</v>
      </c>
      <c r="AU1712" s="126" t="s">
        <v>276</v>
      </c>
      <c r="AV1712" s="126" t="s">
        <v>268</v>
      </c>
      <c r="AW1712" s="126" t="s">
        <v>276</v>
      </c>
      <c r="AX1712" s="148">
        <f t="shared" ref="AX1712:AX1767" si="487">AO1712/AS1712</f>
        <v>1.6347221966915015</v>
      </c>
      <c r="AY1712" s="126" t="s">
        <v>276</v>
      </c>
      <c r="AZ1712" s="126" t="s">
        <v>276</v>
      </c>
      <c r="BA1712" s="126" t="s">
        <v>276</v>
      </c>
      <c r="BB1712" s="126" t="s">
        <v>282</v>
      </c>
      <c r="BC1712" s="126" t="s">
        <v>98</v>
      </c>
      <c r="BD1712" s="126" t="s">
        <v>98</v>
      </c>
      <c r="BE1712" s="126" t="s">
        <v>98</v>
      </c>
      <c r="BF1712" s="127" t="s">
        <v>10260</v>
      </c>
      <c r="BG1712" s="127" t="s">
        <v>10261</v>
      </c>
      <c r="BH1712" s="9" t="s">
        <v>100</v>
      </c>
      <c r="BI1712" s="9" t="s">
        <v>100</v>
      </c>
      <c r="BJ1712" s="136"/>
      <c r="BN1712" s="136"/>
      <c r="BO1712" s="136"/>
    </row>
    <row r="1713" spans="1:67" s="137" customFormat="1" ht="78" hidden="1" x14ac:dyDescent="0.35">
      <c r="A1713" s="126">
        <v>4095</v>
      </c>
      <c r="B1713" s="126" t="s">
        <v>9605</v>
      </c>
      <c r="C1713" s="127" t="s">
        <v>62</v>
      </c>
      <c r="D1713" s="127" t="s">
        <v>10262</v>
      </c>
      <c r="E1713" s="126" t="s">
        <v>35</v>
      </c>
      <c r="F1713" s="126" t="s">
        <v>97</v>
      </c>
      <c r="G1713" s="126" t="s">
        <v>225</v>
      </c>
      <c r="H1713" s="126" t="s">
        <v>125</v>
      </c>
      <c r="I1713" s="126" t="s">
        <v>114</v>
      </c>
      <c r="J1713" s="127" t="s">
        <v>117</v>
      </c>
      <c r="K1713" s="126" t="s">
        <v>3836</v>
      </c>
      <c r="L1713" s="126" t="s">
        <v>276</v>
      </c>
      <c r="M1713" s="126" t="s">
        <v>276</v>
      </c>
      <c r="N1713" s="129" t="s">
        <v>10219</v>
      </c>
      <c r="O1713" s="127" t="s">
        <v>276</v>
      </c>
      <c r="P1713" s="127" t="s">
        <v>239</v>
      </c>
      <c r="Q1713" s="146" t="s">
        <v>10256</v>
      </c>
      <c r="R1713" s="127" t="s">
        <v>276</v>
      </c>
      <c r="S1713" s="127" t="s">
        <v>276</v>
      </c>
      <c r="T1713" s="127" t="s">
        <v>276</v>
      </c>
      <c r="U1713" s="167" t="s">
        <v>1719</v>
      </c>
      <c r="V1713" s="126" t="s">
        <v>15</v>
      </c>
      <c r="W1713" s="126" t="s">
        <v>9254</v>
      </c>
      <c r="X1713" s="127" t="s">
        <v>207</v>
      </c>
      <c r="Y1713" s="133">
        <v>77080</v>
      </c>
      <c r="Z1713" s="127">
        <v>55985</v>
      </c>
      <c r="AA1713" s="127" t="s">
        <v>276</v>
      </c>
      <c r="AB1713" s="127" t="s">
        <v>276</v>
      </c>
      <c r="AC1713" s="127" t="s">
        <v>10257</v>
      </c>
      <c r="AD1713" s="127" t="s">
        <v>10258</v>
      </c>
      <c r="AE1713" s="127" t="s">
        <v>10257</v>
      </c>
      <c r="AF1713" s="127" t="s">
        <v>10258</v>
      </c>
      <c r="AG1713" s="127" t="s">
        <v>10263</v>
      </c>
      <c r="AH1713" s="127" t="s">
        <v>9258</v>
      </c>
      <c r="AI1713" s="134">
        <f>581-267</f>
        <v>314</v>
      </c>
      <c r="AJ1713" s="134">
        <v>267</v>
      </c>
      <c r="AK1713" s="133">
        <v>77080</v>
      </c>
      <c r="AL1713" s="127">
        <v>55985</v>
      </c>
      <c r="AM1713" s="134" t="s">
        <v>281</v>
      </c>
      <c r="AN1713" s="126" t="s">
        <v>276</v>
      </c>
      <c r="AO1713" s="135">
        <f t="shared" si="485"/>
        <v>4.0736896730669434</v>
      </c>
      <c r="AP1713" s="126" t="s">
        <v>276</v>
      </c>
      <c r="AQ1713" s="126" t="s">
        <v>276</v>
      </c>
      <c r="AR1713" s="126" t="s">
        <v>276</v>
      </c>
      <c r="AS1713" s="135">
        <f t="shared" si="486"/>
        <v>4.7691345896222206</v>
      </c>
      <c r="AT1713" s="126" t="s">
        <v>276</v>
      </c>
      <c r="AU1713" s="126" t="s">
        <v>276</v>
      </c>
      <c r="AV1713" s="126" t="s">
        <v>268</v>
      </c>
      <c r="AW1713" s="126" t="s">
        <v>276</v>
      </c>
      <c r="AX1713" s="148">
        <f t="shared" si="487"/>
        <v>0.85417796384514166</v>
      </c>
      <c r="AY1713" s="126" t="s">
        <v>276</v>
      </c>
      <c r="AZ1713" s="126" t="s">
        <v>276</v>
      </c>
      <c r="BA1713" s="126" t="s">
        <v>276</v>
      </c>
      <c r="BB1713" s="126" t="s">
        <v>282</v>
      </c>
      <c r="BC1713" s="126" t="s">
        <v>98</v>
      </c>
      <c r="BD1713" s="126" t="s">
        <v>98</v>
      </c>
      <c r="BE1713" s="126" t="s">
        <v>98</v>
      </c>
      <c r="BF1713" s="127" t="s">
        <v>10260</v>
      </c>
      <c r="BG1713" s="127" t="s">
        <v>10261</v>
      </c>
      <c r="BH1713" s="9" t="s">
        <v>100</v>
      </c>
      <c r="BI1713" s="9" t="s">
        <v>100</v>
      </c>
      <c r="BJ1713" s="136"/>
      <c r="BN1713" s="136"/>
      <c r="BO1713" s="136"/>
    </row>
    <row r="1714" spans="1:67" s="137" customFormat="1" ht="78" hidden="1" x14ac:dyDescent="0.35">
      <c r="A1714" s="126">
        <v>4095</v>
      </c>
      <c r="B1714" s="126" t="s">
        <v>9605</v>
      </c>
      <c r="C1714" s="127" t="s">
        <v>62</v>
      </c>
      <c r="D1714" s="127" t="s">
        <v>10264</v>
      </c>
      <c r="E1714" s="126" t="s">
        <v>35</v>
      </c>
      <c r="F1714" s="126" t="s">
        <v>97</v>
      </c>
      <c r="G1714" s="126" t="s">
        <v>225</v>
      </c>
      <c r="H1714" s="126" t="s">
        <v>125</v>
      </c>
      <c r="I1714" s="126" t="s">
        <v>114</v>
      </c>
      <c r="J1714" s="127" t="s">
        <v>1116</v>
      </c>
      <c r="K1714" s="127" t="s">
        <v>10216</v>
      </c>
      <c r="L1714" s="126" t="s">
        <v>276</v>
      </c>
      <c r="M1714" s="126" t="s">
        <v>276</v>
      </c>
      <c r="N1714" s="129" t="s">
        <v>10219</v>
      </c>
      <c r="O1714" s="127" t="s">
        <v>276</v>
      </c>
      <c r="P1714" s="127" t="s">
        <v>239</v>
      </c>
      <c r="Q1714" s="146" t="s">
        <v>10256</v>
      </c>
      <c r="R1714" s="127" t="s">
        <v>276</v>
      </c>
      <c r="S1714" s="127" t="s">
        <v>276</v>
      </c>
      <c r="T1714" s="127" t="s">
        <v>276</v>
      </c>
      <c r="U1714" s="167" t="s">
        <v>1719</v>
      </c>
      <c r="V1714" s="126" t="s">
        <v>15</v>
      </c>
      <c r="W1714" s="126" t="s">
        <v>9254</v>
      </c>
      <c r="X1714" s="127" t="s">
        <v>207</v>
      </c>
      <c r="Y1714" s="133">
        <v>77080</v>
      </c>
      <c r="Z1714" s="127">
        <v>55985</v>
      </c>
      <c r="AA1714" s="127" t="s">
        <v>276</v>
      </c>
      <c r="AB1714" s="127" t="s">
        <v>276</v>
      </c>
      <c r="AC1714" s="127" t="s">
        <v>10257</v>
      </c>
      <c r="AD1714" s="127" t="s">
        <v>10258</v>
      </c>
      <c r="AE1714" s="127" t="s">
        <v>10257</v>
      </c>
      <c r="AF1714" s="127" t="s">
        <v>10258</v>
      </c>
      <c r="AG1714" s="127" t="s">
        <v>10265</v>
      </c>
      <c r="AH1714" s="127" t="s">
        <v>9258</v>
      </c>
      <c r="AI1714" s="134">
        <f>80-40</f>
        <v>40</v>
      </c>
      <c r="AJ1714" s="134">
        <v>40</v>
      </c>
      <c r="AK1714" s="133">
        <v>77080</v>
      </c>
      <c r="AL1714" s="127">
        <v>55985</v>
      </c>
      <c r="AM1714" s="134" t="s">
        <v>281</v>
      </c>
      <c r="AN1714" s="126" t="s">
        <v>276</v>
      </c>
      <c r="AO1714" s="135">
        <f t="shared" si="485"/>
        <v>0.51894135962636223</v>
      </c>
      <c r="AP1714" s="126" t="s">
        <v>276</v>
      </c>
      <c r="AQ1714" s="126" t="s">
        <v>276</v>
      </c>
      <c r="AR1714" s="126" t="s">
        <v>276</v>
      </c>
      <c r="AS1714" s="135">
        <f t="shared" si="486"/>
        <v>0.71447709207823529</v>
      </c>
      <c r="AT1714" s="126" t="s">
        <v>276</v>
      </c>
      <c r="AU1714" s="126" t="s">
        <v>276</v>
      </c>
      <c r="AV1714" s="126" t="s">
        <v>268</v>
      </c>
      <c r="AW1714" s="126" t="s">
        <v>276</v>
      </c>
      <c r="AX1714" s="148">
        <f t="shared" si="487"/>
        <v>0.72632330046704718</v>
      </c>
      <c r="AY1714" s="126" t="s">
        <v>276</v>
      </c>
      <c r="AZ1714" s="126" t="s">
        <v>276</v>
      </c>
      <c r="BA1714" s="126" t="s">
        <v>276</v>
      </c>
      <c r="BB1714" s="126" t="s">
        <v>282</v>
      </c>
      <c r="BC1714" s="126" t="s">
        <v>98</v>
      </c>
      <c r="BD1714" s="126" t="s">
        <v>98</v>
      </c>
      <c r="BE1714" s="126" t="s">
        <v>98</v>
      </c>
      <c r="BF1714" s="127" t="s">
        <v>10260</v>
      </c>
      <c r="BG1714" s="127" t="s">
        <v>10261</v>
      </c>
      <c r="BH1714" s="9" t="s">
        <v>100</v>
      </c>
      <c r="BI1714" s="9" t="s">
        <v>100</v>
      </c>
      <c r="BJ1714" s="136"/>
      <c r="BN1714" s="136"/>
      <c r="BO1714" s="136"/>
    </row>
    <row r="1715" spans="1:67" s="172" customFormat="1" ht="78" hidden="1" x14ac:dyDescent="0.35">
      <c r="A1715" s="150">
        <v>4095</v>
      </c>
      <c r="B1715" s="150" t="s">
        <v>9605</v>
      </c>
      <c r="C1715" s="151" t="s">
        <v>62</v>
      </c>
      <c r="D1715" s="151" t="s">
        <v>10266</v>
      </c>
      <c r="E1715" s="150" t="s">
        <v>35</v>
      </c>
      <c r="F1715" s="150" t="s">
        <v>97</v>
      </c>
      <c r="G1715" s="150" t="s">
        <v>225</v>
      </c>
      <c r="H1715" s="150" t="s">
        <v>125</v>
      </c>
      <c r="I1715" s="150" t="s">
        <v>114</v>
      </c>
      <c r="J1715" s="151" t="s">
        <v>31</v>
      </c>
      <c r="K1715" s="150" t="s">
        <v>3801</v>
      </c>
      <c r="L1715" s="150" t="s">
        <v>276</v>
      </c>
      <c r="M1715" s="150" t="s">
        <v>276</v>
      </c>
      <c r="N1715" s="496" t="s">
        <v>10219</v>
      </c>
      <c r="O1715" s="151" t="s">
        <v>276</v>
      </c>
      <c r="P1715" s="151" t="s">
        <v>239</v>
      </c>
      <c r="Q1715" s="154" t="s">
        <v>10256</v>
      </c>
      <c r="R1715" s="151" t="s">
        <v>276</v>
      </c>
      <c r="S1715" s="151" t="s">
        <v>276</v>
      </c>
      <c r="T1715" s="151" t="s">
        <v>276</v>
      </c>
      <c r="U1715" s="168" t="s">
        <v>1719</v>
      </c>
      <c r="V1715" s="150" t="s">
        <v>15</v>
      </c>
      <c r="W1715" s="150" t="s">
        <v>9254</v>
      </c>
      <c r="X1715" s="151" t="s">
        <v>207</v>
      </c>
      <c r="Y1715" s="497">
        <v>77080</v>
      </c>
      <c r="Z1715" s="151">
        <v>55985</v>
      </c>
      <c r="AA1715" s="151" t="s">
        <v>276</v>
      </c>
      <c r="AB1715" s="151" t="s">
        <v>276</v>
      </c>
      <c r="AC1715" s="151" t="s">
        <v>10267</v>
      </c>
      <c r="AD1715" s="151" t="s">
        <v>10268</v>
      </c>
      <c r="AE1715" s="151" t="s">
        <v>10267</v>
      </c>
      <c r="AF1715" s="151" t="s">
        <v>10268</v>
      </c>
      <c r="AG1715" s="151" t="s">
        <v>10269</v>
      </c>
      <c r="AH1715" s="151" t="s">
        <v>9258</v>
      </c>
      <c r="AI1715" s="156">
        <f>295-50</f>
        <v>245</v>
      </c>
      <c r="AJ1715" s="156">
        <v>50</v>
      </c>
      <c r="AK1715" s="497">
        <v>77080</v>
      </c>
      <c r="AL1715" s="151">
        <v>55985</v>
      </c>
      <c r="AM1715" s="156" t="s">
        <v>281</v>
      </c>
      <c r="AN1715" s="150" t="s">
        <v>276</v>
      </c>
      <c r="AO1715" s="159">
        <f t="shared" si="485"/>
        <v>3.1785158277114687</v>
      </c>
      <c r="AP1715" s="150" t="s">
        <v>276</v>
      </c>
      <c r="AQ1715" s="150" t="s">
        <v>276</v>
      </c>
      <c r="AR1715" s="150" t="s">
        <v>276</v>
      </c>
      <c r="AS1715" s="159">
        <f t="shared" si="486"/>
        <v>0.893096365097794</v>
      </c>
      <c r="AT1715" s="150" t="s">
        <v>276</v>
      </c>
      <c r="AU1715" s="150" t="s">
        <v>276</v>
      </c>
      <c r="AV1715" s="150" t="s">
        <v>268</v>
      </c>
      <c r="AW1715" s="150" t="s">
        <v>276</v>
      </c>
      <c r="AX1715" s="158">
        <f t="shared" si="487"/>
        <v>3.5589841722885316</v>
      </c>
      <c r="AY1715" s="150" t="s">
        <v>276</v>
      </c>
      <c r="AZ1715" s="150" t="s">
        <v>276</v>
      </c>
      <c r="BA1715" s="150" t="s">
        <v>276</v>
      </c>
      <c r="BB1715" s="150" t="s">
        <v>282</v>
      </c>
      <c r="BC1715" s="150" t="s">
        <v>98</v>
      </c>
      <c r="BD1715" s="150" t="s">
        <v>98</v>
      </c>
      <c r="BE1715" s="150" t="s">
        <v>98</v>
      </c>
      <c r="BF1715" s="151" t="s">
        <v>10260</v>
      </c>
      <c r="BG1715" s="151" t="s">
        <v>10261</v>
      </c>
      <c r="BH1715" s="9" t="s">
        <v>100</v>
      </c>
      <c r="BI1715" s="9" t="s">
        <v>100</v>
      </c>
      <c r="BJ1715" s="171"/>
      <c r="BN1715" s="171"/>
      <c r="BO1715" s="171"/>
    </row>
    <row r="1716" spans="1:67" s="172" customFormat="1" ht="78" hidden="1" x14ac:dyDescent="0.35">
      <c r="A1716" s="150">
        <v>4095</v>
      </c>
      <c r="B1716" s="150" t="s">
        <v>9605</v>
      </c>
      <c r="C1716" s="151" t="s">
        <v>62</v>
      </c>
      <c r="D1716" s="151" t="s">
        <v>10270</v>
      </c>
      <c r="E1716" s="150" t="s">
        <v>35</v>
      </c>
      <c r="F1716" s="150" t="s">
        <v>97</v>
      </c>
      <c r="G1716" s="150" t="s">
        <v>225</v>
      </c>
      <c r="H1716" s="150" t="s">
        <v>125</v>
      </c>
      <c r="I1716" s="150" t="s">
        <v>114</v>
      </c>
      <c r="J1716" s="151" t="s">
        <v>31</v>
      </c>
      <c r="K1716" s="150" t="s">
        <v>3805</v>
      </c>
      <c r="L1716" s="150" t="s">
        <v>276</v>
      </c>
      <c r="M1716" s="150" t="s">
        <v>276</v>
      </c>
      <c r="N1716" s="496" t="s">
        <v>10219</v>
      </c>
      <c r="O1716" s="151" t="s">
        <v>276</v>
      </c>
      <c r="P1716" s="151" t="s">
        <v>239</v>
      </c>
      <c r="Q1716" s="154" t="s">
        <v>10256</v>
      </c>
      <c r="R1716" s="151" t="s">
        <v>276</v>
      </c>
      <c r="S1716" s="151" t="s">
        <v>276</v>
      </c>
      <c r="T1716" s="151" t="s">
        <v>276</v>
      </c>
      <c r="U1716" s="168" t="s">
        <v>1719</v>
      </c>
      <c r="V1716" s="150" t="s">
        <v>15</v>
      </c>
      <c r="W1716" s="150" t="s">
        <v>9254</v>
      </c>
      <c r="X1716" s="151" t="s">
        <v>207</v>
      </c>
      <c r="Y1716" s="497">
        <v>77080</v>
      </c>
      <c r="Z1716" s="151">
        <v>55985</v>
      </c>
      <c r="AA1716" s="151" t="s">
        <v>276</v>
      </c>
      <c r="AB1716" s="151" t="s">
        <v>276</v>
      </c>
      <c r="AC1716" s="151" t="s">
        <v>10267</v>
      </c>
      <c r="AD1716" s="151" t="s">
        <v>10268</v>
      </c>
      <c r="AE1716" s="151" t="s">
        <v>10267</v>
      </c>
      <c r="AF1716" s="151" t="s">
        <v>10268</v>
      </c>
      <c r="AG1716" s="151" t="s">
        <v>10271</v>
      </c>
      <c r="AH1716" s="151" t="s">
        <v>9258</v>
      </c>
      <c r="AI1716" s="156">
        <f>412-107</f>
        <v>305</v>
      </c>
      <c r="AJ1716" s="156">
        <v>107</v>
      </c>
      <c r="AK1716" s="497">
        <v>77080</v>
      </c>
      <c r="AL1716" s="151">
        <v>55985</v>
      </c>
      <c r="AM1716" s="156" t="s">
        <v>281</v>
      </c>
      <c r="AN1716" s="150" t="s">
        <v>276</v>
      </c>
      <c r="AO1716" s="159">
        <f t="shared" si="485"/>
        <v>3.9569278671510117</v>
      </c>
      <c r="AP1716" s="150" t="s">
        <v>276</v>
      </c>
      <c r="AQ1716" s="150" t="s">
        <v>276</v>
      </c>
      <c r="AR1716" s="150" t="s">
        <v>276</v>
      </c>
      <c r="AS1716" s="159">
        <f t="shared" si="486"/>
        <v>1.9112262213092792</v>
      </c>
      <c r="AT1716" s="150" t="s">
        <v>276</v>
      </c>
      <c r="AU1716" s="150" t="s">
        <v>276</v>
      </c>
      <c r="AV1716" s="150" t="s">
        <v>268</v>
      </c>
      <c r="AW1716" s="150" t="s">
        <v>276</v>
      </c>
      <c r="AX1716" s="158">
        <f t="shared" si="487"/>
        <v>2.0703608097425179</v>
      </c>
      <c r="AY1716" s="150" t="s">
        <v>276</v>
      </c>
      <c r="AZ1716" s="150" t="s">
        <v>276</v>
      </c>
      <c r="BA1716" s="150" t="s">
        <v>276</v>
      </c>
      <c r="BB1716" s="150" t="s">
        <v>282</v>
      </c>
      <c r="BC1716" s="150" t="s">
        <v>98</v>
      </c>
      <c r="BD1716" s="150" t="s">
        <v>98</v>
      </c>
      <c r="BE1716" s="150" t="s">
        <v>98</v>
      </c>
      <c r="BF1716" s="151" t="s">
        <v>10260</v>
      </c>
      <c r="BG1716" s="151" t="s">
        <v>10261</v>
      </c>
      <c r="BH1716" s="9" t="s">
        <v>100</v>
      </c>
      <c r="BI1716" s="9" t="s">
        <v>100</v>
      </c>
      <c r="BJ1716" s="171"/>
      <c r="BN1716" s="171"/>
      <c r="BO1716" s="171"/>
    </row>
    <row r="1717" spans="1:67" s="172" customFormat="1" ht="78" hidden="1" x14ac:dyDescent="0.35">
      <c r="A1717" s="150">
        <v>4095</v>
      </c>
      <c r="B1717" s="150" t="s">
        <v>9605</v>
      </c>
      <c r="C1717" s="151" t="s">
        <v>62</v>
      </c>
      <c r="D1717" s="151" t="s">
        <v>10272</v>
      </c>
      <c r="E1717" s="150" t="s">
        <v>35</v>
      </c>
      <c r="F1717" s="150" t="s">
        <v>97</v>
      </c>
      <c r="G1717" s="150" t="s">
        <v>225</v>
      </c>
      <c r="H1717" s="150" t="s">
        <v>125</v>
      </c>
      <c r="I1717" s="150" t="s">
        <v>114</v>
      </c>
      <c r="J1717" s="151" t="s">
        <v>31</v>
      </c>
      <c r="K1717" s="150" t="s">
        <v>3808</v>
      </c>
      <c r="L1717" s="150" t="s">
        <v>276</v>
      </c>
      <c r="M1717" s="150" t="s">
        <v>276</v>
      </c>
      <c r="N1717" s="496" t="s">
        <v>10219</v>
      </c>
      <c r="O1717" s="151" t="s">
        <v>276</v>
      </c>
      <c r="P1717" s="151" t="s">
        <v>239</v>
      </c>
      <c r="Q1717" s="154" t="s">
        <v>10256</v>
      </c>
      <c r="R1717" s="151" t="s">
        <v>276</v>
      </c>
      <c r="S1717" s="151" t="s">
        <v>276</v>
      </c>
      <c r="T1717" s="151" t="s">
        <v>276</v>
      </c>
      <c r="U1717" s="168" t="s">
        <v>1719</v>
      </c>
      <c r="V1717" s="150" t="s">
        <v>15</v>
      </c>
      <c r="W1717" s="150" t="s">
        <v>9254</v>
      </c>
      <c r="X1717" s="151" t="s">
        <v>207</v>
      </c>
      <c r="Y1717" s="497">
        <v>77080</v>
      </c>
      <c r="Z1717" s="151">
        <v>55985</v>
      </c>
      <c r="AA1717" s="151" t="s">
        <v>276</v>
      </c>
      <c r="AB1717" s="151" t="s">
        <v>276</v>
      </c>
      <c r="AC1717" s="151" t="s">
        <v>10267</v>
      </c>
      <c r="AD1717" s="151" t="s">
        <v>10268</v>
      </c>
      <c r="AE1717" s="151" t="s">
        <v>10267</v>
      </c>
      <c r="AF1717" s="151" t="s">
        <v>10268</v>
      </c>
      <c r="AG1717" s="151" t="s">
        <v>10273</v>
      </c>
      <c r="AH1717" s="151" t="s">
        <v>9258</v>
      </c>
      <c r="AI1717" s="156">
        <f>391-143</f>
        <v>248</v>
      </c>
      <c r="AJ1717" s="156">
        <v>143</v>
      </c>
      <c r="AK1717" s="497">
        <v>77080</v>
      </c>
      <c r="AL1717" s="151">
        <v>55985</v>
      </c>
      <c r="AM1717" s="156" t="s">
        <v>281</v>
      </c>
      <c r="AN1717" s="150" t="s">
        <v>276</v>
      </c>
      <c r="AO1717" s="159">
        <f t="shared" si="485"/>
        <v>3.2174364296834459</v>
      </c>
      <c r="AP1717" s="150" t="s">
        <v>276</v>
      </c>
      <c r="AQ1717" s="150" t="s">
        <v>276</v>
      </c>
      <c r="AR1717" s="150" t="s">
        <v>276</v>
      </c>
      <c r="AS1717" s="159">
        <f t="shared" si="486"/>
        <v>2.5542556041796911</v>
      </c>
      <c r="AT1717" s="150" t="s">
        <v>276</v>
      </c>
      <c r="AU1717" s="150" t="s">
        <v>276</v>
      </c>
      <c r="AV1717" s="150" t="s">
        <v>268</v>
      </c>
      <c r="AW1717" s="150" t="s">
        <v>276</v>
      </c>
      <c r="AX1717" s="158">
        <f t="shared" si="487"/>
        <v>1.2596376119987951</v>
      </c>
      <c r="AY1717" s="150" t="s">
        <v>276</v>
      </c>
      <c r="AZ1717" s="150" t="s">
        <v>276</v>
      </c>
      <c r="BA1717" s="150" t="s">
        <v>276</v>
      </c>
      <c r="BB1717" s="150" t="s">
        <v>282</v>
      </c>
      <c r="BC1717" s="150" t="s">
        <v>98</v>
      </c>
      <c r="BD1717" s="150" t="s">
        <v>98</v>
      </c>
      <c r="BE1717" s="150" t="s">
        <v>98</v>
      </c>
      <c r="BF1717" s="151" t="s">
        <v>10260</v>
      </c>
      <c r="BG1717" s="151" t="s">
        <v>10261</v>
      </c>
      <c r="BH1717" s="9" t="s">
        <v>100</v>
      </c>
      <c r="BI1717" s="9" t="s">
        <v>100</v>
      </c>
      <c r="BJ1717" s="171"/>
      <c r="BN1717" s="171"/>
      <c r="BO1717" s="171"/>
    </row>
    <row r="1718" spans="1:67" s="137" customFormat="1" ht="78" hidden="1" x14ac:dyDescent="0.35">
      <c r="A1718" s="126">
        <v>4095</v>
      </c>
      <c r="B1718" s="126" t="s">
        <v>9605</v>
      </c>
      <c r="C1718" s="127" t="s">
        <v>62</v>
      </c>
      <c r="D1718" s="127" t="s">
        <v>10274</v>
      </c>
      <c r="E1718" s="126" t="s">
        <v>35</v>
      </c>
      <c r="F1718" s="126" t="s">
        <v>97</v>
      </c>
      <c r="G1718" s="126" t="s">
        <v>225</v>
      </c>
      <c r="H1718" s="126" t="s">
        <v>125</v>
      </c>
      <c r="I1718" s="126" t="s">
        <v>114</v>
      </c>
      <c r="J1718" s="127" t="s">
        <v>31</v>
      </c>
      <c r="K1718" s="126" t="s">
        <v>3824</v>
      </c>
      <c r="L1718" s="126" t="s">
        <v>276</v>
      </c>
      <c r="M1718" s="126" t="s">
        <v>276</v>
      </c>
      <c r="N1718" s="129" t="s">
        <v>10219</v>
      </c>
      <c r="O1718" s="127" t="s">
        <v>276</v>
      </c>
      <c r="P1718" s="127" t="s">
        <v>239</v>
      </c>
      <c r="Q1718" s="146" t="s">
        <v>10256</v>
      </c>
      <c r="R1718" s="127" t="s">
        <v>276</v>
      </c>
      <c r="S1718" s="127" t="s">
        <v>276</v>
      </c>
      <c r="T1718" s="127" t="s">
        <v>276</v>
      </c>
      <c r="U1718" s="167" t="s">
        <v>1719</v>
      </c>
      <c r="V1718" s="126" t="s">
        <v>15</v>
      </c>
      <c r="W1718" s="126" t="s">
        <v>9254</v>
      </c>
      <c r="X1718" s="127" t="s">
        <v>207</v>
      </c>
      <c r="Y1718" s="133">
        <v>77080</v>
      </c>
      <c r="Z1718" s="127">
        <v>55985</v>
      </c>
      <c r="AA1718" s="127" t="s">
        <v>276</v>
      </c>
      <c r="AB1718" s="127" t="s">
        <v>276</v>
      </c>
      <c r="AC1718" s="127" t="s">
        <v>10267</v>
      </c>
      <c r="AD1718" s="127" t="s">
        <v>10268</v>
      </c>
      <c r="AE1718" s="127" t="s">
        <v>10267</v>
      </c>
      <c r="AF1718" s="127" t="s">
        <v>10268</v>
      </c>
      <c r="AG1718" s="127" t="s">
        <v>10275</v>
      </c>
      <c r="AH1718" s="127" t="s">
        <v>9258</v>
      </c>
      <c r="AI1718" s="134">
        <f>AI1715+AI1716+AI1717</f>
        <v>798</v>
      </c>
      <c r="AJ1718" s="134">
        <f>AJ1715+AJ1716+AJ1717</f>
        <v>300</v>
      </c>
      <c r="AK1718" s="133">
        <v>77080</v>
      </c>
      <c r="AL1718" s="127">
        <v>55985</v>
      </c>
      <c r="AM1718" s="134" t="s">
        <v>281</v>
      </c>
      <c r="AN1718" s="126" t="s">
        <v>276</v>
      </c>
      <c r="AO1718" s="135">
        <f t="shared" si="485"/>
        <v>10.352880124545926</v>
      </c>
      <c r="AP1718" s="126" t="s">
        <v>276</v>
      </c>
      <c r="AQ1718" s="126" t="s">
        <v>276</v>
      </c>
      <c r="AR1718" s="126" t="s">
        <v>276</v>
      </c>
      <c r="AS1718" s="135">
        <f t="shared" si="486"/>
        <v>5.3585781905867647</v>
      </c>
      <c r="AT1718" s="126" t="s">
        <v>276</v>
      </c>
      <c r="AU1718" s="126" t="s">
        <v>276</v>
      </c>
      <c r="AV1718" s="126" t="s">
        <v>268</v>
      </c>
      <c r="AW1718" s="126" t="s">
        <v>276</v>
      </c>
      <c r="AX1718" s="148">
        <f t="shared" si="487"/>
        <v>1.9320199792423456</v>
      </c>
      <c r="AY1718" s="126" t="s">
        <v>276</v>
      </c>
      <c r="AZ1718" s="126" t="s">
        <v>276</v>
      </c>
      <c r="BA1718" s="126" t="s">
        <v>276</v>
      </c>
      <c r="BB1718" s="126" t="s">
        <v>282</v>
      </c>
      <c r="BC1718" s="126" t="s">
        <v>98</v>
      </c>
      <c r="BD1718" s="126" t="s">
        <v>98</v>
      </c>
      <c r="BE1718" s="126" t="s">
        <v>98</v>
      </c>
      <c r="BF1718" s="127" t="s">
        <v>10260</v>
      </c>
      <c r="BG1718" s="127" t="s">
        <v>10261</v>
      </c>
      <c r="BH1718" s="9" t="s">
        <v>100</v>
      </c>
      <c r="BI1718" s="9" t="s">
        <v>100</v>
      </c>
      <c r="BJ1718" s="136"/>
      <c r="BN1718" s="136"/>
      <c r="BO1718" s="136"/>
    </row>
    <row r="1719" spans="1:67" s="172" customFormat="1" ht="78" hidden="1" x14ac:dyDescent="0.35">
      <c r="A1719" s="150">
        <v>4095</v>
      </c>
      <c r="B1719" s="150" t="s">
        <v>9605</v>
      </c>
      <c r="C1719" s="151" t="s">
        <v>62</v>
      </c>
      <c r="D1719" s="151" t="s">
        <v>10276</v>
      </c>
      <c r="E1719" s="150" t="s">
        <v>35</v>
      </c>
      <c r="F1719" s="150" t="s">
        <v>97</v>
      </c>
      <c r="G1719" s="150" t="s">
        <v>225</v>
      </c>
      <c r="H1719" s="150" t="s">
        <v>125</v>
      </c>
      <c r="I1719" s="150" t="s">
        <v>114</v>
      </c>
      <c r="J1719" s="151" t="s">
        <v>31</v>
      </c>
      <c r="K1719" s="150" t="s">
        <v>3811</v>
      </c>
      <c r="L1719" s="150" t="s">
        <v>276</v>
      </c>
      <c r="M1719" s="150" t="s">
        <v>276</v>
      </c>
      <c r="N1719" s="496" t="s">
        <v>10219</v>
      </c>
      <c r="O1719" s="151" t="s">
        <v>276</v>
      </c>
      <c r="P1719" s="151" t="s">
        <v>239</v>
      </c>
      <c r="Q1719" s="154" t="s">
        <v>10256</v>
      </c>
      <c r="R1719" s="151" t="s">
        <v>276</v>
      </c>
      <c r="S1719" s="151" t="s">
        <v>276</v>
      </c>
      <c r="T1719" s="151" t="s">
        <v>276</v>
      </c>
      <c r="U1719" s="168" t="s">
        <v>1719</v>
      </c>
      <c r="V1719" s="150" t="s">
        <v>15</v>
      </c>
      <c r="W1719" s="150" t="s">
        <v>9254</v>
      </c>
      <c r="X1719" s="151" t="s">
        <v>207</v>
      </c>
      <c r="Y1719" s="497">
        <v>77080</v>
      </c>
      <c r="Z1719" s="151">
        <v>55985</v>
      </c>
      <c r="AA1719" s="151" t="s">
        <v>276</v>
      </c>
      <c r="AB1719" s="151" t="s">
        <v>276</v>
      </c>
      <c r="AC1719" s="151" t="s">
        <v>10267</v>
      </c>
      <c r="AD1719" s="151" t="s">
        <v>10268</v>
      </c>
      <c r="AE1719" s="151" t="s">
        <v>10267</v>
      </c>
      <c r="AF1719" s="151" t="s">
        <v>10268</v>
      </c>
      <c r="AG1719" s="151" t="s">
        <v>10277</v>
      </c>
      <c r="AH1719" s="151" t="s">
        <v>9258</v>
      </c>
      <c r="AI1719" s="156">
        <f>474-216</f>
        <v>258</v>
      </c>
      <c r="AJ1719" s="156">
        <v>216</v>
      </c>
      <c r="AK1719" s="497">
        <v>77080</v>
      </c>
      <c r="AL1719" s="151">
        <v>55985</v>
      </c>
      <c r="AM1719" s="156" t="s">
        <v>281</v>
      </c>
      <c r="AN1719" s="150" t="s">
        <v>276</v>
      </c>
      <c r="AO1719" s="159">
        <f t="shared" si="485"/>
        <v>3.3471717695900365</v>
      </c>
      <c r="AP1719" s="150" t="s">
        <v>276</v>
      </c>
      <c r="AQ1719" s="150" t="s">
        <v>276</v>
      </c>
      <c r="AR1719" s="150" t="s">
        <v>276</v>
      </c>
      <c r="AS1719" s="159">
        <f t="shared" si="486"/>
        <v>3.8581762972224705</v>
      </c>
      <c r="AT1719" s="150" t="s">
        <v>276</v>
      </c>
      <c r="AU1719" s="150" t="s">
        <v>276</v>
      </c>
      <c r="AV1719" s="150" t="s">
        <v>268</v>
      </c>
      <c r="AW1719" s="150" t="s">
        <v>276</v>
      </c>
      <c r="AX1719" s="158">
        <f t="shared" si="487"/>
        <v>0.86755283111341752</v>
      </c>
      <c r="AY1719" s="150" t="s">
        <v>276</v>
      </c>
      <c r="AZ1719" s="150" t="s">
        <v>276</v>
      </c>
      <c r="BA1719" s="150" t="s">
        <v>276</v>
      </c>
      <c r="BB1719" s="150" t="s">
        <v>282</v>
      </c>
      <c r="BC1719" s="150" t="s">
        <v>98</v>
      </c>
      <c r="BD1719" s="150" t="s">
        <v>98</v>
      </c>
      <c r="BE1719" s="150" t="s">
        <v>98</v>
      </c>
      <c r="BF1719" s="151" t="s">
        <v>10260</v>
      </c>
      <c r="BG1719" s="151" t="s">
        <v>10261</v>
      </c>
      <c r="BH1719" s="9" t="s">
        <v>100</v>
      </c>
      <c r="BI1719" s="9" t="s">
        <v>100</v>
      </c>
      <c r="BJ1719" s="171"/>
      <c r="BN1719" s="171"/>
      <c r="BO1719" s="171"/>
    </row>
    <row r="1720" spans="1:67" s="172" customFormat="1" ht="78" hidden="1" x14ac:dyDescent="0.35">
      <c r="A1720" s="150">
        <v>4095</v>
      </c>
      <c r="B1720" s="150" t="s">
        <v>9605</v>
      </c>
      <c r="C1720" s="151" t="s">
        <v>62</v>
      </c>
      <c r="D1720" s="151" t="s">
        <v>10278</v>
      </c>
      <c r="E1720" s="150" t="s">
        <v>35</v>
      </c>
      <c r="F1720" s="150" t="s">
        <v>97</v>
      </c>
      <c r="G1720" s="150" t="s">
        <v>225</v>
      </c>
      <c r="H1720" s="150" t="s">
        <v>125</v>
      </c>
      <c r="I1720" s="150" t="s">
        <v>114</v>
      </c>
      <c r="J1720" s="151" t="s">
        <v>31</v>
      </c>
      <c r="K1720" s="150" t="s">
        <v>3814</v>
      </c>
      <c r="L1720" s="150" t="s">
        <v>276</v>
      </c>
      <c r="M1720" s="150" t="s">
        <v>276</v>
      </c>
      <c r="N1720" s="496" t="s">
        <v>10219</v>
      </c>
      <c r="O1720" s="151" t="s">
        <v>276</v>
      </c>
      <c r="P1720" s="151" t="s">
        <v>239</v>
      </c>
      <c r="Q1720" s="154" t="s">
        <v>10256</v>
      </c>
      <c r="R1720" s="151" t="s">
        <v>276</v>
      </c>
      <c r="S1720" s="151" t="s">
        <v>276</v>
      </c>
      <c r="T1720" s="151" t="s">
        <v>276</v>
      </c>
      <c r="U1720" s="168" t="s">
        <v>1719</v>
      </c>
      <c r="V1720" s="150" t="s">
        <v>15</v>
      </c>
      <c r="W1720" s="150" t="s">
        <v>9254</v>
      </c>
      <c r="X1720" s="151" t="s">
        <v>207</v>
      </c>
      <c r="Y1720" s="497">
        <v>77080</v>
      </c>
      <c r="Z1720" s="151">
        <v>55985</v>
      </c>
      <c r="AA1720" s="151" t="s">
        <v>276</v>
      </c>
      <c r="AB1720" s="151" t="s">
        <v>276</v>
      </c>
      <c r="AC1720" s="151" t="s">
        <v>10267</v>
      </c>
      <c r="AD1720" s="151" t="s">
        <v>10268</v>
      </c>
      <c r="AE1720" s="151" t="s">
        <v>10267</v>
      </c>
      <c r="AF1720" s="151" t="s">
        <v>10268</v>
      </c>
      <c r="AG1720" s="151" t="s">
        <v>10279</v>
      </c>
      <c r="AH1720" s="151" t="s">
        <v>9258</v>
      </c>
      <c r="AI1720" s="156">
        <f>267-143</f>
        <v>124</v>
      </c>
      <c r="AJ1720" s="156">
        <v>143</v>
      </c>
      <c r="AK1720" s="497">
        <v>77080</v>
      </c>
      <c r="AL1720" s="151">
        <v>55985</v>
      </c>
      <c r="AM1720" s="156" t="s">
        <v>281</v>
      </c>
      <c r="AN1720" s="150" t="s">
        <v>276</v>
      </c>
      <c r="AO1720" s="159">
        <f t="shared" si="485"/>
        <v>1.6087182148417229</v>
      </c>
      <c r="AP1720" s="150" t="s">
        <v>276</v>
      </c>
      <c r="AQ1720" s="150" t="s">
        <v>276</v>
      </c>
      <c r="AR1720" s="150" t="s">
        <v>276</v>
      </c>
      <c r="AS1720" s="159">
        <f t="shared" si="486"/>
        <v>2.5542556041796911</v>
      </c>
      <c r="AT1720" s="150" t="s">
        <v>276</v>
      </c>
      <c r="AU1720" s="150" t="s">
        <v>276</v>
      </c>
      <c r="AV1720" s="150" t="s">
        <v>268</v>
      </c>
      <c r="AW1720" s="150" t="s">
        <v>276</v>
      </c>
      <c r="AX1720" s="158">
        <f t="shared" si="487"/>
        <v>0.62981880599939755</v>
      </c>
      <c r="AY1720" s="150" t="s">
        <v>276</v>
      </c>
      <c r="AZ1720" s="150" t="s">
        <v>276</v>
      </c>
      <c r="BA1720" s="150" t="s">
        <v>276</v>
      </c>
      <c r="BB1720" s="150" t="s">
        <v>282</v>
      </c>
      <c r="BC1720" s="150" t="s">
        <v>98</v>
      </c>
      <c r="BD1720" s="150" t="s">
        <v>98</v>
      </c>
      <c r="BE1720" s="150" t="s">
        <v>98</v>
      </c>
      <c r="BF1720" s="151" t="s">
        <v>10260</v>
      </c>
      <c r="BG1720" s="151" t="s">
        <v>10261</v>
      </c>
      <c r="BH1720" s="9" t="s">
        <v>100</v>
      </c>
      <c r="BI1720" s="9" t="s">
        <v>100</v>
      </c>
      <c r="BJ1720" s="171"/>
      <c r="BN1720" s="171"/>
      <c r="BO1720" s="171"/>
    </row>
    <row r="1721" spans="1:67" s="172" customFormat="1" ht="78" hidden="1" x14ac:dyDescent="0.35">
      <c r="A1721" s="150">
        <v>4095</v>
      </c>
      <c r="B1721" s="150" t="s">
        <v>9605</v>
      </c>
      <c r="C1721" s="151" t="s">
        <v>62</v>
      </c>
      <c r="D1721" s="151" t="s">
        <v>10280</v>
      </c>
      <c r="E1721" s="150" t="s">
        <v>35</v>
      </c>
      <c r="F1721" s="150" t="s">
        <v>97</v>
      </c>
      <c r="G1721" s="150" t="s">
        <v>225</v>
      </c>
      <c r="H1721" s="150" t="s">
        <v>125</v>
      </c>
      <c r="I1721" s="150" t="s">
        <v>114</v>
      </c>
      <c r="J1721" s="151" t="s">
        <v>31</v>
      </c>
      <c r="K1721" s="150" t="s">
        <v>10203</v>
      </c>
      <c r="L1721" s="150" t="s">
        <v>276</v>
      </c>
      <c r="M1721" s="150" t="s">
        <v>276</v>
      </c>
      <c r="N1721" s="496" t="s">
        <v>10219</v>
      </c>
      <c r="O1721" s="151" t="s">
        <v>276</v>
      </c>
      <c r="P1721" s="151" t="s">
        <v>239</v>
      </c>
      <c r="Q1721" s="154" t="s">
        <v>10256</v>
      </c>
      <c r="R1721" s="151" t="s">
        <v>276</v>
      </c>
      <c r="S1721" s="151" t="s">
        <v>276</v>
      </c>
      <c r="T1721" s="151" t="s">
        <v>276</v>
      </c>
      <c r="U1721" s="168" t="s">
        <v>1719</v>
      </c>
      <c r="V1721" s="150" t="s">
        <v>15</v>
      </c>
      <c r="W1721" s="150" t="s">
        <v>9254</v>
      </c>
      <c r="X1721" s="151" t="s">
        <v>207</v>
      </c>
      <c r="Y1721" s="497">
        <v>77080</v>
      </c>
      <c r="Z1721" s="151">
        <v>55985</v>
      </c>
      <c r="AA1721" s="151" t="s">
        <v>276</v>
      </c>
      <c r="AB1721" s="151" t="s">
        <v>276</v>
      </c>
      <c r="AC1721" s="151" t="s">
        <v>10267</v>
      </c>
      <c r="AD1721" s="151" t="s">
        <v>10268</v>
      </c>
      <c r="AE1721" s="151" t="s">
        <v>10267</v>
      </c>
      <c r="AF1721" s="151" t="s">
        <v>10268</v>
      </c>
      <c r="AG1721" s="151" t="s">
        <v>10281</v>
      </c>
      <c r="AH1721" s="151" t="s">
        <v>9258</v>
      </c>
      <c r="AI1721" s="156">
        <f>139-68</f>
        <v>71</v>
      </c>
      <c r="AJ1721" s="156">
        <v>68</v>
      </c>
      <c r="AK1721" s="497">
        <v>77080</v>
      </c>
      <c r="AL1721" s="151">
        <v>55985</v>
      </c>
      <c r="AM1721" s="156" t="s">
        <v>281</v>
      </c>
      <c r="AN1721" s="150" t="s">
        <v>276</v>
      </c>
      <c r="AO1721" s="159">
        <f t="shared" si="485"/>
        <v>0.92112091333679291</v>
      </c>
      <c r="AP1721" s="150" t="s">
        <v>276</v>
      </c>
      <c r="AQ1721" s="150" t="s">
        <v>276</v>
      </c>
      <c r="AR1721" s="150" t="s">
        <v>276</v>
      </c>
      <c r="AS1721" s="159">
        <f t="shared" si="486"/>
        <v>1.2146110565329999</v>
      </c>
      <c r="AT1721" s="150" t="s">
        <v>276</v>
      </c>
      <c r="AU1721" s="150" t="s">
        <v>276</v>
      </c>
      <c r="AV1721" s="150" t="s">
        <v>268</v>
      </c>
      <c r="AW1721" s="150" t="s">
        <v>276</v>
      </c>
      <c r="AX1721" s="158">
        <f t="shared" si="487"/>
        <v>0.7583669754876522</v>
      </c>
      <c r="AY1721" s="150" t="s">
        <v>276</v>
      </c>
      <c r="AZ1721" s="150" t="s">
        <v>276</v>
      </c>
      <c r="BA1721" s="150" t="s">
        <v>276</v>
      </c>
      <c r="BB1721" s="150" t="s">
        <v>282</v>
      </c>
      <c r="BC1721" s="150" t="s">
        <v>98</v>
      </c>
      <c r="BD1721" s="150" t="s">
        <v>98</v>
      </c>
      <c r="BE1721" s="150" t="s">
        <v>98</v>
      </c>
      <c r="BF1721" s="151" t="s">
        <v>10260</v>
      </c>
      <c r="BG1721" s="151" t="s">
        <v>10261</v>
      </c>
      <c r="BH1721" s="9" t="s">
        <v>100</v>
      </c>
      <c r="BI1721" s="9" t="s">
        <v>100</v>
      </c>
      <c r="BJ1721" s="171"/>
      <c r="BN1721" s="171"/>
      <c r="BO1721" s="171"/>
    </row>
    <row r="1722" spans="1:67" s="137" customFormat="1" ht="78" hidden="1" x14ac:dyDescent="0.35">
      <c r="A1722" s="126">
        <v>4095</v>
      </c>
      <c r="B1722" s="126" t="s">
        <v>9605</v>
      </c>
      <c r="C1722" s="127" t="s">
        <v>62</v>
      </c>
      <c r="D1722" s="127" t="s">
        <v>10282</v>
      </c>
      <c r="E1722" s="126" t="s">
        <v>35</v>
      </c>
      <c r="F1722" s="126" t="s">
        <v>97</v>
      </c>
      <c r="G1722" s="126" t="s">
        <v>225</v>
      </c>
      <c r="H1722" s="126" t="s">
        <v>125</v>
      </c>
      <c r="I1722" s="126" t="s">
        <v>114</v>
      </c>
      <c r="J1722" s="127" t="s">
        <v>31</v>
      </c>
      <c r="K1722" s="498" t="s">
        <v>3821</v>
      </c>
      <c r="L1722" s="126" t="s">
        <v>276</v>
      </c>
      <c r="M1722" s="126" t="s">
        <v>276</v>
      </c>
      <c r="N1722" s="129" t="s">
        <v>10219</v>
      </c>
      <c r="O1722" s="127" t="s">
        <v>276</v>
      </c>
      <c r="P1722" s="127" t="s">
        <v>239</v>
      </c>
      <c r="Q1722" s="146" t="s">
        <v>10256</v>
      </c>
      <c r="R1722" s="127" t="s">
        <v>276</v>
      </c>
      <c r="S1722" s="127" t="s">
        <v>276</v>
      </c>
      <c r="T1722" s="127" t="s">
        <v>276</v>
      </c>
      <c r="U1722" s="167" t="s">
        <v>1719</v>
      </c>
      <c r="V1722" s="126" t="s">
        <v>15</v>
      </c>
      <c r="W1722" s="126" t="s">
        <v>9254</v>
      </c>
      <c r="X1722" s="127" t="s">
        <v>207</v>
      </c>
      <c r="Y1722" s="133">
        <v>77080</v>
      </c>
      <c r="Z1722" s="127">
        <v>55985</v>
      </c>
      <c r="AA1722" s="127" t="s">
        <v>276</v>
      </c>
      <c r="AB1722" s="127" t="s">
        <v>276</v>
      </c>
      <c r="AC1722" s="127" t="s">
        <v>10267</v>
      </c>
      <c r="AD1722" s="127" t="s">
        <v>10268</v>
      </c>
      <c r="AE1722" s="127" t="s">
        <v>10267</v>
      </c>
      <c r="AF1722" s="127" t="s">
        <v>10268</v>
      </c>
      <c r="AG1722" s="127" t="s">
        <v>10283</v>
      </c>
      <c r="AH1722" s="127" t="s">
        <v>9258</v>
      </c>
      <c r="AI1722" s="134">
        <f>AI1721+AI1720+AI1719</f>
        <v>453</v>
      </c>
      <c r="AJ1722" s="134">
        <f>AJ1721+AJ1720+AJ1719</f>
        <v>427</v>
      </c>
      <c r="AK1722" s="133">
        <v>77080</v>
      </c>
      <c r="AL1722" s="127">
        <v>55985</v>
      </c>
      <c r="AM1722" s="134" t="s">
        <v>281</v>
      </c>
      <c r="AN1722" s="126" t="s">
        <v>276</v>
      </c>
      <c r="AO1722" s="135">
        <f t="shared" si="485"/>
        <v>5.8770108977685522</v>
      </c>
      <c r="AP1722" s="126" t="s">
        <v>276</v>
      </c>
      <c r="AQ1722" s="126" t="s">
        <v>276</v>
      </c>
      <c r="AR1722" s="126" t="s">
        <v>276</v>
      </c>
      <c r="AS1722" s="135">
        <f t="shared" si="486"/>
        <v>7.6270429579351608</v>
      </c>
      <c r="AT1722" s="126" t="s">
        <v>276</v>
      </c>
      <c r="AU1722" s="126" t="s">
        <v>276</v>
      </c>
      <c r="AV1722" s="126" t="s">
        <v>268</v>
      </c>
      <c r="AW1722" s="126" t="s">
        <v>276</v>
      </c>
      <c r="AX1722" s="148">
        <f t="shared" si="487"/>
        <v>0.77054907520274574</v>
      </c>
      <c r="AY1722" s="126" t="s">
        <v>276</v>
      </c>
      <c r="AZ1722" s="126" t="s">
        <v>276</v>
      </c>
      <c r="BA1722" s="126" t="s">
        <v>276</v>
      </c>
      <c r="BB1722" s="126" t="s">
        <v>282</v>
      </c>
      <c r="BC1722" s="126" t="s">
        <v>98</v>
      </c>
      <c r="BD1722" s="126" t="s">
        <v>98</v>
      </c>
      <c r="BE1722" s="126" t="s">
        <v>98</v>
      </c>
      <c r="BF1722" s="127" t="s">
        <v>10260</v>
      </c>
      <c r="BG1722" s="127" t="s">
        <v>10261</v>
      </c>
      <c r="BH1722" s="9" t="s">
        <v>100</v>
      </c>
      <c r="BI1722" s="9" t="s">
        <v>100</v>
      </c>
      <c r="BJ1722" s="136"/>
      <c r="BN1722" s="136"/>
      <c r="BO1722" s="136"/>
    </row>
    <row r="1723" spans="1:67" s="172" customFormat="1" ht="91" hidden="1" x14ac:dyDescent="0.35">
      <c r="A1723" s="150">
        <v>4095</v>
      </c>
      <c r="B1723" s="150" t="s">
        <v>9605</v>
      </c>
      <c r="C1723" s="151" t="s">
        <v>62</v>
      </c>
      <c r="D1723" s="151" t="s">
        <v>10284</v>
      </c>
      <c r="E1723" s="150" t="s">
        <v>35</v>
      </c>
      <c r="F1723" s="150" t="s">
        <v>97</v>
      </c>
      <c r="G1723" s="150" t="s">
        <v>225</v>
      </c>
      <c r="H1723" s="150" t="s">
        <v>125</v>
      </c>
      <c r="I1723" s="150" t="s">
        <v>113</v>
      </c>
      <c r="J1723" s="151" t="s">
        <v>117</v>
      </c>
      <c r="K1723" s="150" t="s">
        <v>3830</v>
      </c>
      <c r="L1723" s="150" t="s">
        <v>276</v>
      </c>
      <c r="M1723" s="150" t="s">
        <v>276</v>
      </c>
      <c r="N1723" s="496" t="s">
        <v>10219</v>
      </c>
      <c r="O1723" s="151" t="s">
        <v>276</v>
      </c>
      <c r="P1723" s="151" t="s">
        <v>239</v>
      </c>
      <c r="Q1723" s="154" t="s">
        <v>10220</v>
      </c>
      <c r="R1723" s="151" t="s">
        <v>276</v>
      </c>
      <c r="S1723" s="151" t="s">
        <v>276</v>
      </c>
      <c r="T1723" s="151" t="s">
        <v>276</v>
      </c>
      <c r="U1723" s="168" t="s">
        <v>1719</v>
      </c>
      <c r="V1723" s="150" t="s">
        <v>15</v>
      </c>
      <c r="W1723" s="150" t="s">
        <v>9254</v>
      </c>
      <c r="X1723" s="151" t="s">
        <v>207</v>
      </c>
      <c r="Y1723" s="497">
        <v>77080</v>
      </c>
      <c r="Z1723" s="151">
        <v>55985</v>
      </c>
      <c r="AA1723" s="151" t="s">
        <v>276</v>
      </c>
      <c r="AB1723" s="151" t="s">
        <v>276</v>
      </c>
      <c r="AC1723" s="151" t="s">
        <v>10257</v>
      </c>
      <c r="AD1723" s="151" t="s">
        <v>10258</v>
      </c>
      <c r="AE1723" s="151" t="s">
        <v>10257</v>
      </c>
      <c r="AF1723" s="151" t="s">
        <v>10258</v>
      </c>
      <c r="AG1723" s="151" t="s">
        <v>10285</v>
      </c>
      <c r="AH1723" s="151" t="s">
        <v>9258</v>
      </c>
      <c r="AI1723" s="156">
        <f>1193-367+27</f>
        <v>853</v>
      </c>
      <c r="AJ1723" s="156">
        <f>367+186</f>
        <v>553</v>
      </c>
      <c r="AK1723" s="497">
        <v>77080</v>
      </c>
      <c r="AL1723" s="151">
        <v>55985</v>
      </c>
      <c r="AM1723" s="156" t="s">
        <v>281</v>
      </c>
      <c r="AN1723" s="150" t="s">
        <v>276</v>
      </c>
      <c r="AO1723" s="159">
        <f t="shared" si="485"/>
        <v>11.066424494032175</v>
      </c>
      <c r="AP1723" s="150" t="s">
        <v>276</v>
      </c>
      <c r="AQ1723" s="150" t="s">
        <v>276</v>
      </c>
      <c r="AR1723" s="150" t="s">
        <v>276</v>
      </c>
      <c r="AS1723" s="159">
        <f t="shared" si="486"/>
        <v>9.8776457979816019</v>
      </c>
      <c r="AT1723" s="150" t="s">
        <v>276</v>
      </c>
      <c r="AU1723" s="150" t="s">
        <v>276</v>
      </c>
      <c r="AV1723" s="150" t="s">
        <v>268</v>
      </c>
      <c r="AW1723" s="150" t="s">
        <v>276</v>
      </c>
      <c r="AX1723" s="158">
        <f t="shared" si="487"/>
        <v>1.1203504074111958</v>
      </c>
      <c r="AY1723" s="150" t="s">
        <v>276</v>
      </c>
      <c r="AZ1723" s="150" t="s">
        <v>276</v>
      </c>
      <c r="BA1723" s="150" t="s">
        <v>276</v>
      </c>
      <c r="BB1723" s="150" t="s">
        <v>282</v>
      </c>
      <c r="BC1723" s="150" t="s">
        <v>98</v>
      </c>
      <c r="BD1723" s="150" t="s">
        <v>98</v>
      </c>
      <c r="BE1723" s="150" t="s">
        <v>98</v>
      </c>
      <c r="BF1723" s="151" t="s">
        <v>10286</v>
      </c>
      <c r="BG1723" s="151" t="s">
        <v>10287</v>
      </c>
      <c r="BH1723" s="9" t="s">
        <v>100</v>
      </c>
      <c r="BI1723" s="9" t="s">
        <v>100</v>
      </c>
      <c r="BJ1723" s="171"/>
      <c r="BN1723" s="171"/>
      <c r="BO1723" s="171"/>
    </row>
    <row r="1724" spans="1:67" s="172" customFormat="1" ht="104" hidden="1" x14ac:dyDescent="0.35">
      <c r="A1724" s="150">
        <v>4095</v>
      </c>
      <c r="B1724" s="150" t="s">
        <v>9605</v>
      </c>
      <c r="C1724" s="151" t="s">
        <v>62</v>
      </c>
      <c r="D1724" s="151" t="s">
        <v>10288</v>
      </c>
      <c r="E1724" s="150" t="s">
        <v>35</v>
      </c>
      <c r="F1724" s="150" t="s">
        <v>97</v>
      </c>
      <c r="G1724" s="150" t="s">
        <v>225</v>
      </c>
      <c r="H1724" s="150" t="s">
        <v>125</v>
      </c>
      <c r="I1724" s="150" t="s">
        <v>113</v>
      </c>
      <c r="J1724" s="151" t="s">
        <v>117</v>
      </c>
      <c r="K1724" s="150" t="s">
        <v>3836</v>
      </c>
      <c r="L1724" s="150" t="s">
        <v>276</v>
      </c>
      <c r="M1724" s="150" t="s">
        <v>276</v>
      </c>
      <c r="N1724" s="496" t="s">
        <v>10219</v>
      </c>
      <c r="O1724" s="151" t="s">
        <v>276</v>
      </c>
      <c r="P1724" s="151" t="s">
        <v>239</v>
      </c>
      <c r="Q1724" s="154" t="s">
        <v>10220</v>
      </c>
      <c r="R1724" s="151" t="s">
        <v>276</v>
      </c>
      <c r="S1724" s="151" t="s">
        <v>276</v>
      </c>
      <c r="T1724" s="151" t="s">
        <v>276</v>
      </c>
      <c r="U1724" s="168" t="s">
        <v>1719</v>
      </c>
      <c r="V1724" s="150" t="s">
        <v>15</v>
      </c>
      <c r="W1724" s="150" t="s">
        <v>9254</v>
      </c>
      <c r="X1724" s="151" t="s">
        <v>207</v>
      </c>
      <c r="Y1724" s="497">
        <v>77080</v>
      </c>
      <c r="Z1724" s="151">
        <v>55985</v>
      </c>
      <c r="AA1724" s="151" t="s">
        <v>276</v>
      </c>
      <c r="AB1724" s="151" t="s">
        <v>276</v>
      </c>
      <c r="AC1724" s="151" t="s">
        <v>10257</v>
      </c>
      <c r="AD1724" s="151" t="s">
        <v>10258</v>
      </c>
      <c r="AE1724" s="151" t="s">
        <v>10257</v>
      </c>
      <c r="AF1724" s="151" t="s">
        <v>10258</v>
      </c>
      <c r="AG1724" s="151" t="s">
        <v>10289</v>
      </c>
      <c r="AH1724" s="151" t="s">
        <v>9258</v>
      </c>
      <c r="AI1724" s="156">
        <f>581-267+7</f>
        <v>321</v>
      </c>
      <c r="AJ1724" s="156">
        <f>267+54</f>
        <v>321</v>
      </c>
      <c r="AK1724" s="497">
        <v>77080</v>
      </c>
      <c r="AL1724" s="151">
        <v>55985</v>
      </c>
      <c r="AM1724" s="156" t="s">
        <v>281</v>
      </c>
      <c r="AN1724" s="150" t="s">
        <v>276</v>
      </c>
      <c r="AO1724" s="159">
        <f t="shared" si="485"/>
        <v>4.1645044110015572</v>
      </c>
      <c r="AP1724" s="150" t="s">
        <v>276</v>
      </c>
      <c r="AQ1724" s="150" t="s">
        <v>276</v>
      </c>
      <c r="AR1724" s="150" t="s">
        <v>276</v>
      </c>
      <c r="AS1724" s="159">
        <f t="shared" si="486"/>
        <v>5.7336786639278374</v>
      </c>
      <c r="AT1724" s="150" t="s">
        <v>276</v>
      </c>
      <c r="AU1724" s="150" t="s">
        <v>276</v>
      </c>
      <c r="AV1724" s="150" t="s">
        <v>268</v>
      </c>
      <c r="AW1724" s="150" t="s">
        <v>276</v>
      </c>
      <c r="AX1724" s="158">
        <f t="shared" si="487"/>
        <v>0.72632330046704729</v>
      </c>
      <c r="AY1724" s="150" t="s">
        <v>276</v>
      </c>
      <c r="AZ1724" s="150" t="s">
        <v>276</v>
      </c>
      <c r="BA1724" s="150" t="s">
        <v>276</v>
      </c>
      <c r="BB1724" s="150" t="s">
        <v>282</v>
      </c>
      <c r="BC1724" s="150" t="s">
        <v>98</v>
      </c>
      <c r="BD1724" s="150" t="s">
        <v>98</v>
      </c>
      <c r="BE1724" s="150" t="s">
        <v>98</v>
      </c>
      <c r="BF1724" s="151" t="s">
        <v>10286</v>
      </c>
      <c r="BG1724" s="151" t="s">
        <v>10287</v>
      </c>
      <c r="BH1724" s="9" t="s">
        <v>100</v>
      </c>
      <c r="BI1724" s="9" t="s">
        <v>100</v>
      </c>
      <c r="BJ1724" s="171"/>
      <c r="BN1724" s="171"/>
      <c r="BO1724" s="171"/>
    </row>
    <row r="1725" spans="1:67" s="172" customFormat="1" ht="91" hidden="1" x14ac:dyDescent="0.35">
      <c r="A1725" s="150">
        <v>4095</v>
      </c>
      <c r="B1725" s="150" t="s">
        <v>9605</v>
      </c>
      <c r="C1725" s="151" t="s">
        <v>62</v>
      </c>
      <c r="D1725" s="151" t="s">
        <v>10290</v>
      </c>
      <c r="E1725" s="150" t="s">
        <v>35</v>
      </c>
      <c r="F1725" s="150" t="s">
        <v>97</v>
      </c>
      <c r="G1725" s="150" t="s">
        <v>225</v>
      </c>
      <c r="H1725" s="150" t="s">
        <v>125</v>
      </c>
      <c r="I1725" s="150" t="s">
        <v>113</v>
      </c>
      <c r="J1725" s="151" t="s">
        <v>1116</v>
      </c>
      <c r="K1725" s="151" t="s">
        <v>10216</v>
      </c>
      <c r="L1725" s="150" t="s">
        <v>276</v>
      </c>
      <c r="M1725" s="150" t="s">
        <v>276</v>
      </c>
      <c r="N1725" s="496" t="s">
        <v>10219</v>
      </c>
      <c r="O1725" s="151" t="s">
        <v>276</v>
      </c>
      <c r="P1725" s="151" t="s">
        <v>239</v>
      </c>
      <c r="Q1725" s="154" t="s">
        <v>10220</v>
      </c>
      <c r="R1725" s="151" t="s">
        <v>276</v>
      </c>
      <c r="S1725" s="151" t="s">
        <v>276</v>
      </c>
      <c r="T1725" s="151" t="s">
        <v>276</v>
      </c>
      <c r="U1725" s="168" t="s">
        <v>1719</v>
      </c>
      <c r="V1725" s="150" t="s">
        <v>15</v>
      </c>
      <c r="W1725" s="150" t="s">
        <v>9254</v>
      </c>
      <c r="X1725" s="151" t="s">
        <v>207</v>
      </c>
      <c r="Y1725" s="497">
        <v>77080</v>
      </c>
      <c r="Z1725" s="151">
        <v>55985</v>
      </c>
      <c r="AA1725" s="151" t="s">
        <v>276</v>
      </c>
      <c r="AB1725" s="151" t="s">
        <v>276</v>
      </c>
      <c r="AC1725" s="151" t="s">
        <v>10257</v>
      </c>
      <c r="AD1725" s="151" t="s">
        <v>10258</v>
      </c>
      <c r="AE1725" s="151" t="s">
        <v>10257</v>
      </c>
      <c r="AF1725" s="151" t="s">
        <v>10258</v>
      </c>
      <c r="AG1725" s="151" t="s">
        <v>10291</v>
      </c>
      <c r="AH1725" s="151" t="s">
        <v>9258</v>
      </c>
      <c r="AI1725" s="156">
        <f>80-40+0</f>
        <v>40</v>
      </c>
      <c r="AJ1725" s="156">
        <f>40+0</f>
        <v>40</v>
      </c>
      <c r="AK1725" s="497">
        <v>77080</v>
      </c>
      <c r="AL1725" s="151">
        <v>55985</v>
      </c>
      <c r="AM1725" s="156" t="s">
        <v>281</v>
      </c>
      <c r="AN1725" s="150" t="s">
        <v>276</v>
      </c>
      <c r="AO1725" s="159">
        <f t="shared" si="485"/>
        <v>0.51894135962636223</v>
      </c>
      <c r="AP1725" s="150" t="s">
        <v>276</v>
      </c>
      <c r="AQ1725" s="150" t="s">
        <v>276</v>
      </c>
      <c r="AR1725" s="150" t="s">
        <v>276</v>
      </c>
      <c r="AS1725" s="159">
        <f t="shared" si="486"/>
        <v>0.71447709207823529</v>
      </c>
      <c r="AT1725" s="150" t="s">
        <v>276</v>
      </c>
      <c r="AU1725" s="150" t="s">
        <v>276</v>
      </c>
      <c r="AV1725" s="150" t="s">
        <v>268</v>
      </c>
      <c r="AW1725" s="150" t="s">
        <v>276</v>
      </c>
      <c r="AX1725" s="158">
        <f t="shared" si="487"/>
        <v>0.72632330046704718</v>
      </c>
      <c r="AY1725" s="150" t="s">
        <v>276</v>
      </c>
      <c r="AZ1725" s="150" t="s">
        <v>276</v>
      </c>
      <c r="BA1725" s="150" t="s">
        <v>276</v>
      </c>
      <c r="BB1725" s="150" t="s">
        <v>282</v>
      </c>
      <c r="BC1725" s="150" t="s">
        <v>98</v>
      </c>
      <c r="BD1725" s="150" t="s">
        <v>98</v>
      </c>
      <c r="BE1725" s="150" t="s">
        <v>98</v>
      </c>
      <c r="BF1725" s="151" t="s">
        <v>10286</v>
      </c>
      <c r="BG1725" s="151" t="s">
        <v>10287</v>
      </c>
      <c r="BH1725" s="9" t="s">
        <v>100</v>
      </c>
      <c r="BI1725" s="9" t="s">
        <v>100</v>
      </c>
      <c r="BJ1725" s="171"/>
      <c r="BN1725" s="171"/>
      <c r="BO1725" s="171"/>
    </row>
    <row r="1726" spans="1:67" s="137" customFormat="1" ht="78" hidden="1" x14ac:dyDescent="0.35">
      <c r="A1726" s="126">
        <v>4095</v>
      </c>
      <c r="B1726" s="126" t="s">
        <v>9605</v>
      </c>
      <c r="C1726" s="127" t="s">
        <v>62</v>
      </c>
      <c r="D1726" s="127" t="s">
        <v>10292</v>
      </c>
      <c r="E1726" s="126" t="s">
        <v>35</v>
      </c>
      <c r="F1726" s="126" t="s">
        <v>97</v>
      </c>
      <c r="G1726" s="126" t="s">
        <v>225</v>
      </c>
      <c r="H1726" s="126" t="s">
        <v>125</v>
      </c>
      <c r="I1726" s="126" t="s">
        <v>113</v>
      </c>
      <c r="J1726" s="127" t="s">
        <v>31</v>
      </c>
      <c r="K1726" s="126" t="s">
        <v>3801</v>
      </c>
      <c r="L1726" s="126" t="s">
        <v>276</v>
      </c>
      <c r="M1726" s="126" t="s">
        <v>276</v>
      </c>
      <c r="N1726" s="129" t="s">
        <v>10219</v>
      </c>
      <c r="O1726" s="127" t="s">
        <v>276</v>
      </c>
      <c r="P1726" s="127" t="s">
        <v>239</v>
      </c>
      <c r="Q1726" s="146" t="s">
        <v>10220</v>
      </c>
      <c r="R1726" s="127" t="s">
        <v>276</v>
      </c>
      <c r="S1726" s="127" t="s">
        <v>276</v>
      </c>
      <c r="T1726" s="127" t="s">
        <v>276</v>
      </c>
      <c r="U1726" s="167" t="s">
        <v>1719</v>
      </c>
      <c r="V1726" s="126" t="s">
        <v>15</v>
      </c>
      <c r="W1726" s="126" t="s">
        <v>9254</v>
      </c>
      <c r="X1726" s="127" t="s">
        <v>207</v>
      </c>
      <c r="Y1726" s="133">
        <v>77080</v>
      </c>
      <c r="Z1726" s="127">
        <v>55985</v>
      </c>
      <c r="AA1726" s="127" t="s">
        <v>276</v>
      </c>
      <c r="AB1726" s="127" t="s">
        <v>276</v>
      </c>
      <c r="AC1726" s="127" t="s">
        <v>10293</v>
      </c>
      <c r="AD1726" s="127" t="s">
        <v>10268</v>
      </c>
      <c r="AE1726" s="127" t="s">
        <v>10294</v>
      </c>
      <c r="AF1726" s="127" t="s">
        <v>10268</v>
      </c>
      <c r="AG1726" s="127" t="s">
        <v>10295</v>
      </c>
      <c r="AH1726" s="127" t="s">
        <v>9258</v>
      </c>
      <c r="AI1726" s="134">
        <f>295-50+6</f>
        <v>251</v>
      </c>
      <c r="AJ1726" s="134">
        <f>50+54</f>
        <v>104</v>
      </c>
      <c r="AK1726" s="133">
        <v>77080</v>
      </c>
      <c r="AL1726" s="127">
        <v>55985</v>
      </c>
      <c r="AM1726" s="134" t="s">
        <v>281</v>
      </c>
      <c r="AN1726" s="126" t="s">
        <v>276</v>
      </c>
      <c r="AO1726" s="135">
        <f t="shared" si="485"/>
        <v>3.2563570316554231</v>
      </c>
      <c r="AP1726" s="126" t="s">
        <v>276</v>
      </c>
      <c r="AQ1726" s="126" t="s">
        <v>276</v>
      </c>
      <c r="AR1726" s="126" t="s">
        <v>276</v>
      </c>
      <c r="AS1726" s="135">
        <f t="shared" si="486"/>
        <v>1.8576404394034116</v>
      </c>
      <c r="AT1726" s="126" t="s">
        <v>276</v>
      </c>
      <c r="AU1726" s="126" t="s">
        <v>276</v>
      </c>
      <c r="AV1726" s="126" t="s">
        <v>268</v>
      </c>
      <c r="AW1726" s="126" t="s">
        <v>276</v>
      </c>
      <c r="AX1726" s="148">
        <f t="shared" si="487"/>
        <v>1.7529533501656622</v>
      </c>
      <c r="AY1726" s="126" t="s">
        <v>276</v>
      </c>
      <c r="AZ1726" s="126" t="s">
        <v>276</v>
      </c>
      <c r="BA1726" s="126" t="s">
        <v>276</v>
      </c>
      <c r="BB1726" s="126" t="s">
        <v>282</v>
      </c>
      <c r="BC1726" s="126" t="s">
        <v>98</v>
      </c>
      <c r="BD1726" s="126" t="s">
        <v>98</v>
      </c>
      <c r="BE1726" s="126" t="s">
        <v>98</v>
      </c>
      <c r="BF1726" s="127" t="s">
        <v>10286</v>
      </c>
      <c r="BG1726" s="127" t="s">
        <v>10296</v>
      </c>
      <c r="BH1726" s="9" t="s">
        <v>100</v>
      </c>
      <c r="BI1726" s="9" t="s">
        <v>100</v>
      </c>
      <c r="BJ1726" s="136"/>
      <c r="BN1726" s="136"/>
      <c r="BO1726" s="136"/>
    </row>
    <row r="1727" spans="1:67" s="137" customFormat="1" ht="78" hidden="1" x14ac:dyDescent="0.35">
      <c r="A1727" s="126">
        <v>4095</v>
      </c>
      <c r="B1727" s="126" t="s">
        <v>9605</v>
      </c>
      <c r="C1727" s="127" t="s">
        <v>62</v>
      </c>
      <c r="D1727" s="127" t="s">
        <v>10297</v>
      </c>
      <c r="E1727" s="126" t="s">
        <v>35</v>
      </c>
      <c r="F1727" s="126" t="s">
        <v>97</v>
      </c>
      <c r="G1727" s="126" t="s">
        <v>225</v>
      </c>
      <c r="H1727" s="126" t="s">
        <v>125</v>
      </c>
      <c r="I1727" s="126" t="s">
        <v>113</v>
      </c>
      <c r="J1727" s="127" t="s">
        <v>31</v>
      </c>
      <c r="K1727" s="126" t="s">
        <v>3805</v>
      </c>
      <c r="L1727" s="126" t="s">
        <v>276</v>
      </c>
      <c r="M1727" s="126" t="s">
        <v>276</v>
      </c>
      <c r="N1727" s="129" t="s">
        <v>10219</v>
      </c>
      <c r="O1727" s="127" t="s">
        <v>276</v>
      </c>
      <c r="P1727" s="127" t="s">
        <v>239</v>
      </c>
      <c r="Q1727" s="146" t="s">
        <v>10220</v>
      </c>
      <c r="R1727" s="127" t="s">
        <v>276</v>
      </c>
      <c r="S1727" s="127" t="s">
        <v>276</v>
      </c>
      <c r="T1727" s="127" t="s">
        <v>276</v>
      </c>
      <c r="U1727" s="167" t="s">
        <v>1719</v>
      </c>
      <c r="V1727" s="126" t="s">
        <v>15</v>
      </c>
      <c r="W1727" s="126" t="s">
        <v>9254</v>
      </c>
      <c r="X1727" s="127" t="s">
        <v>207</v>
      </c>
      <c r="Y1727" s="133">
        <v>77080</v>
      </c>
      <c r="Z1727" s="127">
        <v>55985</v>
      </c>
      <c r="AA1727" s="127" t="s">
        <v>276</v>
      </c>
      <c r="AB1727" s="127" t="s">
        <v>276</v>
      </c>
      <c r="AC1727" s="127" t="s">
        <v>10293</v>
      </c>
      <c r="AD1727" s="127" t="s">
        <v>10268</v>
      </c>
      <c r="AE1727" s="127" t="s">
        <v>10294</v>
      </c>
      <c r="AF1727" s="127" t="s">
        <v>10268</v>
      </c>
      <c r="AG1727" s="127" t="s">
        <v>10298</v>
      </c>
      <c r="AH1727" s="127" t="s">
        <v>9258</v>
      </c>
      <c r="AI1727" s="134">
        <f>412-107+14</f>
        <v>319</v>
      </c>
      <c r="AJ1727" s="134">
        <f>107+69</f>
        <v>176</v>
      </c>
      <c r="AK1727" s="133">
        <v>77080</v>
      </c>
      <c r="AL1727" s="127">
        <v>55985</v>
      </c>
      <c r="AM1727" s="134" t="s">
        <v>281</v>
      </c>
      <c r="AN1727" s="126" t="s">
        <v>276</v>
      </c>
      <c r="AO1727" s="135">
        <f t="shared" si="485"/>
        <v>4.1385573430202385</v>
      </c>
      <c r="AP1727" s="126" t="s">
        <v>276</v>
      </c>
      <c r="AQ1727" s="126" t="s">
        <v>276</v>
      </c>
      <c r="AR1727" s="126" t="s">
        <v>276</v>
      </c>
      <c r="AS1727" s="135">
        <f t="shared" si="486"/>
        <v>3.1436992051442352</v>
      </c>
      <c r="AT1727" s="126" t="s">
        <v>276</v>
      </c>
      <c r="AU1727" s="126" t="s">
        <v>276</v>
      </c>
      <c r="AV1727" s="126" t="s">
        <v>268</v>
      </c>
      <c r="AW1727" s="126" t="s">
        <v>276</v>
      </c>
      <c r="AX1727" s="148">
        <f t="shared" si="487"/>
        <v>1.316460982096523</v>
      </c>
      <c r="AY1727" s="126" t="s">
        <v>276</v>
      </c>
      <c r="AZ1727" s="126" t="s">
        <v>276</v>
      </c>
      <c r="BA1727" s="126" t="s">
        <v>276</v>
      </c>
      <c r="BB1727" s="126" t="s">
        <v>282</v>
      </c>
      <c r="BC1727" s="126" t="s">
        <v>98</v>
      </c>
      <c r="BD1727" s="126" t="s">
        <v>98</v>
      </c>
      <c r="BE1727" s="126" t="s">
        <v>98</v>
      </c>
      <c r="BF1727" s="127" t="s">
        <v>10286</v>
      </c>
      <c r="BG1727" s="127" t="s">
        <v>10296</v>
      </c>
      <c r="BH1727" s="9" t="s">
        <v>100</v>
      </c>
      <c r="BI1727" s="9" t="s">
        <v>100</v>
      </c>
      <c r="BJ1727" s="136"/>
      <c r="BN1727" s="136"/>
      <c r="BO1727" s="136"/>
    </row>
    <row r="1728" spans="1:67" s="137" customFormat="1" ht="78" hidden="1" x14ac:dyDescent="0.35">
      <c r="A1728" s="126">
        <v>4095</v>
      </c>
      <c r="B1728" s="126" t="s">
        <v>9605</v>
      </c>
      <c r="C1728" s="127" t="s">
        <v>62</v>
      </c>
      <c r="D1728" s="127" t="s">
        <v>10299</v>
      </c>
      <c r="E1728" s="126" t="s">
        <v>35</v>
      </c>
      <c r="F1728" s="126" t="s">
        <v>97</v>
      </c>
      <c r="G1728" s="126" t="s">
        <v>225</v>
      </c>
      <c r="H1728" s="126" t="s">
        <v>125</v>
      </c>
      <c r="I1728" s="126" t="s">
        <v>113</v>
      </c>
      <c r="J1728" s="127" t="s">
        <v>31</v>
      </c>
      <c r="K1728" s="126" t="s">
        <v>3808</v>
      </c>
      <c r="L1728" s="126" t="s">
        <v>276</v>
      </c>
      <c r="M1728" s="126" t="s">
        <v>276</v>
      </c>
      <c r="N1728" s="129" t="s">
        <v>10219</v>
      </c>
      <c r="O1728" s="127" t="s">
        <v>276</v>
      </c>
      <c r="P1728" s="127" t="s">
        <v>239</v>
      </c>
      <c r="Q1728" s="146" t="s">
        <v>10220</v>
      </c>
      <c r="R1728" s="127" t="s">
        <v>276</v>
      </c>
      <c r="S1728" s="127" t="s">
        <v>276</v>
      </c>
      <c r="T1728" s="127" t="s">
        <v>276</v>
      </c>
      <c r="U1728" s="167" t="s">
        <v>1719</v>
      </c>
      <c r="V1728" s="126" t="s">
        <v>15</v>
      </c>
      <c r="W1728" s="126" t="s">
        <v>9254</v>
      </c>
      <c r="X1728" s="127" t="s">
        <v>207</v>
      </c>
      <c r="Y1728" s="133">
        <v>77080</v>
      </c>
      <c r="Z1728" s="127">
        <v>55985</v>
      </c>
      <c r="AA1728" s="127" t="s">
        <v>276</v>
      </c>
      <c r="AB1728" s="127" t="s">
        <v>276</v>
      </c>
      <c r="AC1728" s="127" t="s">
        <v>10293</v>
      </c>
      <c r="AD1728" s="127" t="s">
        <v>10268</v>
      </c>
      <c r="AE1728" s="127" t="s">
        <v>10294</v>
      </c>
      <c r="AF1728" s="127" t="s">
        <v>10268</v>
      </c>
      <c r="AG1728" s="127" t="s">
        <v>10300</v>
      </c>
      <c r="AH1728" s="127" t="s">
        <v>9258</v>
      </c>
      <c r="AI1728" s="134">
        <f>391-143+7</f>
        <v>255</v>
      </c>
      <c r="AJ1728" s="134">
        <f>143+61</f>
        <v>204</v>
      </c>
      <c r="AK1728" s="133">
        <v>77080</v>
      </c>
      <c r="AL1728" s="127">
        <v>55985</v>
      </c>
      <c r="AM1728" s="134" t="s">
        <v>281</v>
      </c>
      <c r="AN1728" s="126" t="s">
        <v>276</v>
      </c>
      <c r="AO1728" s="135">
        <f t="shared" si="485"/>
        <v>3.3082511676180593</v>
      </c>
      <c r="AP1728" s="126" t="s">
        <v>276</v>
      </c>
      <c r="AQ1728" s="126" t="s">
        <v>276</v>
      </c>
      <c r="AR1728" s="126" t="s">
        <v>276</v>
      </c>
      <c r="AS1728" s="135">
        <f t="shared" si="486"/>
        <v>3.6438331695989996</v>
      </c>
      <c r="AT1728" s="126" t="s">
        <v>276</v>
      </c>
      <c r="AU1728" s="126" t="s">
        <v>276</v>
      </c>
      <c r="AV1728" s="126" t="s">
        <v>268</v>
      </c>
      <c r="AW1728" s="126" t="s">
        <v>276</v>
      </c>
      <c r="AX1728" s="148">
        <f t="shared" si="487"/>
        <v>0.90790412558380906</v>
      </c>
      <c r="AY1728" s="126" t="s">
        <v>276</v>
      </c>
      <c r="AZ1728" s="126" t="s">
        <v>276</v>
      </c>
      <c r="BA1728" s="126" t="s">
        <v>276</v>
      </c>
      <c r="BB1728" s="126" t="s">
        <v>282</v>
      </c>
      <c r="BC1728" s="126" t="s">
        <v>98</v>
      </c>
      <c r="BD1728" s="126" t="s">
        <v>98</v>
      </c>
      <c r="BE1728" s="126" t="s">
        <v>98</v>
      </c>
      <c r="BF1728" s="127" t="s">
        <v>10286</v>
      </c>
      <c r="BG1728" s="127" t="s">
        <v>10296</v>
      </c>
      <c r="BH1728" s="9" t="s">
        <v>100</v>
      </c>
      <c r="BI1728" s="9" t="s">
        <v>100</v>
      </c>
      <c r="BJ1728" s="136"/>
      <c r="BN1728" s="136"/>
      <c r="BO1728" s="136"/>
    </row>
    <row r="1729" spans="1:67" s="172" customFormat="1" ht="78" hidden="1" x14ac:dyDescent="0.35">
      <c r="A1729" s="150">
        <v>4095</v>
      </c>
      <c r="B1729" s="150" t="s">
        <v>9605</v>
      </c>
      <c r="C1729" s="151" t="s">
        <v>62</v>
      </c>
      <c r="D1729" s="151" t="s">
        <v>10301</v>
      </c>
      <c r="E1729" s="150" t="s">
        <v>35</v>
      </c>
      <c r="F1729" s="150" t="s">
        <v>97</v>
      </c>
      <c r="G1729" s="150" t="s">
        <v>225</v>
      </c>
      <c r="H1729" s="150" t="s">
        <v>125</v>
      </c>
      <c r="I1729" s="150" t="s">
        <v>113</v>
      </c>
      <c r="J1729" s="151" t="s">
        <v>31</v>
      </c>
      <c r="K1729" s="150" t="s">
        <v>3824</v>
      </c>
      <c r="L1729" s="150" t="s">
        <v>276</v>
      </c>
      <c r="M1729" s="150" t="s">
        <v>276</v>
      </c>
      <c r="N1729" s="496" t="s">
        <v>10219</v>
      </c>
      <c r="O1729" s="151" t="s">
        <v>276</v>
      </c>
      <c r="P1729" s="151" t="s">
        <v>239</v>
      </c>
      <c r="Q1729" s="154" t="s">
        <v>10220</v>
      </c>
      <c r="R1729" s="151" t="s">
        <v>276</v>
      </c>
      <c r="S1729" s="151" t="s">
        <v>276</v>
      </c>
      <c r="T1729" s="151" t="s">
        <v>276</v>
      </c>
      <c r="U1729" s="168" t="s">
        <v>1719</v>
      </c>
      <c r="V1729" s="150" t="s">
        <v>15</v>
      </c>
      <c r="W1729" s="150" t="s">
        <v>9254</v>
      </c>
      <c r="X1729" s="151" t="s">
        <v>207</v>
      </c>
      <c r="Y1729" s="497">
        <v>77080</v>
      </c>
      <c r="Z1729" s="151">
        <v>55985</v>
      </c>
      <c r="AA1729" s="151" t="s">
        <v>276</v>
      </c>
      <c r="AB1729" s="151" t="s">
        <v>276</v>
      </c>
      <c r="AC1729" s="151" t="s">
        <v>10293</v>
      </c>
      <c r="AD1729" s="151" t="s">
        <v>10268</v>
      </c>
      <c r="AE1729" s="151" t="s">
        <v>10294</v>
      </c>
      <c r="AF1729" s="151" t="s">
        <v>10268</v>
      </c>
      <c r="AG1729" s="151" t="s">
        <v>10302</v>
      </c>
      <c r="AH1729" s="151" t="s">
        <v>9258</v>
      </c>
      <c r="AI1729" s="156">
        <f>AI1726+AI1727+AI1728</f>
        <v>825</v>
      </c>
      <c r="AJ1729" s="156">
        <f>AJ1726+AJ1727+AJ1728</f>
        <v>484</v>
      </c>
      <c r="AK1729" s="497">
        <v>77080</v>
      </c>
      <c r="AL1729" s="151">
        <v>55985</v>
      </c>
      <c r="AM1729" s="156" t="s">
        <v>281</v>
      </c>
      <c r="AN1729" s="150" t="s">
        <v>276</v>
      </c>
      <c r="AO1729" s="159">
        <f t="shared" si="485"/>
        <v>10.703165542293721</v>
      </c>
      <c r="AP1729" s="150" t="s">
        <v>276</v>
      </c>
      <c r="AQ1729" s="150" t="s">
        <v>276</v>
      </c>
      <c r="AR1729" s="150" t="s">
        <v>276</v>
      </c>
      <c r="AS1729" s="159">
        <f t="shared" si="486"/>
        <v>8.6451728141466457</v>
      </c>
      <c r="AT1729" s="150" t="s">
        <v>276</v>
      </c>
      <c r="AU1729" s="150" t="s">
        <v>276</v>
      </c>
      <c r="AV1729" s="150" t="s">
        <v>268</v>
      </c>
      <c r="AW1729" s="150" t="s">
        <v>276</v>
      </c>
      <c r="AX1729" s="158">
        <f t="shared" si="487"/>
        <v>1.2380510803415579</v>
      </c>
      <c r="AY1729" s="150" t="s">
        <v>276</v>
      </c>
      <c r="AZ1729" s="150" t="s">
        <v>276</v>
      </c>
      <c r="BA1729" s="150" t="s">
        <v>276</v>
      </c>
      <c r="BB1729" s="150" t="s">
        <v>282</v>
      </c>
      <c r="BC1729" s="150" t="s">
        <v>98</v>
      </c>
      <c r="BD1729" s="150" t="s">
        <v>98</v>
      </c>
      <c r="BE1729" s="150" t="s">
        <v>98</v>
      </c>
      <c r="BF1729" s="151" t="s">
        <v>10286</v>
      </c>
      <c r="BG1729" s="151" t="s">
        <v>10296</v>
      </c>
      <c r="BH1729" s="9" t="s">
        <v>100</v>
      </c>
      <c r="BI1729" s="9" t="s">
        <v>100</v>
      </c>
      <c r="BJ1729" s="171"/>
      <c r="BN1729" s="171"/>
      <c r="BO1729" s="171"/>
    </row>
    <row r="1730" spans="1:67" s="137" customFormat="1" ht="78" hidden="1" x14ac:dyDescent="0.35">
      <c r="A1730" s="126">
        <v>4095</v>
      </c>
      <c r="B1730" s="126" t="s">
        <v>9605</v>
      </c>
      <c r="C1730" s="127" t="s">
        <v>62</v>
      </c>
      <c r="D1730" s="127" t="s">
        <v>10303</v>
      </c>
      <c r="E1730" s="126" t="s">
        <v>35</v>
      </c>
      <c r="F1730" s="126" t="s">
        <v>97</v>
      </c>
      <c r="G1730" s="126" t="s">
        <v>225</v>
      </c>
      <c r="H1730" s="126" t="s">
        <v>125</v>
      </c>
      <c r="I1730" s="126" t="s">
        <v>113</v>
      </c>
      <c r="J1730" s="127" t="s">
        <v>31</v>
      </c>
      <c r="K1730" s="126" t="s">
        <v>3811</v>
      </c>
      <c r="L1730" s="126" t="s">
        <v>276</v>
      </c>
      <c r="M1730" s="126" t="s">
        <v>276</v>
      </c>
      <c r="N1730" s="129" t="s">
        <v>10219</v>
      </c>
      <c r="O1730" s="127" t="s">
        <v>276</v>
      </c>
      <c r="P1730" s="127" t="s">
        <v>239</v>
      </c>
      <c r="Q1730" s="146" t="s">
        <v>10220</v>
      </c>
      <c r="R1730" s="127" t="s">
        <v>276</v>
      </c>
      <c r="S1730" s="127" t="s">
        <v>276</v>
      </c>
      <c r="T1730" s="127" t="s">
        <v>276</v>
      </c>
      <c r="U1730" s="167" t="s">
        <v>1719</v>
      </c>
      <c r="V1730" s="126" t="s">
        <v>15</v>
      </c>
      <c r="W1730" s="126" t="s">
        <v>9254</v>
      </c>
      <c r="X1730" s="127" t="s">
        <v>207</v>
      </c>
      <c r="Y1730" s="133">
        <v>77080</v>
      </c>
      <c r="Z1730" s="127">
        <v>55985</v>
      </c>
      <c r="AA1730" s="127" t="s">
        <v>276</v>
      </c>
      <c r="AB1730" s="127" t="s">
        <v>276</v>
      </c>
      <c r="AC1730" s="127" t="s">
        <v>10293</v>
      </c>
      <c r="AD1730" s="127" t="s">
        <v>10268</v>
      </c>
      <c r="AE1730" s="127" t="s">
        <v>10294</v>
      </c>
      <c r="AF1730" s="127" t="s">
        <v>10268</v>
      </c>
      <c r="AG1730" s="127" t="s">
        <v>10304</v>
      </c>
      <c r="AH1730" s="127" t="s">
        <v>9258</v>
      </c>
      <c r="AI1730" s="134">
        <f>474-216+6</f>
        <v>264</v>
      </c>
      <c r="AJ1730" s="134">
        <f>216+44</f>
        <v>260</v>
      </c>
      <c r="AK1730" s="133">
        <v>77080</v>
      </c>
      <c r="AL1730" s="127">
        <v>55985</v>
      </c>
      <c r="AM1730" s="134" t="s">
        <v>281</v>
      </c>
      <c r="AN1730" s="126" t="s">
        <v>276</v>
      </c>
      <c r="AO1730" s="135">
        <f t="shared" si="485"/>
        <v>3.4250129735339905</v>
      </c>
      <c r="AP1730" s="126" t="s">
        <v>276</v>
      </c>
      <c r="AQ1730" s="126" t="s">
        <v>276</v>
      </c>
      <c r="AR1730" s="126" t="s">
        <v>276</v>
      </c>
      <c r="AS1730" s="135">
        <f t="shared" si="486"/>
        <v>4.6441010985085294</v>
      </c>
      <c r="AT1730" s="126" t="s">
        <v>276</v>
      </c>
      <c r="AU1730" s="126" t="s">
        <v>276</v>
      </c>
      <c r="AV1730" s="126" t="s">
        <v>268</v>
      </c>
      <c r="AW1730" s="126" t="s">
        <v>276</v>
      </c>
      <c r="AX1730" s="148">
        <f t="shared" si="487"/>
        <v>0.73749750508961709</v>
      </c>
      <c r="AY1730" s="126" t="s">
        <v>276</v>
      </c>
      <c r="AZ1730" s="126" t="s">
        <v>276</v>
      </c>
      <c r="BA1730" s="126" t="s">
        <v>276</v>
      </c>
      <c r="BB1730" s="126" t="s">
        <v>282</v>
      </c>
      <c r="BC1730" s="126" t="s">
        <v>98</v>
      </c>
      <c r="BD1730" s="126" t="s">
        <v>98</v>
      </c>
      <c r="BE1730" s="126" t="s">
        <v>98</v>
      </c>
      <c r="BF1730" s="127" t="s">
        <v>10286</v>
      </c>
      <c r="BG1730" s="127" t="s">
        <v>10296</v>
      </c>
      <c r="BH1730" s="9" t="s">
        <v>100</v>
      </c>
      <c r="BI1730" s="9" t="s">
        <v>100</v>
      </c>
      <c r="BJ1730" s="136"/>
      <c r="BN1730" s="136"/>
      <c r="BO1730" s="136"/>
    </row>
    <row r="1731" spans="1:67" s="137" customFormat="1" ht="78" hidden="1" x14ac:dyDescent="0.35">
      <c r="A1731" s="126">
        <v>4095</v>
      </c>
      <c r="B1731" s="126" t="s">
        <v>9605</v>
      </c>
      <c r="C1731" s="127" t="s">
        <v>62</v>
      </c>
      <c r="D1731" s="127" t="s">
        <v>10305</v>
      </c>
      <c r="E1731" s="126" t="s">
        <v>35</v>
      </c>
      <c r="F1731" s="126" t="s">
        <v>97</v>
      </c>
      <c r="G1731" s="126" t="s">
        <v>225</v>
      </c>
      <c r="H1731" s="126" t="s">
        <v>125</v>
      </c>
      <c r="I1731" s="126" t="s">
        <v>113</v>
      </c>
      <c r="J1731" s="127" t="s">
        <v>31</v>
      </c>
      <c r="K1731" s="126" t="s">
        <v>3814</v>
      </c>
      <c r="L1731" s="126" t="s">
        <v>276</v>
      </c>
      <c r="M1731" s="126" t="s">
        <v>276</v>
      </c>
      <c r="N1731" s="129" t="s">
        <v>10219</v>
      </c>
      <c r="O1731" s="127" t="s">
        <v>276</v>
      </c>
      <c r="P1731" s="127" t="s">
        <v>239</v>
      </c>
      <c r="Q1731" s="146" t="s">
        <v>10220</v>
      </c>
      <c r="R1731" s="127" t="s">
        <v>276</v>
      </c>
      <c r="S1731" s="127" t="s">
        <v>276</v>
      </c>
      <c r="T1731" s="127" t="s">
        <v>276</v>
      </c>
      <c r="U1731" s="167" t="s">
        <v>1719</v>
      </c>
      <c r="V1731" s="126" t="s">
        <v>15</v>
      </c>
      <c r="W1731" s="126" t="s">
        <v>9254</v>
      </c>
      <c r="X1731" s="127" t="s">
        <v>207</v>
      </c>
      <c r="Y1731" s="133">
        <v>77080</v>
      </c>
      <c r="Z1731" s="127">
        <v>55985</v>
      </c>
      <c r="AA1731" s="127" t="s">
        <v>276</v>
      </c>
      <c r="AB1731" s="127" t="s">
        <v>276</v>
      </c>
      <c r="AC1731" s="127" t="s">
        <v>10293</v>
      </c>
      <c r="AD1731" s="127" t="s">
        <v>10268</v>
      </c>
      <c r="AE1731" s="127" t="s">
        <v>10294</v>
      </c>
      <c r="AF1731" s="127" t="s">
        <v>10268</v>
      </c>
      <c r="AG1731" s="127" t="s">
        <v>10306</v>
      </c>
      <c r="AH1731" s="127" t="s">
        <v>9258</v>
      </c>
      <c r="AI1731" s="134">
        <f>267-143+1</f>
        <v>125</v>
      </c>
      <c r="AJ1731" s="134">
        <f>143+21</f>
        <v>164</v>
      </c>
      <c r="AK1731" s="133">
        <v>77080</v>
      </c>
      <c r="AL1731" s="127">
        <v>55985</v>
      </c>
      <c r="AM1731" s="134" t="s">
        <v>281</v>
      </c>
      <c r="AN1731" s="126" t="s">
        <v>276</v>
      </c>
      <c r="AO1731" s="135">
        <f t="shared" si="485"/>
        <v>1.6216917488323819</v>
      </c>
      <c r="AP1731" s="126" t="s">
        <v>276</v>
      </c>
      <c r="AQ1731" s="126" t="s">
        <v>276</v>
      </c>
      <c r="AR1731" s="126" t="s">
        <v>276</v>
      </c>
      <c r="AS1731" s="135">
        <f t="shared" si="486"/>
        <v>2.9293560775207643</v>
      </c>
      <c r="AT1731" s="126" t="s">
        <v>276</v>
      </c>
      <c r="AU1731" s="126" t="s">
        <v>276</v>
      </c>
      <c r="AV1731" s="126" t="s">
        <v>268</v>
      </c>
      <c r="AW1731" s="126" t="s">
        <v>276</v>
      </c>
      <c r="AX1731" s="148">
        <f t="shared" si="487"/>
        <v>0.55360007657549337</v>
      </c>
      <c r="AY1731" s="126" t="s">
        <v>276</v>
      </c>
      <c r="AZ1731" s="126" t="s">
        <v>276</v>
      </c>
      <c r="BA1731" s="126" t="s">
        <v>276</v>
      </c>
      <c r="BB1731" s="126" t="s">
        <v>282</v>
      </c>
      <c r="BC1731" s="126" t="s">
        <v>98</v>
      </c>
      <c r="BD1731" s="126" t="s">
        <v>98</v>
      </c>
      <c r="BE1731" s="126" t="s">
        <v>98</v>
      </c>
      <c r="BF1731" s="127" t="s">
        <v>10286</v>
      </c>
      <c r="BG1731" s="127" t="s">
        <v>10296</v>
      </c>
      <c r="BH1731" s="9" t="s">
        <v>100</v>
      </c>
      <c r="BI1731" s="9" t="s">
        <v>100</v>
      </c>
      <c r="BJ1731" s="136"/>
      <c r="BN1731" s="136"/>
      <c r="BO1731" s="136"/>
    </row>
    <row r="1732" spans="1:67" s="137" customFormat="1" ht="78" hidden="1" x14ac:dyDescent="0.35">
      <c r="A1732" s="126">
        <v>4095</v>
      </c>
      <c r="B1732" s="126" t="s">
        <v>9605</v>
      </c>
      <c r="C1732" s="127" t="s">
        <v>62</v>
      </c>
      <c r="D1732" s="127" t="s">
        <v>10307</v>
      </c>
      <c r="E1732" s="126" t="s">
        <v>35</v>
      </c>
      <c r="F1732" s="126" t="s">
        <v>97</v>
      </c>
      <c r="G1732" s="126" t="s">
        <v>225</v>
      </c>
      <c r="H1732" s="126" t="s">
        <v>125</v>
      </c>
      <c r="I1732" s="126" t="s">
        <v>113</v>
      </c>
      <c r="J1732" s="127" t="s">
        <v>31</v>
      </c>
      <c r="K1732" s="126" t="s">
        <v>10203</v>
      </c>
      <c r="L1732" s="126" t="s">
        <v>276</v>
      </c>
      <c r="M1732" s="126" t="s">
        <v>276</v>
      </c>
      <c r="N1732" s="129" t="s">
        <v>10219</v>
      </c>
      <c r="O1732" s="127" t="s">
        <v>276</v>
      </c>
      <c r="P1732" s="127" t="s">
        <v>239</v>
      </c>
      <c r="Q1732" s="146" t="s">
        <v>10220</v>
      </c>
      <c r="R1732" s="127" t="s">
        <v>276</v>
      </c>
      <c r="S1732" s="127" t="s">
        <v>276</v>
      </c>
      <c r="T1732" s="127" t="s">
        <v>276</v>
      </c>
      <c r="U1732" s="167" t="s">
        <v>1719</v>
      </c>
      <c r="V1732" s="126" t="s">
        <v>15</v>
      </c>
      <c r="W1732" s="126" t="s">
        <v>9254</v>
      </c>
      <c r="X1732" s="127" t="s">
        <v>207</v>
      </c>
      <c r="Y1732" s="133">
        <v>77080</v>
      </c>
      <c r="Z1732" s="127">
        <v>55985</v>
      </c>
      <c r="AA1732" s="127" t="s">
        <v>276</v>
      </c>
      <c r="AB1732" s="127" t="s">
        <v>276</v>
      </c>
      <c r="AC1732" s="127" t="s">
        <v>10293</v>
      </c>
      <c r="AD1732" s="127" t="s">
        <v>10268</v>
      </c>
      <c r="AE1732" s="127" t="s">
        <v>10294</v>
      </c>
      <c r="AF1732" s="127" t="s">
        <v>10268</v>
      </c>
      <c r="AG1732" s="127" t="s">
        <v>10308</v>
      </c>
      <c r="AH1732" s="127" t="s">
        <v>9258</v>
      </c>
      <c r="AI1732" s="134">
        <f>139-68+1</f>
        <v>72</v>
      </c>
      <c r="AJ1732" s="134">
        <f>68+5</f>
        <v>73</v>
      </c>
      <c r="AK1732" s="133">
        <v>77080</v>
      </c>
      <c r="AL1732" s="127">
        <v>55985</v>
      </c>
      <c r="AM1732" s="134" t="s">
        <v>281</v>
      </c>
      <c r="AN1732" s="126" t="s">
        <v>276</v>
      </c>
      <c r="AO1732" s="135">
        <f t="shared" si="485"/>
        <v>0.93409444732745195</v>
      </c>
      <c r="AP1732" s="126" t="s">
        <v>276</v>
      </c>
      <c r="AQ1732" s="126" t="s">
        <v>276</v>
      </c>
      <c r="AR1732" s="126" t="s">
        <v>276</v>
      </c>
      <c r="AS1732" s="135">
        <f t="shared" si="486"/>
        <v>1.3039206930427794</v>
      </c>
      <c r="AT1732" s="126" t="s">
        <v>276</v>
      </c>
      <c r="AU1732" s="126" t="s">
        <v>276</v>
      </c>
      <c r="AV1732" s="126" t="s">
        <v>268</v>
      </c>
      <c r="AW1732" s="126" t="s">
        <v>276</v>
      </c>
      <c r="AX1732" s="148">
        <f t="shared" si="487"/>
        <v>0.71637366621407395</v>
      </c>
      <c r="AY1732" s="126" t="s">
        <v>276</v>
      </c>
      <c r="AZ1732" s="126" t="s">
        <v>276</v>
      </c>
      <c r="BA1732" s="126" t="s">
        <v>276</v>
      </c>
      <c r="BB1732" s="126" t="s">
        <v>282</v>
      </c>
      <c r="BC1732" s="126" t="s">
        <v>98</v>
      </c>
      <c r="BD1732" s="126" t="s">
        <v>98</v>
      </c>
      <c r="BE1732" s="126" t="s">
        <v>98</v>
      </c>
      <c r="BF1732" s="127" t="s">
        <v>10286</v>
      </c>
      <c r="BG1732" s="127" t="s">
        <v>10296</v>
      </c>
      <c r="BH1732" s="9" t="s">
        <v>100</v>
      </c>
      <c r="BI1732" s="9" t="s">
        <v>100</v>
      </c>
      <c r="BJ1732" s="136"/>
      <c r="BN1732" s="136"/>
      <c r="BO1732" s="136"/>
    </row>
    <row r="1733" spans="1:67" s="172" customFormat="1" ht="91" hidden="1" x14ac:dyDescent="0.35">
      <c r="A1733" s="150">
        <v>4095</v>
      </c>
      <c r="B1733" s="150" t="s">
        <v>9605</v>
      </c>
      <c r="C1733" s="151" t="s">
        <v>62</v>
      </c>
      <c r="D1733" s="151" t="s">
        <v>10309</v>
      </c>
      <c r="E1733" s="150" t="s">
        <v>35</v>
      </c>
      <c r="F1733" s="150" t="s">
        <v>97</v>
      </c>
      <c r="G1733" s="150" t="s">
        <v>225</v>
      </c>
      <c r="H1733" s="150" t="s">
        <v>125</v>
      </c>
      <c r="I1733" s="150" t="s">
        <v>113</v>
      </c>
      <c r="J1733" s="151" t="s">
        <v>31</v>
      </c>
      <c r="K1733" s="499" t="s">
        <v>3821</v>
      </c>
      <c r="L1733" s="150" t="s">
        <v>276</v>
      </c>
      <c r="M1733" s="150" t="s">
        <v>276</v>
      </c>
      <c r="N1733" s="496" t="s">
        <v>10219</v>
      </c>
      <c r="O1733" s="151" t="s">
        <v>276</v>
      </c>
      <c r="P1733" s="151" t="s">
        <v>239</v>
      </c>
      <c r="Q1733" s="154" t="s">
        <v>10220</v>
      </c>
      <c r="R1733" s="151" t="s">
        <v>276</v>
      </c>
      <c r="S1733" s="151" t="s">
        <v>276</v>
      </c>
      <c r="T1733" s="151" t="s">
        <v>276</v>
      </c>
      <c r="U1733" s="168" t="s">
        <v>1719</v>
      </c>
      <c r="V1733" s="150" t="s">
        <v>15</v>
      </c>
      <c r="W1733" s="150" t="s">
        <v>9254</v>
      </c>
      <c r="X1733" s="151" t="s">
        <v>207</v>
      </c>
      <c r="Y1733" s="497">
        <v>77080</v>
      </c>
      <c r="Z1733" s="151">
        <v>55985</v>
      </c>
      <c r="AA1733" s="151" t="s">
        <v>276</v>
      </c>
      <c r="AB1733" s="151" t="s">
        <v>276</v>
      </c>
      <c r="AC1733" s="151" t="s">
        <v>10293</v>
      </c>
      <c r="AD1733" s="151" t="s">
        <v>10268</v>
      </c>
      <c r="AE1733" s="151" t="s">
        <v>10294</v>
      </c>
      <c r="AF1733" s="151" t="s">
        <v>10268</v>
      </c>
      <c r="AG1733" s="151" t="s">
        <v>10310</v>
      </c>
      <c r="AH1733" s="151" t="s">
        <v>9258</v>
      </c>
      <c r="AI1733" s="156">
        <f>AI1732+AI1731+AI1730</f>
        <v>461</v>
      </c>
      <c r="AJ1733" s="156">
        <f>AJ1732+AJ1731+AJ1730</f>
        <v>497</v>
      </c>
      <c r="AK1733" s="497">
        <v>77080</v>
      </c>
      <c r="AL1733" s="151">
        <v>55985</v>
      </c>
      <c r="AM1733" s="156" t="s">
        <v>281</v>
      </c>
      <c r="AN1733" s="150" t="s">
        <v>276</v>
      </c>
      <c r="AO1733" s="159">
        <f t="shared" si="485"/>
        <v>5.9807991696938245</v>
      </c>
      <c r="AP1733" s="150" t="s">
        <v>276</v>
      </c>
      <c r="AQ1733" s="150" t="s">
        <v>276</v>
      </c>
      <c r="AR1733" s="150" t="s">
        <v>276</v>
      </c>
      <c r="AS1733" s="159">
        <f t="shared" si="486"/>
        <v>8.8773778690720722</v>
      </c>
      <c r="AT1733" s="150" t="s">
        <v>276</v>
      </c>
      <c r="AU1733" s="150" t="s">
        <v>276</v>
      </c>
      <c r="AV1733" s="150" t="s">
        <v>268</v>
      </c>
      <c r="AW1733" s="150" t="s">
        <v>276</v>
      </c>
      <c r="AX1733" s="158">
        <f t="shared" si="487"/>
        <v>0.67371235717365952</v>
      </c>
      <c r="AY1733" s="150" t="s">
        <v>276</v>
      </c>
      <c r="AZ1733" s="150" t="s">
        <v>276</v>
      </c>
      <c r="BA1733" s="150" t="s">
        <v>276</v>
      </c>
      <c r="BB1733" s="150" t="s">
        <v>282</v>
      </c>
      <c r="BC1733" s="150" t="s">
        <v>98</v>
      </c>
      <c r="BD1733" s="150" t="s">
        <v>98</v>
      </c>
      <c r="BE1733" s="150" t="s">
        <v>98</v>
      </c>
      <c r="BF1733" s="151" t="s">
        <v>10286</v>
      </c>
      <c r="BG1733" s="151" t="s">
        <v>10296</v>
      </c>
      <c r="BH1733" s="9" t="s">
        <v>100</v>
      </c>
      <c r="BI1733" s="9" t="s">
        <v>100</v>
      </c>
      <c r="BJ1733" s="171"/>
      <c r="BN1733" s="171"/>
      <c r="BO1733" s="171"/>
    </row>
    <row r="1734" spans="1:67" s="183" customFormat="1" ht="78" hidden="1" x14ac:dyDescent="0.35">
      <c r="A1734" s="415">
        <v>4172</v>
      </c>
      <c r="B1734" s="175" t="s">
        <v>9773</v>
      </c>
      <c r="C1734" s="176" t="s">
        <v>62</v>
      </c>
      <c r="D1734" s="176" t="s">
        <v>10311</v>
      </c>
      <c r="E1734" s="175" t="s">
        <v>35</v>
      </c>
      <c r="F1734" s="175" t="s">
        <v>97</v>
      </c>
      <c r="G1734" s="175" t="s">
        <v>225</v>
      </c>
      <c r="H1734" s="175" t="s">
        <v>125</v>
      </c>
      <c r="I1734" s="175" t="s">
        <v>113</v>
      </c>
      <c r="J1734" s="176" t="s">
        <v>31</v>
      </c>
      <c r="K1734" s="175" t="s">
        <v>3801</v>
      </c>
      <c r="L1734" s="175" t="s">
        <v>276</v>
      </c>
      <c r="M1734" s="175" t="s">
        <v>276</v>
      </c>
      <c r="N1734" s="177" t="s">
        <v>276</v>
      </c>
      <c r="O1734" s="176" t="s">
        <v>276</v>
      </c>
      <c r="P1734" s="176" t="s">
        <v>239</v>
      </c>
      <c r="Q1734" s="304" t="s">
        <v>10220</v>
      </c>
      <c r="R1734" s="176" t="s">
        <v>276</v>
      </c>
      <c r="S1734" s="176" t="s">
        <v>276</v>
      </c>
      <c r="T1734" s="176" t="s">
        <v>276</v>
      </c>
      <c r="U1734" s="178" t="s">
        <v>1219</v>
      </c>
      <c r="V1734" s="175" t="s">
        <v>15</v>
      </c>
      <c r="W1734" s="175" t="s">
        <v>8905</v>
      </c>
      <c r="X1734" s="176" t="s">
        <v>207</v>
      </c>
      <c r="Y1734" s="180">
        <v>35284</v>
      </c>
      <c r="Z1734" s="179">
        <v>25037</v>
      </c>
      <c r="AA1734" s="176" t="s">
        <v>276</v>
      </c>
      <c r="AB1734" s="176" t="s">
        <v>276</v>
      </c>
      <c r="AC1734" s="176">
        <f t="shared" ref="AC1734:AC1741" si="488">621-620</f>
        <v>1</v>
      </c>
      <c r="AD1734" s="176" t="s">
        <v>3921</v>
      </c>
      <c r="AE1734" s="176">
        <f>515-513</f>
        <v>2</v>
      </c>
      <c r="AF1734" s="176" t="s">
        <v>3921</v>
      </c>
      <c r="AG1734" s="176" t="s">
        <v>10312</v>
      </c>
      <c r="AH1734" s="176" t="s">
        <v>10313</v>
      </c>
      <c r="AI1734" s="179">
        <v>113</v>
      </c>
      <c r="AJ1734" s="179">
        <v>51</v>
      </c>
      <c r="AK1734" s="180">
        <v>35284</v>
      </c>
      <c r="AL1734" s="179">
        <v>25037</v>
      </c>
      <c r="AM1734" s="179" t="s">
        <v>281</v>
      </c>
      <c r="AN1734" s="175" t="s">
        <v>276</v>
      </c>
      <c r="AO1734" s="181">
        <f t="shared" si="485"/>
        <v>3.2025847409590749</v>
      </c>
      <c r="AP1734" s="175" t="s">
        <v>276</v>
      </c>
      <c r="AQ1734" s="175" t="s">
        <v>276</v>
      </c>
      <c r="AR1734" s="175" t="s">
        <v>276</v>
      </c>
      <c r="AS1734" s="181">
        <f t="shared" si="486"/>
        <v>2.0369852618125175</v>
      </c>
      <c r="AT1734" s="175" t="s">
        <v>276</v>
      </c>
      <c r="AU1734" s="175" t="s">
        <v>276</v>
      </c>
      <c r="AV1734" s="175" t="s">
        <v>268</v>
      </c>
      <c r="AW1734" s="175" t="s">
        <v>276</v>
      </c>
      <c r="AX1734" s="201">
        <f t="shared" si="487"/>
        <v>1.5722179246939678</v>
      </c>
      <c r="AY1734" s="175" t="s">
        <v>276</v>
      </c>
      <c r="AZ1734" s="175" t="s">
        <v>276</v>
      </c>
      <c r="BA1734" s="175" t="s">
        <v>276</v>
      </c>
      <c r="BB1734" s="175" t="s">
        <v>282</v>
      </c>
      <c r="BC1734" s="175" t="s">
        <v>98</v>
      </c>
      <c r="BD1734" s="175" t="s">
        <v>98</v>
      </c>
      <c r="BE1734" s="175" t="s">
        <v>98</v>
      </c>
      <c r="BF1734" s="176" t="s">
        <v>298</v>
      </c>
      <c r="BG1734" s="176"/>
      <c r="BH1734" s="9" t="s">
        <v>100</v>
      </c>
      <c r="BI1734" s="9" t="s">
        <v>100</v>
      </c>
      <c r="BJ1734" s="182"/>
      <c r="BN1734" s="182"/>
      <c r="BO1734" s="182"/>
    </row>
    <row r="1735" spans="1:67" s="183" customFormat="1" ht="78" hidden="1" x14ac:dyDescent="0.35">
      <c r="A1735" s="415">
        <v>4172</v>
      </c>
      <c r="B1735" s="175" t="s">
        <v>9773</v>
      </c>
      <c r="C1735" s="176" t="s">
        <v>62</v>
      </c>
      <c r="D1735" s="176" t="s">
        <v>10314</v>
      </c>
      <c r="E1735" s="175" t="s">
        <v>35</v>
      </c>
      <c r="F1735" s="175" t="s">
        <v>97</v>
      </c>
      <c r="G1735" s="175" t="s">
        <v>225</v>
      </c>
      <c r="H1735" s="175" t="s">
        <v>125</v>
      </c>
      <c r="I1735" s="175" t="s">
        <v>113</v>
      </c>
      <c r="J1735" s="176" t="s">
        <v>31</v>
      </c>
      <c r="K1735" s="175" t="s">
        <v>3805</v>
      </c>
      <c r="L1735" s="175" t="s">
        <v>276</v>
      </c>
      <c r="M1735" s="175" t="s">
        <v>276</v>
      </c>
      <c r="N1735" s="177" t="s">
        <v>276</v>
      </c>
      <c r="O1735" s="176" t="s">
        <v>276</v>
      </c>
      <c r="P1735" s="176" t="s">
        <v>239</v>
      </c>
      <c r="Q1735" s="304" t="s">
        <v>10220</v>
      </c>
      <c r="R1735" s="176" t="s">
        <v>276</v>
      </c>
      <c r="S1735" s="176" t="s">
        <v>276</v>
      </c>
      <c r="T1735" s="176" t="s">
        <v>276</v>
      </c>
      <c r="U1735" s="178" t="s">
        <v>1219</v>
      </c>
      <c r="V1735" s="175" t="s">
        <v>15</v>
      </c>
      <c r="W1735" s="175" t="s">
        <v>8905</v>
      </c>
      <c r="X1735" s="176" t="s">
        <v>207</v>
      </c>
      <c r="Y1735" s="180">
        <v>35284</v>
      </c>
      <c r="Z1735" s="179">
        <v>25037</v>
      </c>
      <c r="AA1735" s="176" t="s">
        <v>276</v>
      </c>
      <c r="AB1735" s="176" t="s">
        <v>276</v>
      </c>
      <c r="AC1735" s="176">
        <f t="shared" si="488"/>
        <v>1</v>
      </c>
      <c r="AD1735" s="176" t="s">
        <v>3921</v>
      </c>
      <c r="AE1735" s="176">
        <f t="shared" ref="AE1735:AE1740" si="489">515-513</f>
        <v>2</v>
      </c>
      <c r="AF1735" s="176" t="s">
        <v>3921</v>
      </c>
      <c r="AG1735" s="176" t="s">
        <v>10315</v>
      </c>
      <c r="AH1735" s="176" t="s">
        <v>10313</v>
      </c>
      <c r="AI1735" s="179">
        <v>144</v>
      </c>
      <c r="AJ1735" s="179">
        <v>94</v>
      </c>
      <c r="AK1735" s="180">
        <v>35284</v>
      </c>
      <c r="AL1735" s="179">
        <v>25037</v>
      </c>
      <c r="AM1735" s="179" t="s">
        <v>281</v>
      </c>
      <c r="AN1735" s="175" t="s">
        <v>276</v>
      </c>
      <c r="AO1735" s="181">
        <f t="shared" si="485"/>
        <v>4.0811699353814763</v>
      </c>
      <c r="AP1735" s="175" t="s">
        <v>276</v>
      </c>
      <c r="AQ1735" s="175" t="s">
        <v>276</v>
      </c>
      <c r="AR1735" s="175" t="s">
        <v>276</v>
      </c>
      <c r="AS1735" s="181">
        <f t="shared" si="486"/>
        <v>3.7544434237328752</v>
      </c>
      <c r="AT1735" s="175" t="s">
        <v>276</v>
      </c>
      <c r="AU1735" s="175" t="s">
        <v>276</v>
      </c>
      <c r="AV1735" s="175" t="s">
        <v>268</v>
      </c>
      <c r="AW1735" s="175" t="s">
        <v>276</v>
      </c>
      <c r="AX1735" s="201">
        <f t="shared" si="487"/>
        <v>1.0870239539590003</v>
      </c>
      <c r="AY1735" s="175" t="s">
        <v>276</v>
      </c>
      <c r="AZ1735" s="175" t="s">
        <v>276</v>
      </c>
      <c r="BA1735" s="175" t="s">
        <v>276</v>
      </c>
      <c r="BB1735" s="175" t="s">
        <v>282</v>
      </c>
      <c r="BC1735" s="175" t="s">
        <v>98</v>
      </c>
      <c r="BD1735" s="175" t="s">
        <v>98</v>
      </c>
      <c r="BE1735" s="175" t="s">
        <v>98</v>
      </c>
      <c r="BF1735" s="176" t="s">
        <v>298</v>
      </c>
      <c r="BG1735" s="176"/>
      <c r="BH1735" s="9" t="s">
        <v>100</v>
      </c>
      <c r="BI1735" s="9" t="s">
        <v>100</v>
      </c>
      <c r="BJ1735" s="182"/>
      <c r="BN1735" s="182"/>
      <c r="BO1735" s="182"/>
    </row>
    <row r="1736" spans="1:67" s="183" customFormat="1" ht="91" hidden="1" x14ac:dyDescent="0.35">
      <c r="A1736" s="415">
        <v>4172</v>
      </c>
      <c r="B1736" s="175" t="s">
        <v>9773</v>
      </c>
      <c r="C1736" s="176" t="s">
        <v>62</v>
      </c>
      <c r="D1736" s="176" t="s">
        <v>10316</v>
      </c>
      <c r="E1736" s="175" t="s">
        <v>35</v>
      </c>
      <c r="F1736" s="175" t="s">
        <v>97</v>
      </c>
      <c r="G1736" s="175" t="s">
        <v>225</v>
      </c>
      <c r="H1736" s="175" t="s">
        <v>125</v>
      </c>
      <c r="I1736" s="175" t="s">
        <v>113</v>
      </c>
      <c r="J1736" s="176" t="s">
        <v>31</v>
      </c>
      <c r="K1736" s="175" t="s">
        <v>3808</v>
      </c>
      <c r="L1736" s="175" t="s">
        <v>276</v>
      </c>
      <c r="M1736" s="175" t="s">
        <v>276</v>
      </c>
      <c r="N1736" s="177" t="s">
        <v>276</v>
      </c>
      <c r="O1736" s="176" t="s">
        <v>276</v>
      </c>
      <c r="P1736" s="176" t="s">
        <v>239</v>
      </c>
      <c r="Q1736" s="304" t="s">
        <v>10220</v>
      </c>
      <c r="R1736" s="176" t="s">
        <v>276</v>
      </c>
      <c r="S1736" s="176" t="s">
        <v>276</v>
      </c>
      <c r="T1736" s="176" t="s">
        <v>276</v>
      </c>
      <c r="U1736" s="178" t="s">
        <v>1219</v>
      </c>
      <c r="V1736" s="175" t="s">
        <v>15</v>
      </c>
      <c r="W1736" s="175" t="s">
        <v>8905</v>
      </c>
      <c r="X1736" s="176" t="s">
        <v>207</v>
      </c>
      <c r="Y1736" s="180">
        <v>35284</v>
      </c>
      <c r="Z1736" s="179">
        <v>25037</v>
      </c>
      <c r="AA1736" s="176" t="s">
        <v>276</v>
      </c>
      <c r="AB1736" s="176" t="s">
        <v>276</v>
      </c>
      <c r="AC1736" s="176">
        <f t="shared" si="488"/>
        <v>1</v>
      </c>
      <c r="AD1736" s="176" t="s">
        <v>3921</v>
      </c>
      <c r="AE1736" s="176">
        <f t="shared" si="489"/>
        <v>2</v>
      </c>
      <c r="AF1736" s="176" t="s">
        <v>3921</v>
      </c>
      <c r="AG1736" s="176" t="s">
        <v>10317</v>
      </c>
      <c r="AH1736" s="176" t="s">
        <v>10313</v>
      </c>
      <c r="AI1736" s="179">
        <v>108</v>
      </c>
      <c r="AJ1736" s="179">
        <v>100</v>
      </c>
      <c r="AK1736" s="180">
        <v>35284</v>
      </c>
      <c r="AL1736" s="179">
        <v>25037</v>
      </c>
      <c r="AM1736" s="179" t="s">
        <v>281</v>
      </c>
      <c r="AN1736" s="175" t="s">
        <v>276</v>
      </c>
      <c r="AO1736" s="181">
        <f t="shared" si="485"/>
        <v>3.0608774515361068</v>
      </c>
      <c r="AP1736" s="175" t="s">
        <v>276</v>
      </c>
      <c r="AQ1736" s="175" t="s">
        <v>276</v>
      </c>
      <c r="AR1736" s="175" t="s">
        <v>276</v>
      </c>
      <c r="AS1736" s="181">
        <f t="shared" si="486"/>
        <v>3.9940887486519951</v>
      </c>
      <c r="AT1736" s="175" t="s">
        <v>276</v>
      </c>
      <c r="AU1736" s="175" t="s">
        <v>276</v>
      </c>
      <c r="AV1736" s="175" t="s">
        <v>268</v>
      </c>
      <c r="AW1736" s="175" t="s">
        <v>276</v>
      </c>
      <c r="AX1736" s="201">
        <f t="shared" si="487"/>
        <v>0.76635188754109507</v>
      </c>
      <c r="AY1736" s="175" t="s">
        <v>276</v>
      </c>
      <c r="AZ1736" s="175" t="s">
        <v>276</v>
      </c>
      <c r="BA1736" s="175" t="s">
        <v>276</v>
      </c>
      <c r="BB1736" s="175" t="s">
        <v>282</v>
      </c>
      <c r="BC1736" s="175" t="s">
        <v>98</v>
      </c>
      <c r="BD1736" s="175" t="s">
        <v>98</v>
      </c>
      <c r="BE1736" s="175" t="s">
        <v>98</v>
      </c>
      <c r="BF1736" s="176" t="s">
        <v>298</v>
      </c>
      <c r="BG1736" s="176"/>
      <c r="BH1736" s="9" t="s">
        <v>100</v>
      </c>
      <c r="BI1736" s="9" t="s">
        <v>100</v>
      </c>
      <c r="BJ1736" s="182"/>
      <c r="BN1736" s="182"/>
      <c r="BO1736" s="182"/>
    </row>
    <row r="1737" spans="1:67" s="183" customFormat="1" ht="78" hidden="1" x14ac:dyDescent="0.35">
      <c r="A1737" s="415">
        <v>4172</v>
      </c>
      <c r="B1737" s="175" t="s">
        <v>9773</v>
      </c>
      <c r="C1737" s="176" t="s">
        <v>62</v>
      </c>
      <c r="D1737" s="176" t="s">
        <v>10318</v>
      </c>
      <c r="E1737" s="175" t="s">
        <v>35</v>
      </c>
      <c r="F1737" s="175" t="s">
        <v>97</v>
      </c>
      <c r="G1737" s="175" t="s">
        <v>225</v>
      </c>
      <c r="H1737" s="175" t="s">
        <v>125</v>
      </c>
      <c r="I1737" s="175" t="s">
        <v>113</v>
      </c>
      <c r="J1737" s="176" t="s">
        <v>31</v>
      </c>
      <c r="K1737" s="175" t="s">
        <v>3824</v>
      </c>
      <c r="L1737" s="175" t="s">
        <v>276</v>
      </c>
      <c r="M1737" s="175" t="s">
        <v>276</v>
      </c>
      <c r="N1737" s="177" t="s">
        <v>276</v>
      </c>
      <c r="O1737" s="176" t="s">
        <v>276</v>
      </c>
      <c r="P1737" s="176" t="s">
        <v>239</v>
      </c>
      <c r="Q1737" s="304" t="s">
        <v>10220</v>
      </c>
      <c r="R1737" s="176" t="s">
        <v>276</v>
      </c>
      <c r="S1737" s="176" t="s">
        <v>276</v>
      </c>
      <c r="T1737" s="176" t="s">
        <v>276</v>
      </c>
      <c r="U1737" s="178" t="s">
        <v>1219</v>
      </c>
      <c r="V1737" s="175" t="s">
        <v>15</v>
      </c>
      <c r="W1737" s="175" t="s">
        <v>8905</v>
      </c>
      <c r="X1737" s="176" t="s">
        <v>207</v>
      </c>
      <c r="Y1737" s="180">
        <v>35284</v>
      </c>
      <c r="Z1737" s="179">
        <v>25037</v>
      </c>
      <c r="AA1737" s="176" t="s">
        <v>276</v>
      </c>
      <c r="AB1737" s="176" t="s">
        <v>276</v>
      </c>
      <c r="AC1737" s="176">
        <f t="shared" si="488"/>
        <v>1</v>
      </c>
      <c r="AD1737" s="176" t="s">
        <v>3921</v>
      </c>
      <c r="AE1737" s="176">
        <f t="shared" si="489"/>
        <v>2</v>
      </c>
      <c r="AF1737" s="176" t="s">
        <v>3921</v>
      </c>
      <c r="AG1737" s="176" t="s">
        <v>10319</v>
      </c>
      <c r="AH1737" s="176" t="s">
        <v>10313</v>
      </c>
      <c r="AI1737" s="179">
        <f>AI1734+AI1735+AI1736</f>
        <v>365</v>
      </c>
      <c r="AJ1737" s="179">
        <f>AJ1734+AJ1735+AJ1736</f>
        <v>245</v>
      </c>
      <c r="AK1737" s="180">
        <v>35284</v>
      </c>
      <c r="AL1737" s="179">
        <v>25037</v>
      </c>
      <c r="AM1737" s="179" t="s">
        <v>281</v>
      </c>
      <c r="AN1737" s="175" t="s">
        <v>276</v>
      </c>
      <c r="AO1737" s="181">
        <f t="shared" si="485"/>
        <v>10.344632127876658</v>
      </c>
      <c r="AP1737" s="175" t="s">
        <v>276</v>
      </c>
      <c r="AQ1737" s="175" t="s">
        <v>276</v>
      </c>
      <c r="AR1737" s="175" t="s">
        <v>276</v>
      </c>
      <c r="AS1737" s="181">
        <f t="shared" si="486"/>
        <v>9.7855174341973878</v>
      </c>
      <c r="AT1737" s="175" t="s">
        <v>276</v>
      </c>
      <c r="AU1737" s="175" t="s">
        <v>276</v>
      </c>
      <c r="AV1737" s="175" t="s">
        <v>268</v>
      </c>
      <c r="AW1737" s="175" t="s">
        <v>276</v>
      </c>
      <c r="AX1737" s="201">
        <f t="shared" si="487"/>
        <v>1.0571369574924403</v>
      </c>
      <c r="AY1737" s="175" t="s">
        <v>276</v>
      </c>
      <c r="AZ1737" s="175" t="s">
        <v>276</v>
      </c>
      <c r="BA1737" s="175" t="s">
        <v>276</v>
      </c>
      <c r="BB1737" s="175" t="s">
        <v>282</v>
      </c>
      <c r="BC1737" s="175" t="s">
        <v>98</v>
      </c>
      <c r="BD1737" s="175" t="s">
        <v>98</v>
      </c>
      <c r="BE1737" s="175" t="s">
        <v>98</v>
      </c>
      <c r="BF1737" s="176" t="s">
        <v>298</v>
      </c>
      <c r="BG1737" s="176"/>
      <c r="BH1737" s="9" t="s">
        <v>100</v>
      </c>
      <c r="BI1737" s="9" t="s">
        <v>100</v>
      </c>
      <c r="BJ1737" s="182"/>
      <c r="BN1737" s="182"/>
      <c r="BO1737" s="182"/>
    </row>
    <row r="1738" spans="1:67" s="183" customFormat="1" ht="78" hidden="1" x14ac:dyDescent="0.35">
      <c r="A1738" s="415">
        <v>4172</v>
      </c>
      <c r="B1738" s="175" t="s">
        <v>9773</v>
      </c>
      <c r="C1738" s="176" t="s">
        <v>62</v>
      </c>
      <c r="D1738" s="176" t="s">
        <v>10320</v>
      </c>
      <c r="E1738" s="175" t="s">
        <v>35</v>
      </c>
      <c r="F1738" s="175" t="s">
        <v>97</v>
      </c>
      <c r="G1738" s="175" t="s">
        <v>225</v>
      </c>
      <c r="H1738" s="175" t="s">
        <v>125</v>
      </c>
      <c r="I1738" s="175" t="s">
        <v>113</v>
      </c>
      <c r="J1738" s="176" t="s">
        <v>31</v>
      </c>
      <c r="K1738" s="175" t="s">
        <v>3811</v>
      </c>
      <c r="L1738" s="175" t="s">
        <v>276</v>
      </c>
      <c r="M1738" s="175" t="s">
        <v>276</v>
      </c>
      <c r="N1738" s="177" t="s">
        <v>276</v>
      </c>
      <c r="O1738" s="176" t="s">
        <v>276</v>
      </c>
      <c r="P1738" s="176" t="s">
        <v>239</v>
      </c>
      <c r="Q1738" s="304" t="s">
        <v>10220</v>
      </c>
      <c r="R1738" s="176" t="s">
        <v>276</v>
      </c>
      <c r="S1738" s="176" t="s">
        <v>276</v>
      </c>
      <c r="T1738" s="176" t="s">
        <v>276</v>
      </c>
      <c r="U1738" s="178" t="s">
        <v>1219</v>
      </c>
      <c r="V1738" s="175" t="s">
        <v>15</v>
      </c>
      <c r="W1738" s="175" t="s">
        <v>8905</v>
      </c>
      <c r="X1738" s="176" t="s">
        <v>207</v>
      </c>
      <c r="Y1738" s="180">
        <v>35284</v>
      </c>
      <c r="Z1738" s="179">
        <v>25037</v>
      </c>
      <c r="AA1738" s="176" t="s">
        <v>276</v>
      </c>
      <c r="AB1738" s="176" t="s">
        <v>276</v>
      </c>
      <c r="AC1738" s="176">
        <f t="shared" si="488"/>
        <v>1</v>
      </c>
      <c r="AD1738" s="176" t="s">
        <v>3921</v>
      </c>
      <c r="AE1738" s="176">
        <f t="shared" si="489"/>
        <v>2</v>
      </c>
      <c r="AF1738" s="176" t="s">
        <v>3921</v>
      </c>
      <c r="AG1738" s="176" t="s">
        <v>10321</v>
      </c>
      <c r="AH1738" s="176" t="s">
        <v>10313</v>
      </c>
      <c r="AI1738" s="179">
        <v>120</v>
      </c>
      <c r="AJ1738" s="179">
        <v>129</v>
      </c>
      <c r="AK1738" s="180">
        <v>35284</v>
      </c>
      <c r="AL1738" s="179">
        <v>25037</v>
      </c>
      <c r="AM1738" s="179" t="s">
        <v>281</v>
      </c>
      <c r="AN1738" s="175" t="s">
        <v>276</v>
      </c>
      <c r="AO1738" s="181">
        <f t="shared" si="485"/>
        <v>3.40097494615123</v>
      </c>
      <c r="AP1738" s="175" t="s">
        <v>276</v>
      </c>
      <c r="AQ1738" s="175" t="s">
        <v>276</v>
      </c>
      <c r="AR1738" s="175" t="s">
        <v>276</v>
      </c>
      <c r="AS1738" s="181">
        <f t="shared" si="486"/>
        <v>5.152374485761074</v>
      </c>
      <c r="AT1738" s="175" t="s">
        <v>276</v>
      </c>
      <c r="AU1738" s="175" t="s">
        <v>276</v>
      </c>
      <c r="AV1738" s="175" t="s">
        <v>268</v>
      </c>
      <c r="AW1738" s="175" t="s">
        <v>276</v>
      </c>
      <c r="AX1738" s="201">
        <f t="shared" si="487"/>
        <v>0.66007914516890187</v>
      </c>
      <c r="AY1738" s="175" t="s">
        <v>276</v>
      </c>
      <c r="AZ1738" s="175" t="s">
        <v>276</v>
      </c>
      <c r="BA1738" s="175" t="s">
        <v>276</v>
      </c>
      <c r="BB1738" s="175" t="s">
        <v>282</v>
      </c>
      <c r="BC1738" s="175" t="s">
        <v>98</v>
      </c>
      <c r="BD1738" s="175" t="s">
        <v>98</v>
      </c>
      <c r="BE1738" s="175" t="s">
        <v>98</v>
      </c>
      <c r="BF1738" s="176" t="s">
        <v>298</v>
      </c>
      <c r="BG1738" s="176"/>
      <c r="BH1738" s="9" t="s">
        <v>100</v>
      </c>
      <c r="BI1738" s="9" t="s">
        <v>100</v>
      </c>
      <c r="BJ1738" s="182"/>
      <c r="BN1738" s="182"/>
      <c r="BO1738" s="182"/>
    </row>
    <row r="1739" spans="1:67" s="183" customFormat="1" ht="78" hidden="1" x14ac:dyDescent="0.35">
      <c r="A1739" s="415">
        <v>4172</v>
      </c>
      <c r="B1739" s="175" t="s">
        <v>9773</v>
      </c>
      <c r="C1739" s="176" t="s">
        <v>62</v>
      </c>
      <c r="D1739" s="176" t="s">
        <v>10322</v>
      </c>
      <c r="E1739" s="175" t="s">
        <v>35</v>
      </c>
      <c r="F1739" s="175" t="s">
        <v>97</v>
      </c>
      <c r="G1739" s="175" t="s">
        <v>225</v>
      </c>
      <c r="H1739" s="175" t="s">
        <v>125</v>
      </c>
      <c r="I1739" s="175" t="s">
        <v>113</v>
      </c>
      <c r="J1739" s="176" t="s">
        <v>31</v>
      </c>
      <c r="K1739" s="175" t="s">
        <v>3814</v>
      </c>
      <c r="L1739" s="175" t="s">
        <v>276</v>
      </c>
      <c r="M1739" s="175" t="s">
        <v>276</v>
      </c>
      <c r="N1739" s="177" t="s">
        <v>276</v>
      </c>
      <c r="O1739" s="176" t="s">
        <v>276</v>
      </c>
      <c r="P1739" s="176" t="s">
        <v>239</v>
      </c>
      <c r="Q1739" s="304" t="s">
        <v>10220</v>
      </c>
      <c r="R1739" s="176" t="s">
        <v>276</v>
      </c>
      <c r="S1739" s="176" t="s">
        <v>276</v>
      </c>
      <c r="T1739" s="176" t="s">
        <v>276</v>
      </c>
      <c r="U1739" s="178" t="s">
        <v>1219</v>
      </c>
      <c r="V1739" s="175" t="s">
        <v>15</v>
      </c>
      <c r="W1739" s="175" t="s">
        <v>8905</v>
      </c>
      <c r="X1739" s="176" t="s">
        <v>207</v>
      </c>
      <c r="Y1739" s="180">
        <v>35284</v>
      </c>
      <c r="Z1739" s="179">
        <v>25037</v>
      </c>
      <c r="AA1739" s="176" t="s">
        <v>276</v>
      </c>
      <c r="AB1739" s="176" t="s">
        <v>276</v>
      </c>
      <c r="AC1739" s="176">
        <f t="shared" si="488"/>
        <v>1</v>
      </c>
      <c r="AD1739" s="176" t="s">
        <v>3921</v>
      </c>
      <c r="AE1739" s="176">
        <f t="shared" si="489"/>
        <v>2</v>
      </c>
      <c r="AF1739" s="176" t="s">
        <v>3921</v>
      </c>
      <c r="AG1739" s="176" t="s">
        <v>10323</v>
      </c>
      <c r="AH1739" s="176" t="s">
        <v>10313</v>
      </c>
      <c r="AI1739" s="179">
        <v>42</v>
      </c>
      <c r="AJ1739" s="179">
        <v>74</v>
      </c>
      <c r="AK1739" s="180">
        <v>35284</v>
      </c>
      <c r="AL1739" s="179">
        <v>25037</v>
      </c>
      <c r="AM1739" s="179" t="s">
        <v>281</v>
      </c>
      <c r="AN1739" s="175" t="s">
        <v>276</v>
      </c>
      <c r="AO1739" s="181">
        <f t="shared" si="485"/>
        <v>1.1903412311529304</v>
      </c>
      <c r="AP1739" s="175" t="s">
        <v>276</v>
      </c>
      <c r="AQ1739" s="175" t="s">
        <v>276</v>
      </c>
      <c r="AR1739" s="175" t="s">
        <v>276</v>
      </c>
      <c r="AS1739" s="181">
        <f t="shared" si="486"/>
        <v>2.9556256740024764</v>
      </c>
      <c r="AT1739" s="175" t="s">
        <v>276</v>
      </c>
      <c r="AU1739" s="175" t="s">
        <v>276</v>
      </c>
      <c r="AV1739" s="175" t="s">
        <v>268</v>
      </c>
      <c r="AW1739" s="175" t="s">
        <v>276</v>
      </c>
      <c r="AX1739" s="201">
        <f t="shared" si="487"/>
        <v>0.4027374784375124</v>
      </c>
      <c r="AY1739" s="175" t="s">
        <v>276</v>
      </c>
      <c r="AZ1739" s="175" t="s">
        <v>276</v>
      </c>
      <c r="BA1739" s="175" t="s">
        <v>276</v>
      </c>
      <c r="BB1739" s="175" t="s">
        <v>282</v>
      </c>
      <c r="BC1739" s="175" t="s">
        <v>98</v>
      </c>
      <c r="BD1739" s="175" t="s">
        <v>98</v>
      </c>
      <c r="BE1739" s="175" t="s">
        <v>98</v>
      </c>
      <c r="BF1739" s="176" t="s">
        <v>298</v>
      </c>
      <c r="BG1739" s="176"/>
      <c r="BH1739" s="9" t="s">
        <v>100</v>
      </c>
      <c r="BI1739" s="9" t="s">
        <v>100</v>
      </c>
      <c r="BJ1739" s="182"/>
      <c r="BN1739" s="182"/>
      <c r="BO1739" s="182"/>
    </row>
    <row r="1740" spans="1:67" s="183" customFormat="1" ht="78" hidden="1" x14ac:dyDescent="0.35">
      <c r="A1740" s="415">
        <v>4172</v>
      </c>
      <c r="B1740" s="175" t="s">
        <v>9773</v>
      </c>
      <c r="C1740" s="176" t="s">
        <v>62</v>
      </c>
      <c r="D1740" s="176" t="s">
        <v>10324</v>
      </c>
      <c r="E1740" s="175" t="s">
        <v>35</v>
      </c>
      <c r="F1740" s="175" t="s">
        <v>97</v>
      </c>
      <c r="G1740" s="175" t="s">
        <v>225</v>
      </c>
      <c r="H1740" s="175" t="s">
        <v>125</v>
      </c>
      <c r="I1740" s="175" t="s">
        <v>113</v>
      </c>
      <c r="J1740" s="176" t="s">
        <v>31</v>
      </c>
      <c r="K1740" s="175" t="s">
        <v>10203</v>
      </c>
      <c r="L1740" s="175" t="s">
        <v>276</v>
      </c>
      <c r="M1740" s="175" t="s">
        <v>276</v>
      </c>
      <c r="N1740" s="177" t="s">
        <v>276</v>
      </c>
      <c r="O1740" s="176" t="s">
        <v>276</v>
      </c>
      <c r="P1740" s="176" t="s">
        <v>239</v>
      </c>
      <c r="Q1740" s="304" t="s">
        <v>10220</v>
      </c>
      <c r="R1740" s="176" t="s">
        <v>276</v>
      </c>
      <c r="S1740" s="176" t="s">
        <v>276</v>
      </c>
      <c r="T1740" s="176" t="s">
        <v>276</v>
      </c>
      <c r="U1740" s="178" t="s">
        <v>1219</v>
      </c>
      <c r="V1740" s="175" t="s">
        <v>15</v>
      </c>
      <c r="W1740" s="175" t="s">
        <v>8905</v>
      </c>
      <c r="X1740" s="176" t="s">
        <v>207</v>
      </c>
      <c r="Y1740" s="180">
        <v>35284</v>
      </c>
      <c r="Z1740" s="179">
        <v>25037</v>
      </c>
      <c r="AA1740" s="176" t="s">
        <v>276</v>
      </c>
      <c r="AB1740" s="176" t="s">
        <v>276</v>
      </c>
      <c r="AC1740" s="176">
        <f t="shared" si="488"/>
        <v>1</v>
      </c>
      <c r="AD1740" s="176" t="s">
        <v>3921</v>
      </c>
      <c r="AE1740" s="176">
        <f t="shared" si="489"/>
        <v>2</v>
      </c>
      <c r="AF1740" s="176" t="s">
        <v>3921</v>
      </c>
      <c r="AG1740" s="176" t="s">
        <v>10325</v>
      </c>
      <c r="AH1740" s="176" t="s">
        <v>10313</v>
      </c>
      <c r="AI1740" s="179">
        <v>32</v>
      </c>
      <c r="AJ1740" s="179">
        <v>39</v>
      </c>
      <c r="AK1740" s="180">
        <v>35284</v>
      </c>
      <c r="AL1740" s="179">
        <v>25037</v>
      </c>
      <c r="AM1740" s="179" t="s">
        <v>281</v>
      </c>
      <c r="AN1740" s="175" t="s">
        <v>276</v>
      </c>
      <c r="AO1740" s="181">
        <f t="shared" si="485"/>
        <v>0.90692665230699465</v>
      </c>
      <c r="AP1740" s="175" t="s">
        <v>276</v>
      </c>
      <c r="AQ1740" s="175" t="s">
        <v>276</v>
      </c>
      <c r="AR1740" s="175" t="s">
        <v>276</v>
      </c>
      <c r="AS1740" s="181">
        <f t="shared" si="486"/>
        <v>1.5576946119742781</v>
      </c>
      <c r="AT1740" s="175" t="s">
        <v>276</v>
      </c>
      <c r="AU1740" s="175" t="s">
        <v>276</v>
      </c>
      <c r="AV1740" s="175" t="s">
        <v>268</v>
      </c>
      <c r="AW1740" s="175" t="s">
        <v>276</v>
      </c>
      <c r="AX1740" s="201">
        <f t="shared" si="487"/>
        <v>0.58222365625154426</v>
      </c>
      <c r="AY1740" s="175" t="s">
        <v>276</v>
      </c>
      <c r="AZ1740" s="175" t="s">
        <v>276</v>
      </c>
      <c r="BA1740" s="175" t="s">
        <v>276</v>
      </c>
      <c r="BB1740" s="175" t="s">
        <v>282</v>
      </c>
      <c r="BC1740" s="175" t="s">
        <v>98</v>
      </c>
      <c r="BD1740" s="175" t="s">
        <v>98</v>
      </c>
      <c r="BE1740" s="175" t="s">
        <v>98</v>
      </c>
      <c r="BF1740" s="176" t="s">
        <v>298</v>
      </c>
      <c r="BG1740" s="176"/>
      <c r="BH1740" s="9" t="s">
        <v>100</v>
      </c>
      <c r="BI1740" s="9" t="s">
        <v>100</v>
      </c>
      <c r="BJ1740" s="182"/>
      <c r="BN1740" s="182"/>
      <c r="BO1740" s="182"/>
    </row>
    <row r="1741" spans="1:67" s="183" customFormat="1" ht="78" hidden="1" x14ac:dyDescent="0.35">
      <c r="A1741" s="415">
        <v>4172</v>
      </c>
      <c r="B1741" s="175" t="s">
        <v>9773</v>
      </c>
      <c r="C1741" s="176" t="s">
        <v>62</v>
      </c>
      <c r="D1741" s="176" t="s">
        <v>10326</v>
      </c>
      <c r="E1741" s="175" t="s">
        <v>35</v>
      </c>
      <c r="F1741" s="175" t="s">
        <v>97</v>
      </c>
      <c r="G1741" s="175" t="s">
        <v>225</v>
      </c>
      <c r="H1741" s="175" t="s">
        <v>125</v>
      </c>
      <c r="I1741" s="175" t="s">
        <v>113</v>
      </c>
      <c r="J1741" s="176" t="s">
        <v>31</v>
      </c>
      <c r="K1741" s="500" t="s">
        <v>3821</v>
      </c>
      <c r="L1741" s="175" t="s">
        <v>276</v>
      </c>
      <c r="M1741" s="175" t="s">
        <v>276</v>
      </c>
      <c r="N1741" s="177" t="s">
        <v>276</v>
      </c>
      <c r="O1741" s="176" t="s">
        <v>276</v>
      </c>
      <c r="P1741" s="176" t="s">
        <v>239</v>
      </c>
      <c r="Q1741" s="304" t="s">
        <v>10220</v>
      </c>
      <c r="R1741" s="176" t="s">
        <v>276</v>
      </c>
      <c r="S1741" s="176" t="s">
        <v>276</v>
      </c>
      <c r="T1741" s="176" t="s">
        <v>276</v>
      </c>
      <c r="U1741" s="178" t="s">
        <v>1219</v>
      </c>
      <c r="V1741" s="175" t="s">
        <v>15</v>
      </c>
      <c r="W1741" s="175" t="s">
        <v>8905</v>
      </c>
      <c r="X1741" s="176" t="s">
        <v>207</v>
      </c>
      <c r="Y1741" s="180">
        <v>35284</v>
      </c>
      <c r="Z1741" s="179">
        <v>25037</v>
      </c>
      <c r="AA1741" s="176" t="s">
        <v>276</v>
      </c>
      <c r="AB1741" s="176" t="s">
        <v>276</v>
      </c>
      <c r="AC1741" s="176">
        <f t="shared" si="488"/>
        <v>1</v>
      </c>
      <c r="AD1741" s="176" t="s">
        <v>3921</v>
      </c>
      <c r="AE1741" s="176">
        <f>515-513</f>
        <v>2</v>
      </c>
      <c r="AF1741" s="176" t="s">
        <v>3921</v>
      </c>
      <c r="AG1741" s="176" t="s">
        <v>10327</v>
      </c>
      <c r="AH1741" s="176" t="s">
        <v>10313</v>
      </c>
      <c r="AI1741" s="179">
        <f>AI1740+AI1739+AI1738</f>
        <v>194</v>
      </c>
      <c r="AJ1741" s="179">
        <f>AJ1740+AJ1739+AJ1738</f>
        <v>242</v>
      </c>
      <c r="AK1741" s="180">
        <v>35284</v>
      </c>
      <c r="AL1741" s="179">
        <v>25037</v>
      </c>
      <c r="AM1741" s="179" t="s">
        <v>281</v>
      </c>
      <c r="AN1741" s="175" t="s">
        <v>276</v>
      </c>
      <c r="AO1741" s="181">
        <f t="shared" si="485"/>
        <v>5.4982428296111552</v>
      </c>
      <c r="AP1741" s="175" t="s">
        <v>276</v>
      </c>
      <c r="AQ1741" s="175" t="s">
        <v>276</v>
      </c>
      <c r="AR1741" s="175" t="s">
        <v>276</v>
      </c>
      <c r="AS1741" s="181">
        <f t="shared" si="486"/>
        <v>9.6656947717378277</v>
      </c>
      <c r="AT1741" s="175" t="s">
        <v>276</v>
      </c>
      <c r="AU1741" s="175" t="s">
        <v>276</v>
      </c>
      <c r="AV1741" s="175" t="s">
        <v>268</v>
      </c>
      <c r="AW1741" s="175" t="s">
        <v>276</v>
      </c>
      <c r="AX1741" s="201">
        <f t="shared" si="487"/>
        <v>0.56884093274782854</v>
      </c>
      <c r="AY1741" s="175" t="s">
        <v>276</v>
      </c>
      <c r="AZ1741" s="175" t="s">
        <v>276</v>
      </c>
      <c r="BA1741" s="175" t="s">
        <v>276</v>
      </c>
      <c r="BB1741" s="175" t="s">
        <v>282</v>
      </c>
      <c r="BC1741" s="175" t="s">
        <v>98</v>
      </c>
      <c r="BD1741" s="175" t="s">
        <v>98</v>
      </c>
      <c r="BE1741" s="175" t="s">
        <v>98</v>
      </c>
      <c r="BF1741" s="176" t="s">
        <v>298</v>
      </c>
      <c r="BG1741" s="176"/>
      <c r="BH1741" s="9" t="s">
        <v>100</v>
      </c>
      <c r="BI1741" s="9" t="s">
        <v>100</v>
      </c>
      <c r="BJ1741" s="182"/>
      <c r="BN1741" s="182"/>
      <c r="BO1741" s="182"/>
    </row>
    <row r="1742" spans="1:67" s="194" customFormat="1" ht="78" hidden="1" x14ac:dyDescent="0.35">
      <c r="A1742" s="415">
        <v>4172</v>
      </c>
      <c r="B1742" s="184" t="s">
        <v>9773</v>
      </c>
      <c r="C1742" s="185" t="s">
        <v>62</v>
      </c>
      <c r="D1742" s="185" t="s">
        <v>10328</v>
      </c>
      <c r="E1742" s="184" t="s">
        <v>35</v>
      </c>
      <c r="F1742" s="184" t="s">
        <v>97</v>
      </c>
      <c r="G1742" s="184" t="s">
        <v>225</v>
      </c>
      <c r="H1742" s="184" t="s">
        <v>125</v>
      </c>
      <c r="I1742" s="184" t="s">
        <v>113</v>
      </c>
      <c r="J1742" s="185" t="s">
        <v>117</v>
      </c>
      <c r="K1742" s="501" t="s">
        <v>3830</v>
      </c>
      <c r="L1742" s="184" t="s">
        <v>276</v>
      </c>
      <c r="M1742" s="184" t="s">
        <v>276</v>
      </c>
      <c r="N1742" s="186" t="s">
        <v>276</v>
      </c>
      <c r="O1742" s="185" t="s">
        <v>276</v>
      </c>
      <c r="P1742" s="185" t="s">
        <v>239</v>
      </c>
      <c r="Q1742" s="302" t="s">
        <v>10220</v>
      </c>
      <c r="R1742" s="185" t="s">
        <v>276</v>
      </c>
      <c r="S1742" s="185" t="s">
        <v>276</v>
      </c>
      <c r="T1742" s="185" t="s">
        <v>276</v>
      </c>
      <c r="U1742" s="187" t="s">
        <v>1219</v>
      </c>
      <c r="V1742" s="184" t="s">
        <v>15</v>
      </c>
      <c r="W1742" s="184" t="s">
        <v>8905</v>
      </c>
      <c r="X1742" s="185" t="s">
        <v>207</v>
      </c>
      <c r="Y1742" s="189">
        <v>35284</v>
      </c>
      <c r="Z1742" s="188">
        <v>25037</v>
      </c>
      <c r="AA1742" s="185" t="s">
        <v>276</v>
      </c>
      <c r="AB1742" s="185" t="s">
        <v>276</v>
      </c>
      <c r="AC1742" s="185">
        <f>621-532</f>
        <v>89</v>
      </c>
      <c r="AD1742" s="185" t="s">
        <v>7545</v>
      </c>
      <c r="AE1742" s="185">
        <f>515-468</f>
        <v>47</v>
      </c>
      <c r="AF1742" s="185" t="s">
        <v>7545</v>
      </c>
      <c r="AG1742" s="185" t="s">
        <v>10329</v>
      </c>
      <c r="AH1742" s="185" t="s">
        <v>10313</v>
      </c>
      <c r="AI1742" s="188">
        <v>375</v>
      </c>
      <c r="AJ1742" s="188">
        <v>292</v>
      </c>
      <c r="AK1742" s="189">
        <v>35284</v>
      </c>
      <c r="AL1742" s="188">
        <v>25037</v>
      </c>
      <c r="AM1742" s="188" t="s">
        <v>281</v>
      </c>
      <c r="AN1742" s="184" t="s">
        <v>276</v>
      </c>
      <c r="AO1742" s="192">
        <f t="shared" si="485"/>
        <v>10.628046706722595</v>
      </c>
      <c r="AP1742" s="184" t="s">
        <v>276</v>
      </c>
      <c r="AQ1742" s="184" t="s">
        <v>276</v>
      </c>
      <c r="AR1742" s="184" t="s">
        <v>276</v>
      </c>
      <c r="AS1742" s="192">
        <f t="shared" si="486"/>
        <v>11.662739146063826</v>
      </c>
      <c r="AT1742" s="184" t="s">
        <v>276</v>
      </c>
      <c r="AU1742" s="184" t="s">
        <v>276</v>
      </c>
      <c r="AV1742" s="184" t="s">
        <v>268</v>
      </c>
      <c r="AW1742" s="184" t="s">
        <v>276</v>
      </c>
      <c r="AX1742" s="338">
        <f t="shared" si="487"/>
        <v>0.91128221026100542</v>
      </c>
      <c r="AY1742" s="184" t="s">
        <v>276</v>
      </c>
      <c r="AZ1742" s="184" t="s">
        <v>276</v>
      </c>
      <c r="BA1742" s="184" t="s">
        <v>276</v>
      </c>
      <c r="BB1742" s="184" t="s">
        <v>282</v>
      </c>
      <c r="BC1742" s="184" t="s">
        <v>98</v>
      </c>
      <c r="BD1742" s="184" t="s">
        <v>98</v>
      </c>
      <c r="BE1742" s="184" t="s">
        <v>98</v>
      </c>
      <c r="BF1742" s="185" t="s">
        <v>298</v>
      </c>
      <c r="BG1742" s="185"/>
      <c r="BH1742" s="9" t="s">
        <v>100</v>
      </c>
      <c r="BI1742" s="9" t="s">
        <v>100</v>
      </c>
      <c r="BJ1742" s="193"/>
      <c r="BN1742" s="193"/>
      <c r="BO1742" s="193"/>
    </row>
    <row r="1743" spans="1:67" s="194" customFormat="1" ht="78" hidden="1" x14ac:dyDescent="0.35">
      <c r="A1743" s="415">
        <v>4172</v>
      </c>
      <c r="B1743" s="184" t="s">
        <v>9773</v>
      </c>
      <c r="C1743" s="185" t="s">
        <v>62</v>
      </c>
      <c r="D1743" s="185" t="s">
        <v>10330</v>
      </c>
      <c r="E1743" s="184" t="s">
        <v>35</v>
      </c>
      <c r="F1743" s="184" t="s">
        <v>97</v>
      </c>
      <c r="G1743" s="184" t="s">
        <v>225</v>
      </c>
      <c r="H1743" s="184" t="s">
        <v>125</v>
      </c>
      <c r="I1743" s="184" t="s">
        <v>113</v>
      </c>
      <c r="J1743" s="185" t="s">
        <v>117</v>
      </c>
      <c r="K1743" s="501" t="s">
        <v>3836</v>
      </c>
      <c r="L1743" s="184" t="s">
        <v>276</v>
      </c>
      <c r="M1743" s="184" t="s">
        <v>276</v>
      </c>
      <c r="N1743" s="186" t="s">
        <v>276</v>
      </c>
      <c r="O1743" s="185" t="s">
        <v>276</v>
      </c>
      <c r="P1743" s="185" t="s">
        <v>239</v>
      </c>
      <c r="Q1743" s="302" t="s">
        <v>10220</v>
      </c>
      <c r="R1743" s="185" t="s">
        <v>276</v>
      </c>
      <c r="S1743" s="185" t="s">
        <v>276</v>
      </c>
      <c r="T1743" s="185" t="s">
        <v>276</v>
      </c>
      <c r="U1743" s="187" t="s">
        <v>1219</v>
      </c>
      <c r="V1743" s="184" t="s">
        <v>15</v>
      </c>
      <c r="W1743" s="184" t="s">
        <v>8905</v>
      </c>
      <c r="X1743" s="185" t="s">
        <v>207</v>
      </c>
      <c r="Y1743" s="189">
        <v>35284</v>
      </c>
      <c r="Z1743" s="188">
        <v>25037</v>
      </c>
      <c r="AA1743" s="185" t="s">
        <v>276</v>
      </c>
      <c r="AB1743" s="185" t="s">
        <v>276</v>
      </c>
      <c r="AC1743" s="185">
        <f>621-532</f>
        <v>89</v>
      </c>
      <c r="AD1743" s="185" t="s">
        <v>7545</v>
      </c>
      <c r="AE1743" s="185">
        <f>515-468</f>
        <v>47</v>
      </c>
      <c r="AF1743" s="185" t="s">
        <v>7545</v>
      </c>
      <c r="AG1743" s="185" t="s">
        <v>10331</v>
      </c>
      <c r="AH1743" s="185" t="s">
        <v>10313</v>
      </c>
      <c r="AI1743" s="188">
        <v>157</v>
      </c>
      <c r="AJ1743" s="188">
        <v>176</v>
      </c>
      <c r="AK1743" s="189">
        <v>35284</v>
      </c>
      <c r="AL1743" s="188">
        <v>25037</v>
      </c>
      <c r="AM1743" s="188" t="s">
        <v>281</v>
      </c>
      <c r="AN1743" s="184" t="s">
        <v>276</v>
      </c>
      <c r="AO1743" s="192">
        <f t="shared" si="485"/>
        <v>4.449608887881193</v>
      </c>
      <c r="AP1743" s="184" t="s">
        <v>276</v>
      </c>
      <c r="AQ1743" s="184" t="s">
        <v>276</v>
      </c>
      <c r="AR1743" s="184" t="s">
        <v>276</v>
      </c>
      <c r="AS1743" s="192">
        <f t="shared" si="486"/>
        <v>7.0295961976275114</v>
      </c>
      <c r="AT1743" s="184" t="s">
        <v>276</v>
      </c>
      <c r="AU1743" s="184" t="s">
        <v>276</v>
      </c>
      <c r="AV1743" s="184" t="s">
        <v>268</v>
      </c>
      <c r="AW1743" s="184" t="s">
        <v>276</v>
      </c>
      <c r="AX1743" s="338">
        <f t="shared" si="487"/>
        <v>0.63298214616978088</v>
      </c>
      <c r="AY1743" s="184" t="s">
        <v>276</v>
      </c>
      <c r="AZ1743" s="184" t="s">
        <v>276</v>
      </c>
      <c r="BA1743" s="184" t="s">
        <v>276</v>
      </c>
      <c r="BB1743" s="184" t="s">
        <v>282</v>
      </c>
      <c r="BC1743" s="184" t="s">
        <v>98</v>
      </c>
      <c r="BD1743" s="184" t="s">
        <v>98</v>
      </c>
      <c r="BE1743" s="184" t="s">
        <v>98</v>
      </c>
      <c r="BF1743" s="185" t="s">
        <v>298</v>
      </c>
      <c r="BG1743" s="185"/>
      <c r="BH1743" s="9" t="s">
        <v>100</v>
      </c>
      <c r="BI1743" s="9" t="s">
        <v>100</v>
      </c>
      <c r="BJ1743" s="193"/>
      <c r="BN1743" s="193"/>
      <c r="BO1743" s="193"/>
    </row>
    <row r="1744" spans="1:67" s="183" customFormat="1" ht="78" hidden="1" x14ac:dyDescent="0.35">
      <c r="A1744" s="415">
        <v>4172</v>
      </c>
      <c r="B1744" s="175" t="s">
        <v>9773</v>
      </c>
      <c r="C1744" s="176" t="s">
        <v>62</v>
      </c>
      <c r="D1744" s="176" t="s">
        <v>10332</v>
      </c>
      <c r="E1744" s="175" t="s">
        <v>35</v>
      </c>
      <c r="F1744" s="175" t="s">
        <v>97</v>
      </c>
      <c r="G1744" s="175" t="s">
        <v>225</v>
      </c>
      <c r="H1744" s="175" t="s">
        <v>125</v>
      </c>
      <c r="I1744" s="175" t="s">
        <v>113</v>
      </c>
      <c r="J1744" s="176" t="s">
        <v>31</v>
      </c>
      <c r="K1744" s="175" t="s">
        <v>3801</v>
      </c>
      <c r="L1744" s="175" t="s">
        <v>276</v>
      </c>
      <c r="M1744" s="175" t="s">
        <v>276</v>
      </c>
      <c r="N1744" s="177" t="s">
        <v>276</v>
      </c>
      <c r="O1744" s="176" t="s">
        <v>276</v>
      </c>
      <c r="P1744" s="176" t="s">
        <v>239</v>
      </c>
      <c r="Q1744" s="304" t="s">
        <v>10220</v>
      </c>
      <c r="R1744" s="176" t="s">
        <v>276</v>
      </c>
      <c r="S1744" s="176" t="s">
        <v>276</v>
      </c>
      <c r="T1744" s="176" t="s">
        <v>276</v>
      </c>
      <c r="U1744" s="178" t="s">
        <v>5401</v>
      </c>
      <c r="V1744" s="175" t="s">
        <v>15</v>
      </c>
      <c r="W1744" s="175" t="s">
        <v>9787</v>
      </c>
      <c r="X1744" s="176" t="s">
        <v>207</v>
      </c>
      <c r="Y1744" s="180">
        <v>35284</v>
      </c>
      <c r="Z1744" s="179">
        <v>25037</v>
      </c>
      <c r="AA1744" s="176" t="s">
        <v>276</v>
      </c>
      <c r="AB1744" s="176" t="s">
        <v>276</v>
      </c>
      <c r="AC1744" s="176">
        <v>0</v>
      </c>
      <c r="AD1744" s="176" t="s">
        <v>3921</v>
      </c>
      <c r="AE1744" s="176" t="s">
        <v>276</v>
      </c>
      <c r="AF1744" s="176" t="s">
        <v>3921</v>
      </c>
      <c r="AG1744" s="176" t="s">
        <v>10333</v>
      </c>
      <c r="AH1744" s="176" t="s">
        <v>10334</v>
      </c>
      <c r="AI1744" s="179">
        <v>34</v>
      </c>
      <c r="AJ1744" s="179">
        <v>10</v>
      </c>
      <c r="AK1744" s="180">
        <v>35284</v>
      </c>
      <c r="AL1744" s="179">
        <v>25037</v>
      </c>
      <c r="AM1744" s="179" t="s">
        <v>281</v>
      </c>
      <c r="AN1744" s="175" t="s">
        <v>276</v>
      </c>
      <c r="AO1744" s="181">
        <f t="shared" si="485"/>
        <v>0.96360956807618181</v>
      </c>
      <c r="AP1744" s="175" t="s">
        <v>276</v>
      </c>
      <c r="AQ1744" s="175" t="s">
        <v>276</v>
      </c>
      <c r="AR1744" s="175" t="s">
        <v>276</v>
      </c>
      <c r="AS1744" s="181">
        <f t="shared" si="486"/>
        <v>0.39940887486519949</v>
      </c>
      <c r="AT1744" s="175" t="s">
        <v>276</v>
      </c>
      <c r="AU1744" s="175" t="s">
        <v>276</v>
      </c>
      <c r="AV1744" s="175" t="s">
        <v>268</v>
      </c>
      <c r="AW1744" s="175" t="s">
        <v>276</v>
      </c>
      <c r="AX1744" s="201">
        <f t="shared" si="487"/>
        <v>2.4125892755923366</v>
      </c>
      <c r="AY1744" s="175" t="s">
        <v>276</v>
      </c>
      <c r="AZ1744" s="175" t="s">
        <v>276</v>
      </c>
      <c r="BA1744" s="175" t="s">
        <v>276</v>
      </c>
      <c r="BB1744" s="175" t="s">
        <v>282</v>
      </c>
      <c r="BC1744" s="175" t="s">
        <v>98</v>
      </c>
      <c r="BD1744" s="175" t="s">
        <v>98</v>
      </c>
      <c r="BE1744" s="175" t="s">
        <v>98</v>
      </c>
      <c r="BF1744" s="176" t="s">
        <v>298</v>
      </c>
      <c r="BG1744" s="176"/>
      <c r="BH1744" s="9" t="s">
        <v>100</v>
      </c>
      <c r="BI1744" s="9" t="s">
        <v>100</v>
      </c>
      <c r="BJ1744" s="182"/>
      <c r="BN1744" s="182"/>
      <c r="BO1744" s="182"/>
    </row>
    <row r="1745" spans="1:67" s="183" customFormat="1" ht="78" hidden="1" x14ac:dyDescent="0.35">
      <c r="A1745" s="415">
        <v>4172</v>
      </c>
      <c r="B1745" s="175" t="s">
        <v>9773</v>
      </c>
      <c r="C1745" s="176" t="s">
        <v>62</v>
      </c>
      <c r="D1745" s="176" t="s">
        <v>10335</v>
      </c>
      <c r="E1745" s="175" t="s">
        <v>35</v>
      </c>
      <c r="F1745" s="175" t="s">
        <v>97</v>
      </c>
      <c r="G1745" s="175" t="s">
        <v>225</v>
      </c>
      <c r="H1745" s="175" t="s">
        <v>125</v>
      </c>
      <c r="I1745" s="175" t="s">
        <v>113</v>
      </c>
      <c r="J1745" s="176" t="s">
        <v>31</v>
      </c>
      <c r="K1745" s="175" t="s">
        <v>3805</v>
      </c>
      <c r="L1745" s="175" t="s">
        <v>276</v>
      </c>
      <c r="M1745" s="175" t="s">
        <v>276</v>
      </c>
      <c r="N1745" s="177" t="s">
        <v>276</v>
      </c>
      <c r="O1745" s="176" t="s">
        <v>276</v>
      </c>
      <c r="P1745" s="176" t="s">
        <v>239</v>
      </c>
      <c r="Q1745" s="304" t="s">
        <v>10220</v>
      </c>
      <c r="R1745" s="176" t="s">
        <v>276</v>
      </c>
      <c r="S1745" s="176" t="s">
        <v>276</v>
      </c>
      <c r="T1745" s="176" t="s">
        <v>276</v>
      </c>
      <c r="U1745" s="178" t="s">
        <v>5401</v>
      </c>
      <c r="V1745" s="175" t="s">
        <v>15</v>
      </c>
      <c r="W1745" s="175" t="s">
        <v>9787</v>
      </c>
      <c r="X1745" s="176" t="s">
        <v>207</v>
      </c>
      <c r="Y1745" s="180">
        <v>35284</v>
      </c>
      <c r="Z1745" s="179">
        <v>25037</v>
      </c>
      <c r="AA1745" s="176" t="s">
        <v>276</v>
      </c>
      <c r="AB1745" s="176" t="s">
        <v>276</v>
      </c>
      <c r="AC1745" s="176">
        <f t="shared" ref="AC1745:AC1751" si="490">548-548</f>
        <v>0</v>
      </c>
      <c r="AD1745" s="176" t="s">
        <v>3921</v>
      </c>
      <c r="AE1745" s="176">
        <f t="shared" ref="AE1745:AE1751" si="491">363-363</f>
        <v>0</v>
      </c>
      <c r="AF1745" s="176" t="s">
        <v>3921</v>
      </c>
      <c r="AG1745" s="176" t="s">
        <v>10336</v>
      </c>
      <c r="AH1745" s="176" t="s">
        <v>10334</v>
      </c>
      <c r="AI1745" s="179">
        <v>96</v>
      </c>
      <c r="AJ1745" s="179">
        <v>35</v>
      </c>
      <c r="AK1745" s="180">
        <v>35284</v>
      </c>
      <c r="AL1745" s="179">
        <v>25037</v>
      </c>
      <c r="AM1745" s="179" t="s">
        <v>281</v>
      </c>
      <c r="AN1745" s="175" t="s">
        <v>276</v>
      </c>
      <c r="AO1745" s="181">
        <f t="shared" si="485"/>
        <v>2.7207799569209841</v>
      </c>
      <c r="AP1745" s="175" t="s">
        <v>276</v>
      </c>
      <c r="AQ1745" s="175" t="s">
        <v>276</v>
      </c>
      <c r="AR1745" s="175" t="s">
        <v>276</v>
      </c>
      <c r="AS1745" s="181">
        <f t="shared" si="486"/>
        <v>1.3979310620281982</v>
      </c>
      <c r="AT1745" s="175" t="s">
        <v>276</v>
      </c>
      <c r="AU1745" s="175" t="s">
        <v>276</v>
      </c>
      <c r="AV1745" s="175" t="s">
        <v>268</v>
      </c>
      <c r="AW1745" s="175" t="s">
        <v>276</v>
      </c>
      <c r="AX1745" s="201">
        <f t="shared" si="487"/>
        <v>1.9462905080408766</v>
      </c>
      <c r="AY1745" s="175" t="s">
        <v>276</v>
      </c>
      <c r="AZ1745" s="175" t="s">
        <v>276</v>
      </c>
      <c r="BA1745" s="175" t="s">
        <v>276</v>
      </c>
      <c r="BB1745" s="175" t="s">
        <v>282</v>
      </c>
      <c r="BC1745" s="175" t="s">
        <v>98</v>
      </c>
      <c r="BD1745" s="175" t="s">
        <v>98</v>
      </c>
      <c r="BE1745" s="175" t="s">
        <v>98</v>
      </c>
      <c r="BF1745" s="176" t="s">
        <v>298</v>
      </c>
      <c r="BG1745" s="176"/>
      <c r="BH1745" s="9" t="s">
        <v>100</v>
      </c>
      <c r="BI1745" s="9" t="s">
        <v>100</v>
      </c>
      <c r="BJ1745" s="182"/>
      <c r="BN1745" s="182"/>
      <c r="BO1745" s="182"/>
    </row>
    <row r="1746" spans="1:67" s="183" customFormat="1" ht="78" hidden="1" x14ac:dyDescent="0.35">
      <c r="A1746" s="415">
        <v>4172</v>
      </c>
      <c r="B1746" s="175" t="s">
        <v>9773</v>
      </c>
      <c r="C1746" s="176" t="s">
        <v>62</v>
      </c>
      <c r="D1746" s="176" t="s">
        <v>10337</v>
      </c>
      <c r="E1746" s="175" t="s">
        <v>35</v>
      </c>
      <c r="F1746" s="175" t="s">
        <v>97</v>
      </c>
      <c r="G1746" s="175" t="s">
        <v>225</v>
      </c>
      <c r="H1746" s="175" t="s">
        <v>125</v>
      </c>
      <c r="I1746" s="175" t="s">
        <v>113</v>
      </c>
      <c r="J1746" s="176" t="s">
        <v>31</v>
      </c>
      <c r="K1746" s="175" t="s">
        <v>3808</v>
      </c>
      <c r="L1746" s="175" t="s">
        <v>276</v>
      </c>
      <c r="M1746" s="175" t="s">
        <v>276</v>
      </c>
      <c r="N1746" s="177" t="s">
        <v>276</v>
      </c>
      <c r="O1746" s="176" t="s">
        <v>276</v>
      </c>
      <c r="P1746" s="176" t="s">
        <v>239</v>
      </c>
      <c r="Q1746" s="304" t="s">
        <v>10220</v>
      </c>
      <c r="R1746" s="176" t="s">
        <v>276</v>
      </c>
      <c r="S1746" s="176" t="s">
        <v>276</v>
      </c>
      <c r="T1746" s="176" t="s">
        <v>276</v>
      </c>
      <c r="U1746" s="178" t="s">
        <v>5401</v>
      </c>
      <c r="V1746" s="175" t="s">
        <v>15</v>
      </c>
      <c r="W1746" s="175" t="s">
        <v>9787</v>
      </c>
      <c r="X1746" s="176" t="s">
        <v>207</v>
      </c>
      <c r="Y1746" s="180">
        <v>35284</v>
      </c>
      <c r="Z1746" s="179">
        <v>25037</v>
      </c>
      <c r="AA1746" s="176" t="s">
        <v>276</v>
      </c>
      <c r="AB1746" s="176" t="s">
        <v>276</v>
      </c>
      <c r="AC1746" s="176">
        <f t="shared" si="490"/>
        <v>0</v>
      </c>
      <c r="AD1746" s="176" t="s">
        <v>3921</v>
      </c>
      <c r="AE1746" s="176">
        <f t="shared" si="491"/>
        <v>0</v>
      </c>
      <c r="AF1746" s="176" t="s">
        <v>3921</v>
      </c>
      <c r="AG1746" s="176" t="s">
        <v>10338</v>
      </c>
      <c r="AH1746" s="176" t="s">
        <v>10334</v>
      </c>
      <c r="AI1746" s="179">
        <v>115</v>
      </c>
      <c r="AJ1746" s="179">
        <v>57</v>
      </c>
      <c r="AK1746" s="180">
        <v>35284</v>
      </c>
      <c r="AL1746" s="179">
        <v>25037</v>
      </c>
      <c r="AM1746" s="179" t="s">
        <v>281</v>
      </c>
      <c r="AN1746" s="175" t="s">
        <v>276</v>
      </c>
      <c r="AO1746" s="181">
        <f t="shared" si="485"/>
        <v>3.2592676567282619</v>
      </c>
      <c r="AP1746" s="175" t="s">
        <v>276</v>
      </c>
      <c r="AQ1746" s="175" t="s">
        <v>276</v>
      </c>
      <c r="AR1746" s="175" t="s">
        <v>276</v>
      </c>
      <c r="AS1746" s="181">
        <f t="shared" si="486"/>
        <v>2.276630586731637</v>
      </c>
      <c r="AT1746" s="175" t="s">
        <v>276</v>
      </c>
      <c r="AU1746" s="175" t="s">
        <v>276</v>
      </c>
      <c r="AV1746" s="175" t="s">
        <v>268</v>
      </c>
      <c r="AW1746" s="175" t="s">
        <v>276</v>
      </c>
      <c r="AX1746" s="201">
        <f t="shared" si="487"/>
        <v>1.4316190231843071</v>
      </c>
      <c r="AY1746" s="175" t="s">
        <v>276</v>
      </c>
      <c r="AZ1746" s="175" t="s">
        <v>276</v>
      </c>
      <c r="BA1746" s="175" t="s">
        <v>276</v>
      </c>
      <c r="BB1746" s="175" t="s">
        <v>282</v>
      </c>
      <c r="BC1746" s="175" t="s">
        <v>98</v>
      </c>
      <c r="BD1746" s="175" t="s">
        <v>98</v>
      </c>
      <c r="BE1746" s="175" t="s">
        <v>98</v>
      </c>
      <c r="BF1746" s="176" t="s">
        <v>298</v>
      </c>
      <c r="BG1746" s="176"/>
      <c r="BH1746" s="9" t="s">
        <v>100</v>
      </c>
      <c r="BI1746" s="9" t="s">
        <v>100</v>
      </c>
      <c r="BJ1746" s="182"/>
      <c r="BN1746" s="182"/>
      <c r="BO1746" s="182"/>
    </row>
    <row r="1747" spans="1:67" s="183" customFormat="1" ht="78" hidden="1" x14ac:dyDescent="0.35">
      <c r="A1747" s="415">
        <v>4172</v>
      </c>
      <c r="B1747" s="175" t="s">
        <v>9773</v>
      </c>
      <c r="C1747" s="176" t="s">
        <v>62</v>
      </c>
      <c r="D1747" s="176" t="s">
        <v>10339</v>
      </c>
      <c r="E1747" s="175" t="s">
        <v>35</v>
      </c>
      <c r="F1747" s="175" t="s">
        <v>97</v>
      </c>
      <c r="G1747" s="175" t="s">
        <v>225</v>
      </c>
      <c r="H1747" s="175" t="s">
        <v>125</v>
      </c>
      <c r="I1747" s="175" t="s">
        <v>113</v>
      </c>
      <c r="J1747" s="176" t="s">
        <v>31</v>
      </c>
      <c r="K1747" s="175" t="s">
        <v>3824</v>
      </c>
      <c r="L1747" s="175" t="s">
        <v>276</v>
      </c>
      <c r="M1747" s="175" t="s">
        <v>276</v>
      </c>
      <c r="N1747" s="177" t="s">
        <v>276</v>
      </c>
      <c r="O1747" s="176" t="s">
        <v>276</v>
      </c>
      <c r="P1747" s="176" t="s">
        <v>239</v>
      </c>
      <c r="Q1747" s="304" t="s">
        <v>10220</v>
      </c>
      <c r="R1747" s="176" t="s">
        <v>276</v>
      </c>
      <c r="S1747" s="176" t="s">
        <v>276</v>
      </c>
      <c r="T1747" s="176" t="s">
        <v>276</v>
      </c>
      <c r="U1747" s="178" t="s">
        <v>5401</v>
      </c>
      <c r="V1747" s="175" t="s">
        <v>15</v>
      </c>
      <c r="W1747" s="175" t="s">
        <v>9787</v>
      </c>
      <c r="X1747" s="176" t="s">
        <v>207</v>
      </c>
      <c r="Y1747" s="180">
        <v>21965</v>
      </c>
      <c r="Z1747" s="179">
        <v>15344</v>
      </c>
      <c r="AA1747" s="176" t="s">
        <v>276</v>
      </c>
      <c r="AB1747" s="176" t="s">
        <v>276</v>
      </c>
      <c r="AC1747" s="176">
        <f t="shared" si="490"/>
        <v>0</v>
      </c>
      <c r="AD1747" s="176" t="s">
        <v>3921</v>
      </c>
      <c r="AE1747" s="176">
        <f t="shared" si="491"/>
        <v>0</v>
      </c>
      <c r="AF1747" s="176" t="s">
        <v>3921</v>
      </c>
      <c r="AG1747" s="176" t="s">
        <v>10340</v>
      </c>
      <c r="AH1747" s="176" t="s">
        <v>10334</v>
      </c>
      <c r="AI1747" s="179">
        <f>AI1744+AI1745+AI1746</f>
        <v>245</v>
      </c>
      <c r="AJ1747" s="179">
        <f>AJ1744+AJ1745+AJ1746</f>
        <v>102</v>
      </c>
      <c r="AK1747" s="180">
        <v>35284</v>
      </c>
      <c r="AL1747" s="179">
        <v>25037</v>
      </c>
      <c r="AM1747" s="179" t="s">
        <v>281</v>
      </c>
      <c r="AN1747" s="175" t="s">
        <v>276</v>
      </c>
      <c r="AO1747" s="181">
        <f t="shared" si="485"/>
        <v>6.9436571817254276</v>
      </c>
      <c r="AP1747" s="175" t="s">
        <v>276</v>
      </c>
      <c r="AQ1747" s="175" t="s">
        <v>276</v>
      </c>
      <c r="AR1747" s="175" t="s">
        <v>276</v>
      </c>
      <c r="AS1747" s="181">
        <f t="shared" si="486"/>
        <v>4.073970523625035</v>
      </c>
      <c r="AT1747" s="175" t="s">
        <v>276</v>
      </c>
      <c r="AU1747" s="175" t="s">
        <v>276</v>
      </c>
      <c r="AV1747" s="175" t="s">
        <v>268</v>
      </c>
      <c r="AW1747" s="175" t="s">
        <v>276</v>
      </c>
      <c r="AX1747" s="201">
        <f t="shared" si="487"/>
        <v>1.7043955378319562</v>
      </c>
      <c r="AY1747" s="175" t="s">
        <v>276</v>
      </c>
      <c r="AZ1747" s="175" t="s">
        <v>276</v>
      </c>
      <c r="BA1747" s="175" t="s">
        <v>276</v>
      </c>
      <c r="BB1747" s="175" t="s">
        <v>282</v>
      </c>
      <c r="BC1747" s="175" t="s">
        <v>98</v>
      </c>
      <c r="BD1747" s="175" t="s">
        <v>98</v>
      </c>
      <c r="BE1747" s="175" t="s">
        <v>98</v>
      </c>
      <c r="BF1747" s="176" t="s">
        <v>298</v>
      </c>
      <c r="BG1747" s="176"/>
      <c r="BH1747" s="9" t="s">
        <v>100</v>
      </c>
      <c r="BI1747" s="9" t="s">
        <v>100</v>
      </c>
      <c r="BJ1747" s="182"/>
      <c r="BN1747" s="182"/>
      <c r="BO1747" s="182"/>
    </row>
    <row r="1748" spans="1:67" s="183" customFormat="1" ht="78" hidden="1" x14ac:dyDescent="0.35">
      <c r="A1748" s="415">
        <v>4172</v>
      </c>
      <c r="B1748" s="175" t="s">
        <v>9773</v>
      </c>
      <c r="C1748" s="176" t="s">
        <v>62</v>
      </c>
      <c r="D1748" s="176" t="s">
        <v>10341</v>
      </c>
      <c r="E1748" s="175" t="s">
        <v>35</v>
      </c>
      <c r="F1748" s="175" t="s">
        <v>97</v>
      </c>
      <c r="G1748" s="175" t="s">
        <v>225</v>
      </c>
      <c r="H1748" s="175" t="s">
        <v>125</v>
      </c>
      <c r="I1748" s="175" t="s">
        <v>113</v>
      </c>
      <c r="J1748" s="176" t="s">
        <v>31</v>
      </c>
      <c r="K1748" s="175" t="s">
        <v>3811</v>
      </c>
      <c r="L1748" s="175" t="s">
        <v>276</v>
      </c>
      <c r="M1748" s="175" t="s">
        <v>276</v>
      </c>
      <c r="N1748" s="177" t="s">
        <v>276</v>
      </c>
      <c r="O1748" s="176" t="s">
        <v>276</v>
      </c>
      <c r="P1748" s="176" t="s">
        <v>239</v>
      </c>
      <c r="Q1748" s="304" t="s">
        <v>10220</v>
      </c>
      <c r="R1748" s="176" t="s">
        <v>276</v>
      </c>
      <c r="S1748" s="176" t="s">
        <v>276</v>
      </c>
      <c r="T1748" s="176" t="s">
        <v>276</v>
      </c>
      <c r="U1748" s="178" t="s">
        <v>5401</v>
      </c>
      <c r="V1748" s="175" t="s">
        <v>15</v>
      </c>
      <c r="W1748" s="175" t="s">
        <v>9787</v>
      </c>
      <c r="X1748" s="176" t="s">
        <v>207</v>
      </c>
      <c r="Y1748" s="180">
        <v>21965</v>
      </c>
      <c r="Z1748" s="179">
        <v>15344</v>
      </c>
      <c r="AA1748" s="176" t="s">
        <v>276</v>
      </c>
      <c r="AB1748" s="176" t="s">
        <v>276</v>
      </c>
      <c r="AC1748" s="176">
        <f t="shared" si="490"/>
        <v>0</v>
      </c>
      <c r="AD1748" s="176" t="s">
        <v>3921</v>
      </c>
      <c r="AE1748" s="176">
        <f t="shared" si="491"/>
        <v>0</v>
      </c>
      <c r="AF1748" s="176" t="s">
        <v>3921</v>
      </c>
      <c r="AG1748" s="176" t="s">
        <v>10342</v>
      </c>
      <c r="AH1748" s="176" t="s">
        <v>10334</v>
      </c>
      <c r="AI1748" s="179">
        <v>108</v>
      </c>
      <c r="AJ1748" s="179">
        <v>71</v>
      </c>
      <c r="AK1748" s="180">
        <v>35284</v>
      </c>
      <c r="AL1748" s="179">
        <v>25037</v>
      </c>
      <c r="AM1748" s="179" t="s">
        <v>281</v>
      </c>
      <c r="AN1748" s="175" t="s">
        <v>276</v>
      </c>
      <c r="AO1748" s="181">
        <f t="shared" si="485"/>
        <v>3.0608774515361068</v>
      </c>
      <c r="AP1748" s="175" t="s">
        <v>276</v>
      </c>
      <c r="AQ1748" s="175" t="s">
        <v>276</v>
      </c>
      <c r="AR1748" s="175" t="s">
        <v>276</v>
      </c>
      <c r="AS1748" s="181">
        <f t="shared" si="486"/>
        <v>2.8358030115429167</v>
      </c>
      <c r="AT1748" s="175" t="s">
        <v>276</v>
      </c>
      <c r="AU1748" s="175" t="s">
        <v>276</v>
      </c>
      <c r="AV1748" s="175" t="s">
        <v>268</v>
      </c>
      <c r="AW1748" s="175" t="s">
        <v>276</v>
      </c>
      <c r="AX1748" s="201">
        <f t="shared" si="487"/>
        <v>1.0793688556916832</v>
      </c>
      <c r="AY1748" s="175" t="s">
        <v>276</v>
      </c>
      <c r="AZ1748" s="175" t="s">
        <v>276</v>
      </c>
      <c r="BA1748" s="175" t="s">
        <v>276</v>
      </c>
      <c r="BB1748" s="175" t="s">
        <v>282</v>
      </c>
      <c r="BC1748" s="175" t="s">
        <v>98</v>
      </c>
      <c r="BD1748" s="175" t="s">
        <v>98</v>
      </c>
      <c r="BE1748" s="175" t="s">
        <v>98</v>
      </c>
      <c r="BF1748" s="176" t="s">
        <v>298</v>
      </c>
      <c r="BG1748" s="176"/>
      <c r="BH1748" s="9" t="s">
        <v>100</v>
      </c>
      <c r="BI1748" s="9" t="s">
        <v>100</v>
      </c>
      <c r="BJ1748" s="182"/>
      <c r="BN1748" s="182"/>
      <c r="BO1748" s="182"/>
    </row>
    <row r="1749" spans="1:67" s="183" customFormat="1" ht="78" hidden="1" x14ac:dyDescent="0.35">
      <c r="A1749" s="415">
        <v>4172</v>
      </c>
      <c r="B1749" s="175" t="s">
        <v>9773</v>
      </c>
      <c r="C1749" s="176" t="s">
        <v>62</v>
      </c>
      <c r="D1749" s="176" t="s">
        <v>10343</v>
      </c>
      <c r="E1749" s="175" t="s">
        <v>35</v>
      </c>
      <c r="F1749" s="175" t="s">
        <v>97</v>
      </c>
      <c r="G1749" s="175" t="s">
        <v>225</v>
      </c>
      <c r="H1749" s="175" t="s">
        <v>125</v>
      </c>
      <c r="I1749" s="175" t="s">
        <v>113</v>
      </c>
      <c r="J1749" s="176" t="s">
        <v>31</v>
      </c>
      <c r="K1749" s="175" t="s">
        <v>3814</v>
      </c>
      <c r="L1749" s="175" t="s">
        <v>276</v>
      </c>
      <c r="M1749" s="175" t="s">
        <v>276</v>
      </c>
      <c r="N1749" s="177" t="s">
        <v>276</v>
      </c>
      <c r="O1749" s="176" t="s">
        <v>276</v>
      </c>
      <c r="P1749" s="176" t="s">
        <v>239</v>
      </c>
      <c r="Q1749" s="304" t="s">
        <v>10220</v>
      </c>
      <c r="R1749" s="176" t="s">
        <v>276</v>
      </c>
      <c r="S1749" s="176" t="s">
        <v>276</v>
      </c>
      <c r="T1749" s="176" t="s">
        <v>276</v>
      </c>
      <c r="U1749" s="178" t="s">
        <v>5401</v>
      </c>
      <c r="V1749" s="175" t="s">
        <v>15</v>
      </c>
      <c r="W1749" s="175" t="s">
        <v>9787</v>
      </c>
      <c r="X1749" s="176" t="s">
        <v>207</v>
      </c>
      <c r="Y1749" s="180">
        <v>21965</v>
      </c>
      <c r="Z1749" s="179">
        <v>15344</v>
      </c>
      <c r="AA1749" s="176" t="s">
        <v>276</v>
      </c>
      <c r="AB1749" s="176" t="s">
        <v>276</v>
      </c>
      <c r="AC1749" s="176">
        <f t="shared" si="490"/>
        <v>0</v>
      </c>
      <c r="AD1749" s="176" t="s">
        <v>3921</v>
      </c>
      <c r="AE1749" s="176">
        <f t="shared" si="491"/>
        <v>0</v>
      </c>
      <c r="AF1749" s="176" t="s">
        <v>3921</v>
      </c>
      <c r="AG1749" s="176" t="s">
        <v>10344</v>
      </c>
      <c r="AH1749" s="176" t="s">
        <v>10334</v>
      </c>
      <c r="AI1749" s="179">
        <v>61</v>
      </c>
      <c r="AJ1749" s="179">
        <v>61</v>
      </c>
      <c r="AK1749" s="180">
        <v>35284</v>
      </c>
      <c r="AL1749" s="179">
        <v>25037</v>
      </c>
      <c r="AM1749" s="179" t="s">
        <v>281</v>
      </c>
      <c r="AN1749" s="175" t="s">
        <v>276</v>
      </c>
      <c r="AO1749" s="181">
        <f t="shared" si="485"/>
        <v>1.7288289309602085</v>
      </c>
      <c r="AP1749" s="175" t="s">
        <v>276</v>
      </c>
      <c r="AQ1749" s="175" t="s">
        <v>276</v>
      </c>
      <c r="AR1749" s="175" t="s">
        <v>276</v>
      </c>
      <c r="AS1749" s="181">
        <f t="shared" si="486"/>
        <v>2.4363941366777171</v>
      </c>
      <c r="AT1749" s="175" t="s">
        <v>276</v>
      </c>
      <c r="AU1749" s="175" t="s">
        <v>276</v>
      </c>
      <c r="AV1749" s="175" t="s">
        <v>268</v>
      </c>
      <c r="AW1749" s="175" t="s">
        <v>276</v>
      </c>
      <c r="AX1749" s="201">
        <f t="shared" si="487"/>
        <v>0.70958508105656948</v>
      </c>
      <c r="AY1749" s="175" t="s">
        <v>276</v>
      </c>
      <c r="AZ1749" s="175" t="s">
        <v>276</v>
      </c>
      <c r="BA1749" s="175" t="s">
        <v>276</v>
      </c>
      <c r="BB1749" s="175" t="s">
        <v>282</v>
      </c>
      <c r="BC1749" s="175" t="s">
        <v>98</v>
      </c>
      <c r="BD1749" s="175" t="s">
        <v>98</v>
      </c>
      <c r="BE1749" s="175" t="s">
        <v>98</v>
      </c>
      <c r="BF1749" s="176" t="s">
        <v>298</v>
      </c>
      <c r="BG1749" s="176"/>
      <c r="BH1749" s="9" t="s">
        <v>100</v>
      </c>
      <c r="BI1749" s="9" t="s">
        <v>100</v>
      </c>
      <c r="BJ1749" s="182"/>
      <c r="BN1749" s="182"/>
      <c r="BO1749" s="182"/>
    </row>
    <row r="1750" spans="1:67" s="183" customFormat="1" ht="78" hidden="1" x14ac:dyDescent="0.35">
      <c r="A1750" s="415">
        <v>4172</v>
      </c>
      <c r="B1750" s="175" t="s">
        <v>9773</v>
      </c>
      <c r="C1750" s="176" t="s">
        <v>62</v>
      </c>
      <c r="D1750" s="176" t="s">
        <v>10345</v>
      </c>
      <c r="E1750" s="175" t="s">
        <v>35</v>
      </c>
      <c r="F1750" s="175" t="s">
        <v>97</v>
      </c>
      <c r="G1750" s="175" t="s">
        <v>225</v>
      </c>
      <c r="H1750" s="175" t="s">
        <v>125</v>
      </c>
      <c r="I1750" s="175" t="s">
        <v>113</v>
      </c>
      <c r="J1750" s="176" t="s">
        <v>31</v>
      </c>
      <c r="K1750" s="175" t="s">
        <v>10203</v>
      </c>
      <c r="L1750" s="175" t="s">
        <v>276</v>
      </c>
      <c r="M1750" s="175" t="s">
        <v>276</v>
      </c>
      <c r="N1750" s="177" t="s">
        <v>276</v>
      </c>
      <c r="O1750" s="176" t="s">
        <v>276</v>
      </c>
      <c r="P1750" s="176" t="s">
        <v>239</v>
      </c>
      <c r="Q1750" s="304" t="s">
        <v>10220</v>
      </c>
      <c r="R1750" s="176" t="s">
        <v>276</v>
      </c>
      <c r="S1750" s="176" t="s">
        <v>276</v>
      </c>
      <c r="T1750" s="176" t="s">
        <v>276</v>
      </c>
      <c r="U1750" s="178" t="s">
        <v>5401</v>
      </c>
      <c r="V1750" s="175" t="s">
        <v>15</v>
      </c>
      <c r="W1750" s="175" t="s">
        <v>9787</v>
      </c>
      <c r="X1750" s="176" t="s">
        <v>207</v>
      </c>
      <c r="Y1750" s="180">
        <v>21965</v>
      </c>
      <c r="Z1750" s="179">
        <v>15344</v>
      </c>
      <c r="AA1750" s="176" t="s">
        <v>276</v>
      </c>
      <c r="AB1750" s="176" t="s">
        <v>276</v>
      </c>
      <c r="AC1750" s="176">
        <f t="shared" si="490"/>
        <v>0</v>
      </c>
      <c r="AD1750" s="176" t="s">
        <v>3921</v>
      </c>
      <c r="AE1750" s="176">
        <f t="shared" si="491"/>
        <v>0</v>
      </c>
      <c r="AF1750" s="176" t="s">
        <v>3921</v>
      </c>
      <c r="AG1750" s="176" t="s">
        <v>10346</v>
      </c>
      <c r="AH1750" s="176" t="s">
        <v>10334</v>
      </c>
      <c r="AI1750" s="179">
        <v>30</v>
      </c>
      <c r="AJ1750" s="179">
        <v>30</v>
      </c>
      <c r="AK1750" s="180">
        <v>35284</v>
      </c>
      <c r="AL1750" s="179">
        <v>25037</v>
      </c>
      <c r="AM1750" s="179" t="s">
        <v>281</v>
      </c>
      <c r="AN1750" s="175" t="s">
        <v>276</v>
      </c>
      <c r="AO1750" s="181">
        <f t="shared" si="485"/>
        <v>0.85024373653780749</v>
      </c>
      <c r="AP1750" s="175" t="s">
        <v>276</v>
      </c>
      <c r="AQ1750" s="175" t="s">
        <v>276</v>
      </c>
      <c r="AR1750" s="175" t="s">
        <v>276</v>
      </c>
      <c r="AS1750" s="181">
        <f t="shared" si="486"/>
        <v>1.1982266245955986</v>
      </c>
      <c r="AT1750" s="175" t="s">
        <v>276</v>
      </c>
      <c r="AU1750" s="175" t="s">
        <v>276</v>
      </c>
      <c r="AV1750" s="175" t="s">
        <v>268</v>
      </c>
      <c r="AW1750" s="175" t="s">
        <v>276</v>
      </c>
      <c r="AX1750" s="201">
        <f t="shared" si="487"/>
        <v>0.70958508105656948</v>
      </c>
      <c r="AY1750" s="175" t="s">
        <v>276</v>
      </c>
      <c r="AZ1750" s="175" t="s">
        <v>276</v>
      </c>
      <c r="BA1750" s="175" t="s">
        <v>276</v>
      </c>
      <c r="BB1750" s="175" t="s">
        <v>282</v>
      </c>
      <c r="BC1750" s="175" t="s">
        <v>98</v>
      </c>
      <c r="BD1750" s="175" t="s">
        <v>98</v>
      </c>
      <c r="BE1750" s="175" t="s">
        <v>98</v>
      </c>
      <c r="BF1750" s="176" t="s">
        <v>298</v>
      </c>
      <c r="BG1750" s="176"/>
      <c r="BH1750" s="9" t="s">
        <v>100</v>
      </c>
      <c r="BI1750" s="9" t="s">
        <v>100</v>
      </c>
      <c r="BJ1750" s="182"/>
      <c r="BN1750" s="182"/>
      <c r="BO1750" s="182"/>
    </row>
    <row r="1751" spans="1:67" s="183" customFormat="1" ht="78" hidden="1" x14ac:dyDescent="0.35">
      <c r="A1751" s="415">
        <v>4172</v>
      </c>
      <c r="B1751" s="175" t="s">
        <v>9773</v>
      </c>
      <c r="C1751" s="176" t="s">
        <v>62</v>
      </c>
      <c r="D1751" s="176" t="s">
        <v>10347</v>
      </c>
      <c r="E1751" s="175" t="s">
        <v>35</v>
      </c>
      <c r="F1751" s="175" t="s">
        <v>97</v>
      </c>
      <c r="G1751" s="175" t="s">
        <v>225</v>
      </c>
      <c r="H1751" s="175" t="s">
        <v>125</v>
      </c>
      <c r="I1751" s="175" t="s">
        <v>113</v>
      </c>
      <c r="J1751" s="176" t="s">
        <v>31</v>
      </c>
      <c r="K1751" s="500" t="s">
        <v>3821</v>
      </c>
      <c r="L1751" s="175" t="s">
        <v>276</v>
      </c>
      <c r="M1751" s="175" t="s">
        <v>276</v>
      </c>
      <c r="N1751" s="177" t="s">
        <v>276</v>
      </c>
      <c r="O1751" s="176" t="s">
        <v>276</v>
      </c>
      <c r="P1751" s="176" t="s">
        <v>239</v>
      </c>
      <c r="Q1751" s="304" t="s">
        <v>10220</v>
      </c>
      <c r="R1751" s="176" t="s">
        <v>276</v>
      </c>
      <c r="S1751" s="176" t="s">
        <v>276</v>
      </c>
      <c r="T1751" s="176" t="s">
        <v>276</v>
      </c>
      <c r="U1751" s="178" t="s">
        <v>5401</v>
      </c>
      <c r="V1751" s="175" t="s">
        <v>15</v>
      </c>
      <c r="W1751" s="175" t="s">
        <v>9787</v>
      </c>
      <c r="X1751" s="176" t="s">
        <v>207</v>
      </c>
      <c r="Y1751" s="180">
        <v>21965</v>
      </c>
      <c r="Z1751" s="179">
        <v>15344</v>
      </c>
      <c r="AA1751" s="176" t="s">
        <v>276</v>
      </c>
      <c r="AB1751" s="176" t="s">
        <v>276</v>
      </c>
      <c r="AC1751" s="176">
        <f t="shared" si="490"/>
        <v>0</v>
      </c>
      <c r="AD1751" s="176" t="s">
        <v>3921</v>
      </c>
      <c r="AE1751" s="176">
        <f t="shared" si="491"/>
        <v>0</v>
      </c>
      <c r="AF1751" s="176" t="s">
        <v>3921</v>
      </c>
      <c r="AG1751" s="176" t="s">
        <v>10348</v>
      </c>
      <c r="AH1751" s="176" t="s">
        <v>10334</v>
      </c>
      <c r="AI1751" s="179">
        <f>AI1750+AI1749+AI1748</f>
        <v>199</v>
      </c>
      <c r="AJ1751" s="179">
        <f>AJ1750+AJ1749+AJ1748</f>
        <v>162</v>
      </c>
      <c r="AK1751" s="180">
        <v>35284</v>
      </c>
      <c r="AL1751" s="179">
        <v>25037</v>
      </c>
      <c r="AM1751" s="179" t="s">
        <v>281</v>
      </c>
      <c r="AN1751" s="175" t="s">
        <v>276</v>
      </c>
      <c r="AO1751" s="181">
        <f t="shared" si="485"/>
        <v>5.6399501190341228</v>
      </c>
      <c r="AP1751" s="175" t="s">
        <v>276</v>
      </c>
      <c r="AQ1751" s="175" t="s">
        <v>276</v>
      </c>
      <c r="AR1751" s="175" t="s">
        <v>276</v>
      </c>
      <c r="AS1751" s="181">
        <f t="shared" si="486"/>
        <v>6.4704237728162317</v>
      </c>
      <c r="AT1751" s="175" t="s">
        <v>276</v>
      </c>
      <c r="AU1751" s="175" t="s">
        <v>276</v>
      </c>
      <c r="AV1751" s="175" t="s">
        <v>268</v>
      </c>
      <c r="AW1751" s="175" t="s">
        <v>276</v>
      </c>
      <c r="AX1751" s="201">
        <f t="shared" si="487"/>
        <v>0.8716508094460329</v>
      </c>
      <c r="AY1751" s="175" t="s">
        <v>276</v>
      </c>
      <c r="AZ1751" s="175" t="s">
        <v>276</v>
      </c>
      <c r="BA1751" s="175" t="s">
        <v>276</v>
      </c>
      <c r="BB1751" s="175" t="s">
        <v>282</v>
      </c>
      <c r="BC1751" s="175" t="s">
        <v>98</v>
      </c>
      <c r="BD1751" s="175" t="s">
        <v>98</v>
      </c>
      <c r="BE1751" s="175" t="s">
        <v>98</v>
      </c>
      <c r="BF1751" s="176" t="s">
        <v>298</v>
      </c>
      <c r="BG1751" s="176"/>
      <c r="BH1751" s="9" t="s">
        <v>100</v>
      </c>
      <c r="BI1751" s="9" t="s">
        <v>100</v>
      </c>
      <c r="BJ1751" s="182"/>
      <c r="BN1751" s="182"/>
      <c r="BO1751" s="182"/>
    </row>
    <row r="1752" spans="1:67" s="194" customFormat="1" ht="78" hidden="1" x14ac:dyDescent="0.35">
      <c r="A1752" s="415">
        <v>4172</v>
      </c>
      <c r="B1752" s="184" t="s">
        <v>9773</v>
      </c>
      <c r="C1752" s="185" t="s">
        <v>62</v>
      </c>
      <c r="D1752" s="185" t="s">
        <v>10349</v>
      </c>
      <c r="E1752" s="184" t="s">
        <v>35</v>
      </c>
      <c r="F1752" s="184" t="s">
        <v>97</v>
      </c>
      <c r="G1752" s="184" t="s">
        <v>225</v>
      </c>
      <c r="H1752" s="184" t="s">
        <v>125</v>
      </c>
      <c r="I1752" s="184" t="s">
        <v>113</v>
      </c>
      <c r="J1752" s="185" t="s">
        <v>117</v>
      </c>
      <c r="K1752" s="501" t="s">
        <v>3830</v>
      </c>
      <c r="L1752" s="184" t="s">
        <v>276</v>
      </c>
      <c r="M1752" s="184" t="s">
        <v>276</v>
      </c>
      <c r="N1752" s="186" t="s">
        <v>276</v>
      </c>
      <c r="O1752" s="185" t="s">
        <v>276</v>
      </c>
      <c r="P1752" s="185" t="s">
        <v>239</v>
      </c>
      <c r="Q1752" s="302" t="s">
        <v>10220</v>
      </c>
      <c r="R1752" s="185" t="s">
        <v>276</v>
      </c>
      <c r="S1752" s="185" t="s">
        <v>276</v>
      </c>
      <c r="T1752" s="185" t="s">
        <v>276</v>
      </c>
      <c r="U1752" s="187" t="s">
        <v>5401</v>
      </c>
      <c r="V1752" s="184" t="s">
        <v>15</v>
      </c>
      <c r="W1752" s="184" t="s">
        <v>9787</v>
      </c>
      <c r="X1752" s="185" t="s">
        <v>207</v>
      </c>
      <c r="Y1752" s="189">
        <v>21965</v>
      </c>
      <c r="Z1752" s="188">
        <v>15344</v>
      </c>
      <c r="AA1752" s="185" t="s">
        <v>276</v>
      </c>
      <c r="AB1752" s="185" t="s">
        <v>276</v>
      </c>
      <c r="AC1752" s="185">
        <f>515-473</f>
        <v>42</v>
      </c>
      <c r="AD1752" s="185" t="s">
        <v>7545</v>
      </c>
      <c r="AE1752" s="185">
        <f>363-312</f>
        <v>51</v>
      </c>
      <c r="AF1752" s="185" t="s">
        <v>7545</v>
      </c>
      <c r="AG1752" s="185" t="s">
        <v>10350</v>
      </c>
      <c r="AH1752" s="185" t="s">
        <v>10334</v>
      </c>
      <c r="AI1752" s="188">
        <v>333</v>
      </c>
      <c r="AJ1752" s="188">
        <v>188</v>
      </c>
      <c r="AK1752" s="189">
        <v>35284</v>
      </c>
      <c r="AL1752" s="188">
        <v>25037</v>
      </c>
      <c r="AM1752" s="188" t="s">
        <v>281</v>
      </c>
      <c r="AN1752" s="184" t="s">
        <v>276</v>
      </c>
      <c r="AO1752" s="192">
        <f t="shared" si="485"/>
        <v>9.437705475569663</v>
      </c>
      <c r="AP1752" s="184" t="s">
        <v>276</v>
      </c>
      <c r="AQ1752" s="184" t="s">
        <v>276</v>
      </c>
      <c r="AR1752" s="184" t="s">
        <v>276</v>
      </c>
      <c r="AS1752" s="192">
        <f t="shared" si="486"/>
        <v>7.5088868474657504</v>
      </c>
      <c r="AT1752" s="184" t="s">
        <v>276</v>
      </c>
      <c r="AU1752" s="184" t="s">
        <v>276</v>
      </c>
      <c r="AV1752" s="184" t="s">
        <v>268</v>
      </c>
      <c r="AW1752" s="184" t="s">
        <v>276</v>
      </c>
      <c r="AX1752" s="338">
        <f t="shared" si="487"/>
        <v>1.2568714467650939</v>
      </c>
      <c r="AY1752" s="184" t="s">
        <v>276</v>
      </c>
      <c r="AZ1752" s="184" t="s">
        <v>276</v>
      </c>
      <c r="BA1752" s="184" t="s">
        <v>276</v>
      </c>
      <c r="BB1752" s="184" t="s">
        <v>282</v>
      </c>
      <c r="BC1752" s="184" t="s">
        <v>98</v>
      </c>
      <c r="BD1752" s="184" t="s">
        <v>98</v>
      </c>
      <c r="BE1752" s="184" t="s">
        <v>98</v>
      </c>
      <c r="BF1752" s="185" t="s">
        <v>298</v>
      </c>
      <c r="BG1752" s="185"/>
      <c r="BH1752" s="9" t="s">
        <v>100</v>
      </c>
      <c r="BI1752" s="9" t="s">
        <v>100</v>
      </c>
      <c r="BJ1752" s="193"/>
      <c r="BN1752" s="193"/>
      <c r="BO1752" s="193"/>
    </row>
    <row r="1753" spans="1:67" s="194" customFormat="1" ht="78" hidden="1" x14ac:dyDescent="0.35">
      <c r="A1753" s="415">
        <v>4172</v>
      </c>
      <c r="B1753" s="184" t="s">
        <v>9773</v>
      </c>
      <c r="C1753" s="185" t="s">
        <v>62</v>
      </c>
      <c r="D1753" s="185" t="s">
        <v>10351</v>
      </c>
      <c r="E1753" s="184" t="s">
        <v>35</v>
      </c>
      <c r="F1753" s="184" t="s">
        <v>97</v>
      </c>
      <c r="G1753" s="184" t="s">
        <v>225</v>
      </c>
      <c r="H1753" s="184" t="s">
        <v>125</v>
      </c>
      <c r="I1753" s="184" t="s">
        <v>113</v>
      </c>
      <c r="J1753" s="185" t="s">
        <v>117</v>
      </c>
      <c r="K1753" s="501" t="s">
        <v>3836</v>
      </c>
      <c r="L1753" s="184" t="s">
        <v>276</v>
      </c>
      <c r="M1753" s="184" t="s">
        <v>276</v>
      </c>
      <c r="N1753" s="186" t="s">
        <v>276</v>
      </c>
      <c r="O1753" s="185" t="s">
        <v>276</v>
      </c>
      <c r="P1753" s="185" t="s">
        <v>239</v>
      </c>
      <c r="Q1753" s="302" t="s">
        <v>10220</v>
      </c>
      <c r="R1753" s="185" t="s">
        <v>276</v>
      </c>
      <c r="S1753" s="185" t="s">
        <v>276</v>
      </c>
      <c r="T1753" s="185" t="s">
        <v>276</v>
      </c>
      <c r="U1753" s="187" t="s">
        <v>5401</v>
      </c>
      <c r="V1753" s="184" t="s">
        <v>15</v>
      </c>
      <c r="W1753" s="184" t="s">
        <v>9787</v>
      </c>
      <c r="X1753" s="185" t="s">
        <v>207</v>
      </c>
      <c r="Y1753" s="189">
        <v>21965</v>
      </c>
      <c r="Z1753" s="188">
        <v>15344</v>
      </c>
      <c r="AA1753" s="185" t="s">
        <v>276</v>
      </c>
      <c r="AB1753" s="185" t="s">
        <v>276</v>
      </c>
      <c r="AC1753" s="185">
        <f>515-473</f>
        <v>42</v>
      </c>
      <c r="AD1753" s="185" t="s">
        <v>7545</v>
      </c>
      <c r="AE1753" s="185">
        <f>363-312</f>
        <v>51</v>
      </c>
      <c r="AF1753" s="185" t="s">
        <v>7545</v>
      </c>
      <c r="AG1753" s="185" t="s">
        <v>10352</v>
      </c>
      <c r="AH1753" s="185" t="s">
        <v>10334</v>
      </c>
      <c r="AI1753" s="188">
        <v>140</v>
      </c>
      <c r="AJ1753" s="188">
        <v>124</v>
      </c>
      <c r="AK1753" s="189">
        <v>35284</v>
      </c>
      <c r="AL1753" s="188">
        <v>25037</v>
      </c>
      <c r="AM1753" s="188" t="s">
        <v>281</v>
      </c>
      <c r="AN1753" s="184" t="s">
        <v>276</v>
      </c>
      <c r="AO1753" s="192">
        <f t="shared" si="485"/>
        <v>3.9678041038431018</v>
      </c>
      <c r="AP1753" s="184" t="s">
        <v>276</v>
      </c>
      <c r="AQ1753" s="184" t="s">
        <v>276</v>
      </c>
      <c r="AR1753" s="184" t="s">
        <v>276</v>
      </c>
      <c r="AS1753" s="192">
        <f t="shared" si="486"/>
        <v>4.952670048328474</v>
      </c>
      <c r="AT1753" s="184" t="s">
        <v>276</v>
      </c>
      <c r="AU1753" s="184" t="s">
        <v>276</v>
      </c>
      <c r="AV1753" s="184" t="s">
        <v>268</v>
      </c>
      <c r="AW1753" s="184" t="s">
        <v>276</v>
      </c>
      <c r="AX1753" s="338">
        <f t="shared" si="487"/>
        <v>0.80114444635419146</v>
      </c>
      <c r="AY1753" s="184" t="s">
        <v>276</v>
      </c>
      <c r="AZ1753" s="184" t="s">
        <v>276</v>
      </c>
      <c r="BA1753" s="184" t="s">
        <v>276</v>
      </c>
      <c r="BB1753" s="184" t="s">
        <v>282</v>
      </c>
      <c r="BC1753" s="184" t="s">
        <v>98</v>
      </c>
      <c r="BD1753" s="184" t="s">
        <v>98</v>
      </c>
      <c r="BE1753" s="184" t="s">
        <v>98</v>
      </c>
      <c r="BF1753" s="185" t="s">
        <v>298</v>
      </c>
      <c r="BG1753" s="185"/>
      <c r="BH1753" s="9" t="s">
        <v>100</v>
      </c>
      <c r="BI1753" s="9" t="s">
        <v>100</v>
      </c>
      <c r="BJ1753" s="193"/>
      <c r="BN1753" s="193"/>
      <c r="BO1753" s="193"/>
    </row>
    <row r="1754" spans="1:67" s="110" customFormat="1" ht="91" hidden="1" x14ac:dyDescent="0.35">
      <c r="A1754" s="94">
        <v>4092</v>
      </c>
      <c r="B1754" s="94" t="s">
        <v>9799</v>
      </c>
      <c r="C1754" s="95" t="s">
        <v>62</v>
      </c>
      <c r="D1754" s="95" t="s">
        <v>10353</v>
      </c>
      <c r="E1754" s="94" t="s">
        <v>35</v>
      </c>
      <c r="F1754" s="94" t="s">
        <v>97</v>
      </c>
      <c r="G1754" s="94" t="s">
        <v>225</v>
      </c>
      <c r="H1754" s="94" t="s">
        <v>125</v>
      </c>
      <c r="I1754" s="94" t="s">
        <v>113</v>
      </c>
      <c r="J1754" s="95" t="s">
        <v>117</v>
      </c>
      <c r="K1754" s="94" t="s">
        <v>3830</v>
      </c>
      <c r="L1754" s="94" t="s">
        <v>276</v>
      </c>
      <c r="M1754" s="94" t="s">
        <v>276</v>
      </c>
      <c r="N1754" s="95" t="s">
        <v>276</v>
      </c>
      <c r="O1754" s="95" t="s">
        <v>276</v>
      </c>
      <c r="P1754" s="95" t="s">
        <v>239</v>
      </c>
      <c r="Q1754" s="140" t="s">
        <v>10220</v>
      </c>
      <c r="R1754" s="95" t="s">
        <v>276</v>
      </c>
      <c r="S1754" s="95" t="s">
        <v>276</v>
      </c>
      <c r="T1754" s="95" t="s">
        <v>276</v>
      </c>
      <c r="U1754" s="163" t="s">
        <v>1192</v>
      </c>
      <c r="V1754" s="94" t="s">
        <v>15</v>
      </c>
      <c r="W1754" s="94" t="s">
        <v>3032</v>
      </c>
      <c r="X1754" s="95" t="s">
        <v>207</v>
      </c>
      <c r="Y1754" s="98">
        <f t="shared" ref="Y1754:Y1765" si="492">9582+10262</f>
        <v>19844</v>
      </c>
      <c r="Z1754" s="99">
        <f t="shared" ref="Z1754:Z1765" si="493">5031+10573</f>
        <v>15604</v>
      </c>
      <c r="AA1754" s="95" t="s">
        <v>276</v>
      </c>
      <c r="AB1754" s="95" t="s">
        <v>276</v>
      </c>
      <c r="AC1754" s="502" t="s">
        <v>10354</v>
      </c>
      <c r="AD1754" s="95" t="s">
        <v>10258</v>
      </c>
      <c r="AE1754" s="502" t="s">
        <v>10355</v>
      </c>
      <c r="AF1754" s="95" t="s">
        <v>10258</v>
      </c>
      <c r="AG1754" s="95" t="s">
        <v>10356</v>
      </c>
      <c r="AH1754" s="95" t="s">
        <v>9269</v>
      </c>
      <c r="AI1754" s="99">
        <v>151</v>
      </c>
      <c r="AJ1754" s="99">
        <v>77</v>
      </c>
      <c r="AK1754" s="98">
        <f t="shared" ref="AK1754:AK1778" si="494">9582+10262</f>
        <v>19844</v>
      </c>
      <c r="AL1754" s="99">
        <f t="shared" ref="AL1754:AL1778" si="495">5031+10573</f>
        <v>15604</v>
      </c>
      <c r="AM1754" s="99" t="s">
        <v>281</v>
      </c>
      <c r="AN1754" s="94" t="s">
        <v>276</v>
      </c>
      <c r="AO1754" s="102">
        <f t="shared" si="485"/>
        <v>7.609352953033663</v>
      </c>
      <c r="AP1754" s="94" t="s">
        <v>276</v>
      </c>
      <c r="AQ1754" s="94" t="s">
        <v>276</v>
      </c>
      <c r="AR1754" s="94" t="s">
        <v>276</v>
      </c>
      <c r="AS1754" s="102">
        <f t="shared" si="486"/>
        <v>4.9346321456036915</v>
      </c>
      <c r="AT1754" s="94" t="s">
        <v>276</v>
      </c>
      <c r="AU1754" s="94" t="s">
        <v>276</v>
      </c>
      <c r="AV1754" s="94" t="s">
        <v>268</v>
      </c>
      <c r="AW1754" s="94" t="s">
        <v>276</v>
      </c>
      <c r="AX1754" s="101">
        <f t="shared" si="487"/>
        <v>1.5420304347939906</v>
      </c>
      <c r="AY1754" s="94" t="s">
        <v>276</v>
      </c>
      <c r="AZ1754" s="94" t="s">
        <v>276</v>
      </c>
      <c r="BA1754" s="94" t="s">
        <v>276</v>
      </c>
      <c r="BB1754" s="94" t="s">
        <v>282</v>
      </c>
      <c r="BC1754" s="94" t="s">
        <v>98</v>
      </c>
      <c r="BD1754" s="94" t="s">
        <v>98</v>
      </c>
      <c r="BE1754" s="94" t="s">
        <v>98</v>
      </c>
      <c r="BF1754" s="95" t="s">
        <v>1029</v>
      </c>
      <c r="BG1754" s="95" t="s">
        <v>10357</v>
      </c>
      <c r="BH1754" s="9" t="s">
        <v>100</v>
      </c>
      <c r="BI1754" s="9" t="s">
        <v>100</v>
      </c>
      <c r="BJ1754" s="109"/>
      <c r="BN1754" s="109"/>
      <c r="BO1754" s="109"/>
    </row>
    <row r="1755" spans="1:67" s="110" customFormat="1" ht="104" hidden="1" x14ac:dyDescent="0.35">
      <c r="A1755" s="94">
        <v>4092</v>
      </c>
      <c r="B1755" s="94" t="s">
        <v>9799</v>
      </c>
      <c r="C1755" s="95" t="s">
        <v>62</v>
      </c>
      <c r="D1755" s="95" t="s">
        <v>10358</v>
      </c>
      <c r="E1755" s="94" t="s">
        <v>35</v>
      </c>
      <c r="F1755" s="94" t="s">
        <v>97</v>
      </c>
      <c r="G1755" s="94" t="s">
        <v>225</v>
      </c>
      <c r="H1755" s="94" t="s">
        <v>125</v>
      </c>
      <c r="I1755" s="94" t="s">
        <v>113</v>
      </c>
      <c r="J1755" s="95" t="s">
        <v>117</v>
      </c>
      <c r="K1755" s="95" t="s">
        <v>10064</v>
      </c>
      <c r="L1755" s="94" t="s">
        <v>276</v>
      </c>
      <c r="M1755" s="94" t="s">
        <v>276</v>
      </c>
      <c r="N1755" s="95" t="s">
        <v>276</v>
      </c>
      <c r="O1755" s="95" t="s">
        <v>276</v>
      </c>
      <c r="P1755" s="95" t="s">
        <v>239</v>
      </c>
      <c r="Q1755" s="140" t="s">
        <v>10220</v>
      </c>
      <c r="R1755" s="95" t="s">
        <v>276</v>
      </c>
      <c r="S1755" s="95" t="s">
        <v>276</v>
      </c>
      <c r="T1755" s="95" t="s">
        <v>276</v>
      </c>
      <c r="U1755" s="163" t="s">
        <v>1192</v>
      </c>
      <c r="V1755" s="94" t="s">
        <v>15</v>
      </c>
      <c r="W1755" s="94" t="s">
        <v>3032</v>
      </c>
      <c r="X1755" s="95" t="s">
        <v>207</v>
      </c>
      <c r="Y1755" s="98">
        <f t="shared" si="492"/>
        <v>19844</v>
      </c>
      <c r="Z1755" s="99">
        <f t="shared" si="493"/>
        <v>15604</v>
      </c>
      <c r="AA1755" s="95" t="s">
        <v>276</v>
      </c>
      <c r="AB1755" s="95" t="s">
        <v>276</v>
      </c>
      <c r="AC1755" s="502" t="s">
        <v>10354</v>
      </c>
      <c r="AD1755" s="95" t="s">
        <v>10258</v>
      </c>
      <c r="AE1755" s="502" t="s">
        <v>10355</v>
      </c>
      <c r="AF1755" s="95" t="s">
        <v>10258</v>
      </c>
      <c r="AG1755" s="95" t="s">
        <v>10359</v>
      </c>
      <c r="AH1755" s="95" t="s">
        <v>9269</v>
      </c>
      <c r="AI1755" s="99">
        <v>69</v>
      </c>
      <c r="AJ1755" s="99">
        <v>64</v>
      </c>
      <c r="AK1755" s="98">
        <f t="shared" si="494"/>
        <v>19844</v>
      </c>
      <c r="AL1755" s="99">
        <f t="shared" si="495"/>
        <v>15604</v>
      </c>
      <c r="AM1755" s="99" t="s">
        <v>281</v>
      </c>
      <c r="AN1755" s="94" t="s">
        <v>276</v>
      </c>
      <c r="AO1755" s="102">
        <f t="shared" si="485"/>
        <v>3.4771215480749849</v>
      </c>
      <c r="AP1755" s="94" t="s">
        <v>276</v>
      </c>
      <c r="AQ1755" s="94" t="s">
        <v>276</v>
      </c>
      <c r="AR1755" s="94" t="s">
        <v>276</v>
      </c>
      <c r="AS1755" s="102">
        <f t="shared" si="486"/>
        <v>4.101512432709562</v>
      </c>
      <c r="AT1755" s="94" t="s">
        <v>276</v>
      </c>
      <c r="AU1755" s="94" t="s">
        <v>276</v>
      </c>
      <c r="AV1755" s="94" t="s">
        <v>268</v>
      </c>
      <c r="AW1755" s="94" t="s">
        <v>276</v>
      </c>
      <c r="AX1755" s="101">
        <f t="shared" si="487"/>
        <v>0.84776569744003216</v>
      </c>
      <c r="AY1755" s="94" t="s">
        <v>276</v>
      </c>
      <c r="AZ1755" s="94" t="s">
        <v>276</v>
      </c>
      <c r="BA1755" s="94" t="s">
        <v>276</v>
      </c>
      <c r="BB1755" s="94" t="s">
        <v>282</v>
      </c>
      <c r="BC1755" s="94" t="s">
        <v>98</v>
      </c>
      <c r="BD1755" s="94" t="s">
        <v>98</v>
      </c>
      <c r="BE1755" s="94" t="s">
        <v>98</v>
      </c>
      <c r="BF1755" s="95" t="s">
        <v>1029</v>
      </c>
      <c r="BG1755" s="95" t="s">
        <v>10357</v>
      </c>
      <c r="BH1755" s="9" t="s">
        <v>100</v>
      </c>
      <c r="BI1755" s="9" t="s">
        <v>100</v>
      </c>
      <c r="BJ1755" s="109"/>
      <c r="BN1755" s="109"/>
      <c r="BO1755" s="109"/>
    </row>
    <row r="1756" spans="1:67" s="110" customFormat="1" ht="91" hidden="1" x14ac:dyDescent="0.35">
      <c r="A1756" s="94">
        <v>4092</v>
      </c>
      <c r="B1756" s="94" t="s">
        <v>9799</v>
      </c>
      <c r="C1756" s="95" t="s">
        <v>62</v>
      </c>
      <c r="D1756" s="95" t="s">
        <v>10360</v>
      </c>
      <c r="E1756" s="94" t="s">
        <v>35</v>
      </c>
      <c r="F1756" s="94" t="s">
        <v>97</v>
      </c>
      <c r="G1756" s="94" t="s">
        <v>225</v>
      </c>
      <c r="H1756" s="94" t="s">
        <v>125</v>
      </c>
      <c r="I1756" s="94" t="s">
        <v>113</v>
      </c>
      <c r="J1756" s="95" t="s">
        <v>117</v>
      </c>
      <c r="K1756" s="94" t="s">
        <v>3830</v>
      </c>
      <c r="L1756" s="94" t="s">
        <v>276</v>
      </c>
      <c r="M1756" s="94" t="s">
        <v>276</v>
      </c>
      <c r="N1756" s="95" t="s">
        <v>276</v>
      </c>
      <c r="O1756" s="95" t="s">
        <v>276</v>
      </c>
      <c r="P1756" s="95" t="s">
        <v>239</v>
      </c>
      <c r="Q1756" s="140" t="s">
        <v>10220</v>
      </c>
      <c r="R1756" s="95" t="s">
        <v>276</v>
      </c>
      <c r="S1756" s="95" t="s">
        <v>276</v>
      </c>
      <c r="T1756" s="95" t="s">
        <v>276</v>
      </c>
      <c r="U1756" s="163" t="s">
        <v>1192</v>
      </c>
      <c r="V1756" s="94" t="s">
        <v>15</v>
      </c>
      <c r="W1756" s="94" t="s">
        <v>3032</v>
      </c>
      <c r="X1756" s="95" t="s">
        <v>207</v>
      </c>
      <c r="Y1756" s="98">
        <f t="shared" si="492"/>
        <v>19844</v>
      </c>
      <c r="Z1756" s="99">
        <f t="shared" si="493"/>
        <v>15604</v>
      </c>
      <c r="AA1756" s="95" t="s">
        <v>276</v>
      </c>
      <c r="AB1756" s="95" t="s">
        <v>276</v>
      </c>
      <c r="AC1756" s="502" t="s">
        <v>10354</v>
      </c>
      <c r="AD1756" s="95" t="s">
        <v>10258</v>
      </c>
      <c r="AE1756" s="502" t="s">
        <v>10355</v>
      </c>
      <c r="AF1756" s="95" t="s">
        <v>10258</v>
      </c>
      <c r="AG1756" s="95" t="s">
        <v>10356</v>
      </c>
      <c r="AH1756" s="95" t="s">
        <v>9330</v>
      </c>
      <c r="AI1756" s="99">
        <v>151</v>
      </c>
      <c r="AJ1756" s="99">
        <v>77</v>
      </c>
      <c r="AK1756" s="98" t="s">
        <v>276</v>
      </c>
      <c r="AL1756" s="98" t="s">
        <v>276</v>
      </c>
      <c r="AM1756" s="99" t="s">
        <v>4702</v>
      </c>
      <c r="AN1756" s="94">
        <v>61.3</v>
      </c>
      <c r="AO1756" s="102" t="s">
        <v>98</v>
      </c>
      <c r="AP1756" s="94" t="s">
        <v>276</v>
      </c>
      <c r="AQ1756" s="94" t="s">
        <v>276</v>
      </c>
      <c r="AR1756" s="94">
        <v>39.4</v>
      </c>
      <c r="AS1756" s="102" t="s">
        <v>98</v>
      </c>
      <c r="AT1756" s="94" t="s">
        <v>276</v>
      </c>
      <c r="AU1756" s="94" t="s">
        <v>276</v>
      </c>
      <c r="AV1756" s="94" t="s">
        <v>269</v>
      </c>
      <c r="AW1756" s="94" t="s">
        <v>276</v>
      </c>
      <c r="AX1756" s="101">
        <f>AN1756/AR1756</f>
        <v>1.5558375634517767</v>
      </c>
      <c r="AY1756" s="94" t="s">
        <v>276</v>
      </c>
      <c r="AZ1756" s="94" t="s">
        <v>276</v>
      </c>
      <c r="BA1756" s="94" t="s">
        <v>276</v>
      </c>
      <c r="BB1756" s="94" t="s">
        <v>282</v>
      </c>
      <c r="BC1756" s="94" t="s">
        <v>98</v>
      </c>
      <c r="BD1756" s="94" t="s">
        <v>98</v>
      </c>
      <c r="BE1756" s="94" t="s">
        <v>98</v>
      </c>
      <c r="BF1756" s="95" t="s">
        <v>1029</v>
      </c>
      <c r="BG1756" s="95" t="s">
        <v>10357</v>
      </c>
      <c r="BH1756" s="9" t="s">
        <v>100</v>
      </c>
      <c r="BI1756" s="9" t="s">
        <v>100</v>
      </c>
      <c r="BJ1756" s="109"/>
      <c r="BN1756" s="109"/>
      <c r="BO1756" s="109"/>
    </row>
    <row r="1757" spans="1:67" s="110" customFormat="1" ht="104" hidden="1" x14ac:dyDescent="0.35">
      <c r="A1757" s="94">
        <v>4092</v>
      </c>
      <c r="B1757" s="94" t="s">
        <v>9799</v>
      </c>
      <c r="C1757" s="95" t="s">
        <v>62</v>
      </c>
      <c r="D1757" s="95" t="s">
        <v>10361</v>
      </c>
      <c r="E1757" s="94" t="s">
        <v>35</v>
      </c>
      <c r="F1757" s="94" t="s">
        <v>97</v>
      </c>
      <c r="G1757" s="94" t="s">
        <v>225</v>
      </c>
      <c r="H1757" s="94" t="s">
        <v>125</v>
      </c>
      <c r="I1757" s="94" t="s">
        <v>113</v>
      </c>
      <c r="J1757" s="95" t="s">
        <v>117</v>
      </c>
      <c r="K1757" s="95" t="s">
        <v>10064</v>
      </c>
      <c r="L1757" s="94" t="s">
        <v>276</v>
      </c>
      <c r="M1757" s="94" t="s">
        <v>276</v>
      </c>
      <c r="N1757" s="95" t="s">
        <v>276</v>
      </c>
      <c r="O1757" s="95" t="s">
        <v>276</v>
      </c>
      <c r="P1757" s="95" t="s">
        <v>239</v>
      </c>
      <c r="Q1757" s="140" t="s">
        <v>10220</v>
      </c>
      <c r="R1757" s="95" t="s">
        <v>276</v>
      </c>
      <c r="S1757" s="95" t="s">
        <v>276</v>
      </c>
      <c r="T1757" s="95" t="s">
        <v>276</v>
      </c>
      <c r="U1757" s="163" t="s">
        <v>1192</v>
      </c>
      <c r="V1757" s="94" t="s">
        <v>15</v>
      </c>
      <c r="W1757" s="94" t="s">
        <v>3032</v>
      </c>
      <c r="X1757" s="95" t="s">
        <v>207</v>
      </c>
      <c r="Y1757" s="98">
        <f t="shared" si="492"/>
        <v>19844</v>
      </c>
      <c r="Z1757" s="99">
        <f t="shared" si="493"/>
        <v>15604</v>
      </c>
      <c r="AA1757" s="95" t="s">
        <v>276</v>
      </c>
      <c r="AB1757" s="95" t="s">
        <v>276</v>
      </c>
      <c r="AC1757" s="502" t="s">
        <v>10354</v>
      </c>
      <c r="AD1757" s="95" t="s">
        <v>10258</v>
      </c>
      <c r="AE1757" s="502" t="s">
        <v>10355</v>
      </c>
      <c r="AF1757" s="95" t="s">
        <v>10258</v>
      </c>
      <c r="AG1757" s="95" t="s">
        <v>10359</v>
      </c>
      <c r="AH1757" s="95" t="s">
        <v>9330</v>
      </c>
      <c r="AI1757" s="99">
        <v>69</v>
      </c>
      <c r="AJ1757" s="99">
        <v>64</v>
      </c>
      <c r="AK1757" s="98" t="s">
        <v>276</v>
      </c>
      <c r="AL1757" s="98" t="s">
        <v>276</v>
      </c>
      <c r="AM1757" s="99" t="s">
        <v>4702</v>
      </c>
      <c r="AN1757" s="94">
        <v>28</v>
      </c>
      <c r="AO1757" s="102" t="s">
        <v>98</v>
      </c>
      <c r="AP1757" s="94" t="s">
        <v>276</v>
      </c>
      <c r="AQ1757" s="94" t="s">
        <v>276</v>
      </c>
      <c r="AR1757" s="94">
        <v>32.799999999999997</v>
      </c>
      <c r="AS1757" s="102" t="s">
        <v>98</v>
      </c>
      <c r="AT1757" s="94" t="s">
        <v>276</v>
      </c>
      <c r="AU1757" s="94" t="s">
        <v>276</v>
      </c>
      <c r="AV1757" s="94" t="s">
        <v>269</v>
      </c>
      <c r="AW1757" s="94" t="s">
        <v>276</v>
      </c>
      <c r="AX1757" s="101">
        <f>AN1757/AR1757</f>
        <v>0.85365853658536595</v>
      </c>
      <c r="AY1757" s="94" t="s">
        <v>276</v>
      </c>
      <c r="AZ1757" s="94" t="s">
        <v>276</v>
      </c>
      <c r="BA1757" s="94" t="s">
        <v>276</v>
      </c>
      <c r="BB1757" s="94" t="s">
        <v>282</v>
      </c>
      <c r="BC1757" s="94" t="s">
        <v>98</v>
      </c>
      <c r="BD1757" s="94" t="s">
        <v>98</v>
      </c>
      <c r="BE1757" s="94" t="s">
        <v>98</v>
      </c>
      <c r="BF1757" s="95" t="s">
        <v>1029</v>
      </c>
      <c r="BG1757" s="95" t="s">
        <v>10357</v>
      </c>
      <c r="BH1757" s="9" t="s">
        <v>100</v>
      </c>
      <c r="BI1757" s="9" t="s">
        <v>100</v>
      </c>
      <c r="BJ1757" s="109"/>
      <c r="BN1757" s="109"/>
      <c r="BO1757" s="109"/>
    </row>
    <row r="1758" spans="1:67" s="124" customFormat="1" ht="91" hidden="1" x14ac:dyDescent="0.35">
      <c r="A1758" s="112">
        <v>4092</v>
      </c>
      <c r="B1758" s="112" t="s">
        <v>9799</v>
      </c>
      <c r="C1758" s="113" t="s">
        <v>62</v>
      </c>
      <c r="D1758" s="113" t="s">
        <v>10362</v>
      </c>
      <c r="E1758" s="112" t="s">
        <v>35</v>
      </c>
      <c r="F1758" s="112" t="s">
        <v>97</v>
      </c>
      <c r="G1758" s="112" t="s">
        <v>225</v>
      </c>
      <c r="H1758" s="112" t="s">
        <v>125</v>
      </c>
      <c r="I1758" s="112" t="s">
        <v>113</v>
      </c>
      <c r="J1758" s="113" t="s">
        <v>31</v>
      </c>
      <c r="K1758" s="112" t="s">
        <v>3801</v>
      </c>
      <c r="L1758" s="112" t="s">
        <v>276</v>
      </c>
      <c r="M1758" s="112" t="s">
        <v>276</v>
      </c>
      <c r="N1758" s="115" t="s">
        <v>276</v>
      </c>
      <c r="O1758" s="113" t="s">
        <v>276</v>
      </c>
      <c r="P1758" s="113" t="s">
        <v>239</v>
      </c>
      <c r="Q1758" s="142" t="s">
        <v>10220</v>
      </c>
      <c r="R1758" s="113" t="s">
        <v>276</v>
      </c>
      <c r="S1758" s="113" t="s">
        <v>276</v>
      </c>
      <c r="T1758" s="113" t="s">
        <v>276</v>
      </c>
      <c r="U1758" s="162" t="s">
        <v>1192</v>
      </c>
      <c r="V1758" s="112" t="s">
        <v>15</v>
      </c>
      <c r="W1758" s="112" t="s">
        <v>3032</v>
      </c>
      <c r="X1758" s="113" t="s">
        <v>207</v>
      </c>
      <c r="Y1758" s="118">
        <f t="shared" si="492"/>
        <v>19844</v>
      </c>
      <c r="Z1758" s="119">
        <f t="shared" si="493"/>
        <v>15604</v>
      </c>
      <c r="AA1758" s="113" t="s">
        <v>276</v>
      </c>
      <c r="AB1758" s="113" t="s">
        <v>276</v>
      </c>
      <c r="AC1758" s="113">
        <v>0</v>
      </c>
      <c r="AD1758" s="113" t="s">
        <v>10268</v>
      </c>
      <c r="AE1758" s="113">
        <v>0</v>
      </c>
      <c r="AF1758" s="113" t="s">
        <v>10268</v>
      </c>
      <c r="AG1758" s="113" t="s">
        <v>10363</v>
      </c>
      <c r="AH1758" s="113" t="s">
        <v>9269</v>
      </c>
      <c r="AI1758" s="119">
        <v>40</v>
      </c>
      <c r="AJ1758" s="119">
        <v>19</v>
      </c>
      <c r="AK1758" s="118">
        <f t="shared" si="494"/>
        <v>19844</v>
      </c>
      <c r="AL1758" s="119">
        <f t="shared" si="495"/>
        <v>15604</v>
      </c>
      <c r="AM1758" s="119" t="s">
        <v>281</v>
      </c>
      <c r="AN1758" s="112" t="s">
        <v>276</v>
      </c>
      <c r="AO1758" s="121">
        <f t="shared" si="485"/>
        <v>2.0157226365652088</v>
      </c>
      <c r="AP1758" s="112" t="s">
        <v>276</v>
      </c>
      <c r="AQ1758" s="112" t="s">
        <v>276</v>
      </c>
      <c r="AR1758" s="112" t="s">
        <v>276</v>
      </c>
      <c r="AS1758" s="121">
        <f t="shared" si="486"/>
        <v>1.2176365034606511</v>
      </c>
      <c r="AT1758" s="112" t="s">
        <v>276</v>
      </c>
      <c r="AU1758" s="112" t="s">
        <v>276</v>
      </c>
      <c r="AV1758" s="112" t="s">
        <v>268</v>
      </c>
      <c r="AW1758" s="112" t="s">
        <v>276</v>
      </c>
      <c r="AX1758" s="207">
        <f t="shared" si="487"/>
        <v>1.6554387379454483</v>
      </c>
      <c r="AY1758" s="112" t="s">
        <v>276</v>
      </c>
      <c r="AZ1758" s="112" t="s">
        <v>276</v>
      </c>
      <c r="BA1758" s="112" t="s">
        <v>276</v>
      </c>
      <c r="BB1758" s="112" t="s">
        <v>282</v>
      </c>
      <c r="BC1758" s="112" t="s">
        <v>98</v>
      </c>
      <c r="BD1758" s="112" t="s">
        <v>98</v>
      </c>
      <c r="BE1758" s="112" t="s">
        <v>98</v>
      </c>
      <c r="BF1758" s="113"/>
      <c r="BG1758" s="113" t="s">
        <v>10364</v>
      </c>
      <c r="BH1758" s="9" t="s">
        <v>100</v>
      </c>
      <c r="BI1758" s="9" t="s">
        <v>100</v>
      </c>
      <c r="BJ1758" s="123"/>
      <c r="BN1758" s="123"/>
      <c r="BO1758" s="123"/>
    </row>
    <row r="1759" spans="1:67" s="124" customFormat="1" ht="91" hidden="1" x14ac:dyDescent="0.35">
      <c r="A1759" s="112">
        <v>4092</v>
      </c>
      <c r="B1759" s="112" t="s">
        <v>9799</v>
      </c>
      <c r="C1759" s="113" t="s">
        <v>62</v>
      </c>
      <c r="D1759" s="113" t="s">
        <v>10365</v>
      </c>
      <c r="E1759" s="112" t="s">
        <v>35</v>
      </c>
      <c r="F1759" s="112" t="s">
        <v>97</v>
      </c>
      <c r="G1759" s="112" t="s">
        <v>225</v>
      </c>
      <c r="H1759" s="112" t="s">
        <v>125</v>
      </c>
      <c r="I1759" s="112" t="s">
        <v>113</v>
      </c>
      <c r="J1759" s="113" t="s">
        <v>31</v>
      </c>
      <c r="K1759" s="112" t="s">
        <v>3805</v>
      </c>
      <c r="L1759" s="112" t="s">
        <v>276</v>
      </c>
      <c r="M1759" s="112" t="s">
        <v>276</v>
      </c>
      <c r="N1759" s="115" t="s">
        <v>276</v>
      </c>
      <c r="O1759" s="113" t="s">
        <v>276</v>
      </c>
      <c r="P1759" s="113" t="s">
        <v>239</v>
      </c>
      <c r="Q1759" s="142" t="s">
        <v>10220</v>
      </c>
      <c r="R1759" s="113" t="s">
        <v>276</v>
      </c>
      <c r="S1759" s="113" t="s">
        <v>276</v>
      </c>
      <c r="T1759" s="113" t="s">
        <v>276</v>
      </c>
      <c r="U1759" s="162" t="s">
        <v>1192</v>
      </c>
      <c r="V1759" s="112" t="s">
        <v>15</v>
      </c>
      <c r="W1759" s="112" t="s">
        <v>3032</v>
      </c>
      <c r="X1759" s="113" t="s">
        <v>207</v>
      </c>
      <c r="Y1759" s="118">
        <f t="shared" si="492"/>
        <v>19844</v>
      </c>
      <c r="Z1759" s="119">
        <f t="shared" si="493"/>
        <v>15604</v>
      </c>
      <c r="AA1759" s="113" t="s">
        <v>276</v>
      </c>
      <c r="AB1759" s="113" t="s">
        <v>276</v>
      </c>
      <c r="AC1759" s="113">
        <v>0</v>
      </c>
      <c r="AD1759" s="113" t="s">
        <v>10268</v>
      </c>
      <c r="AE1759" s="113">
        <v>0</v>
      </c>
      <c r="AF1759" s="113" t="s">
        <v>10268</v>
      </c>
      <c r="AG1759" s="113" t="s">
        <v>10366</v>
      </c>
      <c r="AH1759" s="113" t="s">
        <v>9269</v>
      </c>
      <c r="AI1759" s="119">
        <v>60</v>
      </c>
      <c r="AJ1759" s="119">
        <v>28</v>
      </c>
      <c r="AK1759" s="118">
        <f t="shared" si="494"/>
        <v>19844</v>
      </c>
      <c r="AL1759" s="119">
        <f t="shared" si="495"/>
        <v>15604</v>
      </c>
      <c r="AM1759" s="119" t="s">
        <v>281</v>
      </c>
      <c r="AN1759" s="112" t="s">
        <v>276</v>
      </c>
      <c r="AO1759" s="121">
        <f t="shared" si="485"/>
        <v>3.0235839548478127</v>
      </c>
      <c r="AP1759" s="112" t="s">
        <v>276</v>
      </c>
      <c r="AQ1759" s="112" t="s">
        <v>276</v>
      </c>
      <c r="AR1759" s="112" t="s">
        <v>276</v>
      </c>
      <c r="AS1759" s="121">
        <f t="shared" si="486"/>
        <v>1.7944116893104332</v>
      </c>
      <c r="AT1759" s="112" t="s">
        <v>276</v>
      </c>
      <c r="AU1759" s="112" t="s">
        <v>276</v>
      </c>
      <c r="AV1759" s="112" t="s">
        <v>268</v>
      </c>
      <c r="AW1759" s="112" t="s">
        <v>276</v>
      </c>
      <c r="AX1759" s="207">
        <f t="shared" si="487"/>
        <v>1.6850001439801883</v>
      </c>
      <c r="AY1759" s="112" t="s">
        <v>276</v>
      </c>
      <c r="AZ1759" s="112" t="s">
        <v>276</v>
      </c>
      <c r="BA1759" s="112" t="s">
        <v>276</v>
      </c>
      <c r="BB1759" s="112" t="s">
        <v>282</v>
      </c>
      <c r="BC1759" s="112" t="s">
        <v>98</v>
      </c>
      <c r="BD1759" s="112" t="s">
        <v>98</v>
      </c>
      <c r="BE1759" s="112" t="s">
        <v>98</v>
      </c>
      <c r="BF1759" s="113"/>
      <c r="BG1759" s="113" t="s">
        <v>10364</v>
      </c>
      <c r="BH1759" s="9" t="s">
        <v>100</v>
      </c>
      <c r="BI1759" s="9" t="s">
        <v>100</v>
      </c>
      <c r="BJ1759" s="123"/>
      <c r="BN1759" s="123"/>
      <c r="BO1759" s="123"/>
    </row>
    <row r="1760" spans="1:67" s="124" customFormat="1" ht="91" hidden="1" x14ac:dyDescent="0.35">
      <c r="A1760" s="112">
        <v>4092</v>
      </c>
      <c r="B1760" s="112" t="s">
        <v>9799</v>
      </c>
      <c r="C1760" s="113" t="s">
        <v>62</v>
      </c>
      <c r="D1760" s="113" t="s">
        <v>10367</v>
      </c>
      <c r="E1760" s="112" t="s">
        <v>35</v>
      </c>
      <c r="F1760" s="112" t="s">
        <v>97</v>
      </c>
      <c r="G1760" s="112" t="s">
        <v>225</v>
      </c>
      <c r="H1760" s="112" t="s">
        <v>125</v>
      </c>
      <c r="I1760" s="112" t="s">
        <v>113</v>
      </c>
      <c r="J1760" s="113" t="s">
        <v>31</v>
      </c>
      <c r="K1760" s="112" t="s">
        <v>3808</v>
      </c>
      <c r="L1760" s="112" t="s">
        <v>276</v>
      </c>
      <c r="M1760" s="112" t="s">
        <v>276</v>
      </c>
      <c r="N1760" s="115" t="s">
        <v>276</v>
      </c>
      <c r="O1760" s="113" t="s">
        <v>276</v>
      </c>
      <c r="P1760" s="113" t="s">
        <v>239</v>
      </c>
      <c r="Q1760" s="142" t="s">
        <v>10220</v>
      </c>
      <c r="R1760" s="113" t="s">
        <v>276</v>
      </c>
      <c r="S1760" s="113" t="s">
        <v>276</v>
      </c>
      <c r="T1760" s="113" t="s">
        <v>276</v>
      </c>
      <c r="U1760" s="162" t="s">
        <v>1192</v>
      </c>
      <c r="V1760" s="112" t="s">
        <v>15</v>
      </c>
      <c r="W1760" s="112" t="s">
        <v>3032</v>
      </c>
      <c r="X1760" s="113" t="s">
        <v>207</v>
      </c>
      <c r="Y1760" s="118">
        <f t="shared" si="492"/>
        <v>19844</v>
      </c>
      <c r="Z1760" s="119">
        <f t="shared" si="493"/>
        <v>15604</v>
      </c>
      <c r="AA1760" s="113" t="s">
        <v>276</v>
      </c>
      <c r="AB1760" s="113" t="s">
        <v>276</v>
      </c>
      <c r="AC1760" s="113">
        <v>0</v>
      </c>
      <c r="AD1760" s="113" t="s">
        <v>10268</v>
      </c>
      <c r="AE1760" s="113">
        <v>0</v>
      </c>
      <c r="AF1760" s="113" t="s">
        <v>10268</v>
      </c>
      <c r="AG1760" s="113" t="s">
        <v>10368</v>
      </c>
      <c r="AH1760" s="113" t="s">
        <v>9269</v>
      </c>
      <c r="AI1760" s="119">
        <v>43</v>
      </c>
      <c r="AJ1760" s="119">
        <v>30</v>
      </c>
      <c r="AK1760" s="118">
        <f t="shared" si="494"/>
        <v>19844</v>
      </c>
      <c r="AL1760" s="119">
        <f t="shared" si="495"/>
        <v>15604</v>
      </c>
      <c r="AM1760" s="119" t="s">
        <v>281</v>
      </c>
      <c r="AN1760" s="112" t="s">
        <v>276</v>
      </c>
      <c r="AO1760" s="121">
        <f t="shared" si="485"/>
        <v>2.1669018343075992</v>
      </c>
      <c r="AP1760" s="112" t="s">
        <v>276</v>
      </c>
      <c r="AQ1760" s="112" t="s">
        <v>276</v>
      </c>
      <c r="AR1760" s="112" t="s">
        <v>276</v>
      </c>
      <c r="AS1760" s="121">
        <f t="shared" si="486"/>
        <v>1.922583952832607</v>
      </c>
      <c r="AT1760" s="112" t="s">
        <v>276</v>
      </c>
      <c r="AU1760" s="112" t="s">
        <v>276</v>
      </c>
      <c r="AV1760" s="112" t="s">
        <v>268</v>
      </c>
      <c r="AW1760" s="112" t="s">
        <v>276</v>
      </c>
      <c r="AX1760" s="207">
        <f t="shared" si="487"/>
        <v>1.127077874084526</v>
      </c>
      <c r="AY1760" s="112" t="s">
        <v>276</v>
      </c>
      <c r="AZ1760" s="112" t="s">
        <v>276</v>
      </c>
      <c r="BA1760" s="112" t="s">
        <v>276</v>
      </c>
      <c r="BB1760" s="112" t="s">
        <v>282</v>
      </c>
      <c r="BC1760" s="112" t="s">
        <v>98</v>
      </c>
      <c r="BD1760" s="112" t="s">
        <v>98</v>
      </c>
      <c r="BE1760" s="112" t="s">
        <v>98</v>
      </c>
      <c r="BF1760" s="113"/>
      <c r="BG1760" s="113" t="s">
        <v>10364</v>
      </c>
      <c r="BH1760" s="9" t="s">
        <v>100</v>
      </c>
      <c r="BI1760" s="9" t="s">
        <v>100</v>
      </c>
      <c r="BJ1760" s="123"/>
      <c r="BN1760" s="123"/>
      <c r="BO1760" s="123"/>
    </row>
    <row r="1761" spans="1:67" s="110" customFormat="1" ht="91" hidden="1" x14ac:dyDescent="0.35">
      <c r="A1761" s="94">
        <v>4092</v>
      </c>
      <c r="B1761" s="94" t="s">
        <v>9799</v>
      </c>
      <c r="C1761" s="95" t="s">
        <v>62</v>
      </c>
      <c r="D1761" s="95" t="s">
        <v>10369</v>
      </c>
      <c r="E1761" s="94" t="s">
        <v>35</v>
      </c>
      <c r="F1761" s="94" t="s">
        <v>97</v>
      </c>
      <c r="G1761" s="94" t="s">
        <v>225</v>
      </c>
      <c r="H1761" s="94" t="s">
        <v>125</v>
      </c>
      <c r="I1761" s="94" t="s">
        <v>113</v>
      </c>
      <c r="J1761" s="95" t="s">
        <v>31</v>
      </c>
      <c r="K1761" s="94" t="s">
        <v>3824</v>
      </c>
      <c r="L1761" s="94" t="s">
        <v>276</v>
      </c>
      <c r="M1761" s="94" t="s">
        <v>276</v>
      </c>
      <c r="N1761" s="105" t="s">
        <v>276</v>
      </c>
      <c r="O1761" s="95" t="s">
        <v>276</v>
      </c>
      <c r="P1761" s="95" t="s">
        <v>239</v>
      </c>
      <c r="Q1761" s="140" t="s">
        <v>10220</v>
      </c>
      <c r="R1761" s="95" t="s">
        <v>276</v>
      </c>
      <c r="S1761" s="95" t="s">
        <v>276</v>
      </c>
      <c r="T1761" s="95" t="s">
        <v>276</v>
      </c>
      <c r="U1761" s="163" t="s">
        <v>1192</v>
      </c>
      <c r="V1761" s="94" t="s">
        <v>15</v>
      </c>
      <c r="W1761" s="94" t="s">
        <v>3032</v>
      </c>
      <c r="X1761" s="95" t="s">
        <v>207</v>
      </c>
      <c r="Y1761" s="98">
        <f t="shared" si="492"/>
        <v>19844</v>
      </c>
      <c r="Z1761" s="99">
        <f t="shared" si="493"/>
        <v>15604</v>
      </c>
      <c r="AA1761" s="95" t="s">
        <v>276</v>
      </c>
      <c r="AB1761" s="95" t="s">
        <v>276</v>
      </c>
      <c r="AC1761" s="95">
        <v>0</v>
      </c>
      <c r="AD1761" s="95" t="s">
        <v>10268</v>
      </c>
      <c r="AE1761" s="95">
        <v>0</v>
      </c>
      <c r="AF1761" s="95" t="s">
        <v>10268</v>
      </c>
      <c r="AG1761" s="95" t="s">
        <v>10370</v>
      </c>
      <c r="AH1761" s="95" t="s">
        <v>9269</v>
      </c>
      <c r="AI1761" s="99">
        <f>AI1758+AI1759+AI1760</f>
        <v>143</v>
      </c>
      <c r="AJ1761" s="99">
        <f>AJ1758+AJ1759+AJ1760</f>
        <v>77</v>
      </c>
      <c r="AK1761" s="98">
        <f t="shared" si="494"/>
        <v>19844</v>
      </c>
      <c r="AL1761" s="99">
        <f t="shared" si="495"/>
        <v>15604</v>
      </c>
      <c r="AM1761" s="99" t="s">
        <v>281</v>
      </c>
      <c r="AN1761" s="94" t="s">
        <v>276</v>
      </c>
      <c r="AO1761" s="102">
        <f t="shared" si="485"/>
        <v>7.2062084257206207</v>
      </c>
      <c r="AP1761" s="94" t="s">
        <v>276</v>
      </c>
      <c r="AQ1761" s="94" t="s">
        <v>276</v>
      </c>
      <c r="AR1761" s="94" t="s">
        <v>276</v>
      </c>
      <c r="AS1761" s="102">
        <f t="shared" si="486"/>
        <v>4.9346321456036915</v>
      </c>
      <c r="AT1761" s="94" t="s">
        <v>276</v>
      </c>
      <c r="AU1761" s="94" t="s">
        <v>276</v>
      </c>
      <c r="AV1761" s="94" t="s">
        <v>268</v>
      </c>
      <c r="AW1761" s="94" t="s">
        <v>276</v>
      </c>
      <c r="AX1761" s="101">
        <f t="shared" si="487"/>
        <v>1.4603334581161631</v>
      </c>
      <c r="AY1761" s="94" t="s">
        <v>276</v>
      </c>
      <c r="AZ1761" s="94" t="s">
        <v>276</v>
      </c>
      <c r="BA1761" s="94" t="s">
        <v>276</v>
      </c>
      <c r="BB1761" s="94" t="s">
        <v>282</v>
      </c>
      <c r="BC1761" s="94" t="s">
        <v>98</v>
      </c>
      <c r="BD1761" s="94" t="s">
        <v>98</v>
      </c>
      <c r="BE1761" s="94" t="s">
        <v>98</v>
      </c>
      <c r="BF1761" s="95"/>
      <c r="BG1761" s="95" t="s">
        <v>10364</v>
      </c>
      <c r="BH1761" s="9" t="s">
        <v>100</v>
      </c>
      <c r="BI1761" s="9" t="s">
        <v>100</v>
      </c>
      <c r="BJ1761" s="109"/>
      <c r="BN1761" s="109"/>
      <c r="BO1761" s="109"/>
    </row>
    <row r="1762" spans="1:67" s="124" customFormat="1" ht="91" hidden="1" x14ac:dyDescent="0.35">
      <c r="A1762" s="112">
        <v>4092</v>
      </c>
      <c r="B1762" s="112" t="s">
        <v>9799</v>
      </c>
      <c r="C1762" s="113" t="s">
        <v>62</v>
      </c>
      <c r="D1762" s="113" t="s">
        <v>10371</v>
      </c>
      <c r="E1762" s="112" t="s">
        <v>35</v>
      </c>
      <c r="F1762" s="112" t="s">
        <v>97</v>
      </c>
      <c r="G1762" s="112" t="s">
        <v>225</v>
      </c>
      <c r="H1762" s="112" t="s">
        <v>125</v>
      </c>
      <c r="I1762" s="112" t="s">
        <v>113</v>
      </c>
      <c r="J1762" s="113" t="s">
        <v>31</v>
      </c>
      <c r="K1762" s="112" t="s">
        <v>3811</v>
      </c>
      <c r="L1762" s="112" t="s">
        <v>276</v>
      </c>
      <c r="M1762" s="112" t="s">
        <v>276</v>
      </c>
      <c r="N1762" s="115" t="s">
        <v>276</v>
      </c>
      <c r="O1762" s="113" t="s">
        <v>276</v>
      </c>
      <c r="P1762" s="113" t="s">
        <v>239</v>
      </c>
      <c r="Q1762" s="142" t="s">
        <v>10220</v>
      </c>
      <c r="R1762" s="113" t="s">
        <v>276</v>
      </c>
      <c r="S1762" s="113" t="s">
        <v>276</v>
      </c>
      <c r="T1762" s="113" t="s">
        <v>276</v>
      </c>
      <c r="U1762" s="162" t="s">
        <v>1192</v>
      </c>
      <c r="V1762" s="112" t="s">
        <v>15</v>
      </c>
      <c r="W1762" s="112" t="s">
        <v>3032</v>
      </c>
      <c r="X1762" s="113" t="s">
        <v>207</v>
      </c>
      <c r="Y1762" s="118">
        <f t="shared" si="492"/>
        <v>19844</v>
      </c>
      <c r="Z1762" s="119">
        <f t="shared" si="493"/>
        <v>15604</v>
      </c>
      <c r="AA1762" s="113" t="s">
        <v>276</v>
      </c>
      <c r="AB1762" s="113" t="s">
        <v>276</v>
      </c>
      <c r="AC1762" s="113">
        <v>0</v>
      </c>
      <c r="AD1762" s="113" t="s">
        <v>10268</v>
      </c>
      <c r="AE1762" s="113">
        <v>0</v>
      </c>
      <c r="AF1762" s="113" t="s">
        <v>10268</v>
      </c>
      <c r="AG1762" s="113" t="s">
        <v>10372</v>
      </c>
      <c r="AH1762" s="113" t="s">
        <v>9269</v>
      </c>
      <c r="AI1762" s="119">
        <v>46</v>
      </c>
      <c r="AJ1762" s="119">
        <v>36</v>
      </c>
      <c r="AK1762" s="118">
        <f t="shared" si="494"/>
        <v>19844</v>
      </c>
      <c r="AL1762" s="119">
        <f t="shared" si="495"/>
        <v>15604</v>
      </c>
      <c r="AM1762" s="119" t="s">
        <v>281</v>
      </c>
      <c r="AN1762" s="112" t="s">
        <v>276</v>
      </c>
      <c r="AO1762" s="121">
        <f t="shared" si="485"/>
        <v>2.3180810320499901</v>
      </c>
      <c r="AP1762" s="112" t="s">
        <v>276</v>
      </c>
      <c r="AQ1762" s="112" t="s">
        <v>276</v>
      </c>
      <c r="AR1762" s="112" t="s">
        <v>276</v>
      </c>
      <c r="AS1762" s="121">
        <f t="shared" si="486"/>
        <v>2.3071007433991286</v>
      </c>
      <c r="AT1762" s="112" t="s">
        <v>276</v>
      </c>
      <c r="AU1762" s="112" t="s">
        <v>276</v>
      </c>
      <c r="AV1762" s="112" t="s">
        <v>268</v>
      </c>
      <c r="AW1762" s="112" t="s">
        <v>276</v>
      </c>
      <c r="AX1762" s="207">
        <f t="shared" si="487"/>
        <v>1.0047593451141124</v>
      </c>
      <c r="AY1762" s="112" t="s">
        <v>276</v>
      </c>
      <c r="AZ1762" s="112" t="s">
        <v>276</v>
      </c>
      <c r="BA1762" s="112" t="s">
        <v>276</v>
      </c>
      <c r="BB1762" s="112" t="s">
        <v>282</v>
      </c>
      <c r="BC1762" s="112" t="s">
        <v>98</v>
      </c>
      <c r="BD1762" s="112" t="s">
        <v>98</v>
      </c>
      <c r="BE1762" s="112" t="s">
        <v>98</v>
      </c>
      <c r="BF1762" s="113"/>
      <c r="BG1762" s="113" t="s">
        <v>10364</v>
      </c>
      <c r="BH1762" s="9" t="s">
        <v>100</v>
      </c>
      <c r="BI1762" s="9" t="s">
        <v>100</v>
      </c>
      <c r="BJ1762" s="123"/>
      <c r="BN1762" s="123"/>
      <c r="BO1762" s="123"/>
    </row>
    <row r="1763" spans="1:67" s="124" customFormat="1" ht="91" hidden="1" x14ac:dyDescent="0.35">
      <c r="A1763" s="112">
        <v>4092</v>
      </c>
      <c r="B1763" s="112" t="s">
        <v>9799</v>
      </c>
      <c r="C1763" s="113" t="s">
        <v>62</v>
      </c>
      <c r="D1763" s="113" t="s">
        <v>10373</v>
      </c>
      <c r="E1763" s="112" t="s">
        <v>35</v>
      </c>
      <c r="F1763" s="112" t="s">
        <v>97</v>
      </c>
      <c r="G1763" s="112" t="s">
        <v>225</v>
      </c>
      <c r="H1763" s="112" t="s">
        <v>125</v>
      </c>
      <c r="I1763" s="112" t="s">
        <v>113</v>
      </c>
      <c r="J1763" s="113" t="s">
        <v>31</v>
      </c>
      <c r="K1763" s="112" t="s">
        <v>3814</v>
      </c>
      <c r="L1763" s="112" t="s">
        <v>276</v>
      </c>
      <c r="M1763" s="112" t="s">
        <v>276</v>
      </c>
      <c r="N1763" s="115" t="s">
        <v>276</v>
      </c>
      <c r="O1763" s="113" t="s">
        <v>276</v>
      </c>
      <c r="P1763" s="113" t="s">
        <v>239</v>
      </c>
      <c r="Q1763" s="142" t="s">
        <v>10220</v>
      </c>
      <c r="R1763" s="113" t="s">
        <v>276</v>
      </c>
      <c r="S1763" s="113" t="s">
        <v>276</v>
      </c>
      <c r="T1763" s="113" t="s">
        <v>276</v>
      </c>
      <c r="U1763" s="162" t="s">
        <v>1192</v>
      </c>
      <c r="V1763" s="112" t="s">
        <v>15</v>
      </c>
      <c r="W1763" s="112" t="s">
        <v>3032</v>
      </c>
      <c r="X1763" s="113" t="s">
        <v>207</v>
      </c>
      <c r="Y1763" s="118">
        <f t="shared" si="492"/>
        <v>19844</v>
      </c>
      <c r="Z1763" s="119">
        <f t="shared" si="493"/>
        <v>15604</v>
      </c>
      <c r="AA1763" s="113" t="s">
        <v>276</v>
      </c>
      <c r="AB1763" s="113" t="s">
        <v>276</v>
      </c>
      <c r="AC1763" s="113">
        <v>0</v>
      </c>
      <c r="AD1763" s="113" t="s">
        <v>10268</v>
      </c>
      <c r="AE1763" s="113">
        <v>0</v>
      </c>
      <c r="AF1763" s="113" t="s">
        <v>10268</v>
      </c>
      <c r="AG1763" s="113" t="s">
        <v>10374</v>
      </c>
      <c r="AH1763" s="113" t="s">
        <v>9269</v>
      </c>
      <c r="AI1763" s="119">
        <v>25</v>
      </c>
      <c r="AJ1763" s="119">
        <v>32</v>
      </c>
      <c r="AK1763" s="118">
        <f t="shared" si="494"/>
        <v>19844</v>
      </c>
      <c r="AL1763" s="119">
        <f t="shared" si="495"/>
        <v>15604</v>
      </c>
      <c r="AM1763" s="119" t="s">
        <v>281</v>
      </c>
      <c r="AN1763" s="112" t="s">
        <v>276</v>
      </c>
      <c r="AO1763" s="121">
        <f t="shared" si="485"/>
        <v>1.2598266478532554</v>
      </c>
      <c r="AP1763" s="112" t="s">
        <v>276</v>
      </c>
      <c r="AQ1763" s="112" t="s">
        <v>276</v>
      </c>
      <c r="AR1763" s="112" t="s">
        <v>276</v>
      </c>
      <c r="AS1763" s="121">
        <f t="shared" si="486"/>
        <v>2.050756216354781</v>
      </c>
      <c r="AT1763" s="112" t="s">
        <v>276</v>
      </c>
      <c r="AU1763" s="112" t="s">
        <v>276</v>
      </c>
      <c r="AV1763" s="112" t="s">
        <v>268</v>
      </c>
      <c r="AW1763" s="112" t="s">
        <v>276</v>
      </c>
      <c r="AX1763" s="207">
        <f t="shared" si="487"/>
        <v>0.61432296915944362</v>
      </c>
      <c r="AY1763" s="112" t="s">
        <v>276</v>
      </c>
      <c r="AZ1763" s="112" t="s">
        <v>276</v>
      </c>
      <c r="BA1763" s="112" t="s">
        <v>276</v>
      </c>
      <c r="BB1763" s="112" t="s">
        <v>282</v>
      </c>
      <c r="BC1763" s="112" t="s">
        <v>98</v>
      </c>
      <c r="BD1763" s="112" t="s">
        <v>98</v>
      </c>
      <c r="BE1763" s="112" t="s">
        <v>98</v>
      </c>
      <c r="BF1763" s="113"/>
      <c r="BG1763" s="113" t="s">
        <v>10364</v>
      </c>
      <c r="BH1763" s="9" t="s">
        <v>100</v>
      </c>
      <c r="BI1763" s="9" t="s">
        <v>100</v>
      </c>
      <c r="BJ1763" s="123"/>
      <c r="BN1763" s="123"/>
      <c r="BO1763" s="123"/>
    </row>
    <row r="1764" spans="1:67" s="124" customFormat="1" ht="91" hidden="1" x14ac:dyDescent="0.35">
      <c r="A1764" s="112">
        <v>4092</v>
      </c>
      <c r="B1764" s="112" t="s">
        <v>9799</v>
      </c>
      <c r="C1764" s="113" t="s">
        <v>62</v>
      </c>
      <c r="D1764" s="113" t="s">
        <v>10375</v>
      </c>
      <c r="E1764" s="112" t="s">
        <v>35</v>
      </c>
      <c r="F1764" s="112" t="s">
        <v>97</v>
      </c>
      <c r="G1764" s="112" t="s">
        <v>225</v>
      </c>
      <c r="H1764" s="112" t="s">
        <v>125</v>
      </c>
      <c r="I1764" s="112" t="s">
        <v>113</v>
      </c>
      <c r="J1764" s="113" t="s">
        <v>31</v>
      </c>
      <c r="K1764" s="112" t="s">
        <v>10203</v>
      </c>
      <c r="L1764" s="112" t="s">
        <v>276</v>
      </c>
      <c r="M1764" s="112" t="s">
        <v>276</v>
      </c>
      <c r="N1764" s="115" t="s">
        <v>276</v>
      </c>
      <c r="O1764" s="113" t="s">
        <v>276</v>
      </c>
      <c r="P1764" s="113" t="s">
        <v>239</v>
      </c>
      <c r="Q1764" s="142" t="s">
        <v>10220</v>
      </c>
      <c r="R1764" s="113" t="s">
        <v>276</v>
      </c>
      <c r="S1764" s="113" t="s">
        <v>276</v>
      </c>
      <c r="T1764" s="113" t="s">
        <v>276</v>
      </c>
      <c r="U1764" s="162" t="s">
        <v>1192</v>
      </c>
      <c r="V1764" s="112" t="s">
        <v>15</v>
      </c>
      <c r="W1764" s="112" t="s">
        <v>3032</v>
      </c>
      <c r="X1764" s="113" t="s">
        <v>207</v>
      </c>
      <c r="Y1764" s="118">
        <f t="shared" si="492"/>
        <v>19844</v>
      </c>
      <c r="Z1764" s="119">
        <f t="shared" si="493"/>
        <v>15604</v>
      </c>
      <c r="AA1764" s="113" t="s">
        <v>276</v>
      </c>
      <c r="AB1764" s="113" t="s">
        <v>276</v>
      </c>
      <c r="AC1764" s="113">
        <v>0</v>
      </c>
      <c r="AD1764" s="113" t="s">
        <v>10268</v>
      </c>
      <c r="AE1764" s="113">
        <v>0</v>
      </c>
      <c r="AF1764" s="113" t="s">
        <v>10268</v>
      </c>
      <c r="AG1764" s="113" t="s">
        <v>10376</v>
      </c>
      <c r="AH1764" s="113" t="s">
        <v>9269</v>
      </c>
      <c r="AI1764" s="119">
        <v>14</v>
      </c>
      <c r="AJ1764" s="119">
        <v>7</v>
      </c>
      <c r="AK1764" s="118">
        <f t="shared" si="494"/>
        <v>19844</v>
      </c>
      <c r="AL1764" s="119">
        <f t="shared" si="495"/>
        <v>15604</v>
      </c>
      <c r="AM1764" s="119" t="s">
        <v>281</v>
      </c>
      <c r="AN1764" s="112" t="s">
        <v>276</v>
      </c>
      <c r="AO1764" s="121">
        <f t="shared" si="485"/>
        <v>0.70550292279782301</v>
      </c>
      <c r="AP1764" s="112" t="s">
        <v>276</v>
      </c>
      <c r="AQ1764" s="112" t="s">
        <v>276</v>
      </c>
      <c r="AR1764" s="112" t="s">
        <v>276</v>
      </c>
      <c r="AS1764" s="121">
        <f t="shared" si="486"/>
        <v>0.44860292232760829</v>
      </c>
      <c r="AT1764" s="112" t="s">
        <v>276</v>
      </c>
      <c r="AU1764" s="112" t="s">
        <v>276</v>
      </c>
      <c r="AV1764" s="112" t="s">
        <v>268</v>
      </c>
      <c r="AW1764" s="112" t="s">
        <v>276</v>
      </c>
      <c r="AX1764" s="207">
        <f t="shared" si="487"/>
        <v>1.5726668010481759</v>
      </c>
      <c r="AY1764" s="112" t="s">
        <v>276</v>
      </c>
      <c r="AZ1764" s="112" t="s">
        <v>276</v>
      </c>
      <c r="BA1764" s="112" t="s">
        <v>276</v>
      </c>
      <c r="BB1764" s="112" t="s">
        <v>282</v>
      </c>
      <c r="BC1764" s="112" t="s">
        <v>98</v>
      </c>
      <c r="BD1764" s="112" t="s">
        <v>98</v>
      </c>
      <c r="BE1764" s="112" t="s">
        <v>98</v>
      </c>
      <c r="BF1764" s="113"/>
      <c r="BG1764" s="113" t="s">
        <v>10364</v>
      </c>
      <c r="BH1764" s="9" t="s">
        <v>100</v>
      </c>
      <c r="BI1764" s="9" t="s">
        <v>100</v>
      </c>
      <c r="BJ1764" s="123"/>
      <c r="BN1764" s="123"/>
      <c r="BO1764" s="123"/>
    </row>
    <row r="1765" spans="1:67" s="110" customFormat="1" ht="91" hidden="1" x14ac:dyDescent="0.35">
      <c r="A1765" s="94">
        <v>4092</v>
      </c>
      <c r="B1765" s="94" t="s">
        <v>9799</v>
      </c>
      <c r="C1765" s="95" t="s">
        <v>62</v>
      </c>
      <c r="D1765" s="95" t="s">
        <v>10377</v>
      </c>
      <c r="E1765" s="94" t="s">
        <v>35</v>
      </c>
      <c r="F1765" s="94" t="s">
        <v>97</v>
      </c>
      <c r="G1765" s="94" t="s">
        <v>225</v>
      </c>
      <c r="H1765" s="94" t="s">
        <v>125</v>
      </c>
      <c r="I1765" s="94" t="s">
        <v>113</v>
      </c>
      <c r="J1765" s="95" t="s">
        <v>31</v>
      </c>
      <c r="K1765" s="503" t="s">
        <v>3821</v>
      </c>
      <c r="L1765" s="94" t="s">
        <v>276</v>
      </c>
      <c r="M1765" s="94" t="s">
        <v>276</v>
      </c>
      <c r="N1765" s="105" t="s">
        <v>276</v>
      </c>
      <c r="O1765" s="95" t="s">
        <v>276</v>
      </c>
      <c r="P1765" s="95" t="s">
        <v>239</v>
      </c>
      <c r="Q1765" s="140" t="s">
        <v>10220</v>
      </c>
      <c r="R1765" s="95" t="s">
        <v>276</v>
      </c>
      <c r="S1765" s="95" t="s">
        <v>276</v>
      </c>
      <c r="T1765" s="95" t="s">
        <v>276</v>
      </c>
      <c r="U1765" s="163" t="s">
        <v>1192</v>
      </c>
      <c r="V1765" s="94" t="s">
        <v>15</v>
      </c>
      <c r="W1765" s="94" t="s">
        <v>3032</v>
      </c>
      <c r="X1765" s="95" t="s">
        <v>207</v>
      </c>
      <c r="Y1765" s="98">
        <f t="shared" si="492"/>
        <v>19844</v>
      </c>
      <c r="Z1765" s="99">
        <f t="shared" si="493"/>
        <v>15604</v>
      </c>
      <c r="AA1765" s="95" t="s">
        <v>276</v>
      </c>
      <c r="AB1765" s="95" t="s">
        <v>276</v>
      </c>
      <c r="AC1765" s="95">
        <v>0</v>
      </c>
      <c r="AD1765" s="95" t="s">
        <v>10268</v>
      </c>
      <c r="AE1765" s="95">
        <v>0</v>
      </c>
      <c r="AF1765" s="95" t="s">
        <v>10268</v>
      </c>
      <c r="AG1765" s="95" t="s">
        <v>10378</v>
      </c>
      <c r="AH1765" s="95" t="s">
        <v>9269</v>
      </c>
      <c r="AI1765" s="99">
        <f>AI1764+AI1763+AI1762</f>
        <v>85</v>
      </c>
      <c r="AJ1765" s="99">
        <f>AJ1764+AJ1763+AJ1762</f>
        <v>75</v>
      </c>
      <c r="AK1765" s="98">
        <f t="shared" si="494"/>
        <v>19844</v>
      </c>
      <c r="AL1765" s="99">
        <f t="shared" si="495"/>
        <v>15604</v>
      </c>
      <c r="AM1765" s="99" t="s">
        <v>281</v>
      </c>
      <c r="AN1765" s="94" t="s">
        <v>276</v>
      </c>
      <c r="AO1765" s="102">
        <f t="shared" si="485"/>
        <v>4.2834106027010685</v>
      </c>
      <c r="AP1765" s="94" t="s">
        <v>276</v>
      </c>
      <c r="AQ1765" s="94" t="s">
        <v>276</v>
      </c>
      <c r="AR1765" s="94" t="s">
        <v>276</v>
      </c>
      <c r="AS1765" s="102">
        <f t="shared" si="486"/>
        <v>4.8064598820815174</v>
      </c>
      <c r="AT1765" s="94" t="s">
        <v>276</v>
      </c>
      <c r="AU1765" s="94" t="s">
        <v>276</v>
      </c>
      <c r="AV1765" s="94" t="s">
        <v>268</v>
      </c>
      <c r="AW1765" s="94" t="s">
        <v>276</v>
      </c>
      <c r="AX1765" s="101">
        <f t="shared" si="487"/>
        <v>0.89117785392729965</v>
      </c>
      <c r="AY1765" s="94" t="s">
        <v>276</v>
      </c>
      <c r="AZ1765" s="94" t="s">
        <v>276</v>
      </c>
      <c r="BA1765" s="94" t="s">
        <v>276</v>
      </c>
      <c r="BB1765" s="94" t="s">
        <v>282</v>
      </c>
      <c r="BC1765" s="94" t="s">
        <v>98</v>
      </c>
      <c r="BD1765" s="94" t="s">
        <v>98</v>
      </c>
      <c r="BE1765" s="94" t="s">
        <v>98</v>
      </c>
      <c r="BF1765" s="95"/>
      <c r="BG1765" s="95" t="s">
        <v>10364</v>
      </c>
      <c r="BH1765" s="9" t="s">
        <v>100</v>
      </c>
      <c r="BI1765" s="9" t="s">
        <v>100</v>
      </c>
      <c r="BJ1765" s="109"/>
      <c r="BN1765" s="109"/>
      <c r="BO1765" s="109"/>
    </row>
    <row r="1766" spans="1:67" s="124" customFormat="1" ht="91" hidden="1" x14ac:dyDescent="0.35">
      <c r="A1766" s="112">
        <v>4092</v>
      </c>
      <c r="B1766" s="112" t="s">
        <v>9799</v>
      </c>
      <c r="C1766" s="113" t="s">
        <v>62</v>
      </c>
      <c r="D1766" s="113" t="s">
        <v>10379</v>
      </c>
      <c r="E1766" s="112" t="s">
        <v>35</v>
      </c>
      <c r="F1766" s="112" t="s">
        <v>97</v>
      </c>
      <c r="G1766" s="112" t="s">
        <v>225</v>
      </c>
      <c r="H1766" s="112" t="s">
        <v>125</v>
      </c>
      <c r="I1766" s="112" t="s">
        <v>113</v>
      </c>
      <c r="J1766" s="113" t="s">
        <v>117</v>
      </c>
      <c r="K1766" s="112" t="s">
        <v>3830</v>
      </c>
      <c r="L1766" s="112" t="s">
        <v>276</v>
      </c>
      <c r="M1766" s="112" t="s">
        <v>276</v>
      </c>
      <c r="N1766" s="113" t="s">
        <v>276</v>
      </c>
      <c r="O1766" s="113" t="s">
        <v>276</v>
      </c>
      <c r="P1766" s="113" t="s">
        <v>239</v>
      </c>
      <c r="Q1766" s="142" t="s">
        <v>10220</v>
      </c>
      <c r="R1766" s="113" t="s">
        <v>276</v>
      </c>
      <c r="S1766" s="113" t="s">
        <v>276</v>
      </c>
      <c r="T1766" s="113" t="s">
        <v>276</v>
      </c>
      <c r="U1766" s="162" t="s">
        <v>5401</v>
      </c>
      <c r="V1766" s="112" t="s">
        <v>15</v>
      </c>
      <c r="W1766" s="112" t="s">
        <v>9271</v>
      </c>
      <c r="X1766" s="113" t="s">
        <v>207</v>
      </c>
      <c r="Y1766" s="118">
        <f>29007+28229</f>
        <v>57236</v>
      </c>
      <c r="Z1766" s="119">
        <f>13551+26830</f>
        <v>40381</v>
      </c>
      <c r="AA1766" s="113" t="s">
        <v>276</v>
      </c>
      <c r="AB1766" s="113" t="s">
        <v>276</v>
      </c>
      <c r="AC1766" s="328">
        <v>70</v>
      </c>
      <c r="AD1766" s="113" t="s">
        <v>10258</v>
      </c>
      <c r="AE1766" s="328">
        <v>63</v>
      </c>
      <c r="AF1766" s="113" t="s">
        <v>10258</v>
      </c>
      <c r="AG1766" s="113" t="s">
        <v>10380</v>
      </c>
      <c r="AH1766" s="113" t="s">
        <v>9273</v>
      </c>
      <c r="AI1766" s="119">
        <v>708</v>
      </c>
      <c r="AJ1766" s="119">
        <v>480</v>
      </c>
      <c r="AK1766" s="118">
        <f t="shared" ref="AK1766:AK1767" si="496">29007+28229</f>
        <v>57236</v>
      </c>
      <c r="AL1766" s="119">
        <f t="shared" ref="AL1766:AL1767" si="497">13551+26830</f>
        <v>40381</v>
      </c>
      <c r="AM1766" s="119" t="s">
        <v>281</v>
      </c>
      <c r="AN1766" s="112" t="s">
        <v>276</v>
      </c>
      <c r="AO1766" s="121">
        <f t="shared" si="485"/>
        <v>12.369837165420364</v>
      </c>
      <c r="AP1766" s="112" t="s">
        <v>276</v>
      </c>
      <c r="AQ1766" s="112" t="s">
        <v>276</v>
      </c>
      <c r="AR1766" s="112" t="s">
        <v>276</v>
      </c>
      <c r="AS1766" s="121">
        <f t="shared" si="486"/>
        <v>11.886778435402789</v>
      </c>
      <c r="AT1766" s="112" t="s">
        <v>276</v>
      </c>
      <c r="AU1766" s="112" t="s">
        <v>276</v>
      </c>
      <c r="AV1766" s="112" t="s">
        <v>268</v>
      </c>
      <c r="AW1766" s="112" t="s">
        <v>276</v>
      </c>
      <c r="AX1766" s="207">
        <f t="shared" si="487"/>
        <v>1.0406383220350828</v>
      </c>
      <c r="AY1766" s="112" t="s">
        <v>276</v>
      </c>
      <c r="AZ1766" s="112" t="s">
        <v>276</v>
      </c>
      <c r="BA1766" s="112" t="s">
        <v>276</v>
      </c>
      <c r="BB1766" s="112" t="s">
        <v>282</v>
      </c>
      <c r="BC1766" s="112" t="s">
        <v>98</v>
      </c>
      <c r="BD1766" s="112" t="s">
        <v>98</v>
      </c>
      <c r="BE1766" s="112" t="s">
        <v>98</v>
      </c>
      <c r="BF1766" s="113" t="s">
        <v>1029</v>
      </c>
      <c r="BG1766" s="113" t="s">
        <v>10381</v>
      </c>
      <c r="BH1766" s="9" t="s">
        <v>100</v>
      </c>
      <c r="BI1766" s="9" t="s">
        <v>100</v>
      </c>
      <c r="BJ1766" s="123"/>
      <c r="BN1766" s="123"/>
      <c r="BO1766" s="123"/>
    </row>
    <row r="1767" spans="1:67" s="124" customFormat="1" ht="104" hidden="1" x14ac:dyDescent="0.35">
      <c r="A1767" s="112">
        <v>4092</v>
      </c>
      <c r="B1767" s="112" t="s">
        <v>9799</v>
      </c>
      <c r="C1767" s="113" t="s">
        <v>62</v>
      </c>
      <c r="D1767" s="113" t="s">
        <v>10382</v>
      </c>
      <c r="E1767" s="112" t="s">
        <v>35</v>
      </c>
      <c r="F1767" s="112" t="s">
        <v>97</v>
      </c>
      <c r="G1767" s="112" t="s">
        <v>225</v>
      </c>
      <c r="H1767" s="112" t="s">
        <v>125</v>
      </c>
      <c r="I1767" s="112" t="s">
        <v>113</v>
      </c>
      <c r="J1767" s="113" t="s">
        <v>117</v>
      </c>
      <c r="K1767" s="113" t="s">
        <v>10064</v>
      </c>
      <c r="L1767" s="112" t="s">
        <v>276</v>
      </c>
      <c r="M1767" s="112" t="s">
        <v>276</v>
      </c>
      <c r="N1767" s="113" t="s">
        <v>276</v>
      </c>
      <c r="O1767" s="113" t="s">
        <v>276</v>
      </c>
      <c r="P1767" s="113" t="s">
        <v>239</v>
      </c>
      <c r="Q1767" s="142" t="s">
        <v>10220</v>
      </c>
      <c r="R1767" s="113" t="s">
        <v>276</v>
      </c>
      <c r="S1767" s="113" t="s">
        <v>276</v>
      </c>
      <c r="T1767" s="113" t="s">
        <v>276</v>
      </c>
      <c r="U1767" s="162" t="s">
        <v>5401</v>
      </c>
      <c r="V1767" s="112" t="s">
        <v>15</v>
      </c>
      <c r="W1767" s="112" t="s">
        <v>9271</v>
      </c>
      <c r="X1767" s="113" t="s">
        <v>207</v>
      </c>
      <c r="Y1767" s="118">
        <f>29007+28229</f>
        <v>57236</v>
      </c>
      <c r="Z1767" s="119">
        <f>13551+26830</f>
        <v>40381</v>
      </c>
      <c r="AA1767" s="113" t="s">
        <v>276</v>
      </c>
      <c r="AB1767" s="113" t="s">
        <v>276</v>
      </c>
      <c r="AC1767" s="328">
        <v>70</v>
      </c>
      <c r="AD1767" s="113" t="s">
        <v>10258</v>
      </c>
      <c r="AE1767" s="328">
        <v>63</v>
      </c>
      <c r="AF1767" s="113" t="s">
        <v>10258</v>
      </c>
      <c r="AG1767" s="113" t="s">
        <v>10359</v>
      </c>
      <c r="AH1767" s="113" t="s">
        <v>9273</v>
      </c>
      <c r="AI1767" s="119">
        <v>297</v>
      </c>
      <c r="AJ1767" s="119">
        <v>300</v>
      </c>
      <c r="AK1767" s="118">
        <f t="shared" si="496"/>
        <v>57236</v>
      </c>
      <c r="AL1767" s="119">
        <f t="shared" si="497"/>
        <v>40381</v>
      </c>
      <c r="AM1767" s="119" t="s">
        <v>281</v>
      </c>
      <c r="AN1767" s="112" t="s">
        <v>276</v>
      </c>
      <c r="AO1767" s="121">
        <f t="shared" si="485"/>
        <v>5.1890418617653227</v>
      </c>
      <c r="AP1767" s="112" t="s">
        <v>276</v>
      </c>
      <c r="AQ1767" s="112" t="s">
        <v>276</v>
      </c>
      <c r="AR1767" s="112" t="s">
        <v>276</v>
      </c>
      <c r="AS1767" s="121">
        <f t="shared" si="486"/>
        <v>7.4292365221267431</v>
      </c>
      <c r="AT1767" s="112" t="s">
        <v>276</v>
      </c>
      <c r="AU1767" s="112" t="s">
        <v>276</v>
      </c>
      <c r="AV1767" s="112" t="s">
        <v>268</v>
      </c>
      <c r="AW1767" s="112" t="s">
        <v>276</v>
      </c>
      <c r="AX1767" s="207">
        <f t="shared" si="487"/>
        <v>0.69846233139981828</v>
      </c>
      <c r="AY1767" s="112" t="s">
        <v>276</v>
      </c>
      <c r="AZ1767" s="112" t="s">
        <v>276</v>
      </c>
      <c r="BA1767" s="112" t="s">
        <v>276</v>
      </c>
      <c r="BB1767" s="112" t="s">
        <v>282</v>
      </c>
      <c r="BC1767" s="112" t="s">
        <v>98</v>
      </c>
      <c r="BD1767" s="112" t="s">
        <v>98</v>
      </c>
      <c r="BE1767" s="112" t="s">
        <v>98</v>
      </c>
      <c r="BF1767" s="113" t="s">
        <v>1029</v>
      </c>
      <c r="BG1767" s="113" t="s">
        <v>10381</v>
      </c>
      <c r="BH1767" s="9" t="s">
        <v>100</v>
      </c>
      <c r="BI1767" s="9" t="s">
        <v>100</v>
      </c>
      <c r="BJ1767" s="123"/>
      <c r="BN1767" s="123"/>
      <c r="BO1767" s="123"/>
    </row>
    <row r="1768" spans="1:67" s="110" customFormat="1" ht="91" hidden="1" x14ac:dyDescent="0.35">
      <c r="A1768" s="94">
        <v>4092</v>
      </c>
      <c r="B1768" s="94" t="s">
        <v>9799</v>
      </c>
      <c r="C1768" s="95" t="s">
        <v>62</v>
      </c>
      <c r="D1768" s="95" t="s">
        <v>10383</v>
      </c>
      <c r="E1768" s="94" t="s">
        <v>35</v>
      </c>
      <c r="F1768" s="94" t="s">
        <v>97</v>
      </c>
      <c r="G1768" s="94" t="s">
        <v>225</v>
      </c>
      <c r="H1768" s="94" t="s">
        <v>125</v>
      </c>
      <c r="I1768" s="94" t="s">
        <v>113</v>
      </c>
      <c r="J1768" s="95" t="s">
        <v>117</v>
      </c>
      <c r="K1768" s="94" t="s">
        <v>3830</v>
      </c>
      <c r="L1768" s="94" t="s">
        <v>276</v>
      </c>
      <c r="M1768" s="94" t="s">
        <v>276</v>
      </c>
      <c r="N1768" s="95" t="s">
        <v>276</v>
      </c>
      <c r="O1768" s="95" t="s">
        <v>276</v>
      </c>
      <c r="P1768" s="95" t="s">
        <v>239</v>
      </c>
      <c r="Q1768" s="140" t="s">
        <v>10220</v>
      </c>
      <c r="R1768" s="95" t="s">
        <v>276</v>
      </c>
      <c r="S1768" s="95" t="s">
        <v>276</v>
      </c>
      <c r="T1768" s="95" t="s">
        <v>276</v>
      </c>
      <c r="U1768" s="163" t="s">
        <v>5401</v>
      </c>
      <c r="V1768" s="94" t="s">
        <v>15</v>
      </c>
      <c r="W1768" s="94" t="s">
        <v>9271</v>
      </c>
      <c r="X1768" s="95" t="s">
        <v>207</v>
      </c>
      <c r="Y1768" s="98">
        <f t="shared" ref="Y1768:Y1769" si="498">29007+28229</f>
        <v>57236</v>
      </c>
      <c r="Z1768" s="99">
        <f t="shared" ref="Z1768:Z1769" si="499">13551+26830</f>
        <v>40381</v>
      </c>
      <c r="AA1768" s="95" t="s">
        <v>276</v>
      </c>
      <c r="AB1768" s="95" t="s">
        <v>276</v>
      </c>
      <c r="AC1768" s="329">
        <v>70</v>
      </c>
      <c r="AD1768" s="95" t="s">
        <v>10258</v>
      </c>
      <c r="AE1768" s="329">
        <v>63</v>
      </c>
      <c r="AF1768" s="95" t="s">
        <v>10258</v>
      </c>
      <c r="AG1768" s="95" t="s">
        <v>10380</v>
      </c>
      <c r="AH1768" s="95" t="s">
        <v>10384</v>
      </c>
      <c r="AI1768" s="99">
        <v>708</v>
      </c>
      <c r="AJ1768" s="99">
        <v>480</v>
      </c>
      <c r="AK1768" s="98" t="s">
        <v>276</v>
      </c>
      <c r="AL1768" s="98" t="s">
        <v>276</v>
      </c>
      <c r="AM1768" s="99" t="s">
        <v>4702</v>
      </c>
      <c r="AN1768" s="94">
        <v>107.4</v>
      </c>
      <c r="AO1768" s="102" t="s">
        <v>98</v>
      </c>
      <c r="AP1768" s="94" t="s">
        <v>276</v>
      </c>
      <c r="AQ1768" s="94" t="s">
        <v>276</v>
      </c>
      <c r="AR1768" s="94">
        <v>103</v>
      </c>
      <c r="AS1768" s="102" t="s">
        <v>98</v>
      </c>
      <c r="AT1768" s="94" t="s">
        <v>276</v>
      </c>
      <c r="AU1768" s="94" t="s">
        <v>276</v>
      </c>
      <c r="AV1768" s="94" t="s">
        <v>269</v>
      </c>
      <c r="AW1768" s="94" t="s">
        <v>276</v>
      </c>
      <c r="AX1768" s="101">
        <f>AN1768/AR1768</f>
        <v>1.0427184466019419</v>
      </c>
      <c r="AY1768" s="94" t="s">
        <v>276</v>
      </c>
      <c r="AZ1768" s="94" t="s">
        <v>276</v>
      </c>
      <c r="BA1768" s="94" t="s">
        <v>276</v>
      </c>
      <c r="BB1768" s="94" t="s">
        <v>282</v>
      </c>
      <c r="BC1768" s="94" t="s">
        <v>98</v>
      </c>
      <c r="BD1768" s="94" t="s">
        <v>98</v>
      </c>
      <c r="BE1768" s="94" t="s">
        <v>98</v>
      </c>
      <c r="BF1768" s="95" t="s">
        <v>1029</v>
      </c>
      <c r="BG1768" s="95" t="s">
        <v>10381</v>
      </c>
      <c r="BH1768" s="9" t="s">
        <v>100</v>
      </c>
      <c r="BI1768" s="9" t="s">
        <v>100</v>
      </c>
      <c r="BJ1768" s="109"/>
      <c r="BN1768" s="109"/>
      <c r="BO1768" s="109"/>
    </row>
    <row r="1769" spans="1:67" s="110" customFormat="1" ht="104" hidden="1" x14ac:dyDescent="0.35">
      <c r="A1769" s="94">
        <v>4092</v>
      </c>
      <c r="B1769" s="94" t="s">
        <v>9799</v>
      </c>
      <c r="C1769" s="95" t="s">
        <v>62</v>
      </c>
      <c r="D1769" s="95" t="s">
        <v>10385</v>
      </c>
      <c r="E1769" s="94" t="s">
        <v>35</v>
      </c>
      <c r="F1769" s="94" t="s">
        <v>97</v>
      </c>
      <c r="G1769" s="94" t="s">
        <v>225</v>
      </c>
      <c r="H1769" s="94" t="s">
        <v>125</v>
      </c>
      <c r="I1769" s="94" t="s">
        <v>113</v>
      </c>
      <c r="J1769" s="95" t="s">
        <v>117</v>
      </c>
      <c r="K1769" s="95" t="s">
        <v>10064</v>
      </c>
      <c r="L1769" s="94" t="s">
        <v>276</v>
      </c>
      <c r="M1769" s="94" t="s">
        <v>276</v>
      </c>
      <c r="N1769" s="95" t="s">
        <v>276</v>
      </c>
      <c r="O1769" s="95" t="s">
        <v>276</v>
      </c>
      <c r="P1769" s="95" t="s">
        <v>239</v>
      </c>
      <c r="Q1769" s="140" t="s">
        <v>10220</v>
      </c>
      <c r="R1769" s="95" t="s">
        <v>276</v>
      </c>
      <c r="S1769" s="95" t="s">
        <v>276</v>
      </c>
      <c r="T1769" s="95" t="s">
        <v>276</v>
      </c>
      <c r="U1769" s="163" t="s">
        <v>5401</v>
      </c>
      <c r="V1769" s="94" t="s">
        <v>15</v>
      </c>
      <c r="W1769" s="94" t="s">
        <v>9271</v>
      </c>
      <c r="X1769" s="95" t="s">
        <v>207</v>
      </c>
      <c r="Y1769" s="98">
        <f t="shared" si="498"/>
        <v>57236</v>
      </c>
      <c r="Z1769" s="99">
        <f t="shared" si="499"/>
        <v>40381</v>
      </c>
      <c r="AA1769" s="95" t="s">
        <v>276</v>
      </c>
      <c r="AB1769" s="95" t="s">
        <v>276</v>
      </c>
      <c r="AC1769" s="329">
        <v>70</v>
      </c>
      <c r="AD1769" s="95" t="s">
        <v>10258</v>
      </c>
      <c r="AE1769" s="329">
        <v>63</v>
      </c>
      <c r="AF1769" s="95" t="s">
        <v>10258</v>
      </c>
      <c r="AG1769" s="95" t="s">
        <v>10386</v>
      </c>
      <c r="AH1769" s="95" t="s">
        <v>10384</v>
      </c>
      <c r="AI1769" s="99">
        <v>297</v>
      </c>
      <c r="AJ1769" s="99">
        <v>300</v>
      </c>
      <c r="AK1769" s="98" t="s">
        <v>276</v>
      </c>
      <c r="AL1769" s="98" t="s">
        <v>276</v>
      </c>
      <c r="AM1769" s="99" t="s">
        <v>4702</v>
      </c>
      <c r="AN1769" s="94">
        <v>45.1</v>
      </c>
      <c r="AO1769" s="102" t="s">
        <v>98</v>
      </c>
      <c r="AP1769" s="94" t="s">
        <v>276</v>
      </c>
      <c r="AQ1769" s="94" t="s">
        <v>276</v>
      </c>
      <c r="AR1769" s="94">
        <v>64.400000000000006</v>
      </c>
      <c r="AS1769" s="102" t="s">
        <v>98</v>
      </c>
      <c r="AT1769" s="94" t="s">
        <v>276</v>
      </c>
      <c r="AU1769" s="94" t="s">
        <v>276</v>
      </c>
      <c r="AV1769" s="94" t="s">
        <v>269</v>
      </c>
      <c r="AW1769" s="94" t="s">
        <v>276</v>
      </c>
      <c r="AX1769" s="101">
        <f>AN1769/AR1769</f>
        <v>0.70031055900621109</v>
      </c>
      <c r="AY1769" s="94" t="s">
        <v>276</v>
      </c>
      <c r="AZ1769" s="94" t="s">
        <v>276</v>
      </c>
      <c r="BA1769" s="94" t="s">
        <v>276</v>
      </c>
      <c r="BB1769" s="94" t="s">
        <v>282</v>
      </c>
      <c r="BC1769" s="94" t="s">
        <v>98</v>
      </c>
      <c r="BD1769" s="94" t="s">
        <v>98</v>
      </c>
      <c r="BE1769" s="94" t="s">
        <v>98</v>
      </c>
      <c r="BF1769" s="95" t="s">
        <v>1029</v>
      </c>
      <c r="BG1769" s="95" t="s">
        <v>10381</v>
      </c>
      <c r="BH1769" s="9" t="s">
        <v>100</v>
      </c>
      <c r="BI1769" s="9" t="s">
        <v>100</v>
      </c>
      <c r="BJ1769" s="109"/>
      <c r="BN1769" s="109"/>
      <c r="BO1769" s="109"/>
    </row>
    <row r="1770" spans="1:67" s="124" customFormat="1" ht="78" hidden="1" x14ac:dyDescent="0.35">
      <c r="A1770" s="112">
        <v>4092</v>
      </c>
      <c r="B1770" s="112" t="s">
        <v>9799</v>
      </c>
      <c r="C1770" s="113" t="s">
        <v>62</v>
      </c>
      <c r="D1770" s="113" t="s">
        <v>10387</v>
      </c>
      <c r="E1770" s="112" t="s">
        <v>35</v>
      </c>
      <c r="F1770" s="112" t="s">
        <v>97</v>
      </c>
      <c r="G1770" s="112" t="s">
        <v>225</v>
      </c>
      <c r="H1770" s="112" t="s">
        <v>125</v>
      </c>
      <c r="I1770" s="112" t="s">
        <v>113</v>
      </c>
      <c r="J1770" s="113" t="s">
        <v>31</v>
      </c>
      <c r="K1770" s="112" t="s">
        <v>3801</v>
      </c>
      <c r="L1770" s="112" t="s">
        <v>276</v>
      </c>
      <c r="M1770" s="112" t="s">
        <v>276</v>
      </c>
      <c r="N1770" s="115" t="s">
        <v>276</v>
      </c>
      <c r="O1770" s="113" t="s">
        <v>276</v>
      </c>
      <c r="P1770" s="113" t="s">
        <v>239</v>
      </c>
      <c r="Q1770" s="142" t="s">
        <v>10220</v>
      </c>
      <c r="R1770" s="113" t="s">
        <v>276</v>
      </c>
      <c r="S1770" s="113" t="s">
        <v>276</v>
      </c>
      <c r="T1770" s="113" t="s">
        <v>276</v>
      </c>
      <c r="U1770" s="162" t="s">
        <v>5401</v>
      </c>
      <c r="V1770" s="112" t="s">
        <v>15</v>
      </c>
      <c r="W1770" s="112" t="s">
        <v>9271</v>
      </c>
      <c r="X1770" s="113" t="s">
        <v>207</v>
      </c>
      <c r="Y1770" s="118">
        <f>29007+28229</f>
        <v>57236</v>
      </c>
      <c r="Z1770" s="119">
        <f>13551+26830</f>
        <v>40381</v>
      </c>
      <c r="AA1770" s="113" t="s">
        <v>276</v>
      </c>
      <c r="AB1770" s="113" t="s">
        <v>276</v>
      </c>
      <c r="AC1770" s="113">
        <v>2</v>
      </c>
      <c r="AD1770" s="113" t="s">
        <v>10268</v>
      </c>
      <c r="AE1770" s="113">
        <v>3</v>
      </c>
      <c r="AF1770" s="113" t="s">
        <v>10268</v>
      </c>
      <c r="AG1770" s="113" t="s">
        <v>10388</v>
      </c>
      <c r="AH1770" s="113" t="s">
        <v>9273</v>
      </c>
      <c r="AI1770" s="119">
        <v>209</v>
      </c>
      <c r="AJ1770" s="119">
        <v>86</v>
      </c>
      <c r="AK1770" s="118">
        <f t="shared" ref="AK1770:AK1772" si="500">29007+28229</f>
        <v>57236</v>
      </c>
      <c r="AL1770" s="119">
        <f t="shared" ref="AL1770:AL1772" si="501">13551+26830</f>
        <v>40381</v>
      </c>
      <c r="AM1770" s="119" t="s">
        <v>281</v>
      </c>
      <c r="AN1770" s="112" t="s">
        <v>276</v>
      </c>
      <c r="AO1770" s="121">
        <f t="shared" ref="AO1770:AO1786" si="502">AI1770*1000/AK1770</f>
        <v>3.6515479767978194</v>
      </c>
      <c r="AP1770" s="112" t="s">
        <v>276</v>
      </c>
      <c r="AQ1770" s="112" t="s">
        <v>276</v>
      </c>
      <c r="AR1770" s="112" t="s">
        <v>276</v>
      </c>
      <c r="AS1770" s="121">
        <f t="shared" ref="AS1770:AS1785" si="503">AJ1770*1000/AL1770</f>
        <v>2.1297144696763328</v>
      </c>
      <c r="AT1770" s="112" t="s">
        <v>276</v>
      </c>
      <c r="AU1770" s="112" t="s">
        <v>276</v>
      </c>
      <c r="AV1770" s="112" t="s">
        <v>268</v>
      </c>
      <c r="AW1770" s="112" t="s">
        <v>276</v>
      </c>
      <c r="AX1770" s="207">
        <f t="shared" ref="AX1770:AX1785" si="504">AO1770/AS1770</f>
        <v>1.7145716145473575</v>
      </c>
      <c r="AY1770" s="112" t="s">
        <v>276</v>
      </c>
      <c r="AZ1770" s="112" t="s">
        <v>276</v>
      </c>
      <c r="BA1770" s="112" t="s">
        <v>276</v>
      </c>
      <c r="BB1770" s="112" t="s">
        <v>282</v>
      </c>
      <c r="BC1770" s="112" t="s">
        <v>98</v>
      </c>
      <c r="BD1770" s="112" t="s">
        <v>98</v>
      </c>
      <c r="BE1770" s="112" t="s">
        <v>98</v>
      </c>
      <c r="BF1770" s="113" t="s">
        <v>1029</v>
      </c>
      <c r="BG1770" s="113" t="s">
        <v>10389</v>
      </c>
      <c r="BH1770" s="9" t="s">
        <v>100</v>
      </c>
      <c r="BI1770" s="9" t="s">
        <v>100</v>
      </c>
      <c r="BJ1770" s="123"/>
      <c r="BN1770" s="123"/>
      <c r="BO1770" s="123"/>
    </row>
    <row r="1771" spans="1:67" s="124" customFormat="1" ht="78" hidden="1" x14ac:dyDescent="0.35">
      <c r="A1771" s="112">
        <v>4092</v>
      </c>
      <c r="B1771" s="112" t="s">
        <v>9799</v>
      </c>
      <c r="C1771" s="113" t="s">
        <v>62</v>
      </c>
      <c r="D1771" s="113" t="s">
        <v>10390</v>
      </c>
      <c r="E1771" s="112" t="s">
        <v>35</v>
      </c>
      <c r="F1771" s="112" t="s">
        <v>97</v>
      </c>
      <c r="G1771" s="112" t="s">
        <v>225</v>
      </c>
      <c r="H1771" s="112" t="s">
        <v>125</v>
      </c>
      <c r="I1771" s="112" t="s">
        <v>113</v>
      </c>
      <c r="J1771" s="113" t="s">
        <v>31</v>
      </c>
      <c r="K1771" s="112" t="s">
        <v>3805</v>
      </c>
      <c r="L1771" s="112" t="s">
        <v>276</v>
      </c>
      <c r="M1771" s="112" t="s">
        <v>276</v>
      </c>
      <c r="N1771" s="115" t="s">
        <v>276</v>
      </c>
      <c r="O1771" s="113" t="s">
        <v>276</v>
      </c>
      <c r="P1771" s="113" t="s">
        <v>239</v>
      </c>
      <c r="Q1771" s="142" t="s">
        <v>10220</v>
      </c>
      <c r="R1771" s="113" t="s">
        <v>276</v>
      </c>
      <c r="S1771" s="113" t="s">
        <v>276</v>
      </c>
      <c r="T1771" s="113" t="s">
        <v>276</v>
      </c>
      <c r="U1771" s="162" t="s">
        <v>5401</v>
      </c>
      <c r="V1771" s="112" t="s">
        <v>15</v>
      </c>
      <c r="W1771" s="112" t="s">
        <v>9271</v>
      </c>
      <c r="X1771" s="113" t="s">
        <v>207</v>
      </c>
      <c r="Y1771" s="118">
        <f t="shared" ref="Y1771:Y1772" si="505">29007+28229</f>
        <v>57236</v>
      </c>
      <c r="Z1771" s="119">
        <f t="shared" ref="Z1771:Z1772" si="506">13551+26830</f>
        <v>40381</v>
      </c>
      <c r="AA1771" s="113" t="s">
        <v>276</v>
      </c>
      <c r="AB1771" s="113" t="s">
        <v>276</v>
      </c>
      <c r="AC1771" s="113">
        <v>2</v>
      </c>
      <c r="AD1771" s="113" t="s">
        <v>10268</v>
      </c>
      <c r="AE1771" s="113">
        <v>3</v>
      </c>
      <c r="AF1771" s="113" t="s">
        <v>10268</v>
      </c>
      <c r="AG1771" s="113" t="s">
        <v>10391</v>
      </c>
      <c r="AH1771" s="113" t="s">
        <v>9273</v>
      </c>
      <c r="AI1771" s="119">
        <v>259</v>
      </c>
      <c r="AJ1771" s="119">
        <v>151</v>
      </c>
      <c r="AK1771" s="118">
        <f t="shared" si="500"/>
        <v>57236</v>
      </c>
      <c r="AL1771" s="119">
        <f t="shared" si="501"/>
        <v>40381</v>
      </c>
      <c r="AM1771" s="119" t="s">
        <v>281</v>
      </c>
      <c r="AN1771" s="112" t="s">
        <v>276</v>
      </c>
      <c r="AO1771" s="121">
        <f t="shared" si="502"/>
        <v>4.5251240478020822</v>
      </c>
      <c r="AP1771" s="112" t="s">
        <v>276</v>
      </c>
      <c r="AQ1771" s="112" t="s">
        <v>276</v>
      </c>
      <c r="AR1771" s="112" t="s">
        <v>276</v>
      </c>
      <c r="AS1771" s="121">
        <f t="shared" si="503"/>
        <v>3.739382382803794</v>
      </c>
      <c r="AT1771" s="112" t="s">
        <v>276</v>
      </c>
      <c r="AU1771" s="112" t="s">
        <v>276</v>
      </c>
      <c r="AV1771" s="112" t="s">
        <v>268</v>
      </c>
      <c r="AW1771" s="112" t="s">
        <v>276</v>
      </c>
      <c r="AX1771" s="207">
        <f t="shared" si="504"/>
        <v>1.2101260541344099</v>
      </c>
      <c r="AY1771" s="112" t="s">
        <v>276</v>
      </c>
      <c r="AZ1771" s="112" t="s">
        <v>276</v>
      </c>
      <c r="BA1771" s="112" t="s">
        <v>276</v>
      </c>
      <c r="BB1771" s="112" t="s">
        <v>282</v>
      </c>
      <c r="BC1771" s="112" t="s">
        <v>98</v>
      </c>
      <c r="BD1771" s="112" t="s">
        <v>98</v>
      </c>
      <c r="BE1771" s="112" t="s">
        <v>98</v>
      </c>
      <c r="BF1771" s="113" t="s">
        <v>1029</v>
      </c>
      <c r="BG1771" s="113" t="s">
        <v>10389</v>
      </c>
      <c r="BH1771" s="9" t="s">
        <v>100</v>
      </c>
      <c r="BI1771" s="9" t="s">
        <v>100</v>
      </c>
      <c r="BJ1771" s="123"/>
      <c r="BN1771" s="123"/>
      <c r="BO1771" s="123"/>
    </row>
    <row r="1772" spans="1:67" s="124" customFormat="1" ht="78" hidden="1" x14ac:dyDescent="0.35">
      <c r="A1772" s="112">
        <v>4092</v>
      </c>
      <c r="B1772" s="112" t="s">
        <v>9799</v>
      </c>
      <c r="C1772" s="113" t="s">
        <v>62</v>
      </c>
      <c r="D1772" s="113" t="s">
        <v>10392</v>
      </c>
      <c r="E1772" s="112" t="s">
        <v>35</v>
      </c>
      <c r="F1772" s="112" t="s">
        <v>97</v>
      </c>
      <c r="G1772" s="112" t="s">
        <v>225</v>
      </c>
      <c r="H1772" s="112" t="s">
        <v>125</v>
      </c>
      <c r="I1772" s="112" t="s">
        <v>113</v>
      </c>
      <c r="J1772" s="113" t="s">
        <v>31</v>
      </c>
      <c r="K1772" s="112" t="s">
        <v>3808</v>
      </c>
      <c r="L1772" s="112" t="s">
        <v>276</v>
      </c>
      <c r="M1772" s="112" t="s">
        <v>276</v>
      </c>
      <c r="N1772" s="115" t="s">
        <v>276</v>
      </c>
      <c r="O1772" s="113" t="s">
        <v>276</v>
      </c>
      <c r="P1772" s="113" t="s">
        <v>239</v>
      </c>
      <c r="Q1772" s="142" t="s">
        <v>10220</v>
      </c>
      <c r="R1772" s="113" t="s">
        <v>276</v>
      </c>
      <c r="S1772" s="113" t="s">
        <v>276</v>
      </c>
      <c r="T1772" s="113" t="s">
        <v>276</v>
      </c>
      <c r="U1772" s="162" t="s">
        <v>5401</v>
      </c>
      <c r="V1772" s="112" t="s">
        <v>15</v>
      </c>
      <c r="W1772" s="112" t="s">
        <v>9271</v>
      </c>
      <c r="X1772" s="113" t="s">
        <v>207</v>
      </c>
      <c r="Y1772" s="118">
        <f t="shared" si="505"/>
        <v>57236</v>
      </c>
      <c r="Z1772" s="119">
        <f t="shared" si="506"/>
        <v>40381</v>
      </c>
      <c r="AA1772" s="113" t="s">
        <v>276</v>
      </c>
      <c r="AB1772" s="113" t="s">
        <v>276</v>
      </c>
      <c r="AC1772" s="113">
        <v>2</v>
      </c>
      <c r="AD1772" s="113" t="s">
        <v>10268</v>
      </c>
      <c r="AE1772" s="113">
        <v>3</v>
      </c>
      <c r="AF1772" s="113" t="s">
        <v>10268</v>
      </c>
      <c r="AG1772" s="113" t="s">
        <v>10393</v>
      </c>
      <c r="AH1772" s="113" t="s">
        <v>9273</v>
      </c>
      <c r="AI1772" s="119">
        <v>216</v>
      </c>
      <c r="AJ1772" s="119">
        <v>171</v>
      </c>
      <c r="AK1772" s="118">
        <f t="shared" si="500"/>
        <v>57236</v>
      </c>
      <c r="AL1772" s="119">
        <f t="shared" si="501"/>
        <v>40381</v>
      </c>
      <c r="AM1772" s="119" t="s">
        <v>281</v>
      </c>
      <c r="AN1772" s="112" t="s">
        <v>276</v>
      </c>
      <c r="AO1772" s="121">
        <f t="shared" si="502"/>
        <v>3.7738486267384164</v>
      </c>
      <c r="AP1772" s="112" t="s">
        <v>276</v>
      </c>
      <c r="AQ1772" s="112" t="s">
        <v>276</v>
      </c>
      <c r="AR1772" s="112" t="s">
        <v>276</v>
      </c>
      <c r="AS1772" s="121">
        <f t="shared" si="503"/>
        <v>4.2346648176122432</v>
      </c>
      <c r="AT1772" s="112" t="s">
        <v>276</v>
      </c>
      <c r="AU1772" s="112" t="s">
        <v>276</v>
      </c>
      <c r="AV1772" s="112" t="s">
        <v>268</v>
      </c>
      <c r="AW1772" s="112" t="s">
        <v>276</v>
      </c>
      <c r="AX1772" s="207">
        <f t="shared" si="504"/>
        <v>0.89118000816563736</v>
      </c>
      <c r="AY1772" s="112" t="s">
        <v>276</v>
      </c>
      <c r="AZ1772" s="112" t="s">
        <v>276</v>
      </c>
      <c r="BA1772" s="112" t="s">
        <v>276</v>
      </c>
      <c r="BB1772" s="112" t="s">
        <v>282</v>
      </c>
      <c r="BC1772" s="112" t="s">
        <v>98</v>
      </c>
      <c r="BD1772" s="112" t="s">
        <v>98</v>
      </c>
      <c r="BE1772" s="112" t="s">
        <v>98</v>
      </c>
      <c r="BF1772" s="113" t="s">
        <v>1029</v>
      </c>
      <c r="BG1772" s="113" t="s">
        <v>10389</v>
      </c>
      <c r="BH1772" s="9" t="s">
        <v>100</v>
      </c>
      <c r="BI1772" s="9" t="s">
        <v>100</v>
      </c>
      <c r="BJ1772" s="123"/>
      <c r="BN1772" s="123"/>
      <c r="BO1772" s="123"/>
    </row>
    <row r="1773" spans="1:67" s="110" customFormat="1" ht="78" hidden="1" x14ac:dyDescent="0.35">
      <c r="A1773" s="94">
        <v>4092</v>
      </c>
      <c r="B1773" s="94" t="s">
        <v>9799</v>
      </c>
      <c r="C1773" s="95" t="s">
        <v>62</v>
      </c>
      <c r="D1773" s="95" t="s">
        <v>10394</v>
      </c>
      <c r="E1773" s="94" t="s">
        <v>35</v>
      </c>
      <c r="F1773" s="94" t="s">
        <v>97</v>
      </c>
      <c r="G1773" s="94" t="s">
        <v>225</v>
      </c>
      <c r="H1773" s="94" t="s">
        <v>125</v>
      </c>
      <c r="I1773" s="94" t="s">
        <v>113</v>
      </c>
      <c r="J1773" s="95" t="s">
        <v>31</v>
      </c>
      <c r="K1773" s="94" t="s">
        <v>3824</v>
      </c>
      <c r="L1773" s="94" t="s">
        <v>276</v>
      </c>
      <c r="M1773" s="94" t="s">
        <v>276</v>
      </c>
      <c r="N1773" s="105" t="s">
        <v>276</v>
      </c>
      <c r="O1773" s="95" t="s">
        <v>276</v>
      </c>
      <c r="P1773" s="95" t="s">
        <v>239</v>
      </c>
      <c r="Q1773" s="140" t="s">
        <v>10220</v>
      </c>
      <c r="R1773" s="95" t="s">
        <v>276</v>
      </c>
      <c r="S1773" s="95" t="s">
        <v>276</v>
      </c>
      <c r="T1773" s="95" t="s">
        <v>276</v>
      </c>
      <c r="U1773" s="163" t="s">
        <v>5401</v>
      </c>
      <c r="V1773" s="94" t="s">
        <v>15</v>
      </c>
      <c r="W1773" s="94" t="s">
        <v>9271</v>
      </c>
      <c r="X1773" s="95" t="s">
        <v>207</v>
      </c>
      <c r="Y1773" s="98">
        <f>29007+28229</f>
        <v>57236</v>
      </c>
      <c r="Z1773" s="99">
        <f>13551+26830</f>
        <v>40381</v>
      </c>
      <c r="AA1773" s="95" t="s">
        <v>276</v>
      </c>
      <c r="AB1773" s="95" t="s">
        <v>276</v>
      </c>
      <c r="AC1773" s="95">
        <v>2</v>
      </c>
      <c r="AD1773" s="95" t="s">
        <v>10268</v>
      </c>
      <c r="AE1773" s="95">
        <v>3</v>
      </c>
      <c r="AF1773" s="95" t="s">
        <v>10268</v>
      </c>
      <c r="AG1773" s="95" t="s">
        <v>10395</v>
      </c>
      <c r="AH1773" s="95" t="s">
        <v>9273</v>
      </c>
      <c r="AI1773" s="99">
        <f>AI1770+AI1771+AI1772</f>
        <v>684</v>
      </c>
      <c r="AJ1773" s="99">
        <f>AJ1770+AJ1771+AJ1772</f>
        <v>408</v>
      </c>
      <c r="AK1773" s="98">
        <f>29007+28229</f>
        <v>57236</v>
      </c>
      <c r="AL1773" s="99">
        <f>13551+26830</f>
        <v>40381</v>
      </c>
      <c r="AM1773" s="99" t="s">
        <v>281</v>
      </c>
      <c r="AN1773" s="94" t="s">
        <v>276</v>
      </c>
      <c r="AO1773" s="102">
        <f t="shared" si="502"/>
        <v>11.950520651338319</v>
      </c>
      <c r="AP1773" s="94" t="s">
        <v>276</v>
      </c>
      <c r="AQ1773" s="94" t="s">
        <v>276</v>
      </c>
      <c r="AR1773" s="94" t="s">
        <v>276</v>
      </c>
      <c r="AS1773" s="102">
        <f t="shared" si="503"/>
        <v>10.10376167009237</v>
      </c>
      <c r="AT1773" s="94" t="s">
        <v>276</v>
      </c>
      <c r="AU1773" s="94" t="s">
        <v>276</v>
      </c>
      <c r="AV1773" s="94" t="s">
        <v>268</v>
      </c>
      <c r="AW1773" s="94" t="s">
        <v>276</v>
      </c>
      <c r="AX1773" s="101">
        <f t="shared" si="504"/>
        <v>1.1827793490727763</v>
      </c>
      <c r="AY1773" s="94" t="s">
        <v>276</v>
      </c>
      <c r="AZ1773" s="94" t="s">
        <v>276</v>
      </c>
      <c r="BA1773" s="94" t="s">
        <v>276</v>
      </c>
      <c r="BB1773" s="94" t="s">
        <v>282</v>
      </c>
      <c r="BC1773" s="94" t="s">
        <v>98</v>
      </c>
      <c r="BD1773" s="94" t="s">
        <v>98</v>
      </c>
      <c r="BE1773" s="94" t="s">
        <v>98</v>
      </c>
      <c r="BF1773" s="95" t="s">
        <v>1029</v>
      </c>
      <c r="BG1773" s="95" t="s">
        <v>10389</v>
      </c>
      <c r="BH1773" s="9" t="s">
        <v>100</v>
      </c>
      <c r="BI1773" s="9" t="s">
        <v>100</v>
      </c>
      <c r="BJ1773" s="109"/>
      <c r="BN1773" s="109"/>
      <c r="BO1773" s="109"/>
    </row>
    <row r="1774" spans="1:67" s="124" customFormat="1" ht="78" hidden="1" x14ac:dyDescent="0.35">
      <c r="A1774" s="112">
        <v>4092</v>
      </c>
      <c r="B1774" s="112" t="s">
        <v>9799</v>
      </c>
      <c r="C1774" s="113" t="s">
        <v>62</v>
      </c>
      <c r="D1774" s="113" t="s">
        <v>10396</v>
      </c>
      <c r="E1774" s="112" t="s">
        <v>35</v>
      </c>
      <c r="F1774" s="112" t="s">
        <v>97</v>
      </c>
      <c r="G1774" s="112" t="s">
        <v>225</v>
      </c>
      <c r="H1774" s="112" t="s">
        <v>125</v>
      </c>
      <c r="I1774" s="112" t="s">
        <v>113</v>
      </c>
      <c r="J1774" s="113" t="s">
        <v>31</v>
      </c>
      <c r="K1774" s="112" t="s">
        <v>3811</v>
      </c>
      <c r="L1774" s="112" t="s">
        <v>276</v>
      </c>
      <c r="M1774" s="112" t="s">
        <v>276</v>
      </c>
      <c r="N1774" s="115" t="s">
        <v>276</v>
      </c>
      <c r="O1774" s="113" t="s">
        <v>276</v>
      </c>
      <c r="P1774" s="113" t="s">
        <v>239</v>
      </c>
      <c r="Q1774" s="142" t="s">
        <v>10220</v>
      </c>
      <c r="R1774" s="113" t="s">
        <v>276</v>
      </c>
      <c r="S1774" s="113" t="s">
        <v>276</v>
      </c>
      <c r="T1774" s="113" t="s">
        <v>276</v>
      </c>
      <c r="U1774" s="162" t="s">
        <v>5401</v>
      </c>
      <c r="V1774" s="112" t="s">
        <v>15</v>
      </c>
      <c r="W1774" s="112" t="s">
        <v>9271</v>
      </c>
      <c r="X1774" s="113" t="s">
        <v>207</v>
      </c>
      <c r="Y1774" s="118">
        <f t="shared" ref="Y1774:Y1775" si="507">29007+28229</f>
        <v>57236</v>
      </c>
      <c r="Z1774" s="119">
        <f t="shared" ref="Z1774:Z1775" si="508">13551+26830</f>
        <v>40381</v>
      </c>
      <c r="AA1774" s="113" t="s">
        <v>276</v>
      </c>
      <c r="AB1774" s="113" t="s">
        <v>276</v>
      </c>
      <c r="AC1774" s="113">
        <v>2</v>
      </c>
      <c r="AD1774" s="113" t="s">
        <v>10268</v>
      </c>
      <c r="AE1774" s="113">
        <v>3</v>
      </c>
      <c r="AF1774" s="113" t="s">
        <v>10268</v>
      </c>
      <c r="AG1774" s="113" t="s">
        <v>10397</v>
      </c>
      <c r="AH1774" s="113" t="s">
        <v>9273</v>
      </c>
      <c r="AI1774" s="119">
        <v>224</v>
      </c>
      <c r="AJ1774" s="119">
        <v>228</v>
      </c>
      <c r="AK1774" s="118">
        <f>29007+28229</f>
        <v>57236</v>
      </c>
      <c r="AL1774" s="119">
        <f>13551+26830</f>
        <v>40381</v>
      </c>
      <c r="AM1774" s="119" t="s">
        <v>281</v>
      </c>
      <c r="AN1774" s="112" t="s">
        <v>276</v>
      </c>
      <c r="AO1774" s="121">
        <f t="shared" si="502"/>
        <v>3.9136207980990987</v>
      </c>
      <c r="AP1774" s="112" t="s">
        <v>276</v>
      </c>
      <c r="AQ1774" s="112" t="s">
        <v>276</v>
      </c>
      <c r="AR1774" s="112" t="s">
        <v>276</v>
      </c>
      <c r="AS1774" s="121">
        <f t="shared" si="503"/>
        <v>5.6462197568163246</v>
      </c>
      <c r="AT1774" s="112" t="s">
        <v>276</v>
      </c>
      <c r="AU1774" s="112" t="s">
        <v>276</v>
      </c>
      <c r="AV1774" s="112" t="s">
        <v>268</v>
      </c>
      <c r="AW1774" s="112" t="s">
        <v>276</v>
      </c>
      <c r="AX1774" s="207">
        <f t="shared" si="504"/>
        <v>0.69314000635105133</v>
      </c>
      <c r="AY1774" s="112" t="s">
        <v>276</v>
      </c>
      <c r="AZ1774" s="112" t="s">
        <v>276</v>
      </c>
      <c r="BA1774" s="112" t="s">
        <v>276</v>
      </c>
      <c r="BB1774" s="112" t="s">
        <v>282</v>
      </c>
      <c r="BC1774" s="112" t="s">
        <v>98</v>
      </c>
      <c r="BD1774" s="112" t="s">
        <v>98</v>
      </c>
      <c r="BE1774" s="112" t="s">
        <v>98</v>
      </c>
      <c r="BF1774" s="113" t="s">
        <v>1029</v>
      </c>
      <c r="BG1774" s="113" t="s">
        <v>10389</v>
      </c>
      <c r="BH1774" s="9" t="s">
        <v>100</v>
      </c>
      <c r="BI1774" s="9" t="s">
        <v>100</v>
      </c>
      <c r="BJ1774" s="123"/>
      <c r="BN1774" s="123"/>
      <c r="BO1774" s="123"/>
    </row>
    <row r="1775" spans="1:67" s="124" customFormat="1" ht="78" hidden="1" x14ac:dyDescent="0.35">
      <c r="A1775" s="112">
        <v>4092</v>
      </c>
      <c r="B1775" s="112" t="s">
        <v>9799</v>
      </c>
      <c r="C1775" s="113" t="s">
        <v>62</v>
      </c>
      <c r="D1775" s="113" t="s">
        <v>10398</v>
      </c>
      <c r="E1775" s="112" t="s">
        <v>35</v>
      </c>
      <c r="F1775" s="112" t="s">
        <v>97</v>
      </c>
      <c r="G1775" s="112" t="s">
        <v>225</v>
      </c>
      <c r="H1775" s="112" t="s">
        <v>125</v>
      </c>
      <c r="I1775" s="112" t="s">
        <v>113</v>
      </c>
      <c r="J1775" s="113" t="s">
        <v>31</v>
      </c>
      <c r="K1775" s="112" t="s">
        <v>3814</v>
      </c>
      <c r="L1775" s="112" t="s">
        <v>276</v>
      </c>
      <c r="M1775" s="112" t="s">
        <v>276</v>
      </c>
      <c r="N1775" s="115" t="s">
        <v>276</v>
      </c>
      <c r="O1775" s="113" t="s">
        <v>276</v>
      </c>
      <c r="P1775" s="113" t="s">
        <v>239</v>
      </c>
      <c r="Q1775" s="142" t="s">
        <v>10220</v>
      </c>
      <c r="R1775" s="113" t="s">
        <v>276</v>
      </c>
      <c r="S1775" s="113" t="s">
        <v>276</v>
      </c>
      <c r="T1775" s="113" t="s">
        <v>276</v>
      </c>
      <c r="U1775" s="162" t="s">
        <v>5401</v>
      </c>
      <c r="V1775" s="112" t="s">
        <v>15</v>
      </c>
      <c r="W1775" s="112" t="s">
        <v>9271</v>
      </c>
      <c r="X1775" s="113" t="s">
        <v>207</v>
      </c>
      <c r="Y1775" s="118">
        <f t="shared" si="507"/>
        <v>57236</v>
      </c>
      <c r="Z1775" s="119">
        <f t="shared" si="508"/>
        <v>40381</v>
      </c>
      <c r="AA1775" s="113" t="s">
        <v>276</v>
      </c>
      <c r="AB1775" s="113" t="s">
        <v>276</v>
      </c>
      <c r="AC1775" s="113">
        <v>2</v>
      </c>
      <c r="AD1775" s="113" t="s">
        <v>10268</v>
      </c>
      <c r="AE1775" s="113">
        <v>3</v>
      </c>
      <c r="AF1775" s="113" t="s">
        <v>10268</v>
      </c>
      <c r="AG1775" s="113" t="s">
        <v>10399</v>
      </c>
      <c r="AH1775" s="113" t="s">
        <v>9273</v>
      </c>
      <c r="AI1775" s="119">
        <v>103</v>
      </c>
      <c r="AJ1775" s="119">
        <v>135</v>
      </c>
      <c r="AK1775" s="118">
        <f t="shared" ref="AK1775:AK1779" si="509">29007+28229</f>
        <v>57236</v>
      </c>
      <c r="AL1775" s="119">
        <f t="shared" ref="AL1775:AL1779" si="510">13551+26830</f>
        <v>40381</v>
      </c>
      <c r="AM1775" s="119" t="s">
        <v>281</v>
      </c>
      <c r="AN1775" s="112" t="s">
        <v>276</v>
      </c>
      <c r="AO1775" s="121">
        <f t="shared" si="502"/>
        <v>1.7995667062687819</v>
      </c>
      <c r="AP1775" s="112" t="s">
        <v>276</v>
      </c>
      <c r="AQ1775" s="112" t="s">
        <v>276</v>
      </c>
      <c r="AR1775" s="112" t="s">
        <v>276</v>
      </c>
      <c r="AS1775" s="121">
        <f t="shared" si="503"/>
        <v>3.3431564349570344</v>
      </c>
      <c r="AT1775" s="112" t="s">
        <v>276</v>
      </c>
      <c r="AU1775" s="112" t="s">
        <v>276</v>
      </c>
      <c r="AV1775" s="112" t="s">
        <v>268</v>
      </c>
      <c r="AW1775" s="112" t="s">
        <v>276</v>
      </c>
      <c r="AX1775" s="207">
        <f t="shared" si="504"/>
        <v>0.53828372715436801</v>
      </c>
      <c r="AY1775" s="112" t="s">
        <v>276</v>
      </c>
      <c r="AZ1775" s="112" t="s">
        <v>276</v>
      </c>
      <c r="BA1775" s="112" t="s">
        <v>276</v>
      </c>
      <c r="BB1775" s="112" t="s">
        <v>282</v>
      </c>
      <c r="BC1775" s="112" t="s">
        <v>98</v>
      </c>
      <c r="BD1775" s="112" t="s">
        <v>98</v>
      </c>
      <c r="BE1775" s="112" t="s">
        <v>98</v>
      </c>
      <c r="BF1775" s="113" t="s">
        <v>1029</v>
      </c>
      <c r="BG1775" s="113" t="s">
        <v>10389</v>
      </c>
      <c r="BH1775" s="9" t="s">
        <v>100</v>
      </c>
      <c r="BI1775" s="9" t="s">
        <v>100</v>
      </c>
      <c r="BJ1775" s="123"/>
      <c r="BN1775" s="123"/>
      <c r="BO1775" s="123"/>
    </row>
    <row r="1776" spans="1:67" s="124" customFormat="1" ht="78" hidden="1" x14ac:dyDescent="0.35">
      <c r="A1776" s="112">
        <v>4092</v>
      </c>
      <c r="B1776" s="112" t="s">
        <v>9799</v>
      </c>
      <c r="C1776" s="113" t="s">
        <v>62</v>
      </c>
      <c r="D1776" s="113" t="s">
        <v>10400</v>
      </c>
      <c r="E1776" s="112" t="s">
        <v>35</v>
      </c>
      <c r="F1776" s="112" t="s">
        <v>97</v>
      </c>
      <c r="G1776" s="112" t="s">
        <v>225</v>
      </c>
      <c r="H1776" s="112" t="s">
        <v>125</v>
      </c>
      <c r="I1776" s="112" t="s">
        <v>113</v>
      </c>
      <c r="J1776" s="113" t="s">
        <v>31</v>
      </c>
      <c r="K1776" s="112" t="s">
        <v>10203</v>
      </c>
      <c r="L1776" s="112" t="s">
        <v>276</v>
      </c>
      <c r="M1776" s="112" t="s">
        <v>276</v>
      </c>
      <c r="N1776" s="115" t="s">
        <v>276</v>
      </c>
      <c r="O1776" s="113" t="s">
        <v>276</v>
      </c>
      <c r="P1776" s="113" t="s">
        <v>239</v>
      </c>
      <c r="Q1776" s="142" t="s">
        <v>10220</v>
      </c>
      <c r="R1776" s="113" t="s">
        <v>276</v>
      </c>
      <c r="S1776" s="113" t="s">
        <v>276</v>
      </c>
      <c r="T1776" s="113" t="s">
        <v>276</v>
      </c>
      <c r="U1776" s="162" t="s">
        <v>5401</v>
      </c>
      <c r="V1776" s="112" t="s">
        <v>15</v>
      </c>
      <c r="W1776" s="112" t="s">
        <v>9271</v>
      </c>
      <c r="X1776" s="113" t="s">
        <v>207</v>
      </c>
      <c r="Y1776" s="118">
        <f>29007+28229</f>
        <v>57236</v>
      </c>
      <c r="Z1776" s="119">
        <f>13551+26830</f>
        <v>40381</v>
      </c>
      <c r="AA1776" s="113" t="s">
        <v>276</v>
      </c>
      <c r="AB1776" s="113" t="s">
        <v>276</v>
      </c>
      <c r="AC1776" s="113">
        <v>2</v>
      </c>
      <c r="AD1776" s="113" t="s">
        <v>10268</v>
      </c>
      <c r="AE1776" s="113">
        <v>3</v>
      </c>
      <c r="AF1776" s="113" t="s">
        <v>10268</v>
      </c>
      <c r="AG1776" s="113" t="s">
        <v>10401</v>
      </c>
      <c r="AH1776" s="113" t="s">
        <v>9273</v>
      </c>
      <c r="AI1776" s="119">
        <v>62</v>
      </c>
      <c r="AJ1776" s="119">
        <v>69</v>
      </c>
      <c r="AK1776" s="118">
        <f t="shared" si="509"/>
        <v>57236</v>
      </c>
      <c r="AL1776" s="119">
        <f t="shared" si="510"/>
        <v>40381</v>
      </c>
      <c r="AM1776" s="119" t="s">
        <v>281</v>
      </c>
      <c r="AN1776" s="112" t="s">
        <v>276</v>
      </c>
      <c r="AO1776" s="121">
        <f t="shared" si="502"/>
        <v>1.0832343280452861</v>
      </c>
      <c r="AP1776" s="112" t="s">
        <v>276</v>
      </c>
      <c r="AQ1776" s="112" t="s">
        <v>276</v>
      </c>
      <c r="AR1776" s="112" t="s">
        <v>276</v>
      </c>
      <c r="AS1776" s="121">
        <f t="shared" si="503"/>
        <v>1.7087244000891508</v>
      </c>
      <c r="AT1776" s="112" t="s">
        <v>276</v>
      </c>
      <c r="AU1776" s="112" t="s">
        <v>276</v>
      </c>
      <c r="AV1776" s="112" t="s">
        <v>268</v>
      </c>
      <c r="AW1776" s="112" t="s">
        <v>276</v>
      </c>
      <c r="AX1776" s="207">
        <f t="shared" si="504"/>
        <v>0.63394326667821299</v>
      </c>
      <c r="AY1776" s="112" t="s">
        <v>276</v>
      </c>
      <c r="AZ1776" s="112" t="s">
        <v>276</v>
      </c>
      <c r="BA1776" s="112" t="s">
        <v>276</v>
      </c>
      <c r="BB1776" s="112" t="s">
        <v>282</v>
      </c>
      <c r="BC1776" s="112" t="s">
        <v>98</v>
      </c>
      <c r="BD1776" s="112" t="s">
        <v>98</v>
      </c>
      <c r="BE1776" s="112" t="s">
        <v>98</v>
      </c>
      <c r="BF1776" s="113" t="s">
        <v>1029</v>
      </c>
      <c r="BG1776" s="113" t="s">
        <v>10389</v>
      </c>
      <c r="BH1776" s="9" t="s">
        <v>100</v>
      </c>
      <c r="BI1776" s="9" t="s">
        <v>100</v>
      </c>
      <c r="BJ1776" s="123"/>
      <c r="BN1776" s="123"/>
      <c r="BO1776" s="123"/>
    </row>
    <row r="1777" spans="1:67" s="110" customFormat="1" ht="91" hidden="1" x14ac:dyDescent="0.35">
      <c r="A1777" s="94">
        <v>4092</v>
      </c>
      <c r="B1777" s="94" t="s">
        <v>9799</v>
      </c>
      <c r="C1777" s="95" t="s">
        <v>62</v>
      </c>
      <c r="D1777" s="95" t="s">
        <v>10402</v>
      </c>
      <c r="E1777" s="94" t="s">
        <v>35</v>
      </c>
      <c r="F1777" s="94" t="s">
        <v>97</v>
      </c>
      <c r="G1777" s="94" t="s">
        <v>225</v>
      </c>
      <c r="H1777" s="94" t="s">
        <v>125</v>
      </c>
      <c r="I1777" s="94" t="s">
        <v>113</v>
      </c>
      <c r="J1777" s="95" t="s">
        <v>31</v>
      </c>
      <c r="K1777" s="503" t="s">
        <v>3821</v>
      </c>
      <c r="L1777" s="94" t="s">
        <v>276</v>
      </c>
      <c r="M1777" s="94" t="s">
        <v>276</v>
      </c>
      <c r="N1777" s="105" t="s">
        <v>276</v>
      </c>
      <c r="O1777" s="95" t="s">
        <v>276</v>
      </c>
      <c r="P1777" s="95" t="s">
        <v>239</v>
      </c>
      <c r="Q1777" s="140" t="s">
        <v>10220</v>
      </c>
      <c r="R1777" s="95" t="s">
        <v>276</v>
      </c>
      <c r="S1777" s="95" t="s">
        <v>276</v>
      </c>
      <c r="T1777" s="95" t="s">
        <v>276</v>
      </c>
      <c r="U1777" s="163" t="s">
        <v>5401</v>
      </c>
      <c r="V1777" s="94" t="s">
        <v>15</v>
      </c>
      <c r="W1777" s="94" t="s">
        <v>9271</v>
      </c>
      <c r="X1777" s="95" t="s">
        <v>207</v>
      </c>
      <c r="Y1777" s="98">
        <f>29007+28229</f>
        <v>57236</v>
      </c>
      <c r="Z1777" s="99">
        <f>13551+26830</f>
        <v>40381</v>
      </c>
      <c r="AA1777" s="95" t="s">
        <v>276</v>
      </c>
      <c r="AB1777" s="95" t="s">
        <v>276</v>
      </c>
      <c r="AC1777" s="95">
        <v>2</v>
      </c>
      <c r="AD1777" s="95" t="s">
        <v>10268</v>
      </c>
      <c r="AE1777" s="95">
        <v>3</v>
      </c>
      <c r="AF1777" s="95" t="s">
        <v>10268</v>
      </c>
      <c r="AG1777" s="95" t="s">
        <v>10403</v>
      </c>
      <c r="AH1777" s="95" t="s">
        <v>9273</v>
      </c>
      <c r="AI1777" s="99">
        <f>AI1776+AI1775+AI1774</f>
        <v>389</v>
      </c>
      <c r="AJ1777" s="99">
        <f>AJ1776+AJ1775+AJ1774</f>
        <v>432</v>
      </c>
      <c r="AK1777" s="98">
        <f>29007+28229</f>
        <v>57236</v>
      </c>
      <c r="AL1777" s="99">
        <f>13551+26830</f>
        <v>40381</v>
      </c>
      <c r="AM1777" s="99" t="s">
        <v>281</v>
      </c>
      <c r="AN1777" s="94" t="s">
        <v>276</v>
      </c>
      <c r="AO1777" s="102">
        <f t="shared" si="502"/>
        <v>6.7964218324131664</v>
      </c>
      <c r="AP1777" s="94" t="s">
        <v>276</v>
      </c>
      <c r="AQ1777" s="94" t="s">
        <v>276</v>
      </c>
      <c r="AR1777" s="94" t="s">
        <v>276</v>
      </c>
      <c r="AS1777" s="102">
        <f t="shared" si="503"/>
        <v>10.698100591862509</v>
      </c>
      <c r="AT1777" s="94" t="s">
        <v>276</v>
      </c>
      <c r="AU1777" s="94" t="s">
        <v>276</v>
      </c>
      <c r="AV1777" s="94" t="s">
        <v>268</v>
      </c>
      <c r="AW1777" s="94" t="s">
        <v>276</v>
      </c>
      <c r="AX1777" s="101">
        <f t="shared" si="504"/>
        <v>0.63529238429323165</v>
      </c>
      <c r="AY1777" s="94" t="s">
        <v>276</v>
      </c>
      <c r="AZ1777" s="94" t="s">
        <v>276</v>
      </c>
      <c r="BA1777" s="94" t="s">
        <v>276</v>
      </c>
      <c r="BB1777" s="94" t="s">
        <v>282</v>
      </c>
      <c r="BC1777" s="94" t="s">
        <v>98</v>
      </c>
      <c r="BD1777" s="94" t="s">
        <v>98</v>
      </c>
      <c r="BE1777" s="94" t="s">
        <v>98</v>
      </c>
      <c r="BF1777" s="95" t="s">
        <v>1029</v>
      </c>
      <c r="BG1777" s="95" t="s">
        <v>10389</v>
      </c>
      <c r="BH1777" s="9" t="s">
        <v>100</v>
      </c>
      <c r="BI1777" s="9" t="s">
        <v>100</v>
      </c>
      <c r="BJ1777" s="109"/>
      <c r="BN1777" s="109"/>
      <c r="BO1777" s="109"/>
    </row>
    <row r="1778" spans="1:67" s="124" customFormat="1" ht="78" hidden="1" x14ac:dyDescent="0.35">
      <c r="A1778" s="112">
        <v>4092</v>
      </c>
      <c r="B1778" s="112" t="s">
        <v>9799</v>
      </c>
      <c r="C1778" s="113" t="s">
        <v>62</v>
      </c>
      <c r="D1778" s="113" t="s">
        <v>10404</v>
      </c>
      <c r="E1778" s="112" t="s">
        <v>35</v>
      </c>
      <c r="F1778" s="112" t="s">
        <v>97</v>
      </c>
      <c r="G1778" s="112" t="s">
        <v>225</v>
      </c>
      <c r="H1778" s="112" t="s">
        <v>125</v>
      </c>
      <c r="I1778" s="112" t="s">
        <v>113</v>
      </c>
      <c r="J1778" s="113" t="s">
        <v>30</v>
      </c>
      <c r="K1778" s="328" t="s">
        <v>10405</v>
      </c>
      <c r="L1778" s="112" t="s">
        <v>276</v>
      </c>
      <c r="M1778" s="112" t="s">
        <v>276</v>
      </c>
      <c r="N1778" s="115" t="s">
        <v>276</v>
      </c>
      <c r="O1778" s="113" t="s">
        <v>276</v>
      </c>
      <c r="P1778" s="113" t="s">
        <v>234</v>
      </c>
      <c r="Q1778" s="142" t="s">
        <v>10220</v>
      </c>
      <c r="R1778" s="113" t="s">
        <v>276</v>
      </c>
      <c r="S1778" s="113" t="s">
        <v>276</v>
      </c>
      <c r="T1778" s="113" t="s">
        <v>276</v>
      </c>
      <c r="U1778" s="162" t="s">
        <v>1192</v>
      </c>
      <c r="V1778" s="112" t="s">
        <v>15</v>
      </c>
      <c r="W1778" s="112" t="s">
        <v>3032</v>
      </c>
      <c r="X1778" s="113" t="s">
        <v>207</v>
      </c>
      <c r="Y1778" s="118">
        <f>9582+10262</f>
        <v>19844</v>
      </c>
      <c r="Z1778" s="119">
        <f>5031+10573</f>
        <v>15604</v>
      </c>
      <c r="AA1778" s="113" t="s">
        <v>276</v>
      </c>
      <c r="AB1778" s="113" t="s">
        <v>276</v>
      </c>
      <c r="AC1778" s="113" t="s">
        <v>276</v>
      </c>
      <c r="AD1778" s="113" t="s">
        <v>10406</v>
      </c>
      <c r="AE1778" s="113" t="s">
        <v>276</v>
      </c>
      <c r="AF1778" s="113" t="s">
        <v>10406</v>
      </c>
      <c r="AG1778" s="113" t="s">
        <v>10407</v>
      </c>
      <c r="AH1778" s="113" t="s">
        <v>9269</v>
      </c>
      <c r="AI1778" s="165">
        <v>51.01</v>
      </c>
      <c r="AJ1778" s="165">
        <v>41.68</v>
      </c>
      <c r="AK1778" s="118">
        <f t="shared" si="494"/>
        <v>19844</v>
      </c>
      <c r="AL1778" s="119">
        <f t="shared" si="495"/>
        <v>15604</v>
      </c>
      <c r="AM1778" s="119" t="s">
        <v>281</v>
      </c>
      <c r="AN1778" s="112" t="s">
        <v>276</v>
      </c>
      <c r="AO1778" s="121">
        <f t="shared" si="502"/>
        <v>2.5705502922797825</v>
      </c>
      <c r="AP1778" s="112" t="s">
        <v>276</v>
      </c>
      <c r="AQ1778" s="112" t="s">
        <v>276</v>
      </c>
      <c r="AR1778" s="112" t="s">
        <v>276</v>
      </c>
      <c r="AS1778" s="121">
        <f t="shared" si="503"/>
        <v>2.6711099718021019</v>
      </c>
      <c r="AT1778" s="112" t="s">
        <v>276</v>
      </c>
      <c r="AU1778" s="112" t="s">
        <v>276</v>
      </c>
      <c r="AV1778" s="112" t="s">
        <v>268</v>
      </c>
      <c r="AW1778" s="112">
        <v>0.96</v>
      </c>
      <c r="AX1778" s="207">
        <f t="shared" si="504"/>
        <v>0.96235284934581877</v>
      </c>
      <c r="AY1778" s="112">
        <v>0.73</v>
      </c>
      <c r="AZ1778" s="112">
        <v>1.27</v>
      </c>
      <c r="BA1778" s="112" t="s">
        <v>276</v>
      </c>
      <c r="BB1778" s="112" t="s">
        <v>282</v>
      </c>
      <c r="BC1778" s="112" t="s">
        <v>98</v>
      </c>
      <c r="BD1778" s="112" t="s">
        <v>98</v>
      </c>
      <c r="BE1778" s="112" t="s">
        <v>98</v>
      </c>
      <c r="BF1778" s="113" t="s">
        <v>1010</v>
      </c>
      <c r="BG1778" s="113" t="s">
        <v>10408</v>
      </c>
      <c r="BH1778" s="9" t="s">
        <v>100</v>
      </c>
      <c r="BI1778" s="9" t="s">
        <v>100</v>
      </c>
      <c r="BJ1778" s="123"/>
      <c r="BN1778" s="123"/>
      <c r="BO1778" s="123"/>
    </row>
    <row r="1779" spans="1:67" s="124" customFormat="1" ht="78" hidden="1" x14ac:dyDescent="0.35">
      <c r="A1779" s="112">
        <v>4092</v>
      </c>
      <c r="B1779" s="112" t="s">
        <v>9799</v>
      </c>
      <c r="C1779" s="113" t="s">
        <v>62</v>
      </c>
      <c r="D1779" s="113" t="s">
        <v>10409</v>
      </c>
      <c r="E1779" s="112" t="s">
        <v>35</v>
      </c>
      <c r="F1779" s="112" t="s">
        <v>97</v>
      </c>
      <c r="G1779" s="112" t="s">
        <v>225</v>
      </c>
      <c r="H1779" s="112" t="s">
        <v>125</v>
      </c>
      <c r="I1779" s="112" t="s">
        <v>113</v>
      </c>
      <c r="J1779" s="113" t="s">
        <v>30</v>
      </c>
      <c r="K1779" s="328" t="s">
        <v>10405</v>
      </c>
      <c r="L1779" s="112" t="s">
        <v>276</v>
      </c>
      <c r="M1779" s="112" t="s">
        <v>276</v>
      </c>
      <c r="N1779" s="115" t="s">
        <v>276</v>
      </c>
      <c r="O1779" s="113" t="s">
        <v>276</v>
      </c>
      <c r="P1779" s="113" t="s">
        <v>234</v>
      </c>
      <c r="Q1779" s="142" t="s">
        <v>10220</v>
      </c>
      <c r="R1779" s="113" t="s">
        <v>276</v>
      </c>
      <c r="S1779" s="113" t="s">
        <v>276</v>
      </c>
      <c r="T1779" s="113" t="s">
        <v>276</v>
      </c>
      <c r="U1779" s="162" t="s">
        <v>5401</v>
      </c>
      <c r="V1779" s="112" t="s">
        <v>15</v>
      </c>
      <c r="W1779" s="112" t="s">
        <v>9271</v>
      </c>
      <c r="X1779" s="113" t="s">
        <v>207</v>
      </c>
      <c r="Y1779" s="438">
        <f>29007+28229</f>
        <v>57236</v>
      </c>
      <c r="Z1779" s="119">
        <f>13551+26830</f>
        <v>40381</v>
      </c>
      <c r="AA1779" s="113" t="s">
        <v>276</v>
      </c>
      <c r="AB1779" s="113" t="s">
        <v>276</v>
      </c>
      <c r="AC1779" s="113" t="s">
        <v>276</v>
      </c>
      <c r="AD1779" s="113" t="s">
        <v>10406</v>
      </c>
      <c r="AE1779" s="113" t="s">
        <v>276</v>
      </c>
      <c r="AF1779" s="113" t="s">
        <v>10406</v>
      </c>
      <c r="AG1779" s="113" t="s">
        <v>10410</v>
      </c>
      <c r="AH1779" s="113" t="s">
        <v>9273</v>
      </c>
      <c r="AI1779" s="165">
        <v>226.23</v>
      </c>
      <c r="AJ1779" s="165">
        <v>224.1</v>
      </c>
      <c r="AK1779" s="118">
        <f t="shared" si="509"/>
        <v>57236</v>
      </c>
      <c r="AL1779" s="119">
        <f t="shared" si="510"/>
        <v>40381</v>
      </c>
      <c r="AM1779" s="119" t="s">
        <v>281</v>
      </c>
      <c r="AN1779" s="112" t="s">
        <v>276</v>
      </c>
      <c r="AO1779" s="121">
        <f t="shared" si="502"/>
        <v>3.9525822908658887</v>
      </c>
      <c r="AP1779" s="112" t="s">
        <v>276</v>
      </c>
      <c r="AQ1779" s="112" t="s">
        <v>276</v>
      </c>
      <c r="AR1779" s="112" t="s">
        <v>276</v>
      </c>
      <c r="AS1779" s="121">
        <f t="shared" si="503"/>
        <v>5.5496396820286771</v>
      </c>
      <c r="AT1779" s="112" t="s">
        <v>276</v>
      </c>
      <c r="AU1779" s="112" t="s">
        <v>276</v>
      </c>
      <c r="AV1779" s="112" t="s">
        <v>268</v>
      </c>
      <c r="AW1779" s="112">
        <v>0.71</v>
      </c>
      <c r="AX1779" s="207">
        <f t="shared" si="504"/>
        <v>0.71222322841345576</v>
      </c>
      <c r="AY1779" s="112">
        <v>0.63</v>
      </c>
      <c r="AZ1779" s="112">
        <v>0.81</v>
      </c>
      <c r="BA1779" s="112" t="s">
        <v>276</v>
      </c>
      <c r="BB1779" s="112" t="s">
        <v>282</v>
      </c>
      <c r="BC1779" s="112" t="s">
        <v>98</v>
      </c>
      <c r="BD1779" s="112" t="s">
        <v>98</v>
      </c>
      <c r="BE1779" s="112" t="s">
        <v>98</v>
      </c>
      <c r="BF1779" s="113" t="s">
        <v>1010</v>
      </c>
      <c r="BG1779" s="113" t="s">
        <v>10411</v>
      </c>
      <c r="BH1779" s="9" t="s">
        <v>100</v>
      </c>
      <c r="BI1779" s="9" t="s">
        <v>100</v>
      </c>
      <c r="BJ1779" s="123"/>
      <c r="BN1779" s="123"/>
      <c r="BO1779" s="123"/>
    </row>
    <row r="1780" spans="1:67" s="33" customFormat="1" ht="234" hidden="1" x14ac:dyDescent="0.35">
      <c r="A1780" s="415">
        <v>4086</v>
      </c>
      <c r="B1780" s="8" t="s">
        <v>9873</v>
      </c>
      <c r="C1780" s="9" t="s">
        <v>62</v>
      </c>
      <c r="D1780" s="9" t="s">
        <v>10412</v>
      </c>
      <c r="E1780" s="8" t="s">
        <v>35</v>
      </c>
      <c r="F1780" s="8" t="s">
        <v>97</v>
      </c>
      <c r="G1780" s="8" t="s">
        <v>225</v>
      </c>
      <c r="H1780" s="8" t="s">
        <v>125</v>
      </c>
      <c r="I1780" s="8" t="s">
        <v>113</v>
      </c>
      <c r="J1780" s="9" t="s">
        <v>30</v>
      </c>
      <c r="K1780" s="46" t="s">
        <v>10413</v>
      </c>
      <c r="L1780" s="8" t="s">
        <v>276</v>
      </c>
      <c r="M1780" s="8" t="s">
        <v>276</v>
      </c>
      <c r="N1780" s="10" t="s">
        <v>276</v>
      </c>
      <c r="O1780" s="9" t="s">
        <v>276</v>
      </c>
      <c r="P1780" s="9" t="s">
        <v>239</v>
      </c>
      <c r="Q1780" s="52" t="s">
        <v>10220</v>
      </c>
      <c r="R1780" s="9" t="s">
        <v>276</v>
      </c>
      <c r="S1780" s="9" t="s">
        <v>276</v>
      </c>
      <c r="T1780" s="9" t="s">
        <v>276</v>
      </c>
      <c r="U1780" s="51" t="s">
        <v>9878</v>
      </c>
      <c r="V1780" s="8" t="s">
        <v>15</v>
      </c>
      <c r="W1780" s="8" t="s">
        <v>9254</v>
      </c>
      <c r="X1780" s="9" t="s">
        <v>207</v>
      </c>
      <c r="Y1780" s="13">
        <v>77080</v>
      </c>
      <c r="Z1780" s="38">
        <v>55985</v>
      </c>
      <c r="AA1780" s="9" t="s">
        <v>276</v>
      </c>
      <c r="AB1780" s="9" t="s">
        <v>276</v>
      </c>
      <c r="AC1780" s="9" t="s">
        <v>10414</v>
      </c>
      <c r="AD1780" s="9" t="s">
        <v>10415</v>
      </c>
      <c r="AE1780" s="9" t="s">
        <v>10414</v>
      </c>
      <c r="AF1780" s="9" t="s">
        <v>10415</v>
      </c>
      <c r="AG1780" s="9" t="s">
        <v>10416</v>
      </c>
      <c r="AH1780" s="9" t="s">
        <v>9258</v>
      </c>
      <c r="AI1780" s="786">
        <v>585</v>
      </c>
      <c r="AJ1780" s="786">
        <v>271</v>
      </c>
      <c r="AK1780" s="13">
        <v>77080</v>
      </c>
      <c r="AL1780" s="38">
        <v>55985</v>
      </c>
      <c r="AM1780" s="38" t="s">
        <v>281</v>
      </c>
      <c r="AN1780" s="8" t="s">
        <v>276</v>
      </c>
      <c r="AO1780" s="14">
        <f t="shared" si="502"/>
        <v>7.5895173845355473</v>
      </c>
      <c r="AP1780" s="8" t="s">
        <v>276</v>
      </c>
      <c r="AQ1780" s="8" t="s">
        <v>276</v>
      </c>
      <c r="AR1780" s="8" t="s">
        <v>276</v>
      </c>
      <c r="AS1780" s="14">
        <f t="shared" si="503"/>
        <v>4.8405822988300438</v>
      </c>
      <c r="AT1780" s="8" t="s">
        <v>276</v>
      </c>
      <c r="AU1780" s="8" t="s">
        <v>276</v>
      </c>
      <c r="AV1780" s="8" t="s">
        <v>268</v>
      </c>
      <c r="AW1780" s="8" t="s">
        <v>276</v>
      </c>
      <c r="AX1780" s="31">
        <f t="shared" si="504"/>
        <v>1.5678934714879063</v>
      </c>
      <c r="AY1780" s="8" t="s">
        <v>276</v>
      </c>
      <c r="AZ1780" s="8" t="s">
        <v>276</v>
      </c>
      <c r="BA1780" s="8" t="s">
        <v>276</v>
      </c>
      <c r="BB1780" s="8" t="s">
        <v>282</v>
      </c>
      <c r="BC1780" s="8" t="s">
        <v>98</v>
      </c>
      <c r="BD1780" s="8" t="s">
        <v>98</v>
      </c>
      <c r="BE1780" s="8" t="s">
        <v>98</v>
      </c>
      <c r="BF1780" s="9" t="s">
        <v>10417</v>
      </c>
      <c r="BG1780" s="9"/>
      <c r="BH1780" s="9" t="s">
        <v>100</v>
      </c>
      <c r="BI1780" s="9" t="s">
        <v>100</v>
      </c>
      <c r="BJ1780" s="32"/>
      <c r="BN1780" s="32"/>
      <c r="BO1780" s="32"/>
    </row>
    <row r="1781" spans="1:67" s="33" customFormat="1" ht="299" hidden="1" x14ac:dyDescent="0.35">
      <c r="A1781" s="415">
        <v>4086</v>
      </c>
      <c r="B1781" s="8" t="s">
        <v>9873</v>
      </c>
      <c r="C1781" s="9" t="s">
        <v>62</v>
      </c>
      <c r="D1781" s="9" t="s">
        <v>10418</v>
      </c>
      <c r="E1781" s="8" t="s">
        <v>35</v>
      </c>
      <c r="F1781" s="8" t="s">
        <v>97</v>
      </c>
      <c r="G1781" s="8" t="s">
        <v>225</v>
      </c>
      <c r="H1781" s="8" t="s">
        <v>125</v>
      </c>
      <c r="I1781" s="8" t="s">
        <v>113</v>
      </c>
      <c r="J1781" s="9" t="s">
        <v>30</v>
      </c>
      <c r="K1781" s="46" t="s">
        <v>10419</v>
      </c>
      <c r="L1781" s="8" t="s">
        <v>276</v>
      </c>
      <c r="M1781" s="8" t="s">
        <v>276</v>
      </c>
      <c r="N1781" s="10" t="s">
        <v>276</v>
      </c>
      <c r="O1781" s="9" t="s">
        <v>276</v>
      </c>
      <c r="P1781" s="9" t="s">
        <v>239</v>
      </c>
      <c r="Q1781" s="52" t="s">
        <v>10220</v>
      </c>
      <c r="R1781" s="9" t="s">
        <v>276</v>
      </c>
      <c r="S1781" s="9" t="s">
        <v>276</v>
      </c>
      <c r="T1781" s="9" t="s">
        <v>276</v>
      </c>
      <c r="U1781" s="51" t="s">
        <v>9878</v>
      </c>
      <c r="V1781" s="8" t="s">
        <v>15</v>
      </c>
      <c r="W1781" s="8" t="s">
        <v>9254</v>
      </c>
      <c r="X1781" s="9" t="s">
        <v>207</v>
      </c>
      <c r="Y1781" s="13">
        <v>77080</v>
      </c>
      <c r="Z1781" s="38">
        <v>55985</v>
      </c>
      <c r="AA1781" s="9" t="s">
        <v>276</v>
      </c>
      <c r="AB1781" s="9" t="s">
        <v>276</v>
      </c>
      <c r="AC1781" s="9" t="s">
        <v>10414</v>
      </c>
      <c r="AD1781" s="9" t="s">
        <v>10415</v>
      </c>
      <c r="AE1781" s="9" t="s">
        <v>10414</v>
      </c>
      <c r="AF1781" s="9" t="s">
        <v>10415</v>
      </c>
      <c r="AG1781" s="9" t="s">
        <v>10420</v>
      </c>
      <c r="AH1781" s="9" t="s">
        <v>9258</v>
      </c>
      <c r="AI1781" s="786">
        <v>442</v>
      </c>
      <c r="AJ1781" s="786">
        <v>365</v>
      </c>
      <c r="AK1781" s="13">
        <v>77080</v>
      </c>
      <c r="AL1781" s="38">
        <v>55985</v>
      </c>
      <c r="AM1781" s="38" t="s">
        <v>281</v>
      </c>
      <c r="AN1781" s="8" t="s">
        <v>276</v>
      </c>
      <c r="AO1781" s="14">
        <f t="shared" si="502"/>
        <v>5.7343020238713027</v>
      </c>
      <c r="AP1781" s="8" t="s">
        <v>276</v>
      </c>
      <c r="AQ1781" s="8" t="s">
        <v>276</v>
      </c>
      <c r="AR1781" s="8" t="s">
        <v>276</v>
      </c>
      <c r="AS1781" s="14">
        <f t="shared" si="503"/>
        <v>6.5196034652138968</v>
      </c>
      <c r="AT1781" s="8" t="s">
        <v>276</v>
      </c>
      <c r="AU1781" s="8" t="s">
        <v>276</v>
      </c>
      <c r="AV1781" s="8" t="s">
        <v>268</v>
      </c>
      <c r="AW1781" s="8" t="s">
        <v>276</v>
      </c>
      <c r="AX1781" s="31">
        <f t="shared" si="504"/>
        <v>0.87954766796283523</v>
      </c>
      <c r="AY1781" s="8" t="s">
        <v>276</v>
      </c>
      <c r="AZ1781" s="8" t="s">
        <v>276</v>
      </c>
      <c r="BA1781" s="8" t="s">
        <v>276</v>
      </c>
      <c r="BB1781" s="8" t="s">
        <v>282</v>
      </c>
      <c r="BC1781" s="8" t="s">
        <v>98</v>
      </c>
      <c r="BD1781" s="8" t="s">
        <v>98</v>
      </c>
      <c r="BE1781" s="8" t="s">
        <v>98</v>
      </c>
      <c r="BF1781" s="9" t="s">
        <v>10417</v>
      </c>
      <c r="BG1781" s="9"/>
      <c r="BH1781" s="9" t="s">
        <v>100</v>
      </c>
      <c r="BI1781" s="9" t="s">
        <v>100</v>
      </c>
      <c r="BJ1781" s="32"/>
      <c r="BN1781" s="32"/>
      <c r="BO1781" s="32"/>
    </row>
    <row r="1782" spans="1:67" s="33" customFormat="1" ht="234" hidden="1" x14ac:dyDescent="0.35">
      <c r="A1782" s="415">
        <v>4086</v>
      </c>
      <c r="B1782" s="8" t="s">
        <v>9873</v>
      </c>
      <c r="C1782" s="9" t="s">
        <v>62</v>
      </c>
      <c r="D1782" s="9" t="s">
        <v>10421</v>
      </c>
      <c r="E1782" s="8" t="s">
        <v>35</v>
      </c>
      <c r="F1782" s="8" t="s">
        <v>97</v>
      </c>
      <c r="G1782" s="8" t="s">
        <v>225</v>
      </c>
      <c r="H1782" s="8" t="s">
        <v>125</v>
      </c>
      <c r="I1782" s="8" t="s">
        <v>113</v>
      </c>
      <c r="J1782" s="9" t="s">
        <v>30</v>
      </c>
      <c r="K1782" s="46" t="s">
        <v>10422</v>
      </c>
      <c r="L1782" s="8" t="s">
        <v>276</v>
      </c>
      <c r="M1782" s="8" t="s">
        <v>276</v>
      </c>
      <c r="N1782" s="10" t="s">
        <v>276</v>
      </c>
      <c r="O1782" s="9" t="s">
        <v>276</v>
      </c>
      <c r="P1782" s="9" t="s">
        <v>239</v>
      </c>
      <c r="Q1782" s="52" t="s">
        <v>10220</v>
      </c>
      <c r="R1782" s="9" t="s">
        <v>276</v>
      </c>
      <c r="S1782" s="9" t="s">
        <v>276</v>
      </c>
      <c r="T1782" s="9" t="s">
        <v>276</v>
      </c>
      <c r="U1782" s="51" t="s">
        <v>9878</v>
      </c>
      <c r="V1782" s="8" t="s">
        <v>15</v>
      </c>
      <c r="W1782" s="8" t="s">
        <v>9254</v>
      </c>
      <c r="X1782" s="9" t="s">
        <v>207</v>
      </c>
      <c r="Y1782" s="13">
        <v>77080</v>
      </c>
      <c r="Z1782" s="38">
        <v>55985</v>
      </c>
      <c r="AA1782" s="9" t="s">
        <v>276</v>
      </c>
      <c r="AB1782" s="9" t="s">
        <v>276</v>
      </c>
      <c r="AC1782" s="9" t="s">
        <v>10414</v>
      </c>
      <c r="AD1782" s="9" t="s">
        <v>10415</v>
      </c>
      <c r="AE1782" s="9" t="s">
        <v>10414</v>
      </c>
      <c r="AF1782" s="9" t="s">
        <v>10415</v>
      </c>
      <c r="AG1782" s="9" t="s">
        <v>10423</v>
      </c>
      <c r="AH1782" s="9" t="s">
        <v>9258</v>
      </c>
      <c r="AI1782" s="786">
        <v>399</v>
      </c>
      <c r="AJ1782" s="786">
        <v>406</v>
      </c>
      <c r="AK1782" s="13">
        <v>77080</v>
      </c>
      <c r="AL1782" s="38">
        <v>55985</v>
      </c>
      <c r="AM1782" s="38" t="s">
        <v>281</v>
      </c>
      <c r="AN1782" s="8" t="s">
        <v>276</v>
      </c>
      <c r="AO1782" s="14">
        <f t="shared" si="502"/>
        <v>5.1764400622729632</v>
      </c>
      <c r="AP1782" s="8" t="s">
        <v>276</v>
      </c>
      <c r="AQ1782" s="8" t="s">
        <v>276</v>
      </c>
      <c r="AR1782" s="8" t="s">
        <v>276</v>
      </c>
      <c r="AS1782" s="14">
        <f t="shared" si="503"/>
        <v>7.2519424845940881</v>
      </c>
      <c r="AT1782" s="8" t="s">
        <v>276</v>
      </c>
      <c r="AU1782" s="8" t="s">
        <v>276</v>
      </c>
      <c r="AV1782" s="8" t="s">
        <v>268</v>
      </c>
      <c r="AW1782" s="8" t="s">
        <v>276</v>
      </c>
      <c r="AX1782" s="31">
        <f t="shared" si="504"/>
        <v>0.7138004849417533</v>
      </c>
      <c r="AY1782" s="8" t="s">
        <v>276</v>
      </c>
      <c r="AZ1782" s="8" t="s">
        <v>276</v>
      </c>
      <c r="BA1782" s="8" t="s">
        <v>276</v>
      </c>
      <c r="BB1782" s="8" t="s">
        <v>282</v>
      </c>
      <c r="BC1782" s="8" t="s">
        <v>98</v>
      </c>
      <c r="BD1782" s="8" t="s">
        <v>98</v>
      </c>
      <c r="BE1782" s="8" t="s">
        <v>98</v>
      </c>
      <c r="BF1782" s="9" t="s">
        <v>10417</v>
      </c>
      <c r="BG1782" s="9"/>
      <c r="BH1782" s="9" t="s">
        <v>100</v>
      </c>
      <c r="BI1782" s="9" t="s">
        <v>100</v>
      </c>
      <c r="BJ1782" s="32"/>
      <c r="BN1782" s="32"/>
      <c r="BO1782" s="32"/>
    </row>
    <row r="1783" spans="1:67" s="79" customFormat="1" ht="234" hidden="1" x14ac:dyDescent="0.35">
      <c r="A1783" s="72">
        <v>4086</v>
      </c>
      <c r="B1783" s="72" t="s">
        <v>9873</v>
      </c>
      <c r="C1783" s="73" t="s">
        <v>62</v>
      </c>
      <c r="D1783" s="73" t="s">
        <v>10412</v>
      </c>
      <c r="E1783" s="72" t="s">
        <v>35</v>
      </c>
      <c r="F1783" s="72" t="s">
        <v>97</v>
      </c>
      <c r="G1783" s="72" t="s">
        <v>225</v>
      </c>
      <c r="H1783" s="72" t="s">
        <v>125</v>
      </c>
      <c r="I1783" s="72" t="s">
        <v>113</v>
      </c>
      <c r="J1783" s="73" t="s">
        <v>30</v>
      </c>
      <c r="K1783" s="308" t="s">
        <v>10413</v>
      </c>
      <c r="L1783" s="72" t="s">
        <v>276</v>
      </c>
      <c r="M1783" s="72" t="s">
        <v>276</v>
      </c>
      <c r="N1783" s="265" t="s">
        <v>276</v>
      </c>
      <c r="O1783" s="73" t="s">
        <v>276</v>
      </c>
      <c r="P1783" s="73" t="s">
        <v>239</v>
      </c>
      <c r="Q1783" s="77" t="s">
        <v>10220</v>
      </c>
      <c r="R1783" s="73" t="s">
        <v>276</v>
      </c>
      <c r="S1783" s="73" t="s">
        <v>276</v>
      </c>
      <c r="T1783" s="73" t="s">
        <v>276</v>
      </c>
      <c r="U1783" s="89" t="s">
        <v>9878</v>
      </c>
      <c r="V1783" s="72" t="s">
        <v>15</v>
      </c>
      <c r="W1783" s="72" t="s">
        <v>9254</v>
      </c>
      <c r="X1783" s="73" t="s">
        <v>207</v>
      </c>
      <c r="Y1783" s="74">
        <v>77080</v>
      </c>
      <c r="Z1783" s="75">
        <v>55985</v>
      </c>
      <c r="AA1783" s="73" t="s">
        <v>276</v>
      </c>
      <c r="AB1783" s="73" t="s">
        <v>276</v>
      </c>
      <c r="AC1783" s="73">
        <f>1426-1316</f>
        <v>110</v>
      </c>
      <c r="AD1783" s="73" t="s">
        <v>7545</v>
      </c>
      <c r="AE1783" s="73">
        <f>1042-982</f>
        <v>60</v>
      </c>
      <c r="AF1783" s="73" t="s">
        <v>7545</v>
      </c>
      <c r="AG1783" s="73" t="s">
        <v>10416</v>
      </c>
      <c r="AH1783" s="73" t="s">
        <v>9258</v>
      </c>
      <c r="AI1783" s="75">
        <v>530</v>
      </c>
      <c r="AJ1783" s="75">
        <v>250</v>
      </c>
      <c r="AK1783" s="74">
        <v>77080</v>
      </c>
      <c r="AL1783" s="75">
        <v>55985</v>
      </c>
      <c r="AM1783" s="75" t="s">
        <v>281</v>
      </c>
      <c r="AN1783" s="72" t="s">
        <v>276</v>
      </c>
      <c r="AO1783" s="76">
        <f t="shared" si="502"/>
        <v>6.8759730150492997</v>
      </c>
      <c r="AP1783" s="72" t="s">
        <v>276</v>
      </c>
      <c r="AQ1783" s="72" t="s">
        <v>276</v>
      </c>
      <c r="AR1783" s="72" t="s">
        <v>276</v>
      </c>
      <c r="AS1783" s="76">
        <f t="shared" si="503"/>
        <v>4.4654818254889701</v>
      </c>
      <c r="AT1783" s="72" t="s">
        <v>276</v>
      </c>
      <c r="AU1783" s="72" t="s">
        <v>276</v>
      </c>
      <c r="AV1783" s="72" t="s">
        <v>268</v>
      </c>
      <c r="AW1783" s="72" t="s">
        <v>276</v>
      </c>
      <c r="AX1783" s="86">
        <f t="shared" si="504"/>
        <v>1.5398053969901402</v>
      </c>
      <c r="AY1783" s="72" t="s">
        <v>276</v>
      </c>
      <c r="AZ1783" s="72" t="s">
        <v>276</v>
      </c>
      <c r="BA1783" s="72" t="s">
        <v>276</v>
      </c>
      <c r="BB1783" s="72" t="s">
        <v>282</v>
      </c>
      <c r="BC1783" s="72" t="s">
        <v>98</v>
      </c>
      <c r="BD1783" s="72" t="s">
        <v>98</v>
      </c>
      <c r="BE1783" s="72" t="s">
        <v>98</v>
      </c>
      <c r="BF1783" s="73" t="s">
        <v>1020</v>
      </c>
      <c r="BG1783" s="73"/>
      <c r="BH1783" s="9" t="s">
        <v>100</v>
      </c>
      <c r="BI1783" s="9" t="s">
        <v>100</v>
      </c>
      <c r="BJ1783" s="78"/>
      <c r="BN1783" s="78"/>
      <c r="BO1783" s="78"/>
    </row>
    <row r="1784" spans="1:67" s="79" customFormat="1" ht="299" hidden="1" x14ac:dyDescent="0.35">
      <c r="A1784" s="72">
        <v>4086</v>
      </c>
      <c r="B1784" s="72" t="s">
        <v>9873</v>
      </c>
      <c r="C1784" s="73" t="s">
        <v>62</v>
      </c>
      <c r="D1784" s="73" t="s">
        <v>10418</v>
      </c>
      <c r="E1784" s="72" t="s">
        <v>35</v>
      </c>
      <c r="F1784" s="72" t="s">
        <v>97</v>
      </c>
      <c r="G1784" s="72" t="s">
        <v>225</v>
      </c>
      <c r="H1784" s="72" t="s">
        <v>125</v>
      </c>
      <c r="I1784" s="72" t="s">
        <v>113</v>
      </c>
      <c r="J1784" s="73" t="s">
        <v>30</v>
      </c>
      <c r="K1784" s="308" t="s">
        <v>10419</v>
      </c>
      <c r="L1784" s="72" t="s">
        <v>276</v>
      </c>
      <c r="M1784" s="72" t="s">
        <v>276</v>
      </c>
      <c r="N1784" s="265" t="s">
        <v>276</v>
      </c>
      <c r="O1784" s="73" t="s">
        <v>276</v>
      </c>
      <c r="P1784" s="73" t="s">
        <v>239</v>
      </c>
      <c r="Q1784" s="77" t="s">
        <v>10220</v>
      </c>
      <c r="R1784" s="73" t="s">
        <v>276</v>
      </c>
      <c r="S1784" s="73" t="s">
        <v>276</v>
      </c>
      <c r="T1784" s="73" t="s">
        <v>276</v>
      </c>
      <c r="U1784" s="89" t="s">
        <v>9878</v>
      </c>
      <c r="V1784" s="72" t="s">
        <v>15</v>
      </c>
      <c r="W1784" s="72" t="s">
        <v>9254</v>
      </c>
      <c r="X1784" s="73" t="s">
        <v>207</v>
      </c>
      <c r="Y1784" s="74">
        <v>77080</v>
      </c>
      <c r="Z1784" s="75">
        <v>55985</v>
      </c>
      <c r="AA1784" s="73" t="s">
        <v>276</v>
      </c>
      <c r="AB1784" s="73" t="s">
        <v>276</v>
      </c>
      <c r="AC1784" s="73">
        <f>1426-1316</f>
        <v>110</v>
      </c>
      <c r="AD1784" s="73" t="s">
        <v>7545</v>
      </c>
      <c r="AE1784" s="73">
        <f>1042-982</f>
        <v>60</v>
      </c>
      <c r="AF1784" s="73" t="s">
        <v>7545</v>
      </c>
      <c r="AG1784" s="73" t="s">
        <v>10420</v>
      </c>
      <c r="AH1784" s="73" t="s">
        <v>9258</v>
      </c>
      <c r="AI1784" s="75">
        <v>427</v>
      </c>
      <c r="AJ1784" s="786">
        <v>359</v>
      </c>
      <c r="AK1784" s="74">
        <v>77080</v>
      </c>
      <c r="AL1784" s="75">
        <v>55985</v>
      </c>
      <c r="AM1784" s="75" t="s">
        <v>281</v>
      </c>
      <c r="AN1784" s="72" t="s">
        <v>276</v>
      </c>
      <c r="AO1784" s="76">
        <f t="shared" si="502"/>
        <v>5.5396990140114166</v>
      </c>
      <c r="AP1784" s="72" t="s">
        <v>276</v>
      </c>
      <c r="AQ1784" s="72" t="s">
        <v>276</v>
      </c>
      <c r="AR1784" s="72" t="s">
        <v>276</v>
      </c>
      <c r="AS1784" s="76">
        <f t="shared" si="503"/>
        <v>6.4124319014021616</v>
      </c>
      <c r="AT1784" s="72" t="s">
        <v>276</v>
      </c>
      <c r="AU1784" s="72" t="s">
        <v>276</v>
      </c>
      <c r="AV1784" s="72" t="s">
        <v>268</v>
      </c>
      <c r="AW1784" s="72" t="s">
        <v>276</v>
      </c>
      <c r="AX1784" s="86">
        <f t="shared" si="504"/>
        <v>0.86389985877278319</v>
      </c>
      <c r="AY1784" s="72" t="s">
        <v>276</v>
      </c>
      <c r="AZ1784" s="72" t="s">
        <v>276</v>
      </c>
      <c r="BA1784" s="72" t="s">
        <v>276</v>
      </c>
      <c r="BB1784" s="72" t="s">
        <v>282</v>
      </c>
      <c r="BC1784" s="72" t="s">
        <v>98</v>
      </c>
      <c r="BD1784" s="72" t="s">
        <v>98</v>
      </c>
      <c r="BE1784" s="72" t="s">
        <v>98</v>
      </c>
      <c r="BF1784" s="73" t="s">
        <v>1020</v>
      </c>
      <c r="BG1784" s="73"/>
      <c r="BH1784" s="9" t="s">
        <v>100</v>
      </c>
      <c r="BI1784" s="9" t="s">
        <v>100</v>
      </c>
      <c r="BJ1784" s="78"/>
      <c r="BN1784" s="78"/>
      <c r="BO1784" s="78"/>
    </row>
    <row r="1785" spans="1:67" s="79" customFormat="1" ht="234" hidden="1" x14ac:dyDescent="0.35">
      <c r="A1785" s="72">
        <v>4086</v>
      </c>
      <c r="B1785" s="72" t="s">
        <v>9873</v>
      </c>
      <c r="C1785" s="73" t="s">
        <v>62</v>
      </c>
      <c r="D1785" s="73" t="s">
        <v>10421</v>
      </c>
      <c r="E1785" s="72" t="s">
        <v>35</v>
      </c>
      <c r="F1785" s="72" t="s">
        <v>97</v>
      </c>
      <c r="G1785" s="72" t="s">
        <v>225</v>
      </c>
      <c r="H1785" s="72" t="s">
        <v>125</v>
      </c>
      <c r="I1785" s="72" t="s">
        <v>113</v>
      </c>
      <c r="J1785" s="73" t="s">
        <v>30</v>
      </c>
      <c r="K1785" s="308" t="s">
        <v>10422</v>
      </c>
      <c r="L1785" s="72" t="s">
        <v>276</v>
      </c>
      <c r="M1785" s="72" t="s">
        <v>276</v>
      </c>
      <c r="N1785" s="265" t="s">
        <v>276</v>
      </c>
      <c r="O1785" s="73" t="s">
        <v>276</v>
      </c>
      <c r="P1785" s="73" t="s">
        <v>239</v>
      </c>
      <c r="Q1785" s="77" t="s">
        <v>10220</v>
      </c>
      <c r="R1785" s="73" t="s">
        <v>276</v>
      </c>
      <c r="S1785" s="73" t="s">
        <v>276</v>
      </c>
      <c r="T1785" s="73" t="s">
        <v>276</v>
      </c>
      <c r="U1785" s="89" t="s">
        <v>9878</v>
      </c>
      <c r="V1785" s="72" t="s">
        <v>15</v>
      </c>
      <c r="W1785" s="72" t="s">
        <v>9254</v>
      </c>
      <c r="X1785" s="73" t="s">
        <v>207</v>
      </c>
      <c r="Y1785" s="74">
        <v>77080</v>
      </c>
      <c r="Z1785" s="75">
        <v>55985</v>
      </c>
      <c r="AA1785" s="73" t="s">
        <v>276</v>
      </c>
      <c r="AB1785" s="73" t="s">
        <v>276</v>
      </c>
      <c r="AC1785" s="73">
        <f>1426-1316</f>
        <v>110</v>
      </c>
      <c r="AD1785" s="73" t="s">
        <v>7545</v>
      </c>
      <c r="AE1785" s="73">
        <f>1042-982</f>
        <v>60</v>
      </c>
      <c r="AF1785" s="73" t="s">
        <v>7545</v>
      </c>
      <c r="AG1785" s="73" t="s">
        <v>10423</v>
      </c>
      <c r="AH1785" s="73" t="s">
        <v>9258</v>
      </c>
      <c r="AI1785" s="75">
        <v>359</v>
      </c>
      <c r="AJ1785" s="75">
        <v>373</v>
      </c>
      <c r="AK1785" s="74">
        <v>77080</v>
      </c>
      <c r="AL1785" s="75">
        <v>55985</v>
      </c>
      <c r="AM1785" s="75" t="s">
        <v>281</v>
      </c>
      <c r="AN1785" s="72" t="s">
        <v>276</v>
      </c>
      <c r="AO1785" s="76">
        <f t="shared" si="502"/>
        <v>4.6574987026466008</v>
      </c>
      <c r="AP1785" s="72" t="s">
        <v>276</v>
      </c>
      <c r="AQ1785" s="72" t="s">
        <v>276</v>
      </c>
      <c r="AR1785" s="72" t="s">
        <v>276</v>
      </c>
      <c r="AS1785" s="76">
        <f t="shared" si="503"/>
        <v>6.662498883629544</v>
      </c>
      <c r="AT1785" s="72" t="s">
        <v>276</v>
      </c>
      <c r="AU1785" s="72" t="s">
        <v>276</v>
      </c>
      <c r="AV1785" s="72" t="s">
        <v>268</v>
      </c>
      <c r="AW1785" s="72" t="s">
        <v>276</v>
      </c>
      <c r="AX1785" s="86">
        <f t="shared" si="504"/>
        <v>0.69906183610635375</v>
      </c>
      <c r="AY1785" s="72" t="s">
        <v>276</v>
      </c>
      <c r="AZ1785" s="72" t="s">
        <v>276</v>
      </c>
      <c r="BA1785" s="72" t="s">
        <v>276</v>
      </c>
      <c r="BB1785" s="72" t="s">
        <v>282</v>
      </c>
      <c r="BC1785" s="72" t="s">
        <v>98</v>
      </c>
      <c r="BD1785" s="72" t="s">
        <v>98</v>
      </c>
      <c r="BE1785" s="72" t="s">
        <v>98</v>
      </c>
      <c r="BF1785" s="73" t="s">
        <v>1020</v>
      </c>
      <c r="BG1785" s="73"/>
      <c r="BH1785" s="9" t="s">
        <v>100</v>
      </c>
      <c r="BI1785" s="9" t="s">
        <v>100</v>
      </c>
      <c r="BJ1785" s="78"/>
      <c r="BN1785" s="78"/>
      <c r="BO1785" s="78"/>
    </row>
    <row r="1786" spans="1:67" s="183" customFormat="1" ht="78" hidden="1" x14ac:dyDescent="0.35">
      <c r="A1786" s="175">
        <v>4083</v>
      </c>
      <c r="B1786" s="175" t="s">
        <v>9912</v>
      </c>
      <c r="C1786" s="176" t="s">
        <v>62</v>
      </c>
      <c r="D1786" s="176" t="s">
        <v>10424</v>
      </c>
      <c r="E1786" s="175" t="s">
        <v>35</v>
      </c>
      <c r="F1786" s="175" t="s">
        <v>97</v>
      </c>
      <c r="G1786" s="175" t="s">
        <v>225</v>
      </c>
      <c r="H1786" s="175" t="s">
        <v>125</v>
      </c>
      <c r="I1786" s="175" t="s">
        <v>113</v>
      </c>
      <c r="J1786" s="176" t="s">
        <v>98</v>
      </c>
      <c r="K1786" s="175" t="s">
        <v>98</v>
      </c>
      <c r="L1786" s="175" t="s">
        <v>98</v>
      </c>
      <c r="M1786" s="175" t="s">
        <v>98</v>
      </c>
      <c r="N1786" s="177" t="s">
        <v>10425</v>
      </c>
      <c r="O1786" s="176" t="s">
        <v>276</v>
      </c>
      <c r="P1786" s="176" t="s">
        <v>238</v>
      </c>
      <c r="Q1786" s="304" t="s">
        <v>10426</v>
      </c>
      <c r="R1786" s="176" t="s">
        <v>10427</v>
      </c>
      <c r="S1786" s="176" t="s">
        <v>276</v>
      </c>
      <c r="T1786" s="504" t="s">
        <v>276</v>
      </c>
      <c r="U1786" s="178" t="s">
        <v>9878</v>
      </c>
      <c r="V1786" s="175" t="s">
        <v>15</v>
      </c>
      <c r="W1786" s="175" t="s">
        <v>9254</v>
      </c>
      <c r="X1786" s="176" t="s">
        <v>207</v>
      </c>
      <c r="Y1786" s="317">
        <v>77080</v>
      </c>
      <c r="Z1786" s="176">
        <v>55985</v>
      </c>
      <c r="AA1786" s="176" t="s">
        <v>276</v>
      </c>
      <c r="AB1786" s="176" t="s">
        <v>276</v>
      </c>
      <c r="AC1786" s="175">
        <v>0</v>
      </c>
      <c r="AD1786" s="175" t="s">
        <v>5574</v>
      </c>
      <c r="AE1786" s="175">
        <v>0</v>
      </c>
      <c r="AF1786" s="175" t="s">
        <v>5574</v>
      </c>
      <c r="AG1786" s="176" t="s">
        <v>10428</v>
      </c>
      <c r="AH1786" s="176" t="s">
        <v>10429</v>
      </c>
      <c r="AI1786" s="179">
        <f>427+501</f>
        <v>928</v>
      </c>
      <c r="AJ1786" s="179">
        <v>287</v>
      </c>
      <c r="AK1786" s="317">
        <v>77080</v>
      </c>
      <c r="AL1786" s="179">
        <v>55985</v>
      </c>
      <c r="AM1786" s="179" t="s">
        <v>281</v>
      </c>
      <c r="AN1786" s="175" t="s">
        <v>276</v>
      </c>
      <c r="AO1786" s="181">
        <f t="shared" si="502"/>
        <v>12.039439543331603</v>
      </c>
      <c r="AP1786" s="175" t="s">
        <v>276</v>
      </c>
      <c r="AQ1786" s="175" t="s">
        <v>276</v>
      </c>
      <c r="AR1786" s="175" t="s">
        <v>98</v>
      </c>
      <c r="AS1786" s="181">
        <f>AJ1786*1000/AL1786</f>
        <v>5.1263731356613382</v>
      </c>
      <c r="AT1786" s="175" t="s">
        <v>276</v>
      </c>
      <c r="AU1786" s="175" t="s">
        <v>276</v>
      </c>
      <c r="AV1786" s="175" t="s">
        <v>268</v>
      </c>
      <c r="AW1786" s="175" t="s">
        <v>276</v>
      </c>
      <c r="AX1786" s="201">
        <f>AO1786/AS1786</f>
        <v>2.3485296962836926</v>
      </c>
      <c r="AY1786" s="175" t="s">
        <v>276</v>
      </c>
      <c r="AZ1786" s="175" t="s">
        <v>276</v>
      </c>
      <c r="BA1786" s="175" t="s">
        <v>276</v>
      </c>
      <c r="BB1786" s="175" t="s">
        <v>282</v>
      </c>
      <c r="BC1786" s="175" t="s">
        <v>98</v>
      </c>
      <c r="BD1786" s="175" t="s">
        <v>98</v>
      </c>
      <c r="BE1786" s="175" t="s">
        <v>98</v>
      </c>
      <c r="BF1786" s="176" t="s">
        <v>1358</v>
      </c>
      <c r="BG1786" s="176"/>
      <c r="BH1786" s="9" t="s">
        <v>100</v>
      </c>
      <c r="BI1786" s="9" t="s">
        <v>100</v>
      </c>
      <c r="BJ1786" s="182"/>
      <c r="BN1786" s="182"/>
      <c r="BO1786" s="182"/>
    </row>
    <row r="1787" spans="1:67" s="183" customFormat="1" ht="78" hidden="1" x14ac:dyDescent="0.35">
      <c r="A1787" s="175">
        <v>4083</v>
      </c>
      <c r="B1787" s="175" t="s">
        <v>9912</v>
      </c>
      <c r="C1787" s="176" t="s">
        <v>62</v>
      </c>
      <c r="D1787" s="176" t="s">
        <v>10430</v>
      </c>
      <c r="E1787" s="175" t="s">
        <v>35</v>
      </c>
      <c r="F1787" s="175" t="s">
        <v>97</v>
      </c>
      <c r="G1787" s="175" t="s">
        <v>225</v>
      </c>
      <c r="H1787" s="175" t="s">
        <v>125</v>
      </c>
      <c r="I1787" s="175" t="s">
        <v>113</v>
      </c>
      <c r="J1787" s="176" t="s">
        <v>98</v>
      </c>
      <c r="K1787" s="175" t="s">
        <v>98</v>
      </c>
      <c r="L1787" s="175" t="s">
        <v>98</v>
      </c>
      <c r="M1787" s="175" t="s">
        <v>98</v>
      </c>
      <c r="N1787" s="177" t="s">
        <v>10425</v>
      </c>
      <c r="O1787" s="176" t="s">
        <v>276</v>
      </c>
      <c r="P1787" s="176" t="s">
        <v>236</v>
      </c>
      <c r="Q1787" s="304" t="s">
        <v>10426</v>
      </c>
      <c r="R1787" s="176" t="s">
        <v>10427</v>
      </c>
      <c r="S1787" s="176" t="s">
        <v>276</v>
      </c>
      <c r="T1787" s="504" t="s">
        <v>276</v>
      </c>
      <c r="U1787" s="178" t="s">
        <v>9878</v>
      </c>
      <c r="V1787" s="175" t="s">
        <v>15</v>
      </c>
      <c r="W1787" s="175" t="s">
        <v>9254</v>
      </c>
      <c r="X1787" s="176" t="s">
        <v>207</v>
      </c>
      <c r="Y1787" s="317" t="s">
        <v>98</v>
      </c>
      <c r="Z1787" s="176" t="s">
        <v>98</v>
      </c>
      <c r="AA1787" s="176" t="s">
        <v>276</v>
      </c>
      <c r="AB1787" s="176" t="s">
        <v>276</v>
      </c>
      <c r="AC1787" s="175">
        <v>0</v>
      </c>
      <c r="AD1787" s="175" t="s">
        <v>5574</v>
      </c>
      <c r="AE1787" s="175">
        <v>0</v>
      </c>
      <c r="AF1787" s="175" t="s">
        <v>5574</v>
      </c>
      <c r="AG1787" s="176" t="s">
        <v>10428</v>
      </c>
      <c r="AH1787" s="176" t="s">
        <v>10431</v>
      </c>
      <c r="AI1787" s="179">
        <f>427+501</f>
        <v>928</v>
      </c>
      <c r="AJ1787" s="179">
        <v>287</v>
      </c>
      <c r="AK1787" s="317">
        <v>1426</v>
      </c>
      <c r="AL1787" s="179">
        <v>1042</v>
      </c>
      <c r="AM1787" s="179" t="s">
        <v>292</v>
      </c>
      <c r="AN1787" s="175" t="s">
        <v>276</v>
      </c>
      <c r="AO1787" s="181">
        <f>AI1787*100/AK1787</f>
        <v>65.077138849929881</v>
      </c>
      <c r="AP1787" s="175" t="s">
        <v>276</v>
      </c>
      <c r="AQ1787" s="175" t="s">
        <v>276</v>
      </c>
      <c r="AR1787" s="175" t="s">
        <v>98</v>
      </c>
      <c r="AS1787" s="181">
        <f>AJ1787*100/AL1787</f>
        <v>27.543186180422264</v>
      </c>
      <c r="AT1787" s="175" t="s">
        <v>276</v>
      </c>
      <c r="AU1787" s="175" t="s">
        <v>276</v>
      </c>
      <c r="AV1787" s="175" t="s">
        <v>268</v>
      </c>
      <c r="AW1787" s="175" t="s">
        <v>276</v>
      </c>
      <c r="AX1787" s="201">
        <f>AO1787/AS1787</f>
        <v>2.3627309645166181</v>
      </c>
      <c r="AY1787" s="175" t="s">
        <v>276</v>
      </c>
      <c r="AZ1787" s="175" t="s">
        <v>276</v>
      </c>
      <c r="BA1787" s="175" t="s">
        <v>276</v>
      </c>
      <c r="BB1787" s="175" t="s">
        <v>282</v>
      </c>
      <c r="BC1787" s="175" t="s">
        <v>98</v>
      </c>
      <c r="BD1787" s="175" t="s">
        <v>98</v>
      </c>
      <c r="BE1787" s="175" t="s">
        <v>98</v>
      </c>
      <c r="BF1787" s="176" t="s">
        <v>1358</v>
      </c>
      <c r="BG1787" s="176"/>
      <c r="BH1787" s="9" t="s">
        <v>100</v>
      </c>
      <c r="BI1787" s="9" t="s">
        <v>100</v>
      </c>
      <c r="BJ1787" s="182"/>
      <c r="BN1787" s="182"/>
      <c r="BO1787" s="182"/>
    </row>
    <row r="1788" spans="1:67" s="194" customFormat="1" ht="91" hidden="1" x14ac:dyDescent="0.35">
      <c r="A1788" s="184">
        <v>4083</v>
      </c>
      <c r="B1788" s="184" t="s">
        <v>9912</v>
      </c>
      <c r="C1788" s="185" t="s">
        <v>62</v>
      </c>
      <c r="D1788" s="185" t="s">
        <v>10432</v>
      </c>
      <c r="E1788" s="184" t="s">
        <v>35</v>
      </c>
      <c r="F1788" s="184" t="s">
        <v>97</v>
      </c>
      <c r="G1788" s="184" t="s">
        <v>225</v>
      </c>
      <c r="H1788" s="184" t="s">
        <v>125</v>
      </c>
      <c r="I1788" s="184" t="s">
        <v>113</v>
      </c>
      <c r="J1788" s="185" t="s">
        <v>98</v>
      </c>
      <c r="K1788" s="184" t="s">
        <v>98</v>
      </c>
      <c r="L1788" s="184" t="s">
        <v>98</v>
      </c>
      <c r="M1788" s="184" t="s">
        <v>98</v>
      </c>
      <c r="N1788" s="186" t="s">
        <v>10433</v>
      </c>
      <c r="O1788" s="185" t="s">
        <v>276</v>
      </c>
      <c r="P1788" s="185" t="s">
        <v>238</v>
      </c>
      <c r="Q1788" s="302" t="s">
        <v>10426</v>
      </c>
      <c r="R1788" s="185" t="s">
        <v>10427</v>
      </c>
      <c r="S1788" s="185" t="s">
        <v>276</v>
      </c>
      <c r="T1788" s="505" t="s">
        <v>276</v>
      </c>
      <c r="U1788" s="187" t="s">
        <v>9878</v>
      </c>
      <c r="V1788" s="184" t="s">
        <v>15</v>
      </c>
      <c r="W1788" s="184" t="s">
        <v>9254</v>
      </c>
      <c r="X1788" s="185" t="s">
        <v>207</v>
      </c>
      <c r="Y1788" s="324">
        <v>77080</v>
      </c>
      <c r="Z1788" s="185">
        <v>55985</v>
      </c>
      <c r="AA1788" s="185" t="s">
        <v>276</v>
      </c>
      <c r="AB1788" s="185" t="s">
        <v>276</v>
      </c>
      <c r="AC1788" s="184">
        <v>0</v>
      </c>
      <c r="AD1788" s="184" t="s">
        <v>5574</v>
      </c>
      <c r="AE1788" s="184">
        <v>0</v>
      </c>
      <c r="AF1788" s="184" t="s">
        <v>5574</v>
      </c>
      <c r="AG1788" s="185" t="s">
        <v>10434</v>
      </c>
      <c r="AH1788" s="185" t="s">
        <v>10429</v>
      </c>
      <c r="AI1788" s="188">
        <f>430+503</f>
        <v>933</v>
      </c>
      <c r="AJ1788" s="188">
        <v>285</v>
      </c>
      <c r="AK1788" s="324">
        <v>77080</v>
      </c>
      <c r="AL1788" s="188">
        <v>55985</v>
      </c>
      <c r="AM1788" s="188" t="s">
        <v>281</v>
      </c>
      <c r="AN1788" s="184" t="s">
        <v>276</v>
      </c>
      <c r="AO1788" s="192">
        <f t="shared" ref="AO1788" si="511">AI1788*1000/AK1788</f>
        <v>12.104307213284899</v>
      </c>
      <c r="AP1788" s="184" t="s">
        <v>276</v>
      </c>
      <c r="AQ1788" s="184" t="s">
        <v>276</v>
      </c>
      <c r="AR1788" s="184" t="s">
        <v>98</v>
      </c>
      <c r="AS1788" s="192">
        <f>AJ1788*1000/AL1788</f>
        <v>5.0906492810574262</v>
      </c>
      <c r="AT1788" s="184" t="s">
        <v>276</v>
      </c>
      <c r="AU1788" s="184" t="s">
        <v>276</v>
      </c>
      <c r="AV1788" s="184" t="s">
        <v>268</v>
      </c>
      <c r="AW1788" s="184" t="s">
        <v>276</v>
      </c>
      <c r="AX1788" s="338">
        <f>AO1788/AS1788</f>
        <v>2.3777531204763336</v>
      </c>
      <c r="AY1788" s="184" t="s">
        <v>276</v>
      </c>
      <c r="AZ1788" s="184" t="s">
        <v>276</v>
      </c>
      <c r="BA1788" s="184" t="s">
        <v>276</v>
      </c>
      <c r="BB1788" s="184" t="s">
        <v>282</v>
      </c>
      <c r="BC1788" s="184" t="s">
        <v>98</v>
      </c>
      <c r="BD1788" s="184" t="s">
        <v>98</v>
      </c>
      <c r="BE1788" s="184" t="s">
        <v>98</v>
      </c>
      <c r="BF1788" s="185" t="s">
        <v>298</v>
      </c>
      <c r="BG1788" s="185"/>
      <c r="BH1788" s="9" t="s">
        <v>100</v>
      </c>
      <c r="BI1788" s="9" t="s">
        <v>100</v>
      </c>
      <c r="BJ1788" s="193"/>
      <c r="BN1788" s="193"/>
      <c r="BO1788" s="193"/>
    </row>
    <row r="1789" spans="1:67" s="194" customFormat="1" ht="91" hidden="1" x14ac:dyDescent="0.35">
      <c r="A1789" s="184">
        <v>4083</v>
      </c>
      <c r="B1789" s="184" t="s">
        <v>9912</v>
      </c>
      <c r="C1789" s="185" t="s">
        <v>62</v>
      </c>
      <c r="D1789" s="185" t="s">
        <v>10435</v>
      </c>
      <c r="E1789" s="184" t="s">
        <v>35</v>
      </c>
      <c r="F1789" s="184" t="s">
        <v>97</v>
      </c>
      <c r="G1789" s="184" t="s">
        <v>225</v>
      </c>
      <c r="H1789" s="184" t="s">
        <v>125</v>
      </c>
      <c r="I1789" s="184" t="s">
        <v>113</v>
      </c>
      <c r="J1789" s="185" t="s">
        <v>98</v>
      </c>
      <c r="K1789" s="184" t="s">
        <v>98</v>
      </c>
      <c r="L1789" s="184" t="s">
        <v>98</v>
      </c>
      <c r="M1789" s="184" t="s">
        <v>98</v>
      </c>
      <c r="N1789" s="186" t="s">
        <v>10433</v>
      </c>
      <c r="O1789" s="185" t="s">
        <v>276</v>
      </c>
      <c r="P1789" s="185" t="s">
        <v>236</v>
      </c>
      <c r="Q1789" s="302" t="s">
        <v>10426</v>
      </c>
      <c r="R1789" s="185" t="s">
        <v>10427</v>
      </c>
      <c r="S1789" s="185" t="s">
        <v>276</v>
      </c>
      <c r="T1789" s="505" t="s">
        <v>276</v>
      </c>
      <c r="U1789" s="187" t="s">
        <v>9878</v>
      </c>
      <c r="V1789" s="184" t="s">
        <v>15</v>
      </c>
      <c r="W1789" s="184" t="s">
        <v>9254</v>
      </c>
      <c r="X1789" s="185" t="s">
        <v>207</v>
      </c>
      <c r="Y1789" s="324" t="s">
        <v>98</v>
      </c>
      <c r="Z1789" s="185" t="s">
        <v>98</v>
      </c>
      <c r="AA1789" s="185" t="s">
        <v>276</v>
      </c>
      <c r="AB1789" s="185" t="s">
        <v>276</v>
      </c>
      <c r="AC1789" s="184">
        <v>0</v>
      </c>
      <c r="AD1789" s="184" t="s">
        <v>5574</v>
      </c>
      <c r="AE1789" s="184">
        <v>0</v>
      </c>
      <c r="AF1789" s="184" t="s">
        <v>5574</v>
      </c>
      <c r="AG1789" s="185" t="s">
        <v>10434</v>
      </c>
      <c r="AH1789" s="185" t="s">
        <v>10436</v>
      </c>
      <c r="AI1789" s="188">
        <f>430+503</f>
        <v>933</v>
      </c>
      <c r="AJ1789" s="188">
        <v>285</v>
      </c>
      <c r="AK1789" s="324">
        <v>1439</v>
      </c>
      <c r="AL1789" s="188">
        <v>1049</v>
      </c>
      <c r="AM1789" s="188" t="s">
        <v>292</v>
      </c>
      <c r="AN1789" s="184" t="s">
        <v>276</v>
      </c>
      <c r="AO1789" s="192">
        <f>AI1789*100/AK1789</f>
        <v>64.836692147324527</v>
      </c>
      <c r="AP1789" s="184" t="s">
        <v>276</v>
      </c>
      <c r="AQ1789" s="184" t="s">
        <v>276</v>
      </c>
      <c r="AR1789" s="184" t="s">
        <v>276</v>
      </c>
      <c r="AS1789" s="192">
        <f>AJ1789*100/AL1789</f>
        <v>27.168732125834129</v>
      </c>
      <c r="AT1789" s="184" t="s">
        <v>276</v>
      </c>
      <c r="AU1789" s="184" t="s">
        <v>276</v>
      </c>
      <c r="AV1789" s="184" t="s">
        <v>268</v>
      </c>
      <c r="AW1789" s="184" t="s">
        <v>276</v>
      </c>
      <c r="AX1789" s="338">
        <f>AO1789/AS1789</f>
        <v>2.3864452653524011</v>
      </c>
      <c r="AY1789" s="184" t="s">
        <v>276</v>
      </c>
      <c r="AZ1789" s="184" t="s">
        <v>276</v>
      </c>
      <c r="BA1789" s="184" t="s">
        <v>276</v>
      </c>
      <c r="BB1789" s="184" t="s">
        <v>282</v>
      </c>
      <c r="BC1789" s="184" t="s">
        <v>98</v>
      </c>
      <c r="BD1789" s="184" t="s">
        <v>98</v>
      </c>
      <c r="BE1789" s="184" t="s">
        <v>98</v>
      </c>
      <c r="BF1789" s="185" t="s">
        <v>298</v>
      </c>
      <c r="BG1789" s="185"/>
      <c r="BH1789" s="9" t="s">
        <v>100</v>
      </c>
      <c r="BI1789" s="9" t="s">
        <v>100</v>
      </c>
      <c r="BJ1789" s="193"/>
      <c r="BN1789" s="193"/>
      <c r="BO1789" s="193"/>
    </row>
    <row r="1790" spans="1:67" s="33" customFormat="1" ht="78" hidden="1" x14ac:dyDescent="0.35">
      <c r="A1790" s="8">
        <v>4071</v>
      </c>
      <c r="B1790" s="8" t="s">
        <v>10437</v>
      </c>
      <c r="C1790" s="9" t="s">
        <v>9264</v>
      </c>
      <c r="D1790" s="9" t="s">
        <v>10438</v>
      </c>
      <c r="E1790" s="8" t="s">
        <v>35</v>
      </c>
      <c r="F1790" s="8" t="s">
        <v>97</v>
      </c>
      <c r="G1790" s="8" t="s">
        <v>225</v>
      </c>
      <c r="H1790" s="8" t="s">
        <v>125</v>
      </c>
      <c r="I1790" s="8" t="s">
        <v>113</v>
      </c>
      <c r="J1790" s="9" t="s">
        <v>104</v>
      </c>
      <c r="K1790" s="8" t="s">
        <v>10439</v>
      </c>
      <c r="L1790" s="9" t="s">
        <v>10440</v>
      </c>
      <c r="M1790" s="9" t="s">
        <v>10441</v>
      </c>
      <c r="N1790" s="8" t="s">
        <v>276</v>
      </c>
      <c r="O1790" s="9" t="s">
        <v>276</v>
      </c>
      <c r="P1790" s="9" t="s">
        <v>239</v>
      </c>
      <c r="Q1790" s="52">
        <v>38717</v>
      </c>
      <c r="R1790" s="9" t="s">
        <v>9916</v>
      </c>
      <c r="S1790" s="9" t="s">
        <v>10442</v>
      </c>
      <c r="T1790" s="9" t="s">
        <v>10443</v>
      </c>
      <c r="U1790" s="51" t="s">
        <v>9878</v>
      </c>
      <c r="V1790" s="8" t="s">
        <v>15</v>
      </c>
      <c r="W1790" s="8" t="s">
        <v>9254</v>
      </c>
      <c r="X1790" s="9" t="s">
        <v>207</v>
      </c>
      <c r="Y1790" s="13">
        <v>38589</v>
      </c>
      <c r="Z1790" s="9">
        <v>18582</v>
      </c>
      <c r="AA1790" s="9" t="s">
        <v>276</v>
      </c>
      <c r="AB1790" s="9" t="s">
        <v>276</v>
      </c>
      <c r="AC1790" s="8" t="s">
        <v>276</v>
      </c>
      <c r="AD1790" s="9" t="s">
        <v>10444</v>
      </c>
      <c r="AE1790" s="8" t="s">
        <v>276</v>
      </c>
      <c r="AF1790" s="9" t="s">
        <v>10444</v>
      </c>
      <c r="AG1790" s="9" t="s">
        <v>10445</v>
      </c>
      <c r="AH1790" s="9" t="s">
        <v>10446</v>
      </c>
      <c r="AI1790" s="38" t="s">
        <v>276</v>
      </c>
      <c r="AJ1790" s="38" t="s">
        <v>276</v>
      </c>
      <c r="AK1790" s="38">
        <v>806239</v>
      </c>
      <c r="AL1790" s="38">
        <v>392869</v>
      </c>
      <c r="AM1790" s="38" t="s">
        <v>1019</v>
      </c>
      <c r="AN1790" s="8" t="s">
        <v>276</v>
      </c>
      <c r="AO1790" s="14" t="s">
        <v>98</v>
      </c>
      <c r="AP1790" s="8" t="s">
        <v>276</v>
      </c>
      <c r="AQ1790" s="8" t="s">
        <v>276</v>
      </c>
      <c r="AR1790" s="8" t="s">
        <v>276</v>
      </c>
      <c r="AS1790" s="14" t="s">
        <v>98</v>
      </c>
      <c r="AT1790" s="8" t="s">
        <v>276</v>
      </c>
      <c r="AU1790" s="8" t="s">
        <v>276</v>
      </c>
      <c r="AV1790" s="8" t="s">
        <v>269</v>
      </c>
      <c r="AW1790" s="40" t="s">
        <v>276</v>
      </c>
      <c r="AX1790" s="40" t="s">
        <v>98</v>
      </c>
      <c r="AY1790" s="9" t="s">
        <v>276</v>
      </c>
      <c r="AZ1790" s="9" t="s">
        <v>276</v>
      </c>
      <c r="BA1790" s="9" t="s">
        <v>276</v>
      </c>
      <c r="BB1790" s="9" t="s">
        <v>10447</v>
      </c>
      <c r="BC1790" s="9">
        <v>1.1299999999999999</v>
      </c>
      <c r="BD1790" s="9">
        <v>0.98</v>
      </c>
      <c r="BE1790" s="40">
        <v>1.3</v>
      </c>
      <c r="BF1790" s="9" t="s">
        <v>10448</v>
      </c>
      <c r="BG1790" s="9"/>
      <c r="BH1790" s="9" t="s">
        <v>100</v>
      </c>
      <c r="BI1790" s="9" t="s">
        <v>100</v>
      </c>
      <c r="BJ1790" s="32"/>
      <c r="BN1790" s="32"/>
      <c r="BO1790" s="32"/>
    </row>
    <row r="1791" spans="1:67" s="33" customFormat="1" ht="78" hidden="1" x14ac:dyDescent="0.35">
      <c r="A1791" s="8">
        <v>4071</v>
      </c>
      <c r="B1791" s="8" t="s">
        <v>10437</v>
      </c>
      <c r="C1791" s="9" t="s">
        <v>9264</v>
      </c>
      <c r="D1791" s="9" t="s">
        <v>10449</v>
      </c>
      <c r="E1791" s="8" t="s">
        <v>35</v>
      </c>
      <c r="F1791" s="8" t="s">
        <v>97</v>
      </c>
      <c r="G1791" s="8" t="s">
        <v>225</v>
      </c>
      <c r="H1791" s="8" t="s">
        <v>125</v>
      </c>
      <c r="I1791" s="8" t="s">
        <v>113</v>
      </c>
      <c r="J1791" s="9" t="s">
        <v>103</v>
      </c>
      <c r="K1791" s="9" t="s">
        <v>10450</v>
      </c>
      <c r="L1791" s="9" t="s">
        <v>10440</v>
      </c>
      <c r="M1791" s="9" t="s">
        <v>10441</v>
      </c>
      <c r="N1791" s="8" t="s">
        <v>276</v>
      </c>
      <c r="O1791" s="9" t="s">
        <v>276</v>
      </c>
      <c r="P1791" s="9" t="s">
        <v>239</v>
      </c>
      <c r="Q1791" s="52">
        <v>38717</v>
      </c>
      <c r="R1791" s="9" t="s">
        <v>9916</v>
      </c>
      <c r="S1791" s="9" t="s">
        <v>10442</v>
      </c>
      <c r="T1791" s="9" t="s">
        <v>10443</v>
      </c>
      <c r="U1791" s="51" t="s">
        <v>9878</v>
      </c>
      <c r="V1791" s="8" t="s">
        <v>15</v>
      </c>
      <c r="W1791" s="8" t="s">
        <v>9254</v>
      </c>
      <c r="X1791" s="9" t="s">
        <v>207</v>
      </c>
      <c r="Y1791" s="13">
        <v>38589</v>
      </c>
      <c r="Z1791" s="9">
        <v>18582</v>
      </c>
      <c r="AA1791" s="9" t="s">
        <v>276</v>
      </c>
      <c r="AB1791" s="9" t="s">
        <v>276</v>
      </c>
      <c r="AC1791" s="8" t="s">
        <v>276</v>
      </c>
      <c r="AD1791" s="9" t="s">
        <v>10444</v>
      </c>
      <c r="AE1791" s="8" t="s">
        <v>276</v>
      </c>
      <c r="AF1791" s="9" t="s">
        <v>10444</v>
      </c>
      <c r="AG1791" s="9" t="s">
        <v>10451</v>
      </c>
      <c r="AH1791" s="9" t="s">
        <v>10446</v>
      </c>
      <c r="AI1791" s="38" t="s">
        <v>276</v>
      </c>
      <c r="AJ1791" s="38" t="s">
        <v>276</v>
      </c>
      <c r="AK1791" s="38">
        <v>806239</v>
      </c>
      <c r="AL1791" s="38">
        <v>392869</v>
      </c>
      <c r="AM1791" s="38" t="s">
        <v>1019</v>
      </c>
      <c r="AN1791" s="8" t="s">
        <v>276</v>
      </c>
      <c r="AO1791" s="14" t="s">
        <v>98</v>
      </c>
      <c r="AP1791" s="8" t="s">
        <v>276</v>
      </c>
      <c r="AQ1791" s="8" t="s">
        <v>276</v>
      </c>
      <c r="AR1791" s="8" t="s">
        <v>276</v>
      </c>
      <c r="AS1791" s="14" t="s">
        <v>98</v>
      </c>
      <c r="AT1791" s="8" t="s">
        <v>276</v>
      </c>
      <c r="AU1791" s="8" t="s">
        <v>276</v>
      </c>
      <c r="AV1791" s="8" t="s">
        <v>269</v>
      </c>
      <c r="AW1791" s="40" t="s">
        <v>276</v>
      </c>
      <c r="AX1791" s="40" t="s">
        <v>98</v>
      </c>
      <c r="AY1791" s="9" t="s">
        <v>276</v>
      </c>
      <c r="AZ1791" s="9" t="s">
        <v>276</v>
      </c>
      <c r="BA1791" s="9" t="s">
        <v>276</v>
      </c>
      <c r="BB1791" s="9" t="s">
        <v>10447</v>
      </c>
      <c r="BC1791" s="9">
        <v>0.81</v>
      </c>
      <c r="BD1791" s="9">
        <v>0.72</v>
      </c>
      <c r="BE1791" s="40">
        <v>0.91</v>
      </c>
      <c r="BF1791" s="9" t="s">
        <v>10452</v>
      </c>
      <c r="BG1791" s="9"/>
      <c r="BH1791" s="9" t="s">
        <v>100</v>
      </c>
      <c r="BI1791" s="9" t="s">
        <v>100</v>
      </c>
      <c r="BJ1791" s="32"/>
      <c r="BN1791" s="32"/>
      <c r="BO1791" s="32"/>
    </row>
    <row r="1792" spans="1:67" s="33" customFormat="1" ht="130" hidden="1" x14ac:dyDescent="0.35">
      <c r="A1792" s="8">
        <v>11141</v>
      </c>
      <c r="B1792" s="8" t="s">
        <v>10453</v>
      </c>
      <c r="C1792" s="9" t="s">
        <v>70</v>
      </c>
      <c r="D1792" s="9" t="s">
        <v>10511</v>
      </c>
      <c r="E1792" s="8" t="s">
        <v>35</v>
      </c>
      <c r="F1792" s="346" t="s">
        <v>11436</v>
      </c>
      <c r="G1792" s="8" t="s">
        <v>225</v>
      </c>
      <c r="H1792" s="9" t="s">
        <v>10455</v>
      </c>
      <c r="I1792" s="8" t="s">
        <v>114</v>
      </c>
      <c r="J1792" s="9" t="s">
        <v>25</v>
      </c>
      <c r="K1792" s="9" t="s">
        <v>10512</v>
      </c>
      <c r="L1792" s="8" t="s">
        <v>276</v>
      </c>
      <c r="M1792" s="8" t="s">
        <v>276</v>
      </c>
      <c r="N1792" s="9" t="s">
        <v>10513</v>
      </c>
      <c r="O1792" s="9" t="s">
        <v>276</v>
      </c>
      <c r="P1792" s="9" t="s">
        <v>239</v>
      </c>
      <c r="Q1792" s="52">
        <v>34699</v>
      </c>
      <c r="R1792" s="9" t="s">
        <v>98</v>
      </c>
      <c r="S1792" s="9" t="s">
        <v>10467</v>
      </c>
      <c r="T1792" s="9" t="s">
        <v>10468</v>
      </c>
      <c r="U1792" s="9" t="s">
        <v>98</v>
      </c>
      <c r="V1792" s="8" t="s">
        <v>14</v>
      </c>
      <c r="W1792" s="8" t="s">
        <v>98</v>
      </c>
      <c r="X1792" s="9" t="s">
        <v>207</v>
      </c>
      <c r="Y1792" s="34">
        <v>133375</v>
      </c>
      <c r="Z1792" s="34">
        <v>133665</v>
      </c>
      <c r="AA1792" s="9" t="s">
        <v>276</v>
      </c>
      <c r="AB1792" s="9" t="s">
        <v>276</v>
      </c>
      <c r="AC1792" s="8">
        <v>7</v>
      </c>
      <c r="AD1792" s="8" t="s">
        <v>968</v>
      </c>
      <c r="AE1792" s="8">
        <v>9</v>
      </c>
      <c r="AF1792" s="8" t="s">
        <v>968</v>
      </c>
      <c r="AG1792" s="9" t="s">
        <v>10514</v>
      </c>
      <c r="AH1792" s="9" t="s">
        <v>2034</v>
      </c>
      <c r="AI1792" s="38">
        <v>149</v>
      </c>
      <c r="AJ1792" s="38">
        <v>144</v>
      </c>
      <c r="AK1792" s="34">
        <v>133375</v>
      </c>
      <c r="AL1792" s="34">
        <v>133665</v>
      </c>
      <c r="AM1792" s="38" t="s">
        <v>281</v>
      </c>
      <c r="AN1792" s="8" t="s">
        <v>276</v>
      </c>
      <c r="AO1792" s="14">
        <f>AI1792*1000/AK1792</f>
        <v>1.1171508903467666</v>
      </c>
      <c r="AP1792" s="8" t="s">
        <v>276</v>
      </c>
      <c r="AQ1792" s="8" t="s">
        <v>276</v>
      </c>
      <c r="AR1792" s="8" t="s">
        <v>276</v>
      </c>
      <c r="AS1792" s="14">
        <f>AJ1792*1000/AL1792</f>
        <v>1.077320166086859</v>
      </c>
      <c r="AT1792" s="8" t="s">
        <v>276</v>
      </c>
      <c r="AU1792" s="8" t="s">
        <v>276</v>
      </c>
      <c r="AV1792" s="8" t="s">
        <v>268</v>
      </c>
      <c r="AW1792" s="40" t="s">
        <v>276</v>
      </c>
      <c r="AX1792" s="40">
        <f>AO1792/AS1792</f>
        <v>1.0369720399875038</v>
      </c>
      <c r="AY1792" s="9" t="s">
        <v>276</v>
      </c>
      <c r="AZ1792" s="9" t="s">
        <v>276</v>
      </c>
      <c r="BA1792" s="9" t="s">
        <v>276</v>
      </c>
      <c r="BB1792" s="9" t="s">
        <v>282</v>
      </c>
      <c r="BC1792" s="9" t="s">
        <v>98</v>
      </c>
      <c r="BD1792" s="9" t="s">
        <v>98</v>
      </c>
      <c r="BE1792" s="9" t="s">
        <v>98</v>
      </c>
      <c r="BF1792" s="9" t="s">
        <v>1010</v>
      </c>
      <c r="BG1792" s="9" t="s">
        <v>10515</v>
      </c>
      <c r="BH1792" s="9" t="s">
        <v>100</v>
      </c>
      <c r="BI1792" s="9" t="s">
        <v>100</v>
      </c>
      <c r="BJ1792" s="32"/>
      <c r="BN1792" s="32"/>
      <c r="BO1792" s="32"/>
    </row>
    <row r="1793" spans="1:67" s="33" customFormat="1" ht="130" hidden="1" x14ac:dyDescent="0.35">
      <c r="A1793" s="8">
        <v>11141</v>
      </c>
      <c r="B1793" s="8" t="s">
        <v>10453</v>
      </c>
      <c r="C1793" s="9" t="s">
        <v>70</v>
      </c>
      <c r="D1793" s="9" t="s">
        <v>10516</v>
      </c>
      <c r="E1793" s="8" t="s">
        <v>35</v>
      </c>
      <c r="F1793" s="346" t="s">
        <v>11436</v>
      </c>
      <c r="G1793" s="8" t="s">
        <v>225</v>
      </c>
      <c r="H1793" s="9" t="s">
        <v>10455</v>
      </c>
      <c r="I1793" s="8" t="s">
        <v>114</v>
      </c>
      <c r="J1793" s="9" t="s">
        <v>31</v>
      </c>
      <c r="K1793" s="46" t="s">
        <v>4971</v>
      </c>
      <c r="L1793" s="8" t="s">
        <v>276</v>
      </c>
      <c r="M1793" s="8" t="s">
        <v>276</v>
      </c>
      <c r="N1793" s="9" t="s">
        <v>10513</v>
      </c>
      <c r="O1793" s="9" t="s">
        <v>276</v>
      </c>
      <c r="P1793" s="9" t="s">
        <v>239</v>
      </c>
      <c r="Q1793" s="52">
        <v>34699</v>
      </c>
      <c r="R1793" s="9" t="s">
        <v>98</v>
      </c>
      <c r="S1793" s="9" t="s">
        <v>10467</v>
      </c>
      <c r="T1793" s="9" t="s">
        <v>10468</v>
      </c>
      <c r="U1793" s="9" t="s">
        <v>98</v>
      </c>
      <c r="V1793" s="8" t="s">
        <v>14</v>
      </c>
      <c r="W1793" s="8" t="s">
        <v>98</v>
      </c>
      <c r="X1793" s="9" t="s">
        <v>207</v>
      </c>
      <c r="Y1793" s="34">
        <v>133375</v>
      </c>
      <c r="Z1793" s="34">
        <v>133665</v>
      </c>
      <c r="AA1793" s="9" t="s">
        <v>276</v>
      </c>
      <c r="AB1793" s="9" t="s">
        <v>276</v>
      </c>
      <c r="AC1793" s="8">
        <v>2</v>
      </c>
      <c r="AD1793" s="8" t="s">
        <v>3921</v>
      </c>
      <c r="AE1793" s="8">
        <v>1</v>
      </c>
      <c r="AF1793" s="8" t="s">
        <v>3921</v>
      </c>
      <c r="AG1793" s="9" t="s">
        <v>10517</v>
      </c>
      <c r="AH1793" s="9" t="s">
        <v>2034</v>
      </c>
      <c r="AI1793" s="38">
        <v>122</v>
      </c>
      <c r="AJ1793" s="38">
        <v>132</v>
      </c>
      <c r="AK1793" s="34">
        <v>133375</v>
      </c>
      <c r="AL1793" s="34">
        <v>133665</v>
      </c>
      <c r="AM1793" s="38" t="s">
        <v>281</v>
      </c>
      <c r="AN1793" s="8" t="s">
        <v>276</v>
      </c>
      <c r="AO1793" s="14">
        <f>AI1793*1000/AK1793</f>
        <v>0.91471415182755389</v>
      </c>
      <c r="AP1793" s="8" t="s">
        <v>276</v>
      </c>
      <c r="AQ1793" s="8" t="s">
        <v>276</v>
      </c>
      <c r="AR1793" s="8" t="s">
        <v>276</v>
      </c>
      <c r="AS1793" s="14">
        <f>AJ1793*1000/AL1793</f>
        <v>0.98754348557962068</v>
      </c>
      <c r="AT1793" s="8" t="s">
        <v>276</v>
      </c>
      <c r="AU1793" s="8" t="s">
        <v>276</v>
      </c>
      <c r="AV1793" s="8" t="s">
        <v>268</v>
      </c>
      <c r="AW1793" s="40" t="s">
        <v>276</v>
      </c>
      <c r="AX1793" s="40">
        <f>AO1793/AS1793</f>
        <v>0.92625202351537872</v>
      </c>
      <c r="AY1793" s="9" t="s">
        <v>276</v>
      </c>
      <c r="AZ1793" s="9" t="s">
        <v>276</v>
      </c>
      <c r="BA1793" s="9" t="s">
        <v>276</v>
      </c>
      <c r="BB1793" s="9" t="s">
        <v>282</v>
      </c>
      <c r="BC1793" s="9" t="s">
        <v>98</v>
      </c>
      <c r="BD1793" s="9" t="s">
        <v>98</v>
      </c>
      <c r="BE1793" s="9" t="s">
        <v>98</v>
      </c>
      <c r="BF1793" s="9" t="s">
        <v>1010</v>
      </c>
      <c r="BG1793" s="9"/>
      <c r="BH1793" s="9" t="s">
        <v>100</v>
      </c>
      <c r="BI1793" s="9" t="s">
        <v>100</v>
      </c>
      <c r="BJ1793" s="32"/>
      <c r="BN1793" s="32"/>
      <c r="BO1793" s="32"/>
    </row>
    <row r="1794" spans="1:67" s="79" customFormat="1" ht="104" hidden="1" x14ac:dyDescent="0.35">
      <c r="A1794" s="72">
        <v>11141</v>
      </c>
      <c r="B1794" s="72" t="s">
        <v>10453</v>
      </c>
      <c r="C1794" s="73" t="s">
        <v>70</v>
      </c>
      <c r="D1794" s="73" t="s">
        <v>10518</v>
      </c>
      <c r="E1794" s="72" t="s">
        <v>35</v>
      </c>
      <c r="F1794" s="346" t="s">
        <v>11436</v>
      </c>
      <c r="G1794" s="72" t="s">
        <v>225</v>
      </c>
      <c r="H1794" s="73" t="s">
        <v>225</v>
      </c>
      <c r="I1794" s="72" t="s">
        <v>98</v>
      </c>
      <c r="J1794" s="73" t="s">
        <v>98</v>
      </c>
      <c r="K1794" s="308" t="s">
        <v>98</v>
      </c>
      <c r="L1794" s="72" t="s">
        <v>98</v>
      </c>
      <c r="M1794" s="72" t="s">
        <v>98</v>
      </c>
      <c r="N1794" s="73" t="s">
        <v>10519</v>
      </c>
      <c r="O1794" s="73" t="s">
        <v>276</v>
      </c>
      <c r="P1794" s="73" t="s">
        <v>238</v>
      </c>
      <c r="Q1794" s="77">
        <v>34699</v>
      </c>
      <c r="R1794" s="73" t="s">
        <v>98</v>
      </c>
      <c r="S1794" s="73" t="s">
        <v>10467</v>
      </c>
      <c r="T1794" s="73" t="s">
        <v>98</v>
      </c>
      <c r="U1794" s="73" t="s">
        <v>98</v>
      </c>
      <c r="V1794" s="72" t="s">
        <v>14</v>
      </c>
      <c r="W1794" s="72" t="s">
        <v>98</v>
      </c>
      <c r="X1794" s="73" t="s">
        <v>209</v>
      </c>
      <c r="Y1794" s="267">
        <v>133375</v>
      </c>
      <c r="Z1794" s="267" t="s">
        <v>98</v>
      </c>
      <c r="AA1794" s="73" t="s">
        <v>276</v>
      </c>
      <c r="AB1794" s="73" t="s">
        <v>98</v>
      </c>
      <c r="AC1794" s="72">
        <f>331-311</f>
        <v>20</v>
      </c>
      <c r="AD1794" s="73" t="s">
        <v>3843</v>
      </c>
      <c r="AE1794" s="72" t="s">
        <v>98</v>
      </c>
      <c r="AF1794" s="72" t="s">
        <v>98</v>
      </c>
      <c r="AG1794" s="73" t="s">
        <v>10520</v>
      </c>
      <c r="AH1794" s="73" t="s">
        <v>2034</v>
      </c>
      <c r="AI1794" s="75">
        <v>257</v>
      </c>
      <c r="AJ1794" s="75" t="s">
        <v>98</v>
      </c>
      <c r="AK1794" s="267">
        <v>133375</v>
      </c>
      <c r="AL1794" s="267" t="s">
        <v>98</v>
      </c>
      <c r="AM1794" s="75" t="s">
        <v>281</v>
      </c>
      <c r="AN1794" s="72" t="s">
        <v>276</v>
      </c>
      <c r="AO1794" s="76">
        <f>AI1794*1000/AK1794</f>
        <v>1.9268978444236176</v>
      </c>
      <c r="AP1794" s="72" t="s">
        <v>276</v>
      </c>
      <c r="AQ1794" s="72" t="s">
        <v>276</v>
      </c>
      <c r="AR1794" s="72" t="s">
        <v>98</v>
      </c>
      <c r="AS1794" s="76" t="s">
        <v>98</v>
      </c>
      <c r="AT1794" s="72" t="s">
        <v>98</v>
      </c>
      <c r="AU1794" s="72" t="s">
        <v>98</v>
      </c>
      <c r="AV1794" s="72" t="s">
        <v>98</v>
      </c>
      <c r="AW1794" s="83" t="s">
        <v>98</v>
      </c>
      <c r="AX1794" s="83" t="s">
        <v>98</v>
      </c>
      <c r="AY1794" s="73" t="s">
        <v>98</v>
      </c>
      <c r="AZ1794" s="73" t="s">
        <v>98</v>
      </c>
      <c r="BA1794" s="73" t="s">
        <v>98</v>
      </c>
      <c r="BB1794" s="73" t="s">
        <v>98</v>
      </c>
      <c r="BC1794" s="73" t="s">
        <v>98</v>
      </c>
      <c r="BD1794" s="73" t="s">
        <v>98</v>
      </c>
      <c r="BE1794" s="73" t="s">
        <v>98</v>
      </c>
      <c r="BF1794" s="73" t="s">
        <v>10521</v>
      </c>
      <c r="BG1794" s="73"/>
      <c r="BH1794" s="9" t="s">
        <v>100</v>
      </c>
      <c r="BI1794" s="9" t="s">
        <v>100</v>
      </c>
      <c r="BJ1794" s="78"/>
      <c r="BN1794" s="78"/>
      <c r="BO1794" s="78"/>
    </row>
    <row r="1795" spans="1:67" s="79" customFormat="1" ht="104" hidden="1" x14ac:dyDescent="0.35">
      <c r="A1795" s="72">
        <v>11141</v>
      </c>
      <c r="B1795" s="72" t="s">
        <v>10453</v>
      </c>
      <c r="C1795" s="73" t="s">
        <v>70</v>
      </c>
      <c r="D1795" s="73" t="s">
        <v>10522</v>
      </c>
      <c r="E1795" s="72" t="s">
        <v>35</v>
      </c>
      <c r="F1795" s="346" t="s">
        <v>11436</v>
      </c>
      <c r="G1795" s="72" t="s">
        <v>225</v>
      </c>
      <c r="H1795" s="73" t="s">
        <v>225</v>
      </c>
      <c r="I1795" s="72" t="s">
        <v>98</v>
      </c>
      <c r="J1795" s="73" t="s">
        <v>98</v>
      </c>
      <c r="K1795" s="308" t="s">
        <v>98</v>
      </c>
      <c r="L1795" s="72" t="s">
        <v>98</v>
      </c>
      <c r="M1795" s="72" t="s">
        <v>98</v>
      </c>
      <c r="N1795" s="73" t="s">
        <v>10519</v>
      </c>
      <c r="O1795" s="73" t="s">
        <v>276</v>
      </c>
      <c r="P1795" s="73" t="s">
        <v>236</v>
      </c>
      <c r="Q1795" s="77">
        <v>34699</v>
      </c>
      <c r="R1795" s="73" t="s">
        <v>98</v>
      </c>
      <c r="S1795" s="73" t="s">
        <v>10467</v>
      </c>
      <c r="T1795" s="73" t="s">
        <v>98</v>
      </c>
      <c r="U1795" s="73" t="s">
        <v>98</v>
      </c>
      <c r="V1795" s="72" t="s">
        <v>14</v>
      </c>
      <c r="W1795" s="72" t="s">
        <v>98</v>
      </c>
      <c r="X1795" s="73" t="s">
        <v>209</v>
      </c>
      <c r="Y1795" s="267" t="s">
        <v>98</v>
      </c>
      <c r="Z1795" s="267" t="s">
        <v>98</v>
      </c>
      <c r="AA1795" s="73" t="s">
        <v>276</v>
      </c>
      <c r="AB1795" s="73" t="s">
        <v>98</v>
      </c>
      <c r="AC1795" s="72">
        <f>331-311</f>
        <v>20</v>
      </c>
      <c r="AD1795" s="73" t="s">
        <v>3843</v>
      </c>
      <c r="AE1795" s="72" t="s">
        <v>98</v>
      </c>
      <c r="AF1795" s="72" t="s">
        <v>98</v>
      </c>
      <c r="AG1795" s="73" t="s">
        <v>10520</v>
      </c>
      <c r="AH1795" s="73" t="s">
        <v>10523</v>
      </c>
      <c r="AI1795" s="75">
        <v>257</v>
      </c>
      <c r="AJ1795" s="75" t="s">
        <v>98</v>
      </c>
      <c r="AK1795" s="267">
        <v>331</v>
      </c>
      <c r="AL1795" s="267" t="s">
        <v>98</v>
      </c>
      <c r="AM1795" s="75" t="s">
        <v>292</v>
      </c>
      <c r="AN1795" s="72" t="s">
        <v>276</v>
      </c>
      <c r="AO1795" s="76">
        <f>AI1795*100/AK1795</f>
        <v>77.643504531722058</v>
      </c>
      <c r="AP1795" s="72" t="s">
        <v>276</v>
      </c>
      <c r="AQ1795" s="72" t="s">
        <v>276</v>
      </c>
      <c r="AR1795" s="72" t="s">
        <v>98</v>
      </c>
      <c r="AS1795" s="76" t="s">
        <v>98</v>
      </c>
      <c r="AT1795" s="72" t="s">
        <v>98</v>
      </c>
      <c r="AU1795" s="72" t="s">
        <v>98</v>
      </c>
      <c r="AV1795" s="72" t="s">
        <v>98</v>
      </c>
      <c r="AW1795" s="83" t="s">
        <v>98</v>
      </c>
      <c r="AX1795" s="83" t="s">
        <v>98</v>
      </c>
      <c r="AY1795" s="73" t="s">
        <v>98</v>
      </c>
      <c r="AZ1795" s="73" t="s">
        <v>98</v>
      </c>
      <c r="BA1795" s="73" t="s">
        <v>98</v>
      </c>
      <c r="BB1795" s="73" t="s">
        <v>98</v>
      </c>
      <c r="BC1795" s="73" t="s">
        <v>98</v>
      </c>
      <c r="BD1795" s="73" t="s">
        <v>98</v>
      </c>
      <c r="BE1795" s="73" t="s">
        <v>98</v>
      </c>
      <c r="BF1795" s="73" t="s">
        <v>10524</v>
      </c>
      <c r="BG1795" s="73"/>
      <c r="BH1795" s="9" t="s">
        <v>100</v>
      </c>
      <c r="BI1795" s="9" t="s">
        <v>100</v>
      </c>
      <c r="BJ1795" s="78"/>
      <c r="BN1795" s="78"/>
      <c r="BO1795" s="78"/>
    </row>
    <row r="1796" spans="1:67" s="110" customFormat="1" ht="221" hidden="1" x14ac:dyDescent="0.35">
      <c r="A1796" s="94">
        <v>11140</v>
      </c>
      <c r="B1796" s="94" t="s">
        <v>10495</v>
      </c>
      <c r="C1796" s="95" t="s">
        <v>70</v>
      </c>
      <c r="D1796" s="95" t="s">
        <v>10525</v>
      </c>
      <c r="E1796" s="94" t="s">
        <v>35</v>
      </c>
      <c r="F1796" s="346" t="s">
        <v>11436</v>
      </c>
      <c r="G1796" s="94" t="s">
        <v>225</v>
      </c>
      <c r="H1796" s="95" t="s">
        <v>10455</v>
      </c>
      <c r="I1796" s="94" t="s">
        <v>114</v>
      </c>
      <c r="J1796" s="95" t="s">
        <v>33</v>
      </c>
      <c r="K1796" s="95" t="s">
        <v>10526</v>
      </c>
      <c r="L1796" s="94" t="s">
        <v>276</v>
      </c>
      <c r="M1796" s="95" t="s">
        <v>10527</v>
      </c>
      <c r="N1796" s="95" t="s">
        <v>10528</v>
      </c>
      <c r="O1796" s="95" t="s">
        <v>276</v>
      </c>
      <c r="P1796" s="95" t="s">
        <v>239</v>
      </c>
      <c r="Q1796" s="140">
        <v>36891</v>
      </c>
      <c r="R1796" s="95" t="s">
        <v>10499</v>
      </c>
      <c r="S1796" s="99" t="s">
        <v>10500</v>
      </c>
      <c r="T1796" s="99" t="s">
        <v>10501</v>
      </c>
      <c r="U1796" s="95" t="s">
        <v>98</v>
      </c>
      <c r="V1796" s="94" t="s">
        <v>14</v>
      </c>
      <c r="W1796" s="94" t="s">
        <v>98</v>
      </c>
      <c r="X1796" s="95" t="s">
        <v>207</v>
      </c>
      <c r="Y1796" s="107">
        <v>132979</v>
      </c>
      <c r="Z1796" s="107">
        <v>133085</v>
      </c>
      <c r="AA1796" s="95" t="s">
        <v>276</v>
      </c>
      <c r="AB1796" s="95" t="s">
        <v>276</v>
      </c>
      <c r="AC1796" s="94">
        <f>19+7</f>
        <v>26</v>
      </c>
      <c r="AD1796" s="95" t="s">
        <v>11438</v>
      </c>
      <c r="AE1796" s="94">
        <f>19+6</f>
        <v>25</v>
      </c>
      <c r="AF1796" s="95" t="s">
        <v>11439</v>
      </c>
      <c r="AG1796" s="95" t="s">
        <v>10529</v>
      </c>
      <c r="AH1796" s="95" t="s">
        <v>2034</v>
      </c>
      <c r="AI1796" s="99">
        <v>376</v>
      </c>
      <c r="AJ1796" s="99">
        <v>362</v>
      </c>
      <c r="AK1796" s="107">
        <v>132979</v>
      </c>
      <c r="AL1796" s="107">
        <v>133085</v>
      </c>
      <c r="AM1796" s="99" t="s">
        <v>281</v>
      </c>
      <c r="AN1796" s="94" t="s">
        <v>276</v>
      </c>
      <c r="AO1796" s="102">
        <f>AI1796*1000/AK1796</f>
        <v>2.8275141187706327</v>
      </c>
      <c r="AP1796" s="94" t="s">
        <v>276</v>
      </c>
      <c r="AQ1796" s="94" t="s">
        <v>276</v>
      </c>
      <c r="AR1796" s="94" t="s">
        <v>276</v>
      </c>
      <c r="AS1796" s="102">
        <f>AJ1796*1000/AL1796</f>
        <v>2.7200661231543752</v>
      </c>
      <c r="AT1796" s="94" t="s">
        <v>276</v>
      </c>
      <c r="AU1796" s="94" t="s">
        <v>276</v>
      </c>
      <c r="AV1796" s="94" t="s">
        <v>268</v>
      </c>
      <c r="AW1796" s="141" t="s">
        <v>276</v>
      </c>
      <c r="AX1796" s="141">
        <f t="shared" ref="AX1796:AX1802" si="512">AO1796/AS1796</f>
        <v>1.039501979272347</v>
      </c>
      <c r="AY1796" s="95" t="s">
        <v>276</v>
      </c>
      <c r="AZ1796" s="95" t="s">
        <v>276</v>
      </c>
      <c r="BA1796" s="95" t="s">
        <v>276</v>
      </c>
      <c r="BB1796" s="95" t="s">
        <v>282</v>
      </c>
      <c r="BC1796" s="95" t="s">
        <v>98</v>
      </c>
      <c r="BD1796" s="95" t="s">
        <v>98</v>
      </c>
      <c r="BE1796" s="95" t="s">
        <v>98</v>
      </c>
      <c r="BF1796" s="95" t="s">
        <v>10530</v>
      </c>
      <c r="BG1796" s="95" t="s">
        <v>10531</v>
      </c>
      <c r="BH1796" s="9" t="s">
        <v>100</v>
      </c>
      <c r="BI1796" s="9" t="s">
        <v>100</v>
      </c>
      <c r="BJ1796" s="109"/>
      <c r="BN1796" s="109"/>
      <c r="BO1796" s="109"/>
    </row>
    <row r="1797" spans="1:67" s="110" customFormat="1" ht="221" hidden="1" x14ac:dyDescent="0.35">
      <c r="A1797" s="94">
        <v>11140</v>
      </c>
      <c r="B1797" s="94" t="s">
        <v>10495</v>
      </c>
      <c r="C1797" s="95" t="s">
        <v>70</v>
      </c>
      <c r="D1797" s="95" t="s">
        <v>10532</v>
      </c>
      <c r="E1797" s="94" t="s">
        <v>35</v>
      </c>
      <c r="F1797" s="346" t="s">
        <v>11436</v>
      </c>
      <c r="G1797" s="94" t="s">
        <v>225</v>
      </c>
      <c r="H1797" s="95" t="s">
        <v>10455</v>
      </c>
      <c r="I1797" s="94" t="s">
        <v>114</v>
      </c>
      <c r="J1797" s="95" t="s">
        <v>33</v>
      </c>
      <c r="K1797" s="95" t="s">
        <v>10533</v>
      </c>
      <c r="L1797" s="94" t="s">
        <v>276</v>
      </c>
      <c r="M1797" s="95" t="s">
        <v>10527</v>
      </c>
      <c r="N1797" s="95" t="s">
        <v>10528</v>
      </c>
      <c r="O1797" s="95" t="s">
        <v>276</v>
      </c>
      <c r="P1797" s="95" t="s">
        <v>239</v>
      </c>
      <c r="Q1797" s="140">
        <v>36891</v>
      </c>
      <c r="R1797" s="95" t="s">
        <v>10499</v>
      </c>
      <c r="S1797" s="99" t="s">
        <v>10500</v>
      </c>
      <c r="T1797" s="99" t="s">
        <v>10501</v>
      </c>
      <c r="U1797" s="95" t="s">
        <v>98</v>
      </c>
      <c r="V1797" s="94" t="s">
        <v>14</v>
      </c>
      <c r="W1797" s="94" t="s">
        <v>98</v>
      </c>
      <c r="X1797" s="95" t="s">
        <v>207</v>
      </c>
      <c r="Y1797" s="107">
        <v>132979</v>
      </c>
      <c r="Z1797" s="107">
        <v>133085</v>
      </c>
      <c r="AA1797" s="95" t="s">
        <v>276</v>
      </c>
      <c r="AB1797" s="95" t="s">
        <v>276</v>
      </c>
      <c r="AC1797" s="94">
        <f>19+7</f>
        <v>26</v>
      </c>
      <c r="AD1797" s="95" t="s">
        <v>11438</v>
      </c>
      <c r="AE1797" s="94">
        <f>19+6</f>
        <v>25</v>
      </c>
      <c r="AF1797" s="95" t="s">
        <v>11439</v>
      </c>
      <c r="AG1797" s="95" t="s">
        <v>10534</v>
      </c>
      <c r="AH1797" s="95" t="s">
        <v>2034</v>
      </c>
      <c r="AI1797" s="99">
        <v>409</v>
      </c>
      <c r="AJ1797" s="99">
        <v>390</v>
      </c>
      <c r="AK1797" s="107">
        <v>132979</v>
      </c>
      <c r="AL1797" s="107">
        <v>133085</v>
      </c>
      <c r="AM1797" s="99" t="s">
        <v>281</v>
      </c>
      <c r="AN1797" s="94" t="s">
        <v>276</v>
      </c>
      <c r="AO1797" s="102">
        <f>AI1797*1000/AK1797</f>
        <v>3.0756736025989064</v>
      </c>
      <c r="AP1797" s="94" t="s">
        <v>276</v>
      </c>
      <c r="AQ1797" s="94" t="s">
        <v>276</v>
      </c>
      <c r="AR1797" s="94" t="s">
        <v>276</v>
      </c>
      <c r="AS1797" s="102">
        <f>AJ1797*1000/AL1797</f>
        <v>2.9304579779839952</v>
      </c>
      <c r="AT1797" s="94" t="s">
        <v>276</v>
      </c>
      <c r="AU1797" s="94" t="s">
        <v>276</v>
      </c>
      <c r="AV1797" s="94" t="s">
        <v>268</v>
      </c>
      <c r="AW1797" s="141" t="s">
        <v>276</v>
      </c>
      <c r="AX1797" s="141">
        <f t="shared" si="512"/>
        <v>1.04955390103045</v>
      </c>
      <c r="AY1797" s="95" t="s">
        <v>276</v>
      </c>
      <c r="AZ1797" s="95" t="s">
        <v>276</v>
      </c>
      <c r="BA1797" s="95" t="s">
        <v>276</v>
      </c>
      <c r="BB1797" s="95" t="s">
        <v>282</v>
      </c>
      <c r="BC1797" s="95" t="s">
        <v>98</v>
      </c>
      <c r="BD1797" s="95" t="s">
        <v>98</v>
      </c>
      <c r="BE1797" s="95" t="s">
        <v>98</v>
      </c>
      <c r="BF1797" s="95" t="s">
        <v>10530</v>
      </c>
      <c r="BG1797" s="95" t="s">
        <v>10531</v>
      </c>
      <c r="BH1797" s="9" t="s">
        <v>100</v>
      </c>
      <c r="BI1797" s="9" t="s">
        <v>100</v>
      </c>
      <c r="BJ1797" s="109"/>
      <c r="BN1797" s="109"/>
      <c r="BO1797" s="109"/>
    </row>
    <row r="1798" spans="1:67" s="110" customFormat="1" ht="221" hidden="1" x14ac:dyDescent="0.35">
      <c r="A1798" s="94">
        <v>11140</v>
      </c>
      <c r="B1798" s="94" t="s">
        <v>10495</v>
      </c>
      <c r="C1798" s="95" t="s">
        <v>70</v>
      </c>
      <c r="D1798" s="95" t="s">
        <v>11440</v>
      </c>
      <c r="E1798" s="94" t="s">
        <v>35</v>
      </c>
      <c r="F1798" s="346" t="s">
        <v>11436</v>
      </c>
      <c r="G1798" s="94" t="s">
        <v>225</v>
      </c>
      <c r="H1798" s="95" t="s">
        <v>10455</v>
      </c>
      <c r="I1798" s="94" t="s">
        <v>114</v>
      </c>
      <c r="J1798" s="95" t="s">
        <v>33</v>
      </c>
      <c r="K1798" s="95" t="s">
        <v>11441</v>
      </c>
      <c r="L1798" s="94" t="s">
        <v>276</v>
      </c>
      <c r="M1798" s="95" t="s">
        <v>10527</v>
      </c>
      <c r="N1798" s="95" t="s">
        <v>10528</v>
      </c>
      <c r="O1798" s="95" t="s">
        <v>276</v>
      </c>
      <c r="P1798" s="95" t="s">
        <v>239</v>
      </c>
      <c r="Q1798" s="140">
        <v>36891</v>
      </c>
      <c r="R1798" s="95" t="s">
        <v>10499</v>
      </c>
      <c r="S1798" s="99" t="s">
        <v>10500</v>
      </c>
      <c r="T1798" s="99" t="s">
        <v>10501</v>
      </c>
      <c r="U1798" s="95" t="s">
        <v>98</v>
      </c>
      <c r="V1798" s="94" t="s">
        <v>14</v>
      </c>
      <c r="W1798" s="94" t="s">
        <v>98</v>
      </c>
      <c r="X1798" s="95" t="s">
        <v>207</v>
      </c>
      <c r="Y1798" s="99">
        <v>132979</v>
      </c>
      <c r="Z1798" s="99">
        <v>133085</v>
      </c>
      <c r="AA1798" s="95" t="s">
        <v>276</v>
      </c>
      <c r="AB1798" s="95" t="s">
        <v>276</v>
      </c>
      <c r="AC1798" s="94">
        <f>19+7</f>
        <v>26</v>
      </c>
      <c r="AD1798" s="95" t="s">
        <v>11438</v>
      </c>
      <c r="AE1798" s="94">
        <f>19+6</f>
        <v>25</v>
      </c>
      <c r="AF1798" s="95" t="s">
        <v>11439</v>
      </c>
      <c r="AG1798" s="95" t="s">
        <v>11442</v>
      </c>
      <c r="AH1798" s="95" t="s">
        <v>2034</v>
      </c>
      <c r="AI1798" s="99">
        <f>838-409</f>
        <v>429</v>
      </c>
      <c r="AJ1798" s="99">
        <f>871-390</f>
        <v>481</v>
      </c>
      <c r="AK1798" s="99">
        <v>132979</v>
      </c>
      <c r="AL1798" s="99">
        <v>133085</v>
      </c>
      <c r="AM1798" s="99" t="s">
        <v>281</v>
      </c>
      <c r="AN1798" s="94" t="s">
        <v>276</v>
      </c>
      <c r="AO1798" s="102">
        <f>AI1798*1000/AK1798</f>
        <v>3.2260732897675575</v>
      </c>
      <c r="AP1798" s="94" t="s">
        <v>276</v>
      </c>
      <c r="AQ1798" s="94" t="s">
        <v>276</v>
      </c>
      <c r="AR1798" s="94" t="s">
        <v>276</v>
      </c>
      <c r="AS1798" s="102">
        <f>AJ1798*1000/AL1798</f>
        <v>3.6142315061802606</v>
      </c>
      <c r="AT1798" s="94" t="s">
        <v>276</v>
      </c>
      <c r="AU1798" s="94" t="s">
        <v>276</v>
      </c>
      <c r="AV1798" s="94" t="s">
        <v>268</v>
      </c>
      <c r="AW1798" s="141" t="s">
        <v>276</v>
      </c>
      <c r="AX1798" s="141">
        <f t="shared" si="512"/>
        <v>0.89260283527799456</v>
      </c>
      <c r="AY1798" s="95" t="s">
        <v>276</v>
      </c>
      <c r="AZ1798" s="95" t="s">
        <v>276</v>
      </c>
      <c r="BA1798" s="95" t="s">
        <v>276</v>
      </c>
      <c r="BB1798" s="95" t="s">
        <v>282</v>
      </c>
      <c r="BC1798" s="95" t="s">
        <v>98</v>
      </c>
      <c r="BD1798" s="95" t="s">
        <v>98</v>
      </c>
      <c r="BE1798" s="95" t="s">
        <v>98</v>
      </c>
      <c r="BF1798" s="95" t="s">
        <v>1010</v>
      </c>
      <c r="BG1798" s="95" t="s">
        <v>10531</v>
      </c>
      <c r="BH1798" s="9" t="s">
        <v>100</v>
      </c>
      <c r="BI1798" s="9" t="s">
        <v>100</v>
      </c>
      <c r="BJ1798" s="109"/>
      <c r="BN1798" s="109"/>
      <c r="BO1798" s="109"/>
    </row>
    <row r="1799" spans="1:67" s="110" customFormat="1" ht="221" hidden="1" x14ac:dyDescent="0.35">
      <c r="A1799" s="94">
        <v>11140</v>
      </c>
      <c r="B1799" s="94" t="s">
        <v>10495</v>
      </c>
      <c r="C1799" s="95" t="s">
        <v>70</v>
      </c>
      <c r="D1799" s="95" t="s">
        <v>11443</v>
      </c>
      <c r="E1799" s="94" t="s">
        <v>35</v>
      </c>
      <c r="F1799" s="346" t="s">
        <v>11436</v>
      </c>
      <c r="G1799" s="94" t="s">
        <v>225</v>
      </c>
      <c r="H1799" s="95" t="s">
        <v>10455</v>
      </c>
      <c r="I1799" s="94" t="s">
        <v>114</v>
      </c>
      <c r="J1799" s="95" t="s">
        <v>33</v>
      </c>
      <c r="K1799" s="95" t="s">
        <v>11441</v>
      </c>
      <c r="L1799" s="94" t="s">
        <v>276</v>
      </c>
      <c r="M1799" s="95" t="s">
        <v>10527</v>
      </c>
      <c r="N1799" s="95" t="s">
        <v>10528</v>
      </c>
      <c r="O1799" s="95" t="s">
        <v>276</v>
      </c>
      <c r="P1799" s="95" t="s">
        <v>235</v>
      </c>
      <c r="Q1799" s="140">
        <v>36891</v>
      </c>
      <c r="R1799" s="95" t="s">
        <v>10499</v>
      </c>
      <c r="S1799" s="99" t="s">
        <v>10500</v>
      </c>
      <c r="T1799" s="99" t="s">
        <v>10501</v>
      </c>
      <c r="U1799" s="95" t="s">
        <v>98</v>
      </c>
      <c r="V1799" s="94" t="s">
        <v>14</v>
      </c>
      <c r="W1799" s="94" t="s">
        <v>98</v>
      </c>
      <c r="X1799" s="95" t="s">
        <v>207</v>
      </c>
      <c r="Y1799" s="99" t="s">
        <v>98</v>
      </c>
      <c r="Z1799" s="99" t="s">
        <v>98</v>
      </c>
      <c r="AA1799" s="95" t="s">
        <v>276</v>
      </c>
      <c r="AB1799" s="95" t="s">
        <v>276</v>
      </c>
      <c r="AC1799" s="94">
        <f>19+7</f>
        <v>26</v>
      </c>
      <c r="AD1799" s="95" t="s">
        <v>11438</v>
      </c>
      <c r="AE1799" s="94">
        <f>19+6</f>
        <v>25</v>
      </c>
      <c r="AF1799" s="95" t="s">
        <v>11439</v>
      </c>
      <c r="AG1799" s="95" t="s">
        <v>11442</v>
      </c>
      <c r="AH1799" s="95" t="s">
        <v>11444</v>
      </c>
      <c r="AI1799" s="99">
        <f>838-409</f>
        <v>429</v>
      </c>
      <c r="AJ1799" s="99">
        <f>871-390</f>
        <v>481</v>
      </c>
      <c r="AK1799" s="99">
        <v>857</v>
      </c>
      <c r="AL1799" s="99">
        <v>890</v>
      </c>
      <c r="AM1799" s="99" t="s">
        <v>292</v>
      </c>
      <c r="AN1799" s="94" t="s">
        <v>276</v>
      </c>
      <c r="AO1799" s="102">
        <f>AI1799*100/AK1799</f>
        <v>50.058343057176195</v>
      </c>
      <c r="AP1799" s="94" t="s">
        <v>276</v>
      </c>
      <c r="AQ1799" s="94" t="s">
        <v>276</v>
      </c>
      <c r="AR1799" s="94" t="s">
        <v>276</v>
      </c>
      <c r="AS1799" s="102">
        <f>AJ1799*100/AL1799</f>
        <v>54.044943820224717</v>
      </c>
      <c r="AT1799" s="94" t="s">
        <v>276</v>
      </c>
      <c r="AU1799" s="94" t="s">
        <v>276</v>
      </c>
      <c r="AV1799" s="94" t="s">
        <v>268</v>
      </c>
      <c r="AW1799" s="141" t="s">
        <v>276</v>
      </c>
      <c r="AX1799" s="141">
        <f t="shared" si="512"/>
        <v>0.92623545365669058</v>
      </c>
      <c r="AY1799" s="95" t="s">
        <v>276</v>
      </c>
      <c r="AZ1799" s="95" t="s">
        <v>276</v>
      </c>
      <c r="BA1799" s="95" t="s">
        <v>276</v>
      </c>
      <c r="BB1799" s="95" t="s">
        <v>282</v>
      </c>
      <c r="BC1799" s="95" t="s">
        <v>98</v>
      </c>
      <c r="BD1799" s="95" t="s">
        <v>98</v>
      </c>
      <c r="BE1799" s="95" t="s">
        <v>98</v>
      </c>
      <c r="BF1799" s="95" t="s">
        <v>1010</v>
      </c>
      <c r="BG1799" s="95" t="s">
        <v>10531</v>
      </c>
      <c r="BH1799" s="9" t="s">
        <v>100</v>
      </c>
      <c r="BI1799" s="9" t="s">
        <v>100</v>
      </c>
      <c r="BJ1799" s="109"/>
      <c r="BN1799" s="109"/>
      <c r="BO1799" s="109"/>
    </row>
    <row r="1800" spans="1:67" s="124" customFormat="1" ht="221" hidden="1" x14ac:dyDescent="0.35">
      <c r="A1800" s="112">
        <v>11140</v>
      </c>
      <c r="B1800" s="112" t="s">
        <v>10495</v>
      </c>
      <c r="C1800" s="113" t="s">
        <v>70</v>
      </c>
      <c r="D1800" s="113" t="s">
        <v>10535</v>
      </c>
      <c r="E1800" s="112" t="s">
        <v>35</v>
      </c>
      <c r="F1800" s="346" t="s">
        <v>11436</v>
      </c>
      <c r="G1800" s="112" t="s">
        <v>225</v>
      </c>
      <c r="H1800" s="113" t="s">
        <v>10455</v>
      </c>
      <c r="I1800" s="112" t="s">
        <v>114</v>
      </c>
      <c r="J1800" s="113" t="s">
        <v>117</v>
      </c>
      <c r="K1800" s="113" t="s">
        <v>10536</v>
      </c>
      <c r="L1800" s="112" t="s">
        <v>276</v>
      </c>
      <c r="M1800" s="113" t="s">
        <v>10527</v>
      </c>
      <c r="N1800" s="113" t="s">
        <v>10528</v>
      </c>
      <c r="O1800" s="113" t="s">
        <v>276</v>
      </c>
      <c r="P1800" s="113" t="s">
        <v>239</v>
      </c>
      <c r="Q1800" s="142">
        <v>36891</v>
      </c>
      <c r="R1800" s="113" t="s">
        <v>10499</v>
      </c>
      <c r="S1800" s="119" t="s">
        <v>10500</v>
      </c>
      <c r="T1800" s="119" t="s">
        <v>10501</v>
      </c>
      <c r="U1800" s="113" t="s">
        <v>98</v>
      </c>
      <c r="V1800" s="112" t="s">
        <v>14</v>
      </c>
      <c r="W1800" s="112" t="s">
        <v>98</v>
      </c>
      <c r="X1800" s="113" t="s">
        <v>207</v>
      </c>
      <c r="Y1800" s="120">
        <v>132979</v>
      </c>
      <c r="Z1800" s="120">
        <v>133085</v>
      </c>
      <c r="AA1800" s="113" t="s">
        <v>276</v>
      </c>
      <c r="AB1800" s="113" t="s">
        <v>276</v>
      </c>
      <c r="AC1800" s="206">
        <f>857-797+7</f>
        <v>67</v>
      </c>
      <c r="AD1800" s="113" t="s">
        <v>11445</v>
      </c>
      <c r="AE1800" s="206">
        <f>890-844+6</f>
        <v>52</v>
      </c>
      <c r="AF1800" s="113" t="s">
        <v>11446</v>
      </c>
      <c r="AG1800" s="113" t="s">
        <v>10537</v>
      </c>
      <c r="AH1800" s="113" t="s">
        <v>2034</v>
      </c>
      <c r="AI1800" s="119">
        <v>314</v>
      </c>
      <c r="AJ1800" s="119">
        <v>342</v>
      </c>
      <c r="AK1800" s="120">
        <v>132979</v>
      </c>
      <c r="AL1800" s="120">
        <v>133085</v>
      </c>
      <c r="AM1800" s="119" t="s">
        <v>281</v>
      </c>
      <c r="AN1800" s="112" t="s">
        <v>276</v>
      </c>
      <c r="AO1800" s="121">
        <f>AI1800*1000/AK1800</f>
        <v>2.3612750885478158</v>
      </c>
      <c r="AP1800" s="112" t="s">
        <v>276</v>
      </c>
      <c r="AQ1800" s="112" t="s">
        <v>276</v>
      </c>
      <c r="AR1800" s="112" t="s">
        <v>276</v>
      </c>
      <c r="AS1800" s="121">
        <f>AJ1800*1000/AL1800</f>
        <v>2.5697862268475036</v>
      </c>
      <c r="AT1800" s="112" t="s">
        <v>276</v>
      </c>
      <c r="AU1800" s="112" t="s">
        <v>276</v>
      </c>
      <c r="AV1800" s="112" t="s">
        <v>268</v>
      </c>
      <c r="AW1800" s="143" t="s">
        <v>276</v>
      </c>
      <c r="AX1800" s="143">
        <f t="shared" si="512"/>
        <v>0.91886051216194753</v>
      </c>
      <c r="AY1800" s="113" t="s">
        <v>276</v>
      </c>
      <c r="AZ1800" s="113" t="s">
        <v>276</v>
      </c>
      <c r="BA1800" s="113" t="s">
        <v>276</v>
      </c>
      <c r="BB1800" s="113" t="s">
        <v>282</v>
      </c>
      <c r="BC1800" s="113" t="s">
        <v>98</v>
      </c>
      <c r="BD1800" s="113" t="s">
        <v>98</v>
      </c>
      <c r="BE1800" s="113" t="s">
        <v>98</v>
      </c>
      <c r="BF1800" s="113" t="s">
        <v>10538</v>
      </c>
      <c r="BG1800" s="113" t="s">
        <v>10531</v>
      </c>
      <c r="BH1800" s="9" t="s">
        <v>100</v>
      </c>
      <c r="BI1800" s="9" t="s">
        <v>100</v>
      </c>
      <c r="BJ1800" s="123"/>
      <c r="BN1800" s="123"/>
      <c r="BO1800" s="123"/>
    </row>
    <row r="1801" spans="1:67" s="124" customFormat="1" ht="221" hidden="1" x14ac:dyDescent="0.35">
      <c r="A1801" s="112">
        <v>11140</v>
      </c>
      <c r="B1801" s="112" t="s">
        <v>10495</v>
      </c>
      <c r="C1801" s="113" t="s">
        <v>70</v>
      </c>
      <c r="D1801" s="113" t="s">
        <v>10539</v>
      </c>
      <c r="E1801" s="112" t="s">
        <v>35</v>
      </c>
      <c r="F1801" s="346" t="s">
        <v>11436</v>
      </c>
      <c r="G1801" s="112" t="s">
        <v>225</v>
      </c>
      <c r="H1801" s="113" t="s">
        <v>10455</v>
      </c>
      <c r="I1801" s="112" t="s">
        <v>114</v>
      </c>
      <c r="J1801" s="113" t="s">
        <v>117</v>
      </c>
      <c r="K1801" s="113" t="s">
        <v>10536</v>
      </c>
      <c r="L1801" s="112" t="s">
        <v>276</v>
      </c>
      <c r="M1801" s="113" t="s">
        <v>10527</v>
      </c>
      <c r="N1801" s="113" t="s">
        <v>10528</v>
      </c>
      <c r="O1801" s="113" t="s">
        <v>276</v>
      </c>
      <c r="P1801" s="113" t="s">
        <v>235</v>
      </c>
      <c r="Q1801" s="142">
        <v>36891</v>
      </c>
      <c r="R1801" s="113" t="s">
        <v>10499</v>
      </c>
      <c r="S1801" s="119" t="s">
        <v>10500</v>
      </c>
      <c r="T1801" s="119" t="s">
        <v>10501</v>
      </c>
      <c r="U1801" s="113" t="s">
        <v>98</v>
      </c>
      <c r="V1801" s="112" t="s">
        <v>14</v>
      </c>
      <c r="W1801" s="112" t="s">
        <v>98</v>
      </c>
      <c r="X1801" s="113" t="s">
        <v>207</v>
      </c>
      <c r="Y1801" s="120" t="s">
        <v>98</v>
      </c>
      <c r="Z1801" s="120" t="s">
        <v>98</v>
      </c>
      <c r="AA1801" s="113" t="s">
        <v>276</v>
      </c>
      <c r="AB1801" s="113" t="s">
        <v>276</v>
      </c>
      <c r="AC1801" s="206">
        <f>857-797+7</f>
        <v>67</v>
      </c>
      <c r="AD1801" s="113" t="s">
        <v>11445</v>
      </c>
      <c r="AE1801" s="206">
        <f>890-844+6</f>
        <v>52</v>
      </c>
      <c r="AF1801" s="113" t="s">
        <v>11446</v>
      </c>
      <c r="AG1801" s="113" t="s">
        <v>10537</v>
      </c>
      <c r="AH1801" s="113" t="s">
        <v>11447</v>
      </c>
      <c r="AI1801" s="119">
        <v>314</v>
      </c>
      <c r="AJ1801" s="119">
        <v>342</v>
      </c>
      <c r="AK1801" s="119">
        <v>857</v>
      </c>
      <c r="AL1801" s="119">
        <v>890</v>
      </c>
      <c r="AM1801" s="119" t="s">
        <v>292</v>
      </c>
      <c r="AN1801" s="112" t="s">
        <v>276</v>
      </c>
      <c r="AO1801" s="121">
        <f>AI1801*100/AK1801</f>
        <v>36.639439906651106</v>
      </c>
      <c r="AP1801" s="112" t="s">
        <v>276</v>
      </c>
      <c r="AQ1801" s="112" t="s">
        <v>276</v>
      </c>
      <c r="AR1801" s="112" t="s">
        <v>276</v>
      </c>
      <c r="AS1801" s="121">
        <f>AJ1801*100/AL1801</f>
        <v>38.426966292134829</v>
      </c>
      <c r="AT1801" s="112" t="s">
        <v>276</v>
      </c>
      <c r="AU1801" s="112" t="s">
        <v>276</v>
      </c>
      <c r="AV1801" s="112" t="s">
        <v>268</v>
      </c>
      <c r="AW1801" s="143" t="s">
        <v>276</v>
      </c>
      <c r="AX1801" s="143">
        <f t="shared" si="512"/>
        <v>0.95348250049472183</v>
      </c>
      <c r="AY1801" s="113" t="s">
        <v>276</v>
      </c>
      <c r="AZ1801" s="113" t="s">
        <v>276</v>
      </c>
      <c r="BA1801" s="113" t="s">
        <v>276</v>
      </c>
      <c r="BB1801" s="113" t="s">
        <v>282</v>
      </c>
      <c r="BC1801" s="113" t="s">
        <v>98</v>
      </c>
      <c r="BD1801" s="113" t="s">
        <v>98</v>
      </c>
      <c r="BE1801" s="113" t="s">
        <v>98</v>
      </c>
      <c r="BF1801" s="113" t="s">
        <v>10538</v>
      </c>
      <c r="BG1801" s="113" t="s">
        <v>10531</v>
      </c>
      <c r="BH1801" s="9" t="s">
        <v>100</v>
      </c>
      <c r="BI1801" s="9" t="s">
        <v>100</v>
      </c>
      <c r="BJ1801" s="123"/>
      <c r="BN1801" s="123"/>
      <c r="BO1801" s="123"/>
    </row>
    <row r="1802" spans="1:67" s="110" customFormat="1" ht="221" hidden="1" x14ac:dyDescent="0.35">
      <c r="A1802" s="94">
        <v>11140</v>
      </c>
      <c r="B1802" s="94" t="s">
        <v>10495</v>
      </c>
      <c r="C1802" s="95" t="s">
        <v>70</v>
      </c>
      <c r="D1802" s="95" t="s">
        <v>10540</v>
      </c>
      <c r="E1802" s="94" t="s">
        <v>35</v>
      </c>
      <c r="F1802" s="346" t="s">
        <v>11436</v>
      </c>
      <c r="G1802" s="94" t="s">
        <v>225</v>
      </c>
      <c r="H1802" s="95" t="s">
        <v>10455</v>
      </c>
      <c r="I1802" s="94" t="s">
        <v>114</v>
      </c>
      <c r="J1802" s="95" t="s">
        <v>2763</v>
      </c>
      <c r="K1802" s="95" t="s">
        <v>10541</v>
      </c>
      <c r="L1802" s="94" t="s">
        <v>276</v>
      </c>
      <c r="M1802" s="95" t="s">
        <v>10527</v>
      </c>
      <c r="N1802" s="95" t="s">
        <v>10528</v>
      </c>
      <c r="O1802" s="95" t="s">
        <v>276</v>
      </c>
      <c r="P1802" s="95" t="s">
        <v>239</v>
      </c>
      <c r="Q1802" s="140">
        <v>36891</v>
      </c>
      <c r="R1802" s="95" t="s">
        <v>10499</v>
      </c>
      <c r="S1802" s="99" t="s">
        <v>10500</v>
      </c>
      <c r="T1802" s="99" t="s">
        <v>10501</v>
      </c>
      <c r="U1802" s="95" t="s">
        <v>98</v>
      </c>
      <c r="V1802" s="94" t="s">
        <v>14</v>
      </c>
      <c r="W1802" s="94" t="s">
        <v>98</v>
      </c>
      <c r="X1802" s="95" t="s">
        <v>207</v>
      </c>
      <c r="Y1802" s="107">
        <v>132979</v>
      </c>
      <c r="Z1802" s="107">
        <v>133085</v>
      </c>
      <c r="AA1802" s="95" t="s">
        <v>276</v>
      </c>
      <c r="AB1802" s="95" t="s">
        <v>276</v>
      </c>
      <c r="AC1802" s="311" t="s">
        <v>276</v>
      </c>
      <c r="AD1802" s="95" t="s">
        <v>10542</v>
      </c>
      <c r="AE1802" s="311" t="s">
        <v>276</v>
      </c>
      <c r="AF1802" s="95" t="s">
        <v>10542</v>
      </c>
      <c r="AG1802" s="95" t="s">
        <v>10543</v>
      </c>
      <c r="AH1802" s="95" t="s">
        <v>2034</v>
      </c>
      <c r="AI1802" s="99">
        <v>13</v>
      </c>
      <c r="AJ1802" s="99">
        <v>22</v>
      </c>
      <c r="AK1802" s="107">
        <v>132979</v>
      </c>
      <c r="AL1802" s="107">
        <v>133085</v>
      </c>
      <c r="AM1802" s="99" t="s">
        <v>281</v>
      </c>
      <c r="AN1802" s="94" t="s">
        <v>276</v>
      </c>
      <c r="AO1802" s="102">
        <f>AI1802*1000/AK1802</f>
        <v>9.775979665962295E-2</v>
      </c>
      <c r="AP1802" s="94" t="s">
        <v>276</v>
      </c>
      <c r="AQ1802" s="94" t="s">
        <v>276</v>
      </c>
      <c r="AR1802" s="94" t="s">
        <v>276</v>
      </c>
      <c r="AS1802" s="102">
        <f>AJ1802*1000/AL1802</f>
        <v>0.16530788593755871</v>
      </c>
      <c r="AT1802" s="94" t="s">
        <v>276</v>
      </c>
      <c r="AU1802" s="94" t="s">
        <v>276</v>
      </c>
      <c r="AV1802" s="94" t="s">
        <v>268</v>
      </c>
      <c r="AW1802" s="141" t="s">
        <v>276</v>
      </c>
      <c r="AX1802" s="141">
        <f t="shared" si="512"/>
        <v>0.59138011538390545</v>
      </c>
      <c r="AY1802" s="95" t="s">
        <v>276</v>
      </c>
      <c r="AZ1802" s="95" t="s">
        <v>276</v>
      </c>
      <c r="BA1802" s="95" t="s">
        <v>276</v>
      </c>
      <c r="BB1802" s="95" t="s">
        <v>282</v>
      </c>
      <c r="BC1802" s="95" t="s">
        <v>98</v>
      </c>
      <c r="BD1802" s="95" t="s">
        <v>98</v>
      </c>
      <c r="BE1802" s="95" t="s">
        <v>98</v>
      </c>
      <c r="BF1802" s="95" t="s">
        <v>10538</v>
      </c>
      <c r="BG1802" s="95" t="s">
        <v>10531</v>
      </c>
      <c r="BH1802" s="9" t="s">
        <v>100</v>
      </c>
      <c r="BI1802" s="9" t="s">
        <v>100</v>
      </c>
      <c r="BJ1802" s="109"/>
      <c r="BN1802" s="109"/>
      <c r="BO1802" s="109"/>
    </row>
    <row r="1803" spans="1:67" s="110" customFormat="1" ht="78" hidden="1" x14ac:dyDescent="0.35">
      <c r="A1803" s="94">
        <v>11140</v>
      </c>
      <c r="B1803" s="94" t="s">
        <v>10495</v>
      </c>
      <c r="C1803" s="95" t="s">
        <v>70</v>
      </c>
      <c r="D1803" s="95" t="s">
        <v>10544</v>
      </c>
      <c r="E1803" s="94" t="s">
        <v>35</v>
      </c>
      <c r="F1803" s="346" t="s">
        <v>11436</v>
      </c>
      <c r="G1803" s="94" t="s">
        <v>225</v>
      </c>
      <c r="H1803" s="95" t="s">
        <v>225</v>
      </c>
      <c r="I1803" s="94" t="s">
        <v>98</v>
      </c>
      <c r="J1803" s="95" t="s">
        <v>98</v>
      </c>
      <c r="K1803" s="329" t="s">
        <v>98</v>
      </c>
      <c r="L1803" s="94" t="s">
        <v>98</v>
      </c>
      <c r="M1803" s="94" t="s">
        <v>98</v>
      </c>
      <c r="N1803" s="95" t="s">
        <v>10545</v>
      </c>
      <c r="O1803" s="95" t="s">
        <v>276</v>
      </c>
      <c r="P1803" s="95" t="s">
        <v>238</v>
      </c>
      <c r="Q1803" s="140">
        <v>36891</v>
      </c>
      <c r="R1803" s="95" t="s">
        <v>10499</v>
      </c>
      <c r="S1803" s="99" t="s">
        <v>10500</v>
      </c>
      <c r="T1803" s="95" t="s">
        <v>98</v>
      </c>
      <c r="U1803" s="95" t="s">
        <v>98</v>
      </c>
      <c r="V1803" s="94" t="s">
        <v>14</v>
      </c>
      <c r="W1803" s="94" t="s">
        <v>98</v>
      </c>
      <c r="X1803" s="95" t="s">
        <v>209</v>
      </c>
      <c r="Y1803" s="107">
        <v>132979</v>
      </c>
      <c r="Z1803" s="107" t="s">
        <v>98</v>
      </c>
      <c r="AA1803" s="95" t="s">
        <v>276</v>
      </c>
      <c r="AB1803" s="95" t="s">
        <v>98</v>
      </c>
      <c r="AC1803" s="94">
        <f>864-739</f>
        <v>125</v>
      </c>
      <c r="AD1803" s="95" t="s">
        <v>3843</v>
      </c>
      <c r="AE1803" s="94" t="s">
        <v>98</v>
      </c>
      <c r="AF1803" s="94" t="s">
        <v>98</v>
      </c>
      <c r="AG1803" s="95" t="s">
        <v>10546</v>
      </c>
      <c r="AH1803" s="95" t="s">
        <v>2034</v>
      </c>
      <c r="AI1803" s="99">
        <f>605+20</f>
        <v>625</v>
      </c>
      <c r="AJ1803" s="99" t="s">
        <v>98</v>
      </c>
      <c r="AK1803" s="107">
        <v>133375</v>
      </c>
      <c r="AL1803" s="107" t="s">
        <v>98</v>
      </c>
      <c r="AM1803" s="99" t="s">
        <v>281</v>
      </c>
      <c r="AN1803" s="94" t="s">
        <v>276</v>
      </c>
      <c r="AO1803" s="102">
        <f>AI1803*1000/AK1803</f>
        <v>4.6860356138706658</v>
      </c>
      <c r="AP1803" s="94" t="s">
        <v>276</v>
      </c>
      <c r="AQ1803" s="94" t="s">
        <v>276</v>
      </c>
      <c r="AR1803" s="94" t="s">
        <v>98</v>
      </c>
      <c r="AS1803" s="102" t="s">
        <v>98</v>
      </c>
      <c r="AT1803" s="94" t="s">
        <v>98</v>
      </c>
      <c r="AU1803" s="94" t="s">
        <v>98</v>
      </c>
      <c r="AV1803" s="94" t="s">
        <v>98</v>
      </c>
      <c r="AW1803" s="141" t="s">
        <v>98</v>
      </c>
      <c r="AX1803" s="141" t="s">
        <v>98</v>
      </c>
      <c r="AY1803" s="95" t="s">
        <v>98</v>
      </c>
      <c r="AZ1803" s="95" t="s">
        <v>98</v>
      </c>
      <c r="BA1803" s="95" t="s">
        <v>98</v>
      </c>
      <c r="BB1803" s="95" t="s">
        <v>98</v>
      </c>
      <c r="BC1803" s="95" t="s">
        <v>98</v>
      </c>
      <c r="BD1803" s="95" t="s">
        <v>98</v>
      </c>
      <c r="BE1803" s="95" t="s">
        <v>98</v>
      </c>
      <c r="BF1803" s="95" t="s">
        <v>10547</v>
      </c>
      <c r="BG1803" s="95"/>
      <c r="BH1803" s="9" t="s">
        <v>100</v>
      </c>
      <c r="BI1803" s="9" t="s">
        <v>100</v>
      </c>
      <c r="BJ1803" s="109"/>
      <c r="BN1803" s="109"/>
      <c r="BO1803" s="109"/>
    </row>
    <row r="1804" spans="1:67" s="110" customFormat="1" ht="78" x14ac:dyDescent="0.35">
      <c r="A1804" s="94">
        <v>11140</v>
      </c>
      <c r="B1804" s="94" t="s">
        <v>10495</v>
      </c>
      <c r="C1804" s="95" t="s">
        <v>70</v>
      </c>
      <c r="D1804" s="95" t="s">
        <v>10548</v>
      </c>
      <c r="E1804" s="94" t="s">
        <v>35</v>
      </c>
      <c r="F1804" s="346" t="s">
        <v>11436</v>
      </c>
      <c r="G1804" s="94" t="s">
        <v>225</v>
      </c>
      <c r="H1804" s="95" t="s">
        <v>225</v>
      </c>
      <c r="I1804" s="94" t="s">
        <v>98</v>
      </c>
      <c r="J1804" s="95" t="s">
        <v>98</v>
      </c>
      <c r="K1804" s="329" t="s">
        <v>98</v>
      </c>
      <c r="L1804" s="94" t="s">
        <v>98</v>
      </c>
      <c r="M1804" s="94" t="s">
        <v>98</v>
      </c>
      <c r="N1804" s="95" t="s">
        <v>10545</v>
      </c>
      <c r="O1804" s="95" t="s">
        <v>276</v>
      </c>
      <c r="P1804" s="95" t="s">
        <v>236</v>
      </c>
      <c r="Q1804" s="140">
        <v>36891</v>
      </c>
      <c r="R1804" s="95" t="s">
        <v>10499</v>
      </c>
      <c r="S1804" s="99" t="s">
        <v>10500</v>
      </c>
      <c r="T1804" s="95" t="s">
        <v>98</v>
      </c>
      <c r="U1804" s="95" t="s">
        <v>98</v>
      </c>
      <c r="V1804" s="94" t="s">
        <v>14</v>
      </c>
      <c r="W1804" s="94" t="s">
        <v>98</v>
      </c>
      <c r="X1804" s="95" t="s">
        <v>209</v>
      </c>
      <c r="Y1804" s="107" t="s">
        <v>98</v>
      </c>
      <c r="Z1804" s="107" t="s">
        <v>98</v>
      </c>
      <c r="AA1804" s="95" t="s">
        <v>276</v>
      </c>
      <c r="AB1804" s="95" t="s">
        <v>98</v>
      </c>
      <c r="AC1804" s="94">
        <f>864-739</f>
        <v>125</v>
      </c>
      <c r="AD1804" s="95" t="s">
        <v>3843</v>
      </c>
      <c r="AE1804" s="94" t="s">
        <v>98</v>
      </c>
      <c r="AF1804" s="94" t="s">
        <v>98</v>
      </c>
      <c r="AG1804" s="95" t="s">
        <v>10546</v>
      </c>
      <c r="AH1804" s="95" t="s">
        <v>10549</v>
      </c>
      <c r="AI1804" s="99">
        <f>605+20</f>
        <v>625</v>
      </c>
      <c r="AJ1804" s="99" t="s">
        <v>98</v>
      </c>
      <c r="AK1804" s="107">
        <v>864</v>
      </c>
      <c r="AL1804" s="107" t="s">
        <v>98</v>
      </c>
      <c r="AM1804" s="99" t="s">
        <v>292</v>
      </c>
      <c r="AN1804" s="94" t="s">
        <v>276</v>
      </c>
      <c r="AO1804" s="102">
        <f>AI1804*100/AK1804</f>
        <v>72.337962962962962</v>
      </c>
      <c r="AP1804" s="94" t="s">
        <v>276</v>
      </c>
      <c r="AQ1804" s="94" t="s">
        <v>276</v>
      </c>
      <c r="AR1804" s="94" t="s">
        <v>98</v>
      </c>
      <c r="AS1804" s="102" t="s">
        <v>98</v>
      </c>
      <c r="AT1804" s="94" t="s">
        <v>98</v>
      </c>
      <c r="AU1804" s="94" t="s">
        <v>98</v>
      </c>
      <c r="AV1804" s="94" t="s">
        <v>98</v>
      </c>
      <c r="AW1804" s="141" t="s">
        <v>98</v>
      </c>
      <c r="AX1804" s="141" t="s">
        <v>98</v>
      </c>
      <c r="AY1804" s="95" t="s">
        <v>98</v>
      </c>
      <c r="AZ1804" s="95" t="s">
        <v>98</v>
      </c>
      <c r="BA1804" s="95" t="s">
        <v>98</v>
      </c>
      <c r="BB1804" s="95" t="s">
        <v>98</v>
      </c>
      <c r="BC1804" s="95" t="s">
        <v>98</v>
      </c>
      <c r="BD1804" s="95" t="s">
        <v>98</v>
      </c>
      <c r="BE1804" s="95" t="s">
        <v>98</v>
      </c>
      <c r="BF1804" s="95" t="s">
        <v>10547</v>
      </c>
      <c r="BG1804" s="95"/>
      <c r="BH1804" s="9" t="s">
        <v>99</v>
      </c>
      <c r="BI1804" s="9" t="s">
        <v>100</v>
      </c>
      <c r="BJ1804" s="109"/>
      <c r="BN1804" s="109"/>
      <c r="BO1804" s="109"/>
    </row>
    <row r="1805" spans="1:67" s="110" customFormat="1" ht="52" hidden="1" x14ac:dyDescent="0.35">
      <c r="A1805" s="8">
        <v>11144</v>
      </c>
      <c r="B1805" s="9" t="s">
        <v>10550</v>
      </c>
      <c r="C1805" s="9" t="s">
        <v>10551</v>
      </c>
      <c r="D1805" s="9" t="s">
        <v>10563</v>
      </c>
      <c r="E1805" s="8" t="s">
        <v>35</v>
      </c>
      <c r="F1805" s="346" t="s">
        <v>11436</v>
      </c>
      <c r="G1805" s="8" t="s">
        <v>225</v>
      </c>
      <c r="H1805" s="8" t="s">
        <v>125</v>
      </c>
      <c r="I1805" s="8" t="s">
        <v>114</v>
      </c>
      <c r="J1805" s="9" t="s">
        <v>33</v>
      </c>
      <c r="K1805" s="8" t="s">
        <v>10564</v>
      </c>
      <c r="L1805" s="8" t="s">
        <v>276</v>
      </c>
      <c r="M1805" s="8" t="s">
        <v>276</v>
      </c>
      <c r="N1805" s="8" t="s">
        <v>276</v>
      </c>
      <c r="O1805" s="8" t="s">
        <v>276</v>
      </c>
      <c r="P1805" s="9" t="s">
        <v>239</v>
      </c>
      <c r="Q1805" s="52" t="s">
        <v>276</v>
      </c>
      <c r="R1805" s="9" t="s">
        <v>10565</v>
      </c>
      <c r="S1805" s="9" t="s">
        <v>10555</v>
      </c>
      <c r="T1805" s="9" t="s">
        <v>10555</v>
      </c>
      <c r="U1805" s="9" t="s">
        <v>98</v>
      </c>
      <c r="V1805" s="9" t="s">
        <v>261</v>
      </c>
      <c r="W1805" s="346" t="s">
        <v>10573</v>
      </c>
      <c r="X1805" s="9" t="s">
        <v>207</v>
      </c>
      <c r="Y1805" s="13">
        <v>31186</v>
      </c>
      <c r="Z1805" s="38">
        <v>31066</v>
      </c>
      <c r="AA1805" s="9" t="s">
        <v>276</v>
      </c>
      <c r="AB1805" s="9" t="s">
        <v>276</v>
      </c>
      <c r="AC1805" s="8">
        <v>0</v>
      </c>
      <c r="AD1805" s="8" t="s">
        <v>4835</v>
      </c>
      <c r="AE1805" s="8">
        <v>0</v>
      </c>
      <c r="AF1805" s="8" t="s">
        <v>4835</v>
      </c>
      <c r="AG1805" s="9" t="s">
        <v>10566</v>
      </c>
      <c r="AH1805" s="9" t="s">
        <v>4658</v>
      </c>
      <c r="AI1805" s="38">
        <v>10</v>
      </c>
      <c r="AJ1805" s="38">
        <v>3</v>
      </c>
      <c r="AK1805" s="13">
        <v>31186</v>
      </c>
      <c r="AL1805" s="38">
        <v>31066</v>
      </c>
      <c r="AM1805" s="38" t="s">
        <v>281</v>
      </c>
      <c r="AN1805" s="8" t="s">
        <v>276</v>
      </c>
      <c r="AO1805" s="14">
        <f t="shared" ref="AO1805:AO1825" si="513">AI1805*1000/AK1805</f>
        <v>0.32065670493170012</v>
      </c>
      <c r="AP1805" s="8" t="s">
        <v>276</v>
      </c>
      <c r="AQ1805" s="8" t="s">
        <v>276</v>
      </c>
      <c r="AR1805" s="8" t="s">
        <v>276</v>
      </c>
      <c r="AS1805" s="14">
        <f>AJ1805*1000/AL1805</f>
        <v>9.6568595892615725E-2</v>
      </c>
      <c r="AT1805" s="8" t="s">
        <v>276</v>
      </c>
      <c r="AU1805" s="8" t="s">
        <v>276</v>
      </c>
      <c r="AV1805" s="8" t="s">
        <v>268</v>
      </c>
      <c r="AW1805" s="40" t="s">
        <v>276</v>
      </c>
      <c r="AX1805" s="40">
        <f t="shared" ref="AX1805:AX1810" si="514">AO1805/AS1805</f>
        <v>3.3205070651360651</v>
      </c>
      <c r="AY1805" s="9" t="s">
        <v>276</v>
      </c>
      <c r="AZ1805" s="9" t="s">
        <v>276</v>
      </c>
      <c r="BA1805" s="9" t="s">
        <v>276</v>
      </c>
      <c r="BB1805" s="9" t="s">
        <v>282</v>
      </c>
      <c r="BC1805" s="9" t="s">
        <v>98</v>
      </c>
      <c r="BD1805" s="9" t="s">
        <v>98</v>
      </c>
      <c r="BE1805" s="9" t="s">
        <v>98</v>
      </c>
      <c r="BF1805" s="9" t="s">
        <v>10567</v>
      </c>
      <c r="BG1805" s="9"/>
      <c r="BH1805" s="9" t="s">
        <v>100</v>
      </c>
      <c r="BI1805" s="9" t="s">
        <v>100</v>
      </c>
      <c r="BJ1805" s="109"/>
      <c r="BN1805" s="109"/>
      <c r="BO1805" s="109"/>
    </row>
    <row r="1806" spans="1:67" s="110" customFormat="1" ht="52" hidden="1" x14ac:dyDescent="0.35">
      <c r="A1806" s="8">
        <v>11144</v>
      </c>
      <c r="B1806" s="9" t="s">
        <v>10550</v>
      </c>
      <c r="C1806" s="9" t="s">
        <v>10551</v>
      </c>
      <c r="D1806" s="9" t="s">
        <v>10568</v>
      </c>
      <c r="E1806" s="8" t="s">
        <v>35</v>
      </c>
      <c r="F1806" s="346" t="s">
        <v>11436</v>
      </c>
      <c r="G1806" s="8" t="s">
        <v>225</v>
      </c>
      <c r="H1806" s="8" t="s">
        <v>125</v>
      </c>
      <c r="I1806" s="8" t="s">
        <v>114</v>
      </c>
      <c r="J1806" s="9" t="s">
        <v>33</v>
      </c>
      <c r="K1806" s="8" t="s">
        <v>10569</v>
      </c>
      <c r="L1806" s="8" t="s">
        <v>276</v>
      </c>
      <c r="M1806" s="8" t="s">
        <v>276</v>
      </c>
      <c r="N1806" s="8" t="s">
        <v>276</v>
      </c>
      <c r="O1806" s="8" t="s">
        <v>276</v>
      </c>
      <c r="P1806" s="9" t="s">
        <v>239</v>
      </c>
      <c r="Q1806" s="52" t="s">
        <v>276</v>
      </c>
      <c r="R1806" s="9" t="s">
        <v>10565</v>
      </c>
      <c r="S1806" s="9" t="s">
        <v>10555</v>
      </c>
      <c r="T1806" s="9" t="s">
        <v>10555</v>
      </c>
      <c r="U1806" s="9" t="s">
        <v>98</v>
      </c>
      <c r="V1806" s="9" t="s">
        <v>261</v>
      </c>
      <c r="W1806" s="346" t="s">
        <v>10573</v>
      </c>
      <c r="X1806" s="9" t="s">
        <v>207</v>
      </c>
      <c r="Y1806" s="13">
        <v>31186</v>
      </c>
      <c r="Z1806" s="38">
        <v>31066</v>
      </c>
      <c r="AA1806" s="9" t="s">
        <v>276</v>
      </c>
      <c r="AB1806" s="9" t="s">
        <v>276</v>
      </c>
      <c r="AC1806" s="8">
        <v>0</v>
      </c>
      <c r="AD1806" s="8" t="s">
        <v>4835</v>
      </c>
      <c r="AE1806" s="8">
        <v>0</v>
      </c>
      <c r="AF1806" s="8" t="s">
        <v>4835</v>
      </c>
      <c r="AG1806" s="9" t="s">
        <v>10570</v>
      </c>
      <c r="AH1806" s="9" t="s">
        <v>4658</v>
      </c>
      <c r="AI1806" s="38">
        <v>20</v>
      </c>
      <c r="AJ1806" s="38">
        <v>7</v>
      </c>
      <c r="AK1806" s="13">
        <v>31186</v>
      </c>
      <c r="AL1806" s="38">
        <v>31066</v>
      </c>
      <c r="AM1806" s="38" t="s">
        <v>281</v>
      </c>
      <c r="AN1806" s="8" t="s">
        <v>276</v>
      </c>
      <c r="AO1806" s="14">
        <f t="shared" si="513"/>
        <v>0.64131340986340024</v>
      </c>
      <c r="AP1806" s="8" t="s">
        <v>276</v>
      </c>
      <c r="AQ1806" s="8" t="s">
        <v>276</v>
      </c>
      <c r="AR1806" s="8" t="s">
        <v>276</v>
      </c>
      <c r="AS1806" s="14">
        <f>AJ1806*1000/AL1806</f>
        <v>0.22532672374943669</v>
      </c>
      <c r="AT1806" s="8" t="s">
        <v>276</v>
      </c>
      <c r="AU1806" s="8" t="s">
        <v>276</v>
      </c>
      <c r="AV1806" s="8" t="s">
        <v>268</v>
      </c>
      <c r="AW1806" s="40" t="s">
        <v>276</v>
      </c>
      <c r="AX1806" s="40">
        <f t="shared" si="514"/>
        <v>2.8461489129737703</v>
      </c>
      <c r="AY1806" s="9" t="s">
        <v>276</v>
      </c>
      <c r="AZ1806" s="9" t="s">
        <v>276</v>
      </c>
      <c r="BA1806" s="9" t="s">
        <v>276</v>
      </c>
      <c r="BB1806" s="9" t="s">
        <v>282</v>
      </c>
      <c r="BC1806" s="9" t="s">
        <v>98</v>
      </c>
      <c r="BD1806" s="9" t="s">
        <v>98</v>
      </c>
      <c r="BE1806" s="9" t="s">
        <v>98</v>
      </c>
      <c r="BF1806" s="9" t="s">
        <v>10567</v>
      </c>
      <c r="BG1806" s="9"/>
      <c r="BH1806" s="9" t="s">
        <v>100</v>
      </c>
      <c r="BI1806" s="9" t="s">
        <v>100</v>
      </c>
      <c r="BJ1806" s="109"/>
      <c r="BN1806" s="109"/>
      <c r="BO1806" s="109"/>
    </row>
    <row r="1807" spans="1:67" s="110" customFormat="1" ht="52" hidden="1" x14ac:dyDescent="0.35">
      <c r="A1807" s="8">
        <v>11144</v>
      </c>
      <c r="B1807" s="9" t="s">
        <v>10550</v>
      </c>
      <c r="C1807" s="9" t="s">
        <v>10551</v>
      </c>
      <c r="D1807" s="9" t="s">
        <v>10571</v>
      </c>
      <c r="E1807" s="8" t="s">
        <v>35</v>
      </c>
      <c r="F1807" s="346" t="s">
        <v>11436</v>
      </c>
      <c r="G1807" s="8" t="s">
        <v>225</v>
      </c>
      <c r="H1807" s="8" t="s">
        <v>125</v>
      </c>
      <c r="I1807" s="8" t="s">
        <v>114</v>
      </c>
      <c r="J1807" s="9" t="s">
        <v>33</v>
      </c>
      <c r="K1807" s="8" t="s">
        <v>10572</v>
      </c>
      <c r="L1807" s="8" t="s">
        <v>276</v>
      </c>
      <c r="M1807" s="8" t="s">
        <v>276</v>
      </c>
      <c r="N1807" s="8" t="s">
        <v>276</v>
      </c>
      <c r="O1807" s="8" t="s">
        <v>276</v>
      </c>
      <c r="P1807" s="9" t="s">
        <v>239</v>
      </c>
      <c r="Q1807" s="52" t="s">
        <v>276</v>
      </c>
      <c r="R1807" s="9" t="s">
        <v>10565</v>
      </c>
      <c r="S1807" s="9" t="s">
        <v>10555</v>
      </c>
      <c r="T1807" s="9" t="s">
        <v>10555</v>
      </c>
      <c r="U1807" s="9" t="s">
        <v>98</v>
      </c>
      <c r="V1807" s="9" t="s">
        <v>261</v>
      </c>
      <c r="W1807" s="346" t="s">
        <v>10573</v>
      </c>
      <c r="X1807" s="9" t="s">
        <v>207</v>
      </c>
      <c r="Y1807" s="13">
        <v>31186</v>
      </c>
      <c r="Z1807" s="38">
        <v>31066</v>
      </c>
      <c r="AA1807" s="9" t="s">
        <v>276</v>
      </c>
      <c r="AB1807" s="9" t="s">
        <v>276</v>
      </c>
      <c r="AC1807" s="8">
        <v>0</v>
      </c>
      <c r="AD1807" s="8" t="s">
        <v>4835</v>
      </c>
      <c r="AE1807" s="8">
        <v>0</v>
      </c>
      <c r="AF1807" s="8" t="s">
        <v>4835</v>
      </c>
      <c r="AG1807" s="9" t="s">
        <v>10574</v>
      </c>
      <c r="AH1807" s="9" t="s">
        <v>4658</v>
      </c>
      <c r="AI1807" s="38">
        <v>6</v>
      </c>
      <c r="AJ1807" s="38">
        <v>6</v>
      </c>
      <c r="AK1807" s="13">
        <v>31186</v>
      </c>
      <c r="AL1807" s="38">
        <v>31066</v>
      </c>
      <c r="AM1807" s="38" t="s">
        <v>281</v>
      </c>
      <c r="AN1807" s="8" t="s">
        <v>276</v>
      </c>
      <c r="AO1807" s="14">
        <f t="shared" si="513"/>
        <v>0.19239402295902008</v>
      </c>
      <c r="AP1807" s="8" t="s">
        <v>276</v>
      </c>
      <c r="AQ1807" s="8" t="s">
        <v>276</v>
      </c>
      <c r="AR1807" s="8" t="s">
        <v>276</v>
      </c>
      <c r="AS1807" s="14">
        <f>AJ1807*1000/AL1807</f>
        <v>0.19313719178523145</v>
      </c>
      <c r="AT1807" s="8" t="s">
        <v>276</v>
      </c>
      <c r="AU1807" s="8" t="s">
        <v>276</v>
      </c>
      <c r="AV1807" s="8" t="s">
        <v>268</v>
      </c>
      <c r="AW1807" s="40" t="s">
        <v>276</v>
      </c>
      <c r="AX1807" s="40">
        <f t="shared" si="514"/>
        <v>0.99615211954081961</v>
      </c>
      <c r="AY1807" s="9" t="s">
        <v>276</v>
      </c>
      <c r="AZ1807" s="9" t="s">
        <v>276</v>
      </c>
      <c r="BA1807" s="9" t="s">
        <v>276</v>
      </c>
      <c r="BB1807" s="9" t="s">
        <v>282</v>
      </c>
      <c r="BC1807" s="9" t="s">
        <v>98</v>
      </c>
      <c r="BD1807" s="9" t="s">
        <v>98</v>
      </c>
      <c r="BE1807" s="9" t="s">
        <v>98</v>
      </c>
      <c r="BF1807" s="9" t="s">
        <v>10567</v>
      </c>
      <c r="BG1807" s="9"/>
      <c r="BH1807" s="9" t="s">
        <v>100</v>
      </c>
      <c r="BI1807" s="9" t="s">
        <v>100</v>
      </c>
      <c r="BJ1807" s="109"/>
      <c r="BN1807" s="109"/>
      <c r="BO1807" s="109"/>
    </row>
    <row r="1808" spans="1:67" s="110" customFormat="1" ht="65" hidden="1" x14ac:dyDescent="0.35">
      <c r="A1808" s="416">
        <v>11144</v>
      </c>
      <c r="B1808" s="73" t="s">
        <v>10550</v>
      </c>
      <c r="C1808" s="73" t="s">
        <v>10551</v>
      </c>
      <c r="D1808" s="73" t="s">
        <v>10575</v>
      </c>
      <c r="E1808" s="72" t="s">
        <v>35</v>
      </c>
      <c r="F1808" s="346" t="s">
        <v>11436</v>
      </c>
      <c r="G1808" s="72" t="s">
        <v>225</v>
      </c>
      <c r="H1808" s="72" t="s">
        <v>125</v>
      </c>
      <c r="I1808" s="72" t="s">
        <v>114</v>
      </c>
      <c r="J1808" s="73" t="s">
        <v>117</v>
      </c>
      <c r="K1808" s="72" t="s">
        <v>10576</v>
      </c>
      <c r="L1808" s="72" t="s">
        <v>276</v>
      </c>
      <c r="M1808" s="72" t="s">
        <v>276</v>
      </c>
      <c r="N1808" s="72" t="s">
        <v>276</v>
      </c>
      <c r="O1808" s="72" t="s">
        <v>276</v>
      </c>
      <c r="P1808" s="73" t="s">
        <v>239</v>
      </c>
      <c r="Q1808" s="77" t="s">
        <v>276</v>
      </c>
      <c r="R1808" s="73" t="s">
        <v>10565</v>
      </c>
      <c r="S1808" s="73" t="s">
        <v>10555</v>
      </c>
      <c r="T1808" s="73" t="s">
        <v>10555</v>
      </c>
      <c r="U1808" s="73" t="s">
        <v>98</v>
      </c>
      <c r="V1808" s="73" t="s">
        <v>261</v>
      </c>
      <c r="W1808" s="73" t="s">
        <v>10573</v>
      </c>
      <c r="X1808" s="73" t="s">
        <v>207</v>
      </c>
      <c r="Y1808" s="74">
        <v>31186</v>
      </c>
      <c r="Z1808" s="75">
        <v>31066</v>
      </c>
      <c r="AA1808" s="73" t="s">
        <v>276</v>
      </c>
      <c r="AB1808" s="73" t="s">
        <v>276</v>
      </c>
      <c r="AC1808" s="72">
        <v>0</v>
      </c>
      <c r="AD1808" s="72" t="s">
        <v>10577</v>
      </c>
      <c r="AE1808" s="72">
        <v>0</v>
      </c>
      <c r="AF1808" s="72" t="s">
        <v>10577</v>
      </c>
      <c r="AG1808" s="73" t="s">
        <v>10578</v>
      </c>
      <c r="AH1808" s="73" t="s">
        <v>4658</v>
      </c>
      <c r="AI1808" s="75">
        <v>20</v>
      </c>
      <c r="AJ1808" s="75">
        <v>9</v>
      </c>
      <c r="AK1808" s="74">
        <v>31186</v>
      </c>
      <c r="AL1808" s="75">
        <v>31066</v>
      </c>
      <c r="AM1808" s="75" t="s">
        <v>281</v>
      </c>
      <c r="AN1808" s="72" t="s">
        <v>276</v>
      </c>
      <c r="AO1808" s="76">
        <f t="shared" si="513"/>
        <v>0.64131340986340024</v>
      </c>
      <c r="AP1808" s="72" t="s">
        <v>276</v>
      </c>
      <c r="AQ1808" s="72" t="s">
        <v>276</v>
      </c>
      <c r="AR1808" s="72" t="s">
        <v>276</v>
      </c>
      <c r="AS1808" s="76">
        <f>AJ1808*1000/AL1808</f>
        <v>0.28970578767784716</v>
      </c>
      <c r="AT1808" s="72" t="s">
        <v>276</v>
      </c>
      <c r="AU1808" s="72" t="s">
        <v>276</v>
      </c>
      <c r="AV1808" s="72" t="s">
        <v>268</v>
      </c>
      <c r="AW1808" s="83" t="s">
        <v>276</v>
      </c>
      <c r="AX1808" s="83">
        <f t="shared" si="514"/>
        <v>2.213671376757377</v>
      </c>
      <c r="AY1808" s="73" t="s">
        <v>276</v>
      </c>
      <c r="AZ1808" s="73" t="s">
        <v>276</v>
      </c>
      <c r="BA1808" s="73" t="s">
        <v>276</v>
      </c>
      <c r="BB1808" s="73" t="s">
        <v>282</v>
      </c>
      <c r="BC1808" s="73" t="s">
        <v>98</v>
      </c>
      <c r="BD1808" s="73" t="s">
        <v>98</v>
      </c>
      <c r="BE1808" s="73" t="s">
        <v>98</v>
      </c>
      <c r="BF1808" s="73" t="s">
        <v>10567</v>
      </c>
      <c r="BG1808" s="73"/>
      <c r="BH1808" s="9" t="s">
        <v>100</v>
      </c>
      <c r="BI1808" s="9" t="s">
        <v>100</v>
      </c>
      <c r="BJ1808" s="109"/>
      <c r="BN1808" s="109"/>
      <c r="BO1808" s="109"/>
    </row>
    <row r="1809" spans="1:67" s="110" customFormat="1" ht="65" hidden="1" x14ac:dyDescent="0.35">
      <c r="A1809" s="416">
        <v>11144</v>
      </c>
      <c r="B1809" s="73" t="s">
        <v>10550</v>
      </c>
      <c r="C1809" s="73" t="s">
        <v>10551</v>
      </c>
      <c r="D1809" s="73" t="s">
        <v>10579</v>
      </c>
      <c r="E1809" s="72" t="s">
        <v>35</v>
      </c>
      <c r="F1809" s="346" t="s">
        <v>11436</v>
      </c>
      <c r="G1809" s="72" t="s">
        <v>225</v>
      </c>
      <c r="H1809" s="72" t="s">
        <v>125</v>
      </c>
      <c r="I1809" s="72" t="s">
        <v>114</v>
      </c>
      <c r="J1809" s="73" t="s">
        <v>117</v>
      </c>
      <c r="K1809" s="72" t="s">
        <v>2746</v>
      </c>
      <c r="L1809" s="72" t="s">
        <v>276</v>
      </c>
      <c r="M1809" s="72" t="s">
        <v>276</v>
      </c>
      <c r="N1809" s="72" t="s">
        <v>276</v>
      </c>
      <c r="O1809" s="72" t="s">
        <v>276</v>
      </c>
      <c r="P1809" s="73" t="s">
        <v>239</v>
      </c>
      <c r="Q1809" s="77" t="s">
        <v>276</v>
      </c>
      <c r="R1809" s="73" t="s">
        <v>10565</v>
      </c>
      <c r="S1809" s="73" t="s">
        <v>10555</v>
      </c>
      <c r="T1809" s="73" t="s">
        <v>10555</v>
      </c>
      <c r="U1809" s="73" t="s">
        <v>98</v>
      </c>
      <c r="V1809" s="73" t="s">
        <v>261</v>
      </c>
      <c r="W1809" s="73" t="s">
        <v>10573</v>
      </c>
      <c r="X1809" s="73" t="s">
        <v>207</v>
      </c>
      <c r="Y1809" s="74">
        <v>31186</v>
      </c>
      <c r="Z1809" s="75">
        <v>31066</v>
      </c>
      <c r="AA1809" s="73" t="s">
        <v>276</v>
      </c>
      <c r="AB1809" s="73" t="s">
        <v>276</v>
      </c>
      <c r="AC1809" s="72">
        <v>0</v>
      </c>
      <c r="AD1809" s="72" t="s">
        <v>10577</v>
      </c>
      <c r="AE1809" s="72">
        <v>0</v>
      </c>
      <c r="AF1809" s="72" t="s">
        <v>10577</v>
      </c>
      <c r="AG1809" s="73" t="s">
        <v>10580</v>
      </c>
      <c r="AH1809" s="73" t="s">
        <v>4658</v>
      </c>
      <c r="AI1809" s="75">
        <v>16</v>
      </c>
      <c r="AJ1809" s="75">
        <v>7</v>
      </c>
      <c r="AK1809" s="74">
        <v>31186</v>
      </c>
      <c r="AL1809" s="75">
        <v>31066</v>
      </c>
      <c r="AM1809" s="75" t="s">
        <v>281</v>
      </c>
      <c r="AN1809" s="72" t="s">
        <v>276</v>
      </c>
      <c r="AO1809" s="76">
        <f t="shared" si="513"/>
        <v>0.51305072789072015</v>
      </c>
      <c r="AP1809" s="72" t="s">
        <v>276</v>
      </c>
      <c r="AQ1809" s="72" t="s">
        <v>276</v>
      </c>
      <c r="AR1809" s="72" t="s">
        <v>276</v>
      </c>
      <c r="AS1809" s="76">
        <f>AJ1809*1000/AL1809</f>
        <v>0.22532672374943669</v>
      </c>
      <c r="AT1809" s="72" t="s">
        <v>276</v>
      </c>
      <c r="AU1809" s="72" t="s">
        <v>276</v>
      </c>
      <c r="AV1809" s="72" t="s">
        <v>268</v>
      </c>
      <c r="AW1809" s="83" t="s">
        <v>276</v>
      </c>
      <c r="AX1809" s="83">
        <f t="shared" si="514"/>
        <v>2.2769191303790159</v>
      </c>
      <c r="AY1809" s="73" t="s">
        <v>276</v>
      </c>
      <c r="AZ1809" s="73" t="s">
        <v>276</v>
      </c>
      <c r="BA1809" s="73" t="s">
        <v>276</v>
      </c>
      <c r="BB1809" s="73" t="s">
        <v>282</v>
      </c>
      <c r="BC1809" s="73" t="s">
        <v>98</v>
      </c>
      <c r="BD1809" s="73" t="s">
        <v>98</v>
      </c>
      <c r="BE1809" s="73" t="s">
        <v>98</v>
      </c>
      <c r="BF1809" s="73" t="s">
        <v>10567</v>
      </c>
      <c r="BG1809" s="73"/>
      <c r="BH1809" s="9" t="s">
        <v>100</v>
      </c>
      <c r="BI1809" s="9" t="s">
        <v>100</v>
      </c>
      <c r="BJ1809" s="109"/>
      <c r="BN1809" s="109"/>
      <c r="BO1809" s="109"/>
    </row>
    <row r="1810" spans="1:67" s="110" customFormat="1" ht="65" hidden="1" x14ac:dyDescent="0.35">
      <c r="A1810" s="72">
        <v>11144</v>
      </c>
      <c r="B1810" s="73" t="s">
        <v>10550</v>
      </c>
      <c r="C1810" s="73" t="s">
        <v>10551</v>
      </c>
      <c r="D1810" s="73" t="s">
        <v>11467</v>
      </c>
      <c r="E1810" s="72" t="s">
        <v>35</v>
      </c>
      <c r="F1810" s="346" t="s">
        <v>11436</v>
      </c>
      <c r="G1810" s="72" t="s">
        <v>225</v>
      </c>
      <c r="H1810" s="72" t="s">
        <v>125</v>
      </c>
      <c r="I1810" s="72" t="s">
        <v>114</v>
      </c>
      <c r="J1810" s="73" t="s">
        <v>117</v>
      </c>
      <c r="K1810" s="72" t="s">
        <v>10576</v>
      </c>
      <c r="L1810" s="72" t="s">
        <v>276</v>
      </c>
      <c r="M1810" s="72" t="s">
        <v>276</v>
      </c>
      <c r="N1810" s="72" t="s">
        <v>276</v>
      </c>
      <c r="O1810" s="72" t="s">
        <v>276</v>
      </c>
      <c r="P1810" s="73" t="s">
        <v>235</v>
      </c>
      <c r="Q1810" s="77" t="s">
        <v>276</v>
      </c>
      <c r="R1810" s="73" t="s">
        <v>10565</v>
      </c>
      <c r="S1810" s="73" t="s">
        <v>10555</v>
      </c>
      <c r="T1810" s="73" t="s">
        <v>10555</v>
      </c>
      <c r="U1810" s="73" t="s">
        <v>98</v>
      </c>
      <c r="V1810" s="73" t="s">
        <v>261</v>
      </c>
      <c r="W1810" s="73" t="s">
        <v>10573</v>
      </c>
      <c r="X1810" s="73" t="s">
        <v>207</v>
      </c>
      <c r="Y1810" s="74" t="s">
        <v>98</v>
      </c>
      <c r="Z1810" s="75" t="s">
        <v>98</v>
      </c>
      <c r="AA1810" s="73" t="s">
        <v>276</v>
      </c>
      <c r="AB1810" s="73" t="s">
        <v>276</v>
      </c>
      <c r="AC1810" s="72">
        <v>0</v>
      </c>
      <c r="AD1810" s="72" t="s">
        <v>10577</v>
      </c>
      <c r="AE1810" s="72">
        <v>0</v>
      </c>
      <c r="AF1810" s="72" t="s">
        <v>10577</v>
      </c>
      <c r="AG1810" s="73" t="s">
        <v>10578</v>
      </c>
      <c r="AH1810" s="73" t="s">
        <v>11468</v>
      </c>
      <c r="AI1810" s="75">
        <v>20</v>
      </c>
      <c r="AJ1810" s="75">
        <v>9</v>
      </c>
      <c r="AK1810" s="74">
        <v>36</v>
      </c>
      <c r="AL1810" s="75">
        <v>16</v>
      </c>
      <c r="AM1810" s="75" t="s">
        <v>292</v>
      </c>
      <c r="AN1810" s="72" t="s">
        <v>276</v>
      </c>
      <c r="AO1810" s="76">
        <f>AI1810*100/AK1810</f>
        <v>55.555555555555557</v>
      </c>
      <c r="AP1810" s="72" t="s">
        <v>276</v>
      </c>
      <c r="AQ1810" s="72" t="s">
        <v>276</v>
      </c>
      <c r="AR1810" s="72" t="s">
        <v>276</v>
      </c>
      <c r="AS1810" s="76">
        <f>AJ1810*100/AL1810</f>
        <v>56.25</v>
      </c>
      <c r="AT1810" s="72" t="s">
        <v>276</v>
      </c>
      <c r="AU1810" s="72" t="s">
        <v>276</v>
      </c>
      <c r="AV1810" s="72" t="s">
        <v>268</v>
      </c>
      <c r="AW1810" s="83" t="s">
        <v>276</v>
      </c>
      <c r="AX1810" s="83">
        <f t="shared" si="514"/>
        <v>0.98765432098765438</v>
      </c>
      <c r="AY1810" s="73" t="s">
        <v>276</v>
      </c>
      <c r="AZ1810" s="73" t="s">
        <v>276</v>
      </c>
      <c r="BA1810" s="73" t="s">
        <v>276</v>
      </c>
      <c r="BB1810" s="73" t="s">
        <v>282</v>
      </c>
      <c r="BC1810" s="73" t="s">
        <v>98</v>
      </c>
      <c r="BD1810" s="73" t="s">
        <v>98</v>
      </c>
      <c r="BE1810" s="73" t="s">
        <v>98</v>
      </c>
      <c r="BF1810" s="73" t="s">
        <v>11469</v>
      </c>
      <c r="BG1810" s="73"/>
      <c r="BH1810" s="9" t="s">
        <v>100</v>
      </c>
      <c r="BI1810" s="9" t="s">
        <v>100</v>
      </c>
      <c r="BJ1810" s="109"/>
      <c r="BN1810" s="109"/>
      <c r="BO1810" s="109"/>
    </row>
    <row r="1811" spans="1:67" s="110" customFormat="1" ht="39" hidden="1" x14ac:dyDescent="0.35">
      <c r="A1811" s="8">
        <v>11144</v>
      </c>
      <c r="B1811" s="9" t="s">
        <v>10550</v>
      </c>
      <c r="C1811" s="9" t="s">
        <v>10551</v>
      </c>
      <c r="D1811" s="9" t="s">
        <v>10581</v>
      </c>
      <c r="E1811" s="8" t="s">
        <v>35</v>
      </c>
      <c r="F1811" s="346" t="s">
        <v>11436</v>
      </c>
      <c r="G1811" s="8" t="s">
        <v>225</v>
      </c>
      <c r="H1811" s="8" t="s">
        <v>225</v>
      </c>
      <c r="I1811" s="8" t="s">
        <v>98</v>
      </c>
      <c r="J1811" s="9" t="s">
        <v>98</v>
      </c>
      <c r="K1811" s="8" t="s">
        <v>98</v>
      </c>
      <c r="L1811" s="8" t="s">
        <v>98</v>
      </c>
      <c r="M1811" s="8" t="s">
        <v>98</v>
      </c>
      <c r="N1811" s="8" t="s">
        <v>276</v>
      </c>
      <c r="O1811" s="9" t="s">
        <v>276</v>
      </c>
      <c r="P1811" s="9" t="s">
        <v>238</v>
      </c>
      <c r="Q1811" s="52" t="s">
        <v>276</v>
      </c>
      <c r="R1811" s="9" t="s">
        <v>10565</v>
      </c>
      <c r="S1811" s="9" t="s">
        <v>10555</v>
      </c>
      <c r="T1811" s="9" t="s">
        <v>98</v>
      </c>
      <c r="U1811" s="9" t="s">
        <v>98</v>
      </c>
      <c r="V1811" s="9" t="s">
        <v>261</v>
      </c>
      <c r="W1811" s="9" t="s">
        <v>10573</v>
      </c>
      <c r="X1811" s="9" t="s">
        <v>209</v>
      </c>
      <c r="Y1811" s="13">
        <v>31186</v>
      </c>
      <c r="Z1811" s="38" t="s">
        <v>98</v>
      </c>
      <c r="AA1811" s="9" t="s">
        <v>276</v>
      </c>
      <c r="AB1811" s="9" t="s">
        <v>98</v>
      </c>
      <c r="AC1811" s="8">
        <v>0</v>
      </c>
      <c r="AD1811" s="9" t="s">
        <v>3843</v>
      </c>
      <c r="AE1811" s="8" t="s">
        <v>98</v>
      </c>
      <c r="AF1811" s="8" t="s">
        <v>98</v>
      </c>
      <c r="AG1811" s="9" t="s">
        <v>10582</v>
      </c>
      <c r="AH1811" s="9" t="s">
        <v>7518</v>
      </c>
      <c r="AI1811" s="38">
        <v>36</v>
      </c>
      <c r="AJ1811" s="38" t="s">
        <v>98</v>
      </c>
      <c r="AK1811" s="13">
        <v>31186</v>
      </c>
      <c r="AL1811" s="38" t="s">
        <v>98</v>
      </c>
      <c r="AM1811" s="38" t="s">
        <v>281</v>
      </c>
      <c r="AN1811" s="8">
        <v>1.1499999999999999</v>
      </c>
      <c r="AO1811" s="14">
        <f t="shared" si="513"/>
        <v>1.1543641377541205</v>
      </c>
      <c r="AP1811" s="8" t="s">
        <v>276</v>
      </c>
      <c r="AQ1811" s="8" t="s">
        <v>276</v>
      </c>
      <c r="AR1811" s="8" t="s">
        <v>98</v>
      </c>
      <c r="AS1811" s="8" t="s">
        <v>98</v>
      </c>
      <c r="AT1811" s="8" t="s">
        <v>98</v>
      </c>
      <c r="AU1811" s="8" t="s">
        <v>98</v>
      </c>
      <c r="AV1811" s="8" t="s">
        <v>98</v>
      </c>
      <c r="AW1811" s="8" t="s">
        <v>98</v>
      </c>
      <c r="AX1811" s="8" t="s">
        <v>98</v>
      </c>
      <c r="AY1811" s="8" t="s">
        <v>98</v>
      </c>
      <c r="AZ1811" s="8" t="s">
        <v>98</v>
      </c>
      <c r="BA1811" s="8" t="s">
        <v>98</v>
      </c>
      <c r="BB1811" s="8" t="s">
        <v>98</v>
      </c>
      <c r="BC1811" s="8" t="s">
        <v>98</v>
      </c>
      <c r="BD1811" s="8" t="s">
        <v>98</v>
      </c>
      <c r="BE1811" s="8" t="s">
        <v>98</v>
      </c>
      <c r="BF1811" s="9" t="s">
        <v>10583</v>
      </c>
      <c r="BG1811" s="9"/>
      <c r="BH1811" s="9" t="s">
        <v>100</v>
      </c>
      <c r="BI1811" s="9" t="s">
        <v>100</v>
      </c>
      <c r="BJ1811" s="109"/>
      <c r="BN1811" s="109"/>
      <c r="BO1811" s="109"/>
    </row>
    <row r="1812" spans="1:67" s="110" customFormat="1" ht="52" hidden="1" x14ac:dyDescent="0.35">
      <c r="A1812" s="94">
        <v>11142</v>
      </c>
      <c r="B1812" s="95" t="s">
        <v>10584</v>
      </c>
      <c r="C1812" s="95" t="s">
        <v>10551</v>
      </c>
      <c r="D1812" s="95" t="s">
        <v>10585</v>
      </c>
      <c r="E1812" s="94" t="s">
        <v>35</v>
      </c>
      <c r="F1812" s="346" t="s">
        <v>11436</v>
      </c>
      <c r="G1812" s="94" t="s">
        <v>225</v>
      </c>
      <c r="H1812" s="94" t="s">
        <v>125</v>
      </c>
      <c r="I1812" s="94" t="s">
        <v>114</v>
      </c>
      <c r="J1812" s="95" t="s">
        <v>33</v>
      </c>
      <c r="K1812" s="94" t="s">
        <v>10586</v>
      </c>
      <c r="L1812" s="95" t="s">
        <v>276</v>
      </c>
      <c r="M1812" s="95" t="s">
        <v>276</v>
      </c>
      <c r="N1812" s="95" t="s">
        <v>10587</v>
      </c>
      <c r="O1812" s="95" t="s">
        <v>276</v>
      </c>
      <c r="P1812" s="95" t="s">
        <v>239</v>
      </c>
      <c r="Q1812" s="140">
        <v>33238</v>
      </c>
      <c r="R1812" s="95" t="s">
        <v>98</v>
      </c>
      <c r="S1812" s="95" t="s">
        <v>276</v>
      </c>
      <c r="T1812" s="95" t="s">
        <v>276</v>
      </c>
      <c r="U1812" s="95" t="s">
        <v>98</v>
      </c>
      <c r="V1812" s="95" t="s">
        <v>261</v>
      </c>
      <c r="W1812" s="95" t="s">
        <v>10561</v>
      </c>
      <c r="X1812" s="95" t="s">
        <v>207</v>
      </c>
      <c r="Y1812" s="98">
        <v>60221</v>
      </c>
      <c r="Z1812" s="99">
        <v>60089</v>
      </c>
      <c r="AA1812" s="95" t="s">
        <v>276</v>
      </c>
      <c r="AB1812" s="95" t="s">
        <v>276</v>
      </c>
      <c r="AC1812" s="94">
        <v>0</v>
      </c>
      <c r="AD1812" s="94" t="s">
        <v>6315</v>
      </c>
      <c r="AE1812" s="94">
        <v>0</v>
      </c>
      <c r="AF1812" s="94" t="s">
        <v>6315</v>
      </c>
      <c r="AG1812" s="95" t="s">
        <v>10588</v>
      </c>
      <c r="AH1812" s="95" t="s">
        <v>4658</v>
      </c>
      <c r="AI1812" s="99">
        <v>115</v>
      </c>
      <c r="AJ1812" s="99">
        <v>106</v>
      </c>
      <c r="AK1812" s="98">
        <v>60221</v>
      </c>
      <c r="AL1812" s="99">
        <v>60089</v>
      </c>
      <c r="AM1812" s="99" t="s">
        <v>281</v>
      </c>
      <c r="AN1812" s="94" t="s">
        <v>276</v>
      </c>
      <c r="AO1812" s="102">
        <f t="shared" si="513"/>
        <v>1.9096328523272612</v>
      </c>
      <c r="AP1812" s="94" t="s">
        <v>276</v>
      </c>
      <c r="AQ1812" s="94" t="s">
        <v>276</v>
      </c>
      <c r="AR1812" s="94" t="s">
        <v>276</v>
      </c>
      <c r="AS1812" s="102">
        <f>AJ1812*1000/AL1812</f>
        <v>1.7640499925111086</v>
      </c>
      <c r="AT1812" s="94" t="s">
        <v>276</v>
      </c>
      <c r="AU1812" s="94" t="s">
        <v>276</v>
      </c>
      <c r="AV1812" s="94" t="s">
        <v>268</v>
      </c>
      <c r="AW1812" s="141" t="s">
        <v>276</v>
      </c>
      <c r="AX1812" s="141">
        <f>AO1812/AS1812</f>
        <v>1.0825276270140829</v>
      </c>
      <c r="AY1812" s="95" t="s">
        <v>276</v>
      </c>
      <c r="AZ1812" s="95" t="s">
        <v>276</v>
      </c>
      <c r="BA1812" s="95" t="s">
        <v>691</v>
      </c>
      <c r="BB1812" s="95" t="s">
        <v>282</v>
      </c>
      <c r="BC1812" s="95" t="s">
        <v>98</v>
      </c>
      <c r="BD1812" s="95" t="s">
        <v>98</v>
      </c>
      <c r="BE1812" s="95" t="s">
        <v>98</v>
      </c>
      <c r="BF1812" s="95" t="s">
        <v>10589</v>
      </c>
      <c r="BG1812" s="95"/>
      <c r="BH1812" s="9" t="s">
        <v>100</v>
      </c>
      <c r="BI1812" s="9" t="s">
        <v>100</v>
      </c>
      <c r="BJ1812" s="109"/>
      <c r="BN1812" s="109"/>
      <c r="BO1812" s="109"/>
    </row>
    <row r="1813" spans="1:67" s="110" customFormat="1" ht="52" hidden="1" x14ac:dyDescent="0.35">
      <c r="A1813" s="94">
        <v>11142</v>
      </c>
      <c r="B1813" s="95" t="s">
        <v>10584</v>
      </c>
      <c r="C1813" s="95" t="s">
        <v>10551</v>
      </c>
      <c r="D1813" s="95" t="s">
        <v>10590</v>
      </c>
      <c r="E1813" s="94" t="s">
        <v>35</v>
      </c>
      <c r="F1813" s="346" t="s">
        <v>11436</v>
      </c>
      <c r="G1813" s="94" t="s">
        <v>225</v>
      </c>
      <c r="H1813" s="94" t="s">
        <v>125</v>
      </c>
      <c r="I1813" s="94" t="s">
        <v>114</v>
      </c>
      <c r="J1813" s="95" t="s">
        <v>33</v>
      </c>
      <c r="K1813" s="94" t="s">
        <v>10591</v>
      </c>
      <c r="L1813" s="95" t="s">
        <v>276</v>
      </c>
      <c r="M1813" s="95" t="s">
        <v>276</v>
      </c>
      <c r="N1813" s="95" t="s">
        <v>10587</v>
      </c>
      <c r="O1813" s="95" t="s">
        <v>276</v>
      </c>
      <c r="P1813" s="95" t="s">
        <v>239</v>
      </c>
      <c r="Q1813" s="140">
        <v>33238</v>
      </c>
      <c r="R1813" s="95" t="s">
        <v>98</v>
      </c>
      <c r="S1813" s="95" t="s">
        <v>276</v>
      </c>
      <c r="T1813" s="95" t="s">
        <v>276</v>
      </c>
      <c r="U1813" s="95" t="s">
        <v>98</v>
      </c>
      <c r="V1813" s="95" t="s">
        <v>261</v>
      </c>
      <c r="W1813" s="95" t="s">
        <v>10561</v>
      </c>
      <c r="X1813" s="95" t="s">
        <v>207</v>
      </c>
      <c r="Y1813" s="98">
        <v>60221</v>
      </c>
      <c r="Z1813" s="99">
        <v>60089</v>
      </c>
      <c r="AA1813" s="95" t="s">
        <v>276</v>
      </c>
      <c r="AB1813" s="95" t="s">
        <v>276</v>
      </c>
      <c r="AC1813" s="94">
        <v>0</v>
      </c>
      <c r="AD1813" s="94" t="s">
        <v>6315</v>
      </c>
      <c r="AE1813" s="94">
        <v>0</v>
      </c>
      <c r="AF1813" s="94" t="s">
        <v>6315</v>
      </c>
      <c r="AG1813" s="95" t="s">
        <v>10592</v>
      </c>
      <c r="AH1813" s="95" t="s">
        <v>4658</v>
      </c>
      <c r="AI1813" s="99">
        <v>75</v>
      </c>
      <c r="AJ1813" s="99">
        <v>86</v>
      </c>
      <c r="AK1813" s="98">
        <v>60221</v>
      </c>
      <c r="AL1813" s="99">
        <v>60089</v>
      </c>
      <c r="AM1813" s="99" t="s">
        <v>281</v>
      </c>
      <c r="AN1813" s="94" t="s">
        <v>276</v>
      </c>
      <c r="AO1813" s="102">
        <f t="shared" si="513"/>
        <v>1.2454127297786486</v>
      </c>
      <c r="AP1813" s="94" t="s">
        <v>276</v>
      </c>
      <c r="AQ1813" s="94" t="s">
        <v>276</v>
      </c>
      <c r="AR1813" s="94" t="s">
        <v>276</v>
      </c>
      <c r="AS1813" s="102">
        <f>AJ1813*1000/AL1813</f>
        <v>1.4312103712825974</v>
      </c>
      <c r="AT1813" s="94" t="s">
        <v>276</v>
      </c>
      <c r="AU1813" s="94" t="s">
        <v>276</v>
      </c>
      <c r="AV1813" s="94" t="s">
        <v>268</v>
      </c>
      <c r="AW1813" s="141" t="s">
        <v>276</v>
      </c>
      <c r="AX1813" s="141">
        <f>AO1813/AS1813</f>
        <v>0.87018145953103743</v>
      </c>
      <c r="AY1813" s="95" t="s">
        <v>276</v>
      </c>
      <c r="AZ1813" s="95" t="s">
        <v>276</v>
      </c>
      <c r="BA1813" s="95" t="s">
        <v>691</v>
      </c>
      <c r="BB1813" s="95" t="s">
        <v>282</v>
      </c>
      <c r="BC1813" s="95" t="s">
        <v>98</v>
      </c>
      <c r="BD1813" s="95" t="s">
        <v>98</v>
      </c>
      <c r="BE1813" s="95" t="s">
        <v>98</v>
      </c>
      <c r="BF1813" s="95" t="s">
        <v>10589</v>
      </c>
      <c r="BG1813" s="95"/>
      <c r="BH1813" s="9" t="s">
        <v>100</v>
      </c>
      <c r="BI1813" s="9" t="s">
        <v>100</v>
      </c>
      <c r="BJ1813" s="109"/>
      <c r="BN1813" s="109"/>
      <c r="BO1813" s="109"/>
    </row>
    <row r="1814" spans="1:67" s="110" customFormat="1" ht="52" hidden="1" x14ac:dyDescent="0.35">
      <c r="A1814" s="112">
        <v>11142</v>
      </c>
      <c r="B1814" s="113" t="s">
        <v>10584</v>
      </c>
      <c r="C1814" s="113" t="s">
        <v>10551</v>
      </c>
      <c r="D1814" s="113" t="s">
        <v>10593</v>
      </c>
      <c r="E1814" s="112" t="s">
        <v>35</v>
      </c>
      <c r="F1814" s="346" t="s">
        <v>11436</v>
      </c>
      <c r="G1814" s="112" t="s">
        <v>225</v>
      </c>
      <c r="H1814" s="112" t="s">
        <v>125</v>
      </c>
      <c r="I1814" s="112" t="s">
        <v>114</v>
      </c>
      <c r="J1814" s="113" t="s">
        <v>117</v>
      </c>
      <c r="K1814" s="113" t="s">
        <v>6444</v>
      </c>
      <c r="L1814" s="113" t="s">
        <v>276</v>
      </c>
      <c r="M1814" s="113" t="s">
        <v>276</v>
      </c>
      <c r="N1814" s="113" t="s">
        <v>10587</v>
      </c>
      <c r="O1814" s="113" t="s">
        <v>276</v>
      </c>
      <c r="P1814" s="113" t="s">
        <v>239</v>
      </c>
      <c r="Q1814" s="142">
        <v>33238</v>
      </c>
      <c r="R1814" s="113" t="s">
        <v>98</v>
      </c>
      <c r="S1814" s="113" t="s">
        <v>276</v>
      </c>
      <c r="T1814" s="113" t="s">
        <v>276</v>
      </c>
      <c r="U1814" s="113" t="s">
        <v>98</v>
      </c>
      <c r="V1814" s="113" t="s">
        <v>261</v>
      </c>
      <c r="W1814" s="113" t="s">
        <v>10561</v>
      </c>
      <c r="X1814" s="113" t="s">
        <v>207</v>
      </c>
      <c r="Y1814" s="118">
        <v>60221</v>
      </c>
      <c r="Z1814" s="119">
        <v>60089</v>
      </c>
      <c r="AA1814" s="113" t="s">
        <v>276</v>
      </c>
      <c r="AB1814" s="113" t="s">
        <v>276</v>
      </c>
      <c r="AC1814" s="112">
        <v>0</v>
      </c>
      <c r="AD1814" s="113" t="s">
        <v>7545</v>
      </c>
      <c r="AE1814" s="112">
        <v>1</v>
      </c>
      <c r="AF1814" s="113" t="s">
        <v>10594</v>
      </c>
      <c r="AG1814" s="113" t="s">
        <v>10595</v>
      </c>
      <c r="AH1814" s="113" t="s">
        <v>4658</v>
      </c>
      <c r="AI1814" s="119">
        <v>91</v>
      </c>
      <c r="AJ1814" s="119">
        <v>94</v>
      </c>
      <c r="AK1814" s="118">
        <v>60221</v>
      </c>
      <c r="AL1814" s="119">
        <v>60089</v>
      </c>
      <c r="AM1814" s="119" t="s">
        <v>281</v>
      </c>
      <c r="AN1814" s="112" t="s">
        <v>276</v>
      </c>
      <c r="AO1814" s="121">
        <f t="shared" si="513"/>
        <v>1.5111007787980937</v>
      </c>
      <c r="AP1814" s="112" t="s">
        <v>276</v>
      </c>
      <c r="AQ1814" s="112" t="s">
        <v>276</v>
      </c>
      <c r="AR1814" s="112" t="s">
        <v>276</v>
      </c>
      <c r="AS1814" s="121">
        <f>AJ1814*1000/AL1814</f>
        <v>1.5643462197740019</v>
      </c>
      <c r="AT1814" s="112" t="s">
        <v>276</v>
      </c>
      <c r="AU1814" s="112" t="s">
        <v>276</v>
      </c>
      <c r="AV1814" s="112" t="s">
        <v>268</v>
      </c>
      <c r="AW1814" s="143" t="s">
        <v>276</v>
      </c>
      <c r="AX1814" s="143">
        <f>AO1814/AS1814</f>
        <v>0.96596313507658138</v>
      </c>
      <c r="AY1814" s="113" t="s">
        <v>276</v>
      </c>
      <c r="AZ1814" s="113" t="s">
        <v>276</v>
      </c>
      <c r="BA1814" s="113" t="s">
        <v>691</v>
      </c>
      <c r="BB1814" s="113" t="s">
        <v>282</v>
      </c>
      <c r="BC1814" s="113" t="s">
        <v>98</v>
      </c>
      <c r="BD1814" s="113" t="s">
        <v>98</v>
      </c>
      <c r="BE1814" s="113" t="s">
        <v>98</v>
      </c>
      <c r="BF1814" s="113" t="s">
        <v>11470</v>
      </c>
      <c r="BG1814" s="113"/>
      <c r="BH1814" s="9" t="s">
        <v>100</v>
      </c>
      <c r="BI1814" s="9" t="s">
        <v>100</v>
      </c>
      <c r="BJ1814" s="109"/>
      <c r="BN1814" s="109"/>
      <c r="BO1814" s="109"/>
    </row>
    <row r="1815" spans="1:67" s="110" customFormat="1" ht="52" hidden="1" x14ac:dyDescent="0.35">
      <c r="A1815" s="112">
        <v>11142</v>
      </c>
      <c r="B1815" s="113" t="s">
        <v>10584</v>
      </c>
      <c r="C1815" s="113" t="s">
        <v>10551</v>
      </c>
      <c r="D1815" s="113" t="s">
        <v>10596</v>
      </c>
      <c r="E1815" s="112" t="s">
        <v>35</v>
      </c>
      <c r="F1815" s="346" t="s">
        <v>11436</v>
      </c>
      <c r="G1815" s="112" t="s">
        <v>225</v>
      </c>
      <c r="H1815" s="112" t="s">
        <v>125</v>
      </c>
      <c r="I1815" s="112" t="s">
        <v>114</v>
      </c>
      <c r="J1815" s="113" t="s">
        <v>117</v>
      </c>
      <c r="K1815" s="113" t="s">
        <v>10597</v>
      </c>
      <c r="L1815" s="113" t="s">
        <v>276</v>
      </c>
      <c r="M1815" s="113" t="s">
        <v>276</v>
      </c>
      <c r="N1815" s="113" t="s">
        <v>10587</v>
      </c>
      <c r="O1815" s="113" t="s">
        <v>276</v>
      </c>
      <c r="P1815" s="113" t="s">
        <v>239</v>
      </c>
      <c r="Q1815" s="142">
        <v>33238</v>
      </c>
      <c r="R1815" s="113" t="s">
        <v>98</v>
      </c>
      <c r="S1815" s="113" t="s">
        <v>276</v>
      </c>
      <c r="T1815" s="113" t="s">
        <v>276</v>
      </c>
      <c r="U1815" s="113" t="s">
        <v>98</v>
      </c>
      <c r="V1815" s="113" t="s">
        <v>261</v>
      </c>
      <c r="W1815" s="113" t="s">
        <v>10561</v>
      </c>
      <c r="X1815" s="113" t="s">
        <v>207</v>
      </c>
      <c r="Y1815" s="118">
        <v>60221</v>
      </c>
      <c r="Z1815" s="119">
        <v>60089</v>
      </c>
      <c r="AA1815" s="113" t="s">
        <v>276</v>
      </c>
      <c r="AB1815" s="113" t="s">
        <v>276</v>
      </c>
      <c r="AC1815" s="112">
        <v>0</v>
      </c>
      <c r="AD1815" s="113" t="s">
        <v>7545</v>
      </c>
      <c r="AE1815" s="112">
        <v>1</v>
      </c>
      <c r="AF1815" s="113" t="s">
        <v>10594</v>
      </c>
      <c r="AG1815" s="113" t="s">
        <v>10598</v>
      </c>
      <c r="AH1815" s="113" t="s">
        <v>4658</v>
      </c>
      <c r="AI1815" s="119">
        <v>99</v>
      </c>
      <c r="AJ1815" s="119">
        <v>97</v>
      </c>
      <c r="AK1815" s="118">
        <v>60221</v>
      </c>
      <c r="AL1815" s="119">
        <v>60089</v>
      </c>
      <c r="AM1815" s="119" t="s">
        <v>281</v>
      </c>
      <c r="AN1815" s="112" t="s">
        <v>276</v>
      </c>
      <c r="AO1815" s="121">
        <f t="shared" si="513"/>
        <v>1.6439448033078161</v>
      </c>
      <c r="AP1815" s="112" t="s">
        <v>276</v>
      </c>
      <c r="AQ1815" s="112" t="s">
        <v>276</v>
      </c>
      <c r="AR1815" s="112" t="s">
        <v>276</v>
      </c>
      <c r="AS1815" s="121">
        <f>AJ1815*1000/AL1815</f>
        <v>1.6142721629582786</v>
      </c>
      <c r="AT1815" s="112" t="s">
        <v>276</v>
      </c>
      <c r="AU1815" s="112" t="s">
        <v>276</v>
      </c>
      <c r="AV1815" s="112" t="s">
        <v>268</v>
      </c>
      <c r="AW1815" s="143" t="s">
        <v>276</v>
      </c>
      <c r="AX1815" s="143">
        <f>AO1815/AS1815</f>
        <v>1.0183814359377665</v>
      </c>
      <c r="AY1815" s="113" t="s">
        <v>276</v>
      </c>
      <c r="AZ1815" s="113" t="s">
        <v>276</v>
      </c>
      <c r="BA1815" s="113" t="s">
        <v>691</v>
      </c>
      <c r="BB1815" s="113" t="s">
        <v>282</v>
      </c>
      <c r="BC1815" s="113" t="s">
        <v>98</v>
      </c>
      <c r="BD1815" s="113" t="s">
        <v>98</v>
      </c>
      <c r="BE1815" s="113" t="s">
        <v>98</v>
      </c>
      <c r="BF1815" s="113" t="s">
        <v>11470</v>
      </c>
      <c r="BG1815" s="113"/>
      <c r="BH1815" s="9" t="s">
        <v>100</v>
      </c>
      <c r="BI1815" s="9" t="s">
        <v>100</v>
      </c>
      <c r="BJ1815" s="109"/>
      <c r="BN1815" s="109"/>
      <c r="BO1815" s="109"/>
    </row>
    <row r="1816" spans="1:67" s="110" customFormat="1" ht="65" hidden="1" x14ac:dyDescent="0.35">
      <c r="A1816" s="112">
        <v>11142</v>
      </c>
      <c r="B1816" s="113" t="s">
        <v>10584</v>
      </c>
      <c r="C1816" s="113" t="s">
        <v>10551</v>
      </c>
      <c r="D1816" s="113" t="s">
        <v>11471</v>
      </c>
      <c r="E1816" s="112" t="s">
        <v>35</v>
      </c>
      <c r="F1816" s="346" t="s">
        <v>11436</v>
      </c>
      <c r="G1816" s="112" t="s">
        <v>225</v>
      </c>
      <c r="H1816" s="112" t="s">
        <v>125</v>
      </c>
      <c r="I1816" s="112" t="s">
        <v>114</v>
      </c>
      <c r="J1816" s="113" t="s">
        <v>117</v>
      </c>
      <c r="K1816" s="113" t="s">
        <v>10597</v>
      </c>
      <c r="L1816" s="113" t="s">
        <v>276</v>
      </c>
      <c r="M1816" s="113" t="s">
        <v>276</v>
      </c>
      <c r="N1816" s="113" t="s">
        <v>10587</v>
      </c>
      <c r="O1816" s="113" t="s">
        <v>276</v>
      </c>
      <c r="P1816" s="113" t="s">
        <v>235</v>
      </c>
      <c r="Q1816" s="142">
        <v>33238</v>
      </c>
      <c r="R1816" s="113" t="s">
        <v>98</v>
      </c>
      <c r="S1816" s="113" t="s">
        <v>276</v>
      </c>
      <c r="T1816" s="113" t="s">
        <v>276</v>
      </c>
      <c r="U1816" s="113" t="s">
        <v>98</v>
      </c>
      <c r="V1816" s="113" t="s">
        <v>261</v>
      </c>
      <c r="W1816" s="113" t="s">
        <v>10561</v>
      </c>
      <c r="X1816" s="113" t="s">
        <v>207</v>
      </c>
      <c r="Y1816" s="118" t="s">
        <v>98</v>
      </c>
      <c r="Z1816" s="119" t="s">
        <v>98</v>
      </c>
      <c r="AA1816" s="113" t="s">
        <v>276</v>
      </c>
      <c r="AB1816" s="113" t="s">
        <v>276</v>
      </c>
      <c r="AC1816" s="112">
        <v>0</v>
      </c>
      <c r="AD1816" s="113" t="s">
        <v>7545</v>
      </c>
      <c r="AE1816" s="112">
        <v>1</v>
      </c>
      <c r="AF1816" s="113" t="s">
        <v>10594</v>
      </c>
      <c r="AG1816" s="113" t="s">
        <v>10598</v>
      </c>
      <c r="AH1816" s="113" t="s">
        <v>11472</v>
      </c>
      <c r="AI1816" s="119">
        <v>99</v>
      </c>
      <c r="AJ1816" s="119">
        <v>97</v>
      </c>
      <c r="AK1816" s="118">
        <v>190</v>
      </c>
      <c r="AL1816" s="119">
        <v>191</v>
      </c>
      <c r="AM1816" s="119" t="s">
        <v>292</v>
      </c>
      <c r="AN1816" s="112">
        <v>52.1</v>
      </c>
      <c r="AO1816" s="121">
        <f>AI1816*100/AK1816</f>
        <v>52.10526315789474</v>
      </c>
      <c r="AP1816" s="112" t="s">
        <v>276</v>
      </c>
      <c r="AQ1816" s="112" t="s">
        <v>276</v>
      </c>
      <c r="AR1816" s="112">
        <v>50.8</v>
      </c>
      <c r="AS1816" s="121">
        <f>AJ1816*100/AL1816</f>
        <v>50.785340314136128</v>
      </c>
      <c r="AT1816" s="112" t="s">
        <v>276</v>
      </c>
      <c r="AU1816" s="112" t="s">
        <v>276</v>
      </c>
      <c r="AV1816" s="112" t="s">
        <v>268</v>
      </c>
      <c r="AW1816" s="143" t="s">
        <v>276</v>
      </c>
      <c r="AX1816" s="143">
        <f>AO1816/AS1816</f>
        <v>1.0259902333152469</v>
      </c>
      <c r="AY1816" s="113" t="s">
        <v>276</v>
      </c>
      <c r="AZ1816" s="113" t="s">
        <v>276</v>
      </c>
      <c r="BA1816" s="113" t="s">
        <v>691</v>
      </c>
      <c r="BB1816" s="113" t="s">
        <v>282</v>
      </c>
      <c r="BC1816" s="113" t="s">
        <v>98</v>
      </c>
      <c r="BD1816" s="113" t="s">
        <v>98</v>
      </c>
      <c r="BE1816" s="113" t="s">
        <v>98</v>
      </c>
      <c r="BF1816" s="113" t="s">
        <v>11473</v>
      </c>
      <c r="BG1816" s="113"/>
      <c r="BH1816" s="9" t="s">
        <v>100</v>
      </c>
      <c r="BI1816" s="9" t="s">
        <v>100</v>
      </c>
      <c r="BJ1816" s="109"/>
      <c r="BN1816" s="109"/>
      <c r="BO1816" s="109"/>
    </row>
    <row r="1817" spans="1:67" s="110" customFormat="1" ht="39" hidden="1" x14ac:dyDescent="0.35">
      <c r="A1817" s="94">
        <v>11143</v>
      </c>
      <c r="B1817" s="95" t="s">
        <v>10584</v>
      </c>
      <c r="C1817" s="95" t="s">
        <v>10551</v>
      </c>
      <c r="D1817" s="95" t="s">
        <v>10599</v>
      </c>
      <c r="E1817" s="94" t="s">
        <v>35</v>
      </c>
      <c r="F1817" s="346" t="s">
        <v>11436</v>
      </c>
      <c r="G1817" s="94" t="s">
        <v>225</v>
      </c>
      <c r="H1817" s="94" t="s">
        <v>225</v>
      </c>
      <c r="I1817" s="94" t="s">
        <v>98</v>
      </c>
      <c r="J1817" s="95" t="s">
        <v>98</v>
      </c>
      <c r="K1817" s="94" t="s">
        <v>98</v>
      </c>
      <c r="L1817" s="94" t="s">
        <v>98</v>
      </c>
      <c r="M1817" s="94" t="s">
        <v>98</v>
      </c>
      <c r="N1817" s="95" t="s">
        <v>10587</v>
      </c>
      <c r="O1817" s="95" t="s">
        <v>276</v>
      </c>
      <c r="P1817" s="95" t="s">
        <v>238</v>
      </c>
      <c r="Q1817" s="140">
        <v>33238</v>
      </c>
      <c r="R1817" s="95" t="s">
        <v>98</v>
      </c>
      <c r="S1817" s="95" t="s">
        <v>276</v>
      </c>
      <c r="T1817" s="95" t="s">
        <v>276</v>
      </c>
      <c r="U1817" s="95" t="s">
        <v>98</v>
      </c>
      <c r="V1817" s="95" t="s">
        <v>261</v>
      </c>
      <c r="W1817" s="95" t="s">
        <v>10561</v>
      </c>
      <c r="X1817" s="95" t="s">
        <v>209</v>
      </c>
      <c r="Y1817" s="98">
        <v>60221</v>
      </c>
      <c r="Z1817" s="99" t="s">
        <v>98</v>
      </c>
      <c r="AA1817" s="95" t="s">
        <v>276</v>
      </c>
      <c r="AB1817" s="95" t="s">
        <v>98</v>
      </c>
      <c r="AC1817" s="94">
        <v>0</v>
      </c>
      <c r="AD1817" s="95" t="s">
        <v>3843</v>
      </c>
      <c r="AE1817" s="94" t="s">
        <v>98</v>
      </c>
      <c r="AF1817" s="94" t="s">
        <v>98</v>
      </c>
      <c r="AG1817" s="95" t="s">
        <v>10600</v>
      </c>
      <c r="AH1817" s="95" t="s">
        <v>7518</v>
      </c>
      <c r="AI1817" s="99">
        <v>190</v>
      </c>
      <c r="AJ1817" s="99" t="s">
        <v>98</v>
      </c>
      <c r="AK1817" s="98">
        <v>60221</v>
      </c>
      <c r="AL1817" s="99" t="s">
        <v>98</v>
      </c>
      <c r="AM1817" s="99" t="s">
        <v>281</v>
      </c>
      <c r="AN1817" s="94">
        <v>3.15</v>
      </c>
      <c r="AO1817" s="102">
        <f t="shared" si="513"/>
        <v>3.15504558210591</v>
      </c>
      <c r="AP1817" s="94" t="s">
        <v>276</v>
      </c>
      <c r="AQ1817" s="94" t="s">
        <v>276</v>
      </c>
      <c r="AR1817" s="94" t="s">
        <v>98</v>
      </c>
      <c r="AS1817" s="94" t="s">
        <v>98</v>
      </c>
      <c r="AT1817" s="94" t="s">
        <v>98</v>
      </c>
      <c r="AU1817" s="94" t="s">
        <v>98</v>
      </c>
      <c r="AV1817" s="94" t="s">
        <v>98</v>
      </c>
      <c r="AW1817" s="94" t="s">
        <v>98</v>
      </c>
      <c r="AX1817" s="94" t="s">
        <v>98</v>
      </c>
      <c r="AY1817" s="94" t="s">
        <v>98</v>
      </c>
      <c r="AZ1817" s="94" t="s">
        <v>98</v>
      </c>
      <c r="BA1817" s="94" t="s">
        <v>98</v>
      </c>
      <c r="BB1817" s="94" t="s">
        <v>98</v>
      </c>
      <c r="BC1817" s="94" t="s">
        <v>98</v>
      </c>
      <c r="BD1817" s="94" t="s">
        <v>98</v>
      </c>
      <c r="BE1817" s="94" t="s">
        <v>98</v>
      </c>
      <c r="BF1817" s="95" t="s">
        <v>1168</v>
      </c>
      <c r="BG1817" s="95"/>
      <c r="BH1817" s="9" t="s">
        <v>100</v>
      </c>
      <c r="BI1817" s="9" t="s">
        <v>100</v>
      </c>
      <c r="BJ1817" s="109"/>
      <c r="BN1817" s="109"/>
      <c r="BO1817" s="109"/>
    </row>
    <row r="1818" spans="1:67" s="110" customFormat="1" ht="52" hidden="1" x14ac:dyDescent="0.35">
      <c r="A1818" s="126">
        <v>11145</v>
      </c>
      <c r="B1818" s="127" t="s">
        <v>10558</v>
      </c>
      <c r="C1818" s="127" t="s">
        <v>10551</v>
      </c>
      <c r="D1818" s="127" t="s">
        <v>10601</v>
      </c>
      <c r="E1818" s="126" t="s">
        <v>35</v>
      </c>
      <c r="F1818" s="346" t="s">
        <v>11436</v>
      </c>
      <c r="G1818" s="126" t="s">
        <v>225</v>
      </c>
      <c r="H1818" s="126" t="s">
        <v>125</v>
      </c>
      <c r="I1818" s="126" t="s">
        <v>114</v>
      </c>
      <c r="J1818" s="127" t="s">
        <v>33</v>
      </c>
      <c r="K1818" s="126" t="s">
        <v>10602</v>
      </c>
      <c r="L1818" s="127" t="s">
        <v>276</v>
      </c>
      <c r="M1818" s="127" t="s">
        <v>276</v>
      </c>
      <c r="N1818" s="127" t="s">
        <v>10603</v>
      </c>
      <c r="O1818" s="127" t="s">
        <v>276</v>
      </c>
      <c r="P1818" s="127" t="s">
        <v>239</v>
      </c>
      <c r="Q1818" s="146">
        <v>34699</v>
      </c>
      <c r="R1818" s="127" t="s">
        <v>98</v>
      </c>
      <c r="S1818" s="127" t="s">
        <v>276</v>
      </c>
      <c r="T1818" s="127" t="s">
        <v>276</v>
      </c>
      <c r="U1818" s="127" t="s">
        <v>98</v>
      </c>
      <c r="V1818" s="127" t="s">
        <v>261</v>
      </c>
      <c r="W1818" s="127" t="s">
        <v>10561</v>
      </c>
      <c r="X1818" s="127" t="s">
        <v>207</v>
      </c>
      <c r="Y1818" s="132">
        <v>57712</v>
      </c>
      <c r="Z1818" s="134">
        <v>64759</v>
      </c>
      <c r="AA1818" s="127" t="s">
        <v>276</v>
      </c>
      <c r="AB1818" s="127" t="s">
        <v>276</v>
      </c>
      <c r="AC1818" s="126">
        <v>0</v>
      </c>
      <c r="AD1818" s="126" t="s">
        <v>6315</v>
      </c>
      <c r="AE1818" s="126">
        <v>0</v>
      </c>
      <c r="AF1818" s="126" t="s">
        <v>6315</v>
      </c>
      <c r="AG1818" s="127" t="s">
        <v>10604</v>
      </c>
      <c r="AH1818" s="127" t="s">
        <v>4658</v>
      </c>
      <c r="AI1818" s="134">
        <v>5</v>
      </c>
      <c r="AJ1818" s="134">
        <v>1</v>
      </c>
      <c r="AK1818" s="132">
        <v>57712</v>
      </c>
      <c r="AL1818" s="134">
        <v>64759</v>
      </c>
      <c r="AM1818" s="134" t="s">
        <v>281</v>
      </c>
      <c r="AN1818" s="126" t="s">
        <v>276</v>
      </c>
      <c r="AO1818" s="135">
        <f t="shared" si="513"/>
        <v>8.663709453839756E-2</v>
      </c>
      <c r="AP1818" s="126" t="s">
        <v>276</v>
      </c>
      <c r="AQ1818" s="126" t="s">
        <v>276</v>
      </c>
      <c r="AR1818" s="126" t="s">
        <v>276</v>
      </c>
      <c r="AS1818" s="135">
        <f t="shared" ref="AS1818:AS1825" si="515">AJ1818*1000/AL1818</f>
        <v>1.5441869083833907E-2</v>
      </c>
      <c r="AT1818" s="126" t="s">
        <v>276</v>
      </c>
      <c r="AU1818" s="126" t="s">
        <v>276</v>
      </c>
      <c r="AV1818" s="126" t="s">
        <v>268</v>
      </c>
      <c r="AW1818" s="234" t="s">
        <v>276</v>
      </c>
      <c r="AX1818" s="234">
        <f>AO1818/AS1818</f>
        <v>5.6105316052120875</v>
      </c>
      <c r="AY1818" s="127" t="s">
        <v>276</v>
      </c>
      <c r="AZ1818" s="127" t="s">
        <v>276</v>
      </c>
      <c r="BA1818" s="127" t="s">
        <v>276</v>
      </c>
      <c r="BB1818" s="127" t="s">
        <v>282</v>
      </c>
      <c r="BC1818" s="127" t="s">
        <v>98</v>
      </c>
      <c r="BD1818" s="127" t="s">
        <v>98</v>
      </c>
      <c r="BE1818" s="127" t="s">
        <v>98</v>
      </c>
      <c r="BF1818" s="127" t="s">
        <v>1010</v>
      </c>
      <c r="BG1818" s="127"/>
      <c r="BH1818" s="9" t="s">
        <v>100</v>
      </c>
      <c r="BI1818" s="9" t="s">
        <v>100</v>
      </c>
      <c r="BJ1818" s="109"/>
      <c r="BN1818" s="109"/>
      <c r="BO1818" s="109"/>
    </row>
    <row r="1819" spans="1:67" s="110" customFormat="1" ht="52" hidden="1" x14ac:dyDescent="0.35">
      <c r="A1819" s="126">
        <v>11145</v>
      </c>
      <c r="B1819" s="127" t="s">
        <v>10558</v>
      </c>
      <c r="C1819" s="127" t="s">
        <v>10551</v>
      </c>
      <c r="D1819" s="127" t="s">
        <v>10605</v>
      </c>
      <c r="E1819" s="126" t="s">
        <v>35</v>
      </c>
      <c r="F1819" s="346" t="s">
        <v>11436</v>
      </c>
      <c r="G1819" s="126" t="s">
        <v>225</v>
      </c>
      <c r="H1819" s="126" t="s">
        <v>125</v>
      </c>
      <c r="I1819" s="126" t="s">
        <v>114</v>
      </c>
      <c r="J1819" s="127" t="s">
        <v>33</v>
      </c>
      <c r="K1819" s="126" t="s">
        <v>10606</v>
      </c>
      <c r="L1819" s="127" t="s">
        <v>276</v>
      </c>
      <c r="M1819" s="127" t="s">
        <v>276</v>
      </c>
      <c r="N1819" s="127" t="s">
        <v>10603</v>
      </c>
      <c r="O1819" s="127" t="s">
        <v>276</v>
      </c>
      <c r="P1819" s="127" t="s">
        <v>239</v>
      </c>
      <c r="Q1819" s="146">
        <v>34699</v>
      </c>
      <c r="R1819" s="127" t="s">
        <v>98</v>
      </c>
      <c r="S1819" s="127" t="s">
        <v>276</v>
      </c>
      <c r="T1819" s="127" t="s">
        <v>276</v>
      </c>
      <c r="U1819" s="127" t="s">
        <v>98</v>
      </c>
      <c r="V1819" s="127" t="s">
        <v>261</v>
      </c>
      <c r="W1819" s="127" t="s">
        <v>10561</v>
      </c>
      <c r="X1819" s="127" t="s">
        <v>207</v>
      </c>
      <c r="Y1819" s="132">
        <v>57712</v>
      </c>
      <c r="Z1819" s="134">
        <v>64759</v>
      </c>
      <c r="AA1819" s="127" t="s">
        <v>276</v>
      </c>
      <c r="AB1819" s="127" t="s">
        <v>276</v>
      </c>
      <c r="AC1819" s="126">
        <v>0</v>
      </c>
      <c r="AD1819" s="126" t="s">
        <v>6315</v>
      </c>
      <c r="AE1819" s="126">
        <v>0</v>
      </c>
      <c r="AF1819" s="126" t="s">
        <v>6315</v>
      </c>
      <c r="AG1819" s="127" t="s">
        <v>10607</v>
      </c>
      <c r="AH1819" s="127" t="s">
        <v>4658</v>
      </c>
      <c r="AI1819" s="134">
        <v>1</v>
      </c>
      <c r="AJ1819" s="134">
        <v>0</v>
      </c>
      <c r="AK1819" s="132">
        <v>57712</v>
      </c>
      <c r="AL1819" s="134">
        <v>64759</v>
      </c>
      <c r="AM1819" s="134" t="s">
        <v>281</v>
      </c>
      <c r="AN1819" s="126" t="s">
        <v>276</v>
      </c>
      <c r="AO1819" s="135">
        <f t="shared" si="513"/>
        <v>1.7327418907679512E-2</v>
      </c>
      <c r="AP1819" s="126" t="s">
        <v>276</v>
      </c>
      <c r="AQ1819" s="126" t="s">
        <v>276</v>
      </c>
      <c r="AR1819" s="126" t="s">
        <v>276</v>
      </c>
      <c r="AS1819" s="135">
        <f t="shared" si="515"/>
        <v>0</v>
      </c>
      <c r="AT1819" s="126" t="s">
        <v>276</v>
      </c>
      <c r="AU1819" s="126" t="s">
        <v>276</v>
      </c>
      <c r="AV1819" s="126" t="s">
        <v>268</v>
      </c>
      <c r="AW1819" s="234" t="s">
        <v>276</v>
      </c>
      <c r="AX1819" s="234" t="s">
        <v>98</v>
      </c>
      <c r="AY1819" s="127" t="s">
        <v>276</v>
      </c>
      <c r="AZ1819" s="127" t="s">
        <v>276</v>
      </c>
      <c r="BA1819" s="127" t="s">
        <v>276</v>
      </c>
      <c r="BB1819" s="127" t="s">
        <v>282</v>
      </c>
      <c r="BC1819" s="127" t="s">
        <v>98</v>
      </c>
      <c r="BD1819" s="127" t="s">
        <v>98</v>
      </c>
      <c r="BE1819" s="127" t="s">
        <v>98</v>
      </c>
      <c r="BF1819" s="127" t="s">
        <v>1010</v>
      </c>
      <c r="BG1819" s="127"/>
      <c r="BH1819" s="9" t="s">
        <v>100</v>
      </c>
      <c r="BI1819" s="9" t="s">
        <v>100</v>
      </c>
      <c r="BJ1819" s="109"/>
      <c r="BN1819" s="109"/>
      <c r="BO1819" s="109"/>
    </row>
    <row r="1820" spans="1:67" s="110" customFormat="1" ht="52" hidden="1" x14ac:dyDescent="0.35">
      <c r="A1820" s="126">
        <v>11145</v>
      </c>
      <c r="B1820" s="127" t="s">
        <v>10558</v>
      </c>
      <c r="C1820" s="127" t="s">
        <v>10551</v>
      </c>
      <c r="D1820" s="127" t="s">
        <v>10608</v>
      </c>
      <c r="E1820" s="126" t="s">
        <v>35</v>
      </c>
      <c r="F1820" s="346" t="s">
        <v>11436</v>
      </c>
      <c r="G1820" s="126" t="s">
        <v>225</v>
      </c>
      <c r="H1820" s="126" t="s">
        <v>125</v>
      </c>
      <c r="I1820" s="126" t="s">
        <v>114</v>
      </c>
      <c r="J1820" s="127" t="s">
        <v>33</v>
      </c>
      <c r="K1820" s="126" t="s">
        <v>2735</v>
      </c>
      <c r="L1820" s="127" t="s">
        <v>276</v>
      </c>
      <c r="M1820" s="127" t="s">
        <v>276</v>
      </c>
      <c r="N1820" s="127" t="s">
        <v>10603</v>
      </c>
      <c r="O1820" s="127" t="s">
        <v>276</v>
      </c>
      <c r="P1820" s="127" t="s">
        <v>239</v>
      </c>
      <c r="Q1820" s="146">
        <v>34699</v>
      </c>
      <c r="R1820" s="127" t="s">
        <v>98</v>
      </c>
      <c r="S1820" s="127" t="s">
        <v>276</v>
      </c>
      <c r="T1820" s="127" t="s">
        <v>276</v>
      </c>
      <c r="U1820" s="127" t="s">
        <v>98</v>
      </c>
      <c r="V1820" s="127" t="s">
        <v>261</v>
      </c>
      <c r="W1820" s="127" t="s">
        <v>10561</v>
      </c>
      <c r="X1820" s="127" t="s">
        <v>207</v>
      </c>
      <c r="Y1820" s="132">
        <v>57712</v>
      </c>
      <c r="Z1820" s="134">
        <v>64759</v>
      </c>
      <c r="AA1820" s="127" t="s">
        <v>276</v>
      </c>
      <c r="AB1820" s="127" t="s">
        <v>276</v>
      </c>
      <c r="AC1820" s="126">
        <v>0</v>
      </c>
      <c r="AD1820" s="126" t="s">
        <v>6315</v>
      </c>
      <c r="AE1820" s="126">
        <v>0</v>
      </c>
      <c r="AF1820" s="126" t="s">
        <v>6315</v>
      </c>
      <c r="AG1820" s="127" t="s">
        <v>10609</v>
      </c>
      <c r="AH1820" s="127" t="s">
        <v>4658</v>
      </c>
      <c r="AI1820" s="134">
        <v>109</v>
      </c>
      <c r="AJ1820" s="134">
        <v>78</v>
      </c>
      <c r="AK1820" s="132">
        <v>57712</v>
      </c>
      <c r="AL1820" s="134">
        <v>64759</v>
      </c>
      <c r="AM1820" s="134" t="s">
        <v>281</v>
      </c>
      <c r="AN1820" s="126" t="s">
        <v>276</v>
      </c>
      <c r="AO1820" s="135">
        <f t="shared" si="513"/>
        <v>1.8886886609370668</v>
      </c>
      <c r="AP1820" s="126" t="s">
        <v>276</v>
      </c>
      <c r="AQ1820" s="126" t="s">
        <v>276</v>
      </c>
      <c r="AR1820" s="126" t="s">
        <v>276</v>
      </c>
      <c r="AS1820" s="135">
        <f t="shared" si="515"/>
        <v>1.2044657885390448</v>
      </c>
      <c r="AT1820" s="126" t="s">
        <v>276</v>
      </c>
      <c r="AU1820" s="126" t="s">
        <v>276</v>
      </c>
      <c r="AV1820" s="126" t="s">
        <v>268</v>
      </c>
      <c r="AW1820" s="234" t="s">
        <v>276</v>
      </c>
      <c r="AX1820" s="234">
        <f t="shared" ref="AX1820:AX1827" si="516">AO1820/AS1820</f>
        <v>1.5680716537644039</v>
      </c>
      <c r="AY1820" s="127" t="s">
        <v>276</v>
      </c>
      <c r="AZ1820" s="127" t="s">
        <v>276</v>
      </c>
      <c r="BA1820" s="127" t="s">
        <v>276</v>
      </c>
      <c r="BB1820" s="127" t="s">
        <v>282</v>
      </c>
      <c r="BC1820" s="127" t="s">
        <v>98</v>
      </c>
      <c r="BD1820" s="127" t="s">
        <v>98</v>
      </c>
      <c r="BE1820" s="127" t="s">
        <v>98</v>
      </c>
      <c r="BF1820" s="127" t="s">
        <v>1010</v>
      </c>
      <c r="BG1820" s="127"/>
      <c r="BH1820" s="9" t="s">
        <v>100</v>
      </c>
      <c r="BI1820" s="9" t="s">
        <v>100</v>
      </c>
      <c r="BJ1820" s="109"/>
      <c r="BN1820" s="109"/>
      <c r="BO1820" s="109"/>
    </row>
    <row r="1821" spans="1:67" s="110" customFormat="1" ht="52" hidden="1" x14ac:dyDescent="0.35">
      <c r="A1821" s="126">
        <v>11145</v>
      </c>
      <c r="B1821" s="127" t="s">
        <v>10558</v>
      </c>
      <c r="C1821" s="127" t="s">
        <v>10551</v>
      </c>
      <c r="D1821" s="127" t="s">
        <v>10610</v>
      </c>
      <c r="E1821" s="126" t="s">
        <v>35</v>
      </c>
      <c r="F1821" s="346" t="s">
        <v>11436</v>
      </c>
      <c r="G1821" s="126" t="s">
        <v>225</v>
      </c>
      <c r="H1821" s="126" t="s">
        <v>125</v>
      </c>
      <c r="I1821" s="126" t="s">
        <v>114</v>
      </c>
      <c r="J1821" s="127" t="s">
        <v>33</v>
      </c>
      <c r="K1821" s="126" t="s">
        <v>2739</v>
      </c>
      <c r="L1821" s="127" t="s">
        <v>276</v>
      </c>
      <c r="M1821" s="127" t="s">
        <v>276</v>
      </c>
      <c r="N1821" s="127" t="s">
        <v>10603</v>
      </c>
      <c r="O1821" s="127" t="s">
        <v>276</v>
      </c>
      <c r="P1821" s="127" t="s">
        <v>239</v>
      </c>
      <c r="Q1821" s="146">
        <v>34699</v>
      </c>
      <c r="R1821" s="127" t="s">
        <v>98</v>
      </c>
      <c r="S1821" s="127" t="s">
        <v>276</v>
      </c>
      <c r="T1821" s="127" t="s">
        <v>276</v>
      </c>
      <c r="U1821" s="127" t="s">
        <v>98</v>
      </c>
      <c r="V1821" s="127" t="s">
        <v>261</v>
      </c>
      <c r="W1821" s="127" t="s">
        <v>10561</v>
      </c>
      <c r="X1821" s="127" t="s">
        <v>207</v>
      </c>
      <c r="Y1821" s="132">
        <v>57712</v>
      </c>
      <c r="Z1821" s="134">
        <v>64759</v>
      </c>
      <c r="AA1821" s="127" t="s">
        <v>276</v>
      </c>
      <c r="AB1821" s="127" t="s">
        <v>276</v>
      </c>
      <c r="AC1821" s="126">
        <v>0</v>
      </c>
      <c r="AD1821" s="126" t="s">
        <v>6315</v>
      </c>
      <c r="AE1821" s="126">
        <v>0</v>
      </c>
      <c r="AF1821" s="126" t="s">
        <v>6315</v>
      </c>
      <c r="AG1821" s="127" t="s">
        <v>10611</v>
      </c>
      <c r="AH1821" s="127" t="s">
        <v>4658</v>
      </c>
      <c r="AI1821" s="134">
        <v>189</v>
      </c>
      <c r="AJ1821" s="134">
        <v>189</v>
      </c>
      <c r="AK1821" s="132">
        <v>57712</v>
      </c>
      <c r="AL1821" s="134">
        <v>64759</v>
      </c>
      <c r="AM1821" s="134" t="s">
        <v>281</v>
      </c>
      <c r="AN1821" s="126" t="s">
        <v>276</v>
      </c>
      <c r="AO1821" s="135">
        <f t="shared" si="513"/>
        <v>3.2748821735514277</v>
      </c>
      <c r="AP1821" s="126" t="s">
        <v>276</v>
      </c>
      <c r="AQ1821" s="126" t="s">
        <v>276</v>
      </c>
      <c r="AR1821" s="126" t="s">
        <v>276</v>
      </c>
      <c r="AS1821" s="135">
        <f t="shared" si="515"/>
        <v>2.9185132568446086</v>
      </c>
      <c r="AT1821" s="126" t="s">
        <v>276</v>
      </c>
      <c r="AU1821" s="126" t="s">
        <v>276</v>
      </c>
      <c r="AV1821" s="126" t="s">
        <v>268</v>
      </c>
      <c r="AW1821" s="234" t="s">
        <v>276</v>
      </c>
      <c r="AX1821" s="234">
        <f t="shared" si="516"/>
        <v>1.1221063210424174</v>
      </c>
      <c r="AY1821" s="127" t="s">
        <v>276</v>
      </c>
      <c r="AZ1821" s="127" t="s">
        <v>276</v>
      </c>
      <c r="BA1821" s="127" t="s">
        <v>276</v>
      </c>
      <c r="BB1821" s="127" t="s">
        <v>282</v>
      </c>
      <c r="BC1821" s="127" t="s">
        <v>98</v>
      </c>
      <c r="BD1821" s="127" t="s">
        <v>98</v>
      </c>
      <c r="BE1821" s="127" t="s">
        <v>98</v>
      </c>
      <c r="BF1821" s="127" t="s">
        <v>1010</v>
      </c>
      <c r="BG1821" s="127"/>
      <c r="BH1821" s="9" t="s">
        <v>100</v>
      </c>
      <c r="BI1821" s="9" t="s">
        <v>100</v>
      </c>
      <c r="BJ1821" s="109"/>
      <c r="BN1821" s="109"/>
      <c r="BO1821" s="109"/>
    </row>
    <row r="1822" spans="1:67" s="110" customFormat="1" ht="52" hidden="1" x14ac:dyDescent="0.35">
      <c r="A1822" s="126">
        <v>11145</v>
      </c>
      <c r="B1822" s="127" t="s">
        <v>10558</v>
      </c>
      <c r="C1822" s="127" t="s">
        <v>10551</v>
      </c>
      <c r="D1822" s="127" t="s">
        <v>10612</v>
      </c>
      <c r="E1822" s="126" t="s">
        <v>35</v>
      </c>
      <c r="F1822" s="346" t="s">
        <v>11436</v>
      </c>
      <c r="G1822" s="126" t="s">
        <v>225</v>
      </c>
      <c r="H1822" s="126" t="s">
        <v>125</v>
      </c>
      <c r="I1822" s="126" t="s">
        <v>114</v>
      </c>
      <c r="J1822" s="127" t="s">
        <v>33</v>
      </c>
      <c r="K1822" s="126" t="s">
        <v>2649</v>
      </c>
      <c r="L1822" s="127" t="s">
        <v>276</v>
      </c>
      <c r="M1822" s="127" t="s">
        <v>276</v>
      </c>
      <c r="N1822" s="127" t="s">
        <v>10603</v>
      </c>
      <c r="O1822" s="127" t="s">
        <v>276</v>
      </c>
      <c r="P1822" s="127" t="s">
        <v>239</v>
      </c>
      <c r="Q1822" s="146">
        <v>34699</v>
      </c>
      <c r="R1822" s="127" t="s">
        <v>98</v>
      </c>
      <c r="S1822" s="127" t="s">
        <v>276</v>
      </c>
      <c r="T1822" s="127" t="s">
        <v>276</v>
      </c>
      <c r="U1822" s="127" t="s">
        <v>98</v>
      </c>
      <c r="V1822" s="127" t="s">
        <v>261</v>
      </c>
      <c r="W1822" s="127" t="s">
        <v>10561</v>
      </c>
      <c r="X1822" s="127" t="s">
        <v>207</v>
      </c>
      <c r="Y1822" s="132">
        <v>57712</v>
      </c>
      <c r="Z1822" s="134">
        <v>64759</v>
      </c>
      <c r="AA1822" s="127" t="s">
        <v>276</v>
      </c>
      <c r="AB1822" s="127" t="s">
        <v>276</v>
      </c>
      <c r="AC1822" s="126">
        <v>0</v>
      </c>
      <c r="AD1822" s="126" t="s">
        <v>6315</v>
      </c>
      <c r="AE1822" s="126">
        <v>0</v>
      </c>
      <c r="AF1822" s="126" t="s">
        <v>6315</v>
      </c>
      <c r="AG1822" s="127" t="s">
        <v>10613</v>
      </c>
      <c r="AH1822" s="127" t="s">
        <v>4658</v>
      </c>
      <c r="AI1822" s="134">
        <v>153</v>
      </c>
      <c r="AJ1822" s="134">
        <v>142</v>
      </c>
      <c r="AK1822" s="132">
        <v>57712</v>
      </c>
      <c r="AL1822" s="134">
        <v>64759</v>
      </c>
      <c r="AM1822" s="134" t="s">
        <v>281</v>
      </c>
      <c r="AN1822" s="126" t="s">
        <v>276</v>
      </c>
      <c r="AO1822" s="135">
        <f t="shared" si="513"/>
        <v>2.6510950928749653</v>
      </c>
      <c r="AP1822" s="126" t="s">
        <v>276</v>
      </c>
      <c r="AQ1822" s="126" t="s">
        <v>276</v>
      </c>
      <c r="AR1822" s="126" t="s">
        <v>276</v>
      </c>
      <c r="AS1822" s="135">
        <f t="shared" si="515"/>
        <v>2.1927454099044148</v>
      </c>
      <c r="AT1822" s="126" t="s">
        <v>276</v>
      </c>
      <c r="AU1822" s="126" t="s">
        <v>276</v>
      </c>
      <c r="AV1822" s="126" t="s">
        <v>268</v>
      </c>
      <c r="AW1822" s="234" t="s">
        <v>276</v>
      </c>
      <c r="AX1822" s="234">
        <f t="shared" si="516"/>
        <v>1.2090300501372526</v>
      </c>
      <c r="AY1822" s="127" t="s">
        <v>276</v>
      </c>
      <c r="AZ1822" s="127" t="s">
        <v>276</v>
      </c>
      <c r="BA1822" s="127" t="s">
        <v>276</v>
      </c>
      <c r="BB1822" s="127" t="s">
        <v>282</v>
      </c>
      <c r="BC1822" s="127" t="s">
        <v>98</v>
      </c>
      <c r="BD1822" s="127" t="s">
        <v>98</v>
      </c>
      <c r="BE1822" s="127" t="s">
        <v>98</v>
      </c>
      <c r="BF1822" s="127" t="s">
        <v>1010</v>
      </c>
      <c r="BG1822" s="127"/>
      <c r="BH1822" s="9" t="s">
        <v>100</v>
      </c>
      <c r="BI1822" s="9" t="s">
        <v>100</v>
      </c>
      <c r="BJ1822" s="109"/>
      <c r="BN1822" s="109"/>
      <c r="BO1822" s="109"/>
    </row>
    <row r="1823" spans="1:67" s="110" customFormat="1" ht="52" hidden="1" x14ac:dyDescent="0.35">
      <c r="A1823" s="126">
        <v>11145</v>
      </c>
      <c r="B1823" s="127" t="s">
        <v>10558</v>
      </c>
      <c r="C1823" s="127" t="s">
        <v>10551</v>
      </c>
      <c r="D1823" s="127" t="s">
        <v>10614</v>
      </c>
      <c r="E1823" s="126" t="s">
        <v>35</v>
      </c>
      <c r="F1823" s="346" t="s">
        <v>11436</v>
      </c>
      <c r="G1823" s="126" t="s">
        <v>225</v>
      </c>
      <c r="H1823" s="126" t="s">
        <v>125</v>
      </c>
      <c r="I1823" s="126" t="s">
        <v>114</v>
      </c>
      <c r="J1823" s="127" t="s">
        <v>33</v>
      </c>
      <c r="K1823" s="126" t="s">
        <v>1108</v>
      </c>
      <c r="L1823" s="127" t="s">
        <v>276</v>
      </c>
      <c r="M1823" s="127" t="s">
        <v>276</v>
      </c>
      <c r="N1823" s="127" t="s">
        <v>10603</v>
      </c>
      <c r="O1823" s="127" t="s">
        <v>276</v>
      </c>
      <c r="P1823" s="127" t="s">
        <v>239</v>
      </c>
      <c r="Q1823" s="146">
        <v>34699</v>
      </c>
      <c r="R1823" s="127" t="s">
        <v>98</v>
      </c>
      <c r="S1823" s="127" t="s">
        <v>276</v>
      </c>
      <c r="T1823" s="127" t="s">
        <v>276</v>
      </c>
      <c r="U1823" s="127" t="s">
        <v>98</v>
      </c>
      <c r="V1823" s="127" t="s">
        <v>261</v>
      </c>
      <c r="W1823" s="127" t="s">
        <v>10561</v>
      </c>
      <c r="X1823" s="127" t="s">
        <v>207</v>
      </c>
      <c r="Y1823" s="132">
        <v>57712</v>
      </c>
      <c r="Z1823" s="134">
        <v>64759</v>
      </c>
      <c r="AA1823" s="127" t="s">
        <v>276</v>
      </c>
      <c r="AB1823" s="127" t="s">
        <v>276</v>
      </c>
      <c r="AC1823" s="126">
        <v>0</v>
      </c>
      <c r="AD1823" s="126" t="s">
        <v>6315</v>
      </c>
      <c r="AE1823" s="126">
        <v>0</v>
      </c>
      <c r="AF1823" s="126" t="s">
        <v>6315</v>
      </c>
      <c r="AG1823" s="127" t="s">
        <v>10615</v>
      </c>
      <c r="AH1823" s="127" t="s">
        <v>4658</v>
      </c>
      <c r="AI1823" s="134">
        <v>36</v>
      </c>
      <c r="AJ1823" s="134">
        <v>36</v>
      </c>
      <c r="AK1823" s="132">
        <v>57712</v>
      </c>
      <c r="AL1823" s="134">
        <v>64759</v>
      </c>
      <c r="AM1823" s="134" t="s">
        <v>281</v>
      </c>
      <c r="AN1823" s="126" t="s">
        <v>276</v>
      </c>
      <c r="AO1823" s="135">
        <f t="shared" si="513"/>
        <v>0.62378708067646238</v>
      </c>
      <c r="AP1823" s="126" t="s">
        <v>276</v>
      </c>
      <c r="AQ1823" s="126" t="s">
        <v>276</v>
      </c>
      <c r="AR1823" s="126" t="s">
        <v>276</v>
      </c>
      <c r="AS1823" s="135">
        <f t="shared" si="515"/>
        <v>0.55590728701802061</v>
      </c>
      <c r="AT1823" s="126" t="s">
        <v>276</v>
      </c>
      <c r="AU1823" s="126" t="s">
        <v>276</v>
      </c>
      <c r="AV1823" s="126" t="s">
        <v>268</v>
      </c>
      <c r="AW1823" s="234" t="s">
        <v>276</v>
      </c>
      <c r="AX1823" s="234">
        <f t="shared" si="516"/>
        <v>1.1221063210424176</v>
      </c>
      <c r="AY1823" s="127" t="s">
        <v>276</v>
      </c>
      <c r="AZ1823" s="127" t="s">
        <v>276</v>
      </c>
      <c r="BA1823" s="127" t="s">
        <v>276</v>
      </c>
      <c r="BB1823" s="127" t="s">
        <v>282</v>
      </c>
      <c r="BC1823" s="127" t="s">
        <v>98</v>
      </c>
      <c r="BD1823" s="127" t="s">
        <v>98</v>
      </c>
      <c r="BE1823" s="127" t="s">
        <v>98</v>
      </c>
      <c r="BF1823" s="127" t="s">
        <v>1010</v>
      </c>
      <c r="BG1823" s="127"/>
      <c r="BH1823" s="9" t="s">
        <v>100</v>
      </c>
      <c r="BI1823" s="9" t="s">
        <v>100</v>
      </c>
      <c r="BJ1823" s="109"/>
      <c r="BN1823" s="109"/>
      <c r="BO1823" s="109"/>
    </row>
    <row r="1824" spans="1:67" s="110" customFormat="1" ht="52" hidden="1" x14ac:dyDescent="0.35">
      <c r="A1824" s="150">
        <v>11145</v>
      </c>
      <c r="B1824" s="151" t="s">
        <v>10558</v>
      </c>
      <c r="C1824" s="151" t="s">
        <v>10551</v>
      </c>
      <c r="D1824" s="151" t="s">
        <v>10616</v>
      </c>
      <c r="E1824" s="150" t="s">
        <v>35</v>
      </c>
      <c r="F1824" s="346" t="s">
        <v>11436</v>
      </c>
      <c r="G1824" s="150" t="s">
        <v>225</v>
      </c>
      <c r="H1824" s="150" t="s">
        <v>125</v>
      </c>
      <c r="I1824" s="150" t="s">
        <v>114</v>
      </c>
      <c r="J1824" s="151" t="s">
        <v>117</v>
      </c>
      <c r="K1824" s="151" t="s">
        <v>6444</v>
      </c>
      <c r="L1824" s="151" t="s">
        <v>276</v>
      </c>
      <c r="M1824" s="151" t="s">
        <v>276</v>
      </c>
      <c r="N1824" s="151" t="s">
        <v>10603</v>
      </c>
      <c r="O1824" s="151" t="s">
        <v>276</v>
      </c>
      <c r="P1824" s="151" t="s">
        <v>239</v>
      </c>
      <c r="Q1824" s="154">
        <v>34699</v>
      </c>
      <c r="R1824" s="151" t="s">
        <v>98</v>
      </c>
      <c r="S1824" s="151" t="s">
        <v>276</v>
      </c>
      <c r="T1824" s="151" t="s">
        <v>276</v>
      </c>
      <c r="U1824" s="151" t="s">
        <v>98</v>
      </c>
      <c r="V1824" s="151" t="s">
        <v>261</v>
      </c>
      <c r="W1824" s="151" t="s">
        <v>10561</v>
      </c>
      <c r="X1824" s="151" t="s">
        <v>207</v>
      </c>
      <c r="Y1824" s="155">
        <v>57712</v>
      </c>
      <c r="Z1824" s="156">
        <v>64759</v>
      </c>
      <c r="AA1824" s="151" t="s">
        <v>276</v>
      </c>
      <c r="AB1824" s="151" t="s">
        <v>276</v>
      </c>
      <c r="AC1824" s="150">
        <v>0</v>
      </c>
      <c r="AD1824" s="151" t="s">
        <v>10617</v>
      </c>
      <c r="AE1824" s="150">
        <v>0</v>
      </c>
      <c r="AF1824" s="151" t="s">
        <v>10617</v>
      </c>
      <c r="AG1824" s="151" t="s">
        <v>10618</v>
      </c>
      <c r="AH1824" s="151" t="s">
        <v>4658</v>
      </c>
      <c r="AI1824" s="156">
        <v>237</v>
      </c>
      <c r="AJ1824" s="156">
        <v>207</v>
      </c>
      <c r="AK1824" s="155">
        <v>57712</v>
      </c>
      <c r="AL1824" s="156">
        <v>64759</v>
      </c>
      <c r="AM1824" s="156" t="s">
        <v>281</v>
      </c>
      <c r="AN1824" s="150" t="s">
        <v>276</v>
      </c>
      <c r="AO1824" s="159">
        <f t="shared" si="513"/>
        <v>4.1065982811200445</v>
      </c>
      <c r="AP1824" s="150" t="s">
        <v>276</v>
      </c>
      <c r="AQ1824" s="150" t="s">
        <v>276</v>
      </c>
      <c r="AR1824" s="150" t="s">
        <v>276</v>
      </c>
      <c r="AS1824" s="159">
        <f t="shared" si="515"/>
        <v>3.1964669003536188</v>
      </c>
      <c r="AT1824" s="150" t="s">
        <v>276</v>
      </c>
      <c r="AU1824" s="150" t="s">
        <v>276</v>
      </c>
      <c r="AV1824" s="150" t="s">
        <v>268</v>
      </c>
      <c r="AW1824" s="235" t="s">
        <v>276</v>
      </c>
      <c r="AX1824" s="235">
        <f t="shared" si="516"/>
        <v>1.2847304255413188</v>
      </c>
      <c r="AY1824" s="151" t="s">
        <v>276</v>
      </c>
      <c r="AZ1824" s="151" t="s">
        <v>276</v>
      </c>
      <c r="BA1824" s="151" t="s">
        <v>276</v>
      </c>
      <c r="BB1824" s="151" t="s">
        <v>282</v>
      </c>
      <c r="BC1824" s="151" t="s">
        <v>98</v>
      </c>
      <c r="BD1824" s="151" t="s">
        <v>98</v>
      </c>
      <c r="BE1824" s="151" t="s">
        <v>98</v>
      </c>
      <c r="BF1824" s="151" t="s">
        <v>3834</v>
      </c>
      <c r="BG1824" s="151"/>
      <c r="BH1824" s="9" t="s">
        <v>100</v>
      </c>
      <c r="BI1824" s="9" t="s">
        <v>100</v>
      </c>
      <c r="BJ1824" s="109"/>
      <c r="BN1824" s="109"/>
      <c r="BO1824" s="109"/>
    </row>
    <row r="1825" spans="1:67" s="110" customFormat="1" ht="52" hidden="1" x14ac:dyDescent="0.35">
      <c r="A1825" s="150">
        <v>11145</v>
      </c>
      <c r="B1825" s="151" t="s">
        <v>10558</v>
      </c>
      <c r="C1825" s="151" t="s">
        <v>10551</v>
      </c>
      <c r="D1825" s="151" t="s">
        <v>10619</v>
      </c>
      <c r="E1825" s="150" t="s">
        <v>35</v>
      </c>
      <c r="F1825" s="346" t="s">
        <v>11436</v>
      </c>
      <c r="G1825" s="150" t="s">
        <v>225</v>
      </c>
      <c r="H1825" s="150" t="s">
        <v>125</v>
      </c>
      <c r="I1825" s="150" t="s">
        <v>114</v>
      </c>
      <c r="J1825" s="151" t="s">
        <v>117</v>
      </c>
      <c r="K1825" s="151" t="s">
        <v>10597</v>
      </c>
      <c r="L1825" s="151" t="s">
        <v>276</v>
      </c>
      <c r="M1825" s="151" t="s">
        <v>276</v>
      </c>
      <c r="N1825" s="151" t="s">
        <v>10603</v>
      </c>
      <c r="O1825" s="151" t="s">
        <v>276</v>
      </c>
      <c r="P1825" s="151" t="s">
        <v>239</v>
      </c>
      <c r="Q1825" s="154">
        <v>34699</v>
      </c>
      <c r="R1825" s="151" t="s">
        <v>98</v>
      </c>
      <c r="S1825" s="151" t="s">
        <v>276</v>
      </c>
      <c r="T1825" s="151" t="s">
        <v>276</v>
      </c>
      <c r="U1825" s="151" t="s">
        <v>98</v>
      </c>
      <c r="V1825" s="151" t="s">
        <v>261</v>
      </c>
      <c r="W1825" s="151" t="s">
        <v>10561</v>
      </c>
      <c r="X1825" s="151" t="s">
        <v>207</v>
      </c>
      <c r="Y1825" s="155">
        <v>57712</v>
      </c>
      <c r="Z1825" s="156">
        <v>64759</v>
      </c>
      <c r="AA1825" s="151" t="s">
        <v>276</v>
      </c>
      <c r="AB1825" s="151" t="s">
        <v>276</v>
      </c>
      <c r="AC1825" s="150">
        <v>0</v>
      </c>
      <c r="AD1825" s="151" t="s">
        <v>10617</v>
      </c>
      <c r="AE1825" s="150">
        <v>0</v>
      </c>
      <c r="AF1825" s="151" t="s">
        <v>10617</v>
      </c>
      <c r="AG1825" s="151" t="s">
        <v>10620</v>
      </c>
      <c r="AH1825" s="151" t="s">
        <v>4658</v>
      </c>
      <c r="AI1825" s="156">
        <f>146+110</f>
        <v>256</v>
      </c>
      <c r="AJ1825" s="156">
        <f>145+94</f>
        <v>239</v>
      </c>
      <c r="AK1825" s="155">
        <v>57712</v>
      </c>
      <c r="AL1825" s="156">
        <v>64759</v>
      </c>
      <c r="AM1825" s="156" t="s">
        <v>281</v>
      </c>
      <c r="AN1825" s="150" t="s">
        <v>276</v>
      </c>
      <c r="AO1825" s="159">
        <f t="shared" si="513"/>
        <v>4.4358192403659551</v>
      </c>
      <c r="AP1825" s="150" t="s">
        <v>276</v>
      </c>
      <c r="AQ1825" s="150" t="s">
        <v>276</v>
      </c>
      <c r="AR1825" s="150" t="s">
        <v>276</v>
      </c>
      <c r="AS1825" s="159">
        <f t="shared" si="515"/>
        <v>3.6906067110363039</v>
      </c>
      <c r="AT1825" s="150" t="s">
        <v>276</v>
      </c>
      <c r="AU1825" s="150" t="s">
        <v>276</v>
      </c>
      <c r="AV1825" s="150" t="s">
        <v>268</v>
      </c>
      <c r="AW1825" s="235" t="s">
        <v>276</v>
      </c>
      <c r="AX1825" s="235">
        <f t="shared" si="516"/>
        <v>1.2019214150077777</v>
      </c>
      <c r="AY1825" s="151" t="s">
        <v>276</v>
      </c>
      <c r="AZ1825" s="151" t="s">
        <v>276</v>
      </c>
      <c r="BA1825" s="151" t="s">
        <v>276</v>
      </c>
      <c r="BB1825" s="151" t="s">
        <v>282</v>
      </c>
      <c r="BC1825" s="151" t="s">
        <v>98</v>
      </c>
      <c r="BD1825" s="151" t="s">
        <v>98</v>
      </c>
      <c r="BE1825" s="151" t="s">
        <v>98</v>
      </c>
      <c r="BF1825" s="151" t="s">
        <v>3834</v>
      </c>
      <c r="BG1825" s="151"/>
      <c r="BH1825" s="9" t="s">
        <v>100</v>
      </c>
      <c r="BI1825" s="9" t="s">
        <v>100</v>
      </c>
      <c r="BJ1825" s="109"/>
      <c r="BN1825" s="109"/>
      <c r="BO1825" s="109"/>
    </row>
    <row r="1826" spans="1:67" s="33" customFormat="1" ht="52" hidden="1" x14ac:dyDescent="0.35">
      <c r="A1826" s="150">
        <v>11145</v>
      </c>
      <c r="B1826" s="151" t="s">
        <v>10558</v>
      </c>
      <c r="C1826" s="151" t="s">
        <v>10551</v>
      </c>
      <c r="D1826" s="151" t="s">
        <v>10621</v>
      </c>
      <c r="E1826" s="150" t="s">
        <v>35</v>
      </c>
      <c r="F1826" s="346" t="s">
        <v>11436</v>
      </c>
      <c r="G1826" s="150" t="s">
        <v>225</v>
      </c>
      <c r="H1826" s="150" t="s">
        <v>125</v>
      </c>
      <c r="I1826" s="150" t="s">
        <v>114</v>
      </c>
      <c r="J1826" s="151" t="s">
        <v>117</v>
      </c>
      <c r="K1826" s="151" t="s">
        <v>10597</v>
      </c>
      <c r="L1826" s="151" t="s">
        <v>276</v>
      </c>
      <c r="M1826" s="151" t="s">
        <v>276</v>
      </c>
      <c r="N1826" s="151" t="s">
        <v>10603</v>
      </c>
      <c r="O1826" s="151" t="s">
        <v>276</v>
      </c>
      <c r="P1826" s="151" t="s">
        <v>235</v>
      </c>
      <c r="Q1826" s="154">
        <v>34699</v>
      </c>
      <c r="R1826" s="151" t="s">
        <v>98</v>
      </c>
      <c r="S1826" s="151" t="s">
        <v>276</v>
      </c>
      <c r="T1826" s="151" t="s">
        <v>276</v>
      </c>
      <c r="U1826" s="151" t="s">
        <v>98</v>
      </c>
      <c r="V1826" s="151" t="s">
        <v>261</v>
      </c>
      <c r="W1826" s="151" t="s">
        <v>10561</v>
      </c>
      <c r="X1826" s="151" t="s">
        <v>207</v>
      </c>
      <c r="Y1826" s="155" t="s">
        <v>98</v>
      </c>
      <c r="Z1826" s="156" t="s">
        <v>98</v>
      </c>
      <c r="AA1826" s="151" t="s">
        <v>276</v>
      </c>
      <c r="AB1826" s="151" t="s">
        <v>276</v>
      </c>
      <c r="AC1826" s="150">
        <v>0</v>
      </c>
      <c r="AD1826" s="151" t="s">
        <v>10617</v>
      </c>
      <c r="AE1826" s="150">
        <v>0</v>
      </c>
      <c r="AF1826" s="151" t="s">
        <v>10617</v>
      </c>
      <c r="AG1826" s="151" t="s">
        <v>10620</v>
      </c>
      <c r="AH1826" s="346" t="s">
        <v>11474</v>
      </c>
      <c r="AI1826" s="156">
        <f>146+110</f>
        <v>256</v>
      </c>
      <c r="AJ1826" s="156">
        <f>145+94</f>
        <v>239</v>
      </c>
      <c r="AK1826" s="155">
        <v>493</v>
      </c>
      <c r="AL1826" s="156">
        <v>446</v>
      </c>
      <c r="AM1826" s="156" t="s">
        <v>292</v>
      </c>
      <c r="AN1826" s="150">
        <f>29.6+22.3</f>
        <v>51.900000000000006</v>
      </c>
      <c r="AO1826" s="159">
        <f>AI1826*100/AK1826</f>
        <v>51.926977687626774</v>
      </c>
      <c r="AP1826" s="150" t="s">
        <v>276</v>
      </c>
      <c r="AQ1826" s="150" t="s">
        <v>276</v>
      </c>
      <c r="AR1826" s="150">
        <f>32.5+21</f>
        <v>53.5</v>
      </c>
      <c r="AS1826" s="159">
        <f>AJ1826*100/AL1826</f>
        <v>53.587443946188344</v>
      </c>
      <c r="AT1826" s="150" t="s">
        <v>276</v>
      </c>
      <c r="AU1826" s="150" t="s">
        <v>276</v>
      </c>
      <c r="AV1826" s="150" t="s">
        <v>268</v>
      </c>
      <c r="AW1826" s="235" t="s">
        <v>276</v>
      </c>
      <c r="AX1826" s="235">
        <f t="shared" si="516"/>
        <v>0.96901389325027365</v>
      </c>
      <c r="AY1826" s="151" t="s">
        <v>276</v>
      </c>
      <c r="AZ1826" s="151" t="s">
        <v>276</v>
      </c>
      <c r="BA1826" s="151" t="s">
        <v>276</v>
      </c>
      <c r="BB1826" s="151" t="s">
        <v>282</v>
      </c>
      <c r="BC1826" s="151" t="s">
        <v>98</v>
      </c>
      <c r="BD1826" s="151" t="s">
        <v>98</v>
      </c>
      <c r="BE1826" s="151" t="s">
        <v>98</v>
      </c>
      <c r="BF1826" s="151" t="s">
        <v>3834</v>
      </c>
      <c r="BG1826" s="151"/>
      <c r="BH1826" s="9" t="s">
        <v>100</v>
      </c>
      <c r="BI1826" s="9" t="s">
        <v>100</v>
      </c>
      <c r="BJ1826" s="32"/>
      <c r="BN1826" s="32"/>
      <c r="BO1826" s="32"/>
    </row>
    <row r="1827" spans="1:67" s="33" customFormat="1" ht="52" hidden="1" x14ac:dyDescent="0.35">
      <c r="A1827" s="126">
        <v>11145</v>
      </c>
      <c r="B1827" s="127" t="s">
        <v>10558</v>
      </c>
      <c r="C1827" s="127" t="s">
        <v>10551</v>
      </c>
      <c r="D1827" s="127" t="s">
        <v>10622</v>
      </c>
      <c r="E1827" s="126" t="s">
        <v>35</v>
      </c>
      <c r="F1827" s="346" t="s">
        <v>11436</v>
      </c>
      <c r="G1827" s="126" t="s">
        <v>225</v>
      </c>
      <c r="H1827" s="126" t="s">
        <v>125</v>
      </c>
      <c r="I1827" s="126" t="s">
        <v>114</v>
      </c>
      <c r="J1827" s="127" t="s">
        <v>1116</v>
      </c>
      <c r="K1827" s="127" t="s">
        <v>10541</v>
      </c>
      <c r="L1827" s="127" t="s">
        <v>276</v>
      </c>
      <c r="M1827" s="127" t="s">
        <v>276</v>
      </c>
      <c r="N1827" s="127" t="s">
        <v>10603</v>
      </c>
      <c r="O1827" s="127" t="s">
        <v>276</v>
      </c>
      <c r="P1827" s="127" t="s">
        <v>239</v>
      </c>
      <c r="Q1827" s="146">
        <v>34699</v>
      </c>
      <c r="R1827" s="127" t="s">
        <v>98</v>
      </c>
      <c r="S1827" s="127" t="s">
        <v>276</v>
      </c>
      <c r="T1827" s="127" t="s">
        <v>276</v>
      </c>
      <c r="U1827" s="127" t="s">
        <v>98</v>
      </c>
      <c r="V1827" s="127" t="s">
        <v>261</v>
      </c>
      <c r="W1827" s="127" t="s">
        <v>10561</v>
      </c>
      <c r="X1827" s="127" t="s">
        <v>207</v>
      </c>
      <c r="Y1827" s="132">
        <v>57712</v>
      </c>
      <c r="Z1827" s="134">
        <v>64759</v>
      </c>
      <c r="AA1827" s="127" t="s">
        <v>276</v>
      </c>
      <c r="AB1827" s="127" t="s">
        <v>276</v>
      </c>
      <c r="AC1827" s="126" t="s">
        <v>276</v>
      </c>
      <c r="AD1827" s="126" t="s">
        <v>10542</v>
      </c>
      <c r="AE1827" s="126" t="s">
        <v>276</v>
      </c>
      <c r="AF1827" s="126" t="s">
        <v>10542</v>
      </c>
      <c r="AG1827" s="127" t="s">
        <v>10623</v>
      </c>
      <c r="AH1827" s="127" t="s">
        <v>4658</v>
      </c>
      <c r="AI1827" s="134">
        <v>15</v>
      </c>
      <c r="AJ1827" s="134">
        <v>14</v>
      </c>
      <c r="AK1827" s="132">
        <v>57712</v>
      </c>
      <c r="AL1827" s="134">
        <v>64759</v>
      </c>
      <c r="AM1827" s="134" t="s">
        <v>281</v>
      </c>
      <c r="AN1827" s="126" t="s">
        <v>276</v>
      </c>
      <c r="AO1827" s="135">
        <f t="shared" ref="AO1827" si="517">AI1827*1000/AK1827</f>
        <v>0.25991128361519267</v>
      </c>
      <c r="AP1827" s="126" t="s">
        <v>276</v>
      </c>
      <c r="AQ1827" s="126" t="s">
        <v>276</v>
      </c>
      <c r="AR1827" s="126" t="s">
        <v>276</v>
      </c>
      <c r="AS1827" s="135">
        <f>AJ1827*1000/AL1827</f>
        <v>0.2161861671736747</v>
      </c>
      <c r="AT1827" s="126" t="s">
        <v>276</v>
      </c>
      <c r="AU1827" s="126" t="s">
        <v>276</v>
      </c>
      <c r="AV1827" s="126" t="s">
        <v>268</v>
      </c>
      <c r="AW1827" s="234" t="s">
        <v>276</v>
      </c>
      <c r="AX1827" s="234">
        <f t="shared" si="516"/>
        <v>1.2022567725454474</v>
      </c>
      <c r="AY1827" s="127" t="s">
        <v>276</v>
      </c>
      <c r="AZ1827" s="127" t="s">
        <v>276</v>
      </c>
      <c r="BA1827" s="127" t="s">
        <v>276</v>
      </c>
      <c r="BB1827" s="127" t="s">
        <v>282</v>
      </c>
      <c r="BC1827" s="127" t="s">
        <v>98</v>
      </c>
      <c r="BD1827" s="127" t="s">
        <v>98</v>
      </c>
      <c r="BE1827" s="127" t="s">
        <v>98</v>
      </c>
      <c r="BF1827" s="127" t="s">
        <v>10624</v>
      </c>
      <c r="BG1827" s="127"/>
      <c r="BH1827" s="9" t="s">
        <v>100</v>
      </c>
      <c r="BI1827" s="9" t="s">
        <v>100</v>
      </c>
      <c r="BJ1827" s="32"/>
      <c r="BN1827" s="32"/>
      <c r="BO1827" s="32"/>
    </row>
    <row r="1828" spans="1:67" s="33" customFormat="1" ht="52" hidden="1" x14ac:dyDescent="0.35">
      <c r="A1828" s="8">
        <v>996</v>
      </c>
      <c r="B1828" s="8" t="s">
        <v>10625</v>
      </c>
      <c r="C1828" s="8" t="s">
        <v>11086</v>
      </c>
      <c r="D1828" s="9" t="s">
        <v>10975</v>
      </c>
      <c r="E1828" s="8" t="s">
        <v>36</v>
      </c>
      <c r="F1828" s="9" t="s">
        <v>134</v>
      </c>
      <c r="G1828" s="8" t="s">
        <v>225</v>
      </c>
      <c r="H1828" s="8" t="s">
        <v>125</v>
      </c>
      <c r="I1828" s="8" t="s">
        <v>114</v>
      </c>
      <c r="J1828" s="9" t="s">
        <v>25</v>
      </c>
      <c r="K1828" s="8" t="s">
        <v>1499</v>
      </c>
      <c r="L1828" s="8" t="s">
        <v>276</v>
      </c>
      <c r="M1828" s="8" t="s">
        <v>10976</v>
      </c>
      <c r="N1828" s="9" t="s">
        <v>10977</v>
      </c>
      <c r="O1828" s="9" t="s">
        <v>10978</v>
      </c>
      <c r="P1828" s="9" t="s">
        <v>239</v>
      </c>
      <c r="Q1828" s="52">
        <v>40178</v>
      </c>
      <c r="R1828" s="9">
        <v>13</v>
      </c>
      <c r="S1828" s="9" t="s">
        <v>10979</v>
      </c>
      <c r="T1828" s="9" t="s">
        <v>10979</v>
      </c>
      <c r="U1828" s="9">
        <v>2</v>
      </c>
      <c r="V1828" s="8" t="s">
        <v>1538</v>
      </c>
      <c r="W1828" s="8" t="s">
        <v>98</v>
      </c>
      <c r="X1828" s="9" t="s">
        <v>207</v>
      </c>
      <c r="Y1828" s="13">
        <v>77445</v>
      </c>
      <c r="Z1828" s="38">
        <v>77455</v>
      </c>
      <c r="AA1828" s="9" t="s">
        <v>276</v>
      </c>
      <c r="AB1828" s="9" t="s">
        <v>276</v>
      </c>
      <c r="AC1828" s="8">
        <f t="shared" ref="AC1828:AC1833" si="518">25+32</f>
        <v>57</v>
      </c>
      <c r="AD1828" s="9" t="s">
        <v>11080</v>
      </c>
      <c r="AE1828" s="8">
        <f t="shared" ref="AE1828:AE1833" si="519">25+9</f>
        <v>34</v>
      </c>
      <c r="AF1828" s="9" t="s">
        <v>11081</v>
      </c>
      <c r="AG1828" s="9" t="s">
        <v>10981</v>
      </c>
      <c r="AH1828" s="9" t="s">
        <v>1487</v>
      </c>
      <c r="AI1828" s="38">
        <v>334</v>
      </c>
      <c r="AJ1828" s="38">
        <v>407</v>
      </c>
      <c r="AK1828" s="38">
        <v>848403</v>
      </c>
      <c r="AL1828" s="38">
        <v>847103</v>
      </c>
      <c r="AM1828" s="38" t="s">
        <v>4702</v>
      </c>
      <c r="AN1828" s="8" t="s">
        <v>276</v>
      </c>
      <c r="AO1828" s="14">
        <f>AI1828/AK1828*10000</f>
        <v>3.936808332832392</v>
      </c>
      <c r="AP1828" s="8" t="s">
        <v>276</v>
      </c>
      <c r="AQ1828" s="8" t="s">
        <v>276</v>
      </c>
      <c r="AR1828" s="8" t="s">
        <v>276</v>
      </c>
      <c r="AS1828" s="14">
        <f>AJ1828/AL1828*10000</f>
        <v>4.8046105373254493</v>
      </c>
      <c r="AT1828" s="8" t="s">
        <v>276</v>
      </c>
      <c r="AU1828" s="8" t="s">
        <v>276</v>
      </c>
      <c r="AV1828" s="9" t="s">
        <v>269</v>
      </c>
      <c r="AW1828" s="40" t="s">
        <v>276</v>
      </c>
      <c r="AX1828" s="40">
        <f>AO1828/AS1828</f>
        <v>0.81938136343177337</v>
      </c>
      <c r="AY1828" s="9" t="s">
        <v>276</v>
      </c>
      <c r="AZ1828" s="9" t="s">
        <v>276</v>
      </c>
      <c r="BA1828" s="9" t="s">
        <v>276</v>
      </c>
      <c r="BB1828" s="9" t="s">
        <v>276</v>
      </c>
      <c r="BC1828" s="9" t="s">
        <v>98</v>
      </c>
      <c r="BD1828" s="9" t="s">
        <v>98</v>
      </c>
      <c r="BE1828" s="9" t="s">
        <v>276</v>
      </c>
      <c r="BF1828" s="9" t="s">
        <v>10982</v>
      </c>
      <c r="BG1828" s="9"/>
      <c r="BH1828" s="9" t="s">
        <v>100</v>
      </c>
      <c r="BI1828" s="9" t="s">
        <v>100</v>
      </c>
      <c r="BJ1828" s="32"/>
      <c r="BN1828" s="32"/>
      <c r="BO1828" s="32"/>
    </row>
    <row r="1829" spans="1:67" s="33" customFormat="1" ht="52" hidden="1" x14ac:dyDescent="0.35">
      <c r="A1829" s="8">
        <v>996</v>
      </c>
      <c r="B1829" s="8" t="s">
        <v>10625</v>
      </c>
      <c r="C1829" s="8" t="s">
        <v>11086</v>
      </c>
      <c r="D1829" s="9" t="s">
        <v>10983</v>
      </c>
      <c r="E1829" s="8" t="s">
        <v>36</v>
      </c>
      <c r="F1829" s="9" t="s">
        <v>134</v>
      </c>
      <c r="G1829" s="8" t="s">
        <v>225</v>
      </c>
      <c r="H1829" s="8" t="s">
        <v>125</v>
      </c>
      <c r="I1829" s="8" t="s">
        <v>114</v>
      </c>
      <c r="J1829" s="9" t="s">
        <v>25</v>
      </c>
      <c r="K1829" s="8" t="s">
        <v>1510</v>
      </c>
      <c r="L1829" s="8" t="s">
        <v>276</v>
      </c>
      <c r="M1829" s="8" t="s">
        <v>10976</v>
      </c>
      <c r="N1829" s="9" t="s">
        <v>10977</v>
      </c>
      <c r="O1829" s="9" t="s">
        <v>10978</v>
      </c>
      <c r="P1829" s="9" t="s">
        <v>239</v>
      </c>
      <c r="Q1829" s="52">
        <v>40178</v>
      </c>
      <c r="R1829" s="9">
        <v>13</v>
      </c>
      <c r="S1829" s="9" t="s">
        <v>10979</v>
      </c>
      <c r="T1829" s="9" t="s">
        <v>10979</v>
      </c>
      <c r="U1829" s="9">
        <v>2</v>
      </c>
      <c r="V1829" s="8" t="s">
        <v>1538</v>
      </c>
      <c r="W1829" s="8" t="s">
        <v>98</v>
      </c>
      <c r="X1829" s="9" t="s">
        <v>207</v>
      </c>
      <c r="Y1829" s="13">
        <v>77445</v>
      </c>
      <c r="Z1829" s="38">
        <v>77455</v>
      </c>
      <c r="AA1829" s="9" t="s">
        <v>276</v>
      </c>
      <c r="AB1829" s="9" t="s">
        <v>276</v>
      </c>
      <c r="AC1829" s="8">
        <f t="shared" si="518"/>
        <v>57</v>
      </c>
      <c r="AD1829" s="9" t="s">
        <v>11080</v>
      </c>
      <c r="AE1829" s="8">
        <f t="shared" si="519"/>
        <v>34</v>
      </c>
      <c r="AF1829" s="9" t="s">
        <v>11081</v>
      </c>
      <c r="AG1829" s="9" t="s">
        <v>10984</v>
      </c>
      <c r="AH1829" s="9" t="s">
        <v>1487</v>
      </c>
      <c r="AI1829" s="38">
        <v>240</v>
      </c>
      <c r="AJ1829" s="38">
        <v>309</v>
      </c>
      <c r="AK1829" s="38">
        <v>848403</v>
      </c>
      <c r="AL1829" s="38">
        <v>847103</v>
      </c>
      <c r="AM1829" s="38" t="s">
        <v>4702</v>
      </c>
      <c r="AN1829" s="8" t="s">
        <v>276</v>
      </c>
      <c r="AO1829" s="14">
        <f t="shared" ref="AO1829" si="520">AI1829/AK1829*10000</f>
        <v>2.8288443110172876</v>
      </c>
      <c r="AP1829" s="8" t="s">
        <v>276</v>
      </c>
      <c r="AQ1829" s="8" t="s">
        <v>276</v>
      </c>
      <c r="AR1829" s="8" t="s">
        <v>276</v>
      </c>
      <c r="AS1829" s="14">
        <f t="shared" ref="AS1829" si="521">AJ1829/AL1829*10000</f>
        <v>3.6477264276008938</v>
      </c>
      <c r="AT1829" s="8" t="s">
        <v>276</v>
      </c>
      <c r="AU1829" s="8" t="s">
        <v>276</v>
      </c>
      <c r="AV1829" s="9" t="s">
        <v>269</v>
      </c>
      <c r="AW1829" s="40" t="s">
        <v>276</v>
      </c>
      <c r="AX1829" s="40">
        <f t="shared" ref="AX1829" si="522">AO1829/AS1829</f>
        <v>0.77550890045167553</v>
      </c>
      <c r="AY1829" s="9" t="s">
        <v>276</v>
      </c>
      <c r="AZ1829" s="9" t="s">
        <v>276</v>
      </c>
      <c r="BA1829" s="9" t="s">
        <v>276</v>
      </c>
      <c r="BB1829" s="9" t="s">
        <v>276</v>
      </c>
      <c r="BC1829" s="9" t="s">
        <v>98</v>
      </c>
      <c r="BD1829" s="9" t="s">
        <v>98</v>
      </c>
      <c r="BE1829" s="9" t="s">
        <v>276</v>
      </c>
      <c r="BF1829" s="9" t="s">
        <v>10982</v>
      </c>
      <c r="BG1829" s="9"/>
      <c r="BH1829" s="9" t="s">
        <v>100</v>
      </c>
      <c r="BI1829" s="9" t="s">
        <v>100</v>
      </c>
      <c r="BJ1829" s="32"/>
      <c r="BN1829" s="32"/>
      <c r="BO1829" s="32"/>
    </row>
    <row r="1830" spans="1:67" s="33" customFormat="1" ht="52" hidden="1" x14ac:dyDescent="0.35">
      <c r="A1830" s="8">
        <v>996</v>
      </c>
      <c r="B1830" s="8" t="s">
        <v>10625</v>
      </c>
      <c r="C1830" s="8" t="s">
        <v>11086</v>
      </c>
      <c r="D1830" s="9" t="s">
        <v>11612</v>
      </c>
      <c r="E1830" s="8" t="s">
        <v>36</v>
      </c>
      <c r="F1830" s="9" t="s">
        <v>134</v>
      </c>
      <c r="G1830" s="8" t="s">
        <v>225</v>
      </c>
      <c r="H1830" s="8" t="s">
        <v>125</v>
      </c>
      <c r="I1830" s="8" t="s">
        <v>114</v>
      </c>
      <c r="J1830" s="9" t="s">
        <v>25</v>
      </c>
      <c r="K1830" s="8" t="s">
        <v>11613</v>
      </c>
      <c r="L1830" s="8" t="s">
        <v>276</v>
      </c>
      <c r="M1830" s="8" t="s">
        <v>10976</v>
      </c>
      <c r="N1830" s="9" t="s">
        <v>10977</v>
      </c>
      <c r="O1830" s="9" t="s">
        <v>10978</v>
      </c>
      <c r="P1830" s="9" t="s">
        <v>239</v>
      </c>
      <c r="Q1830" s="52">
        <v>40178</v>
      </c>
      <c r="R1830" s="9">
        <v>13</v>
      </c>
      <c r="S1830" s="9" t="s">
        <v>10979</v>
      </c>
      <c r="T1830" s="9" t="s">
        <v>10979</v>
      </c>
      <c r="U1830" s="9">
        <v>2</v>
      </c>
      <c r="V1830" s="8" t="s">
        <v>1538</v>
      </c>
      <c r="W1830" s="8" t="s">
        <v>98</v>
      </c>
      <c r="X1830" s="9" t="s">
        <v>207</v>
      </c>
      <c r="Y1830" s="13">
        <v>77445</v>
      </c>
      <c r="Z1830" s="38">
        <v>77455</v>
      </c>
      <c r="AA1830" s="9" t="s">
        <v>276</v>
      </c>
      <c r="AB1830" s="9" t="s">
        <v>276</v>
      </c>
      <c r="AC1830" s="8">
        <f t="shared" si="518"/>
        <v>57</v>
      </c>
      <c r="AD1830" s="9" t="s">
        <v>11080</v>
      </c>
      <c r="AE1830" s="8">
        <f t="shared" si="519"/>
        <v>34</v>
      </c>
      <c r="AF1830" s="9" t="s">
        <v>11081</v>
      </c>
      <c r="AG1830" s="9" t="s">
        <v>11614</v>
      </c>
      <c r="AH1830" s="9" t="s">
        <v>1487</v>
      </c>
      <c r="AI1830" s="38">
        <f>240+334</f>
        <v>574</v>
      </c>
      <c r="AJ1830" s="38">
        <f>309+407</f>
        <v>716</v>
      </c>
      <c r="AK1830" s="38">
        <v>848403</v>
      </c>
      <c r="AL1830" s="38">
        <v>847103</v>
      </c>
      <c r="AM1830" s="38" t="s">
        <v>4702</v>
      </c>
      <c r="AN1830" s="8" t="s">
        <v>276</v>
      </c>
      <c r="AO1830" s="14">
        <f t="shared" ref="AO1830:AO1833" si="523">AI1830/AK1830*10000</f>
        <v>6.7656526438496796</v>
      </c>
      <c r="AP1830" s="8" t="s">
        <v>276</v>
      </c>
      <c r="AQ1830" s="8" t="s">
        <v>276</v>
      </c>
      <c r="AR1830" s="8" t="s">
        <v>276</v>
      </c>
      <c r="AS1830" s="14">
        <f t="shared" ref="AS1830:AS1833" si="524">AJ1830/AL1830*10000</f>
        <v>8.452336964926344</v>
      </c>
      <c r="AT1830" s="8" t="s">
        <v>276</v>
      </c>
      <c r="AU1830" s="8" t="s">
        <v>276</v>
      </c>
      <c r="AV1830" s="9" t="s">
        <v>269</v>
      </c>
      <c r="AW1830" s="40" t="s">
        <v>276</v>
      </c>
      <c r="AX1830" s="40">
        <f t="shared" ref="AX1830:AX1835" si="525">AO1830/AS1830</f>
        <v>0.80044757703393776</v>
      </c>
      <c r="AY1830" s="9" t="s">
        <v>276</v>
      </c>
      <c r="AZ1830" s="9" t="s">
        <v>276</v>
      </c>
      <c r="BA1830" s="9" t="s">
        <v>276</v>
      </c>
      <c r="BB1830" s="9" t="s">
        <v>276</v>
      </c>
      <c r="BC1830" s="9" t="s">
        <v>98</v>
      </c>
      <c r="BD1830" s="9" t="s">
        <v>98</v>
      </c>
      <c r="BE1830" s="9" t="s">
        <v>276</v>
      </c>
      <c r="BF1830" s="9" t="s">
        <v>10982</v>
      </c>
      <c r="BG1830" s="9"/>
      <c r="BH1830" s="9" t="s">
        <v>100</v>
      </c>
      <c r="BI1830" s="9" t="s">
        <v>100</v>
      </c>
      <c r="BJ1830" s="32"/>
      <c r="BN1830" s="32"/>
      <c r="BO1830" s="32"/>
    </row>
    <row r="1831" spans="1:67" s="33" customFormat="1" ht="52" hidden="1" x14ac:dyDescent="0.35">
      <c r="A1831" s="8">
        <v>996</v>
      </c>
      <c r="B1831" s="8" t="s">
        <v>10625</v>
      </c>
      <c r="C1831" s="8" t="s">
        <v>11086</v>
      </c>
      <c r="D1831" s="9" t="s">
        <v>10985</v>
      </c>
      <c r="E1831" s="8" t="s">
        <v>36</v>
      </c>
      <c r="F1831" s="9" t="s">
        <v>134</v>
      </c>
      <c r="G1831" s="8" t="s">
        <v>225</v>
      </c>
      <c r="H1831" s="8" t="s">
        <v>125</v>
      </c>
      <c r="I1831" s="8" t="s">
        <v>114</v>
      </c>
      <c r="J1831" s="9" t="s">
        <v>25</v>
      </c>
      <c r="K1831" s="8" t="s">
        <v>1513</v>
      </c>
      <c r="L1831" s="8" t="s">
        <v>276</v>
      </c>
      <c r="M1831" s="8" t="s">
        <v>10976</v>
      </c>
      <c r="N1831" s="9" t="s">
        <v>10977</v>
      </c>
      <c r="O1831" s="9" t="s">
        <v>10978</v>
      </c>
      <c r="P1831" s="9" t="s">
        <v>239</v>
      </c>
      <c r="Q1831" s="52">
        <v>40178</v>
      </c>
      <c r="R1831" s="9">
        <v>13</v>
      </c>
      <c r="S1831" s="9" t="s">
        <v>10979</v>
      </c>
      <c r="T1831" s="9" t="s">
        <v>10979</v>
      </c>
      <c r="U1831" s="9">
        <v>2</v>
      </c>
      <c r="V1831" s="8" t="s">
        <v>1538</v>
      </c>
      <c r="W1831" s="8" t="s">
        <v>98</v>
      </c>
      <c r="X1831" s="9" t="s">
        <v>207</v>
      </c>
      <c r="Y1831" s="13">
        <v>77445</v>
      </c>
      <c r="Z1831" s="38">
        <v>77455</v>
      </c>
      <c r="AA1831" s="9" t="s">
        <v>276</v>
      </c>
      <c r="AB1831" s="9" t="s">
        <v>276</v>
      </c>
      <c r="AC1831" s="8">
        <f t="shared" si="518"/>
        <v>57</v>
      </c>
      <c r="AD1831" s="9" t="s">
        <v>11080</v>
      </c>
      <c r="AE1831" s="8">
        <f t="shared" si="519"/>
        <v>34</v>
      </c>
      <c r="AF1831" s="9" t="s">
        <v>11081</v>
      </c>
      <c r="AG1831" s="9" t="s">
        <v>10986</v>
      </c>
      <c r="AH1831" s="9" t="s">
        <v>1487</v>
      </c>
      <c r="AI1831" s="38">
        <v>241</v>
      </c>
      <c r="AJ1831" s="38">
        <v>328</v>
      </c>
      <c r="AK1831" s="38">
        <v>848403</v>
      </c>
      <c r="AL1831" s="38">
        <v>847103</v>
      </c>
      <c r="AM1831" s="38" t="s">
        <v>4702</v>
      </c>
      <c r="AN1831" s="8" t="s">
        <v>276</v>
      </c>
      <c r="AO1831" s="14">
        <f t="shared" si="523"/>
        <v>2.8406311623131932</v>
      </c>
      <c r="AP1831" s="8" t="s">
        <v>276</v>
      </c>
      <c r="AQ1831" s="8" t="s">
        <v>276</v>
      </c>
      <c r="AR1831" s="8" t="s">
        <v>276</v>
      </c>
      <c r="AS1831" s="14">
        <f t="shared" si="524"/>
        <v>3.8720202856087158</v>
      </c>
      <c r="AT1831" s="8" t="s">
        <v>276</v>
      </c>
      <c r="AU1831" s="8" t="s">
        <v>276</v>
      </c>
      <c r="AV1831" s="9" t="s">
        <v>269</v>
      </c>
      <c r="AW1831" s="40" t="s">
        <v>276</v>
      </c>
      <c r="AX1831" s="40">
        <f t="shared" si="525"/>
        <v>0.73363023764908319</v>
      </c>
      <c r="AY1831" s="9" t="s">
        <v>276</v>
      </c>
      <c r="AZ1831" s="9" t="s">
        <v>276</v>
      </c>
      <c r="BA1831" s="9" t="s">
        <v>276</v>
      </c>
      <c r="BB1831" s="9" t="s">
        <v>276</v>
      </c>
      <c r="BC1831" s="9" t="s">
        <v>98</v>
      </c>
      <c r="BD1831" s="9" t="s">
        <v>98</v>
      </c>
      <c r="BE1831" s="9" t="s">
        <v>276</v>
      </c>
      <c r="BF1831" s="9" t="s">
        <v>10982</v>
      </c>
      <c r="BG1831" s="9"/>
      <c r="BH1831" s="9" t="s">
        <v>100</v>
      </c>
      <c r="BI1831" s="9" t="s">
        <v>100</v>
      </c>
      <c r="BJ1831" s="32"/>
      <c r="BN1831" s="32"/>
      <c r="BO1831" s="32"/>
    </row>
    <row r="1832" spans="1:67" s="33" customFormat="1" ht="52" hidden="1" x14ac:dyDescent="0.35">
      <c r="A1832" s="8">
        <v>996</v>
      </c>
      <c r="B1832" s="8" t="s">
        <v>10625</v>
      </c>
      <c r="C1832" s="8" t="s">
        <v>11086</v>
      </c>
      <c r="D1832" s="9" t="s">
        <v>10987</v>
      </c>
      <c r="E1832" s="8" t="s">
        <v>36</v>
      </c>
      <c r="F1832" s="9" t="s">
        <v>134</v>
      </c>
      <c r="G1832" s="8" t="s">
        <v>225</v>
      </c>
      <c r="H1832" s="8" t="s">
        <v>125</v>
      </c>
      <c r="I1832" s="8" t="s">
        <v>114</v>
      </c>
      <c r="J1832" s="9" t="s">
        <v>25</v>
      </c>
      <c r="K1832" s="8" t="s">
        <v>1516</v>
      </c>
      <c r="L1832" s="8" t="s">
        <v>276</v>
      </c>
      <c r="M1832" s="8" t="s">
        <v>10976</v>
      </c>
      <c r="N1832" s="9" t="s">
        <v>10977</v>
      </c>
      <c r="O1832" s="9" t="s">
        <v>10978</v>
      </c>
      <c r="P1832" s="9" t="s">
        <v>239</v>
      </c>
      <c r="Q1832" s="52">
        <v>40178</v>
      </c>
      <c r="R1832" s="9">
        <v>13</v>
      </c>
      <c r="S1832" s="9" t="s">
        <v>10979</v>
      </c>
      <c r="T1832" s="9" t="s">
        <v>10979</v>
      </c>
      <c r="U1832" s="9">
        <v>2</v>
      </c>
      <c r="V1832" s="8" t="s">
        <v>1538</v>
      </c>
      <c r="W1832" s="8" t="s">
        <v>98</v>
      </c>
      <c r="X1832" s="9" t="s">
        <v>207</v>
      </c>
      <c r="Y1832" s="13">
        <v>77445</v>
      </c>
      <c r="Z1832" s="38">
        <v>77455</v>
      </c>
      <c r="AA1832" s="9" t="s">
        <v>276</v>
      </c>
      <c r="AB1832" s="9" t="s">
        <v>276</v>
      </c>
      <c r="AC1832" s="8">
        <f t="shared" si="518"/>
        <v>57</v>
      </c>
      <c r="AD1832" s="9" t="s">
        <v>11080</v>
      </c>
      <c r="AE1832" s="8">
        <f t="shared" si="519"/>
        <v>34</v>
      </c>
      <c r="AF1832" s="9" t="s">
        <v>11081</v>
      </c>
      <c r="AG1832" s="9" t="s">
        <v>10988</v>
      </c>
      <c r="AH1832" s="9" t="s">
        <v>1487</v>
      </c>
      <c r="AI1832" s="38">
        <v>140</v>
      </c>
      <c r="AJ1832" s="38">
        <v>209</v>
      </c>
      <c r="AK1832" s="38">
        <v>848403</v>
      </c>
      <c r="AL1832" s="38">
        <v>847103</v>
      </c>
      <c r="AM1832" s="38" t="s">
        <v>4702</v>
      </c>
      <c r="AN1832" s="8" t="s">
        <v>276</v>
      </c>
      <c r="AO1832" s="14">
        <f t="shared" ref="AO1832" si="526">AI1832/AK1832*10000</f>
        <v>1.6501591814267513</v>
      </c>
      <c r="AP1832" s="8" t="s">
        <v>276</v>
      </c>
      <c r="AQ1832" s="8" t="s">
        <v>276</v>
      </c>
      <c r="AR1832" s="8" t="s">
        <v>276</v>
      </c>
      <c r="AS1832" s="14">
        <f t="shared" ref="AS1832" si="527">AJ1832/AL1832*10000</f>
        <v>2.4672324380860413</v>
      </c>
      <c r="AT1832" s="8" t="s">
        <v>276</v>
      </c>
      <c r="AU1832" s="8" t="s">
        <v>276</v>
      </c>
      <c r="AV1832" s="9" t="s">
        <v>269</v>
      </c>
      <c r="AW1832" s="40" t="s">
        <v>276</v>
      </c>
      <c r="AX1832" s="40">
        <f t="shared" ref="AX1832" si="528">AO1832/AS1832</f>
        <v>0.66883004452829919</v>
      </c>
      <c r="AY1832" s="9" t="s">
        <v>276</v>
      </c>
      <c r="AZ1832" s="9" t="s">
        <v>276</v>
      </c>
      <c r="BA1832" s="9" t="s">
        <v>276</v>
      </c>
      <c r="BB1832" s="9" t="s">
        <v>276</v>
      </c>
      <c r="BC1832" s="9" t="s">
        <v>98</v>
      </c>
      <c r="BD1832" s="9" t="s">
        <v>98</v>
      </c>
      <c r="BE1832" s="9" t="s">
        <v>276</v>
      </c>
      <c r="BF1832" s="9" t="s">
        <v>10982</v>
      </c>
      <c r="BG1832" s="9"/>
      <c r="BH1832" s="9" t="s">
        <v>100</v>
      </c>
      <c r="BI1832" s="9" t="s">
        <v>100</v>
      </c>
      <c r="BJ1832" s="32"/>
      <c r="BN1832" s="32"/>
      <c r="BO1832" s="32"/>
    </row>
    <row r="1833" spans="1:67" s="33" customFormat="1" ht="52" hidden="1" x14ac:dyDescent="0.35">
      <c r="A1833" s="8">
        <v>996</v>
      </c>
      <c r="B1833" s="8" t="s">
        <v>10625</v>
      </c>
      <c r="C1833" s="8" t="s">
        <v>11086</v>
      </c>
      <c r="D1833" s="9" t="s">
        <v>11570</v>
      </c>
      <c r="E1833" s="8" t="s">
        <v>36</v>
      </c>
      <c r="F1833" s="9" t="s">
        <v>134</v>
      </c>
      <c r="G1833" s="8" t="s">
        <v>225</v>
      </c>
      <c r="H1833" s="8" t="s">
        <v>125</v>
      </c>
      <c r="I1833" s="8" t="s">
        <v>114</v>
      </c>
      <c r="J1833" s="9" t="s">
        <v>25</v>
      </c>
      <c r="K1833" s="8" t="s">
        <v>1519</v>
      </c>
      <c r="L1833" s="8" t="s">
        <v>276</v>
      </c>
      <c r="M1833" s="8" t="s">
        <v>10976</v>
      </c>
      <c r="N1833" s="9" t="s">
        <v>10977</v>
      </c>
      <c r="O1833" s="9" t="s">
        <v>10978</v>
      </c>
      <c r="P1833" s="9" t="s">
        <v>239</v>
      </c>
      <c r="Q1833" s="52">
        <v>40178</v>
      </c>
      <c r="R1833" s="9">
        <v>13</v>
      </c>
      <c r="S1833" s="9" t="s">
        <v>10979</v>
      </c>
      <c r="T1833" s="9" t="s">
        <v>10979</v>
      </c>
      <c r="U1833" s="9">
        <v>2</v>
      </c>
      <c r="V1833" s="8" t="s">
        <v>1538</v>
      </c>
      <c r="W1833" s="8" t="s">
        <v>98</v>
      </c>
      <c r="X1833" s="9" t="s">
        <v>207</v>
      </c>
      <c r="Y1833" s="13">
        <v>77445</v>
      </c>
      <c r="Z1833" s="38">
        <v>77455</v>
      </c>
      <c r="AA1833" s="9" t="s">
        <v>276</v>
      </c>
      <c r="AB1833" s="9" t="s">
        <v>276</v>
      </c>
      <c r="AC1833" s="8">
        <f t="shared" si="518"/>
        <v>57</v>
      </c>
      <c r="AD1833" s="9" t="s">
        <v>11080</v>
      </c>
      <c r="AE1833" s="8">
        <f t="shared" si="519"/>
        <v>34</v>
      </c>
      <c r="AF1833" s="9" t="s">
        <v>11081</v>
      </c>
      <c r="AG1833" s="9" t="s">
        <v>11571</v>
      </c>
      <c r="AH1833" s="9" t="s">
        <v>1487</v>
      </c>
      <c r="AI1833" s="38">
        <f>140+241</f>
        <v>381</v>
      </c>
      <c r="AJ1833" s="38">
        <f>209+328</f>
        <v>537</v>
      </c>
      <c r="AK1833" s="38">
        <v>848403</v>
      </c>
      <c r="AL1833" s="38">
        <v>847103</v>
      </c>
      <c r="AM1833" s="38" t="s">
        <v>4702</v>
      </c>
      <c r="AN1833" s="8" t="s">
        <v>276</v>
      </c>
      <c r="AO1833" s="14">
        <f t="shared" si="523"/>
        <v>4.4907903437399446</v>
      </c>
      <c r="AP1833" s="8" t="s">
        <v>276</v>
      </c>
      <c r="AQ1833" s="8" t="s">
        <v>276</v>
      </c>
      <c r="AR1833" s="8" t="s">
        <v>276</v>
      </c>
      <c r="AS1833" s="14">
        <f t="shared" si="524"/>
        <v>6.3392527236947576</v>
      </c>
      <c r="AT1833" s="8" t="s">
        <v>276</v>
      </c>
      <c r="AU1833" s="8" t="s">
        <v>276</v>
      </c>
      <c r="AV1833" s="9" t="s">
        <v>269</v>
      </c>
      <c r="AW1833" s="40" t="s">
        <v>276</v>
      </c>
      <c r="AX1833" s="40">
        <f t="shared" si="525"/>
        <v>0.70841005075477437</v>
      </c>
      <c r="AY1833" s="9" t="s">
        <v>276</v>
      </c>
      <c r="AZ1833" s="9" t="s">
        <v>276</v>
      </c>
      <c r="BA1833" s="9" t="s">
        <v>276</v>
      </c>
      <c r="BB1833" s="9" t="s">
        <v>276</v>
      </c>
      <c r="BC1833" s="9" t="s">
        <v>98</v>
      </c>
      <c r="BD1833" s="9" t="s">
        <v>98</v>
      </c>
      <c r="BE1833" s="9" t="s">
        <v>276</v>
      </c>
      <c r="BF1833" s="9" t="s">
        <v>10982</v>
      </c>
      <c r="BG1833" s="9"/>
      <c r="BH1833" s="9" t="s">
        <v>100</v>
      </c>
      <c r="BI1833" s="9" t="s">
        <v>100</v>
      </c>
      <c r="BJ1833" s="32"/>
      <c r="BN1833" s="32"/>
      <c r="BO1833" s="32"/>
    </row>
    <row r="1834" spans="1:67" s="33" customFormat="1" ht="52" hidden="1" x14ac:dyDescent="0.35">
      <c r="A1834" s="8">
        <v>996</v>
      </c>
      <c r="B1834" s="8" t="s">
        <v>10625</v>
      </c>
      <c r="C1834" s="8" t="s">
        <v>11086</v>
      </c>
      <c r="D1834" s="9" t="s">
        <v>10989</v>
      </c>
      <c r="E1834" s="8" t="s">
        <v>36</v>
      </c>
      <c r="F1834" s="9" t="s">
        <v>134</v>
      </c>
      <c r="G1834" s="8" t="s">
        <v>225</v>
      </c>
      <c r="H1834" s="8" t="s">
        <v>125</v>
      </c>
      <c r="I1834" s="8" t="s">
        <v>114</v>
      </c>
      <c r="J1834" s="9" t="s">
        <v>25</v>
      </c>
      <c r="K1834" s="8" t="s">
        <v>1513</v>
      </c>
      <c r="L1834" s="8" t="s">
        <v>276</v>
      </c>
      <c r="M1834" s="8" t="s">
        <v>10976</v>
      </c>
      <c r="N1834" s="9" t="s">
        <v>10977</v>
      </c>
      <c r="O1834" s="9" t="s">
        <v>10978</v>
      </c>
      <c r="P1834" s="9" t="s">
        <v>235</v>
      </c>
      <c r="Q1834" s="52">
        <v>40178</v>
      </c>
      <c r="R1834" s="9">
        <v>13</v>
      </c>
      <c r="S1834" s="9" t="s">
        <v>10979</v>
      </c>
      <c r="T1834" s="9" t="s">
        <v>10979</v>
      </c>
      <c r="U1834" s="9">
        <v>2</v>
      </c>
      <c r="V1834" s="8" t="s">
        <v>1538</v>
      </c>
      <c r="W1834" s="8" t="s">
        <v>98</v>
      </c>
      <c r="X1834" s="9" t="s">
        <v>207</v>
      </c>
      <c r="Y1834" s="13" t="s">
        <v>98</v>
      </c>
      <c r="Z1834" s="13" t="s">
        <v>98</v>
      </c>
      <c r="AA1834" s="9" t="s">
        <v>276</v>
      </c>
      <c r="AB1834" s="9" t="s">
        <v>276</v>
      </c>
      <c r="AC1834" s="8">
        <f t="shared" ref="AC1834:AC1835" si="529">25+32</f>
        <v>57</v>
      </c>
      <c r="AD1834" s="9" t="s">
        <v>11080</v>
      </c>
      <c r="AE1834" s="8">
        <f t="shared" ref="AE1834:AE1835" si="530">25+9</f>
        <v>34</v>
      </c>
      <c r="AF1834" s="9" t="s">
        <v>11081</v>
      </c>
      <c r="AG1834" s="9" t="s">
        <v>10986</v>
      </c>
      <c r="AH1834" s="9" t="s">
        <v>10990</v>
      </c>
      <c r="AI1834" s="38">
        <v>241</v>
      </c>
      <c r="AJ1834" s="38">
        <v>328</v>
      </c>
      <c r="AK1834" s="38">
        <v>1012</v>
      </c>
      <c r="AL1834" s="38">
        <v>1287</v>
      </c>
      <c r="AM1834" s="38" t="s">
        <v>292</v>
      </c>
      <c r="AN1834" s="8">
        <v>23.8</v>
      </c>
      <c r="AO1834" s="14">
        <f>AI1834/AK1834*100</f>
        <v>23.814229249011859</v>
      </c>
      <c r="AP1834" s="8" t="s">
        <v>276</v>
      </c>
      <c r="AQ1834" s="8" t="s">
        <v>276</v>
      </c>
      <c r="AR1834" s="8">
        <v>25.5</v>
      </c>
      <c r="AS1834" s="14">
        <f>AJ1834/AL1834*100</f>
        <v>25.485625485625484</v>
      </c>
      <c r="AT1834" s="8" t="s">
        <v>276</v>
      </c>
      <c r="AU1834" s="8" t="s">
        <v>276</v>
      </c>
      <c r="AV1834" s="9" t="s">
        <v>268</v>
      </c>
      <c r="AW1834" s="9" t="s">
        <v>98</v>
      </c>
      <c r="AX1834" s="40">
        <f t="shared" si="525"/>
        <v>0.93441808059384956</v>
      </c>
      <c r="AY1834" s="9" t="s">
        <v>98</v>
      </c>
      <c r="AZ1834" s="9" t="s">
        <v>98</v>
      </c>
      <c r="BA1834" s="9" t="s">
        <v>98</v>
      </c>
      <c r="BB1834" s="9" t="s">
        <v>98</v>
      </c>
      <c r="BC1834" s="9" t="s">
        <v>98</v>
      </c>
      <c r="BD1834" s="9" t="s">
        <v>98</v>
      </c>
      <c r="BE1834" s="9" t="s">
        <v>98</v>
      </c>
      <c r="BF1834" s="9" t="s">
        <v>426</v>
      </c>
      <c r="BG1834" s="9"/>
      <c r="BH1834" s="9" t="s">
        <v>100</v>
      </c>
      <c r="BI1834" s="9" t="s">
        <v>100</v>
      </c>
      <c r="BJ1834" s="32"/>
      <c r="BN1834" s="32"/>
      <c r="BO1834" s="32"/>
    </row>
    <row r="1835" spans="1:67" s="33" customFormat="1" ht="52" hidden="1" x14ac:dyDescent="0.35">
      <c r="A1835" s="8">
        <v>996</v>
      </c>
      <c r="B1835" s="8" t="s">
        <v>10625</v>
      </c>
      <c r="C1835" s="8" t="s">
        <v>11086</v>
      </c>
      <c r="D1835" s="9" t="s">
        <v>10991</v>
      </c>
      <c r="E1835" s="8" t="s">
        <v>36</v>
      </c>
      <c r="F1835" s="9" t="s">
        <v>134</v>
      </c>
      <c r="G1835" s="8" t="s">
        <v>225</v>
      </c>
      <c r="H1835" s="8" t="s">
        <v>125</v>
      </c>
      <c r="I1835" s="8" t="s">
        <v>114</v>
      </c>
      <c r="J1835" s="9" t="s">
        <v>25</v>
      </c>
      <c r="K1835" s="8" t="s">
        <v>1516</v>
      </c>
      <c r="L1835" s="8" t="s">
        <v>276</v>
      </c>
      <c r="M1835" s="8" t="s">
        <v>10976</v>
      </c>
      <c r="N1835" s="9" t="s">
        <v>10977</v>
      </c>
      <c r="O1835" s="9" t="s">
        <v>10978</v>
      </c>
      <c r="P1835" s="9" t="s">
        <v>235</v>
      </c>
      <c r="Q1835" s="52">
        <v>40178</v>
      </c>
      <c r="R1835" s="9">
        <v>13</v>
      </c>
      <c r="S1835" s="9" t="s">
        <v>10979</v>
      </c>
      <c r="T1835" s="9" t="s">
        <v>10979</v>
      </c>
      <c r="U1835" s="9">
        <v>2</v>
      </c>
      <c r="V1835" s="8" t="s">
        <v>1538</v>
      </c>
      <c r="W1835" s="8" t="s">
        <v>98</v>
      </c>
      <c r="X1835" s="9" t="s">
        <v>207</v>
      </c>
      <c r="Y1835" s="13" t="s">
        <v>98</v>
      </c>
      <c r="Z1835" s="13" t="s">
        <v>98</v>
      </c>
      <c r="AA1835" s="9" t="s">
        <v>276</v>
      </c>
      <c r="AB1835" s="9" t="s">
        <v>276</v>
      </c>
      <c r="AC1835" s="8">
        <f t="shared" si="529"/>
        <v>57</v>
      </c>
      <c r="AD1835" s="9" t="s">
        <v>11080</v>
      </c>
      <c r="AE1835" s="8">
        <f t="shared" si="530"/>
        <v>34</v>
      </c>
      <c r="AF1835" s="9" t="s">
        <v>11081</v>
      </c>
      <c r="AG1835" s="9" t="s">
        <v>10988</v>
      </c>
      <c r="AH1835" s="9" t="s">
        <v>10990</v>
      </c>
      <c r="AI1835" s="38">
        <v>140</v>
      </c>
      <c r="AJ1835" s="38">
        <v>209</v>
      </c>
      <c r="AK1835" s="38">
        <v>1012</v>
      </c>
      <c r="AL1835" s="38">
        <v>1287</v>
      </c>
      <c r="AM1835" s="38" t="s">
        <v>292</v>
      </c>
      <c r="AN1835" s="8">
        <v>13.8</v>
      </c>
      <c r="AO1835" s="14">
        <f t="shared" ref="AO1835" si="531">AI1835/AK1835*100</f>
        <v>13.83399209486166</v>
      </c>
      <c r="AP1835" s="8" t="s">
        <v>276</v>
      </c>
      <c r="AQ1835" s="8" t="s">
        <v>276</v>
      </c>
      <c r="AR1835" s="8">
        <v>16.2</v>
      </c>
      <c r="AS1835" s="14">
        <f t="shared" ref="AS1835" si="532">AJ1835/AL1835*100</f>
        <v>16.239316239316238</v>
      </c>
      <c r="AT1835" s="8" t="s">
        <v>276</v>
      </c>
      <c r="AU1835" s="8" t="s">
        <v>276</v>
      </c>
      <c r="AV1835" s="9" t="s">
        <v>268</v>
      </c>
      <c r="AW1835" s="9" t="s">
        <v>98</v>
      </c>
      <c r="AX1835" s="40">
        <f t="shared" si="525"/>
        <v>0.85188267110463911</v>
      </c>
      <c r="AY1835" s="9" t="s">
        <v>98</v>
      </c>
      <c r="AZ1835" s="9" t="s">
        <v>98</v>
      </c>
      <c r="BA1835" s="9" t="s">
        <v>98</v>
      </c>
      <c r="BB1835" s="9" t="s">
        <v>98</v>
      </c>
      <c r="BC1835" s="9" t="s">
        <v>98</v>
      </c>
      <c r="BD1835" s="9" t="s">
        <v>98</v>
      </c>
      <c r="BE1835" s="9" t="s">
        <v>98</v>
      </c>
      <c r="BF1835" s="9" t="s">
        <v>426</v>
      </c>
      <c r="BG1835" s="9"/>
      <c r="BH1835" s="9" t="s">
        <v>100</v>
      </c>
      <c r="BI1835" s="9" t="s">
        <v>100</v>
      </c>
      <c r="BJ1835" s="32"/>
      <c r="BN1835" s="32"/>
      <c r="BO1835" s="32"/>
    </row>
    <row r="1836" spans="1:67" s="33" customFormat="1" ht="52" hidden="1" x14ac:dyDescent="0.35">
      <c r="A1836" s="8">
        <v>996</v>
      </c>
      <c r="B1836" s="8" t="s">
        <v>10625</v>
      </c>
      <c r="C1836" s="8" t="s">
        <v>11086</v>
      </c>
      <c r="D1836" s="9" t="s">
        <v>10992</v>
      </c>
      <c r="E1836" s="8" t="s">
        <v>36</v>
      </c>
      <c r="F1836" s="9" t="s">
        <v>134</v>
      </c>
      <c r="G1836" s="8" t="s">
        <v>225</v>
      </c>
      <c r="H1836" s="8" t="s">
        <v>125</v>
      </c>
      <c r="I1836" s="8" t="s">
        <v>114</v>
      </c>
      <c r="J1836" s="9" t="s">
        <v>98</v>
      </c>
      <c r="K1836" s="8" t="s">
        <v>98</v>
      </c>
      <c r="L1836" s="8" t="s">
        <v>98</v>
      </c>
      <c r="M1836" s="8" t="s">
        <v>98</v>
      </c>
      <c r="N1836" s="9" t="s">
        <v>10977</v>
      </c>
      <c r="O1836" s="9" t="s">
        <v>10978</v>
      </c>
      <c r="P1836" s="9" t="s">
        <v>236</v>
      </c>
      <c r="Q1836" s="52">
        <v>40178</v>
      </c>
      <c r="R1836" s="9" t="s">
        <v>98</v>
      </c>
      <c r="S1836" s="9" t="s">
        <v>10979</v>
      </c>
      <c r="T1836" s="9" t="s">
        <v>10979</v>
      </c>
      <c r="U1836" s="9">
        <v>1</v>
      </c>
      <c r="V1836" s="8" t="s">
        <v>1538</v>
      </c>
      <c r="W1836" s="8" t="s">
        <v>98</v>
      </c>
      <c r="X1836" s="9" t="s">
        <v>209</v>
      </c>
      <c r="Y1836" s="13" t="s">
        <v>98</v>
      </c>
      <c r="Z1836" s="38" t="s">
        <v>98</v>
      </c>
      <c r="AA1836" s="9" t="s">
        <v>276</v>
      </c>
      <c r="AB1836" s="9" t="s">
        <v>98</v>
      </c>
      <c r="AC1836" s="8">
        <v>0</v>
      </c>
      <c r="AD1836" s="8" t="s">
        <v>5574</v>
      </c>
      <c r="AE1836" s="8" t="s">
        <v>98</v>
      </c>
      <c r="AF1836" s="8" t="s">
        <v>98</v>
      </c>
      <c r="AG1836" s="9" t="s">
        <v>10993</v>
      </c>
      <c r="AH1836" s="9" t="s">
        <v>10994</v>
      </c>
      <c r="AI1836" s="38">
        <v>192</v>
      </c>
      <c r="AJ1836" s="38" t="s">
        <v>98</v>
      </c>
      <c r="AK1836" s="38">
        <v>1012</v>
      </c>
      <c r="AL1836" s="38" t="s">
        <v>98</v>
      </c>
      <c r="AM1836" s="38" t="s">
        <v>292</v>
      </c>
      <c r="AN1836" s="8" t="s">
        <v>276</v>
      </c>
      <c r="AO1836" s="14">
        <f>AI1836/AK1836*100</f>
        <v>18.972332015810274</v>
      </c>
      <c r="AP1836" s="8" t="s">
        <v>276</v>
      </c>
      <c r="AQ1836" s="8" t="s">
        <v>276</v>
      </c>
      <c r="AR1836" s="8" t="s">
        <v>98</v>
      </c>
      <c r="AS1836" s="8" t="s">
        <v>98</v>
      </c>
      <c r="AT1836" s="8" t="s">
        <v>98</v>
      </c>
      <c r="AU1836" s="8" t="s">
        <v>98</v>
      </c>
      <c r="AV1836" s="8" t="s">
        <v>98</v>
      </c>
      <c r="AW1836" s="8" t="s">
        <v>98</v>
      </c>
      <c r="AX1836" s="8" t="s">
        <v>98</v>
      </c>
      <c r="AY1836" s="8" t="s">
        <v>98</v>
      </c>
      <c r="AZ1836" s="8" t="s">
        <v>98</v>
      </c>
      <c r="BA1836" s="8" t="s">
        <v>98</v>
      </c>
      <c r="BB1836" s="8" t="s">
        <v>98</v>
      </c>
      <c r="BC1836" s="8" t="s">
        <v>98</v>
      </c>
      <c r="BD1836" s="8" t="s">
        <v>98</v>
      </c>
      <c r="BE1836" s="8" t="s">
        <v>98</v>
      </c>
      <c r="BF1836" s="9" t="s">
        <v>426</v>
      </c>
      <c r="BG1836" s="9"/>
      <c r="BH1836" s="9" t="s">
        <v>100</v>
      </c>
      <c r="BI1836" s="9" t="s">
        <v>100</v>
      </c>
      <c r="BJ1836" s="32"/>
      <c r="BN1836" s="32"/>
      <c r="BO1836" s="32"/>
    </row>
    <row r="1837" spans="1:67" s="33" customFormat="1" ht="65" hidden="1" x14ac:dyDescent="0.35">
      <c r="A1837" s="8">
        <v>996</v>
      </c>
      <c r="B1837" s="8" t="s">
        <v>10625</v>
      </c>
      <c r="C1837" s="8" t="s">
        <v>11086</v>
      </c>
      <c r="D1837" s="9" t="s">
        <v>10995</v>
      </c>
      <c r="E1837" s="8" t="s">
        <v>36</v>
      </c>
      <c r="F1837" s="9" t="s">
        <v>134</v>
      </c>
      <c r="G1837" s="8" t="s">
        <v>225</v>
      </c>
      <c r="H1837" s="8" t="s">
        <v>125</v>
      </c>
      <c r="I1837" s="8" t="s">
        <v>114</v>
      </c>
      <c r="J1837" s="9" t="s">
        <v>98</v>
      </c>
      <c r="K1837" s="8" t="s">
        <v>98</v>
      </c>
      <c r="L1837" s="8" t="s">
        <v>98</v>
      </c>
      <c r="M1837" s="8" t="s">
        <v>98</v>
      </c>
      <c r="N1837" s="9" t="s">
        <v>10977</v>
      </c>
      <c r="O1837" s="9" t="s">
        <v>10978</v>
      </c>
      <c r="P1837" s="9" t="s">
        <v>236</v>
      </c>
      <c r="Q1837" s="52">
        <v>40178</v>
      </c>
      <c r="R1837" s="9" t="s">
        <v>98</v>
      </c>
      <c r="S1837" s="9" t="s">
        <v>10979</v>
      </c>
      <c r="T1837" s="9" t="s">
        <v>10979</v>
      </c>
      <c r="U1837" s="9">
        <v>1</v>
      </c>
      <c r="V1837" s="8" t="s">
        <v>1538</v>
      </c>
      <c r="W1837" s="8" t="s">
        <v>98</v>
      </c>
      <c r="X1837" s="9" t="s">
        <v>209</v>
      </c>
      <c r="Y1837" s="13" t="s">
        <v>98</v>
      </c>
      <c r="Z1837" s="38" t="s">
        <v>98</v>
      </c>
      <c r="AA1837" s="9" t="s">
        <v>276</v>
      </c>
      <c r="AB1837" s="9" t="s">
        <v>98</v>
      </c>
      <c r="AC1837" s="8">
        <v>0</v>
      </c>
      <c r="AD1837" s="8" t="s">
        <v>5574</v>
      </c>
      <c r="AE1837" s="8" t="s">
        <v>98</v>
      </c>
      <c r="AF1837" s="8" t="s">
        <v>98</v>
      </c>
      <c r="AG1837" s="9" t="s">
        <v>10996</v>
      </c>
      <c r="AH1837" s="9" t="s">
        <v>10994</v>
      </c>
      <c r="AI1837" s="38">
        <v>52</v>
      </c>
      <c r="AJ1837" s="38" t="s">
        <v>98</v>
      </c>
      <c r="AK1837" s="38">
        <v>1012</v>
      </c>
      <c r="AL1837" s="38" t="s">
        <v>98</v>
      </c>
      <c r="AM1837" s="38" t="s">
        <v>292</v>
      </c>
      <c r="AN1837" s="8" t="s">
        <v>276</v>
      </c>
      <c r="AO1837" s="14">
        <f t="shared" ref="AO1837:AO1838" si="533">AI1837/AK1837*100</f>
        <v>5.1383399209486171</v>
      </c>
      <c r="AP1837" s="8" t="s">
        <v>276</v>
      </c>
      <c r="AQ1837" s="8" t="s">
        <v>276</v>
      </c>
      <c r="AR1837" s="8" t="s">
        <v>98</v>
      </c>
      <c r="AS1837" s="8" t="s">
        <v>98</v>
      </c>
      <c r="AT1837" s="8" t="s">
        <v>98</v>
      </c>
      <c r="AU1837" s="8" t="s">
        <v>98</v>
      </c>
      <c r="AV1837" s="8" t="s">
        <v>98</v>
      </c>
      <c r="AW1837" s="8" t="s">
        <v>98</v>
      </c>
      <c r="AX1837" s="8" t="s">
        <v>98</v>
      </c>
      <c r="AY1837" s="8" t="s">
        <v>98</v>
      </c>
      <c r="AZ1837" s="8" t="s">
        <v>98</v>
      </c>
      <c r="BA1837" s="8" t="s">
        <v>98</v>
      </c>
      <c r="BB1837" s="8" t="s">
        <v>98</v>
      </c>
      <c r="BC1837" s="8" t="s">
        <v>98</v>
      </c>
      <c r="BD1837" s="8" t="s">
        <v>98</v>
      </c>
      <c r="BE1837" s="8" t="s">
        <v>98</v>
      </c>
      <c r="BF1837" s="9" t="s">
        <v>426</v>
      </c>
      <c r="BG1837" s="9"/>
      <c r="BH1837" s="9" t="s">
        <v>100</v>
      </c>
      <c r="BI1837" s="9" t="s">
        <v>100</v>
      </c>
      <c r="BJ1837" s="32"/>
      <c r="BN1837" s="32"/>
      <c r="BO1837" s="32"/>
    </row>
    <row r="1838" spans="1:67" s="33" customFormat="1" ht="52" x14ac:dyDescent="0.35">
      <c r="A1838" s="8">
        <v>996</v>
      </c>
      <c r="B1838" s="8" t="s">
        <v>10625</v>
      </c>
      <c r="C1838" s="8" t="s">
        <v>11086</v>
      </c>
      <c r="D1838" s="9" t="s">
        <v>10997</v>
      </c>
      <c r="E1838" s="8" t="s">
        <v>36</v>
      </c>
      <c r="F1838" s="9" t="s">
        <v>134</v>
      </c>
      <c r="G1838" s="8" t="s">
        <v>225</v>
      </c>
      <c r="H1838" s="8" t="s">
        <v>125</v>
      </c>
      <c r="I1838" s="8" t="s">
        <v>114</v>
      </c>
      <c r="J1838" s="9" t="s">
        <v>98</v>
      </c>
      <c r="K1838" s="8" t="s">
        <v>98</v>
      </c>
      <c r="L1838" s="8" t="s">
        <v>98</v>
      </c>
      <c r="M1838" s="8" t="s">
        <v>98</v>
      </c>
      <c r="N1838" s="9" t="s">
        <v>10977</v>
      </c>
      <c r="O1838" s="9" t="s">
        <v>10978</v>
      </c>
      <c r="P1838" s="9" t="s">
        <v>236</v>
      </c>
      <c r="Q1838" s="52">
        <v>40178</v>
      </c>
      <c r="R1838" s="9" t="s">
        <v>98</v>
      </c>
      <c r="S1838" s="9" t="s">
        <v>10979</v>
      </c>
      <c r="T1838" s="9" t="s">
        <v>10979</v>
      </c>
      <c r="U1838" s="9">
        <v>2</v>
      </c>
      <c r="V1838" s="8" t="s">
        <v>1538</v>
      </c>
      <c r="W1838" s="8" t="s">
        <v>98</v>
      </c>
      <c r="X1838" s="9" t="s">
        <v>209</v>
      </c>
      <c r="Y1838" s="13" t="s">
        <v>98</v>
      </c>
      <c r="Z1838" s="38" t="s">
        <v>98</v>
      </c>
      <c r="AA1838" s="9" t="s">
        <v>276</v>
      </c>
      <c r="AB1838" s="9" t="s">
        <v>98</v>
      </c>
      <c r="AC1838" s="8">
        <v>0</v>
      </c>
      <c r="AD1838" s="8" t="s">
        <v>5574</v>
      </c>
      <c r="AE1838" s="8" t="s">
        <v>98</v>
      </c>
      <c r="AF1838" s="8" t="s">
        <v>98</v>
      </c>
      <c r="AG1838" s="9" t="s">
        <v>10998</v>
      </c>
      <c r="AH1838" s="9" t="s">
        <v>10994</v>
      </c>
      <c r="AI1838" s="38">
        <v>244</v>
      </c>
      <c r="AJ1838" s="38" t="s">
        <v>98</v>
      </c>
      <c r="AK1838" s="38">
        <v>1012</v>
      </c>
      <c r="AL1838" s="38" t="s">
        <v>98</v>
      </c>
      <c r="AM1838" s="38" t="s">
        <v>292</v>
      </c>
      <c r="AN1838" s="8" t="s">
        <v>276</v>
      </c>
      <c r="AO1838" s="14">
        <f t="shared" si="533"/>
        <v>24.110671936758894</v>
      </c>
      <c r="AP1838" s="8" t="s">
        <v>276</v>
      </c>
      <c r="AQ1838" s="8" t="s">
        <v>276</v>
      </c>
      <c r="AR1838" s="8" t="s">
        <v>98</v>
      </c>
      <c r="AS1838" s="8" t="s">
        <v>98</v>
      </c>
      <c r="AT1838" s="8" t="s">
        <v>98</v>
      </c>
      <c r="AU1838" s="8" t="s">
        <v>98</v>
      </c>
      <c r="AV1838" s="8" t="s">
        <v>98</v>
      </c>
      <c r="AW1838" s="8" t="s">
        <v>98</v>
      </c>
      <c r="AX1838" s="8" t="s">
        <v>98</v>
      </c>
      <c r="AY1838" s="8" t="s">
        <v>98</v>
      </c>
      <c r="AZ1838" s="8" t="s">
        <v>98</v>
      </c>
      <c r="BA1838" s="8" t="s">
        <v>98</v>
      </c>
      <c r="BB1838" s="8" t="s">
        <v>98</v>
      </c>
      <c r="BC1838" s="8" t="s">
        <v>98</v>
      </c>
      <c r="BD1838" s="8" t="s">
        <v>98</v>
      </c>
      <c r="BE1838" s="8" t="s">
        <v>98</v>
      </c>
      <c r="BF1838" s="9" t="s">
        <v>10999</v>
      </c>
      <c r="BG1838" s="9"/>
      <c r="BH1838" s="9" t="s">
        <v>99</v>
      </c>
      <c r="BI1838" s="9" t="s">
        <v>100</v>
      </c>
      <c r="BJ1838" s="32"/>
      <c r="BN1838" s="32"/>
      <c r="BO1838" s="32"/>
    </row>
    <row r="1839" spans="1:67" s="33" customFormat="1" ht="65" hidden="1" x14ac:dyDescent="0.35">
      <c r="A1839" s="8">
        <v>996</v>
      </c>
      <c r="B1839" s="8" t="s">
        <v>10625</v>
      </c>
      <c r="C1839" s="8" t="s">
        <v>11086</v>
      </c>
      <c r="D1839" s="9" t="s">
        <v>11685</v>
      </c>
      <c r="E1839" s="8" t="s">
        <v>36</v>
      </c>
      <c r="F1839" s="9" t="s">
        <v>134</v>
      </c>
      <c r="G1839" s="8" t="s">
        <v>225</v>
      </c>
      <c r="H1839" s="8" t="s">
        <v>125</v>
      </c>
      <c r="I1839" s="8" t="s">
        <v>114</v>
      </c>
      <c r="J1839" s="9" t="s">
        <v>98</v>
      </c>
      <c r="K1839" s="8" t="s">
        <v>98</v>
      </c>
      <c r="L1839" s="8" t="s">
        <v>98</v>
      </c>
      <c r="M1839" s="8" t="s">
        <v>98</v>
      </c>
      <c r="N1839" s="9" t="s">
        <v>10977</v>
      </c>
      <c r="O1839" s="9" t="s">
        <v>10978</v>
      </c>
      <c r="P1839" s="9" t="s">
        <v>238</v>
      </c>
      <c r="Q1839" s="52">
        <v>40178</v>
      </c>
      <c r="R1839" s="9" t="s">
        <v>98</v>
      </c>
      <c r="S1839" s="9" t="s">
        <v>10979</v>
      </c>
      <c r="T1839" s="9" t="s">
        <v>10979</v>
      </c>
      <c r="U1839" s="9">
        <v>1</v>
      </c>
      <c r="V1839" s="8" t="s">
        <v>1538</v>
      </c>
      <c r="W1839" s="8" t="s">
        <v>98</v>
      </c>
      <c r="X1839" s="9" t="s">
        <v>209</v>
      </c>
      <c r="Y1839" s="13">
        <v>77445</v>
      </c>
      <c r="Z1839" s="38" t="s">
        <v>98</v>
      </c>
      <c r="AA1839" s="9" t="s">
        <v>276</v>
      </c>
      <c r="AB1839" s="9" t="s">
        <v>276</v>
      </c>
      <c r="AC1839" s="8">
        <v>0</v>
      </c>
      <c r="AD1839" s="8" t="s">
        <v>5574</v>
      </c>
      <c r="AE1839" s="8" t="s">
        <v>98</v>
      </c>
      <c r="AF1839" s="8" t="s">
        <v>98</v>
      </c>
      <c r="AG1839" s="32" t="s">
        <v>11000</v>
      </c>
      <c r="AH1839" s="9" t="s">
        <v>11001</v>
      </c>
      <c r="AI1839" s="38">
        <v>192</v>
      </c>
      <c r="AJ1839" s="38" t="s">
        <v>98</v>
      </c>
      <c r="AK1839" s="13">
        <v>77445</v>
      </c>
      <c r="AL1839" s="38" t="s">
        <v>98</v>
      </c>
      <c r="AM1839" s="38" t="s">
        <v>2047</v>
      </c>
      <c r="AN1839" s="33" t="s">
        <v>276</v>
      </c>
      <c r="AO1839" s="31">
        <f>AI1839/AK1839*1000</f>
        <v>2.4791787720317644</v>
      </c>
      <c r="AP1839" s="8" t="s">
        <v>276</v>
      </c>
      <c r="AQ1839" s="8" t="s">
        <v>276</v>
      </c>
      <c r="AR1839" s="8" t="s">
        <v>98</v>
      </c>
      <c r="AS1839" s="14" t="s">
        <v>98</v>
      </c>
      <c r="AT1839" s="8" t="s">
        <v>98</v>
      </c>
      <c r="AU1839" s="8" t="s">
        <v>98</v>
      </c>
      <c r="AV1839" s="9" t="s">
        <v>98</v>
      </c>
      <c r="AW1839" s="9" t="s">
        <v>98</v>
      </c>
      <c r="AX1839" s="9" t="s">
        <v>98</v>
      </c>
      <c r="AY1839" s="9" t="s">
        <v>98</v>
      </c>
      <c r="AZ1839" s="9" t="s">
        <v>98</v>
      </c>
      <c r="BA1839" s="9" t="s">
        <v>98</v>
      </c>
      <c r="BB1839" s="9" t="s">
        <v>98</v>
      </c>
      <c r="BC1839" s="9" t="s">
        <v>98</v>
      </c>
      <c r="BD1839" s="9" t="s">
        <v>98</v>
      </c>
      <c r="BE1839" s="9" t="s">
        <v>98</v>
      </c>
      <c r="BF1839" s="9" t="s">
        <v>426</v>
      </c>
      <c r="BG1839" s="9"/>
      <c r="BH1839" s="9" t="s">
        <v>100</v>
      </c>
      <c r="BI1839" s="9" t="s">
        <v>100</v>
      </c>
      <c r="BJ1839" s="32"/>
      <c r="BN1839" s="32"/>
      <c r="BO1839" s="32"/>
    </row>
    <row r="1840" spans="1:67" s="33" customFormat="1" ht="65" hidden="1" x14ac:dyDescent="0.35">
      <c r="A1840" s="8">
        <v>996</v>
      </c>
      <c r="B1840" s="8" t="s">
        <v>10625</v>
      </c>
      <c r="C1840" s="8" t="s">
        <v>11086</v>
      </c>
      <c r="D1840" s="9" t="s">
        <v>11684</v>
      </c>
      <c r="E1840" s="8" t="s">
        <v>36</v>
      </c>
      <c r="F1840" s="9" t="s">
        <v>134</v>
      </c>
      <c r="G1840" s="8" t="s">
        <v>225</v>
      </c>
      <c r="H1840" s="8" t="s">
        <v>125</v>
      </c>
      <c r="I1840" s="8" t="s">
        <v>114</v>
      </c>
      <c r="J1840" s="9" t="s">
        <v>98</v>
      </c>
      <c r="K1840" s="8" t="s">
        <v>98</v>
      </c>
      <c r="L1840" s="8" t="s">
        <v>98</v>
      </c>
      <c r="M1840" s="8" t="s">
        <v>98</v>
      </c>
      <c r="N1840" s="9" t="s">
        <v>10977</v>
      </c>
      <c r="O1840" s="9" t="s">
        <v>10978</v>
      </c>
      <c r="P1840" s="9" t="s">
        <v>238</v>
      </c>
      <c r="Q1840" s="52">
        <v>40178</v>
      </c>
      <c r="R1840" s="9" t="s">
        <v>98</v>
      </c>
      <c r="S1840" s="9" t="s">
        <v>10979</v>
      </c>
      <c r="T1840" s="9" t="s">
        <v>10979</v>
      </c>
      <c r="U1840" s="9">
        <v>1</v>
      </c>
      <c r="V1840" s="8" t="s">
        <v>1538</v>
      </c>
      <c r="W1840" s="8" t="s">
        <v>98</v>
      </c>
      <c r="X1840" s="9" t="s">
        <v>209</v>
      </c>
      <c r="Y1840" s="13">
        <v>77445</v>
      </c>
      <c r="Z1840" s="38" t="s">
        <v>98</v>
      </c>
      <c r="AA1840" s="9" t="s">
        <v>276</v>
      </c>
      <c r="AB1840" s="9" t="s">
        <v>276</v>
      </c>
      <c r="AC1840" s="8">
        <v>0</v>
      </c>
      <c r="AD1840" s="8" t="s">
        <v>5574</v>
      </c>
      <c r="AE1840" s="8" t="s">
        <v>98</v>
      </c>
      <c r="AF1840" s="8" t="s">
        <v>98</v>
      </c>
      <c r="AG1840" s="32" t="s">
        <v>11002</v>
      </c>
      <c r="AH1840" s="9" t="s">
        <v>11001</v>
      </c>
      <c r="AI1840" s="38">
        <v>52</v>
      </c>
      <c r="AJ1840" s="38" t="s">
        <v>98</v>
      </c>
      <c r="AK1840" s="13">
        <v>77445</v>
      </c>
      <c r="AL1840" s="38" t="s">
        <v>98</v>
      </c>
      <c r="AM1840" s="38" t="s">
        <v>2047</v>
      </c>
      <c r="AN1840" s="33" t="s">
        <v>276</v>
      </c>
      <c r="AO1840" s="31">
        <f>AI1840/AK1840*1000</f>
        <v>0.67144425075860292</v>
      </c>
      <c r="AP1840" s="8" t="s">
        <v>276</v>
      </c>
      <c r="AQ1840" s="8" t="s">
        <v>276</v>
      </c>
      <c r="AR1840" s="8" t="s">
        <v>98</v>
      </c>
      <c r="AS1840" s="14" t="s">
        <v>98</v>
      </c>
      <c r="AT1840" s="8" t="s">
        <v>98</v>
      </c>
      <c r="AU1840" s="8" t="s">
        <v>98</v>
      </c>
      <c r="AV1840" s="9" t="s">
        <v>98</v>
      </c>
      <c r="AW1840" s="9" t="s">
        <v>98</v>
      </c>
      <c r="AX1840" s="9" t="s">
        <v>98</v>
      </c>
      <c r="AY1840" s="9" t="s">
        <v>98</v>
      </c>
      <c r="AZ1840" s="9" t="s">
        <v>98</v>
      </c>
      <c r="BA1840" s="9" t="s">
        <v>98</v>
      </c>
      <c r="BB1840" s="9" t="s">
        <v>98</v>
      </c>
      <c r="BC1840" s="9" t="s">
        <v>98</v>
      </c>
      <c r="BD1840" s="9" t="s">
        <v>98</v>
      </c>
      <c r="BE1840" s="9" t="s">
        <v>98</v>
      </c>
      <c r="BF1840" s="9" t="s">
        <v>426</v>
      </c>
      <c r="BG1840" s="9"/>
      <c r="BH1840" s="9" t="s">
        <v>100</v>
      </c>
      <c r="BI1840" s="9" t="s">
        <v>100</v>
      </c>
      <c r="BJ1840" s="32"/>
      <c r="BN1840" s="32"/>
      <c r="BO1840" s="32"/>
    </row>
    <row r="1841" spans="1:67" s="33" customFormat="1" ht="65" hidden="1" x14ac:dyDescent="0.35">
      <c r="A1841" s="8">
        <v>996</v>
      </c>
      <c r="B1841" s="8" t="s">
        <v>10625</v>
      </c>
      <c r="C1841" s="8" t="s">
        <v>11086</v>
      </c>
      <c r="D1841" s="9" t="s">
        <v>11683</v>
      </c>
      <c r="E1841" s="8" t="s">
        <v>36</v>
      </c>
      <c r="F1841" s="9" t="s">
        <v>134</v>
      </c>
      <c r="G1841" s="8" t="s">
        <v>225</v>
      </c>
      <c r="H1841" s="8" t="s">
        <v>125</v>
      </c>
      <c r="I1841" s="8" t="s">
        <v>114</v>
      </c>
      <c r="J1841" s="9" t="s">
        <v>98</v>
      </c>
      <c r="K1841" s="8" t="s">
        <v>98</v>
      </c>
      <c r="L1841" s="8" t="s">
        <v>98</v>
      </c>
      <c r="M1841" s="8" t="s">
        <v>98</v>
      </c>
      <c r="N1841" s="9" t="s">
        <v>10977</v>
      </c>
      <c r="O1841" s="9" t="s">
        <v>10978</v>
      </c>
      <c r="P1841" s="9" t="s">
        <v>238</v>
      </c>
      <c r="Q1841" s="52">
        <v>40178</v>
      </c>
      <c r="R1841" s="9" t="s">
        <v>98</v>
      </c>
      <c r="S1841" s="9" t="s">
        <v>10979</v>
      </c>
      <c r="T1841" s="9" t="s">
        <v>10979</v>
      </c>
      <c r="U1841" s="9">
        <v>2</v>
      </c>
      <c r="V1841" s="8" t="s">
        <v>1538</v>
      </c>
      <c r="W1841" s="8" t="s">
        <v>98</v>
      </c>
      <c r="X1841" s="9" t="s">
        <v>209</v>
      </c>
      <c r="Y1841" s="13">
        <v>77445</v>
      </c>
      <c r="Z1841" s="38" t="s">
        <v>98</v>
      </c>
      <c r="AA1841" s="9" t="s">
        <v>276</v>
      </c>
      <c r="AB1841" s="9" t="s">
        <v>276</v>
      </c>
      <c r="AC1841" s="8">
        <v>0</v>
      </c>
      <c r="AD1841" s="8" t="s">
        <v>5574</v>
      </c>
      <c r="AE1841" s="8" t="s">
        <v>98</v>
      </c>
      <c r="AF1841" s="8" t="s">
        <v>98</v>
      </c>
      <c r="AG1841" s="32" t="s">
        <v>11003</v>
      </c>
      <c r="AH1841" s="9" t="s">
        <v>11001</v>
      </c>
      <c r="AI1841" s="38">
        <v>244</v>
      </c>
      <c r="AJ1841" s="38" t="s">
        <v>98</v>
      </c>
      <c r="AK1841" s="13">
        <v>77445</v>
      </c>
      <c r="AL1841" s="38" t="s">
        <v>98</v>
      </c>
      <c r="AM1841" s="38" t="s">
        <v>2047</v>
      </c>
      <c r="AN1841" s="33" t="s">
        <v>276</v>
      </c>
      <c r="AO1841" s="31">
        <f>AI1841/AK1841*1000</f>
        <v>3.1506230227903673</v>
      </c>
      <c r="AP1841" s="8" t="s">
        <v>276</v>
      </c>
      <c r="AQ1841" s="8" t="s">
        <v>276</v>
      </c>
      <c r="AR1841" s="8" t="s">
        <v>98</v>
      </c>
      <c r="AS1841" s="14" t="s">
        <v>98</v>
      </c>
      <c r="AT1841" s="8" t="s">
        <v>98</v>
      </c>
      <c r="AU1841" s="8" t="s">
        <v>98</v>
      </c>
      <c r="AV1841" s="9" t="s">
        <v>98</v>
      </c>
      <c r="AW1841" s="9" t="s">
        <v>98</v>
      </c>
      <c r="AX1841" s="9" t="s">
        <v>98</v>
      </c>
      <c r="AY1841" s="9" t="s">
        <v>98</v>
      </c>
      <c r="AZ1841" s="9" t="s">
        <v>98</v>
      </c>
      <c r="BA1841" s="9" t="s">
        <v>98</v>
      </c>
      <c r="BB1841" s="9" t="s">
        <v>98</v>
      </c>
      <c r="BC1841" s="9" t="s">
        <v>98</v>
      </c>
      <c r="BD1841" s="9" t="s">
        <v>98</v>
      </c>
      <c r="BE1841" s="9" t="s">
        <v>98</v>
      </c>
      <c r="BF1841" s="9" t="s">
        <v>426</v>
      </c>
      <c r="BG1841" s="9"/>
      <c r="BH1841" s="9" t="s">
        <v>100</v>
      </c>
      <c r="BI1841" s="9" t="s">
        <v>100</v>
      </c>
      <c r="BJ1841" s="32"/>
      <c r="BN1841" s="32"/>
      <c r="BO1841" s="32"/>
    </row>
    <row r="1842" spans="1:67" s="33" customFormat="1" ht="65" hidden="1" x14ac:dyDescent="0.35">
      <c r="A1842" s="8">
        <v>996</v>
      </c>
      <c r="B1842" s="8" t="s">
        <v>10625</v>
      </c>
      <c r="C1842" s="8" t="s">
        <v>11086</v>
      </c>
      <c r="D1842" s="9" t="s">
        <v>11004</v>
      </c>
      <c r="E1842" s="8" t="s">
        <v>36</v>
      </c>
      <c r="F1842" s="9" t="s">
        <v>134</v>
      </c>
      <c r="G1842" s="8" t="s">
        <v>225</v>
      </c>
      <c r="H1842" s="8" t="s">
        <v>125</v>
      </c>
      <c r="I1842" s="8" t="s">
        <v>114</v>
      </c>
      <c r="J1842" s="9" t="s">
        <v>25</v>
      </c>
      <c r="K1842" s="8" t="s">
        <v>1499</v>
      </c>
      <c r="L1842" s="8" t="s">
        <v>276</v>
      </c>
      <c r="M1842" s="8" t="s">
        <v>10976</v>
      </c>
      <c r="N1842" s="9" t="s">
        <v>10977</v>
      </c>
      <c r="O1842" s="9" t="s">
        <v>10978</v>
      </c>
      <c r="P1842" s="9" t="s">
        <v>239</v>
      </c>
      <c r="Q1842" s="52">
        <v>40178</v>
      </c>
      <c r="R1842" s="9">
        <v>13</v>
      </c>
      <c r="S1842" s="9" t="s">
        <v>10979</v>
      </c>
      <c r="T1842" s="9" t="s">
        <v>10979</v>
      </c>
      <c r="U1842" s="9">
        <v>2</v>
      </c>
      <c r="V1842" s="8" t="s">
        <v>1538</v>
      </c>
      <c r="W1842" s="8" t="s">
        <v>98</v>
      </c>
      <c r="X1842" s="9" t="s">
        <v>207</v>
      </c>
      <c r="Y1842" s="13">
        <v>77445</v>
      </c>
      <c r="Z1842" s="38">
        <v>77455</v>
      </c>
      <c r="AA1842" s="9" t="s">
        <v>276</v>
      </c>
      <c r="AB1842" s="9" t="s">
        <v>276</v>
      </c>
      <c r="AC1842" s="8">
        <v>27</v>
      </c>
      <c r="AD1842" s="9" t="s">
        <v>11005</v>
      </c>
      <c r="AE1842" s="8">
        <v>29</v>
      </c>
      <c r="AF1842" s="9" t="s">
        <v>11006</v>
      </c>
      <c r="AG1842" s="9" t="s">
        <v>11007</v>
      </c>
      <c r="AH1842" s="9" t="s">
        <v>1487</v>
      </c>
      <c r="AI1842" s="38">
        <v>202</v>
      </c>
      <c r="AJ1842" s="38">
        <v>252</v>
      </c>
      <c r="AK1842" s="38">
        <v>848403</v>
      </c>
      <c r="AL1842" s="38">
        <v>847103</v>
      </c>
      <c r="AM1842" s="38" t="s">
        <v>4702</v>
      </c>
      <c r="AN1842" s="8" t="s">
        <v>276</v>
      </c>
      <c r="AO1842" s="14">
        <f t="shared" ref="AO1842:AO1848" si="534">AI1842/AK1842*10000</f>
        <v>2.3809439617728838</v>
      </c>
      <c r="AP1842" s="8" t="s">
        <v>276</v>
      </c>
      <c r="AQ1842" s="8" t="s">
        <v>276</v>
      </c>
      <c r="AR1842" s="8" t="s">
        <v>276</v>
      </c>
      <c r="AS1842" s="14">
        <f t="shared" ref="AS1842:AS1848" si="535">AJ1842/AL1842*10000</f>
        <v>2.9748448535774279</v>
      </c>
      <c r="AT1842" s="8" t="s">
        <v>276</v>
      </c>
      <c r="AU1842" s="8" t="s">
        <v>276</v>
      </c>
      <c r="AV1842" s="9" t="s">
        <v>269</v>
      </c>
      <c r="AW1842" s="53">
        <f>(100-19.8)/100</f>
        <v>0.80200000000000005</v>
      </c>
      <c r="AX1842" s="53">
        <f t="shared" ref="AX1842:AX1848" si="536">AO1842/AS1842</f>
        <v>0.80035903684511722</v>
      </c>
      <c r="AY1842" s="9" t="s">
        <v>276</v>
      </c>
      <c r="AZ1842" s="9" t="s">
        <v>276</v>
      </c>
      <c r="BA1842" s="9" t="s">
        <v>276</v>
      </c>
      <c r="BB1842" s="9" t="s">
        <v>276</v>
      </c>
      <c r="BC1842" s="9" t="s">
        <v>98</v>
      </c>
      <c r="BD1842" s="9" t="s">
        <v>98</v>
      </c>
      <c r="BE1842" s="9" t="s">
        <v>276</v>
      </c>
      <c r="BF1842" s="9" t="s">
        <v>11008</v>
      </c>
      <c r="BG1842" s="9"/>
      <c r="BH1842" s="9" t="s">
        <v>100</v>
      </c>
      <c r="BI1842" s="9" t="s">
        <v>100</v>
      </c>
      <c r="BJ1842" s="32"/>
      <c r="BN1842" s="32"/>
      <c r="BO1842" s="32"/>
    </row>
    <row r="1843" spans="1:67" s="33" customFormat="1" ht="65" hidden="1" x14ac:dyDescent="0.35">
      <c r="A1843" s="8">
        <v>996</v>
      </c>
      <c r="B1843" s="8" t="s">
        <v>10625</v>
      </c>
      <c r="C1843" s="8" t="s">
        <v>11086</v>
      </c>
      <c r="D1843" s="9" t="s">
        <v>11009</v>
      </c>
      <c r="E1843" s="8" t="s">
        <v>36</v>
      </c>
      <c r="F1843" s="9" t="s">
        <v>134</v>
      </c>
      <c r="G1843" s="8" t="s">
        <v>225</v>
      </c>
      <c r="H1843" s="8" t="s">
        <v>125</v>
      </c>
      <c r="I1843" s="8" t="s">
        <v>114</v>
      </c>
      <c r="J1843" s="9" t="s">
        <v>25</v>
      </c>
      <c r="K1843" s="8" t="s">
        <v>1510</v>
      </c>
      <c r="L1843" s="8" t="s">
        <v>276</v>
      </c>
      <c r="M1843" s="8" t="s">
        <v>10976</v>
      </c>
      <c r="N1843" s="9" t="s">
        <v>10977</v>
      </c>
      <c r="O1843" s="9" t="s">
        <v>10978</v>
      </c>
      <c r="P1843" s="9" t="s">
        <v>239</v>
      </c>
      <c r="Q1843" s="52">
        <v>40178</v>
      </c>
      <c r="R1843" s="9">
        <v>13</v>
      </c>
      <c r="S1843" s="9" t="s">
        <v>10979</v>
      </c>
      <c r="T1843" s="9" t="s">
        <v>10979</v>
      </c>
      <c r="U1843" s="9">
        <v>2</v>
      </c>
      <c r="V1843" s="8" t="s">
        <v>1538</v>
      </c>
      <c r="W1843" s="8" t="s">
        <v>98</v>
      </c>
      <c r="X1843" s="9" t="s">
        <v>207</v>
      </c>
      <c r="Y1843" s="13">
        <v>77445</v>
      </c>
      <c r="Z1843" s="38">
        <v>77455</v>
      </c>
      <c r="AA1843" s="9" t="s">
        <v>276</v>
      </c>
      <c r="AB1843" s="9" t="s">
        <v>276</v>
      </c>
      <c r="AC1843" s="8">
        <v>27</v>
      </c>
      <c r="AD1843" s="9" t="s">
        <v>11005</v>
      </c>
      <c r="AE1843" s="8">
        <v>29</v>
      </c>
      <c r="AF1843" s="9" t="s">
        <v>11006</v>
      </c>
      <c r="AG1843" s="9" t="s">
        <v>11010</v>
      </c>
      <c r="AH1843" s="9" t="s">
        <v>1487</v>
      </c>
      <c r="AI1843" s="38">
        <v>110</v>
      </c>
      <c r="AJ1843" s="38">
        <v>144</v>
      </c>
      <c r="AK1843" s="38">
        <v>848403</v>
      </c>
      <c r="AL1843" s="38">
        <v>847103</v>
      </c>
      <c r="AM1843" s="38" t="s">
        <v>4702</v>
      </c>
      <c r="AN1843" s="8" t="s">
        <v>276</v>
      </c>
      <c r="AO1843" s="14">
        <f t="shared" si="534"/>
        <v>1.2965536425495903</v>
      </c>
      <c r="AP1843" s="8" t="s">
        <v>276</v>
      </c>
      <c r="AQ1843" s="8" t="s">
        <v>276</v>
      </c>
      <c r="AR1843" s="8" t="s">
        <v>276</v>
      </c>
      <c r="AS1843" s="14">
        <f t="shared" si="535"/>
        <v>1.6999113449013874</v>
      </c>
      <c r="AT1843" s="8" t="s">
        <v>276</v>
      </c>
      <c r="AU1843" s="8" t="s">
        <v>276</v>
      </c>
      <c r="AV1843" s="9" t="s">
        <v>269</v>
      </c>
      <c r="AW1843" s="53">
        <f>(100-23.6)/100</f>
        <v>0.76400000000000001</v>
      </c>
      <c r="AX1843" s="53">
        <f t="shared" si="536"/>
        <v>0.76271838907269829</v>
      </c>
      <c r="AY1843" s="9" t="s">
        <v>276</v>
      </c>
      <c r="AZ1843" s="9" t="s">
        <v>276</v>
      </c>
      <c r="BA1843" s="9" t="s">
        <v>276</v>
      </c>
      <c r="BB1843" s="9" t="s">
        <v>276</v>
      </c>
      <c r="BC1843" s="9" t="s">
        <v>98</v>
      </c>
      <c r="BD1843" s="9" t="s">
        <v>98</v>
      </c>
      <c r="BE1843" s="9" t="s">
        <v>276</v>
      </c>
      <c r="BF1843" s="9" t="s">
        <v>11011</v>
      </c>
      <c r="BG1843" s="9"/>
      <c r="BH1843" s="9" t="s">
        <v>100</v>
      </c>
      <c r="BI1843" s="9" t="s">
        <v>100</v>
      </c>
      <c r="BJ1843" s="32"/>
      <c r="BN1843" s="32"/>
      <c r="BO1843" s="32"/>
    </row>
    <row r="1844" spans="1:67" s="33" customFormat="1" ht="91" hidden="1" x14ac:dyDescent="0.35">
      <c r="A1844" s="8">
        <v>996</v>
      </c>
      <c r="B1844" s="8" t="s">
        <v>10625</v>
      </c>
      <c r="C1844" s="8" t="s">
        <v>11086</v>
      </c>
      <c r="D1844" s="9" t="s">
        <v>11012</v>
      </c>
      <c r="E1844" s="8" t="s">
        <v>36</v>
      </c>
      <c r="F1844" s="9" t="s">
        <v>134</v>
      </c>
      <c r="G1844" s="8" t="s">
        <v>225</v>
      </c>
      <c r="H1844" s="8" t="s">
        <v>125</v>
      </c>
      <c r="I1844" s="8" t="s">
        <v>114</v>
      </c>
      <c r="J1844" s="9" t="s">
        <v>25</v>
      </c>
      <c r="K1844" s="8" t="s">
        <v>1513</v>
      </c>
      <c r="L1844" s="8" t="s">
        <v>276</v>
      </c>
      <c r="M1844" s="8" t="s">
        <v>10976</v>
      </c>
      <c r="N1844" s="9" t="s">
        <v>10977</v>
      </c>
      <c r="O1844" s="9" t="s">
        <v>10978</v>
      </c>
      <c r="P1844" s="9" t="s">
        <v>239</v>
      </c>
      <c r="Q1844" s="52">
        <v>40178</v>
      </c>
      <c r="R1844" s="9">
        <v>13</v>
      </c>
      <c r="S1844" s="9" t="s">
        <v>10979</v>
      </c>
      <c r="T1844" s="9" t="s">
        <v>10979</v>
      </c>
      <c r="U1844" s="9">
        <v>2</v>
      </c>
      <c r="V1844" s="8" t="s">
        <v>1538</v>
      </c>
      <c r="W1844" s="8" t="s">
        <v>98</v>
      </c>
      <c r="X1844" s="9" t="s">
        <v>207</v>
      </c>
      <c r="Y1844" s="13">
        <v>77445</v>
      </c>
      <c r="Z1844" s="38">
        <v>77455</v>
      </c>
      <c r="AA1844" s="9" t="s">
        <v>276</v>
      </c>
      <c r="AB1844" s="9" t="s">
        <v>276</v>
      </c>
      <c r="AC1844" s="8">
        <f>6+21+24</f>
        <v>51</v>
      </c>
      <c r="AD1844" s="9" t="s">
        <v>11082</v>
      </c>
      <c r="AE1844" s="8">
        <f>6+23+3</f>
        <v>32</v>
      </c>
      <c r="AF1844" s="9" t="s">
        <v>11083</v>
      </c>
      <c r="AG1844" s="9" t="s">
        <v>11013</v>
      </c>
      <c r="AH1844" s="9" t="s">
        <v>1487</v>
      </c>
      <c r="AI1844" s="38">
        <v>96</v>
      </c>
      <c r="AJ1844" s="38">
        <v>157</v>
      </c>
      <c r="AK1844" s="38">
        <v>848403</v>
      </c>
      <c r="AL1844" s="38">
        <v>847103</v>
      </c>
      <c r="AM1844" s="38" t="s">
        <v>4702</v>
      </c>
      <c r="AN1844" s="8" t="s">
        <v>276</v>
      </c>
      <c r="AO1844" s="14">
        <f t="shared" si="534"/>
        <v>1.1315377244069151</v>
      </c>
      <c r="AP1844" s="8" t="s">
        <v>276</v>
      </c>
      <c r="AQ1844" s="8" t="s">
        <v>276</v>
      </c>
      <c r="AR1844" s="8" t="s">
        <v>276</v>
      </c>
      <c r="AS1844" s="14">
        <f t="shared" si="535"/>
        <v>1.8533755635383184</v>
      </c>
      <c r="AT1844" s="8" t="s">
        <v>276</v>
      </c>
      <c r="AU1844" s="8" t="s">
        <v>276</v>
      </c>
      <c r="AV1844" s="9" t="s">
        <v>269</v>
      </c>
      <c r="AW1844" s="53">
        <f>(100-38.9)/100</f>
        <v>0.61099999999999999</v>
      </c>
      <c r="AX1844" s="53">
        <f t="shared" si="536"/>
        <v>0.61052802608807066</v>
      </c>
      <c r="AY1844" s="9" t="s">
        <v>276</v>
      </c>
      <c r="AZ1844" s="9" t="s">
        <v>276</v>
      </c>
      <c r="BA1844" s="9" t="s">
        <v>276</v>
      </c>
      <c r="BB1844" s="9" t="s">
        <v>276</v>
      </c>
      <c r="BC1844" s="9" t="s">
        <v>98</v>
      </c>
      <c r="BD1844" s="9" t="s">
        <v>98</v>
      </c>
      <c r="BE1844" s="9" t="s">
        <v>276</v>
      </c>
      <c r="BF1844" s="9" t="s">
        <v>11011</v>
      </c>
      <c r="BG1844" s="9"/>
      <c r="BH1844" s="9" t="s">
        <v>100</v>
      </c>
      <c r="BI1844" s="9" t="s">
        <v>100</v>
      </c>
      <c r="BJ1844" s="32"/>
      <c r="BN1844" s="32"/>
      <c r="BO1844" s="32"/>
    </row>
    <row r="1845" spans="1:67" s="33" customFormat="1" ht="91" hidden="1" x14ac:dyDescent="0.35">
      <c r="A1845" s="8">
        <v>996</v>
      </c>
      <c r="B1845" s="8" t="s">
        <v>10625</v>
      </c>
      <c r="C1845" s="8" t="s">
        <v>11086</v>
      </c>
      <c r="D1845" s="9" t="s">
        <v>11014</v>
      </c>
      <c r="E1845" s="8" t="s">
        <v>36</v>
      </c>
      <c r="F1845" s="9" t="s">
        <v>134</v>
      </c>
      <c r="G1845" s="8" t="s">
        <v>225</v>
      </c>
      <c r="H1845" s="8" t="s">
        <v>125</v>
      </c>
      <c r="I1845" s="8" t="s">
        <v>114</v>
      </c>
      <c r="J1845" s="9" t="s">
        <v>25</v>
      </c>
      <c r="K1845" s="8" t="s">
        <v>1516</v>
      </c>
      <c r="L1845" s="8" t="s">
        <v>276</v>
      </c>
      <c r="M1845" s="8" t="s">
        <v>10976</v>
      </c>
      <c r="N1845" s="9" t="s">
        <v>10977</v>
      </c>
      <c r="O1845" s="9" t="s">
        <v>10978</v>
      </c>
      <c r="P1845" s="9" t="s">
        <v>239</v>
      </c>
      <c r="Q1845" s="52">
        <v>40178</v>
      </c>
      <c r="R1845" s="9">
        <v>13</v>
      </c>
      <c r="S1845" s="9" t="s">
        <v>10979</v>
      </c>
      <c r="T1845" s="9" t="s">
        <v>10979</v>
      </c>
      <c r="U1845" s="9">
        <v>2</v>
      </c>
      <c r="V1845" s="8" t="s">
        <v>1538</v>
      </c>
      <c r="W1845" s="8" t="s">
        <v>98</v>
      </c>
      <c r="X1845" s="9" t="s">
        <v>207</v>
      </c>
      <c r="Y1845" s="13">
        <v>77445</v>
      </c>
      <c r="Z1845" s="38">
        <v>77455</v>
      </c>
      <c r="AA1845" s="9" t="s">
        <v>276</v>
      </c>
      <c r="AB1845" s="9" t="s">
        <v>276</v>
      </c>
      <c r="AC1845" s="8">
        <f t="shared" ref="AC1845" si="537">6+21+24</f>
        <v>51</v>
      </c>
      <c r="AD1845" s="9" t="s">
        <v>11082</v>
      </c>
      <c r="AE1845" s="8">
        <f t="shared" ref="AE1845" si="538">6+23+3</f>
        <v>32</v>
      </c>
      <c r="AF1845" s="9" t="s">
        <v>11083</v>
      </c>
      <c r="AG1845" s="9" t="s">
        <v>11015</v>
      </c>
      <c r="AH1845" s="9" t="s">
        <v>1487</v>
      </c>
      <c r="AI1845" s="38">
        <v>41</v>
      </c>
      <c r="AJ1845" s="38">
        <v>107</v>
      </c>
      <c r="AK1845" s="38">
        <v>848403</v>
      </c>
      <c r="AL1845" s="38">
        <v>847103</v>
      </c>
      <c r="AM1845" s="38" t="s">
        <v>4702</v>
      </c>
      <c r="AN1845" s="8" t="s">
        <v>276</v>
      </c>
      <c r="AO1845" s="14">
        <f t="shared" si="534"/>
        <v>0.48326090313212</v>
      </c>
      <c r="AP1845" s="8" t="s">
        <v>276</v>
      </c>
      <c r="AQ1845" s="8" t="s">
        <v>276</v>
      </c>
      <c r="AR1845" s="8" t="s">
        <v>276</v>
      </c>
      <c r="AS1845" s="14">
        <f t="shared" si="535"/>
        <v>1.2631285687808922</v>
      </c>
      <c r="AT1845" s="8" t="s">
        <v>276</v>
      </c>
      <c r="AU1845" s="8" t="s">
        <v>276</v>
      </c>
      <c r="AV1845" s="9" t="s">
        <v>269</v>
      </c>
      <c r="AW1845" s="53">
        <f>(100-61.7)/100</f>
        <v>0.38299999999999995</v>
      </c>
      <c r="AX1845" s="53">
        <f t="shared" si="536"/>
        <v>0.38259043067843757</v>
      </c>
      <c r="AY1845" s="9" t="s">
        <v>276</v>
      </c>
      <c r="AZ1845" s="9" t="s">
        <v>276</v>
      </c>
      <c r="BA1845" s="9" t="s">
        <v>276</v>
      </c>
      <c r="BB1845" s="9" t="s">
        <v>276</v>
      </c>
      <c r="BC1845" s="9" t="s">
        <v>98</v>
      </c>
      <c r="BD1845" s="9" t="s">
        <v>98</v>
      </c>
      <c r="BE1845" s="9" t="s">
        <v>276</v>
      </c>
      <c r="BF1845" s="9" t="s">
        <v>11016</v>
      </c>
      <c r="BG1845" s="9"/>
      <c r="BH1845" s="9" t="s">
        <v>100</v>
      </c>
      <c r="BI1845" s="9" t="s">
        <v>100</v>
      </c>
      <c r="BJ1845" s="32"/>
      <c r="BN1845" s="32"/>
      <c r="BO1845" s="32"/>
    </row>
    <row r="1846" spans="1:67" s="33" customFormat="1" ht="78" hidden="1" x14ac:dyDescent="0.35">
      <c r="A1846" s="8">
        <v>996</v>
      </c>
      <c r="B1846" s="8" t="s">
        <v>10625</v>
      </c>
      <c r="C1846" s="8" t="s">
        <v>11086</v>
      </c>
      <c r="D1846" s="9" t="s">
        <v>11017</v>
      </c>
      <c r="E1846" s="8" t="s">
        <v>36</v>
      </c>
      <c r="F1846" s="9" t="s">
        <v>134</v>
      </c>
      <c r="G1846" s="8" t="s">
        <v>225</v>
      </c>
      <c r="H1846" s="8" t="s">
        <v>125</v>
      </c>
      <c r="I1846" s="8" t="s">
        <v>114</v>
      </c>
      <c r="J1846" s="9" t="s">
        <v>25</v>
      </c>
      <c r="K1846" s="8" t="s">
        <v>1499</v>
      </c>
      <c r="L1846" s="8" t="s">
        <v>276</v>
      </c>
      <c r="M1846" s="8" t="s">
        <v>10976</v>
      </c>
      <c r="N1846" s="9" t="s">
        <v>10977</v>
      </c>
      <c r="O1846" s="9" t="s">
        <v>10978</v>
      </c>
      <c r="P1846" s="9" t="s">
        <v>239</v>
      </c>
      <c r="Q1846" s="52">
        <v>40178</v>
      </c>
      <c r="R1846" s="9">
        <v>13</v>
      </c>
      <c r="S1846" s="9" t="s">
        <v>10979</v>
      </c>
      <c r="T1846" s="9" t="s">
        <v>10979</v>
      </c>
      <c r="U1846" s="9">
        <v>2</v>
      </c>
      <c r="V1846" s="8" t="s">
        <v>1538</v>
      </c>
      <c r="W1846" s="8" t="s">
        <v>98</v>
      </c>
      <c r="X1846" s="9" t="s">
        <v>207</v>
      </c>
      <c r="Y1846" s="13">
        <v>77445</v>
      </c>
      <c r="Z1846" s="38">
        <v>77455</v>
      </c>
      <c r="AA1846" s="9" t="s">
        <v>276</v>
      </c>
      <c r="AB1846" s="9" t="s">
        <v>276</v>
      </c>
      <c r="AC1846" s="8">
        <v>23</v>
      </c>
      <c r="AD1846" s="9" t="s">
        <v>11018</v>
      </c>
      <c r="AE1846" s="8">
        <v>27</v>
      </c>
      <c r="AF1846" s="9" t="s">
        <v>11019</v>
      </c>
      <c r="AG1846" s="9" t="s">
        <v>11020</v>
      </c>
      <c r="AH1846" s="9" t="s">
        <v>1487</v>
      </c>
      <c r="AI1846" s="38">
        <v>131</v>
      </c>
      <c r="AJ1846" s="38">
        <v>153</v>
      </c>
      <c r="AK1846" s="38">
        <v>848403</v>
      </c>
      <c r="AL1846" s="38">
        <v>847103</v>
      </c>
      <c r="AM1846" s="38" t="s">
        <v>4702</v>
      </c>
      <c r="AN1846" s="8" t="s">
        <v>276</v>
      </c>
      <c r="AO1846" s="14">
        <f t="shared" si="534"/>
        <v>1.544077519763603</v>
      </c>
      <c r="AP1846" s="8" t="s">
        <v>276</v>
      </c>
      <c r="AQ1846" s="8" t="s">
        <v>276</v>
      </c>
      <c r="AR1846" s="8" t="s">
        <v>276</v>
      </c>
      <c r="AS1846" s="14">
        <f t="shared" si="535"/>
        <v>1.8061558039577241</v>
      </c>
      <c r="AT1846" s="8" t="s">
        <v>276</v>
      </c>
      <c r="AU1846" s="8" t="s">
        <v>276</v>
      </c>
      <c r="AV1846" s="9" t="s">
        <v>269</v>
      </c>
      <c r="AW1846" s="53">
        <f>(100-14.4)/100</f>
        <v>0.85599999999999998</v>
      </c>
      <c r="AX1846" s="53">
        <f t="shared" si="536"/>
        <v>0.85489718903549505</v>
      </c>
      <c r="AY1846" s="9" t="s">
        <v>276</v>
      </c>
      <c r="AZ1846" s="9" t="s">
        <v>276</v>
      </c>
      <c r="BA1846" s="9" t="s">
        <v>276</v>
      </c>
      <c r="BB1846" s="9" t="s">
        <v>276</v>
      </c>
      <c r="BC1846" s="9" t="s">
        <v>98</v>
      </c>
      <c r="BD1846" s="9" t="s">
        <v>98</v>
      </c>
      <c r="BE1846" s="9" t="s">
        <v>276</v>
      </c>
      <c r="BF1846" s="9" t="s">
        <v>11021</v>
      </c>
      <c r="BG1846" s="9"/>
      <c r="BH1846" s="9" t="s">
        <v>100</v>
      </c>
      <c r="BI1846" s="9" t="s">
        <v>100</v>
      </c>
      <c r="BJ1846" s="32"/>
      <c r="BN1846" s="32"/>
      <c r="BO1846" s="32"/>
    </row>
    <row r="1847" spans="1:67" s="33" customFormat="1" ht="104" hidden="1" x14ac:dyDescent="0.35">
      <c r="A1847" s="8">
        <v>996</v>
      </c>
      <c r="B1847" s="8" t="s">
        <v>10625</v>
      </c>
      <c r="C1847" s="8" t="s">
        <v>11086</v>
      </c>
      <c r="D1847" s="9" t="s">
        <v>11022</v>
      </c>
      <c r="E1847" s="8" t="s">
        <v>36</v>
      </c>
      <c r="F1847" s="9" t="s">
        <v>134</v>
      </c>
      <c r="G1847" s="8" t="s">
        <v>225</v>
      </c>
      <c r="H1847" s="8" t="s">
        <v>125</v>
      </c>
      <c r="I1847" s="8" t="s">
        <v>114</v>
      </c>
      <c r="J1847" s="9" t="s">
        <v>25</v>
      </c>
      <c r="K1847" s="8" t="s">
        <v>1510</v>
      </c>
      <c r="L1847" s="8" t="s">
        <v>276</v>
      </c>
      <c r="M1847" s="8" t="s">
        <v>10976</v>
      </c>
      <c r="N1847" s="9" t="s">
        <v>10977</v>
      </c>
      <c r="O1847" s="9" t="s">
        <v>10978</v>
      </c>
      <c r="P1847" s="9" t="s">
        <v>239</v>
      </c>
      <c r="Q1847" s="52">
        <v>40178</v>
      </c>
      <c r="R1847" s="9">
        <v>13</v>
      </c>
      <c r="S1847" s="9" t="s">
        <v>10979</v>
      </c>
      <c r="T1847" s="9" t="s">
        <v>10979</v>
      </c>
      <c r="U1847" s="9">
        <v>2</v>
      </c>
      <c r="V1847" s="8" t="s">
        <v>1538</v>
      </c>
      <c r="W1847" s="8" t="s">
        <v>98</v>
      </c>
      <c r="X1847" s="9" t="s">
        <v>207</v>
      </c>
      <c r="Y1847" s="13">
        <v>77445</v>
      </c>
      <c r="Z1847" s="38">
        <v>77455</v>
      </c>
      <c r="AA1847" s="9" t="s">
        <v>276</v>
      </c>
      <c r="AB1847" s="9" t="s">
        <v>276</v>
      </c>
      <c r="AC1847" s="8">
        <f>2+21+8</f>
        <v>31</v>
      </c>
      <c r="AD1847" s="9" t="s">
        <v>11084</v>
      </c>
      <c r="AE1847" s="8">
        <f>4+23+6</f>
        <v>33</v>
      </c>
      <c r="AF1847" s="9" t="s">
        <v>11085</v>
      </c>
      <c r="AG1847" s="9" t="s">
        <v>11023</v>
      </c>
      <c r="AH1847" s="9" t="s">
        <v>1487</v>
      </c>
      <c r="AI1847" s="38">
        <v>130</v>
      </c>
      <c r="AJ1847" s="38">
        <v>164</v>
      </c>
      <c r="AK1847" s="38">
        <v>848403</v>
      </c>
      <c r="AL1847" s="38">
        <v>847103</v>
      </c>
      <c r="AM1847" s="38" t="s">
        <v>4702</v>
      </c>
      <c r="AN1847" s="8" t="s">
        <v>276</v>
      </c>
      <c r="AO1847" s="14">
        <f t="shared" si="534"/>
        <v>1.5322906684676973</v>
      </c>
      <c r="AP1847" s="8" t="s">
        <v>276</v>
      </c>
      <c r="AQ1847" s="8" t="s">
        <v>276</v>
      </c>
      <c r="AR1847" s="8" t="s">
        <v>276</v>
      </c>
      <c r="AS1847" s="14">
        <f t="shared" si="535"/>
        <v>1.9360101428043579</v>
      </c>
      <c r="AT1847" s="8" t="s">
        <v>276</v>
      </c>
      <c r="AU1847" s="8" t="s">
        <v>276</v>
      </c>
      <c r="AV1847" s="9" t="s">
        <v>269</v>
      </c>
      <c r="AW1847" s="53">
        <f>(100-20.7)/100</f>
        <v>0.79299999999999993</v>
      </c>
      <c r="AX1847" s="53">
        <f t="shared" si="536"/>
        <v>0.79146830617743402</v>
      </c>
      <c r="AY1847" s="9" t="s">
        <v>276</v>
      </c>
      <c r="AZ1847" s="9" t="s">
        <v>276</v>
      </c>
      <c r="BA1847" s="9" t="s">
        <v>276</v>
      </c>
      <c r="BB1847" s="9" t="s">
        <v>276</v>
      </c>
      <c r="BC1847" s="9" t="s">
        <v>98</v>
      </c>
      <c r="BD1847" s="9" t="s">
        <v>98</v>
      </c>
      <c r="BE1847" s="9" t="s">
        <v>276</v>
      </c>
      <c r="BF1847" s="9" t="s">
        <v>11021</v>
      </c>
      <c r="BG1847" s="9"/>
      <c r="BH1847" s="9" t="s">
        <v>100</v>
      </c>
      <c r="BI1847" s="9" t="s">
        <v>100</v>
      </c>
      <c r="BJ1847" s="32"/>
      <c r="BN1847" s="32"/>
      <c r="BO1847" s="32"/>
    </row>
    <row r="1848" spans="1:67" s="33" customFormat="1" ht="104" hidden="1" x14ac:dyDescent="0.35">
      <c r="A1848" s="8">
        <v>996</v>
      </c>
      <c r="B1848" s="8" t="s">
        <v>10625</v>
      </c>
      <c r="C1848" s="8" t="s">
        <v>11086</v>
      </c>
      <c r="D1848" s="9" t="s">
        <v>11024</v>
      </c>
      <c r="E1848" s="8" t="s">
        <v>36</v>
      </c>
      <c r="F1848" s="9" t="s">
        <v>134</v>
      </c>
      <c r="G1848" s="8" t="s">
        <v>225</v>
      </c>
      <c r="H1848" s="8" t="s">
        <v>125</v>
      </c>
      <c r="I1848" s="8" t="s">
        <v>114</v>
      </c>
      <c r="J1848" s="9" t="s">
        <v>25</v>
      </c>
      <c r="K1848" s="8" t="s">
        <v>1513</v>
      </c>
      <c r="L1848" s="8" t="s">
        <v>276</v>
      </c>
      <c r="M1848" s="8" t="s">
        <v>10976</v>
      </c>
      <c r="N1848" s="9" t="s">
        <v>10977</v>
      </c>
      <c r="O1848" s="9" t="s">
        <v>10978</v>
      </c>
      <c r="P1848" s="9" t="s">
        <v>239</v>
      </c>
      <c r="Q1848" s="52">
        <v>40178</v>
      </c>
      <c r="R1848" s="9">
        <v>13</v>
      </c>
      <c r="S1848" s="9" t="s">
        <v>10979</v>
      </c>
      <c r="T1848" s="9" t="s">
        <v>10979</v>
      </c>
      <c r="U1848" s="9">
        <v>2</v>
      </c>
      <c r="V1848" s="8" t="s">
        <v>1538</v>
      </c>
      <c r="W1848" s="8" t="s">
        <v>98</v>
      </c>
      <c r="X1848" s="9" t="s">
        <v>207</v>
      </c>
      <c r="Y1848" s="13">
        <v>77445</v>
      </c>
      <c r="Z1848" s="38">
        <v>77455</v>
      </c>
      <c r="AA1848" s="9" t="s">
        <v>276</v>
      </c>
      <c r="AB1848" s="9" t="s">
        <v>276</v>
      </c>
      <c r="AC1848" s="8">
        <f>2+21+8</f>
        <v>31</v>
      </c>
      <c r="AD1848" s="9" t="s">
        <v>11084</v>
      </c>
      <c r="AE1848" s="8">
        <f>4+23+6</f>
        <v>33</v>
      </c>
      <c r="AF1848" s="9" t="s">
        <v>11085</v>
      </c>
      <c r="AG1848" s="9" t="s">
        <v>11025</v>
      </c>
      <c r="AH1848" s="9" t="s">
        <v>1487</v>
      </c>
      <c r="AI1848" s="38">
        <v>145</v>
      </c>
      <c r="AJ1848" s="38">
        <v>170</v>
      </c>
      <c r="AK1848" s="38">
        <v>848403</v>
      </c>
      <c r="AL1848" s="38">
        <v>847103</v>
      </c>
      <c r="AM1848" s="38" t="s">
        <v>4702</v>
      </c>
      <c r="AN1848" s="8" t="s">
        <v>276</v>
      </c>
      <c r="AO1848" s="14">
        <f t="shared" si="534"/>
        <v>1.7090934379062781</v>
      </c>
      <c r="AP1848" s="8" t="s">
        <v>276</v>
      </c>
      <c r="AQ1848" s="8" t="s">
        <v>276</v>
      </c>
      <c r="AR1848" s="8" t="s">
        <v>276</v>
      </c>
      <c r="AS1848" s="14">
        <f t="shared" si="535"/>
        <v>2.0068397821752493</v>
      </c>
      <c r="AT1848" s="8" t="s">
        <v>276</v>
      </c>
      <c r="AU1848" s="8" t="s">
        <v>276</v>
      </c>
      <c r="AV1848" s="9" t="s">
        <v>269</v>
      </c>
      <c r="AW1848" s="53">
        <f>(100-14.7)/100</f>
        <v>0.85299999999999998</v>
      </c>
      <c r="AX1848" s="53">
        <f t="shared" si="536"/>
        <v>0.85163422266513045</v>
      </c>
      <c r="AY1848" s="9" t="s">
        <v>276</v>
      </c>
      <c r="AZ1848" s="9" t="s">
        <v>276</v>
      </c>
      <c r="BA1848" s="9" t="s">
        <v>276</v>
      </c>
      <c r="BB1848" s="9" t="s">
        <v>276</v>
      </c>
      <c r="BC1848" s="9" t="s">
        <v>98</v>
      </c>
      <c r="BD1848" s="9" t="s">
        <v>98</v>
      </c>
      <c r="BE1848" s="9" t="s">
        <v>276</v>
      </c>
      <c r="BF1848" s="9" t="s">
        <v>11021</v>
      </c>
      <c r="BG1848" s="9"/>
      <c r="BH1848" s="9" t="s">
        <v>100</v>
      </c>
      <c r="BI1848" s="9" t="s">
        <v>100</v>
      </c>
      <c r="BJ1848" s="32"/>
      <c r="BN1848" s="32"/>
      <c r="BO1848" s="32"/>
    </row>
    <row r="1849" spans="1:67" s="33" customFormat="1" ht="104" hidden="1" x14ac:dyDescent="0.35">
      <c r="A1849" s="8">
        <v>996</v>
      </c>
      <c r="B1849" s="8" t="s">
        <v>10625</v>
      </c>
      <c r="C1849" s="8" t="s">
        <v>11086</v>
      </c>
      <c r="D1849" s="9" t="s">
        <v>11026</v>
      </c>
      <c r="E1849" s="8" t="s">
        <v>36</v>
      </c>
      <c r="F1849" s="9" t="s">
        <v>134</v>
      </c>
      <c r="G1849" s="8" t="s">
        <v>225</v>
      </c>
      <c r="H1849" s="8" t="s">
        <v>125</v>
      </c>
      <c r="I1849" s="8" t="s">
        <v>114</v>
      </c>
      <c r="J1849" s="9" t="s">
        <v>25</v>
      </c>
      <c r="K1849" s="8" t="s">
        <v>1516</v>
      </c>
      <c r="L1849" s="8" t="s">
        <v>276</v>
      </c>
      <c r="M1849" s="8" t="s">
        <v>10976</v>
      </c>
      <c r="N1849" s="9" t="s">
        <v>10977</v>
      </c>
      <c r="O1849" s="9" t="s">
        <v>10978</v>
      </c>
      <c r="P1849" s="9" t="s">
        <v>239</v>
      </c>
      <c r="Q1849" s="52">
        <v>40178</v>
      </c>
      <c r="R1849" s="9">
        <v>13</v>
      </c>
      <c r="S1849" s="9" t="s">
        <v>10979</v>
      </c>
      <c r="T1849" s="9" t="s">
        <v>10979</v>
      </c>
      <c r="U1849" s="9">
        <v>2</v>
      </c>
      <c r="V1849" s="8" t="s">
        <v>1538</v>
      </c>
      <c r="W1849" s="8" t="s">
        <v>98</v>
      </c>
      <c r="X1849" s="9" t="s">
        <v>207</v>
      </c>
      <c r="Y1849" s="13">
        <v>77445</v>
      </c>
      <c r="Z1849" s="38">
        <v>77455</v>
      </c>
      <c r="AA1849" s="9" t="s">
        <v>276</v>
      </c>
      <c r="AB1849" s="9" t="s">
        <v>276</v>
      </c>
      <c r="AC1849" s="8">
        <f>2+21+8</f>
        <v>31</v>
      </c>
      <c r="AD1849" s="9" t="s">
        <v>11084</v>
      </c>
      <c r="AE1849" s="8">
        <f>4+23+6</f>
        <v>33</v>
      </c>
      <c r="AF1849" s="9" t="s">
        <v>11085</v>
      </c>
      <c r="AG1849" s="9" t="s">
        <v>11027</v>
      </c>
      <c r="AH1849" s="9" t="s">
        <v>1487</v>
      </c>
      <c r="AI1849" s="38">
        <v>96</v>
      </c>
      <c r="AJ1849" s="38">
        <v>98</v>
      </c>
      <c r="AK1849" s="38">
        <v>848403</v>
      </c>
      <c r="AL1849" s="38">
        <v>847103</v>
      </c>
      <c r="AM1849" s="38" t="s">
        <v>4702</v>
      </c>
      <c r="AN1849" s="8" t="s">
        <v>276</v>
      </c>
      <c r="AO1849" s="14">
        <f t="shared" ref="AO1849" si="539">AI1849/AK1849*10000</f>
        <v>1.1315377244069151</v>
      </c>
      <c r="AP1849" s="8" t="s">
        <v>276</v>
      </c>
      <c r="AQ1849" s="8" t="s">
        <v>276</v>
      </c>
      <c r="AR1849" s="8" t="s">
        <v>276</v>
      </c>
      <c r="AS1849" s="14">
        <f t="shared" ref="AS1849" si="540">AJ1849/AL1849*10000</f>
        <v>1.1568841097245555</v>
      </c>
      <c r="AT1849" s="8" t="s">
        <v>276</v>
      </c>
      <c r="AU1849" s="8" t="s">
        <v>276</v>
      </c>
      <c r="AV1849" s="9" t="s">
        <v>269</v>
      </c>
      <c r="AW1849" s="53">
        <f>(100-2)/100</f>
        <v>0.98</v>
      </c>
      <c r="AX1849" s="53">
        <f t="shared" ref="AX1849" si="541">AO1849/AS1849</f>
        <v>0.9780908173043581</v>
      </c>
      <c r="AY1849" s="9" t="s">
        <v>276</v>
      </c>
      <c r="AZ1849" s="9" t="s">
        <v>276</v>
      </c>
      <c r="BA1849" s="9" t="s">
        <v>691</v>
      </c>
      <c r="BB1849" s="9" t="s">
        <v>276</v>
      </c>
      <c r="BC1849" s="9" t="s">
        <v>98</v>
      </c>
      <c r="BD1849" s="9" t="s">
        <v>98</v>
      </c>
      <c r="BE1849" s="9" t="s">
        <v>276</v>
      </c>
      <c r="BF1849" s="9" t="s">
        <v>11028</v>
      </c>
      <c r="BG1849" s="9"/>
      <c r="BH1849" s="9" t="s">
        <v>100</v>
      </c>
      <c r="BI1849" s="9" t="s">
        <v>100</v>
      </c>
      <c r="BJ1849" s="32"/>
      <c r="BN1849" s="32"/>
      <c r="BO1849" s="32"/>
    </row>
    <row r="1850" spans="1:67" s="110" customFormat="1" ht="65" hidden="1" x14ac:dyDescent="0.35">
      <c r="A1850" s="94">
        <v>1169</v>
      </c>
      <c r="B1850" s="94" t="s">
        <v>10742</v>
      </c>
      <c r="C1850" s="94" t="s">
        <v>11086</v>
      </c>
      <c r="D1850" s="95" t="s">
        <v>11029</v>
      </c>
      <c r="E1850" s="94" t="s">
        <v>36</v>
      </c>
      <c r="F1850" s="95" t="s">
        <v>134</v>
      </c>
      <c r="G1850" s="94" t="s">
        <v>225</v>
      </c>
      <c r="H1850" s="94" t="s">
        <v>125</v>
      </c>
      <c r="I1850" s="94" t="s">
        <v>114</v>
      </c>
      <c r="J1850" s="95" t="s">
        <v>25</v>
      </c>
      <c r="K1850" s="94" t="s">
        <v>1499</v>
      </c>
      <c r="L1850" s="94" t="s">
        <v>276</v>
      </c>
      <c r="M1850" s="94" t="s">
        <v>276</v>
      </c>
      <c r="N1850" s="95" t="s">
        <v>11030</v>
      </c>
      <c r="O1850" s="95" t="s">
        <v>11031</v>
      </c>
      <c r="P1850" s="95" t="s">
        <v>239</v>
      </c>
      <c r="Q1850" s="140">
        <v>42004</v>
      </c>
      <c r="R1850" s="95" t="s">
        <v>11032</v>
      </c>
      <c r="S1850" s="95" t="s">
        <v>11033</v>
      </c>
      <c r="T1850" s="95" t="s">
        <v>11034</v>
      </c>
      <c r="U1850" s="95">
        <v>2</v>
      </c>
      <c r="V1850" s="94" t="s">
        <v>1538</v>
      </c>
      <c r="W1850" s="94" t="s">
        <v>98</v>
      </c>
      <c r="X1850" s="95" t="s">
        <v>207</v>
      </c>
      <c r="Y1850" s="98">
        <v>77443</v>
      </c>
      <c r="Z1850" s="95">
        <v>77444</v>
      </c>
      <c r="AA1850" s="95" t="s">
        <v>276</v>
      </c>
      <c r="AB1850" s="95" t="s">
        <v>276</v>
      </c>
      <c r="AC1850" s="94">
        <v>155</v>
      </c>
      <c r="AD1850" s="95" t="s">
        <v>10980</v>
      </c>
      <c r="AE1850" s="94">
        <v>135</v>
      </c>
      <c r="AF1850" s="95" t="s">
        <v>10980</v>
      </c>
      <c r="AG1850" s="95" t="s">
        <v>11035</v>
      </c>
      <c r="AH1850" s="95" t="s">
        <v>1487</v>
      </c>
      <c r="AI1850" s="99">
        <v>448</v>
      </c>
      <c r="AJ1850" s="99">
        <v>537</v>
      </c>
      <c r="AK1850" s="99" t="s">
        <v>276</v>
      </c>
      <c r="AL1850" s="99" t="s">
        <v>276</v>
      </c>
      <c r="AM1850" s="99" t="s">
        <v>4702</v>
      </c>
      <c r="AN1850" s="94">
        <v>3.85</v>
      </c>
      <c r="AO1850" s="110" t="s">
        <v>98</v>
      </c>
      <c r="AP1850" s="94" t="s">
        <v>276</v>
      </c>
      <c r="AQ1850" s="94" t="s">
        <v>276</v>
      </c>
      <c r="AR1850" s="102">
        <v>4.67</v>
      </c>
      <c r="AS1850" s="110" t="s">
        <v>98</v>
      </c>
      <c r="AT1850" s="94" t="s">
        <v>276</v>
      </c>
      <c r="AU1850" s="94" t="s">
        <v>276</v>
      </c>
      <c r="AV1850" s="95" t="s">
        <v>269</v>
      </c>
      <c r="AW1850" s="141" t="s">
        <v>276</v>
      </c>
      <c r="AX1850" s="233">
        <f>AN1850/AR1850</f>
        <v>0.82441113490364026</v>
      </c>
      <c r="AY1850" s="95" t="s">
        <v>276</v>
      </c>
      <c r="AZ1850" s="95" t="s">
        <v>276</v>
      </c>
      <c r="BA1850" s="95" t="s">
        <v>276</v>
      </c>
      <c r="BB1850" s="95" t="s">
        <v>282</v>
      </c>
      <c r="BC1850" s="95" t="s">
        <v>98</v>
      </c>
      <c r="BD1850" s="95" t="s">
        <v>98</v>
      </c>
      <c r="BE1850" s="95" t="s">
        <v>98</v>
      </c>
      <c r="BF1850" s="95" t="s">
        <v>426</v>
      </c>
      <c r="BG1850" s="95"/>
      <c r="BH1850" s="9" t="s">
        <v>100</v>
      </c>
      <c r="BI1850" s="9" t="s">
        <v>100</v>
      </c>
      <c r="BJ1850" s="109"/>
      <c r="BN1850" s="109"/>
      <c r="BO1850" s="109"/>
    </row>
    <row r="1851" spans="1:67" s="110" customFormat="1" ht="65" hidden="1" x14ac:dyDescent="0.35">
      <c r="A1851" s="94">
        <v>1169</v>
      </c>
      <c r="B1851" s="94" t="s">
        <v>10742</v>
      </c>
      <c r="C1851" s="94" t="s">
        <v>11086</v>
      </c>
      <c r="D1851" s="95" t="s">
        <v>11036</v>
      </c>
      <c r="E1851" s="94" t="s">
        <v>36</v>
      </c>
      <c r="F1851" s="95" t="s">
        <v>134</v>
      </c>
      <c r="G1851" s="94" t="s">
        <v>225</v>
      </c>
      <c r="H1851" s="94" t="s">
        <v>125</v>
      </c>
      <c r="I1851" s="94" t="s">
        <v>114</v>
      </c>
      <c r="J1851" s="95" t="s">
        <v>25</v>
      </c>
      <c r="K1851" s="94" t="s">
        <v>1510</v>
      </c>
      <c r="L1851" s="94" t="s">
        <v>276</v>
      </c>
      <c r="M1851" s="94" t="s">
        <v>276</v>
      </c>
      <c r="N1851" s="95" t="s">
        <v>11030</v>
      </c>
      <c r="O1851" s="95" t="s">
        <v>11031</v>
      </c>
      <c r="P1851" s="95" t="s">
        <v>239</v>
      </c>
      <c r="Q1851" s="140">
        <v>42004</v>
      </c>
      <c r="R1851" s="95" t="s">
        <v>11032</v>
      </c>
      <c r="S1851" s="95" t="s">
        <v>11033</v>
      </c>
      <c r="T1851" s="95" t="s">
        <v>11034</v>
      </c>
      <c r="U1851" s="95">
        <v>2</v>
      </c>
      <c r="V1851" s="94" t="s">
        <v>1538</v>
      </c>
      <c r="W1851" s="94" t="s">
        <v>98</v>
      </c>
      <c r="X1851" s="95" t="s">
        <v>207</v>
      </c>
      <c r="Y1851" s="98">
        <v>77443</v>
      </c>
      <c r="Z1851" s="95">
        <v>77444</v>
      </c>
      <c r="AA1851" s="95" t="s">
        <v>276</v>
      </c>
      <c r="AB1851" s="95" t="s">
        <v>276</v>
      </c>
      <c r="AC1851" s="94">
        <v>155</v>
      </c>
      <c r="AD1851" s="95" t="s">
        <v>10980</v>
      </c>
      <c r="AE1851" s="94">
        <v>135</v>
      </c>
      <c r="AF1851" s="95" t="s">
        <v>10980</v>
      </c>
      <c r="AG1851" s="95" t="s">
        <v>11037</v>
      </c>
      <c r="AH1851" s="95" t="s">
        <v>1487</v>
      </c>
      <c r="AI1851" s="99">
        <v>340</v>
      </c>
      <c r="AJ1851" s="99">
        <v>413</v>
      </c>
      <c r="AK1851" s="99" t="s">
        <v>276</v>
      </c>
      <c r="AL1851" s="99" t="s">
        <v>276</v>
      </c>
      <c r="AM1851" s="99" t="s">
        <v>4702</v>
      </c>
      <c r="AN1851" s="94">
        <v>2.92</v>
      </c>
      <c r="AO1851" s="110" t="s">
        <v>276</v>
      </c>
      <c r="AP1851" s="94" t="s">
        <v>276</v>
      </c>
      <c r="AQ1851" s="94" t="s">
        <v>276</v>
      </c>
      <c r="AR1851" s="102">
        <v>3.59</v>
      </c>
      <c r="AS1851" s="110" t="s">
        <v>98</v>
      </c>
      <c r="AT1851" s="94" t="s">
        <v>276</v>
      </c>
      <c r="AU1851" s="94" t="s">
        <v>276</v>
      </c>
      <c r="AV1851" s="95" t="s">
        <v>269</v>
      </c>
      <c r="AW1851" s="141" t="s">
        <v>276</v>
      </c>
      <c r="AX1851" s="233">
        <f t="shared" ref="AX1851:AX1853" si="542">AN1851/AR1851</f>
        <v>0.8133704735376045</v>
      </c>
      <c r="AY1851" s="95" t="s">
        <v>276</v>
      </c>
      <c r="AZ1851" s="95" t="s">
        <v>276</v>
      </c>
      <c r="BA1851" s="95" t="s">
        <v>276</v>
      </c>
      <c r="BB1851" s="95" t="s">
        <v>282</v>
      </c>
      <c r="BC1851" s="95" t="s">
        <v>98</v>
      </c>
      <c r="BD1851" s="95" t="s">
        <v>98</v>
      </c>
      <c r="BE1851" s="95" t="s">
        <v>98</v>
      </c>
      <c r="BF1851" s="95" t="s">
        <v>426</v>
      </c>
      <c r="BG1851" s="95"/>
      <c r="BH1851" s="9" t="s">
        <v>100</v>
      </c>
      <c r="BI1851" s="9" t="s">
        <v>100</v>
      </c>
      <c r="BJ1851" s="109"/>
      <c r="BN1851" s="109"/>
      <c r="BO1851" s="109"/>
    </row>
    <row r="1852" spans="1:67" s="110" customFormat="1" ht="65" hidden="1" x14ac:dyDescent="0.35">
      <c r="A1852" s="94">
        <v>1169</v>
      </c>
      <c r="B1852" s="94" t="s">
        <v>10742</v>
      </c>
      <c r="C1852" s="94" t="s">
        <v>11086</v>
      </c>
      <c r="D1852" s="95" t="s">
        <v>11038</v>
      </c>
      <c r="E1852" s="94" t="s">
        <v>36</v>
      </c>
      <c r="F1852" s="95" t="s">
        <v>134</v>
      </c>
      <c r="G1852" s="94" t="s">
        <v>225</v>
      </c>
      <c r="H1852" s="94" t="s">
        <v>125</v>
      </c>
      <c r="I1852" s="94" t="s">
        <v>114</v>
      </c>
      <c r="J1852" s="95" t="s">
        <v>25</v>
      </c>
      <c r="K1852" s="94" t="s">
        <v>1513</v>
      </c>
      <c r="L1852" s="94" t="s">
        <v>276</v>
      </c>
      <c r="M1852" s="94" t="s">
        <v>276</v>
      </c>
      <c r="N1852" s="95" t="s">
        <v>11030</v>
      </c>
      <c r="O1852" s="95" t="s">
        <v>11031</v>
      </c>
      <c r="P1852" s="95" t="s">
        <v>239</v>
      </c>
      <c r="Q1852" s="140">
        <v>42004</v>
      </c>
      <c r="R1852" s="95" t="s">
        <v>11032</v>
      </c>
      <c r="S1852" s="95" t="s">
        <v>11033</v>
      </c>
      <c r="T1852" s="95" t="s">
        <v>11034</v>
      </c>
      <c r="U1852" s="95">
        <v>2</v>
      </c>
      <c r="V1852" s="94" t="s">
        <v>1538</v>
      </c>
      <c r="W1852" s="94" t="s">
        <v>98</v>
      </c>
      <c r="X1852" s="95" t="s">
        <v>207</v>
      </c>
      <c r="Y1852" s="98">
        <v>77443</v>
      </c>
      <c r="Z1852" s="95">
        <v>77444</v>
      </c>
      <c r="AA1852" s="95" t="s">
        <v>276</v>
      </c>
      <c r="AB1852" s="95" t="s">
        <v>276</v>
      </c>
      <c r="AC1852" s="94">
        <v>155</v>
      </c>
      <c r="AD1852" s="95" t="s">
        <v>10980</v>
      </c>
      <c r="AE1852" s="94">
        <v>135</v>
      </c>
      <c r="AF1852" s="95" t="s">
        <v>10980</v>
      </c>
      <c r="AG1852" s="95" t="s">
        <v>11039</v>
      </c>
      <c r="AH1852" s="95" t="s">
        <v>1487</v>
      </c>
      <c r="AI1852" s="99">
        <v>331</v>
      </c>
      <c r="AJ1852" s="99">
        <v>418</v>
      </c>
      <c r="AK1852" s="99" t="s">
        <v>276</v>
      </c>
      <c r="AL1852" s="99" t="s">
        <v>276</v>
      </c>
      <c r="AM1852" s="99" t="s">
        <v>4702</v>
      </c>
      <c r="AN1852" s="94">
        <v>2.84</v>
      </c>
      <c r="AO1852" s="110" t="s">
        <v>276</v>
      </c>
      <c r="AP1852" s="94" t="s">
        <v>276</v>
      </c>
      <c r="AQ1852" s="94" t="s">
        <v>276</v>
      </c>
      <c r="AR1852" s="102">
        <v>3.64</v>
      </c>
      <c r="AS1852" s="102" t="s">
        <v>276</v>
      </c>
      <c r="AT1852" s="94" t="s">
        <v>276</v>
      </c>
      <c r="AU1852" s="94" t="s">
        <v>276</v>
      </c>
      <c r="AV1852" s="95" t="s">
        <v>269</v>
      </c>
      <c r="AW1852" s="141" t="s">
        <v>276</v>
      </c>
      <c r="AX1852" s="233">
        <f t="shared" si="542"/>
        <v>0.78021978021978011</v>
      </c>
      <c r="AY1852" s="95" t="s">
        <v>276</v>
      </c>
      <c r="AZ1852" s="95" t="s">
        <v>276</v>
      </c>
      <c r="BA1852" s="95" t="s">
        <v>276</v>
      </c>
      <c r="BB1852" s="95" t="s">
        <v>282</v>
      </c>
      <c r="BC1852" s="95" t="s">
        <v>98</v>
      </c>
      <c r="BD1852" s="95" t="s">
        <v>98</v>
      </c>
      <c r="BE1852" s="95" t="s">
        <v>98</v>
      </c>
      <c r="BF1852" s="95" t="s">
        <v>426</v>
      </c>
      <c r="BG1852" s="95"/>
      <c r="BH1852" s="9" t="s">
        <v>100</v>
      </c>
      <c r="BI1852" s="9" t="s">
        <v>100</v>
      </c>
      <c r="BJ1852" s="109"/>
      <c r="BN1852" s="109"/>
      <c r="BO1852" s="109"/>
    </row>
    <row r="1853" spans="1:67" s="110" customFormat="1" ht="65" hidden="1" x14ac:dyDescent="0.35">
      <c r="A1853" s="94">
        <v>1169</v>
      </c>
      <c r="B1853" s="94" t="s">
        <v>10742</v>
      </c>
      <c r="C1853" s="94" t="s">
        <v>11086</v>
      </c>
      <c r="D1853" s="95" t="s">
        <v>11040</v>
      </c>
      <c r="E1853" s="94" t="s">
        <v>36</v>
      </c>
      <c r="F1853" s="95" t="s">
        <v>134</v>
      </c>
      <c r="G1853" s="94" t="s">
        <v>225</v>
      </c>
      <c r="H1853" s="94" t="s">
        <v>125</v>
      </c>
      <c r="I1853" s="94" t="s">
        <v>114</v>
      </c>
      <c r="J1853" s="95" t="s">
        <v>25</v>
      </c>
      <c r="K1853" s="94" t="s">
        <v>1516</v>
      </c>
      <c r="L1853" s="94" t="s">
        <v>276</v>
      </c>
      <c r="M1853" s="94" t="s">
        <v>276</v>
      </c>
      <c r="N1853" s="95" t="s">
        <v>11030</v>
      </c>
      <c r="O1853" s="95" t="s">
        <v>11031</v>
      </c>
      <c r="P1853" s="95" t="s">
        <v>239</v>
      </c>
      <c r="Q1853" s="140">
        <v>42004</v>
      </c>
      <c r="R1853" s="95" t="s">
        <v>11032</v>
      </c>
      <c r="S1853" s="95" t="s">
        <v>11033</v>
      </c>
      <c r="T1853" s="95" t="s">
        <v>11034</v>
      </c>
      <c r="U1853" s="95">
        <v>2</v>
      </c>
      <c r="V1853" s="94" t="s">
        <v>1538</v>
      </c>
      <c r="W1853" s="94" t="s">
        <v>98</v>
      </c>
      <c r="X1853" s="95" t="s">
        <v>207</v>
      </c>
      <c r="Y1853" s="98">
        <v>77443</v>
      </c>
      <c r="Z1853" s="95">
        <v>77444</v>
      </c>
      <c r="AA1853" s="95" t="s">
        <v>276</v>
      </c>
      <c r="AB1853" s="95" t="s">
        <v>276</v>
      </c>
      <c r="AC1853" s="94">
        <v>155</v>
      </c>
      <c r="AD1853" s="95" t="s">
        <v>10980</v>
      </c>
      <c r="AE1853" s="94">
        <v>135</v>
      </c>
      <c r="AF1853" s="95" t="s">
        <v>10980</v>
      </c>
      <c r="AG1853" s="95" t="s">
        <v>11041</v>
      </c>
      <c r="AH1853" s="95" t="s">
        <v>1487</v>
      </c>
      <c r="AI1853" s="99">
        <v>187</v>
      </c>
      <c r="AJ1853" s="99">
        <v>258</v>
      </c>
      <c r="AK1853" s="99" t="s">
        <v>276</v>
      </c>
      <c r="AL1853" s="99" t="s">
        <v>276</v>
      </c>
      <c r="AM1853" s="99" t="s">
        <v>4702</v>
      </c>
      <c r="AN1853" s="94">
        <v>1.61</v>
      </c>
      <c r="AO1853" s="110" t="s">
        <v>276</v>
      </c>
      <c r="AP1853" s="94" t="s">
        <v>276</v>
      </c>
      <c r="AQ1853" s="94" t="s">
        <v>276</v>
      </c>
      <c r="AR1853" s="102">
        <v>2.2400000000000002</v>
      </c>
      <c r="AS1853" s="102" t="s">
        <v>276</v>
      </c>
      <c r="AT1853" s="94" t="s">
        <v>276</v>
      </c>
      <c r="AU1853" s="94" t="s">
        <v>276</v>
      </c>
      <c r="AV1853" s="95" t="s">
        <v>269</v>
      </c>
      <c r="AW1853" s="141" t="s">
        <v>276</v>
      </c>
      <c r="AX1853" s="233">
        <f t="shared" si="542"/>
        <v>0.71875</v>
      </c>
      <c r="AY1853" s="95" t="s">
        <v>276</v>
      </c>
      <c r="AZ1853" s="95" t="s">
        <v>276</v>
      </c>
      <c r="BA1853" s="95" t="s">
        <v>276</v>
      </c>
      <c r="BB1853" s="95" t="s">
        <v>282</v>
      </c>
      <c r="BC1853" s="95" t="s">
        <v>98</v>
      </c>
      <c r="BD1853" s="95" t="s">
        <v>98</v>
      </c>
      <c r="BE1853" s="95" t="s">
        <v>98</v>
      </c>
      <c r="BF1853" s="95" t="s">
        <v>426</v>
      </c>
      <c r="BG1853" s="95"/>
      <c r="BH1853" s="9" t="s">
        <v>100</v>
      </c>
      <c r="BI1853" s="9" t="s">
        <v>100</v>
      </c>
      <c r="BJ1853" s="109"/>
      <c r="BN1853" s="109"/>
      <c r="BO1853" s="109"/>
    </row>
    <row r="1854" spans="1:67" s="110" customFormat="1" ht="65" hidden="1" x14ac:dyDescent="0.35">
      <c r="A1854" s="94">
        <v>1169</v>
      </c>
      <c r="B1854" s="94" t="s">
        <v>10742</v>
      </c>
      <c r="C1854" s="94" t="s">
        <v>11086</v>
      </c>
      <c r="D1854" s="95" t="s">
        <v>11042</v>
      </c>
      <c r="E1854" s="94" t="s">
        <v>36</v>
      </c>
      <c r="F1854" s="95" t="s">
        <v>134</v>
      </c>
      <c r="G1854" s="94" t="s">
        <v>225</v>
      </c>
      <c r="H1854" s="94" t="s">
        <v>125</v>
      </c>
      <c r="I1854" s="94" t="s">
        <v>114</v>
      </c>
      <c r="J1854" s="95" t="s">
        <v>25</v>
      </c>
      <c r="K1854" s="94" t="s">
        <v>1499</v>
      </c>
      <c r="L1854" s="94" t="s">
        <v>276</v>
      </c>
      <c r="M1854" s="94" t="s">
        <v>276</v>
      </c>
      <c r="N1854" s="95" t="s">
        <v>11043</v>
      </c>
      <c r="O1854" s="95" t="s">
        <v>11031</v>
      </c>
      <c r="P1854" s="95" t="s">
        <v>235</v>
      </c>
      <c r="Q1854" s="140">
        <v>42004</v>
      </c>
      <c r="R1854" s="95" t="s">
        <v>11032</v>
      </c>
      <c r="S1854" s="95" t="s">
        <v>11033</v>
      </c>
      <c r="T1854" s="95" t="s">
        <v>11034</v>
      </c>
      <c r="U1854" s="95">
        <v>2</v>
      </c>
      <c r="V1854" s="94" t="s">
        <v>1538</v>
      </c>
      <c r="W1854" s="94" t="s">
        <v>98</v>
      </c>
      <c r="X1854" s="95" t="s">
        <v>207</v>
      </c>
      <c r="Y1854" s="98" t="s">
        <v>98</v>
      </c>
      <c r="Z1854" s="98" t="s">
        <v>98</v>
      </c>
      <c r="AA1854" s="95" t="s">
        <v>276</v>
      </c>
      <c r="AB1854" s="95" t="s">
        <v>276</v>
      </c>
      <c r="AC1854" s="94">
        <v>155</v>
      </c>
      <c r="AD1854" s="95" t="s">
        <v>10980</v>
      </c>
      <c r="AE1854" s="94">
        <v>135</v>
      </c>
      <c r="AF1854" s="94" t="s">
        <v>10980</v>
      </c>
      <c r="AG1854" s="95" t="s">
        <v>11035</v>
      </c>
      <c r="AH1854" s="95" t="s">
        <v>11044</v>
      </c>
      <c r="AI1854" s="99">
        <v>448</v>
      </c>
      <c r="AJ1854" s="99">
        <v>537</v>
      </c>
      <c r="AK1854" s="99">
        <v>1461</v>
      </c>
      <c r="AL1854" s="99">
        <v>1761</v>
      </c>
      <c r="AM1854" s="99" t="s">
        <v>292</v>
      </c>
      <c r="AN1854" s="94" t="s">
        <v>276</v>
      </c>
      <c r="AO1854" s="102">
        <f>AI1854/AK1854*100</f>
        <v>30.663928815879533</v>
      </c>
      <c r="AP1854" s="110" t="s">
        <v>276</v>
      </c>
      <c r="AQ1854" s="94" t="s">
        <v>276</v>
      </c>
      <c r="AR1854" s="94" t="s">
        <v>276</v>
      </c>
      <c r="AS1854" s="101">
        <f>AJ1854/AL1854*100</f>
        <v>30.494037478705284</v>
      </c>
      <c r="AT1854" s="94" t="s">
        <v>276</v>
      </c>
      <c r="AU1854" s="94" t="s">
        <v>276</v>
      </c>
      <c r="AV1854" s="95" t="s">
        <v>268</v>
      </c>
      <c r="AW1854" s="141" t="s">
        <v>276</v>
      </c>
      <c r="AX1854" s="141">
        <f>AO1854/AS1854</f>
        <v>1.0055712969229769</v>
      </c>
      <c r="AY1854" s="95" t="s">
        <v>276</v>
      </c>
      <c r="AZ1854" s="95" t="s">
        <v>276</v>
      </c>
      <c r="BA1854" s="95" t="s">
        <v>276</v>
      </c>
      <c r="BB1854" s="95" t="s">
        <v>282</v>
      </c>
      <c r="BC1854" s="95" t="s">
        <v>98</v>
      </c>
      <c r="BD1854" s="95" t="s">
        <v>98</v>
      </c>
      <c r="BE1854" s="95" t="s">
        <v>98</v>
      </c>
      <c r="BF1854" s="95" t="s">
        <v>11045</v>
      </c>
      <c r="BG1854" s="95"/>
      <c r="BH1854" s="9" t="s">
        <v>100</v>
      </c>
      <c r="BI1854" s="9" t="s">
        <v>100</v>
      </c>
      <c r="BJ1854" s="109"/>
      <c r="BN1854" s="109"/>
      <c r="BO1854" s="109"/>
    </row>
    <row r="1855" spans="1:67" s="110" customFormat="1" ht="65" hidden="1" x14ac:dyDescent="0.35">
      <c r="A1855" s="94">
        <v>1169</v>
      </c>
      <c r="B1855" s="94" t="s">
        <v>10742</v>
      </c>
      <c r="C1855" s="94" t="s">
        <v>11086</v>
      </c>
      <c r="D1855" s="95" t="s">
        <v>11046</v>
      </c>
      <c r="E1855" s="94" t="s">
        <v>36</v>
      </c>
      <c r="F1855" s="95" t="s">
        <v>134</v>
      </c>
      <c r="G1855" s="94" t="s">
        <v>225</v>
      </c>
      <c r="H1855" s="94" t="s">
        <v>125</v>
      </c>
      <c r="I1855" s="94" t="s">
        <v>114</v>
      </c>
      <c r="J1855" s="95" t="s">
        <v>25</v>
      </c>
      <c r="K1855" s="94" t="s">
        <v>1510</v>
      </c>
      <c r="L1855" s="94" t="s">
        <v>276</v>
      </c>
      <c r="M1855" s="94" t="s">
        <v>276</v>
      </c>
      <c r="N1855" s="95" t="s">
        <v>11043</v>
      </c>
      <c r="O1855" s="95" t="s">
        <v>11031</v>
      </c>
      <c r="P1855" s="95" t="s">
        <v>235</v>
      </c>
      <c r="Q1855" s="140">
        <v>42004</v>
      </c>
      <c r="R1855" s="95" t="s">
        <v>11032</v>
      </c>
      <c r="S1855" s="95" t="s">
        <v>11033</v>
      </c>
      <c r="T1855" s="95" t="s">
        <v>11034</v>
      </c>
      <c r="U1855" s="95">
        <v>2</v>
      </c>
      <c r="V1855" s="94" t="s">
        <v>1538</v>
      </c>
      <c r="W1855" s="94" t="s">
        <v>98</v>
      </c>
      <c r="X1855" s="95" t="s">
        <v>207</v>
      </c>
      <c r="Y1855" s="98" t="s">
        <v>98</v>
      </c>
      <c r="Z1855" s="98" t="s">
        <v>98</v>
      </c>
      <c r="AA1855" s="95" t="s">
        <v>276</v>
      </c>
      <c r="AB1855" s="95" t="s">
        <v>276</v>
      </c>
      <c r="AC1855" s="94">
        <v>155</v>
      </c>
      <c r="AD1855" s="95" t="s">
        <v>10980</v>
      </c>
      <c r="AE1855" s="94">
        <v>135</v>
      </c>
      <c r="AF1855" s="94" t="s">
        <v>10980</v>
      </c>
      <c r="AG1855" s="95" t="s">
        <v>11037</v>
      </c>
      <c r="AH1855" s="95" t="s">
        <v>11044</v>
      </c>
      <c r="AI1855" s="99">
        <v>340</v>
      </c>
      <c r="AJ1855" s="99">
        <v>413</v>
      </c>
      <c r="AK1855" s="99">
        <v>1461</v>
      </c>
      <c r="AL1855" s="99">
        <v>1761</v>
      </c>
      <c r="AM1855" s="99" t="s">
        <v>292</v>
      </c>
      <c r="AN1855" s="94" t="s">
        <v>276</v>
      </c>
      <c r="AO1855" s="102">
        <f t="shared" ref="AO1855:AO1857" si="543">AI1855/AK1855*100</f>
        <v>23.271731690622861</v>
      </c>
      <c r="AP1855" s="110" t="s">
        <v>276</v>
      </c>
      <c r="AQ1855" s="94" t="s">
        <v>276</v>
      </c>
      <c r="AR1855" s="94" t="s">
        <v>276</v>
      </c>
      <c r="AS1855" s="101">
        <f t="shared" ref="AS1855:AS1857" si="544">AJ1855/AL1855*100</f>
        <v>23.452583759227711</v>
      </c>
      <c r="AT1855" s="94" t="s">
        <v>276</v>
      </c>
      <c r="AU1855" s="94" t="s">
        <v>276</v>
      </c>
      <c r="AV1855" s="95" t="s">
        <v>268</v>
      </c>
      <c r="AW1855" s="141" t="s">
        <v>276</v>
      </c>
      <c r="AX1855" s="141">
        <f t="shared" ref="AX1855:AX1857" si="545">AO1855/AS1855</f>
        <v>0.99228860792219997</v>
      </c>
      <c r="AY1855" s="95" t="s">
        <v>276</v>
      </c>
      <c r="AZ1855" s="95" t="s">
        <v>276</v>
      </c>
      <c r="BA1855" s="95" t="s">
        <v>276</v>
      </c>
      <c r="BB1855" s="95" t="s">
        <v>282</v>
      </c>
      <c r="BC1855" s="95" t="s">
        <v>98</v>
      </c>
      <c r="BD1855" s="95" t="s">
        <v>98</v>
      </c>
      <c r="BE1855" s="95" t="s">
        <v>98</v>
      </c>
      <c r="BF1855" s="95" t="s">
        <v>11045</v>
      </c>
      <c r="BG1855" s="95"/>
      <c r="BH1855" s="9" t="s">
        <v>100</v>
      </c>
      <c r="BI1855" s="9" t="s">
        <v>100</v>
      </c>
      <c r="BJ1855" s="109"/>
      <c r="BN1855" s="109"/>
      <c r="BO1855" s="109"/>
    </row>
    <row r="1856" spans="1:67" s="110" customFormat="1" ht="65" hidden="1" x14ac:dyDescent="0.35">
      <c r="A1856" s="94">
        <v>1169</v>
      </c>
      <c r="B1856" s="94" t="s">
        <v>10742</v>
      </c>
      <c r="C1856" s="94" t="s">
        <v>11086</v>
      </c>
      <c r="D1856" s="95" t="s">
        <v>11047</v>
      </c>
      <c r="E1856" s="94" t="s">
        <v>36</v>
      </c>
      <c r="F1856" s="95" t="s">
        <v>134</v>
      </c>
      <c r="G1856" s="94" t="s">
        <v>225</v>
      </c>
      <c r="H1856" s="94" t="s">
        <v>125</v>
      </c>
      <c r="I1856" s="94" t="s">
        <v>114</v>
      </c>
      <c r="J1856" s="95" t="s">
        <v>25</v>
      </c>
      <c r="K1856" s="94" t="s">
        <v>1513</v>
      </c>
      <c r="L1856" s="94" t="s">
        <v>276</v>
      </c>
      <c r="M1856" s="94" t="s">
        <v>276</v>
      </c>
      <c r="N1856" s="95" t="s">
        <v>11030</v>
      </c>
      <c r="O1856" s="95" t="s">
        <v>11031</v>
      </c>
      <c r="P1856" s="95" t="s">
        <v>235</v>
      </c>
      <c r="Q1856" s="140">
        <v>42004</v>
      </c>
      <c r="R1856" s="95" t="s">
        <v>11032</v>
      </c>
      <c r="S1856" s="95" t="s">
        <v>11033</v>
      </c>
      <c r="T1856" s="95" t="s">
        <v>11034</v>
      </c>
      <c r="U1856" s="95">
        <v>2</v>
      </c>
      <c r="V1856" s="94" t="s">
        <v>1538</v>
      </c>
      <c r="W1856" s="94" t="s">
        <v>98</v>
      </c>
      <c r="X1856" s="95" t="s">
        <v>207</v>
      </c>
      <c r="Y1856" s="98" t="s">
        <v>98</v>
      </c>
      <c r="Z1856" s="98" t="s">
        <v>98</v>
      </c>
      <c r="AA1856" s="95" t="s">
        <v>276</v>
      </c>
      <c r="AB1856" s="95" t="s">
        <v>276</v>
      </c>
      <c r="AC1856" s="94">
        <v>155</v>
      </c>
      <c r="AD1856" s="95" t="s">
        <v>10980</v>
      </c>
      <c r="AE1856" s="94">
        <v>135</v>
      </c>
      <c r="AF1856" s="95" t="s">
        <v>10980</v>
      </c>
      <c r="AG1856" s="95" t="s">
        <v>11039</v>
      </c>
      <c r="AH1856" s="95" t="s">
        <v>11044</v>
      </c>
      <c r="AI1856" s="99">
        <v>331</v>
      </c>
      <c r="AJ1856" s="99">
        <v>418</v>
      </c>
      <c r="AK1856" s="99">
        <v>1461</v>
      </c>
      <c r="AL1856" s="99">
        <v>1761</v>
      </c>
      <c r="AM1856" s="99" t="s">
        <v>292</v>
      </c>
      <c r="AN1856" s="94" t="s">
        <v>276</v>
      </c>
      <c r="AO1856" s="102">
        <f t="shared" si="543"/>
        <v>22.65571526351814</v>
      </c>
      <c r="AP1856" s="110" t="s">
        <v>276</v>
      </c>
      <c r="AQ1856" s="94" t="s">
        <v>276</v>
      </c>
      <c r="AR1856" s="94" t="s">
        <v>276</v>
      </c>
      <c r="AS1856" s="101">
        <f t="shared" si="544"/>
        <v>23.736513344690515</v>
      </c>
      <c r="AT1856" s="94" t="s">
        <v>276</v>
      </c>
      <c r="AU1856" s="94" t="s">
        <v>276</v>
      </c>
      <c r="AV1856" s="95" t="s">
        <v>268</v>
      </c>
      <c r="AW1856" s="141" t="s">
        <v>276</v>
      </c>
      <c r="AX1856" s="233">
        <f t="shared" si="545"/>
        <v>0.9544668559582643</v>
      </c>
      <c r="AY1856" s="95" t="s">
        <v>276</v>
      </c>
      <c r="AZ1856" s="95" t="s">
        <v>276</v>
      </c>
      <c r="BA1856" s="95" t="s">
        <v>276</v>
      </c>
      <c r="BB1856" s="95" t="s">
        <v>282</v>
      </c>
      <c r="BC1856" s="95" t="s">
        <v>98</v>
      </c>
      <c r="BD1856" s="95" t="s">
        <v>98</v>
      </c>
      <c r="BE1856" s="95" t="s">
        <v>98</v>
      </c>
      <c r="BF1856" s="95" t="s">
        <v>11045</v>
      </c>
      <c r="BG1856" s="95"/>
      <c r="BH1856" s="9" t="s">
        <v>100</v>
      </c>
      <c r="BI1856" s="9" t="s">
        <v>100</v>
      </c>
      <c r="BJ1856" s="109"/>
      <c r="BN1856" s="109"/>
      <c r="BO1856" s="109"/>
    </row>
    <row r="1857" spans="1:67" s="110" customFormat="1" ht="65" hidden="1" x14ac:dyDescent="0.35">
      <c r="A1857" s="94">
        <v>1169</v>
      </c>
      <c r="B1857" s="94" t="s">
        <v>10742</v>
      </c>
      <c r="C1857" s="94" t="s">
        <v>11086</v>
      </c>
      <c r="D1857" s="95" t="s">
        <v>11048</v>
      </c>
      <c r="E1857" s="94" t="s">
        <v>36</v>
      </c>
      <c r="F1857" s="95" t="s">
        <v>134</v>
      </c>
      <c r="G1857" s="94" t="s">
        <v>225</v>
      </c>
      <c r="H1857" s="94" t="s">
        <v>125</v>
      </c>
      <c r="I1857" s="94" t="s">
        <v>114</v>
      </c>
      <c r="J1857" s="95" t="s">
        <v>25</v>
      </c>
      <c r="K1857" s="94" t="s">
        <v>1516</v>
      </c>
      <c r="L1857" s="94" t="s">
        <v>276</v>
      </c>
      <c r="M1857" s="94" t="s">
        <v>276</v>
      </c>
      <c r="N1857" s="95" t="s">
        <v>11030</v>
      </c>
      <c r="O1857" s="95" t="s">
        <v>11031</v>
      </c>
      <c r="P1857" s="95" t="s">
        <v>235</v>
      </c>
      <c r="Q1857" s="140">
        <v>42004</v>
      </c>
      <c r="R1857" s="95" t="s">
        <v>11032</v>
      </c>
      <c r="S1857" s="95" t="s">
        <v>11033</v>
      </c>
      <c r="T1857" s="95" t="s">
        <v>11034</v>
      </c>
      <c r="U1857" s="95">
        <v>2</v>
      </c>
      <c r="V1857" s="94" t="s">
        <v>1538</v>
      </c>
      <c r="W1857" s="94" t="s">
        <v>98</v>
      </c>
      <c r="X1857" s="95" t="s">
        <v>207</v>
      </c>
      <c r="Y1857" s="98" t="s">
        <v>98</v>
      </c>
      <c r="Z1857" s="98" t="s">
        <v>98</v>
      </c>
      <c r="AA1857" s="95" t="s">
        <v>276</v>
      </c>
      <c r="AB1857" s="95" t="s">
        <v>276</v>
      </c>
      <c r="AC1857" s="94">
        <v>155</v>
      </c>
      <c r="AD1857" s="95" t="s">
        <v>10980</v>
      </c>
      <c r="AE1857" s="94">
        <v>135</v>
      </c>
      <c r="AF1857" s="95" t="s">
        <v>10980</v>
      </c>
      <c r="AG1857" s="95" t="s">
        <v>11041</v>
      </c>
      <c r="AH1857" s="95" t="s">
        <v>11044</v>
      </c>
      <c r="AI1857" s="99">
        <v>187</v>
      </c>
      <c r="AJ1857" s="99">
        <v>258</v>
      </c>
      <c r="AK1857" s="99">
        <v>1461</v>
      </c>
      <c r="AL1857" s="99">
        <v>1761</v>
      </c>
      <c r="AM1857" s="99" t="s">
        <v>292</v>
      </c>
      <c r="AN1857" s="94" t="s">
        <v>276</v>
      </c>
      <c r="AO1857" s="102">
        <f t="shared" si="543"/>
        <v>12.799452429842573</v>
      </c>
      <c r="AP1857" s="110" t="s">
        <v>276</v>
      </c>
      <c r="AQ1857" s="94" t="s">
        <v>276</v>
      </c>
      <c r="AR1857" s="94" t="s">
        <v>276</v>
      </c>
      <c r="AS1857" s="101">
        <f t="shared" si="544"/>
        <v>14.650766609880749</v>
      </c>
      <c r="AT1857" s="94" t="s">
        <v>276</v>
      </c>
      <c r="AU1857" s="94" t="s">
        <v>276</v>
      </c>
      <c r="AV1857" s="95" t="s">
        <v>268</v>
      </c>
      <c r="AW1857" s="141" t="s">
        <v>276</v>
      </c>
      <c r="AX1857" s="233">
        <f t="shared" si="545"/>
        <v>0.87363704375785933</v>
      </c>
      <c r="AY1857" s="95" t="s">
        <v>276</v>
      </c>
      <c r="AZ1857" s="95" t="s">
        <v>276</v>
      </c>
      <c r="BA1857" s="95" t="s">
        <v>276</v>
      </c>
      <c r="BB1857" s="95" t="s">
        <v>282</v>
      </c>
      <c r="BC1857" s="95" t="s">
        <v>98</v>
      </c>
      <c r="BD1857" s="95" t="s">
        <v>98</v>
      </c>
      <c r="BE1857" s="95" t="s">
        <v>98</v>
      </c>
      <c r="BF1857" s="95" t="s">
        <v>11045</v>
      </c>
      <c r="BG1857" s="95"/>
      <c r="BH1857" s="9" t="s">
        <v>100</v>
      </c>
      <c r="BI1857" s="9" t="s">
        <v>100</v>
      </c>
      <c r="BJ1857" s="109"/>
      <c r="BN1857" s="109"/>
      <c r="BO1857" s="109"/>
    </row>
    <row r="1858" spans="1:67" s="110" customFormat="1" ht="65" hidden="1" x14ac:dyDescent="0.35">
      <c r="A1858" s="94">
        <v>1169</v>
      </c>
      <c r="B1858" s="94" t="s">
        <v>10742</v>
      </c>
      <c r="C1858" s="94" t="s">
        <v>11086</v>
      </c>
      <c r="D1858" s="95" t="s">
        <v>11049</v>
      </c>
      <c r="E1858" s="94" t="s">
        <v>36</v>
      </c>
      <c r="F1858" s="95" t="s">
        <v>134</v>
      </c>
      <c r="G1858" s="94" t="s">
        <v>225</v>
      </c>
      <c r="H1858" s="94" t="s">
        <v>125</v>
      </c>
      <c r="I1858" s="94" t="s">
        <v>114</v>
      </c>
      <c r="J1858" s="95" t="s">
        <v>25</v>
      </c>
      <c r="K1858" s="94" t="s">
        <v>1499</v>
      </c>
      <c r="L1858" s="94" t="s">
        <v>276</v>
      </c>
      <c r="M1858" s="94" t="s">
        <v>276</v>
      </c>
      <c r="N1858" s="95" t="s">
        <v>11030</v>
      </c>
      <c r="O1858" s="95" t="s">
        <v>11031</v>
      </c>
      <c r="P1858" s="95" t="s">
        <v>239</v>
      </c>
      <c r="Q1858" s="140">
        <v>42004</v>
      </c>
      <c r="R1858" s="95" t="s">
        <v>11032</v>
      </c>
      <c r="S1858" s="95" t="s">
        <v>11033</v>
      </c>
      <c r="T1858" s="95" t="s">
        <v>11034</v>
      </c>
      <c r="U1858" s="95">
        <v>2</v>
      </c>
      <c r="V1858" s="94" t="s">
        <v>1538</v>
      </c>
      <c r="W1858" s="94" t="s">
        <v>98</v>
      </c>
      <c r="X1858" s="95" t="s">
        <v>207</v>
      </c>
      <c r="Y1858" s="98">
        <v>77443</v>
      </c>
      <c r="Z1858" s="95">
        <v>77444</v>
      </c>
      <c r="AA1858" s="95" t="s">
        <v>276</v>
      </c>
      <c r="AB1858" s="95" t="s">
        <v>276</v>
      </c>
      <c r="AC1858" s="94">
        <v>107</v>
      </c>
      <c r="AD1858" s="95" t="s">
        <v>11050</v>
      </c>
      <c r="AE1858" s="94">
        <v>93</v>
      </c>
      <c r="AF1858" s="95" t="s">
        <v>11051</v>
      </c>
      <c r="AG1858" s="95" t="s">
        <v>11052</v>
      </c>
      <c r="AH1858" s="95" t="s">
        <v>1487</v>
      </c>
      <c r="AI1858" s="99">
        <v>238</v>
      </c>
      <c r="AJ1858" s="99">
        <v>311</v>
      </c>
      <c r="AK1858" s="99" t="s">
        <v>276</v>
      </c>
      <c r="AL1858" s="99" t="s">
        <v>276</v>
      </c>
      <c r="AM1858" s="99" t="s">
        <v>4702</v>
      </c>
      <c r="AN1858" s="94">
        <v>2.04</v>
      </c>
      <c r="AO1858" s="110" t="s">
        <v>98</v>
      </c>
      <c r="AP1858" s="94" t="s">
        <v>276</v>
      </c>
      <c r="AQ1858" s="94" t="s">
        <v>276</v>
      </c>
      <c r="AR1858" s="102">
        <v>2.71</v>
      </c>
      <c r="AS1858" s="110" t="s">
        <v>98</v>
      </c>
      <c r="AT1858" s="94" t="s">
        <v>276</v>
      </c>
      <c r="AU1858" s="94" t="s">
        <v>276</v>
      </c>
      <c r="AV1858" s="95" t="s">
        <v>269</v>
      </c>
      <c r="AW1858" s="141" t="s">
        <v>276</v>
      </c>
      <c r="AX1858" s="233">
        <f>AN1858/AR1858</f>
        <v>0.75276752767527677</v>
      </c>
      <c r="AY1858" s="95" t="s">
        <v>276</v>
      </c>
      <c r="AZ1858" s="95" t="s">
        <v>276</v>
      </c>
      <c r="BA1858" s="95" t="s">
        <v>276</v>
      </c>
      <c r="BB1858" s="95" t="s">
        <v>282</v>
      </c>
      <c r="BC1858" s="95" t="s">
        <v>98</v>
      </c>
      <c r="BD1858" s="95" t="s">
        <v>98</v>
      </c>
      <c r="BE1858" s="95" t="s">
        <v>98</v>
      </c>
      <c r="BF1858" s="95" t="s">
        <v>426</v>
      </c>
      <c r="BG1858" s="95"/>
      <c r="BH1858" s="9" t="s">
        <v>100</v>
      </c>
      <c r="BI1858" s="9" t="s">
        <v>100</v>
      </c>
      <c r="BJ1858" s="109"/>
      <c r="BN1858" s="109"/>
      <c r="BO1858" s="109"/>
    </row>
    <row r="1859" spans="1:67" s="110" customFormat="1" ht="65" hidden="1" x14ac:dyDescent="0.35">
      <c r="A1859" s="94">
        <v>1169</v>
      </c>
      <c r="B1859" s="94" t="s">
        <v>10742</v>
      </c>
      <c r="C1859" s="94" t="s">
        <v>11086</v>
      </c>
      <c r="D1859" s="95" t="s">
        <v>11053</v>
      </c>
      <c r="E1859" s="94" t="s">
        <v>36</v>
      </c>
      <c r="F1859" s="95" t="s">
        <v>134</v>
      </c>
      <c r="G1859" s="94" t="s">
        <v>225</v>
      </c>
      <c r="H1859" s="94" t="s">
        <v>125</v>
      </c>
      <c r="I1859" s="94" t="s">
        <v>114</v>
      </c>
      <c r="J1859" s="95" t="s">
        <v>25</v>
      </c>
      <c r="K1859" s="94" t="s">
        <v>1510</v>
      </c>
      <c r="L1859" s="94" t="s">
        <v>276</v>
      </c>
      <c r="M1859" s="94" t="s">
        <v>276</v>
      </c>
      <c r="N1859" s="95" t="s">
        <v>11030</v>
      </c>
      <c r="O1859" s="95" t="s">
        <v>11031</v>
      </c>
      <c r="P1859" s="95" t="s">
        <v>239</v>
      </c>
      <c r="Q1859" s="140">
        <v>42004</v>
      </c>
      <c r="R1859" s="95" t="s">
        <v>11032</v>
      </c>
      <c r="S1859" s="95" t="s">
        <v>11033</v>
      </c>
      <c r="T1859" s="95" t="s">
        <v>11034</v>
      </c>
      <c r="U1859" s="95">
        <v>2</v>
      </c>
      <c r="V1859" s="94" t="s">
        <v>1538</v>
      </c>
      <c r="W1859" s="94" t="s">
        <v>98</v>
      </c>
      <c r="X1859" s="95" t="s">
        <v>207</v>
      </c>
      <c r="Y1859" s="98">
        <v>77443</v>
      </c>
      <c r="Z1859" s="95">
        <v>77444</v>
      </c>
      <c r="AA1859" s="95" t="s">
        <v>276</v>
      </c>
      <c r="AB1859" s="95" t="s">
        <v>276</v>
      </c>
      <c r="AC1859" s="94">
        <v>107</v>
      </c>
      <c r="AD1859" s="95" t="s">
        <v>11050</v>
      </c>
      <c r="AE1859" s="94">
        <v>93</v>
      </c>
      <c r="AF1859" s="95" t="s">
        <v>11051</v>
      </c>
      <c r="AG1859" s="95" t="s">
        <v>11054</v>
      </c>
      <c r="AH1859" s="95" t="s">
        <v>1487</v>
      </c>
      <c r="AI1859" s="99">
        <v>128</v>
      </c>
      <c r="AJ1859" s="99">
        <v>163</v>
      </c>
      <c r="AK1859" s="99" t="s">
        <v>276</v>
      </c>
      <c r="AL1859" s="99" t="s">
        <v>276</v>
      </c>
      <c r="AM1859" s="99" t="s">
        <v>4702</v>
      </c>
      <c r="AN1859" s="102">
        <v>1.1000000000000001</v>
      </c>
      <c r="AO1859" s="110" t="s">
        <v>276</v>
      </c>
      <c r="AP1859" s="94" t="s">
        <v>276</v>
      </c>
      <c r="AQ1859" s="94" t="s">
        <v>276</v>
      </c>
      <c r="AR1859" s="102">
        <v>1.42</v>
      </c>
      <c r="AS1859" s="110" t="s">
        <v>98</v>
      </c>
      <c r="AT1859" s="94" t="s">
        <v>276</v>
      </c>
      <c r="AU1859" s="94" t="s">
        <v>276</v>
      </c>
      <c r="AV1859" s="95" t="s">
        <v>269</v>
      </c>
      <c r="AW1859" s="141" t="s">
        <v>276</v>
      </c>
      <c r="AX1859" s="233">
        <f t="shared" ref="AX1859:AX1861" si="546">AN1859/AR1859</f>
        <v>0.77464788732394374</v>
      </c>
      <c r="AY1859" s="95" t="s">
        <v>276</v>
      </c>
      <c r="AZ1859" s="95" t="s">
        <v>276</v>
      </c>
      <c r="BA1859" s="95" t="s">
        <v>276</v>
      </c>
      <c r="BB1859" s="95" t="s">
        <v>282</v>
      </c>
      <c r="BC1859" s="95" t="s">
        <v>98</v>
      </c>
      <c r="BD1859" s="95" t="s">
        <v>98</v>
      </c>
      <c r="BE1859" s="95" t="s">
        <v>98</v>
      </c>
      <c r="BF1859" s="95" t="s">
        <v>426</v>
      </c>
      <c r="BG1859" s="95"/>
      <c r="BH1859" s="9" t="s">
        <v>100</v>
      </c>
      <c r="BI1859" s="9" t="s">
        <v>100</v>
      </c>
      <c r="BJ1859" s="109"/>
      <c r="BN1859" s="109"/>
      <c r="BO1859" s="109"/>
    </row>
    <row r="1860" spans="1:67" s="110" customFormat="1" ht="65" hidden="1" x14ac:dyDescent="0.35">
      <c r="A1860" s="94">
        <v>1169</v>
      </c>
      <c r="B1860" s="94" t="s">
        <v>10742</v>
      </c>
      <c r="C1860" s="94" t="s">
        <v>11086</v>
      </c>
      <c r="D1860" s="95" t="s">
        <v>11055</v>
      </c>
      <c r="E1860" s="94" t="s">
        <v>36</v>
      </c>
      <c r="F1860" s="95" t="s">
        <v>134</v>
      </c>
      <c r="G1860" s="94" t="s">
        <v>225</v>
      </c>
      <c r="H1860" s="94" t="s">
        <v>125</v>
      </c>
      <c r="I1860" s="94" t="s">
        <v>114</v>
      </c>
      <c r="J1860" s="95" t="s">
        <v>25</v>
      </c>
      <c r="K1860" s="94" t="s">
        <v>1513</v>
      </c>
      <c r="L1860" s="94" t="s">
        <v>276</v>
      </c>
      <c r="M1860" s="94" t="s">
        <v>276</v>
      </c>
      <c r="N1860" s="95" t="s">
        <v>11030</v>
      </c>
      <c r="O1860" s="95" t="s">
        <v>11031</v>
      </c>
      <c r="P1860" s="95" t="s">
        <v>239</v>
      </c>
      <c r="Q1860" s="140">
        <v>42004</v>
      </c>
      <c r="R1860" s="95" t="s">
        <v>11032</v>
      </c>
      <c r="S1860" s="95" t="s">
        <v>11033</v>
      </c>
      <c r="T1860" s="95" t="s">
        <v>11034</v>
      </c>
      <c r="U1860" s="95">
        <v>2</v>
      </c>
      <c r="V1860" s="94" t="s">
        <v>1538</v>
      </c>
      <c r="W1860" s="94" t="s">
        <v>98</v>
      </c>
      <c r="X1860" s="95" t="s">
        <v>207</v>
      </c>
      <c r="Y1860" s="98">
        <v>77443</v>
      </c>
      <c r="Z1860" s="95">
        <v>77444</v>
      </c>
      <c r="AA1860" s="95" t="s">
        <v>276</v>
      </c>
      <c r="AB1860" s="95" t="s">
        <v>276</v>
      </c>
      <c r="AC1860" s="94">
        <v>107</v>
      </c>
      <c r="AD1860" s="95" t="s">
        <v>11050</v>
      </c>
      <c r="AE1860" s="94">
        <v>93</v>
      </c>
      <c r="AF1860" s="95" t="s">
        <v>11051</v>
      </c>
      <c r="AG1860" s="95" t="s">
        <v>11056</v>
      </c>
      <c r="AH1860" s="95" t="s">
        <v>1487</v>
      </c>
      <c r="AI1860" s="99">
        <v>112</v>
      </c>
      <c r="AJ1860" s="99">
        <v>181</v>
      </c>
      <c r="AK1860" s="99" t="s">
        <v>276</v>
      </c>
      <c r="AL1860" s="99" t="s">
        <v>276</v>
      </c>
      <c r="AM1860" s="99" t="s">
        <v>4702</v>
      </c>
      <c r="AN1860" s="94">
        <v>0.96</v>
      </c>
      <c r="AO1860" s="110" t="s">
        <v>276</v>
      </c>
      <c r="AP1860" s="94" t="s">
        <v>276</v>
      </c>
      <c r="AQ1860" s="94" t="s">
        <v>276</v>
      </c>
      <c r="AR1860" s="102">
        <v>1.57</v>
      </c>
      <c r="AS1860" s="102" t="s">
        <v>276</v>
      </c>
      <c r="AT1860" s="94" t="s">
        <v>276</v>
      </c>
      <c r="AU1860" s="94" t="s">
        <v>276</v>
      </c>
      <c r="AV1860" s="95" t="s">
        <v>269</v>
      </c>
      <c r="AW1860" s="141" t="s">
        <v>276</v>
      </c>
      <c r="AX1860" s="233">
        <f t="shared" si="546"/>
        <v>0.61146496815286622</v>
      </c>
      <c r="AY1860" s="95" t="s">
        <v>276</v>
      </c>
      <c r="AZ1860" s="95" t="s">
        <v>276</v>
      </c>
      <c r="BA1860" s="95" t="s">
        <v>276</v>
      </c>
      <c r="BB1860" s="95" t="s">
        <v>282</v>
      </c>
      <c r="BC1860" s="95" t="s">
        <v>98</v>
      </c>
      <c r="BD1860" s="95" t="s">
        <v>98</v>
      </c>
      <c r="BE1860" s="95" t="s">
        <v>98</v>
      </c>
      <c r="BF1860" s="95" t="s">
        <v>426</v>
      </c>
      <c r="BG1860" s="95"/>
      <c r="BH1860" s="9" t="s">
        <v>100</v>
      </c>
      <c r="BI1860" s="9" t="s">
        <v>100</v>
      </c>
      <c r="BJ1860" s="109"/>
      <c r="BN1860" s="109"/>
      <c r="BO1860" s="109"/>
    </row>
    <row r="1861" spans="1:67" s="110" customFormat="1" ht="65" hidden="1" x14ac:dyDescent="0.35">
      <c r="A1861" s="94">
        <v>1169</v>
      </c>
      <c r="B1861" s="94" t="s">
        <v>10742</v>
      </c>
      <c r="C1861" s="94" t="s">
        <v>11086</v>
      </c>
      <c r="D1861" s="95" t="s">
        <v>11057</v>
      </c>
      <c r="E1861" s="94" t="s">
        <v>36</v>
      </c>
      <c r="F1861" s="95" t="s">
        <v>134</v>
      </c>
      <c r="G1861" s="94" t="s">
        <v>225</v>
      </c>
      <c r="H1861" s="94" t="s">
        <v>125</v>
      </c>
      <c r="I1861" s="94" t="s">
        <v>114</v>
      </c>
      <c r="J1861" s="95" t="s">
        <v>25</v>
      </c>
      <c r="K1861" s="94" t="s">
        <v>1516</v>
      </c>
      <c r="L1861" s="94" t="s">
        <v>276</v>
      </c>
      <c r="M1861" s="94" t="s">
        <v>276</v>
      </c>
      <c r="N1861" s="95" t="s">
        <v>11030</v>
      </c>
      <c r="O1861" s="95" t="s">
        <v>11031</v>
      </c>
      <c r="P1861" s="95" t="s">
        <v>239</v>
      </c>
      <c r="Q1861" s="140">
        <v>42004</v>
      </c>
      <c r="R1861" s="95" t="s">
        <v>11032</v>
      </c>
      <c r="S1861" s="95" t="s">
        <v>11033</v>
      </c>
      <c r="T1861" s="95" t="s">
        <v>11034</v>
      </c>
      <c r="U1861" s="95">
        <v>2</v>
      </c>
      <c r="V1861" s="94" t="s">
        <v>1538</v>
      </c>
      <c r="W1861" s="94" t="s">
        <v>98</v>
      </c>
      <c r="X1861" s="95" t="s">
        <v>207</v>
      </c>
      <c r="Y1861" s="98">
        <v>77443</v>
      </c>
      <c r="Z1861" s="95">
        <v>77444</v>
      </c>
      <c r="AA1861" s="95" t="s">
        <v>276</v>
      </c>
      <c r="AB1861" s="95" t="s">
        <v>276</v>
      </c>
      <c r="AC1861" s="94">
        <v>107</v>
      </c>
      <c r="AD1861" s="95" t="s">
        <v>11050</v>
      </c>
      <c r="AE1861" s="94">
        <v>93</v>
      </c>
      <c r="AF1861" s="95" t="s">
        <v>11051</v>
      </c>
      <c r="AG1861" s="95" t="s">
        <v>11058</v>
      </c>
      <c r="AH1861" s="95" t="s">
        <v>1487</v>
      </c>
      <c r="AI1861" s="99">
        <v>58</v>
      </c>
      <c r="AJ1861" s="99">
        <v>127</v>
      </c>
      <c r="AK1861" s="99" t="s">
        <v>276</v>
      </c>
      <c r="AL1861" s="99" t="s">
        <v>276</v>
      </c>
      <c r="AM1861" s="99" t="s">
        <v>4702</v>
      </c>
      <c r="AN1861" s="102">
        <v>0.5</v>
      </c>
      <c r="AO1861" s="110" t="s">
        <v>276</v>
      </c>
      <c r="AP1861" s="94" t="s">
        <v>276</v>
      </c>
      <c r="AQ1861" s="94" t="s">
        <v>276</v>
      </c>
      <c r="AR1861" s="102">
        <v>1.1000000000000001</v>
      </c>
      <c r="AS1861" s="102" t="s">
        <v>276</v>
      </c>
      <c r="AT1861" s="94" t="s">
        <v>276</v>
      </c>
      <c r="AU1861" s="94" t="s">
        <v>276</v>
      </c>
      <c r="AV1861" s="95" t="s">
        <v>269</v>
      </c>
      <c r="AW1861" s="141" t="s">
        <v>276</v>
      </c>
      <c r="AX1861" s="233">
        <f t="shared" si="546"/>
        <v>0.45454545454545453</v>
      </c>
      <c r="AY1861" s="95" t="s">
        <v>276</v>
      </c>
      <c r="AZ1861" s="95" t="s">
        <v>276</v>
      </c>
      <c r="BA1861" s="95" t="s">
        <v>276</v>
      </c>
      <c r="BB1861" s="95" t="s">
        <v>282</v>
      </c>
      <c r="BC1861" s="95" t="s">
        <v>98</v>
      </c>
      <c r="BD1861" s="95" t="s">
        <v>98</v>
      </c>
      <c r="BE1861" s="95" t="s">
        <v>98</v>
      </c>
      <c r="BF1861" s="95" t="s">
        <v>426</v>
      </c>
      <c r="BG1861" s="95"/>
      <c r="BH1861" s="9" t="s">
        <v>100</v>
      </c>
      <c r="BI1861" s="9" t="s">
        <v>100</v>
      </c>
      <c r="BJ1861" s="109"/>
      <c r="BN1861" s="109"/>
      <c r="BO1861" s="109"/>
    </row>
    <row r="1862" spans="1:67" s="110" customFormat="1" ht="65" hidden="1" x14ac:dyDescent="0.35">
      <c r="A1862" s="94">
        <v>1169</v>
      </c>
      <c r="B1862" s="94" t="s">
        <v>10742</v>
      </c>
      <c r="C1862" s="94" t="s">
        <v>11086</v>
      </c>
      <c r="D1862" s="95" t="s">
        <v>11059</v>
      </c>
      <c r="E1862" s="94" t="s">
        <v>36</v>
      </c>
      <c r="F1862" s="95" t="s">
        <v>134</v>
      </c>
      <c r="G1862" s="94" t="s">
        <v>225</v>
      </c>
      <c r="H1862" s="94" t="s">
        <v>125</v>
      </c>
      <c r="I1862" s="94" t="s">
        <v>114</v>
      </c>
      <c r="J1862" s="95" t="s">
        <v>25</v>
      </c>
      <c r="K1862" s="94" t="s">
        <v>1499</v>
      </c>
      <c r="L1862" s="94" t="s">
        <v>276</v>
      </c>
      <c r="M1862" s="94" t="s">
        <v>276</v>
      </c>
      <c r="N1862" s="95" t="s">
        <v>11030</v>
      </c>
      <c r="O1862" s="95" t="s">
        <v>11031</v>
      </c>
      <c r="P1862" s="95" t="s">
        <v>239</v>
      </c>
      <c r="Q1862" s="140">
        <v>42004</v>
      </c>
      <c r="R1862" s="95" t="s">
        <v>11032</v>
      </c>
      <c r="S1862" s="95" t="s">
        <v>11033</v>
      </c>
      <c r="T1862" s="95" t="s">
        <v>11034</v>
      </c>
      <c r="U1862" s="95">
        <v>2</v>
      </c>
      <c r="V1862" s="94" t="s">
        <v>1538</v>
      </c>
      <c r="W1862" s="94" t="s">
        <v>98</v>
      </c>
      <c r="X1862" s="95" t="s">
        <v>207</v>
      </c>
      <c r="Y1862" s="98">
        <v>77443</v>
      </c>
      <c r="Z1862" s="95">
        <v>77444</v>
      </c>
      <c r="AA1862" s="95" t="s">
        <v>276</v>
      </c>
      <c r="AB1862" s="95" t="s">
        <v>276</v>
      </c>
      <c r="AC1862" s="94">
        <v>82</v>
      </c>
      <c r="AD1862" s="95" t="s">
        <v>11060</v>
      </c>
      <c r="AE1862" s="94">
        <v>67</v>
      </c>
      <c r="AF1862" s="95" t="s">
        <v>11061</v>
      </c>
      <c r="AG1862" s="95" t="s">
        <v>11062</v>
      </c>
      <c r="AH1862" s="95" t="s">
        <v>1487</v>
      </c>
      <c r="AI1862" s="99">
        <v>207</v>
      </c>
      <c r="AJ1862" s="99">
        <v>225</v>
      </c>
      <c r="AK1862" s="99" t="s">
        <v>276</v>
      </c>
      <c r="AL1862" s="99" t="s">
        <v>276</v>
      </c>
      <c r="AM1862" s="99" t="s">
        <v>4702</v>
      </c>
      <c r="AN1862" s="94">
        <v>1.78</v>
      </c>
      <c r="AO1862" s="110" t="s">
        <v>98</v>
      </c>
      <c r="AP1862" s="94" t="s">
        <v>276</v>
      </c>
      <c r="AQ1862" s="94" t="s">
        <v>276</v>
      </c>
      <c r="AR1862" s="102">
        <v>1.96</v>
      </c>
      <c r="AS1862" s="110" t="s">
        <v>98</v>
      </c>
      <c r="AT1862" s="94" t="s">
        <v>276</v>
      </c>
      <c r="AU1862" s="94" t="s">
        <v>276</v>
      </c>
      <c r="AV1862" s="95" t="s">
        <v>269</v>
      </c>
      <c r="AW1862" s="141" t="s">
        <v>276</v>
      </c>
      <c r="AX1862" s="233">
        <f>AN1862/AR1862</f>
        <v>0.90816326530612246</v>
      </c>
      <c r="AY1862" s="95" t="s">
        <v>276</v>
      </c>
      <c r="AZ1862" s="95" t="s">
        <v>276</v>
      </c>
      <c r="BA1862" s="95" t="s">
        <v>276</v>
      </c>
      <c r="BB1862" s="95" t="s">
        <v>282</v>
      </c>
      <c r="BC1862" s="95" t="s">
        <v>98</v>
      </c>
      <c r="BD1862" s="95" t="s">
        <v>98</v>
      </c>
      <c r="BE1862" s="95" t="s">
        <v>98</v>
      </c>
      <c r="BF1862" s="95" t="s">
        <v>426</v>
      </c>
      <c r="BG1862" s="95"/>
      <c r="BH1862" s="9" t="s">
        <v>100</v>
      </c>
      <c r="BI1862" s="9" t="s">
        <v>100</v>
      </c>
      <c r="BJ1862" s="109"/>
      <c r="BN1862" s="109"/>
      <c r="BO1862" s="109"/>
    </row>
    <row r="1863" spans="1:67" s="110" customFormat="1" ht="65" hidden="1" x14ac:dyDescent="0.35">
      <c r="A1863" s="94">
        <v>1169</v>
      </c>
      <c r="B1863" s="94" t="s">
        <v>10742</v>
      </c>
      <c r="C1863" s="94" t="s">
        <v>11086</v>
      </c>
      <c r="D1863" s="95" t="s">
        <v>11063</v>
      </c>
      <c r="E1863" s="94" t="s">
        <v>36</v>
      </c>
      <c r="F1863" s="95" t="s">
        <v>134</v>
      </c>
      <c r="G1863" s="94" t="s">
        <v>225</v>
      </c>
      <c r="H1863" s="94" t="s">
        <v>125</v>
      </c>
      <c r="I1863" s="94" t="s">
        <v>114</v>
      </c>
      <c r="J1863" s="95" t="s">
        <v>25</v>
      </c>
      <c r="K1863" s="94" t="s">
        <v>1510</v>
      </c>
      <c r="L1863" s="94" t="s">
        <v>276</v>
      </c>
      <c r="M1863" s="94" t="s">
        <v>276</v>
      </c>
      <c r="N1863" s="95" t="s">
        <v>11030</v>
      </c>
      <c r="O1863" s="95" t="s">
        <v>11031</v>
      </c>
      <c r="P1863" s="95" t="s">
        <v>239</v>
      </c>
      <c r="Q1863" s="140">
        <v>42004</v>
      </c>
      <c r="R1863" s="95" t="s">
        <v>11032</v>
      </c>
      <c r="S1863" s="95" t="s">
        <v>11033</v>
      </c>
      <c r="T1863" s="95" t="s">
        <v>11034</v>
      </c>
      <c r="U1863" s="95">
        <v>2</v>
      </c>
      <c r="V1863" s="94" t="s">
        <v>1538</v>
      </c>
      <c r="W1863" s="94" t="s">
        <v>98</v>
      </c>
      <c r="X1863" s="95" t="s">
        <v>207</v>
      </c>
      <c r="Y1863" s="98">
        <v>77443</v>
      </c>
      <c r="Z1863" s="95">
        <v>77444</v>
      </c>
      <c r="AA1863" s="95" t="s">
        <v>276</v>
      </c>
      <c r="AB1863" s="95" t="s">
        <v>276</v>
      </c>
      <c r="AC1863" s="94">
        <v>82</v>
      </c>
      <c r="AD1863" s="95" t="s">
        <v>11060</v>
      </c>
      <c r="AE1863" s="94">
        <v>67</v>
      </c>
      <c r="AF1863" s="95" t="s">
        <v>11061</v>
      </c>
      <c r="AG1863" s="95" t="s">
        <v>11064</v>
      </c>
      <c r="AH1863" s="95" t="s">
        <v>1487</v>
      </c>
      <c r="AI1863" s="99">
        <v>211</v>
      </c>
      <c r="AJ1863" s="99">
        <v>250</v>
      </c>
      <c r="AK1863" s="99" t="s">
        <v>276</v>
      </c>
      <c r="AL1863" s="99" t="s">
        <v>276</v>
      </c>
      <c r="AM1863" s="99" t="s">
        <v>4702</v>
      </c>
      <c r="AN1863" s="102">
        <v>1.81</v>
      </c>
      <c r="AO1863" s="110" t="s">
        <v>276</v>
      </c>
      <c r="AP1863" s="94" t="s">
        <v>276</v>
      </c>
      <c r="AQ1863" s="94" t="s">
        <v>276</v>
      </c>
      <c r="AR1863" s="102">
        <v>2.1800000000000002</v>
      </c>
      <c r="AS1863" s="110" t="s">
        <v>98</v>
      </c>
      <c r="AT1863" s="94" t="s">
        <v>276</v>
      </c>
      <c r="AU1863" s="94" t="s">
        <v>276</v>
      </c>
      <c r="AV1863" s="95" t="s">
        <v>269</v>
      </c>
      <c r="AW1863" s="141" t="s">
        <v>276</v>
      </c>
      <c r="AX1863" s="233">
        <f t="shared" ref="AX1863:AX1865" si="547">AN1863/AR1863</f>
        <v>0.83027522935779818</v>
      </c>
      <c r="AY1863" s="95" t="s">
        <v>276</v>
      </c>
      <c r="AZ1863" s="95" t="s">
        <v>276</v>
      </c>
      <c r="BA1863" s="95" t="s">
        <v>276</v>
      </c>
      <c r="BB1863" s="95" t="s">
        <v>282</v>
      </c>
      <c r="BC1863" s="95" t="s">
        <v>98</v>
      </c>
      <c r="BD1863" s="95" t="s">
        <v>98</v>
      </c>
      <c r="BE1863" s="95" t="s">
        <v>98</v>
      </c>
      <c r="BF1863" s="95" t="s">
        <v>426</v>
      </c>
      <c r="BG1863" s="95"/>
      <c r="BH1863" s="9" t="s">
        <v>100</v>
      </c>
      <c r="BI1863" s="9" t="s">
        <v>100</v>
      </c>
      <c r="BJ1863" s="109"/>
      <c r="BN1863" s="109"/>
      <c r="BO1863" s="109"/>
    </row>
    <row r="1864" spans="1:67" s="110" customFormat="1" ht="65" hidden="1" x14ac:dyDescent="0.35">
      <c r="A1864" s="94">
        <v>1169</v>
      </c>
      <c r="B1864" s="94" t="s">
        <v>10742</v>
      </c>
      <c r="C1864" s="94" t="s">
        <v>11086</v>
      </c>
      <c r="D1864" s="95" t="s">
        <v>11065</v>
      </c>
      <c r="E1864" s="94" t="s">
        <v>36</v>
      </c>
      <c r="F1864" s="95" t="s">
        <v>134</v>
      </c>
      <c r="G1864" s="94" t="s">
        <v>225</v>
      </c>
      <c r="H1864" s="94" t="s">
        <v>125</v>
      </c>
      <c r="I1864" s="94" t="s">
        <v>114</v>
      </c>
      <c r="J1864" s="95" t="s">
        <v>25</v>
      </c>
      <c r="K1864" s="94" t="s">
        <v>1513</v>
      </c>
      <c r="L1864" s="94" t="s">
        <v>276</v>
      </c>
      <c r="M1864" s="94" t="s">
        <v>276</v>
      </c>
      <c r="N1864" s="95" t="s">
        <v>11030</v>
      </c>
      <c r="O1864" s="95" t="s">
        <v>11031</v>
      </c>
      <c r="P1864" s="95" t="s">
        <v>239</v>
      </c>
      <c r="Q1864" s="140">
        <v>42004</v>
      </c>
      <c r="R1864" s="95" t="s">
        <v>11032</v>
      </c>
      <c r="S1864" s="95" t="s">
        <v>11033</v>
      </c>
      <c r="T1864" s="95" t="s">
        <v>11034</v>
      </c>
      <c r="U1864" s="95">
        <v>2</v>
      </c>
      <c r="V1864" s="94" t="s">
        <v>1538</v>
      </c>
      <c r="W1864" s="94" t="s">
        <v>98</v>
      </c>
      <c r="X1864" s="95" t="s">
        <v>207</v>
      </c>
      <c r="Y1864" s="98">
        <v>77443</v>
      </c>
      <c r="Z1864" s="95">
        <v>77444</v>
      </c>
      <c r="AA1864" s="95" t="s">
        <v>276</v>
      </c>
      <c r="AB1864" s="95" t="s">
        <v>276</v>
      </c>
      <c r="AC1864" s="94">
        <v>82</v>
      </c>
      <c r="AD1864" s="95" t="s">
        <v>11060</v>
      </c>
      <c r="AE1864" s="94">
        <v>67</v>
      </c>
      <c r="AF1864" s="95" t="s">
        <v>11061</v>
      </c>
      <c r="AG1864" s="95" t="s">
        <v>11066</v>
      </c>
      <c r="AH1864" s="95" t="s">
        <v>1487</v>
      </c>
      <c r="AI1864" s="99">
        <v>219</v>
      </c>
      <c r="AJ1864" s="99">
        <v>236</v>
      </c>
      <c r="AK1864" s="99" t="s">
        <v>276</v>
      </c>
      <c r="AL1864" s="99" t="s">
        <v>276</v>
      </c>
      <c r="AM1864" s="99" t="s">
        <v>4702</v>
      </c>
      <c r="AN1864" s="94">
        <v>1.88</v>
      </c>
      <c r="AO1864" s="110" t="s">
        <v>276</v>
      </c>
      <c r="AP1864" s="94" t="s">
        <v>276</v>
      </c>
      <c r="AQ1864" s="94" t="s">
        <v>276</v>
      </c>
      <c r="AR1864" s="102">
        <v>2.0499999999999998</v>
      </c>
      <c r="AS1864" s="102" t="s">
        <v>276</v>
      </c>
      <c r="AT1864" s="94" t="s">
        <v>276</v>
      </c>
      <c r="AU1864" s="94" t="s">
        <v>276</v>
      </c>
      <c r="AV1864" s="95" t="s">
        <v>269</v>
      </c>
      <c r="AW1864" s="141" t="s">
        <v>276</v>
      </c>
      <c r="AX1864" s="233">
        <f t="shared" si="547"/>
        <v>0.91707317073170735</v>
      </c>
      <c r="AY1864" s="95" t="s">
        <v>276</v>
      </c>
      <c r="AZ1864" s="95" t="s">
        <v>276</v>
      </c>
      <c r="BA1864" s="95" t="s">
        <v>276</v>
      </c>
      <c r="BB1864" s="95" t="s">
        <v>282</v>
      </c>
      <c r="BC1864" s="95" t="s">
        <v>98</v>
      </c>
      <c r="BD1864" s="95" t="s">
        <v>98</v>
      </c>
      <c r="BE1864" s="95" t="s">
        <v>98</v>
      </c>
      <c r="BF1864" s="95" t="s">
        <v>426</v>
      </c>
      <c r="BG1864" s="95"/>
      <c r="BH1864" s="9" t="s">
        <v>100</v>
      </c>
      <c r="BI1864" s="9" t="s">
        <v>100</v>
      </c>
      <c r="BJ1864" s="109"/>
      <c r="BN1864" s="109"/>
      <c r="BO1864" s="109"/>
    </row>
    <row r="1865" spans="1:67" s="110" customFormat="1" ht="65" hidden="1" x14ac:dyDescent="0.35">
      <c r="A1865" s="94">
        <v>1169</v>
      </c>
      <c r="B1865" s="94" t="s">
        <v>10742</v>
      </c>
      <c r="C1865" s="94" t="s">
        <v>11086</v>
      </c>
      <c r="D1865" s="95" t="s">
        <v>11067</v>
      </c>
      <c r="E1865" s="94" t="s">
        <v>36</v>
      </c>
      <c r="F1865" s="95" t="s">
        <v>134</v>
      </c>
      <c r="G1865" s="94" t="s">
        <v>225</v>
      </c>
      <c r="H1865" s="94" t="s">
        <v>125</v>
      </c>
      <c r="I1865" s="94" t="s">
        <v>114</v>
      </c>
      <c r="J1865" s="95" t="s">
        <v>25</v>
      </c>
      <c r="K1865" s="94" t="s">
        <v>1516</v>
      </c>
      <c r="L1865" s="94" t="s">
        <v>276</v>
      </c>
      <c r="M1865" s="94" t="s">
        <v>276</v>
      </c>
      <c r="N1865" s="95" t="s">
        <v>11030</v>
      </c>
      <c r="O1865" s="95" t="s">
        <v>11031</v>
      </c>
      <c r="P1865" s="95" t="s">
        <v>239</v>
      </c>
      <c r="Q1865" s="140">
        <v>42004</v>
      </c>
      <c r="R1865" s="95" t="s">
        <v>11032</v>
      </c>
      <c r="S1865" s="95" t="s">
        <v>11033</v>
      </c>
      <c r="T1865" s="95" t="s">
        <v>11034</v>
      </c>
      <c r="U1865" s="95">
        <v>2</v>
      </c>
      <c r="V1865" s="94" t="s">
        <v>1538</v>
      </c>
      <c r="W1865" s="94" t="s">
        <v>98</v>
      </c>
      <c r="X1865" s="95" t="s">
        <v>207</v>
      </c>
      <c r="Y1865" s="98">
        <v>77443</v>
      </c>
      <c r="Z1865" s="95">
        <v>77444</v>
      </c>
      <c r="AA1865" s="95" t="s">
        <v>276</v>
      </c>
      <c r="AB1865" s="95" t="s">
        <v>276</v>
      </c>
      <c r="AC1865" s="94">
        <v>82</v>
      </c>
      <c r="AD1865" s="95" t="s">
        <v>11060</v>
      </c>
      <c r="AE1865" s="94">
        <v>67</v>
      </c>
      <c r="AF1865" s="95" t="s">
        <v>11061</v>
      </c>
      <c r="AG1865" s="95" t="s">
        <v>11068</v>
      </c>
      <c r="AH1865" s="95" t="s">
        <v>1487</v>
      </c>
      <c r="AI1865" s="99">
        <v>123</v>
      </c>
      <c r="AJ1865" s="99">
        <v>126</v>
      </c>
      <c r="AK1865" s="99" t="s">
        <v>276</v>
      </c>
      <c r="AL1865" s="99" t="s">
        <v>276</v>
      </c>
      <c r="AM1865" s="99" t="s">
        <v>4702</v>
      </c>
      <c r="AN1865" s="102">
        <v>1.06</v>
      </c>
      <c r="AO1865" s="110" t="s">
        <v>276</v>
      </c>
      <c r="AP1865" s="94" t="s">
        <v>276</v>
      </c>
      <c r="AQ1865" s="94" t="s">
        <v>276</v>
      </c>
      <c r="AR1865" s="102">
        <v>1.1000000000000001</v>
      </c>
      <c r="AS1865" s="102" t="s">
        <v>276</v>
      </c>
      <c r="AT1865" s="94" t="s">
        <v>276</v>
      </c>
      <c r="AU1865" s="94" t="s">
        <v>276</v>
      </c>
      <c r="AV1865" s="95" t="s">
        <v>269</v>
      </c>
      <c r="AW1865" s="141" t="s">
        <v>276</v>
      </c>
      <c r="AX1865" s="233">
        <f t="shared" si="547"/>
        <v>0.96363636363636362</v>
      </c>
      <c r="AY1865" s="95" t="s">
        <v>276</v>
      </c>
      <c r="AZ1865" s="95" t="s">
        <v>276</v>
      </c>
      <c r="BA1865" s="95" t="s">
        <v>276</v>
      </c>
      <c r="BB1865" s="95" t="s">
        <v>282</v>
      </c>
      <c r="BC1865" s="95" t="s">
        <v>98</v>
      </c>
      <c r="BD1865" s="95" t="s">
        <v>98</v>
      </c>
      <c r="BE1865" s="95" t="s">
        <v>98</v>
      </c>
      <c r="BF1865" s="95" t="s">
        <v>426</v>
      </c>
      <c r="BG1865" s="95"/>
      <c r="BH1865" s="9" t="s">
        <v>100</v>
      </c>
      <c r="BI1865" s="9" t="s">
        <v>100</v>
      </c>
      <c r="BJ1865" s="109"/>
      <c r="BN1865" s="109"/>
      <c r="BO1865" s="109"/>
    </row>
    <row r="1866" spans="1:67" s="124" customFormat="1" ht="65" hidden="1" x14ac:dyDescent="0.35">
      <c r="A1866" s="112">
        <v>1169</v>
      </c>
      <c r="B1866" s="112" t="s">
        <v>10742</v>
      </c>
      <c r="C1866" s="112" t="s">
        <v>11086</v>
      </c>
      <c r="D1866" s="113" t="s">
        <v>11069</v>
      </c>
      <c r="E1866" s="112" t="s">
        <v>36</v>
      </c>
      <c r="F1866" s="113" t="s">
        <v>134</v>
      </c>
      <c r="G1866" s="112" t="s">
        <v>225</v>
      </c>
      <c r="H1866" s="112" t="s">
        <v>125</v>
      </c>
      <c r="I1866" s="112" t="s">
        <v>114</v>
      </c>
      <c r="J1866" s="113" t="s">
        <v>25</v>
      </c>
      <c r="K1866" s="112" t="s">
        <v>1499</v>
      </c>
      <c r="L1866" s="112" t="s">
        <v>276</v>
      </c>
      <c r="M1866" s="112" t="s">
        <v>276</v>
      </c>
      <c r="N1866" s="113" t="s">
        <v>11043</v>
      </c>
      <c r="O1866" s="113" t="s">
        <v>11031</v>
      </c>
      <c r="P1866" s="113" t="s">
        <v>235</v>
      </c>
      <c r="Q1866" s="142">
        <v>42004</v>
      </c>
      <c r="R1866" s="113" t="s">
        <v>11032</v>
      </c>
      <c r="S1866" s="113" t="s">
        <v>11033</v>
      </c>
      <c r="T1866" s="113" t="s">
        <v>11034</v>
      </c>
      <c r="U1866" s="113">
        <v>2</v>
      </c>
      <c r="V1866" s="112" t="s">
        <v>1538</v>
      </c>
      <c r="W1866" s="112" t="s">
        <v>98</v>
      </c>
      <c r="X1866" s="113" t="s">
        <v>207</v>
      </c>
      <c r="Y1866" s="118" t="s">
        <v>98</v>
      </c>
      <c r="Z1866" s="118" t="s">
        <v>98</v>
      </c>
      <c r="AA1866" s="113" t="s">
        <v>276</v>
      </c>
      <c r="AB1866" s="113" t="s">
        <v>276</v>
      </c>
      <c r="AC1866" s="112">
        <v>83</v>
      </c>
      <c r="AD1866" s="113" t="s">
        <v>10980</v>
      </c>
      <c r="AE1866" s="112">
        <v>75</v>
      </c>
      <c r="AF1866" s="112" t="s">
        <v>10980</v>
      </c>
      <c r="AG1866" s="113" t="s">
        <v>11035</v>
      </c>
      <c r="AH1866" s="113" t="s">
        <v>11070</v>
      </c>
      <c r="AI1866" s="119">
        <v>238</v>
      </c>
      <c r="AJ1866" s="119">
        <v>311</v>
      </c>
      <c r="AK1866" s="119">
        <v>619</v>
      </c>
      <c r="AL1866" s="119">
        <v>857</v>
      </c>
      <c r="AM1866" s="119" t="s">
        <v>292</v>
      </c>
      <c r="AN1866" s="112" t="s">
        <v>276</v>
      </c>
      <c r="AO1866" s="121">
        <f>AI1866/AK1866*100</f>
        <v>38.449111470113081</v>
      </c>
      <c r="AP1866" s="124" t="s">
        <v>276</v>
      </c>
      <c r="AQ1866" s="112" t="s">
        <v>276</v>
      </c>
      <c r="AR1866" s="112" t="s">
        <v>276</v>
      </c>
      <c r="AS1866" s="207">
        <f>AJ1866/AL1866*100</f>
        <v>36.289381563593928</v>
      </c>
      <c r="AT1866" s="112" t="s">
        <v>276</v>
      </c>
      <c r="AU1866" s="112" t="s">
        <v>276</v>
      </c>
      <c r="AV1866" s="113" t="s">
        <v>268</v>
      </c>
      <c r="AW1866" s="143" t="s">
        <v>276</v>
      </c>
      <c r="AX1866" s="232">
        <f>AO1866/AS1866</f>
        <v>1.0595141006394506</v>
      </c>
      <c r="AY1866" s="113" t="s">
        <v>276</v>
      </c>
      <c r="AZ1866" s="113" t="s">
        <v>276</v>
      </c>
      <c r="BA1866" s="113" t="s">
        <v>276</v>
      </c>
      <c r="BB1866" s="113" t="s">
        <v>282</v>
      </c>
      <c r="BC1866" s="113" t="s">
        <v>98</v>
      </c>
      <c r="BD1866" s="113" t="s">
        <v>98</v>
      </c>
      <c r="BE1866" s="113" t="s">
        <v>98</v>
      </c>
      <c r="BF1866" s="113" t="s">
        <v>11045</v>
      </c>
      <c r="BG1866" s="113"/>
      <c r="BH1866" s="9" t="s">
        <v>100</v>
      </c>
      <c r="BI1866" s="9" t="s">
        <v>100</v>
      </c>
      <c r="BJ1866" s="123"/>
      <c r="BN1866" s="123"/>
      <c r="BO1866" s="123"/>
    </row>
    <row r="1867" spans="1:67" s="124" customFormat="1" ht="65" hidden="1" x14ac:dyDescent="0.35">
      <c r="A1867" s="112">
        <v>1169</v>
      </c>
      <c r="B1867" s="112" t="s">
        <v>10742</v>
      </c>
      <c r="C1867" s="112" t="s">
        <v>11086</v>
      </c>
      <c r="D1867" s="113" t="s">
        <v>11071</v>
      </c>
      <c r="E1867" s="112" t="s">
        <v>36</v>
      </c>
      <c r="F1867" s="113" t="s">
        <v>134</v>
      </c>
      <c r="G1867" s="112" t="s">
        <v>225</v>
      </c>
      <c r="H1867" s="112" t="s">
        <v>125</v>
      </c>
      <c r="I1867" s="112" t="s">
        <v>114</v>
      </c>
      <c r="J1867" s="113" t="s">
        <v>25</v>
      </c>
      <c r="K1867" s="112" t="s">
        <v>1510</v>
      </c>
      <c r="L1867" s="112" t="s">
        <v>276</v>
      </c>
      <c r="M1867" s="112" t="s">
        <v>276</v>
      </c>
      <c r="N1867" s="113" t="s">
        <v>11043</v>
      </c>
      <c r="O1867" s="113" t="s">
        <v>11031</v>
      </c>
      <c r="P1867" s="113" t="s">
        <v>235</v>
      </c>
      <c r="Q1867" s="142">
        <v>42004</v>
      </c>
      <c r="R1867" s="113" t="s">
        <v>11032</v>
      </c>
      <c r="S1867" s="113" t="s">
        <v>11033</v>
      </c>
      <c r="T1867" s="113" t="s">
        <v>11034</v>
      </c>
      <c r="U1867" s="113">
        <v>2</v>
      </c>
      <c r="V1867" s="112" t="s">
        <v>1538</v>
      </c>
      <c r="W1867" s="112" t="s">
        <v>98</v>
      </c>
      <c r="X1867" s="113" t="s">
        <v>207</v>
      </c>
      <c r="Y1867" s="118" t="s">
        <v>98</v>
      </c>
      <c r="Z1867" s="118" t="s">
        <v>98</v>
      </c>
      <c r="AA1867" s="113" t="s">
        <v>276</v>
      </c>
      <c r="AB1867" s="113" t="s">
        <v>276</v>
      </c>
      <c r="AC1867" s="112">
        <v>83</v>
      </c>
      <c r="AD1867" s="113" t="s">
        <v>10980</v>
      </c>
      <c r="AE1867" s="112">
        <v>75</v>
      </c>
      <c r="AF1867" s="112" t="s">
        <v>10980</v>
      </c>
      <c r="AG1867" s="113" t="s">
        <v>11037</v>
      </c>
      <c r="AH1867" s="113" t="s">
        <v>11070</v>
      </c>
      <c r="AI1867" s="119">
        <v>128</v>
      </c>
      <c r="AJ1867" s="119">
        <v>163</v>
      </c>
      <c r="AK1867" s="119">
        <v>619</v>
      </c>
      <c r="AL1867" s="119">
        <v>857</v>
      </c>
      <c r="AM1867" s="119" t="s">
        <v>292</v>
      </c>
      <c r="AN1867" s="112" t="s">
        <v>276</v>
      </c>
      <c r="AO1867" s="121">
        <f t="shared" ref="AO1867:AO1869" si="548">AI1867/AK1867*100</f>
        <v>20.678513731825525</v>
      </c>
      <c r="AP1867" s="124" t="s">
        <v>276</v>
      </c>
      <c r="AQ1867" s="112" t="s">
        <v>276</v>
      </c>
      <c r="AR1867" s="112" t="s">
        <v>276</v>
      </c>
      <c r="AS1867" s="207">
        <f t="shared" ref="AS1867:AS1869" si="549">AJ1867/AL1867*100</f>
        <v>19.019836639439909</v>
      </c>
      <c r="AT1867" s="112" t="s">
        <v>276</v>
      </c>
      <c r="AU1867" s="112" t="s">
        <v>276</v>
      </c>
      <c r="AV1867" s="113" t="s">
        <v>268</v>
      </c>
      <c r="AW1867" s="143" t="s">
        <v>276</v>
      </c>
      <c r="AX1867" s="232">
        <f t="shared" ref="AX1867:AX1869" si="550">AO1867/AS1867</f>
        <v>1.0872077465137713</v>
      </c>
      <c r="AY1867" s="113" t="s">
        <v>276</v>
      </c>
      <c r="AZ1867" s="113" t="s">
        <v>276</v>
      </c>
      <c r="BA1867" s="113" t="s">
        <v>276</v>
      </c>
      <c r="BB1867" s="113" t="s">
        <v>282</v>
      </c>
      <c r="BC1867" s="113" t="s">
        <v>98</v>
      </c>
      <c r="BD1867" s="113" t="s">
        <v>98</v>
      </c>
      <c r="BE1867" s="113" t="s">
        <v>98</v>
      </c>
      <c r="BF1867" s="113" t="s">
        <v>11045</v>
      </c>
      <c r="BG1867" s="113"/>
      <c r="BH1867" s="9" t="s">
        <v>100</v>
      </c>
      <c r="BI1867" s="9" t="s">
        <v>100</v>
      </c>
      <c r="BJ1867" s="123"/>
      <c r="BN1867" s="123"/>
      <c r="BO1867" s="123"/>
    </row>
    <row r="1868" spans="1:67" s="124" customFormat="1" ht="65" hidden="1" x14ac:dyDescent="0.35">
      <c r="A1868" s="112">
        <v>1169</v>
      </c>
      <c r="B1868" s="112" t="s">
        <v>10742</v>
      </c>
      <c r="C1868" s="112" t="s">
        <v>11086</v>
      </c>
      <c r="D1868" s="113" t="s">
        <v>11072</v>
      </c>
      <c r="E1868" s="112" t="s">
        <v>36</v>
      </c>
      <c r="F1868" s="113" t="s">
        <v>134</v>
      </c>
      <c r="G1868" s="112" t="s">
        <v>225</v>
      </c>
      <c r="H1868" s="112" t="s">
        <v>125</v>
      </c>
      <c r="I1868" s="112" t="s">
        <v>114</v>
      </c>
      <c r="J1868" s="113" t="s">
        <v>25</v>
      </c>
      <c r="K1868" s="112" t="s">
        <v>1513</v>
      </c>
      <c r="L1868" s="112" t="s">
        <v>276</v>
      </c>
      <c r="M1868" s="112" t="s">
        <v>276</v>
      </c>
      <c r="N1868" s="113" t="s">
        <v>11030</v>
      </c>
      <c r="O1868" s="113" t="s">
        <v>11031</v>
      </c>
      <c r="P1868" s="113" t="s">
        <v>235</v>
      </c>
      <c r="Q1868" s="142">
        <v>42004</v>
      </c>
      <c r="R1868" s="113" t="s">
        <v>11032</v>
      </c>
      <c r="S1868" s="113" t="s">
        <v>11033</v>
      </c>
      <c r="T1868" s="113" t="s">
        <v>11034</v>
      </c>
      <c r="U1868" s="113">
        <v>2</v>
      </c>
      <c r="V1868" s="112" t="s">
        <v>1538</v>
      </c>
      <c r="W1868" s="112" t="s">
        <v>98</v>
      </c>
      <c r="X1868" s="113" t="s">
        <v>207</v>
      </c>
      <c r="Y1868" s="118" t="s">
        <v>98</v>
      </c>
      <c r="Z1868" s="118" t="s">
        <v>98</v>
      </c>
      <c r="AA1868" s="113" t="s">
        <v>276</v>
      </c>
      <c r="AB1868" s="113" t="s">
        <v>276</v>
      </c>
      <c r="AC1868" s="112">
        <v>83</v>
      </c>
      <c r="AD1868" s="113" t="s">
        <v>10980</v>
      </c>
      <c r="AE1868" s="112">
        <v>75</v>
      </c>
      <c r="AF1868" s="113" t="s">
        <v>10980</v>
      </c>
      <c r="AG1868" s="113" t="s">
        <v>11039</v>
      </c>
      <c r="AH1868" s="113" t="s">
        <v>11070</v>
      </c>
      <c r="AI1868" s="119">
        <v>112</v>
      </c>
      <c r="AJ1868" s="119">
        <v>181</v>
      </c>
      <c r="AK1868" s="119">
        <v>619</v>
      </c>
      <c r="AL1868" s="119">
        <v>857</v>
      </c>
      <c r="AM1868" s="119" t="s">
        <v>292</v>
      </c>
      <c r="AN1868" s="112" t="s">
        <v>276</v>
      </c>
      <c r="AO1868" s="121">
        <f t="shared" si="548"/>
        <v>18.093699515347332</v>
      </c>
      <c r="AP1868" s="124" t="s">
        <v>276</v>
      </c>
      <c r="AQ1868" s="112" t="s">
        <v>276</v>
      </c>
      <c r="AR1868" s="112" t="s">
        <v>276</v>
      </c>
      <c r="AS1868" s="207">
        <f t="shared" si="549"/>
        <v>21.120186697782962</v>
      </c>
      <c r="AT1868" s="112" t="s">
        <v>276</v>
      </c>
      <c r="AU1868" s="112" t="s">
        <v>276</v>
      </c>
      <c r="AV1868" s="113" t="s">
        <v>268</v>
      </c>
      <c r="AW1868" s="143" t="s">
        <v>276</v>
      </c>
      <c r="AX1868" s="232">
        <f t="shared" si="550"/>
        <v>0.85670168423495385</v>
      </c>
      <c r="AY1868" s="113" t="s">
        <v>276</v>
      </c>
      <c r="AZ1868" s="113" t="s">
        <v>276</v>
      </c>
      <c r="BA1868" s="113" t="s">
        <v>276</v>
      </c>
      <c r="BB1868" s="113" t="s">
        <v>282</v>
      </c>
      <c r="BC1868" s="113" t="s">
        <v>98</v>
      </c>
      <c r="BD1868" s="113" t="s">
        <v>98</v>
      </c>
      <c r="BE1868" s="113" t="s">
        <v>98</v>
      </c>
      <c r="BF1868" s="113" t="s">
        <v>11045</v>
      </c>
      <c r="BG1868" s="113"/>
      <c r="BH1868" s="9" t="s">
        <v>100</v>
      </c>
      <c r="BI1868" s="9" t="s">
        <v>100</v>
      </c>
      <c r="BJ1868" s="123"/>
      <c r="BN1868" s="123"/>
      <c r="BO1868" s="123"/>
    </row>
    <row r="1869" spans="1:67" s="124" customFormat="1" ht="65" hidden="1" x14ac:dyDescent="0.35">
      <c r="A1869" s="112">
        <v>1169</v>
      </c>
      <c r="B1869" s="112" t="s">
        <v>10742</v>
      </c>
      <c r="C1869" s="112" t="s">
        <v>11086</v>
      </c>
      <c r="D1869" s="113" t="s">
        <v>11073</v>
      </c>
      <c r="E1869" s="112" t="s">
        <v>36</v>
      </c>
      <c r="F1869" s="113" t="s">
        <v>134</v>
      </c>
      <c r="G1869" s="112" t="s">
        <v>225</v>
      </c>
      <c r="H1869" s="112" t="s">
        <v>125</v>
      </c>
      <c r="I1869" s="112" t="s">
        <v>114</v>
      </c>
      <c r="J1869" s="113" t="s">
        <v>25</v>
      </c>
      <c r="K1869" s="112" t="s">
        <v>1516</v>
      </c>
      <c r="L1869" s="112" t="s">
        <v>276</v>
      </c>
      <c r="M1869" s="112" t="s">
        <v>276</v>
      </c>
      <c r="N1869" s="113" t="s">
        <v>11030</v>
      </c>
      <c r="O1869" s="113" t="s">
        <v>11031</v>
      </c>
      <c r="P1869" s="113" t="s">
        <v>235</v>
      </c>
      <c r="Q1869" s="142">
        <v>42004</v>
      </c>
      <c r="R1869" s="113" t="s">
        <v>11032</v>
      </c>
      <c r="S1869" s="113" t="s">
        <v>11033</v>
      </c>
      <c r="T1869" s="113" t="s">
        <v>11034</v>
      </c>
      <c r="U1869" s="113">
        <v>2</v>
      </c>
      <c r="V1869" s="112" t="s">
        <v>1538</v>
      </c>
      <c r="W1869" s="112" t="s">
        <v>98</v>
      </c>
      <c r="X1869" s="113" t="s">
        <v>207</v>
      </c>
      <c r="Y1869" s="118" t="s">
        <v>98</v>
      </c>
      <c r="Z1869" s="118" t="s">
        <v>98</v>
      </c>
      <c r="AA1869" s="113" t="s">
        <v>276</v>
      </c>
      <c r="AB1869" s="113" t="s">
        <v>276</v>
      </c>
      <c r="AC1869" s="112">
        <v>83</v>
      </c>
      <c r="AD1869" s="113" t="s">
        <v>10980</v>
      </c>
      <c r="AE1869" s="112">
        <v>75</v>
      </c>
      <c r="AF1869" s="113" t="s">
        <v>10980</v>
      </c>
      <c r="AG1869" s="113" t="s">
        <v>11041</v>
      </c>
      <c r="AH1869" s="113" t="s">
        <v>11070</v>
      </c>
      <c r="AI1869" s="119">
        <v>58</v>
      </c>
      <c r="AJ1869" s="119">
        <v>127</v>
      </c>
      <c r="AK1869" s="119">
        <v>619</v>
      </c>
      <c r="AL1869" s="119">
        <v>857</v>
      </c>
      <c r="AM1869" s="119" t="s">
        <v>292</v>
      </c>
      <c r="AN1869" s="112" t="s">
        <v>276</v>
      </c>
      <c r="AO1869" s="121">
        <f t="shared" si="548"/>
        <v>9.3699515347334401</v>
      </c>
      <c r="AP1869" s="124" t="s">
        <v>276</v>
      </c>
      <c r="AQ1869" s="112" t="s">
        <v>276</v>
      </c>
      <c r="AR1869" s="112" t="s">
        <v>276</v>
      </c>
      <c r="AS1869" s="207">
        <f t="shared" si="549"/>
        <v>14.819136522753793</v>
      </c>
      <c r="AT1869" s="112" t="s">
        <v>276</v>
      </c>
      <c r="AU1869" s="112" t="s">
        <v>276</v>
      </c>
      <c r="AV1869" s="113" t="s">
        <v>268</v>
      </c>
      <c r="AW1869" s="143" t="s">
        <v>276</v>
      </c>
      <c r="AX1869" s="232">
        <f t="shared" si="550"/>
        <v>0.63228728072965024</v>
      </c>
      <c r="AY1869" s="113" t="s">
        <v>276</v>
      </c>
      <c r="AZ1869" s="113" t="s">
        <v>276</v>
      </c>
      <c r="BA1869" s="113" t="s">
        <v>276</v>
      </c>
      <c r="BB1869" s="113" t="s">
        <v>282</v>
      </c>
      <c r="BC1869" s="113" t="s">
        <v>98</v>
      </c>
      <c r="BD1869" s="113" t="s">
        <v>98</v>
      </c>
      <c r="BE1869" s="113" t="s">
        <v>98</v>
      </c>
      <c r="BF1869" s="113" t="s">
        <v>11045</v>
      </c>
      <c r="BG1869" s="113"/>
      <c r="BH1869" s="9" t="s">
        <v>100</v>
      </c>
      <c r="BI1869" s="9" t="s">
        <v>100</v>
      </c>
      <c r="BJ1869" s="123"/>
      <c r="BN1869" s="123"/>
      <c r="BO1869" s="123"/>
    </row>
    <row r="1870" spans="1:67" s="110" customFormat="1" ht="65" hidden="1" x14ac:dyDescent="0.35">
      <c r="A1870" s="94">
        <v>1169</v>
      </c>
      <c r="B1870" s="94" t="s">
        <v>10742</v>
      </c>
      <c r="C1870" s="94" t="s">
        <v>11086</v>
      </c>
      <c r="D1870" s="95" t="s">
        <v>11074</v>
      </c>
      <c r="E1870" s="94" t="s">
        <v>36</v>
      </c>
      <c r="F1870" s="95" t="s">
        <v>134</v>
      </c>
      <c r="G1870" s="94" t="s">
        <v>225</v>
      </c>
      <c r="H1870" s="94" t="s">
        <v>125</v>
      </c>
      <c r="I1870" s="94" t="s">
        <v>114</v>
      </c>
      <c r="J1870" s="95" t="s">
        <v>25</v>
      </c>
      <c r="K1870" s="94" t="s">
        <v>1499</v>
      </c>
      <c r="L1870" s="94" t="s">
        <v>276</v>
      </c>
      <c r="M1870" s="94" t="s">
        <v>276</v>
      </c>
      <c r="N1870" s="95" t="s">
        <v>11043</v>
      </c>
      <c r="O1870" s="95" t="s">
        <v>11031</v>
      </c>
      <c r="P1870" s="95" t="s">
        <v>235</v>
      </c>
      <c r="Q1870" s="140">
        <v>42004</v>
      </c>
      <c r="R1870" s="95" t="s">
        <v>11032</v>
      </c>
      <c r="S1870" s="95" t="s">
        <v>11033</v>
      </c>
      <c r="T1870" s="95" t="s">
        <v>11034</v>
      </c>
      <c r="U1870" s="95">
        <v>2</v>
      </c>
      <c r="V1870" s="94" t="s">
        <v>1538</v>
      </c>
      <c r="W1870" s="94" t="s">
        <v>98</v>
      </c>
      <c r="X1870" s="95" t="s">
        <v>207</v>
      </c>
      <c r="Y1870" s="98" t="s">
        <v>98</v>
      </c>
      <c r="Z1870" s="98" t="s">
        <v>98</v>
      </c>
      <c r="AA1870" s="95" t="s">
        <v>276</v>
      </c>
      <c r="AB1870" s="95" t="s">
        <v>276</v>
      </c>
      <c r="AC1870" s="94">
        <v>58</v>
      </c>
      <c r="AD1870" s="94" t="s">
        <v>10980</v>
      </c>
      <c r="AE1870" s="94">
        <v>49</v>
      </c>
      <c r="AF1870" s="94" t="s">
        <v>10980</v>
      </c>
      <c r="AG1870" s="95" t="s">
        <v>11035</v>
      </c>
      <c r="AH1870" s="95" t="s">
        <v>11075</v>
      </c>
      <c r="AI1870" s="99">
        <v>207</v>
      </c>
      <c r="AJ1870" s="99">
        <v>225</v>
      </c>
      <c r="AK1870" s="99">
        <v>818</v>
      </c>
      <c r="AL1870" s="99">
        <v>886</v>
      </c>
      <c r="AM1870" s="99" t="s">
        <v>292</v>
      </c>
      <c r="AN1870" s="94" t="s">
        <v>276</v>
      </c>
      <c r="AO1870" s="102">
        <f>AI1870/AK1870*100</f>
        <v>25.305623471882637</v>
      </c>
      <c r="AP1870" s="110" t="s">
        <v>276</v>
      </c>
      <c r="AQ1870" s="94" t="s">
        <v>276</v>
      </c>
      <c r="AR1870" s="94" t="s">
        <v>276</v>
      </c>
      <c r="AS1870" s="101">
        <f>AJ1870/AL1870*100</f>
        <v>25.395033860045146</v>
      </c>
      <c r="AT1870" s="94" t="s">
        <v>276</v>
      </c>
      <c r="AU1870" s="94" t="s">
        <v>276</v>
      </c>
      <c r="AV1870" s="95" t="s">
        <v>268</v>
      </c>
      <c r="AW1870" s="141" t="s">
        <v>276</v>
      </c>
      <c r="AX1870" s="233">
        <f>AO1870/AS1870</f>
        <v>0.99647921760391189</v>
      </c>
      <c r="AY1870" s="95" t="s">
        <v>276</v>
      </c>
      <c r="AZ1870" s="95" t="s">
        <v>276</v>
      </c>
      <c r="BA1870" s="95" t="s">
        <v>276</v>
      </c>
      <c r="BB1870" s="95" t="s">
        <v>282</v>
      </c>
      <c r="BC1870" s="95" t="s">
        <v>98</v>
      </c>
      <c r="BD1870" s="95" t="s">
        <v>98</v>
      </c>
      <c r="BE1870" s="95" t="s">
        <v>98</v>
      </c>
      <c r="BF1870" s="95" t="s">
        <v>11045</v>
      </c>
      <c r="BG1870" s="95"/>
      <c r="BH1870" s="9" t="s">
        <v>100</v>
      </c>
      <c r="BI1870" s="9" t="s">
        <v>100</v>
      </c>
      <c r="BJ1870" s="109"/>
      <c r="BN1870" s="109"/>
      <c r="BO1870" s="109"/>
    </row>
    <row r="1871" spans="1:67" s="110" customFormat="1" ht="65" hidden="1" x14ac:dyDescent="0.35">
      <c r="A1871" s="94">
        <v>1169</v>
      </c>
      <c r="B1871" s="94" t="s">
        <v>10742</v>
      </c>
      <c r="C1871" s="94" t="s">
        <v>11086</v>
      </c>
      <c r="D1871" s="95" t="s">
        <v>11076</v>
      </c>
      <c r="E1871" s="94" t="s">
        <v>36</v>
      </c>
      <c r="F1871" s="95" t="s">
        <v>134</v>
      </c>
      <c r="G1871" s="94" t="s">
        <v>225</v>
      </c>
      <c r="H1871" s="94" t="s">
        <v>125</v>
      </c>
      <c r="I1871" s="94" t="s">
        <v>114</v>
      </c>
      <c r="J1871" s="95" t="s">
        <v>25</v>
      </c>
      <c r="K1871" s="94" t="s">
        <v>1510</v>
      </c>
      <c r="L1871" s="94" t="s">
        <v>276</v>
      </c>
      <c r="M1871" s="94" t="s">
        <v>276</v>
      </c>
      <c r="N1871" s="95" t="s">
        <v>11043</v>
      </c>
      <c r="O1871" s="95" t="s">
        <v>11031</v>
      </c>
      <c r="P1871" s="95" t="s">
        <v>235</v>
      </c>
      <c r="Q1871" s="140">
        <v>42004</v>
      </c>
      <c r="R1871" s="95" t="s">
        <v>11032</v>
      </c>
      <c r="S1871" s="95" t="s">
        <v>11033</v>
      </c>
      <c r="T1871" s="95" t="s">
        <v>11034</v>
      </c>
      <c r="U1871" s="95">
        <v>2</v>
      </c>
      <c r="V1871" s="94" t="s">
        <v>1538</v>
      </c>
      <c r="W1871" s="94" t="s">
        <v>98</v>
      </c>
      <c r="X1871" s="95" t="s">
        <v>207</v>
      </c>
      <c r="Y1871" s="98" t="s">
        <v>98</v>
      </c>
      <c r="Z1871" s="98" t="s">
        <v>98</v>
      </c>
      <c r="AA1871" s="95" t="s">
        <v>276</v>
      </c>
      <c r="AB1871" s="95" t="s">
        <v>276</v>
      </c>
      <c r="AC1871" s="94">
        <v>58</v>
      </c>
      <c r="AD1871" s="94" t="s">
        <v>10980</v>
      </c>
      <c r="AE1871" s="94">
        <v>49</v>
      </c>
      <c r="AF1871" s="94" t="s">
        <v>10980</v>
      </c>
      <c r="AG1871" s="95" t="s">
        <v>11037</v>
      </c>
      <c r="AH1871" s="95" t="s">
        <v>11075</v>
      </c>
      <c r="AI1871" s="99">
        <v>211</v>
      </c>
      <c r="AJ1871" s="99">
        <v>250</v>
      </c>
      <c r="AK1871" s="99">
        <v>818</v>
      </c>
      <c r="AL1871" s="99">
        <v>886</v>
      </c>
      <c r="AM1871" s="99" t="s">
        <v>292</v>
      </c>
      <c r="AN1871" s="94" t="s">
        <v>276</v>
      </c>
      <c r="AO1871" s="102">
        <f t="shared" ref="AO1871:AO1873" si="551">AI1871/AK1871*100</f>
        <v>25.794621026894866</v>
      </c>
      <c r="AP1871" s="110" t="s">
        <v>276</v>
      </c>
      <c r="AQ1871" s="94" t="s">
        <v>276</v>
      </c>
      <c r="AR1871" s="94" t="s">
        <v>276</v>
      </c>
      <c r="AS1871" s="101">
        <f t="shared" ref="AS1871:AS1873" si="552">AJ1871/AL1871*100</f>
        <v>28.216704288939056</v>
      </c>
      <c r="AT1871" s="94" t="s">
        <v>276</v>
      </c>
      <c r="AU1871" s="94" t="s">
        <v>276</v>
      </c>
      <c r="AV1871" s="95" t="s">
        <v>268</v>
      </c>
      <c r="AW1871" s="141" t="s">
        <v>276</v>
      </c>
      <c r="AX1871" s="233">
        <f t="shared" ref="AX1871:AX1873" si="553">AO1871/AS1871</f>
        <v>0.91416136919315394</v>
      </c>
      <c r="AY1871" s="95" t="s">
        <v>276</v>
      </c>
      <c r="AZ1871" s="95" t="s">
        <v>276</v>
      </c>
      <c r="BA1871" s="95" t="s">
        <v>276</v>
      </c>
      <c r="BB1871" s="95" t="s">
        <v>282</v>
      </c>
      <c r="BC1871" s="95" t="s">
        <v>98</v>
      </c>
      <c r="BD1871" s="95" t="s">
        <v>98</v>
      </c>
      <c r="BE1871" s="95" t="s">
        <v>98</v>
      </c>
      <c r="BF1871" s="95" t="s">
        <v>11045</v>
      </c>
      <c r="BG1871" s="95"/>
      <c r="BH1871" s="9" t="s">
        <v>100</v>
      </c>
      <c r="BI1871" s="9" t="s">
        <v>100</v>
      </c>
      <c r="BJ1871" s="109"/>
      <c r="BN1871" s="109"/>
      <c r="BO1871" s="109"/>
    </row>
    <row r="1872" spans="1:67" s="110" customFormat="1" ht="65" hidden="1" x14ac:dyDescent="0.35">
      <c r="A1872" s="94">
        <v>1169</v>
      </c>
      <c r="B1872" s="94" t="s">
        <v>10742</v>
      </c>
      <c r="C1872" s="94" t="s">
        <v>11086</v>
      </c>
      <c r="D1872" s="95" t="s">
        <v>11077</v>
      </c>
      <c r="E1872" s="94" t="s">
        <v>36</v>
      </c>
      <c r="F1872" s="95" t="s">
        <v>134</v>
      </c>
      <c r="G1872" s="94" t="s">
        <v>225</v>
      </c>
      <c r="H1872" s="94" t="s">
        <v>125</v>
      </c>
      <c r="I1872" s="94" t="s">
        <v>114</v>
      </c>
      <c r="J1872" s="95" t="s">
        <v>25</v>
      </c>
      <c r="K1872" s="94" t="s">
        <v>1513</v>
      </c>
      <c r="L1872" s="94" t="s">
        <v>276</v>
      </c>
      <c r="M1872" s="94" t="s">
        <v>276</v>
      </c>
      <c r="N1872" s="95" t="s">
        <v>11030</v>
      </c>
      <c r="O1872" s="95" t="s">
        <v>11031</v>
      </c>
      <c r="P1872" s="95" t="s">
        <v>235</v>
      </c>
      <c r="Q1872" s="140">
        <v>42004</v>
      </c>
      <c r="R1872" s="95" t="s">
        <v>11032</v>
      </c>
      <c r="S1872" s="95" t="s">
        <v>11033</v>
      </c>
      <c r="T1872" s="95" t="s">
        <v>11034</v>
      </c>
      <c r="U1872" s="95">
        <v>2</v>
      </c>
      <c r="V1872" s="94" t="s">
        <v>1538</v>
      </c>
      <c r="W1872" s="94" t="s">
        <v>98</v>
      </c>
      <c r="X1872" s="95" t="s">
        <v>207</v>
      </c>
      <c r="Y1872" s="98" t="s">
        <v>98</v>
      </c>
      <c r="Z1872" s="98" t="s">
        <v>98</v>
      </c>
      <c r="AA1872" s="95" t="s">
        <v>276</v>
      </c>
      <c r="AB1872" s="95" t="s">
        <v>276</v>
      </c>
      <c r="AC1872" s="94">
        <v>58</v>
      </c>
      <c r="AD1872" s="95" t="s">
        <v>10980</v>
      </c>
      <c r="AE1872" s="94">
        <v>49</v>
      </c>
      <c r="AF1872" s="95" t="s">
        <v>10980</v>
      </c>
      <c r="AG1872" s="95" t="s">
        <v>11039</v>
      </c>
      <c r="AH1872" s="95" t="s">
        <v>11075</v>
      </c>
      <c r="AI1872" s="99">
        <v>219</v>
      </c>
      <c r="AJ1872" s="99">
        <v>236</v>
      </c>
      <c r="AK1872" s="99">
        <v>818</v>
      </c>
      <c r="AL1872" s="99">
        <v>886</v>
      </c>
      <c r="AM1872" s="99" t="s">
        <v>292</v>
      </c>
      <c r="AN1872" s="94" t="s">
        <v>276</v>
      </c>
      <c r="AO1872" s="102">
        <f t="shared" si="551"/>
        <v>26.772616136919314</v>
      </c>
      <c r="AP1872" s="110" t="s">
        <v>276</v>
      </c>
      <c r="AQ1872" s="94" t="s">
        <v>276</v>
      </c>
      <c r="AR1872" s="94" t="s">
        <v>276</v>
      </c>
      <c r="AS1872" s="101">
        <f t="shared" si="552"/>
        <v>26.636568848758461</v>
      </c>
      <c r="AT1872" s="94" t="s">
        <v>276</v>
      </c>
      <c r="AU1872" s="94" t="s">
        <v>276</v>
      </c>
      <c r="AV1872" s="95" t="s">
        <v>268</v>
      </c>
      <c r="AW1872" s="141" t="s">
        <v>276</v>
      </c>
      <c r="AX1872" s="233">
        <f t="shared" si="553"/>
        <v>1.0051075380216321</v>
      </c>
      <c r="AY1872" s="95" t="s">
        <v>276</v>
      </c>
      <c r="AZ1872" s="95" t="s">
        <v>276</v>
      </c>
      <c r="BA1872" s="95" t="s">
        <v>276</v>
      </c>
      <c r="BB1872" s="95" t="s">
        <v>282</v>
      </c>
      <c r="BC1872" s="95" t="s">
        <v>98</v>
      </c>
      <c r="BD1872" s="95" t="s">
        <v>98</v>
      </c>
      <c r="BE1872" s="95" t="s">
        <v>98</v>
      </c>
      <c r="BF1872" s="95" t="s">
        <v>11045</v>
      </c>
      <c r="BG1872" s="95"/>
      <c r="BH1872" s="9" t="s">
        <v>100</v>
      </c>
      <c r="BI1872" s="9" t="s">
        <v>100</v>
      </c>
      <c r="BJ1872" s="109"/>
      <c r="BN1872" s="109"/>
      <c r="BO1872" s="109"/>
    </row>
    <row r="1873" spans="1:67" s="110" customFormat="1" ht="65" hidden="1" x14ac:dyDescent="0.35">
      <c r="A1873" s="94">
        <v>1169</v>
      </c>
      <c r="B1873" s="94" t="s">
        <v>10742</v>
      </c>
      <c r="C1873" s="94" t="s">
        <v>11086</v>
      </c>
      <c r="D1873" s="95" t="s">
        <v>11078</v>
      </c>
      <c r="E1873" s="94" t="s">
        <v>36</v>
      </c>
      <c r="F1873" s="95" t="s">
        <v>134</v>
      </c>
      <c r="G1873" s="94" t="s">
        <v>225</v>
      </c>
      <c r="H1873" s="94" t="s">
        <v>125</v>
      </c>
      <c r="I1873" s="94" t="s">
        <v>114</v>
      </c>
      <c r="J1873" s="95" t="s">
        <v>25</v>
      </c>
      <c r="K1873" s="94" t="s">
        <v>1516</v>
      </c>
      <c r="L1873" s="94" t="s">
        <v>276</v>
      </c>
      <c r="M1873" s="94" t="s">
        <v>276</v>
      </c>
      <c r="N1873" s="95" t="s">
        <v>11030</v>
      </c>
      <c r="O1873" s="95" t="s">
        <v>11031</v>
      </c>
      <c r="P1873" s="95" t="s">
        <v>235</v>
      </c>
      <c r="Q1873" s="140">
        <v>42004</v>
      </c>
      <c r="R1873" s="95" t="s">
        <v>11032</v>
      </c>
      <c r="S1873" s="95" t="s">
        <v>11033</v>
      </c>
      <c r="T1873" s="95" t="s">
        <v>11034</v>
      </c>
      <c r="U1873" s="95">
        <v>2</v>
      </c>
      <c r="V1873" s="94" t="s">
        <v>1538</v>
      </c>
      <c r="W1873" s="94" t="s">
        <v>98</v>
      </c>
      <c r="X1873" s="95" t="s">
        <v>207</v>
      </c>
      <c r="Y1873" s="98" t="s">
        <v>98</v>
      </c>
      <c r="Z1873" s="98" t="s">
        <v>98</v>
      </c>
      <c r="AA1873" s="95" t="s">
        <v>276</v>
      </c>
      <c r="AB1873" s="95" t="s">
        <v>276</v>
      </c>
      <c r="AC1873" s="94">
        <v>58</v>
      </c>
      <c r="AD1873" s="95" t="s">
        <v>10980</v>
      </c>
      <c r="AE1873" s="94">
        <v>49</v>
      </c>
      <c r="AF1873" s="95" t="s">
        <v>10980</v>
      </c>
      <c r="AG1873" s="95" t="s">
        <v>11041</v>
      </c>
      <c r="AH1873" s="95" t="s">
        <v>11075</v>
      </c>
      <c r="AI1873" s="99">
        <v>123</v>
      </c>
      <c r="AJ1873" s="99">
        <v>126</v>
      </c>
      <c r="AK1873" s="99">
        <v>818</v>
      </c>
      <c r="AL1873" s="99">
        <v>886</v>
      </c>
      <c r="AM1873" s="99" t="s">
        <v>292</v>
      </c>
      <c r="AN1873" s="94" t="s">
        <v>276</v>
      </c>
      <c r="AO1873" s="102">
        <f t="shared" si="551"/>
        <v>15.036674816625917</v>
      </c>
      <c r="AP1873" s="110" t="s">
        <v>276</v>
      </c>
      <c r="AQ1873" s="94" t="s">
        <v>276</v>
      </c>
      <c r="AR1873" s="94" t="s">
        <v>276</v>
      </c>
      <c r="AS1873" s="101">
        <f t="shared" si="552"/>
        <v>14.221218961625281</v>
      </c>
      <c r="AT1873" s="94" t="s">
        <v>276</v>
      </c>
      <c r="AU1873" s="94" t="s">
        <v>276</v>
      </c>
      <c r="AV1873" s="95" t="s">
        <v>268</v>
      </c>
      <c r="AW1873" s="141" t="s">
        <v>276</v>
      </c>
      <c r="AX1873" s="233">
        <f t="shared" si="553"/>
        <v>1.0573407847246479</v>
      </c>
      <c r="AY1873" s="95" t="s">
        <v>276</v>
      </c>
      <c r="AZ1873" s="95" t="s">
        <v>276</v>
      </c>
      <c r="BA1873" s="95" t="s">
        <v>276</v>
      </c>
      <c r="BB1873" s="95" t="s">
        <v>282</v>
      </c>
      <c r="BC1873" s="95" t="s">
        <v>98</v>
      </c>
      <c r="BD1873" s="95" t="s">
        <v>98</v>
      </c>
      <c r="BE1873" s="95" t="s">
        <v>98</v>
      </c>
      <c r="BF1873" s="95" t="s">
        <v>11045</v>
      </c>
      <c r="BG1873" s="95"/>
      <c r="BH1873" s="9" t="s">
        <v>100</v>
      </c>
      <c r="BI1873" s="9" t="s">
        <v>100</v>
      </c>
      <c r="BJ1873" s="109"/>
      <c r="BN1873" s="109"/>
      <c r="BO1873" s="109"/>
    </row>
    <row r="1874" spans="1:67" s="33" customFormat="1" ht="65" hidden="1" x14ac:dyDescent="0.35">
      <c r="A1874" s="8">
        <v>727</v>
      </c>
      <c r="B1874" s="8" t="s">
        <v>8106</v>
      </c>
      <c r="C1874" s="8" t="s">
        <v>77</v>
      </c>
      <c r="D1874" s="9" t="s">
        <v>8186</v>
      </c>
      <c r="E1874" s="8" t="s">
        <v>39</v>
      </c>
      <c r="F1874" s="9" t="s">
        <v>8108</v>
      </c>
      <c r="G1874" s="8" t="s">
        <v>8119</v>
      </c>
      <c r="H1874" s="8" t="s">
        <v>225</v>
      </c>
      <c r="I1874" s="8" t="s">
        <v>98</v>
      </c>
      <c r="J1874" s="9" t="s">
        <v>98</v>
      </c>
      <c r="K1874" s="8" t="s">
        <v>98</v>
      </c>
      <c r="L1874" s="8" t="s">
        <v>98</v>
      </c>
      <c r="M1874" s="8" t="s">
        <v>98</v>
      </c>
      <c r="N1874" s="9" t="s">
        <v>8187</v>
      </c>
      <c r="O1874" s="9" t="s">
        <v>8110</v>
      </c>
      <c r="P1874" s="9" t="s">
        <v>238</v>
      </c>
      <c r="Q1874" s="52">
        <v>40848</v>
      </c>
      <c r="R1874" s="9" t="s">
        <v>728</v>
      </c>
      <c r="S1874" s="9" t="s">
        <v>5633</v>
      </c>
      <c r="T1874" s="9" t="s">
        <v>5633</v>
      </c>
      <c r="U1874" s="9" t="s">
        <v>8122</v>
      </c>
      <c r="V1874" s="9" t="s">
        <v>261</v>
      </c>
      <c r="W1874" s="8" t="s">
        <v>8111</v>
      </c>
      <c r="X1874" s="9" t="s">
        <v>208</v>
      </c>
      <c r="Y1874" s="13">
        <v>1190</v>
      </c>
      <c r="Z1874" s="9">
        <v>1186</v>
      </c>
      <c r="AA1874" s="9" t="s">
        <v>276</v>
      </c>
      <c r="AB1874" s="9" t="s">
        <v>276</v>
      </c>
      <c r="AC1874" s="8">
        <v>0</v>
      </c>
      <c r="AD1874" s="9" t="s">
        <v>3843</v>
      </c>
      <c r="AE1874" s="8">
        <v>0</v>
      </c>
      <c r="AF1874" s="9" t="s">
        <v>3843</v>
      </c>
      <c r="AG1874" s="9" t="s">
        <v>8188</v>
      </c>
      <c r="AH1874" s="9" t="s">
        <v>866</v>
      </c>
      <c r="AI1874" s="38">
        <v>29</v>
      </c>
      <c r="AJ1874" s="38">
        <v>20</v>
      </c>
      <c r="AK1874" s="38">
        <v>1190</v>
      </c>
      <c r="AL1874" s="38">
        <v>1186</v>
      </c>
      <c r="AM1874" s="38" t="s">
        <v>292</v>
      </c>
      <c r="AN1874" s="8" t="s">
        <v>276</v>
      </c>
      <c r="AO1874" s="14">
        <f t="shared" ref="AO1874:AO1882" si="554">AI1874*100/AK1874</f>
        <v>2.4369747899159662</v>
      </c>
      <c r="AP1874" s="8" t="s">
        <v>276</v>
      </c>
      <c r="AQ1874" s="8" t="s">
        <v>276</v>
      </c>
      <c r="AR1874" s="8" t="s">
        <v>276</v>
      </c>
      <c r="AS1874" s="14">
        <f>AJ1874*100/AL1874</f>
        <v>1.6863406408094435</v>
      </c>
      <c r="AT1874" s="8" t="s">
        <v>276</v>
      </c>
      <c r="AU1874" s="8" t="s">
        <v>276</v>
      </c>
      <c r="AV1874" s="9" t="s">
        <v>268</v>
      </c>
      <c r="AW1874" s="40" t="s">
        <v>276</v>
      </c>
      <c r="AX1874" s="40">
        <f>AO1874/AS1874</f>
        <v>1.445126050420168</v>
      </c>
      <c r="AY1874" s="9" t="s">
        <v>276</v>
      </c>
      <c r="AZ1874" s="9" t="s">
        <v>276</v>
      </c>
      <c r="BA1874" s="9" t="s">
        <v>276</v>
      </c>
      <c r="BB1874" s="9" t="s">
        <v>282</v>
      </c>
      <c r="BC1874" s="9" t="s">
        <v>276</v>
      </c>
      <c r="BD1874" s="9" t="s">
        <v>276</v>
      </c>
      <c r="BE1874" s="9" t="s">
        <v>276</v>
      </c>
      <c r="BF1874" s="9" t="s">
        <v>8189</v>
      </c>
      <c r="BG1874" s="9" t="s">
        <v>276</v>
      </c>
      <c r="BH1874" s="9" t="s">
        <v>100</v>
      </c>
      <c r="BI1874" s="9" t="s">
        <v>100</v>
      </c>
      <c r="BJ1874" s="32"/>
      <c r="BN1874" s="32"/>
      <c r="BO1874" s="32"/>
    </row>
    <row r="1875" spans="1:67" s="33" customFormat="1" ht="76" hidden="1" customHeight="1" x14ac:dyDescent="0.35">
      <c r="A1875" s="8">
        <v>727</v>
      </c>
      <c r="B1875" s="8" t="s">
        <v>8106</v>
      </c>
      <c r="C1875" s="8" t="s">
        <v>77</v>
      </c>
      <c r="D1875" s="9" t="s">
        <v>8190</v>
      </c>
      <c r="E1875" s="8" t="s">
        <v>39</v>
      </c>
      <c r="F1875" s="9" t="s">
        <v>143</v>
      </c>
      <c r="G1875" s="8" t="s">
        <v>225</v>
      </c>
      <c r="H1875" s="8" t="s">
        <v>225</v>
      </c>
      <c r="I1875" s="8" t="s">
        <v>98</v>
      </c>
      <c r="J1875" s="9" t="s">
        <v>98</v>
      </c>
      <c r="K1875" s="8" t="s">
        <v>98</v>
      </c>
      <c r="L1875" s="8" t="s">
        <v>98</v>
      </c>
      <c r="M1875" s="8" t="s">
        <v>98</v>
      </c>
      <c r="N1875" s="9" t="s">
        <v>8187</v>
      </c>
      <c r="O1875" s="9" t="s">
        <v>8110</v>
      </c>
      <c r="P1875" s="9" t="s">
        <v>238</v>
      </c>
      <c r="Q1875" s="52">
        <v>40848</v>
      </c>
      <c r="R1875" s="9" t="s">
        <v>728</v>
      </c>
      <c r="S1875" s="9" t="s">
        <v>5633</v>
      </c>
      <c r="T1875" s="9" t="s">
        <v>98</v>
      </c>
      <c r="U1875" s="9" t="s">
        <v>8122</v>
      </c>
      <c r="V1875" s="9" t="s">
        <v>261</v>
      </c>
      <c r="W1875" s="8" t="s">
        <v>8111</v>
      </c>
      <c r="X1875" s="9" t="s">
        <v>209</v>
      </c>
      <c r="Y1875" s="13">
        <f>1190+1186</f>
        <v>2376</v>
      </c>
      <c r="Z1875" s="9" t="s">
        <v>98</v>
      </c>
      <c r="AA1875" s="9" t="s">
        <v>276</v>
      </c>
      <c r="AB1875" s="9" t="s">
        <v>98</v>
      </c>
      <c r="AC1875" s="8">
        <v>0</v>
      </c>
      <c r="AD1875" s="9" t="s">
        <v>3843</v>
      </c>
      <c r="AE1875" s="8" t="s">
        <v>98</v>
      </c>
      <c r="AF1875" s="8" t="s">
        <v>98</v>
      </c>
      <c r="AG1875" s="9" t="s">
        <v>8191</v>
      </c>
      <c r="AH1875" s="9" t="s">
        <v>866</v>
      </c>
      <c r="AI1875" s="38">
        <v>49</v>
      </c>
      <c r="AJ1875" s="38" t="s">
        <v>98</v>
      </c>
      <c r="AK1875" s="38">
        <v>2376</v>
      </c>
      <c r="AL1875" s="38" t="s">
        <v>98</v>
      </c>
      <c r="AM1875" s="38" t="s">
        <v>292</v>
      </c>
      <c r="AN1875" s="8" t="s">
        <v>276</v>
      </c>
      <c r="AO1875" s="14">
        <f t="shared" si="554"/>
        <v>2.0622895622895623</v>
      </c>
      <c r="AP1875" s="8" t="s">
        <v>276</v>
      </c>
      <c r="AQ1875" s="8" t="s">
        <v>276</v>
      </c>
      <c r="AR1875" s="8" t="s">
        <v>98</v>
      </c>
      <c r="AS1875" s="8" t="s">
        <v>98</v>
      </c>
      <c r="AT1875" s="8" t="s">
        <v>98</v>
      </c>
      <c r="AU1875" s="8" t="s">
        <v>98</v>
      </c>
      <c r="AV1875" s="8" t="s">
        <v>98</v>
      </c>
      <c r="AW1875" s="8" t="s">
        <v>98</v>
      </c>
      <c r="AX1875" s="8" t="s">
        <v>98</v>
      </c>
      <c r="AY1875" s="8" t="s">
        <v>98</v>
      </c>
      <c r="AZ1875" s="8" t="s">
        <v>98</v>
      </c>
      <c r="BA1875" s="8" t="s">
        <v>98</v>
      </c>
      <c r="BB1875" s="8" t="s">
        <v>98</v>
      </c>
      <c r="BC1875" s="8" t="s">
        <v>98</v>
      </c>
      <c r="BD1875" s="8" t="s">
        <v>98</v>
      </c>
      <c r="BE1875" s="8" t="s">
        <v>98</v>
      </c>
      <c r="BF1875" s="9" t="s">
        <v>8189</v>
      </c>
      <c r="BG1875" s="9" t="s">
        <v>276</v>
      </c>
      <c r="BH1875" s="9" t="s">
        <v>100</v>
      </c>
      <c r="BI1875" s="9" t="s">
        <v>100</v>
      </c>
      <c r="BJ1875" s="32"/>
      <c r="BN1875" s="32"/>
      <c r="BO1875" s="32"/>
    </row>
    <row r="1876" spans="1:67" s="33" customFormat="1" ht="52" hidden="1" x14ac:dyDescent="0.35">
      <c r="A1876" s="8">
        <v>727</v>
      </c>
      <c r="B1876" s="8" t="s">
        <v>8106</v>
      </c>
      <c r="C1876" s="8" t="s">
        <v>77</v>
      </c>
      <c r="D1876" s="9" t="s">
        <v>8192</v>
      </c>
      <c r="E1876" s="8" t="s">
        <v>39</v>
      </c>
      <c r="F1876" s="9" t="s">
        <v>8108</v>
      </c>
      <c r="G1876" s="8" t="s">
        <v>8119</v>
      </c>
      <c r="H1876" s="8" t="s">
        <v>225</v>
      </c>
      <c r="I1876" s="8" t="s">
        <v>98</v>
      </c>
      <c r="J1876" s="9" t="s">
        <v>98</v>
      </c>
      <c r="K1876" s="8" t="s">
        <v>98</v>
      </c>
      <c r="L1876" s="8" t="s">
        <v>98</v>
      </c>
      <c r="M1876" s="8" t="s">
        <v>98</v>
      </c>
      <c r="N1876" s="9" t="s">
        <v>8187</v>
      </c>
      <c r="O1876" s="9" t="s">
        <v>8110</v>
      </c>
      <c r="P1876" s="9" t="s">
        <v>236</v>
      </c>
      <c r="Q1876" s="52">
        <v>40848</v>
      </c>
      <c r="R1876" s="9" t="s">
        <v>728</v>
      </c>
      <c r="S1876" s="9" t="s">
        <v>5633</v>
      </c>
      <c r="T1876" s="9" t="s">
        <v>5633</v>
      </c>
      <c r="U1876" s="9" t="s">
        <v>8122</v>
      </c>
      <c r="V1876" s="9" t="s">
        <v>261</v>
      </c>
      <c r="W1876" s="8" t="s">
        <v>8111</v>
      </c>
      <c r="X1876" s="9" t="s">
        <v>208</v>
      </c>
      <c r="Y1876" s="13" t="s">
        <v>98</v>
      </c>
      <c r="Z1876" s="9" t="s">
        <v>98</v>
      </c>
      <c r="AA1876" s="9" t="s">
        <v>276</v>
      </c>
      <c r="AB1876" s="9" t="s">
        <v>276</v>
      </c>
      <c r="AC1876" s="8">
        <v>0</v>
      </c>
      <c r="AD1876" s="9" t="s">
        <v>3843</v>
      </c>
      <c r="AE1876" s="8">
        <v>0</v>
      </c>
      <c r="AF1876" s="9" t="s">
        <v>3843</v>
      </c>
      <c r="AG1876" s="9" t="s">
        <v>8188</v>
      </c>
      <c r="AH1876" s="9" t="s">
        <v>8193</v>
      </c>
      <c r="AI1876" s="38">
        <v>29</v>
      </c>
      <c r="AJ1876" s="38">
        <v>20</v>
      </c>
      <c r="AK1876" s="38">
        <v>34</v>
      </c>
      <c r="AL1876" s="38">
        <v>25</v>
      </c>
      <c r="AM1876" s="38" t="s">
        <v>292</v>
      </c>
      <c r="AN1876" s="8" t="s">
        <v>276</v>
      </c>
      <c r="AO1876" s="14">
        <f t="shared" si="554"/>
        <v>85.294117647058826</v>
      </c>
      <c r="AP1876" s="8" t="s">
        <v>276</v>
      </c>
      <c r="AQ1876" s="8" t="s">
        <v>276</v>
      </c>
      <c r="AR1876" s="8" t="s">
        <v>276</v>
      </c>
      <c r="AS1876" s="14">
        <f>AJ1876*100/AL1876</f>
        <v>80</v>
      </c>
      <c r="AT1876" s="8" t="s">
        <v>276</v>
      </c>
      <c r="AU1876" s="8" t="s">
        <v>276</v>
      </c>
      <c r="AV1876" s="9" t="s">
        <v>268</v>
      </c>
      <c r="AW1876" s="40" t="s">
        <v>276</v>
      </c>
      <c r="AX1876" s="40">
        <f>AO1876/AS1876</f>
        <v>1.0661764705882353</v>
      </c>
      <c r="AY1876" s="9" t="s">
        <v>276</v>
      </c>
      <c r="AZ1876" s="9" t="s">
        <v>276</v>
      </c>
      <c r="BA1876" s="9" t="s">
        <v>276</v>
      </c>
      <c r="BB1876" s="9" t="s">
        <v>282</v>
      </c>
      <c r="BC1876" s="9" t="s">
        <v>276</v>
      </c>
      <c r="BD1876" s="9" t="s">
        <v>276</v>
      </c>
      <c r="BE1876" s="9" t="s">
        <v>276</v>
      </c>
      <c r="BF1876" s="9" t="s">
        <v>8194</v>
      </c>
      <c r="BG1876" s="9" t="s">
        <v>276</v>
      </c>
      <c r="BH1876" s="9" t="s">
        <v>100</v>
      </c>
      <c r="BI1876" s="9" t="s">
        <v>100</v>
      </c>
      <c r="BJ1876" s="32"/>
      <c r="BN1876" s="32"/>
      <c r="BO1876" s="32"/>
    </row>
    <row r="1877" spans="1:67" s="33" customFormat="1" ht="65" hidden="1" x14ac:dyDescent="0.35">
      <c r="A1877" s="8">
        <v>727</v>
      </c>
      <c r="B1877" s="8" t="s">
        <v>8106</v>
      </c>
      <c r="C1877" s="8" t="s">
        <v>77</v>
      </c>
      <c r="D1877" s="9" t="s">
        <v>8195</v>
      </c>
      <c r="E1877" s="8" t="s">
        <v>39</v>
      </c>
      <c r="F1877" s="9" t="s">
        <v>143</v>
      </c>
      <c r="G1877" s="8" t="s">
        <v>225</v>
      </c>
      <c r="H1877" s="8" t="s">
        <v>225</v>
      </c>
      <c r="I1877" s="8" t="s">
        <v>98</v>
      </c>
      <c r="J1877" s="9" t="s">
        <v>98</v>
      </c>
      <c r="K1877" s="8" t="s">
        <v>98</v>
      </c>
      <c r="L1877" s="8" t="s">
        <v>98</v>
      </c>
      <c r="M1877" s="8" t="s">
        <v>98</v>
      </c>
      <c r="N1877" s="9" t="s">
        <v>8187</v>
      </c>
      <c r="O1877" s="9" t="s">
        <v>8110</v>
      </c>
      <c r="P1877" s="9" t="s">
        <v>236</v>
      </c>
      <c r="Q1877" s="52">
        <v>40848</v>
      </c>
      <c r="R1877" s="9" t="s">
        <v>728</v>
      </c>
      <c r="S1877" s="9" t="s">
        <v>5633</v>
      </c>
      <c r="T1877" s="9" t="s">
        <v>98</v>
      </c>
      <c r="U1877" s="9" t="s">
        <v>8122</v>
      </c>
      <c r="V1877" s="9" t="s">
        <v>261</v>
      </c>
      <c r="W1877" s="8" t="s">
        <v>8111</v>
      </c>
      <c r="X1877" s="9" t="s">
        <v>209</v>
      </c>
      <c r="Y1877" s="13" t="s">
        <v>98</v>
      </c>
      <c r="Z1877" s="9" t="s">
        <v>98</v>
      </c>
      <c r="AA1877" s="9" t="s">
        <v>276</v>
      </c>
      <c r="AB1877" s="9" t="s">
        <v>98</v>
      </c>
      <c r="AC1877" s="8">
        <v>0</v>
      </c>
      <c r="AD1877" s="9" t="s">
        <v>3843</v>
      </c>
      <c r="AE1877" s="8" t="s">
        <v>98</v>
      </c>
      <c r="AF1877" s="8" t="s">
        <v>98</v>
      </c>
      <c r="AG1877" s="9" t="s">
        <v>8191</v>
      </c>
      <c r="AH1877" s="9" t="s">
        <v>8193</v>
      </c>
      <c r="AI1877" s="38">
        <v>49</v>
      </c>
      <c r="AJ1877" s="38" t="s">
        <v>98</v>
      </c>
      <c r="AK1877" s="38">
        <f>25+34</f>
        <v>59</v>
      </c>
      <c r="AL1877" s="38" t="s">
        <v>98</v>
      </c>
      <c r="AM1877" s="38" t="s">
        <v>292</v>
      </c>
      <c r="AN1877" s="8" t="s">
        <v>276</v>
      </c>
      <c r="AO1877" s="14">
        <f t="shared" si="554"/>
        <v>83.050847457627114</v>
      </c>
      <c r="AP1877" s="8" t="s">
        <v>276</v>
      </c>
      <c r="AQ1877" s="8" t="s">
        <v>276</v>
      </c>
      <c r="AR1877" s="8" t="s">
        <v>98</v>
      </c>
      <c r="AS1877" s="8" t="s">
        <v>98</v>
      </c>
      <c r="AT1877" s="8" t="s">
        <v>98</v>
      </c>
      <c r="AU1877" s="8" t="s">
        <v>98</v>
      </c>
      <c r="AV1877" s="8" t="s">
        <v>98</v>
      </c>
      <c r="AW1877" s="8" t="s">
        <v>98</v>
      </c>
      <c r="AX1877" s="8" t="s">
        <v>98</v>
      </c>
      <c r="AY1877" s="8" t="s">
        <v>98</v>
      </c>
      <c r="AZ1877" s="8" t="s">
        <v>98</v>
      </c>
      <c r="BA1877" s="8" t="s">
        <v>98</v>
      </c>
      <c r="BB1877" s="8" t="s">
        <v>98</v>
      </c>
      <c r="BC1877" s="8" t="s">
        <v>98</v>
      </c>
      <c r="BD1877" s="8" t="s">
        <v>98</v>
      </c>
      <c r="BE1877" s="8" t="s">
        <v>98</v>
      </c>
      <c r="BF1877" s="9" t="s">
        <v>8194</v>
      </c>
      <c r="BG1877" s="9" t="s">
        <v>276</v>
      </c>
      <c r="BH1877" s="9" t="s">
        <v>100</v>
      </c>
      <c r="BI1877" s="9" t="s">
        <v>100</v>
      </c>
      <c r="BJ1877" s="32"/>
      <c r="BN1877" s="32"/>
      <c r="BO1877" s="32"/>
    </row>
    <row r="1878" spans="1:67" s="172" customFormat="1" ht="65" hidden="1" x14ac:dyDescent="0.35">
      <c r="A1878" s="150">
        <v>708</v>
      </c>
      <c r="B1878" s="150" t="s">
        <v>8196</v>
      </c>
      <c r="C1878" s="150" t="s">
        <v>77</v>
      </c>
      <c r="D1878" s="151" t="s">
        <v>8197</v>
      </c>
      <c r="E1878" s="150" t="s">
        <v>39</v>
      </c>
      <c r="F1878" s="151" t="s">
        <v>8108</v>
      </c>
      <c r="G1878" s="150" t="s">
        <v>8119</v>
      </c>
      <c r="H1878" s="150" t="s">
        <v>225</v>
      </c>
      <c r="I1878" s="150" t="s">
        <v>98</v>
      </c>
      <c r="J1878" s="151" t="s">
        <v>98</v>
      </c>
      <c r="K1878" s="150" t="s">
        <v>98</v>
      </c>
      <c r="L1878" s="151" t="s">
        <v>98</v>
      </c>
      <c r="M1878" s="150" t="s">
        <v>98</v>
      </c>
      <c r="N1878" s="150" t="s">
        <v>276</v>
      </c>
      <c r="O1878" s="151" t="s">
        <v>276</v>
      </c>
      <c r="P1878" s="151" t="s">
        <v>238</v>
      </c>
      <c r="Q1878" s="154">
        <v>41639</v>
      </c>
      <c r="R1878" s="151" t="s">
        <v>276</v>
      </c>
      <c r="S1878" s="151" t="s">
        <v>8198</v>
      </c>
      <c r="T1878" s="151" t="s">
        <v>8198</v>
      </c>
      <c r="U1878" s="151" t="s">
        <v>8199</v>
      </c>
      <c r="V1878" s="151" t="s">
        <v>261</v>
      </c>
      <c r="W1878" s="150" t="s">
        <v>8111</v>
      </c>
      <c r="X1878" s="151" t="s">
        <v>208</v>
      </c>
      <c r="Y1878" s="155">
        <v>1190</v>
      </c>
      <c r="Z1878" s="151">
        <v>1186</v>
      </c>
      <c r="AA1878" s="151" t="s">
        <v>276</v>
      </c>
      <c r="AB1878" s="151" t="s">
        <v>276</v>
      </c>
      <c r="AC1878" s="150">
        <v>0</v>
      </c>
      <c r="AD1878" s="150" t="s">
        <v>98</v>
      </c>
      <c r="AE1878" s="150">
        <v>0</v>
      </c>
      <c r="AF1878" s="150" t="s">
        <v>98</v>
      </c>
      <c r="AG1878" s="151" t="s">
        <v>8200</v>
      </c>
      <c r="AH1878" s="151" t="s">
        <v>866</v>
      </c>
      <c r="AI1878" s="156">
        <v>29</v>
      </c>
      <c r="AJ1878" s="156">
        <v>21</v>
      </c>
      <c r="AK1878" s="156">
        <v>1190</v>
      </c>
      <c r="AL1878" s="156">
        <v>1186</v>
      </c>
      <c r="AM1878" s="156" t="s">
        <v>292</v>
      </c>
      <c r="AN1878" s="150" t="s">
        <v>276</v>
      </c>
      <c r="AO1878" s="158">
        <f t="shared" si="554"/>
        <v>2.4369747899159662</v>
      </c>
      <c r="AP1878" s="150" t="s">
        <v>276</v>
      </c>
      <c r="AQ1878" s="150" t="s">
        <v>276</v>
      </c>
      <c r="AR1878" s="150" t="s">
        <v>276</v>
      </c>
      <c r="AS1878" s="158">
        <f>AJ1878*100/AL1878</f>
        <v>1.7706576728499157</v>
      </c>
      <c r="AT1878" s="150" t="s">
        <v>276</v>
      </c>
      <c r="AU1878" s="150" t="s">
        <v>276</v>
      </c>
      <c r="AV1878" s="151" t="s">
        <v>268</v>
      </c>
      <c r="AW1878" s="235" t="s">
        <v>276</v>
      </c>
      <c r="AX1878" s="235">
        <f>AO1878/AS1878</f>
        <v>1.3763105242096838</v>
      </c>
      <c r="AY1878" s="151" t="s">
        <v>276</v>
      </c>
      <c r="AZ1878" s="151" t="s">
        <v>276</v>
      </c>
      <c r="BA1878" s="151" t="s">
        <v>276</v>
      </c>
      <c r="BB1878" s="151" t="s">
        <v>282</v>
      </c>
      <c r="BC1878" s="151" t="s">
        <v>276</v>
      </c>
      <c r="BD1878" s="151" t="s">
        <v>276</v>
      </c>
      <c r="BE1878" s="151" t="s">
        <v>276</v>
      </c>
      <c r="BF1878" s="151" t="s">
        <v>298</v>
      </c>
      <c r="BG1878" s="151"/>
      <c r="BH1878" s="9" t="s">
        <v>100</v>
      </c>
      <c r="BI1878" s="9" t="s">
        <v>100</v>
      </c>
      <c r="BJ1878" s="171"/>
      <c r="BN1878" s="171"/>
      <c r="BO1878" s="171"/>
    </row>
    <row r="1879" spans="1:67" s="172" customFormat="1" ht="78" hidden="1" x14ac:dyDescent="0.35">
      <c r="A1879" s="150">
        <v>708</v>
      </c>
      <c r="B1879" s="150" t="s">
        <v>8196</v>
      </c>
      <c r="C1879" s="150" t="s">
        <v>77</v>
      </c>
      <c r="D1879" s="346" t="s">
        <v>11097</v>
      </c>
      <c r="E1879" s="150" t="s">
        <v>39</v>
      </c>
      <c r="F1879" s="151" t="s">
        <v>8108</v>
      </c>
      <c r="G1879" s="150" t="s">
        <v>8119</v>
      </c>
      <c r="H1879" s="150" t="s">
        <v>225</v>
      </c>
      <c r="I1879" s="150" t="s">
        <v>98</v>
      </c>
      <c r="J1879" s="151" t="s">
        <v>98</v>
      </c>
      <c r="K1879" s="150" t="s">
        <v>98</v>
      </c>
      <c r="L1879" s="151" t="s">
        <v>98</v>
      </c>
      <c r="M1879" s="150" t="s">
        <v>98</v>
      </c>
      <c r="N1879" s="150" t="s">
        <v>276</v>
      </c>
      <c r="O1879" s="151" t="s">
        <v>276</v>
      </c>
      <c r="P1879" s="151" t="s">
        <v>236</v>
      </c>
      <c r="Q1879" s="154">
        <v>41639</v>
      </c>
      <c r="R1879" s="151" t="s">
        <v>276</v>
      </c>
      <c r="S1879" s="151" t="s">
        <v>8198</v>
      </c>
      <c r="T1879" s="151" t="s">
        <v>8198</v>
      </c>
      <c r="U1879" s="151" t="s">
        <v>8199</v>
      </c>
      <c r="V1879" s="151" t="s">
        <v>261</v>
      </c>
      <c r="W1879" s="150" t="s">
        <v>8111</v>
      </c>
      <c r="X1879" s="151" t="s">
        <v>208</v>
      </c>
      <c r="Y1879" s="155" t="s">
        <v>98</v>
      </c>
      <c r="Z1879" s="151" t="s">
        <v>98</v>
      </c>
      <c r="AA1879" s="151" t="s">
        <v>276</v>
      </c>
      <c r="AB1879" s="151" t="s">
        <v>276</v>
      </c>
      <c r="AC1879" s="150">
        <v>0</v>
      </c>
      <c r="AD1879" s="150" t="s">
        <v>98</v>
      </c>
      <c r="AE1879" s="150">
        <v>0</v>
      </c>
      <c r="AF1879" s="150" t="s">
        <v>98</v>
      </c>
      <c r="AG1879" s="346" t="s">
        <v>11098</v>
      </c>
      <c r="AH1879" s="346" t="s">
        <v>11099</v>
      </c>
      <c r="AI1879" s="156">
        <v>29</v>
      </c>
      <c r="AJ1879" s="156">
        <v>21</v>
      </c>
      <c r="AK1879" s="156">
        <f>29+13</f>
        <v>42</v>
      </c>
      <c r="AL1879" s="156">
        <f>21+10</f>
        <v>31</v>
      </c>
      <c r="AM1879" s="156" t="s">
        <v>292</v>
      </c>
      <c r="AN1879" s="150" t="s">
        <v>276</v>
      </c>
      <c r="AO1879" s="159">
        <f t="shared" si="554"/>
        <v>69.047619047619051</v>
      </c>
      <c r="AP1879" s="150" t="s">
        <v>276</v>
      </c>
      <c r="AQ1879" s="150" t="s">
        <v>276</v>
      </c>
      <c r="AR1879" s="150" t="s">
        <v>276</v>
      </c>
      <c r="AS1879" s="159">
        <f>AJ1879*100/AL1879</f>
        <v>67.741935483870961</v>
      </c>
      <c r="AT1879" s="150" t="s">
        <v>276</v>
      </c>
      <c r="AU1879" s="150" t="s">
        <v>276</v>
      </c>
      <c r="AV1879" s="151" t="s">
        <v>268</v>
      </c>
      <c r="AW1879" s="235" t="s">
        <v>276</v>
      </c>
      <c r="AX1879" s="235">
        <f>AO1879/AS1879</f>
        <v>1.0192743764172336</v>
      </c>
      <c r="AY1879" s="151" t="s">
        <v>276</v>
      </c>
      <c r="AZ1879" s="151" t="s">
        <v>276</v>
      </c>
      <c r="BA1879" s="151" t="s">
        <v>276</v>
      </c>
      <c r="BB1879" s="151" t="s">
        <v>282</v>
      </c>
      <c r="BC1879" s="151" t="s">
        <v>276</v>
      </c>
      <c r="BD1879" s="151" t="s">
        <v>276</v>
      </c>
      <c r="BE1879" s="151" t="s">
        <v>276</v>
      </c>
      <c r="BF1879" s="151" t="s">
        <v>298</v>
      </c>
      <c r="BG1879" s="151"/>
      <c r="BH1879" s="9" t="s">
        <v>100</v>
      </c>
      <c r="BI1879" s="9" t="s">
        <v>100</v>
      </c>
      <c r="BJ1879" s="171"/>
      <c r="BN1879" s="171"/>
      <c r="BO1879" s="171"/>
    </row>
    <row r="1880" spans="1:67" s="137" customFormat="1" ht="65" hidden="1" x14ac:dyDescent="0.35">
      <c r="A1880" s="126">
        <v>708</v>
      </c>
      <c r="B1880" s="126" t="s">
        <v>8196</v>
      </c>
      <c r="C1880" s="126" t="s">
        <v>77</v>
      </c>
      <c r="D1880" s="127" t="s">
        <v>8201</v>
      </c>
      <c r="E1880" s="126" t="s">
        <v>39</v>
      </c>
      <c r="F1880" s="127" t="s">
        <v>143</v>
      </c>
      <c r="G1880" s="126" t="s">
        <v>225</v>
      </c>
      <c r="H1880" s="126" t="s">
        <v>225</v>
      </c>
      <c r="I1880" s="126" t="s">
        <v>98</v>
      </c>
      <c r="J1880" s="127" t="s">
        <v>98</v>
      </c>
      <c r="K1880" s="126" t="s">
        <v>98</v>
      </c>
      <c r="L1880" s="127" t="s">
        <v>98</v>
      </c>
      <c r="M1880" s="126" t="s">
        <v>98</v>
      </c>
      <c r="N1880" s="126" t="s">
        <v>276</v>
      </c>
      <c r="O1880" s="127" t="s">
        <v>276</v>
      </c>
      <c r="P1880" s="127" t="s">
        <v>238</v>
      </c>
      <c r="Q1880" s="146">
        <v>41639</v>
      </c>
      <c r="R1880" s="127" t="s">
        <v>276</v>
      </c>
      <c r="S1880" s="127" t="s">
        <v>8198</v>
      </c>
      <c r="T1880" s="127" t="s">
        <v>98</v>
      </c>
      <c r="U1880" s="127" t="s">
        <v>8199</v>
      </c>
      <c r="V1880" s="127" t="s">
        <v>261</v>
      </c>
      <c r="W1880" s="126" t="s">
        <v>8111</v>
      </c>
      <c r="X1880" s="127" t="s">
        <v>209</v>
      </c>
      <c r="Y1880" s="132">
        <v>2376</v>
      </c>
      <c r="Z1880" s="127" t="s">
        <v>98</v>
      </c>
      <c r="AA1880" s="127" t="s">
        <v>276</v>
      </c>
      <c r="AB1880" s="127" t="s">
        <v>276</v>
      </c>
      <c r="AC1880" s="126">
        <v>0</v>
      </c>
      <c r="AD1880" s="126" t="s">
        <v>98</v>
      </c>
      <c r="AE1880" s="126">
        <v>0</v>
      </c>
      <c r="AF1880" s="126" t="s">
        <v>98</v>
      </c>
      <c r="AG1880" s="127" t="s">
        <v>8202</v>
      </c>
      <c r="AH1880" s="127" t="s">
        <v>866</v>
      </c>
      <c r="AI1880" s="134">
        <f>29+21</f>
        <v>50</v>
      </c>
      <c r="AJ1880" s="134" t="s">
        <v>98</v>
      </c>
      <c r="AK1880" s="134">
        <v>2376</v>
      </c>
      <c r="AL1880" s="134" t="s">
        <v>98</v>
      </c>
      <c r="AM1880" s="134" t="s">
        <v>292</v>
      </c>
      <c r="AN1880" s="126" t="s">
        <v>276</v>
      </c>
      <c r="AO1880" s="148">
        <f t="shared" si="554"/>
        <v>2.1043771043771042</v>
      </c>
      <c r="AP1880" s="126" t="s">
        <v>276</v>
      </c>
      <c r="AQ1880" s="126" t="s">
        <v>276</v>
      </c>
      <c r="AR1880" s="126" t="s">
        <v>98</v>
      </c>
      <c r="AS1880" s="148" t="s">
        <v>98</v>
      </c>
      <c r="AT1880" s="126" t="s">
        <v>98</v>
      </c>
      <c r="AU1880" s="126" t="s">
        <v>98</v>
      </c>
      <c r="AV1880" s="126" t="s">
        <v>98</v>
      </c>
      <c r="AW1880" s="126" t="s">
        <v>98</v>
      </c>
      <c r="AX1880" s="126" t="s">
        <v>98</v>
      </c>
      <c r="AY1880" s="126" t="s">
        <v>98</v>
      </c>
      <c r="AZ1880" s="126" t="s">
        <v>98</v>
      </c>
      <c r="BA1880" s="126" t="s">
        <v>98</v>
      </c>
      <c r="BB1880" s="126" t="s">
        <v>98</v>
      </c>
      <c r="BC1880" s="126" t="s">
        <v>98</v>
      </c>
      <c r="BD1880" s="126" t="s">
        <v>98</v>
      </c>
      <c r="BE1880" s="126" t="s">
        <v>98</v>
      </c>
      <c r="BF1880" s="127" t="s">
        <v>298</v>
      </c>
      <c r="BG1880" s="127"/>
      <c r="BH1880" s="9" t="s">
        <v>100</v>
      </c>
      <c r="BI1880" s="9" t="s">
        <v>100</v>
      </c>
      <c r="BJ1880" s="136"/>
      <c r="BN1880" s="136"/>
      <c r="BO1880" s="136"/>
    </row>
    <row r="1881" spans="1:67" s="137" customFormat="1" ht="78" hidden="1" x14ac:dyDescent="0.35">
      <c r="A1881" s="126">
        <v>708</v>
      </c>
      <c r="B1881" s="126" t="s">
        <v>8196</v>
      </c>
      <c r="C1881" s="126" t="s">
        <v>77</v>
      </c>
      <c r="D1881" s="346" t="s">
        <v>11100</v>
      </c>
      <c r="E1881" s="126" t="s">
        <v>39</v>
      </c>
      <c r="F1881" s="127" t="s">
        <v>143</v>
      </c>
      <c r="G1881" s="126" t="s">
        <v>225</v>
      </c>
      <c r="H1881" s="126" t="s">
        <v>225</v>
      </c>
      <c r="I1881" s="126" t="s">
        <v>98</v>
      </c>
      <c r="J1881" s="127" t="s">
        <v>98</v>
      </c>
      <c r="K1881" s="126" t="s">
        <v>98</v>
      </c>
      <c r="L1881" s="127" t="s">
        <v>98</v>
      </c>
      <c r="M1881" s="126" t="s">
        <v>98</v>
      </c>
      <c r="N1881" s="126" t="s">
        <v>276</v>
      </c>
      <c r="O1881" s="127" t="s">
        <v>276</v>
      </c>
      <c r="P1881" s="127" t="s">
        <v>236</v>
      </c>
      <c r="Q1881" s="146">
        <v>41639</v>
      </c>
      <c r="R1881" s="127" t="s">
        <v>276</v>
      </c>
      <c r="S1881" s="127" t="s">
        <v>8198</v>
      </c>
      <c r="T1881" s="127" t="s">
        <v>98</v>
      </c>
      <c r="U1881" s="127" t="s">
        <v>8199</v>
      </c>
      <c r="V1881" s="127" t="s">
        <v>261</v>
      </c>
      <c r="W1881" s="126" t="s">
        <v>8111</v>
      </c>
      <c r="X1881" s="127" t="s">
        <v>209</v>
      </c>
      <c r="Y1881" s="132" t="s">
        <v>98</v>
      </c>
      <c r="Z1881" s="127" t="s">
        <v>98</v>
      </c>
      <c r="AA1881" s="127" t="s">
        <v>276</v>
      </c>
      <c r="AB1881" s="127" t="s">
        <v>276</v>
      </c>
      <c r="AC1881" s="126">
        <v>0</v>
      </c>
      <c r="AD1881" s="126" t="s">
        <v>98</v>
      </c>
      <c r="AE1881" s="126">
        <v>0</v>
      </c>
      <c r="AF1881" s="126" t="s">
        <v>98</v>
      </c>
      <c r="AG1881" s="346" t="s">
        <v>11101</v>
      </c>
      <c r="AH1881" s="346" t="s">
        <v>11099</v>
      </c>
      <c r="AI1881" s="134">
        <f>29+21</f>
        <v>50</v>
      </c>
      <c r="AJ1881" s="134" t="s">
        <v>98</v>
      </c>
      <c r="AK1881" s="134">
        <f>42+31</f>
        <v>73</v>
      </c>
      <c r="AL1881" s="134" t="s">
        <v>98</v>
      </c>
      <c r="AM1881" s="134" t="s">
        <v>292</v>
      </c>
      <c r="AN1881" s="126" t="s">
        <v>276</v>
      </c>
      <c r="AO1881" s="135">
        <f t="shared" si="554"/>
        <v>68.493150684931507</v>
      </c>
      <c r="AP1881" s="126" t="s">
        <v>276</v>
      </c>
      <c r="AQ1881" s="126" t="s">
        <v>276</v>
      </c>
      <c r="AR1881" s="126" t="s">
        <v>98</v>
      </c>
      <c r="AS1881" s="135" t="s">
        <v>98</v>
      </c>
      <c r="AT1881" s="126" t="s">
        <v>98</v>
      </c>
      <c r="AU1881" s="126" t="s">
        <v>98</v>
      </c>
      <c r="AV1881" s="127" t="s">
        <v>98</v>
      </c>
      <c r="AW1881" s="234" t="s">
        <v>98</v>
      </c>
      <c r="AX1881" s="127" t="s">
        <v>98</v>
      </c>
      <c r="AY1881" s="127" t="s">
        <v>98</v>
      </c>
      <c r="AZ1881" s="127" t="s">
        <v>98</v>
      </c>
      <c r="BA1881" s="127" t="s">
        <v>98</v>
      </c>
      <c r="BB1881" s="127" t="s">
        <v>98</v>
      </c>
      <c r="BC1881" s="127" t="s">
        <v>98</v>
      </c>
      <c r="BD1881" s="127" t="s">
        <v>98</v>
      </c>
      <c r="BE1881" s="127" t="s">
        <v>98</v>
      </c>
      <c r="BF1881" s="127" t="s">
        <v>298</v>
      </c>
      <c r="BG1881" s="127"/>
      <c r="BH1881" s="9" t="s">
        <v>100</v>
      </c>
      <c r="BI1881" s="9" t="s">
        <v>100</v>
      </c>
      <c r="BJ1881" s="136"/>
      <c r="BN1881" s="136"/>
      <c r="BO1881" s="136"/>
    </row>
    <row r="1882" spans="1:67" s="172" customFormat="1" ht="65" hidden="1" x14ac:dyDescent="0.35">
      <c r="A1882" s="150">
        <v>708</v>
      </c>
      <c r="B1882" s="150" t="s">
        <v>8196</v>
      </c>
      <c r="C1882" s="150" t="s">
        <v>77</v>
      </c>
      <c r="D1882" s="346" t="s">
        <v>11102</v>
      </c>
      <c r="E1882" s="150" t="s">
        <v>39</v>
      </c>
      <c r="F1882" s="151" t="s">
        <v>8108</v>
      </c>
      <c r="G1882" s="150" t="s">
        <v>8119</v>
      </c>
      <c r="H1882" s="150" t="s">
        <v>225</v>
      </c>
      <c r="I1882" s="150" t="s">
        <v>98</v>
      </c>
      <c r="J1882" s="151" t="s">
        <v>25</v>
      </c>
      <c r="K1882" s="150" t="s">
        <v>300</v>
      </c>
      <c r="L1882" s="151" t="s">
        <v>8203</v>
      </c>
      <c r="M1882" s="150" t="s">
        <v>300</v>
      </c>
      <c r="N1882" s="150" t="s">
        <v>276</v>
      </c>
      <c r="O1882" s="151" t="s">
        <v>276</v>
      </c>
      <c r="P1882" s="151" t="s">
        <v>239</v>
      </c>
      <c r="Q1882" s="154">
        <v>41639</v>
      </c>
      <c r="R1882" s="151" t="s">
        <v>276</v>
      </c>
      <c r="S1882" s="151" t="s">
        <v>8198</v>
      </c>
      <c r="T1882" s="151" t="s">
        <v>8198</v>
      </c>
      <c r="U1882" s="151" t="s">
        <v>8199</v>
      </c>
      <c r="V1882" s="151" t="s">
        <v>261</v>
      </c>
      <c r="W1882" s="150" t="s">
        <v>8111</v>
      </c>
      <c r="X1882" s="151" t="s">
        <v>208</v>
      </c>
      <c r="Y1882" s="155">
        <v>1152</v>
      </c>
      <c r="Z1882" s="151">
        <v>1151</v>
      </c>
      <c r="AA1882" s="151" t="s">
        <v>276</v>
      </c>
      <c r="AB1882" s="151" t="s">
        <v>276</v>
      </c>
      <c r="AC1882" s="150">
        <v>1</v>
      </c>
      <c r="AD1882" s="151" t="s">
        <v>8204</v>
      </c>
      <c r="AE1882" s="150">
        <v>4</v>
      </c>
      <c r="AF1882" s="151" t="s">
        <v>8204</v>
      </c>
      <c r="AG1882" s="346" t="s">
        <v>11103</v>
      </c>
      <c r="AH1882" s="346" t="s">
        <v>11104</v>
      </c>
      <c r="AI1882" s="156">
        <v>22</v>
      </c>
      <c r="AJ1882" s="156">
        <v>16</v>
      </c>
      <c r="AK1882" s="438">
        <v>1152</v>
      </c>
      <c r="AL1882" s="346">
        <v>1151</v>
      </c>
      <c r="AM1882" s="156" t="s">
        <v>292</v>
      </c>
      <c r="AN1882" s="150" t="s">
        <v>276</v>
      </c>
      <c r="AO1882" s="159">
        <f t="shared" si="554"/>
        <v>1.9097222222222223</v>
      </c>
      <c r="AP1882" s="150" t="s">
        <v>276</v>
      </c>
      <c r="AQ1882" s="150" t="s">
        <v>276</v>
      </c>
      <c r="AR1882" s="150" t="s">
        <v>276</v>
      </c>
      <c r="AS1882" s="159">
        <f>AJ1882*100/AL1882</f>
        <v>1.3900955690703736</v>
      </c>
      <c r="AT1882" s="150" t="s">
        <v>276</v>
      </c>
      <c r="AU1882" s="150" t="s">
        <v>276</v>
      </c>
      <c r="AV1882" s="151" t="s">
        <v>268</v>
      </c>
      <c r="AW1882" s="235" t="s">
        <v>276</v>
      </c>
      <c r="AX1882" s="235">
        <f>AO1882/AS1882</f>
        <v>1.3738064236111112</v>
      </c>
      <c r="AY1882" s="151" t="s">
        <v>276</v>
      </c>
      <c r="AZ1882" s="151" t="s">
        <v>276</v>
      </c>
      <c r="BA1882" s="151" t="s">
        <v>276</v>
      </c>
      <c r="BB1882" s="151" t="s">
        <v>282</v>
      </c>
      <c r="BC1882" s="151" t="s">
        <v>276</v>
      </c>
      <c r="BD1882" s="151" t="s">
        <v>276</v>
      </c>
      <c r="BE1882" s="151" t="s">
        <v>276</v>
      </c>
      <c r="BF1882" s="151" t="s">
        <v>8205</v>
      </c>
      <c r="BG1882" s="151"/>
      <c r="BH1882" s="9" t="s">
        <v>100</v>
      </c>
      <c r="BI1882" s="9" t="s">
        <v>100</v>
      </c>
      <c r="BJ1882" s="171"/>
      <c r="BN1882" s="171"/>
      <c r="BO1882" s="171"/>
    </row>
    <row r="1883" spans="1:67" s="172" customFormat="1" ht="104" hidden="1" x14ac:dyDescent="0.35">
      <c r="A1883" s="150">
        <v>708</v>
      </c>
      <c r="B1883" s="150" t="s">
        <v>8196</v>
      </c>
      <c r="C1883" s="150" t="s">
        <v>77</v>
      </c>
      <c r="D1883" s="346" t="s">
        <v>11105</v>
      </c>
      <c r="E1883" s="150" t="s">
        <v>39</v>
      </c>
      <c r="F1883" s="151" t="s">
        <v>8108</v>
      </c>
      <c r="G1883" s="150" t="s">
        <v>8119</v>
      </c>
      <c r="H1883" s="150" t="s">
        <v>225</v>
      </c>
      <c r="I1883" s="150" t="s">
        <v>98</v>
      </c>
      <c r="J1883" s="151" t="s">
        <v>25</v>
      </c>
      <c r="K1883" s="150" t="s">
        <v>300</v>
      </c>
      <c r="L1883" s="151" t="s">
        <v>8203</v>
      </c>
      <c r="M1883" s="150" t="s">
        <v>300</v>
      </c>
      <c r="N1883" s="150" t="s">
        <v>276</v>
      </c>
      <c r="O1883" s="151" t="s">
        <v>276</v>
      </c>
      <c r="P1883" s="151" t="s">
        <v>239</v>
      </c>
      <c r="Q1883" s="154">
        <v>41639</v>
      </c>
      <c r="R1883" s="151" t="s">
        <v>276</v>
      </c>
      <c r="S1883" s="151" t="s">
        <v>8198</v>
      </c>
      <c r="T1883" s="151" t="s">
        <v>8198</v>
      </c>
      <c r="U1883" s="151" t="s">
        <v>8199</v>
      </c>
      <c r="V1883" s="151" t="s">
        <v>261</v>
      </c>
      <c r="W1883" s="150" t="s">
        <v>8111</v>
      </c>
      <c r="X1883" s="151" t="s">
        <v>208</v>
      </c>
      <c r="Y1883" s="155">
        <v>1152</v>
      </c>
      <c r="Z1883" s="151">
        <v>1151</v>
      </c>
      <c r="AA1883" s="151" t="s">
        <v>276</v>
      </c>
      <c r="AB1883" s="151" t="s">
        <v>276</v>
      </c>
      <c r="AC1883" s="150">
        <v>1</v>
      </c>
      <c r="AD1883" s="151" t="s">
        <v>8204</v>
      </c>
      <c r="AE1883" s="150">
        <v>4</v>
      </c>
      <c r="AF1883" s="151" t="s">
        <v>8204</v>
      </c>
      <c r="AG1883" s="346" t="s">
        <v>11103</v>
      </c>
      <c r="AH1883" s="346" t="s">
        <v>11106</v>
      </c>
      <c r="AI1883" s="156">
        <v>22</v>
      </c>
      <c r="AJ1883" s="156">
        <v>16</v>
      </c>
      <c r="AK1883" s="156" t="s">
        <v>276</v>
      </c>
      <c r="AL1883" s="156" t="s">
        <v>276</v>
      </c>
      <c r="AM1883" s="156" t="s">
        <v>1019</v>
      </c>
      <c r="AN1883" s="150">
        <v>271.89999999999998</v>
      </c>
      <c r="AO1883" s="159" t="s">
        <v>276</v>
      </c>
      <c r="AP1883" s="150" t="s">
        <v>276</v>
      </c>
      <c r="AQ1883" s="150" t="s">
        <v>276</v>
      </c>
      <c r="AR1883" s="150">
        <v>196.5</v>
      </c>
      <c r="AS1883" s="159" t="s">
        <v>276</v>
      </c>
      <c r="AT1883" s="150" t="s">
        <v>276</v>
      </c>
      <c r="AU1883" s="150" t="s">
        <v>276</v>
      </c>
      <c r="AV1883" s="151" t="s">
        <v>269</v>
      </c>
      <c r="AW1883" s="235" t="s">
        <v>276</v>
      </c>
      <c r="AX1883" s="235">
        <f>AN1883/AR1883</f>
        <v>1.3837150127226463</v>
      </c>
      <c r="AY1883" s="151" t="s">
        <v>276</v>
      </c>
      <c r="AZ1883" s="151" t="s">
        <v>276</v>
      </c>
      <c r="BA1883" s="151" t="s">
        <v>276</v>
      </c>
      <c r="BB1883" s="151" t="s">
        <v>282</v>
      </c>
      <c r="BC1883" s="151" t="s">
        <v>276</v>
      </c>
      <c r="BD1883" s="151" t="s">
        <v>276</v>
      </c>
      <c r="BE1883" s="151" t="s">
        <v>276</v>
      </c>
      <c r="BF1883" s="151" t="s">
        <v>8206</v>
      </c>
      <c r="BG1883" s="151"/>
      <c r="BH1883" s="9" t="s">
        <v>100</v>
      </c>
      <c r="BI1883" s="9" t="s">
        <v>100</v>
      </c>
      <c r="BJ1883" s="171"/>
      <c r="BN1883" s="171"/>
      <c r="BO1883" s="171"/>
    </row>
    <row r="1884" spans="1:67" s="137" customFormat="1" ht="65" hidden="1" x14ac:dyDescent="0.35">
      <c r="A1884" s="126">
        <v>708</v>
      </c>
      <c r="B1884" s="126" t="s">
        <v>8196</v>
      </c>
      <c r="C1884" s="126" t="s">
        <v>77</v>
      </c>
      <c r="D1884" s="346" t="s">
        <v>11107</v>
      </c>
      <c r="E1884" s="126" t="s">
        <v>39</v>
      </c>
      <c r="F1884" s="127" t="s">
        <v>8108</v>
      </c>
      <c r="G1884" s="126" t="s">
        <v>8119</v>
      </c>
      <c r="H1884" s="126" t="s">
        <v>225</v>
      </c>
      <c r="I1884" s="126" t="s">
        <v>98</v>
      </c>
      <c r="J1884" s="127" t="s">
        <v>25</v>
      </c>
      <c r="K1884" s="126" t="s">
        <v>4151</v>
      </c>
      <c r="L1884" s="127" t="s">
        <v>8203</v>
      </c>
      <c r="M1884" s="126" t="s">
        <v>300</v>
      </c>
      <c r="N1884" s="126" t="s">
        <v>276</v>
      </c>
      <c r="O1884" s="127" t="s">
        <v>276</v>
      </c>
      <c r="P1884" s="127" t="s">
        <v>239</v>
      </c>
      <c r="Q1884" s="146">
        <v>41639</v>
      </c>
      <c r="R1884" s="127" t="s">
        <v>276</v>
      </c>
      <c r="S1884" s="127" t="s">
        <v>8198</v>
      </c>
      <c r="T1884" s="127" t="s">
        <v>8198</v>
      </c>
      <c r="U1884" s="127" t="s">
        <v>8199</v>
      </c>
      <c r="V1884" s="127" t="s">
        <v>261</v>
      </c>
      <c r="W1884" s="126" t="s">
        <v>8111</v>
      </c>
      <c r="X1884" s="127" t="s">
        <v>208</v>
      </c>
      <c r="Y1884" s="132">
        <v>1152</v>
      </c>
      <c r="Z1884" s="127">
        <v>1151</v>
      </c>
      <c r="AA1884" s="127" t="s">
        <v>276</v>
      </c>
      <c r="AB1884" s="127" t="s">
        <v>276</v>
      </c>
      <c r="AC1884" s="126">
        <v>1</v>
      </c>
      <c r="AD1884" s="127" t="s">
        <v>8207</v>
      </c>
      <c r="AE1884" s="126">
        <v>4</v>
      </c>
      <c r="AF1884" s="127" t="s">
        <v>8207</v>
      </c>
      <c r="AG1884" s="346" t="s">
        <v>11108</v>
      </c>
      <c r="AH1884" s="346" t="s">
        <v>11104</v>
      </c>
      <c r="AI1884" s="134">
        <f>42-22-1</f>
        <v>19</v>
      </c>
      <c r="AJ1884" s="134">
        <f>31-16-4</f>
        <v>11</v>
      </c>
      <c r="AK1884" s="438">
        <v>1152</v>
      </c>
      <c r="AL1884" s="346">
        <v>1151</v>
      </c>
      <c r="AM1884" s="134" t="s">
        <v>292</v>
      </c>
      <c r="AN1884" s="126" t="s">
        <v>276</v>
      </c>
      <c r="AO1884" s="135">
        <f t="shared" ref="AO1884:AO1898" si="555">AI1884*100/AK1884</f>
        <v>1.6493055555555556</v>
      </c>
      <c r="AP1884" s="126" t="s">
        <v>276</v>
      </c>
      <c r="AQ1884" s="126" t="s">
        <v>276</v>
      </c>
      <c r="AR1884" s="126" t="s">
        <v>276</v>
      </c>
      <c r="AS1884" s="135">
        <f t="shared" ref="AS1884:AS1892" si="556">AJ1884*100/AL1884</f>
        <v>0.95569070373588183</v>
      </c>
      <c r="AT1884" s="126" t="s">
        <v>276</v>
      </c>
      <c r="AU1884" s="126" t="s">
        <v>276</v>
      </c>
      <c r="AV1884" s="127" t="s">
        <v>268</v>
      </c>
      <c r="AW1884" s="234" t="s">
        <v>276</v>
      </c>
      <c r="AX1884" s="234">
        <f t="shared" ref="AX1884:AX1892" si="557">AO1884/AS1884</f>
        <v>1.7257733585858586</v>
      </c>
      <c r="AY1884" s="127" t="s">
        <v>276</v>
      </c>
      <c r="AZ1884" s="127" t="s">
        <v>276</v>
      </c>
      <c r="BA1884" s="127" t="s">
        <v>276</v>
      </c>
      <c r="BB1884" s="127" t="s">
        <v>282</v>
      </c>
      <c r="BC1884" s="127" t="s">
        <v>276</v>
      </c>
      <c r="BD1884" s="127" t="s">
        <v>276</v>
      </c>
      <c r="BE1884" s="127" t="s">
        <v>276</v>
      </c>
      <c r="BF1884" s="127" t="s">
        <v>298</v>
      </c>
      <c r="BG1884" s="127"/>
      <c r="BH1884" s="9" t="s">
        <v>100</v>
      </c>
      <c r="BI1884" s="9" t="s">
        <v>100</v>
      </c>
      <c r="BJ1884" s="136"/>
      <c r="BN1884" s="136"/>
      <c r="BO1884" s="136"/>
    </row>
    <row r="1885" spans="1:67" s="137" customFormat="1" ht="65" hidden="1" x14ac:dyDescent="0.35">
      <c r="A1885" s="126">
        <v>708</v>
      </c>
      <c r="B1885" s="126" t="s">
        <v>8196</v>
      </c>
      <c r="C1885" s="126" t="s">
        <v>77</v>
      </c>
      <c r="D1885" s="346" t="s">
        <v>11109</v>
      </c>
      <c r="E1885" s="126" t="s">
        <v>39</v>
      </c>
      <c r="F1885" s="127" t="s">
        <v>8108</v>
      </c>
      <c r="G1885" s="126" t="s">
        <v>8119</v>
      </c>
      <c r="H1885" s="126" t="s">
        <v>225</v>
      </c>
      <c r="I1885" s="126" t="s">
        <v>98</v>
      </c>
      <c r="J1885" s="127" t="s">
        <v>25</v>
      </c>
      <c r="K1885" s="126" t="s">
        <v>4151</v>
      </c>
      <c r="L1885" s="127" t="s">
        <v>8203</v>
      </c>
      <c r="M1885" s="126" t="s">
        <v>300</v>
      </c>
      <c r="N1885" s="126" t="s">
        <v>276</v>
      </c>
      <c r="O1885" s="127" t="s">
        <v>276</v>
      </c>
      <c r="P1885" s="127" t="s">
        <v>235</v>
      </c>
      <c r="Q1885" s="146">
        <v>41639</v>
      </c>
      <c r="R1885" s="127" t="s">
        <v>276</v>
      </c>
      <c r="S1885" s="127" t="s">
        <v>8198</v>
      </c>
      <c r="T1885" s="127" t="s">
        <v>8198</v>
      </c>
      <c r="U1885" s="127" t="s">
        <v>8199</v>
      </c>
      <c r="V1885" s="127" t="s">
        <v>261</v>
      </c>
      <c r="W1885" s="126" t="s">
        <v>8111</v>
      </c>
      <c r="X1885" s="127" t="s">
        <v>208</v>
      </c>
      <c r="Y1885" s="132" t="s">
        <v>98</v>
      </c>
      <c r="Z1885" s="127" t="s">
        <v>98</v>
      </c>
      <c r="AA1885" s="127" t="s">
        <v>276</v>
      </c>
      <c r="AB1885" s="127" t="s">
        <v>276</v>
      </c>
      <c r="AC1885" s="126">
        <v>1</v>
      </c>
      <c r="AD1885" s="127" t="s">
        <v>8207</v>
      </c>
      <c r="AE1885" s="126">
        <v>4</v>
      </c>
      <c r="AF1885" s="127" t="s">
        <v>8207</v>
      </c>
      <c r="AG1885" s="346" t="s">
        <v>11108</v>
      </c>
      <c r="AH1885" s="346" t="s">
        <v>11099</v>
      </c>
      <c r="AI1885" s="134">
        <f>42-22-1</f>
        <v>19</v>
      </c>
      <c r="AJ1885" s="134">
        <f>31-16-4</f>
        <v>11</v>
      </c>
      <c r="AK1885" s="134">
        <v>42</v>
      </c>
      <c r="AL1885" s="134">
        <v>31</v>
      </c>
      <c r="AM1885" s="134" t="s">
        <v>292</v>
      </c>
      <c r="AN1885" s="126" t="s">
        <v>276</v>
      </c>
      <c r="AO1885" s="135">
        <f t="shared" si="555"/>
        <v>45.238095238095241</v>
      </c>
      <c r="AP1885" s="126" t="s">
        <v>276</v>
      </c>
      <c r="AQ1885" s="126" t="s">
        <v>276</v>
      </c>
      <c r="AR1885" s="126" t="s">
        <v>276</v>
      </c>
      <c r="AS1885" s="135">
        <f t="shared" si="556"/>
        <v>35.483870967741936</v>
      </c>
      <c r="AT1885" s="126" t="s">
        <v>276</v>
      </c>
      <c r="AU1885" s="126" t="s">
        <v>276</v>
      </c>
      <c r="AV1885" s="127" t="s">
        <v>268</v>
      </c>
      <c r="AW1885" s="234" t="s">
        <v>276</v>
      </c>
      <c r="AX1885" s="234">
        <f t="shared" si="557"/>
        <v>1.274891774891775</v>
      </c>
      <c r="AY1885" s="127" t="s">
        <v>276</v>
      </c>
      <c r="AZ1885" s="127" t="s">
        <v>276</v>
      </c>
      <c r="BA1885" s="127" t="s">
        <v>276</v>
      </c>
      <c r="BB1885" s="127" t="s">
        <v>282</v>
      </c>
      <c r="BC1885" s="127" t="s">
        <v>276</v>
      </c>
      <c r="BD1885" s="127" t="s">
        <v>276</v>
      </c>
      <c r="BE1885" s="127" t="s">
        <v>276</v>
      </c>
      <c r="BF1885" s="127" t="s">
        <v>298</v>
      </c>
      <c r="BG1885" s="127"/>
      <c r="BH1885" s="9" t="s">
        <v>100</v>
      </c>
      <c r="BI1885" s="9" t="s">
        <v>100</v>
      </c>
      <c r="BJ1885" s="136"/>
      <c r="BN1885" s="136"/>
      <c r="BO1885" s="136"/>
    </row>
    <row r="1886" spans="1:67" s="172" customFormat="1" ht="65" hidden="1" x14ac:dyDescent="0.35">
      <c r="A1886" s="150">
        <v>708</v>
      </c>
      <c r="B1886" s="150" t="s">
        <v>8196</v>
      </c>
      <c r="C1886" s="150" t="s">
        <v>77</v>
      </c>
      <c r="D1886" s="346" t="s">
        <v>11110</v>
      </c>
      <c r="E1886" s="150" t="s">
        <v>39</v>
      </c>
      <c r="F1886" s="151" t="s">
        <v>8108</v>
      </c>
      <c r="G1886" s="150" t="s">
        <v>8119</v>
      </c>
      <c r="H1886" s="150" t="s">
        <v>225</v>
      </c>
      <c r="I1886" s="150" t="s">
        <v>98</v>
      </c>
      <c r="J1886" s="151" t="s">
        <v>25</v>
      </c>
      <c r="K1886" s="150" t="s">
        <v>8208</v>
      </c>
      <c r="L1886" s="151" t="s">
        <v>8203</v>
      </c>
      <c r="M1886" s="150" t="s">
        <v>300</v>
      </c>
      <c r="N1886" s="150" t="s">
        <v>276</v>
      </c>
      <c r="O1886" s="151" t="s">
        <v>276</v>
      </c>
      <c r="P1886" s="151" t="s">
        <v>239</v>
      </c>
      <c r="Q1886" s="154">
        <v>41639</v>
      </c>
      <c r="R1886" s="151" t="s">
        <v>276</v>
      </c>
      <c r="S1886" s="151" t="s">
        <v>8198</v>
      </c>
      <c r="T1886" s="151" t="s">
        <v>8198</v>
      </c>
      <c r="U1886" s="151" t="s">
        <v>8199</v>
      </c>
      <c r="V1886" s="151" t="s">
        <v>261</v>
      </c>
      <c r="W1886" s="150" t="s">
        <v>8111</v>
      </c>
      <c r="X1886" s="151" t="s">
        <v>208</v>
      </c>
      <c r="Y1886" s="155">
        <v>1152</v>
      </c>
      <c r="Z1886" s="151">
        <v>1151</v>
      </c>
      <c r="AA1886" s="151" t="s">
        <v>276</v>
      </c>
      <c r="AB1886" s="151" t="s">
        <v>276</v>
      </c>
      <c r="AC1886" s="150">
        <v>1</v>
      </c>
      <c r="AD1886" s="151" t="s">
        <v>8204</v>
      </c>
      <c r="AE1886" s="150">
        <v>4</v>
      </c>
      <c r="AF1886" s="151" t="s">
        <v>8204</v>
      </c>
      <c r="AG1886" s="346" t="s">
        <v>11111</v>
      </c>
      <c r="AH1886" s="346" t="s">
        <v>11104</v>
      </c>
      <c r="AI1886" s="156">
        <v>1</v>
      </c>
      <c r="AJ1886" s="156">
        <v>0</v>
      </c>
      <c r="AK1886" s="438">
        <v>1152</v>
      </c>
      <c r="AL1886" s="346">
        <v>1151</v>
      </c>
      <c r="AM1886" s="156" t="s">
        <v>292</v>
      </c>
      <c r="AN1886" s="150" t="s">
        <v>276</v>
      </c>
      <c r="AO1886" s="159">
        <f t="shared" si="555"/>
        <v>8.6805555555555552E-2</v>
      </c>
      <c r="AP1886" s="150" t="s">
        <v>276</v>
      </c>
      <c r="AQ1886" s="150" t="s">
        <v>276</v>
      </c>
      <c r="AR1886" s="150" t="s">
        <v>276</v>
      </c>
      <c r="AS1886" s="159">
        <f t="shared" si="556"/>
        <v>0</v>
      </c>
      <c r="AT1886" s="150" t="s">
        <v>276</v>
      </c>
      <c r="AU1886" s="150" t="s">
        <v>276</v>
      </c>
      <c r="AV1886" s="151" t="s">
        <v>268</v>
      </c>
      <c r="AW1886" s="235" t="s">
        <v>276</v>
      </c>
      <c r="AX1886" s="235" t="e">
        <f t="shared" si="557"/>
        <v>#DIV/0!</v>
      </c>
      <c r="AY1886" s="151" t="s">
        <v>276</v>
      </c>
      <c r="AZ1886" s="151" t="s">
        <v>276</v>
      </c>
      <c r="BA1886" s="151" t="s">
        <v>276</v>
      </c>
      <c r="BB1886" s="151" t="s">
        <v>282</v>
      </c>
      <c r="BC1886" s="151" t="s">
        <v>276</v>
      </c>
      <c r="BD1886" s="151" t="s">
        <v>276</v>
      </c>
      <c r="BE1886" s="151" t="s">
        <v>276</v>
      </c>
      <c r="BF1886" s="151" t="s">
        <v>298</v>
      </c>
      <c r="BG1886" s="151"/>
      <c r="BH1886" s="9" t="s">
        <v>100</v>
      </c>
      <c r="BI1886" s="9" t="s">
        <v>100</v>
      </c>
      <c r="BJ1886" s="171"/>
      <c r="BN1886" s="171"/>
      <c r="BO1886" s="171"/>
    </row>
    <row r="1887" spans="1:67" s="172" customFormat="1" ht="65" hidden="1" x14ac:dyDescent="0.35">
      <c r="A1887" s="150">
        <v>708</v>
      </c>
      <c r="B1887" s="150" t="s">
        <v>8196</v>
      </c>
      <c r="C1887" s="150" t="s">
        <v>77</v>
      </c>
      <c r="D1887" s="346" t="s">
        <v>11112</v>
      </c>
      <c r="E1887" s="150" t="s">
        <v>39</v>
      </c>
      <c r="F1887" s="151" t="s">
        <v>8108</v>
      </c>
      <c r="G1887" s="150" t="s">
        <v>8119</v>
      </c>
      <c r="H1887" s="150" t="s">
        <v>225</v>
      </c>
      <c r="I1887" s="150" t="s">
        <v>98</v>
      </c>
      <c r="J1887" s="151" t="s">
        <v>25</v>
      </c>
      <c r="K1887" s="150" t="s">
        <v>8209</v>
      </c>
      <c r="L1887" s="151" t="s">
        <v>8203</v>
      </c>
      <c r="M1887" s="150" t="s">
        <v>300</v>
      </c>
      <c r="N1887" s="150" t="s">
        <v>276</v>
      </c>
      <c r="O1887" s="151" t="s">
        <v>276</v>
      </c>
      <c r="P1887" s="151" t="s">
        <v>239</v>
      </c>
      <c r="Q1887" s="154">
        <v>41639</v>
      </c>
      <c r="R1887" s="151" t="s">
        <v>276</v>
      </c>
      <c r="S1887" s="151" t="s">
        <v>8198</v>
      </c>
      <c r="T1887" s="151" t="s">
        <v>8198</v>
      </c>
      <c r="U1887" s="151" t="s">
        <v>8199</v>
      </c>
      <c r="V1887" s="151" t="s">
        <v>261</v>
      </c>
      <c r="W1887" s="150" t="s">
        <v>8111</v>
      </c>
      <c r="X1887" s="151" t="s">
        <v>208</v>
      </c>
      <c r="Y1887" s="155">
        <v>1152</v>
      </c>
      <c r="Z1887" s="151">
        <v>1151</v>
      </c>
      <c r="AA1887" s="151" t="s">
        <v>276</v>
      </c>
      <c r="AB1887" s="151" t="s">
        <v>276</v>
      </c>
      <c r="AC1887" s="150">
        <v>1</v>
      </c>
      <c r="AD1887" s="151" t="s">
        <v>8204</v>
      </c>
      <c r="AE1887" s="150">
        <v>4</v>
      </c>
      <c r="AF1887" s="151" t="s">
        <v>8204</v>
      </c>
      <c r="AG1887" s="346" t="s">
        <v>11113</v>
      </c>
      <c r="AH1887" s="346" t="s">
        <v>11104</v>
      </c>
      <c r="AI1887" s="156">
        <v>2</v>
      </c>
      <c r="AJ1887" s="156">
        <v>1</v>
      </c>
      <c r="AK1887" s="438">
        <v>1152</v>
      </c>
      <c r="AL1887" s="346">
        <v>1151</v>
      </c>
      <c r="AM1887" s="156" t="s">
        <v>292</v>
      </c>
      <c r="AN1887" s="150" t="s">
        <v>276</v>
      </c>
      <c r="AO1887" s="159">
        <f t="shared" si="555"/>
        <v>0.1736111111111111</v>
      </c>
      <c r="AP1887" s="150" t="s">
        <v>276</v>
      </c>
      <c r="AQ1887" s="150" t="s">
        <v>276</v>
      </c>
      <c r="AR1887" s="150" t="s">
        <v>276</v>
      </c>
      <c r="AS1887" s="159">
        <f t="shared" si="556"/>
        <v>8.6880973066898348E-2</v>
      </c>
      <c r="AT1887" s="150" t="s">
        <v>276</v>
      </c>
      <c r="AU1887" s="150" t="s">
        <v>276</v>
      </c>
      <c r="AV1887" s="151" t="s">
        <v>268</v>
      </c>
      <c r="AW1887" s="235" t="s">
        <v>276</v>
      </c>
      <c r="AX1887" s="235">
        <f t="shared" si="557"/>
        <v>1.9982638888888888</v>
      </c>
      <c r="AY1887" s="151" t="s">
        <v>276</v>
      </c>
      <c r="AZ1887" s="151" t="s">
        <v>276</v>
      </c>
      <c r="BA1887" s="151" t="s">
        <v>276</v>
      </c>
      <c r="BB1887" s="151" t="s">
        <v>282</v>
      </c>
      <c r="BC1887" s="151" t="s">
        <v>276</v>
      </c>
      <c r="BD1887" s="151" t="s">
        <v>276</v>
      </c>
      <c r="BE1887" s="151" t="s">
        <v>276</v>
      </c>
      <c r="BF1887" s="151" t="s">
        <v>298</v>
      </c>
      <c r="BG1887" s="151"/>
      <c r="BH1887" s="9" t="s">
        <v>100</v>
      </c>
      <c r="BI1887" s="9" t="s">
        <v>100</v>
      </c>
      <c r="BJ1887" s="171"/>
      <c r="BN1887" s="171"/>
      <c r="BO1887" s="171"/>
    </row>
    <row r="1888" spans="1:67" s="172" customFormat="1" ht="78" hidden="1" x14ac:dyDescent="0.35">
      <c r="A1888" s="150">
        <v>708</v>
      </c>
      <c r="B1888" s="150" t="s">
        <v>8196</v>
      </c>
      <c r="C1888" s="150" t="s">
        <v>77</v>
      </c>
      <c r="D1888" s="346" t="s">
        <v>11114</v>
      </c>
      <c r="E1888" s="150" t="s">
        <v>39</v>
      </c>
      <c r="F1888" s="151" t="s">
        <v>8108</v>
      </c>
      <c r="G1888" s="150" t="s">
        <v>8119</v>
      </c>
      <c r="H1888" s="150" t="s">
        <v>225</v>
      </c>
      <c r="I1888" s="150" t="s">
        <v>98</v>
      </c>
      <c r="J1888" s="151" t="s">
        <v>25</v>
      </c>
      <c r="K1888" s="150" t="s">
        <v>304</v>
      </c>
      <c r="L1888" s="151" t="s">
        <v>8203</v>
      </c>
      <c r="M1888" s="150" t="s">
        <v>300</v>
      </c>
      <c r="N1888" s="150" t="s">
        <v>276</v>
      </c>
      <c r="O1888" s="151" t="s">
        <v>276</v>
      </c>
      <c r="P1888" s="151" t="s">
        <v>239</v>
      </c>
      <c r="Q1888" s="154">
        <v>41639</v>
      </c>
      <c r="R1888" s="151" t="s">
        <v>276</v>
      </c>
      <c r="S1888" s="151" t="s">
        <v>8198</v>
      </c>
      <c r="T1888" s="151" t="s">
        <v>8198</v>
      </c>
      <c r="U1888" s="151" t="s">
        <v>8199</v>
      </c>
      <c r="V1888" s="151" t="s">
        <v>261</v>
      </c>
      <c r="W1888" s="150" t="s">
        <v>8111</v>
      </c>
      <c r="X1888" s="151" t="s">
        <v>208</v>
      </c>
      <c r="Y1888" s="155">
        <v>1152</v>
      </c>
      <c r="Z1888" s="151">
        <v>1151</v>
      </c>
      <c r="AA1888" s="151" t="s">
        <v>276</v>
      </c>
      <c r="AB1888" s="151" t="s">
        <v>276</v>
      </c>
      <c r="AC1888" s="150">
        <v>1</v>
      </c>
      <c r="AD1888" s="151" t="s">
        <v>8204</v>
      </c>
      <c r="AE1888" s="150">
        <v>4</v>
      </c>
      <c r="AF1888" s="151" t="s">
        <v>8204</v>
      </c>
      <c r="AG1888" s="346" t="s">
        <v>11115</v>
      </c>
      <c r="AH1888" s="346" t="s">
        <v>11104</v>
      </c>
      <c r="AI1888" s="156">
        <v>3</v>
      </c>
      <c r="AJ1888" s="156">
        <v>1</v>
      </c>
      <c r="AK1888" s="438">
        <v>1152</v>
      </c>
      <c r="AL1888" s="346">
        <v>1151</v>
      </c>
      <c r="AM1888" s="156" t="s">
        <v>292</v>
      </c>
      <c r="AN1888" s="150" t="s">
        <v>276</v>
      </c>
      <c r="AO1888" s="159">
        <f t="shared" si="555"/>
        <v>0.26041666666666669</v>
      </c>
      <c r="AP1888" s="150" t="s">
        <v>276</v>
      </c>
      <c r="AQ1888" s="150" t="s">
        <v>276</v>
      </c>
      <c r="AR1888" s="150" t="s">
        <v>276</v>
      </c>
      <c r="AS1888" s="159">
        <f t="shared" si="556"/>
        <v>8.6880973066898348E-2</v>
      </c>
      <c r="AT1888" s="150" t="s">
        <v>276</v>
      </c>
      <c r="AU1888" s="150" t="s">
        <v>276</v>
      </c>
      <c r="AV1888" s="151" t="s">
        <v>268</v>
      </c>
      <c r="AW1888" s="235" t="s">
        <v>276</v>
      </c>
      <c r="AX1888" s="235">
        <f t="shared" si="557"/>
        <v>2.9973958333333335</v>
      </c>
      <c r="AY1888" s="151" t="s">
        <v>276</v>
      </c>
      <c r="AZ1888" s="151" t="s">
        <v>276</v>
      </c>
      <c r="BA1888" s="151" t="s">
        <v>276</v>
      </c>
      <c r="BB1888" s="151" t="s">
        <v>282</v>
      </c>
      <c r="BC1888" s="151" t="s">
        <v>276</v>
      </c>
      <c r="BD1888" s="151" t="s">
        <v>276</v>
      </c>
      <c r="BE1888" s="151" t="s">
        <v>276</v>
      </c>
      <c r="BF1888" s="151" t="s">
        <v>298</v>
      </c>
      <c r="BG1888" s="151"/>
      <c r="BH1888" s="9" t="s">
        <v>100</v>
      </c>
      <c r="BI1888" s="9" t="s">
        <v>100</v>
      </c>
      <c r="BJ1888" s="171"/>
      <c r="BN1888" s="171"/>
      <c r="BO1888" s="171"/>
    </row>
    <row r="1889" spans="1:67" s="137" customFormat="1" ht="65" hidden="1" x14ac:dyDescent="0.35">
      <c r="A1889" s="126">
        <v>708</v>
      </c>
      <c r="B1889" s="126" t="s">
        <v>8196</v>
      </c>
      <c r="C1889" s="126" t="s">
        <v>77</v>
      </c>
      <c r="D1889" s="346" t="s">
        <v>11116</v>
      </c>
      <c r="E1889" s="126" t="s">
        <v>39</v>
      </c>
      <c r="F1889" s="127" t="s">
        <v>8108</v>
      </c>
      <c r="G1889" s="126" t="s">
        <v>8119</v>
      </c>
      <c r="H1889" s="126" t="s">
        <v>225</v>
      </c>
      <c r="I1889" s="126" t="s">
        <v>98</v>
      </c>
      <c r="J1889" s="127" t="s">
        <v>25</v>
      </c>
      <c r="K1889" s="126" t="s">
        <v>983</v>
      </c>
      <c r="L1889" s="127" t="s">
        <v>8203</v>
      </c>
      <c r="M1889" s="126" t="s">
        <v>300</v>
      </c>
      <c r="N1889" s="126" t="s">
        <v>276</v>
      </c>
      <c r="O1889" s="127" t="s">
        <v>276</v>
      </c>
      <c r="P1889" s="127" t="s">
        <v>239</v>
      </c>
      <c r="Q1889" s="146">
        <v>41639</v>
      </c>
      <c r="R1889" s="127" t="s">
        <v>276</v>
      </c>
      <c r="S1889" s="127" t="s">
        <v>8198</v>
      </c>
      <c r="T1889" s="127" t="s">
        <v>8198</v>
      </c>
      <c r="U1889" s="127" t="s">
        <v>8199</v>
      </c>
      <c r="V1889" s="127" t="s">
        <v>261</v>
      </c>
      <c r="W1889" s="126" t="s">
        <v>8111</v>
      </c>
      <c r="X1889" s="127" t="s">
        <v>208</v>
      </c>
      <c r="Y1889" s="132">
        <v>1152</v>
      </c>
      <c r="Z1889" s="127">
        <v>1151</v>
      </c>
      <c r="AA1889" s="127" t="s">
        <v>276</v>
      </c>
      <c r="AB1889" s="127" t="s">
        <v>276</v>
      </c>
      <c r="AC1889" s="126">
        <v>1</v>
      </c>
      <c r="AD1889" s="127" t="s">
        <v>8204</v>
      </c>
      <c r="AE1889" s="126">
        <v>4</v>
      </c>
      <c r="AF1889" s="127" t="s">
        <v>8204</v>
      </c>
      <c r="AG1889" s="346" t="s">
        <v>11117</v>
      </c>
      <c r="AH1889" s="346" t="s">
        <v>11104</v>
      </c>
      <c r="AI1889" s="134">
        <v>5</v>
      </c>
      <c r="AJ1889" s="134">
        <v>2</v>
      </c>
      <c r="AK1889" s="438">
        <v>1152</v>
      </c>
      <c r="AL1889" s="346">
        <v>1151</v>
      </c>
      <c r="AM1889" s="134" t="s">
        <v>292</v>
      </c>
      <c r="AN1889" s="126" t="s">
        <v>276</v>
      </c>
      <c r="AO1889" s="135">
        <f t="shared" si="555"/>
        <v>0.43402777777777779</v>
      </c>
      <c r="AP1889" s="126" t="s">
        <v>276</v>
      </c>
      <c r="AQ1889" s="126" t="s">
        <v>276</v>
      </c>
      <c r="AR1889" s="126" t="s">
        <v>276</v>
      </c>
      <c r="AS1889" s="135">
        <f t="shared" si="556"/>
        <v>0.1737619461337967</v>
      </c>
      <c r="AT1889" s="126" t="s">
        <v>276</v>
      </c>
      <c r="AU1889" s="126" t="s">
        <v>276</v>
      </c>
      <c r="AV1889" s="127" t="s">
        <v>268</v>
      </c>
      <c r="AW1889" s="234" t="s">
        <v>276</v>
      </c>
      <c r="AX1889" s="234">
        <f t="shared" si="557"/>
        <v>2.4978298611111112</v>
      </c>
      <c r="AY1889" s="127" t="s">
        <v>276</v>
      </c>
      <c r="AZ1889" s="127" t="s">
        <v>276</v>
      </c>
      <c r="BA1889" s="127" t="s">
        <v>276</v>
      </c>
      <c r="BB1889" s="127" t="s">
        <v>282</v>
      </c>
      <c r="BC1889" s="127" t="s">
        <v>276</v>
      </c>
      <c r="BD1889" s="127" t="s">
        <v>276</v>
      </c>
      <c r="BE1889" s="127" t="s">
        <v>276</v>
      </c>
      <c r="BF1889" s="127" t="s">
        <v>298</v>
      </c>
      <c r="BG1889" s="127"/>
      <c r="BH1889" s="9" t="s">
        <v>100</v>
      </c>
      <c r="BI1889" s="9" t="s">
        <v>100</v>
      </c>
      <c r="BJ1889" s="136"/>
      <c r="BN1889" s="136"/>
      <c r="BO1889" s="136"/>
    </row>
    <row r="1890" spans="1:67" s="137" customFormat="1" ht="65" hidden="1" x14ac:dyDescent="0.35">
      <c r="A1890" s="126">
        <v>708</v>
      </c>
      <c r="B1890" s="126" t="s">
        <v>8196</v>
      </c>
      <c r="C1890" s="126" t="s">
        <v>77</v>
      </c>
      <c r="D1890" s="346" t="s">
        <v>11118</v>
      </c>
      <c r="E1890" s="126" t="s">
        <v>39</v>
      </c>
      <c r="F1890" s="127" t="s">
        <v>8108</v>
      </c>
      <c r="G1890" s="126" t="s">
        <v>8119</v>
      </c>
      <c r="H1890" s="126" t="s">
        <v>225</v>
      </c>
      <c r="I1890" s="126" t="s">
        <v>98</v>
      </c>
      <c r="J1890" s="127" t="s">
        <v>25</v>
      </c>
      <c r="K1890" s="126" t="s">
        <v>987</v>
      </c>
      <c r="L1890" s="127" t="s">
        <v>8203</v>
      </c>
      <c r="M1890" s="126" t="s">
        <v>300</v>
      </c>
      <c r="N1890" s="126" t="s">
        <v>276</v>
      </c>
      <c r="O1890" s="127" t="s">
        <v>276</v>
      </c>
      <c r="P1890" s="127" t="s">
        <v>239</v>
      </c>
      <c r="Q1890" s="146">
        <v>41639</v>
      </c>
      <c r="R1890" s="127" t="s">
        <v>276</v>
      </c>
      <c r="S1890" s="127" t="s">
        <v>8198</v>
      </c>
      <c r="T1890" s="127" t="s">
        <v>8198</v>
      </c>
      <c r="U1890" s="127" t="s">
        <v>8199</v>
      </c>
      <c r="V1890" s="127" t="s">
        <v>261</v>
      </c>
      <c r="W1890" s="126" t="s">
        <v>8111</v>
      </c>
      <c r="X1890" s="127" t="s">
        <v>208</v>
      </c>
      <c r="Y1890" s="132">
        <v>1152</v>
      </c>
      <c r="Z1890" s="127">
        <v>1151</v>
      </c>
      <c r="AA1890" s="127" t="s">
        <v>276</v>
      </c>
      <c r="AB1890" s="127" t="s">
        <v>276</v>
      </c>
      <c r="AC1890" s="126">
        <v>1</v>
      </c>
      <c r="AD1890" s="127" t="s">
        <v>8204</v>
      </c>
      <c r="AE1890" s="126">
        <v>4</v>
      </c>
      <c r="AF1890" s="127" t="s">
        <v>8204</v>
      </c>
      <c r="AG1890" s="346" t="s">
        <v>11119</v>
      </c>
      <c r="AH1890" s="346" t="s">
        <v>11104</v>
      </c>
      <c r="AI1890" s="134">
        <v>0</v>
      </c>
      <c r="AJ1890" s="134">
        <v>2</v>
      </c>
      <c r="AK1890" s="438">
        <v>1152</v>
      </c>
      <c r="AL1890" s="346">
        <v>1151</v>
      </c>
      <c r="AM1890" s="134" t="s">
        <v>292</v>
      </c>
      <c r="AN1890" s="126" t="s">
        <v>276</v>
      </c>
      <c r="AO1890" s="135">
        <f t="shared" si="555"/>
        <v>0</v>
      </c>
      <c r="AP1890" s="126" t="s">
        <v>276</v>
      </c>
      <c r="AQ1890" s="126" t="s">
        <v>276</v>
      </c>
      <c r="AR1890" s="126" t="s">
        <v>276</v>
      </c>
      <c r="AS1890" s="135">
        <f t="shared" si="556"/>
        <v>0.1737619461337967</v>
      </c>
      <c r="AT1890" s="126" t="s">
        <v>276</v>
      </c>
      <c r="AU1890" s="126" t="s">
        <v>276</v>
      </c>
      <c r="AV1890" s="127" t="s">
        <v>268</v>
      </c>
      <c r="AW1890" s="234" t="s">
        <v>276</v>
      </c>
      <c r="AX1890" s="234">
        <f t="shared" si="557"/>
        <v>0</v>
      </c>
      <c r="AY1890" s="127" t="s">
        <v>276</v>
      </c>
      <c r="AZ1890" s="127" t="s">
        <v>276</v>
      </c>
      <c r="BA1890" s="127" t="s">
        <v>276</v>
      </c>
      <c r="BB1890" s="127" t="s">
        <v>282</v>
      </c>
      <c r="BC1890" s="127" t="s">
        <v>276</v>
      </c>
      <c r="BD1890" s="127" t="s">
        <v>276</v>
      </c>
      <c r="BE1890" s="127" t="s">
        <v>276</v>
      </c>
      <c r="BF1890" s="127" t="s">
        <v>298</v>
      </c>
      <c r="BG1890" s="127"/>
      <c r="BH1890" s="9" t="s">
        <v>100</v>
      </c>
      <c r="BI1890" s="9" t="s">
        <v>100</v>
      </c>
      <c r="BJ1890" s="136"/>
      <c r="BN1890" s="136"/>
      <c r="BO1890" s="136"/>
    </row>
    <row r="1891" spans="1:67" s="137" customFormat="1" ht="78" hidden="1" x14ac:dyDescent="0.35">
      <c r="A1891" s="126">
        <v>708</v>
      </c>
      <c r="B1891" s="126" t="s">
        <v>8196</v>
      </c>
      <c r="C1891" s="126" t="s">
        <v>77</v>
      </c>
      <c r="D1891" s="346" t="s">
        <v>11589</v>
      </c>
      <c r="E1891" s="126" t="s">
        <v>39</v>
      </c>
      <c r="F1891" s="127" t="s">
        <v>8108</v>
      </c>
      <c r="G1891" s="126" t="s">
        <v>8119</v>
      </c>
      <c r="H1891" s="126" t="s">
        <v>225</v>
      </c>
      <c r="I1891" s="126" t="s">
        <v>98</v>
      </c>
      <c r="J1891" s="127" t="s">
        <v>25</v>
      </c>
      <c r="K1891" s="126" t="s">
        <v>311</v>
      </c>
      <c r="L1891" s="127" t="s">
        <v>8203</v>
      </c>
      <c r="M1891" s="126" t="s">
        <v>300</v>
      </c>
      <c r="N1891" s="126" t="s">
        <v>276</v>
      </c>
      <c r="O1891" s="127" t="s">
        <v>276</v>
      </c>
      <c r="P1891" s="127" t="s">
        <v>239</v>
      </c>
      <c r="Q1891" s="146">
        <v>41639</v>
      </c>
      <c r="R1891" s="127" t="s">
        <v>276</v>
      </c>
      <c r="S1891" s="127" t="s">
        <v>8198</v>
      </c>
      <c r="T1891" s="127" t="s">
        <v>8198</v>
      </c>
      <c r="U1891" s="127" t="s">
        <v>8199</v>
      </c>
      <c r="V1891" s="127" t="s">
        <v>261</v>
      </c>
      <c r="W1891" s="126" t="s">
        <v>8111</v>
      </c>
      <c r="X1891" s="127" t="s">
        <v>208</v>
      </c>
      <c r="Y1891" s="132">
        <v>1152</v>
      </c>
      <c r="Z1891" s="127">
        <v>1151</v>
      </c>
      <c r="AA1891" s="127" t="s">
        <v>276</v>
      </c>
      <c r="AB1891" s="127" t="s">
        <v>276</v>
      </c>
      <c r="AC1891" s="126">
        <v>1</v>
      </c>
      <c r="AD1891" s="127" t="s">
        <v>8204</v>
      </c>
      <c r="AE1891" s="126">
        <v>4</v>
      </c>
      <c r="AF1891" s="127" t="s">
        <v>8204</v>
      </c>
      <c r="AG1891" s="346" t="s">
        <v>11120</v>
      </c>
      <c r="AH1891" s="346" t="s">
        <v>11104</v>
      </c>
      <c r="AI1891" s="134">
        <v>5</v>
      </c>
      <c r="AJ1891" s="134">
        <v>4</v>
      </c>
      <c r="AK1891" s="438">
        <v>1152</v>
      </c>
      <c r="AL1891" s="346">
        <v>1151</v>
      </c>
      <c r="AM1891" s="134" t="s">
        <v>292</v>
      </c>
      <c r="AN1891" s="126" t="s">
        <v>276</v>
      </c>
      <c r="AO1891" s="135">
        <f t="shared" si="555"/>
        <v>0.43402777777777779</v>
      </c>
      <c r="AP1891" s="126" t="s">
        <v>276</v>
      </c>
      <c r="AQ1891" s="126" t="s">
        <v>276</v>
      </c>
      <c r="AR1891" s="126" t="s">
        <v>276</v>
      </c>
      <c r="AS1891" s="135">
        <f t="shared" si="556"/>
        <v>0.34752389226759339</v>
      </c>
      <c r="AT1891" s="126" t="s">
        <v>276</v>
      </c>
      <c r="AU1891" s="126" t="s">
        <v>276</v>
      </c>
      <c r="AV1891" s="127" t="s">
        <v>268</v>
      </c>
      <c r="AW1891" s="234" t="s">
        <v>276</v>
      </c>
      <c r="AX1891" s="234">
        <f t="shared" si="557"/>
        <v>1.2489149305555556</v>
      </c>
      <c r="AY1891" s="127" t="s">
        <v>276</v>
      </c>
      <c r="AZ1891" s="127" t="s">
        <v>276</v>
      </c>
      <c r="BA1891" s="127" t="s">
        <v>276</v>
      </c>
      <c r="BB1891" s="127" t="s">
        <v>282</v>
      </c>
      <c r="BC1891" s="127" t="s">
        <v>276</v>
      </c>
      <c r="BD1891" s="127" t="s">
        <v>276</v>
      </c>
      <c r="BE1891" s="127" t="s">
        <v>276</v>
      </c>
      <c r="BF1891" s="127" t="s">
        <v>298</v>
      </c>
      <c r="BG1891" s="127"/>
      <c r="BH1891" s="9" t="s">
        <v>100</v>
      </c>
      <c r="BI1891" s="9" t="s">
        <v>100</v>
      </c>
      <c r="BJ1891" s="136"/>
      <c r="BN1891" s="136"/>
      <c r="BO1891" s="136"/>
    </row>
    <row r="1892" spans="1:67" s="172" customFormat="1" ht="65" hidden="1" x14ac:dyDescent="0.35">
      <c r="A1892" s="150">
        <v>708</v>
      </c>
      <c r="B1892" s="150" t="s">
        <v>8196</v>
      </c>
      <c r="C1892" s="150" t="s">
        <v>77</v>
      </c>
      <c r="D1892" s="346" t="s">
        <v>11590</v>
      </c>
      <c r="E1892" s="150" t="s">
        <v>39</v>
      </c>
      <c r="F1892" s="151" t="s">
        <v>8108</v>
      </c>
      <c r="G1892" s="150" t="s">
        <v>8119</v>
      </c>
      <c r="H1892" s="150" t="s">
        <v>225</v>
      </c>
      <c r="I1892" s="150" t="s">
        <v>98</v>
      </c>
      <c r="J1892" s="151" t="s">
        <v>25</v>
      </c>
      <c r="K1892" s="150" t="s">
        <v>314</v>
      </c>
      <c r="L1892" s="151" t="s">
        <v>8203</v>
      </c>
      <c r="M1892" s="150" t="s">
        <v>300</v>
      </c>
      <c r="N1892" s="150" t="s">
        <v>276</v>
      </c>
      <c r="O1892" s="151" t="s">
        <v>276</v>
      </c>
      <c r="P1892" s="151" t="s">
        <v>239</v>
      </c>
      <c r="Q1892" s="154">
        <v>41639</v>
      </c>
      <c r="R1892" s="151" t="s">
        <v>276</v>
      </c>
      <c r="S1892" s="151" t="s">
        <v>8198</v>
      </c>
      <c r="T1892" s="151" t="s">
        <v>8198</v>
      </c>
      <c r="U1892" s="151" t="s">
        <v>8199</v>
      </c>
      <c r="V1892" s="151" t="s">
        <v>261</v>
      </c>
      <c r="W1892" s="150" t="s">
        <v>8111</v>
      </c>
      <c r="X1892" s="151" t="s">
        <v>208</v>
      </c>
      <c r="Y1892" s="155">
        <v>1152</v>
      </c>
      <c r="Z1892" s="151">
        <v>1151</v>
      </c>
      <c r="AA1892" s="151" t="s">
        <v>276</v>
      </c>
      <c r="AB1892" s="151" t="s">
        <v>276</v>
      </c>
      <c r="AC1892" s="150">
        <v>1</v>
      </c>
      <c r="AD1892" s="151" t="s">
        <v>8204</v>
      </c>
      <c r="AE1892" s="150">
        <v>4</v>
      </c>
      <c r="AF1892" s="151" t="s">
        <v>8204</v>
      </c>
      <c r="AG1892" s="346" t="s">
        <v>11121</v>
      </c>
      <c r="AH1892" s="346" t="s">
        <v>11104</v>
      </c>
      <c r="AI1892" s="156">
        <v>11</v>
      </c>
      <c r="AJ1892" s="156">
        <v>6</v>
      </c>
      <c r="AK1892" s="438">
        <v>1152</v>
      </c>
      <c r="AL1892" s="346">
        <v>1151</v>
      </c>
      <c r="AM1892" s="156" t="s">
        <v>292</v>
      </c>
      <c r="AN1892" s="150" t="s">
        <v>276</v>
      </c>
      <c r="AO1892" s="159">
        <f t="shared" si="555"/>
        <v>0.95486111111111116</v>
      </c>
      <c r="AP1892" s="150" t="s">
        <v>276</v>
      </c>
      <c r="AQ1892" s="150" t="s">
        <v>276</v>
      </c>
      <c r="AR1892" s="150" t="s">
        <v>276</v>
      </c>
      <c r="AS1892" s="159">
        <f t="shared" si="556"/>
        <v>0.52128583840139009</v>
      </c>
      <c r="AT1892" s="150" t="s">
        <v>276</v>
      </c>
      <c r="AU1892" s="150" t="s">
        <v>276</v>
      </c>
      <c r="AV1892" s="151" t="s">
        <v>268</v>
      </c>
      <c r="AW1892" s="235" t="s">
        <v>276</v>
      </c>
      <c r="AX1892" s="235">
        <f t="shared" si="557"/>
        <v>1.8317418981481484</v>
      </c>
      <c r="AY1892" s="151" t="s">
        <v>276</v>
      </c>
      <c r="AZ1892" s="151" t="s">
        <v>276</v>
      </c>
      <c r="BA1892" s="151" t="s">
        <v>276</v>
      </c>
      <c r="BB1892" s="151" t="s">
        <v>282</v>
      </c>
      <c r="BC1892" s="151" t="s">
        <v>276</v>
      </c>
      <c r="BD1892" s="151" t="s">
        <v>276</v>
      </c>
      <c r="BE1892" s="151" t="s">
        <v>276</v>
      </c>
      <c r="BF1892" s="151" t="s">
        <v>298</v>
      </c>
      <c r="BG1892" s="151"/>
      <c r="BH1892" s="9" t="s">
        <v>100</v>
      </c>
      <c r="BI1892" s="9" t="s">
        <v>100</v>
      </c>
      <c r="BJ1892" s="171"/>
      <c r="BN1892" s="171"/>
      <c r="BO1892" s="171"/>
    </row>
    <row r="1893" spans="1:67" s="110" customFormat="1" ht="39" hidden="1" x14ac:dyDescent="0.35">
      <c r="A1893" s="94">
        <v>735</v>
      </c>
      <c r="B1893" s="94" t="s">
        <v>8142</v>
      </c>
      <c r="C1893" s="94" t="s">
        <v>77</v>
      </c>
      <c r="D1893" s="95" t="s">
        <v>8210</v>
      </c>
      <c r="E1893" s="94" t="s">
        <v>39</v>
      </c>
      <c r="F1893" s="95" t="s">
        <v>143</v>
      </c>
      <c r="G1893" s="94" t="s">
        <v>225</v>
      </c>
      <c r="H1893" s="94" t="s">
        <v>225</v>
      </c>
      <c r="I1893" s="94" t="s">
        <v>98</v>
      </c>
      <c r="J1893" s="95" t="s">
        <v>98</v>
      </c>
      <c r="K1893" s="94" t="s">
        <v>98</v>
      </c>
      <c r="L1893" s="95" t="s">
        <v>98</v>
      </c>
      <c r="M1893" s="94" t="s">
        <v>98</v>
      </c>
      <c r="N1893" s="95" t="s">
        <v>8144</v>
      </c>
      <c r="O1893" s="95" t="s">
        <v>8211</v>
      </c>
      <c r="P1893" s="95" t="s">
        <v>238</v>
      </c>
      <c r="Q1893" s="163" t="s">
        <v>8146</v>
      </c>
      <c r="R1893" s="95" t="s">
        <v>746</v>
      </c>
      <c r="S1893" s="95" t="s">
        <v>276</v>
      </c>
      <c r="T1893" s="95" t="s">
        <v>98</v>
      </c>
      <c r="U1893" s="95" t="s">
        <v>276</v>
      </c>
      <c r="V1893" s="95" t="s">
        <v>261</v>
      </c>
      <c r="W1893" s="94" t="s">
        <v>8111</v>
      </c>
      <c r="X1893" s="95" t="s">
        <v>209</v>
      </c>
      <c r="Y1893" s="98">
        <v>2376</v>
      </c>
      <c r="Z1893" s="95" t="s">
        <v>98</v>
      </c>
      <c r="AA1893" s="95" t="s">
        <v>276</v>
      </c>
      <c r="AB1893" s="95" t="s">
        <v>98</v>
      </c>
      <c r="AC1893" s="94">
        <v>0</v>
      </c>
      <c r="AD1893" s="94" t="s">
        <v>98</v>
      </c>
      <c r="AE1893" s="94" t="s">
        <v>98</v>
      </c>
      <c r="AF1893" s="94" t="s">
        <v>98</v>
      </c>
      <c r="AG1893" s="95" t="s">
        <v>8212</v>
      </c>
      <c r="AH1893" s="95" t="s">
        <v>866</v>
      </c>
      <c r="AI1893" s="99">
        <v>69</v>
      </c>
      <c r="AJ1893" s="99" t="s">
        <v>98</v>
      </c>
      <c r="AK1893" s="99">
        <v>2376</v>
      </c>
      <c r="AL1893" s="99" t="s">
        <v>98</v>
      </c>
      <c r="AM1893" s="99" t="s">
        <v>292</v>
      </c>
      <c r="AN1893" s="94" t="s">
        <v>276</v>
      </c>
      <c r="AO1893" s="101">
        <f t="shared" si="555"/>
        <v>2.904040404040404</v>
      </c>
      <c r="AP1893" s="94" t="s">
        <v>276</v>
      </c>
      <c r="AQ1893" s="94" t="s">
        <v>276</v>
      </c>
      <c r="AR1893" s="94" t="s">
        <v>98</v>
      </c>
      <c r="AS1893" s="101" t="s">
        <v>98</v>
      </c>
      <c r="AT1893" s="94" t="s">
        <v>98</v>
      </c>
      <c r="AU1893" s="94" t="s">
        <v>98</v>
      </c>
      <c r="AV1893" s="94" t="s">
        <v>98</v>
      </c>
      <c r="AW1893" s="94" t="s">
        <v>98</v>
      </c>
      <c r="AX1893" s="94" t="s">
        <v>98</v>
      </c>
      <c r="AY1893" s="94" t="s">
        <v>98</v>
      </c>
      <c r="AZ1893" s="94" t="s">
        <v>98</v>
      </c>
      <c r="BA1893" s="94" t="s">
        <v>98</v>
      </c>
      <c r="BB1893" s="94" t="s">
        <v>98</v>
      </c>
      <c r="BC1893" s="94" t="s">
        <v>98</v>
      </c>
      <c r="BD1893" s="94" t="s">
        <v>98</v>
      </c>
      <c r="BE1893" s="94" t="s">
        <v>98</v>
      </c>
      <c r="BF1893" s="95" t="s">
        <v>3634</v>
      </c>
      <c r="BG1893" s="95"/>
      <c r="BH1893" s="9" t="s">
        <v>100</v>
      </c>
      <c r="BI1893" s="9" t="s">
        <v>100</v>
      </c>
      <c r="BJ1893" s="109"/>
      <c r="BN1893" s="109"/>
      <c r="BO1893" s="109"/>
    </row>
    <row r="1894" spans="1:67" s="110" customFormat="1" ht="39" hidden="1" x14ac:dyDescent="0.35">
      <c r="A1894" s="94">
        <v>735</v>
      </c>
      <c r="B1894" s="94" t="s">
        <v>8142</v>
      </c>
      <c r="C1894" s="94" t="s">
        <v>77</v>
      </c>
      <c r="D1894" s="95" t="s">
        <v>8213</v>
      </c>
      <c r="E1894" s="94" t="s">
        <v>39</v>
      </c>
      <c r="F1894" s="95" t="s">
        <v>143</v>
      </c>
      <c r="G1894" s="94" t="s">
        <v>225</v>
      </c>
      <c r="H1894" s="94" t="s">
        <v>225</v>
      </c>
      <c r="I1894" s="94" t="s">
        <v>98</v>
      </c>
      <c r="J1894" s="95" t="s">
        <v>98</v>
      </c>
      <c r="K1894" s="94" t="s">
        <v>98</v>
      </c>
      <c r="L1894" s="95" t="s">
        <v>98</v>
      </c>
      <c r="M1894" s="94" t="s">
        <v>98</v>
      </c>
      <c r="N1894" s="95" t="s">
        <v>8144</v>
      </c>
      <c r="O1894" s="95" t="s">
        <v>8211</v>
      </c>
      <c r="P1894" s="95" t="s">
        <v>236</v>
      </c>
      <c r="Q1894" s="163" t="s">
        <v>8146</v>
      </c>
      <c r="R1894" s="95" t="s">
        <v>746</v>
      </c>
      <c r="S1894" s="95" t="s">
        <v>276</v>
      </c>
      <c r="T1894" s="95" t="s">
        <v>98</v>
      </c>
      <c r="U1894" s="95" t="s">
        <v>276</v>
      </c>
      <c r="V1894" s="95" t="s">
        <v>261</v>
      </c>
      <c r="W1894" s="94" t="s">
        <v>8111</v>
      </c>
      <c r="X1894" s="95" t="s">
        <v>209</v>
      </c>
      <c r="Y1894" s="98" t="s">
        <v>98</v>
      </c>
      <c r="Z1894" s="95" t="s">
        <v>98</v>
      </c>
      <c r="AA1894" s="95" t="s">
        <v>276</v>
      </c>
      <c r="AB1894" s="95" t="s">
        <v>98</v>
      </c>
      <c r="AC1894" s="94">
        <v>0</v>
      </c>
      <c r="AD1894" s="94" t="s">
        <v>98</v>
      </c>
      <c r="AE1894" s="94" t="s">
        <v>98</v>
      </c>
      <c r="AF1894" s="94" t="s">
        <v>98</v>
      </c>
      <c r="AG1894" s="95" t="s">
        <v>8212</v>
      </c>
      <c r="AH1894" s="95" t="s">
        <v>8214</v>
      </c>
      <c r="AI1894" s="99">
        <v>69</v>
      </c>
      <c r="AJ1894" s="99" t="s">
        <v>98</v>
      </c>
      <c r="AK1894" s="99">
        <f>69+19</f>
        <v>88</v>
      </c>
      <c r="AL1894" s="99" t="s">
        <v>98</v>
      </c>
      <c r="AM1894" s="99" t="s">
        <v>292</v>
      </c>
      <c r="AN1894" s="94" t="s">
        <v>276</v>
      </c>
      <c r="AO1894" s="102">
        <f t="shared" si="555"/>
        <v>78.409090909090907</v>
      </c>
      <c r="AP1894" s="94" t="s">
        <v>276</v>
      </c>
      <c r="AQ1894" s="94" t="s">
        <v>276</v>
      </c>
      <c r="AR1894" s="94" t="s">
        <v>98</v>
      </c>
      <c r="AS1894" s="94" t="s">
        <v>98</v>
      </c>
      <c r="AT1894" s="94" t="s">
        <v>98</v>
      </c>
      <c r="AU1894" s="94" t="s">
        <v>98</v>
      </c>
      <c r="AV1894" s="94" t="s">
        <v>98</v>
      </c>
      <c r="AW1894" s="94" t="s">
        <v>98</v>
      </c>
      <c r="AX1894" s="94" t="s">
        <v>98</v>
      </c>
      <c r="AY1894" s="94" t="s">
        <v>98</v>
      </c>
      <c r="AZ1894" s="94" t="s">
        <v>98</v>
      </c>
      <c r="BA1894" s="94" t="s">
        <v>98</v>
      </c>
      <c r="BB1894" s="94" t="s">
        <v>98</v>
      </c>
      <c r="BC1894" s="94" t="s">
        <v>98</v>
      </c>
      <c r="BD1894" s="94" t="s">
        <v>98</v>
      </c>
      <c r="BE1894" s="94" t="s">
        <v>98</v>
      </c>
      <c r="BF1894" s="95" t="s">
        <v>3634</v>
      </c>
      <c r="BG1894" s="95"/>
      <c r="BH1894" s="9" t="s">
        <v>100</v>
      </c>
      <c r="BI1894" s="9" t="s">
        <v>100</v>
      </c>
      <c r="BJ1894" s="109"/>
      <c r="BN1894" s="109"/>
      <c r="BO1894" s="109"/>
    </row>
    <row r="1895" spans="1:67" s="124" customFormat="1" ht="65" hidden="1" x14ac:dyDescent="0.35">
      <c r="A1895" s="112">
        <v>735</v>
      </c>
      <c r="B1895" s="112" t="s">
        <v>8142</v>
      </c>
      <c r="C1895" s="112" t="s">
        <v>77</v>
      </c>
      <c r="D1895" s="113" t="s">
        <v>8215</v>
      </c>
      <c r="E1895" s="112" t="s">
        <v>39</v>
      </c>
      <c r="F1895" s="113" t="s">
        <v>143</v>
      </c>
      <c r="G1895" s="112" t="s">
        <v>225</v>
      </c>
      <c r="H1895" s="112" t="s">
        <v>125</v>
      </c>
      <c r="I1895" s="112" t="s">
        <v>114</v>
      </c>
      <c r="J1895" s="113" t="s">
        <v>25</v>
      </c>
      <c r="K1895" s="112" t="s">
        <v>930</v>
      </c>
      <c r="L1895" s="113" t="s">
        <v>276</v>
      </c>
      <c r="M1895" s="112" t="s">
        <v>276</v>
      </c>
      <c r="N1895" s="113" t="s">
        <v>8144</v>
      </c>
      <c r="O1895" s="113" t="s">
        <v>8211</v>
      </c>
      <c r="P1895" s="113" t="s">
        <v>239</v>
      </c>
      <c r="Q1895" s="162" t="s">
        <v>8146</v>
      </c>
      <c r="R1895" s="113" t="s">
        <v>746</v>
      </c>
      <c r="S1895" s="113" t="s">
        <v>276</v>
      </c>
      <c r="T1895" s="113" t="s">
        <v>276</v>
      </c>
      <c r="U1895" s="113" t="s">
        <v>276</v>
      </c>
      <c r="V1895" s="113" t="s">
        <v>261</v>
      </c>
      <c r="W1895" s="112" t="s">
        <v>8111</v>
      </c>
      <c r="X1895" s="113" t="s">
        <v>207</v>
      </c>
      <c r="Y1895" s="118">
        <v>2376</v>
      </c>
      <c r="Z1895" s="113">
        <v>1723</v>
      </c>
      <c r="AA1895" s="113" t="s">
        <v>276</v>
      </c>
      <c r="AB1895" s="113" t="s">
        <v>276</v>
      </c>
      <c r="AC1895" s="112" t="s">
        <v>276</v>
      </c>
      <c r="AD1895" s="112" t="s">
        <v>276</v>
      </c>
      <c r="AE1895" s="112" t="s">
        <v>276</v>
      </c>
      <c r="AF1895" s="112" t="s">
        <v>276</v>
      </c>
      <c r="AG1895" s="113" t="s">
        <v>8216</v>
      </c>
      <c r="AH1895" s="113" t="s">
        <v>866</v>
      </c>
      <c r="AI1895" s="119">
        <v>37</v>
      </c>
      <c r="AJ1895" s="119">
        <v>6</v>
      </c>
      <c r="AK1895" s="119">
        <v>2376</v>
      </c>
      <c r="AL1895" s="119">
        <v>1723</v>
      </c>
      <c r="AM1895" s="119" t="s">
        <v>292</v>
      </c>
      <c r="AN1895" s="112" t="s">
        <v>276</v>
      </c>
      <c r="AO1895" s="121">
        <f t="shared" si="555"/>
        <v>1.5572390572390573</v>
      </c>
      <c r="AP1895" s="112" t="s">
        <v>276</v>
      </c>
      <c r="AQ1895" s="112" t="s">
        <v>276</v>
      </c>
      <c r="AR1895" s="112" t="s">
        <v>276</v>
      </c>
      <c r="AS1895" s="121">
        <f>AJ1895*100/AL1895</f>
        <v>0.34822983168891469</v>
      </c>
      <c r="AT1895" s="112" t="s">
        <v>276</v>
      </c>
      <c r="AU1895" s="112" t="s">
        <v>276</v>
      </c>
      <c r="AV1895" s="113" t="s">
        <v>268</v>
      </c>
      <c r="AW1895" s="112" t="s">
        <v>276</v>
      </c>
      <c r="AX1895" s="121">
        <f t="shared" ref="AX1895:AX1910" si="558">AO1895/AS1895</f>
        <v>4.4718714927048264</v>
      </c>
      <c r="AY1895" s="112" t="s">
        <v>276</v>
      </c>
      <c r="AZ1895" s="112" t="s">
        <v>276</v>
      </c>
      <c r="BA1895" s="112" t="s">
        <v>276</v>
      </c>
      <c r="BB1895" s="112" t="s">
        <v>282</v>
      </c>
      <c r="BC1895" s="112" t="s">
        <v>276</v>
      </c>
      <c r="BD1895" s="112" t="s">
        <v>276</v>
      </c>
      <c r="BE1895" s="112" t="s">
        <v>276</v>
      </c>
      <c r="BF1895" s="113" t="s">
        <v>3634</v>
      </c>
      <c r="BG1895" s="113"/>
      <c r="BH1895" s="9" t="s">
        <v>100</v>
      </c>
      <c r="BI1895" s="9" t="s">
        <v>100</v>
      </c>
      <c r="BJ1895" s="123"/>
      <c r="BN1895" s="123"/>
      <c r="BO1895" s="123"/>
    </row>
    <row r="1896" spans="1:67" s="124" customFormat="1" ht="65" hidden="1" x14ac:dyDescent="0.35">
      <c r="A1896" s="112">
        <v>735</v>
      </c>
      <c r="B1896" s="112" t="s">
        <v>8142</v>
      </c>
      <c r="C1896" s="112" t="s">
        <v>77</v>
      </c>
      <c r="D1896" s="113" t="s">
        <v>8217</v>
      </c>
      <c r="E1896" s="112" t="s">
        <v>39</v>
      </c>
      <c r="F1896" s="113" t="s">
        <v>143</v>
      </c>
      <c r="G1896" s="112" t="s">
        <v>225</v>
      </c>
      <c r="H1896" s="112" t="s">
        <v>125</v>
      </c>
      <c r="I1896" s="112" t="s">
        <v>114</v>
      </c>
      <c r="J1896" s="113" t="s">
        <v>25</v>
      </c>
      <c r="K1896" s="112" t="s">
        <v>934</v>
      </c>
      <c r="L1896" s="113" t="s">
        <v>276</v>
      </c>
      <c r="M1896" s="112" t="s">
        <v>276</v>
      </c>
      <c r="N1896" s="113" t="s">
        <v>8144</v>
      </c>
      <c r="O1896" s="113" t="s">
        <v>8211</v>
      </c>
      <c r="P1896" s="113" t="s">
        <v>239</v>
      </c>
      <c r="Q1896" s="162" t="s">
        <v>8146</v>
      </c>
      <c r="R1896" s="113" t="s">
        <v>746</v>
      </c>
      <c r="S1896" s="113" t="s">
        <v>276</v>
      </c>
      <c r="T1896" s="113" t="s">
        <v>276</v>
      </c>
      <c r="U1896" s="113" t="s">
        <v>276</v>
      </c>
      <c r="V1896" s="113" t="s">
        <v>261</v>
      </c>
      <c r="W1896" s="112" t="s">
        <v>8111</v>
      </c>
      <c r="X1896" s="113" t="s">
        <v>207</v>
      </c>
      <c r="Y1896" s="118">
        <v>2376</v>
      </c>
      <c r="Z1896" s="113">
        <v>1723</v>
      </c>
      <c r="AA1896" s="113" t="s">
        <v>276</v>
      </c>
      <c r="AB1896" s="113" t="s">
        <v>276</v>
      </c>
      <c r="AC1896" s="112" t="s">
        <v>276</v>
      </c>
      <c r="AD1896" s="112" t="s">
        <v>276</v>
      </c>
      <c r="AE1896" s="112" t="s">
        <v>276</v>
      </c>
      <c r="AF1896" s="112" t="s">
        <v>276</v>
      </c>
      <c r="AG1896" s="113" t="s">
        <v>8218</v>
      </c>
      <c r="AH1896" s="113" t="s">
        <v>866</v>
      </c>
      <c r="AI1896" s="119">
        <v>7</v>
      </c>
      <c r="AJ1896" s="119">
        <v>0</v>
      </c>
      <c r="AK1896" s="119">
        <v>2376</v>
      </c>
      <c r="AL1896" s="119">
        <v>1723</v>
      </c>
      <c r="AM1896" s="119" t="s">
        <v>292</v>
      </c>
      <c r="AN1896" s="112" t="s">
        <v>276</v>
      </c>
      <c r="AO1896" s="121">
        <f t="shared" si="555"/>
        <v>0.2946127946127946</v>
      </c>
      <c r="AP1896" s="112" t="s">
        <v>276</v>
      </c>
      <c r="AQ1896" s="112" t="s">
        <v>276</v>
      </c>
      <c r="AR1896" s="112" t="s">
        <v>276</v>
      </c>
      <c r="AS1896" s="121">
        <f>AJ1896*100/AL1896</f>
        <v>0</v>
      </c>
      <c r="AT1896" s="112" t="s">
        <v>276</v>
      </c>
      <c r="AU1896" s="112" t="s">
        <v>276</v>
      </c>
      <c r="AV1896" s="113" t="s">
        <v>268</v>
      </c>
      <c r="AW1896" s="112" t="s">
        <v>276</v>
      </c>
      <c r="AX1896" s="121" t="e">
        <f t="shared" si="558"/>
        <v>#DIV/0!</v>
      </c>
      <c r="AY1896" s="112" t="s">
        <v>276</v>
      </c>
      <c r="AZ1896" s="112" t="s">
        <v>276</v>
      </c>
      <c r="BA1896" s="112" t="s">
        <v>276</v>
      </c>
      <c r="BB1896" s="112" t="s">
        <v>282</v>
      </c>
      <c r="BC1896" s="112" t="s">
        <v>276</v>
      </c>
      <c r="BD1896" s="112" t="s">
        <v>276</v>
      </c>
      <c r="BE1896" s="112" t="s">
        <v>276</v>
      </c>
      <c r="BF1896" s="113" t="s">
        <v>3634</v>
      </c>
      <c r="BG1896" s="113"/>
      <c r="BH1896" s="9" t="s">
        <v>100</v>
      </c>
      <c r="BI1896" s="9" t="s">
        <v>100</v>
      </c>
      <c r="BJ1896" s="123"/>
      <c r="BN1896" s="123"/>
      <c r="BO1896" s="123"/>
    </row>
    <row r="1897" spans="1:67" s="124" customFormat="1" ht="65" hidden="1" x14ac:dyDescent="0.35">
      <c r="A1897" s="112">
        <v>735</v>
      </c>
      <c r="B1897" s="112" t="s">
        <v>8142</v>
      </c>
      <c r="C1897" s="112" t="s">
        <v>77</v>
      </c>
      <c r="D1897" s="113" t="s">
        <v>8219</v>
      </c>
      <c r="E1897" s="112" t="s">
        <v>39</v>
      </c>
      <c r="F1897" s="113" t="s">
        <v>143</v>
      </c>
      <c r="G1897" s="112" t="s">
        <v>225</v>
      </c>
      <c r="H1897" s="112" t="s">
        <v>125</v>
      </c>
      <c r="I1897" s="112" t="s">
        <v>114</v>
      </c>
      <c r="J1897" s="113" t="s">
        <v>25</v>
      </c>
      <c r="K1897" s="112" t="s">
        <v>300</v>
      </c>
      <c r="L1897" s="113" t="s">
        <v>276</v>
      </c>
      <c r="M1897" s="112" t="s">
        <v>276</v>
      </c>
      <c r="N1897" s="113" t="s">
        <v>8144</v>
      </c>
      <c r="O1897" s="113" t="s">
        <v>8211</v>
      </c>
      <c r="P1897" s="113" t="s">
        <v>239</v>
      </c>
      <c r="Q1897" s="162" t="s">
        <v>8146</v>
      </c>
      <c r="R1897" s="113" t="s">
        <v>746</v>
      </c>
      <c r="S1897" s="113" t="s">
        <v>276</v>
      </c>
      <c r="T1897" s="113" t="s">
        <v>276</v>
      </c>
      <c r="U1897" s="113" t="s">
        <v>276</v>
      </c>
      <c r="V1897" s="113" t="s">
        <v>261</v>
      </c>
      <c r="W1897" s="112" t="s">
        <v>8111</v>
      </c>
      <c r="X1897" s="113" t="s">
        <v>207</v>
      </c>
      <c r="Y1897" s="118">
        <v>2376</v>
      </c>
      <c r="Z1897" s="113">
        <v>1723</v>
      </c>
      <c r="AA1897" s="113" t="s">
        <v>276</v>
      </c>
      <c r="AB1897" s="113" t="s">
        <v>276</v>
      </c>
      <c r="AC1897" s="112" t="s">
        <v>276</v>
      </c>
      <c r="AD1897" s="112" t="s">
        <v>276</v>
      </c>
      <c r="AE1897" s="112" t="s">
        <v>276</v>
      </c>
      <c r="AF1897" s="112" t="s">
        <v>276</v>
      </c>
      <c r="AG1897" s="113" t="s">
        <v>8220</v>
      </c>
      <c r="AH1897" s="113" t="s">
        <v>866</v>
      </c>
      <c r="AI1897" s="119">
        <f>37+7</f>
        <v>44</v>
      </c>
      <c r="AJ1897" s="119">
        <v>6</v>
      </c>
      <c r="AK1897" s="119">
        <v>2376</v>
      </c>
      <c r="AL1897" s="119">
        <v>1723</v>
      </c>
      <c r="AM1897" s="119" t="s">
        <v>292</v>
      </c>
      <c r="AN1897" s="112" t="s">
        <v>276</v>
      </c>
      <c r="AO1897" s="121">
        <f t="shared" si="555"/>
        <v>1.8518518518518519</v>
      </c>
      <c r="AP1897" s="112" t="s">
        <v>276</v>
      </c>
      <c r="AQ1897" s="112" t="s">
        <v>276</v>
      </c>
      <c r="AR1897" s="112" t="s">
        <v>276</v>
      </c>
      <c r="AS1897" s="121">
        <f>AJ1897*100/AL1897</f>
        <v>0.34822983168891469</v>
      </c>
      <c r="AT1897" s="112" t="s">
        <v>276</v>
      </c>
      <c r="AU1897" s="112" t="s">
        <v>276</v>
      </c>
      <c r="AV1897" s="113" t="s">
        <v>268</v>
      </c>
      <c r="AW1897" s="112" t="s">
        <v>276</v>
      </c>
      <c r="AX1897" s="121">
        <f t="shared" si="558"/>
        <v>5.3179012345679011</v>
      </c>
      <c r="AY1897" s="112" t="s">
        <v>276</v>
      </c>
      <c r="AZ1897" s="112" t="s">
        <v>276</v>
      </c>
      <c r="BA1897" s="112" t="s">
        <v>276</v>
      </c>
      <c r="BB1897" s="112" t="s">
        <v>282</v>
      </c>
      <c r="BC1897" s="112" t="s">
        <v>276</v>
      </c>
      <c r="BD1897" s="112" t="s">
        <v>276</v>
      </c>
      <c r="BE1897" s="112" t="s">
        <v>276</v>
      </c>
      <c r="BF1897" s="113" t="s">
        <v>3634</v>
      </c>
      <c r="BG1897" s="113"/>
      <c r="BH1897" s="9" t="s">
        <v>100</v>
      </c>
      <c r="BI1897" s="9" t="s">
        <v>100</v>
      </c>
      <c r="BJ1897" s="123"/>
      <c r="BN1897" s="123"/>
      <c r="BO1897" s="123"/>
    </row>
    <row r="1898" spans="1:67" s="110" customFormat="1" ht="65" hidden="1" x14ac:dyDescent="0.35">
      <c r="A1898" s="94">
        <v>735</v>
      </c>
      <c r="B1898" s="94" t="s">
        <v>8142</v>
      </c>
      <c r="C1898" s="94" t="s">
        <v>77</v>
      </c>
      <c r="D1898" s="95" t="s">
        <v>8221</v>
      </c>
      <c r="E1898" s="94" t="s">
        <v>39</v>
      </c>
      <c r="F1898" s="95" t="s">
        <v>143</v>
      </c>
      <c r="G1898" s="94" t="s">
        <v>225</v>
      </c>
      <c r="H1898" s="94" t="s">
        <v>125</v>
      </c>
      <c r="I1898" s="94" t="s">
        <v>114</v>
      </c>
      <c r="J1898" s="95" t="s">
        <v>25</v>
      </c>
      <c r="K1898" s="94" t="s">
        <v>304</v>
      </c>
      <c r="L1898" s="95" t="s">
        <v>276</v>
      </c>
      <c r="M1898" s="94" t="s">
        <v>276</v>
      </c>
      <c r="N1898" s="95" t="s">
        <v>8144</v>
      </c>
      <c r="O1898" s="95" t="s">
        <v>8211</v>
      </c>
      <c r="P1898" s="95" t="s">
        <v>239</v>
      </c>
      <c r="Q1898" s="163" t="s">
        <v>8146</v>
      </c>
      <c r="R1898" s="95" t="s">
        <v>746</v>
      </c>
      <c r="S1898" s="95" t="s">
        <v>276</v>
      </c>
      <c r="T1898" s="95" t="s">
        <v>276</v>
      </c>
      <c r="U1898" s="95" t="s">
        <v>276</v>
      </c>
      <c r="V1898" s="95" t="s">
        <v>261</v>
      </c>
      <c r="W1898" s="94" t="s">
        <v>8111</v>
      </c>
      <c r="X1898" s="95" t="s">
        <v>207</v>
      </c>
      <c r="Y1898" s="98">
        <v>2376</v>
      </c>
      <c r="Z1898" s="95">
        <v>1723</v>
      </c>
      <c r="AA1898" s="95" t="s">
        <v>276</v>
      </c>
      <c r="AB1898" s="95" t="s">
        <v>276</v>
      </c>
      <c r="AC1898" s="94" t="s">
        <v>276</v>
      </c>
      <c r="AD1898" s="94" t="s">
        <v>276</v>
      </c>
      <c r="AE1898" s="94" t="s">
        <v>276</v>
      </c>
      <c r="AF1898" s="94" t="s">
        <v>276</v>
      </c>
      <c r="AG1898" s="95" t="s">
        <v>8222</v>
      </c>
      <c r="AH1898" s="95" t="s">
        <v>866</v>
      </c>
      <c r="AI1898" s="99">
        <v>4</v>
      </c>
      <c r="AJ1898" s="99">
        <v>2</v>
      </c>
      <c r="AK1898" s="99">
        <v>2376</v>
      </c>
      <c r="AL1898" s="99">
        <v>1723</v>
      </c>
      <c r="AM1898" s="99" t="s">
        <v>292</v>
      </c>
      <c r="AN1898" s="94" t="s">
        <v>276</v>
      </c>
      <c r="AO1898" s="102">
        <f t="shared" si="555"/>
        <v>0.16835016835016836</v>
      </c>
      <c r="AP1898" s="94" t="s">
        <v>276</v>
      </c>
      <c r="AQ1898" s="94" t="s">
        <v>276</v>
      </c>
      <c r="AR1898" s="94" t="s">
        <v>276</v>
      </c>
      <c r="AS1898" s="102">
        <f>AJ1898*100/AL1898</f>
        <v>0.11607661056297155</v>
      </c>
      <c r="AT1898" s="94" t="s">
        <v>276</v>
      </c>
      <c r="AU1898" s="94" t="s">
        <v>276</v>
      </c>
      <c r="AV1898" s="95" t="s">
        <v>268</v>
      </c>
      <c r="AW1898" s="94" t="s">
        <v>276</v>
      </c>
      <c r="AX1898" s="102">
        <f t="shared" si="558"/>
        <v>1.4503367003367005</v>
      </c>
      <c r="AY1898" s="94" t="s">
        <v>276</v>
      </c>
      <c r="AZ1898" s="94" t="s">
        <v>276</v>
      </c>
      <c r="BA1898" s="94" t="s">
        <v>276</v>
      </c>
      <c r="BB1898" s="94" t="s">
        <v>282</v>
      </c>
      <c r="BC1898" s="94" t="s">
        <v>276</v>
      </c>
      <c r="BD1898" s="94" t="s">
        <v>276</v>
      </c>
      <c r="BE1898" s="94" t="s">
        <v>276</v>
      </c>
      <c r="BF1898" s="95" t="s">
        <v>3634</v>
      </c>
      <c r="BG1898" s="95"/>
      <c r="BH1898" s="9" t="s">
        <v>100</v>
      </c>
      <c r="BI1898" s="9" t="s">
        <v>100</v>
      </c>
      <c r="BJ1898" s="109"/>
      <c r="BN1898" s="109"/>
      <c r="BO1898" s="109"/>
    </row>
    <row r="1899" spans="1:67" s="137" customFormat="1" ht="65" hidden="1" x14ac:dyDescent="0.35">
      <c r="A1899" s="126">
        <v>725</v>
      </c>
      <c r="B1899" s="126" t="s">
        <v>8154</v>
      </c>
      <c r="C1899" s="126" t="s">
        <v>77</v>
      </c>
      <c r="D1899" s="127" t="s">
        <v>8223</v>
      </c>
      <c r="E1899" s="126" t="s">
        <v>39</v>
      </c>
      <c r="F1899" s="127" t="s">
        <v>143</v>
      </c>
      <c r="G1899" s="126" t="s">
        <v>225</v>
      </c>
      <c r="H1899" s="126" t="s">
        <v>125</v>
      </c>
      <c r="I1899" s="126" t="s">
        <v>114</v>
      </c>
      <c r="J1899" s="127" t="s">
        <v>25</v>
      </c>
      <c r="K1899" s="126" t="s">
        <v>300</v>
      </c>
      <c r="L1899" s="126" t="s">
        <v>276</v>
      </c>
      <c r="M1899" s="126" t="s">
        <v>276</v>
      </c>
      <c r="N1899" s="127" t="s">
        <v>8156</v>
      </c>
      <c r="O1899" s="127" t="s">
        <v>8224</v>
      </c>
      <c r="P1899" s="127" t="s">
        <v>239</v>
      </c>
      <c r="Q1899" s="167" t="s">
        <v>8158</v>
      </c>
      <c r="R1899" s="127" t="s">
        <v>766</v>
      </c>
      <c r="S1899" s="127" t="s">
        <v>11122</v>
      </c>
      <c r="T1899" s="127" t="s">
        <v>8225</v>
      </c>
      <c r="U1899" s="127" t="s">
        <v>276</v>
      </c>
      <c r="V1899" s="127" t="s">
        <v>261</v>
      </c>
      <c r="W1899" s="126" t="s">
        <v>8111</v>
      </c>
      <c r="X1899" s="127" t="s">
        <v>207</v>
      </c>
      <c r="Y1899" s="132">
        <v>2376</v>
      </c>
      <c r="Z1899" s="127">
        <v>1723</v>
      </c>
      <c r="AA1899" s="127" t="s">
        <v>276</v>
      </c>
      <c r="AB1899" s="127" t="s">
        <v>276</v>
      </c>
      <c r="AC1899" s="126">
        <v>0</v>
      </c>
      <c r="AD1899" s="126" t="s">
        <v>98</v>
      </c>
      <c r="AE1899" s="126">
        <v>0</v>
      </c>
      <c r="AF1899" s="126" t="s">
        <v>98</v>
      </c>
      <c r="AG1899" s="127" t="s">
        <v>8226</v>
      </c>
      <c r="AH1899" s="127" t="s">
        <v>866</v>
      </c>
      <c r="AI1899" s="134">
        <v>49</v>
      </c>
      <c r="AJ1899" s="134">
        <v>13</v>
      </c>
      <c r="AK1899" s="134">
        <v>2376</v>
      </c>
      <c r="AL1899" s="134">
        <v>1723</v>
      </c>
      <c r="AM1899" s="134" t="s">
        <v>292</v>
      </c>
      <c r="AN1899" s="126" t="s">
        <v>276</v>
      </c>
      <c r="AO1899" s="135">
        <f>AI1899*100/AK1899</f>
        <v>2.0622895622895623</v>
      </c>
      <c r="AP1899" s="126" t="s">
        <v>276</v>
      </c>
      <c r="AQ1899" s="126" t="s">
        <v>276</v>
      </c>
      <c r="AR1899" s="126" t="s">
        <v>276</v>
      </c>
      <c r="AS1899" s="135">
        <f>AJ1899*100/AL1899</f>
        <v>0.75449796865931518</v>
      </c>
      <c r="AT1899" s="126" t="s">
        <v>276</v>
      </c>
      <c r="AU1899" s="126" t="s">
        <v>276</v>
      </c>
      <c r="AV1899" s="127" t="s">
        <v>268</v>
      </c>
      <c r="AW1899" s="234" t="s">
        <v>276</v>
      </c>
      <c r="AX1899" s="234">
        <f t="shared" si="558"/>
        <v>2.7333268583268584</v>
      </c>
      <c r="AY1899" s="127" t="s">
        <v>276</v>
      </c>
      <c r="AZ1899" s="127" t="s">
        <v>276</v>
      </c>
      <c r="BA1899" s="127" t="s">
        <v>276</v>
      </c>
      <c r="BB1899" s="127" t="s">
        <v>282</v>
      </c>
      <c r="BC1899" s="127" t="s">
        <v>276</v>
      </c>
      <c r="BD1899" s="127" t="s">
        <v>276</v>
      </c>
      <c r="BE1899" s="127" t="s">
        <v>276</v>
      </c>
      <c r="BF1899" s="127" t="s">
        <v>8227</v>
      </c>
      <c r="BG1899" s="127"/>
      <c r="BH1899" s="9" t="s">
        <v>100</v>
      </c>
      <c r="BI1899" s="9" t="s">
        <v>100</v>
      </c>
      <c r="BJ1899" s="136"/>
      <c r="BN1899" s="136"/>
      <c r="BO1899" s="136"/>
    </row>
    <row r="1900" spans="1:67" s="137" customFormat="1" ht="65" hidden="1" x14ac:dyDescent="0.35">
      <c r="A1900" s="126">
        <v>725</v>
      </c>
      <c r="B1900" s="126" t="s">
        <v>8154</v>
      </c>
      <c r="C1900" s="126" t="s">
        <v>77</v>
      </c>
      <c r="D1900" s="127" t="s">
        <v>8228</v>
      </c>
      <c r="E1900" s="126" t="s">
        <v>39</v>
      </c>
      <c r="F1900" s="127" t="s">
        <v>143</v>
      </c>
      <c r="G1900" s="126" t="s">
        <v>225</v>
      </c>
      <c r="H1900" s="126" t="s">
        <v>125</v>
      </c>
      <c r="I1900" s="126" t="s">
        <v>114</v>
      </c>
      <c r="J1900" s="127" t="s">
        <v>25</v>
      </c>
      <c r="K1900" s="126" t="s">
        <v>300</v>
      </c>
      <c r="L1900" s="126" t="s">
        <v>276</v>
      </c>
      <c r="M1900" s="126" t="s">
        <v>276</v>
      </c>
      <c r="N1900" s="127" t="s">
        <v>8156</v>
      </c>
      <c r="O1900" s="127" t="s">
        <v>8224</v>
      </c>
      <c r="P1900" s="127" t="s">
        <v>239</v>
      </c>
      <c r="Q1900" s="167" t="s">
        <v>8158</v>
      </c>
      <c r="R1900" s="127" t="s">
        <v>766</v>
      </c>
      <c r="S1900" s="127" t="s">
        <v>11122</v>
      </c>
      <c r="T1900" s="127" t="s">
        <v>8225</v>
      </c>
      <c r="U1900" s="127" t="s">
        <v>276</v>
      </c>
      <c r="V1900" s="127" t="s">
        <v>261</v>
      </c>
      <c r="W1900" s="126" t="s">
        <v>8111</v>
      </c>
      <c r="X1900" s="127" t="s">
        <v>207</v>
      </c>
      <c r="Y1900" s="132">
        <v>2376</v>
      </c>
      <c r="Z1900" s="127">
        <v>1723</v>
      </c>
      <c r="AA1900" s="127" t="s">
        <v>276</v>
      </c>
      <c r="AB1900" s="127" t="s">
        <v>276</v>
      </c>
      <c r="AC1900" s="126">
        <v>0</v>
      </c>
      <c r="AD1900" s="126" t="s">
        <v>98</v>
      </c>
      <c r="AE1900" s="126">
        <v>0</v>
      </c>
      <c r="AF1900" s="126" t="s">
        <v>98</v>
      </c>
      <c r="AG1900" s="127" t="s">
        <v>8226</v>
      </c>
      <c r="AH1900" s="127" t="s">
        <v>8229</v>
      </c>
      <c r="AI1900" s="134">
        <v>49</v>
      </c>
      <c r="AJ1900" s="134">
        <v>13</v>
      </c>
      <c r="AK1900" s="134">
        <v>22714</v>
      </c>
      <c r="AL1900" s="134">
        <v>16102</v>
      </c>
      <c r="AM1900" s="134" t="s">
        <v>1019</v>
      </c>
      <c r="AN1900" s="126" t="s">
        <v>276</v>
      </c>
      <c r="AO1900" s="135">
        <f>AI1900*100000/AK1900</f>
        <v>215.7259839746412</v>
      </c>
      <c r="AP1900" s="126" t="s">
        <v>276</v>
      </c>
      <c r="AQ1900" s="126" t="s">
        <v>276</v>
      </c>
      <c r="AR1900" s="126" t="s">
        <v>276</v>
      </c>
      <c r="AS1900" s="135">
        <f>AJ1900*100000/AL1900</f>
        <v>80.735312383554842</v>
      </c>
      <c r="AT1900" s="126" t="s">
        <v>276</v>
      </c>
      <c r="AU1900" s="126" t="s">
        <v>276</v>
      </c>
      <c r="AV1900" s="127" t="s">
        <v>269</v>
      </c>
      <c r="AW1900" s="234" t="s">
        <v>276</v>
      </c>
      <c r="AX1900" s="234">
        <f t="shared" si="558"/>
        <v>2.6720152261228249</v>
      </c>
      <c r="AY1900" s="127" t="s">
        <v>276</v>
      </c>
      <c r="AZ1900" s="127" t="s">
        <v>276</v>
      </c>
      <c r="BA1900" s="127" t="s">
        <v>276</v>
      </c>
      <c r="BB1900" s="127" t="s">
        <v>282</v>
      </c>
      <c r="BC1900" s="127" t="s">
        <v>276</v>
      </c>
      <c r="BD1900" s="127" t="s">
        <v>276</v>
      </c>
      <c r="BE1900" s="127" t="s">
        <v>276</v>
      </c>
      <c r="BF1900" s="127" t="s">
        <v>298</v>
      </c>
      <c r="BG1900" s="127"/>
      <c r="BH1900" s="9" t="s">
        <v>100</v>
      </c>
      <c r="BI1900" s="9" t="s">
        <v>100</v>
      </c>
      <c r="BJ1900" s="136"/>
      <c r="BN1900" s="136"/>
      <c r="BO1900" s="136"/>
    </row>
    <row r="1901" spans="1:67" s="172" customFormat="1" ht="65" hidden="1" x14ac:dyDescent="0.35">
      <c r="A1901" s="150">
        <v>725</v>
      </c>
      <c r="B1901" s="150" t="s">
        <v>8154</v>
      </c>
      <c r="C1901" s="150" t="s">
        <v>77</v>
      </c>
      <c r="D1901" s="151" t="s">
        <v>8230</v>
      </c>
      <c r="E1901" s="150" t="s">
        <v>39</v>
      </c>
      <c r="F1901" s="151" t="s">
        <v>143</v>
      </c>
      <c r="G1901" s="150" t="s">
        <v>225</v>
      </c>
      <c r="H1901" s="150" t="s">
        <v>125</v>
      </c>
      <c r="I1901" s="150" t="s">
        <v>114</v>
      </c>
      <c r="J1901" s="151" t="s">
        <v>25</v>
      </c>
      <c r="K1901" s="150" t="s">
        <v>304</v>
      </c>
      <c r="L1901" s="150" t="s">
        <v>276</v>
      </c>
      <c r="M1901" s="150" t="s">
        <v>276</v>
      </c>
      <c r="N1901" s="151" t="s">
        <v>8156</v>
      </c>
      <c r="O1901" s="151" t="s">
        <v>8224</v>
      </c>
      <c r="P1901" s="151" t="s">
        <v>239</v>
      </c>
      <c r="Q1901" s="168" t="s">
        <v>8158</v>
      </c>
      <c r="R1901" s="151" t="s">
        <v>766</v>
      </c>
      <c r="S1901" s="151" t="s">
        <v>11122</v>
      </c>
      <c r="T1901" s="151" t="s">
        <v>8225</v>
      </c>
      <c r="U1901" s="151" t="s">
        <v>276</v>
      </c>
      <c r="V1901" s="151" t="s">
        <v>261</v>
      </c>
      <c r="W1901" s="150" t="s">
        <v>8111</v>
      </c>
      <c r="X1901" s="151" t="s">
        <v>207</v>
      </c>
      <c r="Y1901" s="155">
        <v>2376</v>
      </c>
      <c r="Z1901" s="151">
        <v>1723</v>
      </c>
      <c r="AA1901" s="151" t="s">
        <v>276</v>
      </c>
      <c r="AB1901" s="151" t="s">
        <v>276</v>
      </c>
      <c r="AC1901" s="150">
        <v>0</v>
      </c>
      <c r="AD1901" s="150" t="s">
        <v>98</v>
      </c>
      <c r="AE1901" s="150">
        <v>0</v>
      </c>
      <c r="AF1901" s="150" t="s">
        <v>98</v>
      </c>
      <c r="AG1901" s="151" t="s">
        <v>8231</v>
      </c>
      <c r="AH1901" s="151" t="s">
        <v>866</v>
      </c>
      <c r="AI1901" s="156">
        <v>4</v>
      </c>
      <c r="AJ1901" s="156">
        <v>5</v>
      </c>
      <c r="AK1901" s="156">
        <v>2376</v>
      </c>
      <c r="AL1901" s="156">
        <v>1723</v>
      </c>
      <c r="AM1901" s="156" t="s">
        <v>292</v>
      </c>
      <c r="AN1901" s="150" t="s">
        <v>276</v>
      </c>
      <c r="AO1901" s="159">
        <f>AI1901*100/AK1901</f>
        <v>0.16835016835016836</v>
      </c>
      <c r="AP1901" s="150" t="s">
        <v>276</v>
      </c>
      <c r="AQ1901" s="150" t="s">
        <v>276</v>
      </c>
      <c r="AR1901" s="150" t="s">
        <v>276</v>
      </c>
      <c r="AS1901" s="159">
        <f>AJ1901*100/AL1901</f>
        <v>0.2901915264074289</v>
      </c>
      <c r="AT1901" s="150" t="s">
        <v>276</v>
      </c>
      <c r="AU1901" s="150" t="s">
        <v>276</v>
      </c>
      <c r="AV1901" s="151" t="s">
        <v>268</v>
      </c>
      <c r="AW1901" s="235" t="s">
        <v>276</v>
      </c>
      <c r="AX1901" s="235">
        <f t="shared" si="558"/>
        <v>0.58013468013468017</v>
      </c>
      <c r="AY1901" s="151" t="s">
        <v>276</v>
      </c>
      <c r="AZ1901" s="151" t="s">
        <v>276</v>
      </c>
      <c r="BA1901" s="151" t="s">
        <v>276</v>
      </c>
      <c r="BB1901" s="151" t="s">
        <v>282</v>
      </c>
      <c r="BC1901" s="151" t="s">
        <v>276</v>
      </c>
      <c r="BD1901" s="151" t="s">
        <v>276</v>
      </c>
      <c r="BE1901" s="151" t="s">
        <v>276</v>
      </c>
      <c r="BF1901" s="151" t="s">
        <v>298</v>
      </c>
      <c r="BG1901" s="151"/>
      <c r="BH1901" s="9" t="s">
        <v>100</v>
      </c>
      <c r="BI1901" s="9" t="s">
        <v>100</v>
      </c>
      <c r="BJ1901" s="171"/>
      <c r="BN1901" s="171"/>
      <c r="BO1901" s="171"/>
    </row>
    <row r="1902" spans="1:67" s="172" customFormat="1" ht="65" hidden="1" x14ac:dyDescent="0.35">
      <c r="A1902" s="150">
        <v>725</v>
      </c>
      <c r="B1902" s="150" t="s">
        <v>8154</v>
      </c>
      <c r="C1902" s="150" t="s">
        <v>77</v>
      </c>
      <c r="D1902" s="151" t="s">
        <v>8232</v>
      </c>
      <c r="E1902" s="150" t="s">
        <v>39</v>
      </c>
      <c r="F1902" s="151" t="s">
        <v>143</v>
      </c>
      <c r="G1902" s="150" t="s">
        <v>225</v>
      </c>
      <c r="H1902" s="150" t="s">
        <v>125</v>
      </c>
      <c r="I1902" s="150" t="s">
        <v>114</v>
      </c>
      <c r="J1902" s="151" t="s">
        <v>25</v>
      </c>
      <c r="K1902" s="150" t="s">
        <v>304</v>
      </c>
      <c r="L1902" s="150" t="s">
        <v>276</v>
      </c>
      <c r="M1902" s="150" t="s">
        <v>276</v>
      </c>
      <c r="N1902" s="151" t="s">
        <v>8156</v>
      </c>
      <c r="O1902" s="151" t="s">
        <v>8224</v>
      </c>
      <c r="P1902" s="151" t="s">
        <v>239</v>
      </c>
      <c r="Q1902" s="168" t="s">
        <v>8158</v>
      </c>
      <c r="R1902" s="151" t="s">
        <v>766</v>
      </c>
      <c r="S1902" s="151" t="s">
        <v>11123</v>
      </c>
      <c r="T1902" s="151" t="s">
        <v>8225</v>
      </c>
      <c r="U1902" s="151" t="s">
        <v>276</v>
      </c>
      <c r="V1902" s="151" t="s">
        <v>261</v>
      </c>
      <c r="W1902" s="150" t="s">
        <v>8111</v>
      </c>
      <c r="X1902" s="151" t="s">
        <v>207</v>
      </c>
      <c r="Y1902" s="155">
        <v>2376</v>
      </c>
      <c r="Z1902" s="151">
        <v>1723</v>
      </c>
      <c r="AA1902" s="151" t="s">
        <v>276</v>
      </c>
      <c r="AB1902" s="151" t="s">
        <v>276</v>
      </c>
      <c r="AC1902" s="150">
        <v>0</v>
      </c>
      <c r="AD1902" s="150" t="s">
        <v>98</v>
      </c>
      <c r="AE1902" s="150">
        <v>0</v>
      </c>
      <c r="AF1902" s="150" t="s">
        <v>98</v>
      </c>
      <c r="AG1902" s="151" t="s">
        <v>8231</v>
      </c>
      <c r="AH1902" s="151" t="s">
        <v>8229</v>
      </c>
      <c r="AI1902" s="156">
        <v>4</v>
      </c>
      <c r="AJ1902" s="156">
        <v>5</v>
      </c>
      <c r="AK1902" s="156">
        <v>22714</v>
      </c>
      <c r="AL1902" s="156">
        <v>16102</v>
      </c>
      <c r="AM1902" s="156" t="s">
        <v>1019</v>
      </c>
      <c r="AN1902" s="150" t="s">
        <v>276</v>
      </c>
      <c r="AO1902" s="159">
        <f>AI1902*100000/AK1902</f>
        <v>17.610284406093157</v>
      </c>
      <c r="AP1902" s="150" t="s">
        <v>276</v>
      </c>
      <c r="AQ1902" s="150" t="s">
        <v>276</v>
      </c>
      <c r="AR1902" s="150" t="s">
        <v>276</v>
      </c>
      <c r="AS1902" s="159">
        <f>AJ1902*100000/AL1902</f>
        <v>31.052043224444169</v>
      </c>
      <c r="AT1902" s="150" t="s">
        <v>276</v>
      </c>
      <c r="AU1902" s="150" t="s">
        <v>276</v>
      </c>
      <c r="AV1902" s="151" t="s">
        <v>269</v>
      </c>
      <c r="AW1902" s="235" t="s">
        <v>276</v>
      </c>
      <c r="AX1902" s="235">
        <f t="shared" si="558"/>
        <v>0.56712159901382397</v>
      </c>
      <c r="AY1902" s="151" t="s">
        <v>276</v>
      </c>
      <c r="AZ1902" s="151" t="s">
        <v>276</v>
      </c>
      <c r="BA1902" s="151" t="s">
        <v>276</v>
      </c>
      <c r="BB1902" s="151" t="s">
        <v>282</v>
      </c>
      <c r="BC1902" s="151" t="s">
        <v>276</v>
      </c>
      <c r="BD1902" s="151" t="s">
        <v>276</v>
      </c>
      <c r="BE1902" s="151" t="s">
        <v>276</v>
      </c>
      <c r="BF1902" s="151" t="s">
        <v>298</v>
      </c>
      <c r="BG1902" s="151"/>
      <c r="BH1902" s="9" t="s">
        <v>100</v>
      </c>
      <c r="BI1902" s="9" t="s">
        <v>100</v>
      </c>
      <c r="BJ1902" s="171"/>
      <c r="BN1902" s="171"/>
      <c r="BO1902" s="171"/>
    </row>
    <row r="1903" spans="1:67" s="137" customFormat="1" ht="65" hidden="1" x14ac:dyDescent="0.35">
      <c r="A1903" s="126">
        <v>725</v>
      </c>
      <c r="B1903" s="126" t="s">
        <v>8154</v>
      </c>
      <c r="C1903" s="126" t="s">
        <v>77</v>
      </c>
      <c r="D1903" s="127" t="s">
        <v>8233</v>
      </c>
      <c r="E1903" s="126" t="s">
        <v>39</v>
      </c>
      <c r="F1903" s="127" t="s">
        <v>143</v>
      </c>
      <c r="G1903" s="126" t="s">
        <v>225</v>
      </c>
      <c r="H1903" s="126" t="s">
        <v>125</v>
      </c>
      <c r="I1903" s="126" t="s">
        <v>114</v>
      </c>
      <c r="J1903" s="127" t="s">
        <v>25</v>
      </c>
      <c r="K1903" s="126" t="s">
        <v>311</v>
      </c>
      <c r="L1903" s="126" t="s">
        <v>276</v>
      </c>
      <c r="M1903" s="126" t="s">
        <v>276</v>
      </c>
      <c r="N1903" s="127" t="s">
        <v>8156</v>
      </c>
      <c r="O1903" s="127" t="s">
        <v>8224</v>
      </c>
      <c r="P1903" s="127" t="s">
        <v>239</v>
      </c>
      <c r="Q1903" s="167" t="s">
        <v>8158</v>
      </c>
      <c r="R1903" s="127" t="s">
        <v>766</v>
      </c>
      <c r="S1903" s="127" t="s">
        <v>11123</v>
      </c>
      <c r="T1903" s="127" t="s">
        <v>8225</v>
      </c>
      <c r="U1903" s="127" t="s">
        <v>276</v>
      </c>
      <c r="V1903" s="127" t="s">
        <v>261</v>
      </c>
      <c r="W1903" s="126" t="s">
        <v>8111</v>
      </c>
      <c r="X1903" s="127" t="s">
        <v>207</v>
      </c>
      <c r="Y1903" s="132">
        <v>2376</v>
      </c>
      <c r="Z1903" s="127">
        <v>1723</v>
      </c>
      <c r="AA1903" s="127" t="s">
        <v>276</v>
      </c>
      <c r="AB1903" s="127" t="s">
        <v>276</v>
      </c>
      <c r="AC1903" s="126">
        <v>0</v>
      </c>
      <c r="AD1903" s="126" t="s">
        <v>98</v>
      </c>
      <c r="AE1903" s="126">
        <v>0</v>
      </c>
      <c r="AF1903" s="126" t="s">
        <v>98</v>
      </c>
      <c r="AG1903" s="127" t="s">
        <v>8234</v>
      </c>
      <c r="AH1903" s="127" t="s">
        <v>866</v>
      </c>
      <c r="AI1903" s="134">
        <v>16</v>
      </c>
      <c r="AJ1903" s="134">
        <v>10</v>
      </c>
      <c r="AK1903" s="134">
        <v>2376</v>
      </c>
      <c r="AL1903" s="134">
        <v>1723</v>
      </c>
      <c r="AM1903" s="134" t="s">
        <v>292</v>
      </c>
      <c r="AN1903" s="126" t="s">
        <v>276</v>
      </c>
      <c r="AO1903" s="135">
        <f>AI1903*100/AK1903</f>
        <v>0.67340067340067344</v>
      </c>
      <c r="AP1903" s="126" t="s">
        <v>276</v>
      </c>
      <c r="AQ1903" s="126" t="s">
        <v>276</v>
      </c>
      <c r="AR1903" s="126" t="s">
        <v>276</v>
      </c>
      <c r="AS1903" s="135">
        <f>AJ1903*100/AL1903</f>
        <v>0.5803830528148578</v>
      </c>
      <c r="AT1903" s="126" t="s">
        <v>276</v>
      </c>
      <c r="AU1903" s="126" t="s">
        <v>276</v>
      </c>
      <c r="AV1903" s="127" t="s">
        <v>268</v>
      </c>
      <c r="AW1903" s="234" t="s">
        <v>276</v>
      </c>
      <c r="AX1903" s="234">
        <f t="shared" si="558"/>
        <v>1.1602693602693603</v>
      </c>
      <c r="AY1903" s="127" t="s">
        <v>276</v>
      </c>
      <c r="AZ1903" s="127" t="s">
        <v>276</v>
      </c>
      <c r="BA1903" s="127" t="s">
        <v>276</v>
      </c>
      <c r="BB1903" s="127" t="s">
        <v>282</v>
      </c>
      <c r="BC1903" s="127" t="s">
        <v>276</v>
      </c>
      <c r="BD1903" s="127" t="s">
        <v>276</v>
      </c>
      <c r="BE1903" s="127" t="s">
        <v>276</v>
      </c>
      <c r="BF1903" s="127" t="s">
        <v>298</v>
      </c>
      <c r="BG1903" s="127"/>
      <c r="BH1903" s="9" t="s">
        <v>100</v>
      </c>
      <c r="BI1903" s="9" t="s">
        <v>100</v>
      </c>
      <c r="BJ1903" s="136"/>
      <c r="BN1903" s="136"/>
      <c r="BO1903" s="136"/>
    </row>
    <row r="1904" spans="1:67" s="137" customFormat="1" ht="65" hidden="1" x14ac:dyDescent="0.35">
      <c r="A1904" s="126">
        <v>725</v>
      </c>
      <c r="B1904" s="126" t="s">
        <v>8154</v>
      </c>
      <c r="C1904" s="126" t="s">
        <v>77</v>
      </c>
      <c r="D1904" s="127" t="s">
        <v>8235</v>
      </c>
      <c r="E1904" s="126" t="s">
        <v>39</v>
      </c>
      <c r="F1904" s="127" t="s">
        <v>143</v>
      </c>
      <c r="G1904" s="126" t="s">
        <v>225</v>
      </c>
      <c r="H1904" s="126" t="s">
        <v>125</v>
      </c>
      <c r="I1904" s="126" t="s">
        <v>114</v>
      </c>
      <c r="J1904" s="127" t="s">
        <v>25</v>
      </c>
      <c r="K1904" s="126" t="s">
        <v>311</v>
      </c>
      <c r="L1904" s="126" t="s">
        <v>276</v>
      </c>
      <c r="M1904" s="126" t="s">
        <v>276</v>
      </c>
      <c r="N1904" s="127" t="s">
        <v>8156</v>
      </c>
      <c r="O1904" s="127" t="s">
        <v>8224</v>
      </c>
      <c r="P1904" s="127" t="s">
        <v>239</v>
      </c>
      <c r="Q1904" s="167" t="s">
        <v>8158</v>
      </c>
      <c r="R1904" s="127" t="s">
        <v>766</v>
      </c>
      <c r="S1904" s="127" t="s">
        <v>11123</v>
      </c>
      <c r="T1904" s="127" t="s">
        <v>8225</v>
      </c>
      <c r="U1904" s="127" t="s">
        <v>276</v>
      </c>
      <c r="V1904" s="127" t="s">
        <v>261</v>
      </c>
      <c r="W1904" s="126" t="s">
        <v>8111</v>
      </c>
      <c r="X1904" s="127" t="s">
        <v>207</v>
      </c>
      <c r="Y1904" s="132">
        <v>2376</v>
      </c>
      <c r="Z1904" s="127">
        <v>1723</v>
      </c>
      <c r="AA1904" s="127" t="s">
        <v>276</v>
      </c>
      <c r="AB1904" s="127" t="s">
        <v>276</v>
      </c>
      <c r="AC1904" s="126">
        <v>0</v>
      </c>
      <c r="AD1904" s="126" t="s">
        <v>98</v>
      </c>
      <c r="AE1904" s="126">
        <v>0</v>
      </c>
      <c r="AF1904" s="126" t="s">
        <v>98</v>
      </c>
      <c r="AG1904" s="127" t="s">
        <v>8234</v>
      </c>
      <c r="AH1904" s="127" t="s">
        <v>8229</v>
      </c>
      <c r="AI1904" s="134">
        <v>16</v>
      </c>
      <c r="AJ1904" s="134">
        <v>10</v>
      </c>
      <c r="AK1904" s="134">
        <v>22714</v>
      </c>
      <c r="AL1904" s="134">
        <v>16102</v>
      </c>
      <c r="AM1904" s="134" t="s">
        <v>1019</v>
      </c>
      <c r="AN1904" s="126" t="s">
        <v>276</v>
      </c>
      <c r="AO1904" s="135">
        <f>AI1904*100000/AK1904</f>
        <v>70.441137624372629</v>
      </c>
      <c r="AP1904" s="126" t="s">
        <v>276</v>
      </c>
      <c r="AQ1904" s="126" t="s">
        <v>276</v>
      </c>
      <c r="AR1904" s="126" t="s">
        <v>276</v>
      </c>
      <c r="AS1904" s="135">
        <f>AJ1904*100000/AL1904</f>
        <v>62.104086448888339</v>
      </c>
      <c r="AT1904" s="126" t="s">
        <v>276</v>
      </c>
      <c r="AU1904" s="126" t="s">
        <v>276</v>
      </c>
      <c r="AV1904" s="127" t="s">
        <v>269</v>
      </c>
      <c r="AW1904" s="234" t="s">
        <v>276</v>
      </c>
      <c r="AX1904" s="234">
        <f t="shared" si="558"/>
        <v>1.1342431980276479</v>
      </c>
      <c r="AY1904" s="127" t="s">
        <v>276</v>
      </c>
      <c r="AZ1904" s="127" t="s">
        <v>276</v>
      </c>
      <c r="BA1904" s="127" t="s">
        <v>276</v>
      </c>
      <c r="BB1904" s="127" t="s">
        <v>282</v>
      </c>
      <c r="BC1904" s="127" t="s">
        <v>276</v>
      </c>
      <c r="BD1904" s="127" t="s">
        <v>276</v>
      </c>
      <c r="BE1904" s="127" t="s">
        <v>276</v>
      </c>
      <c r="BF1904" s="127" t="s">
        <v>298</v>
      </c>
      <c r="BG1904" s="127"/>
      <c r="BH1904" s="9" t="s">
        <v>100</v>
      </c>
      <c r="BI1904" s="9" t="s">
        <v>100</v>
      </c>
      <c r="BJ1904" s="136"/>
      <c r="BN1904" s="136"/>
      <c r="BO1904" s="136"/>
    </row>
    <row r="1905" spans="1:67" s="172" customFormat="1" ht="65" hidden="1" x14ac:dyDescent="0.35">
      <c r="A1905" s="150">
        <v>725</v>
      </c>
      <c r="B1905" s="150" t="s">
        <v>8154</v>
      </c>
      <c r="C1905" s="150" t="s">
        <v>77</v>
      </c>
      <c r="D1905" s="151" t="s">
        <v>8236</v>
      </c>
      <c r="E1905" s="150" t="s">
        <v>39</v>
      </c>
      <c r="F1905" s="151" t="s">
        <v>143</v>
      </c>
      <c r="G1905" s="150" t="s">
        <v>225</v>
      </c>
      <c r="H1905" s="150" t="s">
        <v>125</v>
      </c>
      <c r="I1905" s="150" t="s">
        <v>114</v>
      </c>
      <c r="J1905" s="151" t="s">
        <v>25</v>
      </c>
      <c r="K1905" s="150" t="s">
        <v>314</v>
      </c>
      <c r="L1905" s="150" t="s">
        <v>276</v>
      </c>
      <c r="M1905" s="150" t="s">
        <v>276</v>
      </c>
      <c r="N1905" s="151" t="s">
        <v>8156</v>
      </c>
      <c r="O1905" s="151" t="s">
        <v>8224</v>
      </c>
      <c r="P1905" s="151" t="s">
        <v>239</v>
      </c>
      <c r="Q1905" s="168" t="s">
        <v>8158</v>
      </c>
      <c r="R1905" s="151" t="s">
        <v>766</v>
      </c>
      <c r="S1905" s="151" t="s">
        <v>11123</v>
      </c>
      <c r="T1905" s="151" t="s">
        <v>8225</v>
      </c>
      <c r="U1905" s="151" t="s">
        <v>276</v>
      </c>
      <c r="V1905" s="151" t="s">
        <v>261</v>
      </c>
      <c r="W1905" s="150" t="s">
        <v>8111</v>
      </c>
      <c r="X1905" s="151" t="s">
        <v>207</v>
      </c>
      <c r="Y1905" s="155">
        <v>2376</v>
      </c>
      <c r="Z1905" s="151">
        <v>1723</v>
      </c>
      <c r="AA1905" s="151" t="s">
        <v>276</v>
      </c>
      <c r="AB1905" s="151" t="s">
        <v>276</v>
      </c>
      <c r="AC1905" s="150">
        <v>0</v>
      </c>
      <c r="AD1905" s="150" t="s">
        <v>98</v>
      </c>
      <c r="AE1905" s="150">
        <v>0</v>
      </c>
      <c r="AF1905" s="150" t="s">
        <v>98</v>
      </c>
      <c r="AG1905" s="151" t="s">
        <v>8237</v>
      </c>
      <c r="AH1905" s="151" t="s">
        <v>866</v>
      </c>
      <c r="AI1905" s="156">
        <v>29</v>
      </c>
      <c r="AJ1905" s="156">
        <v>32</v>
      </c>
      <c r="AK1905" s="156">
        <v>2376</v>
      </c>
      <c r="AL1905" s="156">
        <v>1723</v>
      </c>
      <c r="AM1905" s="156" t="s">
        <v>292</v>
      </c>
      <c r="AN1905" s="150" t="s">
        <v>276</v>
      </c>
      <c r="AO1905" s="159">
        <f>AI1905*100/AK1905</f>
        <v>1.2205387205387206</v>
      </c>
      <c r="AP1905" s="150" t="s">
        <v>276</v>
      </c>
      <c r="AQ1905" s="150" t="s">
        <v>276</v>
      </c>
      <c r="AR1905" s="150" t="s">
        <v>276</v>
      </c>
      <c r="AS1905" s="159">
        <f>AJ1905*100/AL1905</f>
        <v>1.8572257690075449</v>
      </c>
      <c r="AT1905" s="150" t="s">
        <v>276</v>
      </c>
      <c r="AU1905" s="150" t="s">
        <v>276</v>
      </c>
      <c r="AV1905" s="151" t="s">
        <v>268</v>
      </c>
      <c r="AW1905" s="235" t="s">
        <v>276</v>
      </c>
      <c r="AX1905" s="235">
        <f t="shared" si="558"/>
        <v>0.65718381734006737</v>
      </c>
      <c r="AY1905" s="151" t="s">
        <v>276</v>
      </c>
      <c r="AZ1905" s="151" t="s">
        <v>276</v>
      </c>
      <c r="BA1905" s="151" t="s">
        <v>276</v>
      </c>
      <c r="BB1905" s="151" t="s">
        <v>282</v>
      </c>
      <c r="BC1905" s="151" t="s">
        <v>276</v>
      </c>
      <c r="BD1905" s="151" t="s">
        <v>276</v>
      </c>
      <c r="BE1905" s="151" t="s">
        <v>276</v>
      </c>
      <c r="BF1905" s="151" t="s">
        <v>298</v>
      </c>
      <c r="BG1905" s="151"/>
      <c r="BH1905" s="9" t="s">
        <v>100</v>
      </c>
      <c r="BI1905" s="9" t="s">
        <v>100</v>
      </c>
      <c r="BJ1905" s="171"/>
      <c r="BN1905" s="171"/>
      <c r="BO1905" s="171"/>
    </row>
    <row r="1906" spans="1:67" s="172" customFormat="1" ht="65" hidden="1" x14ac:dyDescent="0.35">
      <c r="A1906" s="150">
        <v>725</v>
      </c>
      <c r="B1906" s="150" t="s">
        <v>8154</v>
      </c>
      <c r="C1906" s="150" t="s">
        <v>77</v>
      </c>
      <c r="D1906" s="151" t="s">
        <v>8238</v>
      </c>
      <c r="E1906" s="150" t="s">
        <v>39</v>
      </c>
      <c r="F1906" s="151" t="s">
        <v>143</v>
      </c>
      <c r="G1906" s="150" t="s">
        <v>225</v>
      </c>
      <c r="H1906" s="150" t="s">
        <v>125</v>
      </c>
      <c r="I1906" s="150" t="s">
        <v>114</v>
      </c>
      <c r="J1906" s="151" t="s">
        <v>25</v>
      </c>
      <c r="K1906" s="150" t="s">
        <v>314</v>
      </c>
      <c r="L1906" s="150" t="s">
        <v>276</v>
      </c>
      <c r="M1906" s="150" t="s">
        <v>276</v>
      </c>
      <c r="N1906" s="151" t="s">
        <v>8156</v>
      </c>
      <c r="O1906" s="151" t="s">
        <v>8224</v>
      </c>
      <c r="P1906" s="151" t="s">
        <v>239</v>
      </c>
      <c r="Q1906" s="168" t="s">
        <v>8158</v>
      </c>
      <c r="R1906" s="151" t="s">
        <v>766</v>
      </c>
      <c r="S1906" s="151" t="s">
        <v>11123</v>
      </c>
      <c r="T1906" s="151" t="s">
        <v>8225</v>
      </c>
      <c r="U1906" s="151" t="s">
        <v>276</v>
      </c>
      <c r="V1906" s="151" t="s">
        <v>261</v>
      </c>
      <c r="W1906" s="150" t="s">
        <v>8111</v>
      </c>
      <c r="X1906" s="151" t="s">
        <v>207</v>
      </c>
      <c r="Y1906" s="155">
        <v>2376</v>
      </c>
      <c r="Z1906" s="151">
        <v>1723</v>
      </c>
      <c r="AA1906" s="151" t="s">
        <v>276</v>
      </c>
      <c r="AB1906" s="151" t="s">
        <v>276</v>
      </c>
      <c r="AC1906" s="150">
        <v>0</v>
      </c>
      <c r="AD1906" s="150" t="s">
        <v>98</v>
      </c>
      <c r="AE1906" s="150">
        <v>0</v>
      </c>
      <c r="AF1906" s="150" t="s">
        <v>98</v>
      </c>
      <c r="AG1906" s="151" t="s">
        <v>8237</v>
      </c>
      <c r="AH1906" s="151" t="s">
        <v>8229</v>
      </c>
      <c r="AI1906" s="156">
        <v>29</v>
      </c>
      <c r="AJ1906" s="156">
        <v>32</v>
      </c>
      <c r="AK1906" s="156">
        <v>22714</v>
      </c>
      <c r="AL1906" s="156">
        <v>16102</v>
      </c>
      <c r="AM1906" s="156" t="s">
        <v>1019</v>
      </c>
      <c r="AN1906" s="150" t="s">
        <v>276</v>
      </c>
      <c r="AO1906" s="159">
        <f>AI1906*100000/AK1906</f>
        <v>127.67456194417539</v>
      </c>
      <c r="AP1906" s="150" t="s">
        <v>276</v>
      </c>
      <c r="AQ1906" s="150" t="s">
        <v>276</v>
      </c>
      <c r="AR1906" s="150" t="s">
        <v>276</v>
      </c>
      <c r="AS1906" s="159">
        <f>AJ1906*100000/AL1906</f>
        <v>198.73307663644269</v>
      </c>
      <c r="AT1906" s="150" t="s">
        <v>276</v>
      </c>
      <c r="AU1906" s="150" t="s">
        <v>276</v>
      </c>
      <c r="AV1906" s="151" t="s">
        <v>269</v>
      </c>
      <c r="AW1906" s="235" t="s">
        <v>276</v>
      </c>
      <c r="AX1906" s="235">
        <f t="shared" ref="AX1906" si="559">AO1906/AS1906</f>
        <v>0.64244243638284748</v>
      </c>
      <c r="AY1906" s="151" t="s">
        <v>276</v>
      </c>
      <c r="AZ1906" s="151" t="s">
        <v>276</v>
      </c>
      <c r="BA1906" s="151" t="s">
        <v>276</v>
      </c>
      <c r="BB1906" s="151" t="s">
        <v>282</v>
      </c>
      <c r="BC1906" s="151" t="s">
        <v>276</v>
      </c>
      <c r="BD1906" s="151" t="s">
        <v>276</v>
      </c>
      <c r="BE1906" s="151" t="s">
        <v>276</v>
      </c>
      <c r="BF1906" s="151" t="s">
        <v>298</v>
      </c>
      <c r="BG1906" s="151"/>
      <c r="BH1906" s="9" t="s">
        <v>100</v>
      </c>
      <c r="BI1906" s="9" t="s">
        <v>100</v>
      </c>
      <c r="BJ1906" s="171"/>
      <c r="BN1906" s="171"/>
      <c r="BO1906" s="171"/>
    </row>
    <row r="1907" spans="1:67" s="172" customFormat="1" ht="65" hidden="1" x14ac:dyDescent="0.35">
      <c r="A1907" s="150">
        <v>725</v>
      </c>
      <c r="B1907" s="150" t="s">
        <v>8154</v>
      </c>
      <c r="C1907" s="150" t="s">
        <v>77</v>
      </c>
      <c r="D1907" s="151" t="s">
        <v>11591</v>
      </c>
      <c r="E1907" s="150" t="s">
        <v>39</v>
      </c>
      <c r="F1907" s="151" t="s">
        <v>143</v>
      </c>
      <c r="G1907" s="150" t="s">
        <v>225</v>
      </c>
      <c r="H1907" s="150" t="s">
        <v>125</v>
      </c>
      <c r="I1907" s="150" t="s">
        <v>114</v>
      </c>
      <c r="J1907" s="151" t="s">
        <v>25</v>
      </c>
      <c r="K1907" s="150" t="s">
        <v>317</v>
      </c>
      <c r="L1907" s="150" t="s">
        <v>276</v>
      </c>
      <c r="M1907" s="150" t="s">
        <v>276</v>
      </c>
      <c r="N1907" s="151" t="s">
        <v>8156</v>
      </c>
      <c r="O1907" s="151" t="s">
        <v>8224</v>
      </c>
      <c r="P1907" s="151" t="s">
        <v>239</v>
      </c>
      <c r="Q1907" s="168" t="s">
        <v>8158</v>
      </c>
      <c r="R1907" s="151" t="s">
        <v>766</v>
      </c>
      <c r="S1907" s="151" t="s">
        <v>11123</v>
      </c>
      <c r="T1907" s="151" t="s">
        <v>8225</v>
      </c>
      <c r="U1907" s="151" t="s">
        <v>276</v>
      </c>
      <c r="V1907" s="151" t="s">
        <v>261</v>
      </c>
      <c r="W1907" s="150" t="s">
        <v>8111</v>
      </c>
      <c r="X1907" s="151" t="s">
        <v>207</v>
      </c>
      <c r="Y1907" s="155">
        <v>2376</v>
      </c>
      <c r="Z1907" s="151">
        <v>1723</v>
      </c>
      <c r="AA1907" s="151" t="s">
        <v>276</v>
      </c>
      <c r="AB1907" s="151" t="s">
        <v>276</v>
      </c>
      <c r="AC1907" s="150">
        <v>0</v>
      </c>
      <c r="AD1907" s="150" t="s">
        <v>98</v>
      </c>
      <c r="AE1907" s="150">
        <v>0</v>
      </c>
      <c r="AF1907" s="150" t="s">
        <v>98</v>
      </c>
      <c r="AG1907" s="151" t="s">
        <v>11592</v>
      </c>
      <c r="AH1907" s="151" t="s">
        <v>8229</v>
      </c>
      <c r="AI1907" s="156">
        <f>29+16</f>
        <v>45</v>
      </c>
      <c r="AJ1907" s="156">
        <f>32+10</f>
        <v>42</v>
      </c>
      <c r="AK1907" s="156">
        <v>22714</v>
      </c>
      <c r="AL1907" s="156">
        <v>16102</v>
      </c>
      <c r="AM1907" s="156" t="s">
        <v>1019</v>
      </c>
      <c r="AN1907" s="150" t="s">
        <v>276</v>
      </c>
      <c r="AO1907" s="159">
        <f>AI1907*100000/AK1907</f>
        <v>198.11569956854802</v>
      </c>
      <c r="AP1907" s="150" t="s">
        <v>276</v>
      </c>
      <c r="AQ1907" s="150" t="s">
        <v>276</v>
      </c>
      <c r="AR1907" s="150" t="s">
        <v>276</v>
      </c>
      <c r="AS1907" s="159">
        <f>AJ1907*100000/AL1907</f>
        <v>260.83716308533104</v>
      </c>
      <c r="AT1907" s="150" t="s">
        <v>276</v>
      </c>
      <c r="AU1907" s="150" t="s">
        <v>276</v>
      </c>
      <c r="AV1907" s="151" t="s">
        <v>269</v>
      </c>
      <c r="AW1907" s="235" t="s">
        <v>276</v>
      </c>
      <c r="AX1907" s="235">
        <f t="shared" si="558"/>
        <v>0.75953785582208566</v>
      </c>
      <c r="AY1907" s="151" t="s">
        <v>276</v>
      </c>
      <c r="AZ1907" s="151" t="s">
        <v>276</v>
      </c>
      <c r="BA1907" s="151" t="s">
        <v>276</v>
      </c>
      <c r="BB1907" s="151" t="s">
        <v>282</v>
      </c>
      <c r="BC1907" s="151" t="s">
        <v>276</v>
      </c>
      <c r="BD1907" s="151" t="s">
        <v>276</v>
      </c>
      <c r="BE1907" s="151" t="s">
        <v>276</v>
      </c>
      <c r="BF1907" s="151" t="s">
        <v>298</v>
      </c>
      <c r="BG1907" s="151"/>
      <c r="BH1907" s="9" t="s">
        <v>100</v>
      </c>
      <c r="BI1907" s="9" t="s">
        <v>100</v>
      </c>
      <c r="BJ1907" s="171"/>
      <c r="BN1907" s="171"/>
      <c r="BO1907" s="171"/>
    </row>
    <row r="1908" spans="1:67" s="137" customFormat="1" ht="65" hidden="1" x14ac:dyDescent="0.35">
      <c r="A1908" s="126">
        <v>725</v>
      </c>
      <c r="B1908" s="126" t="s">
        <v>8154</v>
      </c>
      <c r="C1908" s="126" t="s">
        <v>77</v>
      </c>
      <c r="D1908" s="127" t="s">
        <v>8239</v>
      </c>
      <c r="E1908" s="126" t="s">
        <v>39</v>
      </c>
      <c r="F1908" s="127" t="s">
        <v>143</v>
      </c>
      <c r="G1908" s="126" t="s">
        <v>225</v>
      </c>
      <c r="H1908" s="126" t="s">
        <v>125</v>
      </c>
      <c r="I1908" s="126" t="s">
        <v>114</v>
      </c>
      <c r="J1908" s="127" t="s">
        <v>25</v>
      </c>
      <c r="K1908" s="126" t="s">
        <v>4151</v>
      </c>
      <c r="L1908" s="126" t="s">
        <v>276</v>
      </c>
      <c r="M1908" s="126" t="s">
        <v>276</v>
      </c>
      <c r="N1908" s="127" t="s">
        <v>8156</v>
      </c>
      <c r="O1908" s="127" t="s">
        <v>8224</v>
      </c>
      <c r="P1908" s="127" t="s">
        <v>239</v>
      </c>
      <c r="Q1908" s="167" t="s">
        <v>8158</v>
      </c>
      <c r="R1908" s="127" t="s">
        <v>766</v>
      </c>
      <c r="S1908" s="127" t="s">
        <v>11123</v>
      </c>
      <c r="T1908" s="127" t="s">
        <v>8225</v>
      </c>
      <c r="U1908" s="127" t="s">
        <v>276</v>
      </c>
      <c r="V1908" s="127" t="s">
        <v>261</v>
      </c>
      <c r="W1908" s="126" t="s">
        <v>8111</v>
      </c>
      <c r="X1908" s="127" t="s">
        <v>207</v>
      </c>
      <c r="Y1908" s="132">
        <v>2376</v>
      </c>
      <c r="Z1908" s="127">
        <v>1723</v>
      </c>
      <c r="AA1908" s="127" t="s">
        <v>276</v>
      </c>
      <c r="AB1908" s="127" t="s">
        <v>276</v>
      </c>
      <c r="AC1908" s="126">
        <v>0</v>
      </c>
      <c r="AD1908" s="126" t="s">
        <v>98</v>
      </c>
      <c r="AE1908" s="126">
        <v>0</v>
      </c>
      <c r="AF1908" s="126" t="s">
        <v>98</v>
      </c>
      <c r="AG1908" s="127" t="s">
        <v>8240</v>
      </c>
      <c r="AH1908" s="127" t="s">
        <v>866</v>
      </c>
      <c r="AI1908" s="134">
        <f>AI1901+AI1903+AI1905</f>
        <v>49</v>
      </c>
      <c r="AJ1908" s="134">
        <f>AJ1901+AJ1903+AJ1905</f>
        <v>47</v>
      </c>
      <c r="AK1908" s="134">
        <v>2376</v>
      </c>
      <c r="AL1908" s="134">
        <v>1723</v>
      </c>
      <c r="AM1908" s="134" t="s">
        <v>292</v>
      </c>
      <c r="AN1908" s="126" t="s">
        <v>276</v>
      </c>
      <c r="AO1908" s="135">
        <f>AI1908*100/AK1908</f>
        <v>2.0622895622895623</v>
      </c>
      <c r="AP1908" s="126" t="s">
        <v>276</v>
      </c>
      <c r="AQ1908" s="126" t="s">
        <v>276</v>
      </c>
      <c r="AR1908" s="126" t="s">
        <v>276</v>
      </c>
      <c r="AS1908" s="135">
        <f>AJ1908*100/AL1908</f>
        <v>2.7278003482298319</v>
      </c>
      <c r="AT1908" s="126" t="s">
        <v>276</v>
      </c>
      <c r="AU1908" s="126" t="s">
        <v>276</v>
      </c>
      <c r="AV1908" s="127" t="s">
        <v>268</v>
      </c>
      <c r="AW1908" s="234" t="s">
        <v>276</v>
      </c>
      <c r="AX1908" s="234">
        <f t="shared" si="558"/>
        <v>0.75602657783508842</v>
      </c>
      <c r="AY1908" s="127" t="s">
        <v>276</v>
      </c>
      <c r="AZ1908" s="127" t="s">
        <v>276</v>
      </c>
      <c r="BA1908" s="127" t="s">
        <v>276</v>
      </c>
      <c r="BB1908" s="127" t="s">
        <v>282</v>
      </c>
      <c r="BC1908" s="127" t="s">
        <v>276</v>
      </c>
      <c r="BD1908" s="127" t="s">
        <v>276</v>
      </c>
      <c r="BE1908" s="127" t="s">
        <v>276</v>
      </c>
      <c r="BF1908" s="127" t="s">
        <v>298</v>
      </c>
      <c r="BG1908" s="127"/>
      <c r="BH1908" s="9" t="s">
        <v>100</v>
      </c>
      <c r="BI1908" s="9" t="s">
        <v>100</v>
      </c>
      <c r="BJ1908" s="136"/>
      <c r="BN1908" s="136"/>
      <c r="BO1908" s="136"/>
    </row>
    <row r="1909" spans="1:67" s="137" customFormat="1" ht="65" hidden="1" x14ac:dyDescent="0.35">
      <c r="A1909" s="126">
        <v>725</v>
      </c>
      <c r="B1909" s="126" t="s">
        <v>8154</v>
      </c>
      <c r="C1909" s="126" t="s">
        <v>77</v>
      </c>
      <c r="D1909" s="127" t="s">
        <v>8241</v>
      </c>
      <c r="E1909" s="126" t="s">
        <v>39</v>
      </c>
      <c r="F1909" s="127" t="s">
        <v>143</v>
      </c>
      <c r="G1909" s="126" t="s">
        <v>225</v>
      </c>
      <c r="H1909" s="126" t="s">
        <v>125</v>
      </c>
      <c r="I1909" s="126" t="s">
        <v>114</v>
      </c>
      <c r="J1909" s="127" t="s">
        <v>25</v>
      </c>
      <c r="K1909" s="126" t="s">
        <v>4151</v>
      </c>
      <c r="L1909" s="126" t="s">
        <v>276</v>
      </c>
      <c r="M1909" s="126" t="s">
        <v>276</v>
      </c>
      <c r="N1909" s="127" t="s">
        <v>8156</v>
      </c>
      <c r="O1909" s="127" t="s">
        <v>8224</v>
      </c>
      <c r="P1909" s="127" t="s">
        <v>239</v>
      </c>
      <c r="Q1909" s="167" t="s">
        <v>8158</v>
      </c>
      <c r="R1909" s="127" t="s">
        <v>766</v>
      </c>
      <c r="S1909" s="127" t="s">
        <v>11123</v>
      </c>
      <c r="T1909" s="127" t="s">
        <v>8225</v>
      </c>
      <c r="U1909" s="127" t="s">
        <v>276</v>
      </c>
      <c r="V1909" s="127" t="s">
        <v>261</v>
      </c>
      <c r="W1909" s="126" t="s">
        <v>8111</v>
      </c>
      <c r="X1909" s="127" t="s">
        <v>207</v>
      </c>
      <c r="Y1909" s="132">
        <v>2376</v>
      </c>
      <c r="Z1909" s="127">
        <v>1723</v>
      </c>
      <c r="AA1909" s="127" t="s">
        <v>276</v>
      </c>
      <c r="AB1909" s="127" t="s">
        <v>276</v>
      </c>
      <c r="AC1909" s="126">
        <v>0</v>
      </c>
      <c r="AD1909" s="126" t="s">
        <v>98</v>
      </c>
      <c r="AE1909" s="126">
        <v>0</v>
      </c>
      <c r="AF1909" s="126" t="s">
        <v>98</v>
      </c>
      <c r="AG1909" s="127" t="s">
        <v>8240</v>
      </c>
      <c r="AH1909" s="127" t="s">
        <v>8229</v>
      </c>
      <c r="AI1909" s="134">
        <v>49</v>
      </c>
      <c r="AJ1909" s="134">
        <v>47</v>
      </c>
      <c r="AK1909" s="134">
        <v>22714</v>
      </c>
      <c r="AL1909" s="134">
        <v>16102</v>
      </c>
      <c r="AM1909" s="134" t="s">
        <v>1019</v>
      </c>
      <c r="AN1909" s="126" t="s">
        <v>276</v>
      </c>
      <c r="AO1909" s="135">
        <f>AI1909*100000/AK1909</f>
        <v>215.7259839746412</v>
      </c>
      <c r="AP1909" s="126" t="s">
        <v>276</v>
      </c>
      <c r="AQ1909" s="126" t="s">
        <v>276</v>
      </c>
      <c r="AR1909" s="126" t="s">
        <v>276</v>
      </c>
      <c r="AS1909" s="135">
        <f>AJ1909*100000/AL1909</f>
        <v>291.8892063097752</v>
      </c>
      <c r="AT1909" s="126" t="s">
        <v>276</v>
      </c>
      <c r="AU1909" s="126" t="s">
        <v>276</v>
      </c>
      <c r="AV1909" s="127" t="s">
        <v>269</v>
      </c>
      <c r="AW1909" s="234" t="s">
        <v>276</v>
      </c>
      <c r="AX1909" s="234">
        <f t="shared" si="558"/>
        <v>0.7390680412680154</v>
      </c>
      <c r="AY1909" s="127" t="s">
        <v>276</v>
      </c>
      <c r="AZ1909" s="127" t="s">
        <v>276</v>
      </c>
      <c r="BA1909" s="127" t="s">
        <v>276</v>
      </c>
      <c r="BB1909" s="127" t="s">
        <v>282</v>
      </c>
      <c r="BC1909" s="127" t="s">
        <v>276</v>
      </c>
      <c r="BD1909" s="127" t="s">
        <v>276</v>
      </c>
      <c r="BE1909" s="127" t="s">
        <v>276</v>
      </c>
      <c r="BF1909" s="127" t="s">
        <v>298</v>
      </c>
      <c r="BG1909" s="127"/>
      <c r="BH1909" s="9" t="s">
        <v>100</v>
      </c>
      <c r="BI1909" s="9" t="s">
        <v>100</v>
      </c>
      <c r="BJ1909" s="136"/>
      <c r="BN1909" s="136"/>
      <c r="BO1909" s="136"/>
    </row>
    <row r="1910" spans="1:67" s="172" customFormat="1" ht="52" hidden="1" x14ac:dyDescent="0.35">
      <c r="A1910" s="150">
        <v>725</v>
      </c>
      <c r="B1910" s="150" t="s">
        <v>8154</v>
      </c>
      <c r="C1910" s="150" t="s">
        <v>77</v>
      </c>
      <c r="D1910" s="151" t="s">
        <v>8242</v>
      </c>
      <c r="E1910" s="150" t="s">
        <v>39</v>
      </c>
      <c r="F1910" s="151" t="s">
        <v>143</v>
      </c>
      <c r="G1910" s="150" t="s">
        <v>225</v>
      </c>
      <c r="H1910" s="150" t="s">
        <v>125</v>
      </c>
      <c r="I1910" s="150" t="s">
        <v>114</v>
      </c>
      <c r="J1910" s="151" t="s">
        <v>25</v>
      </c>
      <c r="K1910" s="150" t="s">
        <v>4151</v>
      </c>
      <c r="L1910" s="150" t="s">
        <v>276</v>
      </c>
      <c r="M1910" s="150" t="s">
        <v>276</v>
      </c>
      <c r="N1910" s="151" t="s">
        <v>8156</v>
      </c>
      <c r="O1910" s="151" t="s">
        <v>8224</v>
      </c>
      <c r="P1910" s="151" t="s">
        <v>235</v>
      </c>
      <c r="Q1910" s="168" t="s">
        <v>8158</v>
      </c>
      <c r="R1910" s="151" t="s">
        <v>766</v>
      </c>
      <c r="S1910" s="151" t="s">
        <v>11123</v>
      </c>
      <c r="T1910" s="151" t="s">
        <v>8225</v>
      </c>
      <c r="U1910" s="151" t="s">
        <v>276</v>
      </c>
      <c r="V1910" s="151" t="s">
        <v>261</v>
      </c>
      <c r="W1910" s="150" t="s">
        <v>8111</v>
      </c>
      <c r="X1910" s="151" t="s">
        <v>207</v>
      </c>
      <c r="Y1910" s="155" t="s">
        <v>98</v>
      </c>
      <c r="Z1910" s="151" t="s">
        <v>98</v>
      </c>
      <c r="AA1910" s="151" t="s">
        <v>276</v>
      </c>
      <c r="AB1910" s="151" t="s">
        <v>276</v>
      </c>
      <c r="AC1910" s="150">
        <v>0</v>
      </c>
      <c r="AD1910" s="150" t="s">
        <v>98</v>
      </c>
      <c r="AE1910" s="150">
        <v>0</v>
      </c>
      <c r="AF1910" s="150" t="s">
        <v>98</v>
      </c>
      <c r="AG1910" s="151" t="s">
        <v>8240</v>
      </c>
      <c r="AH1910" s="151" t="s">
        <v>8243</v>
      </c>
      <c r="AI1910" s="156">
        <v>49</v>
      </c>
      <c r="AJ1910" s="156">
        <v>47</v>
      </c>
      <c r="AK1910" s="156">
        <v>98</v>
      </c>
      <c r="AL1910" s="156">
        <v>60</v>
      </c>
      <c r="AM1910" s="156" t="s">
        <v>292</v>
      </c>
      <c r="AN1910" s="150" t="s">
        <v>276</v>
      </c>
      <c r="AO1910" s="159">
        <f>AI1910*100/AK1910</f>
        <v>50</v>
      </c>
      <c r="AP1910" s="150" t="s">
        <v>276</v>
      </c>
      <c r="AQ1910" s="150" t="s">
        <v>276</v>
      </c>
      <c r="AR1910" s="150" t="s">
        <v>276</v>
      </c>
      <c r="AS1910" s="159">
        <f>AJ1910*100/AL1910</f>
        <v>78.333333333333329</v>
      </c>
      <c r="AT1910" s="150" t="s">
        <v>276</v>
      </c>
      <c r="AU1910" s="150" t="s">
        <v>276</v>
      </c>
      <c r="AV1910" s="151" t="s">
        <v>268</v>
      </c>
      <c r="AW1910" s="235" t="s">
        <v>276</v>
      </c>
      <c r="AX1910" s="235">
        <f t="shared" si="558"/>
        <v>0.63829787234042556</v>
      </c>
      <c r="AY1910" s="151" t="s">
        <v>276</v>
      </c>
      <c r="AZ1910" s="151" t="s">
        <v>276</v>
      </c>
      <c r="BA1910" s="151" t="s">
        <v>276</v>
      </c>
      <c r="BB1910" s="151" t="s">
        <v>282</v>
      </c>
      <c r="BC1910" s="151" t="s">
        <v>276</v>
      </c>
      <c r="BD1910" s="151" t="s">
        <v>276</v>
      </c>
      <c r="BE1910" s="151" t="s">
        <v>276</v>
      </c>
      <c r="BF1910" s="151" t="s">
        <v>298</v>
      </c>
      <c r="BG1910" s="151"/>
      <c r="BH1910" s="9" t="s">
        <v>100</v>
      </c>
      <c r="BI1910" s="9" t="s">
        <v>100</v>
      </c>
      <c r="BJ1910" s="171"/>
      <c r="BN1910" s="171"/>
      <c r="BO1910" s="171"/>
    </row>
    <row r="1911" spans="1:67" s="137" customFormat="1" ht="52" hidden="1" x14ac:dyDescent="0.35">
      <c r="A1911" s="126">
        <v>725</v>
      </c>
      <c r="B1911" s="126" t="s">
        <v>8154</v>
      </c>
      <c r="C1911" s="126" t="s">
        <v>77</v>
      </c>
      <c r="D1911" s="127" t="s">
        <v>8244</v>
      </c>
      <c r="E1911" s="126" t="s">
        <v>39</v>
      </c>
      <c r="F1911" s="127" t="s">
        <v>143</v>
      </c>
      <c r="G1911" s="126" t="s">
        <v>225</v>
      </c>
      <c r="H1911" s="126" t="s">
        <v>225</v>
      </c>
      <c r="I1911" s="126" t="s">
        <v>98</v>
      </c>
      <c r="J1911" s="127" t="s">
        <v>98</v>
      </c>
      <c r="K1911" s="126" t="s">
        <v>98</v>
      </c>
      <c r="L1911" s="127" t="s">
        <v>98</v>
      </c>
      <c r="M1911" s="126" t="s">
        <v>98</v>
      </c>
      <c r="N1911" s="127" t="s">
        <v>8156</v>
      </c>
      <c r="O1911" s="127" t="s">
        <v>8224</v>
      </c>
      <c r="P1911" s="127" t="s">
        <v>238</v>
      </c>
      <c r="Q1911" s="167" t="s">
        <v>8158</v>
      </c>
      <c r="R1911" s="127" t="s">
        <v>766</v>
      </c>
      <c r="S1911" s="127" t="s">
        <v>11123</v>
      </c>
      <c r="T1911" s="127" t="s">
        <v>98</v>
      </c>
      <c r="U1911" s="127" t="s">
        <v>276</v>
      </c>
      <c r="V1911" s="127" t="s">
        <v>261</v>
      </c>
      <c r="W1911" s="126" t="s">
        <v>8111</v>
      </c>
      <c r="X1911" s="127" t="s">
        <v>209</v>
      </c>
      <c r="Y1911" s="132">
        <v>2376</v>
      </c>
      <c r="Z1911" s="127" t="s">
        <v>98</v>
      </c>
      <c r="AA1911" s="127" t="s">
        <v>276</v>
      </c>
      <c r="AB1911" s="127" t="s">
        <v>98</v>
      </c>
      <c r="AC1911" s="126">
        <v>0</v>
      </c>
      <c r="AD1911" s="126" t="s">
        <v>98</v>
      </c>
      <c r="AE1911" s="126" t="s">
        <v>98</v>
      </c>
      <c r="AF1911" s="126" t="s">
        <v>98</v>
      </c>
      <c r="AG1911" s="127" t="s">
        <v>8245</v>
      </c>
      <c r="AH1911" s="127" t="s">
        <v>866</v>
      </c>
      <c r="AI1911" s="134">
        <f>98-27</f>
        <v>71</v>
      </c>
      <c r="AJ1911" s="134" t="s">
        <v>98</v>
      </c>
      <c r="AK1911" s="134">
        <v>2376</v>
      </c>
      <c r="AL1911" s="134" t="s">
        <v>98</v>
      </c>
      <c r="AM1911" s="134" t="s">
        <v>292</v>
      </c>
      <c r="AN1911" s="126" t="s">
        <v>276</v>
      </c>
      <c r="AO1911" s="148">
        <f t="shared" ref="AO1911:AO1912" si="560">AI1911*100/AK1911</f>
        <v>2.9882154882154883</v>
      </c>
      <c r="AP1911" s="126" t="s">
        <v>276</v>
      </c>
      <c r="AQ1911" s="126" t="s">
        <v>276</v>
      </c>
      <c r="AR1911" s="126" t="s">
        <v>98</v>
      </c>
      <c r="AS1911" s="148" t="s">
        <v>98</v>
      </c>
      <c r="AT1911" s="126" t="s">
        <v>98</v>
      </c>
      <c r="AU1911" s="126" t="s">
        <v>98</v>
      </c>
      <c r="AV1911" s="126" t="s">
        <v>98</v>
      </c>
      <c r="AW1911" s="126" t="s">
        <v>98</v>
      </c>
      <c r="AX1911" s="126" t="s">
        <v>98</v>
      </c>
      <c r="AY1911" s="126" t="s">
        <v>98</v>
      </c>
      <c r="AZ1911" s="126" t="s">
        <v>98</v>
      </c>
      <c r="BA1911" s="126" t="s">
        <v>98</v>
      </c>
      <c r="BB1911" s="126" t="s">
        <v>98</v>
      </c>
      <c r="BC1911" s="126" t="s">
        <v>98</v>
      </c>
      <c r="BD1911" s="126" t="s">
        <v>98</v>
      </c>
      <c r="BE1911" s="126" t="s">
        <v>98</v>
      </c>
      <c r="BF1911" s="127" t="s">
        <v>298</v>
      </c>
      <c r="BG1911" s="127"/>
      <c r="BH1911" s="9" t="s">
        <v>100</v>
      </c>
      <c r="BI1911" s="9" t="s">
        <v>100</v>
      </c>
      <c r="BJ1911" s="136"/>
      <c r="BN1911" s="136"/>
      <c r="BO1911" s="136"/>
    </row>
    <row r="1912" spans="1:67" s="137" customFormat="1" ht="52" x14ac:dyDescent="0.35">
      <c r="A1912" s="126">
        <v>725</v>
      </c>
      <c r="B1912" s="126" t="s">
        <v>8154</v>
      </c>
      <c r="C1912" s="126" t="s">
        <v>77</v>
      </c>
      <c r="D1912" s="127" t="s">
        <v>8246</v>
      </c>
      <c r="E1912" s="126" t="s">
        <v>39</v>
      </c>
      <c r="F1912" s="127" t="s">
        <v>143</v>
      </c>
      <c r="G1912" s="126" t="s">
        <v>225</v>
      </c>
      <c r="H1912" s="126" t="s">
        <v>225</v>
      </c>
      <c r="I1912" s="126" t="s">
        <v>98</v>
      </c>
      <c r="J1912" s="127" t="s">
        <v>98</v>
      </c>
      <c r="K1912" s="126" t="s">
        <v>98</v>
      </c>
      <c r="L1912" s="127" t="s">
        <v>98</v>
      </c>
      <c r="M1912" s="126" t="s">
        <v>98</v>
      </c>
      <c r="N1912" s="127" t="s">
        <v>8156</v>
      </c>
      <c r="O1912" s="127" t="s">
        <v>8224</v>
      </c>
      <c r="P1912" s="127" t="s">
        <v>236</v>
      </c>
      <c r="Q1912" s="167" t="s">
        <v>8158</v>
      </c>
      <c r="R1912" s="127" t="s">
        <v>766</v>
      </c>
      <c r="S1912" s="127" t="s">
        <v>11123</v>
      </c>
      <c r="T1912" s="127" t="s">
        <v>98</v>
      </c>
      <c r="U1912" s="127" t="s">
        <v>276</v>
      </c>
      <c r="V1912" s="127" t="s">
        <v>261</v>
      </c>
      <c r="W1912" s="126" t="s">
        <v>8111</v>
      </c>
      <c r="X1912" s="127" t="s">
        <v>209</v>
      </c>
      <c r="Y1912" s="132" t="s">
        <v>98</v>
      </c>
      <c r="Z1912" s="127" t="s">
        <v>98</v>
      </c>
      <c r="AA1912" s="127" t="s">
        <v>276</v>
      </c>
      <c r="AB1912" s="127" t="s">
        <v>98</v>
      </c>
      <c r="AC1912" s="126">
        <v>0</v>
      </c>
      <c r="AD1912" s="126" t="s">
        <v>98</v>
      </c>
      <c r="AE1912" s="126" t="s">
        <v>98</v>
      </c>
      <c r="AF1912" s="126" t="s">
        <v>98</v>
      </c>
      <c r="AG1912" s="127" t="s">
        <v>8245</v>
      </c>
      <c r="AH1912" s="127" t="s">
        <v>8247</v>
      </c>
      <c r="AI1912" s="134">
        <f>98-27</f>
        <v>71</v>
      </c>
      <c r="AJ1912" s="134" t="s">
        <v>98</v>
      </c>
      <c r="AK1912" s="134">
        <v>98</v>
      </c>
      <c r="AL1912" s="134" t="s">
        <v>98</v>
      </c>
      <c r="AM1912" s="134" t="s">
        <v>292</v>
      </c>
      <c r="AN1912" s="126" t="s">
        <v>276</v>
      </c>
      <c r="AO1912" s="135">
        <f t="shared" si="560"/>
        <v>72.448979591836732</v>
      </c>
      <c r="AP1912" s="126" t="s">
        <v>276</v>
      </c>
      <c r="AQ1912" s="126" t="s">
        <v>276</v>
      </c>
      <c r="AR1912" s="126" t="s">
        <v>98</v>
      </c>
      <c r="AS1912" s="126" t="s">
        <v>98</v>
      </c>
      <c r="AT1912" s="126" t="s">
        <v>98</v>
      </c>
      <c r="AU1912" s="126" t="s">
        <v>98</v>
      </c>
      <c r="AV1912" s="126" t="s">
        <v>98</v>
      </c>
      <c r="AW1912" s="126" t="s">
        <v>98</v>
      </c>
      <c r="AX1912" s="126" t="s">
        <v>98</v>
      </c>
      <c r="AY1912" s="126" t="s">
        <v>98</v>
      </c>
      <c r="AZ1912" s="126" t="s">
        <v>98</v>
      </c>
      <c r="BA1912" s="126" t="s">
        <v>98</v>
      </c>
      <c r="BB1912" s="126" t="s">
        <v>98</v>
      </c>
      <c r="BC1912" s="126" t="s">
        <v>98</v>
      </c>
      <c r="BD1912" s="126" t="s">
        <v>98</v>
      </c>
      <c r="BE1912" s="126" t="s">
        <v>98</v>
      </c>
      <c r="BF1912" s="127" t="s">
        <v>298</v>
      </c>
      <c r="BG1912" s="127"/>
      <c r="BH1912" s="9" t="s">
        <v>99</v>
      </c>
      <c r="BI1912" s="9" t="s">
        <v>100</v>
      </c>
      <c r="BJ1912" s="136"/>
      <c r="BN1912" s="136"/>
      <c r="BO1912" s="136"/>
    </row>
    <row r="1913" spans="1:67" s="110" customFormat="1" ht="52" hidden="1" x14ac:dyDescent="0.35">
      <c r="A1913" s="94">
        <v>724</v>
      </c>
      <c r="B1913" s="94" t="s">
        <v>8154</v>
      </c>
      <c r="C1913" s="94" t="s">
        <v>77</v>
      </c>
      <c r="D1913" s="95" t="s">
        <v>11124</v>
      </c>
      <c r="E1913" s="94" t="s">
        <v>39</v>
      </c>
      <c r="F1913" s="95" t="s">
        <v>8108</v>
      </c>
      <c r="G1913" s="95" t="s">
        <v>8119</v>
      </c>
      <c r="H1913" s="94" t="s">
        <v>225</v>
      </c>
      <c r="I1913" s="94" t="s">
        <v>98</v>
      </c>
      <c r="J1913" s="95" t="s">
        <v>25</v>
      </c>
      <c r="K1913" s="94" t="s">
        <v>300</v>
      </c>
      <c r="L1913" s="94" t="s">
        <v>276</v>
      </c>
      <c r="M1913" s="94" t="s">
        <v>276</v>
      </c>
      <c r="N1913" s="95" t="s">
        <v>8248</v>
      </c>
      <c r="O1913" s="95" t="s">
        <v>8224</v>
      </c>
      <c r="P1913" s="95" t="s">
        <v>239</v>
      </c>
      <c r="Q1913" s="163" t="s">
        <v>8158</v>
      </c>
      <c r="R1913" s="95" t="s">
        <v>766</v>
      </c>
      <c r="S1913" s="95" t="s">
        <v>276</v>
      </c>
      <c r="T1913" s="95" t="s">
        <v>276</v>
      </c>
      <c r="U1913" s="95" t="s">
        <v>276</v>
      </c>
      <c r="V1913" s="95" t="s">
        <v>261</v>
      </c>
      <c r="W1913" s="94" t="s">
        <v>8111</v>
      </c>
      <c r="X1913" s="95" t="s">
        <v>208</v>
      </c>
      <c r="Y1913" s="98">
        <v>1190</v>
      </c>
      <c r="Z1913" s="95">
        <v>1186</v>
      </c>
      <c r="AA1913" s="95" t="s">
        <v>276</v>
      </c>
      <c r="AB1913" s="95" t="s">
        <v>276</v>
      </c>
      <c r="AC1913" s="94">
        <v>0</v>
      </c>
      <c r="AD1913" s="94" t="s">
        <v>98</v>
      </c>
      <c r="AE1913" s="94">
        <v>0</v>
      </c>
      <c r="AF1913" s="94" t="s">
        <v>98</v>
      </c>
      <c r="AG1913" s="95" t="s">
        <v>8226</v>
      </c>
      <c r="AH1913" s="95" t="s">
        <v>866</v>
      </c>
      <c r="AI1913" s="99">
        <v>31</v>
      </c>
      <c r="AJ1913" s="99">
        <v>18</v>
      </c>
      <c r="AK1913" s="99">
        <v>1190</v>
      </c>
      <c r="AL1913" s="99">
        <v>1186</v>
      </c>
      <c r="AM1913" s="99" t="s">
        <v>292</v>
      </c>
      <c r="AN1913" s="94" t="s">
        <v>276</v>
      </c>
      <c r="AO1913" s="102">
        <f>AI1913*100/AK1913</f>
        <v>2.6050420168067228</v>
      </c>
      <c r="AP1913" s="94" t="s">
        <v>276</v>
      </c>
      <c r="AQ1913" s="94" t="s">
        <v>276</v>
      </c>
      <c r="AR1913" s="94" t="s">
        <v>276</v>
      </c>
      <c r="AS1913" s="102">
        <f>AJ1913*100/AL1913</f>
        <v>1.5177065767284992</v>
      </c>
      <c r="AT1913" s="94" t="s">
        <v>276</v>
      </c>
      <c r="AU1913" s="94" t="s">
        <v>276</v>
      </c>
      <c r="AV1913" s="95" t="s">
        <v>268</v>
      </c>
      <c r="AW1913" s="141" t="s">
        <v>276</v>
      </c>
      <c r="AX1913" s="141">
        <f>AO1913/AS1913</f>
        <v>1.7164332399626518</v>
      </c>
      <c r="AY1913" s="95" t="s">
        <v>276</v>
      </c>
      <c r="AZ1913" s="95" t="s">
        <v>276</v>
      </c>
      <c r="BA1913" s="95" t="s">
        <v>276</v>
      </c>
      <c r="BB1913" s="95" t="s">
        <v>282</v>
      </c>
      <c r="BC1913" s="95" t="s">
        <v>276</v>
      </c>
      <c r="BD1913" s="95" t="s">
        <v>276</v>
      </c>
      <c r="BE1913" s="95" t="s">
        <v>276</v>
      </c>
      <c r="BF1913" s="95" t="s">
        <v>298</v>
      </c>
      <c r="BG1913" s="95"/>
      <c r="BH1913" s="9" t="s">
        <v>100</v>
      </c>
      <c r="BI1913" s="9" t="s">
        <v>100</v>
      </c>
      <c r="BJ1913" s="109"/>
      <c r="BN1913" s="109"/>
      <c r="BO1913" s="109"/>
    </row>
    <row r="1914" spans="1:67" s="110" customFormat="1" ht="52" hidden="1" x14ac:dyDescent="0.35">
      <c r="A1914" s="94">
        <v>724</v>
      </c>
      <c r="B1914" s="94" t="s">
        <v>8154</v>
      </c>
      <c r="C1914" s="94" t="s">
        <v>77</v>
      </c>
      <c r="D1914" s="95" t="s">
        <v>11125</v>
      </c>
      <c r="E1914" s="94" t="s">
        <v>39</v>
      </c>
      <c r="F1914" s="95" t="s">
        <v>8108</v>
      </c>
      <c r="G1914" s="95" t="s">
        <v>8119</v>
      </c>
      <c r="H1914" s="94" t="s">
        <v>225</v>
      </c>
      <c r="I1914" s="94" t="s">
        <v>98</v>
      </c>
      <c r="J1914" s="95" t="s">
        <v>25</v>
      </c>
      <c r="K1914" s="94" t="s">
        <v>4151</v>
      </c>
      <c r="L1914" s="94" t="s">
        <v>276</v>
      </c>
      <c r="M1914" s="94" t="s">
        <v>276</v>
      </c>
      <c r="N1914" s="95" t="s">
        <v>8248</v>
      </c>
      <c r="O1914" s="95" t="s">
        <v>8224</v>
      </c>
      <c r="P1914" s="95" t="s">
        <v>239</v>
      </c>
      <c r="Q1914" s="163" t="s">
        <v>8158</v>
      </c>
      <c r="R1914" s="95" t="s">
        <v>766</v>
      </c>
      <c r="S1914" s="95" t="s">
        <v>276</v>
      </c>
      <c r="T1914" s="95" t="s">
        <v>276</v>
      </c>
      <c r="U1914" s="95" t="s">
        <v>276</v>
      </c>
      <c r="V1914" s="95" t="s">
        <v>261</v>
      </c>
      <c r="W1914" s="94" t="s">
        <v>8111</v>
      </c>
      <c r="X1914" s="95" t="s">
        <v>208</v>
      </c>
      <c r="Y1914" s="98">
        <v>1190</v>
      </c>
      <c r="Z1914" s="95">
        <v>1186</v>
      </c>
      <c r="AA1914" s="95" t="s">
        <v>276</v>
      </c>
      <c r="AB1914" s="95" t="s">
        <v>276</v>
      </c>
      <c r="AC1914" s="94">
        <v>0</v>
      </c>
      <c r="AD1914" s="94" t="s">
        <v>98</v>
      </c>
      <c r="AE1914" s="94">
        <v>0</v>
      </c>
      <c r="AF1914" s="94" t="s">
        <v>98</v>
      </c>
      <c r="AG1914" s="95" t="s">
        <v>8240</v>
      </c>
      <c r="AH1914" s="95" t="s">
        <v>866</v>
      </c>
      <c r="AI1914" s="99">
        <v>27</v>
      </c>
      <c r="AJ1914" s="99">
        <v>22</v>
      </c>
      <c r="AK1914" s="99">
        <v>1190</v>
      </c>
      <c r="AL1914" s="99">
        <v>1186</v>
      </c>
      <c r="AM1914" s="99" t="s">
        <v>292</v>
      </c>
      <c r="AN1914" s="94" t="s">
        <v>276</v>
      </c>
      <c r="AO1914" s="102">
        <f>AI1914*100/AK1914</f>
        <v>2.26890756302521</v>
      </c>
      <c r="AP1914" s="94" t="s">
        <v>276</v>
      </c>
      <c r="AQ1914" s="94" t="s">
        <v>276</v>
      </c>
      <c r="AR1914" s="94" t="s">
        <v>276</v>
      </c>
      <c r="AS1914" s="102">
        <f>AJ1914*100/AL1914</f>
        <v>1.854974704890388</v>
      </c>
      <c r="AT1914" s="94" t="s">
        <v>276</v>
      </c>
      <c r="AU1914" s="94" t="s">
        <v>276</v>
      </c>
      <c r="AV1914" s="95" t="s">
        <v>268</v>
      </c>
      <c r="AW1914" s="141" t="s">
        <v>276</v>
      </c>
      <c r="AX1914" s="141">
        <f>AO1914/AS1914</f>
        <v>1.2231474407944996</v>
      </c>
      <c r="AY1914" s="95" t="s">
        <v>276</v>
      </c>
      <c r="AZ1914" s="95" t="s">
        <v>276</v>
      </c>
      <c r="BA1914" s="95" t="s">
        <v>276</v>
      </c>
      <c r="BB1914" s="95" t="s">
        <v>282</v>
      </c>
      <c r="BC1914" s="95" t="s">
        <v>276</v>
      </c>
      <c r="BD1914" s="95" t="s">
        <v>276</v>
      </c>
      <c r="BE1914" s="95" t="s">
        <v>276</v>
      </c>
      <c r="BF1914" s="95" t="s">
        <v>8249</v>
      </c>
      <c r="BG1914" s="95"/>
      <c r="BH1914" s="9" t="s">
        <v>100</v>
      </c>
      <c r="BI1914" s="9" t="s">
        <v>100</v>
      </c>
      <c r="BJ1914" s="109"/>
      <c r="BN1914" s="109"/>
      <c r="BO1914" s="109"/>
    </row>
    <row r="1915" spans="1:67" s="124" customFormat="1" ht="39" hidden="1" x14ac:dyDescent="0.35">
      <c r="A1915" s="112">
        <v>724</v>
      </c>
      <c r="B1915" s="112" t="s">
        <v>8154</v>
      </c>
      <c r="C1915" s="112" t="s">
        <v>77</v>
      </c>
      <c r="D1915" s="113" t="s">
        <v>11126</v>
      </c>
      <c r="E1915" s="112" t="s">
        <v>39</v>
      </c>
      <c r="F1915" s="113" t="s">
        <v>8108</v>
      </c>
      <c r="G1915" s="113" t="s">
        <v>8119</v>
      </c>
      <c r="H1915" s="112" t="s">
        <v>225</v>
      </c>
      <c r="I1915" s="112" t="s">
        <v>98</v>
      </c>
      <c r="J1915" s="113" t="s">
        <v>25</v>
      </c>
      <c r="K1915" s="112" t="s">
        <v>4151</v>
      </c>
      <c r="L1915" s="112" t="s">
        <v>276</v>
      </c>
      <c r="M1915" s="112" t="s">
        <v>276</v>
      </c>
      <c r="N1915" s="113" t="s">
        <v>8248</v>
      </c>
      <c r="O1915" s="113" t="s">
        <v>8224</v>
      </c>
      <c r="P1915" s="113" t="s">
        <v>235</v>
      </c>
      <c r="Q1915" s="162" t="s">
        <v>8158</v>
      </c>
      <c r="R1915" s="113" t="s">
        <v>766</v>
      </c>
      <c r="S1915" s="113" t="s">
        <v>276</v>
      </c>
      <c r="T1915" s="113" t="s">
        <v>276</v>
      </c>
      <c r="U1915" s="113" t="s">
        <v>276</v>
      </c>
      <c r="V1915" s="113" t="s">
        <v>261</v>
      </c>
      <c r="W1915" s="112" t="s">
        <v>8111</v>
      </c>
      <c r="X1915" s="113" t="s">
        <v>208</v>
      </c>
      <c r="Y1915" s="118" t="s">
        <v>98</v>
      </c>
      <c r="Z1915" s="113" t="s">
        <v>98</v>
      </c>
      <c r="AA1915" s="113" t="s">
        <v>276</v>
      </c>
      <c r="AB1915" s="113" t="s">
        <v>276</v>
      </c>
      <c r="AC1915" s="112">
        <v>0</v>
      </c>
      <c r="AD1915" s="112" t="s">
        <v>98</v>
      </c>
      <c r="AE1915" s="112">
        <v>0</v>
      </c>
      <c r="AF1915" s="112" t="s">
        <v>98</v>
      </c>
      <c r="AG1915" s="113" t="s">
        <v>8240</v>
      </c>
      <c r="AH1915" s="113" t="s">
        <v>8247</v>
      </c>
      <c r="AI1915" s="119">
        <v>27</v>
      </c>
      <c r="AJ1915" s="119">
        <v>22</v>
      </c>
      <c r="AK1915" s="119">
        <v>58</v>
      </c>
      <c r="AL1915" s="119">
        <v>40</v>
      </c>
      <c r="AM1915" s="119" t="s">
        <v>292</v>
      </c>
      <c r="AN1915" s="112" t="s">
        <v>276</v>
      </c>
      <c r="AO1915" s="121">
        <f>AI1915*100/AK1915</f>
        <v>46.551724137931032</v>
      </c>
      <c r="AP1915" s="112" t="s">
        <v>276</v>
      </c>
      <c r="AQ1915" s="112" t="s">
        <v>276</v>
      </c>
      <c r="AR1915" s="112" t="s">
        <v>276</v>
      </c>
      <c r="AS1915" s="121">
        <f>AJ1915*100/AL1915</f>
        <v>55</v>
      </c>
      <c r="AT1915" s="112" t="s">
        <v>276</v>
      </c>
      <c r="AU1915" s="112" t="s">
        <v>276</v>
      </c>
      <c r="AV1915" s="113" t="s">
        <v>268</v>
      </c>
      <c r="AW1915" s="143" t="s">
        <v>276</v>
      </c>
      <c r="AX1915" s="143">
        <f>AO1915/AS1915</f>
        <v>0.84639498432601878</v>
      </c>
      <c r="AY1915" s="113" t="s">
        <v>276</v>
      </c>
      <c r="AZ1915" s="113" t="s">
        <v>276</v>
      </c>
      <c r="BA1915" s="113" t="s">
        <v>276</v>
      </c>
      <c r="BB1915" s="113" t="s">
        <v>282</v>
      </c>
      <c r="BC1915" s="113" t="s">
        <v>276</v>
      </c>
      <c r="BD1915" s="113" t="s">
        <v>276</v>
      </c>
      <c r="BE1915" s="113" t="s">
        <v>276</v>
      </c>
      <c r="BF1915" s="113" t="s">
        <v>8249</v>
      </c>
      <c r="BG1915" s="113"/>
      <c r="BH1915" s="9" t="s">
        <v>100</v>
      </c>
      <c r="BI1915" s="9" t="s">
        <v>100</v>
      </c>
      <c r="BJ1915" s="123"/>
      <c r="BN1915" s="123"/>
      <c r="BO1915" s="123"/>
    </row>
    <row r="1916" spans="1:67" s="110" customFormat="1" ht="39" hidden="1" x14ac:dyDescent="0.35">
      <c r="A1916" s="94">
        <v>724</v>
      </c>
      <c r="B1916" s="94" t="s">
        <v>8154</v>
      </c>
      <c r="C1916" s="94" t="s">
        <v>77</v>
      </c>
      <c r="D1916" s="95" t="s">
        <v>11127</v>
      </c>
      <c r="E1916" s="94" t="s">
        <v>39</v>
      </c>
      <c r="F1916" s="95" t="s">
        <v>8108</v>
      </c>
      <c r="G1916" s="95" t="s">
        <v>8119</v>
      </c>
      <c r="H1916" s="94" t="s">
        <v>225</v>
      </c>
      <c r="I1916" s="94" t="s">
        <v>98</v>
      </c>
      <c r="J1916" s="95" t="s">
        <v>98</v>
      </c>
      <c r="K1916" s="94" t="s">
        <v>98</v>
      </c>
      <c r="L1916" s="95" t="s">
        <v>98</v>
      </c>
      <c r="M1916" s="94" t="s">
        <v>98</v>
      </c>
      <c r="N1916" s="95" t="s">
        <v>8248</v>
      </c>
      <c r="O1916" s="95" t="s">
        <v>8224</v>
      </c>
      <c r="P1916" s="95" t="s">
        <v>238</v>
      </c>
      <c r="Q1916" s="163" t="s">
        <v>8158</v>
      </c>
      <c r="R1916" s="95" t="s">
        <v>766</v>
      </c>
      <c r="S1916" s="95" t="s">
        <v>276</v>
      </c>
      <c r="T1916" s="95" t="s">
        <v>276</v>
      </c>
      <c r="U1916" s="95" t="s">
        <v>276</v>
      </c>
      <c r="V1916" s="95" t="s">
        <v>261</v>
      </c>
      <c r="W1916" s="94" t="s">
        <v>8111</v>
      </c>
      <c r="X1916" s="95" t="s">
        <v>208</v>
      </c>
      <c r="Y1916" s="98">
        <v>1190</v>
      </c>
      <c r="Z1916" s="95">
        <v>1186</v>
      </c>
      <c r="AA1916" s="95" t="s">
        <v>276</v>
      </c>
      <c r="AB1916" s="95" t="s">
        <v>98</v>
      </c>
      <c r="AC1916" s="94">
        <v>0</v>
      </c>
      <c r="AD1916" s="94" t="s">
        <v>98</v>
      </c>
      <c r="AE1916" s="94">
        <v>0</v>
      </c>
      <c r="AF1916" s="94" t="s">
        <v>98</v>
      </c>
      <c r="AG1916" s="95" t="s">
        <v>8245</v>
      </c>
      <c r="AH1916" s="95" t="s">
        <v>866</v>
      </c>
      <c r="AI1916" s="99">
        <v>44</v>
      </c>
      <c r="AJ1916" s="99">
        <v>27</v>
      </c>
      <c r="AK1916" s="99">
        <v>1190</v>
      </c>
      <c r="AL1916" s="99">
        <v>1186</v>
      </c>
      <c r="AM1916" s="99" t="s">
        <v>292</v>
      </c>
      <c r="AN1916" s="94" t="s">
        <v>276</v>
      </c>
      <c r="AO1916" s="101">
        <f t="shared" ref="AO1916:AO1917" si="561">AI1916*100/AK1916</f>
        <v>3.6974789915966388</v>
      </c>
      <c r="AP1916" s="94" t="s">
        <v>276</v>
      </c>
      <c r="AQ1916" s="94" t="s">
        <v>276</v>
      </c>
      <c r="AR1916" s="94" t="s">
        <v>276</v>
      </c>
      <c r="AS1916" s="101">
        <f>AJ1916*100/AL1916</f>
        <v>2.2765598650927488</v>
      </c>
      <c r="AT1916" s="94" t="s">
        <v>276</v>
      </c>
      <c r="AU1916" s="94" t="s">
        <v>276</v>
      </c>
      <c r="AV1916" s="95" t="s">
        <v>268</v>
      </c>
      <c r="AW1916" s="94" t="s">
        <v>276</v>
      </c>
      <c r="AX1916" s="102">
        <f>AO1916/AS1916</f>
        <v>1.6241518829754125</v>
      </c>
      <c r="AY1916" s="94" t="s">
        <v>276</v>
      </c>
      <c r="AZ1916" s="94" t="s">
        <v>276</v>
      </c>
      <c r="BA1916" s="94" t="s">
        <v>276</v>
      </c>
      <c r="BB1916" s="94" t="s">
        <v>282</v>
      </c>
      <c r="BC1916" s="94" t="s">
        <v>276</v>
      </c>
      <c r="BD1916" s="94" t="s">
        <v>276</v>
      </c>
      <c r="BE1916" s="94" t="s">
        <v>276</v>
      </c>
      <c r="BF1916" s="95" t="s">
        <v>298</v>
      </c>
      <c r="BG1916" s="95"/>
      <c r="BH1916" s="9" t="s">
        <v>100</v>
      </c>
      <c r="BI1916" s="9" t="s">
        <v>100</v>
      </c>
      <c r="BJ1916" s="109"/>
      <c r="BN1916" s="109"/>
      <c r="BO1916" s="109"/>
    </row>
    <row r="1917" spans="1:67" s="110" customFormat="1" ht="39" hidden="1" x14ac:dyDescent="0.35">
      <c r="A1917" s="94">
        <v>724</v>
      </c>
      <c r="B1917" s="94" t="s">
        <v>8154</v>
      </c>
      <c r="C1917" s="94" t="s">
        <v>77</v>
      </c>
      <c r="D1917" s="95" t="s">
        <v>11128</v>
      </c>
      <c r="E1917" s="94" t="s">
        <v>39</v>
      </c>
      <c r="F1917" s="95" t="s">
        <v>8108</v>
      </c>
      <c r="G1917" s="95" t="s">
        <v>8119</v>
      </c>
      <c r="H1917" s="94" t="s">
        <v>225</v>
      </c>
      <c r="I1917" s="94" t="s">
        <v>98</v>
      </c>
      <c r="J1917" s="95" t="s">
        <v>98</v>
      </c>
      <c r="K1917" s="94" t="s">
        <v>98</v>
      </c>
      <c r="L1917" s="95" t="s">
        <v>98</v>
      </c>
      <c r="M1917" s="94" t="s">
        <v>98</v>
      </c>
      <c r="N1917" s="95" t="s">
        <v>8248</v>
      </c>
      <c r="O1917" s="95" t="s">
        <v>8224</v>
      </c>
      <c r="P1917" s="95" t="s">
        <v>236</v>
      </c>
      <c r="Q1917" s="163" t="s">
        <v>8158</v>
      </c>
      <c r="R1917" s="95" t="s">
        <v>766</v>
      </c>
      <c r="S1917" s="95" t="s">
        <v>276</v>
      </c>
      <c r="T1917" s="95" t="s">
        <v>276</v>
      </c>
      <c r="U1917" s="95" t="s">
        <v>276</v>
      </c>
      <c r="V1917" s="95" t="s">
        <v>261</v>
      </c>
      <c r="W1917" s="94" t="s">
        <v>8111</v>
      </c>
      <c r="X1917" s="95" t="s">
        <v>208</v>
      </c>
      <c r="Y1917" s="98" t="s">
        <v>98</v>
      </c>
      <c r="Z1917" s="95" t="s">
        <v>98</v>
      </c>
      <c r="AA1917" s="95" t="s">
        <v>276</v>
      </c>
      <c r="AB1917" s="95" t="s">
        <v>98</v>
      </c>
      <c r="AC1917" s="94">
        <v>0</v>
      </c>
      <c r="AD1917" s="94" t="s">
        <v>98</v>
      </c>
      <c r="AE1917" s="94">
        <v>0</v>
      </c>
      <c r="AF1917" s="94" t="s">
        <v>98</v>
      </c>
      <c r="AG1917" s="95" t="s">
        <v>8245</v>
      </c>
      <c r="AH1917" s="95" t="s">
        <v>8247</v>
      </c>
      <c r="AI1917" s="99">
        <v>44</v>
      </c>
      <c r="AJ1917" s="99">
        <v>27</v>
      </c>
      <c r="AK1917" s="99">
        <v>58</v>
      </c>
      <c r="AL1917" s="99">
        <v>40</v>
      </c>
      <c r="AM1917" s="99" t="s">
        <v>292</v>
      </c>
      <c r="AN1917" s="94" t="s">
        <v>276</v>
      </c>
      <c r="AO1917" s="102">
        <f t="shared" si="561"/>
        <v>75.862068965517238</v>
      </c>
      <c r="AP1917" s="94" t="s">
        <v>276</v>
      </c>
      <c r="AQ1917" s="94" t="s">
        <v>276</v>
      </c>
      <c r="AR1917" s="94" t="s">
        <v>276</v>
      </c>
      <c r="AS1917" s="102">
        <f>AJ1917*100/AL1917</f>
        <v>67.5</v>
      </c>
      <c r="AT1917" s="94" t="s">
        <v>276</v>
      </c>
      <c r="AU1917" s="94" t="s">
        <v>276</v>
      </c>
      <c r="AV1917" s="95" t="s">
        <v>268</v>
      </c>
      <c r="AW1917" s="94" t="s">
        <v>276</v>
      </c>
      <c r="AX1917" s="102">
        <f>AO1917/AS1917</f>
        <v>1.1238825031928479</v>
      </c>
      <c r="AY1917" s="94" t="s">
        <v>276</v>
      </c>
      <c r="AZ1917" s="94" t="s">
        <v>276</v>
      </c>
      <c r="BA1917" s="94" t="s">
        <v>276</v>
      </c>
      <c r="BB1917" s="94" t="s">
        <v>282</v>
      </c>
      <c r="BC1917" s="94" t="s">
        <v>276</v>
      </c>
      <c r="BD1917" s="94" t="s">
        <v>276</v>
      </c>
      <c r="BE1917" s="94" t="s">
        <v>276</v>
      </c>
      <c r="BF1917" s="95" t="s">
        <v>298</v>
      </c>
      <c r="BG1917" s="95"/>
      <c r="BH1917" s="9" t="s">
        <v>100</v>
      </c>
      <c r="BI1917" s="9" t="s">
        <v>100</v>
      </c>
      <c r="BJ1917" s="109"/>
      <c r="BN1917" s="109"/>
      <c r="BO1917" s="109"/>
    </row>
    <row r="1918" spans="1:67" s="110" customFormat="1" ht="65" hidden="1" x14ac:dyDescent="0.35">
      <c r="A1918" s="94">
        <v>4055</v>
      </c>
      <c r="B1918" s="94" t="s">
        <v>6833</v>
      </c>
      <c r="C1918" s="95" t="s">
        <v>58</v>
      </c>
      <c r="D1918" s="95" t="s">
        <v>6924</v>
      </c>
      <c r="E1918" s="94" t="s">
        <v>35</v>
      </c>
      <c r="F1918" s="94" t="s">
        <v>97</v>
      </c>
      <c r="G1918" s="94" t="s">
        <v>225</v>
      </c>
      <c r="H1918" s="94" t="s">
        <v>125</v>
      </c>
      <c r="I1918" s="94" t="s">
        <v>113</v>
      </c>
      <c r="J1918" s="95" t="s">
        <v>98</v>
      </c>
      <c r="K1918" s="94" t="s">
        <v>98</v>
      </c>
      <c r="L1918" s="94" t="s">
        <v>98</v>
      </c>
      <c r="M1918" s="94" t="s">
        <v>98</v>
      </c>
      <c r="N1918" s="94" t="s">
        <v>276</v>
      </c>
      <c r="O1918" s="95" t="s">
        <v>276</v>
      </c>
      <c r="P1918" s="95" t="s">
        <v>238</v>
      </c>
      <c r="Q1918" s="140" t="s">
        <v>276</v>
      </c>
      <c r="R1918" s="95" t="s">
        <v>276</v>
      </c>
      <c r="S1918" s="95" t="s">
        <v>276</v>
      </c>
      <c r="T1918" s="95" t="s">
        <v>6925</v>
      </c>
      <c r="U1918" s="95" t="s">
        <v>6825</v>
      </c>
      <c r="V1918" s="94" t="s">
        <v>15</v>
      </c>
      <c r="W1918" s="94" t="s">
        <v>6836</v>
      </c>
      <c r="X1918" s="95" t="s">
        <v>207</v>
      </c>
      <c r="Y1918" s="98">
        <v>11724</v>
      </c>
      <c r="Z1918" s="99">
        <v>14217</v>
      </c>
      <c r="AA1918" s="95" t="s">
        <v>276</v>
      </c>
      <c r="AB1918" s="95" t="s">
        <v>276</v>
      </c>
      <c r="AC1918" s="94" t="s">
        <v>276</v>
      </c>
      <c r="AD1918" s="95" t="s">
        <v>3843</v>
      </c>
      <c r="AE1918" s="94" t="s">
        <v>276</v>
      </c>
      <c r="AF1918" s="95" t="s">
        <v>3843</v>
      </c>
      <c r="AG1918" s="95" t="s">
        <v>6926</v>
      </c>
      <c r="AH1918" s="95" t="s">
        <v>6547</v>
      </c>
      <c r="AI1918" s="99">
        <f>10+9+13+17+17</f>
        <v>66</v>
      </c>
      <c r="AJ1918" s="99">
        <v>32</v>
      </c>
      <c r="AK1918" s="98">
        <v>11724</v>
      </c>
      <c r="AL1918" s="99">
        <v>14217</v>
      </c>
      <c r="AM1918" s="99" t="s">
        <v>281</v>
      </c>
      <c r="AN1918" s="94" t="s">
        <v>276</v>
      </c>
      <c r="AO1918" s="101">
        <f>AI1918*1000/AK1918</f>
        <v>5.6294779938587514</v>
      </c>
      <c r="AP1918" s="94" t="s">
        <v>276</v>
      </c>
      <c r="AQ1918" s="94" t="s">
        <v>276</v>
      </c>
      <c r="AR1918" s="94" t="s">
        <v>276</v>
      </c>
      <c r="AS1918" s="101">
        <f>AJ1918*1000/AL1918</f>
        <v>2.2508264753464164</v>
      </c>
      <c r="AT1918" s="94" t="s">
        <v>276</v>
      </c>
      <c r="AU1918" s="94" t="s">
        <v>276</v>
      </c>
      <c r="AV1918" s="94" t="s">
        <v>268</v>
      </c>
      <c r="AW1918" s="141" t="s">
        <v>276</v>
      </c>
      <c r="AX1918" s="141">
        <f t="shared" ref="AX1918:AX1924" si="562">AO1918/AS1918</f>
        <v>2.5010715199590581</v>
      </c>
      <c r="AY1918" s="95" t="s">
        <v>276</v>
      </c>
      <c r="AZ1918" s="95" t="s">
        <v>276</v>
      </c>
      <c r="BA1918" s="95" t="s">
        <v>276</v>
      </c>
      <c r="BB1918" s="95" t="s">
        <v>282</v>
      </c>
      <c r="BC1918" s="95" t="s">
        <v>98</v>
      </c>
      <c r="BD1918" s="95" t="s">
        <v>98</v>
      </c>
      <c r="BE1918" s="95" t="s">
        <v>98</v>
      </c>
      <c r="BF1918" s="95" t="s">
        <v>6927</v>
      </c>
      <c r="BG1918" s="95"/>
      <c r="BH1918" s="9" t="s">
        <v>100</v>
      </c>
      <c r="BI1918" s="9" t="s">
        <v>100</v>
      </c>
      <c r="BJ1918" s="109"/>
      <c r="BN1918" s="109"/>
      <c r="BO1918" s="109"/>
    </row>
    <row r="1919" spans="1:67" s="110" customFormat="1" ht="65" hidden="1" x14ac:dyDescent="0.35">
      <c r="A1919" s="94">
        <v>4055</v>
      </c>
      <c r="B1919" s="94" t="s">
        <v>6833</v>
      </c>
      <c r="C1919" s="95" t="s">
        <v>58</v>
      </c>
      <c r="D1919" s="95" t="s">
        <v>6928</v>
      </c>
      <c r="E1919" s="94" t="s">
        <v>35</v>
      </c>
      <c r="F1919" s="94" t="s">
        <v>97</v>
      </c>
      <c r="G1919" s="94" t="s">
        <v>225</v>
      </c>
      <c r="H1919" s="94" t="s">
        <v>125</v>
      </c>
      <c r="I1919" s="94" t="s">
        <v>113</v>
      </c>
      <c r="J1919" s="95" t="s">
        <v>98</v>
      </c>
      <c r="K1919" s="94" t="s">
        <v>98</v>
      </c>
      <c r="L1919" s="94" t="s">
        <v>98</v>
      </c>
      <c r="M1919" s="94" t="s">
        <v>98</v>
      </c>
      <c r="N1919" s="94" t="s">
        <v>276</v>
      </c>
      <c r="O1919" s="95" t="s">
        <v>276</v>
      </c>
      <c r="P1919" s="95" t="s">
        <v>238</v>
      </c>
      <c r="Q1919" s="140" t="s">
        <v>276</v>
      </c>
      <c r="R1919" s="95" t="s">
        <v>6929</v>
      </c>
      <c r="S1919" s="95" t="s">
        <v>276</v>
      </c>
      <c r="T1919" s="95" t="s">
        <v>276</v>
      </c>
      <c r="U1919" s="95" t="s">
        <v>6825</v>
      </c>
      <c r="V1919" s="94" t="s">
        <v>15</v>
      </c>
      <c r="W1919" s="94" t="s">
        <v>6836</v>
      </c>
      <c r="X1919" s="95" t="s">
        <v>207</v>
      </c>
      <c r="Y1919" s="98">
        <v>11724</v>
      </c>
      <c r="Z1919" s="99">
        <v>14217</v>
      </c>
      <c r="AA1919" s="95" t="s">
        <v>276</v>
      </c>
      <c r="AB1919" s="95" t="s">
        <v>276</v>
      </c>
      <c r="AC1919" s="94" t="s">
        <v>276</v>
      </c>
      <c r="AD1919" s="95" t="s">
        <v>3843</v>
      </c>
      <c r="AE1919" s="94" t="s">
        <v>276</v>
      </c>
      <c r="AF1919" s="95" t="s">
        <v>3843</v>
      </c>
      <c r="AG1919" s="95" t="s">
        <v>6930</v>
      </c>
      <c r="AH1919" s="95" t="s">
        <v>6547</v>
      </c>
      <c r="AI1919" s="99">
        <f>66+7+1+2+4+3</f>
        <v>83</v>
      </c>
      <c r="AJ1919" s="99">
        <f>32+8</f>
        <v>40</v>
      </c>
      <c r="AK1919" s="98">
        <v>11724</v>
      </c>
      <c r="AL1919" s="99">
        <v>14217</v>
      </c>
      <c r="AM1919" s="99" t="s">
        <v>281</v>
      </c>
      <c r="AN1919" s="94" t="s">
        <v>276</v>
      </c>
      <c r="AO1919" s="101">
        <f>AI1919*1000/AK1919</f>
        <v>7.079495052882975</v>
      </c>
      <c r="AP1919" s="94" t="s">
        <v>276</v>
      </c>
      <c r="AQ1919" s="94" t="s">
        <v>276</v>
      </c>
      <c r="AR1919" s="94" t="s">
        <v>276</v>
      </c>
      <c r="AS1919" s="101">
        <f>AJ1919*1000/AL1919</f>
        <v>2.8135330941830201</v>
      </c>
      <c r="AT1919" s="94" t="s">
        <v>276</v>
      </c>
      <c r="AU1919" s="94" t="s">
        <v>276</v>
      </c>
      <c r="AV1919" s="94" t="s">
        <v>268</v>
      </c>
      <c r="AW1919" s="141" t="s">
        <v>276</v>
      </c>
      <c r="AX1919" s="141">
        <f t="shared" si="562"/>
        <v>2.5162295291709316</v>
      </c>
      <c r="AY1919" s="95" t="s">
        <v>276</v>
      </c>
      <c r="AZ1919" s="95" t="s">
        <v>276</v>
      </c>
      <c r="BA1919" s="95" t="s">
        <v>276</v>
      </c>
      <c r="BB1919" s="95" t="s">
        <v>282</v>
      </c>
      <c r="BC1919" s="95" t="s">
        <v>98</v>
      </c>
      <c r="BD1919" s="95" t="s">
        <v>98</v>
      </c>
      <c r="BE1919" s="95" t="s">
        <v>98</v>
      </c>
      <c r="BF1919" s="95" t="s">
        <v>6927</v>
      </c>
      <c r="BG1919" s="95" t="s">
        <v>6931</v>
      </c>
      <c r="BH1919" s="9" t="s">
        <v>100</v>
      </c>
      <c r="BI1919" s="9" t="s">
        <v>100</v>
      </c>
      <c r="BJ1919" s="109"/>
      <c r="BN1919" s="109"/>
      <c r="BO1919" s="109"/>
    </row>
    <row r="1920" spans="1:67" s="124" customFormat="1" ht="65" hidden="1" x14ac:dyDescent="0.35">
      <c r="A1920" s="112">
        <v>4055</v>
      </c>
      <c r="B1920" s="112" t="s">
        <v>6833</v>
      </c>
      <c r="C1920" s="113" t="s">
        <v>58</v>
      </c>
      <c r="D1920" s="113" t="s">
        <v>6932</v>
      </c>
      <c r="E1920" s="112" t="s">
        <v>35</v>
      </c>
      <c r="F1920" s="112" t="s">
        <v>97</v>
      </c>
      <c r="G1920" s="112" t="s">
        <v>225</v>
      </c>
      <c r="H1920" s="112" t="s">
        <v>125</v>
      </c>
      <c r="I1920" s="112" t="s">
        <v>113</v>
      </c>
      <c r="J1920" s="113" t="s">
        <v>98</v>
      </c>
      <c r="K1920" s="112" t="s">
        <v>98</v>
      </c>
      <c r="L1920" s="112" t="s">
        <v>98</v>
      </c>
      <c r="M1920" s="112" t="s">
        <v>98</v>
      </c>
      <c r="N1920" s="112" t="s">
        <v>276</v>
      </c>
      <c r="O1920" s="113" t="s">
        <v>276</v>
      </c>
      <c r="P1920" s="113" t="s">
        <v>236</v>
      </c>
      <c r="Q1920" s="142" t="s">
        <v>276</v>
      </c>
      <c r="R1920" s="113" t="s">
        <v>6929</v>
      </c>
      <c r="S1920" s="113" t="s">
        <v>276</v>
      </c>
      <c r="T1920" s="113" t="s">
        <v>276</v>
      </c>
      <c r="U1920" s="113" t="s">
        <v>6933</v>
      </c>
      <c r="V1920" s="112" t="s">
        <v>15</v>
      </c>
      <c r="W1920" s="112" t="s">
        <v>6836</v>
      </c>
      <c r="X1920" s="113" t="s">
        <v>207</v>
      </c>
      <c r="Y1920" s="118" t="s">
        <v>98</v>
      </c>
      <c r="Z1920" s="119" t="s">
        <v>98</v>
      </c>
      <c r="AA1920" s="113" t="s">
        <v>276</v>
      </c>
      <c r="AB1920" s="113" t="s">
        <v>276</v>
      </c>
      <c r="AC1920" s="112" t="s">
        <v>276</v>
      </c>
      <c r="AD1920" s="113" t="s">
        <v>3843</v>
      </c>
      <c r="AE1920" s="112" t="s">
        <v>276</v>
      </c>
      <c r="AF1920" s="113" t="s">
        <v>3843</v>
      </c>
      <c r="AG1920" s="113" t="s">
        <v>6930</v>
      </c>
      <c r="AH1920" s="113" t="s">
        <v>6934</v>
      </c>
      <c r="AI1920" s="119">
        <v>66</v>
      </c>
      <c r="AJ1920" s="119">
        <v>32</v>
      </c>
      <c r="AK1920" s="118">
        <v>124</v>
      </c>
      <c r="AL1920" s="119">
        <v>182</v>
      </c>
      <c r="AM1920" s="119" t="s">
        <v>292</v>
      </c>
      <c r="AN1920" s="112" t="s">
        <v>276</v>
      </c>
      <c r="AO1920" s="207">
        <f>AI1920*100/AK1920</f>
        <v>53.225806451612904</v>
      </c>
      <c r="AP1920" s="112" t="s">
        <v>276</v>
      </c>
      <c r="AQ1920" s="112" t="s">
        <v>276</v>
      </c>
      <c r="AR1920" s="112" t="s">
        <v>276</v>
      </c>
      <c r="AS1920" s="207">
        <f>AJ1920*100/AL1920</f>
        <v>17.582417582417584</v>
      </c>
      <c r="AT1920" s="112" t="s">
        <v>276</v>
      </c>
      <c r="AU1920" s="112" t="s">
        <v>276</v>
      </c>
      <c r="AV1920" s="112" t="s">
        <v>268</v>
      </c>
      <c r="AW1920" s="143" t="s">
        <v>276</v>
      </c>
      <c r="AX1920" s="143">
        <f t="shared" si="562"/>
        <v>3.0272177419354835</v>
      </c>
      <c r="AY1920" s="113" t="s">
        <v>276</v>
      </c>
      <c r="AZ1920" s="113" t="s">
        <v>276</v>
      </c>
      <c r="BA1920" s="113" t="s">
        <v>276</v>
      </c>
      <c r="BB1920" s="113" t="s">
        <v>282</v>
      </c>
      <c r="BC1920" s="113" t="s">
        <v>98</v>
      </c>
      <c r="BD1920" s="113" t="s">
        <v>98</v>
      </c>
      <c r="BE1920" s="113" t="s">
        <v>98</v>
      </c>
      <c r="BF1920" s="113" t="s">
        <v>6927</v>
      </c>
      <c r="BG1920" s="113"/>
      <c r="BH1920" s="9" t="s">
        <v>100</v>
      </c>
      <c r="BI1920" s="9" t="s">
        <v>100</v>
      </c>
      <c r="BJ1920" s="123"/>
      <c r="BN1920" s="123"/>
      <c r="BO1920" s="123"/>
    </row>
    <row r="1921" spans="1:67" s="124" customFormat="1" ht="91" hidden="1" x14ac:dyDescent="0.35">
      <c r="A1921" s="112">
        <v>4055</v>
      </c>
      <c r="B1921" s="112" t="s">
        <v>6833</v>
      </c>
      <c r="C1921" s="113" t="s">
        <v>58</v>
      </c>
      <c r="D1921" s="113" t="s">
        <v>6935</v>
      </c>
      <c r="E1921" s="112" t="s">
        <v>35</v>
      </c>
      <c r="F1921" s="112" t="s">
        <v>97</v>
      </c>
      <c r="G1921" s="112" t="s">
        <v>225</v>
      </c>
      <c r="H1921" s="112" t="s">
        <v>125</v>
      </c>
      <c r="I1921" s="112" t="s">
        <v>113</v>
      </c>
      <c r="J1921" s="113" t="s">
        <v>98</v>
      </c>
      <c r="K1921" s="112" t="s">
        <v>98</v>
      </c>
      <c r="L1921" s="112" t="s">
        <v>98</v>
      </c>
      <c r="M1921" s="112" t="s">
        <v>98</v>
      </c>
      <c r="N1921" s="112" t="s">
        <v>276</v>
      </c>
      <c r="O1921" s="113" t="s">
        <v>276</v>
      </c>
      <c r="P1921" s="113" t="s">
        <v>236</v>
      </c>
      <c r="Q1921" s="142" t="s">
        <v>276</v>
      </c>
      <c r="R1921" s="113" t="s">
        <v>6929</v>
      </c>
      <c r="S1921" s="113" t="s">
        <v>276</v>
      </c>
      <c r="T1921" s="113" t="s">
        <v>276</v>
      </c>
      <c r="U1921" s="113" t="s">
        <v>6933</v>
      </c>
      <c r="V1921" s="112" t="s">
        <v>15</v>
      </c>
      <c r="W1921" s="112" t="s">
        <v>6836</v>
      </c>
      <c r="X1921" s="113" t="s">
        <v>207</v>
      </c>
      <c r="Y1921" s="118" t="s">
        <v>98</v>
      </c>
      <c r="Z1921" s="119" t="s">
        <v>98</v>
      </c>
      <c r="AA1921" s="113" t="s">
        <v>276</v>
      </c>
      <c r="AB1921" s="113" t="s">
        <v>276</v>
      </c>
      <c r="AC1921" s="112" t="s">
        <v>276</v>
      </c>
      <c r="AD1921" s="113" t="s">
        <v>3843</v>
      </c>
      <c r="AE1921" s="112" t="s">
        <v>276</v>
      </c>
      <c r="AF1921" s="113" t="s">
        <v>3843</v>
      </c>
      <c r="AG1921" s="113" t="s">
        <v>6930</v>
      </c>
      <c r="AH1921" s="113" t="s">
        <v>6936</v>
      </c>
      <c r="AI1921" s="119">
        <f>66+7+1+2+4+3</f>
        <v>83</v>
      </c>
      <c r="AJ1921" s="119">
        <f>32+8</f>
        <v>40</v>
      </c>
      <c r="AK1921" s="118">
        <v>144</v>
      </c>
      <c r="AL1921" s="119">
        <v>195</v>
      </c>
      <c r="AM1921" s="119" t="s">
        <v>292</v>
      </c>
      <c r="AN1921" s="112" t="s">
        <v>276</v>
      </c>
      <c r="AO1921" s="207">
        <f>AI1921*100/AK1921</f>
        <v>57.638888888888886</v>
      </c>
      <c r="AP1921" s="112" t="s">
        <v>276</v>
      </c>
      <c r="AQ1921" s="112" t="s">
        <v>276</v>
      </c>
      <c r="AR1921" s="112" t="s">
        <v>276</v>
      </c>
      <c r="AS1921" s="207">
        <f>AJ1921*100/AL1921</f>
        <v>20.512820512820515</v>
      </c>
      <c r="AT1921" s="112" t="s">
        <v>276</v>
      </c>
      <c r="AU1921" s="112" t="s">
        <v>276</v>
      </c>
      <c r="AV1921" s="112" t="s">
        <v>268</v>
      </c>
      <c r="AW1921" s="143" t="s">
        <v>276</v>
      </c>
      <c r="AX1921" s="143">
        <f t="shared" si="562"/>
        <v>2.809895833333333</v>
      </c>
      <c r="AY1921" s="113" t="s">
        <v>276</v>
      </c>
      <c r="AZ1921" s="113" t="s">
        <v>276</v>
      </c>
      <c r="BA1921" s="113" t="s">
        <v>276</v>
      </c>
      <c r="BB1921" s="113" t="s">
        <v>282</v>
      </c>
      <c r="BC1921" s="113" t="s">
        <v>98</v>
      </c>
      <c r="BD1921" s="113" t="s">
        <v>98</v>
      </c>
      <c r="BE1921" s="113" t="s">
        <v>98</v>
      </c>
      <c r="BF1921" s="113" t="s">
        <v>6937</v>
      </c>
      <c r="BG1921" s="113" t="s">
        <v>6931</v>
      </c>
      <c r="BH1921" s="9" t="s">
        <v>100</v>
      </c>
      <c r="BI1921" s="9" t="s">
        <v>100</v>
      </c>
      <c r="BJ1921" s="123"/>
      <c r="BN1921" s="123"/>
      <c r="BO1921" s="123"/>
    </row>
    <row r="1922" spans="1:67" s="110" customFormat="1" ht="65" hidden="1" x14ac:dyDescent="0.35">
      <c r="A1922" s="94">
        <v>4055</v>
      </c>
      <c r="B1922" s="94" t="s">
        <v>6833</v>
      </c>
      <c r="C1922" s="95" t="s">
        <v>58</v>
      </c>
      <c r="D1922" s="95" t="s">
        <v>6938</v>
      </c>
      <c r="E1922" s="94" t="s">
        <v>35</v>
      </c>
      <c r="F1922" s="94" t="s">
        <v>97</v>
      </c>
      <c r="G1922" s="94" t="s">
        <v>225</v>
      </c>
      <c r="H1922" s="94" t="s">
        <v>125</v>
      </c>
      <c r="I1922" s="94" t="s">
        <v>113</v>
      </c>
      <c r="J1922" s="95" t="s">
        <v>117</v>
      </c>
      <c r="K1922" s="94" t="s">
        <v>4825</v>
      </c>
      <c r="L1922" s="94" t="s">
        <v>6939</v>
      </c>
      <c r="M1922" s="94" t="s">
        <v>276</v>
      </c>
      <c r="N1922" s="94" t="s">
        <v>276</v>
      </c>
      <c r="O1922" s="95" t="s">
        <v>276</v>
      </c>
      <c r="P1922" s="95" t="s">
        <v>239</v>
      </c>
      <c r="Q1922" s="140" t="s">
        <v>276</v>
      </c>
      <c r="R1922" s="95" t="s">
        <v>6929</v>
      </c>
      <c r="S1922" s="95" t="s">
        <v>6940</v>
      </c>
      <c r="T1922" s="95" t="s">
        <v>6941</v>
      </c>
      <c r="U1922" s="95" t="s">
        <v>6825</v>
      </c>
      <c r="V1922" s="94" t="s">
        <v>15</v>
      </c>
      <c r="W1922" s="94" t="s">
        <v>6836</v>
      </c>
      <c r="X1922" s="95" t="s">
        <v>207</v>
      </c>
      <c r="Y1922" s="98">
        <v>11724</v>
      </c>
      <c r="Z1922" s="99">
        <v>14217</v>
      </c>
      <c r="AA1922" s="95" t="s">
        <v>276</v>
      </c>
      <c r="AB1922" s="95" t="s">
        <v>276</v>
      </c>
      <c r="AC1922" s="94" t="s">
        <v>276</v>
      </c>
      <c r="AD1922" s="95" t="s">
        <v>4906</v>
      </c>
      <c r="AE1922" s="94" t="s">
        <v>276</v>
      </c>
      <c r="AF1922" s="95" t="s">
        <v>4906</v>
      </c>
      <c r="AG1922" s="95" t="s">
        <v>6942</v>
      </c>
      <c r="AH1922" s="95" t="s">
        <v>1674</v>
      </c>
      <c r="AI1922" s="99">
        <v>39</v>
      </c>
      <c r="AJ1922" s="99">
        <v>73</v>
      </c>
      <c r="AK1922" s="95">
        <v>81341</v>
      </c>
      <c r="AL1922" s="95">
        <v>98748</v>
      </c>
      <c r="AM1922" s="99" t="s">
        <v>425</v>
      </c>
      <c r="AN1922" s="94">
        <v>0.48</v>
      </c>
      <c r="AO1922" s="101">
        <f>AI1922*1000/AK1922</f>
        <v>0.47946300143838899</v>
      </c>
      <c r="AP1922" s="94" t="s">
        <v>276</v>
      </c>
      <c r="AQ1922" s="94" t="s">
        <v>276</v>
      </c>
      <c r="AR1922" s="94">
        <v>0.74</v>
      </c>
      <c r="AS1922" s="101">
        <f>AJ1922*1000/AL1922</f>
        <v>0.73925547859197149</v>
      </c>
      <c r="AT1922" s="94" t="s">
        <v>276</v>
      </c>
      <c r="AU1922" s="94" t="s">
        <v>276</v>
      </c>
      <c r="AV1922" s="94" t="s">
        <v>269</v>
      </c>
      <c r="AW1922" s="141">
        <v>0.65</v>
      </c>
      <c r="AX1922" s="141">
        <f t="shared" si="562"/>
        <v>0.64857551323339779</v>
      </c>
      <c r="AY1922" s="95">
        <v>0.44</v>
      </c>
      <c r="AZ1922" s="95">
        <v>0.96</v>
      </c>
      <c r="BA1922" s="95" t="s">
        <v>276</v>
      </c>
      <c r="BB1922" s="95" t="s">
        <v>282</v>
      </c>
      <c r="BC1922" s="95" t="s">
        <v>98</v>
      </c>
      <c r="BD1922" s="95" t="s">
        <v>98</v>
      </c>
      <c r="BE1922" s="95" t="s">
        <v>98</v>
      </c>
      <c r="BF1922" s="95" t="s">
        <v>6943</v>
      </c>
      <c r="BG1922" s="95"/>
      <c r="BH1922" s="9" t="s">
        <v>100</v>
      </c>
      <c r="BI1922" s="9" t="s">
        <v>100</v>
      </c>
      <c r="BJ1922" s="109"/>
      <c r="BN1922" s="109"/>
      <c r="BO1922" s="109"/>
    </row>
    <row r="1923" spans="1:67" s="124" customFormat="1" ht="91" hidden="1" x14ac:dyDescent="0.35">
      <c r="A1923" s="112">
        <v>4055</v>
      </c>
      <c r="B1923" s="112" t="s">
        <v>6833</v>
      </c>
      <c r="C1923" s="113" t="s">
        <v>58</v>
      </c>
      <c r="D1923" s="113" t="s">
        <v>7049</v>
      </c>
      <c r="E1923" s="112" t="s">
        <v>35</v>
      </c>
      <c r="F1923" s="112" t="s">
        <v>97</v>
      </c>
      <c r="G1923" s="112" t="s">
        <v>225</v>
      </c>
      <c r="H1923" s="112" t="s">
        <v>125</v>
      </c>
      <c r="I1923" s="112" t="s">
        <v>113</v>
      </c>
      <c r="J1923" s="113" t="s">
        <v>117</v>
      </c>
      <c r="K1923" s="112" t="s">
        <v>4825</v>
      </c>
      <c r="L1923" s="112" t="s">
        <v>6939</v>
      </c>
      <c r="M1923" s="112" t="s">
        <v>276</v>
      </c>
      <c r="N1923" s="112" t="s">
        <v>276</v>
      </c>
      <c r="O1923" s="113" t="s">
        <v>276</v>
      </c>
      <c r="P1923" s="113" t="s">
        <v>235</v>
      </c>
      <c r="Q1923" s="142" t="s">
        <v>276</v>
      </c>
      <c r="R1923" s="113" t="s">
        <v>6929</v>
      </c>
      <c r="S1923" s="113" t="s">
        <v>6940</v>
      </c>
      <c r="T1923" s="113" t="s">
        <v>6941</v>
      </c>
      <c r="U1923" s="113" t="s">
        <v>6825</v>
      </c>
      <c r="V1923" s="112" t="s">
        <v>15</v>
      </c>
      <c r="W1923" s="112" t="s">
        <v>6836</v>
      </c>
      <c r="X1923" s="113" t="s">
        <v>207</v>
      </c>
      <c r="Y1923" s="118" t="s">
        <v>98</v>
      </c>
      <c r="Z1923" s="119" t="s">
        <v>98</v>
      </c>
      <c r="AA1923" s="113" t="s">
        <v>276</v>
      </c>
      <c r="AB1923" s="113" t="s">
        <v>276</v>
      </c>
      <c r="AC1923" s="112" t="s">
        <v>276</v>
      </c>
      <c r="AD1923" s="113" t="s">
        <v>4906</v>
      </c>
      <c r="AE1923" s="112" t="s">
        <v>276</v>
      </c>
      <c r="AF1923" s="113" t="s">
        <v>4906</v>
      </c>
      <c r="AG1923" s="113" t="s">
        <v>6942</v>
      </c>
      <c r="AH1923" s="346" t="s">
        <v>11451</v>
      </c>
      <c r="AI1923" s="119">
        <v>39</v>
      </c>
      <c r="AJ1923" s="119">
        <v>73</v>
      </c>
      <c r="AK1923" s="113">
        <f>144-20</f>
        <v>124</v>
      </c>
      <c r="AL1923" s="113">
        <f>195-13</f>
        <v>182</v>
      </c>
      <c r="AM1923" s="119" t="s">
        <v>292</v>
      </c>
      <c r="AN1923" s="112" t="s">
        <v>276</v>
      </c>
      <c r="AO1923" s="207">
        <f>AI1923*100/AK1923</f>
        <v>31.451612903225808</v>
      </c>
      <c r="AP1923" s="112" t="s">
        <v>276</v>
      </c>
      <c r="AQ1923" s="112" t="s">
        <v>276</v>
      </c>
      <c r="AR1923" s="112" t="s">
        <v>276</v>
      </c>
      <c r="AS1923" s="207">
        <f>AJ1923*100/AL1923</f>
        <v>40.109890109890109</v>
      </c>
      <c r="AT1923" s="112" t="s">
        <v>276</v>
      </c>
      <c r="AU1923" s="112" t="s">
        <v>276</v>
      </c>
      <c r="AV1923" s="112" t="s">
        <v>268</v>
      </c>
      <c r="AW1923" s="143" t="s">
        <v>276</v>
      </c>
      <c r="AX1923" s="143">
        <f t="shared" si="562"/>
        <v>0.78413610251878041</v>
      </c>
      <c r="AY1923" s="113" t="s">
        <v>276</v>
      </c>
      <c r="AZ1923" s="113" t="s">
        <v>276</v>
      </c>
      <c r="BA1923" s="113" t="s">
        <v>276</v>
      </c>
      <c r="BB1923" s="113" t="s">
        <v>282</v>
      </c>
      <c r="BC1923" s="113" t="s">
        <v>98</v>
      </c>
      <c r="BD1923" s="113" t="s">
        <v>98</v>
      </c>
      <c r="BE1923" s="113" t="s">
        <v>98</v>
      </c>
      <c r="BF1923" s="113" t="s">
        <v>6944</v>
      </c>
      <c r="BG1923" s="113"/>
      <c r="BH1923" s="9" t="s">
        <v>100</v>
      </c>
      <c r="BI1923" s="9" t="s">
        <v>100</v>
      </c>
      <c r="BJ1923" s="123"/>
      <c r="BN1923" s="123"/>
      <c r="BO1923" s="123"/>
    </row>
    <row r="1924" spans="1:67" s="124" customFormat="1" ht="91" hidden="1" x14ac:dyDescent="0.35">
      <c r="A1924" s="112">
        <v>4055</v>
      </c>
      <c r="B1924" s="112" t="s">
        <v>6833</v>
      </c>
      <c r="C1924" s="113" t="s">
        <v>58</v>
      </c>
      <c r="D1924" s="113" t="s">
        <v>11150</v>
      </c>
      <c r="E1924" s="112" t="s">
        <v>35</v>
      </c>
      <c r="F1924" s="112" t="s">
        <v>97</v>
      </c>
      <c r="G1924" s="112" t="s">
        <v>225</v>
      </c>
      <c r="H1924" s="112" t="s">
        <v>125</v>
      </c>
      <c r="I1924" s="112" t="s">
        <v>113</v>
      </c>
      <c r="J1924" s="113" t="s">
        <v>117</v>
      </c>
      <c r="K1924" s="112" t="s">
        <v>4825</v>
      </c>
      <c r="L1924" s="112" t="s">
        <v>6939</v>
      </c>
      <c r="M1924" s="112" t="s">
        <v>276</v>
      </c>
      <c r="N1924" s="112" t="s">
        <v>276</v>
      </c>
      <c r="O1924" s="113" t="s">
        <v>276</v>
      </c>
      <c r="P1924" s="113" t="s">
        <v>235</v>
      </c>
      <c r="Q1924" s="142" t="s">
        <v>276</v>
      </c>
      <c r="R1924" s="113" t="s">
        <v>6929</v>
      </c>
      <c r="S1924" s="113" t="s">
        <v>6940</v>
      </c>
      <c r="T1924" s="113" t="s">
        <v>6941</v>
      </c>
      <c r="U1924" s="113" t="s">
        <v>6825</v>
      </c>
      <c r="V1924" s="112" t="s">
        <v>15</v>
      </c>
      <c r="W1924" s="112" t="s">
        <v>6836</v>
      </c>
      <c r="X1924" s="113" t="s">
        <v>207</v>
      </c>
      <c r="Y1924" s="118" t="s">
        <v>98</v>
      </c>
      <c r="Z1924" s="119" t="s">
        <v>98</v>
      </c>
      <c r="AA1924" s="113" t="s">
        <v>276</v>
      </c>
      <c r="AB1924" s="113" t="s">
        <v>276</v>
      </c>
      <c r="AC1924" s="112" t="s">
        <v>276</v>
      </c>
      <c r="AD1924" s="113" t="s">
        <v>4906</v>
      </c>
      <c r="AE1924" s="112" t="s">
        <v>276</v>
      </c>
      <c r="AF1924" s="113" t="s">
        <v>4906</v>
      </c>
      <c r="AG1924" s="113" t="s">
        <v>6942</v>
      </c>
      <c r="AH1924" s="113" t="s">
        <v>11452</v>
      </c>
      <c r="AI1924" s="119">
        <v>39</v>
      </c>
      <c r="AJ1924" s="119">
        <v>73</v>
      </c>
      <c r="AK1924" s="113">
        <v>144</v>
      </c>
      <c r="AL1924" s="113">
        <v>195</v>
      </c>
      <c r="AM1924" s="119" t="s">
        <v>292</v>
      </c>
      <c r="AN1924" s="112" t="s">
        <v>276</v>
      </c>
      <c r="AO1924" s="207">
        <f>AI1924*100/AK1924</f>
        <v>27.083333333333332</v>
      </c>
      <c r="AP1924" s="112" t="s">
        <v>276</v>
      </c>
      <c r="AQ1924" s="112" t="s">
        <v>276</v>
      </c>
      <c r="AR1924" s="112" t="s">
        <v>276</v>
      </c>
      <c r="AS1924" s="207">
        <f>AJ1924*100/AL1924</f>
        <v>37.435897435897438</v>
      </c>
      <c r="AT1924" s="112" t="s">
        <v>276</v>
      </c>
      <c r="AU1924" s="112" t="s">
        <v>276</v>
      </c>
      <c r="AV1924" s="112" t="s">
        <v>268</v>
      </c>
      <c r="AW1924" s="143" t="s">
        <v>276</v>
      </c>
      <c r="AX1924" s="143">
        <f t="shared" si="562"/>
        <v>0.72345890410958902</v>
      </c>
      <c r="AY1924" s="113" t="s">
        <v>276</v>
      </c>
      <c r="AZ1924" s="113" t="s">
        <v>276</v>
      </c>
      <c r="BA1924" s="113" t="s">
        <v>276</v>
      </c>
      <c r="BB1924" s="113" t="s">
        <v>282</v>
      </c>
      <c r="BC1924" s="113" t="s">
        <v>98</v>
      </c>
      <c r="BD1924" s="113" t="s">
        <v>98</v>
      </c>
      <c r="BE1924" s="113" t="s">
        <v>98</v>
      </c>
      <c r="BF1924" s="113" t="s">
        <v>6944</v>
      </c>
      <c r="BG1924" s="113"/>
      <c r="BH1924" s="9" t="s">
        <v>100</v>
      </c>
      <c r="BI1924" s="9" t="s">
        <v>100</v>
      </c>
      <c r="BJ1924" s="123"/>
      <c r="BN1924" s="123"/>
      <c r="BO1924" s="123"/>
    </row>
    <row r="1925" spans="1:67" s="33" customFormat="1" ht="52" hidden="1" x14ac:dyDescent="0.35">
      <c r="A1925" s="8">
        <v>4053</v>
      </c>
      <c r="B1925" s="8" t="s">
        <v>6864</v>
      </c>
      <c r="C1925" s="9" t="s">
        <v>58</v>
      </c>
      <c r="D1925" s="9" t="s">
        <v>6945</v>
      </c>
      <c r="E1925" s="8" t="s">
        <v>35</v>
      </c>
      <c r="F1925" s="8" t="s">
        <v>97</v>
      </c>
      <c r="G1925" s="8" t="s">
        <v>225</v>
      </c>
      <c r="H1925" s="8" t="s">
        <v>225</v>
      </c>
      <c r="I1925" s="8" t="s">
        <v>113</v>
      </c>
      <c r="J1925" s="9" t="s">
        <v>98</v>
      </c>
      <c r="K1925" s="8" t="s">
        <v>98</v>
      </c>
      <c r="L1925" s="8" t="s">
        <v>98</v>
      </c>
      <c r="M1925" s="8" t="s">
        <v>98</v>
      </c>
      <c r="N1925" s="9" t="s">
        <v>6946</v>
      </c>
      <c r="O1925" s="9" t="s">
        <v>276</v>
      </c>
      <c r="P1925" s="9" t="s">
        <v>238</v>
      </c>
      <c r="Q1925" s="52" t="s">
        <v>276</v>
      </c>
      <c r="R1925" s="9" t="s">
        <v>276</v>
      </c>
      <c r="S1925" s="9" t="s">
        <v>6947</v>
      </c>
      <c r="T1925" s="9" t="s">
        <v>98</v>
      </c>
      <c r="U1925" s="51" t="s">
        <v>4284</v>
      </c>
      <c r="V1925" s="8" t="s">
        <v>14</v>
      </c>
      <c r="W1925" s="8" t="s">
        <v>98</v>
      </c>
      <c r="X1925" s="9" t="s">
        <v>209</v>
      </c>
      <c r="Y1925" s="13">
        <v>21650</v>
      </c>
      <c r="Z1925" s="38" t="s">
        <v>98</v>
      </c>
      <c r="AA1925" s="9" t="s">
        <v>276</v>
      </c>
      <c r="AB1925" s="9" t="s">
        <v>98</v>
      </c>
      <c r="AC1925" s="8" t="s">
        <v>276</v>
      </c>
      <c r="AD1925" s="9" t="s">
        <v>3843</v>
      </c>
      <c r="AE1925" s="8" t="s">
        <v>98</v>
      </c>
      <c r="AF1925" s="8" t="s">
        <v>98</v>
      </c>
      <c r="AG1925" s="9" t="s">
        <v>6948</v>
      </c>
      <c r="AH1925" s="9" t="s">
        <v>6547</v>
      </c>
      <c r="AI1925" s="38">
        <f>55+113</f>
        <v>168</v>
      </c>
      <c r="AJ1925" s="38" t="s">
        <v>98</v>
      </c>
      <c r="AK1925" s="13">
        <v>21650</v>
      </c>
      <c r="AL1925" s="38" t="s">
        <v>98</v>
      </c>
      <c r="AM1925" s="38" t="s">
        <v>281</v>
      </c>
      <c r="AN1925" s="8" t="s">
        <v>276</v>
      </c>
      <c r="AO1925" s="31">
        <f>AI1925*1000/AK1925</f>
        <v>7.7598152424942262</v>
      </c>
      <c r="AP1925" s="8" t="s">
        <v>276</v>
      </c>
      <c r="AQ1925" s="8" t="s">
        <v>276</v>
      </c>
      <c r="AR1925" s="8" t="s">
        <v>98</v>
      </c>
      <c r="AS1925" s="8" t="s">
        <v>98</v>
      </c>
      <c r="AT1925" s="8" t="s">
        <v>98</v>
      </c>
      <c r="AU1925" s="8" t="s">
        <v>98</v>
      </c>
      <c r="AV1925" s="8" t="s">
        <v>98</v>
      </c>
      <c r="AW1925" s="40" t="s">
        <v>98</v>
      </c>
      <c r="AX1925" s="40" t="s">
        <v>98</v>
      </c>
      <c r="AY1925" s="40" t="s">
        <v>98</v>
      </c>
      <c r="AZ1925" s="40" t="s">
        <v>98</v>
      </c>
      <c r="BA1925" s="40" t="s">
        <v>98</v>
      </c>
      <c r="BB1925" s="40" t="s">
        <v>98</v>
      </c>
      <c r="BC1925" s="9" t="s">
        <v>98</v>
      </c>
      <c r="BD1925" s="9" t="s">
        <v>98</v>
      </c>
      <c r="BE1925" s="9" t="s">
        <v>98</v>
      </c>
      <c r="BF1925" s="9" t="s">
        <v>1358</v>
      </c>
      <c r="BG1925" s="9" t="s">
        <v>6949</v>
      </c>
      <c r="BH1925" s="9" t="s">
        <v>100</v>
      </c>
      <c r="BI1925" s="9" t="s">
        <v>100</v>
      </c>
      <c r="BJ1925" s="32"/>
      <c r="BN1925" s="32"/>
      <c r="BO1925" s="32"/>
    </row>
    <row r="1926" spans="1:67" s="33" customFormat="1" ht="65" hidden="1" x14ac:dyDescent="0.35">
      <c r="A1926" s="8">
        <v>4053</v>
      </c>
      <c r="B1926" s="8" t="s">
        <v>6864</v>
      </c>
      <c r="C1926" s="9" t="s">
        <v>58</v>
      </c>
      <c r="D1926" s="9" t="s">
        <v>6950</v>
      </c>
      <c r="E1926" s="8" t="s">
        <v>35</v>
      </c>
      <c r="F1926" s="8" t="s">
        <v>97</v>
      </c>
      <c r="G1926" s="8" t="s">
        <v>225</v>
      </c>
      <c r="H1926" s="8" t="s">
        <v>125</v>
      </c>
      <c r="I1926" s="8" t="s">
        <v>113</v>
      </c>
      <c r="J1926" s="9" t="s">
        <v>98</v>
      </c>
      <c r="K1926" s="8" t="s">
        <v>98</v>
      </c>
      <c r="L1926" s="8" t="s">
        <v>98</v>
      </c>
      <c r="M1926" s="8" t="s">
        <v>98</v>
      </c>
      <c r="N1926" s="9" t="s">
        <v>6946</v>
      </c>
      <c r="O1926" s="9" t="s">
        <v>276</v>
      </c>
      <c r="P1926" s="9" t="s">
        <v>238</v>
      </c>
      <c r="Q1926" s="52" t="s">
        <v>276</v>
      </c>
      <c r="R1926" s="9" t="s">
        <v>276</v>
      </c>
      <c r="S1926" s="9" t="s">
        <v>6947</v>
      </c>
      <c r="T1926" s="9" t="s">
        <v>6951</v>
      </c>
      <c r="U1926" s="51" t="s">
        <v>6859</v>
      </c>
      <c r="V1926" s="8" t="s">
        <v>14</v>
      </c>
      <c r="W1926" s="8" t="s">
        <v>98</v>
      </c>
      <c r="X1926" s="9" t="s">
        <v>207</v>
      </c>
      <c r="Y1926" s="13">
        <v>21650</v>
      </c>
      <c r="Z1926" s="38">
        <v>29356</v>
      </c>
      <c r="AA1926" s="9" t="s">
        <v>276</v>
      </c>
      <c r="AB1926" s="9" t="s">
        <v>276</v>
      </c>
      <c r="AC1926" s="8" t="s">
        <v>276</v>
      </c>
      <c r="AD1926" s="9" t="s">
        <v>3843</v>
      </c>
      <c r="AE1926" s="8" t="s">
        <v>276</v>
      </c>
      <c r="AF1926" s="9" t="s">
        <v>3843</v>
      </c>
      <c r="AG1926" s="9" t="s">
        <v>6952</v>
      </c>
      <c r="AH1926" s="9" t="s">
        <v>6547</v>
      </c>
      <c r="AI1926" s="38">
        <f>55+15+113+19</f>
        <v>202</v>
      </c>
      <c r="AJ1926" s="38" t="s">
        <v>276</v>
      </c>
      <c r="AK1926" s="13">
        <v>21650</v>
      </c>
      <c r="AL1926" s="38">
        <v>29356</v>
      </c>
      <c r="AM1926" s="38" t="s">
        <v>281</v>
      </c>
      <c r="AN1926" s="8" t="s">
        <v>276</v>
      </c>
      <c r="AO1926" s="31">
        <f>AI1926*1000/AK1926</f>
        <v>9.3302540415704396</v>
      </c>
      <c r="AP1926" s="8" t="s">
        <v>276</v>
      </c>
      <c r="AQ1926" s="8" t="s">
        <v>276</v>
      </c>
      <c r="AR1926" s="43">
        <f>0.6*10</f>
        <v>6</v>
      </c>
      <c r="AS1926" s="8" t="s">
        <v>276</v>
      </c>
      <c r="AT1926" s="8" t="s">
        <v>276</v>
      </c>
      <c r="AU1926" s="8" t="s">
        <v>276</v>
      </c>
      <c r="AV1926" s="8" t="s">
        <v>268</v>
      </c>
      <c r="AW1926" s="40" t="s">
        <v>276</v>
      </c>
      <c r="AX1926" s="40">
        <f>AO1926/AR1926</f>
        <v>1.5550423402617399</v>
      </c>
      <c r="AY1926" s="40" t="s">
        <v>276</v>
      </c>
      <c r="AZ1926" s="40" t="s">
        <v>276</v>
      </c>
      <c r="BA1926" s="40" t="s">
        <v>276</v>
      </c>
      <c r="BB1926" s="40" t="s">
        <v>282</v>
      </c>
      <c r="BC1926" s="9" t="s">
        <v>98</v>
      </c>
      <c r="BD1926" s="9" t="s">
        <v>98</v>
      </c>
      <c r="BE1926" s="9" t="s">
        <v>98</v>
      </c>
      <c r="BF1926" s="9" t="s">
        <v>2473</v>
      </c>
      <c r="BG1926" s="9" t="s">
        <v>6949</v>
      </c>
      <c r="BH1926" s="9" t="s">
        <v>100</v>
      </c>
      <c r="BI1926" s="9" t="s">
        <v>100</v>
      </c>
      <c r="BJ1926" s="32"/>
      <c r="BN1926" s="32"/>
      <c r="BO1926" s="32"/>
    </row>
    <row r="1927" spans="1:67" s="33" customFormat="1" ht="65" hidden="1" x14ac:dyDescent="0.35">
      <c r="A1927" s="8">
        <v>4053</v>
      </c>
      <c r="B1927" s="8" t="s">
        <v>6864</v>
      </c>
      <c r="C1927" s="9" t="s">
        <v>58</v>
      </c>
      <c r="D1927" s="9" t="s">
        <v>6953</v>
      </c>
      <c r="E1927" s="8" t="s">
        <v>35</v>
      </c>
      <c r="F1927" s="8" t="s">
        <v>97</v>
      </c>
      <c r="G1927" s="8" t="s">
        <v>225</v>
      </c>
      <c r="H1927" s="8" t="s">
        <v>225</v>
      </c>
      <c r="I1927" s="8" t="s">
        <v>113</v>
      </c>
      <c r="J1927" s="9" t="s">
        <v>98</v>
      </c>
      <c r="K1927" s="8" t="s">
        <v>98</v>
      </c>
      <c r="L1927" s="8" t="s">
        <v>98</v>
      </c>
      <c r="M1927" s="8" t="s">
        <v>98</v>
      </c>
      <c r="N1927" s="9" t="s">
        <v>6946</v>
      </c>
      <c r="O1927" s="9" t="s">
        <v>276</v>
      </c>
      <c r="P1927" s="9" t="s">
        <v>236</v>
      </c>
      <c r="Q1927" s="52">
        <v>35430</v>
      </c>
      <c r="R1927" s="9" t="s">
        <v>276</v>
      </c>
      <c r="S1927" s="9" t="s">
        <v>276</v>
      </c>
      <c r="T1927" s="9" t="s">
        <v>98</v>
      </c>
      <c r="U1927" s="51" t="s">
        <v>4284</v>
      </c>
      <c r="V1927" s="8" t="s">
        <v>14</v>
      </c>
      <c r="W1927" s="8" t="s">
        <v>98</v>
      </c>
      <c r="X1927" s="9" t="s">
        <v>209</v>
      </c>
      <c r="Y1927" s="13" t="s">
        <v>98</v>
      </c>
      <c r="Z1927" s="38" t="s">
        <v>98</v>
      </c>
      <c r="AA1927" s="9" t="s">
        <v>276</v>
      </c>
      <c r="AB1927" s="9" t="s">
        <v>98</v>
      </c>
      <c r="AC1927" s="8" t="s">
        <v>276</v>
      </c>
      <c r="AD1927" s="9" t="s">
        <v>3843</v>
      </c>
      <c r="AE1927" s="8" t="s">
        <v>98</v>
      </c>
      <c r="AF1927" s="8" t="s">
        <v>98</v>
      </c>
      <c r="AG1927" s="9" t="s">
        <v>6948</v>
      </c>
      <c r="AH1927" s="9" t="s">
        <v>6954</v>
      </c>
      <c r="AI1927" s="38">
        <f>55+113</f>
        <v>168</v>
      </c>
      <c r="AJ1927" s="38" t="s">
        <v>98</v>
      </c>
      <c r="AK1927" s="13">
        <v>608</v>
      </c>
      <c r="AL1927" s="38" t="s">
        <v>98</v>
      </c>
      <c r="AM1927" s="38" t="s">
        <v>292</v>
      </c>
      <c r="AN1927" s="8" t="s">
        <v>276</v>
      </c>
      <c r="AO1927" s="31">
        <f>AI1927*100/AK1927</f>
        <v>27.631578947368421</v>
      </c>
      <c r="AP1927" s="8" t="s">
        <v>276</v>
      </c>
      <c r="AQ1927" s="8" t="s">
        <v>276</v>
      </c>
      <c r="AR1927" s="8" t="s">
        <v>98</v>
      </c>
      <c r="AS1927" s="8" t="s">
        <v>98</v>
      </c>
      <c r="AT1927" s="8" t="s">
        <v>98</v>
      </c>
      <c r="AU1927" s="8" t="s">
        <v>98</v>
      </c>
      <c r="AV1927" s="8" t="s">
        <v>98</v>
      </c>
      <c r="AW1927" s="40" t="s">
        <v>276</v>
      </c>
      <c r="AX1927" s="40" t="s">
        <v>98</v>
      </c>
      <c r="AY1927" s="40" t="s">
        <v>98</v>
      </c>
      <c r="AZ1927" s="40" t="s">
        <v>98</v>
      </c>
      <c r="BA1927" s="40" t="s">
        <v>98</v>
      </c>
      <c r="BB1927" s="40" t="s">
        <v>98</v>
      </c>
      <c r="BC1927" s="9" t="s">
        <v>98</v>
      </c>
      <c r="BD1927" s="9" t="s">
        <v>98</v>
      </c>
      <c r="BE1927" s="9" t="s">
        <v>98</v>
      </c>
      <c r="BF1927" s="9" t="s">
        <v>6955</v>
      </c>
      <c r="BG1927" s="9" t="s">
        <v>6949</v>
      </c>
      <c r="BH1927" s="9" t="s">
        <v>100</v>
      </c>
      <c r="BI1927" s="9" t="s">
        <v>100</v>
      </c>
      <c r="BJ1927" s="32"/>
      <c r="BN1927" s="32"/>
      <c r="BO1927" s="32"/>
    </row>
    <row r="1928" spans="1:67" s="33" customFormat="1" ht="78" hidden="1" x14ac:dyDescent="0.35">
      <c r="A1928" s="8">
        <v>4053</v>
      </c>
      <c r="B1928" s="8" t="s">
        <v>6864</v>
      </c>
      <c r="C1928" s="9" t="s">
        <v>58</v>
      </c>
      <c r="D1928" s="9" t="s">
        <v>6956</v>
      </c>
      <c r="E1928" s="8" t="s">
        <v>35</v>
      </c>
      <c r="F1928" s="8" t="s">
        <v>97</v>
      </c>
      <c r="G1928" s="8" t="s">
        <v>225</v>
      </c>
      <c r="H1928" s="8" t="s">
        <v>225</v>
      </c>
      <c r="I1928" s="8" t="s">
        <v>113</v>
      </c>
      <c r="J1928" s="9" t="s">
        <v>98</v>
      </c>
      <c r="K1928" s="8" t="s">
        <v>98</v>
      </c>
      <c r="L1928" s="8" t="s">
        <v>98</v>
      </c>
      <c r="M1928" s="8" t="s">
        <v>98</v>
      </c>
      <c r="N1928" s="9" t="s">
        <v>6946</v>
      </c>
      <c r="O1928" s="9" t="s">
        <v>276</v>
      </c>
      <c r="P1928" s="9" t="s">
        <v>236</v>
      </c>
      <c r="Q1928" s="52" t="s">
        <v>276</v>
      </c>
      <c r="R1928" s="9" t="s">
        <v>276</v>
      </c>
      <c r="S1928" s="9" t="s">
        <v>6947</v>
      </c>
      <c r="T1928" s="9" t="s">
        <v>98</v>
      </c>
      <c r="U1928" s="51" t="s">
        <v>4284</v>
      </c>
      <c r="V1928" s="8" t="s">
        <v>14</v>
      </c>
      <c r="W1928" s="8" t="s">
        <v>98</v>
      </c>
      <c r="X1928" s="9" t="s">
        <v>209</v>
      </c>
      <c r="Y1928" s="13" t="s">
        <v>98</v>
      </c>
      <c r="Z1928" s="38" t="s">
        <v>98</v>
      </c>
      <c r="AA1928" s="9" t="s">
        <v>276</v>
      </c>
      <c r="AB1928" s="9" t="s">
        <v>98</v>
      </c>
      <c r="AC1928" s="8" t="s">
        <v>276</v>
      </c>
      <c r="AD1928" s="9" t="s">
        <v>3843</v>
      </c>
      <c r="AE1928" s="8" t="s">
        <v>98</v>
      </c>
      <c r="AF1928" s="8" t="s">
        <v>98</v>
      </c>
      <c r="AG1928" s="9" t="s">
        <v>6948</v>
      </c>
      <c r="AH1928" s="9" t="s">
        <v>6957</v>
      </c>
      <c r="AI1928" s="38">
        <f>55+113</f>
        <v>168</v>
      </c>
      <c r="AJ1928" s="38" t="s">
        <v>98</v>
      </c>
      <c r="AK1928" s="13">
        <v>271</v>
      </c>
      <c r="AL1928" s="38" t="s">
        <v>98</v>
      </c>
      <c r="AM1928" s="38" t="s">
        <v>292</v>
      </c>
      <c r="AN1928" s="8" t="s">
        <v>276</v>
      </c>
      <c r="AO1928" s="31">
        <f>AI1928*100/AK1928</f>
        <v>61.992619926199261</v>
      </c>
      <c r="AP1928" s="8" t="s">
        <v>276</v>
      </c>
      <c r="AQ1928" s="8" t="s">
        <v>276</v>
      </c>
      <c r="AR1928" s="8" t="s">
        <v>98</v>
      </c>
      <c r="AS1928" s="8" t="s">
        <v>98</v>
      </c>
      <c r="AT1928" s="8" t="s">
        <v>98</v>
      </c>
      <c r="AU1928" s="8" t="s">
        <v>98</v>
      </c>
      <c r="AV1928" s="8" t="s">
        <v>98</v>
      </c>
      <c r="AW1928" s="40" t="s">
        <v>276</v>
      </c>
      <c r="AX1928" s="40" t="s">
        <v>98</v>
      </c>
      <c r="AY1928" s="40" t="s">
        <v>98</v>
      </c>
      <c r="AZ1928" s="40" t="s">
        <v>98</v>
      </c>
      <c r="BA1928" s="40" t="s">
        <v>98</v>
      </c>
      <c r="BB1928" s="40" t="s">
        <v>98</v>
      </c>
      <c r="BC1928" s="9" t="s">
        <v>98</v>
      </c>
      <c r="BD1928" s="9" t="s">
        <v>98</v>
      </c>
      <c r="BE1928" s="9" t="s">
        <v>98</v>
      </c>
      <c r="BF1928" s="9" t="s">
        <v>6958</v>
      </c>
      <c r="BG1928" s="9" t="s">
        <v>6949</v>
      </c>
      <c r="BH1928" s="9" t="s">
        <v>100</v>
      </c>
      <c r="BI1928" s="9" t="s">
        <v>100</v>
      </c>
      <c r="BJ1928" s="32"/>
      <c r="BN1928" s="32"/>
      <c r="BO1928" s="32"/>
    </row>
    <row r="1929" spans="1:67" s="33" customFormat="1" ht="78" x14ac:dyDescent="0.35">
      <c r="A1929" s="8">
        <v>4053</v>
      </c>
      <c r="B1929" s="8" t="s">
        <v>6864</v>
      </c>
      <c r="C1929" s="9" t="s">
        <v>58</v>
      </c>
      <c r="D1929" s="9" t="s">
        <v>6959</v>
      </c>
      <c r="E1929" s="8" t="s">
        <v>35</v>
      </c>
      <c r="F1929" s="8" t="s">
        <v>97</v>
      </c>
      <c r="G1929" s="8" t="s">
        <v>225</v>
      </c>
      <c r="H1929" s="8" t="s">
        <v>225</v>
      </c>
      <c r="I1929" s="8" t="s">
        <v>113</v>
      </c>
      <c r="J1929" s="9" t="s">
        <v>98</v>
      </c>
      <c r="K1929" s="8" t="s">
        <v>98</v>
      </c>
      <c r="L1929" s="8" t="s">
        <v>98</v>
      </c>
      <c r="M1929" s="8" t="s">
        <v>98</v>
      </c>
      <c r="N1929" s="9" t="s">
        <v>6946</v>
      </c>
      <c r="O1929" s="9" t="s">
        <v>276</v>
      </c>
      <c r="P1929" s="9" t="s">
        <v>236</v>
      </c>
      <c r="Q1929" s="52" t="s">
        <v>276</v>
      </c>
      <c r="R1929" s="9" t="s">
        <v>276</v>
      </c>
      <c r="S1929" s="9" t="s">
        <v>6947</v>
      </c>
      <c r="T1929" s="9" t="s">
        <v>98</v>
      </c>
      <c r="U1929" s="51" t="s">
        <v>4284</v>
      </c>
      <c r="V1929" s="8" t="s">
        <v>14</v>
      </c>
      <c r="W1929" s="8" t="s">
        <v>98</v>
      </c>
      <c r="X1929" s="9" t="s">
        <v>209</v>
      </c>
      <c r="Y1929" s="13" t="s">
        <v>98</v>
      </c>
      <c r="Z1929" s="38" t="s">
        <v>98</v>
      </c>
      <c r="AA1929" s="9" t="s">
        <v>276</v>
      </c>
      <c r="AB1929" s="9" t="s">
        <v>98</v>
      </c>
      <c r="AC1929" s="8" t="s">
        <v>276</v>
      </c>
      <c r="AD1929" s="9" t="s">
        <v>3843</v>
      </c>
      <c r="AE1929" s="8" t="s">
        <v>98</v>
      </c>
      <c r="AF1929" s="8" t="s">
        <v>98</v>
      </c>
      <c r="AG1929" s="9" t="s">
        <v>6960</v>
      </c>
      <c r="AH1929" s="9" t="s">
        <v>6961</v>
      </c>
      <c r="AI1929" s="38">
        <f>55+15+113+19</f>
        <v>202</v>
      </c>
      <c r="AJ1929" s="38" t="s">
        <v>98</v>
      </c>
      <c r="AK1929" s="13">
        <v>309</v>
      </c>
      <c r="AL1929" s="38" t="s">
        <v>98</v>
      </c>
      <c r="AM1929" s="38" t="s">
        <v>292</v>
      </c>
      <c r="AN1929" s="8" t="s">
        <v>276</v>
      </c>
      <c r="AO1929" s="31">
        <f>AI1929*100/AK1929</f>
        <v>65.372168284789637</v>
      </c>
      <c r="AP1929" s="8" t="s">
        <v>276</v>
      </c>
      <c r="AQ1929" s="8" t="s">
        <v>276</v>
      </c>
      <c r="AR1929" s="8" t="s">
        <v>98</v>
      </c>
      <c r="AS1929" s="8" t="s">
        <v>98</v>
      </c>
      <c r="AT1929" s="8" t="s">
        <v>98</v>
      </c>
      <c r="AU1929" s="8" t="s">
        <v>98</v>
      </c>
      <c r="AV1929" s="8" t="s">
        <v>98</v>
      </c>
      <c r="AW1929" s="40" t="s">
        <v>276</v>
      </c>
      <c r="AX1929" s="40" t="s">
        <v>98</v>
      </c>
      <c r="AY1929" s="40" t="s">
        <v>98</v>
      </c>
      <c r="AZ1929" s="40" t="s">
        <v>98</v>
      </c>
      <c r="BA1929" s="40" t="s">
        <v>98</v>
      </c>
      <c r="BB1929" s="40" t="s">
        <v>98</v>
      </c>
      <c r="BC1929" s="9" t="s">
        <v>98</v>
      </c>
      <c r="BD1929" s="9" t="s">
        <v>98</v>
      </c>
      <c r="BE1929" s="9" t="s">
        <v>98</v>
      </c>
      <c r="BF1929" s="9" t="s">
        <v>6958</v>
      </c>
      <c r="BG1929" s="9" t="s">
        <v>6949</v>
      </c>
      <c r="BH1929" s="9" t="s">
        <v>99</v>
      </c>
      <c r="BI1929" s="9" t="s">
        <v>99</v>
      </c>
      <c r="BJ1929" s="32"/>
      <c r="BN1929" s="32"/>
      <c r="BO1929" s="32"/>
    </row>
    <row r="1930" spans="1:67" s="79" customFormat="1" ht="52" hidden="1" x14ac:dyDescent="0.35">
      <c r="A1930" s="72">
        <v>4053</v>
      </c>
      <c r="B1930" s="72" t="s">
        <v>6864</v>
      </c>
      <c r="C1930" s="73" t="s">
        <v>58</v>
      </c>
      <c r="D1930" s="73" t="s">
        <v>6962</v>
      </c>
      <c r="E1930" s="72" t="s">
        <v>35</v>
      </c>
      <c r="F1930" s="72" t="s">
        <v>97</v>
      </c>
      <c r="G1930" s="72" t="s">
        <v>225</v>
      </c>
      <c r="H1930" s="72" t="s">
        <v>225</v>
      </c>
      <c r="I1930" s="72" t="s">
        <v>113</v>
      </c>
      <c r="J1930" s="73" t="s">
        <v>98</v>
      </c>
      <c r="K1930" s="72" t="s">
        <v>98</v>
      </c>
      <c r="L1930" s="72" t="s">
        <v>98</v>
      </c>
      <c r="M1930" s="72" t="s">
        <v>98</v>
      </c>
      <c r="N1930" s="73" t="s">
        <v>6946</v>
      </c>
      <c r="O1930" s="73" t="s">
        <v>276</v>
      </c>
      <c r="P1930" s="73" t="s">
        <v>238</v>
      </c>
      <c r="Q1930" s="77" t="s">
        <v>276</v>
      </c>
      <c r="R1930" s="73" t="s">
        <v>276</v>
      </c>
      <c r="S1930" s="75" t="s">
        <v>6963</v>
      </c>
      <c r="T1930" s="73" t="s">
        <v>98</v>
      </c>
      <c r="U1930" s="89" t="s">
        <v>4284</v>
      </c>
      <c r="V1930" s="72" t="s">
        <v>15</v>
      </c>
      <c r="W1930" s="72" t="s">
        <v>6872</v>
      </c>
      <c r="X1930" s="73" t="s">
        <v>209</v>
      </c>
      <c r="Y1930" s="74">
        <v>6567</v>
      </c>
      <c r="Z1930" s="75" t="s">
        <v>98</v>
      </c>
      <c r="AA1930" s="73" t="s">
        <v>276</v>
      </c>
      <c r="AB1930" s="73" t="s">
        <v>98</v>
      </c>
      <c r="AC1930" s="72" t="s">
        <v>276</v>
      </c>
      <c r="AD1930" s="73" t="s">
        <v>3843</v>
      </c>
      <c r="AE1930" s="72" t="s">
        <v>98</v>
      </c>
      <c r="AF1930" s="72" t="s">
        <v>98</v>
      </c>
      <c r="AG1930" s="73" t="s">
        <v>6964</v>
      </c>
      <c r="AH1930" s="73" t="s">
        <v>6965</v>
      </c>
      <c r="AI1930" s="75">
        <f>1+31</f>
        <v>32</v>
      </c>
      <c r="AJ1930" s="75" t="s">
        <v>98</v>
      </c>
      <c r="AK1930" s="74">
        <v>6567</v>
      </c>
      <c r="AL1930" s="75" t="s">
        <v>98</v>
      </c>
      <c r="AM1930" s="75" t="s">
        <v>281</v>
      </c>
      <c r="AN1930" s="72" t="s">
        <v>276</v>
      </c>
      <c r="AO1930" s="86">
        <f t="shared" ref="AO1930:AO1943" si="563">AI1930*1000/AK1930</f>
        <v>4.8728490939546214</v>
      </c>
      <c r="AP1930" s="72" t="s">
        <v>276</v>
      </c>
      <c r="AQ1930" s="72" t="s">
        <v>276</v>
      </c>
      <c r="AR1930" s="83" t="s">
        <v>98</v>
      </c>
      <c r="AS1930" s="83" t="s">
        <v>98</v>
      </c>
      <c r="AT1930" s="83" t="s">
        <v>98</v>
      </c>
      <c r="AU1930" s="83" t="s">
        <v>98</v>
      </c>
      <c r="AV1930" s="72" t="s">
        <v>98</v>
      </c>
      <c r="AW1930" s="83" t="s">
        <v>98</v>
      </c>
      <c r="AX1930" s="83" t="s">
        <v>98</v>
      </c>
      <c r="AY1930" s="83" t="s">
        <v>98</v>
      </c>
      <c r="AZ1930" s="83" t="s">
        <v>98</v>
      </c>
      <c r="BA1930" s="83" t="s">
        <v>98</v>
      </c>
      <c r="BB1930" s="83" t="s">
        <v>98</v>
      </c>
      <c r="BC1930" s="73" t="s">
        <v>98</v>
      </c>
      <c r="BD1930" s="73" t="s">
        <v>98</v>
      </c>
      <c r="BE1930" s="73" t="s">
        <v>98</v>
      </c>
      <c r="BF1930" s="73" t="s">
        <v>1358</v>
      </c>
      <c r="BG1930" s="73" t="s">
        <v>6949</v>
      </c>
      <c r="BH1930" s="9" t="s">
        <v>100</v>
      </c>
      <c r="BI1930" s="9" t="s">
        <v>100</v>
      </c>
      <c r="BJ1930" s="78"/>
      <c r="BN1930" s="78"/>
      <c r="BO1930" s="78"/>
    </row>
    <row r="1931" spans="1:67" s="79" customFormat="1" ht="65" hidden="1" x14ac:dyDescent="0.35">
      <c r="A1931" s="72">
        <v>4053</v>
      </c>
      <c r="B1931" s="72" t="s">
        <v>6864</v>
      </c>
      <c r="C1931" s="73" t="s">
        <v>58</v>
      </c>
      <c r="D1931" s="73" t="s">
        <v>6966</v>
      </c>
      <c r="E1931" s="72" t="s">
        <v>35</v>
      </c>
      <c r="F1931" s="72" t="s">
        <v>97</v>
      </c>
      <c r="G1931" s="72" t="s">
        <v>225</v>
      </c>
      <c r="H1931" s="72" t="s">
        <v>125</v>
      </c>
      <c r="I1931" s="72" t="s">
        <v>113</v>
      </c>
      <c r="J1931" s="73" t="s">
        <v>98</v>
      </c>
      <c r="K1931" s="72" t="s">
        <v>98</v>
      </c>
      <c r="L1931" s="72" t="s">
        <v>98</v>
      </c>
      <c r="M1931" s="72" t="s">
        <v>98</v>
      </c>
      <c r="N1931" s="73" t="s">
        <v>6946</v>
      </c>
      <c r="O1931" s="73" t="s">
        <v>276</v>
      </c>
      <c r="P1931" s="73" t="s">
        <v>238</v>
      </c>
      <c r="Q1931" s="77" t="s">
        <v>276</v>
      </c>
      <c r="R1931" s="73" t="s">
        <v>276</v>
      </c>
      <c r="S1931" s="75" t="s">
        <v>6963</v>
      </c>
      <c r="T1931" s="73" t="s">
        <v>276</v>
      </c>
      <c r="U1931" s="89" t="s">
        <v>6859</v>
      </c>
      <c r="V1931" s="72" t="s">
        <v>15</v>
      </c>
      <c r="W1931" s="72" t="s">
        <v>6872</v>
      </c>
      <c r="X1931" s="73" t="s">
        <v>207</v>
      </c>
      <c r="Y1931" s="74">
        <v>6567</v>
      </c>
      <c r="Z1931" s="38">
        <v>8126</v>
      </c>
      <c r="AA1931" s="73" t="s">
        <v>276</v>
      </c>
      <c r="AB1931" s="73" t="s">
        <v>276</v>
      </c>
      <c r="AC1931" s="72" t="s">
        <v>276</v>
      </c>
      <c r="AD1931" s="73" t="s">
        <v>3843</v>
      </c>
      <c r="AE1931" s="72" t="s">
        <v>276</v>
      </c>
      <c r="AF1931" s="73" t="s">
        <v>3843</v>
      </c>
      <c r="AG1931" s="73" t="s">
        <v>6967</v>
      </c>
      <c r="AH1931" s="73" t="s">
        <v>6965</v>
      </c>
      <c r="AI1931" s="75">
        <f>1+3+31+5</f>
        <v>40</v>
      </c>
      <c r="AJ1931" s="75" t="s">
        <v>276</v>
      </c>
      <c r="AK1931" s="74">
        <v>6567</v>
      </c>
      <c r="AL1931" s="75">
        <v>8126</v>
      </c>
      <c r="AM1931" s="75" t="s">
        <v>281</v>
      </c>
      <c r="AN1931" s="72" t="s">
        <v>276</v>
      </c>
      <c r="AO1931" s="86">
        <f t="shared" si="563"/>
        <v>6.0910613674432774</v>
      </c>
      <c r="AP1931" s="72" t="s">
        <v>276</v>
      </c>
      <c r="AQ1931" s="72" t="s">
        <v>276</v>
      </c>
      <c r="AR1931" s="425">
        <f>0.46*10</f>
        <v>4.6000000000000005</v>
      </c>
      <c r="AS1931" s="83" t="s">
        <v>276</v>
      </c>
      <c r="AT1931" s="83" t="s">
        <v>276</v>
      </c>
      <c r="AU1931" s="83" t="s">
        <v>276</v>
      </c>
      <c r="AV1931" s="72" t="s">
        <v>268</v>
      </c>
      <c r="AW1931" s="83" t="s">
        <v>276</v>
      </c>
      <c r="AX1931" s="83">
        <f>AO1931/AR1931</f>
        <v>1.3241437755311471</v>
      </c>
      <c r="AY1931" s="83" t="s">
        <v>276</v>
      </c>
      <c r="AZ1931" s="83" t="s">
        <v>276</v>
      </c>
      <c r="BA1931" s="83" t="s">
        <v>276</v>
      </c>
      <c r="BB1931" s="83" t="s">
        <v>282</v>
      </c>
      <c r="BC1931" s="73" t="s">
        <v>98</v>
      </c>
      <c r="BD1931" s="73" t="s">
        <v>98</v>
      </c>
      <c r="BE1931" s="73" t="s">
        <v>98</v>
      </c>
      <c r="BF1931" s="73" t="s">
        <v>2473</v>
      </c>
      <c r="BG1931" s="73" t="s">
        <v>6949</v>
      </c>
      <c r="BH1931" s="9" t="s">
        <v>100</v>
      </c>
      <c r="BI1931" s="9" t="s">
        <v>100</v>
      </c>
      <c r="BJ1931" s="78"/>
      <c r="BN1931" s="78"/>
      <c r="BO1931" s="78"/>
    </row>
    <row r="1932" spans="1:67" s="79" customFormat="1" ht="65" hidden="1" x14ac:dyDescent="0.35">
      <c r="A1932" s="72">
        <v>4053</v>
      </c>
      <c r="B1932" s="72" t="s">
        <v>6864</v>
      </c>
      <c r="C1932" s="73" t="s">
        <v>58</v>
      </c>
      <c r="D1932" s="73" t="s">
        <v>6968</v>
      </c>
      <c r="E1932" s="72" t="s">
        <v>35</v>
      </c>
      <c r="F1932" s="72" t="s">
        <v>97</v>
      </c>
      <c r="G1932" s="72" t="s">
        <v>225</v>
      </c>
      <c r="H1932" s="72" t="s">
        <v>225</v>
      </c>
      <c r="I1932" s="72" t="s">
        <v>113</v>
      </c>
      <c r="J1932" s="73" t="s">
        <v>98</v>
      </c>
      <c r="K1932" s="72" t="s">
        <v>98</v>
      </c>
      <c r="L1932" s="72" t="s">
        <v>98</v>
      </c>
      <c r="M1932" s="72" t="s">
        <v>98</v>
      </c>
      <c r="N1932" s="73" t="s">
        <v>6946</v>
      </c>
      <c r="O1932" s="73" t="s">
        <v>276</v>
      </c>
      <c r="P1932" s="73" t="s">
        <v>236</v>
      </c>
      <c r="Q1932" s="77" t="s">
        <v>276</v>
      </c>
      <c r="R1932" s="73" t="s">
        <v>276</v>
      </c>
      <c r="S1932" s="75" t="s">
        <v>6963</v>
      </c>
      <c r="T1932" s="73" t="s">
        <v>98</v>
      </c>
      <c r="U1932" s="89" t="s">
        <v>4284</v>
      </c>
      <c r="V1932" s="72" t="s">
        <v>15</v>
      </c>
      <c r="W1932" s="72" t="s">
        <v>6872</v>
      </c>
      <c r="X1932" s="73" t="s">
        <v>209</v>
      </c>
      <c r="Y1932" s="74" t="s">
        <v>98</v>
      </c>
      <c r="Z1932" s="75" t="s">
        <v>98</v>
      </c>
      <c r="AA1932" s="73" t="s">
        <v>276</v>
      </c>
      <c r="AB1932" s="73" t="s">
        <v>98</v>
      </c>
      <c r="AC1932" s="72" t="s">
        <v>276</v>
      </c>
      <c r="AD1932" s="73" t="s">
        <v>3843</v>
      </c>
      <c r="AE1932" s="72" t="s">
        <v>98</v>
      </c>
      <c r="AF1932" s="72" t="s">
        <v>98</v>
      </c>
      <c r="AG1932" s="73" t="s">
        <v>6964</v>
      </c>
      <c r="AH1932" s="73" t="s">
        <v>6969</v>
      </c>
      <c r="AI1932" s="75">
        <f>1+31</f>
        <v>32</v>
      </c>
      <c r="AJ1932" s="75" t="s">
        <v>98</v>
      </c>
      <c r="AK1932" s="74">
        <v>67</v>
      </c>
      <c r="AL1932" s="75" t="s">
        <v>98</v>
      </c>
      <c r="AM1932" s="75" t="s">
        <v>292</v>
      </c>
      <c r="AN1932" s="72" t="s">
        <v>276</v>
      </c>
      <c r="AO1932" s="86">
        <f>AI1932*100/AK1932</f>
        <v>47.761194029850749</v>
      </c>
      <c r="AP1932" s="72" t="s">
        <v>276</v>
      </c>
      <c r="AQ1932" s="72" t="s">
        <v>276</v>
      </c>
      <c r="AR1932" s="72" t="s">
        <v>98</v>
      </c>
      <c r="AS1932" s="72" t="s">
        <v>98</v>
      </c>
      <c r="AT1932" s="72" t="s">
        <v>98</v>
      </c>
      <c r="AU1932" s="72" t="s">
        <v>98</v>
      </c>
      <c r="AV1932" s="72" t="s">
        <v>98</v>
      </c>
      <c r="AW1932" s="83" t="s">
        <v>276</v>
      </c>
      <c r="AX1932" s="83" t="s">
        <v>98</v>
      </c>
      <c r="AY1932" s="83" t="s">
        <v>98</v>
      </c>
      <c r="AZ1932" s="83" t="s">
        <v>98</v>
      </c>
      <c r="BA1932" s="83" t="s">
        <v>98</v>
      </c>
      <c r="BB1932" s="83" t="s">
        <v>98</v>
      </c>
      <c r="BC1932" s="73" t="s">
        <v>98</v>
      </c>
      <c r="BD1932" s="73" t="s">
        <v>98</v>
      </c>
      <c r="BE1932" s="73" t="s">
        <v>98</v>
      </c>
      <c r="BF1932" s="73" t="s">
        <v>1358</v>
      </c>
      <c r="BG1932" s="73" t="s">
        <v>6949</v>
      </c>
      <c r="BH1932" s="9" t="s">
        <v>100</v>
      </c>
      <c r="BI1932" s="9" t="s">
        <v>100</v>
      </c>
      <c r="BJ1932" s="78"/>
      <c r="BN1932" s="78"/>
      <c r="BO1932" s="78"/>
    </row>
    <row r="1933" spans="1:67" s="79" customFormat="1" ht="65" hidden="1" x14ac:dyDescent="0.35">
      <c r="A1933" s="72">
        <v>4053</v>
      </c>
      <c r="B1933" s="72" t="s">
        <v>6864</v>
      </c>
      <c r="C1933" s="73" t="s">
        <v>58</v>
      </c>
      <c r="D1933" s="73" t="s">
        <v>6970</v>
      </c>
      <c r="E1933" s="72" t="s">
        <v>35</v>
      </c>
      <c r="F1933" s="72" t="s">
        <v>97</v>
      </c>
      <c r="G1933" s="72" t="s">
        <v>225</v>
      </c>
      <c r="H1933" s="72" t="s">
        <v>225</v>
      </c>
      <c r="I1933" s="72" t="s">
        <v>113</v>
      </c>
      <c r="J1933" s="73" t="s">
        <v>98</v>
      </c>
      <c r="K1933" s="72" t="s">
        <v>98</v>
      </c>
      <c r="L1933" s="72" t="s">
        <v>98</v>
      </c>
      <c r="M1933" s="72" t="s">
        <v>98</v>
      </c>
      <c r="N1933" s="73" t="s">
        <v>6946</v>
      </c>
      <c r="O1933" s="73" t="s">
        <v>276</v>
      </c>
      <c r="P1933" s="73" t="s">
        <v>236</v>
      </c>
      <c r="Q1933" s="77" t="s">
        <v>276</v>
      </c>
      <c r="R1933" s="73" t="s">
        <v>276</v>
      </c>
      <c r="S1933" s="75" t="s">
        <v>6963</v>
      </c>
      <c r="T1933" s="73" t="s">
        <v>98</v>
      </c>
      <c r="U1933" s="89" t="s">
        <v>4284</v>
      </c>
      <c r="V1933" s="72" t="s">
        <v>15</v>
      </c>
      <c r="W1933" s="72" t="s">
        <v>6872</v>
      </c>
      <c r="X1933" s="73" t="s">
        <v>209</v>
      </c>
      <c r="Y1933" s="74" t="s">
        <v>98</v>
      </c>
      <c r="Z1933" s="75" t="s">
        <v>98</v>
      </c>
      <c r="AA1933" s="73" t="s">
        <v>276</v>
      </c>
      <c r="AB1933" s="73" t="s">
        <v>98</v>
      </c>
      <c r="AC1933" s="72" t="s">
        <v>276</v>
      </c>
      <c r="AD1933" s="73" t="s">
        <v>3843</v>
      </c>
      <c r="AE1933" s="72" t="s">
        <v>98</v>
      </c>
      <c r="AF1933" s="72" t="s">
        <v>98</v>
      </c>
      <c r="AG1933" s="73" t="s">
        <v>6971</v>
      </c>
      <c r="AH1933" s="73" t="s">
        <v>6972</v>
      </c>
      <c r="AI1933" s="75">
        <f>1+3+31+5</f>
        <v>40</v>
      </c>
      <c r="AJ1933" s="75" t="s">
        <v>98</v>
      </c>
      <c r="AK1933" s="74">
        <f>67+10</f>
        <v>77</v>
      </c>
      <c r="AL1933" s="75" t="s">
        <v>98</v>
      </c>
      <c r="AM1933" s="75" t="s">
        <v>292</v>
      </c>
      <c r="AN1933" s="72" t="s">
        <v>276</v>
      </c>
      <c r="AO1933" s="86">
        <f>AI1933*100/AK1933</f>
        <v>51.948051948051948</v>
      </c>
      <c r="AP1933" s="72" t="s">
        <v>276</v>
      </c>
      <c r="AQ1933" s="72" t="s">
        <v>276</v>
      </c>
      <c r="AR1933" s="72" t="s">
        <v>98</v>
      </c>
      <c r="AS1933" s="72" t="s">
        <v>98</v>
      </c>
      <c r="AT1933" s="72" t="s">
        <v>98</v>
      </c>
      <c r="AU1933" s="72" t="s">
        <v>98</v>
      </c>
      <c r="AV1933" s="72" t="s">
        <v>98</v>
      </c>
      <c r="AW1933" s="83" t="s">
        <v>276</v>
      </c>
      <c r="AX1933" s="83" t="s">
        <v>98</v>
      </c>
      <c r="AY1933" s="83" t="s">
        <v>98</v>
      </c>
      <c r="AZ1933" s="83" t="s">
        <v>98</v>
      </c>
      <c r="BA1933" s="83" t="s">
        <v>98</v>
      </c>
      <c r="BB1933" s="83" t="s">
        <v>98</v>
      </c>
      <c r="BC1933" s="73" t="s">
        <v>98</v>
      </c>
      <c r="BD1933" s="73" t="s">
        <v>98</v>
      </c>
      <c r="BE1933" s="73" t="s">
        <v>98</v>
      </c>
      <c r="BF1933" s="73" t="s">
        <v>1358</v>
      </c>
      <c r="BG1933" s="73" t="s">
        <v>6949</v>
      </c>
      <c r="BH1933" s="9" t="s">
        <v>100</v>
      </c>
      <c r="BI1933" s="9" t="s">
        <v>100</v>
      </c>
      <c r="BJ1933" s="78"/>
      <c r="BN1933" s="78"/>
      <c r="BO1933" s="78"/>
    </row>
    <row r="1934" spans="1:67" s="33" customFormat="1" ht="52" hidden="1" x14ac:dyDescent="0.35">
      <c r="A1934" s="8">
        <v>4053</v>
      </c>
      <c r="B1934" s="8" t="s">
        <v>6864</v>
      </c>
      <c r="C1934" s="9" t="s">
        <v>58</v>
      </c>
      <c r="D1934" s="9" t="s">
        <v>6973</v>
      </c>
      <c r="E1934" s="8" t="s">
        <v>35</v>
      </c>
      <c r="F1934" s="8" t="s">
        <v>97</v>
      </c>
      <c r="G1934" s="8" t="s">
        <v>225</v>
      </c>
      <c r="H1934" s="8" t="s">
        <v>225</v>
      </c>
      <c r="I1934" s="8" t="s">
        <v>113</v>
      </c>
      <c r="J1934" s="9" t="s">
        <v>98</v>
      </c>
      <c r="K1934" s="8" t="s">
        <v>98</v>
      </c>
      <c r="L1934" s="8" t="s">
        <v>98</v>
      </c>
      <c r="M1934" s="8" t="s">
        <v>98</v>
      </c>
      <c r="N1934" s="9" t="s">
        <v>6946</v>
      </c>
      <c r="O1934" s="9" t="s">
        <v>276</v>
      </c>
      <c r="P1934" s="9" t="s">
        <v>238</v>
      </c>
      <c r="Q1934" s="52" t="s">
        <v>276</v>
      </c>
      <c r="R1934" s="9" t="s">
        <v>276</v>
      </c>
      <c r="S1934" s="38" t="s">
        <v>6974</v>
      </c>
      <c r="T1934" s="9" t="s">
        <v>98</v>
      </c>
      <c r="U1934" s="51" t="s">
        <v>4284</v>
      </c>
      <c r="V1934" s="8" t="s">
        <v>15</v>
      </c>
      <c r="W1934" s="8" t="s">
        <v>6876</v>
      </c>
      <c r="X1934" s="9" t="s">
        <v>209</v>
      </c>
      <c r="Y1934" s="13">
        <v>5157</v>
      </c>
      <c r="Z1934" s="38" t="s">
        <v>98</v>
      </c>
      <c r="AA1934" s="9" t="s">
        <v>276</v>
      </c>
      <c r="AB1934" s="9" t="s">
        <v>98</v>
      </c>
      <c r="AC1934" s="8" t="s">
        <v>276</v>
      </c>
      <c r="AD1934" s="9" t="s">
        <v>3843</v>
      </c>
      <c r="AE1934" s="8" t="s">
        <v>98</v>
      </c>
      <c r="AF1934" s="8" t="s">
        <v>98</v>
      </c>
      <c r="AG1934" s="9" t="s">
        <v>6975</v>
      </c>
      <c r="AH1934" s="9" t="s">
        <v>6976</v>
      </c>
      <c r="AI1934" s="38">
        <f>9+25</f>
        <v>34</v>
      </c>
      <c r="AJ1934" s="38" t="s">
        <v>98</v>
      </c>
      <c r="AK1934" s="13">
        <v>5157</v>
      </c>
      <c r="AL1934" s="38" t="s">
        <v>98</v>
      </c>
      <c r="AM1934" s="38" t="s">
        <v>281</v>
      </c>
      <c r="AN1934" s="8" t="s">
        <v>276</v>
      </c>
      <c r="AO1934" s="31">
        <f t="shared" si="563"/>
        <v>6.5929804149699436</v>
      </c>
      <c r="AP1934" s="8" t="s">
        <v>276</v>
      </c>
      <c r="AQ1934" s="8" t="s">
        <v>276</v>
      </c>
      <c r="AR1934" s="40" t="s">
        <v>98</v>
      </c>
      <c r="AS1934" s="40" t="s">
        <v>98</v>
      </c>
      <c r="AT1934" s="40" t="s">
        <v>98</v>
      </c>
      <c r="AU1934" s="40" t="s">
        <v>98</v>
      </c>
      <c r="AV1934" s="8" t="s">
        <v>98</v>
      </c>
      <c r="AW1934" s="40" t="s">
        <v>98</v>
      </c>
      <c r="AX1934" s="40" t="s">
        <v>98</v>
      </c>
      <c r="AY1934" s="40" t="s">
        <v>98</v>
      </c>
      <c r="AZ1934" s="40" t="s">
        <v>98</v>
      </c>
      <c r="BA1934" s="40" t="s">
        <v>98</v>
      </c>
      <c r="BB1934" s="40" t="s">
        <v>98</v>
      </c>
      <c r="BC1934" s="9" t="s">
        <v>98</v>
      </c>
      <c r="BD1934" s="9" t="s">
        <v>98</v>
      </c>
      <c r="BE1934" s="9" t="s">
        <v>98</v>
      </c>
      <c r="BF1934" s="9" t="s">
        <v>1358</v>
      </c>
      <c r="BG1934" s="9" t="s">
        <v>6949</v>
      </c>
      <c r="BH1934" s="9" t="s">
        <v>100</v>
      </c>
      <c r="BI1934" s="9" t="s">
        <v>100</v>
      </c>
      <c r="BJ1934" s="32"/>
      <c r="BN1934" s="32"/>
      <c r="BO1934" s="32"/>
    </row>
    <row r="1935" spans="1:67" s="33" customFormat="1" ht="65" hidden="1" x14ac:dyDescent="0.35">
      <c r="A1935" s="8">
        <v>4053</v>
      </c>
      <c r="B1935" s="8" t="s">
        <v>6864</v>
      </c>
      <c r="C1935" s="9" t="s">
        <v>58</v>
      </c>
      <c r="D1935" s="9" t="s">
        <v>6977</v>
      </c>
      <c r="E1935" s="8" t="s">
        <v>35</v>
      </c>
      <c r="F1935" s="8" t="s">
        <v>97</v>
      </c>
      <c r="G1935" s="8" t="s">
        <v>225</v>
      </c>
      <c r="H1935" s="8" t="s">
        <v>125</v>
      </c>
      <c r="I1935" s="8" t="s">
        <v>113</v>
      </c>
      <c r="J1935" s="9" t="s">
        <v>98</v>
      </c>
      <c r="K1935" s="8" t="s">
        <v>98</v>
      </c>
      <c r="L1935" s="8" t="s">
        <v>98</v>
      </c>
      <c r="M1935" s="8" t="s">
        <v>98</v>
      </c>
      <c r="N1935" s="9" t="s">
        <v>6946</v>
      </c>
      <c r="O1935" s="9" t="s">
        <v>276</v>
      </c>
      <c r="P1935" s="9" t="s">
        <v>238</v>
      </c>
      <c r="Q1935" s="52" t="s">
        <v>276</v>
      </c>
      <c r="R1935" s="9" t="s">
        <v>276</v>
      </c>
      <c r="S1935" s="38" t="s">
        <v>6974</v>
      </c>
      <c r="T1935" s="9" t="s">
        <v>276</v>
      </c>
      <c r="U1935" s="51" t="s">
        <v>6859</v>
      </c>
      <c r="V1935" s="8" t="s">
        <v>15</v>
      </c>
      <c r="W1935" s="8" t="s">
        <v>6876</v>
      </c>
      <c r="X1935" s="9" t="s">
        <v>207</v>
      </c>
      <c r="Y1935" s="13">
        <v>5157</v>
      </c>
      <c r="Z1935" s="38">
        <v>5870</v>
      </c>
      <c r="AA1935" s="9" t="s">
        <v>276</v>
      </c>
      <c r="AB1935" s="9" t="s">
        <v>276</v>
      </c>
      <c r="AC1935" s="8" t="s">
        <v>276</v>
      </c>
      <c r="AD1935" s="9" t="s">
        <v>3843</v>
      </c>
      <c r="AE1935" s="8" t="s">
        <v>276</v>
      </c>
      <c r="AF1935" s="9" t="s">
        <v>3843</v>
      </c>
      <c r="AG1935" s="9" t="s">
        <v>6978</v>
      </c>
      <c r="AH1935" s="9" t="s">
        <v>6976</v>
      </c>
      <c r="AI1935" s="38">
        <f>9+4+25+5</f>
        <v>43</v>
      </c>
      <c r="AJ1935" s="38" t="s">
        <v>276</v>
      </c>
      <c r="AK1935" s="13">
        <v>5157</v>
      </c>
      <c r="AL1935" s="38">
        <v>5870</v>
      </c>
      <c r="AM1935" s="38" t="s">
        <v>281</v>
      </c>
      <c r="AN1935" s="8" t="s">
        <v>276</v>
      </c>
      <c r="AO1935" s="31">
        <f t="shared" si="563"/>
        <v>8.3381811130502221</v>
      </c>
      <c r="AP1935" s="8" t="s">
        <v>276</v>
      </c>
      <c r="AQ1935" s="8" t="s">
        <v>276</v>
      </c>
      <c r="AR1935" s="426">
        <f>0.41*10</f>
        <v>4.0999999999999996</v>
      </c>
      <c r="AS1935" s="8" t="s">
        <v>276</v>
      </c>
      <c r="AT1935" s="8" t="s">
        <v>276</v>
      </c>
      <c r="AU1935" s="8" t="s">
        <v>276</v>
      </c>
      <c r="AV1935" s="8" t="s">
        <v>268</v>
      </c>
      <c r="AW1935" s="40" t="s">
        <v>276</v>
      </c>
      <c r="AX1935" s="40">
        <f>AO1935/AR1935</f>
        <v>2.0337027105000542</v>
      </c>
      <c r="AY1935" s="40" t="s">
        <v>276</v>
      </c>
      <c r="AZ1935" s="40" t="s">
        <v>276</v>
      </c>
      <c r="BA1935" s="40" t="s">
        <v>276</v>
      </c>
      <c r="BB1935" s="40" t="s">
        <v>282</v>
      </c>
      <c r="BC1935" s="9" t="s">
        <v>98</v>
      </c>
      <c r="BD1935" s="9" t="s">
        <v>98</v>
      </c>
      <c r="BE1935" s="9" t="s">
        <v>98</v>
      </c>
      <c r="BF1935" s="9" t="s">
        <v>2473</v>
      </c>
      <c r="BG1935" s="9" t="s">
        <v>6949</v>
      </c>
      <c r="BH1935" s="9" t="s">
        <v>100</v>
      </c>
      <c r="BI1935" s="9" t="s">
        <v>100</v>
      </c>
      <c r="BJ1935" s="32"/>
      <c r="BN1935" s="32"/>
      <c r="BO1935" s="32"/>
    </row>
    <row r="1936" spans="1:67" s="434" customFormat="1" ht="65" hidden="1" x14ac:dyDescent="0.35">
      <c r="A1936" s="427">
        <v>4053</v>
      </c>
      <c r="B1936" s="427" t="s">
        <v>6864</v>
      </c>
      <c r="C1936" s="92" t="s">
        <v>58</v>
      </c>
      <c r="D1936" s="92" t="s">
        <v>6979</v>
      </c>
      <c r="E1936" s="427" t="s">
        <v>35</v>
      </c>
      <c r="F1936" s="427" t="s">
        <v>97</v>
      </c>
      <c r="G1936" s="427" t="s">
        <v>225</v>
      </c>
      <c r="H1936" s="427" t="s">
        <v>225</v>
      </c>
      <c r="I1936" s="427" t="s">
        <v>113</v>
      </c>
      <c r="J1936" s="92" t="s">
        <v>98</v>
      </c>
      <c r="K1936" s="427" t="s">
        <v>98</v>
      </c>
      <c r="L1936" s="427" t="s">
        <v>98</v>
      </c>
      <c r="M1936" s="427" t="s">
        <v>98</v>
      </c>
      <c r="N1936" s="9" t="s">
        <v>6946</v>
      </c>
      <c r="O1936" s="92" t="s">
        <v>276</v>
      </c>
      <c r="P1936" s="92" t="s">
        <v>236</v>
      </c>
      <c r="Q1936" s="428" t="s">
        <v>276</v>
      </c>
      <c r="R1936" s="92" t="s">
        <v>276</v>
      </c>
      <c r="S1936" s="38" t="s">
        <v>6974</v>
      </c>
      <c r="T1936" s="92" t="s">
        <v>98</v>
      </c>
      <c r="U1936" s="429" t="s">
        <v>4284</v>
      </c>
      <c r="V1936" s="8" t="s">
        <v>15</v>
      </c>
      <c r="W1936" s="8" t="s">
        <v>6876</v>
      </c>
      <c r="X1936" s="92" t="s">
        <v>209</v>
      </c>
      <c r="Y1936" s="80" t="s">
        <v>98</v>
      </c>
      <c r="Z1936" s="430" t="s">
        <v>98</v>
      </c>
      <c r="AA1936" s="92" t="s">
        <v>276</v>
      </c>
      <c r="AB1936" s="92" t="s">
        <v>98</v>
      </c>
      <c r="AC1936" s="427" t="s">
        <v>276</v>
      </c>
      <c r="AD1936" s="92" t="s">
        <v>3843</v>
      </c>
      <c r="AE1936" s="427" t="s">
        <v>98</v>
      </c>
      <c r="AF1936" s="427" t="s">
        <v>98</v>
      </c>
      <c r="AG1936" s="92" t="s">
        <v>6975</v>
      </c>
      <c r="AH1936" s="92" t="s">
        <v>6980</v>
      </c>
      <c r="AI1936" s="38">
        <f>9+25</f>
        <v>34</v>
      </c>
      <c r="AJ1936" s="430" t="s">
        <v>98</v>
      </c>
      <c r="AK1936" s="80">
        <v>57</v>
      </c>
      <c r="AL1936" s="430" t="s">
        <v>98</v>
      </c>
      <c r="AM1936" s="430" t="s">
        <v>292</v>
      </c>
      <c r="AN1936" s="427" t="s">
        <v>276</v>
      </c>
      <c r="AO1936" s="431">
        <f>AI1936*100/AK1936</f>
        <v>59.649122807017541</v>
      </c>
      <c r="AP1936" s="427" t="s">
        <v>276</v>
      </c>
      <c r="AQ1936" s="427" t="s">
        <v>276</v>
      </c>
      <c r="AR1936" s="427" t="s">
        <v>98</v>
      </c>
      <c r="AS1936" s="427" t="s">
        <v>98</v>
      </c>
      <c r="AT1936" s="427" t="s">
        <v>98</v>
      </c>
      <c r="AU1936" s="427" t="s">
        <v>98</v>
      </c>
      <c r="AV1936" s="427" t="s">
        <v>98</v>
      </c>
      <c r="AW1936" s="432" t="s">
        <v>276</v>
      </c>
      <c r="AX1936" s="432" t="s">
        <v>98</v>
      </c>
      <c r="AY1936" s="432" t="s">
        <v>98</v>
      </c>
      <c r="AZ1936" s="432" t="s">
        <v>98</v>
      </c>
      <c r="BA1936" s="432" t="s">
        <v>98</v>
      </c>
      <c r="BB1936" s="432" t="s">
        <v>98</v>
      </c>
      <c r="BC1936" s="92" t="s">
        <v>98</v>
      </c>
      <c r="BD1936" s="92" t="s">
        <v>98</v>
      </c>
      <c r="BE1936" s="92" t="s">
        <v>98</v>
      </c>
      <c r="BF1936" s="92" t="s">
        <v>1358</v>
      </c>
      <c r="BG1936" s="9" t="s">
        <v>6949</v>
      </c>
      <c r="BH1936" s="9" t="s">
        <v>100</v>
      </c>
      <c r="BI1936" s="9" t="s">
        <v>100</v>
      </c>
      <c r="BJ1936" s="433"/>
      <c r="BN1936" s="433"/>
      <c r="BO1936" s="433"/>
    </row>
    <row r="1937" spans="1:67" s="434" customFormat="1" ht="65" hidden="1" x14ac:dyDescent="0.35">
      <c r="A1937" s="427">
        <v>4053</v>
      </c>
      <c r="B1937" s="427" t="s">
        <v>6864</v>
      </c>
      <c r="C1937" s="92" t="s">
        <v>58</v>
      </c>
      <c r="D1937" s="92" t="s">
        <v>6981</v>
      </c>
      <c r="E1937" s="427" t="s">
        <v>35</v>
      </c>
      <c r="F1937" s="427" t="s">
        <v>97</v>
      </c>
      <c r="G1937" s="427" t="s">
        <v>225</v>
      </c>
      <c r="H1937" s="427" t="s">
        <v>225</v>
      </c>
      <c r="I1937" s="427" t="s">
        <v>113</v>
      </c>
      <c r="J1937" s="92" t="s">
        <v>98</v>
      </c>
      <c r="K1937" s="427" t="s">
        <v>98</v>
      </c>
      <c r="L1937" s="427" t="s">
        <v>98</v>
      </c>
      <c r="M1937" s="427" t="s">
        <v>98</v>
      </c>
      <c r="N1937" s="9" t="s">
        <v>6946</v>
      </c>
      <c r="O1937" s="92" t="s">
        <v>276</v>
      </c>
      <c r="P1937" s="92" t="s">
        <v>236</v>
      </c>
      <c r="Q1937" s="428" t="s">
        <v>276</v>
      </c>
      <c r="R1937" s="92" t="s">
        <v>276</v>
      </c>
      <c r="S1937" s="38" t="s">
        <v>6974</v>
      </c>
      <c r="T1937" s="92" t="s">
        <v>98</v>
      </c>
      <c r="U1937" s="429" t="s">
        <v>4284</v>
      </c>
      <c r="V1937" s="8" t="s">
        <v>15</v>
      </c>
      <c r="W1937" s="8" t="s">
        <v>6876</v>
      </c>
      <c r="X1937" s="92" t="s">
        <v>209</v>
      </c>
      <c r="Y1937" s="80" t="s">
        <v>98</v>
      </c>
      <c r="Z1937" s="430" t="s">
        <v>98</v>
      </c>
      <c r="AA1937" s="92" t="s">
        <v>276</v>
      </c>
      <c r="AB1937" s="92" t="s">
        <v>98</v>
      </c>
      <c r="AC1937" s="427" t="s">
        <v>276</v>
      </c>
      <c r="AD1937" s="92" t="s">
        <v>3843</v>
      </c>
      <c r="AE1937" s="427" t="s">
        <v>98</v>
      </c>
      <c r="AF1937" s="427" t="s">
        <v>98</v>
      </c>
      <c r="AG1937" s="92" t="s">
        <v>6982</v>
      </c>
      <c r="AH1937" s="92" t="s">
        <v>6983</v>
      </c>
      <c r="AI1937" s="38">
        <f>9+4+25+5</f>
        <v>43</v>
      </c>
      <c r="AJ1937" s="430" t="s">
        <v>98</v>
      </c>
      <c r="AK1937" s="80">
        <f>57+10</f>
        <v>67</v>
      </c>
      <c r="AL1937" s="430" t="s">
        <v>98</v>
      </c>
      <c r="AM1937" s="430" t="s">
        <v>292</v>
      </c>
      <c r="AN1937" s="427" t="s">
        <v>276</v>
      </c>
      <c r="AO1937" s="431">
        <f>AI1937*100/AK1937</f>
        <v>64.179104477611943</v>
      </c>
      <c r="AP1937" s="427" t="s">
        <v>276</v>
      </c>
      <c r="AQ1937" s="427" t="s">
        <v>276</v>
      </c>
      <c r="AR1937" s="427" t="s">
        <v>98</v>
      </c>
      <c r="AS1937" s="427" t="s">
        <v>98</v>
      </c>
      <c r="AT1937" s="427" t="s">
        <v>98</v>
      </c>
      <c r="AU1937" s="427" t="s">
        <v>98</v>
      </c>
      <c r="AV1937" s="427" t="s">
        <v>98</v>
      </c>
      <c r="AW1937" s="432" t="s">
        <v>276</v>
      </c>
      <c r="AX1937" s="432" t="s">
        <v>98</v>
      </c>
      <c r="AY1937" s="432" t="s">
        <v>98</v>
      </c>
      <c r="AZ1937" s="432" t="s">
        <v>98</v>
      </c>
      <c r="BA1937" s="432" t="s">
        <v>98</v>
      </c>
      <c r="BB1937" s="432" t="s">
        <v>98</v>
      </c>
      <c r="BC1937" s="92" t="s">
        <v>98</v>
      </c>
      <c r="BD1937" s="92" t="s">
        <v>98</v>
      </c>
      <c r="BE1937" s="92" t="s">
        <v>98</v>
      </c>
      <c r="BF1937" s="92" t="s">
        <v>1358</v>
      </c>
      <c r="BG1937" s="9" t="s">
        <v>6949</v>
      </c>
      <c r="BH1937" s="9" t="s">
        <v>100</v>
      </c>
      <c r="BI1937" s="9" t="s">
        <v>100</v>
      </c>
      <c r="BJ1937" s="433"/>
      <c r="BN1937" s="433"/>
      <c r="BO1937" s="433"/>
    </row>
    <row r="1938" spans="1:67" s="79" customFormat="1" ht="52" hidden="1" x14ac:dyDescent="0.35">
      <c r="A1938" s="72">
        <v>4053</v>
      </c>
      <c r="B1938" s="72" t="s">
        <v>6864</v>
      </c>
      <c r="C1938" s="73" t="s">
        <v>58</v>
      </c>
      <c r="D1938" s="73" t="s">
        <v>6984</v>
      </c>
      <c r="E1938" s="72" t="s">
        <v>35</v>
      </c>
      <c r="F1938" s="72" t="s">
        <v>97</v>
      </c>
      <c r="G1938" s="72" t="s">
        <v>225</v>
      </c>
      <c r="H1938" s="72" t="s">
        <v>225</v>
      </c>
      <c r="I1938" s="72" t="s">
        <v>113</v>
      </c>
      <c r="J1938" s="73" t="s">
        <v>98</v>
      </c>
      <c r="K1938" s="72" t="s">
        <v>98</v>
      </c>
      <c r="L1938" s="72" t="s">
        <v>98</v>
      </c>
      <c r="M1938" s="72" t="s">
        <v>98</v>
      </c>
      <c r="N1938" s="73" t="s">
        <v>6946</v>
      </c>
      <c r="O1938" s="73" t="s">
        <v>276</v>
      </c>
      <c r="P1938" s="73" t="s">
        <v>238</v>
      </c>
      <c r="Q1938" s="77" t="s">
        <v>276</v>
      </c>
      <c r="R1938" s="73" t="s">
        <v>276</v>
      </c>
      <c r="S1938" s="75" t="s">
        <v>6985</v>
      </c>
      <c r="T1938" s="73" t="s">
        <v>98</v>
      </c>
      <c r="U1938" s="89" t="s">
        <v>4284</v>
      </c>
      <c r="V1938" s="72" t="s">
        <v>15</v>
      </c>
      <c r="W1938" s="72" t="s">
        <v>6880</v>
      </c>
      <c r="X1938" s="73" t="s">
        <v>209</v>
      </c>
      <c r="Y1938" s="74">
        <v>4752</v>
      </c>
      <c r="Z1938" s="75" t="s">
        <v>98</v>
      </c>
      <c r="AA1938" s="73" t="s">
        <v>276</v>
      </c>
      <c r="AB1938" s="73" t="s">
        <v>98</v>
      </c>
      <c r="AC1938" s="72" t="s">
        <v>276</v>
      </c>
      <c r="AD1938" s="73" t="s">
        <v>3843</v>
      </c>
      <c r="AE1938" s="72" t="s">
        <v>98</v>
      </c>
      <c r="AF1938" s="72" t="s">
        <v>98</v>
      </c>
      <c r="AG1938" s="73" t="s">
        <v>6986</v>
      </c>
      <c r="AH1938" s="73" t="s">
        <v>6987</v>
      </c>
      <c r="AI1938" s="75">
        <f>22+30</f>
        <v>52</v>
      </c>
      <c r="AJ1938" s="75" t="s">
        <v>98</v>
      </c>
      <c r="AK1938" s="74">
        <v>4752</v>
      </c>
      <c r="AL1938" s="75" t="s">
        <v>98</v>
      </c>
      <c r="AM1938" s="75" t="s">
        <v>281</v>
      </c>
      <c r="AN1938" s="72" t="s">
        <v>276</v>
      </c>
      <c r="AO1938" s="86">
        <f t="shared" si="563"/>
        <v>10.942760942760943</v>
      </c>
      <c r="AP1938" s="72" t="s">
        <v>276</v>
      </c>
      <c r="AQ1938" s="72" t="s">
        <v>276</v>
      </c>
      <c r="AR1938" s="83" t="s">
        <v>98</v>
      </c>
      <c r="AS1938" s="83" t="s">
        <v>98</v>
      </c>
      <c r="AT1938" s="83" t="s">
        <v>98</v>
      </c>
      <c r="AU1938" s="83" t="s">
        <v>98</v>
      </c>
      <c r="AV1938" s="72" t="s">
        <v>98</v>
      </c>
      <c r="AW1938" s="83" t="s">
        <v>98</v>
      </c>
      <c r="AX1938" s="83" t="s">
        <v>98</v>
      </c>
      <c r="AY1938" s="83" t="s">
        <v>98</v>
      </c>
      <c r="AZ1938" s="83" t="s">
        <v>98</v>
      </c>
      <c r="BA1938" s="83" t="s">
        <v>98</v>
      </c>
      <c r="BB1938" s="83" t="s">
        <v>98</v>
      </c>
      <c r="BC1938" s="73" t="s">
        <v>98</v>
      </c>
      <c r="BD1938" s="73" t="s">
        <v>98</v>
      </c>
      <c r="BE1938" s="73" t="s">
        <v>98</v>
      </c>
      <c r="BF1938" s="73" t="s">
        <v>1358</v>
      </c>
      <c r="BG1938" s="73" t="s">
        <v>6949</v>
      </c>
      <c r="BH1938" s="9" t="s">
        <v>100</v>
      </c>
      <c r="BI1938" s="9" t="s">
        <v>100</v>
      </c>
      <c r="BJ1938" s="78"/>
      <c r="BN1938" s="78"/>
      <c r="BO1938" s="78"/>
    </row>
    <row r="1939" spans="1:67" s="79" customFormat="1" ht="65" hidden="1" x14ac:dyDescent="0.35">
      <c r="A1939" s="72">
        <v>4053</v>
      </c>
      <c r="B1939" s="72" t="s">
        <v>6864</v>
      </c>
      <c r="C1939" s="73" t="s">
        <v>58</v>
      </c>
      <c r="D1939" s="73" t="s">
        <v>6988</v>
      </c>
      <c r="E1939" s="72" t="s">
        <v>35</v>
      </c>
      <c r="F1939" s="72" t="s">
        <v>97</v>
      </c>
      <c r="G1939" s="72" t="s">
        <v>225</v>
      </c>
      <c r="H1939" s="72" t="s">
        <v>125</v>
      </c>
      <c r="I1939" s="72" t="s">
        <v>113</v>
      </c>
      <c r="J1939" s="73" t="s">
        <v>98</v>
      </c>
      <c r="K1939" s="72" t="s">
        <v>98</v>
      </c>
      <c r="L1939" s="72" t="s">
        <v>98</v>
      </c>
      <c r="M1939" s="72" t="s">
        <v>98</v>
      </c>
      <c r="N1939" s="73" t="s">
        <v>6946</v>
      </c>
      <c r="O1939" s="73" t="s">
        <v>276</v>
      </c>
      <c r="P1939" s="73" t="s">
        <v>238</v>
      </c>
      <c r="Q1939" s="77" t="s">
        <v>276</v>
      </c>
      <c r="R1939" s="73" t="s">
        <v>276</v>
      </c>
      <c r="S1939" s="75" t="s">
        <v>6985</v>
      </c>
      <c r="T1939" s="73" t="s">
        <v>98</v>
      </c>
      <c r="U1939" s="89" t="s">
        <v>6859</v>
      </c>
      <c r="V1939" s="72" t="s">
        <v>15</v>
      </c>
      <c r="W1939" s="72" t="s">
        <v>6880</v>
      </c>
      <c r="X1939" s="73" t="s">
        <v>207</v>
      </c>
      <c r="Y1939" s="74">
        <v>4752</v>
      </c>
      <c r="Z1939" s="75">
        <v>7223</v>
      </c>
      <c r="AA1939" s="73" t="s">
        <v>276</v>
      </c>
      <c r="AB1939" s="73" t="s">
        <v>276</v>
      </c>
      <c r="AC1939" s="72" t="s">
        <v>276</v>
      </c>
      <c r="AD1939" s="73" t="s">
        <v>3843</v>
      </c>
      <c r="AE1939" s="72" t="s">
        <v>276</v>
      </c>
      <c r="AF1939" s="73" t="s">
        <v>3843</v>
      </c>
      <c r="AG1939" s="73" t="s">
        <v>6989</v>
      </c>
      <c r="AH1939" s="73" t="s">
        <v>6987</v>
      </c>
      <c r="AI1939" s="75">
        <f>22+5+30+5</f>
        <v>62</v>
      </c>
      <c r="AJ1939" s="75" t="s">
        <v>276</v>
      </c>
      <c r="AK1939" s="74">
        <v>4752</v>
      </c>
      <c r="AL1939" s="75">
        <v>7223</v>
      </c>
      <c r="AM1939" s="75" t="s">
        <v>281</v>
      </c>
      <c r="AN1939" s="72" t="s">
        <v>276</v>
      </c>
      <c r="AO1939" s="86">
        <f t="shared" si="563"/>
        <v>13.047138047138047</v>
      </c>
      <c r="AP1939" s="72" t="s">
        <v>276</v>
      </c>
      <c r="AQ1939" s="72" t="s">
        <v>276</v>
      </c>
      <c r="AR1939" s="425">
        <f>0.68*10</f>
        <v>6.8000000000000007</v>
      </c>
      <c r="AS1939" s="72" t="s">
        <v>276</v>
      </c>
      <c r="AT1939" s="72" t="s">
        <v>276</v>
      </c>
      <c r="AU1939" s="72" t="s">
        <v>276</v>
      </c>
      <c r="AV1939" s="72" t="s">
        <v>268</v>
      </c>
      <c r="AW1939" s="83" t="s">
        <v>276</v>
      </c>
      <c r="AX1939" s="83">
        <f>AO1939/AR1939</f>
        <v>1.9186967716379479</v>
      </c>
      <c r="AY1939" s="83" t="s">
        <v>276</v>
      </c>
      <c r="AZ1939" s="83" t="s">
        <v>276</v>
      </c>
      <c r="BA1939" s="83" t="s">
        <v>276</v>
      </c>
      <c r="BB1939" s="83" t="s">
        <v>282</v>
      </c>
      <c r="BC1939" s="73" t="s">
        <v>98</v>
      </c>
      <c r="BD1939" s="73" t="s">
        <v>98</v>
      </c>
      <c r="BE1939" s="73" t="s">
        <v>98</v>
      </c>
      <c r="BF1939" s="73" t="s">
        <v>2473</v>
      </c>
      <c r="BG1939" s="73" t="s">
        <v>6949</v>
      </c>
      <c r="BH1939" s="9" t="s">
        <v>100</v>
      </c>
      <c r="BI1939" s="9" t="s">
        <v>100</v>
      </c>
      <c r="BJ1939" s="78"/>
      <c r="BN1939" s="78"/>
      <c r="BO1939" s="78"/>
    </row>
    <row r="1940" spans="1:67" s="79" customFormat="1" ht="65" hidden="1" x14ac:dyDescent="0.35">
      <c r="A1940" s="72">
        <v>4053</v>
      </c>
      <c r="B1940" s="72" t="s">
        <v>6864</v>
      </c>
      <c r="C1940" s="73" t="s">
        <v>58</v>
      </c>
      <c r="D1940" s="73" t="s">
        <v>6990</v>
      </c>
      <c r="E1940" s="72" t="s">
        <v>35</v>
      </c>
      <c r="F1940" s="72" t="s">
        <v>97</v>
      </c>
      <c r="G1940" s="72" t="s">
        <v>225</v>
      </c>
      <c r="H1940" s="72" t="s">
        <v>225</v>
      </c>
      <c r="I1940" s="72" t="s">
        <v>113</v>
      </c>
      <c r="J1940" s="73" t="s">
        <v>98</v>
      </c>
      <c r="K1940" s="72" t="s">
        <v>98</v>
      </c>
      <c r="L1940" s="72" t="s">
        <v>98</v>
      </c>
      <c r="M1940" s="72" t="s">
        <v>98</v>
      </c>
      <c r="N1940" s="73" t="s">
        <v>6946</v>
      </c>
      <c r="O1940" s="73" t="s">
        <v>276</v>
      </c>
      <c r="P1940" s="73" t="s">
        <v>236</v>
      </c>
      <c r="Q1940" s="77" t="s">
        <v>276</v>
      </c>
      <c r="R1940" s="73" t="s">
        <v>276</v>
      </c>
      <c r="S1940" s="75" t="s">
        <v>6985</v>
      </c>
      <c r="T1940" s="73" t="s">
        <v>98</v>
      </c>
      <c r="U1940" s="89" t="s">
        <v>4284</v>
      </c>
      <c r="V1940" s="72" t="s">
        <v>15</v>
      </c>
      <c r="W1940" s="72" t="s">
        <v>6880</v>
      </c>
      <c r="X1940" s="73" t="s">
        <v>209</v>
      </c>
      <c r="Y1940" s="74" t="s">
        <v>98</v>
      </c>
      <c r="Z1940" s="75" t="s">
        <v>98</v>
      </c>
      <c r="AA1940" s="73" t="s">
        <v>276</v>
      </c>
      <c r="AB1940" s="73" t="s">
        <v>98</v>
      </c>
      <c r="AC1940" s="72" t="s">
        <v>276</v>
      </c>
      <c r="AD1940" s="73" t="s">
        <v>3843</v>
      </c>
      <c r="AE1940" s="72" t="s">
        <v>98</v>
      </c>
      <c r="AF1940" s="72" t="s">
        <v>98</v>
      </c>
      <c r="AG1940" s="73" t="s">
        <v>6986</v>
      </c>
      <c r="AH1940" s="73" t="s">
        <v>6991</v>
      </c>
      <c r="AI1940" s="75">
        <f>22+30</f>
        <v>52</v>
      </c>
      <c r="AJ1940" s="75" t="s">
        <v>98</v>
      </c>
      <c r="AK1940" s="74">
        <v>74</v>
      </c>
      <c r="AL1940" s="75" t="s">
        <v>98</v>
      </c>
      <c r="AM1940" s="75" t="s">
        <v>292</v>
      </c>
      <c r="AN1940" s="72" t="s">
        <v>276</v>
      </c>
      <c r="AO1940" s="86">
        <f>AI1940*100/AK1940</f>
        <v>70.270270270270274</v>
      </c>
      <c r="AP1940" s="72" t="s">
        <v>276</v>
      </c>
      <c r="AQ1940" s="72" t="s">
        <v>276</v>
      </c>
      <c r="AR1940" s="72" t="s">
        <v>98</v>
      </c>
      <c r="AS1940" s="72" t="s">
        <v>98</v>
      </c>
      <c r="AT1940" s="72" t="s">
        <v>98</v>
      </c>
      <c r="AU1940" s="72" t="s">
        <v>98</v>
      </c>
      <c r="AV1940" s="72" t="s">
        <v>98</v>
      </c>
      <c r="AW1940" s="83" t="s">
        <v>276</v>
      </c>
      <c r="AX1940" s="83" t="s">
        <v>98</v>
      </c>
      <c r="AY1940" s="83" t="s">
        <v>98</v>
      </c>
      <c r="AZ1940" s="83" t="s">
        <v>98</v>
      </c>
      <c r="BA1940" s="83" t="s">
        <v>98</v>
      </c>
      <c r="BB1940" s="83" t="s">
        <v>98</v>
      </c>
      <c r="BC1940" s="73" t="s">
        <v>98</v>
      </c>
      <c r="BD1940" s="73" t="s">
        <v>98</v>
      </c>
      <c r="BE1940" s="73" t="s">
        <v>98</v>
      </c>
      <c r="BF1940" s="73" t="s">
        <v>1358</v>
      </c>
      <c r="BG1940" s="73" t="s">
        <v>6949</v>
      </c>
      <c r="BH1940" s="9" t="s">
        <v>100</v>
      </c>
      <c r="BI1940" s="9" t="s">
        <v>100</v>
      </c>
      <c r="BJ1940" s="78"/>
      <c r="BN1940" s="78"/>
      <c r="BO1940" s="78"/>
    </row>
    <row r="1941" spans="1:67" s="79" customFormat="1" ht="65" hidden="1" x14ac:dyDescent="0.35">
      <c r="A1941" s="72">
        <v>4053</v>
      </c>
      <c r="B1941" s="72" t="s">
        <v>6864</v>
      </c>
      <c r="C1941" s="73" t="s">
        <v>58</v>
      </c>
      <c r="D1941" s="73" t="s">
        <v>6992</v>
      </c>
      <c r="E1941" s="72" t="s">
        <v>35</v>
      </c>
      <c r="F1941" s="72" t="s">
        <v>97</v>
      </c>
      <c r="G1941" s="72" t="s">
        <v>225</v>
      </c>
      <c r="H1941" s="72" t="s">
        <v>225</v>
      </c>
      <c r="I1941" s="72" t="s">
        <v>113</v>
      </c>
      <c r="J1941" s="73" t="s">
        <v>98</v>
      </c>
      <c r="K1941" s="72" t="s">
        <v>98</v>
      </c>
      <c r="L1941" s="72" t="s">
        <v>98</v>
      </c>
      <c r="M1941" s="72" t="s">
        <v>98</v>
      </c>
      <c r="N1941" s="73" t="s">
        <v>6946</v>
      </c>
      <c r="O1941" s="73" t="s">
        <v>276</v>
      </c>
      <c r="P1941" s="73" t="s">
        <v>236</v>
      </c>
      <c r="Q1941" s="77" t="s">
        <v>276</v>
      </c>
      <c r="R1941" s="73" t="s">
        <v>276</v>
      </c>
      <c r="S1941" s="75" t="s">
        <v>6985</v>
      </c>
      <c r="T1941" s="73" t="s">
        <v>98</v>
      </c>
      <c r="U1941" s="89" t="s">
        <v>4284</v>
      </c>
      <c r="V1941" s="72" t="s">
        <v>15</v>
      </c>
      <c r="W1941" s="72" t="s">
        <v>6880</v>
      </c>
      <c r="X1941" s="73" t="s">
        <v>209</v>
      </c>
      <c r="Y1941" s="74" t="s">
        <v>98</v>
      </c>
      <c r="Z1941" s="75" t="s">
        <v>98</v>
      </c>
      <c r="AA1941" s="73" t="s">
        <v>276</v>
      </c>
      <c r="AB1941" s="73" t="s">
        <v>98</v>
      </c>
      <c r="AC1941" s="72" t="s">
        <v>276</v>
      </c>
      <c r="AD1941" s="73" t="s">
        <v>3843</v>
      </c>
      <c r="AE1941" s="72" t="s">
        <v>98</v>
      </c>
      <c r="AF1941" s="72" t="s">
        <v>98</v>
      </c>
      <c r="AG1941" s="73" t="s">
        <v>6993</v>
      </c>
      <c r="AH1941" s="73" t="s">
        <v>6994</v>
      </c>
      <c r="AI1941" s="75">
        <f>22+5+30+5</f>
        <v>62</v>
      </c>
      <c r="AJ1941" s="75" t="s">
        <v>98</v>
      </c>
      <c r="AK1941" s="74">
        <f>74+10</f>
        <v>84</v>
      </c>
      <c r="AL1941" s="75" t="s">
        <v>98</v>
      </c>
      <c r="AM1941" s="75" t="s">
        <v>292</v>
      </c>
      <c r="AN1941" s="72" t="s">
        <v>276</v>
      </c>
      <c r="AO1941" s="86">
        <f>AI1941*100/AK1941</f>
        <v>73.80952380952381</v>
      </c>
      <c r="AP1941" s="72" t="s">
        <v>276</v>
      </c>
      <c r="AQ1941" s="72" t="s">
        <v>276</v>
      </c>
      <c r="AR1941" s="72" t="s">
        <v>98</v>
      </c>
      <c r="AS1941" s="72" t="s">
        <v>98</v>
      </c>
      <c r="AT1941" s="72" t="s">
        <v>98</v>
      </c>
      <c r="AU1941" s="72" t="s">
        <v>98</v>
      </c>
      <c r="AV1941" s="72" t="s">
        <v>98</v>
      </c>
      <c r="AW1941" s="83" t="s">
        <v>276</v>
      </c>
      <c r="AX1941" s="83" t="s">
        <v>98</v>
      </c>
      <c r="AY1941" s="83" t="s">
        <v>98</v>
      </c>
      <c r="AZ1941" s="83" t="s">
        <v>98</v>
      </c>
      <c r="BA1941" s="83" t="s">
        <v>98</v>
      </c>
      <c r="BB1941" s="83" t="s">
        <v>98</v>
      </c>
      <c r="BC1941" s="73" t="s">
        <v>98</v>
      </c>
      <c r="BD1941" s="73" t="s">
        <v>98</v>
      </c>
      <c r="BE1941" s="73" t="s">
        <v>98</v>
      </c>
      <c r="BF1941" s="73" t="s">
        <v>1358</v>
      </c>
      <c r="BG1941" s="73" t="s">
        <v>6949</v>
      </c>
      <c r="BH1941" s="9" t="s">
        <v>100</v>
      </c>
      <c r="BI1941" s="9" t="s">
        <v>100</v>
      </c>
      <c r="BJ1941" s="78"/>
      <c r="BN1941" s="78"/>
      <c r="BO1941" s="78"/>
    </row>
    <row r="1942" spans="1:67" s="33" customFormat="1" ht="52" hidden="1" x14ac:dyDescent="0.35">
      <c r="A1942" s="8">
        <v>4053</v>
      </c>
      <c r="B1942" s="8" t="s">
        <v>6864</v>
      </c>
      <c r="C1942" s="9" t="s">
        <v>58</v>
      </c>
      <c r="D1942" s="9" t="s">
        <v>6995</v>
      </c>
      <c r="E1942" s="8" t="s">
        <v>35</v>
      </c>
      <c r="F1942" s="8" t="s">
        <v>97</v>
      </c>
      <c r="G1942" s="8" t="s">
        <v>225</v>
      </c>
      <c r="H1942" s="8" t="s">
        <v>225</v>
      </c>
      <c r="I1942" s="8" t="s">
        <v>113</v>
      </c>
      <c r="J1942" s="9" t="s">
        <v>98</v>
      </c>
      <c r="K1942" s="8" t="s">
        <v>98</v>
      </c>
      <c r="L1942" s="8" t="s">
        <v>98</v>
      </c>
      <c r="M1942" s="8" t="s">
        <v>98</v>
      </c>
      <c r="N1942" s="9" t="s">
        <v>6946</v>
      </c>
      <c r="O1942" s="9" t="s">
        <v>276</v>
      </c>
      <c r="P1942" s="9" t="s">
        <v>238</v>
      </c>
      <c r="Q1942" s="52" t="s">
        <v>276</v>
      </c>
      <c r="R1942" s="9" t="s">
        <v>276</v>
      </c>
      <c r="S1942" s="38" t="s">
        <v>6996</v>
      </c>
      <c r="T1942" s="9" t="s">
        <v>98</v>
      </c>
      <c r="U1942" s="51" t="s">
        <v>4284</v>
      </c>
      <c r="V1942" s="8" t="s">
        <v>15</v>
      </c>
      <c r="W1942" s="8" t="s">
        <v>3432</v>
      </c>
      <c r="X1942" s="9" t="s">
        <v>209</v>
      </c>
      <c r="Y1942" s="13">
        <v>5174</v>
      </c>
      <c r="Z1942" s="38" t="s">
        <v>98</v>
      </c>
      <c r="AA1942" s="9" t="s">
        <v>276</v>
      </c>
      <c r="AB1942" s="9" t="s">
        <v>98</v>
      </c>
      <c r="AC1942" s="8" t="s">
        <v>276</v>
      </c>
      <c r="AD1942" s="9" t="s">
        <v>3843</v>
      </c>
      <c r="AE1942" s="8" t="s">
        <v>98</v>
      </c>
      <c r="AF1942" s="8" t="s">
        <v>98</v>
      </c>
      <c r="AG1942" s="9" t="s">
        <v>6997</v>
      </c>
      <c r="AH1942" s="9" t="s">
        <v>6998</v>
      </c>
      <c r="AI1942" s="38">
        <f>23+27</f>
        <v>50</v>
      </c>
      <c r="AJ1942" s="38" t="s">
        <v>98</v>
      </c>
      <c r="AK1942" s="13">
        <v>5174</v>
      </c>
      <c r="AL1942" s="38" t="s">
        <v>98</v>
      </c>
      <c r="AM1942" s="38" t="s">
        <v>281</v>
      </c>
      <c r="AN1942" s="8" t="s">
        <v>276</v>
      </c>
      <c r="AO1942" s="31">
        <f t="shared" si="563"/>
        <v>9.6637031310398136</v>
      </c>
      <c r="AP1942" s="8" t="s">
        <v>276</v>
      </c>
      <c r="AQ1942" s="8" t="s">
        <v>276</v>
      </c>
      <c r="AR1942" s="40" t="s">
        <v>98</v>
      </c>
      <c r="AS1942" s="40" t="s">
        <v>98</v>
      </c>
      <c r="AT1942" s="40" t="s">
        <v>98</v>
      </c>
      <c r="AU1942" s="40" t="s">
        <v>98</v>
      </c>
      <c r="AV1942" s="8" t="s">
        <v>98</v>
      </c>
      <c r="AW1942" s="40" t="s">
        <v>98</v>
      </c>
      <c r="AX1942" s="40" t="s">
        <v>98</v>
      </c>
      <c r="AY1942" s="40" t="s">
        <v>98</v>
      </c>
      <c r="AZ1942" s="40" t="s">
        <v>98</v>
      </c>
      <c r="BA1942" s="40" t="s">
        <v>98</v>
      </c>
      <c r="BB1942" s="40" t="s">
        <v>98</v>
      </c>
      <c r="BC1942" s="9" t="s">
        <v>98</v>
      </c>
      <c r="BD1942" s="9" t="s">
        <v>98</v>
      </c>
      <c r="BE1942" s="9" t="s">
        <v>98</v>
      </c>
      <c r="BF1942" s="9" t="s">
        <v>1358</v>
      </c>
      <c r="BG1942" s="9" t="s">
        <v>6949</v>
      </c>
      <c r="BH1942" s="9" t="s">
        <v>100</v>
      </c>
      <c r="BI1942" s="9" t="s">
        <v>100</v>
      </c>
      <c r="BJ1942" s="32"/>
      <c r="BN1942" s="32"/>
      <c r="BO1942" s="32"/>
    </row>
    <row r="1943" spans="1:67" s="33" customFormat="1" ht="65" hidden="1" x14ac:dyDescent="0.35">
      <c r="A1943" s="8">
        <v>4053</v>
      </c>
      <c r="B1943" s="8" t="s">
        <v>6864</v>
      </c>
      <c r="C1943" s="9" t="s">
        <v>58</v>
      </c>
      <c r="D1943" s="9" t="s">
        <v>6999</v>
      </c>
      <c r="E1943" s="8" t="s">
        <v>35</v>
      </c>
      <c r="F1943" s="8" t="s">
        <v>97</v>
      </c>
      <c r="G1943" s="8" t="s">
        <v>225</v>
      </c>
      <c r="H1943" s="8" t="s">
        <v>125</v>
      </c>
      <c r="I1943" s="8" t="s">
        <v>113</v>
      </c>
      <c r="J1943" s="9" t="s">
        <v>98</v>
      </c>
      <c r="K1943" s="8" t="s">
        <v>98</v>
      </c>
      <c r="L1943" s="8" t="s">
        <v>98</v>
      </c>
      <c r="M1943" s="8" t="s">
        <v>98</v>
      </c>
      <c r="N1943" s="9" t="s">
        <v>6946</v>
      </c>
      <c r="O1943" s="9" t="s">
        <v>276</v>
      </c>
      <c r="P1943" s="9" t="s">
        <v>238</v>
      </c>
      <c r="Q1943" s="52" t="s">
        <v>276</v>
      </c>
      <c r="R1943" s="9" t="s">
        <v>276</v>
      </c>
      <c r="S1943" s="38" t="s">
        <v>6996</v>
      </c>
      <c r="T1943" s="9" t="s">
        <v>98</v>
      </c>
      <c r="U1943" s="51" t="s">
        <v>6859</v>
      </c>
      <c r="V1943" s="8" t="s">
        <v>15</v>
      </c>
      <c r="W1943" s="8" t="s">
        <v>3432</v>
      </c>
      <c r="X1943" s="9" t="s">
        <v>207</v>
      </c>
      <c r="Y1943" s="13">
        <v>5174</v>
      </c>
      <c r="Z1943" s="38">
        <v>8137</v>
      </c>
      <c r="AA1943" s="9" t="s">
        <v>276</v>
      </c>
      <c r="AB1943" s="9" t="s">
        <v>276</v>
      </c>
      <c r="AC1943" s="8" t="s">
        <v>276</v>
      </c>
      <c r="AD1943" s="9" t="s">
        <v>3843</v>
      </c>
      <c r="AE1943" s="8" t="s">
        <v>276</v>
      </c>
      <c r="AF1943" s="9" t="s">
        <v>3843</v>
      </c>
      <c r="AG1943" s="9" t="s">
        <v>7000</v>
      </c>
      <c r="AH1943" s="9" t="s">
        <v>6998</v>
      </c>
      <c r="AI1943" s="38">
        <f>23+3+27+4</f>
        <v>57</v>
      </c>
      <c r="AJ1943" s="38" t="s">
        <v>276</v>
      </c>
      <c r="AK1943" s="13">
        <v>5174</v>
      </c>
      <c r="AL1943" s="38">
        <v>8137</v>
      </c>
      <c r="AM1943" s="38" t="s">
        <v>281</v>
      </c>
      <c r="AN1943" s="8" t="s">
        <v>276</v>
      </c>
      <c r="AO1943" s="31">
        <f t="shared" si="563"/>
        <v>11.016621569385389</v>
      </c>
      <c r="AP1943" s="8" t="s">
        <v>276</v>
      </c>
      <c r="AQ1943" s="8" t="s">
        <v>276</v>
      </c>
      <c r="AR1943" s="426">
        <f>0.78*10</f>
        <v>7.8000000000000007</v>
      </c>
      <c r="AS1943" s="40" t="s">
        <v>276</v>
      </c>
      <c r="AT1943" s="40" t="s">
        <v>276</v>
      </c>
      <c r="AU1943" s="40" t="s">
        <v>276</v>
      </c>
      <c r="AV1943" s="8" t="s">
        <v>268</v>
      </c>
      <c r="AW1943" s="40" t="s">
        <v>276</v>
      </c>
      <c r="AX1943" s="40">
        <f>AO1943/AR1943</f>
        <v>1.4123873806904343</v>
      </c>
      <c r="AY1943" s="40" t="s">
        <v>276</v>
      </c>
      <c r="AZ1943" s="40" t="s">
        <v>276</v>
      </c>
      <c r="BA1943" s="40" t="s">
        <v>276</v>
      </c>
      <c r="BB1943" s="40" t="s">
        <v>282</v>
      </c>
      <c r="BC1943" s="9" t="s">
        <v>98</v>
      </c>
      <c r="BD1943" s="9" t="s">
        <v>98</v>
      </c>
      <c r="BE1943" s="9" t="s">
        <v>98</v>
      </c>
      <c r="BF1943" s="9" t="s">
        <v>2473</v>
      </c>
      <c r="BG1943" s="9" t="s">
        <v>6949</v>
      </c>
      <c r="BH1943" s="9" t="s">
        <v>100</v>
      </c>
      <c r="BI1943" s="9" t="s">
        <v>100</v>
      </c>
      <c r="BJ1943" s="32"/>
      <c r="BN1943" s="32"/>
      <c r="BO1943" s="32"/>
    </row>
    <row r="1944" spans="1:67" s="33" customFormat="1" ht="65" hidden="1" x14ac:dyDescent="0.35">
      <c r="A1944" s="8">
        <v>4053</v>
      </c>
      <c r="B1944" s="8" t="s">
        <v>6864</v>
      </c>
      <c r="C1944" s="9" t="s">
        <v>58</v>
      </c>
      <c r="D1944" s="9" t="s">
        <v>7001</v>
      </c>
      <c r="E1944" s="8" t="s">
        <v>35</v>
      </c>
      <c r="F1944" s="8" t="s">
        <v>97</v>
      </c>
      <c r="G1944" s="8" t="s">
        <v>225</v>
      </c>
      <c r="H1944" s="8" t="s">
        <v>225</v>
      </c>
      <c r="I1944" s="8" t="s">
        <v>113</v>
      </c>
      <c r="J1944" s="9" t="s">
        <v>98</v>
      </c>
      <c r="K1944" s="8" t="s">
        <v>98</v>
      </c>
      <c r="L1944" s="8" t="s">
        <v>98</v>
      </c>
      <c r="M1944" s="8" t="s">
        <v>98</v>
      </c>
      <c r="N1944" s="9" t="s">
        <v>6946</v>
      </c>
      <c r="O1944" s="9" t="s">
        <v>276</v>
      </c>
      <c r="P1944" s="9" t="s">
        <v>236</v>
      </c>
      <c r="Q1944" s="52" t="s">
        <v>276</v>
      </c>
      <c r="R1944" s="9" t="s">
        <v>276</v>
      </c>
      <c r="S1944" s="38" t="s">
        <v>6996</v>
      </c>
      <c r="T1944" s="9" t="s">
        <v>98</v>
      </c>
      <c r="U1944" s="51" t="s">
        <v>4284</v>
      </c>
      <c r="V1944" s="8" t="s">
        <v>15</v>
      </c>
      <c r="W1944" s="8" t="s">
        <v>3432</v>
      </c>
      <c r="X1944" s="9" t="s">
        <v>209</v>
      </c>
      <c r="Y1944" s="13" t="s">
        <v>98</v>
      </c>
      <c r="Z1944" s="38" t="s">
        <v>98</v>
      </c>
      <c r="AA1944" s="9" t="s">
        <v>276</v>
      </c>
      <c r="AB1944" s="9" t="s">
        <v>98</v>
      </c>
      <c r="AC1944" s="8" t="s">
        <v>276</v>
      </c>
      <c r="AD1944" s="9" t="s">
        <v>3843</v>
      </c>
      <c r="AE1944" s="8" t="s">
        <v>98</v>
      </c>
      <c r="AF1944" s="8" t="s">
        <v>98</v>
      </c>
      <c r="AG1944" s="9" t="s">
        <v>6997</v>
      </c>
      <c r="AH1944" s="9" t="s">
        <v>7002</v>
      </c>
      <c r="AI1944" s="38">
        <f>23+27</f>
        <v>50</v>
      </c>
      <c r="AJ1944" s="38" t="s">
        <v>98</v>
      </c>
      <c r="AK1944" s="13">
        <v>73</v>
      </c>
      <c r="AL1944" s="38" t="s">
        <v>98</v>
      </c>
      <c r="AM1944" s="38" t="s">
        <v>292</v>
      </c>
      <c r="AN1944" s="8" t="s">
        <v>276</v>
      </c>
      <c r="AO1944" s="31">
        <f>AI1944*100/AK1944</f>
        <v>68.493150684931507</v>
      </c>
      <c r="AP1944" s="8" t="s">
        <v>276</v>
      </c>
      <c r="AQ1944" s="8" t="s">
        <v>276</v>
      </c>
      <c r="AR1944" s="8" t="s">
        <v>98</v>
      </c>
      <c r="AS1944" s="8" t="s">
        <v>98</v>
      </c>
      <c r="AT1944" s="8" t="s">
        <v>98</v>
      </c>
      <c r="AU1944" s="8" t="s">
        <v>98</v>
      </c>
      <c r="AV1944" s="8" t="s">
        <v>98</v>
      </c>
      <c r="AW1944" s="40" t="s">
        <v>276</v>
      </c>
      <c r="AX1944" s="40" t="s">
        <v>98</v>
      </c>
      <c r="AY1944" s="40" t="s">
        <v>98</v>
      </c>
      <c r="AZ1944" s="40" t="s">
        <v>98</v>
      </c>
      <c r="BA1944" s="40" t="s">
        <v>98</v>
      </c>
      <c r="BB1944" s="40" t="s">
        <v>98</v>
      </c>
      <c r="BC1944" s="9" t="s">
        <v>98</v>
      </c>
      <c r="BD1944" s="9" t="s">
        <v>98</v>
      </c>
      <c r="BE1944" s="9" t="s">
        <v>98</v>
      </c>
      <c r="BF1944" s="9" t="s">
        <v>1358</v>
      </c>
      <c r="BG1944" s="9" t="s">
        <v>6949</v>
      </c>
      <c r="BH1944" s="9" t="s">
        <v>100</v>
      </c>
      <c r="BI1944" s="9" t="s">
        <v>100</v>
      </c>
      <c r="BJ1944" s="32"/>
      <c r="BN1944" s="32"/>
      <c r="BO1944" s="32"/>
    </row>
    <row r="1945" spans="1:67" s="33" customFormat="1" ht="65" hidden="1" x14ac:dyDescent="0.35">
      <c r="A1945" s="8">
        <v>4053</v>
      </c>
      <c r="B1945" s="8" t="s">
        <v>6864</v>
      </c>
      <c r="C1945" s="9" t="s">
        <v>58</v>
      </c>
      <c r="D1945" s="9" t="s">
        <v>7003</v>
      </c>
      <c r="E1945" s="8" t="s">
        <v>35</v>
      </c>
      <c r="F1945" s="8" t="s">
        <v>97</v>
      </c>
      <c r="G1945" s="8" t="s">
        <v>225</v>
      </c>
      <c r="H1945" s="8" t="s">
        <v>225</v>
      </c>
      <c r="I1945" s="8" t="s">
        <v>113</v>
      </c>
      <c r="J1945" s="9" t="s">
        <v>98</v>
      </c>
      <c r="K1945" s="8" t="s">
        <v>98</v>
      </c>
      <c r="L1945" s="8" t="s">
        <v>98</v>
      </c>
      <c r="M1945" s="8" t="s">
        <v>98</v>
      </c>
      <c r="N1945" s="9" t="s">
        <v>6946</v>
      </c>
      <c r="O1945" s="9" t="s">
        <v>276</v>
      </c>
      <c r="P1945" s="9" t="s">
        <v>236</v>
      </c>
      <c r="Q1945" s="52" t="s">
        <v>276</v>
      </c>
      <c r="R1945" s="9" t="s">
        <v>276</v>
      </c>
      <c r="S1945" s="38" t="s">
        <v>6996</v>
      </c>
      <c r="T1945" s="9" t="s">
        <v>98</v>
      </c>
      <c r="U1945" s="51" t="s">
        <v>4284</v>
      </c>
      <c r="V1945" s="8" t="s">
        <v>15</v>
      </c>
      <c r="W1945" s="8" t="s">
        <v>3432</v>
      </c>
      <c r="X1945" s="9" t="s">
        <v>209</v>
      </c>
      <c r="Y1945" s="13" t="s">
        <v>98</v>
      </c>
      <c r="Z1945" s="38" t="s">
        <v>98</v>
      </c>
      <c r="AA1945" s="9" t="s">
        <v>276</v>
      </c>
      <c r="AB1945" s="9" t="s">
        <v>98</v>
      </c>
      <c r="AC1945" s="8" t="s">
        <v>276</v>
      </c>
      <c r="AD1945" s="9" t="s">
        <v>3843</v>
      </c>
      <c r="AE1945" s="8" t="s">
        <v>98</v>
      </c>
      <c r="AF1945" s="8" t="s">
        <v>98</v>
      </c>
      <c r="AG1945" s="9" t="s">
        <v>7004</v>
      </c>
      <c r="AH1945" s="9" t="s">
        <v>7005</v>
      </c>
      <c r="AI1945" s="38">
        <f>23+3+27+4</f>
        <v>57</v>
      </c>
      <c r="AJ1945" s="38" t="s">
        <v>98</v>
      </c>
      <c r="AK1945" s="13">
        <f>73+8</f>
        <v>81</v>
      </c>
      <c r="AL1945" s="38" t="s">
        <v>98</v>
      </c>
      <c r="AM1945" s="38" t="s">
        <v>292</v>
      </c>
      <c r="AN1945" s="8" t="s">
        <v>276</v>
      </c>
      <c r="AO1945" s="31">
        <f>AI1945*100/AK1945</f>
        <v>70.370370370370367</v>
      </c>
      <c r="AP1945" s="8" t="s">
        <v>276</v>
      </c>
      <c r="AQ1945" s="8" t="s">
        <v>276</v>
      </c>
      <c r="AR1945" s="8" t="s">
        <v>98</v>
      </c>
      <c r="AS1945" s="8" t="s">
        <v>98</v>
      </c>
      <c r="AT1945" s="8" t="s">
        <v>98</v>
      </c>
      <c r="AU1945" s="8" t="s">
        <v>98</v>
      </c>
      <c r="AV1945" s="8" t="s">
        <v>98</v>
      </c>
      <c r="AW1945" s="40" t="s">
        <v>276</v>
      </c>
      <c r="AX1945" s="40" t="s">
        <v>98</v>
      </c>
      <c r="AY1945" s="40" t="s">
        <v>98</v>
      </c>
      <c r="AZ1945" s="40" t="s">
        <v>98</v>
      </c>
      <c r="BA1945" s="40" t="s">
        <v>98</v>
      </c>
      <c r="BB1945" s="40" t="s">
        <v>98</v>
      </c>
      <c r="BC1945" s="9" t="s">
        <v>98</v>
      </c>
      <c r="BD1945" s="9" t="s">
        <v>98</v>
      </c>
      <c r="BE1945" s="9" t="s">
        <v>98</v>
      </c>
      <c r="BF1945" s="9" t="s">
        <v>1358</v>
      </c>
      <c r="BG1945" s="9" t="s">
        <v>6949</v>
      </c>
      <c r="BH1945" s="9" t="s">
        <v>100</v>
      </c>
      <c r="BI1945" s="9" t="s">
        <v>100</v>
      </c>
      <c r="BJ1945" s="32"/>
      <c r="BN1945" s="32"/>
      <c r="BO1945" s="32"/>
    </row>
    <row r="1946" spans="1:67" s="79" customFormat="1" ht="52" hidden="1" x14ac:dyDescent="0.35">
      <c r="A1946" s="72">
        <v>4053</v>
      </c>
      <c r="B1946" s="72" t="s">
        <v>6864</v>
      </c>
      <c r="C1946" s="73" t="s">
        <v>58</v>
      </c>
      <c r="D1946" s="73" t="s">
        <v>7006</v>
      </c>
      <c r="E1946" s="72" t="s">
        <v>35</v>
      </c>
      <c r="F1946" s="72" t="s">
        <v>97</v>
      </c>
      <c r="G1946" s="72" t="s">
        <v>225</v>
      </c>
      <c r="H1946" s="72" t="s">
        <v>125</v>
      </c>
      <c r="I1946" s="72" t="s">
        <v>113</v>
      </c>
      <c r="J1946" s="73" t="s">
        <v>117</v>
      </c>
      <c r="K1946" s="72" t="s">
        <v>4825</v>
      </c>
      <c r="L1946" s="72" t="s">
        <v>6939</v>
      </c>
      <c r="M1946" s="72" t="s">
        <v>276</v>
      </c>
      <c r="N1946" s="73" t="s">
        <v>6946</v>
      </c>
      <c r="O1946" s="73" t="s">
        <v>276</v>
      </c>
      <c r="P1946" s="73" t="s">
        <v>239</v>
      </c>
      <c r="Q1946" s="77" t="s">
        <v>276</v>
      </c>
      <c r="R1946" s="73" t="s">
        <v>276</v>
      </c>
      <c r="S1946" s="73" t="s">
        <v>6947</v>
      </c>
      <c r="T1946" s="73" t="s">
        <v>6951</v>
      </c>
      <c r="U1946" s="73" t="s">
        <v>6825</v>
      </c>
      <c r="V1946" s="72" t="s">
        <v>14</v>
      </c>
      <c r="W1946" s="72" t="s">
        <v>98</v>
      </c>
      <c r="X1946" s="73" t="s">
        <v>207</v>
      </c>
      <c r="Y1946" s="74">
        <v>21650</v>
      </c>
      <c r="Z1946" s="75">
        <v>29961</v>
      </c>
      <c r="AA1946" s="73" t="s">
        <v>276</v>
      </c>
      <c r="AB1946" s="73" t="s">
        <v>276</v>
      </c>
      <c r="AC1946" s="72" t="s">
        <v>276</v>
      </c>
      <c r="AD1946" s="73" t="s">
        <v>4906</v>
      </c>
      <c r="AE1946" s="72" t="s">
        <v>276</v>
      </c>
      <c r="AF1946" s="73" t="s">
        <v>4906</v>
      </c>
      <c r="AG1946" s="73" t="s">
        <v>6942</v>
      </c>
      <c r="AH1946" s="73" t="s">
        <v>1674</v>
      </c>
      <c r="AI1946" s="75">
        <v>85</v>
      </c>
      <c r="AJ1946" s="75">
        <v>144</v>
      </c>
      <c r="AK1946" s="75">
        <v>131314</v>
      </c>
      <c r="AL1946" s="75">
        <v>177704</v>
      </c>
      <c r="AM1946" s="75" t="s">
        <v>425</v>
      </c>
      <c r="AN1946" s="72">
        <v>0.65</v>
      </c>
      <c r="AO1946" s="86">
        <f>AI1946*1000/AK1946</f>
        <v>0.64730341014667137</v>
      </c>
      <c r="AP1946" s="72" t="s">
        <v>276</v>
      </c>
      <c r="AQ1946" s="72" t="s">
        <v>276</v>
      </c>
      <c r="AR1946" s="72">
        <v>0.81</v>
      </c>
      <c r="AS1946" s="86">
        <f>AJ1946*1000/AL1946</f>
        <v>0.81033628956016746</v>
      </c>
      <c r="AT1946" s="72" t="s">
        <v>276</v>
      </c>
      <c r="AU1946" s="72" t="s">
        <v>276</v>
      </c>
      <c r="AV1946" s="72" t="s">
        <v>269</v>
      </c>
      <c r="AW1946" s="83">
        <v>0.8</v>
      </c>
      <c r="AX1946" s="231">
        <f t="shared" ref="AX1946:AX1964" si="564">AO1946/AS1946</f>
        <v>0.7988083694215562</v>
      </c>
      <c r="AY1946" s="73">
        <v>0.61</v>
      </c>
      <c r="AZ1946" s="73">
        <v>1.05</v>
      </c>
      <c r="BA1946" s="73" t="s">
        <v>276</v>
      </c>
      <c r="BB1946" s="73" t="s">
        <v>282</v>
      </c>
      <c r="BC1946" s="73" t="s">
        <v>98</v>
      </c>
      <c r="BD1946" s="73" t="s">
        <v>98</v>
      </c>
      <c r="BE1946" s="73" t="s">
        <v>98</v>
      </c>
      <c r="BF1946" s="73" t="s">
        <v>1029</v>
      </c>
      <c r="BG1946" s="73"/>
      <c r="BH1946" s="9" t="s">
        <v>100</v>
      </c>
      <c r="BI1946" s="9" t="s">
        <v>100</v>
      </c>
      <c r="BJ1946" s="78"/>
      <c r="BN1946" s="78"/>
      <c r="BO1946" s="78"/>
    </row>
    <row r="1947" spans="1:67" s="299" customFormat="1" ht="52" hidden="1" x14ac:dyDescent="0.35">
      <c r="A1947" s="291">
        <v>4053</v>
      </c>
      <c r="B1947" s="291" t="s">
        <v>6864</v>
      </c>
      <c r="C1947" s="292" t="s">
        <v>58</v>
      </c>
      <c r="D1947" s="292" t="s">
        <v>7041</v>
      </c>
      <c r="E1947" s="291" t="s">
        <v>35</v>
      </c>
      <c r="F1947" s="291" t="s">
        <v>97</v>
      </c>
      <c r="G1947" s="291" t="s">
        <v>225</v>
      </c>
      <c r="H1947" s="291" t="s">
        <v>125</v>
      </c>
      <c r="I1947" s="291" t="s">
        <v>113</v>
      </c>
      <c r="J1947" s="292" t="s">
        <v>117</v>
      </c>
      <c r="K1947" s="291" t="s">
        <v>4825</v>
      </c>
      <c r="L1947" s="291" t="s">
        <v>6939</v>
      </c>
      <c r="M1947" s="291" t="s">
        <v>276</v>
      </c>
      <c r="N1947" s="292" t="s">
        <v>6946</v>
      </c>
      <c r="O1947" s="292" t="s">
        <v>276</v>
      </c>
      <c r="P1947" s="292" t="s">
        <v>235</v>
      </c>
      <c r="Q1947" s="293" t="s">
        <v>276</v>
      </c>
      <c r="R1947" s="292" t="s">
        <v>276</v>
      </c>
      <c r="S1947" s="292" t="s">
        <v>6947</v>
      </c>
      <c r="T1947" s="292" t="s">
        <v>6951</v>
      </c>
      <c r="U1947" s="292" t="s">
        <v>6825</v>
      </c>
      <c r="V1947" s="291" t="s">
        <v>14</v>
      </c>
      <c r="W1947" s="291" t="s">
        <v>98</v>
      </c>
      <c r="X1947" s="292" t="s">
        <v>207</v>
      </c>
      <c r="Y1947" s="294" t="s">
        <v>98</v>
      </c>
      <c r="Z1947" s="295" t="s">
        <v>98</v>
      </c>
      <c r="AA1947" s="292" t="s">
        <v>276</v>
      </c>
      <c r="AB1947" s="292" t="s">
        <v>276</v>
      </c>
      <c r="AC1947" s="291" t="s">
        <v>276</v>
      </c>
      <c r="AD1947" s="292" t="s">
        <v>4906</v>
      </c>
      <c r="AE1947" s="291" t="s">
        <v>276</v>
      </c>
      <c r="AF1947" s="292" t="s">
        <v>4906</v>
      </c>
      <c r="AG1947" s="292" t="s">
        <v>6942</v>
      </c>
      <c r="AH1947" s="346" t="s">
        <v>11453</v>
      </c>
      <c r="AI1947" s="295">
        <v>85</v>
      </c>
      <c r="AJ1947" s="295">
        <v>144</v>
      </c>
      <c r="AK1947" s="295">
        <v>271</v>
      </c>
      <c r="AL1947" s="295">
        <v>415</v>
      </c>
      <c r="AM1947" s="295" t="s">
        <v>292</v>
      </c>
      <c r="AN1947" s="291" t="s">
        <v>276</v>
      </c>
      <c r="AO1947" s="422">
        <f>AI1947*100/AK1947</f>
        <v>31.365313653136532</v>
      </c>
      <c r="AP1947" s="291" t="s">
        <v>276</v>
      </c>
      <c r="AQ1947" s="291" t="s">
        <v>276</v>
      </c>
      <c r="AR1947" s="291" t="s">
        <v>276</v>
      </c>
      <c r="AS1947" s="422">
        <f>AJ1947*100/AL1947</f>
        <v>34.69879518072289</v>
      </c>
      <c r="AT1947" s="291" t="s">
        <v>276</v>
      </c>
      <c r="AU1947" s="291" t="s">
        <v>276</v>
      </c>
      <c r="AV1947" s="291" t="s">
        <v>268</v>
      </c>
      <c r="AW1947" s="297" t="s">
        <v>276</v>
      </c>
      <c r="AX1947" s="435">
        <f t="shared" si="564"/>
        <v>0.90393091430914319</v>
      </c>
      <c r="AY1947" s="292" t="s">
        <v>276</v>
      </c>
      <c r="AZ1947" s="292" t="s">
        <v>276</v>
      </c>
      <c r="BA1947" s="292" t="s">
        <v>276</v>
      </c>
      <c r="BB1947" s="292" t="s">
        <v>282</v>
      </c>
      <c r="BC1947" s="292" t="s">
        <v>98</v>
      </c>
      <c r="BD1947" s="292" t="s">
        <v>98</v>
      </c>
      <c r="BE1947" s="292" t="s">
        <v>98</v>
      </c>
      <c r="BF1947" s="292" t="s">
        <v>7007</v>
      </c>
      <c r="BG1947" s="292"/>
      <c r="BH1947" s="9" t="s">
        <v>100</v>
      </c>
      <c r="BI1947" s="9" t="s">
        <v>100</v>
      </c>
      <c r="BJ1947" s="298"/>
      <c r="BN1947" s="298"/>
      <c r="BO1947" s="298"/>
    </row>
    <row r="1948" spans="1:67" s="299" customFormat="1" ht="65" hidden="1" x14ac:dyDescent="0.35">
      <c r="A1948" s="291">
        <v>4053</v>
      </c>
      <c r="B1948" s="291" t="s">
        <v>6864</v>
      </c>
      <c r="C1948" s="292" t="s">
        <v>58</v>
      </c>
      <c r="D1948" s="292" t="s">
        <v>11151</v>
      </c>
      <c r="E1948" s="291" t="s">
        <v>35</v>
      </c>
      <c r="F1948" s="291" t="s">
        <v>97</v>
      </c>
      <c r="G1948" s="291" t="s">
        <v>225</v>
      </c>
      <c r="H1948" s="291" t="s">
        <v>125</v>
      </c>
      <c r="I1948" s="291" t="s">
        <v>113</v>
      </c>
      <c r="J1948" s="292" t="s">
        <v>117</v>
      </c>
      <c r="K1948" s="291" t="s">
        <v>4825</v>
      </c>
      <c r="L1948" s="291" t="s">
        <v>6939</v>
      </c>
      <c r="M1948" s="291" t="s">
        <v>276</v>
      </c>
      <c r="N1948" s="292" t="s">
        <v>6946</v>
      </c>
      <c r="O1948" s="292" t="s">
        <v>276</v>
      </c>
      <c r="P1948" s="292" t="s">
        <v>235</v>
      </c>
      <c r="Q1948" s="293" t="s">
        <v>276</v>
      </c>
      <c r="R1948" s="292" t="s">
        <v>276</v>
      </c>
      <c r="S1948" s="292" t="s">
        <v>6947</v>
      </c>
      <c r="T1948" s="292" t="s">
        <v>6951</v>
      </c>
      <c r="U1948" s="292" t="s">
        <v>6825</v>
      </c>
      <c r="V1948" s="291" t="s">
        <v>14</v>
      </c>
      <c r="W1948" s="291" t="s">
        <v>98</v>
      </c>
      <c r="X1948" s="292" t="s">
        <v>207</v>
      </c>
      <c r="Y1948" s="294" t="s">
        <v>98</v>
      </c>
      <c r="Z1948" s="295" t="s">
        <v>98</v>
      </c>
      <c r="AA1948" s="292" t="s">
        <v>276</v>
      </c>
      <c r="AB1948" s="292" t="s">
        <v>276</v>
      </c>
      <c r="AC1948" s="291" t="s">
        <v>276</v>
      </c>
      <c r="AD1948" s="292" t="s">
        <v>4906</v>
      </c>
      <c r="AE1948" s="291" t="s">
        <v>276</v>
      </c>
      <c r="AF1948" s="292" t="s">
        <v>4906</v>
      </c>
      <c r="AG1948" s="292" t="s">
        <v>6942</v>
      </c>
      <c r="AH1948" s="292" t="s">
        <v>11454</v>
      </c>
      <c r="AI1948" s="295">
        <v>85</v>
      </c>
      <c r="AJ1948" s="295">
        <v>144</v>
      </c>
      <c r="AK1948" s="525">
        <f>271+38</f>
        <v>309</v>
      </c>
      <c r="AL1948" s="525">
        <f>415+40</f>
        <v>455</v>
      </c>
      <c r="AM1948" s="295" t="s">
        <v>292</v>
      </c>
      <c r="AN1948" s="291" t="s">
        <v>276</v>
      </c>
      <c r="AO1948" s="422">
        <f>AI1948*100/AK1948</f>
        <v>27.508090614886733</v>
      </c>
      <c r="AP1948" s="291" t="s">
        <v>276</v>
      </c>
      <c r="AQ1948" s="291" t="s">
        <v>276</v>
      </c>
      <c r="AR1948" s="291" t="s">
        <v>276</v>
      </c>
      <c r="AS1948" s="422">
        <f>AJ1948*100/AL1948</f>
        <v>31.64835164835165</v>
      </c>
      <c r="AT1948" s="291" t="s">
        <v>276</v>
      </c>
      <c r="AU1948" s="291" t="s">
        <v>276</v>
      </c>
      <c r="AV1948" s="291" t="s">
        <v>268</v>
      </c>
      <c r="AW1948" s="297" t="s">
        <v>276</v>
      </c>
      <c r="AX1948" s="435">
        <f t="shared" si="564"/>
        <v>0.8691792520676016</v>
      </c>
      <c r="AY1948" s="292" t="s">
        <v>276</v>
      </c>
      <c r="AZ1948" s="292" t="s">
        <v>276</v>
      </c>
      <c r="BA1948" s="292" t="s">
        <v>276</v>
      </c>
      <c r="BB1948" s="292" t="s">
        <v>282</v>
      </c>
      <c r="BC1948" s="292" t="s">
        <v>98</v>
      </c>
      <c r="BD1948" s="292" t="s">
        <v>98</v>
      </c>
      <c r="BE1948" s="292" t="s">
        <v>98</v>
      </c>
      <c r="BF1948" s="292" t="s">
        <v>7007</v>
      </c>
      <c r="BG1948" s="292"/>
      <c r="BH1948" s="9" t="s">
        <v>100</v>
      </c>
      <c r="BI1948" s="9" t="s">
        <v>100</v>
      </c>
      <c r="BJ1948" s="298"/>
      <c r="BN1948" s="298"/>
      <c r="BO1948" s="298"/>
    </row>
    <row r="1949" spans="1:67" s="79" customFormat="1" ht="65" hidden="1" x14ac:dyDescent="0.35">
      <c r="A1949" s="72">
        <v>4053</v>
      </c>
      <c r="B1949" s="72" t="s">
        <v>6864</v>
      </c>
      <c r="C1949" s="73" t="s">
        <v>58</v>
      </c>
      <c r="D1949" s="73" t="s">
        <v>7008</v>
      </c>
      <c r="E1949" s="72" t="s">
        <v>35</v>
      </c>
      <c r="F1949" s="72" t="s">
        <v>97</v>
      </c>
      <c r="G1949" s="72" t="s">
        <v>225</v>
      </c>
      <c r="H1949" s="72" t="s">
        <v>125</v>
      </c>
      <c r="I1949" s="72" t="s">
        <v>113</v>
      </c>
      <c r="J1949" s="73" t="s">
        <v>117</v>
      </c>
      <c r="K1949" s="72" t="s">
        <v>4825</v>
      </c>
      <c r="L1949" s="72" t="s">
        <v>6939</v>
      </c>
      <c r="M1949" s="72" t="s">
        <v>276</v>
      </c>
      <c r="N1949" s="73" t="s">
        <v>6946</v>
      </c>
      <c r="O1949" s="73" t="s">
        <v>276</v>
      </c>
      <c r="P1949" s="73" t="s">
        <v>239</v>
      </c>
      <c r="Q1949" s="77" t="s">
        <v>276</v>
      </c>
      <c r="R1949" s="73" t="s">
        <v>276</v>
      </c>
      <c r="S1949" s="75" t="s">
        <v>6963</v>
      </c>
      <c r="T1949" s="75" t="s">
        <v>7009</v>
      </c>
      <c r="U1949" s="73" t="s">
        <v>6825</v>
      </c>
      <c r="V1949" s="72" t="s">
        <v>15</v>
      </c>
      <c r="W1949" s="72" t="s">
        <v>6872</v>
      </c>
      <c r="X1949" s="73" t="s">
        <v>207</v>
      </c>
      <c r="Y1949" s="74">
        <v>6567</v>
      </c>
      <c r="Z1949" s="75">
        <v>8222</v>
      </c>
      <c r="AA1949" s="73" t="s">
        <v>276</v>
      </c>
      <c r="AB1949" s="73" t="s">
        <v>276</v>
      </c>
      <c r="AC1949" s="72" t="s">
        <v>276</v>
      </c>
      <c r="AD1949" s="73" t="s">
        <v>4906</v>
      </c>
      <c r="AE1949" s="72" t="s">
        <v>276</v>
      </c>
      <c r="AF1949" s="73" t="s">
        <v>4906</v>
      </c>
      <c r="AG1949" s="73" t="s">
        <v>7010</v>
      </c>
      <c r="AH1949" s="73" t="s">
        <v>7011</v>
      </c>
      <c r="AI1949" s="75">
        <v>24</v>
      </c>
      <c r="AJ1949" s="75">
        <v>41</v>
      </c>
      <c r="AK1949" s="75">
        <v>46661</v>
      </c>
      <c r="AL1949" s="75">
        <v>58587</v>
      </c>
      <c r="AM1949" s="75" t="s">
        <v>425</v>
      </c>
      <c r="AN1949" s="72">
        <v>0.53</v>
      </c>
      <c r="AO1949" s="86">
        <f>AI1949*1000/AK1949</f>
        <v>0.51434817084931739</v>
      </c>
      <c r="AP1949" s="72" t="s">
        <v>276</v>
      </c>
      <c r="AQ1949" s="72" t="s">
        <v>276</v>
      </c>
      <c r="AR1949" s="76">
        <v>0.7</v>
      </c>
      <c r="AS1949" s="86">
        <f>AJ1949*1000/AL1949</f>
        <v>0.69981395190059226</v>
      </c>
      <c r="AT1949" s="72" t="s">
        <v>276</v>
      </c>
      <c r="AU1949" s="72" t="s">
        <v>276</v>
      </c>
      <c r="AV1949" s="72" t="s">
        <v>269</v>
      </c>
      <c r="AW1949" s="83">
        <v>0.73</v>
      </c>
      <c r="AX1949" s="231">
        <f t="shared" si="564"/>
        <v>0.73497844598899897</v>
      </c>
      <c r="AY1949" s="73">
        <v>0.44</v>
      </c>
      <c r="AZ1949" s="73">
        <v>1.22</v>
      </c>
      <c r="BA1949" s="73" t="s">
        <v>276</v>
      </c>
      <c r="BB1949" s="73" t="s">
        <v>282</v>
      </c>
      <c r="BC1949" s="73" t="s">
        <v>98</v>
      </c>
      <c r="BD1949" s="73" t="s">
        <v>98</v>
      </c>
      <c r="BE1949" s="73" t="s">
        <v>98</v>
      </c>
      <c r="BF1949" s="73" t="s">
        <v>1029</v>
      </c>
      <c r="BG1949" s="73"/>
      <c r="BH1949" s="9" t="s">
        <v>100</v>
      </c>
      <c r="BI1949" s="9" t="s">
        <v>100</v>
      </c>
      <c r="BJ1949" s="78"/>
      <c r="BN1949" s="78"/>
      <c r="BO1949" s="78"/>
    </row>
    <row r="1950" spans="1:67" s="299" customFormat="1" ht="65" hidden="1" x14ac:dyDescent="0.35">
      <c r="A1950" s="291">
        <v>4053</v>
      </c>
      <c r="B1950" s="291" t="s">
        <v>6864</v>
      </c>
      <c r="C1950" s="292" t="s">
        <v>58</v>
      </c>
      <c r="D1950" s="292" t="s">
        <v>11130</v>
      </c>
      <c r="E1950" s="291" t="s">
        <v>35</v>
      </c>
      <c r="F1950" s="291" t="s">
        <v>97</v>
      </c>
      <c r="G1950" s="291" t="s">
        <v>225</v>
      </c>
      <c r="H1950" s="291" t="s">
        <v>125</v>
      </c>
      <c r="I1950" s="291" t="s">
        <v>113</v>
      </c>
      <c r="J1950" s="292" t="s">
        <v>117</v>
      </c>
      <c r="K1950" s="291" t="s">
        <v>4825</v>
      </c>
      <c r="L1950" s="291" t="s">
        <v>6939</v>
      </c>
      <c r="M1950" s="291" t="s">
        <v>276</v>
      </c>
      <c r="N1950" s="292" t="s">
        <v>6946</v>
      </c>
      <c r="O1950" s="292" t="s">
        <v>276</v>
      </c>
      <c r="P1950" s="292" t="s">
        <v>235</v>
      </c>
      <c r="Q1950" s="293" t="s">
        <v>276</v>
      </c>
      <c r="R1950" s="292" t="s">
        <v>276</v>
      </c>
      <c r="S1950" s="295" t="s">
        <v>6963</v>
      </c>
      <c r="T1950" s="295" t="s">
        <v>7009</v>
      </c>
      <c r="U1950" s="292" t="s">
        <v>6825</v>
      </c>
      <c r="V1950" s="291" t="s">
        <v>15</v>
      </c>
      <c r="W1950" s="291" t="s">
        <v>6872</v>
      </c>
      <c r="X1950" s="292" t="s">
        <v>207</v>
      </c>
      <c r="Y1950" s="294" t="s">
        <v>98</v>
      </c>
      <c r="Z1950" s="295" t="s">
        <v>98</v>
      </c>
      <c r="AA1950" s="292" t="s">
        <v>276</v>
      </c>
      <c r="AB1950" s="292" t="s">
        <v>276</v>
      </c>
      <c r="AC1950" s="291" t="s">
        <v>276</v>
      </c>
      <c r="AD1950" s="292" t="s">
        <v>4906</v>
      </c>
      <c r="AE1950" s="291" t="s">
        <v>276</v>
      </c>
      <c r="AF1950" s="292" t="s">
        <v>4906</v>
      </c>
      <c r="AG1950" s="292" t="s">
        <v>7010</v>
      </c>
      <c r="AH1950" s="346" t="s">
        <v>11455</v>
      </c>
      <c r="AI1950" s="295">
        <v>24</v>
      </c>
      <c r="AJ1950" s="295">
        <v>41</v>
      </c>
      <c r="AK1950" s="295">
        <v>67</v>
      </c>
      <c r="AL1950" s="295">
        <v>106</v>
      </c>
      <c r="AM1950" s="295" t="s">
        <v>292</v>
      </c>
      <c r="AN1950" s="291" t="s">
        <v>276</v>
      </c>
      <c r="AO1950" s="422">
        <f>AI1950*100/AK1950</f>
        <v>35.820895522388057</v>
      </c>
      <c r="AP1950" s="291" t="s">
        <v>276</v>
      </c>
      <c r="AQ1950" s="291" t="s">
        <v>276</v>
      </c>
      <c r="AR1950" s="296" t="s">
        <v>276</v>
      </c>
      <c r="AS1950" s="422">
        <f>AJ1950*100/AL1950</f>
        <v>38.679245283018865</v>
      </c>
      <c r="AT1950" s="291" t="s">
        <v>276</v>
      </c>
      <c r="AU1950" s="291" t="s">
        <v>276</v>
      </c>
      <c r="AV1950" s="291" t="s">
        <v>268</v>
      </c>
      <c r="AW1950" s="297" t="s">
        <v>276</v>
      </c>
      <c r="AX1950" s="435">
        <f t="shared" si="564"/>
        <v>0.92610120131052054</v>
      </c>
      <c r="AY1950" s="292" t="s">
        <v>276</v>
      </c>
      <c r="AZ1950" s="292" t="s">
        <v>276</v>
      </c>
      <c r="BA1950" s="292" t="s">
        <v>276</v>
      </c>
      <c r="BB1950" s="292" t="s">
        <v>282</v>
      </c>
      <c r="BC1950" s="292" t="s">
        <v>98</v>
      </c>
      <c r="BD1950" s="292" t="s">
        <v>98</v>
      </c>
      <c r="BE1950" s="292" t="s">
        <v>98</v>
      </c>
      <c r="BF1950" s="292" t="s">
        <v>7007</v>
      </c>
      <c r="BG1950" s="292"/>
      <c r="BH1950" s="9" t="s">
        <v>100</v>
      </c>
      <c r="BI1950" s="9" t="s">
        <v>100</v>
      </c>
      <c r="BJ1950" s="298"/>
      <c r="BN1950" s="298"/>
      <c r="BO1950" s="298"/>
    </row>
    <row r="1951" spans="1:67" s="299" customFormat="1" ht="65" hidden="1" x14ac:dyDescent="0.35">
      <c r="A1951" s="291">
        <v>4053</v>
      </c>
      <c r="B1951" s="291" t="s">
        <v>6864</v>
      </c>
      <c r="C1951" s="292" t="s">
        <v>58</v>
      </c>
      <c r="D1951" s="292" t="s">
        <v>11152</v>
      </c>
      <c r="E1951" s="291" t="s">
        <v>35</v>
      </c>
      <c r="F1951" s="291" t="s">
        <v>97</v>
      </c>
      <c r="G1951" s="291" t="s">
        <v>225</v>
      </c>
      <c r="H1951" s="291" t="s">
        <v>125</v>
      </c>
      <c r="I1951" s="291" t="s">
        <v>113</v>
      </c>
      <c r="J1951" s="292" t="s">
        <v>117</v>
      </c>
      <c r="K1951" s="291" t="s">
        <v>4825</v>
      </c>
      <c r="L1951" s="291" t="s">
        <v>6939</v>
      </c>
      <c r="M1951" s="291" t="s">
        <v>276</v>
      </c>
      <c r="N1951" s="292" t="s">
        <v>6946</v>
      </c>
      <c r="O1951" s="292" t="s">
        <v>276</v>
      </c>
      <c r="P1951" s="292" t="s">
        <v>235</v>
      </c>
      <c r="Q1951" s="293" t="s">
        <v>276</v>
      </c>
      <c r="R1951" s="292" t="s">
        <v>276</v>
      </c>
      <c r="S1951" s="295" t="s">
        <v>6963</v>
      </c>
      <c r="T1951" s="295" t="s">
        <v>7009</v>
      </c>
      <c r="U1951" s="292" t="s">
        <v>6825</v>
      </c>
      <c r="V1951" s="291" t="s">
        <v>15</v>
      </c>
      <c r="W1951" s="291" t="s">
        <v>6872</v>
      </c>
      <c r="X1951" s="292" t="s">
        <v>207</v>
      </c>
      <c r="Y1951" s="294" t="s">
        <v>98</v>
      </c>
      <c r="Z1951" s="295" t="s">
        <v>98</v>
      </c>
      <c r="AA1951" s="292" t="s">
        <v>276</v>
      </c>
      <c r="AB1951" s="292" t="s">
        <v>276</v>
      </c>
      <c r="AC1951" s="291" t="s">
        <v>276</v>
      </c>
      <c r="AD1951" s="292" t="s">
        <v>4906</v>
      </c>
      <c r="AE1951" s="291" t="s">
        <v>276</v>
      </c>
      <c r="AF1951" s="292" t="s">
        <v>4906</v>
      </c>
      <c r="AG1951" s="292" t="s">
        <v>7010</v>
      </c>
      <c r="AH1951" s="292" t="s">
        <v>11456</v>
      </c>
      <c r="AI1951" s="295">
        <v>24</v>
      </c>
      <c r="AJ1951" s="295">
        <v>41</v>
      </c>
      <c r="AK1951" s="525">
        <f>67+10</f>
        <v>77</v>
      </c>
      <c r="AL1951" s="525">
        <f>106+7</f>
        <v>113</v>
      </c>
      <c r="AM1951" s="295" t="s">
        <v>292</v>
      </c>
      <c r="AN1951" s="291" t="s">
        <v>276</v>
      </c>
      <c r="AO1951" s="422">
        <f>AI1951*100/AK1951</f>
        <v>31.168831168831169</v>
      </c>
      <c r="AP1951" s="291" t="s">
        <v>276</v>
      </c>
      <c r="AQ1951" s="291" t="s">
        <v>276</v>
      </c>
      <c r="AR1951" s="296" t="s">
        <v>276</v>
      </c>
      <c r="AS1951" s="422">
        <f>AJ1951*100/AL1951</f>
        <v>36.283185840707965</v>
      </c>
      <c r="AT1951" s="291" t="s">
        <v>276</v>
      </c>
      <c r="AU1951" s="291" t="s">
        <v>276</v>
      </c>
      <c r="AV1951" s="291" t="s">
        <v>268</v>
      </c>
      <c r="AW1951" s="297" t="s">
        <v>276</v>
      </c>
      <c r="AX1951" s="435">
        <f t="shared" si="564"/>
        <v>0.85904339562876142</v>
      </c>
      <c r="AY1951" s="292" t="s">
        <v>276</v>
      </c>
      <c r="AZ1951" s="292" t="s">
        <v>276</v>
      </c>
      <c r="BA1951" s="292" t="s">
        <v>276</v>
      </c>
      <c r="BB1951" s="292" t="s">
        <v>282</v>
      </c>
      <c r="BC1951" s="292" t="s">
        <v>98</v>
      </c>
      <c r="BD1951" s="292" t="s">
        <v>98</v>
      </c>
      <c r="BE1951" s="292" t="s">
        <v>98</v>
      </c>
      <c r="BF1951" s="292" t="s">
        <v>7007</v>
      </c>
      <c r="BG1951" s="292"/>
      <c r="BH1951" s="9" t="s">
        <v>100</v>
      </c>
      <c r="BI1951" s="9" t="s">
        <v>100</v>
      </c>
      <c r="BJ1951" s="298"/>
      <c r="BN1951" s="298"/>
      <c r="BO1951" s="298"/>
    </row>
    <row r="1952" spans="1:67" s="79" customFormat="1" ht="65" hidden="1" x14ac:dyDescent="0.35">
      <c r="A1952" s="72">
        <v>4053</v>
      </c>
      <c r="B1952" s="72" t="s">
        <v>6864</v>
      </c>
      <c r="C1952" s="73" t="s">
        <v>58</v>
      </c>
      <c r="D1952" s="73" t="s">
        <v>7012</v>
      </c>
      <c r="E1952" s="72" t="s">
        <v>35</v>
      </c>
      <c r="F1952" s="72" t="s">
        <v>97</v>
      </c>
      <c r="G1952" s="72" t="s">
        <v>225</v>
      </c>
      <c r="H1952" s="72" t="s">
        <v>125</v>
      </c>
      <c r="I1952" s="72" t="s">
        <v>113</v>
      </c>
      <c r="J1952" s="73" t="s">
        <v>117</v>
      </c>
      <c r="K1952" s="72" t="s">
        <v>4825</v>
      </c>
      <c r="L1952" s="72" t="s">
        <v>6939</v>
      </c>
      <c r="M1952" s="72" t="s">
        <v>276</v>
      </c>
      <c r="N1952" s="73" t="s">
        <v>6946</v>
      </c>
      <c r="O1952" s="73" t="s">
        <v>276</v>
      </c>
      <c r="P1952" s="73" t="s">
        <v>239</v>
      </c>
      <c r="Q1952" s="77" t="s">
        <v>276</v>
      </c>
      <c r="R1952" s="73" t="s">
        <v>276</v>
      </c>
      <c r="S1952" s="75" t="s">
        <v>6974</v>
      </c>
      <c r="T1952" s="75" t="s">
        <v>7013</v>
      </c>
      <c r="U1952" s="73" t="s">
        <v>6825</v>
      </c>
      <c r="V1952" s="72" t="s">
        <v>15</v>
      </c>
      <c r="W1952" s="72" t="s">
        <v>6876</v>
      </c>
      <c r="X1952" s="73" t="s">
        <v>207</v>
      </c>
      <c r="Y1952" s="74">
        <v>5157</v>
      </c>
      <c r="Z1952" s="75">
        <v>5995</v>
      </c>
      <c r="AA1952" s="73" t="s">
        <v>276</v>
      </c>
      <c r="AB1952" s="73" t="s">
        <v>276</v>
      </c>
      <c r="AC1952" s="72" t="s">
        <v>276</v>
      </c>
      <c r="AD1952" s="73" t="s">
        <v>4906</v>
      </c>
      <c r="AE1952" s="72" t="s">
        <v>276</v>
      </c>
      <c r="AF1952" s="73" t="s">
        <v>4906</v>
      </c>
      <c r="AG1952" s="73" t="s">
        <v>7014</v>
      </c>
      <c r="AH1952" s="73" t="s">
        <v>7015</v>
      </c>
      <c r="AI1952" s="75">
        <v>15</v>
      </c>
      <c r="AJ1952" s="75">
        <v>32</v>
      </c>
      <c r="AK1952" s="75">
        <v>35089</v>
      </c>
      <c r="AL1952" s="75">
        <v>40748</v>
      </c>
      <c r="AM1952" s="75" t="s">
        <v>425</v>
      </c>
      <c r="AN1952" s="72">
        <v>0.43</v>
      </c>
      <c r="AO1952" s="86">
        <f>AI1952*1000/AK1952</f>
        <v>0.42748439681951611</v>
      </c>
      <c r="AP1952" s="72" t="s">
        <v>276</v>
      </c>
      <c r="AQ1952" s="72" t="s">
        <v>276</v>
      </c>
      <c r="AR1952" s="76">
        <v>0.79</v>
      </c>
      <c r="AS1952" s="86">
        <f>AJ1952*1000/AL1952</f>
        <v>0.78531461666830271</v>
      </c>
      <c r="AT1952" s="72" t="s">
        <v>276</v>
      </c>
      <c r="AU1952" s="72" t="s">
        <v>276</v>
      </c>
      <c r="AV1952" s="72" t="s">
        <v>269</v>
      </c>
      <c r="AW1952" s="83">
        <v>0.54</v>
      </c>
      <c r="AX1952" s="231">
        <f t="shared" si="564"/>
        <v>0.54434794380005136</v>
      </c>
      <c r="AY1952" s="73">
        <v>0.28999999999999998</v>
      </c>
      <c r="AZ1952" s="73">
        <v>1.02</v>
      </c>
      <c r="BA1952" s="73" t="s">
        <v>276</v>
      </c>
      <c r="BB1952" s="73" t="s">
        <v>282</v>
      </c>
      <c r="BC1952" s="73" t="s">
        <v>98</v>
      </c>
      <c r="BD1952" s="73" t="s">
        <v>98</v>
      </c>
      <c r="BE1952" s="73" t="s">
        <v>98</v>
      </c>
      <c r="BF1952" s="73" t="s">
        <v>1029</v>
      </c>
      <c r="BG1952" s="73"/>
      <c r="BH1952" s="9" t="s">
        <v>100</v>
      </c>
      <c r="BI1952" s="9" t="s">
        <v>100</v>
      </c>
      <c r="BJ1952" s="78"/>
      <c r="BN1952" s="78"/>
      <c r="BO1952" s="78"/>
    </row>
    <row r="1953" spans="1:67" s="299" customFormat="1" ht="65" hidden="1" x14ac:dyDescent="0.35">
      <c r="A1953" s="291">
        <v>4053</v>
      </c>
      <c r="B1953" s="291" t="s">
        <v>6864</v>
      </c>
      <c r="C1953" s="292" t="s">
        <v>58</v>
      </c>
      <c r="D1953" s="292" t="s">
        <v>11131</v>
      </c>
      <c r="E1953" s="291" t="s">
        <v>35</v>
      </c>
      <c r="F1953" s="291" t="s">
        <v>97</v>
      </c>
      <c r="G1953" s="291" t="s">
        <v>225</v>
      </c>
      <c r="H1953" s="291" t="s">
        <v>125</v>
      </c>
      <c r="I1953" s="291" t="s">
        <v>113</v>
      </c>
      <c r="J1953" s="292" t="s">
        <v>117</v>
      </c>
      <c r="K1953" s="291" t="s">
        <v>4825</v>
      </c>
      <c r="L1953" s="291" t="s">
        <v>6939</v>
      </c>
      <c r="M1953" s="291" t="s">
        <v>276</v>
      </c>
      <c r="N1953" s="292" t="s">
        <v>6946</v>
      </c>
      <c r="O1953" s="292" t="s">
        <v>276</v>
      </c>
      <c r="P1953" s="292" t="s">
        <v>235</v>
      </c>
      <c r="Q1953" s="293" t="s">
        <v>276</v>
      </c>
      <c r="R1953" s="292" t="s">
        <v>276</v>
      </c>
      <c r="S1953" s="295" t="s">
        <v>6974</v>
      </c>
      <c r="T1953" s="295" t="s">
        <v>7013</v>
      </c>
      <c r="U1953" s="292" t="s">
        <v>6825</v>
      </c>
      <c r="V1953" s="291" t="s">
        <v>15</v>
      </c>
      <c r="W1953" s="291" t="s">
        <v>6876</v>
      </c>
      <c r="X1953" s="292" t="s">
        <v>207</v>
      </c>
      <c r="Y1953" s="294" t="s">
        <v>98</v>
      </c>
      <c r="Z1953" s="295" t="s">
        <v>98</v>
      </c>
      <c r="AA1953" s="292" t="s">
        <v>276</v>
      </c>
      <c r="AB1953" s="292" t="s">
        <v>276</v>
      </c>
      <c r="AC1953" s="291" t="s">
        <v>276</v>
      </c>
      <c r="AD1953" s="292" t="s">
        <v>4906</v>
      </c>
      <c r="AE1953" s="291" t="s">
        <v>276</v>
      </c>
      <c r="AF1953" s="292" t="s">
        <v>4906</v>
      </c>
      <c r="AG1953" s="292" t="s">
        <v>7014</v>
      </c>
      <c r="AH1953" s="346" t="s">
        <v>11457</v>
      </c>
      <c r="AI1953" s="295">
        <v>15</v>
      </c>
      <c r="AJ1953" s="295">
        <v>32</v>
      </c>
      <c r="AK1953" s="295">
        <v>57</v>
      </c>
      <c r="AL1953" s="295">
        <v>78</v>
      </c>
      <c r="AM1953" s="295" t="s">
        <v>292</v>
      </c>
      <c r="AN1953" s="291" t="s">
        <v>276</v>
      </c>
      <c r="AO1953" s="422">
        <f>AI1953*100/AK1953</f>
        <v>26.315789473684209</v>
      </c>
      <c r="AP1953" s="291" t="s">
        <v>276</v>
      </c>
      <c r="AQ1953" s="291" t="s">
        <v>276</v>
      </c>
      <c r="AR1953" s="296" t="s">
        <v>276</v>
      </c>
      <c r="AS1953" s="422">
        <f>AJ1953*100/AL1953</f>
        <v>41.025641025641029</v>
      </c>
      <c r="AT1953" s="291" t="s">
        <v>276</v>
      </c>
      <c r="AU1953" s="291" t="s">
        <v>276</v>
      </c>
      <c r="AV1953" s="291" t="s">
        <v>268</v>
      </c>
      <c r="AW1953" s="297" t="s">
        <v>276</v>
      </c>
      <c r="AX1953" s="435">
        <f t="shared" si="564"/>
        <v>0.64144736842105254</v>
      </c>
      <c r="AY1953" s="292" t="s">
        <v>276</v>
      </c>
      <c r="AZ1953" s="292" t="s">
        <v>276</v>
      </c>
      <c r="BA1953" s="292" t="s">
        <v>276</v>
      </c>
      <c r="BB1953" s="292" t="s">
        <v>282</v>
      </c>
      <c r="BC1953" s="292" t="s">
        <v>98</v>
      </c>
      <c r="BD1953" s="292" t="s">
        <v>98</v>
      </c>
      <c r="BE1953" s="292" t="s">
        <v>98</v>
      </c>
      <c r="BF1953" s="292" t="s">
        <v>7007</v>
      </c>
      <c r="BG1953" s="292"/>
      <c r="BH1953" s="9" t="s">
        <v>100</v>
      </c>
      <c r="BI1953" s="9" t="s">
        <v>100</v>
      </c>
      <c r="BJ1953" s="298"/>
      <c r="BN1953" s="298"/>
      <c r="BO1953" s="298"/>
    </row>
    <row r="1954" spans="1:67" s="299" customFormat="1" ht="65" hidden="1" x14ac:dyDescent="0.35">
      <c r="A1954" s="291">
        <v>4053</v>
      </c>
      <c r="B1954" s="291" t="s">
        <v>6864</v>
      </c>
      <c r="C1954" s="292" t="s">
        <v>58</v>
      </c>
      <c r="D1954" s="292" t="s">
        <v>11153</v>
      </c>
      <c r="E1954" s="291" t="s">
        <v>35</v>
      </c>
      <c r="F1954" s="291" t="s">
        <v>97</v>
      </c>
      <c r="G1954" s="291" t="s">
        <v>225</v>
      </c>
      <c r="H1954" s="291" t="s">
        <v>125</v>
      </c>
      <c r="I1954" s="291" t="s">
        <v>113</v>
      </c>
      <c r="J1954" s="292" t="s">
        <v>117</v>
      </c>
      <c r="K1954" s="291" t="s">
        <v>4825</v>
      </c>
      <c r="L1954" s="291" t="s">
        <v>6939</v>
      </c>
      <c r="M1954" s="291" t="s">
        <v>276</v>
      </c>
      <c r="N1954" s="292" t="s">
        <v>6946</v>
      </c>
      <c r="O1954" s="292" t="s">
        <v>276</v>
      </c>
      <c r="P1954" s="292" t="s">
        <v>235</v>
      </c>
      <c r="Q1954" s="293" t="s">
        <v>276</v>
      </c>
      <c r="R1954" s="292" t="s">
        <v>276</v>
      </c>
      <c r="S1954" s="295" t="s">
        <v>6974</v>
      </c>
      <c r="T1954" s="295" t="s">
        <v>7013</v>
      </c>
      <c r="U1954" s="292" t="s">
        <v>6825</v>
      </c>
      <c r="V1954" s="291" t="s">
        <v>15</v>
      </c>
      <c r="W1954" s="291" t="s">
        <v>6876</v>
      </c>
      <c r="X1954" s="292" t="s">
        <v>207</v>
      </c>
      <c r="Y1954" s="294" t="s">
        <v>98</v>
      </c>
      <c r="Z1954" s="295" t="s">
        <v>98</v>
      </c>
      <c r="AA1954" s="292" t="s">
        <v>276</v>
      </c>
      <c r="AB1954" s="292" t="s">
        <v>276</v>
      </c>
      <c r="AC1954" s="291" t="s">
        <v>276</v>
      </c>
      <c r="AD1954" s="292" t="s">
        <v>4906</v>
      </c>
      <c r="AE1954" s="291" t="s">
        <v>276</v>
      </c>
      <c r="AF1954" s="292" t="s">
        <v>4906</v>
      </c>
      <c r="AG1954" s="292" t="s">
        <v>7014</v>
      </c>
      <c r="AH1954" s="292" t="s">
        <v>11458</v>
      </c>
      <c r="AI1954" s="295">
        <v>15</v>
      </c>
      <c r="AJ1954" s="295">
        <v>32</v>
      </c>
      <c r="AK1954" s="525">
        <f>57+10</f>
        <v>67</v>
      </c>
      <c r="AL1954" s="525">
        <f>78+6</f>
        <v>84</v>
      </c>
      <c r="AM1954" s="295" t="s">
        <v>292</v>
      </c>
      <c r="AN1954" s="291" t="s">
        <v>276</v>
      </c>
      <c r="AO1954" s="422">
        <f>AI1954*100/AK1954</f>
        <v>22.388059701492537</v>
      </c>
      <c r="AP1954" s="291" t="s">
        <v>276</v>
      </c>
      <c r="AQ1954" s="291" t="s">
        <v>276</v>
      </c>
      <c r="AR1954" s="296" t="s">
        <v>276</v>
      </c>
      <c r="AS1954" s="422">
        <f>AJ1954*100/AL1954</f>
        <v>38.095238095238095</v>
      </c>
      <c r="AT1954" s="291" t="s">
        <v>276</v>
      </c>
      <c r="AU1954" s="291" t="s">
        <v>276</v>
      </c>
      <c r="AV1954" s="291" t="s">
        <v>268</v>
      </c>
      <c r="AW1954" s="297" t="s">
        <v>276</v>
      </c>
      <c r="AX1954" s="435">
        <f t="shared" si="564"/>
        <v>0.58768656716417911</v>
      </c>
      <c r="AY1954" s="292" t="s">
        <v>276</v>
      </c>
      <c r="AZ1954" s="292" t="s">
        <v>276</v>
      </c>
      <c r="BA1954" s="292" t="s">
        <v>276</v>
      </c>
      <c r="BB1954" s="292" t="s">
        <v>282</v>
      </c>
      <c r="BC1954" s="292" t="s">
        <v>98</v>
      </c>
      <c r="BD1954" s="292" t="s">
        <v>98</v>
      </c>
      <c r="BE1954" s="292" t="s">
        <v>98</v>
      </c>
      <c r="BF1954" s="292" t="s">
        <v>7007</v>
      </c>
      <c r="BG1954" s="292"/>
      <c r="BH1954" s="9" t="s">
        <v>100</v>
      </c>
      <c r="BI1954" s="9" t="s">
        <v>100</v>
      </c>
      <c r="BJ1954" s="298"/>
      <c r="BN1954" s="298"/>
      <c r="BO1954" s="298"/>
    </row>
    <row r="1955" spans="1:67" s="79" customFormat="1" ht="65" hidden="1" x14ac:dyDescent="0.35">
      <c r="A1955" s="72">
        <v>4053</v>
      </c>
      <c r="B1955" s="72" t="s">
        <v>6864</v>
      </c>
      <c r="C1955" s="73" t="s">
        <v>58</v>
      </c>
      <c r="D1955" s="73" t="s">
        <v>7016</v>
      </c>
      <c r="E1955" s="72" t="s">
        <v>35</v>
      </c>
      <c r="F1955" s="72" t="s">
        <v>97</v>
      </c>
      <c r="G1955" s="72" t="s">
        <v>225</v>
      </c>
      <c r="H1955" s="72" t="s">
        <v>125</v>
      </c>
      <c r="I1955" s="72" t="s">
        <v>113</v>
      </c>
      <c r="J1955" s="73" t="s">
        <v>117</v>
      </c>
      <c r="K1955" s="72" t="s">
        <v>4825</v>
      </c>
      <c r="L1955" s="72" t="s">
        <v>6939</v>
      </c>
      <c r="M1955" s="72" t="s">
        <v>276</v>
      </c>
      <c r="N1955" s="73" t="s">
        <v>6946</v>
      </c>
      <c r="O1955" s="73" t="s">
        <v>276</v>
      </c>
      <c r="P1955" s="73" t="s">
        <v>239</v>
      </c>
      <c r="Q1955" s="77" t="s">
        <v>276</v>
      </c>
      <c r="R1955" s="73" t="s">
        <v>276</v>
      </c>
      <c r="S1955" s="75" t="s">
        <v>6985</v>
      </c>
      <c r="T1955" s="75" t="s">
        <v>7017</v>
      </c>
      <c r="U1955" s="73" t="s">
        <v>6825</v>
      </c>
      <c r="V1955" s="72" t="s">
        <v>15</v>
      </c>
      <c r="W1955" s="72" t="s">
        <v>6880</v>
      </c>
      <c r="X1955" s="73" t="s">
        <v>207</v>
      </c>
      <c r="Y1955" s="74">
        <v>4752</v>
      </c>
      <c r="Z1955" s="75">
        <v>7353</v>
      </c>
      <c r="AA1955" s="73" t="s">
        <v>276</v>
      </c>
      <c r="AB1955" s="73" t="s">
        <v>276</v>
      </c>
      <c r="AC1955" s="72" t="s">
        <v>276</v>
      </c>
      <c r="AD1955" s="73" t="s">
        <v>4906</v>
      </c>
      <c r="AE1955" s="72" t="s">
        <v>276</v>
      </c>
      <c r="AF1955" s="73" t="s">
        <v>4906</v>
      </c>
      <c r="AG1955" s="73" t="s">
        <v>7018</v>
      </c>
      <c r="AH1955" s="73" t="s">
        <v>7019</v>
      </c>
      <c r="AI1955" s="75">
        <v>27</v>
      </c>
      <c r="AJ1955" s="75">
        <v>36</v>
      </c>
      <c r="AK1955" s="75">
        <v>24346</v>
      </c>
      <c r="AL1955" s="75">
        <v>37584</v>
      </c>
      <c r="AM1955" s="75" t="s">
        <v>425</v>
      </c>
      <c r="AN1955" s="72">
        <v>1.1100000000000001</v>
      </c>
      <c r="AO1955" s="86">
        <f>AI1955*1000/AK1955</f>
        <v>1.1090117473096197</v>
      </c>
      <c r="AP1955" s="72" t="s">
        <v>276</v>
      </c>
      <c r="AQ1955" s="72" t="s">
        <v>276</v>
      </c>
      <c r="AR1955" s="76">
        <v>0.96</v>
      </c>
      <c r="AS1955" s="86">
        <f>AJ1955*1000/AL1955</f>
        <v>0.95785440613026818</v>
      </c>
      <c r="AT1955" s="72" t="s">
        <v>276</v>
      </c>
      <c r="AU1955" s="72" t="s">
        <v>276</v>
      </c>
      <c r="AV1955" s="72" t="s">
        <v>269</v>
      </c>
      <c r="AW1955" s="83">
        <v>1.1599999999999999</v>
      </c>
      <c r="AX1955" s="231">
        <f t="shared" si="564"/>
        <v>1.1578082641912431</v>
      </c>
      <c r="AY1955" s="83">
        <v>0.7</v>
      </c>
      <c r="AZ1955" s="73">
        <v>1.91</v>
      </c>
      <c r="BA1955" s="73" t="s">
        <v>276</v>
      </c>
      <c r="BB1955" s="73" t="s">
        <v>282</v>
      </c>
      <c r="BC1955" s="73" t="s">
        <v>98</v>
      </c>
      <c r="BD1955" s="73" t="s">
        <v>98</v>
      </c>
      <c r="BE1955" s="73" t="s">
        <v>98</v>
      </c>
      <c r="BF1955" s="73" t="s">
        <v>1029</v>
      </c>
      <c r="BG1955" s="73"/>
      <c r="BH1955" s="9" t="s">
        <v>100</v>
      </c>
      <c r="BI1955" s="9" t="s">
        <v>100</v>
      </c>
      <c r="BJ1955" s="78"/>
      <c r="BN1955" s="78"/>
      <c r="BO1955" s="78"/>
    </row>
    <row r="1956" spans="1:67" s="299" customFormat="1" ht="65" hidden="1" x14ac:dyDescent="0.35">
      <c r="A1956" s="291">
        <v>4053</v>
      </c>
      <c r="B1956" s="291" t="s">
        <v>6864</v>
      </c>
      <c r="C1956" s="292" t="s">
        <v>58</v>
      </c>
      <c r="D1956" s="292" t="s">
        <v>11132</v>
      </c>
      <c r="E1956" s="291" t="s">
        <v>35</v>
      </c>
      <c r="F1956" s="291" t="s">
        <v>97</v>
      </c>
      <c r="G1956" s="291" t="s">
        <v>225</v>
      </c>
      <c r="H1956" s="291" t="s">
        <v>125</v>
      </c>
      <c r="I1956" s="291" t="s">
        <v>113</v>
      </c>
      <c r="J1956" s="292" t="s">
        <v>117</v>
      </c>
      <c r="K1956" s="291" t="s">
        <v>4825</v>
      </c>
      <c r="L1956" s="291" t="s">
        <v>6939</v>
      </c>
      <c r="M1956" s="291" t="s">
        <v>276</v>
      </c>
      <c r="N1956" s="292" t="s">
        <v>6946</v>
      </c>
      <c r="O1956" s="292" t="s">
        <v>276</v>
      </c>
      <c r="P1956" s="292" t="s">
        <v>235</v>
      </c>
      <c r="Q1956" s="293" t="s">
        <v>276</v>
      </c>
      <c r="R1956" s="292" t="s">
        <v>276</v>
      </c>
      <c r="S1956" s="295" t="s">
        <v>6985</v>
      </c>
      <c r="T1956" s="295" t="s">
        <v>7017</v>
      </c>
      <c r="U1956" s="292" t="s">
        <v>6825</v>
      </c>
      <c r="V1956" s="291" t="s">
        <v>15</v>
      </c>
      <c r="W1956" s="291" t="s">
        <v>6880</v>
      </c>
      <c r="X1956" s="292" t="s">
        <v>207</v>
      </c>
      <c r="Y1956" s="294" t="s">
        <v>98</v>
      </c>
      <c r="Z1956" s="295" t="s">
        <v>98</v>
      </c>
      <c r="AA1956" s="292" t="s">
        <v>276</v>
      </c>
      <c r="AB1956" s="292" t="s">
        <v>276</v>
      </c>
      <c r="AC1956" s="291" t="s">
        <v>276</v>
      </c>
      <c r="AD1956" s="292" t="s">
        <v>4906</v>
      </c>
      <c r="AE1956" s="291" t="s">
        <v>276</v>
      </c>
      <c r="AF1956" s="292" t="s">
        <v>4906</v>
      </c>
      <c r="AG1956" s="292" t="s">
        <v>7018</v>
      </c>
      <c r="AH1956" s="346" t="s">
        <v>11459</v>
      </c>
      <c r="AI1956" s="295">
        <v>27</v>
      </c>
      <c r="AJ1956" s="295">
        <v>36</v>
      </c>
      <c r="AK1956" s="295">
        <v>74</v>
      </c>
      <c r="AL1956" s="295">
        <v>101</v>
      </c>
      <c r="AM1956" s="295" t="s">
        <v>292</v>
      </c>
      <c r="AN1956" s="291" t="s">
        <v>276</v>
      </c>
      <c r="AO1956" s="422">
        <f>AI1956*100/AK1956</f>
        <v>36.486486486486484</v>
      </c>
      <c r="AP1956" s="291" t="s">
        <v>276</v>
      </c>
      <c r="AQ1956" s="291" t="s">
        <v>276</v>
      </c>
      <c r="AR1956" s="296" t="s">
        <v>276</v>
      </c>
      <c r="AS1956" s="422">
        <f>AJ1956*100/AL1956</f>
        <v>35.643564356435647</v>
      </c>
      <c r="AT1956" s="291" t="s">
        <v>276</v>
      </c>
      <c r="AU1956" s="291" t="s">
        <v>276</v>
      </c>
      <c r="AV1956" s="291" t="s">
        <v>268</v>
      </c>
      <c r="AW1956" s="297" t="s">
        <v>276</v>
      </c>
      <c r="AX1956" s="435">
        <f t="shared" si="564"/>
        <v>1.0236486486486485</v>
      </c>
      <c r="AY1956" s="292" t="s">
        <v>276</v>
      </c>
      <c r="AZ1956" s="292" t="s">
        <v>276</v>
      </c>
      <c r="BA1956" s="292" t="s">
        <v>276</v>
      </c>
      <c r="BB1956" s="292" t="s">
        <v>282</v>
      </c>
      <c r="BC1956" s="292" t="s">
        <v>98</v>
      </c>
      <c r="BD1956" s="292" t="s">
        <v>98</v>
      </c>
      <c r="BE1956" s="292" t="s">
        <v>98</v>
      </c>
      <c r="BF1956" s="292" t="s">
        <v>7007</v>
      </c>
      <c r="BG1956" s="292"/>
      <c r="BH1956" s="9" t="s">
        <v>100</v>
      </c>
      <c r="BI1956" s="9" t="s">
        <v>100</v>
      </c>
      <c r="BJ1956" s="298"/>
      <c r="BN1956" s="298"/>
      <c r="BO1956" s="298"/>
    </row>
    <row r="1957" spans="1:67" s="299" customFormat="1" ht="65" hidden="1" x14ac:dyDescent="0.35">
      <c r="A1957" s="291">
        <v>4053</v>
      </c>
      <c r="B1957" s="291" t="s">
        <v>6864</v>
      </c>
      <c r="C1957" s="292" t="s">
        <v>58</v>
      </c>
      <c r="D1957" s="292" t="s">
        <v>11154</v>
      </c>
      <c r="E1957" s="291" t="s">
        <v>35</v>
      </c>
      <c r="F1957" s="291" t="s">
        <v>97</v>
      </c>
      <c r="G1957" s="291" t="s">
        <v>225</v>
      </c>
      <c r="H1957" s="291" t="s">
        <v>125</v>
      </c>
      <c r="I1957" s="291" t="s">
        <v>113</v>
      </c>
      <c r="J1957" s="292" t="s">
        <v>117</v>
      </c>
      <c r="K1957" s="291" t="s">
        <v>4825</v>
      </c>
      <c r="L1957" s="291" t="s">
        <v>6939</v>
      </c>
      <c r="M1957" s="291" t="s">
        <v>276</v>
      </c>
      <c r="N1957" s="292" t="s">
        <v>6946</v>
      </c>
      <c r="O1957" s="292" t="s">
        <v>276</v>
      </c>
      <c r="P1957" s="292" t="s">
        <v>235</v>
      </c>
      <c r="Q1957" s="293" t="s">
        <v>276</v>
      </c>
      <c r="R1957" s="292" t="s">
        <v>276</v>
      </c>
      <c r="S1957" s="295" t="s">
        <v>6985</v>
      </c>
      <c r="T1957" s="295" t="s">
        <v>7017</v>
      </c>
      <c r="U1957" s="292" t="s">
        <v>6825</v>
      </c>
      <c r="V1957" s="291" t="s">
        <v>15</v>
      </c>
      <c r="W1957" s="291" t="s">
        <v>6880</v>
      </c>
      <c r="X1957" s="292" t="s">
        <v>207</v>
      </c>
      <c r="Y1957" s="294" t="s">
        <v>98</v>
      </c>
      <c r="Z1957" s="295" t="s">
        <v>98</v>
      </c>
      <c r="AA1957" s="292" t="s">
        <v>276</v>
      </c>
      <c r="AB1957" s="292" t="s">
        <v>276</v>
      </c>
      <c r="AC1957" s="291" t="s">
        <v>276</v>
      </c>
      <c r="AD1957" s="292" t="s">
        <v>4906</v>
      </c>
      <c r="AE1957" s="291" t="s">
        <v>276</v>
      </c>
      <c r="AF1957" s="292" t="s">
        <v>4906</v>
      </c>
      <c r="AG1957" s="292" t="s">
        <v>7018</v>
      </c>
      <c r="AH1957" s="292" t="s">
        <v>11460</v>
      </c>
      <c r="AI1957" s="295">
        <v>27</v>
      </c>
      <c r="AJ1957" s="295">
        <v>36</v>
      </c>
      <c r="AK1957" s="525">
        <f>74+10</f>
        <v>84</v>
      </c>
      <c r="AL1957" s="525">
        <f>101+12</f>
        <v>113</v>
      </c>
      <c r="AM1957" s="295" t="s">
        <v>292</v>
      </c>
      <c r="AN1957" s="291" t="s">
        <v>276</v>
      </c>
      <c r="AO1957" s="422">
        <f>AI1957*100/AK1957</f>
        <v>32.142857142857146</v>
      </c>
      <c r="AP1957" s="291" t="s">
        <v>276</v>
      </c>
      <c r="AQ1957" s="291" t="s">
        <v>276</v>
      </c>
      <c r="AR1957" s="296" t="s">
        <v>276</v>
      </c>
      <c r="AS1957" s="422">
        <f>AJ1957*100/AL1957</f>
        <v>31.858407079646017</v>
      </c>
      <c r="AT1957" s="291" t="s">
        <v>276</v>
      </c>
      <c r="AU1957" s="291" t="s">
        <v>276</v>
      </c>
      <c r="AV1957" s="291" t="s">
        <v>268</v>
      </c>
      <c r="AW1957" s="297" t="s">
        <v>276</v>
      </c>
      <c r="AX1957" s="435">
        <f t="shared" si="564"/>
        <v>1.0089285714285716</v>
      </c>
      <c r="AY1957" s="292" t="s">
        <v>276</v>
      </c>
      <c r="AZ1957" s="292" t="s">
        <v>276</v>
      </c>
      <c r="BA1957" s="292" t="s">
        <v>276</v>
      </c>
      <c r="BB1957" s="292" t="s">
        <v>282</v>
      </c>
      <c r="BC1957" s="292" t="s">
        <v>98</v>
      </c>
      <c r="BD1957" s="292" t="s">
        <v>98</v>
      </c>
      <c r="BE1957" s="292" t="s">
        <v>98</v>
      </c>
      <c r="BF1957" s="292" t="s">
        <v>7007</v>
      </c>
      <c r="BG1957" s="292"/>
      <c r="BH1957" s="9" t="s">
        <v>100</v>
      </c>
      <c r="BI1957" s="9" t="s">
        <v>100</v>
      </c>
      <c r="BJ1957" s="298"/>
      <c r="BN1957" s="298"/>
      <c r="BO1957" s="298"/>
    </row>
    <row r="1958" spans="1:67" s="79" customFormat="1" ht="65" hidden="1" x14ac:dyDescent="0.35">
      <c r="A1958" s="72">
        <v>4053</v>
      </c>
      <c r="B1958" s="72" t="s">
        <v>6864</v>
      </c>
      <c r="C1958" s="73" t="s">
        <v>58</v>
      </c>
      <c r="D1958" s="73" t="s">
        <v>7020</v>
      </c>
      <c r="E1958" s="72" t="s">
        <v>35</v>
      </c>
      <c r="F1958" s="72" t="s">
        <v>97</v>
      </c>
      <c r="G1958" s="72" t="s">
        <v>225</v>
      </c>
      <c r="H1958" s="72" t="s">
        <v>125</v>
      </c>
      <c r="I1958" s="72" t="s">
        <v>113</v>
      </c>
      <c r="J1958" s="73" t="s">
        <v>117</v>
      </c>
      <c r="K1958" s="72" t="s">
        <v>4825</v>
      </c>
      <c r="L1958" s="72" t="s">
        <v>6939</v>
      </c>
      <c r="M1958" s="72" t="s">
        <v>276</v>
      </c>
      <c r="N1958" s="73" t="s">
        <v>6946</v>
      </c>
      <c r="O1958" s="73" t="s">
        <v>276</v>
      </c>
      <c r="P1958" s="73" t="s">
        <v>239</v>
      </c>
      <c r="Q1958" s="77" t="s">
        <v>276</v>
      </c>
      <c r="R1958" s="73" t="s">
        <v>276</v>
      </c>
      <c r="S1958" s="75" t="s">
        <v>6996</v>
      </c>
      <c r="T1958" s="75" t="s">
        <v>7021</v>
      </c>
      <c r="U1958" s="73" t="s">
        <v>6825</v>
      </c>
      <c r="V1958" s="72" t="s">
        <v>15</v>
      </c>
      <c r="W1958" s="72" t="s">
        <v>3432</v>
      </c>
      <c r="X1958" s="73" t="s">
        <v>207</v>
      </c>
      <c r="Y1958" s="74">
        <v>5174</v>
      </c>
      <c r="Z1958" s="75">
        <v>8391</v>
      </c>
      <c r="AA1958" s="73" t="s">
        <v>276</v>
      </c>
      <c r="AB1958" s="73" t="s">
        <v>276</v>
      </c>
      <c r="AC1958" s="72" t="s">
        <v>276</v>
      </c>
      <c r="AD1958" s="73" t="s">
        <v>4906</v>
      </c>
      <c r="AE1958" s="72" t="s">
        <v>276</v>
      </c>
      <c r="AF1958" s="73" t="s">
        <v>4906</v>
      </c>
      <c r="AG1958" s="73" t="s">
        <v>7018</v>
      </c>
      <c r="AH1958" s="73" t="s">
        <v>7019</v>
      </c>
      <c r="AI1958" s="75">
        <v>19</v>
      </c>
      <c r="AJ1958" s="75">
        <v>35</v>
      </c>
      <c r="AK1958" s="75">
        <v>25218</v>
      </c>
      <c r="AL1958" s="75">
        <v>40785</v>
      </c>
      <c r="AM1958" s="75" t="s">
        <v>425</v>
      </c>
      <c r="AN1958" s="72">
        <v>0.75</v>
      </c>
      <c r="AO1958" s="86">
        <f>AI1958*1000/AK1958</f>
        <v>0.75343008961852642</v>
      </c>
      <c r="AP1958" s="72" t="s">
        <v>276</v>
      </c>
      <c r="AQ1958" s="72" t="s">
        <v>276</v>
      </c>
      <c r="AR1958" s="76">
        <v>0.86</v>
      </c>
      <c r="AS1958" s="86">
        <f>AJ1958*1000/AL1958</f>
        <v>0.85815863675370851</v>
      </c>
      <c r="AT1958" s="72" t="s">
        <v>276</v>
      </c>
      <c r="AU1958" s="72" t="s">
        <v>276</v>
      </c>
      <c r="AV1958" s="72" t="s">
        <v>269</v>
      </c>
      <c r="AW1958" s="83">
        <v>0.88</v>
      </c>
      <c r="AX1958" s="231">
        <f t="shared" si="564"/>
        <v>0.87796132014547423</v>
      </c>
      <c r="AY1958" s="83">
        <v>0.5</v>
      </c>
      <c r="AZ1958" s="73">
        <v>1.54</v>
      </c>
      <c r="BA1958" s="73" t="s">
        <v>276</v>
      </c>
      <c r="BB1958" s="73" t="s">
        <v>282</v>
      </c>
      <c r="BC1958" s="73" t="s">
        <v>98</v>
      </c>
      <c r="BD1958" s="73" t="s">
        <v>98</v>
      </c>
      <c r="BE1958" s="73" t="s">
        <v>98</v>
      </c>
      <c r="BF1958" s="73" t="s">
        <v>1029</v>
      </c>
      <c r="BG1958" s="73"/>
      <c r="BH1958" s="9" t="s">
        <v>100</v>
      </c>
      <c r="BI1958" s="9" t="s">
        <v>100</v>
      </c>
      <c r="BJ1958" s="78"/>
      <c r="BN1958" s="78"/>
      <c r="BO1958" s="78"/>
    </row>
    <row r="1959" spans="1:67" s="299" customFormat="1" ht="65" hidden="1" x14ac:dyDescent="0.35">
      <c r="A1959" s="291">
        <v>4053</v>
      </c>
      <c r="B1959" s="291" t="s">
        <v>6864</v>
      </c>
      <c r="C1959" s="292" t="s">
        <v>58</v>
      </c>
      <c r="D1959" s="292" t="s">
        <v>11133</v>
      </c>
      <c r="E1959" s="291" t="s">
        <v>35</v>
      </c>
      <c r="F1959" s="291" t="s">
        <v>97</v>
      </c>
      <c r="G1959" s="291" t="s">
        <v>225</v>
      </c>
      <c r="H1959" s="291" t="s">
        <v>125</v>
      </c>
      <c r="I1959" s="291" t="s">
        <v>113</v>
      </c>
      <c r="J1959" s="292" t="s">
        <v>117</v>
      </c>
      <c r="K1959" s="291" t="s">
        <v>4825</v>
      </c>
      <c r="L1959" s="291" t="s">
        <v>6939</v>
      </c>
      <c r="M1959" s="291" t="s">
        <v>276</v>
      </c>
      <c r="N1959" s="292" t="s">
        <v>6946</v>
      </c>
      <c r="O1959" s="292" t="s">
        <v>276</v>
      </c>
      <c r="P1959" s="292" t="s">
        <v>235</v>
      </c>
      <c r="Q1959" s="293" t="s">
        <v>276</v>
      </c>
      <c r="R1959" s="292" t="s">
        <v>276</v>
      </c>
      <c r="S1959" s="295" t="s">
        <v>6996</v>
      </c>
      <c r="T1959" s="295" t="s">
        <v>7021</v>
      </c>
      <c r="U1959" s="292" t="s">
        <v>6825</v>
      </c>
      <c r="V1959" s="291" t="s">
        <v>15</v>
      </c>
      <c r="W1959" s="291" t="s">
        <v>3432</v>
      </c>
      <c r="X1959" s="292" t="s">
        <v>207</v>
      </c>
      <c r="Y1959" s="294" t="s">
        <v>98</v>
      </c>
      <c r="Z1959" s="295" t="s">
        <v>98</v>
      </c>
      <c r="AA1959" s="292" t="s">
        <v>276</v>
      </c>
      <c r="AB1959" s="292" t="s">
        <v>276</v>
      </c>
      <c r="AC1959" s="291" t="s">
        <v>276</v>
      </c>
      <c r="AD1959" s="292" t="s">
        <v>4906</v>
      </c>
      <c r="AE1959" s="291" t="s">
        <v>276</v>
      </c>
      <c r="AF1959" s="292" t="s">
        <v>4906</v>
      </c>
      <c r="AG1959" s="292" t="s">
        <v>7022</v>
      </c>
      <c r="AH1959" s="346" t="s">
        <v>11461</v>
      </c>
      <c r="AI1959" s="295">
        <v>19</v>
      </c>
      <c r="AJ1959" s="295">
        <v>35</v>
      </c>
      <c r="AK1959" s="295">
        <v>73</v>
      </c>
      <c r="AL1959" s="295">
        <v>130</v>
      </c>
      <c r="AM1959" s="295" t="s">
        <v>292</v>
      </c>
      <c r="AN1959" s="291" t="s">
        <v>276</v>
      </c>
      <c r="AO1959" s="422">
        <f>AI1959*100/AK1959</f>
        <v>26.027397260273972</v>
      </c>
      <c r="AP1959" s="291" t="s">
        <v>276</v>
      </c>
      <c r="AQ1959" s="291" t="s">
        <v>276</v>
      </c>
      <c r="AR1959" s="296" t="s">
        <v>276</v>
      </c>
      <c r="AS1959" s="422">
        <f>AJ1959*100/AL1959</f>
        <v>26.923076923076923</v>
      </c>
      <c r="AT1959" s="291" t="s">
        <v>276</v>
      </c>
      <c r="AU1959" s="291" t="s">
        <v>276</v>
      </c>
      <c r="AV1959" s="291" t="s">
        <v>268</v>
      </c>
      <c r="AW1959" s="297" t="s">
        <v>276</v>
      </c>
      <c r="AX1959" s="435">
        <f t="shared" si="564"/>
        <v>0.9667318982387475</v>
      </c>
      <c r="AY1959" s="292" t="s">
        <v>276</v>
      </c>
      <c r="AZ1959" s="292" t="s">
        <v>276</v>
      </c>
      <c r="BA1959" s="292" t="s">
        <v>276</v>
      </c>
      <c r="BB1959" s="292" t="s">
        <v>282</v>
      </c>
      <c r="BC1959" s="292" t="s">
        <v>98</v>
      </c>
      <c r="BD1959" s="292" t="s">
        <v>98</v>
      </c>
      <c r="BE1959" s="292" t="s">
        <v>98</v>
      </c>
      <c r="BF1959" s="292" t="s">
        <v>7007</v>
      </c>
      <c r="BG1959" s="292"/>
      <c r="BH1959" s="9" t="s">
        <v>100</v>
      </c>
      <c r="BI1959" s="9" t="s">
        <v>100</v>
      </c>
      <c r="BJ1959" s="298"/>
      <c r="BN1959" s="298"/>
      <c r="BO1959" s="298"/>
    </row>
    <row r="1960" spans="1:67" s="299" customFormat="1" ht="65" hidden="1" x14ac:dyDescent="0.35">
      <c r="A1960" s="291">
        <v>4053</v>
      </c>
      <c r="B1960" s="291" t="s">
        <v>6864</v>
      </c>
      <c r="C1960" s="292" t="s">
        <v>58</v>
      </c>
      <c r="D1960" s="292" t="s">
        <v>11155</v>
      </c>
      <c r="E1960" s="291" t="s">
        <v>35</v>
      </c>
      <c r="F1960" s="291" t="s">
        <v>97</v>
      </c>
      <c r="G1960" s="291" t="s">
        <v>225</v>
      </c>
      <c r="H1960" s="291" t="s">
        <v>125</v>
      </c>
      <c r="I1960" s="291" t="s">
        <v>113</v>
      </c>
      <c r="J1960" s="292" t="s">
        <v>117</v>
      </c>
      <c r="K1960" s="291" t="s">
        <v>4825</v>
      </c>
      <c r="L1960" s="291" t="s">
        <v>6939</v>
      </c>
      <c r="M1960" s="291" t="s">
        <v>276</v>
      </c>
      <c r="N1960" s="292" t="s">
        <v>6946</v>
      </c>
      <c r="O1960" s="292" t="s">
        <v>276</v>
      </c>
      <c r="P1960" s="292" t="s">
        <v>235</v>
      </c>
      <c r="Q1960" s="293" t="s">
        <v>276</v>
      </c>
      <c r="R1960" s="292" t="s">
        <v>276</v>
      </c>
      <c r="S1960" s="295" t="s">
        <v>6996</v>
      </c>
      <c r="T1960" s="295" t="s">
        <v>7021</v>
      </c>
      <c r="U1960" s="292" t="s">
        <v>6825</v>
      </c>
      <c r="V1960" s="291" t="s">
        <v>15</v>
      </c>
      <c r="W1960" s="291" t="s">
        <v>3432</v>
      </c>
      <c r="X1960" s="292" t="s">
        <v>207</v>
      </c>
      <c r="Y1960" s="294" t="s">
        <v>98</v>
      </c>
      <c r="Z1960" s="295" t="s">
        <v>98</v>
      </c>
      <c r="AA1960" s="292" t="s">
        <v>276</v>
      </c>
      <c r="AB1960" s="292" t="s">
        <v>276</v>
      </c>
      <c r="AC1960" s="291" t="s">
        <v>276</v>
      </c>
      <c r="AD1960" s="292" t="s">
        <v>4906</v>
      </c>
      <c r="AE1960" s="291" t="s">
        <v>276</v>
      </c>
      <c r="AF1960" s="292" t="s">
        <v>4906</v>
      </c>
      <c r="AG1960" s="292" t="s">
        <v>7022</v>
      </c>
      <c r="AH1960" s="292" t="s">
        <v>11156</v>
      </c>
      <c r="AI1960" s="295">
        <v>19</v>
      </c>
      <c r="AJ1960" s="295">
        <v>35</v>
      </c>
      <c r="AK1960" s="525">
        <f>73+8</f>
        <v>81</v>
      </c>
      <c r="AL1960" s="525">
        <f>130+15</f>
        <v>145</v>
      </c>
      <c r="AM1960" s="295" t="s">
        <v>292</v>
      </c>
      <c r="AN1960" s="291" t="s">
        <v>276</v>
      </c>
      <c r="AO1960" s="422">
        <f>AI1960*100/AK1960</f>
        <v>23.456790123456791</v>
      </c>
      <c r="AP1960" s="291" t="s">
        <v>276</v>
      </c>
      <c r="AQ1960" s="291" t="s">
        <v>276</v>
      </c>
      <c r="AR1960" s="296" t="s">
        <v>276</v>
      </c>
      <c r="AS1960" s="422">
        <f>AJ1960*100/AL1960</f>
        <v>24.137931034482758</v>
      </c>
      <c r="AT1960" s="291" t="s">
        <v>276</v>
      </c>
      <c r="AU1960" s="291" t="s">
        <v>276</v>
      </c>
      <c r="AV1960" s="291" t="s">
        <v>268</v>
      </c>
      <c r="AW1960" s="297" t="s">
        <v>276</v>
      </c>
      <c r="AX1960" s="435">
        <f t="shared" si="564"/>
        <v>0.97178130511463856</v>
      </c>
      <c r="AY1960" s="292" t="s">
        <v>276</v>
      </c>
      <c r="AZ1960" s="292" t="s">
        <v>276</v>
      </c>
      <c r="BA1960" s="292" t="s">
        <v>276</v>
      </c>
      <c r="BB1960" s="292" t="s">
        <v>282</v>
      </c>
      <c r="BC1960" s="292" t="s">
        <v>98</v>
      </c>
      <c r="BD1960" s="292" t="s">
        <v>98</v>
      </c>
      <c r="BE1960" s="292" t="s">
        <v>98</v>
      </c>
      <c r="BF1960" s="292" t="s">
        <v>7007</v>
      </c>
      <c r="BG1960" s="292"/>
      <c r="BH1960" s="9" t="s">
        <v>100</v>
      </c>
      <c r="BI1960" s="9" t="s">
        <v>100</v>
      </c>
      <c r="BJ1960" s="298"/>
      <c r="BN1960" s="298"/>
      <c r="BO1960" s="298"/>
    </row>
    <row r="1961" spans="1:67" s="79" customFormat="1" ht="65" hidden="1" x14ac:dyDescent="0.35">
      <c r="A1961" s="72">
        <v>4053</v>
      </c>
      <c r="B1961" s="72" t="s">
        <v>6864</v>
      </c>
      <c r="C1961" s="73" t="s">
        <v>58</v>
      </c>
      <c r="D1961" s="73" t="s">
        <v>7023</v>
      </c>
      <c r="E1961" s="72" t="s">
        <v>35</v>
      </c>
      <c r="F1961" s="72" t="s">
        <v>97</v>
      </c>
      <c r="G1961" s="72" t="s">
        <v>225</v>
      </c>
      <c r="H1961" s="72" t="s">
        <v>125</v>
      </c>
      <c r="I1961" s="72" t="s">
        <v>113</v>
      </c>
      <c r="J1961" s="73" t="s">
        <v>117</v>
      </c>
      <c r="K1961" s="72" t="s">
        <v>4825</v>
      </c>
      <c r="L1961" s="72" t="s">
        <v>6939</v>
      </c>
      <c r="M1961" s="72" t="s">
        <v>276</v>
      </c>
      <c r="N1961" s="73" t="s">
        <v>6946</v>
      </c>
      <c r="O1961" s="73" t="s">
        <v>276</v>
      </c>
      <c r="P1961" s="73" t="s">
        <v>239</v>
      </c>
      <c r="Q1961" s="77" t="s">
        <v>276</v>
      </c>
      <c r="R1961" s="73" t="s">
        <v>276</v>
      </c>
      <c r="S1961" s="75" t="s">
        <v>7024</v>
      </c>
      <c r="T1961" s="75" t="s">
        <v>7025</v>
      </c>
      <c r="U1961" s="73" t="s">
        <v>6825</v>
      </c>
      <c r="V1961" s="72" t="s">
        <v>15</v>
      </c>
      <c r="W1961" s="72" t="s">
        <v>6836</v>
      </c>
      <c r="X1961" s="73" t="s">
        <v>207</v>
      </c>
      <c r="Y1961" s="74">
        <f>6567+5157</f>
        <v>11724</v>
      </c>
      <c r="Z1961" s="75">
        <f>8222+5995</f>
        <v>14217</v>
      </c>
      <c r="AA1961" s="73" t="s">
        <v>276</v>
      </c>
      <c r="AB1961" s="73" t="s">
        <v>276</v>
      </c>
      <c r="AC1961" s="72" t="s">
        <v>276</v>
      </c>
      <c r="AD1961" s="73" t="s">
        <v>4906</v>
      </c>
      <c r="AE1961" s="72" t="s">
        <v>276</v>
      </c>
      <c r="AF1961" s="73" t="s">
        <v>4906</v>
      </c>
      <c r="AG1961" s="73" t="s">
        <v>7026</v>
      </c>
      <c r="AH1961" s="73" t="s">
        <v>7027</v>
      </c>
      <c r="AI1961" s="75">
        <v>39</v>
      </c>
      <c r="AJ1961" s="75">
        <v>73</v>
      </c>
      <c r="AK1961" s="75">
        <v>81750</v>
      </c>
      <c r="AL1961" s="75">
        <v>99335</v>
      </c>
      <c r="AM1961" s="75" t="s">
        <v>425</v>
      </c>
      <c r="AN1961" s="72">
        <v>0.48</v>
      </c>
      <c r="AO1961" s="86">
        <f>AI1961*1000/AK1961</f>
        <v>0.47706422018348627</v>
      </c>
      <c r="AP1961" s="72" t="s">
        <v>276</v>
      </c>
      <c r="AQ1961" s="72" t="s">
        <v>276</v>
      </c>
      <c r="AR1961" s="76">
        <v>0.73</v>
      </c>
      <c r="AS1961" s="86">
        <f>AJ1961*1000/AL1961</f>
        <v>0.73488699854029294</v>
      </c>
      <c r="AT1961" s="72" t="s">
        <v>276</v>
      </c>
      <c r="AU1961" s="72" t="s">
        <v>276</v>
      </c>
      <c r="AV1961" s="72" t="s">
        <v>269</v>
      </c>
      <c r="AW1961" s="83">
        <v>0.65</v>
      </c>
      <c r="AX1961" s="231">
        <f t="shared" si="564"/>
        <v>0.64916677139625489</v>
      </c>
      <c r="AY1961" s="83">
        <v>0.44</v>
      </c>
      <c r="AZ1961" s="73">
        <v>0.96</v>
      </c>
      <c r="BA1961" s="73" t="s">
        <v>276</v>
      </c>
      <c r="BB1961" s="73" t="s">
        <v>282</v>
      </c>
      <c r="BC1961" s="73" t="s">
        <v>98</v>
      </c>
      <c r="BD1961" s="73" t="s">
        <v>98</v>
      </c>
      <c r="BE1961" s="73" t="s">
        <v>98</v>
      </c>
      <c r="BF1961" s="73" t="s">
        <v>1029</v>
      </c>
      <c r="BG1961" s="73"/>
      <c r="BH1961" s="9" t="s">
        <v>100</v>
      </c>
      <c r="BI1961" s="9" t="s">
        <v>100</v>
      </c>
      <c r="BJ1961" s="78"/>
      <c r="BN1961" s="78"/>
      <c r="BO1961" s="78"/>
    </row>
    <row r="1962" spans="1:67" s="299" customFormat="1" ht="65" hidden="1" x14ac:dyDescent="0.35">
      <c r="A1962" s="291">
        <v>4053</v>
      </c>
      <c r="B1962" s="291" t="s">
        <v>6864</v>
      </c>
      <c r="C1962" s="292" t="s">
        <v>58</v>
      </c>
      <c r="D1962" s="292" t="s">
        <v>11157</v>
      </c>
      <c r="E1962" s="291" t="s">
        <v>35</v>
      </c>
      <c r="F1962" s="291" t="s">
        <v>97</v>
      </c>
      <c r="G1962" s="291" t="s">
        <v>225</v>
      </c>
      <c r="H1962" s="291" t="s">
        <v>125</v>
      </c>
      <c r="I1962" s="291" t="s">
        <v>113</v>
      </c>
      <c r="J1962" s="292" t="s">
        <v>117</v>
      </c>
      <c r="K1962" s="291" t="s">
        <v>4825</v>
      </c>
      <c r="L1962" s="291" t="s">
        <v>6939</v>
      </c>
      <c r="M1962" s="291" t="s">
        <v>276</v>
      </c>
      <c r="N1962" s="292" t="s">
        <v>6946</v>
      </c>
      <c r="O1962" s="292" t="s">
        <v>276</v>
      </c>
      <c r="P1962" s="292" t="s">
        <v>235</v>
      </c>
      <c r="Q1962" s="293" t="s">
        <v>276</v>
      </c>
      <c r="R1962" s="292" t="s">
        <v>276</v>
      </c>
      <c r="S1962" s="295" t="s">
        <v>7024</v>
      </c>
      <c r="T1962" s="295" t="s">
        <v>7025</v>
      </c>
      <c r="U1962" s="292" t="s">
        <v>6825</v>
      </c>
      <c r="V1962" s="291" t="s">
        <v>15</v>
      </c>
      <c r="W1962" s="291" t="s">
        <v>6836</v>
      </c>
      <c r="X1962" s="292" t="s">
        <v>207</v>
      </c>
      <c r="Y1962" s="294" t="s">
        <v>98</v>
      </c>
      <c r="Z1962" s="295" t="s">
        <v>98</v>
      </c>
      <c r="AA1962" s="292" t="s">
        <v>276</v>
      </c>
      <c r="AB1962" s="292" t="s">
        <v>276</v>
      </c>
      <c r="AC1962" s="291" t="s">
        <v>276</v>
      </c>
      <c r="AD1962" s="292" t="s">
        <v>4906</v>
      </c>
      <c r="AE1962" s="291" t="s">
        <v>276</v>
      </c>
      <c r="AF1962" s="292" t="s">
        <v>4906</v>
      </c>
      <c r="AG1962" s="292" t="s">
        <v>7026</v>
      </c>
      <c r="AH1962" s="346" t="s">
        <v>11462</v>
      </c>
      <c r="AI1962" s="295">
        <v>39</v>
      </c>
      <c r="AJ1962" s="295">
        <v>73</v>
      </c>
      <c r="AK1962" s="295">
        <f>67+57</f>
        <v>124</v>
      </c>
      <c r="AL1962" s="295">
        <f>106+78</f>
        <v>184</v>
      </c>
      <c r="AM1962" s="295" t="s">
        <v>292</v>
      </c>
      <c r="AN1962" s="291" t="s">
        <v>276</v>
      </c>
      <c r="AO1962" s="422">
        <f>AI1962*100/AK1962</f>
        <v>31.451612903225808</v>
      </c>
      <c r="AP1962" s="291" t="s">
        <v>276</v>
      </c>
      <c r="AQ1962" s="291" t="s">
        <v>276</v>
      </c>
      <c r="AR1962" s="296" t="s">
        <v>276</v>
      </c>
      <c r="AS1962" s="422">
        <f>AJ1962*100/AL1962</f>
        <v>39.673913043478258</v>
      </c>
      <c r="AT1962" s="291" t="s">
        <v>276</v>
      </c>
      <c r="AU1962" s="291" t="s">
        <v>276</v>
      </c>
      <c r="AV1962" s="291" t="s">
        <v>268</v>
      </c>
      <c r="AW1962" s="297" t="s">
        <v>276</v>
      </c>
      <c r="AX1962" s="435">
        <f t="shared" si="564"/>
        <v>0.79275298276623962</v>
      </c>
      <c r="AY1962" s="292" t="s">
        <v>276</v>
      </c>
      <c r="AZ1962" s="292" t="s">
        <v>276</v>
      </c>
      <c r="BA1962" s="292" t="s">
        <v>276</v>
      </c>
      <c r="BB1962" s="292" t="s">
        <v>282</v>
      </c>
      <c r="BC1962" s="292" t="s">
        <v>98</v>
      </c>
      <c r="BD1962" s="292" t="s">
        <v>98</v>
      </c>
      <c r="BE1962" s="292" t="s">
        <v>98</v>
      </c>
      <c r="BF1962" s="292" t="s">
        <v>7007</v>
      </c>
      <c r="BG1962" s="292"/>
      <c r="BH1962" s="9" t="s">
        <v>100</v>
      </c>
      <c r="BI1962" s="9" t="s">
        <v>100</v>
      </c>
      <c r="BJ1962" s="298"/>
      <c r="BN1962" s="298"/>
      <c r="BO1962" s="298"/>
    </row>
    <row r="1963" spans="1:67" s="299" customFormat="1" ht="65" hidden="1" x14ac:dyDescent="0.35">
      <c r="A1963" s="291">
        <v>4053</v>
      </c>
      <c r="B1963" s="291" t="s">
        <v>6864</v>
      </c>
      <c r="C1963" s="292" t="s">
        <v>58</v>
      </c>
      <c r="D1963" s="292" t="s">
        <v>11158</v>
      </c>
      <c r="E1963" s="291" t="s">
        <v>35</v>
      </c>
      <c r="F1963" s="291" t="s">
        <v>97</v>
      </c>
      <c r="G1963" s="291" t="s">
        <v>225</v>
      </c>
      <c r="H1963" s="291" t="s">
        <v>125</v>
      </c>
      <c r="I1963" s="291" t="s">
        <v>113</v>
      </c>
      <c r="J1963" s="292" t="s">
        <v>117</v>
      </c>
      <c r="K1963" s="291" t="s">
        <v>4825</v>
      </c>
      <c r="L1963" s="291" t="s">
        <v>6939</v>
      </c>
      <c r="M1963" s="291" t="s">
        <v>276</v>
      </c>
      <c r="N1963" s="292" t="s">
        <v>6946</v>
      </c>
      <c r="O1963" s="292" t="s">
        <v>276</v>
      </c>
      <c r="P1963" s="292" t="s">
        <v>235</v>
      </c>
      <c r="Q1963" s="293" t="s">
        <v>276</v>
      </c>
      <c r="R1963" s="292" t="s">
        <v>276</v>
      </c>
      <c r="S1963" s="295" t="s">
        <v>7024</v>
      </c>
      <c r="T1963" s="295" t="s">
        <v>7025</v>
      </c>
      <c r="U1963" s="292" t="s">
        <v>6825</v>
      </c>
      <c r="V1963" s="291" t="s">
        <v>15</v>
      </c>
      <c r="W1963" s="291" t="s">
        <v>6836</v>
      </c>
      <c r="X1963" s="292" t="s">
        <v>207</v>
      </c>
      <c r="Y1963" s="294" t="s">
        <v>98</v>
      </c>
      <c r="Z1963" s="295" t="s">
        <v>98</v>
      </c>
      <c r="AA1963" s="292" t="s">
        <v>276</v>
      </c>
      <c r="AB1963" s="292" t="s">
        <v>276</v>
      </c>
      <c r="AC1963" s="291" t="s">
        <v>276</v>
      </c>
      <c r="AD1963" s="292" t="s">
        <v>4906</v>
      </c>
      <c r="AE1963" s="291" t="s">
        <v>276</v>
      </c>
      <c r="AF1963" s="292" t="s">
        <v>4906</v>
      </c>
      <c r="AG1963" s="292" t="s">
        <v>7026</v>
      </c>
      <c r="AH1963" s="292" t="s">
        <v>11159</v>
      </c>
      <c r="AI1963" s="295">
        <v>39</v>
      </c>
      <c r="AJ1963" s="295">
        <v>73</v>
      </c>
      <c r="AK1963" s="525">
        <f>67+57+10+10</f>
        <v>144</v>
      </c>
      <c r="AL1963" s="525">
        <f>106+78+7+6</f>
        <v>197</v>
      </c>
      <c r="AM1963" s="295" t="s">
        <v>292</v>
      </c>
      <c r="AN1963" s="291" t="s">
        <v>276</v>
      </c>
      <c r="AO1963" s="422">
        <f>AI1963*100/AK1963</f>
        <v>27.083333333333332</v>
      </c>
      <c r="AP1963" s="291" t="s">
        <v>276</v>
      </c>
      <c r="AQ1963" s="291" t="s">
        <v>276</v>
      </c>
      <c r="AR1963" s="296" t="s">
        <v>276</v>
      </c>
      <c r="AS1963" s="422">
        <f>AJ1963*100/AL1963</f>
        <v>37.055837563451774</v>
      </c>
      <c r="AT1963" s="291" t="s">
        <v>276</v>
      </c>
      <c r="AU1963" s="291" t="s">
        <v>276</v>
      </c>
      <c r="AV1963" s="291" t="s">
        <v>268</v>
      </c>
      <c r="AW1963" s="297" t="s">
        <v>276</v>
      </c>
      <c r="AX1963" s="435">
        <f t="shared" si="564"/>
        <v>0.73087899543378998</v>
      </c>
      <c r="AY1963" s="292" t="s">
        <v>276</v>
      </c>
      <c r="AZ1963" s="292" t="s">
        <v>276</v>
      </c>
      <c r="BA1963" s="292" t="s">
        <v>276</v>
      </c>
      <c r="BB1963" s="292" t="s">
        <v>282</v>
      </c>
      <c r="BC1963" s="292" t="s">
        <v>98</v>
      </c>
      <c r="BD1963" s="292" t="s">
        <v>98</v>
      </c>
      <c r="BE1963" s="292" t="s">
        <v>98</v>
      </c>
      <c r="BF1963" s="292" t="s">
        <v>7007</v>
      </c>
      <c r="BG1963" s="292"/>
      <c r="BH1963" s="9" t="s">
        <v>100</v>
      </c>
      <c r="BI1963" s="9" t="s">
        <v>100</v>
      </c>
      <c r="BJ1963" s="298"/>
      <c r="BN1963" s="298"/>
      <c r="BO1963" s="298"/>
    </row>
    <row r="1964" spans="1:67" s="79" customFormat="1" ht="65" hidden="1" x14ac:dyDescent="0.35">
      <c r="A1964" s="72">
        <v>4053</v>
      </c>
      <c r="B1964" s="72" t="s">
        <v>6864</v>
      </c>
      <c r="C1964" s="73" t="s">
        <v>58</v>
      </c>
      <c r="D1964" s="73" t="s">
        <v>7028</v>
      </c>
      <c r="E1964" s="72" t="s">
        <v>35</v>
      </c>
      <c r="F1964" s="72" t="s">
        <v>97</v>
      </c>
      <c r="G1964" s="72" t="s">
        <v>225</v>
      </c>
      <c r="H1964" s="72" t="s">
        <v>125</v>
      </c>
      <c r="I1964" s="72" t="s">
        <v>113</v>
      </c>
      <c r="J1964" s="73" t="s">
        <v>117</v>
      </c>
      <c r="K1964" s="72" t="s">
        <v>4825</v>
      </c>
      <c r="L1964" s="72" t="s">
        <v>6939</v>
      </c>
      <c r="M1964" s="72" t="s">
        <v>276</v>
      </c>
      <c r="N1964" s="73" t="s">
        <v>6946</v>
      </c>
      <c r="O1964" s="73" t="s">
        <v>276</v>
      </c>
      <c r="P1964" s="73" t="s">
        <v>239</v>
      </c>
      <c r="Q1964" s="77" t="s">
        <v>276</v>
      </c>
      <c r="R1964" s="73" t="s">
        <v>276</v>
      </c>
      <c r="S1964" s="75" t="s">
        <v>7029</v>
      </c>
      <c r="T1964" s="75" t="s">
        <v>7030</v>
      </c>
      <c r="U1964" s="73" t="s">
        <v>6825</v>
      </c>
      <c r="V1964" s="72" t="s">
        <v>15</v>
      </c>
      <c r="W1964" s="72" t="s">
        <v>3038</v>
      </c>
      <c r="X1964" s="73" t="s">
        <v>207</v>
      </c>
      <c r="Y1964" s="74">
        <f>4752+5174</f>
        <v>9926</v>
      </c>
      <c r="Z1964" s="75">
        <f>7353+8391</f>
        <v>15744</v>
      </c>
      <c r="AA1964" s="73" t="s">
        <v>276</v>
      </c>
      <c r="AB1964" s="73" t="s">
        <v>276</v>
      </c>
      <c r="AC1964" s="72" t="s">
        <v>276</v>
      </c>
      <c r="AD1964" s="73" t="s">
        <v>4906</v>
      </c>
      <c r="AE1964" s="72" t="s">
        <v>276</v>
      </c>
      <c r="AF1964" s="73" t="s">
        <v>4906</v>
      </c>
      <c r="AG1964" s="73" t="s">
        <v>7031</v>
      </c>
      <c r="AH1964" s="73" t="s">
        <v>7032</v>
      </c>
      <c r="AI1964" s="75">
        <v>46</v>
      </c>
      <c r="AJ1964" s="75">
        <v>71</v>
      </c>
      <c r="AK1964" s="75">
        <v>49564</v>
      </c>
      <c r="AL1964" s="75">
        <v>78369</v>
      </c>
      <c r="AM1964" s="75" t="s">
        <v>425</v>
      </c>
      <c r="AN1964" s="72">
        <v>0.93</v>
      </c>
      <c r="AO1964" s="86">
        <f>AI1964*1000/AK1964</f>
        <v>0.92809297070454366</v>
      </c>
      <c r="AP1964" s="72" t="s">
        <v>276</v>
      </c>
      <c r="AQ1964" s="72" t="s">
        <v>276</v>
      </c>
      <c r="AR1964" s="76">
        <v>0.91</v>
      </c>
      <c r="AS1964" s="86">
        <f>AJ1964*1000/AL1964</f>
        <v>0.90597047301866807</v>
      </c>
      <c r="AT1964" s="72" t="s">
        <v>276</v>
      </c>
      <c r="AU1964" s="72" t="s">
        <v>276</v>
      </c>
      <c r="AV1964" s="72" t="s">
        <v>269</v>
      </c>
      <c r="AW1964" s="83">
        <v>1.02</v>
      </c>
      <c r="AX1964" s="231">
        <f t="shared" si="564"/>
        <v>1.02441856367809</v>
      </c>
      <c r="AY1964" s="83">
        <v>0.7</v>
      </c>
      <c r="AZ1964" s="73">
        <v>1.48</v>
      </c>
      <c r="BA1964" s="73" t="s">
        <v>276</v>
      </c>
      <c r="BB1964" s="73" t="s">
        <v>282</v>
      </c>
      <c r="BC1964" s="73" t="s">
        <v>98</v>
      </c>
      <c r="BD1964" s="73" t="s">
        <v>98</v>
      </c>
      <c r="BE1964" s="73" t="s">
        <v>98</v>
      </c>
      <c r="BF1964" s="73" t="s">
        <v>1029</v>
      </c>
      <c r="BG1964" s="73"/>
      <c r="BH1964" s="9" t="s">
        <v>100</v>
      </c>
      <c r="BI1964" s="9" t="s">
        <v>100</v>
      </c>
      <c r="BJ1964" s="78"/>
      <c r="BN1964" s="78"/>
      <c r="BO1964" s="78"/>
    </row>
    <row r="1965" spans="1:67" s="183" customFormat="1" ht="65" hidden="1" x14ac:dyDescent="0.35">
      <c r="A1965" s="175">
        <v>4052</v>
      </c>
      <c r="B1965" s="175" t="s">
        <v>6910</v>
      </c>
      <c r="C1965" s="176" t="s">
        <v>58</v>
      </c>
      <c r="D1965" s="176" t="s">
        <v>6950</v>
      </c>
      <c r="E1965" s="175" t="s">
        <v>35</v>
      </c>
      <c r="F1965" s="175" t="s">
        <v>97</v>
      </c>
      <c r="G1965" s="175" t="s">
        <v>225</v>
      </c>
      <c r="H1965" s="175" t="s">
        <v>125</v>
      </c>
      <c r="I1965" s="175" t="s">
        <v>113</v>
      </c>
      <c r="J1965" s="176" t="s">
        <v>98</v>
      </c>
      <c r="K1965" s="175" t="s">
        <v>98</v>
      </c>
      <c r="L1965" s="175" t="s">
        <v>98</v>
      </c>
      <c r="M1965" s="175" t="s">
        <v>98</v>
      </c>
      <c r="N1965" s="176" t="s">
        <v>7033</v>
      </c>
      <c r="O1965" s="176" t="s">
        <v>276</v>
      </c>
      <c r="P1965" s="176" t="s">
        <v>238</v>
      </c>
      <c r="Q1965" s="304" t="s">
        <v>276</v>
      </c>
      <c r="R1965" s="176" t="s">
        <v>276</v>
      </c>
      <c r="S1965" s="176" t="s">
        <v>276</v>
      </c>
      <c r="T1965" s="176" t="s">
        <v>276</v>
      </c>
      <c r="U1965" s="178" t="s">
        <v>6859</v>
      </c>
      <c r="V1965" s="175" t="s">
        <v>14</v>
      </c>
      <c r="W1965" s="175" t="s">
        <v>98</v>
      </c>
      <c r="X1965" s="176" t="s">
        <v>207</v>
      </c>
      <c r="Y1965" s="180">
        <v>21904</v>
      </c>
      <c r="Z1965" s="176">
        <v>30318</v>
      </c>
      <c r="AA1965" s="176" t="s">
        <v>276</v>
      </c>
      <c r="AB1965" s="176" t="s">
        <v>276</v>
      </c>
      <c r="AC1965" s="175" t="s">
        <v>276</v>
      </c>
      <c r="AD1965" s="176" t="s">
        <v>3843</v>
      </c>
      <c r="AE1965" s="175" t="s">
        <v>276</v>
      </c>
      <c r="AF1965" s="176" t="s">
        <v>3843</v>
      </c>
      <c r="AG1965" s="176" t="s">
        <v>6952</v>
      </c>
      <c r="AH1965" s="176" t="s">
        <v>6547</v>
      </c>
      <c r="AI1965" s="179">
        <f>73+132</f>
        <v>205</v>
      </c>
      <c r="AJ1965" s="179">
        <v>137</v>
      </c>
      <c r="AK1965" s="180">
        <v>21904</v>
      </c>
      <c r="AL1965" s="176">
        <v>30318</v>
      </c>
      <c r="AM1965" s="179" t="s">
        <v>281</v>
      </c>
      <c r="AN1965" s="175" t="s">
        <v>276</v>
      </c>
      <c r="AO1965" s="201">
        <f>AI1965*1000/AK1965</f>
        <v>9.3590211833455079</v>
      </c>
      <c r="AP1965" s="175" t="s">
        <v>276</v>
      </c>
      <c r="AQ1965" s="175" t="s">
        <v>276</v>
      </c>
      <c r="AR1965" s="195" t="s">
        <v>276</v>
      </c>
      <c r="AS1965" s="201">
        <f>AJ1965*1000/AL1965</f>
        <v>4.5187677287420014</v>
      </c>
      <c r="AT1965" s="175" t="s">
        <v>276</v>
      </c>
      <c r="AU1965" s="175" t="s">
        <v>276</v>
      </c>
      <c r="AV1965" s="175" t="s">
        <v>268</v>
      </c>
      <c r="AW1965" s="305" t="s">
        <v>276</v>
      </c>
      <c r="AX1965" s="436">
        <f>AO1965/AS1965</f>
        <v>2.0711445564720372</v>
      </c>
      <c r="AY1965" s="305" t="s">
        <v>276</v>
      </c>
      <c r="AZ1965" s="305" t="s">
        <v>276</v>
      </c>
      <c r="BA1965" s="305" t="s">
        <v>276</v>
      </c>
      <c r="BB1965" s="305" t="s">
        <v>282</v>
      </c>
      <c r="BC1965" s="176" t="s">
        <v>98</v>
      </c>
      <c r="BD1965" s="176" t="s">
        <v>98</v>
      </c>
      <c r="BE1965" s="176" t="s">
        <v>98</v>
      </c>
      <c r="BF1965" s="176" t="s">
        <v>298</v>
      </c>
      <c r="BG1965" s="176"/>
      <c r="BH1965" s="9" t="s">
        <v>100</v>
      </c>
      <c r="BI1965" s="9" t="s">
        <v>100</v>
      </c>
      <c r="BJ1965" s="182"/>
      <c r="BN1965" s="182"/>
      <c r="BO1965" s="182"/>
    </row>
    <row r="1966" spans="1:67" s="183" customFormat="1" ht="143" hidden="1" x14ac:dyDescent="0.35">
      <c r="A1966" s="175">
        <v>4052</v>
      </c>
      <c r="B1966" s="175" t="s">
        <v>6910</v>
      </c>
      <c r="C1966" s="176" t="s">
        <v>58</v>
      </c>
      <c r="D1966" s="176" t="s">
        <v>11134</v>
      </c>
      <c r="E1966" s="175" t="s">
        <v>35</v>
      </c>
      <c r="F1966" s="175" t="s">
        <v>97</v>
      </c>
      <c r="G1966" s="175" t="s">
        <v>225</v>
      </c>
      <c r="H1966" s="175" t="s">
        <v>125</v>
      </c>
      <c r="I1966" s="175" t="s">
        <v>113</v>
      </c>
      <c r="J1966" s="176" t="s">
        <v>98</v>
      </c>
      <c r="K1966" s="175" t="s">
        <v>98</v>
      </c>
      <c r="L1966" s="175" t="s">
        <v>98</v>
      </c>
      <c r="M1966" s="175" t="s">
        <v>98</v>
      </c>
      <c r="N1966" s="176" t="s">
        <v>7033</v>
      </c>
      <c r="O1966" s="176" t="s">
        <v>276</v>
      </c>
      <c r="P1966" s="176" t="s">
        <v>236</v>
      </c>
      <c r="Q1966" s="304" t="s">
        <v>276</v>
      </c>
      <c r="R1966" s="176" t="s">
        <v>276</v>
      </c>
      <c r="S1966" s="176" t="s">
        <v>276</v>
      </c>
      <c r="T1966" s="176" t="s">
        <v>276</v>
      </c>
      <c r="U1966" s="178" t="s">
        <v>6859</v>
      </c>
      <c r="V1966" s="175" t="s">
        <v>14</v>
      </c>
      <c r="W1966" s="175" t="s">
        <v>98</v>
      </c>
      <c r="X1966" s="176" t="s">
        <v>207</v>
      </c>
      <c r="Y1966" s="180" t="s">
        <v>98</v>
      </c>
      <c r="Z1966" s="176" t="s">
        <v>98</v>
      </c>
      <c r="AA1966" s="176" t="s">
        <v>276</v>
      </c>
      <c r="AB1966" s="176" t="s">
        <v>276</v>
      </c>
      <c r="AC1966" s="175" t="s">
        <v>276</v>
      </c>
      <c r="AD1966" s="176" t="s">
        <v>3843</v>
      </c>
      <c r="AE1966" s="175" t="s">
        <v>276</v>
      </c>
      <c r="AF1966" s="176" t="s">
        <v>3843</v>
      </c>
      <c r="AG1966" s="176" t="s">
        <v>6952</v>
      </c>
      <c r="AH1966" s="176" t="s">
        <v>11135</v>
      </c>
      <c r="AI1966" s="179">
        <f>73+132</f>
        <v>205</v>
      </c>
      <c r="AJ1966" s="179">
        <v>137</v>
      </c>
      <c r="AK1966" s="180">
        <f>73+132+57+54</f>
        <v>316</v>
      </c>
      <c r="AL1966" s="176">
        <f>137+326</f>
        <v>463</v>
      </c>
      <c r="AM1966" s="179" t="s">
        <v>292</v>
      </c>
      <c r="AN1966" s="175" t="s">
        <v>276</v>
      </c>
      <c r="AO1966" s="201">
        <f>AI1966*100/AK1966</f>
        <v>64.87341772151899</v>
      </c>
      <c r="AP1966" s="175" t="s">
        <v>276</v>
      </c>
      <c r="AQ1966" s="175" t="s">
        <v>276</v>
      </c>
      <c r="AR1966" s="195" t="s">
        <v>276</v>
      </c>
      <c r="AS1966" s="201">
        <f>AJ1966*100/AL1966</f>
        <v>29.589632829373649</v>
      </c>
      <c r="AT1966" s="175" t="s">
        <v>276</v>
      </c>
      <c r="AU1966" s="175" t="s">
        <v>276</v>
      </c>
      <c r="AV1966" s="175" t="s">
        <v>268</v>
      </c>
      <c r="AW1966" s="305" t="s">
        <v>276</v>
      </c>
      <c r="AX1966" s="436">
        <f>AO1966/AS1966</f>
        <v>2.1924374018294377</v>
      </c>
      <c r="AY1966" s="305" t="s">
        <v>276</v>
      </c>
      <c r="AZ1966" s="305" t="s">
        <v>276</v>
      </c>
      <c r="BA1966" s="305" t="s">
        <v>276</v>
      </c>
      <c r="BB1966" s="305" t="s">
        <v>282</v>
      </c>
      <c r="BC1966" s="176" t="s">
        <v>98</v>
      </c>
      <c r="BD1966" s="176" t="s">
        <v>98</v>
      </c>
      <c r="BE1966" s="176" t="s">
        <v>98</v>
      </c>
      <c r="BF1966" s="176" t="s">
        <v>298</v>
      </c>
      <c r="BG1966" s="176"/>
      <c r="BH1966" s="9" t="s">
        <v>100</v>
      </c>
      <c r="BI1966" s="9" t="s">
        <v>100</v>
      </c>
      <c r="BJ1966" s="182"/>
      <c r="BN1966" s="182"/>
      <c r="BO1966" s="182"/>
    </row>
    <row r="1967" spans="1:67" s="194" customFormat="1" ht="78" hidden="1" x14ac:dyDescent="0.35">
      <c r="A1967" s="184">
        <v>4052</v>
      </c>
      <c r="B1967" s="184" t="s">
        <v>6910</v>
      </c>
      <c r="C1967" s="185" t="s">
        <v>58</v>
      </c>
      <c r="D1967" s="185" t="s">
        <v>7034</v>
      </c>
      <c r="E1967" s="184" t="s">
        <v>35</v>
      </c>
      <c r="F1967" s="184" t="s">
        <v>97</v>
      </c>
      <c r="G1967" s="184" t="s">
        <v>225</v>
      </c>
      <c r="H1967" s="184" t="s">
        <v>125</v>
      </c>
      <c r="I1967" s="184" t="s">
        <v>113</v>
      </c>
      <c r="J1967" s="185" t="s">
        <v>117</v>
      </c>
      <c r="K1967" s="185" t="s">
        <v>4825</v>
      </c>
      <c r="L1967" s="184" t="s">
        <v>276</v>
      </c>
      <c r="M1967" s="184" t="s">
        <v>276</v>
      </c>
      <c r="N1967" s="185" t="s">
        <v>7033</v>
      </c>
      <c r="O1967" s="185" t="s">
        <v>276</v>
      </c>
      <c r="P1967" s="185" t="s">
        <v>239</v>
      </c>
      <c r="Q1967" s="302" t="s">
        <v>276</v>
      </c>
      <c r="R1967" s="185" t="s">
        <v>7035</v>
      </c>
      <c r="S1967" s="185" t="s">
        <v>276</v>
      </c>
      <c r="T1967" s="185" t="s">
        <v>276</v>
      </c>
      <c r="U1967" s="187" t="s">
        <v>6859</v>
      </c>
      <c r="V1967" s="184" t="s">
        <v>14</v>
      </c>
      <c r="W1967" s="184" t="s">
        <v>98</v>
      </c>
      <c r="X1967" s="185" t="s">
        <v>207</v>
      </c>
      <c r="Y1967" s="189">
        <v>21904</v>
      </c>
      <c r="Z1967" s="185">
        <v>30318</v>
      </c>
      <c r="AA1967" s="185" t="s">
        <v>276</v>
      </c>
      <c r="AB1967" s="185" t="s">
        <v>276</v>
      </c>
      <c r="AC1967" s="184">
        <v>27</v>
      </c>
      <c r="AD1967" s="185" t="s">
        <v>7036</v>
      </c>
      <c r="AE1967" s="184">
        <v>42</v>
      </c>
      <c r="AF1967" s="185" t="s">
        <v>7036</v>
      </c>
      <c r="AG1967" s="185" t="s">
        <v>7037</v>
      </c>
      <c r="AH1967" s="185" t="s">
        <v>2034</v>
      </c>
      <c r="AI1967" s="188">
        <v>85</v>
      </c>
      <c r="AJ1967" s="188">
        <v>147</v>
      </c>
      <c r="AK1967" s="189">
        <v>21904</v>
      </c>
      <c r="AL1967" s="185">
        <v>30318</v>
      </c>
      <c r="AM1967" s="188" t="s">
        <v>281</v>
      </c>
      <c r="AN1967" s="184" t="s">
        <v>276</v>
      </c>
      <c r="AO1967" s="338">
        <f>AI1967*1000/AK1967</f>
        <v>3.8805697589481372</v>
      </c>
      <c r="AP1967" s="184" t="s">
        <v>276</v>
      </c>
      <c r="AQ1967" s="184" t="s">
        <v>276</v>
      </c>
      <c r="AR1967" s="190" t="s">
        <v>276</v>
      </c>
      <c r="AS1967" s="338">
        <f>AJ1967*1000/AL1967</f>
        <v>4.848604789234118</v>
      </c>
      <c r="AT1967" s="184" t="s">
        <v>276</v>
      </c>
      <c r="AU1967" s="184" t="s">
        <v>276</v>
      </c>
      <c r="AV1967" s="184" t="s">
        <v>268</v>
      </c>
      <c r="AW1967" s="303">
        <v>0.8</v>
      </c>
      <c r="AX1967" s="437">
        <f>AO1967/AS1967</f>
        <v>0.80034771395775262</v>
      </c>
      <c r="AY1967" s="303">
        <v>0.61</v>
      </c>
      <c r="AZ1967" s="303">
        <v>1.05</v>
      </c>
      <c r="BA1967" s="303">
        <v>0.1</v>
      </c>
      <c r="BB1967" s="185" t="s">
        <v>282</v>
      </c>
      <c r="BC1967" s="303" t="s">
        <v>98</v>
      </c>
      <c r="BD1967" s="185" t="s">
        <v>98</v>
      </c>
      <c r="BE1967" s="185" t="s">
        <v>98</v>
      </c>
      <c r="BF1967" s="185" t="s">
        <v>7038</v>
      </c>
      <c r="BG1967" s="185"/>
      <c r="BH1967" s="9" t="s">
        <v>100</v>
      </c>
      <c r="BI1967" s="9" t="s">
        <v>100</v>
      </c>
      <c r="BJ1967" s="193"/>
      <c r="BN1967" s="193"/>
      <c r="BO1967" s="193"/>
    </row>
    <row r="1968" spans="1:67" s="194" customFormat="1" ht="78" hidden="1" x14ac:dyDescent="0.35">
      <c r="A1968" s="184">
        <v>4052</v>
      </c>
      <c r="B1968" s="184" t="s">
        <v>6910</v>
      </c>
      <c r="C1968" s="185" t="s">
        <v>58</v>
      </c>
      <c r="D1968" s="185" t="s">
        <v>7039</v>
      </c>
      <c r="E1968" s="184" t="s">
        <v>35</v>
      </c>
      <c r="F1968" s="184" t="s">
        <v>97</v>
      </c>
      <c r="G1968" s="184" t="s">
        <v>225</v>
      </c>
      <c r="H1968" s="184" t="s">
        <v>125</v>
      </c>
      <c r="I1968" s="184" t="s">
        <v>113</v>
      </c>
      <c r="J1968" s="185" t="s">
        <v>117</v>
      </c>
      <c r="K1968" s="185" t="s">
        <v>4821</v>
      </c>
      <c r="L1968" s="184" t="s">
        <v>276</v>
      </c>
      <c r="M1968" s="184" t="s">
        <v>276</v>
      </c>
      <c r="N1968" s="185" t="s">
        <v>7033</v>
      </c>
      <c r="O1968" s="185" t="s">
        <v>276</v>
      </c>
      <c r="P1968" s="185" t="s">
        <v>239</v>
      </c>
      <c r="Q1968" s="302" t="s">
        <v>276</v>
      </c>
      <c r="R1968" s="185" t="s">
        <v>7035</v>
      </c>
      <c r="S1968" s="185" t="s">
        <v>276</v>
      </c>
      <c r="T1968" s="185" t="s">
        <v>276</v>
      </c>
      <c r="U1968" s="187" t="s">
        <v>6859</v>
      </c>
      <c r="V1968" s="184" t="s">
        <v>14</v>
      </c>
      <c r="W1968" s="184" t="s">
        <v>98</v>
      </c>
      <c r="X1968" s="185" t="s">
        <v>207</v>
      </c>
      <c r="Y1968" s="189">
        <v>21904</v>
      </c>
      <c r="Z1968" s="185">
        <v>30318</v>
      </c>
      <c r="AA1968" s="185" t="s">
        <v>276</v>
      </c>
      <c r="AB1968" s="185" t="s">
        <v>276</v>
      </c>
      <c r="AC1968" s="184">
        <v>27</v>
      </c>
      <c r="AD1968" s="185" t="s">
        <v>7036</v>
      </c>
      <c r="AE1968" s="184">
        <v>42</v>
      </c>
      <c r="AF1968" s="185" t="s">
        <v>7036</v>
      </c>
      <c r="AG1968" s="185" t="s">
        <v>7040</v>
      </c>
      <c r="AH1968" s="185" t="s">
        <v>2034</v>
      </c>
      <c r="AI1968" s="188">
        <v>160</v>
      </c>
      <c r="AJ1968" s="188">
        <v>228</v>
      </c>
      <c r="AK1968" s="189">
        <v>21904</v>
      </c>
      <c r="AL1968" s="185">
        <v>30318</v>
      </c>
      <c r="AM1968" s="188" t="s">
        <v>281</v>
      </c>
      <c r="AN1968" s="184" t="s">
        <v>276</v>
      </c>
      <c r="AO1968" s="338">
        <f>AI1968*1000/AK1968</f>
        <v>7.3046018991964941</v>
      </c>
      <c r="AP1968" s="184" t="s">
        <v>276</v>
      </c>
      <c r="AQ1968" s="184" t="s">
        <v>276</v>
      </c>
      <c r="AR1968" s="190" t="s">
        <v>276</v>
      </c>
      <c r="AS1968" s="338">
        <f>AJ1968*1000/AL1968</f>
        <v>7.5202849792202651</v>
      </c>
      <c r="AT1968" s="184" t="s">
        <v>276</v>
      </c>
      <c r="AU1968" s="184" t="s">
        <v>276</v>
      </c>
      <c r="AV1968" s="184" t="s">
        <v>268</v>
      </c>
      <c r="AW1968" s="303" t="s">
        <v>276</v>
      </c>
      <c r="AX1968" s="437">
        <f>AO1968/AS1968</f>
        <v>0.97131982622736535</v>
      </c>
      <c r="AY1968" s="303" t="s">
        <v>276</v>
      </c>
      <c r="AZ1968" s="303" t="s">
        <v>276</v>
      </c>
      <c r="BA1968" s="303" t="s">
        <v>276</v>
      </c>
      <c r="BB1968" s="303" t="s">
        <v>282</v>
      </c>
      <c r="BC1968" s="185" t="s">
        <v>98</v>
      </c>
      <c r="BD1968" s="185" t="s">
        <v>98</v>
      </c>
      <c r="BE1968" s="185" t="s">
        <v>98</v>
      </c>
      <c r="BF1968" s="185" t="s">
        <v>426</v>
      </c>
      <c r="BG1968" s="185"/>
      <c r="BH1968" s="9" t="s">
        <v>100</v>
      </c>
      <c r="BI1968" s="9" t="s">
        <v>100</v>
      </c>
      <c r="BJ1968" s="193"/>
      <c r="BN1968" s="193"/>
      <c r="BO1968" s="193"/>
    </row>
    <row r="1969" spans="1:67" s="183" customFormat="1" ht="78" hidden="1" x14ac:dyDescent="0.35">
      <c r="A1969" s="175">
        <v>4052</v>
      </c>
      <c r="B1969" s="175" t="s">
        <v>6910</v>
      </c>
      <c r="C1969" s="176" t="s">
        <v>58</v>
      </c>
      <c r="D1969" s="176" t="s">
        <v>7041</v>
      </c>
      <c r="E1969" s="175" t="s">
        <v>35</v>
      </c>
      <c r="F1969" s="175" t="s">
        <v>97</v>
      </c>
      <c r="G1969" s="175" t="s">
        <v>225</v>
      </c>
      <c r="H1969" s="175" t="s">
        <v>125</v>
      </c>
      <c r="I1969" s="175" t="s">
        <v>113</v>
      </c>
      <c r="J1969" s="176" t="s">
        <v>117</v>
      </c>
      <c r="K1969" s="175" t="s">
        <v>4825</v>
      </c>
      <c r="L1969" s="175" t="s">
        <v>6939</v>
      </c>
      <c r="M1969" s="175" t="s">
        <v>276</v>
      </c>
      <c r="N1969" s="176" t="s">
        <v>7033</v>
      </c>
      <c r="O1969" s="176" t="s">
        <v>276</v>
      </c>
      <c r="P1969" s="176" t="s">
        <v>235</v>
      </c>
      <c r="Q1969" s="304" t="s">
        <v>276</v>
      </c>
      <c r="R1969" s="176" t="s">
        <v>7035</v>
      </c>
      <c r="S1969" s="176" t="s">
        <v>276</v>
      </c>
      <c r="T1969" s="176" t="s">
        <v>276</v>
      </c>
      <c r="U1969" s="176" t="s">
        <v>6859</v>
      </c>
      <c r="V1969" s="175" t="s">
        <v>14</v>
      </c>
      <c r="W1969" s="175" t="s">
        <v>98</v>
      </c>
      <c r="X1969" s="176" t="s">
        <v>207</v>
      </c>
      <c r="Y1969" s="180" t="s">
        <v>98</v>
      </c>
      <c r="Z1969" s="179" t="s">
        <v>98</v>
      </c>
      <c r="AA1969" s="176" t="s">
        <v>276</v>
      </c>
      <c r="AB1969" s="176" t="s">
        <v>276</v>
      </c>
      <c r="AC1969" s="175">
        <v>27</v>
      </c>
      <c r="AD1969" s="176" t="s">
        <v>7036</v>
      </c>
      <c r="AE1969" s="175">
        <v>42</v>
      </c>
      <c r="AF1969" s="176" t="s">
        <v>7036</v>
      </c>
      <c r="AG1969" s="176" t="s">
        <v>7037</v>
      </c>
      <c r="AH1969" s="176" t="s">
        <v>7042</v>
      </c>
      <c r="AI1969" s="179">
        <v>85</v>
      </c>
      <c r="AJ1969" s="179">
        <v>147</v>
      </c>
      <c r="AK1969" s="179">
        <f>160+85+27</f>
        <v>272</v>
      </c>
      <c r="AL1969" s="179">
        <v>417</v>
      </c>
      <c r="AM1969" s="179" t="s">
        <v>292</v>
      </c>
      <c r="AN1969" s="175" t="s">
        <v>276</v>
      </c>
      <c r="AO1969" s="201">
        <f>AI1969*100/AK1969</f>
        <v>31.25</v>
      </c>
      <c r="AP1969" s="175" t="s">
        <v>276</v>
      </c>
      <c r="AQ1969" s="175" t="s">
        <v>276</v>
      </c>
      <c r="AR1969" s="175" t="s">
        <v>276</v>
      </c>
      <c r="AS1969" s="201">
        <f>AJ1969*100/AL1969</f>
        <v>35.251798561151077</v>
      </c>
      <c r="AT1969" s="175" t="s">
        <v>276</v>
      </c>
      <c r="AU1969" s="175" t="s">
        <v>276</v>
      </c>
      <c r="AV1969" s="175" t="s">
        <v>268</v>
      </c>
      <c r="AW1969" s="305" t="s">
        <v>276</v>
      </c>
      <c r="AX1969" s="436">
        <f t="shared" ref="AX1969" si="565">AO1969/AS1969</f>
        <v>0.88647959183673475</v>
      </c>
      <c r="AY1969" s="176" t="s">
        <v>276</v>
      </c>
      <c r="AZ1969" s="176" t="s">
        <v>276</v>
      </c>
      <c r="BA1969" s="176" t="s">
        <v>276</v>
      </c>
      <c r="BB1969" s="176" t="s">
        <v>282</v>
      </c>
      <c r="BC1969" s="176" t="s">
        <v>98</v>
      </c>
      <c r="BD1969" s="176" t="s">
        <v>98</v>
      </c>
      <c r="BE1969" s="176" t="s">
        <v>98</v>
      </c>
      <c r="BF1969" s="176" t="s">
        <v>426</v>
      </c>
      <c r="BG1969" s="176"/>
      <c r="BH1969" s="9" t="s">
        <v>100</v>
      </c>
      <c r="BI1969" s="9" t="s">
        <v>100</v>
      </c>
      <c r="BJ1969" s="182"/>
      <c r="BN1969" s="182"/>
      <c r="BO1969" s="182"/>
    </row>
    <row r="1970" spans="1:67" s="194" customFormat="1" ht="91" hidden="1" x14ac:dyDescent="0.35">
      <c r="A1970" s="184">
        <v>4052</v>
      </c>
      <c r="B1970" s="184" t="s">
        <v>6910</v>
      </c>
      <c r="C1970" s="185" t="s">
        <v>58</v>
      </c>
      <c r="D1970" s="185" t="s">
        <v>7043</v>
      </c>
      <c r="E1970" s="184" t="s">
        <v>35</v>
      </c>
      <c r="F1970" s="184" t="s">
        <v>97</v>
      </c>
      <c r="G1970" s="184" t="s">
        <v>225</v>
      </c>
      <c r="H1970" s="184" t="s">
        <v>125</v>
      </c>
      <c r="I1970" s="184" t="s">
        <v>113</v>
      </c>
      <c r="J1970" s="185" t="s">
        <v>117</v>
      </c>
      <c r="K1970" s="185" t="s">
        <v>4825</v>
      </c>
      <c r="L1970" s="184" t="s">
        <v>276</v>
      </c>
      <c r="M1970" s="184" t="s">
        <v>276</v>
      </c>
      <c r="N1970" s="185" t="s">
        <v>7033</v>
      </c>
      <c r="O1970" s="185" t="s">
        <v>276</v>
      </c>
      <c r="P1970" s="185" t="s">
        <v>239</v>
      </c>
      <c r="Q1970" s="302" t="s">
        <v>276</v>
      </c>
      <c r="R1970" s="185" t="s">
        <v>7035</v>
      </c>
      <c r="S1970" s="185" t="s">
        <v>276</v>
      </c>
      <c r="T1970" s="185" t="s">
        <v>276</v>
      </c>
      <c r="U1970" s="187" t="s">
        <v>6859</v>
      </c>
      <c r="V1970" s="184" t="s">
        <v>15</v>
      </c>
      <c r="W1970" s="184" t="s">
        <v>6836</v>
      </c>
      <c r="X1970" s="185" t="s">
        <v>207</v>
      </c>
      <c r="Y1970" s="189">
        <v>11792</v>
      </c>
      <c r="Z1970" s="185">
        <v>14321</v>
      </c>
      <c r="AA1970" s="185" t="s">
        <v>276</v>
      </c>
      <c r="AB1970" s="185" t="s">
        <v>276</v>
      </c>
      <c r="AC1970" s="184">
        <v>10</v>
      </c>
      <c r="AD1970" s="185" t="s">
        <v>7036</v>
      </c>
      <c r="AE1970" s="184">
        <v>14</v>
      </c>
      <c r="AF1970" s="185" t="s">
        <v>7036</v>
      </c>
      <c r="AG1970" s="185" t="s">
        <v>7044</v>
      </c>
      <c r="AH1970" s="185" t="s">
        <v>7045</v>
      </c>
      <c r="AI1970" s="188">
        <v>39</v>
      </c>
      <c r="AJ1970" s="188">
        <v>73</v>
      </c>
      <c r="AK1970" s="189">
        <v>11792</v>
      </c>
      <c r="AL1970" s="185">
        <v>14321</v>
      </c>
      <c r="AM1970" s="188" t="s">
        <v>281</v>
      </c>
      <c r="AN1970" s="184" t="s">
        <v>276</v>
      </c>
      <c r="AO1970" s="338">
        <f>AI1970*1000/AK1970</f>
        <v>3.3073270013568523</v>
      </c>
      <c r="AP1970" s="184" t="s">
        <v>276</v>
      </c>
      <c r="AQ1970" s="184" t="s">
        <v>276</v>
      </c>
      <c r="AR1970" s="190" t="s">
        <v>276</v>
      </c>
      <c r="AS1970" s="338">
        <f>AJ1970*1000/AL1970</f>
        <v>5.0974093987850013</v>
      </c>
      <c r="AT1970" s="184" t="s">
        <v>276</v>
      </c>
      <c r="AU1970" s="184" t="s">
        <v>276</v>
      </c>
      <c r="AV1970" s="184" t="s">
        <v>268</v>
      </c>
      <c r="AW1970" s="303" t="s">
        <v>276</v>
      </c>
      <c r="AX1970" s="437">
        <f>AO1970/AS1970</f>
        <v>0.64882506830728059</v>
      </c>
      <c r="AY1970" s="303" t="s">
        <v>276</v>
      </c>
      <c r="AZ1970" s="303" t="s">
        <v>276</v>
      </c>
      <c r="BA1970" s="303" t="s">
        <v>276</v>
      </c>
      <c r="BB1970" s="185" t="s">
        <v>6914</v>
      </c>
      <c r="BC1970" s="185">
        <v>0.65</v>
      </c>
      <c r="BD1970" s="185">
        <v>0.43</v>
      </c>
      <c r="BE1970" s="185">
        <v>0.97</v>
      </c>
      <c r="BF1970" s="185" t="s">
        <v>7046</v>
      </c>
      <c r="BG1970" s="185"/>
      <c r="BH1970" s="9" t="s">
        <v>100</v>
      </c>
      <c r="BI1970" s="9" t="s">
        <v>100</v>
      </c>
      <c r="BJ1970" s="193"/>
      <c r="BN1970" s="193"/>
      <c r="BO1970" s="193"/>
    </row>
    <row r="1971" spans="1:67" s="194" customFormat="1" ht="91" hidden="1" x14ac:dyDescent="0.35">
      <c r="A1971" s="184">
        <v>4052</v>
      </c>
      <c r="B1971" s="184" t="s">
        <v>6910</v>
      </c>
      <c r="C1971" s="185" t="s">
        <v>58</v>
      </c>
      <c r="D1971" s="185" t="s">
        <v>7047</v>
      </c>
      <c r="E1971" s="184" t="s">
        <v>35</v>
      </c>
      <c r="F1971" s="184" t="s">
        <v>97</v>
      </c>
      <c r="G1971" s="184" t="s">
        <v>225</v>
      </c>
      <c r="H1971" s="184" t="s">
        <v>125</v>
      </c>
      <c r="I1971" s="184" t="s">
        <v>113</v>
      </c>
      <c r="J1971" s="185" t="s">
        <v>117</v>
      </c>
      <c r="K1971" s="185" t="s">
        <v>4821</v>
      </c>
      <c r="L1971" s="184" t="s">
        <v>276</v>
      </c>
      <c r="M1971" s="184" t="s">
        <v>276</v>
      </c>
      <c r="N1971" s="185" t="s">
        <v>7033</v>
      </c>
      <c r="O1971" s="185" t="s">
        <v>276</v>
      </c>
      <c r="P1971" s="185" t="s">
        <v>239</v>
      </c>
      <c r="Q1971" s="302" t="s">
        <v>276</v>
      </c>
      <c r="R1971" s="185" t="s">
        <v>7035</v>
      </c>
      <c r="S1971" s="185" t="s">
        <v>276</v>
      </c>
      <c r="T1971" s="185" t="s">
        <v>276</v>
      </c>
      <c r="U1971" s="187" t="s">
        <v>6859</v>
      </c>
      <c r="V1971" s="184" t="s">
        <v>15</v>
      </c>
      <c r="W1971" s="184" t="s">
        <v>6836</v>
      </c>
      <c r="X1971" s="185" t="s">
        <v>207</v>
      </c>
      <c r="Y1971" s="189">
        <v>11792</v>
      </c>
      <c r="Z1971" s="185">
        <v>14321</v>
      </c>
      <c r="AA1971" s="185" t="s">
        <v>276</v>
      </c>
      <c r="AB1971" s="185" t="s">
        <v>276</v>
      </c>
      <c r="AC1971" s="184">
        <v>10</v>
      </c>
      <c r="AD1971" s="185" t="s">
        <v>7036</v>
      </c>
      <c r="AE1971" s="184">
        <v>14</v>
      </c>
      <c r="AF1971" s="185" t="s">
        <v>7036</v>
      </c>
      <c r="AG1971" s="185" t="s">
        <v>7048</v>
      </c>
      <c r="AH1971" s="185" t="s">
        <v>7045</v>
      </c>
      <c r="AI1971" s="188">
        <v>76</v>
      </c>
      <c r="AJ1971" s="188">
        <v>96</v>
      </c>
      <c r="AK1971" s="189">
        <v>11792</v>
      </c>
      <c r="AL1971" s="185">
        <v>14321</v>
      </c>
      <c r="AM1971" s="188" t="s">
        <v>281</v>
      </c>
      <c r="AN1971" s="184" t="s">
        <v>276</v>
      </c>
      <c r="AO1971" s="338">
        <f>AI1971*1000/AK1971</f>
        <v>6.445047489823609</v>
      </c>
      <c r="AP1971" s="184" t="s">
        <v>276</v>
      </c>
      <c r="AQ1971" s="184" t="s">
        <v>276</v>
      </c>
      <c r="AR1971" s="190" t="s">
        <v>276</v>
      </c>
      <c r="AS1971" s="338">
        <f>AJ1971*1000/AL1971</f>
        <v>6.7034424970323299</v>
      </c>
      <c r="AT1971" s="184" t="s">
        <v>276</v>
      </c>
      <c r="AU1971" s="184" t="s">
        <v>276</v>
      </c>
      <c r="AV1971" s="184" t="s">
        <v>268</v>
      </c>
      <c r="AW1971" s="303" t="s">
        <v>276</v>
      </c>
      <c r="AX1971" s="437">
        <f>AO1971/AS1971</f>
        <v>0.96145338647670742</v>
      </c>
      <c r="AY1971" s="303" t="s">
        <v>276</v>
      </c>
      <c r="AZ1971" s="303" t="s">
        <v>276</v>
      </c>
      <c r="BA1971" s="303" t="s">
        <v>276</v>
      </c>
      <c r="BB1971" s="303" t="s">
        <v>282</v>
      </c>
      <c r="BC1971" s="185" t="s">
        <v>98</v>
      </c>
      <c r="BD1971" s="185" t="s">
        <v>98</v>
      </c>
      <c r="BE1971" s="185" t="s">
        <v>98</v>
      </c>
      <c r="BF1971" s="185" t="s">
        <v>426</v>
      </c>
      <c r="BG1971" s="185"/>
      <c r="BH1971" s="9" t="s">
        <v>100</v>
      </c>
      <c r="BI1971" s="9" t="s">
        <v>100</v>
      </c>
      <c r="BJ1971" s="193"/>
      <c r="BN1971" s="193"/>
      <c r="BO1971" s="193"/>
    </row>
    <row r="1972" spans="1:67" s="183" customFormat="1" ht="91" hidden="1" x14ac:dyDescent="0.35">
      <c r="A1972" s="175">
        <v>4052</v>
      </c>
      <c r="B1972" s="175" t="s">
        <v>6910</v>
      </c>
      <c r="C1972" s="176" t="s">
        <v>58</v>
      </c>
      <c r="D1972" s="176" t="s">
        <v>7049</v>
      </c>
      <c r="E1972" s="175" t="s">
        <v>35</v>
      </c>
      <c r="F1972" s="175" t="s">
        <v>97</v>
      </c>
      <c r="G1972" s="175" t="s">
        <v>225</v>
      </c>
      <c r="H1972" s="175" t="s">
        <v>125</v>
      </c>
      <c r="I1972" s="175" t="s">
        <v>113</v>
      </c>
      <c r="J1972" s="176" t="s">
        <v>117</v>
      </c>
      <c r="K1972" s="175" t="s">
        <v>4825</v>
      </c>
      <c r="L1972" s="175" t="s">
        <v>6939</v>
      </c>
      <c r="M1972" s="175" t="s">
        <v>276</v>
      </c>
      <c r="N1972" s="176" t="s">
        <v>7033</v>
      </c>
      <c r="O1972" s="176" t="s">
        <v>276</v>
      </c>
      <c r="P1972" s="176" t="s">
        <v>235</v>
      </c>
      <c r="Q1972" s="304" t="s">
        <v>276</v>
      </c>
      <c r="R1972" s="176" t="s">
        <v>7035</v>
      </c>
      <c r="S1972" s="176" t="s">
        <v>276</v>
      </c>
      <c r="T1972" s="176" t="s">
        <v>276</v>
      </c>
      <c r="U1972" s="176" t="s">
        <v>6859</v>
      </c>
      <c r="V1972" s="175" t="s">
        <v>14</v>
      </c>
      <c r="W1972" s="175" t="s">
        <v>6836</v>
      </c>
      <c r="X1972" s="176" t="s">
        <v>207</v>
      </c>
      <c r="Y1972" s="180" t="s">
        <v>98</v>
      </c>
      <c r="Z1972" s="179" t="s">
        <v>98</v>
      </c>
      <c r="AA1972" s="176" t="s">
        <v>276</v>
      </c>
      <c r="AB1972" s="176" t="s">
        <v>276</v>
      </c>
      <c r="AC1972" s="175">
        <v>10</v>
      </c>
      <c r="AD1972" s="176" t="s">
        <v>7036</v>
      </c>
      <c r="AE1972" s="175">
        <v>14</v>
      </c>
      <c r="AF1972" s="176" t="s">
        <v>7036</v>
      </c>
      <c r="AG1972" s="176" t="s">
        <v>7044</v>
      </c>
      <c r="AH1972" s="176" t="s">
        <v>7050</v>
      </c>
      <c r="AI1972" s="179">
        <v>39</v>
      </c>
      <c r="AJ1972" s="179">
        <v>73</v>
      </c>
      <c r="AK1972" s="179">
        <f>76+39+10</f>
        <v>125</v>
      </c>
      <c r="AL1972" s="179">
        <f>96+73+14</f>
        <v>183</v>
      </c>
      <c r="AM1972" s="179" t="s">
        <v>292</v>
      </c>
      <c r="AN1972" s="175" t="s">
        <v>276</v>
      </c>
      <c r="AO1972" s="201">
        <f>AI1972*100/AK1972</f>
        <v>31.2</v>
      </c>
      <c r="AP1972" s="175" t="s">
        <v>276</v>
      </c>
      <c r="AQ1972" s="175" t="s">
        <v>276</v>
      </c>
      <c r="AR1972" s="175" t="s">
        <v>276</v>
      </c>
      <c r="AS1972" s="201">
        <f>AJ1972*100/AL1972</f>
        <v>39.89071038251366</v>
      </c>
      <c r="AT1972" s="175" t="s">
        <v>276</v>
      </c>
      <c r="AU1972" s="175" t="s">
        <v>276</v>
      </c>
      <c r="AV1972" s="175" t="s">
        <v>268</v>
      </c>
      <c r="AW1972" s="305" t="s">
        <v>276</v>
      </c>
      <c r="AX1972" s="436">
        <f t="shared" ref="AX1972" si="566">AO1972/AS1972</f>
        <v>0.78213698630136985</v>
      </c>
      <c r="AY1972" s="176" t="s">
        <v>276</v>
      </c>
      <c r="AZ1972" s="176" t="s">
        <v>276</v>
      </c>
      <c r="BA1972" s="176" t="s">
        <v>276</v>
      </c>
      <c r="BB1972" s="176" t="s">
        <v>282</v>
      </c>
      <c r="BC1972" s="176" t="s">
        <v>98</v>
      </c>
      <c r="BD1972" s="176" t="s">
        <v>98</v>
      </c>
      <c r="BE1972" s="176" t="s">
        <v>98</v>
      </c>
      <c r="BF1972" s="176" t="s">
        <v>426</v>
      </c>
      <c r="BG1972" s="176"/>
      <c r="BH1972" s="9" t="s">
        <v>100</v>
      </c>
      <c r="BI1972" s="9" t="s">
        <v>100</v>
      </c>
      <c r="BJ1972" s="182"/>
      <c r="BN1972" s="182"/>
      <c r="BO1972" s="182"/>
    </row>
    <row r="1973" spans="1:67" s="194" customFormat="1" ht="91" hidden="1" x14ac:dyDescent="0.35">
      <c r="A1973" s="184">
        <v>4052</v>
      </c>
      <c r="B1973" s="184" t="s">
        <v>6910</v>
      </c>
      <c r="C1973" s="185" t="s">
        <v>58</v>
      </c>
      <c r="D1973" s="185" t="s">
        <v>7051</v>
      </c>
      <c r="E1973" s="184" t="s">
        <v>35</v>
      </c>
      <c r="F1973" s="184" t="s">
        <v>97</v>
      </c>
      <c r="G1973" s="184" t="s">
        <v>225</v>
      </c>
      <c r="H1973" s="184" t="s">
        <v>125</v>
      </c>
      <c r="I1973" s="184" t="s">
        <v>113</v>
      </c>
      <c r="J1973" s="185" t="s">
        <v>117</v>
      </c>
      <c r="K1973" s="185" t="s">
        <v>4825</v>
      </c>
      <c r="L1973" s="184" t="s">
        <v>276</v>
      </c>
      <c r="M1973" s="184" t="s">
        <v>276</v>
      </c>
      <c r="N1973" s="185" t="s">
        <v>7033</v>
      </c>
      <c r="O1973" s="185" t="s">
        <v>276</v>
      </c>
      <c r="P1973" s="185" t="s">
        <v>239</v>
      </c>
      <c r="Q1973" s="302" t="s">
        <v>276</v>
      </c>
      <c r="R1973" s="185" t="s">
        <v>7035</v>
      </c>
      <c r="S1973" s="185" t="s">
        <v>276</v>
      </c>
      <c r="T1973" s="185" t="s">
        <v>276</v>
      </c>
      <c r="U1973" s="187" t="s">
        <v>6859</v>
      </c>
      <c r="V1973" s="184" t="s">
        <v>15</v>
      </c>
      <c r="W1973" s="184" t="s">
        <v>3038</v>
      </c>
      <c r="X1973" s="185" t="s">
        <v>207</v>
      </c>
      <c r="Y1973" s="189">
        <v>10112</v>
      </c>
      <c r="Z1973" s="185">
        <v>15997</v>
      </c>
      <c r="AA1973" s="185" t="s">
        <v>276</v>
      </c>
      <c r="AB1973" s="185" t="s">
        <v>276</v>
      </c>
      <c r="AC1973" s="184">
        <v>17</v>
      </c>
      <c r="AD1973" s="185" t="s">
        <v>7036</v>
      </c>
      <c r="AE1973" s="184">
        <v>28</v>
      </c>
      <c r="AF1973" s="185" t="s">
        <v>7036</v>
      </c>
      <c r="AG1973" s="185" t="s">
        <v>7052</v>
      </c>
      <c r="AH1973" s="185" t="s">
        <v>7053</v>
      </c>
      <c r="AI1973" s="188">
        <v>46</v>
      </c>
      <c r="AJ1973" s="188">
        <v>74</v>
      </c>
      <c r="AK1973" s="189">
        <v>10112</v>
      </c>
      <c r="AL1973" s="185">
        <v>15997</v>
      </c>
      <c r="AM1973" s="188" t="s">
        <v>281</v>
      </c>
      <c r="AN1973" s="184" t="s">
        <v>276</v>
      </c>
      <c r="AO1973" s="338">
        <f>AI1973*1000/AK1973</f>
        <v>4.549050632911392</v>
      </c>
      <c r="AP1973" s="184" t="s">
        <v>276</v>
      </c>
      <c r="AQ1973" s="184" t="s">
        <v>276</v>
      </c>
      <c r="AR1973" s="190" t="s">
        <v>276</v>
      </c>
      <c r="AS1973" s="338">
        <f>AJ1973*1000/AL1973</f>
        <v>4.6258673501281491</v>
      </c>
      <c r="AT1973" s="184" t="s">
        <v>276</v>
      </c>
      <c r="AU1973" s="184" t="s">
        <v>276</v>
      </c>
      <c r="AV1973" s="184" t="s">
        <v>268</v>
      </c>
      <c r="AW1973" s="303" t="s">
        <v>276</v>
      </c>
      <c r="AX1973" s="437">
        <f>AO1973/AS1973</f>
        <v>0.98339409425248026</v>
      </c>
      <c r="AY1973" s="303" t="s">
        <v>276</v>
      </c>
      <c r="AZ1973" s="303" t="s">
        <v>276</v>
      </c>
      <c r="BA1973" s="303" t="s">
        <v>276</v>
      </c>
      <c r="BB1973" s="185" t="s">
        <v>6914</v>
      </c>
      <c r="BC1973" s="185">
        <v>0.98</v>
      </c>
      <c r="BD1973" s="185">
        <v>0.67</v>
      </c>
      <c r="BE1973" s="185">
        <v>1.43</v>
      </c>
      <c r="BF1973" s="185" t="s">
        <v>7054</v>
      </c>
      <c r="BG1973" s="185"/>
      <c r="BH1973" s="9" t="s">
        <v>100</v>
      </c>
      <c r="BI1973" s="9" t="s">
        <v>100</v>
      </c>
      <c r="BJ1973" s="193"/>
      <c r="BN1973" s="193"/>
      <c r="BO1973" s="193"/>
    </row>
    <row r="1974" spans="1:67" s="194" customFormat="1" ht="91" hidden="1" x14ac:dyDescent="0.35">
      <c r="A1974" s="184">
        <v>4052</v>
      </c>
      <c r="B1974" s="184" t="s">
        <v>6910</v>
      </c>
      <c r="C1974" s="185" t="s">
        <v>58</v>
      </c>
      <c r="D1974" s="185" t="s">
        <v>7055</v>
      </c>
      <c r="E1974" s="184" t="s">
        <v>35</v>
      </c>
      <c r="F1974" s="184" t="s">
        <v>97</v>
      </c>
      <c r="G1974" s="184" t="s">
        <v>225</v>
      </c>
      <c r="H1974" s="184" t="s">
        <v>125</v>
      </c>
      <c r="I1974" s="184" t="s">
        <v>113</v>
      </c>
      <c r="J1974" s="185" t="s">
        <v>117</v>
      </c>
      <c r="K1974" s="185" t="s">
        <v>4821</v>
      </c>
      <c r="L1974" s="184" t="s">
        <v>276</v>
      </c>
      <c r="M1974" s="184" t="s">
        <v>276</v>
      </c>
      <c r="N1974" s="185" t="s">
        <v>7033</v>
      </c>
      <c r="O1974" s="185" t="s">
        <v>276</v>
      </c>
      <c r="P1974" s="185" t="s">
        <v>239</v>
      </c>
      <c r="Q1974" s="302" t="s">
        <v>276</v>
      </c>
      <c r="R1974" s="185" t="s">
        <v>7035</v>
      </c>
      <c r="S1974" s="185" t="s">
        <v>276</v>
      </c>
      <c r="T1974" s="185" t="s">
        <v>276</v>
      </c>
      <c r="U1974" s="187" t="s">
        <v>6859</v>
      </c>
      <c r="V1974" s="184" t="s">
        <v>15</v>
      </c>
      <c r="W1974" s="184" t="s">
        <v>3038</v>
      </c>
      <c r="X1974" s="185" t="s">
        <v>207</v>
      </c>
      <c r="Y1974" s="189">
        <v>10112</v>
      </c>
      <c r="Z1974" s="185">
        <v>15997</v>
      </c>
      <c r="AA1974" s="185" t="s">
        <v>276</v>
      </c>
      <c r="AB1974" s="185" t="s">
        <v>276</v>
      </c>
      <c r="AC1974" s="184">
        <v>17</v>
      </c>
      <c r="AD1974" s="185" t="s">
        <v>7036</v>
      </c>
      <c r="AE1974" s="184">
        <v>28</v>
      </c>
      <c r="AF1974" s="185" t="s">
        <v>7036</v>
      </c>
      <c r="AG1974" s="185" t="s">
        <v>7056</v>
      </c>
      <c r="AH1974" s="185" t="s">
        <v>7053</v>
      </c>
      <c r="AI1974" s="188">
        <v>84</v>
      </c>
      <c r="AJ1974" s="188">
        <v>132</v>
      </c>
      <c r="AK1974" s="189">
        <v>10112</v>
      </c>
      <c r="AL1974" s="185">
        <v>15997</v>
      </c>
      <c r="AM1974" s="188" t="s">
        <v>281</v>
      </c>
      <c r="AN1974" s="184" t="s">
        <v>276</v>
      </c>
      <c r="AO1974" s="338">
        <f>AI1974*1000/AK1974</f>
        <v>8.3069620253164551</v>
      </c>
      <c r="AP1974" s="184" t="s">
        <v>276</v>
      </c>
      <c r="AQ1974" s="184" t="s">
        <v>276</v>
      </c>
      <c r="AR1974" s="190" t="s">
        <v>276</v>
      </c>
      <c r="AS1974" s="338">
        <f>AJ1974*1000/AL1974</f>
        <v>8.2515471650934558</v>
      </c>
      <c r="AT1974" s="184" t="s">
        <v>276</v>
      </c>
      <c r="AU1974" s="184" t="s">
        <v>276</v>
      </c>
      <c r="AV1974" s="184" t="s">
        <v>268</v>
      </c>
      <c r="AW1974" s="303" t="s">
        <v>276</v>
      </c>
      <c r="AX1974" s="437">
        <f>AO1974/AS1974</f>
        <v>1.0067156933256616</v>
      </c>
      <c r="AY1974" s="303" t="s">
        <v>276</v>
      </c>
      <c r="AZ1974" s="303" t="s">
        <v>276</v>
      </c>
      <c r="BA1974" s="303" t="s">
        <v>276</v>
      </c>
      <c r="BB1974" s="303" t="s">
        <v>282</v>
      </c>
      <c r="BC1974" s="185" t="s">
        <v>98</v>
      </c>
      <c r="BD1974" s="185" t="s">
        <v>98</v>
      </c>
      <c r="BE1974" s="185" t="s">
        <v>98</v>
      </c>
      <c r="BF1974" s="185" t="s">
        <v>426</v>
      </c>
      <c r="BG1974" s="185"/>
      <c r="BH1974" s="9" t="s">
        <v>100</v>
      </c>
      <c r="BI1974" s="9" t="s">
        <v>100</v>
      </c>
      <c r="BJ1974" s="193"/>
      <c r="BN1974" s="193"/>
      <c r="BO1974" s="193"/>
    </row>
    <row r="1975" spans="1:67" s="183" customFormat="1" ht="91" hidden="1" x14ac:dyDescent="0.35">
      <c r="A1975" s="175">
        <v>4052</v>
      </c>
      <c r="B1975" s="175" t="s">
        <v>6910</v>
      </c>
      <c r="C1975" s="176" t="s">
        <v>58</v>
      </c>
      <c r="D1975" s="176" t="s">
        <v>7057</v>
      </c>
      <c r="E1975" s="175" t="s">
        <v>35</v>
      </c>
      <c r="F1975" s="175" t="s">
        <v>97</v>
      </c>
      <c r="G1975" s="175" t="s">
        <v>225</v>
      </c>
      <c r="H1975" s="175" t="s">
        <v>125</v>
      </c>
      <c r="I1975" s="175" t="s">
        <v>113</v>
      </c>
      <c r="J1975" s="176" t="s">
        <v>117</v>
      </c>
      <c r="K1975" s="176" t="s">
        <v>4825</v>
      </c>
      <c r="L1975" s="175" t="s">
        <v>6939</v>
      </c>
      <c r="M1975" s="175" t="s">
        <v>276</v>
      </c>
      <c r="N1975" s="176" t="s">
        <v>7033</v>
      </c>
      <c r="O1975" s="176" t="s">
        <v>276</v>
      </c>
      <c r="P1975" s="176" t="s">
        <v>235</v>
      </c>
      <c r="Q1975" s="304" t="s">
        <v>276</v>
      </c>
      <c r="R1975" s="176" t="s">
        <v>7035</v>
      </c>
      <c r="S1975" s="176" t="s">
        <v>276</v>
      </c>
      <c r="T1975" s="176" t="s">
        <v>276</v>
      </c>
      <c r="U1975" s="176" t="s">
        <v>6859</v>
      </c>
      <c r="V1975" s="175" t="s">
        <v>14</v>
      </c>
      <c r="W1975" s="175" t="s">
        <v>3038</v>
      </c>
      <c r="X1975" s="176" t="s">
        <v>207</v>
      </c>
      <c r="Y1975" s="180" t="s">
        <v>98</v>
      </c>
      <c r="Z1975" s="179" t="s">
        <v>98</v>
      </c>
      <c r="AA1975" s="176" t="s">
        <v>276</v>
      </c>
      <c r="AB1975" s="176" t="s">
        <v>276</v>
      </c>
      <c r="AC1975" s="175">
        <v>17</v>
      </c>
      <c r="AD1975" s="176" t="s">
        <v>7036</v>
      </c>
      <c r="AE1975" s="175">
        <v>28</v>
      </c>
      <c r="AF1975" s="176" t="s">
        <v>7036</v>
      </c>
      <c r="AG1975" s="176" t="s">
        <v>7052</v>
      </c>
      <c r="AH1975" s="176" t="s">
        <v>7058</v>
      </c>
      <c r="AI1975" s="179">
        <v>46</v>
      </c>
      <c r="AJ1975" s="179">
        <v>74</v>
      </c>
      <c r="AK1975" s="179">
        <f>84+46+17</f>
        <v>147</v>
      </c>
      <c r="AL1975" s="179">
        <f>74+132+28</f>
        <v>234</v>
      </c>
      <c r="AM1975" s="179" t="s">
        <v>292</v>
      </c>
      <c r="AN1975" s="175" t="s">
        <v>276</v>
      </c>
      <c r="AO1975" s="201">
        <f>AI1975*100/AK1975</f>
        <v>31.292517006802722</v>
      </c>
      <c r="AP1975" s="175" t="s">
        <v>276</v>
      </c>
      <c r="AQ1975" s="175" t="s">
        <v>276</v>
      </c>
      <c r="AR1975" s="175" t="s">
        <v>276</v>
      </c>
      <c r="AS1975" s="201">
        <f>AJ1975*100/AL1975</f>
        <v>31.623931623931625</v>
      </c>
      <c r="AT1975" s="175" t="s">
        <v>276</v>
      </c>
      <c r="AU1975" s="175" t="s">
        <v>276</v>
      </c>
      <c r="AV1975" s="175" t="s">
        <v>268</v>
      </c>
      <c r="AW1975" s="305" t="s">
        <v>276</v>
      </c>
      <c r="AX1975" s="436">
        <f t="shared" ref="AX1975" si="567">AO1975/AS1975</f>
        <v>0.98952013237727521</v>
      </c>
      <c r="AY1975" s="176" t="s">
        <v>276</v>
      </c>
      <c r="AZ1975" s="176" t="s">
        <v>276</v>
      </c>
      <c r="BA1975" s="176" t="s">
        <v>276</v>
      </c>
      <c r="BB1975" s="176" t="s">
        <v>282</v>
      </c>
      <c r="BC1975" s="176" t="s">
        <v>98</v>
      </c>
      <c r="BD1975" s="176" t="s">
        <v>98</v>
      </c>
      <c r="BE1975" s="176" t="s">
        <v>98</v>
      </c>
      <c r="BF1975" s="176" t="s">
        <v>426</v>
      </c>
      <c r="BG1975" s="176"/>
      <c r="BH1975" s="9" t="s">
        <v>100</v>
      </c>
      <c r="BI1975" s="9" t="s">
        <v>100</v>
      </c>
      <c r="BJ1975" s="182"/>
      <c r="BN1975" s="182"/>
      <c r="BO1975" s="182"/>
    </row>
    <row r="1976" spans="1:67" s="528" customFormat="1" ht="65" hidden="1" x14ac:dyDescent="0.35">
      <c r="A1976" s="8">
        <v>246</v>
      </c>
      <c r="B1976" s="8" t="s">
        <v>7076</v>
      </c>
      <c r="C1976" s="9" t="s">
        <v>59</v>
      </c>
      <c r="D1976" s="9" t="s">
        <v>7077</v>
      </c>
      <c r="E1976" s="8" t="s">
        <v>36</v>
      </c>
      <c r="F1976" s="8" t="s">
        <v>123</v>
      </c>
      <c r="G1976" s="8" t="s">
        <v>225</v>
      </c>
      <c r="H1976" s="8" t="s">
        <v>225</v>
      </c>
      <c r="I1976" s="8" t="s">
        <v>98</v>
      </c>
      <c r="J1976" s="9" t="s">
        <v>98</v>
      </c>
      <c r="K1976" s="8" t="s">
        <v>98</v>
      </c>
      <c r="L1976" s="8" t="s">
        <v>98</v>
      </c>
      <c r="M1976" s="8" t="s">
        <v>98</v>
      </c>
      <c r="N1976" s="9" t="s">
        <v>7078</v>
      </c>
      <c r="O1976" s="9" t="s">
        <v>276</v>
      </c>
      <c r="P1976" s="9" t="s">
        <v>238</v>
      </c>
      <c r="Q1976" s="52">
        <v>31382</v>
      </c>
      <c r="R1976" s="9" t="s">
        <v>276</v>
      </c>
      <c r="S1976" s="9" t="s">
        <v>7079</v>
      </c>
      <c r="T1976" s="9" t="s">
        <v>98</v>
      </c>
      <c r="U1976" s="9">
        <v>2</v>
      </c>
      <c r="V1976" s="8" t="s">
        <v>14</v>
      </c>
      <c r="W1976" s="9" t="s">
        <v>7080</v>
      </c>
      <c r="X1976" s="9" t="s">
        <v>209</v>
      </c>
      <c r="Y1976" s="13">
        <v>13759</v>
      </c>
      <c r="Z1976" s="9" t="s">
        <v>98</v>
      </c>
      <c r="AA1976" s="9" t="s">
        <v>276</v>
      </c>
      <c r="AB1976" s="9" t="s">
        <v>98</v>
      </c>
      <c r="AC1976" s="8">
        <v>0</v>
      </c>
      <c r="AD1976" s="8" t="s">
        <v>6723</v>
      </c>
      <c r="AE1976" s="8" t="s">
        <v>98</v>
      </c>
      <c r="AF1976" s="8" t="s">
        <v>98</v>
      </c>
      <c r="AG1976" s="9" t="s">
        <v>7081</v>
      </c>
      <c r="AH1976" s="9" t="s">
        <v>7082</v>
      </c>
      <c r="AI1976" s="38">
        <v>35</v>
      </c>
      <c r="AJ1976" s="38" t="s">
        <v>98</v>
      </c>
      <c r="AK1976" s="38">
        <v>13579</v>
      </c>
      <c r="AL1976" s="38" t="s">
        <v>98</v>
      </c>
      <c r="AM1976" s="38" t="s">
        <v>2047</v>
      </c>
      <c r="AN1976" s="8" t="s">
        <v>276</v>
      </c>
      <c r="AO1976" s="31">
        <f>AI1976*1000/AK1976</f>
        <v>2.5775093894984904</v>
      </c>
      <c r="AP1976" s="8" t="s">
        <v>276</v>
      </c>
      <c r="AQ1976" s="8" t="s">
        <v>276</v>
      </c>
      <c r="AR1976" s="8" t="s">
        <v>98</v>
      </c>
      <c r="AS1976" s="8" t="s">
        <v>98</v>
      </c>
      <c r="AT1976" s="8" t="s">
        <v>98</v>
      </c>
      <c r="AU1976" s="8" t="s">
        <v>98</v>
      </c>
      <c r="AV1976" s="8" t="s">
        <v>98</v>
      </c>
      <c r="AW1976" s="8" t="s">
        <v>98</v>
      </c>
      <c r="AX1976" s="8" t="s">
        <v>98</v>
      </c>
      <c r="AY1976" s="8" t="s">
        <v>98</v>
      </c>
      <c r="AZ1976" s="8" t="s">
        <v>98</v>
      </c>
      <c r="BA1976" s="8" t="s">
        <v>98</v>
      </c>
      <c r="BB1976" s="8" t="s">
        <v>98</v>
      </c>
      <c r="BC1976" s="8" t="s">
        <v>98</v>
      </c>
      <c r="BD1976" s="8" t="s">
        <v>98</v>
      </c>
      <c r="BE1976" s="8" t="s">
        <v>98</v>
      </c>
      <c r="BF1976" s="9" t="s">
        <v>298</v>
      </c>
      <c r="BG1976" s="9"/>
      <c r="BH1976" s="9" t="s">
        <v>100</v>
      </c>
      <c r="BI1976" s="9" t="s">
        <v>100</v>
      </c>
      <c r="BJ1976" s="527"/>
      <c r="BN1976" s="527"/>
      <c r="BO1976" s="527"/>
    </row>
    <row r="1977" spans="1:67" s="528" customFormat="1" ht="65" hidden="1" x14ac:dyDescent="0.35">
      <c r="A1977" s="8">
        <v>246</v>
      </c>
      <c r="B1977" s="8" t="s">
        <v>7076</v>
      </c>
      <c r="C1977" s="9" t="s">
        <v>59</v>
      </c>
      <c r="D1977" s="9" t="s">
        <v>7083</v>
      </c>
      <c r="E1977" s="8" t="s">
        <v>36</v>
      </c>
      <c r="F1977" s="8" t="s">
        <v>123</v>
      </c>
      <c r="G1977" s="8" t="s">
        <v>225</v>
      </c>
      <c r="H1977" s="8" t="s">
        <v>225</v>
      </c>
      <c r="I1977" s="8" t="s">
        <v>98</v>
      </c>
      <c r="J1977" s="9" t="s">
        <v>98</v>
      </c>
      <c r="K1977" s="8" t="s">
        <v>98</v>
      </c>
      <c r="L1977" s="8" t="s">
        <v>98</v>
      </c>
      <c r="M1977" s="8" t="s">
        <v>98</v>
      </c>
      <c r="N1977" s="9" t="s">
        <v>7078</v>
      </c>
      <c r="O1977" s="9" t="s">
        <v>276</v>
      </c>
      <c r="P1977" s="9" t="s">
        <v>238</v>
      </c>
      <c r="Q1977" s="52">
        <v>31382</v>
      </c>
      <c r="R1977" s="9" t="s">
        <v>276</v>
      </c>
      <c r="S1977" s="9" t="s">
        <v>7079</v>
      </c>
      <c r="T1977" s="9" t="s">
        <v>98</v>
      </c>
      <c r="U1977" s="9">
        <v>2</v>
      </c>
      <c r="V1977" s="8" t="s">
        <v>14</v>
      </c>
      <c r="W1977" s="9" t="s">
        <v>7080</v>
      </c>
      <c r="X1977" s="9" t="s">
        <v>209</v>
      </c>
      <c r="Y1977" s="13">
        <v>13759</v>
      </c>
      <c r="Z1977" s="9" t="s">
        <v>98</v>
      </c>
      <c r="AA1977" s="9" t="s">
        <v>276</v>
      </c>
      <c r="AB1977" s="9" t="s">
        <v>98</v>
      </c>
      <c r="AC1977" s="8">
        <v>0</v>
      </c>
      <c r="AD1977" s="8" t="s">
        <v>6723</v>
      </c>
      <c r="AE1977" s="8" t="s">
        <v>98</v>
      </c>
      <c r="AF1977" s="8" t="s">
        <v>98</v>
      </c>
      <c r="AG1977" s="9" t="s">
        <v>7084</v>
      </c>
      <c r="AH1977" s="9" t="s">
        <v>7082</v>
      </c>
      <c r="AI1977" s="38">
        <v>149</v>
      </c>
      <c r="AJ1977" s="38" t="s">
        <v>98</v>
      </c>
      <c r="AK1977" s="38">
        <v>13579</v>
      </c>
      <c r="AL1977" s="38" t="s">
        <v>98</v>
      </c>
      <c r="AM1977" s="38" t="s">
        <v>2047</v>
      </c>
      <c r="AN1977" s="8" t="s">
        <v>276</v>
      </c>
      <c r="AO1977" s="31">
        <f>AI1977*1000/AK1977</f>
        <v>10.972825686722144</v>
      </c>
      <c r="AP1977" s="8" t="s">
        <v>276</v>
      </c>
      <c r="AQ1977" s="8" t="s">
        <v>276</v>
      </c>
      <c r="AR1977" s="8" t="s">
        <v>98</v>
      </c>
      <c r="AS1977" s="8" t="s">
        <v>98</v>
      </c>
      <c r="AT1977" s="8" t="s">
        <v>98</v>
      </c>
      <c r="AU1977" s="8" t="s">
        <v>98</v>
      </c>
      <c r="AV1977" s="8" t="s">
        <v>98</v>
      </c>
      <c r="AW1977" s="8" t="s">
        <v>98</v>
      </c>
      <c r="AX1977" s="8" t="s">
        <v>98</v>
      </c>
      <c r="AY1977" s="8" t="s">
        <v>98</v>
      </c>
      <c r="AZ1977" s="8" t="s">
        <v>98</v>
      </c>
      <c r="BA1977" s="8" t="s">
        <v>98</v>
      </c>
      <c r="BB1977" s="8" t="s">
        <v>98</v>
      </c>
      <c r="BC1977" s="8" t="s">
        <v>98</v>
      </c>
      <c r="BD1977" s="8" t="s">
        <v>98</v>
      </c>
      <c r="BE1977" s="8" t="s">
        <v>98</v>
      </c>
      <c r="BF1977" s="9" t="s">
        <v>298</v>
      </c>
      <c r="BG1977" s="9"/>
      <c r="BH1977" s="9" t="s">
        <v>100</v>
      </c>
      <c r="BI1977" s="9" t="s">
        <v>100</v>
      </c>
      <c r="BJ1977" s="527"/>
      <c r="BN1977" s="527"/>
      <c r="BO1977" s="527"/>
    </row>
    <row r="1978" spans="1:67" s="528" customFormat="1" ht="65" hidden="1" x14ac:dyDescent="0.35">
      <c r="A1978" s="8">
        <v>246</v>
      </c>
      <c r="B1978" s="8" t="s">
        <v>7076</v>
      </c>
      <c r="C1978" s="9" t="s">
        <v>59</v>
      </c>
      <c r="D1978" s="9" t="s">
        <v>7085</v>
      </c>
      <c r="E1978" s="8" t="s">
        <v>36</v>
      </c>
      <c r="F1978" s="8" t="s">
        <v>123</v>
      </c>
      <c r="G1978" s="8" t="s">
        <v>225</v>
      </c>
      <c r="H1978" s="8" t="s">
        <v>225</v>
      </c>
      <c r="I1978" s="8" t="s">
        <v>98</v>
      </c>
      <c r="J1978" s="9" t="s">
        <v>98</v>
      </c>
      <c r="K1978" s="8" t="s">
        <v>98</v>
      </c>
      <c r="L1978" s="8" t="s">
        <v>98</v>
      </c>
      <c r="M1978" s="8" t="s">
        <v>98</v>
      </c>
      <c r="N1978" s="9" t="s">
        <v>7078</v>
      </c>
      <c r="O1978" s="9" t="s">
        <v>276</v>
      </c>
      <c r="P1978" s="9" t="s">
        <v>238</v>
      </c>
      <c r="Q1978" s="52">
        <v>31382</v>
      </c>
      <c r="R1978" s="9" t="s">
        <v>276</v>
      </c>
      <c r="S1978" s="9" t="s">
        <v>7079</v>
      </c>
      <c r="T1978" s="9" t="s">
        <v>98</v>
      </c>
      <c r="U1978" s="9">
        <v>2</v>
      </c>
      <c r="V1978" s="8" t="s">
        <v>14</v>
      </c>
      <c r="W1978" s="9" t="s">
        <v>7080</v>
      </c>
      <c r="X1978" s="9" t="s">
        <v>209</v>
      </c>
      <c r="Y1978" s="13">
        <v>13759</v>
      </c>
      <c r="Z1978" s="9" t="s">
        <v>98</v>
      </c>
      <c r="AA1978" s="9" t="s">
        <v>276</v>
      </c>
      <c r="AB1978" s="9" t="s">
        <v>98</v>
      </c>
      <c r="AC1978" s="8">
        <v>0</v>
      </c>
      <c r="AD1978" s="8" t="s">
        <v>6723</v>
      </c>
      <c r="AE1978" s="8" t="s">
        <v>98</v>
      </c>
      <c r="AF1978" s="8" t="s">
        <v>98</v>
      </c>
      <c r="AG1978" s="9" t="s">
        <v>7086</v>
      </c>
      <c r="AH1978" s="9" t="s">
        <v>7082</v>
      </c>
      <c r="AI1978" s="38">
        <f>149+35</f>
        <v>184</v>
      </c>
      <c r="AJ1978" s="38" t="s">
        <v>98</v>
      </c>
      <c r="AK1978" s="38">
        <v>13579</v>
      </c>
      <c r="AL1978" s="38" t="s">
        <v>98</v>
      </c>
      <c r="AM1978" s="38" t="s">
        <v>2047</v>
      </c>
      <c r="AN1978" s="8" t="s">
        <v>276</v>
      </c>
      <c r="AO1978" s="31">
        <f>AI1978*1000/AK1978</f>
        <v>13.550335076220636</v>
      </c>
      <c r="AP1978" s="8" t="s">
        <v>276</v>
      </c>
      <c r="AQ1978" s="8" t="s">
        <v>276</v>
      </c>
      <c r="AR1978" s="8" t="s">
        <v>98</v>
      </c>
      <c r="AS1978" s="8" t="s">
        <v>98</v>
      </c>
      <c r="AT1978" s="8" t="s">
        <v>98</v>
      </c>
      <c r="AU1978" s="8" t="s">
        <v>98</v>
      </c>
      <c r="AV1978" s="8" t="s">
        <v>98</v>
      </c>
      <c r="AW1978" s="8" t="s">
        <v>98</v>
      </c>
      <c r="AX1978" s="8" t="s">
        <v>98</v>
      </c>
      <c r="AY1978" s="8" t="s">
        <v>98</v>
      </c>
      <c r="AZ1978" s="8" t="s">
        <v>98</v>
      </c>
      <c r="BA1978" s="8" t="s">
        <v>98</v>
      </c>
      <c r="BB1978" s="8" t="s">
        <v>98</v>
      </c>
      <c r="BC1978" s="8" t="s">
        <v>98</v>
      </c>
      <c r="BD1978" s="8" t="s">
        <v>98</v>
      </c>
      <c r="BE1978" s="8" t="s">
        <v>98</v>
      </c>
      <c r="BF1978" s="9" t="s">
        <v>7087</v>
      </c>
      <c r="BG1978" s="9"/>
      <c r="BH1978" s="9" t="s">
        <v>100</v>
      </c>
      <c r="BI1978" s="9" t="s">
        <v>100</v>
      </c>
      <c r="BJ1978" s="527"/>
      <c r="BN1978" s="527"/>
      <c r="BO1978" s="527"/>
    </row>
    <row r="1979" spans="1:67" s="528" customFormat="1" ht="65" hidden="1" x14ac:dyDescent="0.35">
      <c r="A1979" s="8">
        <v>246</v>
      </c>
      <c r="B1979" s="8" t="s">
        <v>7076</v>
      </c>
      <c r="C1979" s="9" t="s">
        <v>59</v>
      </c>
      <c r="D1979" s="9" t="s">
        <v>7088</v>
      </c>
      <c r="E1979" s="8" t="s">
        <v>36</v>
      </c>
      <c r="F1979" s="8" t="s">
        <v>123</v>
      </c>
      <c r="G1979" s="8" t="s">
        <v>225</v>
      </c>
      <c r="H1979" s="8" t="s">
        <v>225</v>
      </c>
      <c r="I1979" s="8" t="s">
        <v>98</v>
      </c>
      <c r="J1979" s="9" t="s">
        <v>98</v>
      </c>
      <c r="K1979" s="8" t="s">
        <v>98</v>
      </c>
      <c r="L1979" s="8" t="s">
        <v>98</v>
      </c>
      <c r="M1979" s="8" t="s">
        <v>98</v>
      </c>
      <c r="N1979" s="9" t="s">
        <v>7078</v>
      </c>
      <c r="O1979" s="9" t="s">
        <v>276</v>
      </c>
      <c r="P1979" s="9" t="s">
        <v>236</v>
      </c>
      <c r="Q1979" s="52">
        <v>31382</v>
      </c>
      <c r="R1979" s="9" t="s">
        <v>276</v>
      </c>
      <c r="S1979" s="9" t="s">
        <v>7079</v>
      </c>
      <c r="T1979" s="9" t="s">
        <v>98</v>
      </c>
      <c r="U1979" s="9">
        <v>2</v>
      </c>
      <c r="V1979" s="8" t="s">
        <v>14</v>
      </c>
      <c r="W1979" s="9" t="s">
        <v>7080</v>
      </c>
      <c r="X1979" s="9" t="s">
        <v>209</v>
      </c>
      <c r="Y1979" s="13" t="s">
        <v>98</v>
      </c>
      <c r="Z1979" s="9" t="s">
        <v>98</v>
      </c>
      <c r="AA1979" s="9" t="s">
        <v>276</v>
      </c>
      <c r="AB1979" s="9" t="s">
        <v>98</v>
      </c>
      <c r="AC1979" s="8">
        <v>0</v>
      </c>
      <c r="AD1979" s="8" t="s">
        <v>6723</v>
      </c>
      <c r="AE1979" s="8" t="s">
        <v>98</v>
      </c>
      <c r="AF1979" s="8" t="s">
        <v>98</v>
      </c>
      <c r="AG1979" s="9" t="s">
        <v>7089</v>
      </c>
      <c r="AH1979" s="9" t="s">
        <v>7090</v>
      </c>
      <c r="AI1979" s="38">
        <v>35</v>
      </c>
      <c r="AJ1979" s="38" t="s">
        <v>98</v>
      </c>
      <c r="AK1979" s="38">
        <v>61</v>
      </c>
      <c r="AL1979" s="38" t="s">
        <v>98</v>
      </c>
      <c r="AM1979" s="38" t="s">
        <v>292</v>
      </c>
      <c r="AN1979" s="8" t="s">
        <v>276</v>
      </c>
      <c r="AO1979" s="31">
        <f>AI1979*100/AK1979</f>
        <v>57.377049180327866</v>
      </c>
      <c r="AP1979" s="8" t="s">
        <v>276</v>
      </c>
      <c r="AQ1979" s="8" t="s">
        <v>276</v>
      </c>
      <c r="AR1979" s="8" t="s">
        <v>98</v>
      </c>
      <c r="AS1979" s="8" t="s">
        <v>98</v>
      </c>
      <c r="AT1979" s="8" t="s">
        <v>98</v>
      </c>
      <c r="AU1979" s="8" t="s">
        <v>98</v>
      </c>
      <c r="AV1979" s="8" t="s">
        <v>98</v>
      </c>
      <c r="AW1979" s="8" t="s">
        <v>98</v>
      </c>
      <c r="AX1979" s="8" t="s">
        <v>98</v>
      </c>
      <c r="AY1979" s="8" t="s">
        <v>98</v>
      </c>
      <c r="AZ1979" s="8" t="s">
        <v>98</v>
      </c>
      <c r="BA1979" s="8" t="s">
        <v>98</v>
      </c>
      <c r="BB1979" s="8" t="s">
        <v>98</v>
      </c>
      <c r="BC1979" s="8" t="s">
        <v>98</v>
      </c>
      <c r="BD1979" s="8" t="s">
        <v>98</v>
      </c>
      <c r="BE1979" s="8" t="s">
        <v>98</v>
      </c>
      <c r="BF1979" s="9" t="s">
        <v>7091</v>
      </c>
      <c r="BG1979" s="9"/>
      <c r="BH1979" s="9" t="s">
        <v>100</v>
      </c>
      <c r="BI1979" s="9" t="s">
        <v>100</v>
      </c>
      <c r="BJ1979" s="527"/>
      <c r="BN1979" s="527"/>
      <c r="BO1979" s="527"/>
    </row>
    <row r="1980" spans="1:67" s="530" customFormat="1" ht="65" hidden="1" x14ac:dyDescent="0.35">
      <c r="A1980" s="72">
        <v>246</v>
      </c>
      <c r="B1980" s="72" t="s">
        <v>7076</v>
      </c>
      <c r="C1980" s="73" t="s">
        <v>59</v>
      </c>
      <c r="D1980" s="73" t="s">
        <v>7092</v>
      </c>
      <c r="E1980" s="72" t="s">
        <v>36</v>
      </c>
      <c r="F1980" s="72" t="s">
        <v>123</v>
      </c>
      <c r="G1980" s="72" t="s">
        <v>225</v>
      </c>
      <c r="H1980" s="72" t="s">
        <v>125</v>
      </c>
      <c r="I1980" s="72" t="s">
        <v>114</v>
      </c>
      <c r="J1980" s="73" t="s">
        <v>28</v>
      </c>
      <c r="K1980" s="72" t="s">
        <v>6737</v>
      </c>
      <c r="L1980" s="72" t="s">
        <v>276</v>
      </c>
      <c r="M1980" s="72" t="s">
        <v>276</v>
      </c>
      <c r="N1980" s="73" t="s">
        <v>7078</v>
      </c>
      <c r="O1980" s="73" t="s">
        <v>276</v>
      </c>
      <c r="P1980" s="73" t="s">
        <v>239</v>
      </c>
      <c r="Q1980" s="77">
        <v>31382</v>
      </c>
      <c r="R1980" s="73" t="s">
        <v>276</v>
      </c>
      <c r="S1980" s="73" t="s">
        <v>7079</v>
      </c>
      <c r="T1980" s="73" t="s">
        <v>7079</v>
      </c>
      <c r="U1980" s="73">
        <v>2</v>
      </c>
      <c r="V1980" s="72" t="s">
        <v>14</v>
      </c>
      <c r="W1980" s="73" t="s">
        <v>7080</v>
      </c>
      <c r="X1980" s="73" t="s">
        <v>207</v>
      </c>
      <c r="Y1980" s="74">
        <v>13759</v>
      </c>
      <c r="Z1980" s="75">
        <v>13744</v>
      </c>
      <c r="AA1980" s="73" t="s">
        <v>276</v>
      </c>
      <c r="AB1980" s="73" t="s">
        <v>276</v>
      </c>
      <c r="AC1980" s="72">
        <v>0</v>
      </c>
      <c r="AD1980" s="72" t="s">
        <v>968</v>
      </c>
      <c r="AE1980" s="72">
        <v>0</v>
      </c>
      <c r="AF1980" s="72" t="s">
        <v>968</v>
      </c>
      <c r="AG1980" s="73" t="s">
        <v>7093</v>
      </c>
      <c r="AH1980" s="73" t="s">
        <v>7094</v>
      </c>
      <c r="AI1980" s="75">
        <v>13</v>
      </c>
      <c r="AJ1980" s="75">
        <v>3</v>
      </c>
      <c r="AK1980" s="74">
        <v>13759</v>
      </c>
      <c r="AL1980" s="75">
        <v>13744</v>
      </c>
      <c r="AM1980" s="75" t="s">
        <v>2047</v>
      </c>
      <c r="AN1980" s="72" t="s">
        <v>276</v>
      </c>
      <c r="AO1980" s="86">
        <f>AI1980*1000/AK1980</f>
        <v>0.94483610727523804</v>
      </c>
      <c r="AP1980" s="72" t="s">
        <v>276</v>
      </c>
      <c r="AQ1980" s="72" t="s">
        <v>276</v>
      </c>
      <c r="AR1980" s="72" t="s">
        <v>276</v>
      </c>
      <c r="AS1980" s="86">
        <f t="shared" ref="AS1980:AS2040" si="568">AJ1980*1000/AL1980</f>
        <v>0.21827706635622818</v>
      </c>
      <c r="AT1980" s="72" t="s">
        <v>276</v>
      </c>
      <c r="AU1980" s="72" t="s">
        <v>276</v>
      </c>
      <c r="AV1980" s="72" t="s">
        <v>268</v>
      </c>
      <c r="AW1980" s="72" t="s">
        <v>276</v>
      </c>
      <c r="AX1980" s="86">
        <f t="shared" ref="AX1980:AX2040" si="569">AO1980/AS1980</f>
        <v>4.3286091527969575</v>
      </c>
      <c r="AY1980" s="72" t="s">
        <v>276</v>
      </c>
      <c r="AZ1980" s="72" t="s">
        <v>276</v>
      </c>
      <c r="BA1980" s="72" t="s">
        <v>276</v>
      </c>
      <c r="BB1980" s="72" t="s">
        <v>282</v>
      </c>
      <c r="BC1980" s="72" t="s">
        <v>98</v>
      </c>
      <c r="BD1980" s="72" t="s">
        <v>98</v>
      </c>
      <c r="BE1980" s="72" t="s">
        <v>98</v>
      </c>
      <c r="BF1980" s="73" t="s">
        <v>1029</v>
      </c>
      <c r="BG1980" s="73"/>
      <c r="BH1980" s="9" t="s">
        <v>100</v>
      </c>
      <c r="BI1980" s="9" t="s">
        <v>100</v>
      </c>
      <c r="BJ1980" s="529"/>
      <c r="BN1980" s="529"/>
      <c r="BO1980" s="529"/>
    </row>
    <row r="1981" spans="1:67" s="530" customFormat="1" ht="65" hidden="1" x14ac:dyDescent="0.35">
      <c r="A1981" s="72">
        <v>246</v>
      </c>
      <c r="B1981" s="72" t="s">
        <v>7076</v>
      </c>
      <c r="C1981" s="73" t="s">
        <v>59</v>
      </c>
      <c r="D1981" s="73" t="s">
        <v>7095</v>
      </c>
      <c r="E1981" s="72" t="s">
        <v>36</v>
      </c>
      <c r="F1981" s="72" t="s">
        <v>123</v>
      </c>
      <c r="G1981" s="72" t="s">
        <v>225</v>
      </c>
      <c r="H1981" s="72" t="s">
        <v>125</v>
      </c>
      <c r="I1981" s="72" t="s">
        <v>114</v>
      </c>
      <c r="J1981" s="73" t="s">
        <v>28</v>
      </c>
      <c r="K1981" s="72" t="s">
        <v>6740</v>
      </c>
      <c r="L1981" s="72" t="s">
        <v>276</v>
      </c>
      <c r="M1981" s="72" t="s">
        <v>276</v>
      </c>
      <c r="N1981" s="73" t="s">
        <v>7078</v>
      </c>
      <c r="O1981" s="73" t="s">
        <v>276</v>
      </c>
      <c r="P1981" s="73" t="s">
        <v>239</v>
      </c>
      <c r="Q1981" s="77">
        <v>31382</v>
      </c>
      <c r="R1981" s="73" t="s">
        <v>276</v>
      </c>
      <c r="S1981" s="73" t="s">
        <v>7079</v>
      </c>
      <c r="T1981" s="73" t="s">
        <v>7079</v>
      </c>
      <c r="U1981" s="73">
        <v>2</v>
      </c>
      <c r="V1981" s="72" t="s">
        <v>14</v>
      </c>
      <c r="W1981" s="73" t="s">
        <v>7080</v>
      </c>
      <c r="X1981" s="73" t="s">
        <v>207</v>
      </c>
      <c r="Y1981" s="74">
        <v>13759</v>
      </c>
      <c r="Z1981" s="75">
        <v>13744</v>
      </c>
      <c r="AA1981" s="73" t="s">
        <v>276</v>
      </c>
      <c r="AB1981" s="73" t="s">
        <v>276</v>
      </c>
      <c r="AC1981" s="72">
        <v>0</v>
      </c>
      <c r="AD1981" s="72" t="s">
        <v>968</v>
      </c>
      <c r="AE1981" s="72">
        <v>0</v>
      </c>
      <c r="AF1981" s="72" t="s">
        <v>968</v>
      </c>
      <c r="AG1981" s="73" t="s">
        <v>7096</v>
      </c>
      <c r="AH1981" s="73" t="s">
        <v>7094</v>
      </c>
      <c r="AI1981" s="75">
        <v>15</v>
      </c>
      <c r="AJ1981" s="75">
        <v>5</v>
      </c>
      <c r="AK1981" s="74">
        <v>13759</v>
      </c>
      <c r="AL1981" s="75">
        <v>13744</v>
      </c>
      <c r="AM1981" s="75" t="s">
        <v>2047</v>
      </c>
      <c r="AN1981" s="72" t="s">
        <v>276</v>
      </c>
      <c r="AO1981" s="86">
        <f t="shared" ref="AO1981:AO2040" si="570">AI1981*1000/AK1981</f>
        <v>1.0901955083945054</v>
      </c>
      <c r="AP1981" s="72" t="s">
        <v>276</v>
      </c>
      <c r="AQ1981" s="72" t="s">
        <v>276</v>
      </c>
      <c r="AR1981" s="72" t="s">
        <v>276</v>
      </c>
      <c r="AS1981" s="86">
        <f t="shared" si="568"/>
        <v>0.36379511059371361</v>
      </c>
      <c r="AT1981" s="72" t="s">
        <v>276</v>
      </c>
      <c r="AU1981" s="72" t="s">
        <v>276</v>
      </c>
      <c r="AV1981" s="72" t="s">
        <v>268</v>
      </c>
      <c r="AW1981" s="72" t="s">
        <v>276</v>
      </c>
      <c r="AX1981" s="86">
        <f t="shared" si="569"/>
        <v>2.9967294134748164</v>
      </c>
      <c r="AY1981" s="72" t="s">
        <v>276</v>
      </c>
      <c r="AZ1981" s="72" t="s">
        <v>276</v>
      </c>
      <c r="BA1981" s="72" t="s">
        <v>276</v>
      </c>
      <c r="BB1981" s="72" t="s">
        <v>282</v>
      </c>
      <c r="BC1981" s="72" t="s">
        <v>98</v>
      </c>
      <c r="BD1981" s="72" t="s">
        <v>98</v>
      </c>
      <c r="BE1981" s="72" t="s">
        <v>98</v>
      </c>
      <c r="BF1981" s="73" t="s">
        <v>1029</v>
      </c>
      <c r="BG1981" s="73"/>
      <c r="BH1981" s="9" t="s">
        <v>100</v>
      </c>
      <c r="BI1981" s="9" t="s">
        <v>100</v>
      </c>
      <c r="BJ1981" s="529"/>
      <c r="BN1981" s="529"/>
      <c r="BO1981" s="529"/>
    </row>
    <row r="1982" spans="1:67" s="530" customFormat="1" ht="65" hidden="1" x14ac:dyDescent="0.35">
      <c r="A1982" s="72">
        <v>246</v>
      </c>
      <c r="B1982" s="72" t="s">
        <v>7076</v>
      </c>
      <c r="C1982" s="73" t="s">
        <v>59</v>
      </c>
      <c r="D1982" s="73" t="s">
        <v>7097</v>
      </c>
      <c r="E1982" s="72" t="s">
        <v>36</v>
      </c>
      <c r="F1982" s="72" t="s">
        <v>123</v>
      </c>
      <c r="G1982" s="72" t="s">
        <v>225</v>
      </c>
      <c r="H1982" s="72" t="s">
        <v>125</v>
      </c>
      <c r="I1982" s="72" t="s">
        <v>114</v>
      </c>
      <c r="J1982" s="73" t="s">
        <v>28</v>
      </c>
      <c r="K1982" s="72" t="s">
        <v>6742</v>
      </c>
      <c r="L1982" s="72" t="s">
        <v>276</v>
      </c>
      <c r="M1982" s="72" t="s">
        <v>276</v>
      </c>
      <c r="N1982" s="73" t="s">
        <v>7078</v>
      </c>
      <c r="O1982" s="73" t="s">
        <v>276</v>
      </c>
      <c r="P1982" s="73" t="s">
        <v>239</v>
      </c>
      <c r="Q1982" s="77">
        <v>31382</v>
      </c>
      <c r="R1982" s="73" t="s">
        <v>276</v>
      </c>
      <c r="S1982" s="73" t="s">
        <v>7079</v>
      </c>
      <c r="T1982" s="73" t="s">
        <v>7079</v>
      </c>
      <c r="U1982" s="73">
        <v>2</v>
      </c>
      <c r="V1982" s="72" t="s">
        <v>14</v>
      </c>
      <c r="W1982" s="73" t="s">
        <v>7080</v>
      </c>
      <c r="X1982" s="73" t="s">
        <v>207</v>
      </c>
      <c r="Y1982" s="74">
        <v>13759</v>
      </c>
      <c r="Z1982" s="75">
        <v>13744</v>
      </c>
      <c r="AA1982" s="73" t="s">
        <v>276</v>
      </c>
      <c r="AB1982" s="73" t="s">
        <v>276</v>
      </c>
      <c r="AC1982" s="72">
        <v>0</v>
      </c>
      <c r="AD1982" s="72" t="s">
        <v>968</v>
      </c>
      <c r="AE1982" s="72">
        <v>0</v>
      </c>
      <c r="AF1982" s="72" t="s">
        <v>968</v>
      </c>
      <c r="AG1982" s="73" t="s">
        <v>7098</v>
      </c>
      <c r="AH1982" s="73" t="s">
        <v>7094</v>
      </c>
      <c r="AI1982" s="75">
        <v>22</v>
      </c>
      <c r="AJ1982" s="75">
        <v>7</v>
      </c>
      <c r="AK1982" s="74">
        <v>13759</v>
      </c>
      <c r="AL1982" s="75">
        <v>13744</v>
      </c>
      <c r="AM1982" s="75" t="s">
        <v>2047</v>
      </c>
      <c r="AN1982" s="72" t="s">
        <v>276</v>
      </c>
      <c r="AO1982" s="86">
        <f t="shared" si="570"/>
        <v>1.5989534123119413</v>
      </c>
      <c r="AP1982" s="72" t="s">
        <v>276</v>
      </c>
      <c r="AQ1982" s="72" t="s">
        <v>276</v>
      </c>
      <c r="AR1982" s="72" t="s">
        <v>276</v>
      </c>
      <c r="AS1982" s="86">
        <f t="shared" si="568"/>
        <v>0.5093131548311991</v>
      </c>
      <c r="AT1982" s="72" t="s">
        <v>276</v>
      </c>
      <c r="AU1982" s="72" t="s">
        <v>276</v>
      </c>
      <c r="AV1982" s="72" t="s">
        <v>268</v>
      </c>
      <c r="AW1982" s="72" t="s">
        <v>276</v>
      </c>
      <c r="AX1982" s="86">
        <f t="shared" si="569"/>
        <v>3.1394308141164742</v>
      </c>
      <c r="AY1982" s="72" t="s">
        <v>276</v>
      </c>
      <c r="AZ1982" s="72" t="s">
        <v>276</v>
      </c>
      <c r="BA1982" s="72" t="s">
        <v>276</v>
      </c>
      <c r="BB1982" s="72" t="s">
        <v>282</v>
      </c>
      <c r="BC1982" s="72" t="s">
        <v>98</v>
      </c>
      <c r="BD1982" s="72" t="s">
        <v>98</v>
      </c>
      <c r="BE1982" s="72" t="s">
        <v>98</v>
      </c>
      <c r="BF1982" s="73" t="s">
        <v>1029</v>
      </c>
      <c r="BG1982" s="73"/>
      <c r="BH1982" s="9" t="s">
        <v>100</v>
      </c>
      <c r="BI1982" s="9" t="s">
        <v>100</v>
      </c>
      <c r="BJ1982" s="529"/>
      <c r="BN1982" s="529"/>
      <c r="BO1982" s="529"/>
    </row>
    <row r="1983" spans="1:67" s="530" customFormat="1" ht="65" hidden="1" x14ac:dyDescent="0.35">
      <c r="A1983" s="72">
        <v>246</v>
      </c>
      <c r="B1983" s="72" t="s">
        <v>7076</v>
      </c>
      <c r="C1983" s="73" t="s">
        <v>59</v>
      </c>
      <c r="D1983" s="73" t="s">
        <v>7099</v>
      </c>
      <c r="E1983" s="72" t="s">
        <v>36</v>
      </c>
      <c r="F1983" s="72" t="s">
        <v>123</v>
      </c>
      <c r="G1983" s="72" t="s">
        <v>225</v>
      </c>
      <c r="H1983" s="72" t="s">
        <v>125</v>
      </c>
      <c r="I1983" s="72" t="s">
        <v>114</v>
      </c>
      <c r="J1983" s="73" t="s">
        <v>28</v>
      </c>
      <c r="K1983" s="72" t="s">
        <v>7100</v>
      </c>
      <c r="L1983" s="72" t="s">
        <v>276</v>
      </c>
      <c r="M1983" s="72" t="s">
        <v>276</v>
      </c>
      <c r="N1983" s="73" t="s">
        <v>7078</v>
      </c>
      <c r="O1983" s="73" t="s">
        <v>276</v>
      </c>
      <c r="P1983" s="73" t="s">
        <v>239</v>
      </c>
      <c r="Q1983" s="77">
        <v>31382</v>
      </c>
      <c r="R1983" s="73" t="s">
        <v>276</v>
      </c>
      <c r="S1983" s="73" t="s">
        <v>7079</v>
      </c>
      <c r="T1983" s="73" t="s">
        <v>7079</v>
      </c>
      <c r="U1983" s="73">
        <v>2</v>
      </c>
      <c r="V1983" s="72" t="s">
        <v>14</v>
      </c>
      <c r="W1983" s="73" t="s">
        <v>7080</v>
      </c>
      <c r="X1983" s="73" t="s">
        <v>207</v>
      </c>
      <c r="Y1983" s="74">
        <v>13759</v>
      </c>
      <c r="Z1983" s="75">
        <v>13744</v>
      </c>
      <c r="AA1983" s="73" t="s">
        <v>276</v>
      </c>
      <c r="AB1983" s="73" t="s">
        <v>276</v>
      </c>
      <c r="AC1983" s="72">
        <v>0</v>
      </c>
      <c r="AD1983" s="72" t="s">
        <v>968</v>
      </c>
      <c r="AE1983" s="72">
        <v>0</v>
      </c>
      <c r="AF1983" s="72" t="s">
        <v>968</v>
      </c>
      <c r="AG1983" s="73" t="s">
        <v>7101</v>
      </c>
      <c r="AH1983" s="73" t="s">
        <v>7094</v>
      </c>
      <c r="AI1983" s="75">
        <v>11</v>
      </c>
      <c r="AJ1983" s="75">
        <v>5</v>
      </c>
      <c r="AK1983" s="74">
        <v>13759</v>
      </c>
      <c r="AL1983" s="75">
        <v>13744</v>
      </c>
      <c r="AM1983" s="75" t="s">
        <v>2047</v>
      </c>
      <c r="AN1983" s="72" t="s">
        <v>276</v>
      </c>
      <c r="AO1983" s="86">
        <f t="shared" si="570"/>
        <v>0.79947670615597066</v>
      </c>
      <c r="AP1983" s="72" t="s">
        <v>276</v>
      </c>
      <c r="AQ1983" s="72" t="s">
        <v>276</v>
      </c>
      <c r="AR1983" s="72" t="s">
        <v>276</v>
      </c>
      <c r="AS1983" s="86">
        <f t="shared" si="568"/>
        <v>0.36379511059371361</v>
      </c>
      <c r="AT1983" s="72" t="s">
        <v>276</v>
      </c>
      <c r="AU1983" s="72" t="s">
        <v>276</v>
      </c>
      <c r="AV1983" s="72" t="s">
        <v>268</v>
      </c>
      <c r="AW1983" s="72" t="s">
        <v>276</v>
      </c>
      <c r="AX1983" s="86">
        <f t="shared" si="569"/>
        <v>2.1976015698815323</v>
      </c>
      <c r="AY1983" s="72" t="s">
        <v>276</v>
      </c>
      <c r="AZ1983" s="72" t="s">
        <v>276</v>
      </c>
      <c r="BA1983" s="72" t="s">
        <v>276</v>
      </c>
      <c r="BB1983" s="72" t="s">
        <v>282</v>
      </c>
      <c r="BC1983" s="72" t="s">
        <v>98</v>
      </c>
      <c r="BD1983" s="72" t="s">
        <v>98</v>
      </c>
      <c r="BE1983" s="72" t="s">
        <v>98</v>
      </c>
      <c r="BF1983" s="73" t="s">
        <v>1029</v>
      </c>
      <c r="BG1983" s="73"/>
      <c r="BH1983" s="9" t="s">
        <v>100</v>
      </c>
      <c r="BI1983" s="9" t="s">
        <v>100</v>
      </c>
      <c r="BJ1983" s="529"/>
      <c r="BN1983" s="529"/>
      <c r="BO1983" s="529"/>
    </row>
    <row r="1984" spans="1:67" s="528" customFormat="1" ht="65" hidden="1" x14ac:dyDescent="0.35">
      <c r="A1984" s="8">
        <v>246</v>
      </c>
      <c r="B1984" s="8" t="s">
        <v>7076</v>
      </c>
      <c r="C1984" s="9" t="s">
        <v>59</v>
      </c>
      <c r="D1984" s="9" t="s">
        <v>7102</v>
      </c>
      <c r="E1984" s="8" t="s">
        <v>36</v>
      </c>
      <c r="F1984" s="8" t="s">
        <v>123</v>
      </c>
      <c r="G1984" s="8" t="s">
        <v>225</v>
      </c>
      <c r="H1984" s="8" t="s">
        <v>125</v>
      </c>
      <c r="I1984" s="8" t="s">
        <v>114</v>
      </c>
      <c r="J1984" s="9" t="s">
        <v>32</v>
      </c>
      <c r="K1984" s="8" t="s">
        <v>2345</v>
      </c>
      <c r="L1984" s="8" t="s">
        <v>276</v>
      </c>
      <c r="M1984" s="8" t="s">
        <v>276</v>
      </c>
      <c r="N1984" s="9" t="s">
        <v>7078</v>
      </c>
      <c r="O1984" s="9" t="s">
        <v>276</v>
      </c>
      <c r="P1984" s="9" t="s">
        <v>239</v>
      </c>
      <c r="Q1984" s="52">
        <v>31382</v>
      </c>
      <c r="R1984" s="9" t="s">
        <v>276</v>
      </c>
      <c r="S1984" s="9" t="s">
        <v>7079</v>
      </c>
      <c r="T1984" s="9" t="s">
        <v>7079</v>
      </c>
      <c r="U1984" s="9">
        <v>2</v>
      </c>
      <c r="V1984" s="8" t="s">
        <v>14</v>
      </c>
      <c r="W1984" s="9" t="s">
        <v>7080</v>
      </c>
      <c r="X1984" s="9" t="s">
        <v>207</v>
      </c>
      <c r="Y1984" s="13">
        <v>13759</v>
      </c>
      <c r="Z1984" s="38">
        <v>13744</v>
      </c>
      <c r="AA1984" s="9" t="s">
        <v>276</v>
      </c>
      <c r="AB1984" s="9" t="s">
        <v>276</v>
      </c>
      <c r="AC1984" s="8">
        <v>0</v>
      </c>
      <c r="AD1984" s="8" t="s">
        <v>968</v>
      </c>
      <c r="AE1984" s="8">
        <v>0</v>
      </c>
      <c r="AF1984" s="8" t="s">
        <v>968</v>
      </c>
      <c r="AG1984" s="9" t="s">
        <v>7103</v>
      </c>
      <c r="AH1984" s="9" t="s">
        <v>7094</v>
      </c>
      <c r="AI1984" s="38">
        <v>61</v>
      </c>
      <c r="AJ1984" s="38">
        <v>20</v>
      </c>
      <c r="AK1984" s="13">
        <v>13759</v>
      </c>
      <c r="AL1984" s="38">
        <v>13744</v>
      </c>
      <c r="AM1984" s="38" t="s">
        <v>2047</v>
      </c>
      <c r="AN1984" s="8" t="s">
        <v>276</v>
      </c>
      <c r="AO1984" s="31">
        <f t="shared" si="570"/>
        <v>4.433461734137655</v>
      </c>
      <c r="AP1984" s="8" t="s">
        <v>276</v>
      </c>
      <c r="AQ1984" s="8" t="s">
        <v>276</v>
      </c>
      <c r="AR1984" s="8" t="s">
        <v>276</v>
      </c>
      <c r="AS1984" s="31">
        <f t="shared" si="568"/>
        <v>1.4551804423748544</v>
      </c>
      <c r="AT1984" s="8" t="s">
        <v>276</v>
      </c>
      <c r="AU1984" s="8" t="s">
        <v>276</v>
      </c>
      <c r="AV1984" s="8" t="s">
        <v>268</v>
      </c>
      <c r="AW1984" s="8" t="s">
        <v>276</v>
      </c>
      <c r="AX1984" s="31">
        <f t="shared" si="569"/>
        <v>3.0466749036993965</v>
      </c>
      <c r="AY1984" s="8" t="s">
        <v>276</v>
      </c>
      <c r="AZ1984" s="8" t="s">
        <v>276</v>
      </c>
      <c r="BA1984" s="8" t="s">
        <v>276</v>
      </c>
      <c r="BB1984" s="8" t="s">
        <v>282</v>
      </c>
      <c r="BC1984" s="8" t="s">
        <v>98</v>
      </c>
      <c r="BD1984" s="8" t="s">
        <v>98</v>
      </c>
      <c r="BE1984" s="8" t="s">
        <v>98</v>
      </c>
      <c r="BF1984" s="9" t="s">
        <v>7104</v>
      </c>
      <c r="BG1984" s="9"/>
      <c r="BH1984" s="9" t="s">
        <v>100</v>
      </c>
      <c r="BI1984" s="9" t="s">
        <v>100</v>
      </c>
      <c r="BJ1984" s="527"/>
      <c r="BN1984" s="527"/>
      <c r="BO1984" s="527"/>
    </row>
    <row r="1985" spans="1:67" s="528" customFormat="1" ht="65" hidden="1" x14ac:dyDescent="0.35">
      <c r="A1985" s="8">
        <v>246</v>
      </c>
      <c r="B1985" s="8" t="s">
        <v>7076</v>
      </c>
      <c r="C1985" s="9" t="s">
        <v>59</v>
      </c>
      <c r="D1985" s="9" t="s">
        <v>7105</v>
      </c>
      <c r="E1985" s="8" t="s">
        <v>36</v>
      </c>
      <c r="F1985" s="8" t="s">
        <v>123</v>
      </c>
      <c r="G1985" s="8" t="s">
        <v>225</v>
      </c>
      <c r="H1985" s="8" t="s">
        <v>125</v>
      </c>
      <c r="I1985" s="8" t="s">
        <v>114</v>
      </c>
      <c r="J1985" s="9" t="s">
        <v>32</v>
      </c>
      <c r="K1985" s="8" t="s">
        <v>6751</v>
      </c>
      <c r="L1985" s="8" t="s">
        <v>276</v>
      </c>
      <c r="M1985" s="8" t="s">
        <v>276</v>
      </c>
      <c r="N1985" s="9" t="s">
        <v>7078</v>
      </c>
      <c r="O1985" s="9" t="s">
        <v>276</v>
      </c>
      <c r="P1985" s="9" t="s">
        <v>239</v>
      </c>
      <c r="Q1985" s="52">
        <v>31382</v>
      </c>
      <c r="R1985" s="9" t="s">
        <v>276</v>
      </c>
      <c r="S1985" s="9" t="s">
        <v>7079</v>
      </c>
      <c r="T1985" s="9" t="s">
        <v>7079</v>
      </c>
      <c r="U1985" s="9">
        <v>2</v>
      </c>
      <c r="V1985" s="8" t="s">
        <v>14</v>
      </c>
      <c r="W1985" s="9" t="s">
        <v>7080</v>
      </c>
      <c r="X1985" s="9" t="s">
        <v>207</v>
      </c>
      <c r="Y1985" s="13">
        <v>13759</v>
      </c>
      <c r="Z1985" s="38">
        <v>13744</v>
      </c>
      <c r="AA1985" s="9" t="s">
        <v>276</v>
      </c>
      <c r="AB1985" s="9" t="s">
        <v>276</v>
      </c>
      <c r="AC1985" s="8">
        <v>0</v>
      </c>
      <c r="AD1985" s="8" t="s">
        <v>968</v>
      </c>
      <c r="AE1985" s="8">
        <v>0</v>
      </c>
      <c r="AF1985" s="8" t="s">
        <v>968</v>
      </c>
      <c r="AG1985" s="9" t="s">
        <v>7106</v>
      </c>
      <c r="AH1985" s="9" t="s">
        <v>7094</v>
      </c>
      <c r="AI1985" s="38">
        <v>162</v>
      </c>
      <c r="AJ1985" s="38">
        <v>24</v>
      </c>
      <c r="AK1985" s="13">
        <v>13759</v>
      </c>
      <c r="AL1985" s="38">
        <v>13744</v>
      </c>
      <c r="AM1985" s="38" t="s">
        <v>2047</v>
      </c>
      <c r="AN1985" s="8" t="s">
        <v>276</v>
      </c>
      <c r="AO1985" s="31">
        <f t="shared" si="570"/>
        <v>11.774111490660658</v>
      </c>
      <c r="AP1985" s="8" t="s">
        <v>276</v>
      </c>
      <c r="AQ1985" s="8" t="s">
        <v>276</v>
      </c>
      <c r="AR1985" s="8" t="s">
        <v>276</v>
      </c>
      <c r="AS1985" s="31">
        <f t="shared" si="568"/>
        <v>1.7462165308498254</v>
      </c>
      <c r="AT1985" s="8" t="s">
        <v>276</v>
      </c>
      <c r="AU1985" s="8" t="s">
        <v>276</v>
      </c>
      <c r="AV1985" s="8" t="s">
        <v>268</v>
      </c>
      <c r="AW1985" s="8" t="s">
        <v>276</v>
      </c>
      <c r="AX1985" s="31">
        <f t="shared" si="569"/>
        <v>6.742641180318337</v>
      </c>
      <c r="AY1985" s="8" t="s">
        <v>276</v>
      </c>
      <c r="AZ1985" s="8" t="s">
        <v>276</v>
      </c>
      <c r="BA1985" s="8" t="s">
        <v>7430</v>
      </c>
      <c r="BB1985" s="8" t="s">
        <v>282</v>
      </c>
      <c r="BC1985" s="8" t="s">
        <v>98</v>
      </c>
      <c r="BD1985" s="8" t="s">
        <v>98</v>
      </c>
      <c r="BE1985" s="8" t="s">
        <v>98</v>
      </c>
      <c r="BF1985" s="9" t="s">
        <v>7107</v>
      </c>
      <c r="BG1985" s="9"/>
      <c r="BH1985" s="9" t="s">
        <v>100</v>
      </c>
      <c r="BI1985" s="9" t="s">
        <v>100</v>
      </c>
      <c r="BJ1985" s="527"/>
      <c r="BN1985" s="527"/>
      <c r="BO1985" s="527"/>
    </row>
    <row r="1986" spans="1:67" s="528" customFormat="1" ht="65" hidden="1" x14ac:dyDescent="0.35">
      <c r="A1986" s="8">
        <v>246</v>
      </c>
      <c r="B1986" s="8" t="s">
        <v>7076</v>
      </c>
      <c r="C1986" s="9" t="s">
        <v>59</v>
      </c>
      <c r="D1986" s="9" t="s">
        <v>7108</v>
      </c>
      <c r="E1986" s="8" t="s">
        <v>36</v>
      </c>
      <c r="F1986" s="8" t="s">
        <v>123</v>
      </c>
      <c r="G1986" s="8" t="s">
        <v>225</v>
      </c>
      <c r="H1986" s="8" t="s">
        <v>125</v>
      </c>
      <c r="I1986" s="8" t="s">
        <v>114</v>
      </c>
      <c r="J1986" s="346" t="s">
        <v>11166</v>
      </c>
      <c r="K1986" s="415" t="s">
        <v>7109</v>
      </c>
      <c r="L1986" s="8" t="s">
        <v>276</v>
      </c>
      <c r="M1986" s="8" t="s">
        <v>276</v>
      </c>
      <c r="N1986" s="9" t="s">
        <v>7078</v>
      </c>
      <c r="O1986" s="9" t="s">
        <v>276</v>
      </c>
      <c r="P1986" s="9" t="s">
        <v>239</v>
      </c>
      <c r="Q1986" s="52">
        <v>31382</v>
      </c>
      <c r="R1986" s="9" t="s">
        <v>276</v>
      </c>
      <c r="S1986" s="9" t="s">
        <v>7079</v>
      </c>
      <c r="T1986" s="9" t="s">
        <v>7079</v>
      </c>
      <c r="U1986" s="9">
        <v>2</v>
      </c>
      <c r="V1986" s="8" t="s">
        <v>14</v>
      </c>
      <c r="W1986" s="9" t="s">
        <v>7080</v>
      </c>
      <c r="X1986" s="9" t="s">
        <v>207</v>
      </c>
      <c r="Y1986" s="13">
        <v>13759</v>
      </c>
      <c r="Z1986" s="38">
        <v>13744</v>
      </c>
      <c r="AA1986" s="9" t="s">
        <v>276</v>
      </c>
      <c r="AB1986" s="9" t="s">
        <v>276</v>
      </c>
      <c r="AC1986" s="8">
        <v>0</v>
      </c>
      <c r="AD1986" s="8" t="s">
        <v>968</v>
      </c>
      <c r="AE1986" s="8">
        <v>0</v>
      </c>
      <c r="AF1986" s="8" t="s">
        <v>968</v>
      </c>
      <c r="AG1986" s="9" t="s">
        <v>7110</v>
      </c>
      <c r="AH1986" s="9" t="s">
        <v>7094</v>
      </c>
      <c r="AI1986" s="38">
        <v>104</v>
      </c>
      <c r="AJ1986" s="38">
        <v>11</v>
      </c>
      <c r="AK1986" s="13">
        <v>13759</v>
      </c>
      <c r="AL1986" s="38">
        <v>13744</v>
      </c>
      <c r="AM1986" s="38" t="s">
        <v>2047</v>
      </c>
      <c r="AN1986" s="8" t="s">
        <v>276</v>
      </c>
      <c r="AO1986" s="31">
        <f t="shared" si="570"/>
        <v>7.5586888582019043</v>
      </c>
      <c r="AP1986" s="8" t="s">
        <v>276</v>
      </c>
      <c r="AQ1986" s="8" t="s">
        <v>276</v>
      </c>
      <c r="AR1986" s="8" t="s">
        <v>276</v>
      </c>
      <c r="AS1986" s="31">
        <f t="shared" si="568"/>
        <v>0.80034924330616997</v>
      </c>
      <c r="AT1986" s="8" t="s">
        <v>276</v>
      </c>
      <c r="AU1986" s="8" t="s">
        <v>276</v>
      </c>
      <c r="AV1986" s="8" t="s">
        <v>268</v>
      </c>
      <c r="AW1986" s="8" t="s">
        <v>276</v>
      </c>
      <c r="AX1986" s="31">
        <f t="shared" si="569"/>
        <v>9.4442381515569966</v>
      </c>
      <c r="AY1986" s="8" t="s">
        <v>276</v>
      </c>
      <c r="AZ1986" s="8" t="s">
        <v>276</v>
      </c>
      <c r="BA1986" s="8" t="s">
        <v>276</v>
      </c>
      <c r="BB1986" s="8" t="s">
        <v>282</v>
      </c>
      <c r="BC1986" s="8" t="s">
        <v>98</v>
      </c>
      <c r="BD1986" s="8" t="s">
        <v>98</v>
      </c>
      <c r="BE1986" s="8" t="s">
        <v>98</v>
      </c>
      <c r="BF1986" s="9" t="s">
        <v>7111</v>
      </c>
      <c r="BG1986" s="9"/>
      <c r="BH1986" s="9" t="s">
        <v>100</v>
      </c>
      <c r="BI1986" s="9" t="s">
        <v>100</v>
      </c>
      <c r="BJ1986" s="527"/>
      <c r="BN1986" s="527"/>
      <c r="BO1986" s="527"/>
    </row>
    <row r="1987" spans="1:67" s="532" customFormat="1" ht="65" hidden="1" x14ac:dyDescent="0.35">
      <c r="A1987" s="94">
        <v>7889</v>
      </c>
      <c r="B1987" s="94" t="s">
        <v>7112</v>
      </c>
      <c r="C1987" s="95" t="s">
        <v>59</v>
      </c>
      <c r="D1987" s="95" t="s">
        <v>7113</v>
      </c>
      <c r="E1987" s="94" t="s">
        <v>36</v>
      </c>
      <c r="F1987" s="94" t="s">
        <v>123</v>
      </c>
      <c r="G1987" s="94" t="s">
        <v>225</v>
      </c>
      <c r="H1987" s="94" t="s">
        <v>125</v>
      </c>
      <c r="I1987" s="94" t="s">
        <v>114</v>
      </c>
      <c r="J1987" s="95" t="s">
        <v>28</v>
      </c>
      <c r="K1987" s="94" t="s">
        <v>6737</v>
      </c>
      <c r="L1987" s="94" t="s">
        <v>7114</v>
      </c>
      <c r="M1987" s="94" t="s">
        <v>276</v>
      </c>
      <c r="N1987" s="95" t="s">
        <v>7115</v>
      </c>
      <c r="O1987" s="95" t="s">
        <v>276</v>
      </c>
      <c r="P1987" s="95" t="s">
        <v>239</v>
      </c>
      <c r="Q1987" s="140" t="s">
        <v>98</v>
      </c>
      <c r="R1987" s="95" t="s">
        <v>7116</v>
      </c>
      <c r="S1987" s="95" t="s">
        <v>276</v>
      </c>
      <c r="T1987" s="95" t="s">
        <v>276</v>
      </c>
      <c r="U1987" s="95">
        <v>2</v>
      </c>
      <c r="V1987" s="94" t="s">
        <v>14</v>
      </c>
      <c r="W1987" s="95" t="s">
        <v>7080</v>
      </c>
      <c r="X1987" s="95" t="s">
        <v>207</v>
      </c>
      <c r="Y1987" s="98">
        <v>13759</v>
      </c>
      <c r="Z1987" s="99">
        <v>13744</v>
      </c>
      <c r="AA1987" s="95" t="s">
        <v>276</v>
      </c>
      <c r="AB1987" s="95" t="s">
        <v>276</v>
      </c>
      <c r="AC1987" s="94">
        <v>0</v>
      </c>
      <c r="AD1987" s="94" t="s">
        <v>968</v>
      </c>
      <c r="AE1987" s="94">
        <v>0</v>
      </c>
      <c r="AF1987" s="94" t="s">
        <v>968</v>
      </c>
      <c r="AG1987" s="95" t="s">
        <v>7117</v>
      </c>
      <c r="AH1987" s="95" t="s">
        <v>7094</v>
      </c>
      <c r="AI1987" s="99">
        <v>13</v>
      </c>
      <c r="AJ1987" s="99">
        <v>4</v>
      </c>
      <c r="AK1987" s="98">
        <v>13759</v>
      </c>
      <c r="AL1987" s="99">
        <v>13744</v>
      </c>
      <c r="AM1987" s="99" t="s">
        <v>2047</v>
      </c>
      <c r="AN1987" s="94" t="s">
        <v>276</v>
      </c>
      <c r="AO1987" s="101">
        <f t="shared" si="570"/>
        <v>0.94483610727523804</v>
      </c>
      <c r="AP1987" s="94" t="s">
        <v>276</v>
      </c>
      <c r="AQ1987" s="94" t="s">
        <v>276</v>
      </c>
      <c r="AR1987" s="94" t="s">
        <v>276</v>
      </c>
      <c r="AS1987" s="101">
        <f t="shared" si="568"/>
        <v>0.29103608847497092</v>
      </c>
      <c r="AT1987" s="94" t="s">
        <v>276</v>
      </c>
      <c r="AU1987" s="94" t="s">
        <v>276</v>
      </c>
      <c r="AV1987" s="94" t="s">
        <v>268</v>
      </c>
      <c r="AW1987" s="94" t="s">
        <v>276</v>
      </c>
      <c r="AX1987" s="101">
        <f t="shared" si="569"/>
        <v>3.2464568645977177</v>
      </c>
      <c r="AY1987" s="94" t="s">
        <v>276</v>
      </c>
      <c r="AZ1987" s="94" t="s">
        <v>276</v>
      </c>
      <c r="BA1987" s="94" t="s">
        <v>276</v>
      </c>
      <c r="BB1987" s="94" t="s">
        <v>282</v>
      </c>
      <c r="BC1987" s="94" t="s">
        <v>98</v>
      </c>
      <c r="BD1987" s="94" t="s">
        <v>98</v>
      </c>
      <c r="BE1987" s="94" t="s">
        <v>98</v>
      </c>
      <c r="BF1987" s="346" t="s">
        <v>11167</v>
      </c>
      <c r="BG1987" s="95" t="s">
        <v>7118</v>
      </c>
      <c r="BH1987" s="9" t="s">
        <v>100</v>
      </c>
      <c r="BI1987" s="9" t="s">
        <v>100</v>
      </c>
      <c r="BJ1987" s="531"/>
      <c r="BN1987" s="531"/>
      <c r="BO1987" s="531"/>
    </row>
    <row r="1988" spans="1:67" s="532" customFormat="1" ht="65" hidden="1" x14ac:dyDescent="0.35">
      <c r="A1988" s="94">
        <v>7889</v>
      </c>
      <c r="B1988" s="94" t="s">
        <v>7112</v>
      </c>
      <c r="C1988" s="95" t="s">
        <v>59</v>
      </c>
      <c r="D1988" s="95" t="s">
        <v>7119</v>
      </c>
      <c r="E1988" s="94" t="s">
        <v>36</v>
      </c>
      <c r="F1988" s="94" t="s">
        <v>123</v>
      </c>
      <c r="G1988" s="94" t="s">
        <v>225</v>
      </c>
      <c r="H1988" s="94" t="s">
        <v>125</v>
      </c>
      <c r="I1988" s="94" t="s">
        <v>114</v>
      </c>
      <c r="J1988" s="95" t="s">
        <v>28</v>
      </c>
      <c r="K1988" s="94" t="s">
        <v>6740</v>
      </c>
      <c r="L1988" s="94" t="s">
        <v>7114</v>
      </c>
      <c r="M1988" s="94" t="s">
        <v>276</v>
      </c>
      <c r="N1988" s="95" t="s">
        <v>7115</v>
      </c>
      <c r="O1988" s="95" t="s">
        <v>276</v>
      </c>
      <c r="P1988" s="95" t="s">
        <v>239</v>
      </c>
      <c r="Q1988" s="140" t="s">
        <v>98</v>
      </c>
      <c r="R1988" s="95" t="s">
        <v>7116</v>
      </c>
      <c r="S1988" s="95" t="s">
        <v>276</v>
      </c>
      <c r="T1988" s="95" t="s">
        <v>276</v>
      </c>
      <c r="U1988" s="95">
        <v>2</v>
      </c>
      <c r="V1988" s="94" t="s">
        <v>14</v>
      </c>
      <c r="W1988" s="95" t="s">
        <v>7080</v>
      </c>
      <c r="X1988" s="95" t="s">
        <v>207</v>
      </c>
      <c r="Y1988" s="98">
        <v>13759</v>
      </c>
      <c r="Z1988" s="99">
        <v>13744</v>
      </c>
      <c r="AA1988" s="95" t="s">
        <v>276</v>
      </c>
      <c r="AB1988" s="95" t="s">
        <v>276</v>
      </c>
      <c r="AC1988" s="94">
        <v>0</v>
      </c>
      <c r="AD1988" s="94" t="s">
        <v>968</v>
      </c>
      <c r="AE1988" s="94">
        <v>0</v>
      </c>
      <c r="AF1988" s="94" t="s">
        <v>968</v>
      </c>
      <c r="AG1988" s="95" t="s">
        <v>7120</v>
      </c>
      <c r="AH1988" s="95" t="s">
        <v>7094</v>
      </c>
      <c r="AI1988" s="99">
        <v>18</v>
      </c>
      <c r="AJ1988" s="99">
        <v>9</v>
      </c>
      <c r="AK1988" s="98">
        <v>13759</v>
      </c>
      <c r="AL1988" s="99">
        <v>13744</v>
      </c>
      <c r="AM1988" s="99" t="s">
        <v>2047</v>
      </c>
      <c r="AN1988" s="94" t="s">
        <v>276</v>
      </c>
      <c r="AO1988" s="101">
        <f t="shared" si="570"/>
        <v>1.3082346100734066</v>
      </c>
      <c r="AP1988" s="94" t="s">
        <v>276</v>
      </c>
      <c r="AQ1988" s="94" t="s">
        <v>276</v>
      </c>
      <c r="AR1988" s="94" t="s">
        <v>276</v>
      </c>
      <c r="AS1988" s="101">
        <f t="shared" si="568"/>
        <v>0.65483119906868448</v>
      </c>
      <c r="AT1988" s="94" t="s">
        <v>276</v>
      </c>
      <c r="AU1988" s="94" t="s">
        <v>276</v>
      </c>
      <c r="AV1988" s="94" t="s">
        <v>268</v>
      </c>
      <c r="AW1988" s="94" t="s">
        <v>276</v>
      </c>
      <c r="AX1988" s="101">
        <f t="shared" si="569"/>
        <v>1.9978196089832112</v>
      </c>
      <c r="AY1988" s="94" t="s">
        <v>276</v>
      </c>
      <c r="AZ1988" s="94" t="s">
        <v>276</v>
      </c>
      <c r="BA1988" s="94" t="s">
        <v>276</v>
      </c>
      <c r="BB1988" s="94" t="s">
        <v>282</v>
      </c>
      <c r="BC1988" s="94" t="s">
        <v>98</v>
      </c>
      <c r="BD1988" s="94" t="s">
        <v>98</v>
      </c>
      <c r="BE1988" s="94" t="s">
        <v>98</v>
      </c>
      <c r="BF1988" s="346" t="s">
        <v>11167</v>
      </c>
      <c r="BG1988" s="95" t="s">
        <v>7118</v>
      </c>
      <c r="BH1988" s="9" t="s">
        <v>100</v>
      </c>
      <c r="BI1988" s="9" t="s">
        <v>100</v>
      </c>
      <c r="BJ1988" s="531"/>
      <c r="BN1988" s="531"/>
      <c r="BO1988" s="531"/>
    </row>
    <row r="1989" spans="1:67" s="532" customFormat="1" ht="65" hidden="1" x14ac:dyDescent="0.35">
      <c r="A1989" s="94">
        <v>7889</v>
      </c>
      <c r="B1989" s="94" t="s">
        <v>7112</v>
      </c>
      <c r="C1989" s="95" t="s">
        <v>59</v>
      </c>
      <c r="D1989" s="95" t="s">
        <v>7121</v>
      </c>
      <c r="E1989" s="94" t="s">
        <v>36</v>
      </c>
      <c r="F1989" s="94" t="s">
        <v>123</v>
      </c>
      <c r="G1989" s="94" t="s">
        <v>225</v>
      </c>
      <c r="H1989" s="94" t="s">
        <v>125</v>
      </c>
      <c r="I1989" s="94" t="s">
        <v>114</v>
      </c>
      <c r="J1989" s="95" t="s">
        <v>28</v>
      </c>
      <c r="K1989" s="94" t="s">
        <v>6742</v>
      </c>
      <c r="L1989" s="94" t="s">
        <v>7114</v>
      </c>
      <c r="M1989" s="94" t="s">
        <v>276</v>
      </c>
      <c r="N1989" s="95" t="s">
        <v>7115</v>
      </c>
      <c r="O1989" s="95" t="s">
        <v>276</v>
      </c>
      <c r="P1989" s="95" t="s">
        <v>239</v>
      </c>
      <c r="Q1989" s="140" t="s">
        <v>98</v>
      </c>
      <c r="R1989" s="95" t="s">
        <v>7116</v>
      </c>
      <c r="S1989" s="95" t="s">
        <v>276</v>
      </c>
      <c r="T1989" s="95" t="s">
        <v>276</v>
      </c>
      <c r="U1989" s="95">
        <v>2</v>
      </c>
      <c r="V1989" s="94" t="s">
        <v>14</v>
      </c>
      <c r="W1989" s="95" t="s">
        <v>7080</v>
      </c>
      <c r="X1989" s="95" t="s">
        <v>207</v>
      </c>
      <c r="Y1989" s="98">
        <v>13759</v>
      </c>
      <c r="Z1989" s="99">
        <v>13744</v>
      </c>
      <c r="AA1989" s="95" t="s">
        <v>276</v>
      </c>
      <c r="AB1989" s="95" t="s">
        <v>276</v>
      </c>
      <c r="AC1989" s="94">
        <v>0</v>
      </c>
      <c r="AD1989" s="94" t="s">
        <v>968</v>
      </c>
      <c r="AE1989" s="94">
        <v>0</v>
      </c>
      <c r="AF1989" s="94" t="s">
        <v>968</v>
      </c>
      <c r="AG1989" s="95" t="s">
        <v>7122</v>
      </c>
      <c r="AH1989" s="95" t="s">
        <v>7094</v>
      </c>
      <c r="AI1989" s="99">
        <v>24</v>
      </c>
      <c r="AJ1989" s="99">
        <v>10</v>
      </c>
      <c r="AK1989" s="98">
        <v>13759</v>
      </c>
      <c r="AL1989" s="99">
        <v>13744</v>
      </c>
      <c r="AM1989" s="99" t="s">
        <v>2047</v>
      </c>
      <c r="AN1989" s="94" t="s">
        <v>276</v>
      </c>
      <c r="AO1989" s="101">
        <f t="shared" si="570"/>
        <v>1.7443128134312087</v>
      </c>
      <c r="AP1989" s="94" t="s">
        <v>276</v>
      </c>
      <c r="AQ1989" s="94" t="s">
        <v>276</v>
      </c>
      <c r="AR1989" s="94" t="s">
        <v>276</v>
      </c>
      <c r="AS1989" s="101">
        <f t="shared" si="568"/>
        <v>0.72759022118742722</v>
      </c>
      <c r="AT1989" s="94" t="s">
        <v>276</v>
      </c>
      <c r="AU1989" s="94" t="s">
        <v>276</v>
      </c>
      <c r="AV1989" s="94" t="s">
        <v>268</v>
      </c>
      <c r="AW1989" s="94" t="s">
        <v>276</v>
      </c>
      <c r="AX1989" s="101">
        <f t="shared" si="569"/>
        <v>2.3973835307798534</v>
      </c>
      <c r="AY1989" s="94" t="s">
        <v>276</v>
      </c>
      <c r="AZ1989" s="94" t="s">
        <v>276</v>
      </c>
      <c r="BA1989" s="94" t="s">
        <v>276</v>
      </c>
      <c r="BB1989" s="94" t="s">
        <v>282</v>
      </c>
      <c r="BC1989" s="94" t="s">
        <v>98</v>
      </c>
      <c r="BD1989" s="94" t="s">
        <v>98</v>
      </c>
      <c r="BE1989" s="94" t="s">
        <v>98</v>
      </c>
      <c r="BF1989" s="346" t="s">
        <v>11167</v>
      </c>
      <c r="BG1989" s="95" t="s">
        <v>7118</v>
      </c>
      <c r="BH1989" s="9" t="s">
        <v>100</v>
      </c>
      <c r="BI1989" s="9" t="s">
        <v>100</v>
      </c>
      <c r="BJ1989" s="531"/>
      <c r="BN1989" s="531"/>
      <c r="BO1989" s="531"/>
    </row>
    <row r="1990" spans="1:67" s="532" customFormat="1" ht="65" hidden="1" x14ac:dyDescent="0.35">
      <c r="A1990" s="94">
        <v>7889</v>
      </c>
      <c r="B1990" s="94" t="s">
        <v>7112</v>
      </c>
      <c r="C1990" s="95" t="s">
        <v>59</v>
      </c>
      <c r="D1990" s="95" t="s">
        <v>7123</v>
      </c>
      <c r="E1990" s="94" t="s">
        <v>36</v>
      </c>
      <c r="F1990" s="94" t="s">
        <v>123</v>
      </c>
      <c r="G1990" s="94" t="s">
        <v>225</v>
      </c>
      <c r="H1990" s="94" t="s">
        <v>125</v>
      </c>
      <c r="I1990" s="94" t="s">
        <v>114</v>
      </c>
      <c r="J1990" s="95" t="s">
        <v>28</v>
      </c>
      <c r="K1990" s="94" t="s">
        <v>7100</v>
      </c>
      <c r="L1990" s="94" t="s">
        <v>7114</v>
      </c>
      <c r="M1990" s="94" t="s">
        <v>276</v>
      </c>
      <c r="N1990" s="95" t="s">
        <v>7115</v>
      </c>
      <c r="O1990" s="95" t="s">
        <v>276</v>
      </c>
      <c r="P1990" s="95" t="s">
        <v>239</v>
      </c>
      <c r="Q1990" s="140" t="s">
        <v>98</v>
      </c>
      <c r="R1990" s="95" t="s">
        <v>7116</v>
      </c>
      <c r="S1990" s="95" t="s">
        <v>276</v>
      </c>
      <c r="T1990" s="95" t="s">
        <v>276</v>
      </c>
      <c r="U1990" s="95">
        <v>2</v>
      </c>
      <c r="V1990" s="94" t="s">
        <v>14</v>
      </c>
      <c r="W1990" s="95" t="s">
        <v>7080</v>
      </c>
      <c r="X1990" s="95" t="s">
        <v>207</v>
      </c>
      <c r="Y1990" s="98">
        <v>13759</v>
      </c>
      <c r="Z1990" s="99">
        <v>13744</v>
      </c>
      <c r="AA1990" s="95" t="s">
        <v>276</v>
      </c>
      <c r="AB1990" s="95" t="s">
        <v>276</v>
      </c>
      <c r="AC1990" s="94">
        <v>0</v>
      </c>
      <c r="AD1990" s="94" t="s">
        <v>968</v>
      </c>
      <c r="AE1990" s="94">
        <v>0</v>
      </c>
      <c r="AF1990" s="94" t="s">
        <v>968</v>
      </c>
      <c r="AG1990" s="95" t="s">
        <v>7124</v>
      </c>
      <c r="AH1990" s="95" t="s">
        <v>7094</v>
      </c>
      <c r="AI1990" s="99">
        <v>12</v>
      </c>
      <c r="AJ1990" s="99">
        <v>9</v>
      </c>
      <c r="AK1990" s="98">
        <v>13759</v>
      </c>
      <c r="AL1990" s="99">
        <v>13744</v>
      </c>
      <c r="AM1990" s="99" t="s">
        <v>2047</v>
      </c>
      <c r="AN1990" s="94" t="s">
        <v>276</v>
      </c>
      <c r="AO1990" s="101">
        <f t="shared" si="570"/>
        <v>0.87215640671560435</v>
      </c>
      <c r="AP1990" s="94" t="s">
        <v>276</v>
      </c>
      <c r="AQ1990" s="94" t="s">
        <v>276</v>
      </c>
      <c r="AR1990" s="94" t="s">
        <v>276</v>
      </c>
      <c r="AS1990" s="101">
        <f t="shared" si="568"/>
        <v>0.65483119906868448</v>
      </c>
      <c r="AT1990" s="94" t="s">
        <v>276</v>
      </c>
      <c r="AU1990" s="94" t="s">
        <v>276</v>
      </c>
      <c r="AV1990" s="94" t="s">
        <v>268</v>
      </c>
      <c r="AW1990" s="94" t="s">
        <v>276</v>
      </c>
      <c r="AX1990" s="101">
        <f t="shared" si="569"/>
        <v>1.3318797393221409</v>
      </c>
      <c r="AY1990" s="94" t="s">
        <v>276</v>
      </c>
      <c r="AZ1990" s="94" t="s">
        <v>276</v>
      </c>
      <c r="BA1990" s="94" t="s">
        <v>276</v>
      </c>
      <c r="BB1990" s="94" t="s">
        <v>282</v>
      </c>
      <c r="BC1990" s="94" t="s">
        <v>98</v>
      </c>
      <c r="BD1990" s="94" t="s">
        <v>98</v>
      </c>
      <c r="BE1990" s="94" t="s">
        <v>98</v>
      </c>
      <c r="BF1990" s="346" t="s">
        <v>11167</v>
      </c>
      <c r="BG1990" s="95" t="s">
        <v>7118</v>
      </c>
      <c r="BH1990" s="9" t="s">
        <v>100</v>
      </c>
      <c r="BI1990" s="9" t="s">
        <v>100</v>
      </c>
      <c r="BJ1990" s="531"/>
      <c r="BN1990" s="531"/>
      <c r="BO1990" s="531"/>
    </row>
    <row r="1991" spans="1:67" s="532" customFormat="1" ht="52" hidden="1" x14ac:dyDescent="0.35">
      <c r="A1991" s="94">
        <v>7889</v>
      </c>
      <c r="B1991" s="94" t="s">
        <v>7112</v>
      </c>
      <c r="C1991" s="95" t="s">
        <v>59</v>
      </c>
      <c r="D1991" s="95" t="s">
        <v>7125</v>
      </c>
      <c r="E1991" s="94" t="s">
        <v>36</v>
      </c>
      <c r="F1991" s="94" t="s">
        <v>123</v>
      </c>
      <c r="G1991" s="94" t="s">
        <v>225</v>
      </c>
      <c r="H1991" s="94" t="s">
        <v>125</v>
      </c>
      <c r="I1991" s="94" t="s">
        <v>114</v>
      </c>
      <c r="J1991" s="95" t="s">
        <v>28</v>
      </c>
      <c r="K1991" s="94" t="s">
        <v>7100</v>
      </c>
      <c r="L1991" s="94" t="s">
        <v>7114</v>
      </c>
      <c r="M1991" s="94" t="s">
        <v>276</v>
      </c>
      <c r="N1991" s="95" t="s">
        <v>7115</v>
      </c>
      <c r="O1991" s="95" t="s">
        <v>276</v>
      </c>
      <c r="P1991" s="95" t="s">
        <v>235</v>
      </c>
      <c r="Q1991" s="140" t="s">
        <v>98</v>
      </c>
      <c r="R1991" s="95" t="s">
        <v>7116</v>
      </c>
      <c r="S1991" s="95" t="s">
        <v>276</v>
      </c>
      <c r="T1991" s="95" t="s">
        <v>276</v>
      </c>
      <c r="U1991" s="95">
        <v>2</v>
      </c>
      <c r="V1991" s="94" t="s">
        <v>14</v>
      </c>
      <c r="W1991" s="95" t="s">
        <v>7080</v>
      </c>
      <c r="X1991" s="95" t="s">
        <v>207</v>
      </c>
      <c r="Y1991" s="98" t="s">
        <v>98</v>
      </c>
      <c r="Z1991" s="99" t="s">
        <v>98</v>
      </c>
      <c r="AA1991" s="95" t="s">
        <v>276</v>
      </c>
      <c r="AB1991" s="95" t="s">
        <v>276</v>
      </c>
      <c r="AC1991" s="94">
        <v>0</v>
      </c>
      <c r="AD1991" s="94" t="s">
        <v>968</v>
      </c>
      <c r="AE1991" s="94">
        <v>0</v>
      </c>
      <c r="AF1991" s="94" t="s">
        <v>968</v>
      </c>
      <c r="AG1991" s="95" t="s">
        <v>7124</v>
      </c>
      <c r="AH1991" s="95" t="s">
        <v>7126</v>
      </c>
      <c r="AI1991" s="99">
        <v>12</v>
      </c>
      <c r="AJ1991" s="99">
        <v>9</v>
      </c>
      <c r="AK1991" s="98">
        <f>61+6</f>
        <v>67</v>
      </c>
      <c r="AL1991" s="99">
        <f>20+12</f>
        <v>32</v>
      </c>
      <c r="AM1991" s="99" t="s">
        <v>292</v>
      </c>
      <c r="AN1991" s="94" t="s">
        <v>276</v>
      </c>
      <c r="AO1991" s="101">
        <f>AI1991*100/AK1991</f>
        <v>17.910447761194028</v>
      </c>
      <c r="AP1991" s="94" t="s">
        <v>276</v>
      </c>
      <c r="AQ1991" s="94" t="s">
        <v>276</v>
      </c>
      <c r="AR1991" s="94" t="s">
        <v>276</v>
      </c>
      <c r="AS1991" s="101">
        <f>AJ1991*100/AL1991</f>
        <v>28.125</v>
      </c>
      <c r="AT1991" s="94" t="s">
        <v>276</v>
      </c>
      <c r="AU1991" s="94" t="s">
        <v>276</v>
      </c>
      <c r="AV1991" s="94" t="s">
        <v>268</v>
      </c>
      <c r="AW1991" s="94" t="s">
        <v>276</v>
      </c>
      <c r="AX1991" s="101">
        <f t="shared" si="569"/>
        <v>0.63681592039800994</v>
      </c>
      <c r="AY1991" s="94" t="s">
        <v>276</v>
      </c>
      <c r="AZ1991" s="94" t="s">
        <v>276</v>
      </c>
      <c r="BA1991" s="94" t="s">
        <v>276</v>
      </c>
      <c r="BB1991" s="94" t="s">
        <v>282</v>
      </c>
      <c r="BC1991" s="94" t="s">
        <v>98</v>
      </c>
      <c r="BD1991" s="94" t="s">
        <v>98</v>
      </c>
      <c r="BE1991" s="94" t="s">
        <v>98</v>
      </c>
      <c r="BF1991" s="95" t="s">
        <v>1358</v>
      </c>
      <c r="BG1991" s="95" t="s">
        <v>7118</v>
      </c>
      <c r="BH1991" s="9" t="s">
        <v>100</v>
      </c>
      <c r="BI1991" s="9" t="s">
        <v>100</v>
      </c>
      <c r="BJ1991" s="531"/>
      <c r="BN1991" s="531"/>
      <c r="BO1991" s="531"/>
    </row>
    <row r="1992" spans="1:67" s="534" customFormat="1" ht="65" hidden="1" x14ac:dyDescent="0.35">
      <c r="A1992" s="112">
        <v>7889</v>
      </c>
      <c r="B1992" s="112" t="s">
        <v>7112</v>
      </c>
      <c r="C1992" s="113" t="s">
        <v>59</v>
      </c>
      <c r="D1992" s="113" t="s">
        <v>7127</v>
      </c>
      <c r="E1992" s="112" t="s">
        <v>36</v>
      </c>
      <c r="F1992" s="112" t="s">
        <v>123</v>
      </c>
      <c r="G1992" s="112" t="s">
        <v>225</v>
      </c>
      <c r="H1992" s="112" t="s">
        <v>125</v>
      </c>
      <c r="I1992" s="112" t="s">
        <v>114</v>
      </c>
      <c r="J1992" s="113" t="s">
        <v>28</v>
      </c>
      <c r="K1992" s="112" t="s">
        <v>6737</v>
      </c>
      <c r="L1992" s="112" t="s">
        <v>7114</v>
      </c>
      <c r="M1992" s="112" t="s">
        <v>276</v>
      </c>
      <c r="N1992" s="113" t="s">
        <v>7115</v>
      </c>
      <c r="O1992" s="113" t="s">
        <v>276</v>
      </c>
      <c r="P1992" s="113" t="s">
        <v>239</v>
      </c>
      <c r="Q1992" s="142" t="s">
        <v>98</v>
      </c>
      <c r="R1992" s="113" t="s">
        <v>7128</v>
      </c>
      <c r="S1992" s="113" t="s">
        <v>276</v>
      </c>
      <c r="T1992" s="113" t="s">
        <v>276</v>
      </c>
      <c r="U1992" s="113">
        <v>2</v>
      </c>
      <c r="V1992" s="112" t="s">
        <v>14</v>
      </c>
      <c r="W1992" s="113" t="s">
        <v>7080</v>
      </c>
      <c r="X1992" s="113" t="s">
        <v>207</v>
      </c>
      <c r="Y1992" s="118">
        <v>13759</v>
      </c>
      <c r="Z1992" s="119">
        <v>13744</v>
      </c>
      <c r="AA1992" s="113" t="s">
        <v>276</v>
      </c>
      <c r="AB1992" s="113" t="s">
        <v>276</v>
      </c>
      <c r="AC1992" s="112">
        <v>0</v>
      </c>
      <c r="AD1992" s="112" t="s">
        <v>968</v>
      </c>
      <c r="AE1992" s="112">
        <v>0</v>
      </c>
      <c r="AF1992" s="112" t="s">
        <v>968</v>
      </c>
      <c r="AG1992" s="113" t="s">
        <v>7129</v>
      </c>
      <c r="AH1992" s="113" t="s">
        <v>7094</v>
      </c>
      <c r="AI1992" s="119">
        <v>13</v>
      </c>
      <c r="AJ1992" s="119">
        <v>5</v>
      </c>
      <c r="AK1992" s="118">
        <v>13759</v>
      </c>
      <c r="AL1992" s="119">
        <v>13744</v>
      </c>
      <c r="AM1992" s="119" t="s">
        <v>2047</v>
      </c>
      <c r="AN1992" s="112" t="s">
        <v>276</v>
      </c>
      <c r="AO1992" s="207">
        <f t="shared" si="570"/>
        <v>0.94483610727523804</v>
      </c>
      <c r="AP1992" s="112" t="s">
        <v>276</v>
      </c>
      <c r="AQ1992" s="112" t="s">
        <v>276</v>
      </c>
      <c r="AR1992" s="112" t="s">
        <v>276</v>
      </c>
      <c r="AS1992" s="207">
        <f t="shared" si="568"/>
        <v>0.36379511059371361</v>
      </c>
      <c r="AT1992" s="112" t="s">
        <v>276</v>
      </c>
      <c r="AU1992" s="112" t="s">
        <v>276</v>
      </c>
      <c r="AV1992" s="112" t="s">
        <v>268</v>
      </c>
      <c r="AW1992" s="112" t="s">
        <v>276</v>
      </c>
      <c r="AX1992" s="207">
        <f t="shared" si="569"/>
        <v>2.5971654916781746</v>
      </c>
      <c r="AY1992" s="112" t="s">
        <v>276</v>
      </c>
      <c r="AZ1992" s="112" t="s">
        <v>276</v>
      </c>
      <c r="BA1992" s="112" t="s">
        <v>276</v>
      </c>
      <c r="BB1992" s="112" t="s">
        <v>282</v>
      </c>
      <c r="BC1992" s="112" t="s">
        <v>98</v>
      </c>
      <c r="BD1992" s="112" t="s">
        <v>98</v>
      </c>
      <c r="BE1992" s="112" t="s">
        <v>98</v>
      </c>
      <c r="BF1992" s="346" t="s">
        <v>11167</v>
      </c>
      <c r="BG1992" s="113" t="s">
        <v>7118</v>
      </c>
      <c r="BH1992" s="9" t="s">
        <v>100</v>
      </c>
      <c r="BI1992" s="9" t="s">
        <v>100</v>
      </c>
      <c r="BJ1992" s="533"/>
      <c r="BN1992" s="533"/>
      <c r="BO1992" s="533"/>
    </row>
    <row r="1993" spans="1:67" s="534" customFormat="1" ht="65" hidden="1" x14ac:dyDescent="0.35">
      <c r="A1993" s="112">
        <v>7889</v>
      </c>
      <c r="B1993" s="112" t="s">
        <v>7112</v>
      </c>
      <c r="C1993" s="113" t="s">
        <v>59</v>
      </c>
      <c r="D1993" s="113" t="s">
        <v>7130</v>
      </c>
      <c r="E1993" s="112" t="s">
        <v>36</v>
      </c>
      <c r="F1993" s="112" t="s">
        <v>123</v>
      </c>
      <c r="G1993" s="112" t="s">
        <v>225</v>
      </c>
      <c r="H1993" s="112" t="s">
        <v>125</v>
      </c>
      <c r="I1993" s="112" t="s">
        <v>114</v>
      </c>
      <c r="J1993" s="113" t="s">
        <v>28</v>
      </c>
      <c r="K1993" s="112" t="s">
        <v>6740</v>
      </c>
      <c r="L1993" s="112" t="s">
        <v>7114</v>
      </c>
      <c r="M1993" s="112" t="s">
        <v>276</v>
      </c>
      <c r="N1993" s="113" t="s">
        <v>7115</v>
      </c>
      <c r="O1993" s="113" t="s">
        <v>276</v>
      </c>
      <c r="P1993" s="113" t="s">
        <v>239</v>
      </c>
      <c r="Q1993" s="142" t="s">
        <v>98</v>
      </c>
      <c r="R1993" s="113" t="s">
        <v>7128</v>
      </c>
      <c r="S1993" s="113" t="s">
        <v>276</v>
      </c>
      <c r="T1993" s="113" t="s">
        <v>276</v>
      </c>
      <c r="U1993" s="113">
        <v>2</v>
      </c>
      <c r="V1993" s="112" t="s">
        <v>14</v>
      </c>
      <c r="W1993" s="113" t="s">
        <v>7080</v>
      </c>
      <c r="X1993" s="113" t="s">
        <v>207</v>
      </c>
      <c r="Y1993" s="118">
        <v>13759</v>
      </c>
      <c r="Z1993" s="119">
        <v>13744</v>
      </c>
      <c r="AA1993" s="113" t="s">
        <v>276</v>
      </c>
      <c r="AB1993" s="113" t="s">
        <v>276</v>
      </c>
      <c r="AC1993" s="112">
        <v>0</v>
      </c>
      <c r="AD1993" s="112" t="s">
        <v>968</v>
      </c>
      <c r="AE1993" s="112">
        <v>0</v>
      </c>
      <c r="AF1993" s="112" t="s">
        <v>968</v>
      </c>
      <c r="AG1993" s="113" t="s">
        <v>7131</v>
      </c>
      <c r="AH1993" s="113" t="s">
        <v>7094</v>
      </c>
      <c r="AI1993" s="119">
        <v>21</v>
      </c>
      <c r="AJ1993" s="119">
        <v>17</v>
      </c>
      <c r="AK1993" s="118">
        <v>13759</v>
      </c>
      <c r="AL1993" s="119">
        <v>13744</v>
      </c>
      <c r="AM1993" s="119" t="s">
        <v>2047</v>
      </c>
      <c r="AN1993" s="112" t="s">
        <v>276</v>
      </c>
      <c r="AO1993" s="207">
        <f t="shared" si="570"/>
        <v>1.5262737117523075</v>
      </c>
      <c r="AP1993" s="112" t="s">
        <v>276</v>
      </c>
      <c r="AQ1993" s="112" t="s">
        <v>276</v>
      </c>
      <c r="AR1993" s="112" t="s">
        <v>276</v>
      </c>
      <c r="AS1993" s="207">
        <f t="shared" si="568"/>
        <v>1.2369033760186263</v>
      </c>
      <c r="AT1993" s="112" t="s">
        <v>276</v>
      </c>
      <c r="AU1993" s="112" t="s">
        <v>276</v>
      </c>
      <c r="AV1993" s="112" t="s">
        <v>268</v>
      </c>
      <c r="AW1993" s="112" t="s">
        <v>276</v>
      </c>
      <c r="AX1993" s="207">
        <f t="shared" si="569"/>
        <v>1.2339474055484538</v>
      </c>
      <c r="AY1993" s="112" t="s">
        <v>276</v>
      </c>
      <c r="AZ1993" s="112" t="s">
        <v>276</v>
      </c>
      <c r="BA1993" s="112" t="s">
        <v>276</v>
      </c>
      <c r="BB1993" s="112" t="s">
        <v>282</v>
      </c>
      <c r="BC1993" s="112" t="s">
        <v>98</v>
      </c>
      <c r="BD1993" s="112" t="s">
        <v>98</v>
      </c>
      <c r="BE1993" s="112" t="s">
        <v>98</v>
      </c>
      <c r="BF1993" s="346" t="s">
        <v>11167</v>
      </c>
      <c r="BG1993" s="113" t="s">
        <v>7118</v>
      </c>
      <c r="BH1993" s="9" t="s">
        <v>100</v>
      </c>
      <c r="BI1993" s="9" t="s">
        <v>100</v>
      </c>
      <c r="BJ1993" s="533"/>
      <c r="BN1993" s="533"/>
      <c r="BO1993" s="533"/>
    </row>
    <row r="1994" spans="1:67" s="534" customFormat="1" ht="65" hidden="1" x14ac:dyDescent="0.35">
      <c r="A1994" s="112">
        <v>7889</v>
      </c>
      <c r="B1994" s="112" t="s">
        <v>7112</v>
      </c>
      <c r="C1994" s="113" t="s">
        <v>59</v>
      </c>
      <c r="D1994" s="113" t="s">
        <v>7132</v>
      </c>
      <c r="E1994" s="112" t="s">
        <v>36</v>
      </c>
      <c r="F1994" s="112" t="s">
        <v>123</v>
      </c>
      <c r="G1994" s="112" t="s">
        <v>225</v>
      </c>
      <c r="H1994" s="112" t="s">
        <v>125</v>
      </c>
      <c r="I1994" s="112" t="s">
        <v>114</v>
      </c>
      <c r="J1994" s="113" t="s">
        <v>28</v>
      </c>
      <c r="K1994" s="112" t="s">
        <v>6742</v>
      </c>
      <c r="L1994" s="112" t="s">
        <v>7114</v>
      </c>
      <c r="M1994" s="112" t="s">
        <v>276</v>
      </c>
      <c r="N1994" s="113" t="s">
        <v>7115</v>
      </c>
      <c r="O1994" s="113" t="s">
        <v>276</v>
      </c>
      <c r="P1994" s="113" t="s">
        <v>239</v>
      </c>
      <c r="Q1994" s="142" t="s">
        <v>98</v>
      </c>
      <c r="R1994" s="113" t="s">
        <v>7128</v>
      </c>
      <c r="S1994" s="113" t="s">
        <v>276</v>
      </c>
      <c r="T1994" s="113" t="s">
        <v>276</v>
      </c>
      <c r="U1994" s="113">
        <v>2</v>
      </c>
      <c r="V1994" s="112" t="s">
        <v>14</v>
      </c>
      <c r="W1994" s="113" t="s">
        <v>7080</v>
      </c>
      <c r="X1994" s="113" t="s">
        <v>207</v>
      </c>
      <c r="Y1994" s="118">
        <v>13759</v>
      </c>
      <c r="Z1994" s="119">
        <v>13744</v>
      </c>
      <c r="AA1994" s="113" t="s">
        <v>276</v>
      </c>
      <c r="AB1994" s="113" t="s">
        <v>276</v>
      </c>
      <c r="AC1994" s="112">
        <v>0</v>
      </c>
      <c r="AD1994" s="112" t="s">
        <v>968</v>
      </c>
      <c r="AE1994" s="112">
        <v>0</v>
      </c>
      <c r="AF1994" s="112" t="s">
        <v>968</v>
      </c>
      <c r="AG1994" s="113" t="s">
        <v>7133</v>
      </c>
      <c r="AH1994" s="113" t="s">
        <v>7094</v>
      </c>
      <c r="AI1994" s="119">
        <v>26</v>
      </c>
      <c r="AJ1994" s="119">
        <v>13</v>
      </c>
      <c r="AK1994" s="118">
        <v>13759</v>
      </c>
      <c r="AL1994" s="119">
        <v>13744</v>
      </c>
      <c r="AM1994" s="119" t="s">
        <v>2047</v>
      </c>
      <c r="AN1994" s="112" t="s">
        <v>276</v>
      </c>
      <c r="AO1994" s="207">
        <f t="shared" si="570"/>
        <v>1.8896722145504761</v>
      </c>
      <c r="AP1994" s="112" t="s">
        <v>276</v>
      </c>
      <c r="AQ1994" s="112" t="s">
        <v>276</v>
      </c>
      <c r="AR1994" s="112" t="s">
        <v>276</v>
      </c>
      <c r="AS1994" s="207">
        <f t="shared" si="568"/>
        <v>0.94586728754365546</v>
      </c>
      <c r="AT1994" s="112" t="s">
        <v>276</v>
      </c>
      <c r="AU1994" s="112" t="s">
        <v>276</v>
      </c>
      <c r="AV1994" s="112" t="s">
        <v>268</v>
      </c>
      <c r="AW1994" s="112" t="s">
        <v>276</v>
      </c>
      <c r="AX1994" s="207">
        <f t="shared" si="569"/>
        <v>1.997819608983211</v>
      </c>
      <c r="AY1994" s="112" t="s">
        <v>276</v>
      </c>
      <c r="AZ1994" s="112" t="s">
        <v>276</v>
      </c>
      <c r="BA1994" s="112" t="s">
        <v>276</v>
      </c>
      <c r="BB1994" s="112" t="s">
        <v>282</v>
      </c>
      <c r="BC1994" s="112" t="s">
        <v>98</v>
      </c>
      <c r="BD1994" s="112" t="s">
        <v>98</v>
      </c>
      <c r="BE1994" s="112" t="s">
        <v>98</v>
      </c>
      <c r="BF1994" s="346" t="s">
        <v>11167</v>
      </c>
      <c r="BG1994" s="113" t="s">
        <v>7118</v>
      </c>
      <c r="BH1994" s="9" t="s">
        <v>100</v>
      </c>
      <c r="BI1994" s="9" t="s">
        <v>100</v>
      </c>
      <c r="BJ1994" s="533"/>
      <c r="BN1994" s="533"/>
      <c r="BO1994" s="533"/>
    </row>
    <row r="1995" spans="1:67" s="534" customFormat="1" ht="65" hidden="1" x14ac:dyDescent="0.35">
      <c r="A1995" s="112">
        <v>7889</v>
      </c>
      <c r="B1995" s="112" t="s">
        <v>7112</v>
      </c>
      <c r="C1995" s="113" t="s">
        <v>59</v>
      </c>
      <c r="D1995" s="113" t="s">
        <v>7134</v>
      </c>
      <c r="E1995" s="112" t="s">
        <v>36</v>
      </c>
      <c r="F1995" s="112" t="s">
        <v>123</v>
      </c>
      <c r="G1995" s="112" t="s">
        <v>225</v>
      </c>
      <c r="H1995" s="112" t="s">
        <v>125</v>
      </c>
      <c r="I1995" s="112" t="s">
        <v>114</v>
      </c>
      <c r="J1995" s="113" t="s">
        <v>28</v>
      </c>
      <c r="K1995" s="112" t="s">
        <v>7100</v>
      </c>
      <c r="L1995" s="112" t="s">
        <v>7114</v>
      </c>
      <c r="M1995" s="112" t="s">
        <v>276</v>
      </c>
      <c r="N1995" s="113" t="s">
        <v>7115</v>
      </c>
      <c r="O1995" s="113" t="s">
        <v>276</v>
      </c>
      <c r="P1995" s="113" t="s">
        <v>239</v>
      </c>
      <c r="Q1995" s="142" t="s">
        <v>98</v>
      </c>
      <c r="R1995" s="113" t="s">
        <v>7128</v>
      </c>
      <c r="S1995" s="113" t="s">
        <v>276</v>
      </c>
      <c r="T1995" s="113" t="s">
        <v>276</v>
      </c>
      <c r="U1995" s="113">
        <v>2</v>
      </c>
      <c r="V1995" s="112" t="s">
        <v>14</v>
      </c>
      <c r="W1995" s="113" t="s">
        <v>7080</v>
      </c>
      <c r="X1995" s="113" t="s">
        <v>207</v>
      </c>
      <c r="Y1995" s="118">
        <v>13759</v>
      </c>
      <c r="Z1995" s="119">
        <v>13744</v>
      </c>
      <c r="AA1995" s="113" t="s">
        <v>276</v>
      </c>
      <c r="AB1995" s="113" t="s">
        <v>276</v>
      </c>
      <c r="AC1995" s="112">
        <v>0</v>
      </c>
      <c r="AD1995" s="112" t="s">
        <v>968</v>
      </c>
      <c r="AE1995" s="112">
        <v>0</v>
      </c>
      <c r="AF1995" s="112" t="s">
        <v>968</v>
      </c>
      <c r="AG1995" s="113" t="s">
        <v>7135</v>
      </c>
      <c r="AH1995" s="113" t="s">
        <v>7094</v>
      </c>
      <c r="AI1995" s="119">
        <v>13</v>
      </c>
      <c r="AJ1995" s="119">
        <v>11</v>
      </c>
      <c r="AK1995" s="118">
        <v>13759</v>
      </c>
      <c r="AL1995" s="119">
        <v>13744</v>
      </c>
      <c r="AM1995" s="119" t="s">
        <v>2047</v>
      </c>
      <c r="AN1995" s="112" t="s">
        <v>276</v>
      </c>
      <c r="AO1995" s="207">
        <f t="shared" si="570"/>
        <v>0.94483610727523804</v>
      </c>
      <c r="AP1995" s="112" t="s">
        <v>276</v>
      </c>
      <c r="AQ1995" s="112" t="s">
        <v>276</v>
      </c>
      <c r="AR1995" s="112" t="s">
        <v>276</v>
      </c>
      <c r="AS1995" s="207">
        <f t="shared" si="568"/>
        <v>0.80034924330616997</v>
      </c>
      <c r="AT1995" s="112" t="s">
        <v>276</v>
      </c>
      <c r="AU1995" s="112" t="s">
        <v>276</v>
      </c>
      <c r="AV1995" s="112" t="s">
        <v>268</v>
      </c>
      <c r="AW1995" s="112" t="s">
        <v>276</v>
      </c>
      <c r="AX1995" s="207">
        <f t="shared" si="569"/>
        <v>1.1805297689446246</v>
      </c>
      <c r="AY1995" s="112" t="s">
        <v>276</v>
      </c>
      <c r="AZ1995" s="112" t="s">
        <v>276</v>
      </c>
      <c r="BA1995" s="112" t="s">
        <v>276</v>
      </c>
      <c r="BB1995" s="112" t="s">
        <v>282</v>
      </c>
      <c r="BC1995" s="112" t="s">
        <v>98</v>
      </c>
      <c r="BD1995" s="112" t="s">
        <v>98</v>
      </c>
      <c r="BE1995" s="112" t="s">
        <v>98</v>
      </c>
      <c r="BF1995" s="346" t="s">
        <v>11167</v>
      </c>
      <c r="BG1995" s="113" t="s">
        <v>7118</v>
      </c>
      <c r="BH1995" s="9" t="s">
        <v>100</v>
      </c>
      <c r="BI1995" s="9" t="s">
        <v>100</v>
      </c>
      <c r="BJ1995" s="533"/>
      <c r="BN1995" s="533"/>
      <c r="BO1995" s="533"/>
    </row>
    <row r="1996" spans="1:67" s="534" customFormat="1" ht="52" hidden="1" x14ac:dyDescent="0.35">
      <c r="A1996" s="112">
        <v>7889</v>
      </c>
      <c r="B1996" s="112" t="s">
        <v>7112</v>
      </c>
      <c r="C1996" s="113" t="s">
        <v>59</v>
      </c>
      <c r="D1996" s="113" t="s">
        <v>7136</v>
      </c>
      <c r="E1996" s="112" t="s">
        <v>36</v>
      </c>
      <c r="F1996" s="112" t="s">
        <v>123</v>
      </c>
      <c r="G1996" s="112" t="s">
        <v>225</v>
      </c>
      <c r="H1996" s="112" t="s">
        <v>125</v>
      </c>
      <c r="I1996" s="112" t="s">
        <v>114</v>
      </c>
      <c r="J1996" s="113" t="s">
        <v>28</v>
      </c>
      <c r="K1996" s="112" t="s">
        <v>7100</v>
      </c>
      <c r="L1996" s="112" t="s">
        <v>7114</v>
      </c>
      <c r="M1996" s="112" t="s">
        <v>276</v>
      </c>
      <c r="N1996" s="113" t="s">
        <v>7115</v>
      </c>
      <c r="O1996" s="113" t="s">
        <v>276</v>
      </c>
      <c r="P1996" s="113" t="s">
        <v>235</v>
      </c>
      <c r="Q1996" s="142" t="s">
        <v>98</v>
      </c>
      <c r="R1996" s="113" t="s">
        <v>7128</v>
      </c>
      <c r="S1996" s="113" t="s">
        <v>276</v>
      </c>
      <c r="T1996" s="113" t="s">
        <v>276</v>
      </c>
      <c r="U1996" s="113">
        <v>2</v>
      </c>
      <c r="V1996" s="112" t="s">
        <v>14</v>
      </c>
      <c r="W1996" s="113" t="s">
        <v>7080</v>
      </c>
      <c r="X1996" s="113" t="s">
        <v>207</v>
      </c>
      <c r="Y1996" s="118" t="s">
        <v>98</v>
      </c>
      <c r="Z1996" s="119" t="s">
        <v>98</v>
      </c>
      <c r="AA1996" s="113" t="s">
        <v>276</v>
      </c>
      <c r="AB1996" s="113" t="s">
        <v>276</v>
      </c>
      <c r="AC1996" s="112">
        <v>0</v>
      </c>
      <c r="AD1996" s="112" t="s">
        <v>968</v>
      </c>
      <c r="AE1996" s="112">
        <v>0</v>
      </c>
      <c r="AF1996" s="112" t="s">
        <v>968</v>
      </c>
      <c r="AG1996" s="113" t="s">
        <v>7135</v>
      </c>
      <c r="AH1996" s="113" t="s">
        <v>7137</v>
      </c>
      <c r="AI1996" s="119">
        <v>13</v>
      </c>
      <c r="AJ1996" s="119">
        <v>11</v>
      </c>
      <c r="AK1996" s="118">
        <f>61+6+6</f>
        <v>73</v>
      </c>
      <c r="AL1996" s="119">
        <f>20+12+14</f>
        <v>46</v>
      </c>
      <c r="AM1996" s="119" t="s">
        <v>292</v>
      </c>
      <c r="AN1996" s="112" t="s">
        <v>276</v>
      </c>
      <c r="AO1996" s="207">
        <f>AI1996*100/AK1996</f>
        <v>17.80821917808219</v>
      </c>
      <c r="AP1996" s="112" t="s">
        <v>276</v>
      </c>
      <c r="AQ1996" s="112" t="s">
        <v>276</v>
      </c>
      <c r="AR1996" s="112" t="s">
        <v>276</v>
      </c>
      <c r="AS1996" s="207">
        <f>AJ1996*100/AL1996</f>
        <v>23.913043478260871</v>
      </c>
      <c r="AT1996" s="112" t="s">
        <v>276</v>
      </c>
      <c r="AU1996" s="112" t="s">
        <v>276</v>
      </c>
      <c r="AV1996" s="112" t="s">
        <v>268</v>
      </c>
      <c r="AW1996" s="112" t="s">
        <v>276</v>
      </c>
      <c r="AX1996" s="207">
        <f t="shared" si="569"/>
        <v>0.74470734744707334</v>
      </c>
      <c r="AY1996" s="112" t="s">
        <v>276</v>
      </c>
      <c r="AZ1996" s="112" t="s">
        <v>276</v>
      </c>
      <c r="BA1996" s="112" t="s">
        <v>276</v>
      </c>
      <c r="BB1996" s="112" t="s">
        <v>282</v>
      </c>
      <c r="BC1996" s="112" t="s">
        <v>98</v>
      </c>
      <c r="BD1996" s="112" t="s">
        <v>98</v>
      </c>
      <c r="BE1996" s="112" t="s">
        <v>98</v>
      </c>
      <c r="BF1996" s="346" t="s">
        <v>11167</v>
      </c>
      <c r="BG1996" s="113" t="s">
        <v>7118</v>
      </c>
      <c r="BH1996" s="9" t="s">
        <v>100</v>
      </c>
      <c r="BI1996" s="9" t="s">
        <v>100</v>
      </c>
      <c r="BJ1996" s="533"/>
      <c r="BN1996" s="533"/>
      <c r="BO1996" s="533"/>
    </row>
    <row r="1997" spans="1:67" s="532" customFormat="1" ht="65" hidden="1" x14ac:dyDescent="0.35">
      <c r="A1997" s="94">
        <v>7889</v>
      </c>
      <c r="B1997" s="94" t="s">
        <v>7112</v>
      </c>
      <c r="C1997" s="95" t="s">
        <v>59</v>
      </c>
      <c r="D1997" s="95" t="s">
        <v>7138</v>
      </c>
      <c r="E1997" s="94" t="s">
        <v>36</v>
      </c>
      <c r="F1997" s="94" t="s">
        <v>123</v>
      </c>
      <c r="G1997" s="94" t="s">
        <v>225</v>
      </c>
      <c r="H1997" s="94" t="s">
        <v>125</v>
      </c>
      <c r="I1997" s="94" t="s">
        <v>114</v>
      </c>
      <c r="J1997" s="95" t="s">
        <v>28</v>
      </c>
      <c r="K1997" s="94" t="s">
        <v>6737</v>
      </c>
      <c r="L1997" s="94" t="s">
        <v>7114</v>
      </c>
      <c r="M1997" s="94" t="s">
        <v>276</v>
      </c>
      <c r="N1997" s="95" t="s">
        <v>7115</v>
      </c>
      <c r="O1997" s="95" t="s">
        <v>276</v>
      </c>
      <c r="P1997" s="95" t="s">
        <v>239</v>
      </c>
      <c r="Q1997" s="140" t="s">
        <v>98</v>
      </c>
      <c r="R1997" s="95" t="s">
        <v>7139</v>
      </c>
      <c r="S1997" s="95" t="s">
        <v>276</v>
      </c>
      <c r="T1997" s="95" t="s">
        <v>276</v>
      </c>
      <c r="U1997" s="95">
        <v>2</v>
      </c>
      <c r="V1997" s="94" t="s">
        <v>14</v>
      </c>
      <c r="W1997" s="95" t="s">
        <v>7080</v>
      </c>
      <c r="X1997" s="95" t="s">
        <v>207</v>
      </c>
      <c r="Y1997" s="98">
        <v>13759</v>
      </c>
      <c r="Z1997" s="99">
        <v>13744</v>
      </c>
      <c r="AA1997" s="95" t="s">
        <v>276</v>
      </c>
      <c r="AB1997" s="95" t="s">
        <v>276</v>
      </c>
      <c r="AC1997" s="94">
        <v>0</v>
      </c>
      <c r="AD1997" s="94" t="s">
        <v>968</v>
      </c>
      <c r="AE1997" s="94">
        <v>0</v>
      </c>
      <c r="AF1997" s="94" t="s">
        <v>968</v>
      </c>
      <c r="AG1997" s="95" t="s">
        <v>7140</v>
      </c>
      <c r="AH1997" s="95" t="s">
        <v>7094</v>
      </c>
      <c r="AI1997" s="99">
        <v>14</v>
      </c>
      <c r="AJ1997" s="99">
        <v>7</v>
      </c>
      <c r="AK1997" s="98">
        <v>13759</v>
      </c>
      <c r="AL1997" s="99">
        <v>13744</v>
      </c>
      <c r="AM1997" s="99" t="s">
        <v>2047</v>
      </c>
      <c r="AN1997" s="94" t="s">
        <v>276</v>
      </c>
      <c r="AO1997" s="101">
        <f t="shared" si="570"/>
        <v>1.0175158078348716</v>
      </c>
      <c r="AP1997" s="94" t="s">
        <v>276</v>
      </c>
      <c r="AQ1997" s="94" t="s">
        <v>276</v>
      </c>
      <c r="AR1997" s="94" t="s">
        <v>276</v>
      </c>
      <c r="AS1997" s="101">
        <f t="shared" si="568"/>
        <v>0.5093131548311991</v>
      </c>
      <c r="AT1997" s="94" t="s">
        <v>276</v>
      </c>
      <c r="AU1997" s="94" t="s">
        <v>276</v>
      </c>
      <c r="AV1997" s="94" t="s">
        <v>268</v>
      </c>
      <c r="AW1997" s="94" t="s">
        <v>276</v>
      </c>
      <c r="AX1997" s="101">
        <f t="shared" si="569"/>
        <v>1.9978196089832108</v>
      </c>
      <c r="AY1997" s="94" t="s">
        <v>276</v>
      </c>
      <c r="AZ1997" s="94" t="s">
        <v>276</v>
      </c>
      <c r="BA1997" s="94" t="s">
        <v>276</v>
      </c>
      <c r="BB1997" s="94" t="s">
        <v>282</v>
      </c>
      <c r="BC1997" s="94" t="s">
        <v>98</v>
      </c>
      <c r="BD1997" s="94" t="s">
        <v>98</v>
      </c>
      <c r="BE1997" s="94" t="s">
        <v>98</v>
      </c>
      <c r="BF1997" s="346" t="s">
        <v>11167</v>
      </c>
      <c r="BG1997" s="95" t="s">
        <v>7118</v>
      </c>
      <c r="BH1997" s="9" t="s">
        <v>100</v>
      </c>
      <c r="BI1997" s="9" t="s">
        <v>100</v>
      </c>
      <c r="BJ1997" s="531"/>
      <c r="BN1997" s="531"/>
      <c r="BO1997" s="531"/>
    </row>
    <row r="1998" spans="1:67" s="532" customFormat="1" ht="65" hidden="1" x14ac:dyDescent="0.35">
      <c r="A1998" s="94">
        <v>7889</v>
      </c>
      <c r="B1998" s="94" t="s">
        <v>7112</v>
      </c>
      <c r="C1998" s="95" t="s">
        <v>59</v>
      </c>
      <c r="D1998" s="95" t="s">
        <v>7141</v>
      </c>
      <c r="E1998" s="94" t="s">
        <v>36</v>
      </c>
      <c r="F1998" s="94" t="s">
        <v>123</v>
      </c>
      <c r="G1998" s="94" t="s">
        <v>225</v>
      </c>
      <c r="H1998" s="94" t="s">
        <v>125</v>
      </c>
      <c r="I1998" s="94" t="s">
        <v>114</v>
      </c>
      <c r="J1998" s="95" t="s">
        <v>28</v>
      </c>
      <c r="K1998" s="94" t="s">
        <v>6740</v>
      </c>
      <c r="L1998" s="94" t="s">
        <v>7114</v>
      </c>
      <c r="M1998" s="94" t="s">
        <v>276</v>
      </c>
      <c r="N1998" s="95" t="s">
        <v>7115</v>
      </c>
      <c r="O1998" s="95" t="s">
        <v>276</v>
      </c>
      <c r="P1998" s="95" t="s">
        <v>239</v>
      </c>
      <c r="Q1998" s="140" t="s">
        <v>98</v>
      </c>
      <c r="R1998" s="95" t="s">
        <v>7139</v>
      </c>
      <c r="S1998" s="95" t="s">
        <v>276</v>
      </c>
      <c r="T1998" s="95" t="s">
        <v>276</v>
      </c>
      <c r="U1998" s="95">
        <v>2</v>
      </c>
      <c r="V1998" s="94" t="s">
        <v>14</v>
      </c>
      <c r="W1998" s="95" t="s">
        <v>7080</v>
      </c>
      <c r="X1998" s="95" t="s">
        <v>207</v>
      </c>
      <c r="Y1998" s="98">
        <v>13759</v>
      </c>
      <c r="Z1998" s="99">
        <v>13744</v>
      </c>
      <c r="AA1998" s="95" t="s">
        <v>276</v>
      </c>
      <c r="AB1998" s="95" t="s">
        <v>276</v>
      </c>
      <c r="AC1998" s="94">
        <v>0</v>
      </c>
      <c r="AD1998" s="94" t="s">
        <v>968</v>
      </c>
      <c r="AE1998" s="94">
        <v>0</v>
      </c>
      <c r="AF1998" s="94" t="s">
        <v>968</v>
      </c>
      <c r="AG1998" s="95" t="s">
        <v>7142</v>
      </c>
      <c r="AH1998" s="95" t="s">
        <v>7094</v>
      </c>
      <c r="AI1998" s="99">
        <v>25</v>
      </c>
      <c r="AJ1998" s="99">
        <v>25</v>
      </c>
      <c r="AK1998" s="98">
        <v>13759</v>
      </c>
      <c r="AL1998" s="99">
        <v>13744</v>
      </c>
      <c r="AM1998" s="99" t="s">
        <v>2047</v>
      </c>
      <c r="AN1998" s="94" t="s">
        <v>276</v>
      </c>
      <c r="AO1998" s="101">
        <f t="shared" si="570"/>
        <v>1.8169925139908423</v>
      </c>
      <c r="AP1998" s="94" t="s">
        <v>276</v>
      </c>
      <c r="AQ1998" s="94" t="s">
        <v>276</v>
      </c>
      <c r="AR1998" s="94" t="s">
        <v>276</v>
      </c>
      <c r="AS1998" s="101">
        <f t="shared" si="568"/>
        <v>1.8189755529685681</v>
      </c>
      <c r="AT1998" s="94" t="s">
        <v>276</v>
      </c>
      <c r="AU1998" s="94" t="s">
        <v>276</v>
      </c>
      <c r="AV1998" s="94" t="s">
        <v>268</v>
      </c>
      <c r="AW1998" s="94" t="s">
        <v>276</v>
      </c>
      <c r="AX1998" s="101">
        <f t="shared" si="569"/>
        <v>0.99890980449160549</v>
      </c>
      <c r="AY1998" s="94" t="s">
        <v>276</v>
      </c>
      <c r="AZ1998" s="94" t="s">
        <v>276</v>
      </c>
      <c r="BA1998" s="94" t="s">
        <v>276</v>
      </c>
      <c r="BB1998" s="94" t="s">
        <v>282</v>
      </c>
      <c r="BC1998" s="94" t="s">
        <v>98</v>
      </c>
      <c r="BD1998" s="94" t="s">
        <v>98</v>
      </c>
      <c r="BE1998" s="94" t="s">
        <v>98</v>
      </c>
      <c r="BF1998" s="346" t="s">
        <v>11167</v>
      </c>
      <c r="BG1998" s="95" t="s">
        <v>7118</v>
      </c>
      <c r="BH1998" s="9" t="s">
        <v>100</v>
      </c>
      <c r="BI1998" s="9" t="s">
        <v>100</v>
      </c>
      <c r="BJ1998" s="531"/>
      <c r="BN1998" s="531"/>
      <c r="BO1998" s="531"/>
    </row>
    <row r="1999" spans="1:67" s="532" customFormat="1" ht="65" hidden="1" x14ac:dyDescent="0.35">
      <c r="A1999" s="94">
        <v>7889</v>
      </c>
      <c r="B1999" s="94" t="s">
        <v>7112</v>
      </c>
      <c r="C1999" s="95" t="s">
        <v>59</v>
      </c>
      <c r="D1999" s="95" t="s">
        <v>7143</v>
      </c>
      <c r="E1999" s="94" t="s">
        <v>36</v>
      </c>
      <c r="F1999" s="94" t="s">
        <v>123</v>
      </c>
      <c r="G1999" s="94" t="s">
        <v>225</v>
      </c>
      <c r="H1999" s="94" t="s">
        <v>125</v>
      </c>
      <c r="I1999" s="94" t="s">
        <v>114</v>
      </c>
      <c r="J1999" s="95" t="s">
        <v>28</v>
      </c>
      <c r="K1999" s="94" t="s">
        <v>6742</v>
      </c>
      <c r="L1999" s="94" t="s">
        <v>7114</v>
      </c>
      <c r="M1999" s="94" t="s">
        <v>276</v>
      </c>
      <c r="N1999" s="95" t="s">
        <v>7115</v>
      </c>
      <c r="O1999" s="95" t="s">
        <v>276</v>
      </c>
      <c r="P1999" s="95" t="s">
        <v>239</v>
      </c>
      <c r="Q1999" s="140" t="s">
        <v>98</v>
      </c>
      <c r="R1999" s="95" t="s">
        <v>7139</v>
      </c>
      <c r="S1999" s="95" t="s">
        <v>276</v>
      </c>
      <c r="T1999" s="95" t="s">
        <v>276</v>
      </c>
      <c r="U1999" s="95">
        <v>2</v>
      </c>
      <c r="V1999" s="94" t="s">
        <v>14</v>
      </c>
      <c r="W1999" s="95" t="s">
        <v>7080</v>
      </c>
      <c r="X1999" s="95" t="s">
        <v>207</v>
      </c>
      <c r="Y1999" s="98">
        <v>13759</v>
      </c>
      <c r="Z1999" s="99">
        <v>13744</v>
      </c>
      <c r="AA1999" s="95" t="s">
        <v>276</v>
      </c>
      <c r="AB1999" s="95" t="s">
        <v>276</v>
      </c>
      <c r="AC1999" s="94">
        <v>0</v>
      </c>
      <c r="AD1999" s="94" t="s">
        <v>968</v>
      </c>
      <c r="AE1999" s="94">
        <v>0</v>
      </c>
      <c r="AF1999" s="94" t="s">
        <v>968</v>
      </c>
      <c r="AG1999" s="95" t="s">
        <v>7144</v>
      </c>
      <c r="AH1999" s="95" t="s">
        <v>7094</v>
      </c>
      <c r="AI1999" s="99">
        <v>32</v>
      </c>
      <c r="AJ1999" s="99">
        <v>15</v>
      </c>
      <c r="AK1999" s="98">
        <v>13759</v>
      </c>
      <c r="AL1999" s="99">
        <v>13744</v>
      </c>
      <c r="AM1999" s="99" t="s">
        <v>2047</v>
      </c>
      <c r="AN1999" s="94" t="s">
        <v>276</v>
      </c>
      <c r="AO1999" s="101">
        <f t="shared" si="570"/>
        <v>2.3257504179082784</v>
      </c>
      <c r="AP1999" s="94" t="s">
        <v>276</v>
      </c>
      <c r="AQ1999" s="94" t="s">
        <v>276</v>
      </c>
      <c r="AR1999" s="94" t="s">
        <v>276</v>
      </c>
      <c r="AS1999" s="101">
        <f t="shared" si="568"/>
        <v>1.0913853317811408</v>
      </c>
      <c r="AT1999" s="94" t="s">
        <v>276</v>
      </c>
      <c r="AU1999" s="94" t="s">
        <v>276</v>
      </c>
      <c r="AV1999" s="94" t="s">
        <v>268</v>
      </c>
      <c r="AW1999" s="94" t="s">
        <v>276</v>
      </c>
      <c r="AX1999" s="101">
        <f t="shared" si="569"/>
        <v>2.1310075829154251</v>
      </c>
      <c r="AY1999" s="94" t="s">
        <v>276</v>
      </c>
      <c r="AZ1999" s="94" t="s">
        <v>276</v>
      </c>
      <c r="BA1999" s="94" t="s">
        <v>276</v>
      </c>
      <c r="BB1999" s="94" t="s">
        <v>282</v>
      </c>
      <c r="BC1999" s="94" t="s">
        <v>98</v>
      </c>
      <c r="BD1999" s="94" t="s">
        <v>98</v>
      </c>
      <c r="BE1999" s="94" t="s">
        <v>98</v>
      </c>
      <c r="BF1999" s="346" t="s">
        <v>11167</v>
      </c>
      <c r="BG1999" s="95" t="s">
        <v>7118</v>
      </c>
      <c r="BH1999" s="9" t="s">
        <v>100</v>
      </c>
      <c r="BI1999" s="9" t="s">
        <v>100</v>
      </c>
      <c r="BJ1999" s="531"/>
      <c r="BN1999" s="531"/>
      <c r="BO1999" s="531"/>
    </row>
    <row r="2000" spans="1:67" s="532" customFormat="1" ht="65" hidden="1" x14ac:dyDescent="0.35">
      <c r="A2000" s="94">
        <v>7889</v>
      </c>
      <c r="B2000" s="94" t="s">
        <v>7112</v>
      </c>
      <c r="C2000" s="95" t="s">
        <v>59</v>
      </c>
      <c r="D2000" s="95" t="s">
        <v>7145</v>
      </c>
      <c r="E2000" s="94" t="s">
        <v>36</v>
      </c>
      <c r="F2000" s="94" t="s">
        <v>123</v>
      </c>
      <c r="G2000" s="94" t="s">
        <v>225</v>
      </c>
      <c r="H2000" s="94" t="s">
        <v>125</v>
      </c>
      <c r="I2000" s="94" t="s">
        <v>114</v>
      </c>
      <c r="J2000" s="95" t="s">
        <v>28</v>
      </c>
      <c r="K2000" s="94" t="s">
        <v>7100</v>
      </c>
      <c r="L2000" s="94" t="s">
        <v>7114</v>
      </c>
      <c r="M2000" s="94" t="s">
        <v>276</v>
      </c>
      <c r="N2000" s="95" t="s">
        <v>7115</v>
      </c>
      <c r="O2000" s="95" t="s">
        <v>276</v>
      </c>
      <c r="P2000" s="95" t="s">
        <v>239</v>
      </c>
      <c r="Q2000" s="140" t="s">
        <v>98</v>
      </c>
      <c r="R2000" s="95" t="s">
        <v>7139</v>
      </c>
      <c r="S2000" s="95" t="s">
        <v>276</v>
      </c>
      <c r="T2000" s="95" t="s">
        <v>276</v>
      </c>
      <c r="U2000" s="95">
        <v>2</v>
      </c>
      <c r="V2000" s="94" t="s">
        <v>14</v>
      </c>
      <c r="W2000" s="95" t="s">
        <v>7080</v>
      </c>
      <c r="X2000" s="95" t="s">
        <v>207</v>
      </c>
      <c r="Y2000" s="98">
        <v>13759</v>
      </c>
      <c r="Z2000" s="99">
        <v>13744</v>
      </c>
      <c r="AA2000" s="95" t="s">
        <v>276</v>
      </c>
      <c r="AB2000" s="95" t="s">
        <v>276</v>
      </c>
      <c r="AC2000" s="94">
        <v>0</v>
      </c>
      <c r="AD2000" s="94" t="s">
        <v>968</v>
      </c>
      <c r="AE2000" s="94">
        <v>0</v>
      </c>
      <c r="AF2000" s="94" t="s">
        <v>968</v>
      </c>
      <c r="AG2000" s="95" t="s">
        <v>7146</v>
      </c>
      <c r="AH2000" s="95" t="s">
        <v>7094</v>
      </c>
      <c r="AI2000" s="99">
        <v>18</v>
      </c>
      <c r="AJ2000" s="99">
        <v>12</v>
      </c>
      <c r="AK2000" s="98">
        <v>13759</v>
      </c>
      <c r="AL2000" s="99">
        <v>13744</v>
      </c>
      <c r="AM2000" s="99" t="s">
        <v>2047</v>
      </c>
      <c r="AN2000" s="94" t="s">
        <v>276</v>
      </c>
      <c r="AO2000" s="101">
        <f t="shared" si="570"/>
        <v>1.3082346100734066</v>
      </c>
      <c r="AP2000" s="94" t="s">
        <v>276</v>
      </c>
      <c r="AQ2000" s="94" t="s">
        <v>276</v>
      </c>
      <c r="AR2000" s="94" t="s">
        <v>276</v>
      </c>
      <c r="AS2000" s="101">
        <f t="shared" si="568"/>
        <v>0.87310826542491271</v>
      </c>
      <c r="AT2000" s="94" t="s">
        <v>276</v>
      </c>
      <c r="AU2000" s="94" t="s">
        <v>276</v>
      </c>
      <c r="AV2000" s="94" t="s">
        <v>268</v>
      </c>
      <c r="AW2000" s="94" t="s">
        <v>276</v>
      </c>
      <c r="AX2000" s="101">
        <f t="shared" si="569"/>
        <v>1.4983647067374084</v>
      </c>
      <c r="AY2000" s="94" t="s">
        <v>276</v>
      </c>
      <c r="AZ2000" s="94" t="s">
        <v>276</v>
      </c>
      <c r="BA2000" s="94" t="s">
        <v>276</v>
      </c>
      <c r="BB2000" s="94" t="s">
        <v>282</v>
      </c>
      <c r="BC2000" s="94" t="s">
        <v>98</v>
      </c>
      <c r="BD2000" s="94" t="s">
        <v>98</v>
      </c>
      <c r="BE2000" s="94" t="s">
        <v>98</v>
      </c>
      <c r="BF2000" s="346" t="s">
        <v>11167</v>
      </c>
      <c r="BG2000" s="95" t="s">
        <v>7118</v>
      </c>
      <c r="BH2000" s="9" t="s">
        <v>100</v>
      </c>
      <c r="BI2000" s="9" t="s">
        <v>100</v>
      </c>
      <c r="BJ2000" s="531"/>
      <c r="BN2000" s="531"/>
      <c r="BO2000" s="531"/>
    </row>
    <row r="2001" spans="1:67" s="532" customFormat="1" ht="52" hidden="1" x14ac:dyDescent="0.35">
      <c r="A2001" s="94">
        <v>7889</v>
      </c>
      <c r="B2001" s="94" t="s">
        <v>7112</v>
      </c>
      <c r="C2001" s="95" t="s">
        <v>59</v>
      </c>
      <c r="D2001" s="95" t="s">
        <v>7147</v>
      </c>
      <c r="E2001" s="94" t="s">
        <v>36</v>
      </c>
      <c r="F2001" s="94" t="s">
        <v>123</v>
      </c>
      <c r="G2001" s="94" t="s">
        <v>225</v>
      </c>
      <c r="H2001" s="94" t="s">
        <v>125</v>
      </c>
      <c r="I2001" s="94" t="s">
        <v>114</v>
      </c>
      <c r="J2001" s="95" t="s">
        <v>28</v>
      </c>
      <c r="K2001" s="94" t="s">
        <v>7100</v>
      </c>
      <c r="L2001" s="94" t="s">
        <v>7114</v>
      </c>
      <c r="M2001" s="94" t="s">
        <v>276</v>
      </c>
      <c r="N2001" s="95" t="s">
        <v>7115</v>
      </c>
      <c r="O2001" s="95" t="s">
        <v>276</v>
      </c>
      <c r="P2001" s="95" t="s">
        <v>235</v>
      </c>
      <c r="Q2001" s="140" t="s">
        <v>98</v>
      </c>
      <c r="R2001" s="95" t="s">
        <v>7139</v>
      </c>
      <c r="S2001" s="95" t="s">
        <v>276</v>
      </c>
      <c r="T2001" s="95" t="s">
        <v>276</v>
      </c>
      <c r="U2001" s="95">
        <v>2</v>
      </c>
      <c r="V2001" s="94" t="s">
        <v>14</v>
      </c>
      <c r="W2001" s="95" t="s">
        <v>7080</v>
      </c>
      <c r="X2001" s="95" t="s">
        <v>207</v>
      </c>
      <c r="Y2001" s="98" t="s">
        <v>98</v>
      </c>
      <c r="Z2001" s="99" t="s">
        <v>98</v>
      </c>
      <c r="AA2001" s="95" t="s">
        <v>276</v>
      </c>
      <c r="AB2001" s="95" t="s">
        <v>276</v>
      </c>
      <c r="AC2001" s="94">
        <v>0</v>
      </c>
      <c r="AD2001" s="94" t="s">
        <v>968</v>
      </c>
      <c r="AE2001" s="94">
        <v>0</v>
      </c>
      <c r="AF2001" s="94" t="s">
        <v>968</v>
      </c>
      <c r="AG2001" s="95" t="s">
        <v>7146</v>
      </c>
      <c r="AH2001" s="95" t="s">
        <v>7148</v>
      </c>
      <c r="AI2001" s="99">
        <v>18</v>
      </c>
      <c r="AJ2001" s="99">
        <v>12</v>
      </c>
      <c r="AK2001" s="98">
        <f>61+6+6+16</f>
        <v>89</v>
      </c>
      <c r="AL2001" s="99">
        <f>20+12+14+13</f>
        <v>59</v>
      </c>
      <c r="AM2001" s="99" t="s">
        <v>292</v>
      </c>
      <c r="AN2001" s="94" t="s">
        <v>276</v>
      </c>
      <c r="AO2001" s="101">
        <f>AI2001*100/AK2001</f>
        <v>20.224719101123597</v>
      </c>
      <c r="AP2001" s="94" t="s">
        <v>276</v>
      </c>
      <c r="AQ2001" s="94" t="s">
        <v>276</v>
      </c>
      <c r="AR2001" s="94" t="s">
        <v>276</v>
      </c>
      <c r="AS2001" s="101">
        <f>AJ2001*100/AL2001</f>
        <v>20.338983050847457</v>
      </c>
      <c r="AT2001" s="94" t="s">
        <v>276</v>
      </c>
      <c r="AU2001" s="94" t="s">
        <v>276</v>
      </c>
      <c r="AV2001" s="94" t="s">
        <v>268</v>
      </c>
      <c r="AW2001" s="94" t="s">
        <v>276</v>
      </c>
      <c r="AX2001" s="101">
        <f t="shared" si="569"/>
        <v>0.99438202247191021</v>
      </c>
      <c r="AY2001" s="94" t="s">
        <v>276</v>
      </c>
      <c r="AZ2001" s="94" t="s">
        <v>276</v>
      </c>
      <c r="BA2001" s="94" t="s">
        <v>276</v>
      </c>
      <c r="BB2001" s="94" t="s">
        <v>282</v>
      </c>
      <c r="BC2001" s="94" t="s">
        <v>98</v>
      </c>
      <c r="BD2001" s="94" t="s">
        <v>98</v>
      </c>
      <c r="BE2001" s="94" t="s">
        <v>98</v>
      </c>
      <c r="BF2001" s="95" t="s">
        <v>1358</v>
      </c>
      <c r="BG2001" s="95" t="s">
        <v>7118</v>
      </c>
      <c r="BH2001" s="9" t="s">
        <v>100</v>
      </c>
      <c r="BI2001" s="9" t="s">
        <v>100</v>
      </c>
      <c r="BJ2001" s="531"/>
      <c r="BN2001" s="531"/>
      <c r="BO2001" s="531"/>
    </row>
    <row r="2002" spans="1:67" s="534" customFormat="1" ht="65" hidden="1" x14ac:dyDescent="0.35">
      <c r="A2002" s="112">
        <v>7889</v>
      </c>
      <c r="B2002" s="112" t="s">
        <v>7112</v>
      </c>
      <c r="C2002" s="113" t="s">
        <v>59</v>
      </c>
      <c r="D2002" s="113" t="s">
        <v>7149</v>
      </c>
      <c r="E2002" s="112" t="s">
        <v>36</v>
      </c>
      <c r="F2002" s="112" t="s">
        <v>123</v>
      </c>
      <c r="G2002" s="112" t="s">
        <v>225</v>
      </c>
      <c r="H2002" s="112" t="s">
        <v>125</v>
      </c>
      <c r="I2002" s="112" t="s">
        <v>114</v>
      </c>
      <c r="J2002" s="113" t="s">
        <v>28</v>
      </c>
      <c r="K2002" s="112" t="s">
        <v>6737</v>
      </c>
      <c r="L2002" s="112" t="s">
        <v>7114</v>
      </c>
      <c r="M2002" s="112" t="s">
        <v>276</v>
      </c>
      <c r="N2002" s="113" t="s">
        <v>7115</v>
      </c>
      <c r="O2002" s="113" t="s">
        <v>276</v>
      </c>
      <c r="P2002" s="113" t="s">
        <v>239</v>
      </c>
      <c r="Q2002" s="142" t="s">
        <v>98</v>
      </c>
      <c r="R2002" s="113" t="s">
        <v>7150</v>
      </c>
      <c r="S2002" s="113" t="s">
        <v>276</v>
      </c>
      <c r="T2002" s="113" t="s">
        <v>276</v>
      </c>
      <c r="U2002" s="113">
        <v>2</v>
      </c>
      <c r="V2002" s="112" t="s">
        <v>14</v>
      </c>
      <c r="W2002" s="113" t="s">
        <v>7080</v>
      </c>
      <c r="X2002" s="113" t="s">
        <v>207</v>
      </c>
      <c r="Y2002" s="118">
        <v>13759</v>
      </c>
      <c r="Z2002" s="119">
        <v>13744</v>
      </c>
      <c r="AA2002" s="113" t="s">
        <v>276</v>
      </c>
      <c r="AB2002" s="113" t="s">
        <v>276</v>
      </c>
      <c r="AC2002" s="112">
        <v>0</v>
      </c>
      <c r="AD2002" s="112" t="s">
        <v>968</v>
      </c>
      <c r="AE2002" s="112">
        <v>0</v>
      </c>
      <c r="AF2002" s="112" t="s">
        <v>968</v>
      </c>
      <c r="AG2002" s="113" t="s">
        <v>7151</v>
      </c>
      <c r="AH2002" s="113" t="s">
        <v>7094</v>
      </c>
      <c r="AI2002" s="119">
        <v>15</v>
      </c>
      <c r="AJ2002" s="119">
        <v>7</v>
      </c>
      <c r="AK2002" s="118">
        <v>13759</v>
      </c>
      <c r="AL2002" s="119">
        <v>13744</v>
      </c>
      <c r="AM2002" s="119" t="s">
        <v>2047</v>
      </c>
      <c r="AN2002" s="112" t="s">
        <v>276</v>
      </c>
      <c r="AO2002" s="207">
        <f t="shared" si="570"/>
        <v>1.0901955083945054</v>
      </c>
      <c r="AP2002" s="112" t="s">
        <v>276</v>
      </c>
      <c r="AQ2002" s="112" t="s">
        <v>276</v>
      </c>
      <c r="AR2002" s="112" t="s">
        <v>276</v>
      </c>
      <c r="AS2002" s="207">
        <f t="shared" si="568"/>
        <v>0.5093131548311991</v>
      </c>
      <c r="AT2002" s="112" t="s">
        <v>276</v>
      </c>
      <c r="AU2002" s="112" t="s">
        <v>276</v>
      </c>
      <c r="AV2002" s="112" t="s">
        <v>268</v>
      </c>
      <c r="AW2002" s="112" t="s">
        <v>276</v>
      </c>
      <c r="AX2002" s="207">
        <f t="shared" si="569"/>
        <v>2.1405210096248686</v>
      </c>
      <c r="AY2002" s="112" t="s">
        <v>276</v>
      </c>
      <c r="AZ2002" s="112" t="s">
        <v>276</v>
      </c>
      <c r="BA2002" s="112" t="s">
        <v>276</v>
      </c>
      <c r="BB2002" s="112" t="s">
        <v>282</v>
      </c>
      <c r="BC2002" s="112" t="s">
        <v>98</v>
      </c>
      <c r="BD2002" s="112" t="s">
        <v>98</v>
      </c>
      <c r="BE2002" s="112" t="s">
        <v>98</v>
      </c>
      <c r="BF2002" s="346" t="s">
        <v>11167</v>
      </c>
      <c r="BG2002" s="113" t="s">
        <v>7118</v>
      </c>
      <c r="BH2002" s="9" t="s">
        <v>100</v>
      </c>
      <c r="BI2002" s="9" t="s">
        <v>100</v>
      </c>
      <c r="BJ2002" s="533"/>
      <c r="BN2002" s="533"/>
      <c r="BO2002" s="533"/>
    </row>
    <row r="2003" spans="1:67" s="534" customFormat="1" ht="65" hidden="1" x14ac:dyDescent="0.35">
      <c r="A2003" s="112">
        <v>7889</v>
      </c>
      <c r="B2003" s="112" t="s">
        <v>7112</v>
      </c>
      <c r="C2003" s="113" t="s">
        <v>59</v>
      </c>
      <c r="D2003" s="113" t="s">
        <v>7152</v>
      </c>
      <c r="E2003" s="112" t="s">
        <v>36</v>
      </c>
      <c r="F2003" s="112" t="s">
        <v>123</v>
      </c>
      <c r="G2003" s="112" t="s">
        <v>225</v>
      </c>
      <c r="H2003" s="112" t="s">
        <v>125</v>
      </c>
      <c r="I2003" s="112" t="s">
        <v>114</v>
      </c>
      <c r="J2003" s="113" t="s">
        <v>28</v>
      </c>
      <c r="K2003" s="112" t="s">
        <v>6740</v>
      </c>
      <c r="L2003" s="112" t="s">
        <v>7114</v>
      </c>
      <c r="M2003" s="112" t="s">
        <v>276</v>
      </c>
      <c r="N2003" s="113" t="s">
        <v>7115</v>
      </c>
      <c r="O2003" s="113" t="s">
        <v>276</v>
      </c>
      <c r="P2003" s="113" t="s">
        <v>239</v>
      </c>
      <c r="Q2003" s="142" t="s">
        <v>98</v>
      </c>
      <c r="R2003" s="113" t="s">
        <v>7150</v>
      </c>
      <c r="S2003" s="113" t="s">
        <v>276</v>
      </c>
      <c r="T2003" s="113" t="s">
        <v>276</v>
      </c>
      <c r="U2003" s="113">
        <v>2</v>
      </c>
      <c r="V2003" s="112" t="s">
        <v>14</v>
      </c>
      <c r="W2003" s="113" t="s">
        <v>7080</v>
      </c>
      <c r="X2003" s="113" t="s">
        <v>207</v>
      </c>
      <c r="Y2003" s="118">
        <v>13759</v>
      </c>
      <c r="Z2003" s="119">
        <v>13744</v>
      </c>
      <c r="AA2003" s="113" t="s">
        <v>276</v>
      </c>
      <c r="AB2003" s="113" t="s">
        <v>276</v>
      </c>
      <c r="AC2003" s="112">
        <v>0</v>
      </c>
      <c r="AD2003" s="112" t="s">
        <v>968</v>
      </c>
      <c r="AE2003" s="112">
        <v>0</v>
      </c>
      <c r="AF2003" s="112" t="s">
        <v>968</v>
      </c>
      <c r="AG2003" s="113" t="s">
        <v>7153</v>
      </c>
      <c r="AH2003" s="113" t="s">
        <v>7094</v>
      </c>
      <c r="AI2003" s="119">
        <v>33</v>
      </c>
      <c r="AJ2003" s="119">
        <v>30</v>
      </c>
      <c r="AK2003" s="118">
        <v>13759</v>
      </c>
      <c r="AL2003" s="119">
        <v>13744</v>
      </c>
      <c r="AM2003" s="119" t="s">
        <v>2047</v>
      </c>
      <c r="AN2003" s="112" t="s">
        <v>276</v>
      </c>
      <c r="AO2003" s="207">
        <f t="shared" si="570"/>
        <v>2.3984301184679118</v>
      </c>
      <c r="AP2003" s="112" t="s">
        <v>276</v>
      </c>
      <c r="AQ2003" s="112" t="s">
        <v>276</v>
      </c>
      <c r="AR2003" s="112" t="s">
        <v>276</v>
      </c>
      <c r="AS2003" s="207">
        <f t="shared" si="568"/>
        <v>2.1827706635622817</v>
      </c>
      <c r="AT2003" s="112" t="s">
        <v>276</v>
      </c>
      <c r="AU2003" s="112" t="s">
        <v>276</v>
      </c>
      <c r="AV2003" s="112" t="s">
        <v>268</v>
      </c>
      <c r="AW2003" s="112" t="s">
        <v>276</v>
      </c>
      <c r="AX2003" s="207">
        <f t="shared" si="569"/>
        <v>1.0988007849407659</v>
      </c>
      <c r="AY2003" s="112" t="s">
        <v>276</v>
      </c>
      <c r="AZ2003" s="112" t="s">
        <v>276</v>
      </c>
      <c r="BA2003" s="112" t="s">
        <v>276</v>
      </c>
      <c r="BB2003" s="112" t="s">
        <v>282</v>
      </c>
      <c r="BC2003" s="112" t="s">
        <v>98</v>
      </c>
      <c r="BD2003" s="112" t="s">
        <v>98</v>
      </c>
      <c r="BE2003" s="112" t="s">
        <v>98</v>
      </c>
      <c r="BF2003" s="346" t="s">
        <v>11167</v>
      </c>
      <c r="BG2003" s="113" t="s">
        <v>7118</v>
      </c>
      <c r="BH2003" s="9" t="s">
        <v>100</v>
      </c>
      <c r="BI2003" s="9" t="s">
        <v>100</v>
      </c>
      <c r="BJ2003" s="533"/>
      <c r="BN2003" s="533"/>
      <c r="BO2003" s="533"/>
    </row>
    <row r="2004" spans="1:67" s="534" customFormat="1" ht="65" hidden="1" x14ac:dyDescent="0.35">
      <c r="A2004" s="112">
        <v>7889</v>
      </c>
      <c r="B2004" s="112" t="s">
        <v>7112</v>
      </c>
      <c r="C2004" s="113" t="s">
        <v>59</v>
      </c>
      <c r="D2004" s="113" t="s">
        <v>7154</v>
      </c>
      <c r="E2004" s="112" t="s">
        <v>36</v>
      </c>
      <c r="F2004" s="112" t="s">
        <v>123</v>
      </c>
      <c r="G2004" s="112" t="s">
        <v>225</v>
      </c>
      <c r="H2004" s="112" t="s">
        <v>125</v>
      </c>
      <c r="I2004" s="112" t="s">
        <v>114</v>
      </c>
      <c r="J2004" s="113" t="s">
        <v>28</v>
      </c>
      <c r="K2004" s="112" t="s">
        <v>6742</v>
      </c>
      <c r="L2004" s="112" t="s">
        <v>7114</v>
      </c>
      <c r="M2004" s="112" t="s">
        <v>276</v>
      </c>
      <c r="N2004" s="113" t="s">
        <v>7115</v>
      </c>
      <c r="O2004" s="113" t="s">
        <v>276</v>
      </c>
      <c r="P2004" s="113" t="s">
        <v>239</v>
      </c>
      <c r="Q2004" s="142" t="s">
        <v>98</v>
      </c>
      <c r="R2004" s="113" t="s">
        <v>7150</v>
      </c>
      <c r="S2004" s="113" t="s">
        <v>276</v>
      </c>
      <c r="T2004" s="113" t="s">
        <v>276</v>
      </c>
      <c r="U2004" s="113">
        <v>2</v>
      </c>
      <c r="V2004" s="112" t="s">
        <v>14</v>
      </c>
      <c r="W2004" s="113" t="s">
        <v>7080</v>
      </c>
      <c r="X2004" s="113" t="s">
        <v>207</v>
      </c>
      <c r="Y2004" s="118">
        <v>13759</v>
      </c>
      <c r="Z2004" s="119">
        <v>13744</v>
      </c>
      <c r="AA2004" s="113" t="s">
        <v>276</v>
      </c>
      <c r="AB2004" s="113" t="s">
        <v>276</v>
      </c>
      <c r="AC2004" s="112">
        <v>0</v>
      </c>
      <c r="AD2004" s="112" t="s">
        <v>968</v>
      </c>
      <c r="AE2004" s="112">
        <v>0</v>
      </c>
      <c r="AF2004" s="112" t="s">
        <v>968</v>
      </c>
      <c r="AG2004" s="113" t="s">
        <v>7155</v>
      </c>
      <c r="AH2004" s="113" t="s">
        <v>7094</v>
      </c>
      <c r="AI2004" s="119">
        <v>35</v>
      </c>
      <c r="AJ2004" s="119">
        <v>20</v>
      </c>
      <c r="AK2004" s="118">
        <v>13759</v>
      </c>
      <c r="AL2004" s="119">
        <v>13744</v>
      </c>
      <c r="AM2004" s="119" t="s">
        <v>2047</v>
      </c>
      <c r="AN2004" s="112" t="s">
        <v>276</v>
      </c>
      <c r="AO2004" s="207">
        <f t="shared" si="570"/>
        <v>2.5437895195871794</v>
      </c>
      <c r="AP2004" s="112" t="s">
        <v>276</v>
      </c>
      <c r="AQ2004" s="112" t="s">
        <v>276</v>
      </c>
      <c r="AR2004" s="112" t="s">
        <v>276</v>
      </c>
      <c r="AS2004" s="207">
        <f t="shared" si="568"/>
        <v>1.4551804423748544</v>
      </c>
      <c r="AT2004" s="112" t="s">
        <v>276</v>
      </c>
      <c r="AU2004" s="112" t="s">
        <v>276</v>
      </c>
      <c r="AV2004" s="112" t="s">
        <v>268</v>
      </c>
      <c r="AW2004" s="112" t="s">
        <v>276</v>
      </c>
      <c r="AX2004" s="207">
        <f t="shared" si="569"/>
        <v>1.7480921578603097</v>
      </c>
      <c r="AY2004" s="112" t="s">
        <v>276</v>
      </c>
      <c r="AZ2004" s="112" t="s">
        <v>276</v>
      </c>
      <c r="BA2004" s="112" t="s">
        <v>276</v>
      </c>
      <c r="BB2004" s="112" t="s">
        <v>282</v>
      </c>
      <c r="BC2004" s="112" t="s">
        <v>98</v>
      </c>
      <c r="BD2004" s="112" t="s">
        <v>98</v>
      </c>
      <c r="BE2004" s="112" t="s">
        <v>98</v>
      </c>
      <c r="BF2004" s="346" t="s">
        <v>11167</v>
      </c>
      <c r="BG2004" s="113" t="s">
        <v>7118</v>
      </c>
      <c r="BH2004" s="9" t="s">
        <v>100</v>
      </c>
      <c r="BI2004" s="9" t="s">
        <v>100</v>
      </c>
      <c r="BJ2004" s="533"/>
      <c r="BN2004" s="533"/>
      <c r="BO2004" s="533"/>
    </row>
    <row r="2005" spans="1:67" s="534" customFormat="1" ht="65" hidden="1" x14ac:dyDescent="0.35">
      <c r="A2005" s="112">
        <v>7889</v>
      </c>
      <c r="B2005" s="112" t="s">
        <v>7112</v>
      </c>
      <c r="C2005" s="113" t="s">
        <v>59</v>
      </c>
      <c r="D2005" s="113" t="s">
        <v>7156</v>
      </c>
      <c r="E2005" s="112" t="s">
        <v>36</v>
      </c>
      <c r="F2005" s="112" t="s">
        <v>123</v>
      </c>
      <c r="G2005" s="112" t="s">
        <v>225</v>
      </c>
      <c r="H2005" s="112" t="s">
        <v>125</v>
      </c>
      <c r="I2005" s="112" t="s">
        <v>114</v>
      </c>
      <c r="J2005" s="113" t="s">
        <v>28</v>
      </c>
      <c r="K2005" s="112" t="s">
        <v>7100</v>
      </c>
      <c r="L2005" s="112" t="s">
        <v>7114</v>
      </c>
      <c r="M2005" s="112" t="s">
        <v>276</v>
      </c>
      <c r="N2005" s="113" t="s">
        <v>7115</v>
      </c>
      <c r="O2005" s="113" t="s">
        <v>276</v>
      </c>
      <c r="P2005" s="113" t="s">
        <v>239</v>
      </c>
      <c r="Q2005" s="142" t="s">
        <v>98</v>
      </c>
      <c r="R2005" s="113" t="s">
        <v>7150</v>
      </c>
      <c r="S2005" s="113" t="s">
        <v>276</v>
      </c>
      <c r="T2005" s="113" t="s">
        <v>276</v>
      </c>
      <c r="U2005" s="113">
        <v>2</v>
      </c>
      <c r="V2005" s="112" t="s">
        <v>14</v>
      </c>
      <c r="W2005" s="113" t="s">
        <v>7080</v>
      </c>
      <c r="X2005" s="113" t="s">
        <v>207</v>
      </c>
      <c r="Y2005" s="118">
        <v>13759</v>
      </c>
      <c r="Z2005" s="119">
        <v>13744</v>
      </c>
      <c r="AA2005" s="113" t="s">
        <v>276</v>
      </c>
      <c r="AB2005" s="113" t="s">
        <v>276</v>
      </c>
      <c r="AC2005" s="112">
        <v>0</v>
      </c>
      <c r="AD2005" s="112" t="s">
        <v>968</v>
      </c>
      <c r="AE2005" s="112">
        <v>0</v>
      </c>
      <c r="AF2005" s="112" t="s">
        <v>968</v>
      </c>
      <c r="AG2005" s="113" t="s">
        <v>7157</v>
      </c>
      <c r="AH2005" s="113" t="s">
        <v>7094</v>
      </c>
      <c r="AI2005" s="119">
        <v>23</v>
      </c>
      <c r="AJ2005" s="119">
        <v>18</v>
      </c>
      <c r="AK2005" s="118">
        <v>13759</v>
      </c>
      <c r="AL2005" s="119">
        <v>13744</v>
      </c>
      <c r="AM2005" s="119" t="s">
        <v>2047</v>
      </c>
      <c r="AN2005" s="112" t="s">
        <v>276</v>
      </c>
      <c r="AO2005" s="207">
        <f t="shared" si="570"/>
        <v>1.6716331128715749</v>
      </c>
      <c r="AP2005" s="112" t="s">
        <v>276</v>
      </c>
      <c r="AQ2005" s="112" t="s">
        <v>276</v>
      </c>
      <c r="AR2005" s="112" t="s">
        <v>276</v>
      </c>
      <c r="AS2005" s="207">
        <f t="shared" si="568"/>
        <v>1.309662398137369</v>
      </c>
      <c r="AT2005" s="112" t="s">
        <v>276</v>
      </c>
      <c r="AU2005" s="112" t="s">
        <v>276</v>
      </c>
      <c r="AV2005" s="112" t="s">
        <v>268</v>
      </c>
      <c r="AW2005" s="112" t="s">
        <v>276</v>
      </c>
      <c r="AX2005" s="207">
        <f t="shared" si="569"/>
        <v>1.2763847501837182</v>
      </c>
      <c r="AY2005" s="112" t="s">
        <v>276</v>
      </c>
      <c r="AZ2005" s="112" t="s">
        <v>276</v>
      </c>
      <c r="BA2005" s="112" t="s">
        <v>276</v>
      </c>
      <c r="BB2005" s="112" t="s">
        <v>282</v>
      </c>
      <c r="BC2005" s="112" t="s">
        <v>98</v>
      </c>
      <c r="BD2005" s="112" t="s">
        <v>98</v>
      </c>
      <c r="BE2005" s="112" t="s">
        <v>98</v>
      </c>
      <c r="BF2005" s="346" t="s">
        <v>11167</v>
      </c>
      <c r="BG2005" s="113" t="s">
        <v>7118</v>
      </c>
      <c r="BH2005" s="9" t="s">
        <v>100</v>
      </c>
      <c r="BI2005" s="9" t="s">
        <v>100</v>
      </c>
      <c r="BJ2005" s="533"/>
      <c r="BN2005" s="533"/>
      <c r="BO2005" s="533"/>
    </row>
    <row r="2006" spans="1:67" s="534" customFormat="1" ht="52" hidden="1" x14ac:dyDescent="0.35">
      <c r="A2006" s="112">
        <v>7889</v>
      </c>
      <c r="B2006" s="112" t="s">
        <v>7112</v>
      </c>
      <c r="C2006" s="113" t="s">
        <v>59</v>
      </c>
      <c r="D2006" s="113" t="s">
        <v>7158</v>
      </c>
      <c r="E2006" s="112" t="s">
        <v>36</v>
      </c>
      <c r="F2006" s="112" t="s">
        <v>123</v>
      </c>
      <c r="G2006" s="112" t="s">
        <v>225</v>
      </c>
      <c r="H2006" s="112" t="s">
        <v>125</v>
      </c>
      <c r="I2006" s="112" t="s">
        <v>114</v>
      </c>
      <c r="J2006" s="113" t="s">
        <v>28</v>
      </c>
      <c r="K2006" s="112" t="s">
        <v>7100</v>
      </c>
      <c r="L2006" s="112" t="s">
        <v>7114</v>
      </c>
      <c r="M2006" s="112" t="s">
        <v>276</v>
      </c>
      <c r="N2006" s="113" t="s">
        <v>7115</v>
      </c>
      <c r="O2006" s="113" t="s">
        <v>276</v>
      </c>
      <c r="P2006" s="113" t="s">
        <v>235</v>
      </c>
      <c r="Q2006" s="142" t="s">
        <v>98</v>
      </c>
      <c r="R2006" s="113" t="s">
        <v>7150</v>
      </c>
      <c r="S2006" s="113" t="s">
        <v>276</v>
      </c>
      <c r="T2006" s="113" t="s">
        <v>276</v>
      </c>
      <c r="U2006" s="113">
        <v>2</v>
      </c>
      <c r="V2006" s="112" t="s">
        <v>14</v>
      </c>
      <c r="W2006" s="113" t="s">
        <v>7080</v>
      </c>
      <c r="X2006" s="113" t="s">
        <v>207</v>
      </c>
      <c r="Y2006" s="118" t="s">
        <v>98</v>
      </c>
      <c r="Z2006" s="119" t="s">
        <v>98</v>
      </c>
      <c r="AA2006" s="113" t="s">
        <v>276</v>
      </c>
      <c r="AB2006" s="113" t="s">
        <v>276</v>
      </c>
      <c r="AC2006" s="112">
        <v>0</v>
      </c>
      <c r="AD2006" s="112" t="s">
        <v>968</v>
      </c>
      <c r="AE2006" s="112">
        <v>0</v>
      </c>
      <c r="AF2006" s="112" t="s">
        <v>968</v>
      </c>
      <c r="AG2006" s="113" t="s">
        <v>7157</v>
      </c>
      <c r="AH2006" s="113" t="s">
        <v>7159</v>
      </c>
      <c r="AI2006" s="119">
        <v>23</v>
      </c>
      <c r="AJ2006" s="119">
        <v>18</v>
      </c>
      <c r="AK2006" s="118">
        <f>61+6+6+16+17</f>
        <v>106</v>
      </c>
      <c r="AL2006" s="119">
        <f>20+12+14+13+16</f>
        <v>75</v>
      </c>
      <c r="AM2006" s="119" t="s">
        <v>292</v>
      </c>
      <c r="AN2006" s="112" t="s">
        <v>276</v>
      </c>
      <c r="AO2006" s="207">
        <f>AI2006*100/AK2006</f>
        <v>21.69811320754717</v>
      </c>
      <c r="AP2006" s="112" t="s">
        <v>276</v>
      </c>
      <c r="AQ2006" s="112" t="s">
        <v>276</v>
      </c>
      <c r="AR2006" s="112" t="s">
        <v>276</v>
      </c>
      <c r="AS2006" s="207">
        <f>AJ2006*100/AL2006</f>
        <v>24</v>
      </c>
      <c r="AT2006" s="112" t="s">
        <v>276</v>
      </c>
      <c r="AU2006" s="112" t="s">
        <v>276</v>
      </c>
      <c r="AV2006" s="112" t="s">
        <v>268</v>
      </c>
      <c r="AW2006" s="112" t="s">
        <v>276</v>
      </c>
      <c r="AX2006" s="207">
        <f t="shared" si="569"/>
        <v>0.90408805031446537</v>
      </c>
      <c r="AY2006" s="112" t="s">
        <v>276</v>
      </c>
      <c r="AZ2006" s="112" t="s">
        <v>276</v>
      </c>
      <c r="BA2006" s="112" t="s">
        <v>276</v>
      </c>
      <c r="BB2006" s="112" t="s">
        <v>282</v>
      </c>
      <c r="BC2006" s="112" t="s">
        <v>98</v>
      </c>
      <c r="BD2006" s="112" t="s">
        <v>98</v>
      </c>
      <c r="BE2006" s="112" t="s">
        <v>98</v>
      </c>
      <c r="BF2006" s="113" t="s">
        <v>1358</v>
      </c>
      <c r="BG2006" s="113" t="s">
        <v>7118</v>
      </c>
      <c r="BH2006" s="9" t="s">
        <v>100</v>
      </c>
      <c r="BI2006" s="9" t="s">
        <v>100</v>
      </c>
      <c r="BJ2006" s="533"/>
      <c r="BN2006" s="533"/>
      <c r="BO2006" s="533"/>
    </row>
    <row r="2007" spans="1:67" s="532" customFormat="1" ht="65" hidden="1" x14ac:dyDescent="0.35">
      <c r="A2007" s="94">
        <v>7889</v>
      </c>
      <c r="B2007" s="94" t="s">
        <v>7112</v>
      </c>
      <c r="C2007" s="95" t="s">
        <v>59</v>
      </c>
      <c r="D2007" s="95" t="s">
        <v>7160</v>
      </c>
      <c r="E2007" s="94" t="s">
        <v>36</v>
      </c>
      <c r="F2007" s="94" t="s">
        <v>123</v>
      </c>
      <c r="G2007" s="94" t="s">
        <v>225</v>
      </c>
      <c r="H2007" s="94" t="s">
        <v>125</v>
      </c>
      <c r="I2007" s="94" t="s">
        <v>114</v>
      </c>
      <c r="J2007" s="95" t="s">
        <v>28</v>
      </c>
      <c r="K2007" s="94" t="s">
        <v>6737</v>
      </c>
      <c r="L2007" s="94" t="s">
        <v>7114</v>
      </c>
      <c r="M2007" s="94" t="s">
        <v>276</v>
      </c>
      <c r="N2007" s="95" t="s">
        <v>7115</v>
      </c>
      <c r="O2007" s="95" t="s">
        <v>276</v>
      </c>
      <c r="P2007" s="95" t="s">
        <v>239</v>
      </c>
      <c r="Q2007" s="140" t="s">
        <v>98</v>
      </c>
      <c r="R2007" s="95" t="s">
        <v>7161</v>
      </c>
      <c r="S2007" s="95" t="s">
        <v>276</v>
      </c>
      <c r="T2007" s="95" t="s">
        <v>276</v>
      </c>
      <c r="U2007" s="95">
        <v>2</v>
      </c>
      <c r="V2007" s="94" t="s">
        <v>14</v>
      </c>
      <c r="W2007" s="95" t="s">
        <v>7080</v>
      </c>
      <c r="X2007" s="95" t="s">
        <v>207</v>
      </c>
      <c r="Y2007" s="98">
        <v>13759</v>
      </c>
      <c r="Z2007" s="99">
        <v>13744</v>
      </c>
      <c r="AA2007" s="95" t="s">
        <v>276</v>
      </c>
      <c r="AB2007" s="95" t="s">
        <v>276</v>
      </c>
      <c r="AC2007" s="94">
        <v>0</v>
      </c>
      <c r="AD2007" s="94" t="s">
        <v>968</v>
      </c>
      <c r="AE2007" s="94">
        <v>0</v>
      </c>
      <c r="AF2007" s="94" t="s">
        <v>968</v>
      </c>
      <c r="AG2007" s="95" t="s">
        <v>7162</v>
      </c>
      <c r="AH2007" s="95" t="s">
        <v>7094</v>
      </c>
      <c r="AI2007" s="99">
        <v>18</v>
      </c>
      <c r="AJ2007" s="99">
        <v>10</v>
      </c>
      <c r="AK2007" s="98">
        <v>13759</v>
      </c>
      <c r="AL2007" s="99">
        <v>13744</v>
      </c>
      <c r="AM2007" s="99" t="s">
        <v>2047</v>
      </c>
      <c r="AN2007" s="94" t="s">
        <v>276</v>
      </c>
      <c r="AO2007" s="101">
        <f t="shared" si="570"/>
        <v>1.3082346100734066</v>
      </c>
      <c r="AP2007" s="94" t="s">
        <v>276</v>
      </c>
      <c r="AQ2007" s="94" t="s">
        <v>276</v>
      </c>
      <c r="AR2007" s="94" t="s">
        <v>276</v>
      </c>
      <c r="AS2007" s="101">
        <f t="shared" si="568"/>
        <v>0.72759022118742722</v>
      </c>
      <c r="AT2007" s="94" t="s">
        <v>276</v>
      </c>
      <c r="AU2007" s="94" t="s">
        <v>276</v>
      </c>
      <c r="AV2007" s="94" t="s">
        <v>268</v>
      </c>
      <c r="AW2007" s="94" t="s">
        <v>276</v>
      </c>
      <c r="AX2007" s="101">
        <f t="shared" si="569"/>
        <v>1.7980376480848901</v>
      </c>
      <c r="AY2007" s="94" t="s">
        <v>276</v>
      </c>
      <c r="AZ2007" s="94" t="s">
        <v>276</v>
      </c>
      <c r="BA2007" s="94" t="s">
        <v>276</v>
      </c>
      <c r="BB2007" s="94" t="s">
        <v>282</v>
      </c>
      <c r="BC2007" s="94" t="s">
        <v>98</v>
      </c>
      <c r="BD2007" s="94" t="s">
        <v>98</v>
      </c>
      <c r="BE2007" s="94" t="s">
        <v>98</v>
      </c>
      <c r="BF2007" s="346" t="s">
        <v>11167</v>
      </c>
      <c r="BG2007" s="95" t="s">
        <v>7118</v>
      </c>
      <c r="BH2007" s="9" t="s">
        <v>100</v>
      </c>
      <c r="BI2007" s="9" t="s">
        <v>100</v>
      </c>
      <c r="BJ2007" s="531"/>
      <c r="BN2007" s="531"/>
      <c r="BO2007" s="531"/>
    </row>
    <row r="2008" spans="1:67" s="532" customFormat="1" ht="65" hidden="1" x14ac:dyDescent="0.35">
      <c r="A2008" s="94">
        <v>7889</v>
      </c>
      <c r="B2008" s="94" t="s">
        <v>7112</v>
      </c>
      <c r="C2008" s="95" t="s">
        <v>59</v>
      </c>
      <c r="D2008" s="95" t="s">
        <v>7163</v>
      </c>
      <c r="E2008" s="94" t="s">
        <v>36</v>
      </c>
      <c r="F2008" s="94" t="s">
        <v>123</v>
      </c>
      <c r="G2008" s="94" t="s">
        <v>225</v>
      </c>
      <c r="H2008" s="94" t="s">
        <v>125</v>
      </c>
      <c r="I2008" s="94" t="s">
        <v>114</v>
      </c>
      <c r="J2008" s="95" t="s">
        <v>28</v>
      </c>
      <c r="K2008" s="94" t="s">
        <v>6740</v>
      </c>
      <c r="L2008" s="94" t="s">
        <v>7114</v>
      </c>
      <c r="M2008" s="94" t="s">
        <v>276</v>
      </c>
      <c r="N2008" s="95" t="s">
        <v>7115</v>
      </c>
      <c r="O2008" s="95" t="s">
        <v>276</v>
      </c>
      <c r="P2008" s="95" t="s">
        <v>239</v>
      </c>
      <c r="Q2008" s="140" t="s">
        <v>98</v>
      </c>
      <c r="R2008" s="95" t="s">
        <v>7161</v>
      </c>
      <c r="S2008" s="95" t="s">
        <v>276</v>
      </c>
      <c r="T2008" s="95" t="s">
        <v>276</v>
      </c>
      <c r="U2008" s="95">
        <v>2</v>
      </c>
      <c r="V2008" s="94" t="s">
        <v>14</v>
      </c>
      <c r="W2008" s="95" t="s">
        <v>7080</v>
      </c>
      <c r="X2008" s="95" t="s">
        <v>207</v>
      </c>
      <c r="Y2008" s="98">
        <v>13759</v>
      </c>
      <c r="Z2008" s="99">
        <v>13744</v>
      </c>
      <c r="AA2008" s="95" t="s">
        <v>276</v>
      </c>
      <c r="AB2008" s="95" t="s">
        <v>276</v>
      </c>
      <c r="AC2008" s="94">
        <v>0</v>
      </c>
      <c r="AD2008" s="94" t="s">
        <v>968</v>
      </c>
      <c r="AE2008" s="94">
        <v>0</v>
      </c>
      <c r="AF2008" s="94" t="s">
        <v>968</v>
      </c>
      <c r="AG2008" s="95" t="s">
        <v>7164</v>
      </c>
      <c r="AH2008" s="95" t="s">
        <v>7094</v>
      </c>
      <c r="AI2008" s="99">
        <v>43</v>
      </c>
      <c r="AJ2008" s="99">
        <v>42</v>
      </c>
      <c r="AK2008" s="98">
        <v>13759</v>
      </c>
      <c r="AL2008" s="99">
        <v>13744</v>
      </c>
      <c r="AM2008" s="99" t="s">
        <v>2047</v>
      </c>
      <c r="AN2008" s="94" t="s">
        <v>276</v>
      </c>
      <c r="AO2008" s="101">
        <f t="shared" si="570"/>
        <v>3.1252271240642489</v>
      </c>
      <c r="AP2008" s="94" t="s">
        <v>276</v>
      </c>
      <c r="AQ2008" s="94" t="s">
        <v>276</v>
      </c>
      <c r="AR2008" s="94" t="s">
        <v>276</v>
      </c>
      <c r="AS2008" s="101">
        <f t="shared" si="568"/>
        <v>3.0558789289871946</v>
      </c>
      <c r="AT2008" s="94" t="s">
        <v>276</v>
      </c>
      <c r="AU2008" s="94" t="s">
        <v>276</v>
      </c>
      <c r="AV2008" s="94" t="s">
        <v>268</v>
      </c>
      <c r="AW2008" s="94" t="s">
        <v>276</v>
      </c>
      <c r="AX2008" s="101">
        <f t="shared" si="569"/>
        <v>1.0226933712652151</v>
      </c>
      <c r="AY2008" s="94" t="s">
        <v>276</v>
      </c>
      <c r="AZ2008" s="94" t="s">
        <v>276</v>
      </c>
      <c r="BA2008" s="94" t="s">
        <v>276</v>
      </c>
      <c r="BB2008" s="94" t="s">
        <v>282</v>
      </c>
      <c r="BC2008" s="94" t="s">
        <v>98</v>
      </c>
      <c r="BD2008" s="94" t="s">
        <v>98</v>
      </c>
      <c r="BE2008" s="94" t="s">
        <v>98</v>
      </c>
      <c r="BF2008" s="346" t="s">
        <v>11167</v>
      </c>
      <c r="BG2008" s="95" t="s">
        <v>7118</v>
      </c>
      <c r="BH2008" s="9" t="s">
        <v>100</v>
      </c>
      <c r="BI2008" s="9" t="s">
        <v>100</v>
      </c>
      <c r="BJ2008" s="531"/>
      <c r="BN2008" s="531"/>
      <c r="BO2008" s="531"/>
    </row>
    <row r="2009" spans="1:67" s="532" customFormat="1" ht="65" hidden="1" x14ac:dyDescent="0.35">
      <c r="A2009" s="94">
        <v>7889</v>
      </c>
      <c r="B2009" s="94" t="s">
        <v>7112</v>
      </c>
      <c r="C2009" s="95" t="s">
        <v>59</v>
      </c>
      <c r="D2009" s="95" t="s">
        <v>7165</v>
      </c>
      <c r="E2009" s="94" t="s">
        <v>36</v>
      </c>
      <c r="F2009" s="94" t="s">
        <v>123</v>
      </c>
      <c r="G2009" s="94" t="s">
        <v>225</v>
      </c>
      <c r="H2009" s="94" t="s">
        <v>125</v>
      </c>
      <c r="I2009" s="94" t="s">
        <v>114</v>
      </c>
      <c r="J2009" s="95" t="s">
        <v>28</v>
      </c>
      <c r="K2009" s="94" t="s">
        <v>6742</v>
      </c>
      <c r="L2009" s="94" t="s">
        <v>7114</v>
      </c>
      <c r="M2009" s="94" t="s">
        <v>276</v>
      </c>
      <c r="N2009" s="95" t="s">
        <v>7115</v>
      </c>
      <c r="O2009" s="95" t="s">
        <v>276</v>
      </c>
      <c r="P2009" s="95" t="s">
        <v>239</v>
      </c>
      <c r="Q2009" s="140" t="s">
        <v>98</v>
      </c>
      <c r="R2009" s="95" t="s">
        <v>7161</v>
      </c>
      <c r="S2009" s="95" t="s">
        <v>276</v>
      </c>
      <c r="T2009" s="95" t="s">
        <v>276</v>
      </c>
      <c r="U2009" s="95">
        <v>2</v>
      </c>
      <c r="V2009" s="94" t="s">
        <v>14</v>
      </c>
      <c r="W2009" s="95" t="s">
        <v>7080</v>
      </c>
      <c r="X2009" s="95" t="s">
        <v>207</v>
      </c>
      <c r="Y2009" s="98">
        <v>13759</v>
      </c>
      <c r="Z2009" s="99">
        <v>13744</v>
      </c>
      <c r="AA2009" s="95" t="s">
        <v>276</v>
      </c>
      <c r="AB2009" s="95" t="s">
        <v>276</v>
      </c>
      <c r="AC2009" s="94">
        <v>0</v>
      </c>
      <c r="AD2009" s="94" t="s">
        <v>968</v>
      </c>
      <c r="AE2009" s="94">
        <v>0</v>
      </c>
      <c r="AF2009" s="94" t="s">
        <v>968</v>
      </c>
      <c r="AG2009" s="95" t="s">
        <v>7166</v>
      </c>
      <c r="AH2009" s="95" t="s">
        <v>7094</v>
      </c>
      <c r="AI2009" s="99">
        <v>37</v>
      </c>
      <c r="AJ2009" s="99">
        <v>27</v>
      </c>
      <c r="AK2009" s="98">
        <v>13759</v>
      </c>
      <c r="AL2009" s="99">
        <v>13744</v>
      </c>
      <c r="AM2009" s="99" t="s">
        <v>2047</v>
      </c>
      <c r="AN2009" s="94" t="s">
        <v>276</v>
      </c>
      <c r="AO2009" s="101">
        <f t="shared" si="570"/>
        <v>2.6891489207064465</v>
      </c>
      <c r="AP2009" s="94" t="s">
        <v>276</v>
      </c>
      <c r="AQ2009" s="94" t="s">
        <v>276</v>
      </c>
      <c r="AR2009" s="94" t="s">
        <v>276</v>
      </c>
      <c r="AS2009" s="101">
        <f t="shared" si="568"/>
        <v>1.9644935972060535</v>
      </c>
      <c r="AT2009" s="94" t="s">
        <v>276</v>
      </c>
      <c r="AU2009" s="94" t="s">
        <v>276</v>
      </c>
      <c r="AV2009" s="94" t="s">
        <v>268</v>
      </c>
      <c r="AW2009" s="94" t="s">
        <v>276</v>
      </c>
      <c r="AX2009" s="101">
        <f t="shared" si="569"/>
        <v>1.3688763987477557</v>
      </c>
      <c r="AY2009" s="94" t="s">
        <v>276</v>
      </c>
      <c r="AZ2009" s="94" t="s">
        <v>276</v>
      </c>
      <c r="BA2009" s="94" t="s">
        <v>276</v>
      </c>
      <c r="BB2009" s="94" t="s">
        <v>282</v>
      </c>
      <c r="BC2009" s="94" t="s">
        <v>98</v>
      </c>
      <c r="BD2009" s="94" t="s">
        <v>98</v>
      </c>
      <c r="BE2009" s="94" t="s">
        <v>98</v>
      </c>
      <c r="BF2009" s="346" t="s">
        <v>11167</v>
      </c>
      <c r="BG2009" s="95" t="s">
        <v>7118</v>
      </c>
      <c r="BH2009" s="9" t="s">
        <v>100</v>
      </c>
      <c r="BI2009" s="9" t="s">
        <v>100</v>
      </c>
      <c r="BJ2009" s="531"/>
      <c r="BN2009" s="531"/>
      <c r="BO2009" s="531"/>
    </row>
    <row r="2010" spans="1:67" s="532" customFormat="1" ht="65" hidden="1" x14ac:dyDescent="0.35">
      <c r="A2010" s="94">
        <v>7889</v>
      </c>
      <c r="B2010" s="94" t="s">
        <v>7112</v>
      </c>
      <c r="C2010" s="95" t="s">
        <v>59</v>
      </c>
      <c r="D2010" s="95" t="s">
        <v>7167</v>
      </c>
      <c r="E2010" s="94" t="s">
        <v>36</v>
      </c>
      <c r="F2010" s="94" t="s">
        <v>123</v>
      </c>
      <c r="G2010" s="94" t="s">
        <v>225</v>
      </c>
      <c r="H2010" s="94" t="s">
        <v>125</v>
      </c>
      <c r="I2010" s="94" t="s">
        <v>114</v>
      </c>
      <c r="J2010" s="95" t="s">
        <v>28</v>
      </c>
      <c r="K2010" s="94" t="s">
        <v>7100</v>
      </c>
      <c r="L2010" s="94" t="s">
        <v>7114</v>
      </c>
      <c r="M2010" s="94" t="s">
        <v>276</v>
      </c>
      <c r="N2010" s="95" t="s">
        <v>7115</v>
      </c>
      <c r="O2010" s="95" t="s">
        <v>276</v>
      </c>
      <c r="P2010" s="95" t="s">
        <v>239</v>
      </c>
      <c r="Q2010" s="140" t="s">
        <v>98</v>
      </c>
      <c r="R2010" s="95" t="s">
        <v>7161</v>
      </c>
      <c r="S2010" s="95" t="s">
        <v>276</v>
      </c>
      <c r="T2010" s="95" t="s">
        <v>276</v>
      </c>
      <c r="U2010" s="95">
        <v>2</v>
      </c>
      <c r="V2010" s="94" t="s">
        <v>14</v>
      </c>
      <c r="W2010" s="95" t="s">
        <v>7080</v>
      </c>
      <c r="X2010" s="95" t="s">
        <v>207</v>
      </c>
      <c r="Y2010" s="98">
        <v>13759</v>
      </c>
      <c r="Z2010" s="99">
        <v>13744</v>
      </c>
      <c r="AA2010" s="95" t="s">
        <v>276</v>
      </c>
      <c r="AB2010" s="95" t="s">
        <v>276</v>
      </c>
      <c r="AC2010" s="94">
        <v>0</v>
      </c>
      <c r="AD2010" s="94" t="s">
        <v>968</v>
      </c>
      <c r="AE2010" s="94">
        <v>0</v>
      </c>
      <c r="AF2010" s="94" t="s">
        <v>968</v>
      </c>
      <c r="AG2010" s="95" t="s">
        <v>7168</v>
      </c>
      <c r="AH2010" s="95" t="s">
        <v>7094</v>
      </c>
      <c r="AI2010" s="99">
        <v>25</v>
      </c>
      <c r="AJ2010" s="99">
        <v>21</v>
      </c>
      <c r="AK2010" s="98">
        <v>13759</v>
      </c>
      <c r="AL2010" s="99">
        <v>13744</v>
      </c>
      <c r="AM2010" s="99" t="s">
        <v>2047</v>
      </c>
      <c r="AN2010" s="94" t="s">
        <v>276</v>
      </c>
      <c r="AO2010" s="101">
        <f t="shared" si="570"/>
        <v>1.8169925139908423</v>
      </c>
      <c r="AP2010" s="94" t="s">
        <v>276</v>
      </c>
      <c r="AQ2010" s="94" t="s">
        <v>276</v>
      </c>
      <c r="AR2010" s="94" t="s">
        <v>276</v>
      </c>
      <c r="AS2010" s="101">
        <f t="shared" si="568"/>
        <v>1.5279394644935973</v>
      </c>
      <c r="AT2010" s="94" t="s">
        <v>276</v>
      </c>
      <c r="AU2010" s="94" t="s">
        <v>276</v>
      </c>
      <c r="AV2010" s="94" t="s">
        <v>268</v>
      </c>
      <c r="AW2010" s="94" t="s">
        <v>276</v>
      </c>
      <c r="AX2010" s="101">
        <f t="shared" si="569"/>
        <v>1.1891783386804826</v>
      </c>
      <c r="AY2010" s="94" t="s">
        <v>276</v>
      </c>
      <c r="AZ2010" s="94" t="s">
        <v>276</v>
      </c>
      <c r="BA2010" s="94" t="s">
        <v>276</v>
      </c>
      <c r="BB2010" s="94" t="s">
        <v>282</v>
      </c>
      <c r="BC2010" s="94" t="s">
        <v>98</v>
      </c>
      <c r="BD2010" s="94" t="s">
        <v>98</v>
      </c>
      <c r="BE2010" s="94" t="s">
        <v>98</v>
      </c>
      <c r="BF2010" s="346" t="s">
        <v>11167</v>
      </c>
      <c r="BG2010" s="95" t="s">
        <v>7118</v>
      </c>
      <c r="BH2010" s="9" t="s">
        <v>100</v>
      </c>
      <c r="BI2010" s="9" t="s">
        <v>100</v>
      </c>
      <c r="BJ2010" s="531"/>
      <c r="BN2010" s="531"/>
      <c r="BO2010" s="531"/>
    </row>
    <row r="2011" spans="1:67" s="532" customFormat="1" ht="52" hidden="1" x14ac:dyDescent="0.35">
      <c r="A2011" s="94">
        <v>7889</v>
      </c>
      <c r="B2011" s="94" t="s">
        <v>7112</v>
      </c>
      <c r="C2011" s="95" t="s">
        <v>59</v>
      </c>
      <c r="D2011" s="95" t="s">
        <v>7169</v>
      </c>
      <c r="E2011" s="94" t="s">
        <v>36</v>
      </c>
      <c r="F2011" s="94" t="s">
        <v>123</v>
      </c>
      <c r="G2011" s="94" t="s">
        <v>225</v>
      </c>
      <c r="H2011" s="94" t="s">
        <v>125</v>
      </c>
      <c r="I2011" s="94" t="s">
        <v>114</v>
      </c>
      <c r="J2011" s="95" t="s">
        <v>28</v>
      </c>
      <c r="K2011" s="94" t="s">
        <v>7100</v>
      </c>
      <c r="L2011" s="94" t="s">
        <v>7114</v>
      </c>
      <c r="M2011" s="94" t="s">
        <v>276</v>
      </c>
      <c r="N2011" s="95" t="s">
        <v>7115</v>
      </c>
      <c r="O2011" s="95" t="s">
        <v>276</v>
      </c>
      <c r="P2011" s="95" t="s">
        <v>235</v>
      </c>
      <c r="Q2011" s="140" t="s">
        <v>98</v>
      </c>
      <c r="R2011" s="95" t="s">
        <v>7161</v>
      </c>
      <c r="S2011" s="95" t="s">
        <v>276</v>
      </c>
      <c r="T2011" s="95" t="s">
        <v>276</v>
      </c>
      <c r="U2011" s="95">
        <v>2</v>
      </c>
      <c r="V2011" s="94" t="s">
        <v>14</v>
      </c>
      <c r="W2011" s="95" t="s">
        <v>7080</v>
      </c>
      <c r="X2011" s="95" t="s">
        <v>207</v>
      </c>
      <c r="Y2011" s="98" t="s">
        <v>98</v>
      </c>
      <c r="Z2011" s="99" t="s">
        <v>98</v>
      </c>
      <c r="AA2011" s="95" t="s">
        <v>276</v>
      </c>
      <c r="AB2011" s="95" t="s">
        <v>276</v>
      </c>
      <c r="AC2011" s="94">
        <v>0</v>
      </c>
      <c r="AD2011" s="94" t="s">
        <v>968</v>
      </c>
      <c r="AE2011" s="94">
        <v>0</v>
      </c>
      <c r="AF2011" s="94" t="s">
        <v>968</v>
      </c>
      <c r="AG2011" s="95" t="s">
        <v>7168</v>
      </c>
      <c r="AH2011" s="95" t="s">
        <v>7170</v>
      </c>
      <c r="AI2011" s="99">
        <v>25</v>
      </c>
      <c r="AJ2011" s="99">
        <v>21</v>
      </c>
      <c r="AK2011" s="98">
        <f>61+6+6+16+17+17</f>
        <v>123</v>
      </c>
      <c r="AL2011" s="99">
        <f>20+12+14+13+16+25</f>
        <v>100</v>
      </c>
      <c r="AM2011" s="99" t="s">
        <v>292</v>
      </c>
      <c r="AN2011" s="94" t="s">
        <v>276</v>
      </c>
      <c r="AO2011" s="101">
        <f>AI2011*100/AK2011</f>
        <v>20.325203252032519</v>
      </c>
      <c r="AP2011" s="94" t="s">
        <v>276</v>
      </c>
      <c r="AQ2011" s="94" t="s">
        <v>276</v>
      </c>
      <c r="AR2011" s="94" t="s">
        <v>276</v>
      </c>
      <c r="AS2011" s="101">
        <f>AJ2011*100/AL2011</f>
        <v>21</v>
      </c>
      <c r="AT2011" s="94" t="s">
        <v>276</v>
      </c>
      <c r="AU2011" s="94" t="s">
        <v>276</v>
      </c>
      <c r="AV2011" s="94" t="s">
        <v>268</v>
      </c>
      <c r="AW2011" s="94" t="s">
        <v>276</v>
      </c>
      <c r="AX2011" s="101">
        <f t="shared" si="569"/>
        <v>0.96786682152535808</v>
      </c>
      <c r="AY2011" s="94" t="s">
        <v>276</v>
      </c>
      <c r="AZ2011" s="94" t="s">
        <v>276</v>
      </c>
      <c r="BA2011" s="94" t="s">
        <v>276</v>
      </c>
      <c r="BB2011" s="94" t="s">
        <v>282</v>
      </c>
      <c r="BC2011" s="94" t="s">
        <v>98</v>
      </c>
      <c r="BD2011" s="94" t="s">
        <v>98</v>
      </c>
      <c r="BE2011" s="94" t="s">
        <v>98</v>
      </c>
      <c r="BF2011" s="95" t="s">
        <v>1358</v>
      </c>
      <c r="BG2011" s="95" t="s">
        <v>7118</v>
      </c>
      <c r="BH2011" s="9" t="s">
        <v>100</v>
      </c>
      <c r="BI2011" s="9" t="s">
        <v>100</v>
      </c>
      <c r="BJ2011" s="531"/>
      <c r="BN2011" s="531"/>
      <c r="BO2011" s="531"/>
    </row>
    <row r="2012" spans="1:67" s="534" customFormat="1" ht="65" hidden="1" x14ac:dyDescent="0.35">
      <c r="A2012" s="112">
        <v>7889</v>
      </c>
      <c r="B2012" s="112" t="s">
        <v>7112</v>
      </c>
      <c r="C2012" s="113" t="s">
        <v>59</v>
      </c>
      <c r="D2012" s="113" t="s">
        <v>7171</v>
      </c>
      <c r="E2012" s="112" t="s">
        <v>36</v>
      </c>
      <c r="F2012" s="112" t="s">
        <v>123</v>
      </c>
      <c r="G2012" s="112" t="s">
        <v>225</v>
      </c>
      <c r="H2012" s="112" t="s">
        <v>125</v>
      </c>
      <c r="I2012" s="112" t="s">
        <v>114</v>
      </c>
      <c r="J2012" s="113" t="s">
        <v>28</v>
      </c>
      <c r="K2012" s="112" t="s">
        <v>6737</v>
      </c>
      <c r="L2012" s="112" t="s">
        <v>7114</v>
      </c>
      <c r="M2012" s="112" t="s">
        <v>276</v>
      </c>
      <c r="N2012" s="113" t="s">
        <v>7115</v>
      </c>
      <c r="O2012" s="113" t="s">
        <v>276</v>
      </c>
      <c r="P2012" s="113" t="s">
        <v>239</v>
      </c>
      <c r="Q2012" s="142" t="s">
        <v>98</v>
      </c>
      <c r="R2012" s="113" t="s">
        <v>7172</v>
      </c>
      <c r="S2012" s="113" t="s">
        <v>276</v>
      </c>
      <c r="T2012" s="113" t="s">
        <v>276</v>
      </c>
      <c r="U2012" s="113">
        <v>2</v>
      </c>
      <c r="V2012" s="112" t="s">
        <v>14</v>
      </c>
      <c r="W2012" s="113" t="s">
        <v>7080</v>
      </c>
      <c r="X2012" s="113" t="s">
        <v>207</v>
      </c>
      <c r="Y2012" s="118">
        <v>13759</v>
      </c>
      <c r="Z2012" s="119">
        <v>13744</v>
      </c>
      <c r="AA2012" s="113" t="s">
        <v>276</v>
      </c>
      <c r="AB2012" s="113" t="s">
        <v>276</v>
      </c>
      <c r="AC2012" s="112">
        <v>0</v>
      </c>
      <c r="AD2012" s="112" t="s">
        <v>968</v>
      </c>
      <c r="AE2012" s="112">
        <v>0</v>
      </c>
      <c r="AF2012" s="112" t="s">
        <v>968</v>
      </c>
      <c r="AG2012" s="113" t="s">
        <v>7173</v>
      </c>
      <c r="AH2012" s="113" t="s">
        <v>7094</v>
      </c>
      <c r="AI2012" s="119">
        <v>21</v>
      </c>
      <c r="AJ2012" s="119">
        <v>15</v>
      </c>
      <c r="AK2012" s="118">
        <v>13759</v>
      </c>
      <c r="AL2012" s="119">
        <v>13744</v>
      </c>
      <c r="AM2012" s="119" t="s">
        <v>2047</v>
      </c>
      <c r="AN2012" s="112" t="s">
        <v>276</v>
      </c>
      <c r="AO2012" s="207">
        <f t="shared" si="570"/>
        <v>1.5262737117523075</v>
      </c>
      <c r="AP2012" s="112" t="s">
        <v>276</v>
      </c>
      <c r="AQ2012" s="112" t="s">
        <v>276</v>
      </c>
      <c r="AR2012" s="112" t="s">
        <v>276</v>
      </c>
      <c r="AS2012" s="207">
        <f t="shared" si="568"/>
        <v>1.0913853317811408</v>
      </c>
      <c r="AT2012" s="112" t="s">
        <v>276</v>
      </c>
      <c r="AU2012" s="112" t="s">
        <v>276</v>
      </c>
      <c r="AV2012" s="112" t="s">
        <v>268</v>
      </c>
      <c r="AW2012" s="112" t="s">
        <v>276</v>
      </c>
      <c r="AX2012" s="207">
        <f t="shared" si="569"/>
        <v>1.3984737262882476</v>
      </c>
      <c r="AY2012" s="112" t="s">
        <v>276</v>
      </c>
      <c r="AZ2012" s="112" t="s">
        <v>276</v>
      </c>
      <c r="BA2012" s="112" t="s">
        <v>276</v>
      </c>
      <c r="BB2012" s="112" t="s">
        <v>282</v>
      </c>
      <c r="BC2012" s="112" t="s">
        <v>98</v>
      </c>
      <c r="BD2012" s="112" t="s">
        <v>98</v>
      </c>
      <c r="BE2012" s="112" t="s">
        <v>98</v>
      </c>
      <c r="BF2012" s="346" t="s">
        <v>11167</v>
      </c>
      <c r="BG2012" s="113" t="s">
        <v>7118</v>
      </c>
      <c r="BH2012" s="9" t="s">
        <v>100</v>
      </c>
      <c r="BI2012" s="9" t="s">
        <v>100</v>
      </c>
      <c r="BJ2012" s="533"/>
      <c r="BN2012" s="533"/>
      <c r="BO2012" s="533"/>
    </row>
    <row r="2013" spans="1:67" s="534" customFormat="1" ht="65" hidden="1" x14ac:dyDescent="0.35">
      <c r="A2013" s="112">
        <v>7889</v>
      </c>
      <c r="B2013" s="112" t="s">
        <v>7112</v>
      </c>
      <c r="C2013" s="113" t="s">
        <v>59</v>
      </c>
      <c r="D2013" s="113" t="s">
        <v>7174</v>
      </c>
      <c r="E2013" s="112" t="s">
        <v>36</v>
      </c>
      <c r="F2013" s="112" t="s">
        <v>123</v>
      </c>
      <c r="G2013" s="112" t="s">
        <v>225</v>
      </c>
      <c r="H2013" s="112" t="s">
        <v>125</v>
      </c>
      <c r="I2013" s="112" t="s">
        <v>114</v>
      </c>
      <c r="J2013" s="113" t="s">
        <v>28</v>
      </c>
      <c r="K2013" s="112" t="s">
        <v>6740</v>
      </c>
      <c r="L2013" s="112" t="s">
        <v>7114</v>
      </c>
      <c r="M2013" s="112" t="s">
        <v>276</v>
      </c>
      <c r="N2013" s="113" t="s">
        <v>7115</v>
      </c>
      <c r="O2013" s="113" t="s">
        <v>276</v>
      </c>
      <c r="P2013" s="113" t="s">
        <v>239</v>
      </c>
      <c r="Q2013" s="142" t="s">
        <v>98</v>
      </c>
      <c r="R2013" s="113" t="s">
        <v>7172</v>
      </c>
      <c r="S2013" s="113" t="s">
        <v>276</v>
      </c>
      <c r="T2013" s="113" t="s">
        <v>276</v>
      </c>
      <c r="U2013" s="113">
        <v>2</v>
      </c>
      <c r="V2013" s="112" t="s">
        <v>14</v>
      </c>
      <c r="W2013" s="113" t="s">
        <v>7080</v>
      </c>
      <c r="X2013" s="113" t="s">
        <v>207</v>
      </c>
      <c r="Y2013" s="118">
        <v>13759</v>
      </c>
      <c r="Z2013" s="119">
        <v>13744</v>
      </c>
      <c r="AA2013" s="113" t="s">
        <v>276</v>
      </c>
      <c r="AB2013" s="113" t="s">
        <v>276</v>
      </c>
      <c r="AC2013" s="112">
        <v>0</v>
      </c>
      <c r="AD2013" s="112" t="s">
        <v>968</v>
      </c>
      <c r="AE2013" s="112">
        <v>0</v>
      </c>
      <c r="AF2013" s="112" t="s">
        <v>968</v>
      </c>
      <c r="AG2013" s="113" t="s">
        <v>7175</v>
      </c>
      <c r="AH2013" s="113" t="s">
        <v>7094</v>
      </c>
      <c r="AI2013" s="119">
        <v>50</v>
      </c>
      <c r="AJ2013" s="119">
        <v>46</v>
      </c>
      <c r="AK2013" s="118">
        <v>13759</v>
      </c>
      <c r="AL2013" s="119">
        <v>13744</v>
      </c>
      <c r="AM2013" s="119" t="s">
        <v>2047</v>
      </c>
      <c r="AN2013" s="112" t="s">
        <v>276</v>
      </c>
      <c r="AO2013" s="207">
        <f t="shared" si="570"/>
        <v>3.6339850279816845</v>
      </c>
      <c r="AP2013" s="112" t="s">
        <v>276</v>
      </c>
      <c r="AQ2013" s="112" t="s">
        <v>276</v>
      </c>
      <c r="AR2013" s="112" t="s">
        <v>276</v>
      </c>
      <c r="AS2013" s="207">
        <f t="shared" si="568"/>
        <v>3.3469150174621651</v>
      </c>
      <c r="AT2013" s="112" t="s">
        <v>276</v>
      </c>
      <c r="AU2013" s="112" t="s">
        <v>276</v>
      </c>
      <c r="AV2013" s="112" t="s">
        <v>268</v>
      </c>
      <c r="AW2013" s="112" t="s">
        <v>276</v>
      </c>
      <c r="AX2013" s="207">
        <f t="shared" si="569"/>
        <v>1.0857715266213104</v>
      </c>
      <c r="AY2013" s="112" t="s">
        <v>276</v>
      </c>
      <c r="AZ2013" s="112" t="s">
        <v>276</v>
      </c>
      <c r="BA2013" s="112" t="s">
        <v>276</v>
      </c>
      <c r="BB2013" s="112" t="s">
        <v>282</v>
      </c>
      <c r="BC2013" s="112" t="s">
        <v>98</v>
      </c>
      <c r="BD2013" s="112" t="s">
        <v>98</v>
      </c>
      <c r="BE2013" s="112" t="s">
        <v>98</v>
      </c>
      <c r="BF2013" s="346" t="s">
        <v>11167</v>
      </c>
      <c r="BG2013" s="113" t="s">
        <v>7118</v>
      </c>
      <c r="BH2013" s="9" t="s">
        <v>100</v>
      </c>
      <c r="BI2013" s="9" t="s">
        <v>100</v>
      </c>
      <c r="BJ2013" s="533"/>
      <c r="BN2013" s="533"/>
      <c r="BO2013" s="533"/>
    </row>
    <row r="2014" spans="1:67" s="534" customFormat="1" ht="65" hidden="1" x14ac:dyDescent="0.35">
      <c r="A2014" s="112">
        <v>7889</v>
      </c>
      <c r="B2014" s="112" t="s">
        <v>7112</v>
      </c>
      <c r="C2014" s="113" t="s">
        <v>59</v>
      </c>
      <c r="D2014" s="113" t="s">
        <v>7176</v>
      </c>
      <c r="E2014" s="112" t="s">
        <v>36</v>
      </c>
      <c r="F2014" s="112" t="s">
        <v>123</v>
      </c>
      <c r="G2014" s="112" t="s">
        <v>225</v>
      </c>
      <c r="H2014" s="112" t="s">
        <v>125</v>
      </c>
      <c r="I2014" s="112" t="s">
        <v>114</v>
      </c>
      <c r="J2014" s="113" t="s">
        <v>28</v>
      </c>
      <c r="K2014" s="112" t="s">
        <v>6742</v>
      </c>
      <c r="L2014" s="112" t="s">
        <v>7114</v>
      </c>
      <c r="M2014" s="112" t="s">
        <v>276</v>
      </c>
      <c r="N2014" s="113" t="s">
        <v>7115</v>
      </c>
      <c r="O2014" s="113" t="s">
        <v>276</v>
      </c>
      <c r="P2014" s="113" t="s">
        <v>239</v>
      </c>
      <c r="Q2014" s="142" t="s">
        <v>98</v>
      </c>
      <c r="R2014" s="113" t="s">
        <v>7172</v>
      </c>
      <c r="S2014" s="113" t="s">
        <v>276</v>
      </c>
      <c r="T2014" s="113" t="s">
        <v>276</v>
      </c>
      <c r="U2014" s="113">
        <v>2</v>
      </c>
      <c r="V2014" s="112" t="s">
        <v>14</v>
      </c>
      <c r="W2014" s="113" t="s">
        <v>7080</v>
      </c>
      <c r="X2014" s="113" t="s">
        <v>207</v>
      </c>
      <c r="Y2014" s="118">
        <v>13759</v>
      </c>
      <c r="Z2014" s="119">
        <v>13744</v>
      </c>
      <c r="AA2014" s="113" t="s">
        <v>276</v>
      </c>
      <c r="AB2014" s="113" t="s">
        <v>276</v>
      </c>
      <c r="AC2014" s="112">
        <v>0</v>
      </c>
      <c r="AD2014" s="112" t="s">
        <v>968</v>
      </c>
      <c r="AE2014" s="112">
        <v>0</v>
      </c>
      <c r="AF2014" s="112" t="s">
        <v>968</v>
      </c>
      <c r="AG2014" s="113" t="s">
        <v>7177</v>
      </c>
      <c r="AH2014" s="113" t="s">
        <v>7094</v>
      </c>
      <c r="AI2014" s="119">
        <v>41</v>
      </c>
      <c r="AJ2014" s="119">
        <v>33</v>
      </c>
      <c r="AK2014" s="118">
        <v>13759</v>
      </c>
      <c r="AL2014" s="119">
        <v>13744</v>
      </c>
      <c r="AM2014" s="119" t="s">
        <v>2047</v>
      </c>
      <c r="AN2014" s="112" t="s">
        <v>276</v>
      </c>
      <c r="AO2014" s="207">
        <f t="shared" si="570"/>
        <v>2.9798677229449813</v>
      </c>
      <c r="AP2014" s="112" t="s">
        <v>276</v>
      </c>
      <c r="AQ2014" s="112" t="s">
        <v>276</v>
      </c>
      <c r="AR2014" s="112" t="s">
        <v>276</v>
      </c>
      <c r="AS2014" s="207">
        <f t="shared" si="568"/>
        <v>2.4010477299185098</v>
      </c>
      <c r="AT2014" s="112" t="s">
        <v>276</v>
      </c>
      <c r="AU2014" s="112" t="s">
        <v>276</v>
      </c>
      <c r="AV2014" s="112" t="s">
        <v>268</v>
      </c>
      <c r="AW2014" s="112" t="s">
        <v>276</v>
      </c>
      <c r="AX2014" s="207">
        <f t="shared" si="569"/>
        <v>1.2410697570956311</v>
      </c>
      <c r="AY2014" s="112" t="s">
        <v>276</v>
      </c>
      <c r="AZ2014" s="112" t="s">
        <v>276</v>
      </c>
      <c r="BA2014" s="112" t="s">
        <v>276</v>
      </c>
      <c r="BB2014" s="112" t="s">
        <v>282</v>
      </c>
      <c r="BC2014" s="112" t="s">
        <v>98</v>
      </c>
      <c r="BD2014" s="112" t="s">
        <v>98</v>
      </c>
      <c r="BE2014" s="112" t="s">
        <v>98</v>
      </c>
      <c r="BF2014" s="346" t="s">
        <v>11167</v>
      </c>
      <c r="BG2014" s="113" t="s">
        <v>7118</v>
      </c>
      <c r="BH2014" s="9" t="s">
        <v>100</v>
      </c>
      <c r="BI2014" s="9" t="s">
        <v>100</v>
      </c>
      <c r="BJ2014" s="533"/>
      <c r="BN2014" s="533"/>
      <c r="BO2014" s="533"/>
    </row>
    <row r="2015" spans="1:67" s="534" customFormat="1" ht="65" hidden="1" x14ac:dyDescent="0.35">
      <c r="A2015" s="112">
        <v>7889</v>
      </c>
      <c r="B2015" s="112" t="s">
        <v>7112</v>
      </c>
      <c r="C2015" s="113" t="s">
        <v>59</v>
      </c>
      <c r="D2015" s="113" t="s">
        <v>7178</v>
      </c>
      <c r="E2015" s="112" t="s">
        <v>36</v>
      </c>
      <c r="F2015" s="112" t="s">
        <v>123</v>
      </c>
      <c r="G2015" s="112" t="s">
        <v>225</v>
      </c>
      <c r="H2015" s="112" t="s">
        <v>125</v>
      </c>
      <c r="I2015" s="112" t="s">
        <v>114</v>
      </c>
      <c r="J2015" s="113" t="s">
        <v>28</v>
      </c>
      <c r="K2015" s="112" t="s">
        <v>7100</v>
      </c>
      <c r="L2015" s="112" t="s">
        <v>7114</v>
      </c>
      <c r="M2015" s="112" t="s">
        <v>276</v>
      </c>
      <c r="N2015" s="113" t="s">
        <v>7115</v>
      </c>
      <c r="O2015" s="113" t="s">
        <v>276</v>
      </c>
      <c r="P2015" s="113" t="s">
        <v>239</v>
      </c>
      <c r="Q2015" s="142" t="s">
        <v>98</v>
      </c>
      <c r="R2015" s="113" t="s">
        <v>7172</v>
      </c>
      <c r="S2015" s="113" t="s">
        <v>276</v>
      </c>
      <c r="T2015" s="113" t="s">
        <v>276</v>
      </c>
      <c r="U2015" s="113">
        <v>2</v>
      </c>
      <c r="V2015" s="112" t="s">
        <v>14</v>
      </c>
      <c r="W2015" s="113" t="s">
        <v>7080</v>
      </c>
      <c r="X2015" s="113" t="s">
        <v>207</v>
      </c>
      <c r="Y2015" s="118">
        <v>13759</v>
      </c>
      <c r="Z2015" s="119">
        <v>13744</v>
      </c>
      <c r="AA2015" s="113" t="s">
        <v>276</v>
      </c>
      <c r="AB2015" s="113" t="s">
        <v>276</v>
      </c>
      <c r="AC2015" s="112">
        <v>0</v>
      </c>
      <c r="AD2015" s="112" t="s">
        <v>968</v>
      </c>
      <c r="AE2015" s="112">
        <v>0</v>
      </c>
      <c r="AF2015" s="112" t="s">
        <v>968</v>
      </c>
      <c r="AG2015" s="113" t="s">
        <v>7179</v>
      </c>
      <c r="AH2015" s="113" t="s">
        <v>7094</v>
      </c>
      <c r="AI2015" s="119">
        <v>29</v>
      </c>
      <c r="AJ2015" s="119">
        <v>24</v>
      </c>
      <c r="AK2015" s="118">
        <v>13759</v>
      </c>
      <c r="AL2015" s="119">
        <v>13744</v>
      </c>
      <c r="AM2015" s="119" t="s">
        <v>2047</v>
      </c>
      <c r="AN2015" s="112" t="s">
        <v>276</v>
      </c>
      <c r="AO2015" s="207">
        <f t="shared" si="570"/>
        <v>2.107711316229377</v>
      </c>
      <c r="AP2015" s="112" t="s">
        <v>276</v>
      </c>
      <c r="AQ2015" s="112" t="s">
        <v>276</v>
      </c>
      <c r="AR2015" s="112" t="s">
        <v>276</v>
      </c>
      <c r="AS2015" s="207">
        <f t="shared" si="568"/>
        <v>1.7462165308498254</v>
      </c>
      <c r="AT2015" s="112" t="s">
        <v>276</v>
      </c>
      <c r="AU2015" s="112" t="s">
        <v>276</v>
      </c>
      <c r="AV2015" s="112" t="s">
        <v>268</v>
      </c>
      <c r="AW2015" s="112" t="s">
        <v>276</v>
      </c>
      <c r="AX2015" s="207">
        <f t="shared" si="569"/>
        <v>1.2070160137606898</v>
      </c>
      <c r="AY2015" s="112" t="s">
        <v>276</v>
      </c>
      <c r="AZ2015" s="112" t="s">
        <v>276</v>
      </c>
      <c r="BA2015" s="112" t="s">
        <v>276</v>
      </c>
      <c r="BB2015" s="112" t="s">
        <v>282</v>
      </c>
      <c r="BC2015" s="112" t="s">
        <v>98</v>
      </c>
      <c r="BD2015" s="112" t="s">
        <v>98</v>
      </c>
      <c r="BE2015" s="112" t="s">
        <v>98</v>
      </c>
      <c r="BF2015" s="346" t="s">
        <v>11167</v>
      </c>
      <c r="BG2015" s="113" t="s">
        <v>7118</v>
      </c>
      <c r="BH2015" s="9" t="s">
        <v>100</v>
      </c>
      <c r="BI2015" s="9" t="s">
        <v>100</v>
      </c>
      <c r="BJ2015" s="533"/>
      <c r="BN2015" s="533"/>
      <c r="BO2015" s="533"/>
    </row>
    <row r="2016" spans="1:67" s="534" customFormat="1" ht="52" hidden="1" x14ac:dyDescent="0.35">
      <c r="A2016" s="112">
        <v>7889</v>
      </c>
      <c r="B2016" s="112" t="s">
        <v>7112</v>
      </c>
      <c r="C2016" s="113" t="s">
        <v>59</v>
      </c>
      <c r="D2016" s="113" t="s">
        <v>7180</v>
      </c>
      <c r="E2016" s="112" t="s">
        <v>36</v>
      </c>
      <c r="F2016" s="112" t="s">
        <v>123</v>
      </c>
      <c r="G2016" s="112" t="s">
        <v>225</v>
      </c>
      <c r="H2016" s="112" t="s">
        <v>125</v>
      </c>
      <c r="I2016" s="112" t="s">
        <v>114</v>
      </c>
      <c r="J2016" s="113" t="s">
        <v>28</v>
      </c>
      <c r="K2016" s="112" t="s">
        <v>7100</v>
      </c>
      <c r="L2016" s="112" t="s">
        <v>7114</v>
      </c>
      <c r="M2016" s="112" t="s">
        <v>276</v>
      </c>
      <c r="N2016" s="113" t="s">
        <v>7115</v>
      </c>
      <c r="O2016" s="113" t="s">
        <v>276</v>
      </c>
      <c r="P2016" s="113" t="s">
        <v>235</v>
      </c>
      <c r="Q2016" s="142" t="s">
        <v>98</v>
      </c>
      <c r="R2016" s="113" t="s">
        <v>7172</v>
      </c>
      <c r="S2016" s="113" t="s">
        <v>276</v>
      </c>
      <c r="T2016" s="113" t="s">
        <v>276</v>
      </c>
      <c r="U2016" s="113">
        <v>2</v>
      </c>
      <c r="V2016" s="112" t="s">
        <v>14</v>
      </c>
      <c r="W2016" s="113" t="s">
        <v>7080</v>
      </c>
      <c r="X2016" s="113" t="s">
        <v>207</v>
      </c>
      <c r="Y2016" s="118" t="s">
        <v>98</v>
      </c>
      <c r="Z2016" s="119" t="s">
        <v>98</v>
      </c>
      <c r="AA2016" s="113" t="s">
        <v>276</v>
      </c>
      <c r="AB2016" s="113" t="s">
        <v>276</v>
      </c>
      <c r="AC2016" s="112">
        <v>0</v>
      </c>
      <c r="AD2016" s="112" t="s">
        <v>968</v>
      </c>
      <c r="AE2016" s="112">
        <v>0</v>
      </c>
      <c r="AF2016" s="112" t="s">
        <v>968</v>
      </c>
      <c r="AG2016" s="113" t="s">
        <v>7179</v>
      </c>
      <c r="AH2016" s="113" t="s">
        <v>7181</v>
      </c>
      <c r="AI2016" s="119">
        <v>29</v>
      </c>
      <c r="AJ2016" s="119">
        <v>24</v>
      </c>
      <c r="AK2016" s="118">
        <f>61+6+6+16+17+17+18</f>
        <v>141</v>
      </c>
      <c r="AL2016" s="119">
        <f>20+12+14+13+16+25+18</f>
        <v>118</v>
      </c>
      <c r="AM2016" s="119" t="s">
        <v>292</v>
      </c>
      <c r="AN2016" s="112" t="s">
        <v>276</v>
      </c>
      <c r="AO2016" s="207">
        <f>AI2016*100/AK2016</f>
        <v>20.567375886524822</v>
      </c>
      <c r="AP2016" s="112" t="s">
        <v>276</v>
      </c>
      <c r="AQ2016" s="112" t="s">
        <v>276</v>
      </c>
      <c r="AR2016" s="112" t="s">
        <v>276</v>
      </c>
      <c r="AS2016" s="207">
        <f>AJ2016*100/AL2016</f>
        <v>20.338983050847457</v>
      </c>
      <c r="AT2016" s="112" t="s">
        <v>276</v>
      </c>
      <c r="AU2016" s="112" t="s">
        <v>276</v>
      </c>
      <c r="AV2016" s="112" t="s">
        <v>268</v>
      </c>
      <c r="AW2016" s="112" t="s">
        <v>276</v>
      </c>
      <c r="AX2016" s="207">
        <f t="shared" si="569"/>
        <v>1.0112293144208038</v>
      </c>
      <c r="AY2016" s="112" t="s">
        <v>276</v>
      </c>
      <c r="AZ2016" s="112" t="s">
        <v>276</v>
      </c>
      <c r="BA2016" s="112" t="s">
        <v>276</v>
      </c>
      <c r="BB2016" s="112" t="s">
        <v>282</v>
      </c>
      <c r="BC2016" s="112" t="s">
        <v>98</v>
      </c>
      <c r="BD2016" s="112" t="s">
        <v>98</v>
      </c>
      <c r="BE2016" s="112" t="s">
        <v>98</v>
      </c>
      <c r="BF2016" s="113" t="s">
        <v>1358</v>
      </c>
      <c r="BG2016" s="113" t="s">
        <v>7118</v>
      </c>
      <c r="BH2016" s="9" t="s">
        <v>100</v>
      </c>
      <c r="BI2016" s="9" t="s">
        <v>100</v>
      </c>
      <c r="BJ2016" s="533"/>
      <c r="BN2016" s="533"/>
      <c r="BO2016" s="533"/>
    </row>
    <row r="2017" spans="1:67" s="532" customFormat="1" ht="65" hidden="1" x14ac:dyDescent="0.35">
      <c r="A2017" s="94">
        <v>7889</v>
      </c>
      <c r="B2017" s="94" t="s">
        <v>7112</v>
      </c>
      <c r="C2017" s="95" t="s">
        <v>59</v>
      </c>
      <c r="D2017" s="95" t="s">
        <v>7182</v>
      </c>
      <c r="E2017" s="94" t="s">
        <v>36</v>
      </c>
      <c r="F2017" s="94" t="s">
        <v>123</v>
      </c>
      <c r="G2017" s="94" t="s">
        <v>225</v>
      </c>
      <c r="H2017" s="94" t="s">
        <v>125</v>
      </c>
      <c r="I2017" s="94" t="s">
        <v>114</v>
      </c>
      <c r="J2017" s="95" t="s">
        <v>28</v>
      </c>
      <c r="K2017" s="94" t="s">
        <v>6737</v>
      </c>
      <c r="L2017" s="94" t="s">
        <v>7114</v>
      </c>
      <c r="M2017" s="94" t="s">
        <v>276</v>
      </c>
      <c r="N2017" s="95" t="s">
        <v>7115</v>
      </c>
      <c r="O2017" s="95" t="s">
        <v>276</v>
      </c>
      <c r="P2017" s="95" t="s">
        <v>239</v>
      </c>
      <c r="Q2017" s="140" t="s">
        <v>98</v>
      </c>
      <c r="R2017" s="95" t="s">
        <v>7183</v>
      </c>
      <c r="S2017" s="95" t="s">
        <v>276</v>
      </c>
      <c r="T2017" s="95" t="s">
        <v>276</v>
      </c>
      <c r="U2017" s="95">
        <v>2</v>
      </c>
      <c r="V2017" s="94" t="s">
        <v>14</v>
      </c>
      <c r="W2017" s="95" t="s">
        <v>7080</v>
      </c>
      <c r="X2017" s="95" t="s">
        <v>207</v>
      </c>
      <c r="Y2017" s="98">
        <v>13759</v>
      </c>
      <c r="Z2017" s="99">
        <v>13744</v>
      </c>
      <c r="AA2017" s="95" t="s">
        <v>276</v>
      </c>
      <c r="AB2017" s="95" t="s">
        <v>276</v>
      </c>
      <c r="AC2017" s="94">
        <v>0</v>
      </c>
      <c r="AD2017" s="94" t="s">
        <v>968</v>
      </c>
      <c r="AE2017" s="94">
        <v>0</v>
      </c>
      <c r="AF2017" s="94" t="s">
        <v>968</v>
      </c>
      <c r="AG2017" s="95" t="s">
        <v>7184</v>
      </c>
      <c r="AH2017" s="95" t="s">
        <v>7094</v>
      </c>
      <c r="AI2017" s="99">
        <v>22</v>
      </c>
      <c r="AJ2017" s="99">
        <v>21</v>
      </c>
      <c r="AK2017" s="98">
        <v>13759</v>
      </c>
      <c r="AL2017" s="99">
        <v>13744</v>
      </c>
      <c r="AM2017" s="99" t="s">
        <v>2047</v>
      </c>
      <c r="AN2017" s="94" t="s">
        <v>276</v>
      </c>
      <c r="AO2017" s="101">
        <f t="shared" si="570"/>
        <v>1.5989534123119413</v>
      </c>
      <c r="AP2017" s="94" t="s">
        <v>276</v>
      </c>
      <c r="AQ2017" s="94" t="s">
        <v>276</v>
      </c>
      <c r="AR2017" s="94" t="s">
        <v>276</v>
      </c>
      <c r="AS2017" s="101">
        <f t="shared" si="568"/>
        <v>1.5279394644935973</v>
      </c>
      <c r="AT2017" s="94" t="s">
        <v>276</v>
      </c>
      <c r="AU2017" s="94" t="s">
        <v>276</v>
      </c>
      <c r="AV2017" s="94" t="s">
        <v>268</v>
      </c>
      <c r="AW2017" s="94" t="s">
        <v>276</v>
      </c>
      <c r="AX2017" s="101">
        <f t="shared" si="569"/>
        <v>1.0464769380388248</v>
      </c>
      <c r="AY2017" s="94" t="s">
        <v>276</v>
      </c>
      <c r="AZ2017" s="94" t="s">
        <v>276</v>
      </c>
      <c r="BA2017" s="94" t="s">
        <v>276</v>
      </c>
      <c r="BB2017" s="94" t="s">
        <v>282</v>
      </c>
      <c r="BC2017" s="94" t="s">
        <v>98</v>
      </c>
      <c r="BD2017" s="94" t="s">
        <v>98</v>
      </c>
      <c r="BE2017" s="94" t="s">
        <v>98</v>
      </c>
      <c r="BF2017" s="346" t="s">
        <v>11167</v>
      </c>
      <c r="BG2017" s="95" t="s">
        <v>7118</v>
      </c>
      <c r="BH2017" s="9" t="s">
        <v>100</v>
      </c>
      <c r="BI2017" s="9" t="s">
        <v>100</v>
      </c>
      <c r="BJ2017" s="531"/>
      <c r="BN2017" s="531"/>
      <c r="BO2017" s="531"/>
    </row>
    <row r="2018" spans="1:67" s="532" customFormat="1" ht="65" hidden="1" x14ac:dyDescent="0.35">
      <c r="A2018" s="94">
        <v>7889</v>
      </c>
      <c r="B2018" s="94" t="s">
        <v>7112</v>
      </c>
      <c r="C2018" s="95" t="s">
        <v>59</v>
      </c>
      <c r="D2018" s="95" t="s">
        <v>7185</v>
      </c>
      <c r="E2018" s="94" t="s">
        <v>36</v>
      </c>
      <c r="F2018" s="94" t="s">
        <v>123</v>
      </c>
      <c r="G2018" s="94" t="s">
        <v>225</v>
      </c>
      <c r="H2018" s="94" t="s">
        <v>125</v>
      </c>
      <c r="I2018" s="94" t="s">
        <v>114</v>
      </c>
      <c r="J2018" s="95" t="s">
        <v>28</v>
      </c>
      <c r="K2018" s="94" t="s">
        <v>6740</v>
      </c>
      <c r="L2018" s="94" t="s">
        <v>7114</v>
      </c>
      <c r="M2018" s="94" t="s">
        <v>276</v>
      </c>
      <c r="N2018" s="95" t="s">
        <v>7115</v>
      </c>
      <c r="O2018" s="95" t="s">
        <v>276</v>
      </c>
      <c r="P2018" s="95" t="s">
        <v>239</v>
      </c>
      <c r="Q2018" s="140" t="s">
        <v>98</v>
      </c>
      <c r="R2018" s="95" t="s">
        <v>7183</v>
      </c>
      <c r="S2018" s="95" t="s">
        <v>276</v>
      </c>
      <c r="T2018" s="95" t="s">
        <v>276</v>
      </c>
      <c r="U2018" s="95">
        <v>2</v>
      </c>
      <c r="V2018" s="94" t="s">
        <v>14</v>
      </c>
      <c r="W2018" s="95" t="s">
        <v>7080</v>
      </c>
      <c r="X2018" s="95" t="s">
        <v>207</v>
      </c>
      <c r="Y2018" s="98">
        <v>13759</v>
      </c>
      <c r="Z2018" s="99">
        <v>13744</v>
      </c>
      <c r="AA2018" s="95" t="s">
        <v>276</v>
      </c>
      <c r="AB2018" s="95" t="s">
        <v>276</v>
      </c>
      <c r="AC2018" s="94">
        <v>0</v>
      </c>
      <c r="AD2018" s="94" t="s">
        <v>968</v>
      </c>
      <c r="AE2018" s="94">
        <v>0</v>
      </c>
      <c r="AF2018" s="94" t="s">
        <v>968</v>
      </c>
      <c r="AG2018" s="95" t="s">
        <v>7186</v>
      </c>
      <c r="AH2018" s="95" t="s">
        <v>7094</v>
      </c>
      <c r="AI2018" s="99">
        <v>57</v>
      </c>
      <c r="AJ2018" s="99">
        <v>56</v>
      </c>
      <c r="AK2018" s="98">
        <v>13759</v>
      </c>
      <c r="AL2018" s="99">
        <v>13744</v>
      </c>
      <c r="AM2018" s="99" t="s">
        <v>2047</v>
      </c>
      <c r="AN2018" s="94" t="s">
        <v>276</v>
      </c>
      <c r="AO2018" s="101">
        <f t="shared" si="570"/>
        <v>4.1427429318991207</v>
      </c>
      <c r="AP2018" s="94" t="s">
        <v>276</v>
      </c>
      <c r="AQ2018" s="94" t="s">
        <v>276</v>
      </c>
      <c r="AR2018" s="94" t="s">
        <v>276</v>
      </c>
      <c r="AS2018" s="101">
        <f t="shared" si="568"/>
        <v>4.0745052386495928</v>
      </c>
      <c r="AT2018" s="94" t="s">
        <v>276</v>
      </c>
      <c r="AU2018" s="94" t="s">
        <v>276</v>
      </c>
      <c r="AV2018" s="94" t="s">
        <v>268</v>
      </c>
      <c r="AW2018" s="94" t="s">
        <v>276</v>
      </c>
      <c r="AX2018" s="101">
        <f t="shared" si="569"/>
        <v>1.0167474795718128</v>
      </c>
      <c r="AY2018" s="94" t="s">
        <v>276</v>
      </c>
      <c r="AZ2018" s="94" t="s">
        <v>276</v>
      </c>
      <c r="BA2018" s="94" t="s">
        <v>276</v>
      </c>
      <c r="BB2018" s="94" t="s">
        <v>282</v>
      </c>
      <c r="BC2018" s="94" t="s">
        <v>98</v>
      </c>
      <c r="BD2018" s="94" t="s">
        <v>98</v>
      </c>
      <c r="BE2018" s="94" t="s">
        <v>98</v>
      </c>
      <c r="BF2018" s="346" t="s">
        <v>11167</v>
      </c>
      <c r="BG2018" s="95" t="s">
        <v>7118</v>
      </c>
      <c r="BH2018" s="9" t="s">
        <v>100</v>
      </c>
      <c r="BI2018" s="9" t="s">
        <v>100</v>
      </c>
      <c r="BJ2018" s="531"/>
      <c r="BN2018" s="531"/>
      <c r="BO2018" s="531"/>
    </row>
    <row r="2019" spans="1:67" s="532" customFormat="1" ht="65" hidden="1" x14ac:dyDescent="0.35">
      <c r="A2019" s="94">
        <v>7889</v>
      </c>
      <c r="B2019" s="94" t="s">
        <v>7112</v>
      </c>
      <c r="C2019" s="95" t="s">
        <v>59</v>
      </c>
      <c r="D2019" s="95" t="s">
        <v>7187</v>
      </c>
      <c r="E2019" s="94" t="s">
        <v>36</v>
      </c>
      <c r="F2019" s="94" t="s">
        <v>123</v>
      </c>
      <c r="G2019" s="94" t="s">
        <v>225</v>
      </c>
      <c r="H2019" s="94" t="s">
        <v>125</v>
      </c>
      <c r="I2019" s="94" t="s">
        <v>114</v>
      </c>
      <c r="J2019" s="95" t="s">
        <v>28</v>
      </c>
      <c r="K2019" s="94" t="s">
        <v>6742</v>
      </c>
      <c r="L2019" s="94" t="s">
        <v>7114</v>
      </c>
      <c r="M2019" s="94" t="s">
        <v>276</v>
      </c>
      <c r="N2019" s="95" t="s">
        <v>7115</v>
      </c>
      <c r="O2019" s="95" t="s">
        <v>276</v>
      </c>
      <c r="P2019" s="95" t="s">
        <v>239</v>
      </c>
      <c r="Q2019" s="140" t="s">
        <v>98</v>
      </c>
      <c r="R2019" s="95" t="s">
        <v>7183</v>
      </c>
      <c r="S2019" s="95" t="s">
        <v>276</v>
      </c>
      <c r="T2019" s="95" t="s">
        <v>276</v>
      </c>
      <c r="U2019" s="95">
        <v>2</v>
      </c>
      <c r="V2019" s="94" t="s">
        <v>14</v>
      </c>
      <c r="W2019" s="95" t="s">
        <v>7080</v>
      </c>
      <c r="X2019" s="95" t="s">
        <v>207</v>
      </c>
      <c r="Y2019" s="98">
        <v>13759</v>
      </c>
      <c r="Z2019" s="99">
        <v>13744</v>
      </c>
      <c r="AA2019" s="95" t="s">
        <v>276</v>
      </c>
      <c r="AB2019" s="95" t="s">
        <v>276</v>
      </c>
      <c r="AC2019" s="94">
        <v>0</v>
      </c>
      <c r="AD2019" s="94" t="s">
        <v>968</v>
      </c>
      <c r="AE2019" s="94">
        <v>0</v>
      </c>
      <c r="AF2019" s="94" t="s">
        <v>968</v>
      </c>
      <c r="AG2019" s="95" t="s">
        <v>7188</v>
      </c>
      <c r="AH2019" s="95" t="s">
        <v>7094</v>
      </c>
      <c r="AI2019" s="99">
        <v>49</v>
      </c>
      <c r="AJ2019" s="99">
        <v>43</v>
      </c>
      <c r="AK2019" s="98">
        <v>13759</v>
      </c>
      <c r="AL2019" s="99">
        <v>13744</v>
      </c>
      <c r="AM2019" s="99" t="s">
        <v>2047</v>
      </c>
      <c r="AN2019" s="94" t="s">
        <v>276</v>
      </c>
      <c r="AO2019" s="101">
        <f t="shared" si="570"/>
        <v>3.5613053274220512</v>
      </c>
      <c r="AP2019" s="94" t="s">
        <v>276</v>
      </c>
      <c r="AQ2019" s="94" t="s">
        <v>276</v>
      </c>
      <c r="AR2019" s="94" t="s">
        <v>276</v>
      </c>
      <c r="AS2019" s="101">
        <f t="shared" si="568"/>
        <v>3.128637951105937</v>
      </c>
      <c r="AT2019" s="94" t="s">
        <v>276</v>
      </c>
      <c r="AU2019" s="94" t="s">
        <v>276</v>
      </c>
      <c r="AV2019" s="94" t="s">
        <v>268</v>
      </c>
      <c r="AW2019" s="94" t="s">
        <v>276</v>
      </c>
      <c r="AX2019" s="101">
        <f t="shared" si="569"/>
        <v>1.138292567909039</v>
      </c>
      <c r="AY2019" s="94" t="s">
        <v>276</v>
      </c>
      <c r="AZ2019" s="94" t="s">
        <v>276</v>
      </c>
      <c r="BA2019" s="94" t="s">
        <v>276</v>
      </c>
      <c r="BB2019" s="94" t="s">
        <v>282</v>
      </c>
      <c r="BC2019" s="94" t="s">
        <v>98</v>
      </c>
      <c r="BD2019" s="94" t="s">
        <v>98</v>
      </c>
      <c r="BE2019" s="94" t="s">
        <v>98</v>
      </c>
      <c r="BF2019" s="346" t="s">
        <v>11167</v>
      </c>
      <c r="BG2019" s="95" t="s">
        <v>7118</v>
      </c>
      <c r="BH2019" s="9" t="s">
        <v>100</v>
      </c>
      <c r="BI2019" s="9" t="s">
        <v>100</v>
      </c>
      <c r="BJ2019" s="531"/>
      <c r="BN2019" s="531"/>
      <c r="BO2019" s="531"/>
    </row>
    <row r="2020" spans="1:67" s="532" customFormat="1" ht="65" hidden="1" x14ac:dyDescent="0.35">
      <c r="A2020" s="94">
        <v>7889</v>
      </c>
      <c r="B2020" s="94" t="s">
        <v>7112</v>
      </c>
      <c r="C2020" s="95" t="s">
        <v>59</v>
      </c>
      <c r="D2020" s="95" t="s">
        <v>7189</v>
      </c>
      <c r="E2020" s="94" t="s">
        <v>36</v>
      </c>
      <c r="F2020" s="94" t="s">
        <v>123</v>
      </c>
      <c r="G2020" s="94" t="s">
        <v>225</v>
      </c>
      <c r="H2020" s="94" t="s">
        <v>125</v>
      </c>
      <c r="I2020" s="94" t="s">
        <v>114</v>
      </c>
      <c r="J2020" s="95" t="s">
        <v>28</v>
      </c>
      <c r="K2020" s="94" t="s">
        <v>7100</v>
      </c>
      <c r="L2020" s="94" t="s">
        <v>7114</v>
      </c>
      <c r="M2020" s="94" t="s">
        <v>276</v>
      </c>
      <c r="N2020" s="95" t="s">
        <v>7115</v>
      </c>
      <c r="O2020" s="95" t="s">
        <v>276</v>
      </c>
      <c r="P2020" s="95" t="s">
        <v>239</v>
      </c>
      <c r="Q2020" s="140" t="s">
        <v>98</v>
      </c>
      <c r="R2020" s="95" t="s">
        <v>7183</v>
      </c>
      <c r="S2020" s="95" t="s">
        <v>276</v>
      </c>
      <c r="T2020" s="95" t="s">
        <v>276</v>
      </c>
      <c r="U2020" s="95">
        <v>2</v>
      </c>
      <c r="V2020" s="94" t="s">
        <v>14</v>
      </c>
      <c r="W2020" s="95" t="s">
        <v>7080</v>
      </c>
      <c r="X2020" s="95" t="s">
        <v>207</v>
      </c>
      <c r="Y2020" s="98">
        <v>13759</v>
      </c>
      <c r="Z2020" s="99">
        <v>13744</v>
      </c>
      <c r="AA2020" s="95" t="s">
        <v>276</v>
      </c>
      <c r="AB2020" s="95" t="s">
        <v>276</v>
      </c>
      <c r="AC2020" s="94">
        <v>0</v>
      </c>
      <c r="AD2020" s="94" t="s">
        <v>968</v>
      </c>
      <c r="AE2020" s="94">
        <v>0</v>
      </c>
      <c r="AF2020" s="94" t="s">
        <v>968</v>
      </c>
      <c r="AG2020" s="95" t="s">
        <v>7190</v>
      </c>
      <c r="AH2020" s="95" t="s">
        <v>7094</v>
      </c>
      <c r="AI2020" s="99">
        <v>34</v>
      </c>
      <c r="AJ2020" s="99">
        <v>28</v>
      </c>
      <c r="AK2020" s="98">
        <v>13759</v>
      </c>
      <c r="AL2020" s="99">
        <v>13744</v>
      </c>
      <c r="AM2020" s="99" t="s">
        <v>2047</v>
      </c>
      <c r="AN2020" s="94" t="s">
        <v>276</v>
      </c>
      <c r="AO2020" s="101">
        <f t="shared" si="570"/>
        <v>2.4711098190275456</v>
      </c>
      <c r="AP2020" s="94" t="s">
        <v>276</v>
      </c>
      <c r="AQ2020" s="94" t="s">
        <v>276</v>
      </c>
      <c r="AR2020" s="94" t="s">
        <v>276</v>
      </c>
      <c r="AS2020" s="101">
        <f t="shared" si="568"/>
        <v>2.0372526193247964</v>
      </c>
      <c r="AT2020" s="94" t="s">
        <v>276</v>
      </c>
      <c r="AU2020" s="94" t="s">
        <v>276</v>
      </c>
      <c r="AV2020" s="94" t="s">
        <v>268</v>
      </c>
      <c r="AW2020" s="94" t="s">
        <v>276</v>
      </c>
      <c r="AX2020" s="101">
        <f t="shared" si="569"/>
        <v>1.2129619054540923</v>
      </c>
      <c r="AY2020" s="94" t="s">
        <v>276</v>
      </c>
      <c r="AZ2020" s="94" t="s">
        <v>276</v>
      </c>
      <c r="BA2020" s="94" t="s">
        <v>276</v>
      </c>
      <c r="BB2020" s="94" t="s">
        <v>282</v>
      </c>
      <c r="BC2020" s="94" t="s">
        <v>98</v>
      </c>
      <c r="BD2020" s="94" t="s">
        <v>98</v>
      </c>
      <c r="BE2020" s="94" t="s">
        <v>98</v>
      </c>
      <c r="BF2020" s="346" t="s">
        <v>11168</v>
      </c>
      <c r="BG2020" s="95" t="s">
        <v>7118</v>
      </c>
      <c r="BH2020" s="9" t="s">
        <v>100</v>
      </c>
      <c r="BI2020" s="9" t="s">
        <v>100</v>
      </c>
      <c r="BJ2020" s="531"/>
      <c r="BN2020" s="531"/>
      <c r="BO2020" s="531"/>
    </row>
    <row r="2021" spans="1:67" s="532" customFormat="1" ht="52" hidden="1" x14ac:dyDescent="0.35">
      <c r="A2021" s="94">
        <v>7889</v>
      </c>
      <c r="B2021" s="94" t="s">
        <v>7112</v>
      </c>
      <c r="C2021" s="95" t="s">
        <v>59</v>
      </c>
      <c r="D2021" s="95" t="s">
        <v>7191</v>
      </c>
      <c r="E2021" s="94" t="s">
        <v>36</v>
      </c>
      <c r="F2021" s="94" t="s">
        <v>123</v>
      </c>
      <c r="G2021" s="94" t="s">
        <v>225</v>
      </c>
      <c r="H2021" s="94" t="s">
        <v>125</v>
      </c>
      <c r="I2021" s="94" t="s">
        <v>114</v>
      </c>
      <c r="J2021" s="95" t="s">
        <v>28</v>
      </c>
      <c r="K2021" s="94" t="s">
        <v>7100</v>
      </c>
      <c r="L2021" s="94" t="s">
        <v>7114</v>
      </c>
      <c r="M2021" s="94" t="s">
        <v>276</v>
      </c>
      <c r="N2021" s="95" t="s">
        <v>7115</v>
      </c>
      <c r="O2021" s="95" t="s">
        <v>276</v>
      </c>
      <c r="P2021" s="95" t="s">
        <v>235</v>
      </c>
      <c r="Q2021" s="140" t="s">
        <v>98</v>
      </c>
      <c r="R2021" s="95" t="s">
        <v>7183</v>
      </c>
      <c r="S2021" s="95" t="s">
        <v>276</v>
      </c>
      <c r="T2021" s="95" t="s">
        <v>276</v>
      </c>
      <c r="U2021" s="95">
        <v>2</v>
      </c>
      <c r="V2021" s="94" t="s">
        <v>14</v>
      </c>
      <c r="W2021" s="95" t="s">
        <v>7080</v>
      </c>
      <c r="X2021" s="95" t="s">
        <v>207</v>
      </c>
      <c r="Y2021" s="98" t="s">
        <v>98</v>
      </c>
      <c r="Z2021" s="99" t="s">
        <v>98</v>
      </c>
      <c r="AA2021" s="95" t="s">
        <v>276</v>
      </c>
      <c r="AB2021" s="95" t="s">
        <v>276</v>
      </c>
      <c r="AC2021" s="94">
        <v>0</v>
      </c>
      <c r="AD2021" s="94" t="s">
        <v>968</v>
      </c>
      <c r="AE2021" s="94">
        <v>0</v>
      </c>
      <c r="AF2021" s="94" t="s">
        <v>968</v>
      </c>
      <c r="AG2021" s="95" t="s">
        <v>7190</v>
      </c>
      <c r="AH2021" s="95" t="s">
        <v>7192</v>
      </c>
      <c r="AI2021" s="99">
        <v>34</v>
      </c>
      <c r="AJ2021" s="99">
        <v>28</v>
      </c>
      <c r="AK2021" s="98">
        <f>61+6+6+16+17+17+18+21</f>
        <v>162</v>
      </c>
      <c r="AL2021" s="99">
        <f>20+12+14+13+16+25+18+30</f>
        <v>148</v>
      </c>
      <c r="AM2021" s="99" t="s">
        <v>292</v>
      </c>
      <c r="AN2021" s="94" t="s">
        <v>276</v>
      </c>
      <c r="AO2021" s="101">
        <f>AI2021*100/AK2021</f>
        <v>20.987654320987655</v>
      </c>
      <c r="AP2021" s="94" t="s">
        <v>276</v>
      </c>
      <c r="AQ2021" s="94" t="s">
        <v>276</v>
      </c>
      <c r="AR2021" s="94" t="s">
        <v>276</v>
      </c>
      <c r="AS2021" s="101">
        <f>AJ2021*100/AL2021</f>
        <v>18.918918918918919</v>
      </c>
      <c r="AT2021" s="94" t="s">
        <v>276</v>
      </c>
      <c r="AU2021" s="94" t="s">
        <v>276</v>
      </c>
      <c r="AV2021" s="94" t="s">
        <v>268</v>
      </c>
      <c r="AW2021" s="94" t="s">
        <v>276</v>
      </c>
      <c r="AX2021" s="101">
        <f t="shared" si="569"/>
        <v>1.1093474426807761</v>
      </c>
      <c r="AY2021" s="94" t="s">
        <v>276</v>
      </c>
      <c r="AZ2021" s="94" t="s">
        <v>276</v>
      </c>
      <c r="BA2021" s="94" t="s">
        <v>276</v>
      </c>
      <c r="BB2021" s="94" t="s">
        <v>282</v>
      </c>
      <c r="BC2021" s="94" t="s">
        <v>98</v>
      </c>
      <c r="BD2021" s="94" t="s">
        <v>98</v>
      </c>
      <c r="BE2021" s="94" t="s">
        <v>98</v>
      </c>
      <c r="BF2021" s="95" t="s">
        <v>1358</v>
      </c>
      <c r="BG2021" s="95" t="s">
        <v>7118</v>
      </c>
      <c r="BH2021" s="9" t="s">
        <v>100</v>
      </c>
      <c r="BI2021" s="9" t="s">
        <v>100</v>
      </c>
      <c r="BJ2021" s="531"/>
      <c r="BN2021" s="531"/>
      <c r="BO2021" s="531"/>
    </row>
    <row r="2022" spans="1:67" s="534" customFormat="1" ht="65" hidden="1" x14ac:dyDescent="0.35">
      <c r="A2022" s="112">
        <v>7889</v>
      </c>
      <c r="B2022" s="112" t="s">
        <v>7112</v>
      </c>
      <c r="C2022" s="113" t="s">
        <v>59</v>
      </c>
      <c r="D2022" s="113" t="s">
        <v>7193</v>
      </c>
      <c r="E2022" s="112" t="s">
        <v>36</v>
      </c>
      <c r="F2022" s="112" t="s">
        <v>123</v>
      </c>
      <c r="G2022" s="112" t="s">
        <v>225</v>
      </c>
      <c r="H2022" s="112" t="s">
        <v>125</v>
      </c>
      <c r="I2022" s="112" t="s">
        <v>114</v>
      </c>
      <c r="J2022" s="113" t="s">
        <v>32</v>
      </c>
      <c r="K2022" s="112" t="s">
        <v>2345</v>
      </c>
      <c r="L2022" s="112" t="s">
        <v>276</v>
      </c>
      <c r="M2022" s="112" t="s">
        <v>276</v>
      </c>
      <c r="N2022" s="113" t="s">
        <v>7115</v>
      </c>
      <c r="O2022" s="113" t="s">
        <v>276</v>
      </c>
      <c r="P2022" s="113" t="s">
        <v>239</v>
      </c>
      <c r="Q2022" s="142" t="s">
        <v>98</v>
      </c>
      <c r="R2022" s="113" t="s">
        <v>7116</v>
      </c>
      <c r="S2022" s="113" t="s">
        <v>276</v>
      </c>
      <c r="T2022" s="113" t="s">
        <v>276</v>
      </c>
      <c r="U2022" s="113">
        <v>2</v>
      </c>
      <c r="V2022" s="112" t="s">
        <v>14</v>
      </c>
      <c r="W2022" s="113" t="s">
        <v>7080</v>
      </c>
      <c r="X2022" s="113" t="s">
        <v>207</v>
      </c>
      <c r="Y2022" s="118">
        <v>13759</v>
      </c>
      <c r="Z2022" s="119">
        <v>13744</v>
      </c>
      <c r="AA2022" s="113" t="s">
        <v>276</v>
      </c>
      <c r="AB2022" s="113" t="s">
        <v>276</v>
      </c>
      <c r="AC2022" s="112">
        <v>0</v>
      </c>
      <c r="AD2022" s="112" t="s">
        <v>968</v>
      </c>
      <c r="AE2022" s="112">
        <v>0</v>
      </c>
      <c r="AF2022" s="112" t="s">
        <v>968</v>
      </c>
      <c r="AG2022" s="113" t="s">
        <v>7194</v>
      </c>
      <c r="AH2022" s="113" t="s">
        <v>7094</v>
      </c>
      <c r="AI2022" s="119">
        <f>61+6</f>
        <v>67</v>
      </c>
      <c r="AJ2022" s="119">
        <f>20+12</f>
        <v>32</v>
      </c>
      <c r="AK2022" s="118">
        <v>13759</v>
      </c>
      <c r="AL2022" s="119">
        <v>13744</v>
      </c>
      <c r="AM2022" s="119" t="s">
        <v>2047</v>
      </c>
      <c r="AN2022" s="112" t="s">
        <v>276</v>
      </c>
      <c r="AO2022" s="207">
        <f t="shared" si="570"/>
        <v>4.8695399374954578</v>
      </c>
      <c r="AP2022" s="112" t="s">
        <v>276</v>
      </c>
      <c r="AQ2022" s="112" t="s">
        <v>276</v>
      </c>
      <c r="AR2022" s="112" t="s">
        <v>276</v>
      </c>
      <c r="AS2022" s="207">
        <f t="shared" si="568"/>
        <v>2.3282887077997674</v>
      </c>
      <c r="AT2022" s="112" t="s">
        <v>276</v>
      </c>
      <c r="AU2022" s="112" t="s">
        <v>276</v>
      </c>
      <c r="AV2022" s="112" t="s">
        <v>268</v>
      </c>
      <c r="AW2022" s="112" t="s">
        <v>276</v>
      </c>
      <c r="AX2022" s="207">
        <f t="shared" si="569"/>
        <v>2.091467403154299</v>
      </c>
      <c r="AY2022" s="112" t="s">
        <v>276</v>
      </c>
      <c r="AZ2022" s="112" t="s">
        <v>276</v>
      </c>
      <c r="BA2022" s="112" t="s">
        <v>276</v>
      </c>
      <c r="BB2022" s="112" t="s">
        <v>282</v>
      </c>
      <c r="BC2022" s="112" t="s">
        <v>98</v>
      </c>
      <c r="BD2022" s="112" t="s">
        <v>98</v>
      </c>
      <c r="BE2022" s="112" t="s">
        <v>98</v>
      </c>
      <c r="BF2022" s="346" t="s">
        <v>11167</v>
      </c>
      <c r="BG2022" s="113" t="s">
        <v>7118</v>
      </c>
      <c r="BH2022" s="9" t="s">
        <v>100</v>
      </c>
      <c r="BI2022" s="9" t="s">
        <v>100</v>
      </c>
      <c r="BJ2022" s="533"/>
      <c r="BN2022" s="533"/>
      <c r="BO2022" s="533"/>
    </row>
    <row r="2023" spans="1:67" s="534" customFormat="1" ht="65" hidden="1" x14ac:dyDescent="0.35">
      <c r="A2023" s="112">
        <v>7889</v>
      </c>
      <c r="B2023" s="112" t="s">
        <v>7112</v>
      </c>
      <c r="C2023" s="113" t="s">
        <v>59</v>
      </c>
      <c r="D2023" s="113" t="s">
        <v>7195</v>
      </c>
      <c r="E2023" s="112" t="s">
        <v>36</v>
      </c>
      <c r="F2023" s="112" t="s">
        <v>123</v>
      </c>
      <c r="G2023" s="112" t="s">
        <v>225</v>
      </c>
      <c r="H2023" s="112" t="s">
        <v>125</v>
      </c>
      <c r="I2023" s="112" t="s">
        <v>114</v>
      </c>
      <c r="J2023" s="113" t="s">
        <v>32</v>
      </c>
      <c r="K2023" s="112" t="s">
        <v>7196</v>
      </c>
      <c r="L2023" s="112" t="s">
        <v>276</v>
      </c>
      <c r="M2023" s="112" t="s">
        <v>276</v>
      </c>
      <c r="N2023" s="113" t="s">
        <v>7115</v>
      </c>
      <c r="O2023" s="113" t="s">
        <v>276</v>
      </c>
      <c r="P2023" s="113" t="s">
        <v>239</v>
      </c>
      <c r="Q2023" s="142" t="s">
        <v>98</v>
      </c>
      <c r="R2023" s="113" t="s">
        <v>7116</v>
      </c>
      <c r="S2023" s="113" t="s">
        <v>276</v>
      </c>
      <c r="T2023" s="113" t="s">
        <v>276</v>
      </c>
      <c r="U2023" s="113">
        <v>2</v>
      </c>
      <c r="V2023" s="112" t="s">
        <v>14</v>
      </c>
      <c r="W2023" s="113" t="s">
        <v>7080</v>
      </c>
      <c r="X2023" s="113" t="s">
        <v>207</v>
      </c>
      <c r="Y2023" s="118">
        <v>13759</v>
      </c>
      <c r="Z2023" s="119">
        <v>13744</v>
      </c>
      <c r="AA2023" s="113" t="s">
        <v>276</v>
      </c>
      <c r="AB2023" s="113" t="s">
        <v>276</v>
      </c>
      <c r="AC2023" s="112">
        <v>0</v>
      </c>
      <c r="AD2023" s="112" t="s">
        <v>968</v>
      </c>
      <c r="AE2023" s="112">
        <v>0</v>
      </c>
      <c r="AF2023" s="112" t="s">
        <v>968</v>
      </c>
      <c r="AG2023" s="113" t="s">
        <v>7197</v>
      </c>
      <c r="AH2023" s="113" t="s">
        <v>7094</v>
      </c>
      <c r="AI2023" s="119">
        <f>162+12</f>
        <v>174</v>
      </c>
      <c r="AJ2023" s="119">
        <f>24+15</f>
        <v>39</v>
      </c>
      <c r="AK2023" s="118">
        <v>13759</v>
      </c>
      <c r="AL2023" s="119">
        <v>13744</v>
      </c>
      <c r="AM2023" s="119" t="s">
        <v>2047</v>
      </c>
      <c r="AN2023" s="112" t="s">
        <v>276</v>
      </c>
      <c r="AO2023" s="207">
        <f t="shared" si="570"/>
        <v>12.646267897376262</v>
      </c>
      <c r="AP2023" s="112" t="s">
        <v>276</v>
      </c>
      <c r="AQ2023" s="112" t="s">
        <v>276</v>
      </c>
      <c r="AR2023" s="112" t="s">
        <v>276</v>
      </c>
      <c r="AS2023" s="207">
        <f t="shared" si="568"/>
        <v>2.837601862630966</v>
      </c>
      <c r="AT2023" s="112" t="s">
        <v>276</v>
      </c>
      <c r="AU2023" s="112" t="s">
        <v>276</v>
      </c>
      <c r="AV2023" s="112" t="s">
        <v>268</v>
      </c>
      <c r="AW2023" s="112" t="s">
        <v>276</v>
      </c>
      <c r="AX2023" s="207">
        <f t="shared" si="569"/>
        <v>4.4566745123471634</v>
      </c>
      <c r="AY2023" s="112" t="s">
        <v>276</v>
      </c>
      <c r="AZ2023" s="112" t="s">
        <v>276</v>
      </c>
      <c r="BA2023" s="112" t="s">
        <v>276</v>
      </c>
      <c r="BB2023" s="112" t="s">
        <v>282</v>
      </c>
      <c r="BC2023" s="112" t="s">
        <v>98</v>
      </c>
      <c r="BD2023" s="112" t="s">
        <v>98</v>
      </c>
      <c r="BE2023" s="112" t="s">
        <v>98</v>
      </c>
      <c r="BF2023" s="346" t="s">
        <v>11169</v>
      </c>
      <c r="BG2023" s="113" t="s">
        <v>7118</v>
      </c>
      <c r="BH2023" s="9" t="s">
        <v>100</v>
      </c>
      <c r="BI2023" s="9" t="s">
        <v>100</v>
      </c>
      <c r="BJ2023" s="533"/>
      <c r="BN2023" s="533"/>
      <c r="BO2023" s="533"/>
    </row>
    <row r="2024" spans="1:67" s="534" customFormat="1" ht="65" hidden="1" x14ac:dyDescent="0.35">
      <c r="A2024" s="112">
        <v>7889</v>
      </c>
      <c r="B2024" s="112" t="s">
        <v>7112</v>
      </c>
      <c r="C2024" s="113" t="s">
        <v>59</v>
      </c>
      <c r="D2024" s="113" t="s">
        <v>7198</v>
      </c>
      <c r="E2024" s="112" t="s">
        <v>36</v>
      </c>
      <c r="F2024" s="112" t="s">
        <v>123</v>
      </c>
      <c r="G2024" s="112" t="s">
        <v>225</v>
      </c>
      <c r="H2024" s="112" t="s">
        <v>125</v>
      </c>
      <c r="I2024" s="112" t="s">
        <v>114</v>
      </c>
      <c r="J2024" s="346" t="s">
        <v>11166</v>
      </c>
      <c r="K2024" s="112" t="s">
        <v>7199</v>
      </c>
      <c r="L2024" s="112" t="s">
        <v>276</v>
      </c>
      <c r="M2024" s="112" t="s">
        <v>276</v>
      </c>
      <c r="N2024" s="113" t="s">
        <v>7115</v>
      </c>
      <c r="O2024" s="113" t="s">
        <v>276</v>
      </c>
      <c r="P2024" s="113" t="s">
        <v>239</v>
      </c>
      <c r="Q2024" s="142" t="s">
        <v>98</v>
      </c>
      <c r="R2024" s="113" t="s">
        <v>7116</v>
      </c>
      <c r="S2024" s="113" t="s">
        <v>276</v>
      </c>
      <c r="T2024" s="113" t="s">
        <v>276</v>
      </c>
      <c r="U2024" s="113">
        <v>2</v>
      </c>
      <c r="V2024" s="112" t="s">
        <v>14</v>
      </c>
      <c r="W2024" s="113" t="s">
        <v>7080</v>
      </c>
      <c r="X2024" s="113" t="s">
        <v>207</v>
      </c>
      <c r="Y2024" s="118">
        <v>13759</v>
      </c>
      <c r="Z2024" s="119">
        <v>13744</v>
      </c>
      <c r="AA2024" s="113" t="s">
        <v>276</v>
      </c>
      <c r="AB2024" s="113" t="s">
        <v>276</v>
      </c>
      <c r="AC2024" s="112">
        <v>0</v>
      </c>
      <c r="AD2024" s="112" t="s">
        <v>968</v>
      </c>
      <c r="AE2024" s="112">
        <v>0</v>
      </c>
      <c r="AF2024" s="112" t="s">
        <v>968</v>
      </c>
      <c r="AG2024" s="113" t="s">
        <v>7200</v>
      </c>
      <c r="AH2024" s="113" t="s">
        <v>7094</v>
      </c>
      <c r="AI2024" s="119">
        <f>104+4</f>
        <v>108</v>
      </c>
      <c r="AJ2024" s="119">
        <f>11+10</f>
        <v>21</v>
      </c>
      <c r="AK2024" s="118">
        <v>13759</v>
      </c>
      <c r="AL2024" s="119">
        <v>13744</v>
      </c>
      <c r="AM2024" s="119" t="s">
        <v>2047</v>
      </c>
      <c r="AN2024" s="112" t="s">
        <v>276</v>
      </c>
      <c r="AO2024" s="207">
        <f t="shared" si="570"/>
        <v>7.8494076604404386</v>
      </c>
      <c r="AP2024" s="112" t="s">
        <v>276</v>
      </c>
      <c r="AQ2024" s="112" t="s">
        <v>276</v>
      </c>
      <c r="AR2024" s="112" t="s">
        <v>276</v>
      </c>
      <c r="AS2024" s="207">
        <f t="shared" si="568"/>
        <v>1.5279394644935973</v>
      </c>
      <c r="AT2024" s="112" t="s">
        <v>276</v>
      </c>
      <c r="AU2024" s="112" t="s">
        <v>276</v>
      </c>
      <c r="AV2024" s="112" t="s">
        <v>268</v>
      </c>
      <c r="AW2024" s="112" t="s">
        <v>276</v>
      </c>
      <c r="AX2024" s="207">
        <f t="shared" si="569"/>
        <v>5.1372504230996849</v>
      </c>
      <c r="AY2024" s="112" t="s">
        <v>276</v>
      </c>
      <c r="AZ2024" s="112" t="s">
        <v>276</v>
      </c>
      <c r="BA2024" s="112" t="s">
        <v>276</v>
      </c>
      <c r="BB2024" s="112" t="s">
        <v>282</v>
      </c>
      <c r="BC2024" s="112" t="s">
        <v>98</v>
      </c>
      <c r="BD2024" s="112" t="s">
        <v>98</v>
      </c>
      <c r="BE2024" s="112" t="s">
        <v>98</v>
      </c>
      <c r="BF2024" s="346" t="s">
        <v>11169</v>
      </c>
      <c r="BG2024" s="113" t="s">
        <v>7118</v>
      </c>
      <c r="BH2024" s="9" t="s">
        <v>100</v>
      </c>
      <c r="BI2024" s="9" t="s">
        <v>100</v>
      </c>
      <c r="BJ2024" s="533"/>
      <c r="BN2024" s="533"/>
      <c r="BO2024" s="533"/>
    </row>
    <row r="2025" spans="1:67" s="532" customFormat="1" ht="65" hidden="1" x14ac:dyDescent="0.35">
      <c r="A2025" s="94">
        <v>7889</v>
      </c>
      <c r="B2025" s="94" t="s">
        <v>7112</v>
      </c>
      <c r="C2025" s="95" t="s">
        <v>59</v>
      </c>
      <c r="D2025" s="95" t="s">
        <v>7201</v>
      </c>
      <c r="E2025" s="94" t="s">
        <v>36</v>
      </c>
      <c r="F2025" s="94" t="s">
        <v>123</v>
      </c>
      <c r="G2025" s="94" t="s">
        <v>225</v>
      </c>
      <c r="H2025" s="94" t="s">
        <v>125</v>
      </c>
      <c r="I2025" s="94" t="s">
        <v>114</v>
      </c>
      <c r="J2025" s="95" t="s">
        <v>32</v>
      </c>
      <c r="K2025" s="94" t="s">
        <v>2345</v>
      </c>
      <c r="L2025" s="94" t="s">
        <v>276</v>
      </c>
      <c r="M2025" s="94" t="s">
        <v>276</v>
      </c>
      <c r="N2025" s="95" t="s">
        <v>7115</v>
      </c>
      <c r="O2025" s="95" t="s">
        <v>276</v>
      </c>
      <c r="P2025" s="95" t="s">
        <v>239</v>
      </c>
      <c r="Q2025" s="140" t="s">
        <v>98</v>
      </c>
      <c r="R2025" s="95" t="s">
        <v>7128</v>
      </c>
      <c r="S2025" s="95" t="s">
        <v>276</v>
      </c>
      <c r="T2025" s="95" t="s">
        <v>276</v>
      </c>
      <c r="U2025" s="95">
        <v>2</v>
      </c>
      <c r="V2025" s="94" t="s">
        <v>14</v>
      </c>
      <c r="W2025" s="95" t="s">
        <v>7080</v>
      </c>
      <c r="X2025" s="95" t="s">
        <v>207</v>
      </c>
      <c r="Y2025" s="98">
        <v>13759</v>
      </c>
      <c r="Z2025" s="99">
        <v>13744</v>
      </c>
      <c r="AA2025" s="95" t="s">
        <v>276</v>
      </c>
      <c r="AB2025" s="95" t="s">
        <v>276</v>
      </c>
      <c r="AC2025" s="94">
        <v>0</v>
      </c>
      <c r="AD2025" s="94" t="s">
        <v>968</v>
      </c>
      <c r="AE2025" s="94">
        <v>0</v>
      </c>
      <c r="AF2025" s="94" t="s">
        <v>968</v>
      </c>
      <c r="AG2025" s="95" t="s">
        <v>7202</v>
      </c>
      <c r="AH2025" s="95" t="s">
        <v>7094</v>
      </c>
      <c r="AI2025" s="99">
        <f>61+6+6</f>
        <v>73</v>
      </c>
      <c r="AJ2025" s="99">
        <f>20+12+14</f>
        <v>46</v>
      </c>
      <c r="AK2025" s="98">
        <v>13759</v>
      </c>
      <c r="AL2025" s="99">
        <v>13744</v>
      </c>
      <c r="AM2025" s="99" t="s">
        <v>2047</v>
      </c>
      <c r="AN2025" s="94" t="s">
        <v>276</v>
      </c>
      <c r="AO2025" s="101">
        <f t="shared" si="570"/>
        <v>5.3056181408532597</v>
      </c>
      <c r="AP2025" s="94" t="s">
        <v>276</v>
      </c>
      <c r="AQ2025" s="94" t="s">
        <v>276</v>
      </c>
      <c r="AR2025" s="94" t="s">
        <v>276</v>
      </c>
      <c r="AS2025" s="101">
        <f t="shared" si="568"/>
        <v>3.3469150174621651</v>
      </c>
      <c r="AT2025" s="94" t="s">
        <v>276</v>
      </c>
      <c r="AU2025" s="94" t="s">
        <v>276</v>
      </c>
      <c r="AV2025" s="94" t="s">
        <v>268</v>
      </c>
      <c r="AW2025" s="94" t="s">
        <v>276</v>
      </c>
      <c r="AX2025" s="101">
        <f t="shared" si="569"/>
        <v>1.5852264288671132</v>
      </c>
      <c r="AY2025" s="94" t="s">
        <v>276</v>
      </c>
      <c r="AZ2025" s="94" t="s">
        <v>276</v>
      </c>
      <c r="BA2025" s="94" t="s">
        <v>276</v>
      </c>
      <c r="BB2025" s="94" t="s">
        <v>282</v>
      </c>
      <c r="BC2025" s="94" t="s">
        <v>98</v>
      </c>
      <c r="BD2025" s="94" t="s">
        <v>98</v>
      </c>
      <c r="BE2025" s="94" t="s">
        <v>98</v>
      </c>
      <c r="BF2025" s="346" t="s">
        <v>11167</v>
      </c>
      <c r="BG2025" s="95" t="s">
        <v>7118</v>
      </c>
      <c r="BH2025" s="9" t="s">
        <v>100</v>
      </c>
      <c r="BI2025" s="9" t="s">
        <v>100</v>
      </c>
      <c r="BJ2025" s="531"/>
      <c r="BN2025" s="531"/>
      <c r="BO2025" s="531"/>
    </row>
    <row r="2026" spans="1:67" s="532" customFormat="1" ht="65" hidden="1" x14ac:dyDescent="0.35">
      <c r="A2026" s="94">
        <v>7889</v>
      </c>
      <c r="B2026" s="94" t="s">
        <v>7112</v>
      </c>
      <c r="C2026" s="95" t="s">
        <v>59</v>
      </c>
      <c r="D2026" s="95" t="s">
        <v>7203</v>
      </c>
      <c r="E2026" s="94" t="s">
        <v>36</v>
      </c>
      <c r="F2026" s="94" t="s">
        <v>123</v>
      </c>
      <c r="G2026" s="94" t="s">
        <v>225</v>
      </c>
      <c r="H2026" s="94" t="s">
        <v>125</v>
      </c>
      <c r="I2026" s="94" t="s">
        <v>114</v>
      </c>
      <c r="J2026" s="95" t="s">
        <v>32</v>
      </c>
      <c r="K2026" s="94" t="s">
        <v>7196</v>
      </c>
      <c r="L2026" s="94" t="s">
        <v>276</v>
      </c>
      <c r="M2026" s="94" t="s">
        <v>276</v>
      </c>
      <c r="N2026" s="95" t="s">
        <v>7115</v>
      </c>
      <c r="O2026" s="95" t="s">
        <v>276</v>
      </c>
      <c r="P2026" s="95" t="s">
        <v>239</v>
      </c>
      <c r="Q2026" s="140" t="s">
        <v>98</v>
      </c>
      <c r="R2026" s="95" t="s">
        <v>7128</v>
      </c>
      <c r="S2026" s="95" t="s">
        <v>276</v>
      </c>
      <c r="T2026" s="95" t="s">
        <v>276</v>
      </c>
      <c r="U2026" s="95">
        <v>2</v>
      </c>
      <c r="V2026" s="94" t="s">
        <v>14</v>
      </c>
      <c r="W2026" s="95" t="s">
        <v>7080</v>
      </c>
      <c r="X2026" s="95" t="s">
        <v>207</v>
      </c>
      <c r="Y2026" s="98">
        <v>13759</v>
      </c>
      <c r="Z2026" s="99">
        <v>13744</v>
      </c>
      <c r="AA2026" s="95" t="s">
        <v>276</v>
      </c>
      <c r="AB2026" s="95" t="s">
        <v>276</v>
      </c>
      <c r="AC2026" s="94">
        <v>0</v>
      </c>
      <c r="AD2026" s="94" t="s">
        <v>968</v>
      </c>
      <c r="AE2026" s="94">
        <v>0</v>
      </c>
      <c r="AF2026" s="94" t="s">
        <v>968</v>
      </c>
      <c r="AG2026" s="95" t="s">
        <v>7204</v>
      </c>
      <c r="AH2026" s="95" t="s">
        <v>7094</v>
      </c>
      <c r="AI2026" s="99">
        <f>162+12+9</f>
        <v>183</v>
      </c>
      <c r="AJ2026" s="99">
        <f>24+15+18</f>
        <v>57</v>
      </c>
      <c r="AK2026" s="98">
        <v>13759</v>
      </c>
      <c r="AL2026" s="99">
        <v>13744</v>
      </c>
      <c r="AM2026" s="99" t="s">
        <v>2047</v>
      </c>
      <c r="AN2026" s="94" t="s">
        <v>276</v>
      </c>
      <c r="AO2026" s="101">
        <f t="shared" si="570"/>
        <v>13.300385202412967</v>
      </c>
      <c r="AP2026" s="94" t="s">
        <v>276</v>
      </c>
      <c r="AQ2026" s="94" t="s">
        <v>276</v>
      </c>
      <c r="AR2026" s="94" t="s">
        <v>276</v>
      </c>
      <c r="AS2026" s="101">
        <f t="shared" si="568"/>
        <v>4.1472642607683357</v>
      </c>
      <c r="AT2026" s="94" t="s">
        <v>276</v>
      </c>
      <c r="AU2026" s="94" t="s">
        <v>276</v>
      </c>
      <c r="AV2026" s="94" t="s">
        <v>268</v>
      </c>
      <c r="AW2026" s="94" t="s">
        <v>276</v>
      </c>
      <c r="AX2026" s="101">
        <f t="shared" si="569"/>
        <v>3.2070262144204174</v>
      </c>
      <c r="AY2026" s="94" t="s">
        <v>276</v>
      </c>
      <c r="AZ2026" s="94" t="s">
        <v>276</v>
      </c>
      <c r="BA2026" s="94" t="s">
        <v>276</v>
      </c>
      <c r="BB2026" s="94" t="s">
        <v>282</v>
      </c>
      <c r="BC2026" s="94" t="s">
        <v>98</v>
      </c>
      <c r="BD2026" s="94" t="s">
        <v>98</v>
      </c>
      <c r="BE2026" s="94" t="s">
        <v>98</v>
      </c>
      <c r="BF2026" s="346" t="s">
        <v>11169</v>
      </c>
      <c r="BG2026" s="95" t="s">
        <v>7118</v>
      </c>
      <c r="BH2026" s="9" t="s">
        <v>100</v>
      </c>
      <c r="BI2026" s="9" t="s">
        <v>100</v>
      </c>
      <c r="BJ2026" s="531"/>
      <c r="BN2026" s="531"/>
      <c r="BO2026" s="531"/>
    </row>
    <row r="2027" spans="1:67" s="532" customFormat="1" ht="65" hidden="1" x14ac:dyDescent="0.35">
      <c r="A2027" s="94">
        <v>7889</v>
      </c>
      <c r="B2027" s="94" t="s">
        <v>7112</v>
      </c>
      <c r="C2027" s="95" t="s">
        <v>59</v>
      </c>
      <c r="D2027" s="95" t="s">
        <v>7205</v>
      </c>
      <c r="E2027" s="94" t="s">
        <v>36</v>
      </c>
      <c r="F2027" s="94" t="s">
        <v>123</v>
      </c>
      <c r="G2027" s="94" t="s">
        <v>225</v>
      </c>
      <c r="H2027" s="94" t="s">
        <v>125</v>
      </c>
      <c r="I2027" s="94" t="s">
        <v>114</v>
      </c>
      <c r="J2027" s="346" t="s">
        <v>11166</v>
      </c>
      <c r="K2027" s="94" t="s">
        <v>7199</v>
      </c>
      <c r="L2027" s="94" t="s">
        <v>276</v>
      </c>
      <c r="M2027" s="94" t="s">
        <v>276</v>
      </c>
      <c r="N2027" s="95" t="s">
        <v>7115</v>
      </c>
      <c r="O2027" s="95" t="s">
        <v>276</v>
      </c>
      <c r="P2027" s="95" t="s">
        <v>239</v>
      </c>
      <c r="Q2027" s="140" t="s">
        <v>98</v>
      </c>
      <c r="R2027" s="95" t="s">
        <v>7128</v>
      </c>
      <c r="S2027" s="95" t="s">
        <v>276</v>
      </c>
      <c r="T2027" s="95" t="s">
        <v>276</v>
      </c>
      <c r="U2027" s="95">
        <v>2</v>
      </c>
      <c r="V2027" s="94" t="s">
        <v>14</v>
      </c>
      <c r="W2027" s="95" t="s">
        <v>7080</v>
      </c>
      <c r="X2027" s="95" t="s">
        <v>207</v>
      </c>
      <c r="Y2027" s="98">
        <v>13759</v>
      </c>
      <c r="Z2027" s="99">
        <v>13744</v>
      </c>
      <c r="AA2027" s="95" t="s">
        <v>276</v>
      </c>
      <c r="AB2027" s="95" t="s">
        <v>276</v>
      </c>
      <c r="AC2027" s="94">
        <v>0</v>
      </c>
      <c r="AD2027" s="94" t="s">
        <v>968</v>
      </c>
      <c r="AE2027" s="94">
        <v>0</v>
      </c>
      <c r="AF2027" s="94" t="s">
        <v>968</v>
      </c>
      <c r="AG2027" s="95" t="s">
        <v>7206</v>
      </c>
      <c r="AH2027" s="95" t="s">
        <v>7094</v>
      </c>
      <c r="AI2027" s="99">
        <f>104+4+6</f>
        <v>114</v>
      </c>
      <c r="AJ2027" s="99">
        <f>11+10+11</f>
        <v>32</v>
      </c>
      <c r="AK2027" s="98">
        <v>13759</v>
      </c>
      <c r="AL2027" s="99">
        <v>13744</v>
      </c>
      <c r="AM2027" s="99" t="s">
        <v>2047</v>
      </c>
      <c r="AN2027" s="94" t="s">
        <v>276</v>
      </c>
      <c r="AO2027" s="101">
        <f t="shared" si="570"/>
        <v>8.2854858637982414</v>
      </c>
      <c r="AP2027" s="94" t="s">
        <v>276</v>
      </c>
      <c r="AQ2027" s="94" t="s">
        <v>276</v>
      </c>
      <c r="AR2027" s="94" t="s">
        <v>276</v>
      </c>
      <c r="AS2027" s="101">
        <f t="shared" si="568"/>
        <v>2.3282887077997674</v>
      </c>
      <c r="AT2027" s="94" t="s">
        <v>276</v>
      </c>
      <c r="AU2027" s="94" t="s">
        <v>276</v>
      </c>
      <c r="AV2027" s="94" t="s">
        <v>268</v>
      </c>
      <c r="AW2027" s="94" t="s">
        <v>276</v>
      </c>
      <c r="AX2027" s="101">
        <f t="shared" si="569"/>
        <v>3.5586161785013442</v>
      </c>
      <c r="AY2027" s="94" t="s">
        <v>276</v>
      </c>
      <c r="AZ2027" s="94" t="s">
        <v>276</v>
      </c>
      <c r="BA2027" s="94" t="s">
        <v>276</v>
      </c>
      <c r="BB2027" s="94" t="s">
        <v>282</v>
      </c>
      <c r="BC2027" s="94" t="s">
        <v>98</v>
      </c>
      <c r="BD2027" s="94" t="s">
        <v>98</v>
      </c>
      <c r="BE2027" s="94" t="s">
        <v>98</v>
      </c>
      <c r="BF2027" s="346" t="s">
        <v>11169</v>
      </c>
      <c r="BG2027" s="95" t="s">
        <v>7118</v>
      </c>
      <c r="BH2027" s="9" t="s">
        <v>100</v>
      </c>
      <c r="BI2027" s="9" t="s">
        <v>100</v>
      </c>
      <c r="BJ2027" s="531"/>
      <c r="BN2027" s="531"/>
      <c r="BO2027" s="531"/>
    </row>
    <row r="2028" spans="1:67" s="534" customFormat="1" ht="65" hidden="1" x14ac:dyDescent="0.35">
      <c r="A2028" s="112">
        <v>7889</v>
      </c>
      <c r="B2028" s="112" t="s">
        <v>7112</v>
      </c>
      <c r="C2028" s="113" t="s">
        <v>59</v>
      </c>
      <c r="D2028" s="113" t="s">
        <v>7207</v>
      </c>
      <c r="E2028" s="112" t="s">
        <v>36</v>
      </c>
      <c r="F2028" s="112" t="s">
        <v>123</v>
      </c>
      <c r="G2028" s="112" t="s">
        <v>225</v>
      </c>
      <c r="H2028" s="112" t="s">
        <v>125</v>
      </c>
      <c r="I2028" s="112" t="s">
        <v>114</v>
      </c>
      <c r="J2028" s="113" t="s">
        <v>32</v>
      </c>
      <c r="K2028" s="112" t="s">
        <v>2345</v>
      </c>
      <c r="L2028" s="112" t="s">
        <v>276</v>
      </c>
      <c r="M2028" s="112" t="s">
        <v>276</v>
      </c>
      <c r="N2028" s="113" t="s">
        <v>7115</v>
      </c>
      <c r="O2028" s="113" t="s">
        <v>276</v>
      </c>
      <c r="P2028" s="113" t="s">
        <v>239</v>
      </c>
      <c r="Q2028" s="142" t="s">
        <v>98</v>
      </c>
      <c r="R2028" s="113" t="s">
        <v>7139</v>
      </c>
      <c r="S2028" s="113" t="s">
        <v>276</v>
      </c>
      <c r="T2028" s="113" t="s">
        <v>276</v>
      </c>
      <c r="U2028" s="113">
        <v>2</v>
      </c>
      <c r="V2028" s="112" t="s">
        <v>14</v>
      </c>
      <c r="W2028" s="113" t="s">
        <v>7080</v>
      </c>
      <c r="X2028" s="113" t="s">
        <v>207</v>
      </c>
      <c r="Y2028" s="118">
        <v>13759</v>
      </c>
      <c r="Z2028" s="119">
        <v>13744</v>
      </c>
      <c r="AA2028" s="113" t="s">
        <v>276</v>
      </c>
      <c r="AB2028" s="113" t="s">
        <v>276</v>
      </c>
      <c r="AC2028" s="112">
        <v>0</v>
      </c>
      <c r="AD2028" s="112" t="s">
        <v>968</v>
      </c>
      <c r="AE2028" s="112">
        <v>0</v>
      </c>
      <c r="AF2028" s="112" t="s">
        <v>968</v>
      </c>
      <c r="AG2028" s="113" t="s">
        <v>7208</v>
      </c>
      <c r="AH2028" s="113" t="s">
        <v>7094</v>
      </c>
      <c r="AI2028" s="119">
        <f>61+6+6+16</f>
        <v>89</v>
      </c>
      <c r="AJ2028" s="119">
        <f>20+12+14+13</f>
        <v>59</v>
      </c>
      <c r="AK2028" s="118">
        <v>13759</v>
      </c>
      <c r="AL2028" s="119">
        <v>13744</v>
      </c>
      <c r="AM2028" s="119" t="s">
        <v>2047</v>
      </c>
      <c r="AN2028" s="112" t="s">
        <v>276</v>
      </c>
      <c r="AO2028" s="207">
        <f t="shared" si="570"/>
        <v>6.4684933498073987</v>
      </c>
      <c r="AP2028" s="112" t="s">
        <v>276</v>
      </c>
      <c r="AQ2028" s="112" t="s">
        <v>276</v>
      </c>
      <c r="AR2028" s="112" t="s">
        <v>276</v>
      </c>
      <c r="AS2028" s="207">
        <f t="shared" si="568"/>
        <v>4.2927823050058205</v>
      </c>
      <c r="AT2028" s="112" t="s">
        <v>276</v>
      </c>
      <c r="AU2028" s="112" t="s">
        <v>276</v>
      </c>
      <c r="AV2028" s="112" t="s">
        <v>268</v>
      </c>
      <c r="AW2028" s="112" t="s">
        <v>276</v>
      </c>
      <c r="AX2028" s="207">
        <f t="shared" si="569"/>
        <v>1.5068300440636084</v>
      </c>
      <c r="AY2028" s="112" t="s">
        <v>276</v>
      </c>
      <c r="AZ2028" s="112" t="s">
        <v>276</v>
      </c>
      <c r="BA2028" s="112" t="s">
        <v>276</v>
      </c>
      <c r="BB2028" s="112" t="s">
        <v>282</v>
      </c>
      <c r="BC2028" s="112" t="s">
        <v>98</v>
      </c>
      <c r="BD2028" s="112" t="s">
        <v>98</v>
      </c>
      <c r="BE2028" s="112" t="s">
        <v>98</v>
      </c>
      <c r="BF2028" s="346" t="s">
        <v>11167</v>
      </c>
      <c r="BG2028" s="113" t="s">
        <v>7118</v>
      </c>
      <c r="BH2028" s="9" t="s">
        <v>100</v>
      </c>
      <c r="BI2028" s="9" t="s">
        <v>100</v>
      </c>
      <c r="BJ2028" s="533"/>
      <c r="BN2028" s="533"/>
      <c r="BO2028" s="533"/>
    </row>
    <row r="2029" spans="1:67" s="534" customFormat="1" ht="65" hidden="1" x14ac:dyDescent="0.35">
      <c r="A2029" s="112">
        <v>7889</v>
      </c>
      <c r="B2029" s="112" t="s">
        <v>7112</v>
      </c>
      <c r="C2029" s="113" t="s">
        <v>59</v>
      </c>
      <c r="D2029" s="113" t="s">
        <v>7209</v>
      </c>
      <c r="E2029" s="112" t="s">
        <v>36</v>
      </c>
      <c r="F2029" s="112" t="s">
        <v>123</v>
      </c>
      <c r="G2029" s="112" t="s">
        <v>225</v>
      </c>
      <c r="H2029" s="112" t="s">
        <v>125</v>
      </c>
      <c r="I2029" s="112" t="s">
        <v>114</v>
      </c>
      <c r="J2029" s="113" t="s">
        <v>32</v>
      </c>
      <c r="K2029" s="112" t="s">
        <v>7196</v>
      </c>
      <c r="L2029" s="112" t="s">
        <v>276</v>
      </c>
      <c r="M2029" s="112" t="s">
        <v>276</v>
      </c>
      <c r="N2029" s="113" t="s">
        <v>7115</v>
      </c>
      <c r="O2029" s="113" t="s">
        <v>276</v>
      </c>
      <c r="P2029" s="113" t="s">
        <v>239</v>
      </c>
      <c r="Q2029" s="142" t="s">
        <v>98</v>
      </c>
      <c r="R2029" s="113" t="s">
        <v>7139</v>
      </c>
      <c r="S2029" s="113" t="s">
        <v>276</v>
      </c>
      <c r="T2029" s="113" t="s">
        <v>276</v>
      </c>
      <c r="U2029" s="113">
        <v>2</v>
      </c>
      <c r="V2029" s="112" t="s">
        <v>14</v>
      </c>
      <c r="W2029" s="113" t="s">
        <v>7080</v>
      </c>
      <c r="X2029" s="113" t="s">
        <v>207</v>
      </c>
      <c r="Y2029" s="118">
        <v>13759</v>
      </c>
      <c r="Z2029" s="119">
        <v>13744</v>
      </c>
      <c r="AA2029" s="113" t="s">
        <v>276</v>
      </c>
      <c r="AB2029" s="113" t="s">
        <v>276</v>
      </c>
      <c r="AC2029" s="112">
        <v>0</v>
      </c>
      <c r="AD2029" s="112" t="s">
        <v>968</v>
      </c>
      <c r="AE2029" s="112">
        <v>0</v>
      </c>
      <c r="AF2029" s="112" t="s">
        <v>968</v>
      </c>
      <c r="AG2029" s="113" t="s">
        <v>7210</v>
      </c>
      <c r="AH2029" s="113" t="s">
        <v>7094</v>
      </c>
      <c r="AI2029" s="119">
        <f>162+12+9+13</f>
        <v>196</v>
      </c>
      <c r="AJ2029" s="119">
        <f>24+15+18+14</f>
        <v>71</v>
      </c>
      <c r="AK2029" s="118">
        <v>13759</v>
      </c>
      <c r="AL2029" s="119">
        <v>13744</v>
      </c>
      <c r="AM2029" s="119" t="s">
        <v>2047</v>
      </c>
      <c r="AN2029" s="112" t="s">
        <v>276</v>
      </c>
      <c r="AO2029" s="207">
        <f t="shared" si="570"/>
        <v>14.245221309688205</v>
      </c>
      <c r="AP2029" s="112" t="s">
        <v>276</v>
      </c>
      <c r="AQ2029" s="112" t="s">
        <v>276</v>
      </c>
      <c r="AR2029" s="112" t="s">
        <v>276</v>
      </c>
      <c r="AS2029" s="207">
        <f t="shared" si="568"/>
        <v>5.1658905704307339</v>
      </c>
      <c r="AT2029" s="112" t="s">
        <v>276</v>
      </c>
      <c r="AU2029" s="112" t="s">
        <v>276</v>
      </c>
      <c r="AV2029" s="112" t="s">
        <v>268</v>
      </c>
      <c r="AW2029" s="112" t="s">
        <v>276</v>
      </c>
      <c r="AX2029" s="207">
        <f t="shared" si="569"/>
        <v>2.7575538264838686</v>
      </c>
      <c r="AY2029" s="112" t="s">
        <v>276</v>
      </c>
      <c r="AZ2029" s="112" t="s">
        <v>276</v>
      </c>
      <c r="BA2029" s="112" t="s">
        <v>276</v>
      </c>
      <c r="BB2029" s="112" t="s">
        <v>282</v>
      </c>
      <c r="BC2029" s="112" t="s">
        <v>98</v>
      </c>
      <c r="BD2029" s="112" t="s">
        <v>98</v>
      </c>
      <c r="BE2029" s="112" t="s">
        <v>98</v>
      </c>
      <c r="BF2029" s="346" t="s">
        <v>11169</v>
      </c>
      <c r="BG2029" s="113" t="s">
        <v>7118</v>
      </c>
      <c r="BH2029" s="9" t="s">
        <v>100</v>
      </c>
      <c r="BI2029" s="9" t="s">
        <v>100</v>
      </c>
      <c r="BJ2029" s="533"/>
      <c r="BN2029" s="533"/>
      <c r="BO2029" s="533"/>
    </row>
    <row r="2030" spans="1:67" s="534" customFormat="1" ht="65" hidden="1" x14ac:dyDescent="0.35">
      <c r="A2030" s="112">
        <v>7889</v>
      </c>
      <c r="B2030" s="112" t="s">
        <v>7112</v>
      </c>
      <c r="C2030" s="113" t="s">
        <v>59</v>
      </c>
      <c r="D2030" s="113" t="s">
        <v>7211</v>
      </c>
      <c r="E2030" s="112" t="s">
        <v>36</v>
      </c>
      <c r="F2030" s="112" t="s">
        <v>123</v>
      </c>
      <c r="G2030" s="112" t="s">
        <v>225</v>
      </c>
      <c r="H2030" s="112" t="s">
        <v>125</v>
      </c>
      <c r="I2030" s="112" t="s">
        <v>114</v>
      </c>
      <c r="J2030" s="346" t="s">
        <v>11166</v>
      </c>
      <c r="K2030" s="112" t="s">
        <v>7199</v>
      </c>
      <c r="L2030" s="112" t="s">
        <v>276</v>
      </c>
      <c r="M2030" s="112" t="s">
        <v>276</v>
      </c>
      <c r="N2030" s="113" t="s">
        <v>7115</v>
      </c>
      <c r="O2030" s="113" t="s">
        <v>276</v>
      </c>
      <c r="P2030" s="113" t="s">
        <v>239</v>
      </c>
      <c r="Q2030" s="142" t="s">
        <v>98</v>
      </c>
      <c r="R2030" s="113" t="s">
        <v>7139</v>
      </c>
      <c r="S2030" s="113" t="s">
        <v>276</v>
      </c>
      <c r="T2030" s="113" t="s">
        <v>276</v>
      </c>
      <c r="U2030" s="113">
        <v>2</v>
      </c>
      <c r="V2030" s="112" t="s">
        <v>14</v>
      </c>
      <c r="W2030" s="113" t="s">
        <v>7080</v>
      </c>
      <c r="X2030" s="113" t="s">
        <v>207</v>
      </c>
      <c r="Y2030" s="118">
        <v>13759</v>
      </c>
      <c r="Z2030" s="119">
        <v>13744</v>
      </c>
      <c r="AA2030" s="113" t="s">
        <v>276</v>
      </c>
      <c r="AB2030" s="113" t="s">
        <v>276</v>
      </c>
      <c r="AC2030" s="112">
        <v>0</v>
      </c>
      <c r="AD2030" s="112" t="s">
        <v>968</v>
      </c>
      <c r="AE2030" s="112">
        <v>0</v>
      </c>
      <c r="AF2030" s="112" t="s">
        <v>968</v>
      </c>
      <c r="AG2030" s="113" t="s">
        <v>7212</v>
      </c>
      <c r="AH2030" s="113" t="s">
        <v>7094</v>
      </c>
      <c r="AI2030" s="119">
        <f>104+4+6+9</f>
        <v>123</v>
      </c>
      <c r="AJ2030" s="119">
        <f>11+10+11+8</f>
        <v>40</v>
      </c>
      <c r="AK2030" s="118">
        <v>13759</v>
      </c>
      <c r="AL2030" s="119">
        <v>13744</v>
      </c>
      <c r="AM2030" s="119" t="s">
        <v>2047</v>
      </c>
      <c r="AN2030" s="112" t="s">
        <v>276</v>
      </c>
      <c r="AO2030" s="207">
        <f t="shared" si="570"/>
        <v>8.9396031688349442</v>
      </c>
      <c r="AP2030" s="112" t="s">
        <v>276</v>
      </c>
      <c r="AQ2030" s="112" t="s">
        <v>276</v>
      </c>
      <c r="AR2030" s="112" t="s">
        <v>276</v>
      </c>
      <c r="AS2030" s="207">
        <f t="shared" si="568"/>
        <v>2.9103608847497089</v>
      </c>
      <c r="AT2030" s="112" t="s">
        <v>276</v>
      </c>
      <c r="AU2030" s="112" t="s">
        <v>276</v>
      </c>
      <c r="AV2030" s="112" t="s">
        <v>268</v>
      </c>
      <c r="AW2030" s="112" t="s">
        <v>276</v>
      </c>
      <c r="AX2030" s="207">
        <f t="shared" si="569"/>
        <v>3.0716476488116871</v>
      </c>
      <c r="AY2030" s="112" t="s">
        <v>276</v>
      </c>
      <c r="AZ2030" s="112" t="s">
        <v>276</v>
      </c>
      <c r="BA2030" s="112" t="s">
        <v>276</v>
      </c>
      <c r="BB2030" s="112" t="s">
        <v>282</v>
      </c>
      <c r="BC2030" s="112" t="s">
        <v>98</v>
      </c>
      <c r="BD2030" s="112" t="s">
        <v>98</v>
      </c>
      <c r="BE2030" s="112" t="s">
        <v>98</v>
      </c>
      <c r="BF2030" s="346" t="s">
        <v>11169</v>
      </c>
      <c r="BG2030" s="113" t="s">
        <v>7118</v>
      </c>
      <c r="BH2030" s="9" t="s">
        <v>100</v>
      </c>
      <c r="BI2030" s="9" t="s">
        <v>100</v>
      </c>
      <c r="BJ2030" s="533"/>
      <c r="BN2030" s="533"/>
      <c r="BO2030" s="533"/>
    </row>
    <row r="2031" spans="1:67" s="532" customFormat="1" ht="65" hidden="1" x14ac:dyDescent="0.35">
      <c r="A2031" s="94">
        <v>7889</v>
      </c>
      <c r="B2031" s="94" t="s">
        <v>7112</v>
      </c>
      <c r="C2031" s="95" t="s">
        <v>59</v>
      </c>
      <c r="D2031" s="95" t="s">
        <v>7213</v>
      </c>
      <c r="E2031" s="94" t="s">
        <v>36</v>
      </c>
      <c r="F2031" s="94" t="s">
        <v>123</v>
      </c>
      <c r="G2031" s="94" t="s">
        <v>225</v>
      </c>
      <c r="H2031" s="94" t="s">
        <v>125</v>
      </c>
      <c r="I2031" s="94" t="s">
        <v>114</v>
      </c>
      <c r="J2031" s="95" t="s">
        <v>32</v>
      </c>
      <c r="K2031" s="94" t="s">
        <v>2345</v>
      </c>
      <c r="L2031" s="94" t="s">
        <v>276</v>
      </c>
      <c r="M2031" s="94" t="s">
        <v>276</v>
      </c>
      <c r="N2031" s="95" t="s">
        <v>7115</v>
      </c>
      <c r="O2031" s="95" t="s">
        <v>276</v>
      </c>
      <c r="P2031" s="95" t="s">
        <v>239</v>
      </c>
      <c r="Q2031" s="140" t="s">
        <v>98</v>
      </c>
      <c r="R2031" s="95" t="s">
        <v>7150</v>
      </c>
      <c r="S2031" s="95" t="s">
        <v>276</v>
      </c>
      <c r="T2031" s="95" t="s">
        <v>276</v>
      </c>
      <c r="U2031" s="95">
        <v>2</v>
      </c>
      <c r="V2031" s="94" t="s">
        <v>14</v>
      </c>
      <c r="W2031" s="95" t="s">
        <v>7080</v>
      </c>
      <c r="X2031" s="95" t="s">
        <v>207</v>
      </c>
      <c r="Y2031" s="98">
        <v>13759</v>
      </c>
      <c r="Z2031" s="99">
        <v>13744</v>
      </c>
      <c r="AA2031" s="95" t="s">
        <v>276</v>
      </c>
      <c r="AB2031" s="95" t="s">
        <v>276</v>
      </c>
      <c r="AC2031" s="94">
        <v>0</v>
      </c>
      <c r="AD2031" s="94" t="s">
        <v>968</v>
      </c>
      <c r="AE2031" s="94">
        <v>0</v>
      </c>
      <c r="AF2031" s="94" t="s">
        <v>968</v>
      </c>
      <c r="AG2031" s="95" t="s">
        <v>7214</v>
      </c>
      <c r="AH2031" s="95" t="s">
        <v>7094</v>
      </c>
      <c r="AI2031" s="99">
        <f>61+6+6+16+17</f>
        <v>106</v>
      </c>
      <c r="AJ2031" s="99">
        <f>20+12+14+13+16</f>
        <v>75</v>
      </c>
      <c r="AK2031" s="98">
        <v>13759</v>
      </c>
      <c r="AL2031" s="99">
        <v>13744</v>
      </c>
      <c r="AM2031" s="99" t="s">
        <v>2047</v>
      </c>
      <c r="AN2031" s="94" t="s">
        <v>276</v>
      </c>
      <c r="AO2031" s="101">
        <f t="shared" si="570"/>
        <v>7.7040482593211719</v>
      </c>
      <c r="AP2031" s="94" t="s">
        <v>276</v>
      </c>
      <c r="AQ2031" s="94" t="s">
        <v>276</v>
      </c>
      <c r="AR2031" s="94" t="s">
        <v>276</v>
      </c>
      <c r="AS2031" s="101">
        <f t="shared" si="568"/>
        <v>5.4569266589057044</v>
      </c>
      <c r="AT2031" s="94" t="s">
        <v>276</v>
      </c>
      <c r="AU2031" s="94" t="s">
        <v>276</v>
      </c>
      <c r="AV2031" s="94" t="s">
        <v>268</v>
      </c>
      <c r="AW2031" s="94" t="s">
        <v>276</v>
      </c>
      <c r="AX2031" s="101">
        <f t="shared" si="569"/>
        <v>1.4117925236814692</v>
      </c>
      <c r="AY2031" s="94" t="s">
        <v>276</v>
      </c>
      <c r="AZ2031" s="94" t="s">
        <v>276</v>
      </c>
      <c r="BA2031" s="94" t="s">
        <v>276</v>
      </c>
      <c r="BB2031" s="94" t="s">
        <v>282</v>
      </c>
      <c r="BC2031" s="94" t="s">
        <v>98</v>
      </c>
      <c r="BD2031" s="94" t="s">
        <v>98</v>
      </c>
      <c r="BE2031" s="94" t="s">
        <v>98</v>
      </c>
      <c r="BF2031" s="346" t="s">
        <v>11167</v>
      </c>
      <c r="BG2031" s="95" t="s">
        <v>7118</v>
      </c>
      <c r="BH2031" s="9" t="s">
        <v>100</v>
      </c>
      <c r="BI2031" s="9" t="s">
        <v>100</v>
      </c>
      <c r="BJ2031" s="531"/>
      <c r="BN2031" s="531"/>
      <c r="BO2031" s="531"/>
    </row>
    <row r="2032" spans="1:67" s="532" customFormat="1" ht="65" hidden="1" x14ac:dyDescent="0.35">
      <c r="A2032" s="94">
        <v>7889</v>
      </c>
      <c r="B2032" s="94" t="s">
        <v>7112</v>
      </c>
      <c r="C2032" s="95" t="s">
        <v>59</v>
      </c>
      <c r="D2032" s="95" t="s">
        <v>7215</v>
      </c>
      <c r="E2032" s="94" t="s">
        <v>36</v>
      </c>
      <c r="F2032" s="94" t="s">
        <v>123</v>
      </c>
      <c r="G2032" s="94" t="s">
        <v>225</v>
      </c>
      <c r="H2032" s="94" t="s">
        <v>125</v>
      </c>
      <c r="I2032" s="94" t="s">
        <v>114</v>
      </c>
      <c r="J2032" s="95" t="s">
        <v>32</v>
      </c>
      <c r="K2032" s="94" t="s">
        <v>7196</v>
      </c>
      <c r="L2032" s="94" t="s">
        <v>276</v>
      </c>
      <c r="M2032" s="94" t="s">
        <v>276</v>
      </c>
      <c r="N2032" s="95" t="s">
        <v>7115</v>
      </c>
      <c r="O2032" s="95" t="s">
        <v>276</v>
      </c>
      <c r="P2032" s="95" t="s">
        <v>239</v>
      </c>
      <c r="Q2032" s="140" t="s">
        <v>98</v>
      </c>
      <c r="R2032" s="95" t="s">
        <v>7150</v>
      </c>
      <c r="S2032" s="95" t="s">
        <v>276</v>
      </c>
      <c r="T2032" s="95" t="s">
        <v>276</v>
      </c>
      <c r="U2032" s="95">
        <v>2</v>
      </c>
      <c r="V2032" s="94" t="s">
        <v>14</v>
      </c>
      <c r="W2032" s="95" t="s">
        <v>7080</v>
      </c>
      <c r="X2032" s="95" t="s">
        <v>207</v>
      </c>
      <c r="Y2032" s="98">
        <v>13759</v>
      </c>
      <c r="Z2032" s="99">
        <v>13744</v>
      </c>
      <c r="AA2032" s="95" t="s">
        <v>276</v>
      </c>
      <c r="AB2032" s="95" t="s">
        <v>276</v>
      </c>
      <c r="AC2032" s="94">
        <v>0</v>
      </c>
      <c r="AD2032" s="94" t="s">
        <v>968</v>
      </c>
      <c r="AE2032" s="94">
        <v>0</v>
      </c>
      <c r="AF2032" s="94" t="s">
        <v>968</v>
      </c>
      <c r="AG2032" s="95" t="s">
        <v>7216</v>
      </c>
      <c r="AH2032" s="95" t="s">
        <v>7094</v>
      </c>
      <c r="AI2032" s="99">
        <f>162+12+9+13+11</f>
        <v>207</v>
      </c>
      <c r="AJ2032" s="99">
        <f>24+15+18+14+7</f>
        <v>78</v>
      </c>
      <c r="AK2032" s="98">
        <v>13759</v>
      </c>
      <c r="AL2032" s="99">
        <v>13744</v>
      </c>
      <c r="AM2032" s="99" t="s">
        <v>2047</v>
      </c>
      <c r="AN2032" s="94" t="s">
        <v>276</v>
      </c>
      <c r="AO2032" s="101">
        <f t="shared" si="570"/>
        <v>15.044698015844174</v>
      </c>
      <c r="AP2032" s="94" t="s">
        <v>276</v>
      </c>
      <c r="AQ2032" s="94" t="s">
        <v>276</v>
      </c>
      <c r="AR2032" s="94" t="s">
        <v>276</v>
      </c>
      <c r="AS2032" s="101">
        <f t="shared" si="568"/>
        <v>5.6752037252619321</v>
      </c>
      <c r="AT2032" s="94" t="s">
        <v>276</v>
      </c>
      <c r="AU2032" s="94" t="s">
        <v>276</v>
      </c>
      <c r="AV2032" s="94" t="s">
        <v>268</v>
      </c>
      <c r="AW2032" s="94" t="s">
        <v>276</v>
      </c>
      <c r="AX2032" s="101">
        <f t="shared" si="569"/>
        <v>2.6509529426892611</v>
      </c>
      <c r="AY2032" s="94" t="s">
        <v>276</v>
      </c>
      <c r="AZ2032" s="94" t="s">
        <v>276</v>
      </c>
      <c r="BA2032" s="94" t="s">
        <v>276</v>
      </c>
      <c r="BB2032" s="94" t="s">
        <v>282</v>
      </c>
      <c r="BC2032" s="94" t="s">
        <v>98</v>
      </c>
      <c r="BD2032" s="94" t="s">
        <v>98</v>
      </c>
      <c r="BE2032" s="94" t="s">
        <v>98</v>
      </c>
      <c r="BF2032" s="346" t="s">
        <v>11169</v>
      </c>
      <c r="BG2032" s="95" t="s">
        <v>7118</v>
      </c>
      <c r="BH2032" s="9" t="s">
        <v>100</v>
      </c>
      <c r="BI2032" s="9" t="s">
        <v>100</v>
      </c>
      <c r="BJ2032" s="531"/>
      <c r="BN2032" s="531"/>
      <c r="BO2032" s="531"/>
    </row>
    <row r="2033" spans="1:67" s="532" customFormat="1" ht="65" hidden="1" x14ac:dyDescent="0.35">
      <c r="A2033" s="94">
        <v>7889</v>
      </c>
      <c r="B2033" s="94" t="s">
        <v>7112</v>
      </c>
      <c r="C2033" s="95" t="s">
        <v>59</v>
      </c>
      <c r="D2033" s="95" t="s">
        <v>7217</v>
      </c>
      <c r="E2033" s="94" t="s">
        <v>36</v>
      </c>
      <c r="F2033" s="94" t="s">
        <v>123</v>
      </c>
      <c r="G2033" s="94" t="s">
        <v>225</v>
      </c>
      <c r="H2033" s="94" t="s">
        <v>125</v>
      </c>
      <c r="I2033" s="94" t="s">
        <v>114</v>
      </c>
      <c r="J2033" s="346" t="s">
        <v>11166</v>
      </c>
      <c r="K2033" s="94" t="s">
        <v>7199</v>
      </c>
      <c r="L2033" s="94" t="s">
        <v>276</v>
      </c>
      <c r="M2033" s="94" t="s">
        <v>276</v>
      </c>
      <c r="N2033" s="95" t="s">
        <v>7115</v>
      </c>
      <c r="O2033" s="95" t="s">
        <v>276</v>
      </c>
      <c r="P2033" s="95" t="s">
        <v>239</v>
      </c>
      <c r="Q2033" s="140" t="s">
        <v>98</v>
      </c>
      <c r="R2033" s="95" t="s">
        <v>7150</v>
      </c>
      <c r="S2033" s="95" t="s">
        <v>276</v>
      </c>
      <c r="T2033" s="95" t="s">
        <v>276</v>
      </c>
      <c r="U2033" s="95">
        <v>2</v>
      </c>
      <c r="V2033" s="94" t="s">
        <v>14</v>
      </c>
      <c r="W2033" s="95" t="s">
        <v>7080</v>
      </c>
      <c r="X2033" s="95" t="s">
        <v>207</v>
      </c>
      <c r="Y2033" s="98">
        <v>13759</v>
      </c>
      <c r="Z2033" s="99">
        <v>13744</v>
      </c>
      <c r="AA2033" s="95" t="s">
        <v>276</v>
      </c>
      <c r="AB2033" s="95" t="s">
        <v>276</v>
      </c>
      <c r="AC2033" s="94">
        <v>0</v>
      </c>
      <c r="AD2033" s="94" t="s">
        <v>968</v>
      </c>
      <c r="AE2033" s="94">
        <v>0</v>
      </c>
      <c r="AF2033" s="94" t="s">
        <v>968</v>
      </c>
      <c r="AG2033" s="95" t="s">
        <v>7218</v>
      </c>
      <c r="AH2033" s="95" t="s">
        <v>7094</v>
      </c>
      <c r="AI2033" s="99">
        <f>104+4+6+9+5</f>
        <v>128</v>
      </c>
      <c r="AJ2033" s="99">
        <f>11+10+11+8+5</f>
        <v>45</v>
      </c>
      <c r="AK2033" s="98">
        <v>13759</v>
      </c>
      <c r="AL2033" s="99">
        <v>13744</v>
      </c>
      <c r="AM2033" s="99" t="s">
        <v>2047</v>
      </c>
      <c r="AN2033" s="94" t="s">
        <v>276</v>
      </c>
      <c r="AO2033" s="101">
        <f t="shared" si="570"/>
        <v>9.3030016716331136</v>
      </c>
      <c r="AP2033" s="94" t="s">
        <v>276</v>
      </c>
      <c r="AQ2033" s="94" t="s">
        <v>276</v>
      </c>
      <c r="AR2033" s="94" t="s">
        <v>276</v>
      </c>
      <c r="AS2033" s="101">
        <f t="shared" si="568"/>
        <v>3.2741559953434227</v>
      </c>
      <c r="AT2033" s="94" t="s">
        <v>276</v>
      </c>
      <c r="AU2033" s="94" t="s">
        <v>276</v>
      </c>
      <c r="AV2033" s="94" t="s">
        <v>268</v>
      </c>
      <c r="AW2033" s="94" t="s">
        <v>276</v>
      </c>
      <c r="AX2033" s="101">
        <f t="shared" si="569"/>
        <v>2.8413434438872334</v>
      </c>
      <c r="AY2033" s="94" t="s">
        <v>276</v>
      </c>
      <c r="AZ2033" s="94" t="s">
        <v>276</v>
      </c>
      <c r="BA2033" s="94" t="s">
        <v>276</v>
      </c>
      <c r="BB2033" s="94" t="s">
        <v>282</v>
      </c>
      <c r="BC2033" s="94" t="s">
        <v>98</v>
      </c>
      <c r="BD2033" s="94" t="s">
        <v>98</v>
      </c>
      <c r="BE2033" s="94" t="s">
        <v>98</v>
      </c>
      <c r="BF2033" s="346" t="s">
        <v>11169</v>
      </c>
      <c r="BG2033" s="95" t="s">
        <v>7118</v>
      </c>
      <c r="BH2033" s="9" t="s">
        <v>100</v>
      </c>
      <c r="BI2033" s="9" t="s">
        <v>100</v>
      </c>
      <c r="BJ2033" s="531"/>
      <c r="BN2033" s="531"/>
      <c r="BO2033" s="531"/>
    </row>
    <row r="2034" spans="1:67" s="534" customFormat="1" ht="65" hidden="1" x14ac:dyDescent="0.35">
      <c r="A2034" s="112">
        <v>7889</v>
      </c>
      <c r="B2034" s="112" t="s">
        <v>7112</v>
      </c>
      <c r="C2034" s="113" t="s">
        <v>59</v>
      </c>
      <c r="D2034" s="113" t="s">
        <v>7219</v>
      </c>
      <c r="E2034" s="112" t="s">
        <v>36</v>
      </c>
      <c r="F2034" s="112" t="s">
        <v>123</v>
      </c>
      <c r="G2034" s="112" t="s">
        <v>225</v>
      </c>
      <c r="H2034" s="112" t="s">
        <v>125</v>
      </c>
      <c r="I2034" s="112" t="s">
        <v>114</v>
      </c>
      <c r="J2034" s="113" t="s">
        <v>32</v>
      </c>
      <c r="K2034" s="112" t="s">
        <v>2345</v>
      </c>
      <c r="L2034" s="112" t="s">
        <v>276</v>
      </c>
      <c r="M2034" s="112" t="s">
        <v>276</v>
      </c>
      <c r="N2034" s="113" t="s">
        <v>7115</v>
      </c>
      <c r="O2034" s="113" t="s">
        <v>276</v>
      </c>
      <c r="P2034" s="113" t="s">
        <v>239</v>
      </c>
      <c r="Q2034" s="142" t="s">
        <v>98</v>
      </c>
      <c r="R2034" s="113" t="s">
        <v>7161</v>
      </c>
      <c r="S2034" s="113" t="s">
        <v>276</v>
      </c>
      <c r="T2034" s="113" t="s">
        <v>276</v>
      </c>
      <c r="U2034" s="113">
        <v>2</v>
      </c>
      <c r="V2034" s="112" t="s">
        <v>14</v>
      </c>
      <c r="W2034" s="113" t="s">
        <v>7080</v>
      </c>
      <c r="X2034" s="113" t="s">
        <v>207</v>
      </c>
      <c r="Y2034" s="118">
        <v>13759</v>
      </c>
      <c r="Z2034" s="119">
        <v>13744</v>
      </c>
      <c r="AA2034" s="113" t="s">
        <v>276</v>
      </c>
      <c r="AB2034" s="113" t="s">
        <v>276</v>
      </c>
      <c r="AC2034" s="112">
        <v>0</v>
      </c>
      <c r="AD2034" s="112" t="s">
        <v>968</v>
      </c>
      <c r="AE2034" s="112">
        <v>0</v>
      </c>
      <c r="AF2034" s="112" t="s">
        <v>968</v>
      </c>
      <c r="AG2034" s="113" t="s">
        <v>7220</v>
      </c>
      <c r="AH2034" s="113" t="s">
        <v>7094</v>
      </c>
      <c r="AI2034" s="119">
        <f>61+6+6+16+17+17</f>
        <v>123</v>
      </c>
      <c r="AJ2034" s="119">
        <f>20+12+14+13+16+25</f>
        <v>100</v>
      </c>
      <c r="AK2034" s="118">
        <v>13759</v>
      </c>
      <c r="AL2034" s="119">
        <v>13744</v>
      </c>
      <c r="AM2034" s="119" t="s">
        <v>2047</v>
      </c>
      <c r="AN2034" s="112" t="s">
        <v>276</v>
      </c>
      <c r="AO2034" s="207">
        <f t="shared" si="570"/>
        <v>8.9396031688349442</v>
      </c>
      <c r="AP2034" s="112" t="s">
        <v>276</v>
      </c>
      <c r="AQ2034" s="112" t="s">
        <v>276</v>
      </c>
      <c r="AR2034" s="112" t="s">
        <v>276</v>
      </c>
      <c r="AS2034" s="207">
        <f t="shared" si="568"/>
        <v>7.2759022118742722</v>
      </c>
      <c r="AT2034" s="112" t="s">
        <v>276</v>
      </c>
      <c r="AU2034" s="112" t="s">
        <v>276</v>
      </c>
      <c r="AV2034" s="112" t="s">
        <v>268</v>
      </c>
      <c r="AW2034" s="112" t="s">
        <v>276</v>
      </c>
      <c r="AX2034" s="207">
        <f t="shared" si="569"/>
        <v>1.2286590595246747</v>
      </c>
      <c r="AY2034" s="112" t="s">
        <v>276</v>
      </c>
      <c r="AZ2034" s="112" t="s">
        <v>276</v>
      </c>
      <c r="BA2034" s="112" t="s">
        <v>276</v>
      </c>
      <c r="BB2034" s="112" t="s">
        <v>282</v>
      </c>
      <c r="BC2034" s="112" t="s">
        <v>98</v>
      </c>
      <c r="BD2034" s="112" t="s">
        <v>98</v>
      </c>
      <c r="BE2034" s="112" t="s">
        <v>98</v>
      </c>
      <c r="BF2034" s="346" t="s">
        <v>11167</v>
      </c>
      <c r="BG2034" s="113" t="s">
        <v>7118</v>
      </c>
      <c r="BH2034" s="9" t="s">
        <v>100</v>
      </c>
      <c r="BI2034" s="9" t="s">
        <v>100</v>
      </c>
      <c r="BJ2034" s="533"/>
      <c r="BN2034" s="533"/>
      <c r="BO2034" s="533"/>
    </row>
    <row r="2035" spans="1:67" s="534" customFormat="1" ht="65" hidden="1" x14ac:dyDescent="0.35">
      <c r="A2035" s="112">
        <v>7889</v>
      </c>
      <c r="B2035" s="112" t="s">
        <v>7112</v>
      </c>
      <c r="C2035" s="113" t="s">
        <v>59</v>
      </c>
      <c r="D2035" s="113" t="s">
        <v>7221</v>
      </c>
      <c r="E2035" s="112" t="s">
        <v>36</v>
      </c>
      <c r="F2035" s="112" t="s">
        <v>123</v>
      </c>
      <c r="G2035" s="112" t="s">
        <v>225</v>
      </c>
      <c r="H2035" s="112" t="s">
        <v>125</v>
      </c>
      <c r="I2035" s="112" t="s">
        <v>114</v>
      </c>
      <c r="J2035" s="113" t="s">
        <v>32</v>
      </c>
      <c r="K2035" s="112" t="s">
        <v>7196</v>
      </c>
      <c r="L2035" s="112" t="s">
        <v>276</v>
      </c>
      <c r="M2035" s="112" t="s">
        <v>276</v>
      </c>
      <c r="N2035" s="113" t="s">
        <v>7115</v>
      </c>
      <c r="O2035" s="113" t="s">
        <v>276</v>
      </c>
      <c r="P2035" s="113" t="s">
        <v>239</v>
      </c>
      <c r="Q2035" s="142" t="s">
        <v>98</v>
      </c>
      <c r="R2035" s="113" t="s">
        <v>7161</v>
      </c>
      <c r="S2035" s="113" t="s">
        <v>276</v>
      </c>
      <c r="T2035" s="113" t="s">
        <v>276</v>
      </c>
      <c r="U2035" s="113">
        <v>2</v>
      </c>
      <c r="V2035" s="112" t="s">
        <v>14</v>
      </c>
      <c r="W2035" s="113" t="s">
        <v>7080</v>
      </c>
      <c r="X2035" s="113" t="s">
        <v>207</v>
      </c>
      <c r="Y2035" s="118">
        <v>13759</v>
      </c>
      <c r="Z2035" s="119">
        <v>13744</v>
      </c>
      <c r="AA2035" s="113" t="s">
        <v>276</v>
      </c>
      <c r="AB2035" s="113" t="s">
        <v>276</v>
      </c>
      <c r="AC2035" s="112">
        <v>0</v>
      </c>
      <c r="AD2035" s="112" t="s">
        <v>968</v>
      </c>
      <c r="AE2035" s="112">
        <v>0</v>
      </c>
      <c r="AF2035" s="112" t="s">
        <v>968</v>
      </c>
      <c r="AG2035" s="113" t="s">
        <v>7222</v>
      </c>
      <c r="AH2035" s="113" t="s">
        <v>7094</v>
      </c>
      <c r="AI2035" s="119">
        <f>162+12+9+13+11+13</f>
        <v>220</v>
      </c>
      <c r="AJ2035" s="119">
        <f>24+15+18+14+7+16</f>
        <v>94</v>
      </c>
      <c r="AK2035" s="118">
        <v>13759</v>
      </c>
      <c r="AL2035" s="119">
        <v>13744</v>
      </c>
      <c r="AM2035" s="119" t="s">
        <v>2047</v>
      </c>
      <c r="AN2035" s="112" t="s">
        <v>276</v>
      </c>
      <c r="AO2035" s="207">
        <f t="shared" si="570"/>
        <v>15.989534123119412</v>
      </c>
      <c r="AP2035" s="112" t="s">
        <v>276</v>
      </c>
      <c r="AQ2035" s="112" t="s">
        <v>276</v>
      </c>
      <c r="AR2035" s="112" t="s">
        <v>276</v>
      </c>
      <c r="AS2035" s="207">
        <f t="shared" si="568"/>
        <v>6.839348079161816</v>
      </c>
      <c r="AT2035" s="112" t="s">
        <v>276</v>
      </c>
      <c r="AU2035" s="112" t="s">
        <v>276</v>
      </c>
      <c r="AV2035" s="112" t="s">
        <v>268</v>
      </c>
      <c r="AW2035" s="112" t="s">
        <v>276</v>
      </c>
      <c r="AX2035" s="207">
        <f t="shared" si="569"/>
        <v>2.3378740105122682</v>
      </c>
      <c r="AY2035" s="112" t="s">
        <v>276</v>
      </c>
      <c r="AZ2035" s="112" t="s">
        <v>276</v>
      </c>
      <c r="BA2035" s="112" t="s">
        <v>276</v>
      </c>
      <c r="BB2035" s="112" t="s">
        <v>282</v>
      </c>
      <c r="BC2035" s="112" t="s">
        <v>98</v>
      </c>
      <c r="BD2035" s="112" t="s">
        <v>98</v>
      </c>
      <c r="BE2035" s="112" t="s">
        <v>98</v>
      </c>
      <c r="BF2035" s="346" t="s">
        <v>11169</v>
      </c>
      <c r="BG2035" s="113" t="s">
        <v>7118</v>
      </c>
      <c r="BH2035" s="9" t="s">
        <v>100</v>
      </c>
      <c r="BI2035" s="9" t="s">
        <v>100</v>
      </c>
      <c r="BJ2035" s="533"/>
      <c r="BN2035" s="533"/>
      <c r="BO2035" s="533"/>
    </row>
    <row r="2036" spans="1:67" s="534" customFormat="1" ht="65" hidden="1" x14ac:dyDescent="0.35">
      <c r="A2036" s="112">
        <v>7889</v>
      </c>
      <c r="B2036" s="112" t="s">
        <v>7112</v>
      </c>
      <c r="C2036" s="113" t="s">
        <v>59</v>
      </c>
      <c r="D2036" s="113" t="s">
        <v>7223</v>
      </c>
      <c r="E2036" s="112" t="s">
        <v>36</v>
      </c>
      <c r="F2036" s="112" t="s">
        <v>123</v>
      </c>
      <c r="G2036" s="112" t="s">
        <v>225</v>
      </c>
      <c r="H2036" s="112" t="s">
        <v>125</v>
      </c>
      <c r="I2036" s="112" t="s">
        <v>114</v>
      </c>
      <c r="J2036" s="346" t="s">
        <v>11166</v>
      </c>
      <c r="K2036" s="112" t="s">
        <v>7199</v>
      </c>
      <c r="L2036" s="112" t="s">
        <v>276</v>
      </c>
      <c r="M2036" s="112" t="s">
        <v>276</v>
      </c>
      <c r="N2036" s="113" t="s">
        <v>7115</v>
      </c>
      <c r="O2036" s="113" t="s">
        <v>276</v>
      </c>
      <c r="P2036" s="113" t="s">
        <v>239</v>
      </c>
      <c r="Q2036" s="142" t="s">
        <v>98</v>
      </c>
      <c r="R2036" s="113" t="s">
        <v>7161</v>
      </c>
      <c r="S2036" s="113" t="s">
        <v>276</v>
      </c>
      <c r="T2036" s="113" t="s">
        <v>276</v>
      </c>
      <c r="U2036" s="113">
        <v>2</v>
      </c>
      <c r="V2036" s="112" t="s">
        <v>14</v>
      </c>
      <c r="W2036" s="113" t="s">
        <v>7080</v>
      </c>
      <c r="X2036" s="113" t="s">
        <v>207</v>
      </c>
      <c r="Y2036" s="118">
        <v>13759</v>
      </c>
      <c r="Z2036" s="119">
        <v>13744</v>
      </c>
      <c r="AA2036" s="113" t="s">
        <v>276</v>
      </c>
      <c r="AB2036" s="113" t="s">
        <v>276</v>
      </c>
      <c r="AC2036" s="112">
        <v>0</v>
      </c>
      <c r="AD2036" s="112" t="s">
        <v>968</v>
      </c>
      <c r="AE2036" s="112">
        <v>0</v>
      </c>
      <c r="AF2036" s="112" t="s">
        <v>968</v>
      </c>
      <c r="AG2036" s="113" t="s">
        <v>7224</v>
      </c>
      <c r="AH2036" s="113" t="s">
        <v>7094</v>
      </c>
      <c r="AI2036" s="119">
        <f>104+4+6+9+5+7</f>
        <v>135</v>
      </c>
      <c r="AJ2036" s="119">
        <f>11+10+11+8+5+9</f>
        <v>54</v>
      </c>
      <c r="AK2036" s="118">
        <v>13759</v>
      </c>
      <c r="AL2036" s="119">
        <v>13744</v>
      </c>
      <c r="AM2036" s="119" t="s">
        <v>2047</v>
      </c>
      <c r="AN2036" s="112" t="s">
        <v>276</v>
      </c>
      <c r="AO2036" s="207">
        <f t="shared" si="570"/>
        <v>9.811759575550548</v>
      </c>
      <c r="AP2036" s="112" t="s">
        <v>276</v>
      </c>
      <c r="AQ2036" s="112" t="s">
        <v>276</v>
      </c>
      <c r="AR2036" s="112" t="s">
        <v>276</v>
      </c>
      <c r="AS2036" s="207">
        <f t="shared" si="568"/>
        <v>3.9289871944121071</v>
      </c>
      <c r="AT2036" s="112" t="s">
        <v>276</v>
      </c>
      <c r="AU2036" s="112" t="s">
        <v>276</v>
      </c>
      <c r="AV2036" s="112" t="s">
        <v>268</v>
      </c>
      <c r="AW2036" s="112" t="s">
        <v>276</v>
      </c>
      <c r="AX2036" s="207">
        <f t="shared" si="569"/>
        <v>2.4972745112290138</v>
      </c>
      <c r="AY2036" s="112" t="s">
        <v>276</v>
      </c>
      <c r="AZ2036" s="112" t="s">
        <v>276</v>
      </c>
      <c r="BA2036" s="112" t="s">
        <v>276</v>
      </c>
      <c r="BB2036" s="112" t="s">
        <v>282</v>
      </c>
      <c r="BC2036" s="112" t="s">
        <v>98</v>
      </c>
      <c r="BD2036" s="112" t="s">
        <v>98</v>
      </c>
      <c r="BE2036" s="112" t="s">
        <v>98</v>
      </c>
      <c r="BF2036" s="346" t="s">
        <v>11169</v>
      </c>
      <c r="BG2036" s="113" t="s">
        <v>7118</v>
      </c>
      <c r="BH2036" s="9" t="s">
        <v>100</v>
      </c>
      <c r="BI2036" s="9" t="s">
        <v>100</v>
      </c>
      <c r="BJ2036" s="533"/>
      <c r="BN2036" s="533"/>
      <c r="BO2036" s="533"/>
    </row>
    <row r="2037" spans="1:67" s="532" customFormat="1" ht="65" hidden="1" x14ac:dyDescent="0.35">
      <c r="A2037" s="94">
        <v>7889</v>
      </c>
      <c r="B2037" s="94" t="s">
        <v>7112</v>
      </c>
      <c r="C2037" s="95" t="s">
        <v>59</v>
      </c>
      <c r="D2037" s="95" t="s">
        <v>7225</v>
      </c>
      <c r="E2037" s="94" t="s">
        <v>36</v>
      </c>
      <c r="F2037" s="94" t="s">
        <v>123</v>
      </c>
      <c r="G2037" s="94" t="s">
        <v>225</v>
      </c>
      <c r="H2037" s="94" t="s">
        <v>125</v>
      </c>
      <c r="I2037" s="94" t="s">
        <v>114</v>
      </c>
      <c r="J2037" s="95" t="s">
        <v>32</v>
      </c>
      <c r="K2037" s="94" t="s">
        <v>2345</v>
      </c>
      <c r="L2037" s="94" t="s">
        <v>276</v>
      </c>
      <c r="M2037" s="94" t="s">
        <v>276</v>
      </c>
      <c r="N2037" s="95" t="s">
        <v>7115</v>
      </c>
      <c r="O2037" s="95" t="s">
        <v>276</v>
      </c>
      <c r="P2037" s="95" t="s">
        <v>239</v>
      </c>
      <c r="Q2037" s="140" t="s">
        <v>98</v>
      </c>
      <c r="R2037" s="95" t="s">
        <v>7172</v>
      </c>
      <c r="S2037" s="95" t="s">
        <v>276</v>
      </c>
      <c r="T2037" s="95" t="s">
        <v>276</v>
      </c>
      <c r="U2037" s="95">
        <v>2</v>
      </c>
      <c r="V2037" s="94" t="s">
        <v>14</v>
      </c>
      <c r="W2037" s="95" t="s">
        <v>7080</v>
      </c>
      <c r="X2037" s="95" t="s">
        <v>207</v>
      </c>
      <c r="Y2037" s="98">
        <v>13759</v>
      </c>
      <c r="Z2037" s="99">
        <v>13744</v>
      </c>
      <c r="AA2037" s="95" t="s">
        <v>276</v>
      </c>
      <c r="AB2037" s="95" t="s">
        <v>276</v>
      </c>
      <c r="AC2037" s="94">
        <v>0</v>
      </c>
      <c r="AD2037" s="94" t="s">
        <v>968</v>
      </c>
      <c r="AE2037" s="94">
        <v>0</v>
      </c>
      <c r="AF2037" s="94" t="s">
        <v>968</v>
      </c>
      <c r="AG2037" s="95" t="s">
        <v>7226</v>
      </c>
      <c r="AH2037" s="95" t="s">
        <v>7094</v>
      </c>
      <c r="AI2037" s="99">
        <f>61+6+6+16+17+17+18</f>
        <v>141</v>
      </c>
      <c r="AJ2037" s="99">
        <f>20+12+14+13+16+25+18</f>
        <v>118</v>
      </c>
      <c r="AK2037" s="98">
        <v>13759</v>
      </c>
      <c r="AL2037" s="99">
        <v>13744</v>
      </c>
      <c r="AM2037" s="99" t="s">
        <v>2047</v>
      </c>
      <c r="AN2037" s="94" t="s">
        <v>276</v>
      </c>
      <c r="AO2037" s="101">
        <f t="shared" si="570"/>
        <v>10.247837778908352</v>
      </c>
      <c r="AP2037" s="94" t="s">
        <v>276</v>
      </c>
      <c r="AQ2037" s="94" t="s">
        <v>276</v>
      </c>
      <c r="AR2037" s="94" t="s">
        <v>276</v>
      </c>
      <c r="AS2037" s="101">
        <f t="shared" si="568"/>
        <v>8.585564610011641</v>
      </c>
      <c r="AT2037" s="94" t="s">
        <v>276</v>
      </c>
      <c r="AU2037" s="94" t="s">
        <v>276</v>
      </c>
      <c r="AV2037" s="94" t="s">
        <v>268</v>
      </c>
      <c r="AW2037" s="94" t="s">
        <v>276</v>
      </c>
      <c r="AX2037" s="101">
        <f t="shared" si="569"/>
        <v>1.1936125629942067</v>
      </c>
      <c r="AY2037" s="94" t="s">
        <v>276</v>
      </c>
      <c r="AZ2037" s="94" t="s">
        <v>276</v>
      </c>
      <c r="BA2037" s="94" t="s">
        <v>276</v>
      </c>
      <c r="BB2037" s="94" t="s">
        <v>282</v>
      </c>
      <c r="BC2037" s="94" t="s">
        <v>98</v>
      </c>
      <c r="BD2037" s="94" t="s">
        <v>98</v>
      </c>
      <c r="BE2037" s="94" t="s">
        <v>98</v>
      </c>
      <c r="BF2037" s="346" t="s">
        <v>11167</v>
      </c>
      <c r="BG2037" s="95" t="s">
        <v>7118</v>
      </c>
      <c r="BH2037" s="9" t="s">
        <v>100</v>
      </c>
      <c r="BI2037" s="9" t="s">
        <v>100</v>
      </c>
      <c r="BJ2037" s="531"/>
      <c r="BN2037" s="531"/>
      <c r="BO2037" s="531"/>
    </row>
    <row r="2038" spans="1:67" s="532" customFormat="1" ht="65" hidden="1" x14ac:dyDescent="0.35">
      <c r="A2038" s="94">
        <v>7889</v>
      </c>
      <c r="B2038" s="94" t="s">
        <v>7112</v>
      </c>
      <c r="C2038" s="95" t="s">
        <v>59</v>
      </c>
      <c r="D2038" s="95" t="s">
        <v>7227</v>
      </c>
      <c r="E2038" s="94" t="s">
        <v>36</v>
      </c>
      <c r="F2038" s="94" t="s">
        <v>123</v>
      </c>
      <c r="G2038" s="94" t="s">
        <v>225</v>
      </c>
      <c r="H2038" s="94" t="s">
        <v>125</v>
      </c>
      <c r="I2038" s="94" t="s">
        <v>114</v>
      </c>
      <c r="J2038" s="95" t="s">
        <v>32</v>
      </c>
      <c r="K2038" s="94" t="s">
        <v>7196</v>
      </c>
      <c r="L2038" s="94" t="s">
        <v>276</v>
      </c>
      <c r="M2038" s="94" t="s">
        <v>276</v>
      </c>
      <c r="N2038" s="95" t="s">
        <v>7115</v>
      </c>
      <c r="O2038" s="95" t="s">
        <v>276</v>
      </c>
      <c r="P2038" s="95" t="s">
        <v>239</v>
      </c>
      <c r="Q2038" s="140" t="s">
        <v>98</v>
      </c>
      <c r="R2038" s="95" t="s">
        <v>7172</v>
      </c>
      <c r="S2038" s="95" t="s">
        <v>276</v>
      </c>
      <c r="T2038" s="95" t="s">
        <v>276</v>
      </c>
      <c r="U2038" s="95">
        <v>2</v>
      </c>
      <c r="V2038" s="94" t="s">
        <v>14</v>
      </c>
      <c r="W2038" s="95" t="s">
        <v>7080</v>
      </c>
      <c r="X2038" s="95" t="s">
        <v>207</v>
      </c>
      <c r="Y2038" s="98">
        <v>13759</v>
      </c>
      <c r="Z2038" s="99">
        <v>13744</v>
      </c>
      <c r="AA2038" s="95" t="s">
        <v>276</v>
      </c>
      <c r="AB2038" s="95" t="s">
        <v>276</v>
      </c>
      <c r="AC2038" s="94">
        <v>0</v>
      </c>
      <c r="AD2038" s="94" t="s">
        <v>968</v>
      </c>
      <c r="AE2038" s="94">
        <v>0</v>
      </c>
      <c r="AF2038" s="94" t="s">
        <v>968</v>
      </c>
      <c r="AG2038" s="95" t="s">
        <v>7228</v>
      </c>
      <c r="AH2038" s="95" t="s">
        <v>7094</v>
      </c>
      <c r="AI2038" s="99">
        <f>162+12+9+13+11+13+8</f>
        <v>228</v>
      </c>
      <c r="AJ2038" s="99">
        <f>24+15+18+14+7+16+6</f>
        <v>100</v>
      </c>
      <c r="AK2038" s="98">
        <v>13759</v>
      </c>
      <c r="AL2038" s="99">
        <v>13744</v>
      </c>
      <c r="AM2038" s="99" t="s">
        <v>2047</v>
      </c>
      <c r="AN2038" s="94" t="s">
        <v>276</v>
      </c>
      <c r="AO2038" s="101">
        <f t="shared" si="570"/>
        <v>16.570971727596483</v>
      </c>
      <c r="AP2038" s="94" t="s">
        <v>276</v>
      </c>
      <c r="AQ2038" s="94" t="s">
        <v>276</v>
      </c>
      <c r="AR2038" s="94" t="s">
        <v>276</v>
      </c>
      <c r="AS2038" s="101">
        <f t="shared" si="568"/>
        <v>7.2759022118742722</v>
      </c>
      <c r="AT2038" s="94" t="s">
        <v>276</v>
      </c>
      <c r="AU2038" s="94" t="s">
        <v>276</v>
      </c>
      <c r="AV2038" s="94" t="s">
        <v>268</v>
      </c>
      <c r="AW2038" s="94" t="s">
        <v>276</v>
      </c>
      <c r="AX2038" s="101">
        <f t="shared" si="569"/>
        <v>2.2775143542408607</v>
      </c>
      <c r="AY2038" s="94" t="s">
        <v>276</v>
      </c>
      <c r="AZ2038" s="94" t="s">
        <v>276</v>
      </c>
      <c r="BA2038" s="94" t="s">
        <v>276</v>
      </c>
      <c r="BB2038" s="94" t="s">
        <v>282</v>
      </c>
      <c r="BC2038" s="94" t="s">
        <v>98</v>
      </c>
      <c r="BD2038" s="94" t="s">
        <v>98</v>
      </c>
      <c r="BE2038" s="94" t="s">
        <v>98</v>
      </c>
      <c r="BF2038" s="346" t="s">
        <v>11169</v>
      </c>
      <c r="BG2038" s="95" t="s">
        <v>7118</v>
      </c>
      <c r="BH2038" s="9" t="s">
        <v>100</v>
      </c>
      <c r="BI2038" s="9" t="s">
        <v>100</v>
      </c>
      <c r="BJ2038" s="531"/>
      <c r="BN2038" s="531"/>
      <c r="BO2038" s="531"/>
    </row>
    <row r="2039" spans="1:67" s="532" customFormat="1" ht="65" hidden="1" x14ac:dyDescent="0.35">
      <c r="A2039" s="94">
        <v>7889</v>
      </c>
      <c r="B2039" s="94" t="s">
        <v>7112</v>
      </c>
      <c r="C2039" s="95" t="s">
        <v>59</v>
      </c>
      <c r="D2039" s="95" t="s">
        <v>7229</v>
      </c>
      <c r="E2039" s="94" t="s">
        <v>36</v>
      </c>
      <c r="F2039" s="94" t="s">
        <v>123</v>
      </c>
      <c r="G2039" s="94" t="s">
        <v>225</v>
      </c>
      <c r="H2039" s="94" t="s">
        <v>125</v>
      </c>
      <c r="I2039" s="94" t="s">
        <v>114</v>
      </c>
      <c r="J2039" s="346" t="s">
        <v>11166</v>
      </c>
      <c r="K2039" s="94" t="s">
        <v>7199</v>
      </c>
      <c r="L2039" s="94" t="s">
        <v>276</v>
      </c>
      <c r="M2039" s="94" t="s">
        <v>276</v>
      </c>
      <c r="N2039" s="95" t="s">
        <v>7115</v>
      </c>
      <c r="O2039" s="95" t="s">
        <v>276</v>
      </c>
      <c r="P2039" s="95" t="s">
        <v>239</v>
      </c>
      <c r="Q2039" s="140" t="s">
        <v>98</v>
      </c>
      <c r="R2039" s="95" t="s">
        <v>7172</v>
      </c>
      <c r="S2039" s="95" t="s">
        <v>276</v>
      </c>
      <c r="T2039" s="95" t="s">
        <v>276</v>
      </c>
      <c r="U2039" s="95">
        <v>2</v>
      </c>
      <c r="V2039" s="94" t="s">
        <v>14</v>
      </c>
      <c r="W2039" s="95" t="s">
        <v>7080</v>
      </c>
      <c r="X2039" s="95" t="s">
        <v>207</v>
      </c>
      <c r="Y2039" s="98">
        <v>13759</v>
      </c>
      <c r="Z2039" s="99">
        <v>13744</v>
      </c>
      <c r="AA2039" s="95" t="s">
        <v>276</v>
      </c>
      <c r="AB2039" s="95" t="s">
        <v>276</v>
      </c>
      <c r="AC2039" s="94">
        <v>0</v>
      </c>
      <c r="AD2039" s="94" t="s">
        <v>968</v>
      </c>
      <c r="AE2039" s="94">
        <v>0</v>
      </c>
      <c r="AF2039" s="94" t="s">
        <v>968</v>
      </c>
      <c r="AG2039" s="95" t="s">
        <v>7230</v>
      </c>
      <c r="AH2039" s="95" t="s">
        <v>7094</v>
      </c>
      <c r="AI2039" s="99">
        <f>104+4+6+9+5+7+5</f>
        <v>140</v>
      </c>
      <c r="AJ2039" s="99">
        <f>11+10+11+8+5+9+4</f>
        <v>58</v>
      </c>
      <c r="AK2039" s="98">
        <v>13759</v>
      </c>
      <c r="AL2039" s="99">
        <v>13744</v>
      </c>
      <c r="AM2039" s="99" t="s">
        <v>2047</v>
      </c>
      <c r="AN2039" s="94" t="s">
        <v>276</v>
      </c>
      <c r="AO2039" s="101">
        <f t="shared" si="570"/>
        <v>10.175158078348717</v>
      </c>
      <c r="AP2039" s="94" t="s">
        <v>276</v>
      </c>
      <c r="AQ2039" s="94" t="s">
        <v>276</v>
      </c>
      <c r="AR2039" s="94" t="s">
        <v>276</v>
      </c>
      <c r="AS2039" s="101">
        <f t="shared" si="568"/>
        <v>4.2200232828870776</v>
      </c>
      <c r="AT2039" s="94" t="s">
        <v>276</v>
      </c>
      <c r="AU2039" s="94" t="s">
        <v>276</v>
      </c>
      <c r="AV2039" s="94" t="s">
        <v>268</v>
      </c>
      <c r="AW2039" s="94" t="s">
        <v>276</v>
      </c>
      <c r="AX2039" s="101">
        <f t="shared" si="569"/>
        <v>2.4111615970487033</v>
      </c>
      <c r="AY2039" s="94" t="s">
        <v>276</v>
      </c>
      <c r="AZ2039" s="94" t="s">
        <v>276</v>
      </c>
      <c r="BA2039" s="94" t="s">
        <v>276</v>
      </c>
      <c r="BB2039" s="94" t="s">
        <v>282</v>
      </c>
      <c r="BC2039" s="94" t="s">
        <v>98</v>
      </c>
      <c r="BD2039" s="94" t="s">
        <v>98</v>
      </c>
      <c r="BE2039" s="94" t="s">
        <v>98</v>
      </c>
      <c r="BF2039" s="346" t="s">
        <v>11169</v>
      </c>
      <c r="BG2039" s="95" t="s">
        <v>7118</v>
      </c>
      <c r="BH2039" s="9" t="s">
        <v>100</v>
      </c>
      <c r="BI2039" s="9" t="s">
        <v>100</v>
      </c>
      <c r="BJ2039" s="531"/>
      <c r="BN2039" s="531"/>
      <c r="BO2039" s="531"/>
    </row>
    <row r="2040" spans="1:67" s="534" customFormat="1" ht="65" hidden="1" x14ac:dyDescent="0.35">
      <c r="A2040" s="112">
        <v>7889</v>
      </c>
      <c r="B2040" s="112" t="s">
        <v>7112</v>
      </c>
      <c r="C2040" s="113" t="s">
        <v>59</v>
      </c>
      <c r="D2040" s="113" t="s">
        <v>7231</v>
      </c>
      <c r="E2040" s="112" t="s">
        <v>36</v>
      </c>
      <c r="F2040" s="112" t="s">
        <v>123</v>
      </c>
      <c r="G2040" s="112" t="s">
        <v>225</v>
      </c>
      <c r="H2040" s="112" t="s">
        <v>125</v>
      </c>
      <c r="I2040" s="112" t="s">
        <v>114</v>
      </c>
      <c r="J2040" s="113" t="s">
        <v>32</v>
      </c>
      <c r="K2040" s="112" t="s">
        <v>2345</v>
      </c>
      <c r="L2040" s="112" t="s">
        <v>276</v>
      </c>
      <c r="M2040" s="112" t="s">
        <v>276</v>
      </c>
      <c r="N2040" s="113" t="s">
        <v>7115</v>
      </c>
      <c r="O2040" s="113" t="s">
        <v>276</v>
      </c>
      <c r="P2040" s="113" t="s">
        <v>239</v>
      </c>
      <c r="Q2040" s="142" t="s">
        <v>98</v>
      </c>
      <c r="R2040" s="113" t="s">
        <v>7183</v>
      </c>
      <c r="S2040" s="113" t="s">
        <v>276</v>
      </c>
      <c r="T2040" s="113" t="s">
        <v>276</v>
      </c>
      <c r="U2040" s="113">
        <v>2</v>
      </c>
      <c r="V2040" s="112" t="s">
        <v>14</v>
      </c>
      <c r="W2040" s="113" t="s">
        <v>7080</v>
      </c>
      <c r="X2040" s="113" t="s">
        <v>207</v>
      </c>
      <c r="Y2040" s="118">
        <v>13759</v>
      </c>
      <c r="Z2040" s="119">
        <v>13744</v>
      </c>
      <c r="AA2040" s="113" t="s">
        <v>276</v>
      </c>
      <c r="AB2040" s="113" t="s">
        <v>276</v>
      </c>
      <c r="AC2040" s="112">
        <v>0</v>
      </c>
      <c r="AD2040" s="112" t="s">
        <v>968</v>
      </c>
      <c r="AE2040" s="112">
        <v>0</v>
      </c>
      <c r="AF2040" s="112" t="s">
        <v>968</v>
      </c>
      <c r="AG2040" s="113" t="s">
        <v>7232</v>
      </c>
      <c r="AH2040" s="113" t="s">
        <v>7094</v>
      </c>
      <c r="AI2040" s="119">
        <f>61+6+6+16+17+17+18+21</f>
        <v>162</v>
      </c>
      <c r="AJ2040" s="119">
        <f>20+12+14+13+16+25+18+30</f>
        <v>148</v>
      </c>
      <c r="AK2040" s="118">
        <v>13759</v>
      </c>
      <c r="AL2040" s="119">
        <v>13744</v>
      </c>
      <c r="AM2040" s="119" t="s">
        <v>2047</v>
      </c>
      <c r="AN2040" s="112" t="s">
        <v>276</v>
      </c>
      <c r="AO2040" s="207">
        <f t="shared" si="570"/>
        <v>11.774111490660658</v>
      </c>
      <c r="AP2040" s="112" t="s">
        <v>276</v>
      </c>
      <c r="AQ2040" s="112" t="s">
        <v>276</v>
      </c>
      <c r="AR2040" s="112" t="s">
        <v>276</v>
      </c>
      <c r="AS2040" s="207">
        <f t="shared" si="568"/>
        <v>10.768335273573923</v>
      </c>
      <c r="AT2040" s="112" t="s">
        <v>276</v>
      </c>
      <c r="AU2040" s="112" t="s">
        <v>276</v>
      </c>
      <c r="AV2040" s="112" t="s">
        <v>268</v>
      </c>
      <c r="AW2040" s="112" t="s">
        <v>276</v>
      </c>
      <c r="AX2040" s="207">
        <f t="shared" si="569"/>
        <v>1.0934012724840547</v>
      </c>
      <c r="AY2040" s="112" t="s">
        <v>276</v>
      </c>
      <c r="AZ2040" s="112" t="s">
        <v>276</v>
      </c>
      <c r="BA2040" s="112" t="s">
        <v>276</v>
      </c>
      <c r="BB2040" s="112" t="s">
        <v>282</v>
      </c>
      <c r="BC2040" s="112" t="s">
        <v>98</v>
      </c>
      <c r="BD2040" s="112" t="s">
        <v>98</v>
      </c>
      <c r="BE2040" s="112" t="s">
        <v>98</v>
      </c>
      <c r="BF2040" s="346" t="s">
        <v>11167</v>
      </c>
      <c r="BG2040" s="113" t="s">
        <v>7118</v>
      </c>
      <c r="BH2040" s="9" t="s">
        <v>100</v>
      </c>
      <c r="BI2040" s="9" t="s">
        <v>100</v>
      </c>
      <c r="BJ2040" s="533"/>
      <c r="BN2040" s="533"/>
      <c r="BO2040" s="533"/>
    </row>
    <row r="2041" spans="1:67" s="534" customFormat="1" ht="65" hidden="1" x14ac:dyDescent="0.35">
      <c r="A2041" s="112">
        <v>7889</v>
      </c>
      <c r="B2041" s="112" t="s">
        <v>7112</v>
      </c>
      <c r="C2041" s="113" t="s">
        <v>59</v>
      </c>
      <c r="D2041" s="113" t="s">
        <v>7233</v>
      </c>
      <c r="E2041" s="112" t="s">
        <v>36</v>
      </c>
      <c r="F2041" s="112" t="s">
        <v>123</v>
      </c>
      <c r="G2041" s="112" t="s">
        <v>225</v>
      </c>
      <c r="H2041" s="112" t="s">
        <v>125</v>
      </c>
      <c r="I2041" s="112" t="s">
        <v>114</v>
      </c>
      <c r="J2041" s="113" t="s">
        <v>32</v>
      </c>
      <c r="K2041" s="112" t="s">
        <v>7196</v>
      </c>
      <c r="L2041" s="112" t="s">
        <v>276</v>
      </c>
      <c r="M2041" s="112" t="s">
        <v>276</v>
      </c>
      <c r="N2041" s="113" t="s">
        <v>7115</v>
      </c>
      <c r="O2041" s="113" t="s">
        <v>276</v>
      </c>
      <c r="P2041" s="113" t="s">
        <v>239</v>
      </c>
      <c r="Q2041" s="142" t="s">
        <v>98</v>
      </c>
      <c r="R2041" s="113" t="s">
        <v>7183</v>
      </c>
      <c r="S2041" s="113" t="s">
        <v>276</v>
      </c>
      <c r="T2041" s="113" t="s">
        <v>276</v>
      </c>
      <c r="U2041" s="113">
        <v>2</v>
      </c>
      <c r="V2041" s="112" t="s">
        <v>14</v>
      </c>
      <c r="W2041" s="113" t="s">
        <v>7080</v>
      </c>
      <c r="X2041" s="113" t="s">
        <v>207</v>
      </c>
      <c r="Y2041" s="118">
        <v>13759</v>
      </c>
      <c r="Z2041" s="119">
        <v>13744</v>
      </c>
      <c r="AA2041" s="113" t="s">
        <v>276</v>
      </c>
      <c r="AB2041" s="113" t="s">
        <v>276</v>
      </c>
      <c r="AC2041" s="112">
        <v>0</v>
      </c>
      <c r="AD2041" s="112" t="s">
        <v>968</v>
      </c>
      <c r="AE2041" s="112">
        <v>0</v>
      </c>
      <c r="AF2041" s="112" t="s">
        <v>968</v>
      </c>
      <c r="AG2041" s="113" t="s">
        <v>7234</v>
      </c>
      <c r="AH2041" s="113" t="s">
        <v>7094</v>
      </c>
      <c r="AI2041" s="119">
        <f>162+75</f>
        <v>237</v>
      </c>
      <c r="AJ2041" s="119">
        <f>24+86</f>
        <v>110</v>
      </c>
      <c r="AK2041" s="118">
        <v>13759</v>
      </c>
      <c r="AL2041" s="119">
        <v>13744</v>
      </c>
      <c r="AM2041" s="119" t="s">
        <v>2047</v>
      </c>
      <c r="AN2041" s="112" t="s">
        <v>276</v>
      </c>
      <c r="AO2041" s="207">
        <f>AI2041*1000/AK2041</f>
        <v>17.225089032633186</v>
      </c>
      <c r="AP2041" s="112" t="s">
        <v>276</v>
      </c>
      <c r="AQ2041" s="112" t="s">
        <v>276</v>
      </c>
      <c r="AR2041" s="112" t="s">
        <v>276</v>
      </c>
      <c r="AS2041" s="207">
        <f>AJ2041*1000/AL2041</f>
        <v>8.0034924330616999</v>
      </c>
      <c r="AT2041" s="112" t="s">
        <v>276</v>
      </c>
      <c r="AU2041" s="112" t="s">
        <v>276</v>
      </c>
      <c r="AV2041" s="112" t="s">
        <v>268</v>
      </c>
      <c r="AW2041" s="112" t="s">
        <v>276</v>
      </c>
      <c r="AX2041" s="207">
        <f>AO2041/AS2041</f>
        <v>2.1521965787682773</v>
      </c>
      <c r="AY2041" s="112" t="s">
        <v>276</v>
      </c>
      <c r="AZ2041" s="112" t="s">
        <v>276</v>
      </c>
      <c r="BA2041" s="112" t="s">
        <v>276</v>
      </c>
      <c r="BB2041" s="112" t="s">
        <v>282</v>
      </c>
      <c r="BC2041" s="112" t="s">
        <v>98</v>
      </c>
      <c r="BD2041" s="112" t="s">
        <v>98</v>
      </c>
      <c r="BE2041" s="112" t="s">
        <v>98</v>
      </c>
      <c r="BF2041" s="346" t="s">
        <v>11169</v>
      </c>
      <c r="BG2041" s="113" t="s">
        <v>7118</v>
      </c>
      <c r="BH2041" s="9" t="s">
        <v>100</v>
      </c>
      <c r="BI2041" s="9" t="s">
        <v>100</v>
      </c>
      <c r="BJ2041" s="533"/>
      <c r="BN2041" s="533"/>
      <c r="BO2041" s="533"/>
    </row>
    <row r="2042" spans="1:67" s="534" customFormat="1" ht="65" hidden="1" x14ac:dyDescent="0.35">
      <c r="A2042" s="112">
        <v>7889</v>
      </c>
      <c r="B2042" s="112" t="s">
        <v>7112</v>
      </c>
      <c r="C2042" s="113" t="s">
        <v>59</v>
      </c>
      <c r="D2042" s="113" t="s">
        <v>7235</v>
      </c>
      <c r="E2042" s="112" t="s">
        <v>36</v>
      </c>
      <c r="F2042" s="112" t="s">
        <v>123</v>
      </c>
      <c r="G2042" s="112" t="s">
        <v>225</v>
      </c>
      <c r="H2042" s="112" t="s">
        <v>125</v>
      </c>
      <c r="I2042" s="112" t="s">
        <v>114</v>
      </c>
      <c r="J2042" s="346" t="s">
        <v>11166</v>
      </c>
      <c r="K2042" s="415" t="s">
        <v>11170</v>
      </c>
      <c r="L2042" s="112" t="s">
        <v>276</v>
      </c>
      <c r="M2042" s="112" t="s">
        <v>276</v>
      </c>
      <c r="N2042" s="113" t="s">
        <v>7115</v>
      </c>
      <c r="O2042" s="113" t="s">
        <v>276</v>
      </c>
      <c r="P2042" s="113" t="s">
        <v>239</v>
      </c>
      <c r="Q2042" s="142" t="s">
        <v>98</v>
      </c>
      <c r="R2042" s="113" t="s">
        <v>7183</v>
      </c>
      <c r="S2042" s="113" t="s">
        <v>276</v>
      </c>
      <c r="T2042" s="113" t="s">
        <v>276</v>
      </c>
      <c r="U2042" s="113">
        <v>2</v>
      </c>
      <c r="V2042" s="112" t="s">
        <v>14</v>
      </c>
      <c r="W2042" s="113" t="s">
        <v>7080</v>
      </c>
      <c r="X2042" s="113" t="s">
        <v>207</v>
      </c>
      <c r="Y2042" s="118">
        <v>13759</v>
      </c>
      <c r="Z2042" s="119">
        <v>13744</v>
      </c>
      <c r="AA2042" s="113" t="s">
        <v>276</v>
      </c>
      <c r="AB2042" s="113" t="s">
        <v>276</v>
      </c>
      <c r="AC2042" s="112">
        <v>0</v>
      </c>
      <c r="AD2042" s="112" t="s">
        <v>968</v>
      </c>
      <c r="AE2042" s="112">
        <v>0</v>
      </c>
      <c r="AF2042" s="112" t="s">
        <v>968</v>
      </c>
      <c r="AG2042" s="113" t="s">
        <v>7236</v>
      </c>
      <c r="AH2042" s="113" t="s">
        <v>7094</v>
      </c>
      <c r="AI2042" s="119">
        <f>104+42</f>
        <v>146</v>
      </c>
      <c r="AJ2042" s="119">
        <f>11+55</f>
        <v>66</v>
      </c>
      <c r="AK2042" s="118">
        <v>13759</v>
      </c>
      <c r="AL2042" s="119">
        <v>13744</v>
      </c>
      <c r="AM2042" s="119" t="s">
        <v>2047</v>
      </c>
      <c r="AN2042" s="112" t="s">
        <v>276</v>
      </c>
      <c r="AO2042" s="207">
        <f>AI2042*1000/AK2042</f>
        <v>10.611236281706519</v>
      </c>
      <c r="AP2042" s="112" t="s">
        <v>276</v>
      </c>
      <c r="AQ2042" s="112" t="s">
        <v>276</v>
      </c>
      <c r="AR2042" s="112" t="s">
        <v>276</v>
      </c>
      <c r="AS2042" s="207">
        <f>AJ2042*1000/AL2042</f>
        <v>4.8020954598370196</v>
      </c>
      <c r="AT2042" s="112" t="s">
        <v>276</v>
      </c>
      <c r="AU2042" s="112" t="s">
        <v>276</v>
      </c>
      <c r="AV2042" s="112" t="s">
        <v>268</v>
      </c>
      <c r="AW2042" s="112" t="s">
        <v>276</v>
      </c>
      <c r="AX2042" s="207">
        <f>AO2042/AS2042</f>
        <v>2.2097095675117333</v>
      </c>
      <c r="AY2042" s="112" t="s">
        <v>276</v>
      </c>
      <c r="AZ2042" s="112" t="s">
        <v>276</v>
      </c>
      <c r="BA2042" s="112" t="s">
        <v>276</v>
      </c>
      <c r="BB2042" s="112" t="s">
        <v>282</v>
      </c>
      <c r="BC2042" s="112" t="s">
        <v>98</v>
      </c>
      <c r="BD2042" s="112" t="s">
        <v>98</v>
      </c>
      <c r="BE2042" s="112" t="s">
        <v>98</v>
      </c>
      <c r="BF2042" s="346" t="s">
        <v>11169</v>
      </c>
      <c r="BG2042" s="113" t="s">
        <v>7118</v>
      </c>
      <c r="BH2042" s="9" t="s">
        <v>100</v>
      </c>
      <c r="BI2042" s="9" t="s">
        <v>100</v>
      </c>
      <c r="BJ2042" s="533"/>
      <c r="BN2042" s="533"/>
      <c r="BO2042" s="533"/>
    </row>
    <row r="2043" spans="1:67" s="536" customFormat="1" ht="52" hidden="1" x14ac:dyDescent="0.35">
      <c r="A2043" s="126">
        <v>7888</v>
      </c>
      <c r="B2043" s="126" t="s">
        <v>7112</v>
      </c>
      <c r="C2043" s="127" t="s">
        <v>59</v>
      </c>
      <c r="D2043" s="127" t="s">
        <v>7237</v>
      </c>
      <c r="E2043" s="126" t="s">
        <v>36</v>
      </c>
      <c r="F2043" s="126" t="s">
        <v>123</v>
      </c>
      <c r="G2043" s="126" t="s">
        <v>225</v>
      </c>
      <c r="H2043" s="126" t="s">
        <v>225</v>
      </c>
      <c r="I2043" s="126" t="s">
        <v>98</v>
      </c>
      <c r="J2043" s="127" t="s">
        <v>98</v>
      </c>
      <c r="K2043" s="126" t="s">
        <v>98</v>
      </c>
      <c r="L2043" s="126" t="s">
        <v>98</v>
      </c>
      <c r="M2043" s="126" t="s">
        <v>98</v>
      </c>
      <c r="N2043" s="127" t="s">
        <v>7238</v>
      </c>
      <c r="O2043" s="127" t="s">
        <v>276</v>
      </c>
      <c r="P2043" s="127" t="s">
        <v>238</v>
      </c>
      <c r="Q2043" s="146" t="s">
        <v>276</v>
      </c>
      <c r="R2043" s="127" t="s">
        <v>7239</v>
      </c>
      <c r="S2043" s="127" t="s">
        <v>276</v>
      </c>
      <c r="T2043" s="127" t="s">
        <v>98</v>
      </c>
      <c r="U2043" s="127">
        <v>2</v>
      </c>
      <c r="V2043" s="126" t="s">
        <v>14</v>
      </c>
      <c r="W2043" s="127" t="s">
        <v>98</v>
      </c>
      <c r="X2043" s="127" t="s">
        <v>209</v>
      </c>
      <c r="Y2043" s="132">
        <v>34144</v>
      </c>
      <c r="Z2043" s="127" t="s">
        <v>98</v>
      </c>
      <c r="AA2043" s="127" t="s">
        <v>276</v>
      </c>
      <c r="AB2043" s="127" t="s">
        <v>98</v>
      </c>
      <c r="AC2043" s="126">
        <v>0</v>
      </c>
      <c r="AD2043" s="126" t="s">
        <v>6723</v>
      </c>
      <c r="AE2043" s="126" t="s">
        <v>98</v>
      </c>
      <c r="AF2043" s="126" t="s">
        <v>98</v>
      </c>
      <c r="AG2043" s="127" t="s">
        <v>7240</v>
      </c>
      <c r="AH2043" s="127" t="s">
        <v>7241</v>
      </c>
      <c r="AI2043" s="134">
        <f>47+34</f>
        <v>81</v>
      </c>
      <c r="AJ2043" s="134" t="s">
        <v>98</v>
      </c>
      <c r="AK2043" s="134">
        <v>34144</v>
      </c>
      <c r="AL2043" s="134" t="s">
        <v>98</v>
      </c>
      <c r="AM2043" s="134" t="s">
        <v>2047</v>
      </c>
      <c r="AN2043" s="126" t="s">
        <v>276</v>
      </c>
      <c r="AO2043" s="148">
        <f>AI2043*1000/AK2043</f>
        <v>2.3723055295220243</v>
      </c>
      <c r="AP2043" s="126" t="s">
        <v>276</v>
      </c>
      <c r="AQ2043" s="126" t="s">
        <v>276</v>
      </c>
      <c r="AR2043" s="126" t="s">
        <v>98</v>
      </c>
      <c r="AS2043" s="126" t="s">
        <v>98</v>
      </c>
      <c r="AT2043" s="126" t="s">
        <v>98</v>
      </c>
      <c r="AU2043" s="126" t="s">
        <v>98</v>
      </c>
      <c r="AV2043" s="126" t="s">
        <v>98</v>
      </c>
      <c r="AW2043" s="126" t="s">
        <v>98</v>
      </c>
      <c r="AX2043" s="126" t="s">
        <v>98</v>
      </c>
      <c r="AY2043" s="126" t="s">
        <v>98</v>
      </c>
      <c r="AZ2043" s="126" t="s">
        <v>98</v>
      </c>
      <c r="BA2043" s="126" t="s">
        <v>98</v>
      </c>
      <c r="BB2043" s="126" t="s">
        <v>98</v>
      </c>
      <c r="BC2043" s="126" t="s">
        <v>98</v>
      </c>
      <c r="BD2043" s="126" t="s">
        <v>98</v>
      </c>
      <c r="BE2043" s="126" t="s">
        <v>98</v>
      </c>
      <c r="BF2043" s="127" t="s">
        <v>4579</v>
      </c>
      <c r="BG2043" s="127" t="s">
        <v>7242</v>
      </c>
      <c r="BH2043" s="9" t="s">
        <v>100</v>
      </c>
      <c r="BI2043" s="9" t="s">
        <v>100</v>
      </c>
      <c r="BJ2043" s="535"/>
      <c r="BN2043" s="535"/>
      <c r="BO2043" s="535"/>
    </row>
    <row r="2044" spans="1:67" s="536" customFormat="1" ht="65" hidden="1" x14ac:dyDescent="0.35">
      <c r="A2044" s="126">
        <v>7888</v>
      </c>
      <c r="B2044" s="126" t="s">
        <v>7112</v>
      </c>
      <c r="C2044" s="127" t="s">
        <v>59</v>
      </c>
      <c r="D2044" s="127" t="s">
        <v>7243</v>
      </c>
      <c r="E2044" s="126" t="s">
        <v>36</v>
      </c>
      <c r="F2044" s="126" t="s">
        <v>123</v>
      </c>
      <c r="G2044" s="126" t="s">
        <v>225</v>
      </c>
      <c r="H2044" s="126" t="s">
        <v>225</v>
      </c>
      <c r="I2044" s="126" t="s">
        <v>98</v>
      </c>
      <c r="J2044" s="127" t="s">
        <v>98</v>
      </c>
      <c r="K2044" s="126" t="s">
        <v>98</v>
      </c>
      <c r="L2044" s="126" t="s">
        <v>98</v>
      </c>
      <c r="M2044" s="126" t="s">
        <v>98</v>
      </c>
      <c r="N2044" s="127" t="s">
        <v>7238</v>
      </c>
      <c r="O2044" s="127" t="s">
        <v>276</v>
      </c>
      <c r="P2044" s="127" t="s">
        <v>238</v>
      </c>
      <c r="Q2044" s="146" t="s">
        <v>276</v>
      </c>
      <c r="R2044" s="127" t="s">
        <v>7239</v>
      </c>
      <c r="S2044" s="127" t="s">
        <v>276</v>
      </c>
      <c r="T2044" s="127" t="s">
        <v>98</v>
      </c>
      <c r="U2044" s="127">
        <v>2</v>
      </c>
      <c r="V2044" s="126" t="s">
        <v>14</v>
      </c>
      <c r="W2044" s="127" t="s">
        <v>98</v>
      </c>
      <c r="X2044" s="127" t="s">
        <v>209</v>
      </c>
      <c r="Y2044" s="132">
        <v>34144</v>
      </c>
      <c r="Z2044" s="127" t="s">
        <v>98</v>
      </c>
      <c r="AA2044" s="127" t="s">
        <v>276</v>
      </c>
      <c r="AB2044" s="127" t="s">
        <v>98</v>
      </c>
      <c r="AC2044" s="126">
        <v>0</v>
      </c>
      <c r="AD2044" s="126" t="s">
        <v>6723</v>
      </c>
      <c r="AE2044" s="126" t="s">
        <v>98</v>
      </c>
      <c r="AF2044" s="126" t="s">
        <v>98</v>
      </c>
      <c r="AG2044" s="127" t="s">
        <v>7244</v>
      </c>
      <c r="AH2044" s="127" t="s">
        <v>7241</v>
      </c>
      <c r="AI2044" s="134">
        <v>238</v>
      </c>
      <c r="AJ2044" s="134" t="s">
        <v>98</v>
      </c>
      <c r="AK2044" s="134">
        <v>34144</v>
      </c>
      <c r="AL2044" s="134" t="s">
        <v>98</v>
      </c>
      <c r="AM2044" s="134" t="s">
        <v>2047</v>
      </c>
      <c r="AN2044" s="126" t="s">
        <v>276</v>
      </c>
      <c r="AO2044" s="148">
        <f>AI2044*1000/AK2044</f>
        <v>6.9704779756326145</v>
      </c>
      <c r="AP2044" s="126" t="s">
        <v>276</v>
      </c>
      <c r="AQ2044" s="126" t="s">
        <v>276</v>
      </c>
      <c r="AR2044" s="126" t="s">
        <v>98</v>
      </c>
      <c r="AS2044" s="126" t="s">
        <v>98</v>
      </c>
      <c r="AT2044" s="126" t="s">
        <v>98</v>
      </c>
      <c r="AU2044" s="126" t="s">
        <v>98</v>
      </c>
      <c r="AV2044" s="126" t="s">
        <v>98</v>
      </c>
      <c r="AW2044" s="126" t="s">
        <v>98</v>
      </c>
      <c r="AX2044" s="126" t="s">
        <v>98</v>
      </c>
      <c r="AY2044" s="126" t="s">
        <v>98</v>
      </c>
      <c r="AZ2044" s="126" t="s">
        <v>98</v>
      </c>
      <c r="BA2044" s="126" t="s">
        <v>98</v>
      </c>
      <c r="BB2044" s="126" t="s">
        <v>98</v>
      </c>
      <c r="BC2044" s="126" t="s">
        <v>98</v>
      </c>
      <c r="BD2044" s="126" t="s">
        <v>98</v>
      </c>
      <c r="BE2044" s="126" t="s">
        <v>98</v>
      </c>
      <c r="BF2044" s="127" t="s">
        <v>4579</v>
      </c>
      <c r="BG2044" s="127" t="s">
        <v>7242</v>
      </c>
      <c r="BH2044" s="9" t="s">
        <v>100</v>
      </c>
      <c r="BI2044" s="9" t="s">
        <v>100</v>
      </c>
      <c r="BJ2044" s="535"/>
      <c r="BN2044" s="535"/>
      <c r="BO2044" s="535"/>
    </row>
    <row r="2045" spans="1:67" s="536" customFormat="1" ht="39" hidden="1" x14ac:dyDescent="0.35">
      <c r="A2045" s="126">
        <v>7888</v>
      </c>
      <c r="B2045" s="126" t="s">
        <v>7112</v>
      </c>
      <c r="C2045" s="127" t="s">
        <v>59</v>
      </c>
      <c r="D2045" s="127" t="s">
        <v>7245</v>
      </c>
      <c r="E2045" s="126" t="s">
        <v>36</v>
      </c>
      <c r="F2045" s="126" t="s">
        <v>123</v>
      </c>
      <c r="G2045" s="126" t="s">
        <v>225</v>
      </c>
      <c r="H2045" s="126" t="s">
        <v>225</v>
      </c>
      <c r="I2045" s="126" t="s">
        <v>98</v>
      </c>
      <c r="J2045" s="127" t="s">
        <v>98</v>
      </c>
      <c r="K2045" s="126" t="s">
        <v>98</v>
      </c>
      <c r="L2045" s="126" t="s">
        <v>98</v>
      </c>
      <c r="M2045" s="126" t="s">
        <v>98</v>
      </c>
      <c r="N2045" s="127" t="s">
        <v>7238</v>
      </c>
      <c r="O2045" s="127" t="s">
        <v>276</v>
      </c>
      <c r="P2045" s="127" t="s">
        <v>236</v>
      </c>
      <c r="Q2045" s="146" t="s">
        <v>276</v>
      </c>
      <c r="R2045" s="127" t="s">
        <v>7239</v>
      </c>
      <c r="S2045" s="127" t="s">
        <v>276</v>
      </c>
      <c r="T2045" s="127" t="s">
        <v>98</v>
      </c>
      <c r="U2045" s="127">
        <v>2</v>
      </c>
      <c r="V2045" s="126" t="s">
        <v>14</v>
      </c>
      <c r="W2045" s="127" t="s">
        <v>98</v>
      </c>
      <c r="X2045" s="127" t="s">
        <v>209</v>
      </c>
      <c r="Y2045" s="132">
        <v>34144</v>
      </c>
      <c r="Z2045" s="127" t="s">
        <v>98</v>
      </c>
      <c r="AA2045" s="127" t="s">
        <v>276</v>
      </c>
      <c r="AB2045" s="127" t="s">
        <v>98</v>
      </c>
      <c r="AC2045" s="126">
        <v>0</v>
      </c>
      <c r="AD2045" s="126" t="s">
        <v>6723</v>
      </c>
      <c r="AE2045" s="126" t="s">
        <v>98</v>
      </c>
      <c r="AF2045" s="126" t="s">
        <v>98</v>
      </c>
      <c r="AG2045" s="127" t="s">
        <v>7240</v>
      </c>
      <c r="AH2045" s="127" t="s">
        <v>7246</v>
      </c>
      <c r="AI2045" s="134">
        <f>47+34</f>
        <v>81</v>
      </c>
      <c r="AJ2045" s="134" t="s">
        <v>98</v>
      </c>
      <c r="AK2045" s="134">
        <v>117</v>
      </c>
      <c r="AL2045" s="134" t="s">
        <v>98</v>
      </c>
      <c r="AM2045" s="134" t="s">
        <v>292</v>
      </c>
      <c r="AN2045" s="126" t="s">
        <v>276</v>
      </c>
      <c r="AO2045" s="148">
        <f>AI2045*100/AK2045</f>
        <v>69.230769230769226</v>
      </c>
      <c r="AP2045" s="126" t="s">
        <v>276</v>
      </c>
      <c r="AQ2045" s="126" t="s">
        <v>276</v>
      </c>
      <c r="AR2045" s="126" t="s">
        <v>98</v>
      </c>
      <c r="AS2045" s="126" t="s">
        <v>98</v>
      </c>
      <c r="AT2045" s="126" t="s">
        <v>98</v>
      </c>
      <c r="AU2045" s="126" t="s">
        <v>98</v>
      </c>
      <c r="AV2045" s="126" t="s">
        <v>98</v>
      </c>
      <c r="AW2045" s="126" t="s">
        <v>98</v>
      </c>
      <c r="AX2045" s="126" t="s">
        <v>98</v>
      </c>
      <c r="AY2045" s="126" t="s">
        <v>98</v>
      </c>
      <c r="AZ2045" s="126" t="s">
        <v>98</v>
      </c>
      <c r="BA2045" s="126" t="s">
        <v>98</v>
      </c>
      <c r="BB2045" s="126" t="s">
        <v>98</v>
      </c>
      <c r="BC2045" s="126" t="s">
        <v>98</v>
      </c>
      <c r="BD2045" s="126" t="s">
        <v>98</v>
      </c>
      <c r="BE2045" s="126" t="s">
        <v>98</v>
      </c>
      <c r="BF2045" s="127" t="s">
        <v>4579</v>
      </c>
      <c r="BG2045" s="127" t="s">
        <v>7242</v>
      </c>
      <c r="BH2045" s="9" t="s">
        <v>100</v>
      </c>
      <c r="BI2045" s="9" t="s">
        <v>100</v>
      </c>
      <c r="BJ2045" s="535"/>
      <c r="BN2045" s="535"/>
      <c r="BO2045" s="535"/>
    </row>
    <row r="2046" spans="1:67" s="536" customFormat="1" ht="39" hidden="1" x14ac:dyDescent="0.35">
      <c r="A2046" s="126">
        <v>7888</v>
      </c>
      <c r="B2046" s="126" t="s">
        <v>7112</v>
      </c>
      <c r="C2046" s="127" t="s">
        <v>59</v>
      </c>
      <c r="D2046" s="127" t="s">
        <v>7247</v>
      </c>
      <c r="E2046" s="126" t="s">
        <v>36</v>
      </c>
      <c r="F2046" s="126" t="s">
        <v>123</v>
      </c>
      <c r="G2046" s="126" t="s">
        <v>225</v>
      </c>
      <c r="H2046" s="126" t="s">
        <v>225</v>
      </c>
      <c r="I2046" s="126" t="s">
        <v>98</v>
      </c>
      <c r="J2046" s="127" t="s">
        <v>98</v>
      </c>
      <c r="K2046" s="126" t="s">
        <v>98</v>
      </c>
      <c r="L2046" s="126" t="s">
        <v>98</v>
      </c>
      <c r="M2046" s="126" t="s">
        <v>98</v>
      </c>
      <c r="N2046" s="127" t="s">
        <v>7238</v>
      </c>
      <c r="O2046" s="127" t="s">
        <v>276</v>
      </c>
      <c r="P2046" s="127" t="s">
        <v>236</v>
      </c>
      <c r="Q2046" s="146">
        <v>33878</v>
      </c>
      <c r="R2046" s="127" t="s">
        <v>7248</v>
      </c>
      <c r="S2046" s="127" t="s">
        <v>276</v>
      </c>
      <c r="T2046" s="127" t="s">
        <v>98</v>
      </c>
      <c r="U2046" s="127">
        <v>2</v>
      </c>
      <c r="V2046" s="126" t="s">
        <v>14</v>
      </c>
      <c r="W2046" s="127" t="s">
        <v>98</v>
      </c>
      <c r="X2046" s="127" t="s">
        <v>209</v>
      </c>
      <c r="Y2046" s="132">
        <v>34144</v>
      </c>
      <c r="Z2046" s="127" t="s">
        <v>98</v>
      </c>
      <c r="AA2046" s="127" t="s">
        <v>276</v>
      </c>
      <c r="AB2046" s="127" t="s">
        <v>98</v>
      </c>
      <c r="AC2046" s="126">
        <v>0</v>
      </c>
      <c r="AD2046" s="126" t="s">
        <v>6723</v>
      </c>
      <c r="AE2046" s="126" t="s">
        <v>98</v>
      </c>
      <c r="AF2046" s="126" t="s">
        <v>98</v>
      </c>
      <c r="AG2046" s="127" t="s">
        <v>7240</v>
      </c>
      <c r="AH2046" s="127" t="s">
        <v>7249</v>
      </c>
      <c r="AI2046" s="134">
        <f>47+34</f>
        <v>81</v>
      </c>
      <c r="AJ2046" s="134" t="s">
        <v>98</v>
      </c>
      <c r="AK2046" s="134">
        <v>249</v>
      </c>
      <c r="AL2046" s="134" t="s">
        <v>98</v>
      </c>
      <c r="AM2046" s="134" t="s">
        <v>292</v>
      </c>
      <c r="AN2046" s="126" t="s">
        <v>276</v>
      </c>
      <c r="AO2046" s="148">
        <f>AI2046*100/AK2046</f>
        <v>32.53012048192771</v>
      </c>
      <c r="AP2046" s="126" t="s">
        <v>276</v>
      </c>
      <c r="AQ2046" s="126" t="s">
        <v>276</v>
      </c>
      <c r="AR2046" s="126" t="s">
        <v>98</v>
      </c>
      <c r="AS2046" s="126" t="s">
        <v>98</v>
      </c>
      <c r="AT2046" s="126" t="s">
        <v>98</v>
      </c>
      <c r="AU2046" s="126" t="s">
        <v>98</v>
      </c>
      <c r="AV2046" s="126" t="s">
        <v>98</v>
      </c>
      <c r="AW2046" s="126" t="s">
        <v>98</v>
      </c>
      <c r="AX2046" s="126" t="s">
        <v>98</v>
      </c>
      <c r="AY2046" s="126" t="s">
        <v>98</v>
      </c>
      <c r="AZ2046" s="126" t="s">
        <v>98</v>
      </c>
      <c r="BA2046" s="126" t="s">
        <v>98</v>
      </c>
      <c r="BB2046" s="126" t="s">
        <v>98</v>
      </c>
      <c r="BC2046" s="126" t="s">
        <v>98</v>
      </c>
      <c r="BD2046" s="126" t="s">
        <v>98</v>
      </c>
      <c r="BE2046" s="126" t="s">
        <v>98</v>
      </c>
      <c r="BF2046" s="127" t="s">
        <v>7250</v>
      </c>
      <c r="BG2046" s="127" t="s">
        <v>7242</v>
      </c>
      <c r="BH2046" s="9" t="s">
        <v>100</v>
      </c>
      <c r="BI2046" s="9" t="s">
        <v>100</v>
      </c>
      <c r="BJ2046" s="535"/>
      <c r="BN2046" s="535"/>
      <c r="BO2046" s="535"/>
    </row>
    <row r="2047" spans="1:67" s="538" customFormat="1" ht="65" hidden="1" x14ac:dyDescent="0.35">
      <c r="A2047" s="220">
        <v>7888</v>
      </c>
      <c r="B2047" s="220" t="s">
        <v>7112</v>
      </c>
      <c r="C2047" s="221" t="s">
        <v>59</v>
      </c>
      <c r="D2047" s="221" t="s">
        <v>7251</v>
      </c>
      <c r="E2047" s="220" t="s">
        <v>36</v>
      </c>
      <c r="F2047" s="220" t="s">
        <v>123</v>
      </c>
      <c r="G2047" s="220" t="s">
        <v>225</v>
      </c>
      <c r="H2047" s="220" t="s">
        <v>125</v>
      </c>
      <c r="I2047" s="220" t="s">
        <v>114</v>
      </c>
      <c r="J2047" s="221" t="s">
        <v>32</v>
      </c>
      <c r="K2047" s="220" t="s">
        <v>2345</v>
      </c>
      <c r="L2047" s="220" t="s">
        <v>2224</v>
      </c>
      <c r="M2047" s="220" t="s">
        <v>276</v>
      </c>
      <c r="N2047" s="221" t="s">
        <v>7238</v>
      </c>
      <c r="O2047" s="221" t="s">
        <v>276</v>
      </c>
      <c r="P2047" s="221" t="s">
        <v>239</v>
      </c>
      <c r="Q2047" s="240" t="s">
        <v>276</v>
      </c>
      <c r="R2047" s="221" t="s">
        <v>7239</v>
      </c>
      <c r="S2047" s="221" t="s">
        <v>276</v>
      </c>
      <c r="T2047" s="221" t="s">
        <v>276</v>
      </c>
      <c r="U2047" s="221">
        <v>2</v>
      </c>
      <c r="V2047" s="220" t="s">
        <v>14</v>
      </c>
      <c r="W2047" s="221" t="s">
        <v>98</v>
      </c>
      <c r="X2047" s="221" t="s">
        <v>207</v>
      </c>
      <c r="Y2047" s="225">
        <v>34144</v>
      </c>
      <c r="Z2047" s="226">
        <v>34164</v>
      </c>
      <c r="AA2047" s="221" t="s">
        <v>276</v>
      </c>
      <c r="AB2047" s="221" t="s">
        <v>276</v>
      </c>
      <c r="AC2047" s="220" t="s">
        <v>98</v>
      </c>
      <c r="AD2047" s="220" t="s">
        <v>98</v>
      </c>
      <c r="AE2047" s="220" t="s">
        <v>98</v>
      </c>
      <c r="AF2047" s="220" t="s">
        <v>98</v>
      </c>
      <c r="AG2047" s="221" t="s">
        <v>7252</v>
      </c>
      <c r="AH2047" s="221" t="s">
        <v>7253</v>
      </c>
      <c r="AI2047" s="226">
        <v>117</v>
      </c>
      <c r="AJ2047" s="226">
        <v>44</v>
      </c>
      <c r="AK2047" s="225">
        <v>34144</v>
      </c>
      <c r="AL2047" s="226">
        <v>34164</v>
      </c>
      <c r="AM2047" s="226" t="s">
        <v>2047</v>
      </c>
      <c r="AN2047" s="220" t="s">
        <v>276</v>
      </c>
      <c r="AO2047" s="228">
        <f t="shared" ref="AO2047:AO2054" si="571">AI2047*1000/AK2047</f>
        <v>3.4266635426429239</v>
      </c>
      <c r="AP2047" s="220" t="s">
        <v>276</v>
      </c>
      <c r="AQ2047" s="220" t="s">
        <v>276</v>
      </c>
      <c r="AR2047" s="220" t="s">
        <v>276</v>
      </c>
      <c r="AS2047" s="228">
        <f t="shared" ref="AS2047:AS2054" si="572">AJ2047*1000/AL2047</f>
        <v>1.2879053974944386</v>
      </c>
      <c r="AT2047" s="220" t="s">
        <v>276</v>
      </c>
      <c r="AU2047" s="220" t="s">
        <v>276</v>
      </c>
      <c r="AV2047" s="220" t="s">
        <v>268</v>
      </c>
      <c r="AW2047" s="220" t="s">
        <v>276</v>
      </c>
      <c r="AX2047" s="228">
        <f>AO2047/AS2047</f>
        <v>2.6606484834284738</v>
      </c>
      <c r="AY2047" s="220" t="s">
        <v>276</v>
      </c>
      <c r="AZ2047" s="220" t="s">
        <v>276</v>
      </c>
      <c r="BA2047" s="220" t="s">
        <v>276</v>
      </c>
      <c r="BB2047" s="220" t="s">
        <v>282</v>
      </c>
      <c r="BC2047" s="220" t="s">
        <v>98</v>
      </c>
      <c r="BD2047" s="220" t="s">
        <v>98</v>
      </c>
      <c r="BE2047" s="220" t="s">
        <v>98</v>
      </c>
      <c r="BF2047" s="221" t="s">
        <v>7254</v>
      </c>
      <c r="BG2047" s="221" t="s">
        <v>7242</v>
      </c>
      <c r="BH2047" s="9" t="s">
        <v>100</v>
      </c>
      <c r="BI2047" s="9" t="s">
        <v>100</v>
      </c>
      <c r="BJ2047" s="537"/>
      <c r="BN2047" s="537"/>
      <c r="BO2047" s="537"/>
    </row>
    <row r="2048" spans="1:67" s="538" customFormat="1" ht="65" hidden="1" x14ac:dyDescent="0.35">
      <c r="A2048" s="220">
        <v>7888</v>
      </c>
      <c r="B2048" s="220" t="s">
        <v>7112</v>
      </c>
      <c r="C2048" s="221" t="s">
        <v>59</v>
      </c>
      <c r="D2048" s="221" t="s">
        <v>7255</v>
      </c>
      <c r="E2048" s="220" t="s">
        <v>36</v>
      </c>
      <c r="F2048" s="220" t="s">
        <v>123</v>
      </c>
      <c r="G2048" s="220" t="s">
        <v>225</v>
      </c>
      <c r="H2048" s="220" t="s">
        <v>125</v>
      </c>
      <c r="I2048" s="220" t="s">
        <v>114</v>
      </c>
      <c r="J2048" s="221" t="s">
        <v>32</v>
      </c>
      <c r="K2048" s="220" t="s">
        <v>6751</v>
      </c>
      <c r="L2048" s="220" t="s">
        <v>2224</v>
      </c>
      <c r="M2048" s="220" t="s">
        <v>276</v>
      </c>
      <c r="N2048" s="221" t="s">
        <v>7238</v>
      </c>
      <c r="O2048" s="221" t="s">
        <v>276</v>
      </c>
      <c r="P2048" s="221" t="s">
        <v>239</v>
      </c>
      <c r="Q2048" s="240" t="s">
        <v>276</v>
      </c>
      <c r="R2048" s="221" t="s">
        <v>7239</v>
      </c>
      <c r="S2048" s="221" t="s">
        <v>276</v>
      </c>
      <c r="T2048" s="221" t="s">
        <v>276</v>
      </c>
      <c r="U2048" s="221">
        <v>2</v>
      </c>
      <c r="V2048" s="220" t="s">
        <v>14</v>
      </c>
      <c r="W2048" s="221" t="s">
        <v>98</v>
      </c>
      <c r="X2048" s="221" t="s">
        <v>207</v>
      </c>
      <c r="Y2048" s="225">
        <v>34144</v>
      </c>
      <c r="Z2048" s="226">
        <v>34164</v>
      </c>
      <c r="AA2048" s="221" t="s">
        <v>276</v>
      </c>
      <c r="AB2048" s="221" t="s">
        <v>276</v>
      </c>
      <c r="AC2048" s="220" t="s">
        <v>98</v>
      </c>
      <c r="AD2048" s="220" t="s">
        <v>98</v>
      </c>
      <c r="AE2048" s="220" t="s">
        <v>98</v>
      </c>
      <c r="AF2048" s="220" t="s">
        <v>98</v>
      </c>
      <c r="AG2048" s="221" t="s">
        <v>7256</v>
      </c>
      <c r="AH2048" s="221" t="s">
        <v>7253</v>
      </c>
      <c r="AI2048" s="226">
        <v>419</v>
      </c>
      <c r="AJ2048" s="226">
        <v>51</v>
      </c>
      <c r="AK2048" s="225">
        <v>34144</v>
      </c>
      <c r="AL2048" s="226">
        <v>34164</v>
      </c>
      <c r="AM2048" s="226" t="s">
        <v>2047</v>
      </c>
      <c r="AN2048" s="220" t="s">
        <v>276</v>
      </c>
      <c r="AO2048" s="228">
        <f t="shared" si="571"/>
        <v>12.271555763823805</v>
      </c>
      <c r="AP2048" s="220" t="s">
        <v>276</v>
      </c>
      <c r="AQ2048" s="220" t="s">
        <v>276</v>
      </c>
      <c r="AR2048" s="220" t="s">
        <v>276</v>
      </c>
      <c r="AS2048" s="228">
        <f t="shared" si="572"/>
        <v>1.4927994380049174</v>
      </c>
      <c r="AT2048" s="220" t="s">
        <v>276</v>
      </c>
      <c r="AU2048" s="220" t="s">
        <v>276</v>
      </c>
      <c r="AV2048" s="220" t="s">
        <v>268</v>
      </c>
      <c r="AW2048" s="220" t="s">
        <v>276</v>
      </c>
      <c r="AX2048" s="228">
        <f t="shared" ref="AX2048:AX2063" si="573">AO2048/AS2048</f>
        <v>8.220498649319147</v>
      </c>
      <c r="AY2048" s="220" t="s">
        <v>276</v>
      </c>
      <c r="AZ2048" s="220" t="s">
        <v>276</v>
      </c>
      <c r="BA2048" s="220" t="s">
        <v>276</v>
      </c>
      <c r="BB2048" s="220" t="s">
        <v>282</v>
      </c>
      <c r="BC2048" s="220" t="s">
        <v>98</v>
      </c>
      <c r="BD2048" s="220" t="s">
        <v>98</v>
      </c>
      <c r="BE2048" s="220" t="s">
        <v>98</v>
      </c>
      <c r="BF2048" s="221" t="s">
        <v>7257</v>
      </c>
      <c r="BG2048" s="221" t="s">
        <v>7242</v>
      </c>
      <c r="BH2048" s="9" t="s">
        <v>100</v>
      </c>
      <c r="BI2048" s="9" t="s">
        <v>100</v>
      </c>
      <c r="BJ2048" s="537"/>
      <c r="BN2048" s="537"/>
      <c r="BO2048" s="537"/>
    </row>
    <row r="2049" spans="1:67" s="538" customFormat="1" ht="65" hidden="1" x14ac:dyDescent="0.35">
      <c r="A2049" s="220">
        <v>7888</v>
      </c>
      <c r="B2049" s="220" t="s">
        <v>7112</v>
      </c>
      <c r="C2049" s="221" t="s">
        <v>59</v>
      </c>
      <c r="D2049" s="221" t="s">
        <v>7258</v>
      </c>
      <c r="E2049" s="220" t="s">
        <v>36</v>
      </c>
      <c r="F2049" s="220" t="s">
        <v>123</v>
      </c>
      <c r="G2049" s="220" t="s">
        <v>225</v>
      </c>
      <c r="H2049" s="220" t="s">
        <v>125</v>
      </c>
      <c r="I2049" s="220" t="s">
        <v>114</v>
      </c>
      <c r="J2049" s="346" t="s">
        <v>11166</v>
      </c>
      <c r="K2049" s="220" t="s">
        <v>7259</v>
      </c>
      <c r="L2049" s="220" t="s">
        <v>2224</v>
      </c>
      <c r="M2049" s="220" t="s">
        <v>276</v>
      </c>
      <c r="N2049" s="221" t="s">
        <v>7238</v>
      </c>
      <c r="O2049" s="221" t="s">
        <v>276</v>
      </c>
      <c r="P2049" s="221" t="s">
        <v>239</v>
      </c>
      <c r="Q2049" s="240" t="s">
        <v>276</v>
      </c>
      <c r="R2049" s="221" t="s">
        <v>7239</v>
      </c>
      <c r="S2049" s="221" t="s">
        <v>276</v>
      </c>
      <c r="T2049" s="221" t="s">
        <v>276</v>
      </c>
      <c r="U2049" s="221">
        <v>2</v>
      </c>
      <c r="V2049" s="220" t="s">
        <v>14</v>
      </c>
      <c r="W2049" s="221" t="s">
        <v>98</v>
      </c>
      <c r="X2049" s="221" t="s">
        <v>207</v>
      </c>
      <c r="Y2049" s="225">
        <v>34144</v>
      </c>
      <c r="Z2049" s="226">
        <v>34164</v>
      </c>
      <c r="AA2049" s="221" t="s">
        <v>276</v>
      </c>
      <c r="AB2049" s="221" t="s">
        <v>276</v>
      </c>
      <c r="AC2049" s="220" t="s">
        <v>98</v>
      </c>
      <c r="AD2049" s="220" t="s">
        <v>98</v>
      </c>
      <c r="AE2049" s="220" t="s">
        <v>98</v>
      </c>
      <c r="AF2049" s="220" t="s">
        <v>98</v>
      </c>
      <c r="AG2049" s="221" t="s">
        <v>7260</v>
      </c>
      <c r="AH2049" s="221" t="s">
        <v>7253</v>
      </c>
      <c r="AI2049" s="226">
        <v>258</v>
      </c>
      <c r="AJ2049" s="226">
        <v>24</v>
      </c>
      <c r="AK2049" s="225">
        <v>34144</v>
      </c>
      <c r="AL2049" s="226">
        <v>34164</v>
      </c>
      <c r="AM2049" s="226" t="s">
        <v>2047</v>
      </c>
      <c r="AN2049" s="220" t="s">
        <v>276</v>
      </c>
      <c r="AO2049" s="228">
        <f t="shared" si="571"/>
        <v>7.5562324273664476</v>
      </c>
      <c r="AP2049" s="220" t="s">
        <v>276</v>
      </c>
      <c r="AQ2049" s="220" t="s">
        <v>276</v>
      </c>
      <c r="AR2049" s="220" t="s">
        <v>276</v>
      </c>
      <c r="AS2049" s="228">
        <f t="shared" si="572"/>
        <v>0.70249385317878466</v>
      </c>
      <c r="AT2049" s="220" t="s">
        <v>276</v>
      </c>
      <c r="AU2049" s="220" t="s">
        <v>276</v>
      </c>
      <c r="AV2049" s="220" t="s">
        <v>268</v>
      </c>
      <c r="AW2049" s="220" t="s">
        <v>276</v>
      </c>
      <c r="AX2049" s="228">
        <f t="shared" si="573"/>
        <v>10.756296860356139</v>
      </c>
      <c r="AY2049" s="220" t="s">
        <v>276</v>
      </c>
      <c r="AZ2049" s="220" t="s">
        <v>276</v>
      </c>
      <c r="BA2049" s="220" t="s">
        <v>276</v>
      </c>
      <c r="BB2049" s="220" t="s">
        <v>282</v>
      </c>
      <c r="BC2049" s="220" t="s">
        <v>98</v>
      </c>
      <c r="BD2049" s="220" t="s">
        <v>98</v>
      </c>
      <c r="BE2049" s="220" t="s">
        <v>98</v>
      </c>
      <c r="BF2049" s="221" t="s">
        <v>7261</v>
      </c>
      <c r="BG2049" s="221" t="s">
        <v>7242</v>
      </c>
      <c r="BH2049" s="9" t="s">
        <v>100</v>
      </c>
      <c r="BI2049" s="9" t="s">
        <v>100</v>
      </c>
      <c r="BJ2049" s="537"/>
      <c r="BN2049" s="537"/>
      <c r="BO2049" s="537"/>
    </row>
    <row r="2050" spans="1:67" s="538" customFormat="1" ht="65" hidden="1" x14ac:dyDescent="0.35">
      <c r="A2050" s="220">
        <v>7888</v>
      </c>
      <c r="B2050" s="220" t="s">
        <v>7112</v>
      </c>
      <c r="C2050" s="221" t="s">
        <v>59</v>
      </c>
      <c r="D2050" s="221" t="s">
        <v>7262</v>
      </c>
      <c r="E2050" s="220" t="s">
        <v>36</v>
      </c>
      <c r="F2050" s="220" t="s">
        <v>123</v>
      </c>
      <c r="G2050" s="220" t="s">
        <v>225</v>
      </c>
      <c r="H2050" s="220" t="s">
        <v>125</v>
      </c>
      <c r="I2050" s="220" t="s">
        <v>114</v>
      </c>
      <c r="J2050" s="221" t="s">
        <v>28</v>
      </c>
      <c r="K2050" s="220" t="s">
        <v>6737</v>
      </c>
      <c r="L2050" s="220" t="s">
        <v>2224</v>
      </c>
      <c r="M2050" s="220" t="s">
        <v>276</v>
      </c>
      <c r="N2050" s="221" t="s">
        <v>7238</v>
      </c>
      <c r="O2050" s="221" t="s">
        <v>276</v>
      </c>
      <c r="P2050" s="221" t="s">
        <v>239</v>
      </c>
      <c r="Q2050" s="240" t="s">
        <v>276</v>
      </c>
      <c r="R2050" s="221" t="s">
        <v>7239</v>
      </c>
      <c r="S2050" s="221" t="s">
        <v>276</v>
      </c>
      <c r="T2050" s="221" t="s">
        <v>276</v>
      </c>
      <c r="U2050" s="221">
        <v>2</v>
      </c>
      <c r="V2050" s="220" t="s">
        <v>14</v>
      </c>
      <c r="W2050" s="221" t="s">
        <v>98</v>
      </c>
      <c r="X2050" s="221" t="s">
        <v>207</v>
      </c>
      <c r="Y2050" s="225">
        <v>34144</v>
      </c>
      <c r="Z2050" s="226">
        <v>34164</v>
      </c>
      <c r="AA2050" s="221" t="s">
        <v>276</v>
      </c>
      <c r="AB2050" s="221" t="s">
        <v>276</v>
      </c>
      <c r="AC2050" s="220">
        <v>0</v>
      </c>
      <c r="AD2050" s="220" t="s">
        <v>968</v>
      </c>
      <c r="AE2050" s="220">
        <v>0</v>
      </c>
      <c r="AF2050" s="220" t="s">
        <v>968</v>
      </c>
      <c r="AG2050" s="221" t="s">
        <v>7263</v>
      </c>
      <c r="AH2050" s="221" t="s">
        <v>7253</v>
      </c>
      <c r="AI2050" s="226">
        <v>30</v>
      </c>
      <c r="AJ2050" s="226">
        <v>4</v>
      </c>
      <c r="AK2050" s="225">
        <v>34144</v>
      </c>
      <c r="AL2050" s="226">
        <v>34164</v>
      </c>
      <c r="AM2050" s="226" t="s">
        <v>2047</v>
      </c>
      <c r="AN2050" s="220" t="s">
        <v>276</v>
      </c>
      <c r="AO2050" s="228">
        <f t="shared" si="571"/>
        <v>0.87863167760074978</v>
      </c>
      <c r="AP2050" s="220" t="s">
        <v>276</v>
      </c>
      <c r="AQ2050" s="220" t="s">
        <v>276</v>
      </c>
      <c r="AR2050" s="220" t="s">
        <v>276</v>
      </c>
      <c r="AS2050" s="228">
        <f t="shared" si="572"/>
        <v>0.11708230886313079</v>
      </c>
      <c r="AT2050" s="220" t="s">
        <v>276</v>
      </c>
      <c r="AU2050" s="220" t="s">
        <v>276</v>
      </c>
      <c r="AV2050" s="220" t="s">
        <v>268</v>
      </c>
      <c r="AW2050" s="220" t="s">
        <v>276</v>
      </c>
      <c r="AX2050" s="228">
        <f t="shared" si="573"/>
        <v>7.5043931583880035</v>
      </c>
      <c r="AY2050" s="220" t="s">
        <v>276</v>
      </c>
      <c r="AZ2050" s="220" t="s">
        <v>276</v>
      </c>
      <c r="BA2050" s="220" t="s">
        <v>11171</v>
      </c>
      <c r="BB2050" s="220" t="s">
        <v>282</v>
      </c>
      <c r="BC2050" s="220" t="s">
        <v>98</v>
      </c>
      <c r="BD2050" s="220" t="s">
        <v>98</v>
      </c>
      <c r="BE2050" s="220" t="s">
        <v>98</v>
      </c>
      <c r="BF2050" s="221" t="s">
        <v>11172</v>
      </c>
      <c r="BG2050" s="221" t="s">
        <v>7242</v>
      </c>
      <c r="BH2050" s="9" t="s">
        <v>100</v>
      </c>
      <c r="BI2050" s="9" t="s">
        <v>100</v>
      </c>
      <c r="BJ2050" s="537"/>
      <c r="BN2050" s="537"/>
      <c r="BO2050" s="537"/>
    </row>
    <row r="2051" spans="1:67" s="538" customFormat="1" ht="65" hidden="1" x14ac:dyDescent="0.35">
      <c r="A2051" s="220">
        <v>7888</v>
      </c>
      <c r="B2051" s="220" t="s">
        <v>7112</v>
      </c>
      <c r="C2051" s="221" t="s">
        <v>59</v>
      </c>
      <c r="D2051" s="221" t="s">
        <v>7264</v>
      </c>
      <c r="E2051" s="220" t="s">
        <v>36</v>
      </c>
      <c r="F2051" s="220" t="s">
        <v>123</v>
      </c>
      <c r="G2051" s="220" t="s">
        <v>225</v>
      </c>
      <c r="H2051" s="220" t="s">
        <v>125</v>
      </c>
      <c r="I2051" s="220" t="s">
        <v>114</v>
      </c>
      <c r="J2051" s="221" t="s">
        <v>28</v>
      </c>
      <c r="K2051" s="220" t="s">
        <v>6740</v>
      </c>
      <c r="L2051" s="220" t="s">
        <v>2224</v>
      </c>
      <c r="M2051" s="220" t="s">
        <v>276</v>
      </c>
      <c r="N2051" s="221" t="s">
        <v>7238</v>
      </c>
      <c r="O2051" s="221" t="s">
        <v>276</v>
      </c>
      <c r="P2051" s="221" t="s">
        <v>239</v>
      </c>
      <c r="Q2051" s="240" t="s">
        <v>276</v>
      </c>
      <c r="R2051" s="221" t="s">
        <v>7239</v>
      </c>
      <c r="S2051" s="221" t="s">
        <v>276</v>
      </c>
      <c r="T2051" s="221" t="s">
        <v>276</v>
      </c>
      <c r="U2051" s="221">
        <v>2</v>
      </c>
      <c r="V2051" s="220" t="s">
        <v>14</v>
      </c>
      <c r="W2051" s="221" t="s">
        <v>98</v>
      </c>
      <c r="X2051" s="221" t="s">
        <v>207</v>
      </c>
      <c r="Y2051" s="225">
        <v>34144</v>
      </c>
      <c r="Z2051" s="226">
        <v>34164</v>
      </c>
      <c r="AA2051" s="221" t="s">
        <v>276</v>
      </c>
      <c r="AB2051" s="221" t="s">
        <v>276</v>
      </c>
      <c r="AC2051" s="220">
        <v>0</v>
      </c>
      <c r="AD2051" s="220" t="s">
        <v>968</v>
      </c>
      <c r="AE2051" s="220">
        <v>0</v>
      </c>
      <c r="AF2051" s="220" t="s">
        <v>968</v>
      </c>
      <c r="AG2051" s="221" t="s">
        <v>7265</v>
      </c>
      <c r="AH2051" s="221" t="s">
        <v>7253</v>
      </c>
      <c r="AI2051" s="226">
        <v>33</v>
      </c>
      <c r="AJ2051" s="226">
        <v>15</v>
      </c>
      <c r="AK2051" s="225">
        <v>34144</v>
      </c>
      <c r="AL2051" s="226">
        <v>34164</v>
      </c>
      <c r="AM2051" s="226" t="s">
        <v>2047</v>
      </c>
      <c r="AN2051" s="220" t="s">
        <v>276</v>
      </c>
      <c r="AO2051" s="228">
        <f t="shared" si="571"/>
        <v>0.96649484536082475</v>
      </c>
      <c r="AP2051" s="220" t="s">
        <v>276</v>
      </c>
      <c r="AQ2051" s="220" t="s">
        <v>276</v>
      </c>
      <c r="AR2051" s="220" t="s">
        <v>276</v>
      </c>
      <c r="AS2051" s="228">
        <f t="shared" si="572"/>
        <v>0.43905865823674045</v>
      </c>
      <c r="AT2051" s="220" t="s">
        <v>276</v>
      </c>
      <c r="AU2051" s="220" t="s">
        <v>276</v>
      </c>
      <c r="AV2051" s="220" t="s">
        <v>268</v>
      </c>
      <c r="AW2051" s="220" t="s">
        <v>276</v>
      </c>
      <c r="AX2051" s="228">
        <f t="shared" si="573"/>
        <v>2.2012886597938142</v>
      </c>
      <c r="AY2051" s="220" t="s">
        <v>276</v>
      </c>
      <c r="AZ2051" s="220" t="s">
        <v>276</v>
      </c>
      <c r="BA2051" s="220" t="s">
        <v>276</v>
      </c>
      <c r="BB2051" s="220" t="s">
        <v>282</v>
      </c>
      <c r="BC2051" s="220" t="s">
        <v>98</v>
      </c>
      <c r="BD2051" s="220" t="s">
        <v>98</v>
      </c>
      <c r="BE2051" s="220" t="s">
        <v>98</v>
      </c>
      <c r="BF2051" s="221" t="s">
        <v>6697</v>
      </c>
      <c r="BG2051" s="221" t="s">
        <v>7242</v>
      </c>
      <c r="BH2051" s="9" t="s">
        <v>100</v>
      </c>
      <c r="BI2051" s="9" t="s">
        <v>100</v>
      </c>
      <c r="BJ2051" s="537"/>
      <c r="BN2051" s="537"/>
      <c r="BO2051" s="537"/>
    </row>
    <row r="2052" spans="1:67" s="538" customFormat="1" ht="65" hidden="1" x14ac:dyDescent="0.35">
      <c r="A2052" s="220">
        <v>7888</v>
      </c>
      <c r="B2052" s="220" t="s">
        <v>7112</v>
      </c>
      <c r="C2052" s="221" t="s">
        <v>59</v>
      </c>
      <c r="D2052" s="221" t="s">
        <v>7266</v>
      </c>
      <c r="E2052" s="220" t="s">
        <v>36</v>
      </c>
      <c r="F2052" s="220" t="s">
        <v>123</v>
      </c>
      <c r="G2052" s="220" t="s">
        <v>225</v>
      </c>
      <c r="H2052" s="220" t="s">
        <v>125</v>
      </c>
      <c r="I2052" s="220" t="s">
        <v>114</v>
      </c>
      <c r="J2052" s="221" t="s">
        <v>28</v>
      </c>
      <c r="K2052" s="220" t="s">
        <v>6742</v>
      </c>
      <c r="L2052" s="220" t="s">
        <v>2224</v>
      </c>
      <c r="M2052" s="220" t="s">
        <v>276</v>
      </c>
      <c r="N2052" s="221" t="s">
        <v>7238</v>
      </c>
      <c r="O2052" s="221" t="s">
        <v>276</v>
      </c>
      <c r="P2052" s="221" t="s">
        <v>239</v>
      </c>
      <c r="Q2052" s="240" t="s">
        <v>276</v>
      </c>
      <c r="R2052" s="221" t="s">
        <v>7239</v>
      </c>
      <c r="S2052" s="221" t="s">
        <v>276</v>
      </c>
      <c r="T2052" s="221" t="s">
        <v>276</v>
      </c>
      <c r="U2052" s="221">
        <v>2</v>
      </c>
      <c r="V2052" s="220" t="s">
        <v>14</v>
      </c>
      <c r="W2052" s="221" t="s">
        <v>98</v>
      </c>
      <c r="X2052" s="221" t="s">
        <v>207</v>
      </c>
      <c r="Y2052" s="225">
        <v>34144</v>
      </c>
      <c r="Z2052" s="226">
        <v>34164</v>
      </c>
      <c r="AA2052" s="221" t="s">
        <v>276</v>
      </c>
      <c r="AB2052" s="221" t="s">
        <v>276</v>
      </c>
      <c r="AC2052" s="220">
        <v>0</v>
      </c>
      <c r="AD2052" s="220" t="s">
        <v>968</v>
      </c>
      <c r="AE2052" s="220">
        <v>0</v>
      </c>
      <c r="AF2052" s="220" t="s">
        <v>968</v>
      </c>
      <c r="AG2052" s="221" t="s">
        <v>7267</v>
      </c>
      <c r="AH2052" s="221" t="s">
        <v>7253</v>
      </c>
      <c r="AI2052" s="226">
        <v>37</v>
      </c>
      <c r="AJ2052" s="226">
        <v>14</v>
      </c>
      <c r="AK2052" s="225">
        <v>34144</v>
      </c>
      <c r="AL2052" s="226">
        <v>34164</v>
      </c>
      <c r="AM2052" s="226" t="s">
        <v>2047</v>
      </c>
      <c r="AN2052" s="220" t="s">
        <v>276</v>
      </c>
      <c r="AO2052" s="228">
        <f t="shared" si="571"/>
        <v>1.0836457357075915</v>
      </c>
      <c r="AP2052" s="220" t="s">
        <v>276</v>
      </c>
      <c r="AQ2052" s="220" t="s">
        <v>276</v>
      </c>
      <c r="AR2052" s="220" t="s">
        <v>276</v>
      </c>
      <c r="AS2052" s="228">
        <f t="shared" si="572"/>
        <v>0.40978808102095771</v>
      </c>
      <c r="AT2052" s="220" t="s">
        <v>276</v>
      </c>
      <c r="AU2052" s="220" t="s">
        <v>276</v>
      </c>
      <c r="AV2052" s="220" t="s">
        <v>268</v>
      </c>
      <c r="AW2052" s="220" t="s">
        <v>276</v>
      </c>
      <c r="AX2052" s="228">
        <f t="shared" si="573"/>
        <v>2.6444052081938683</v>
      </c>
      <c r="AY2052" s="220" t="s">
        <v>276</v>
      </c>
      <c r="AZ2052" s="220" t="s">
        <v>276</v>
      </c>
      <c r="BA2052" s="220" t="s">
        <v>276</v>
      </c>
      <c r="BB2052" s="220" t="s">
        <v>282</v>
      </c>
      <c r="BC2052" s="220" t="s">
        <v>98</v>
      </c>
      <c r="BD2052" s="220" t="s">
        <v>98</v>
      </c>
      <c r="BE2052" s="220" t="s">
        <v>98</v>
      </c>
      <c r="BF2052" s="221" t="s">
        <v>6697</v>
      </c>
      <c r="BG2052" s="221" t="s">
        <v>7242</v>
      </c>
      <c r="BH2052" s="9" t="s">
        <v>100</v>
      </c>
      <c r="BI2052" s="9" t="s">
        <v>100</v>
      </c>
      <c r="BJ2052" s="537"/>
      <c r="BN2052" s="537"/>
      <c r="BO2052" s="537"/>
    </row>
    <row r="2053" spans="1:67" s="538" customFormat="1" ht="65" hidden="1" x14ac:dyDescent="0.35">
      <c r="A2053" s="220">
        <v>7888</v>
      </c>
      <c r="B2053" s="220" t="s">
        <v>7112</v>
      </c>
      <c r="C2053" s="221" t="s">
        <v>59</v>
      </c>
      <c r="D2053" s="221" t="s">
        <v>7268</v>
      </c>
      <c r="E2053" s="220" t="s">
        <v>36</v>
      </c>
      <c r="F2053" s="220" t="s">
        <v>123</v>
      </c>
      <c r="G2053" s="220" t="s">
        <v>225</v>
      </c>
      <c r="H2053" s="220" t="s">
        <v>125</v>
      </c>
      <c r="I2053" s="220" t="s">
        <v>114</v>
      </c>
      <c r="J2053" s="221" t="s">
        <v>28</v>
      </c>
      <c r="K2053" s="220" t="s">
        <v>7100</v>
      </c>
      <c r="L2053" s="220" t="s">
        <v>2224</v>
      </c>
      <c r="M2053" s="220" t="s">
        <v>276</v>
      </c>
      <c r="N2053" s="221" t="s">
        <v>7238</v>
      </c>
      <c r="O2053" s="221" t="s">
        <v>276</v>
      </c>
      <c r="P2053" s="221" t="s">
        <v>239</v>
      </c>
      <c r="Q2053" s="240" t="s">
        <v>276</v>
      </c>
      <c r="R2053" s="221" t="s">
        <v>7239</v>
      </c>
      <c r="S2053" s="221" t="s">
        <v>276</v>
      </c>
      <c r="T2053" s="221" t="s">
        <v>276</v>
      </c>
      <c r="U2053" s="221">
        <v>2</v>
      </c>
      <c r="V2053" s="220" t="s">
        <v>14</v>
      </c>
      <c r="W2053" s="221" t="s">
        <v>98</v>
      </c>
      <c r="X2053" s="221" t="s">
        <v>207</v>
      </c>
      <c r="Y2053" s="225">
        <v>34144</v>
      </c>
      <c r="Z2053" s="226">
        <v>34164</v>
      </c>
      <c r="AA2053" s="221" t="s">
        <v>276</v>
      </c>
      <c r="AB2053" s="221" t="s">
        <v>276</v>
      </c>
      <c r="AC2053" s="220">
        <v>0</v>
      </c>
      <c r="AD2053" s="220" t="s">
        <v>968</v>
      </c>
      <c r="AE2053" s="220">
        <v>0</v>
      </c>
      <c r="AF2053" s="220" t="s">
        <v>968</v>
      </c>
      <c r="AG2053" s="221" t="s">
        <v>7269</v>
      </c>
      <c r="AH2053" s="221" t="s">
        <v>7253</v>
      </c>
      <c r="AI2053" s="226">
        <v>17</v>
      </c>
      <c r="AJ2053" s="226">
        <v>11</v>
      </c>
      <c r="AK2053" s="225">
        <v>34144</v>
      </c>
      <c r="AL2053" s="226">
        <v>34164</v>
      </c>
      <c r="AM2053" s="226" t="s">
        <v>2047</v>
      </c>
      <c r="AN2053" s="220" t="s">
        <v>276</v>
      </c>
      <c r="AO2053" s="228">
        <f t="shared" ref="AO2053" si="574">AI2053*1000/AK2053</f>
        <v>0.4978912839737582</v>
      </c>
      <c r="AP2053" s="220" t="s">
        <v>276</v>
      </c>
      <c r="AQ2053" s="220" t="s">
        <v>276</v>
      </c>
      <c r="AR2053" s="220" t="s">
        <v>276</v>
      </c>
      <c r="AS2053" s="228">
        <f t="shared" ref="AS2053" si="575">AJ2053*1000/AL2053</f>
        <v>0.32197634937360964</v>
      </c>
      <c r="AT2053" s="220" t="s">
        <v>276</v>
      </c>
      <c r="AU2053" s="220" t="s">
        <v>276</v>
      </c>
      <c r="AV2053" s="220" t="s">
        <v>268</v>
      </c>
      <c r="AW2053" s="220" t="s">
        <v>276</v>
      </c>
      <c r="AX2053" s="228">
        <f t="shared" ref="AX2053" si="576">AO2053/AS2053</f>
        <v>1.5463598023344978</v>
      </c>
      <c r="AY2053" s="220" t="s">
        <v>276</v>
      </c>
      <c r="AZ2053" s="220" t="s">
        <v>276</v>
      </c>
      <c r="BA2053" s="220" t="s">
        <v>691</v>
      </c>
      <c r="BB2053" s="220" t="s">
        <v>282</v>
      </c>
      <c r="BC2053" s="220" t="s">
        <v>98</v>
      </c>
      <c r="BD2053" s="220" t="s">
        <v>98</v>
      </c>
      <c r="BE2053" s="220" t="s">
        <v>98</v>
      </c>
      <c r="BF2053" s="221" t="s">
        <v>7270</v>
      </c>
      <c r="BG2053" s="221" t="s">
        <v>7242</v>
      </c>
      <c r="BH2053" s="9" t="s">
        <v>100</v>
      </c>
      <c r="BI2053" s="9" t="s">
        <v>100</v>
      </c>
      <c r="BJ2053" s="537"/>
      <c r="BN2053" s="537"/>
      <c r="BO2053" s="537"/>
    </row>
    <row r="2054" spans="1:67" s="538" customFormat="1" ht="65" hidden="1" x14ac:dyDescent="0.35">
      <c r="A2054" s="220">
        <v>7888</v>
      </c>
      <c r="B2054" s="220" t="s">
        <v>7112</v>
      </c>
      <c r="C2054" s="221" t="s">
        <v>59</v>
      </c>
      <c r="D2054" s="221" t="s">
        <v>11561</v>
      </c>
      <c r="E2054" s="220" t="s">
        <v>36</v>
      </c>
      <c r="F2054" s="220" t="s">
        <v>123</v>
      </c>
      <c r="G2054" s="220" t="s">
        <v>225</v>
      </c>
      <c r="H2054" s="220" t="s">
        <v>125</v>
      </c>
      <c r="I2054" s="220" t="s">
        <v>114</v>
      </c>
      <c r="J2054" s="221" t="s">
        <v>28</v>
      </c>
      <c r="K2054" s="220" t="s">
        <v>8839</v>
      </c>
      <c r="L2054" s="220" t="s">
        <v>2224</v>
      </c>
      <c r="M2054" s="220" t="s">
        <v>276</v>
      </c>
      <c r="N2054" s="221" t="s">
        <v>7238</v>
      </c>
      <c r="O2054" s="221" t="s">
        <v>276</v>
      </c>
      <c r="P2054" s="221" t="s">
        <v>239</v>
      </c>
      <c r="Q2054" s="240" t="s">
        <v>276</v>
      </c>
      <c r="R2054" s="221" t="s">
        <v>7239</v>
      </c>
      <c r="S2054" s="221" t="s">
        <v>276</v>
      </c>
      <c r="T2054" s="221" t="s">
        <v>276</v>
      </c>
      <c r="U2054" s="221">
        <v>2</v>
      </c>
      <c r="V2054" s="220" t="s">
        <v>14</v>
      </c>
      <c r="W2054" s="221" t="s">
        <v>98</v>
      </c>
      <c r="X2054" s="221" t="s">
        <v>207</v>
      </c>
      <c r="Y2054" s="225">
        <v>34144</v>
      </c>
      <c r="Z2054" s="226">
        <v>34164</v>
      </c>
      <c r="AA2054" s="221" t="s">
        <v>276</v>
      </c>
      <c r="AB2054" s="221" t="s">
        <v>276</v>
      </c>
      <c r="AC2054" s="220">
        <v>0</v>
      </c>
      <c r="AD2054" s="220" t="s">
        <v>968</v>
      </c>
      <c r="AE2054" s="220">
        <v>0</v>
      </c>
      <c r="AF2054" s="220" t="s">
        <v>968</v>
      </c>
      <c r="AG2054" s="221" t="s">
        <v>11562</v>
      </c>
      <c r="AH2054" s="221" t="s">
        <v>7253</v>
      </c>
      <c r="AI2054" s="226">
        <f>17+37</f>
        <v>54</v>
      </c>
      <c r="AJ2054" s="226">
        <f>11+14</f>
        <v>25</v>
      </c>
      <c r="AK2054" s="225">
        <v>34144</v>
      </c>
      <c r="AL2054" s="226">
        <v>34164</v>
      </c>
      <c r="AM2054" s="226" t="s">
        <v>2047</v>
      </c>
      <c r="AN2054" s="220" t="s">
        <v>276</v>
      </c>
      <c r="AO2054" s="228">
        <f t="shared" si="571"/>
        <v>1.5815370196813496</v>
      </c>
      <c r="AP2054" s="220" t="s">
        <v>276</v>
      </c>
      <c r="AQ2054" s="220" t="s">
        <v>276</v>
      </c>
      <c r="AR2054" s="220" t="s">
        <v>276</v>
      </c>
      <c r="AS2054" s="228">
        <f t="shared" si="572"/>
        <v>0.7317644303945674</v>
      </c>
      <c r="AT2054" s="220" t="s">
        <v>276</v>
      </c>
      <c r="AU2054" s="220" t="s">
        <v>276</v>
      </c>
      <c r="AV2054" s="220" t="s">
        <v>268</v>
      </c>
      <c r="AW2054" s="220" t="s">
        <v>276</v>
      </c>
      <c r="AX2054" s="228">
        <f t="shared" si="573"/>
        <v>2.1612652296157453</v>
      </c>
      <c r="AY2054" s="220" t="s">
        <v>276</v>
      </c>
      <c r="AZ2054" s="220" t="s">
        <v>276</v>
      </c>
      <c r="BA2054" s="220" t="s">
        <v>691</v>
      </c>
      <c r="BB2054" s="220" t="s">
        <v>282</v>
      </c>
      <c r="BC2054" s="220" t="s">
        <v>98</v>
      </c>
      <c r="BD2054" s="220" t="s">
        <v>98</v>
      </c>
      <c r="BE2054" s="220" t="s">
        <v>98</v>
      </c>
      <c r="BF2054" s="221" t="s">
        <v>7270</v>
      </c>
      <c r="BG2054" s="221" t="s">
        <v>7242</v>
      </c>
      <c r="BH2054" s="9" t="s">
        <v>100</v>
      </c>
      <c r="BI2054" s="9" t="s">
        <v>100</v>
      </c>
      <c r="BJ2054" s="537"/>
      <c r="BN2054" s="537"/>
      <c r="BO2054" s="537"/>
    </row>
    <row r="2055" spans="1:67" s="538" customFormat="1" ht="52" hidden="1" x14ac:dyDescent="0.35">
      <c r="A2055" s="220">
        <v>7888</v>
      </c>
      <c r="B2055" s="220" t="s">
        <v>7112</v>
      </c>
      <c r="C2055" s="221" t="s">
        <v>59</v>
      </c>
      <c r="D2055" s="221" t="s">
        <v>7271</v>
      </c>
      <c r="E2055" s="220" t="s">
        <v>36</v>
      </c>
      <c r="F2055" s="220" t="s">
        <v>123</v>
      </c>
      <c r="G2055" s="220" t="s">
        <v>225</v>
      </c>
      <c r="H2055" s="220" t="s">
        <v>125</v>
      </c>
      <c r="I2055" s="220" t="s">
        <v>114</v>
      </c>
      <c r="J2055" s="221" t="s">
        <v>28</v>
      </c>
      <c r="K2055" s="220" t="s">
        <v>7100</v>
      </c>
      <c r="L2055" s="220" t="s">
        <v>2224</v>
      </c>
      <c r="M2055" s="220" t="s">
        <v>276</v>
      </c>
      <c r="N2055" s="221" t="s">
        <v>7238</v>
      </c>
      <c r="O2055" s="221" t="s">
        <v>276</v>
      </c>
      <c r="P2055" s="346" t="s">
        <v>235</v>
      </c>
      <c r="Q2055" s="240" t="s">
        <v>276</v>
      </c>
      <c r="R2055" s="221" t="s">
        <v>7239</v>
      </c>
      <c r="S2055" s="221" t="s">
        <v>276</v>
      </c>
      <c r="T2055" s="221" t="s">
        <v>276</v>
      </c>
      <c r="U2055" s="221">
        <v>2</v>
      </c>
      <c r="V2055" s="220" t="s">
        <v>14</v>
      </c>
      <c r="W2055" s="221" t="s">
        <v>98</v>
      </c>
      <c r="X2055" s="221" t="s">
        <v>207</v>
      </c>
      <c r="Y2055" s="225" t="s">
        <v>98</v>
      </c>
      <c r="Z2055" s="226" t="s">
        <v>98</v>
      </c>
      <c r="AA2055" s="221" t="s">
        <v>276</v>
      </c>
      <c r="AB2055" s="221" t="s">
        <v>276</v>
      </c>
      <c r="AC2055" s="220">
        <v>0</v>
      </c>
      <c r="AD2055" s="220" t="s">
        <v>968</v>
      </c>
      <c r="AE2055" s="220">
        <v>0</v>
      </c>
      <c r="AF2055" s="220" t="s">
        <v>968</v>
      </c>
      <c r="AG2055" s="221" t="s">
        <v>7269</v>
      </c>
      <c r="AH2055" s="221" t="s">
        <v>7272</v>
      </c>
      <c r="AI2055" s="226">
        <v>17</v>
      </c>
      <c r="AJ2055" s="226">
        <v>11</v>
      </c>
      <c r="AK2055" s="225">
        <v>117</v>
      </c>
      <c r="AL2055" s="226">
        <v>44</v>
      </c>
      <c r="AM2055" s="226" t="s">
        <v>292</v>
      </c>
      <c r="AN2055" s="220" t="s">
        <v>276</v>
      </c>
      <c r="AO2055" s="228">
        <f>AI2055*100/AK2055</f>
        <v>14.52991452991453</v>
      </c>
      <c r="AP2055" s="220" t="s">
        <v>276</v>
      </c>
      <c r="AQ2055" s="220" t="s">
        <v>276</v>
      </c>
      <c r="AR2055" s="220" t="s">
        <v>276</v>
      </c>
      <c r="AS2055" s="228">
        <f>AJ2055*100/AL2055</f>
        <v>25</v>
      </c>
      <c r="AT2055" s="220" t="s">
        <v>276</v>
      </c>
      <c r="AU2055" s="220" t="s">
        <v>276</v>
      </c>
      <c r="AV2055" s="220" t="s">
        <v>268</v>
      </c>
      <c r="AW2055" s="220" t="s">
        <v>276</v>
      </c>
      <c r="AX2055" s="228">
        <f t="shared" si="573"/>
        <v>0.58119658119658124</v>
      </c>
      <c r="AY2055" s="220" t="s">
        <v>276</v>
      </c>
      <c r="AZ2055" s="220" t="s">
        <v>276</v>
      </c>
      <c r="BA2055" s="220" t="s">
        <v>276</v>
      </c>
      <c r="BB2055" s="220" t="s">
        <v>282</v>
      </c>
      <c r="BC2055" s="220" t="s">
        <v>98</v>
      </c>
      <c r="BD2055" s="220" t="s">
        <v>98</v>
      </c>
      <c r="BE2055" s="220" t="s">
        <v>98</v>
      </c>
      <c r="BF2055" s="221" t="s">
        <v>6697</v>
      </c>
      <c r="BG2055" s="221" t="s">
        <v>7242</v>
      </c>
      <c r="BH2055" s="9" t="s">
        <v>100</v>
      </c>
      <c r="BI2055" s="9" t="s">
        <v>100</v>
      </c>
      <c r="BJ2055" s="537"/>
      <c r="BN2055" s="537"/>
      <c r="BO2055" s="537"/>
    </row>
    <row r="2056" spans="1:67" s="540" customFormat="1" ht="91" hidden="1" x14ac:dyDescent="0.35">
      <c r="A2056" s="209">
        <v>7888</v>
      </c>
      <c r="B2056" s="209" t="s">
        <v>7112</v>
      </c>
      <c r="C2056" s="210" t="s">
        <v>59</v>
      </c>
      <c r="D2056" s="210" t="s">
        <v>7273</v>
      </c>
      <c r="E2056" s="209" t="s">
        <v>36</v>
      </c>
      <c r="F2056" s="209" t="s">
        <v>123</v>
      </c>
      <c r="G2056" s="209" t="s">
        <v>225</v>
      </c>
      <c r="H2056" s="209" t="s">
        <v>125</v>
      </c>
      <c r="I2056" s="209" t="s">
        <v>114</v>
      </c>
      <c r="J2056" s="210" t="s">
        <v>32</v>
      </c>
      <c r="K2056" s="209" t="s">
        <v>2345</v>
      </c>
      <c r="L2056" s="209" t="s">
        <v>2224</v>
      </c>
      <c r="M2056" s="209" t="s">
        <v>276</v>
      </c>
      <c r="N2056" s="210" t="s">
        <v>7238</v>
      </c>
      <c r="O2056" s="210" t="s">
        <v>276</v>
      </c>
      <c r="P2056" s="210" t="s">
        <v>239</v>
      </c>
      <c r="Q2056" s="236">
        <v>33878</v>
      </c>
      <c r="R2056" s="210" t="s">
        <v>7248</v>
      </c>
      <c r="S2056" s="210" t="s">
        <v>276</v>
      </c>
      <c r="T2056" s="210" t="s">
        <v>276</v>
      </c>
      <c r="U2056" s="210">
        <v>2</v>
      </c>
      <c r="V2056" s="209" t="s">
        <v>14</v>
      </c>
      <c r="W2056" s="210" t="s">
        <v>98</v>
      </c>
      <c r="X2056" s="210" t="s">
        <v>207</v>
      </c>
      <c r="Y2056" s="214">
        <v>34144</v>
      </c>
      <c r="Z2056" s="215">
        <v>34164</v>
      </c>
      <c r="AA2056" s="210" t="s">
        <v>276</v>
      </c>
      <c r="AB2056" s="210" t="s">
        <v>276</v>
      </c>
      <c r="AC2056" s="209" t="s">
        <v>98</v>
      </c>
      <c r="AD2056" s="209" t="s">
        <v>98</v>
      </c>
      <c r="AE2056" s="209" t="s">
        <v>98</v>
      </c>
      <c r="AF2056" s="209" t="s">
        <v>98</v>
      </c>
      <c r="AG2056" s="210" t="s">
        <v>7274</v>
      </c>
      <c r="AH2056" s="210" t="s">
        <v>7253</v>
      </c>
      <c r="AI2056" s="215">
        <v>249</v>
      </c>
      <c r="AJ2056" s="215">
        <v>235</v>
      </c>
      <c r="AK2056" s="214">
        <v>34144</v>
      </c>
      <c r="AL2056" s="215">
        <v>34164</v>
      </c>
      <c r="AM2056" s="215" t="s">
        <v>2047</v>
      </c>
      <c r="AN2056" s="209" t="s">
        <v>276</v>
      </c>
      <c r="AO2056" s="217">
        <f>AI2056*1000/AK2056</f>
        <v>7.2926429240862234</v>
      </c>
      <c r="AP2056" s="209" t="s">
        <v>276</v>
      </c>
      <c r="AQ2056" s="209" t="s">
        <v>276</v>
      </c>
      <c r="AR2056" s="209" t="s">
        <v>276</v>
      </c>
      <c r="AS2056" s="217">
        <f>AJ2056*1000/AL2056</f>
        <v>6.8785856457089336</v>
      </c>
      <c r="AT2056" s="209" t="s">
        <v>276</v>
      </c>
      <c r="AU2056" s="209" t="s">
        <v>276</v>
      </c>
      <c r="AV2056" s="209" t="s">
        <v>268</v>
      </c>
      <c r="AW2056" s="209" t="s">
        <v>276</v>
      </c>
      <c r="AX2056" s="217">
        <f t="shared" si="573"/>
        <v>1.0601951185467307</v>
      </c>
      <c r="AY2056" s="209" t="s">
        <v>276</v>
      </c>
      <c r="AZ2056" s="209" t="s">
        <v>276</v>
      </c>
      <c r="BA2056" s="209" t="s">
        <v>276</v>
      </c>
      <c r="BB2056" s="209" t="s">
        <v>282</v>
      </c>
      <c r="BC2056" s="209" t="s">
        <v>98</v>
      </c>
      <c r="BD2056" s="209" t="s">
        <v>98</v>
      </c>
      <c r="BE2056" s="209" t="s">
        <v>98</v>
      </c>
      <c r="BF2056" s="210" t="s">
        <v>7275</v>
      </c>
      <c r="BG2056" s="210" t="s">
        <v>7276</v>
      </c>
      <c r="BH2056" s="9" t="s">
        <v>100</v>
      </c>
      <c r="BI2056" s="9" t="s">
        <v>100</v>
      </c>
      <c r="BJ2056" s="539"/>
      <c r="BN2056" s="539"/>
      <c r="BO2056" s="539"/>
    </row>
    <row r="2057" spans="1:67" s="540" customFormat="1" ht="91" hidden="1" x14ac:dyDescent="0.35">
      <c r="A2057" s="209">
        <v>7888</v>
      </c>
      <c r="B2057" s="209" t="s">
        <v>7112</v>
      </c>
      <c r="C2057" s="210" t="s">
        <v>59</v>
      </c>
      <c r="D2057" s="210" t="s">
        <v>7277</v>
      </c>
      <c r="E2057" s="209" t="s">
        <v>36</v>
      </c>
      <c r="F2057" s="209" t="s">
        <v>123</v>
      </c>
      <c r="G2057" s="209" t="s">
        <v>225</v>
      </c>
      <c r="H2057" s="209" t="s">
        <v>125</v>
      </c>
      <c r="I2057" s="209" t="s">
        <v>114</v>
      </c>
      <c r="J2057" s="346" t="s">
        <v>11166</v>
      </c>
      <c r="K2057" s="415" t="s">
        <v>7278</v>
      </c>
      <c r="L2057" s="209" t="s">
        <v>2224</v>
      </c>
      <c r="M2057" s="209" t="s">
        <v>276</v>
      </c>
      <c r="N2057" s="210" t="s">
        <v>7238</v>
      </c>
      <c r="O2057" s="210" t="s">
        <v>276</v>
      </c>
      <c r="P2057" s="210" t="s">
        <v>239</v>
      </c>
      <c r="Q2057" s="236">
        <v>33878</v>
      </c>
      <c r="R2057" s="210" t="s">
        <v>7248</v>
      </c>
      <c r="S2057" s="210" t="s">
        <v>276</v>
      </c>
      <c r="T2057" s="210" t="s">
        <v>276</v>
      </c>
      <c r="U2057" s="210">
        <v>2</v>
      </c>
      <c r="V2057" s="209" t="s">
        <v>14</v>
      </c>
      <c r="W2057" s="210" t="s">
        <v>98</v>
      </c>
      <c r="X2057" s="210" t="s">
        <v>207</v>
      </c>
      <c r="Y2057" s="214">
        <v>34144</v>
      </c>
      <c r="Z2057" s="215">
        <v>34164</v>
      </c>
      <c r="AA2057" s="210" t="s">
        <v>276</v>
      </c>
      <c r="AB2057" s="210" t="s">
        <v>276</v>
      </c>
      <c r="AC2057" s="209" t="s">
        <v>98</v>
      </c>
      <c r="AD2057" s="209" t="s">
        <v>98</v>
      </c>
      <c r="AE2057" s="209" t="s">
        <v>98</v>
      </c>
      <c r="AF2057" s="209" t="s">
        <v>98</v>
      </c>
      <c r="AG2057" s="210" t="s">
        <v>7279</v>
      </c>
      <c r="AH2057" s="210" t="s">
        <v>7253</v>
      </c>
      <c r="AI2057" s="215">
        <f>258+69</f>
        <v>327</v>
      </c>
      <c r="AJ2057" s="215">
        <f>24+76</f>
        <v>100</v>
      </c>
      <c r="AK2057" s="214">
        <v>34144</v>
      </c>
      <c r="AL2057" s="215">
        <v>34164</v>
      </c>
      <c r="AM2057" s="215" t="s">
        <v>2047</v>
      </c>
      <c r="AN2057" s="209" t="s">
        <v>276</v>
      </c>
      <c r="AO2057" s="217">
        <f>AI2057*1000/AK2057</f>
        <v>9.5770852858481721</v>
      </c>
      <c r="AP2057" s="209" t="s">
        <v>276</v>
      </c>
      <c r="AQ2057" s="209" t="s">
        <v>276</v>
      </c>
      <c r="AR2057" s="209" t="s">
        <v>276</v>
      </c>
      <c r="AS2057" s="217">
        <f>AJ2057*1000/AL2057</f>
        <v>2.9270577215782696</v>
      </c>
      <c r="AT2057" s="209" t="s">
        <v>276</v>
      </c>
      <c r="AU2057" s="209" t="s">
        <v>276</v>
      </c>
      <c r="AV2057" s="209" t="s">
        <v>268</v>
      </c>
      <c r="AW2057" s="209" t="s">
        <v>276</v>
      </c>
      <c r="AX2057" s="217">
        <f t="shared" si="573"/>
        <v>3.2719154170571696</v>
      </c>
      <c r="AY2057" s="209" t="s">
        <v>276</v>
      </c>
      <c r="AZ2057" s="209" t="s">
        <v>276</v>
      </c>
      <c r="BA2057" s="209" t="s">
        <v>276</v>
      </c>
      <c r="BB2057" s="209" t="s">
        <v>282</v>
      </c>
      <c r="BC2057" s="209" t="s">
        <v>98</v>
      </c>
      <c r="BD2057" s="209" t="s">
        <v>98</v>
      </c>
      <c r="BE2057" s="209" t="s">
        <v>98</v>
      </c>
      <c r="BF2057" s="210" t="s">
        <v>7280</v>
      </c>
      <c r="BG2057" s="210" t="s">
        <v>7276</v>
      </c>
      <c r="BH2057" s="9" t="s">
        <v>100</v>
      </c>
      <c r="BI2057" s="9" t="s">
        <v>100</v>
      </c>
      <c r="BJ2057" s="539"/>
      <c r="BN2057" s="539"/>
      <c r="BO2057" s="539"/>
    </row>
    <row r="2058" spans="1:67" s="540" customFormat="1" ht="91" hidden="1" x14ac:dyDescent="0.35">
      <c r="A2058" s="209">
        <v>7888</v>
      </c>
      <c r="B2058" s="209" t="s">
        <v>7112</v>
      </c>
      <c r="C2058" s="210" t="s">
        <v>59</v>
      </c>
      <c r="D2058" s="210" t="s">
        <v>7281</v>
      </c>
      <c r="E2058" s="209" t="s">
        <v>36</v>
      </c>
      <c r="F2058" s="209" t="s">
        <v>123</v>
      </c>
      <c r="G2058" s="209" t="s">
        <v>225</v>
      </c>
      <c r="H2058" s="209" t="s">
        <v>125</v>
      </c>
      <c r="I2058" s="209" t="s">
        <v>114</v>
      </c>
      <c r="J2058" s="210" t="s">
        <v>28</v>
      </c>
      <c r="K2058" s="209" t="s">
        <v>6737</v>
      </c>
      <c r="L2058" s="209" t="s">
        <v>2224</v>
      </c>
      <c r="M2058" s="209" t="s">
        <v>276</v>
      </c>
      <c r="N2058" s="210" t="s">
        <v>7238</v>
      </c>
      <c r="O2058" s="210" t="s">
        <v>276</v>
      </c>
      <c r="P2058" s="210" t="s">
        <v>239</v>
      </c>
      <c r="Q2058" s="236">
        <v>33878</v>
      </c>
      <c r="R2058" s="210" t="s">
        <v>7248</v>
      </c>
      <c r="S2058" s="210" t="s">
        <v>276</v>
      </c>
      <c r="T2058" s="210" t="s">
        <v>276</v>
      </c>
      <c r="U2058" s="210">
        <v>2</v>
      </c>
      <c r="V2058" s="209" t="s">
        <v>14</v>
      </c>
      <c r="W2058" s="210" t="s">
        <v>98</v>
      </c>
      <c r="X2058" s="210" t="s">
        <v>207</v>
      </c>
      <c r="Y2058" s="214">
        <v>34144</v>
      </c>
      <c r="Z2058" s="215">
        <v>34164</v>
      </c>
      <c r="AA2058" s="210" t="s">
        <v>276</v>
      </c>
      <c r="AB2058" s="210" t="s">
        <v>276</v>
      </c>
      <c r="AC2058" s="209">
        <v>0</v>
      </c>
      <c r="AD2058" s="209" t="s">
        <v>968</v>
      </c>
      <c r="AE2058" s="209">
        <v>0</v>
      </c>
      <c r="AF2058" s="209" t="s">
        <v>968</v>
      </c>
      <c r="AG2058" s="210" t="s">
        <v>7282</v>
      </c>
      <c r="AH2058" s="210" t="s">
        <v>7253</v>
      </c>
      <c r="AI2058" s="215">
        <f>30+10</f>
        <v>40</v>
      </c>
      <c r="AJ2058" s="215">
        <f>4+23</f>
        <v>27</v>
      </c>
      <c r="AK2058" s="214">
        <v>34144</v>
      </c>
      <c r="AL2058" s="215">
        <v>34164</v>
      </c>
      <c r="AM2058" s="215" t="s">
        <v>2047</v>
      </c>
      <c r="AN2058" s="209" t="s">
        <v>276</v>
      </c>
      <c r="AO2058" s="217">
        <f t="shared" ref="AO2058:AO2062" si="577">AI2058*1000/AK2058</f>
        <v>1.1715089034676665</v>
      </c>
      <c r="AP2058" s="209" t="s">
        <v>276</v>
      </c>
      <c r="AQ2058" s="209" t="s">
        <v>276</v>
      </c>
      <c r="AR2058" s="209" t="s">
        <v>276</v>
      </c>
      <c r="AS2058" s="217">
        <f t="shared" ref="AS2058:AS2062" si="578">AJ2058*1000/AL2058</f>
        <v>0.79030558482613278</v>
      </c>
      <c r="AT2058" s="209" t="s">
        <v>276</v>
      </c>
      <c r="AU2058" s="209" t="s">
        <v>276</v>
      </c>
      <c r="AV2058" s="209" t="s">
        <v>268</v>
      </c>
      <c r="AW2058" s="209" t="s">
        <v>276</v>
      </c>
      <c r="AX2058" s="217">
        <f t="shared" si="573"/>
        <v>1.4823492658544206</v>
      </c>
      <c r="AY2058" s="209" t="s">
        <v>276</v>
      </c>
      <c r="AZ2058" s="209" t="s">
        <v>276</v>
      </c>
      <c r="BA2058" s="209" t="s">
        <v>276</v>
      </c>
      <c r="BB2058" s="209" t="s">
        <v>282</v>
      </c>
      <c r="BC2058" s="209" t="s">
        <v>98</v>
      </c>
      <c r="BD2058" s="209" t="s">
        <v>98</v>
      </c>
      <c r="BE2058" s="209" t="s">
        <v>98</v>
      </c>
      <c r="BF2058" s="210" t="s">
        <v>7283</v>
      </c>
      <c r="BG2058" s="210" t="s">
        <v>7276</v>
      </c>
      <c r="BH2058" s="9" t="s">
        <v>100</v>
      </c>
      <c r="BI2058" s="9" t="s">
        <v>100</v>
      </c>
      <c r="BJ2058" s="539"/>
      <c r="BN2058" s="539"/>
      <c r="BO2058" s="539"/>
    </row>
    <row r="2059" spans="1:67" s="540" customFormat="1" ht="91" hidden="1" x14ac:dyDescent="0.35">
      <c r="A2059" s="209">
        <v>7888</v>
      </c>
      <c r="B2059" s="209" t="s">
        <v>7112</v>
      </c>
      <c r="C2059" s="210" t="s">
        <v>59</v>
      </c>
      <c r="D2059" s="210" t="s">
        <v>7284</v>
      </c>
      <c r="E2059" s="209" t="s">
        <v>36</v>
      </c>
      <c r="F2059" s="209" t="s">
        <v>123</v>
      </c>
      <c r="G2059" s="209" t="s">
        <v>225</v>
      </c>
      <c r="H2059" s="209" t="s">
        <v>125</v>
      </c>
      <c r="I2059" s="209" t="s">
        <v>114</v>
      </c>
      <c r="J2059" s="210" t="s">
        <v>28</v>
      </c>
      <c r="K2059" s="209" t="s">
        <v>6740</v>
      </c>
      <c r="L2059" s="209" t="s">
        <v>2224</v>
      </c>
      <c r="M2059" s="209" t="s">
        <v>276</v>
      </c>
      <c r="N2059" s="210" t="s">
        <v>7238</v>
      </c>
      <c r="O2059" s="210" t="s">
        <v>276</v>
      </c>
      <c r="P2059" s="210" t="s">
        <v>239</v>
      </c>
      <c r="Q2059" s="236">
        <v>33878</v>
      </c>
      <c r="R2059" s="210" t="s">
        <v>7248</v>
      </c>
      <c r="S2059" s="210" t="s">
        <v>276</v>
      </c>
      <c r="T2059" s="210" t="s">
        <v>276</v>
      </c>
      <c r="U2059" s="210">
        <v>2</v>
      </c>
      <c r="V2059" s="209" t="s">
        <v>14</v>
      </c>
      <c r="W2059" s="210" t="s">
        <v>98</v>
      </c>
      <c r="X2059" s="210" t="s">
        <v>207</v>
      </c>
      <c r="Y2059" s="214">
        <v>34144</v>
      </c>
      <c r="Z2059" s="215">
        <v>34164</v>
      </c>
      <c r="AA2059" s="210" t="s">
        <v>276</v>
      </c>
      <c r="AB2059" s="210" t="s">
        <v>276</v>
      </c>
      <c r="AC2059" s="209">
        <v>0</v>
      </c>
      <c r="AD2059" s="209" t="s">
        <v>968</v>
      </c>
      <c r="AE2059" s="209">
        <v>0</v>
      </c>
      <c r="AF2059" s="209" t="s">
        <v>968</v>
      </c>
      <c r="AG2059" s="210" t="s">
        <v>7285</v>
      </c>
      <c r="AH2059" s="210" t="s">
        <v>7253</v>
      </c>
      <c r="AI2059" s="215">
        <f>33+52</f>
        <v>85</v>
      </c>
      <c r="AJ2059" s="215">
        <f>15+73</f>
        <v>88</v>
      </c>
      <c r="AK2059" s="214">
        <v>34144</v>
      </c>
      <c r="AL2059" s="215">
        <v>34164</v>
      </c>
      <c r="AM2059" s="215" t="s">
        <v>2047</v>
      </c>
      <c r="AN2059" s="209" t="s">
        <v>276</v>
      </c>
      <c r="AO2059" s="217">
        <f t="shared" si="577"/>
        <v>2.489456419868791</v>
      </c>
      <c r="AP2059" s="209" t="s">
        <v>276</v>
      </c>
      <c r="AQ2059" s="209" t="s">
        <v>276</v>
      </c>
      <c r="AR2059" s="209" t="s">
        <v>276</v>
      </c>
      <c r="AS2059" s="217">
        <f t="shared" si="578"/>
        <v>2.5758107949888771</v>
      </c>
      <c r="AT2059" s="209" t="s">
        <v>276</v>
      </c>
      <c r="AU2059" s="209" t="s">
        <v>276</v>
      </c>
      <c r="AV2059" s="209" t="s">
        <v>268</v>
      </c>
      <c r="AW2059" s="209" t="s">
        <v>276</v>
      </c>
      <c r="AX2059" s="217">
        <f t="shared" si="573"/>
        <v>0.96647487645906105</v>
      </c>
      <c r="AY2059" s="209" t="s">
        <v>276</v>
      </c>
      <c r="AZ2059" s="209" t="s">
        <v>276</v>
      </c>
      <c r="BA2059" s="209" t="s">
        <v>276</v>
      </c>
      <c r="BB2059" s="209" t="s">
        <v>282</v>
      </c>
      <c r="BC2059" s="209" t="s">
        <v>98</v>
      </c>
      <c r="BD2059" s="209" t="s">
        <v>98</v>
      </c>
      <c r="BE2059" s="209" t="s">
        <v>98</v>
      </c>
      <c r="BF2059" s="210" t="s">
        <v>7283</v>
      </c>
      <c r="BG2059" s="210" t="s">
        <v>7276</v>
      </c>
      <c r="BH2059" s="9" t="s">
        <v>100</v>
      </c>
      <c r="BI2059" s="9" t="s">
        <v>100</v>
      </c>
      <c r="BJ2059" s="539"/>
      <c r="BN2059" s="539"/>
      <c r="BO2059" s="539"/>
    </row>
    <row r="2060" spans="1:67" s="540" customFormat="1" ht="91" hidden="1" x14ac:dyDescent="0.35">
      <c r="A2060" s="209">
        <v>7888</v>
      </c>
      <c r="B2060" s="209" t="s">
        <v>7112</v>
      </c>
      <c r="C2060" s="210" t="s">
        <v>59</v>
      </c>
      <c r="D2060" s="210" t="s">
        <v>7286</v>
      </c>
      <c r="E2060" s="209" t="s">
        <v>36</v>
      </c>
      <c r="F2060" s="209" t="s">
        <v>123</v>
      </c>
      <c r="G2060" s="209" t="s">
        <v>225</v>
      </c>
      <c r="H2060" s="209" t="s">
        <v>125</v>
      </c>
      <c r="I2060" s="209" t="s">
        <v>114</v>
      </c>
      <c r="J2060" s="210" t="s">
        <v>28</v>
      </c>
      <c r="K2060" s="209" t="s">
        <v>6742</v>
      </c>
      <c r="L2060" s="209" t="s">
        <v>2224</v>
      </c>
      <c r="M2060" s="209" t="s">
        <v>276</v>
      </c>
      <c r="N2060" s="210" t="s">
        <v>7238</v>
      </c>
      <c r="O2060" s="210" t="s">
        <v>276</v>
      </c>
      <c r="P2060" s="210" t="s">
        <v>239</v>
      </c>
      <c r="Q2060" s="236">
        <v>33878</v>
      </c>
      <c r="R2060" s="210" t="s">
        <v>7248</v>
      </c>
      <c r="S2060" s="210" t="s">
        <v>276</v>
      </c>
      <c r="T2060" s="210" t="s">
        <v>276</v>
      </c>
      <c r="U2060" s="210">
        <v>2</v>
      </c>
      <c r="V2060" s="209" t="s">
        <v>14</v>
      </c>
      <c r="W2060" s="210" t="s">
        <v>98</v>
      </c>
      <c r="X2060" s="210" t="s">
        <v>207</v>
      </c>
      <c r="Y2060" s="214">
        <v>34144</v>
      </c>
      <c r="Z2060" s="215">
        <v>34164</v>
      </c>
      <c r="AA2060" s="210" t="s">
        <v>276</v>
      </c>
      <c r="AB2060" s="210" t="s">
        <v>276</v>
      </c>
      <c r="AC2060" s="209">
        <v>0</v>
      </c>
      <c r="AD2060" s="209" t="s">
        <v>968</v>
      </c>
      <c r="AE2060" s="209">
        <v>0</v>
      </c>
      <c r="AF2060" s="209" t="s">
        <v>968</v>
      </c>
      <c r="AG2060" s="210" t="s">
        <v>7287</v>
      </c>
      <c r="AH2060" s="210" t="s">
        <v>7253</v>
      </c>
      <c r="AI2060" s="215">
        <f>37+42</f>
        <v>79</v>
      </c>
      <c r="AJ2060" s="215">
        <f>14+57</f>
        <v>71</v>
      </c>
      <c r="AK2060" s="214">
        <v>34144</v>
      </c>
      <c r="AL2060" s="215">
        <v>34164</v>
      </c>
      <c r="AM2060" s="215" t="s">
        <v>2047</v>
      </c>
      <c r="AN2060" s="209" t="s">
        <v>276</v>
      </c>
      <c r="AO2060" s="217">
        <f t="shared" si="577"/>
        <v>2.313730084348641</v>
      </c>
      <c r="AP2060" s="209" t="s">
        <v>276</v>
      </c>
      <c r="AQ2060" s="209" t="s">
        <v>276</v>
      </c>
      <c r="AR2060" s="209" t="s">
        <v>276</v>
      </c>
      <c r="AS2060" s="217">
        <f t="shared" si="578"/>
        <v>2.0782109823205714</v>
      </c>
      <c r="AT2060" s="209" t="s">
        <v>276</v>
      </c>
      <c r="AU2060" s="209" t="s">
        <v>276</v>
      </c>
      <c r="AV2060" s="209" t="s">
        <v>268</v>
      </c>
      <c r="AW2060" s="209" t="s">
        <v>276</v>
      </c>
      <c r="AX2060" s="217">
        <f t="shared" si="573"/>
        <v>1.1133278112913658</v>
      </c>
      <c r="AY2060" s="209" t="s">
        <v>276</v>
      </c>
      <c r="AZ2060" s="209" t="s">
        <v>276</v>
      </c>
      <c r="BA2060" s="209" t="s">
        <v>276</v>
      </c>
      <c r="BB2060" s="209" t="s">
        <v>282</v>
      </c>
      <c r="BC2060" s="209" t="s">
        <v>98</v>
      </c>
      <c r="BD2060" s="209" t="s">
        <v>98</v>
      </c>
      <c r="BE2060" s="209" t="s">
        <v>98</v>
      </c>
      <c r="BF2060" s="210" t="s">
        <v>7283</v>
      </c>
      <c r="BG2060" s="210" t="s">
        <v>7276</v>
      </c>
      <c r="BH2060" s="9" t="s">
        <v>100</v>
      </c>
      <c r="BI2060" s="9" t="s">
        <v>100</v>
      </c>
      <c r="BJ2060" s="539"/>
      <c r="BN2060" s="539"/>
      <c r="BO2060" s="539"/>
    </row>
    <row r="2061" spans="1:67" s="540" customFormat="1" ht="91" hidden="1" x14ac:dyDescent="0.35">
      <c r="A2061" s="209">
        <v>7888</v>
      </c>
      <c r="B2061" s="209" t="s">
        <v>7112</v>
      </c>
      <c r="C2061" s="210" t="s">
        <v>59</v>
      </c>
      <c r="D2061" s="210" t="s">
        <v>7288</v>
      </c>
      <c r="E2061" s="209" t="s">
        <v>36</v>
      </c>
      <c r="F2061" s="209" t="s">
        <v>123</v>
      </c>
      <c r="G2061" s="209" t="s">
        <v>225</v>
      </c>
      <c r="H2061" s="209" t="s">
        <v>125</v>
      </c>
      <c r="I2061" s="209" t="s">
        <v>114</v>
      </c>
      <c r="J2061" s="210" t="s">
        <v>28</v>
      </c>
      <c r="K2061" s="209" t="s">
        <v>7100</v>
      </c>
      <c r="L2061" s="209" t="s">
        <v>2224</v>
      </c>
      <c r="M2061" s="209" t="s">
        <v>276</v>
      </c>
      <c r="N2061" s="210" t="s">
        <v>7238</v>
      </c>
      <c r="O2061" s="210" t="s">
        <v>276</v>
      </c>
      <c r="P2061" s="210" t="s">
        <v>239</v>
      </c>
      <c r="Q2061" s="236">
        <v>33878</v>
      </c>
      <c r="R2061" s="210" t="s">
        <v>7248</v>
      </c>
      <c r="S2061" s="210" t="s">
        <v>276</v>
      </c>
      <c r="T2061" s="210" t="s">
        <v>276</v>
      </c>
      <c r="U2061" s="210">
        <v>2</v>
      </c>
      <c r="V2061" s="209" t="s">
        <v>14</v>
      </c>
      <c r="W2061" s="210" t="s">
        <v>98</v>
      </c>
      <c r="X2061" s="210" t="s">
        <v>207</v>
      </c>
      <c r="Y2061" s="214">
        <v>34144</v>
      </c>
      <c r="Z2061" s="215">
        <v>34164</v>
      </c>
      <c r="AA2061" s="210" t="s">
        <v>276</v>
      </c>
      <c r="AB2061" s="210" t="s">
        <v>276</v>
      </c>
      <c r="AC2061" s="209">
        <v>0</v>
      </c>
      <c r="AD2061" s="209" t="s">
        <v>968</v>
      </c>
      <c r="AE2061" s="209">
        <v>0</v>
      </c>
      <c r="AF2061" s="209" t="s">
        <v>968</v>
      </c>
      <c r="AG2061" s="210" t="s">
        <v>7289</v>
      </c>
      <c r="AH2061" s="210" t="s">
        <v>7253</v>
      </c>
      <c r="AI2061" s="215">
        <f>17+28</f>
        <v>45</v>
      </c>
      <c r="AJ2061" s="215">
        <f>11+38</f>
        <v>49</v>
      </c>
      <c r="AK2061" s="214">
        <v>34144</v>
      </c>
      <c r="AL2061" s="215">
        <v>34164</v>
      </c>
      <c r="AM2061" s="215" t="s">
        <v>2047</v>
      </c>
      <c r="AN2061" s="209" t="s">
        <v>276</v>
      </c>
      <c r="AO2061" s="217">
        <f t="shared" ref="AO2061" si="579">AI2061*1000/AK2061</f>
        <v>1.3179475164011247</v>
      </c>
      <c r="AP2061" s="209" t="s">
        <v>276</v>
      </c>
      <c r="AQ2061" s="209" t="s">
        <v>276</v>
      </c>
      <c r="AR2061" s="209" t="s">
        <v>276</v>
      </c>
      <c r="AS2061" s="217">
        <f t="shared" ref="AS2061" si="580">AJ2061*1000/AL2061</f>
        <v>1.4342582835733522</v>
      </c>
      <c r="AT2061" s="209" t="s">
        <v>276</v>
      </c>
      <c r="AU2061" s="209" t="s">
        <v>276</v>
      </c>
      <c r="AV2061" s="209" t="s">
        <v>268</v>
      </c>
      <c r="AW2061" s="209" t="s">
        <v>276</v>
      </c>
      <c r="AX2061" s="217">
        <f t="shared" ref="AX2061" si="581">AO2061/AS2061</f>
        <v>0.91890528470057187</v>
      </c>
      <c r="AY2061" s="209" t="s">
        <v>276</v>
      </c>
      <c r="AZ2061" s="209" t="s">
        <v>276</v>
      </c>
      <c r="BA2061" s="209" t="s">
        <v>276</v>
      </c>
      <c r="BB2061" s="209" t="s">
        <v>282</v>
      </c>
      <c r="BC2061" s="209" t="s">
        <v>98</v>
      </c>
      <c r="BD2061" s="209" t="s">
        <v>98</v>
      </c>
      <c r="BE2061" s="209" t="s">
        <v>98</v>
      </c>
      <c r="BF2061" s="210" t="s">
        <v>7290</v>
      </c>
      <c r="BG2061" s="210" t="s">
        <v>7276</v>
      </c>
      <c r="BH2061" s="9" t="s">
        <v>100</v>
      </c>
      <c r="BI2061" s="9" t="s">
        <v>100</v>
      </c>
      <c r="BJ2061" s="539"/>
      <c r="BN2061" s="539"/>
      <c r="BO2061" s="539"/>
    </row>
    <row r="2062" spans="1:67" s="540" customFormat="1" ht="91" hidden="1" x14ac:dyDescent="0.35">
      <c r="A2062" s="209">
        <v>7888</v>
      </c>
      <c r="B2062" s="209" t="s">
        <v>7112</v>
      </c>
      <c r="C2062" s="210" t="s">
        <v>59</v>
      </c>
      <c r="D2062" s="210" t="s">
        <v>11563</v>
      </c>
      <c r="E2062" s="209" t="s">
        <v>36</v>
      </c>
      <c r="F2062" s="209" t="s">
        <v>123</v>
      </c>
      <c r="G2062" s="209" t="s">
        <v>225</v>
      </c>
      <c r="H2062" s="209" t="s">
        <v>125</v>
      </c>
      <c r="I2062" s="209" t="s">
        <v>114</v>
      </c>
      <c r="J2062" s="210" t="s">
        <v>28</v>
      </c>
      <c r="K2062" s="209" t="s">
        <v>8839</v>
      </c>
      <c r="L2062" s="209" t="s">
        <v>2224</v>
      </c>
      <c r="M2062" s="209" t="s">
        <v>276</v>
      </c>
      <c r="N2062" s="210" t="s">
        <v>7238</v>
      </c>
      <c r="O2062" s="210" t="s">
        <v>276</v>
      </c>
      <c r="P2062" s="210" t="s">
        <v>239</v>
      </c>
      <c r="Q2062" s="236">
        <v>33878</v>
      </c>
      <c r="R2062" s="210" t="s">
        <v>7248</v>
      </c>
      <c r="S2062" s="210" t="s">
        <v>276</v>
      </c>
      <c r="T2062" s="210" t="s">
        <v>276</v>
      </c>
      <c r="U2062" s="210">
        <v>2</v>
      </c>
      <c r="V2062" s="209" t="s">
        <v>14</v>
      </c>
      <c r="W2062" s="210" t="s">
        <v>98</v>
      </c>
      <c r="X2062" s="210" t="s">
        <v>207</v>
      </c>
      <c r="Y2062" s="214">
        <v>34144</v>
      </c>
      <c r="Z2062" s="215">
        <v>34164</v>
      </c>
      <c r="AA2062" s="210" t="s">
        <v>276</v>
      </c>
      <c r="AB2062" s="210" t="s">
        <v>276</v>
      </c>
      <c r="AC2062" s="209">
        <v>0</v>
      </c>
      <c r="AD2062" s="209" t="s">
        <v>968</v>
      </c>
      <c r="AE2062" s="209">
        <v>0</v>
      </c>
      <c r="AF2062" s="209" t="s">
        <v>968</v>
      </c>
      <c r="AG2062" s="210" t="s">
        <v>11564</v>
      </c>
      <c r="AH2062" s="210" t="s">
        <v>7253</v>
      </c>
      <c r="AI2062" s="215">
        <f>45+79</f>
        <v>124</v>
      </c>
      <c r="AJ2062" s="215">
        <f>49+71</f>
        <v>120</v>
      </c>
      <c r="AK2062" s="214">
        <v>34144</v>
      </c>
      <c r="AL2062" s="215">
        <v>34164</v>
      </c>
      <c r="AM2062" s="215" t="s">
        <v>2047</v>
      </c>
      <c r="AN2062" s="209" t="s">
        <v>276</v>
      </c>
      <c r="AO2062" s="217">
        <f t="shared" si="577"/>
        <v>3.6316776007497658</v>
      </c>
      <c r="AP2062" s="209" t="s">
        <v>276</v>
      </c>
      <c r="AQ2062" s="209" t="s">
        <v>276</v>
      </c>
      <c r="AR2062" s="209" t="s">
        <v>276</v>
      </c>
      <c r="AS2062" s="217">
        <f t="shared" si="578"/>
        <v>3.5124692658939236</v>
      </c>
      <c r="AT2062" s="209" t="s">
        <v>276</v>
      </c>
      <c r="AU2062" s="209" t="s">
        <v>276</v>
      </c>
      <c r="AV2062" s="209" t="s">
        <v>268</v>
      </c>
      <c r="AW2062" s="209" t="s">
        <v>276</v>
      </c>
      <c r="AX2062" s="217">
        <f t="shared" si="573"/>
        <v>1.0339386129334582</v>
      </c>
      <c r="AY2062" s="209" t="s">
        <v>276</v>
      </c>
      <c r="AZ2062" s="209" t="s">
        <v>276</v>
      </c>
      <c r="BA2062" s="209" t="s">
        <v>276</v>
      </c>
      <c r="BB2062" s="209" t="s">
        <v>282</v>
      </c>
      <c r="BC2062" s="209" t="s">
        <v>98</v>
      </c>
      <c r="BD2062" s="209" t="s">
        <v>98</v>
      </c>
      <c r="BE2062" s="209" t="s">
        <v>98</v>
      </c>
      <c r="BF2062" s="210" t="s">
        <v>7290</v>
      </c>
      <c r="BG2062" s="210" t="s">
        <v>7276</v>
      </c>
      <c r="BH2062" s="9" t="s">
        <v>100</v>
      </c>
      <c r="BI2062" s="9" t="s">
        <v>100</v>
      </c>
      <c r="BJ2062" s="539"/>
      <c r="BN2062" s="539"/>
      <c r="BO2062" s="539"/>
    </row>
    <row r="2063" spans="1:67" s="540" customFormat="1" ht="52" hidden="1" x14ac:dyDescent="0.35">
      <c r="A2063" s="209">
        <v>7888</v>
      </c>
      <c r="B2063" s="209" t="s">
        <v>7112</v>
      </c>
      <c r="C2063" s="210" t="s">
        <v>59</v>
      </c>
      <c r="D2063" s="210" t="s">
        <v>7291</v>
      </c>
      <c r="E2063" s="209" t="s">
        <v>36</v>
      </c>
      <c r="F2063" s="209" t="s">
        <v>123</v>
      </c>
      <c r="G2063" s="209" t="s">
        <v>225</v>
      </c>
      <c r="H2063" s="209" t="s">
        <v>125</v>
      </c>
      <c r="I2063" s="209" t="s">
        <v>114</v>
      </c>
      <c r="J2063" s="210" t="s">
        <v>28</v>
      </c>
      <c r="K2063" s="209" t="s">
        <v>7100</v>
      </c>
      <c r="L2063" s="209" t="s">
        <v>2224</v>
      </c>
      <c r="M2063" s="209" t="s">
        <v>276</v>
      </c>
      <c r="N2063" s="210" t="s">
        <v>7238</v>
      </c>
      <c r="O2063" s="210" t="s">
        <v>276</v>
      </c>
      <c r="P2063" s="210" t="s">
        <v>235</v>
      </c>
      <c r="Q2063" s="236">
        <v>33878</v>
      </c>
      <c r="R2063" s="210" t="s">
        <v>7248</v>
      </c>
      <c r="S2063" s="210" t="s">
        <v>276</v>
      </c>
      <c r="T2063" s="210" t="s">
        <v>276</v>
      </c>
      <c r="U2063" s="210">
        <v>2</v>
      </c>
      <c r="V2063" s="209" t="s">
        <v>14</v>
      </c>
      <c r="W2063" s="210" t="s">
        <v>98</v>
      </c>
      <c r="X2063" s="210" t="s">
        <v>207</v>
      </c>
      <c r="Y2063" s="214" t="s">
        <v>98</v>
      </c>
      <c r="Z2063" s="215" t="s">
        <v>98</v>
      </c>
      <c r="AA2063" s="210" t="s">
        <v>276</v>
      </c>
      <c r="AB2063" s="210" t="s">
        <v>276</v>
      </c>
      <c r="AC2063" s="209">
        <v>0</v>
      </c>
      <c r="AD2063" s="209" t="s">
        <v>968</v>
      </c>
      <c r="AE2063" s="209">
        <v>0</v>
      </c>
      <c r="AF2063" s="209" t="s">
        <v>968</v>
      </c>
      <c r="AG2063" s="210" t="s">
        <v>7289</v>
      </c>
      <c r="AH2063" s="210" t="s">
        <v>7292</v>
      </c>
      <c r="AI2063" s="215">
        <f>17+28</f>
        <v>45</v>
      </c>
      <c r="AJ2063" s="215">
        <f>11+38</f>
        <v>49</v>
      </c>
      <c r="AK2063" s="214">
        <v>249</v>
      </c>
      <c r="AL2063" s="215">
        <v>235</v>
      </c>
      <c r="AM2063" s="215" t="s">
        <v>292</v>
      </c>
      <c r="AN2063" s="209" t="s">
        <v>276</v>
      </c>
      <c r="AO2063" s="217">
        <f>AI2063*100/AK2063</f>
        <v>18.072289156626507</v>
      </c>
      <c r="AP2063" s="209" t="s">
        <v>276</v>
      </c>
      <c r="AQ2063" s="209" t="s">
        <v>276</v>
      </c>
      <c r="AR2063" s="209" t="s">
        <v>276</v>
      </c>
      <c r="AS2063" s="217">
        <f>AJ2063*100/AL2063</f>
        <v>20.851063829787233</v>
      </c>
      <c r="AT2063" s="209" t="s">
        <v>276</v>
      </c>
      <c r="AU2063" s="209" t="s">
        <v>276</v>
      </c>
      <c r="AV2063" s="209" t="s">
        <v>268</v>
      </c>
      <c r="AW2063" s="209" t="s">
        <v>276</v>
      </c>
      <c r="AX2063" s="217">
        <f t="shared" si="573"/>
        <v>0.86673223506269992</v>
      </c>
      <c r="AY2063" s="209" t="s">
        <v>276</v>
      </c>
      <c r="AZ2063" s="209" t="s">
        <v>276</v>
      </c>
      <c r="BA2063" s="209" t="s">
        <v>276</v>
      </c>
      <c r="BB2063" s="209" t="s">
        <v>282</v>
      </c>
      <c r="BC2063" s="209" t="s">
        <v>98</v>
      </c>
      <c r="BD2063" s="209" t="s">
        <v>98</v>
      </c>
      <c r="BE2063" s="209" t="s">
        <v>98</v>
      </c>
      <c r="BF2063" s="210" t="s">
        <v>6697</v>
      </c>
      <c r="BG2063" s="210" t="s">
        <v>7242</v>
      </c>
      <c r="BH2063" s="9" t="s">
        <v>100</v>
      </c>
      <c r="BI2063" s="9" t="s">
        <v>100</v>
      </c>
      <c r="BJ2063" s="539"/>
      <c r="BN2063" s="539"/>
      <c r="BO2063" s="539"/>
    </row>
    <row r="2064" spans="1:67" s="542" customFormat="1" ht="52" hidden="1" x14ac:dyDescent="0.35">
      <c r="A2064" s="175">
        <v>243</v>
      </c>
      <c r="B2064" s="175" t="s">
        <v>7059</v>
      </c>
      <c r="C2064" s="176" t="s">
        <v>59</v>
      </c>
      <c r="D2064" s="176" t="s">
        <v>7293</v>
      </c>
      <c r="E2064" s="175" t="s">
        <v>36</v>
      </c>
      <c r="F2064" s="175" t="s">
        <v>123</v>
      </c>
      <c r="G2064" s="175" t="s">
        <v>225</v>
      </c>
      <c r="H2064" s="175" t="s">
        <v>225</v>
      </c>
      <c r="I2064" s="175" t="s">
        <v>98</v>
      </c>
      <c r="J2064" s="176" t="s">
        <v>98</v>
      </c>
      <c r="K2064" s="175" t="s">
        <v>98</v>
      </c>
      <c r="L2064" s="175" t="s">
        <v>98</v>
      </c>
      <c r="M2064" s="175" t="s">
        <v>98</v>
      </c>
      <c r="N2064" s="176" t="s">
        <v>7294</v>
      </c>
      <c r="O2064" s="176" t="s">
        <v>2714</v>
      </c>
      <c r="P2064" s="176" t="s">
        <v>238</v>
      </c>
      <c r="Q2064" s="304" t="s">
        <v>276</v>
      </c>
      <c r="R2064" s="176" t="s">
        <v>7295</v>
      </c>
      <c r="S2064" s="176" t="s">
        <v>276</v>
      </c>
      <c r="T2064" s="176" t="s">
        <v>98</v>
      </c>
      <c r="U2064" s="178" t="s">
        <v>5401</v>
      </c>
      <c r="V2064" s="175" t="s">
        <v>14</v>
      </c>
      <c r="W2064" s="176" t="s">
        <v>98</v>
      </c>
      <c r="X2064" s="176" t="s">
        <v>209</v>
      </c>
      <c r="Y2064" s="180">
        <v>34144</v>
      </c>
      <c r="Z2064" s="176" t="s">
        <v>98</v>
      </c>
      <c r="AA2064" s="176" t="s">
        <v>276</v>
      </c>
      <c r="AB2064" s="176" t="s">
        <v>98</v>
      </c>
      <c r="AC2064" s="175">
        <v>0</v>
      </c>
      <c r="AD2064" s="175" t="s">
        <v>6723</v>
      </c>
      <c r="AE2064" s="175" t="s">
        <v>98</v>
      </c>
      <c r="AF2064" s="175" t="s">
        <v>98</v>
      </c>
      <c r="AG2064" s="176" t="s">
        <v>7296</v>
      </c>
      <c r="AH2064" s="176" t="s">
        <v>7241</v>
      </c>
      <c r="AI2064" s="179">
        <v>104</v>
      </c>
      <c r="AJ2064" s="179" t="s">
        <v>98</v>
      </c>
      <c r="AK2064" s="179">
        <v>34144</v>
      </c>
      <c r="AL2064" s="179" t="s">
        <v>98</v>
      </c>
      <c r="AM2064" s="179" t="s">
        <v>2047</v>
      </c>
      <c r="AN2064" s="175" t="s">
        <v>276</v>
      </c>
      <c r="AO2064" s="201">
        <f>AI2064*1000/AK2064</f>
        <v>3.0459231490159326</v>
      </c>
      <c r="AP2064" s="175" t="s">
        <v>276</v>
      </c>
      <c r="AQ2064" s="175" t="s">
        <v>276</v>
      </c>
      <c r="AR2064" s="175" t="s">
        <v>98</v>
      </c>
      <c r="AS2064" s="175" t="s">
        <v>98</v>
      </c>
      <c r="AT2064" s="175" t="s">
        <v>98</v>
      </c>
      <c r="AU2064" s="175" t="s">
        <v>98</v>
      </c>
      <c r="AV2064" s="175" t="s">
        <v>98</v>
      </c>
      <c r="AW2064" s="175" t="s">
        <v>98</v>
      </c>
      <c r="AX2064" s="175" t="s">
        <v>98</v>
      </c>
      <c r="AY2064" s="175" t="s">
        <v>98</v>
      </c>
      <c r="AZ2064" s="175" t="s">
        <v>98</v>
      </c>
      <c r="BA2064" s="175" t="s">
        <v>98</v>
      </c>
      <c r="BB2064" s="175" t="s">
        <v>98</v>
      </c>
      <c r="BC2064" s="175" t="s">
        <v>98</v>
      </c>
      <c r="BD2064" s="175" t="s">
        <v>98</v>
      </c>
      <c r="BE2064" s="175" t="s">
        <v>98</v>
      </c>
      <c r="BF2064" s="176" t="s">
        <v>7297</v>
      </c>
      <c r="BG2064" s="176"/>
      <c r="BH2064" s="9" t="s">
        <v>100</v>
      </c>
      <c r="BI2064" s="9" t="s">
        <v>100</v>
      </c>
      <c r="BJ2064" s="541"/>
      <c r="BN2064" s="541"/>
      <c r="BO2064" s="541"/>
    </row>
    <row r="2065" spans="1:67" s="542" customFormat="1" ht="65" hidden="1" x14ac:dyDescent="0.35">
      <c r="A2065" s="175">
        <v>243</v>
      </c>
      <c r="B2065" s="175" t="s">
        <v>7059</v>
      </c>
      <c r="C2065" s="176" t="s">
        <v>59</v>
      </c>
      <c r="D2065" s="176" t="s">
        <v>7298</v>
      </c>
      <c r="E2065" s="175" t="s">
        <v>36</v>
      </c>
      <c r="F2065" s="175" t="s">
        <v>123</v>
      </c>
      <c r="G2065" s="175" t="s">
        <v>225</v>
      </c>
      <c r="H2065" s="175" t="s">
        <v>225</v>
      </c>
      <c r="I2065" s="175" t="s">
        <v>98</v>
      </c>
      <c r="J2065" s="176" t="s">
        <v>98</v>
      </c>
      <c r="K2065" s="175" t="s">
        <v>98</v>
      </c>
      <c r="L2065" s="175" t="s">
        <v>98</v>
      </c>
      <c r="M2065" s="175" t="s">
        <v>98</v>
      </c>
      <c r="N2065" s="176" t="s">
        <v>7294</v>
      </c>
      <c r="O2065" s="176" t="s">
        <v>2714</v>
      </c>
      <c r="P2065" s="176" t="s">
        <v>238</v>
      </c>
      <c r="Q2065" s="304" t="s">
        <v>276</v>
      </c>
      <c r="R2065" s="176" t="s">
        <v>7295</v>
      </c>
      <c r="S2065" s="176" t="s">
        <v>276</v>
      </c>
      <c r="T2065" s="176" t="s">
        <v>98</v>
      </c>
      <c r="U2065" s="178" t="s">
        <v>5401</v>
      </c>
      <c r="V2065" s="175" t="s">
        <v>14</v>
      </c>
      <c r="W2065" s="176" t="s">
        <v>98</v>
      </c>
      <c r="X2065" s="176" t="s">
        <v>209</v>
      </c>
      <c r="Y2065" s="180">
        <v>34144</v>
      </c>
      <c r="Z2065" s="176" t="s">
        <v>98</v>
      </c>
      <c r="AA2065" s="176" t="s">
        <v>276</v>
      </c>
      <c r="AB2065" s="176" t="s">
        <v>98</v>
      </c>
      <c r="AC2065" s="175">
        <v>0</v>
      </c>
      <c r="AD2065" s="175" t="s">
        <v>6723</v>
      </c>
      <c r="AE2065" s="175" t="s">
        <v>98</v>
      </c>
      <c r="AF2065" s="175" t="s">
        <v>98</v>
      </c>
      <c r="AG2065" s="176" t="s">
        <v>7299</v>
      </c>
      <c r="AH2065" s="176" t="s">
        <v>7241</v>
      </c>
      <c r="AI2065" s="179">
        <v>476</v>
      </c>
      <c r="AJ2065" s="179" t="s">
        <v>98</v>
      </c>
      <c r="AK2065" s="179">
        <v>34144</v>
      </c>
      <c r="AL2065" s="179" t="s">
        <v>98</v>
      </c>
      <c r="AM2065" s="179" t="s">
        <v>2047</v>
      </c>
      <c r="AN2065" s="175" t="s">
        <v>276</v>
      </c>
      <c r="AO2065" s="201">
        <f>AI2065*1000/AK2065</f>
        <v>13.940955951265229</v>
      </c>
      <c r="AP2065" s="175" t="s">
        <v>276</v>
      </c>
      <c r="AQ2065" s="175" t="s">
        <v>276</v>
      </c>
      <c r="AR2065" s="175" t="s">
        <v>98</v>
      </c>
      <c r="AS2065" s="175" t="s">
        <v>98</v>
      </c>
      <c r="AT2065" s="175" t="s">
        <v>98</v>
      </c>
      <c r="AU2065" s="175" t="s">
        <v>98</v>
      </c>
      <c r="AV2065" s="175" t="s">
        <v>98</v>
      </c>
      <c r="AW2065" s="175" t="s">
        <v>98</v>
      </c>
      <c r="AX2065" s="175" t="s">
        <v>98</v>
      </c>
      <c r="AY2065" s="175" t="s">
        <v>98</v>
      </c>
      <c r="AZ2065" s="175" t="s">
        <v>98</v>
      </c>
      <c r="BA2065" s="175" t="s">
        <v>98</v>
      </c>
      <c r="BB2065" s="175" t="s">
        <v>98</v>
      </c>
      <c r="BC2065" s="175" t="s">
        <v>98</v>
      </c>
      <c r="BD2065" s="175" t="s">
        <v>98</v>
      </c>
      <c r="BE2065" s="175" t="s">
        <v>98</v>
      </c>
      <c r="BF2065" s="176" t="s">
        <v>7300</v>
      </c>
      <c r="BG2065" s="176"/>
      <c r="BH2065" s="9" t="s">
        <v>100</v>
      </c>
      <c r="BI2065" s="9" t="s">
        <v>100</v>
      </c>
      <c r="BJ2065" s="541"/>
      <c r="BN2065" s="541"/>
      <c r="BO2065" s="541"/>
    </row>
    <row r="2066" spans="1:67" s="542" customFormat="1" ht="65" hidden="1" x14ac:dyDescent="0.35">
      <c r="A2066" s="175">
        <v>243</v>
      </c>
      <c r="B2066" s="175" t="s">
        <v>7059</v>
      </c>
      <c r="C2066" s="176" t="s">
        <v>59</v>
      </c>
      <c r="D2066" s="176" t="s">
        <v>11676</v>
      </c>
      <c r="E2066" s="175" t="s">
        <v>36</v>
      </c>
      <c r="F2066" s="175" t="s">
        <v>123</v>
      </c>
      <c r="G2066" s="175" t="s">
        <v>225</v>
      </c>
      <c r="H2066" s="175" t="s">
        <v>225</v>
      </c>
      <c r="I2066" s="175" t="s">
        <v>98</v>
      </c>
      <c r="J2066" s="176" t="s">
        <v>98</v>
      </c>
      <c r="K2066" s="175" t="s">
        <v>98</v>
      </c>
      <c r="L2066" s="175" t="s">
        <v>98</v>
      </c>
      <c r="M2066" s="175" t="s">
        <v>98</v>
      </c>
      <c r="N2066" s="176" t="s">
        <v>7294</v>
      </c>
      <c r="O2066" s="176" t="s">
        <v>2714</v>
      </c>
      <c r="P2066" s="176" t="s">
        <v>238</v>
      </c>
      <c r="Q2066" s="304" t="s">
        <v>276</v>
      </c>
      <c r="R2066" s="176" t="s">
        <v>7295</v>
      </c>
      <c r="S2066" s="176" t="s">
        <v>276</v>
      </c>
      <c r="T2066" s="176" t="s">
        <v>98</v>
      </c>
      <c r="U2066" s="178" t="s">
        <v>5401</v>
      </c>
      <c r="V2066" s="175" t="s">
        <v>14</v>
      </c>
      <c r="W2066" s="176" t="s">
        <v>98</v>
      </c>
      <c r="X2066" s="176" t="s">
        <v>209</v>
      </c>
      <c r="Y2066" s="180">
        <v>34144</v>
      </c>
      <c r="Z2066" s="176" t="s">
        <v>98</v>
      </c>
      <c r="AA2066" s="176" t="s">
        <v>276</v>
      </c>
      <c r="AB2066" s="176" t="s">
        <v>98</v>
      </c>
      <c r="AC2066" s="175">
        <v>0</v>
      </c>
      <c r="AD2066" s="175" t="s">
        <v>6723</v>
      </c>
      <c r="AE2066" s="175" t="s">
        <v>98</v>
      </c>
      <c r="AF2066" s="175" t="s">
        <v>98</v>
      </c>
      <c r="AG2066" s="176" t="s">
        <v>7299</v>
      </c>
      <c r="AH2066" s="176" t="s">
        <v>7241</v>
      </c>
      <c r="AI2066" s="179">
        <f>476+104</f>
        <v>580</v>
      </c>
      <c r="AJ2066" s="179" t="s">
        <v>98</v>
      </c>
      <c r="AK2066" s="179">
        <v>34144</v>
      </c>
      <c r="AL2066" s="179" t="s">
        <v>98</v>
      </c>
      <c r="AM2066" s="179" t="s">
        <v>2047</v>
      </c>
      <c r="AN2066" s="175" t="s">
        <v>276</v>
      </c>
      <c r="AO2066" s="201">
        <f>AI2066*1000/AK2066</f>
        <v>16.986879100281161</v>
      </c>
      <c r="AP2066" s="175" t="s">
        <v>276</v>
      </c>
      <c r="AQ2066" s="175" t="s">
        <v>276</v>
      </c>
      <c r="AR2066" s="175" t="s">
        <v>98</v>
      </c>
      <c r="AS2066" s="175" t="s">
        <v>98</v>
      </c>
      <c r="AT2066" s="175" t="s">
        <v>98</v>
      </c>
      <c r="AU2066" s="175" t="s">
        <v>98</v>
      </c>
      <c r="AV2066" s="175" t="s">
        <v>98</v>
      </c>
      <c r="AW2066" s="175" t="s">
        <v>98</v>
      </c>
      <c r="AX2066" s="175" t="s">
        <v>98</v>
      </c>
      <c r="AY2066" s="175" t="s">
        <v>98</v>
      </c>
      <c r="AZ2066" s="175" t="s">
        <v>98</v>
      </c>
      <c r="BA2066" s="175" t="s">
        <v>98</v>
      </c>
      <c r="BB2066" s="175" t="s">
        <v>98</v>
      </c>
      <c r="BC2066" s="175" t="s">
        <v>98</v>
      </c>
      <c r="BD2066" s="175" t="s">
        <v>98</v>
      </c>
      <c r="BE2066" s="175" t="s">
        <v>98</v>
      </c>
      <c r="BF2066" s="176" t="s">
        <v>7300</v>
      </c>
      <c r="BG2066" s="176"/>
      <c r="BH2066" s="9" t="s">
        <v>100</v>
      </c>
      <c r="BI2066" s="9" t="s">
        <v>100</v>
      </c>
      <c r="BJ2066" s="541"/>
      <c r="BN2066" s="541"/>
      <c r="BO2066" s="541"/>
    </row>
    <row r="2067" spans="1:67" s="542" customFormat="1" ht="65" hidden="1" x14ac:dyDescent="0.35">
      <c r="A2067" s="175">
        <v>243</v>
      </c>
      <c r="B2067" s="175" t="s">
        <v>7059</v>
      </c>
      <c r="C2067" s="176" t="s">
        <v>59</v>
      </c>
      <c r="D2067" s="176" t="s">
        <v>7301</v>
      </c>
      <c r="E2067" s="175" t="s">
        <v>36</v>
      </c>
      <c r="F2067" s="175" t="s">
        <v>123</v>
      </c>
      <c r="G2067" s="175" t="s">
        <v>225</v>
      </c>
      <c r="H2067" s="175" t="s">
        <v>225</v>
      </c>
      <c r="I2067" s="175" t="s">
        <v>98</v>
      </c>
      <c r="J2067" s="176" t="s">
        <v>98</v>
      </c>
      <c r="K2067" s="175" t="s">
        <v>98</v>
      </c>
      <c r="L2067" s="175" t="s">
        <v>98</v>
      </c>
      <c r="M2067" s="175" t="s">
        <v>98</v>
      </c>
      <c r="N2067" s="176" t="s">
        <v>7294</v>
      </c>
      <c r="O2067" s="176" t="s">
        <v>2714</v>
      </c>
      <c r="P2067" s="176" t="s">
        <v>238</v>
      </c>
      <c r="Q2067" s="304" t="s">
        <v>276</v>
      </c>
      <c r="R2067" s="176" t="s">
        <v>7295</v>
      </c>
      <c r="S2067" s="176" t="s">
        <v>276</v>
      </c>
      <c r="T2067" s="176" t="s">
        <v>98</v>
      </c>
      <c r="U2067" s="178" t="s">
        <v>5401</v>
      </c>
      <c r="V2067" s="175" t="s">
        <v>14</v>
      </c>
      <c r="W2067" s="176" t="s">
        <v>98</v>
      </c>
      <c r="X2067" s="176" t="s">
        <v>209</v>
      </c>
      <c r="Y2067" s="180">
        <v>34144</v>
      </c>
      <c r="Z2067" s="176" t="s">
        <v>98</v>
      </c>
      <c r="AA2067" s="176" t="s">
        <v>276</v>
      </c>
      <c r="AB2067" s="176" t="s">
        <v>98</v>
      </c>
      <c r="AC2067" s="175">
        <v>0</v>
      </c>
      <c r="AD2067" s="175" t="s">
        <v>6723</v>
      </c>
      <c r="AE2067" s="175" t="s">
        <v>98</v>
      </c>
      <c r="AF2067" s="175" t="s">
        <v>98</v>
      </c>
      <c r="AG2067" s="176" t="s">
        <v>7302</v>
      </c>
      <c r="AH2067" s="176" t="s">
        <v>7241</v>
      </c>
      <c r="AI2067" s="179">
        <v>305</v>
      </c>
      <c r="AJ2067" s="179" t="s">
        <v>98</v>
      </c>
      <c r="AK2067" s="179">
        <v>34144</v>
      </c>
      <c r="AL2067" s="179" t="s">
        <v>98</v>
      </c>
      <c r="AM2067" s="179" t="s">
        <v>2047</v>
      </c>
      <c r="AN2067" s="175" t="s">
        <v>276</v>
      </c>
      <c r="AO2067" s="201">
        <f>AI2067*1000/AK2067</f>
        <v>8.9327553889409561</v>
      </c>
      <c r="AP2067" s="175" t="s">
        <v>276</v>
      </c>
      <c r="AQ2067" s="175" t="s">
        <v>276</v>
      </c>
      <c r="AR2067" s="175" t="s">
        <v>98</v>
      </c>
      <c r="AS2067" s="175" t="s">
        <v>98</v>
      </c>
      <c r="AT2067" s="175" t="s">
        <v>98</v>
      </c>
      <c r="AU2067" s="175" t="s">
        <v>98</v>
      </c>
      <c r="AV2067" s="175" t="s">
        <v>98</v>
      </c>
      <c r="AW2067" s="175" t="s">
        <v>98</v>
      </c>
      <c r="AX2067" s="175" t="s">
        <v>98</v>
      </c>
      <c r="AY2067" s="175" t="s">
        <v>98</v>
      </c>
      <c r="AZ2067" s="175" t="s">
        <v>98</v>
      </c>
      <c r="BA2067" s="175" t="s">
        <v>98</v>
      </c>
      <c r="BB2067" s="175" t="s">
        <v>98</v>
      </c>
      <c r="BC2067" s="175" t="s">
        <v>98</v>
      </c>
      <c r="BD2067" s="175" t="s">
        <v>98</v>
      </c>
      <c r="BE2067" s="175" t="s">
        <v>98</v>
      </c>
      <c r="BF2067" s="176" t="s">
        <v>7303</v>
      </c>
      <c r="BG2067" s="176"/>
      <c r="BH2067" s="9" t="s">
        <v>100</v>
      </c>
      <c r="BI2067" s="9" t="s">
        <v>100</v>
      </c>
      <c r="BJ2067" s="541"/>
      <c r="BN2067" s="541"/>
      <c r="BO2067" s="541"/>
    </row>
    <row r="2068" spans="1:67" s="542" customFormat="1" ht="52" x14ac:dyDescent="0.35">
      <c r="A2068" s="175">
        <v>243</v>
      </c>
      <c r="B2068" s="175" t="s">
        <v>7059</v>
      </c>
      <c r="C2068" s="176" t="s">
        <v>59</v>
      </c>
      <c r="D2068" s="176" t="s">
        <v>7304</v>
      </c>
      <c r="E2068" s="175" t="s">
        <v>36</v>
      </c>
      <c r="F2068" s="175" t="s">
        <v>123</v>
      </c>
      <c r="G2068" s="175" t="s">
        <v>225</v>
      </c>
      <c r="H2068" s="175" t="s">
        <v>225</v>
      </c>
      <c r="I2068" s="175" t="s">
        <v>98</v>
      </c>
      <c r="J2068" s="176" t="s">
        <v>98</v>
      </c>
      <c r="K2068" s="175" t="s">
        <v>98</v>
      </c>
      <c r="L2068" s="175" t="s">
        <v>98</v>
      </c>
      <c r="M2068" s="175" t="s">
        <v>98</v>
      </c>
      <c r="N2068" s="176" t="s">
        <v>7294</v>
      </c>
      <c r="O2068" s="176" t="s">
        <v>7062</v>
      </c>
      <c r="P2068" s="176" t="s">
        <v>236</v>
      </c>
      <c r="Q2068" s="304">
        <v>37256</v>
      </c>
      <c r="R2068" s="176" t="s">
        <v>7063</v>
      </c>
      <c r="S2068" s="176" t="s">
        <v>7064</v>
      </c>
      <c r="T2068" s="176" t="s">
        <v>98</v>
      </c>
      <c r="U2068" s="178" t="s">
        <v>5401</v>
      </c>
      <c r="V2068" s="175" t="s">
        <v>14</v>
      </c>
      <c r="W2068" s="176" t="s">
        <v>98</v>
      </c>
      <c r="X2068" s="176" t="s">
        <v>209</v>
      </c>
      <c r="Y2068" s="180">
        <v>34144</v>
      </c>
      <c r="Z2068" s="176" t="s">
        <v>98</v>
      </c>
      <c r="AA2068" s="176" t="s">
        <v>276</v>
      </c>
      <c r="AB2068" s="176" t="s">
        <v>98</v>
      </c>
      <c r="AC2068" s="175">
        <v>0</v>
      </c>
      <c r="AD2068" s="175" t="s">
        <v>6723</v>
      </c>
      <c r="AE2068" s="175" t="s">
        <v>98</v>
      </c>
      <c r="AF2068" s="175" t="s">
        <v>98</v>
      </c>
      <c r="AG2068" s="176" t="s">
        <v>7296</v>
      </c>
      <c r="AH2068" s="176" t="s">
        <v>7305</v>
      </c>
      <c r="AI2068" s="179">
        <v>104</v>
      </c>
      <c r="AJ2068" s="179" t="s">
        <v>98</v>
      </c>
      <c r="AK2068" s="179">
        <v>721</v>
      </c>
      <c r="AL2068" s="179" t="s">
        <v>98</v>
      </c>
      <c r="AM2068" s="179" t="s">
        <v>292</v>
      </c>
      <c r="AN2068" s="175" t="s">
        <v>276</v>
      </c>
      <c r="AO2068" s="201">
        <f>AI2068*100/AK2068</f>
        <v>14.424410540915396</v>
      </c>
      <c r="AP2068" s="175" t="s">
        <v>276</v>
      </c>
      <c r="AQ2068" s="175" t="s">
        <v>276</v>
      </c>
      <c r="AR2068" s="175" t="s">
        <v>98</v>
      </c>
      <c r="AS2068" s="175" t="s">
        <v>98</v>
      </c>
      <c r="AT2068" s="175" t="s">
        <v>98</v>
      </c>
      <c r="AU2068" s="175" t="s">
        <v>98</v>
      </c>
      <c r="AV2068" s="175" t="s">
        <v>98</v>
      </c>
      <c r="AW2068" s="175" t="s">
        <v>98</v>
      </c>
      <c r="AX2068" s="175" t="s">
        <v>98</v>
      </c>
      <c r="AY2068" s="175" t="s">
        <v>98</v>
      </c>
      <c r="AZ2068" s="175" t="s">
        <v>98</v>
      </c>
      <c r="BA2068" s="175" t="s">
        <v>98</v>
      </c>
      <c r="BB2068" s="175" t="s">
        <v>98</v>
      </c>
      <c r="BC2068" s="175" t="s">
        <v>98</v>
      </c>
      <c r="BD2068" s="175" t="s">
        <v>98</v>
      </c>
      <c r="BE2068" s="175" t="s">
        <v>98</v>
      </c>
      <c r="BF2068" s="176" t="s">
        <v>426</v>
      </c>
      <c r="BG2068" s="176"/>
      <c r="BH2068" s="9" t="s">
        <v>99</v>
      </c>
      <c r="BI2068" s="9" t="s">
        <v>100</v>
      </c>
      <c r="BJ2068" s="541"/>
      <c r="BN2068" s="541"/>
      <c r="BO2068" s="541"/>
    </row>
    <row r="2069" spans="1:67" s="544" customFormat="1" ht="52" hidden="1" x14ac:dyDescent="0.35">
      <c r="A2069" s="184">
        <v>243</v>
      </c>
      <c r="B2069" s="184" t="s">
        <v>7059</v>
      </c>
      <c r="C2069" s="185" t="s">
        <v>59</v>
      </c>
      <c r="D2069" s="185" t="s">
        <v>7306</v>
      </c>
      <c r="E2069" s="184" t="s">
        <v>36</v>
      </c>
      <c r="F2069" s="184" t="s">
        <v>123</v>
      </c>
      <c r="G2069" s="184" t="s">
        <v>225</v>
      </c>
      <c r="H2069" s="184" t="s">
        <v>125</v>
      </c>
      <c r="I2069" s="184" t="s">
        <v>114</v>
      </c>
      <c r="J2069" s="185" t="s">
        <v>32</v>
      </c>
      <c r="K2069" s="184" t="s">
        <v>2345</v>
      </c>
      <c r="L2069" s="184" t="s">
        <v>276</v>
      </c>
      <c r="M2069" s="184" t="s">
        <v>276</v>
      </c>
      <c r="N2069" s="185" t="s">
        <v>7294</v>
      </c>
      <c r="O2069" s="185" t="s">
        <v>7062</v>
      </c>
      <c r="P2069" s="185" t="s">
        <v>239</v>
      </c>
      <c r="Q2069" s="302">
        <v>37256</v>
      </c>
      <c r="R2069" s="185" t="s">
        <v>7063</v>
      </c>
      <c r="S2069" s="185" t="s">
        <v>7064</v>
      </c>
      <c r="T2069" s="185" t="s">
        <v>7064</v>
      </c>
      <c r="U2069" s="187" t="s">
        <v>5401</v>
      </c>
      <c r="V2069" s="184" t="s">
        <v>14</v>
      </c>
      <c r="W2069" s="185" t="s">
        <v>98</v>
      </c>
      <c r="X2069" s="185" t="s">
        <v>207</v>
      </c>
      <c r="Y2069" s="189">
        <v>34144</v>
      </c>
      <c r="Z2069" s="188">
        <v>34164</v>
      </c>
      <c r="AA2069" s="185" t="s">
        <v>276</v>
      </c>
      <c r="AB2069" s="185" t="s">
        <v>276</v>
      </c>
      <c r="AC2069" s="184" t="s">
        <v>98</v>
      </c>
      <c r="AD2069" s="184" t="s">
        <v>98</v>
      </c>
      <c r="AE2069" s="184" t="s">
        <v>98</v>
      </c>
      <c r="AF2069" s="184" t="s">
        <v>98</v>
      </c>
      <c r="AG2069" s="185" t="s">
        <v>7307</v>
      </c>
      <c r="AH2069" s="185" t="s">
        <v>7253</v>
      </c>
      <c r="AI2069" s="188">
        <v>721</v>
      </c>
      <c r="AJ2069" s="188">
        <v>754</v>
      </c>
      <c r="AK2069" s="188">
        <v>34144</v>
      </c>
      <c r="AL2069" s="188">
        <v>34164</v>
      </c>
      <c r="AM2069" s="188" t="s">
        <v>2047</v>
      </c>
      <c r="AN2069" s="184" t="s">
        <v>276</v>
      </c>
      <c r="AO2069" s="338">
        <f t="shared" ref="AO2069:AO2076" si="582">AI2069*1000/AK2069</f>
        <v>21.116447985004687</v>
      </c>
      <c r="AP2069" s="184" t="s">
        <v>276</v>
      </c>
      <c r="AQ2069" s="184" t="s">
        <v>276</v>
      </c>
      <c r="AR2069" s="184" t="s">
        <v>276</v>
      </c>
      <c r="AS2069" s="338">
        <f t="shared" ref="AS2069:AS2076" si="583">AJ2069*1000/AL2069</f>
        <v>22.070015220700153</v>
      </c>
      <c r="AT2069" s="184" t="s">
        <v>276</v>
      </c>
      <c r="AU2069" s="184" t="s">
        <v>276</v>
      </c>
      <c r="AV2069" s="184" t="s">
        <v>268</v>
      </c>
      <c r="AW2069" s="184" t="s">
        <v>276</v>
      </c>
      <c r="AX2069" s="338">
        <f t="shared" ref="AX2069:AX2087" si="584">AO2069/AS2069</f>
        <v>0.95679353973435022</v>
      </c>
      <c r="AY2069" s="184" t="s">
        <v>276</v>
      </c>
      <c r="AZ2069" s="184" t="s">
        <v>276</v>
      </c>
      <c r="BA2069" s="184" t="s">
        <v>276</v>
      </c>
      <c r="BB2069" s="184" t="s">
        <v>282</v>
      </c>
      <c r="BC2069" s="184" t="s">
        <v>98</v>
      </c>
      <c r="BD2069" s="184" t="s">
        <v>98</v>
      </c>
      <c r="BE2069" s="184" t="s">
        <v>98</v>
      </c>
      <c r="BF2069" s="185" t="s">
        <v>426</v>
      </c>
      <c r="BG2069" s="185"/>
      <c r="BH2069" s="9" t="s">
        <v>100</v>
      </c>
      <c r="BI2069" s="9" t="s">
        <v>100</v>
      </c>
      <c r="BJ2069" s="543"/>
      <c r="BN2069" s="543"/>
      <c r="BO2069" s="543"/>
    </row>
    <row r="2070" spans="1:67" s="544" customFormat="1" ht="52" hidden="1" x14ac:dyDescent="0.35">
      <c r="A2070" s="184">
        <v>243</v>
      </c>
      <c r="B2070" s="184" t="s">
        <v>7059</v>
      </c>
      <c r="C2070" s="185" t="s">
        <v>59</v>
      </c>
      <c r="D2070" s="185" t="s">
        <v>7308</v>
      </c>
      <c r="E2070" s="184" t="s">
        <v>36</v>
      </c>
      <c r="F2070" s="184" t="s">
        <v>123</v>
      </c>
      <c r="G2070" s="184" t="s">
        <v>225</v>
      </c>
      <c r="H2070" s="184" t="s">
        <v>125</v>
      </c>
      <c r="I2070" s="184" t="s">
        <v>114</v>
      </c>
      <c r="J2070" s="346" t="s">
        <v>11166</v>
      </c>
      <c r="K2070" s="184" t="s">
        <v>7109</v>
      </c>
      <c r="L2070" s="184" t="s">
        <v>276</v>
      </c>
      <c r="M2070" s="184" t="s">
        <v>276</v>
      </c>
      <c r="N2070" s="185" t="s">
        <v>7294</v>
      </c>
      <c r="O2070" s="185" t="s">
        <v>7062</v>
      </c>
      <c r="P2070" s="185" t="s">
        <v>239</v>
      </c>
      <c r="Q2070" s="302">
        <v>37256</v>
      </c>
      <c r="R2070" s="185" t="s">
        <v>7063</v>
      </c>
      <c r="S2070" s="185" t="s">
        <v>7064</v>
      </c>
      <c r="T2070" s="185" t="s">
        <v>7064</v>
      </c>
      <c r="U2070" s="187" t="s">
        <v>5401</v>
      </c>
      <c r="V2070" s="184" t="s">
        <v>14</v>
      </c>
      <c r="W2070" s="185" t="s">
        <v>98</v>
      </c>
      <c r="X2070" s="185" t="s">
        <v>207</v>
      </c>
      <c r="Y2070" s="189">
        <v>34144</v>
      </c>
      <c r="Z2070" s="188">
        <v>34164</v>
      </c>
      <c r="AA2070" s="185" t="s">
        <v>276</v>
      </c>
      <c r="AB2070" s="185" t="s">
        <v>276</v>
      </c>
      <c r="AC2070" s="184" t="s">
        <v>98</v>
      </c>
      <c r="AD2070" s="184" t="s">
        <v>98</v>
      </c>
      <c r="AE2070" s="184" t="s">
        <v>98</v>
      </c>
      <c r="AF2070" s="184" t="s">
        <v>98</v>
      </c>
      <c r="AG2070" s="185" t="s">
        <v>7309</v>
      </c>
      <c r="AH2070" s="185" t="s">
        <v>7253</v>
      </c>
      <c r="AI2070" s="188">
        <v>515</v>
      </c>
      <c r="AJ2070" s="188">
        <v>317</v>
      </c>
      <c r="AK2070" s="188">
        <v>34144</v>
      </c>
      <c r="AL2070" s="188">
        <v>34164</v>
      </c>
      <c r="AM2070" s="188" t="s">
        <v>2047</v>
      </c>
      <c r="AN2070" s="184" t="s">
        <v>276</v>
      </c>
      <c r="AO2070" s="338">
        <f t="shared" si="582"/>
        <v>15.083177132146204</v>
      </c>
      <c r="AP2070" s="184" t="s">
        <v>276</v>
      </c>
      <c r="AQ2070" s="184" t="s">
        <v>276</v>
      </c>
      <c r="AR2070" s="184" t="s">
        <v>276</v>
      </c>
      <c r="AS2070" s="338">
        <f t="shared" si="583"/>
        <v>9.2787729774031149</v>
      </c>
      <c r="AT2070" s="184" t="s">
        <v>276</v>
      </c>
      <c r="AU2070" s="184" t="s">
        <v>276</v>
      </c>
      <c r="AV2070" s="184" t="s">
        <v>268</v>
      </c>
      <c r="AW2070" s="184" t="s">
        <v>276</v>
      </c>
      <c r="AX2070" s="338">
        <f t="shared" si="584"/>
        <v>1.6255572982417756</v>
      </c>
      <c r="AY2070" s="184" t="s">
        <v>276</v>
      </c>
      <c r="AZ2070" s="184" t="s">
        <v>276</v>
      </c>
      <c r="BA2070" s="184" t="s">
        <v>431</v>
      </c>
      <c r="BB2070" s="184" t="s">
        <v>282</v>
      </c>
      <c r="BC2070" s="184" t="s">
        <v>98</v>
      </c>
      <c r="BD2070" s="184" t="s">
        <v>98</v>
      </c>
      <c r="BE2070" s="184" t="s">
        <v>98</v>
      </c>
      <c r="BF2070" s="185" t="s">
        <v>7310</v>
      </c>
      <c r="BG2070" s="185"/>
      <c r="BH2070" s="9" t="s">
        <v>100</v>
      </c>
      <c r="BI2070" s="9" t="s">
        <v>100</v>
      </c>
      <c r="BJ2070" s="543"/>
      <c r="BN2070" s="543"/>
      <c r="BO2070" s="543"/>
    </row>
    <row r="2071" spans="1:67" s="194" customFormat="1" ht="65" hidden="1" x14ac:dyDescent="0.35">
      <c r="A2071" s="184">
        <v>243</v>
      </c>
      <c r="B2071" s="184" t="s">
        <v>7059</v>
      </c>
      <c r="C2071" s="185" t="s">
        <v>59</v>
      </c>
      <c r="D2071" s="185" t="s">
        <v>11173</v>
      </c>
      <c r="E2071" s="184" t="s">
        <v>36</v>
      </c>
      <c r="F2071" s="184" t="s">
        <v>123</v>
      </c>
      <c r="G2071" s="184" t="s">
        <v>225</v>
      </c>
      <c r="H2071" s="184" t="s">
        <v>125</v>
      </c>
      <c r="I2071" s="184" t="s">
        <v>114</v>
      </c>
      <c r="J2071" s="185" t="s">
        <v>11166</v>
      </c>
      <c r="K2071" s="185" t="s">
        <v>11174</v>
      </c>
      <c r="L2071" s="184" t="s">
        <v>276</v>
      </c>
      <c r="M2071" s="184" t="s">
        <v>276</v>
      </c>
      <c r="N2071" s="185" t="s">
        <v>7294</v>
      </c>
      <c r="O2071" s="185" t="s">
        <v>7062</v>
      </c>
      <c r="P2071" s="185" t="s">
        <v>239</v>
      </c>
      <c r="Q2071" s="302">
        <v>37256</v>
      </c>
      <c r="R2071" s="185" t="s">
        <v>7063</v>
      </c>
      <c r="S2071" s="185" t="s">
        <v>7064</v>
      </c>
      <c r="T2071" s="185" t="s">
        <v>7064</v>
      </c>
      <c r="U2071" s="187" t="s">
        <v>5401</v>
      </c>
      <c r="V2071" s="184" t="s">
        <v>14</v>
      </c>
      <c r="W2071" s="185" t="s">
        <v>98</v>
      </c>
      <c r="X2071" s="185" t="s">
        <v>207</v>
      </c>
      <c r="Y2071" s="189">
        <v>34144</v>
      </c>
      <c r="Z2071" s="188">
        <v>34164</v>
      </c>
      <c r="AA2071" s="185" t="s">
        <v>276</v>
      </c>
      <c r="AB2071" s="185" t="s">
        <v>276</v>
      </c>
      <c r="AC2071" s="184" t="s">
        <v>98</v>
      </c>
      <c r="AD2071" s="184" t="s">
        <v>98</v>
      </c>
      <c r="AE2071" s="184" t="s">
        <v>98</v>
      </c>
      <c r="AF2071" s="184" t="s">
        <v>98</v>
      </c>
      <c r="AG2071" s="185" t="s">
        <v>11175</v>
      </c>
      <c r="AH2071" s="185" t="s">
        <v>7253</v>
      </c>
      <c r="AI2071" s="188">
        <v>385</v>
      </c>
      <c r="AJ2071" s="188">
        <v>214</v>
      </c>
      <c r="AK2071" s="188">
        <v>34144</v>
      </c>
      <c r="AL2071" s="188">
        <v>34164</v>
      </c>
      <c r="AM2071" s="188" t="s">
        <v>2047</v>
      </c>
      <c r="AN2071" s="184" t="s">
        <v>276</v>
      </c>
      <c r="AO2071" s="338">
        <f t="shared" si="582"/>
        <v>11.275773195876289</v>
      </c>
      <c r="AP2071" s="184" t="s">
        <v>276</v>
      </c>
      <c r="AQ2071" s="184" t="s">
        <v>276</v>
      </c>
      <c r="AR2071" s="184" t="s">
        <v>276</v>
      </c>
      <c r="AS2071" s="338">
        <f t="shared" si="583"/>
        <v>6.263903524177497</v>
      </c>
      <c r="AT2071" s="184" t="s">
        <v>276</v>
      </c>
      <c r="AU2071" s="184" t="s">
        <v>276</v>
      </c>
      <c r="AV2071" s="184" t="s">
        <v>268</v>
      </c>
      <c r="AW2071" s="184" t="s">
        <v>276</v>
      </c>
      <c r="AX2071" s="338">
        <f t="shared" si="584"/>
        <v>1.8001192311398015</v>
      </c>
      <c r="AY2071" s="184" t="s">
        <v>276</v>
      </c>
      <c r="AZ2071" s="184" t="s">
        <v>276</v>
      </c>
      <c r="BA2071" s="184" t="s">
        <v>276</v>
      </c>
      <c r="BB2071" s="184" t="s">
        <v>282</v>
      </c>
      <c r="BC2071" s="184" t="s">
        <v>98</v>
      </c>
      <c r="BD2071" s="184" t="s">
        <v>98</v>
      </c>
      <c r="BE2071" s="184" t="s">
        <v>98</v>
      </c>
      <c r="BF2071" s="185" t="s">
        <v>426</v>
      </c>
      <c r="BG2071" s="185"/>
      <c r="BH2071" s="9" t="s">
        <v>100</v>
      </c>
      <c r="BI2071" s="9" t="s">
        <v>100</v>
      </c>
      <c r="BJ2071" s="193"/>
      <c r="BN2071" s="193"/>
      <c r="BO2071" s="193"/>
    </row>
    <row r="2072" spans="1:67" s="544" customFormat="1" ht="52" hidden="1" x14ac:dyDescent="0.35">
      <c r="A2072" s="184">
        <v>243</v>
      </c>
      <c r="B2072" s="184" t="s">
        <v>7059</v>
      </c>
      <c r="C2072" s="185" t="s">
        <v>59</v>
      </c>
      <c r="D2072" s="185" t="s">
        <v>7311</v>
      </c>
      <c r="E2072" s="184" t="s">
        <v>36</v>
      </c>
      <c r="F2072" s="184" t="s">
        <v>123</v>
      </c>
      <c r="G2072" s="184" t="s">
        <v>225</v>
      </c>
      <c r="H2072" s="184" t="s">
        <v>125</v>
      </c>
      <c r="I2072" s="184" t="s">
        <v>114</v>
      </c>
      <c r="J2072" s="346" t="s">
        <v>11166</v>
      </c>
      <c r="K2072" s="184" t="s">
        <v>7312</v>
      </c>
      <c r="L2072" s="184" t="s">
        <v>276</v>
      </c>
      <c r="M2072" s="184" t="s">
        <v>276</v>
      </c>
      <c r="N2072" s="185" t="s">
        <v>7294</v>
      </c>
      <c r="O2072" s="185" t="s">
        <v>7062</v>
      </c>
      <c r="P2072" s="185" t="s">
        <v>239</v>
      </c>
      <c r="Q2072" s="302">
        <v>37256</v>
      </c>
      <c r="R2072" s="185" t="s">
        <v>7063</v>
      </c>
      <c r="S2072" s="185" t="s">
        <v>7064</v>
      </c>
      <c r="T2072" s="185" t="s">
        <v>7064</v>
      </c>
      <c r="U2072" s="187" t="s">
        <v>5401</v>
      </c>
      <c r="V2072" s="184" t="s">
        <v>14</v>
      </c>
      <c r="W2072" s="185" t="s">
        <v>98</v>
      </c>
      <c r="X2072" s="185" t="s">
        <v>207</v>
      </c>
      <c r="Y2072" s="189">
        <v>34144</v>
      </c>
      <c r="Z2072" s="188">
        <v>34164</v>
      </c>
      <c r="AA2072" s="185" t="s">
        <v>276</v>
      </c>
      <c r="AB2072" s="185" t="s">
        <v>276</v>
      </c>
      <c r="AC2072" s="184" t="s">
        <v>98</v>
      </c>
      <c r="AD2072" s="184" t="s">
        <v>98</v>
      </c>
      <c r="AE2072" s="184" t="s">
        <v>98</v>
      </c>
      <c r="AF2072" s="184" t="s">
        <v>98</v>
      </c>
      <c r="AG2072" s="185" t="s">
        <v>7313</v>
      </c>
      <c r="AH2072" s="185" t="s">
        <v>7253</v>
      </c>
      <c r="AI2072" s="188">
        <v>130</v>
      </c>
      <c r="AJ2072" s="188">
        <v>103</v>
      </c>
      <c r="AK2072" s="188">
        <v>34144</v>
      </c>
      <c r="AL2072" s="188">
        <v>34164</v>
      </c>
      <c r="AM2072" s="188" t="s">
        <v>2047</v>
      </c>
      <c r="AN2072" s="184" t="s">
        <v>276</v>
      </c>
      <c r="AO2072" s="338">
        <f t="shared" si="582"/>
        <v>3.8074039362699157</v>
      </c>
      <c r="AP2072" s="184" t="s">
        <v>276</v>
      </c>
      <c r="AQ2072" s="184" t="s">
        <v>276</v>
      </c>
      <c r="AR2072" s="184" t="s">
        <v>276</v>
      </c>
      <c r="AS2072" s="338">
        <f t="shared" si="583"/>
        <v>3.0148694532256175</v>
      </c>
      <c r="AT2072" s="184" t="s">
        <v>276</v>
      </c>
      <c r="AU2072" s="184" t="s">
        <v>276</v>
      </c>
      <c r="AV2072" s="184" t="s">
        <v>268</v>
      </c>
      <c r="AW2072" s="184" t="s">
        <v>276</v>
      </c>
      <c r="AX2072" s="338">
        <f t="shared" si="584"/>
        <v>1.2628752240652952</v>
      </c>
      <c r="AY2072" s="184" t="s">
        <v>276</v>
      </c>
      <c r="AZ2072" s="184" t="s">
        <v>276</v>
      </c>
      <c r="BA2072" s="184" t="s">
        <v>276</v>
      </c>
      <c r="BB2072" s="184" t="s">
        <v>282</v>
      </c>
      <c r="BC2072" s="184" t="s">
        <v>98</v>
      </c>
      <c r="BD2072" s="184" t="s">
        <v>98</v>
      </c>
      <c r="BE2072" s="184" t="s">
        <v>98</v>
      </c>
      <c r="BF2072" s="185" t="s">
        <v>426</v>
      </c>
      <c r="BG2072" s="185"/>
      <c r="BH2072" s="9" t="s">
        <v>100</v>
      </c>
      <c r="BI2072" s="9" t="s">
        <v>100</v>
      </c>
      <c r="BJ2072" s="543"/>
      <c r="BN2072" s="543"/>
      <c r="BO2072" s="543"/>
    </row>
    <row r="2073" spans="1:67" s="542" customFormat="1" ht="65" hidden="1" x14ac:dyDescent="0.35">
      <c r="A2073" s="175">
        <v>243</v>
      </c>
      <c r="B2073" s="175" t="s">
        <v>7059</v>
      </c>
      <c r="C2073" s="176" t="s">
        <v>59</v>
      </c>
      <c r="D2073" s="176" t="s">
        <v>7314</v>
      </c>
      <c r="E2073" s="175" t="s">
        <v>36</v>
      </c>
      <c r="F2073" s="175" t="s">
        <v>123</v>
      </c>
      <c r="G2073" s="175" t="s">
        <v>225</v>
      </c>
      <c r="H2073" s="175" t="s">
        <v>125</v>
      </c>
      <c r="I2073" s="175" t="s">
        <v>114</v>
      </c>
      <c r="J2073" s="176" t="s">
        <v>28</v>
      </c>
      <c r="K2073" s="175" t="s">
        <v>6737</v>
      </c>
      <c r="L2073" s="175" t="s">
        <v>276</v>
      </c>
      <c r="M2073" s="175" t="s">
        <v>276</v>
      </c>
      <c r="N2073" s="176" t="s">
        <v>7315</v>
      </c>
      <c r="O2073" s="176" t="s">
        <v>7062</v>
      </c>
      <c r="P2073" s="176" t="s">
        <v>239</v>
      </c>
      <c r="Q2073" s="304">
        <v>37256</v>
      </c>
      <c r="R2073" s="176" t="s">
        <v>7063</v>
      </c>
      <c r="S2073" s="176" t="s">
        <v>7064</v>
      </c>
      <c r="T2073" s="176" t="s">
        <v>7064</v>
      </c>
      <c r="U2073" s="178" t="s">
        <v>5401</v>
      </c>
      <c r="V2073" s="175" t="s">
        <v>14</v>
      </c>
      <c r="W2073" s="176" t="s">
        <v>98</v>
      </c>
      <c r="X2073" s="176" t="s">
        <v>207</v>
      </c>
      <c r="Y2073" s="180">
        <v>34144</v>
      </c>
      <c r="Z2073" s="179">
        <v>34164</v>
      </c>
      <c r="AA2073" s="176" t="s">
        <v>276</v>
      </c>
      <c r="AB2073" s="176" t="s">
        <v>276</v>
      </c>
      <c r="AC2073" s="175">
        <v>0</v>
      </c>
      <c r="AD2073" s="175" t="s">
        <v>7316</v>
      </c>
      <c r="AE2073" s="175">
        <v>0</v>
      </c>
      <c r="AF2073" s="175" t="s">
        <v>7316</v>
      </c>
      <c r="AG2073" s="176" t="s">
        <v>7317</v>
      </c>
      <c r="AH2073" s="176" t="s">
        <v>7253</v>
      </c>
      <c r="AI2073" s="179">
        <v>124</v>
      </c>
      <c r="AJ2073" s="179">
        <v>112</v>
      </c>
      <c r="AK2073" s="179">
        <v>34144</v>
      </c>
      <c r="AL2073" s="179">
        <v>34164</v>
      </c>
      <c r="AM2073" s="179" t="s">
        <v>2047</v>
      </c>
      <c r="AN2073" s="175" t="s">
        <v>276</v>
      </c>
      <c r="AO2073" s="201">
        <f t="shared" si="582"/>
        <v>3.6316776007497658</v>
      </c>
      <c r="AP2073" s="175" t="s">
        <v>276</v>
      </c>
      <c r="AQ2073" s="175" t="s">
        <v>276</v>
      </c>
      <c r="AR2073" s="175" t="s">
        <v>276</v>
      </c>
      <c r="AS2073" s="201">
        <f t="shared" si="583"/>
        <v>3.2783046481676617</v>
      </c>
      <c r="AT2073" s="175" t="s">
        <v>276</v>
      </c>
      <c r="AU2073" s="175" t="s">
        <v>276</v>
      </c>
      <c r="AV2073" s="175" t="s">
        <v>268</v>
      </c>
      <c r="AW2073" s="175" t="s">
        <v>276</v>
      </c>
      <c r="AX2073" s="201">
        <f t="shared" si="584"/>
        <v>1.1077913710001339</v>
      </c>
      <c r="AY2073" s="175" t="s">
        <v>276</v>
      </c>
      <c r="AZ2073" s="175" t="s">
        <v>276</v>
      </c>
      <c r="BA2073" s="175" t="s">
        <v>276</v>
      </c>
      <c r="BB2073" s="175" t="s">
        <v>282</v>
      </c>
      <c r="BC2073" s="175" t="s">
        <v>98</v>
      </c>
      <c r="BD2073" s="175" t="s">
        <v>98</v>
      </c>
      <c r="BE2073" s="175" t="s">
        <v>98</v>
      </c>
      <c r="BF2073" s="176" t="s">
        <v>426</v>
      </c>
      <c r="BG2073" s="176"/>
      <c r="BH2073" s="9" t="s">
        <v>100</v>
      </c>
      <c r="BI2073" s="9" t="s">
        <v>100</v>
      </c>
      <c r="BJ2073" s="541"/>
      <c r="BN2073" s="541"/>
      <c r="BO2073" s="541"/>
    </row>
    <row r="2074" spans="1:67" s="542" customFormat="1" ht="65" hidden="1" x14ac:dyDescent="0.35">
      <c r="A2074" s="175">
        <v>243</v>
      </c>
      <c r="B2074" s="175" t="s">
        <v>7059</v>
      </c>
      <c r="C2074" s="176" t="s">
        <v>59</v>
      </c>
      <c r="D2074" s="176" t="s">
        <v>7318</v>
      </c>
      <c r="E2074" s="175" t="s">
        <v>36</v>
      </c>
      <c r="F2074" s="175" t="s">
        <v>123</v>
      </c>
      <c r="G2074" s="175" t="s">
        <v>225</v>
      </c>
      <c r="H2074" s="175" t="s">
        <v>125</v>
      </c>
      <c r="I2074" s="175" t="s">
        <v>114</v>
      </c>
      <c r="J2074" s="176" t="s">
        <v>28</v>
      </c>
      <c r="K2074" s="175" t="s">
        <v>6740</v>
      </c>
      <c r="L2074" s="175" t="s">
        <v>276</v>
      </c>
      <c r="M2074" s="175" t="s">
        <v>276</v>
      </c>
      <c r="N2074" s="176" t="s">
        <v>7315</v>
      </c>
      <c r="O2074" s="176" t="s">
        <v>7062</v>
      </c>
      <c r="P2074" s="176" t="s">
        <v>239</v>
      </c>
      <c r="Q2074" s="304">
        <v>37256</v>
      </c>
      <c r="R2074" s="176" t="s">
        <v>7063</v>
      </c>
      <c r="S2074" s="176" t="s">
        <v>7064</v>
      </c>
      <c r="T2074" s="176" t="s">
        <v>7064</v>
      </c>
      <c r="U2074" s="178" t="s">
        <v>5401</v>
      </c>
      <c r="V2074" s="175" t="s">
        <v>14</v>
      </c>
      <c r="W2074" s="176" t="s">
        <v>98</v>
      </c>
      <c r="X2074" s="176" t="s">
        <v>207</v>
      </c>
      <c r="Y2074" s="180">
        <v>34144</v>
      </c>
      <c r="Z2074" s="179">
        <v>34164</v>
      </c>
      <c r="AA2074" s="176" t="s">
        <v>276</v>
      </c>
      <c r="AB2074" s="176" t="s">
        <v>276</v>
      </c>
      <c r="AC2074" s="175">
        <v>0</v>
      </c>
      <c r="AD2074" s="175" t="s">
        <v>7316</v>
      </c>
      <c r="AE2074" s="175">
        <v>0</v>
      </c>
      <c r="AF2074" s="175" t="s">
        <v>7316</v>
      </c>
      <c r="AG2074" s="176" t="s">
        <v>7319</v>
      </c>
      <c r="AH2074" s="176" t="s">
        <v>7253</v>
      </c>
      <c r="AI2074" s="179">
        <v>261</v>
      </c>
      <c r="AJ2074" s="179">
        <v>260</v>
      </c>
      <c r="AK2074" s="179">
        <v>34144</v>
      </c>
      <c r="AL2074" s="179">
        <v>34164</v>
      </c>
      <c r="AM2074" s="179" t="s">
        <v>2047</v>
      </c>
      <c r="AN2074" s="175" t="s">
        <v>276</v>
      </c>
      <c r="AO2074" s="201">
        <f t="shared" si="582"/>
        <v>7.6440955951265233</v>
      </c>
      <c r="AP2074" s="175" t="s">
        <v>276</v>
      </c>
      <c r="AQ2074" s="175" t="s">
        <v>276</v>
      </c>
      <c r="AR2074" s="175" t="s">
        <v>276</v>
      </c>
      <c r="AS2074" s="201">
        <f t="shared" si="583"/>
        <v>7.6103500761035008</v>
      </c>
      <c r="AT2074" s="175" t="s">
        <v>276</v>
      </c>
      <c r="AU2074" s="175" t="s">
        <v>276</v>
      </c>
      <c r="AV2074" s="175" t="s">
        <v>268</v>
      </c>
      <c r="AW2074" s="175" t="s">
        <v>276</v>
      </c>
      <c r="AX2074" s="201">
        <f t="shared" si="584"/>
        <v>1.0044341611996253</v>
      </c>
      <c r="AY2074" s="175" t="s">
        <v>276</v>
      </c>
      <c r="AZ2074" s="175" t="s">
        <v>276</v>
      </c>
      <c r="BA2074" s="175" t="s">
        <v>276</v>
      </c>
      <c r="BB2074" s="175" t="s">
        <v>282</v>
      </c>
      <c r="BC2074" s="175" t="s">
        <v>98</v>
      </c>
      <c r="BD2074" s="175" t="s">
        <v>98</v>
      </c>
      <c r="BE2074" s="175" t="s">
        <v>98</v>
      </c>
      <c r="BF2074" s="176" t="s">
        <v>426</v>
      </c>
      <c r="BG2074" s="176"/>
      <c r="BH2074" s="9" t="s">
        <v>100</v>
      </c>
      <c r="BI2074" s="9" t="s">
        <v>100</v>
      </c>
      <c r="BJ2074" s="541"/>
      <c r="BN2074" s="541"/>
      <c r="BO2074" s="541"/>
    </row>
    <row r="2075" spans="1:67" s="542" customFormat="1" ht="65" hidden="1" x14ac:dyDescent="0.35">
      <c r="A2075" s="175">
        <v>243</v>
      </c>
      <c r="B2075" s="175" t="s">
        <v>7059</v>
      </c>
      <c r="C2075" s="176" t="s">
        <v>59</v>
      </c>
      <c r="D2075" s="176" t="s">
        <v>7320</v>
      </c>
      <c r="E2075" s="175" t="s">
        <v>36</v>
      </c>
      <c r="F2075" s="175" t="s">
        <v>123</v>
      </c>
      <c r="G2075" s="175" t="s">
        <v>225</v>
      </c>
      <c r="H2075" s="175" t="s">
        <v>125</v>
      </c>
      <c r="I2075" s="175" t="s">
        <v>114</v>
      </c>
      <c r="J2075" s="176" t="s">
        <v>28</v>
      </c>
      <c r="K2075" s="175" t="s">
        <v>6742</v>
      </c>
      <c r="L2075" s="175" t="s">
        <v>276</v>
      </c>
      <c r="M2075" s="175" t="s">
        <v>276</v>
      </c>
      <c r="N2075" s="176" t="s">
        <v>7315</v>
      </c>
      <c r="O2075" s="176" t="s">
        <v>7062</v>
      </c>
      <c r="P2075" s="176" t="s">
        <v>239</v>
      </c>
      <c r="Q2075" s="304">
        <v>37256</v>
      </c>
      <c r="R2075" s="176" t="s">
        <v>7063</v>
      </c>
      <c r="S2075" s="176" t="s">
        <v>7064</v>
      </c>
      <c r="T2075" s="176" t="s">
        <v>7064</v>
      </c>
      <c r="U2075" s="178" t="s">
        <v>5401</v>
      </c>
      <c r="V2075" s="175" t="s">
        <v>14</v>
      </c>
      <c r="W2075" s="176" t="s">
        <v>98</v>
      </c>
      <c r="X2075" s="176" t="s">
        <v>207</v>
      </c>
      <c r="Y2075" s="180">
        <v>34144</v>
      </c>
      <c r="Z2075" s="179">
        <v>34164</v>
      </c>
      <c r="AA2075" s="176" t="s">
        <v>276</v>
      </c>
      <c r="AB2075" s="176" t="s">
        <v>276</v>
      </c>
      <c r="AC2075" s="175">
        <v>0</v>
      </c>
      <c r="AD2075" s="175" t="s">
        <v>7316</v>
      </c>
      <c r="AE2075" s="175">
        <v>0</v>
      </c>
      <c r="AF2075" s="175" t="s">
        <v>7316</v>
      </c>
      <c r="AG2075" s="176" t="s">
        <v>7321</v>
      </c>
      <c r="AH2075" s="176" t="s">
        <v>7253</v>
      </c>
      <c r="AI2075" s="179">
        <v>184</v>
      </c>
      <c r="AJ2075" s="179">
        <v>221</v>
      </c>
      <c r="AK2075" s="179">
        <v>34144</v>
      </c>
      <c r="AL2075" s="179">
        <v>34164</v>
      </c>
      <c r="AM2075" s="179" t="s">
        <v>2047</v>
      </c>
      <c r="AN2075" s="175" t="s">
        <v>276</v>
      </c>
      <c r="AO2075" s="201">
        <f t="shared" si="582"/>
        <v>5.3889409559512655</v>
      </c>
      <c r="AP2075" s="175" t="s">
        <v>276</v>
      </c>
      <c r="AQ2075" s="175" t="s">
        <v>276</v>
      </c>
      <c r="AR2075" s="175" t="s">
        <v>276</v>
      </c>
      <c r="AS2075" s="201">
        <f t="shared" si="583"/>
        <v>6.4687975646879758</v>
      </c>
      <c r="AT2075" s="175" t="s">
        <v>276</v>
      </c>
      <c r="AU2075" s="175" t="s">
        <v>276</v>
      </c>
      <c r="AV2075" s="175" t="s">
        <v>268</v>
      </c>
      <c r="AW2075" s="175" t="s">
        <v>276</v>
      </c>
      <c r="AX2075" s="201">
        <f t="shared" si="584"/>
        <v>0.83306687248470146</v>
      </c>
      <c r="AY2075" s="175" t="s">
        <v>276</v>
      </c>
      <c r="AZ2075" s="175" t="s">
        <v>276</v>
      </c>
      <c r="BA2075" s="175" t="s">
        <v>276</v>
      </c>
      <c r="BB2075" s="175" t="s">
        <v>282</v>
      </c>
      <c r="BC2075" s="175" t="s">
        <v>98</v>
      </c>
      <c r="BD2075" s="175" t="s">
        <v>98</v>
      </c>
      <c r="BE2075" s="175" t="s">
        <v>98</v>
      </c>
      <c r="BF2075" s="176" t="s">
        <v>426</v>
      </c>
      <c r="BG2075" s="176"/>
      <c r="BH2075" s="9" t="s">
        <v>100</v>
      </c>
      <c r="BI2075" s="9" t="s">
        <v>100</v>
      </c>
      <c r="BJ2075" s="541"/>
      <c r="BN2075" s="541"/>
      <c r="BO2075" s="541"/>
    </row>
    <row r="2076" spans="1:67" s="542" customFormat="1" ht="65" hidden="1" x14ac:dyDescent="0.35">
      <c r="A2076" s="175">
        <v>243</v>
      </c>
      <c r="B2076" s="175" t="s">
        <v>7059</v>
      </c>
      <c r="C2076" s="176" t="s">
        <v>59</v>
      </c>
      <c r="D2076" s="176" t="s">
        <v>7322</v>
      </c>
      <c r="E2076" s="175" t="s">
        <v>36</v>
      </c>
      <c r="F2076" s="175" t="s">
        <v>123</v>
      </c>
      <c r="G2076" s="175" t="s">
        <v>225</v>
      </c>
      <c r="H2076" s="175" t="s">
        <v>125</v>
      </c>
      <c r="I2076" s="175" t="s">
        <v>114</v>
      </c>
      <c r="J2076" s="176" t="s">
        <v>28</v>
      </c>
      <c r="K2076" s="175" t="s">
        <v>7100</v>
      </c>
      <c r="L2076" s="175" t="s">
        <v>276</v>
      </c>
      <c r="M2076" s="175" t="s">
        <v>276</v>
      </c>
      <c r="N2076" s="176" t="s">
        <v>7315</v>
      </c>
      <c r="O2076" s="176" t="s">
        <v>7062</v>
      </c>
      <c r="P2076" s="176" t="s">
        <v>239</v>
      </c>
      <c r="Q2076" s="304">
        <v>37256</v>
      </c>
      <c r="R2076" s="176" t="s">
        <v>7063</v>
      </c>
      <c r="S2076" s="176" t="s">
        <v>7064</v>
      </c>
      <c r="T2076" s="176" t="s">
        <v>7064</v>
      </c>
      <c r="U2076" s="178" t="s">
        <v>5401</v>
      </c>
      <c r="V2076" s="175" t="s">
        <v>14</v>
      </c>
      <c r="W2076" s="176" t="s">
        <v>98</v>
      </c>
      <c r="X2076" s="176" t="s">
        <v>207</v>
      </c>
      <c r="Y2076" s="180">
        <v>34144</v>
      </c>
      <c r="Z2076" s="179">
        <v>34164</v>
      </c>
      <c r="AA2076" s="176" t="s">
        <v>276</v>
      </c>
      <c r="AB2076" s="176" t="s">
        <v>276</v>
      </c>
      <c r="AC2076" s="175">
        <v>0</v>
      </c>
      <c r="AD2076" s="175" t="s">
        <v>7316</v>
      </c>
      <c r="AE2076" s="175">
        <v>0</v>
      </c>
      <c r="AF2076" s="175" t="s">
        <v>7316</v>
      </c>
      <c r="AG2076" s="176" t="s">
        <v>7323</v>
      </c>
      <c r="AH2076" s="176" t="s">
        <v>7253</v>
      </c>
      <c r="AI2076" s="179">
        <v>152</v>
      </c>
      <c r="AJ2076" s="179">
        <v>161</v>
      </c>
      <c r="AK2076" s="179">
        <v>34144</v>
      </c>
      <c r="AL2076" s="179">
        <v>34164</v>
      </c>
      <c r="AM2076" s="179" t="s">
        <v>2047</v>
      </c>
      <c r="AN2076" s="175" t="s">
        <v>276</v>
      </c>
      <c r="AO2076" s="201">
        <f t="shared" si="582"/>
        <v>4.4517338331771326</v>
      </c>
      <c r="AP2076" s="175" t="s">
        <v>276</v>
      </c>
      <c r="AQ2076" s="175" t="s">
        <v>276</v>
      </c>
      <c r="AR2076" s="175" t="s">
        <v>276</v>
      </c>
      <c r="AS2076" s="201">
        <f t="shared" si="583"/>
        <v>4.7125629317410143</v>
      </c>
      <c r="AT2076" s="175" t="s">
        <v>276</v>
      </c>
      <c r="AU2076" s="175" t="s">
        <v>276</v>
      </c>
      <c r="AV2076" s="175" t="s">
        <v>268</v>
      </c>
      <c r="AW2076" s="175" t="s">
        <v>276</v>
      </c>
      <c r="AX2076" s="201">
        <f t="shared" si="584"/>
        <v>0.94465238929604689</v>
      </c>
      <c r="AY2076" s="175" t="s">
        <v>276</v>
      </c>
      <c r="AZ2076" s="175" t="s">
        <v>276</v>
      </c>
      <c r="BA2076" s="175" t="s">
        <v>276</v>
      </c>
      <c r="BB2076" s="175" t="s">
        <v>282</v>
      </c>
      <c r="BC2076" s="175" t="s">
        <v>98</v>
      </c>
      <c r="BD2076" s="175" t="s">
        <v>98</v>
      </c>
      <c r="BE2076" s="175" t="s">
        <v>98</v>
      </c>
      <c r="BF2076" s="176" t="s">
        <v>426</v>
      </c>
      <c r="BG2076" s="176"/>
      <c r="BH2076" s="9" t="s">
        <v>100</v>
      </c>
      <c r="BI2076" s="9" t="s">
        <v>100</v>
      </c>
      <c r="BJ2076" s="541"/>
      <c r="BN2076" s="541"/>
      <c r="BO2076" s="541"/>
    </row>
    <row r="2077" spans="1:67" s="544" customFormat="1" ht="65" hidden="1" x14ac:dyDescent="0.35">
      <c r="A2077" s="184">
        <v>243</v>
      </c>
      <c r="B2077" s="184" t="s">
        <v>7059</v>
      </c>
      <c r="C2077" s="185" t="s">
        <v>59</v>
      </c>
      <c r="D2077" s="185" t="s">
        <v>7324</v>
      </c>
      <c r="E2077" s="184" t="s">
        <v>36</v>
      </c>
      <c r="F2077" s="184" t="s">
        <v>123</v>
      </c>
      <c r="G2077" s="184" t="s">
        <v>225</v>
      </c>
      <c r="H2077" s="184" t="s">
        <v>125</v>
      </c>
      <c r="I2077" s="184" t="s">
        <v>114</v>
      </c>
      <c r="J2077" s="185" t="s">
        <v>28</v>
      </c>
      <c r="K2077" s="184" t="s">
        <v>7100</v>
      </c>
      <c r="L2077" s="184" t="s">
        <v>276</v>
      </c>
      <c r="M2077" s="184" t="s">
        <v>276</v>
      </c>
      <c r="N2077" s="185" t="s">
        <v>7315</v>
      </c>
      <c r="O2077" s="185" t="s">
        <v>7062</v>
      </c>
      <c r="P2077" s="185" t="s">
        <v>235</v>
      </c>
      <c r="Q2077" s="302">
        <v>37256</v>
      </c>
      <c r="R2077" s="185" t="s">
        <v>7063</v>
      </c>
      <c r="S2077" s="185" t="s">
        <v>7064</v>
      </c>
      <c r="T2077" s="185" t="s">
        <v>7064</v>
      </c>
      <c r="U2077" s="187" t="s">
        <v>5401</v>
      </c>
      <c r="V2077" s="184" t="s">
        <v>14</v>
      </c>
      <c r="W2077" s="185" t="s">
        <v>98</v>
      </c>
      <c r="X2077" s="185" t="s">
        <v>207</v>
      </c>
      <c r="Y2077" s="189" t="s">
        <v>98</v>
      </c>
      <c r="Z2077" s="188" t="s">
        <v>98</v>
      </c>
      <c r="AA2077" s="185" t="s">
        <v>276</v>
      </c>
      <c r="AB2077" s="185" t="s">
        <v>276</v>
      </c>
      <c r="AC2077" s="184">
        <v>0</v>
      </c>
      <c r="AD2077" s="184" t="s">
        <v>7316</v>
      </c>
      <c r="AE2077" s="184">
        <v>0</v>
      </c>
      <c r="AF2077" s="184" t="s">
        <v>7316</v>
      </c>
      <c r="AG2077" s="185" t="s">
        <v>7323</v>
      </c>
      <c r="AH2077" s="185" t="s">
        <v>7325</v>
      </c>
      <c r="AI2077" s="188">
        <v>152</v>
      </c>
      <c r="AJ2077" s="188">
        <v>161</v>
      </c>
      <c r="AK2077" s="188">
        <v>721</v>
      </c>
      <c r="AL2077" s="188">
        <v>754</v>
      </c>
      <c r="AM2077" s="188" t="s">
        <v>292</v>
      </c>
      <c r="AN2077" s="184">
        <v>21.1</v>
      </c>
      <c r="AO2077" s="338">
        <f>AI2077*100/AK2077</f>
        <v>21.081830790568656</v>
      </c>
      <c r="AP2077" s="184" t="s">
        <v>276</v>
      </c>
      <c r="AQ2077" s="184" t="s">
        <v>276</v>
      </c>
      <c r="AR2077" s="184">
        <v>21.4</v>
      </c>
      <c r="AS2077" s="338">
        <f>AJ2077*100/AL2077</f>
        <v>21.352785145888593</v>
      </c>
      <c r="AT2077" s="184" t="s">
        <v>276</v>
      </c>
      <c r="AU2077" s="184" t="s">
        <v>276</v>
      </c>
      <c r="AV2077" s="184" t="s">
        <v>268</v>
      </c>
      <c r="AW2077" s="184" t="s">
        <v>276</v>
      </c>
      <c r="AX2077" s="338">
        <f t="shared" si="584"/>
        <v>0.98731058485023404</v>
      </c>
      <c r="AY2077" s="184" t="s">
        <v>276</v>
      </c>
      <c r="AZ2077" s="184" t="s">
        <v>276</v>
      </c>
      <c r="BA2077" s="184" t="s">
        <v>276</v>
      </c>
      <c r="BB2077" s="184" t="s">
        <v>282</v>
      </c>
      <c r="BC2077" s="184" t="s">
        <v>98</v>
      </c>
      <c r="BD2077" s="184" t="s">
        <v>98</v>
      </c>
      <c r="BE2077" s="184" t="s">
        <v>98</v>
      </c>
      <c r="BF2077" s="185" t="s">
        <v>426</v>
      </c>
      <c r="BG2077" s="185"/>
      <c r="BH2077" s="9" t="s">
        <v>100</v>
      </c>
      <c r="BI2077" s="9" t="s">
        <v>100</v>
      </c>
      <c r="BJ2077" s="543"/>
      <c r="BN2077" s="543"/>
      <c r="BO2077" s="543"/>
    </row>
    <row r="2078" spans="1:67" s="183" customFormat="1" ht="57.65" hidden="1" customHeight="1" x14ac:dyDescent="0.35">
      <c r="A2078" s="175">
        <v>243</v>
      </c>
      <c r="B2078" s="175" t="s">
        <v>7059</v>
      </c>
      <c r="C2078" s="176" t="s">
        <v>59</v>
      </c>
      <c r="D2078" s="176" t="s">
        <v>7326</v>
      </c>
      <c r="E2078" s="175" t="s">
        <v>36</v>
      </c>
      <c r="F2078" s="175" t="s">
        <v>123</v>
      </c>
      <c r="G2078" s="175" t="s">
        <v>225</v>
      </c>
      <c r="H2078" s="175" t="s">
        <v>125</v>
      </c>
      <c r="I2078" s="175" t="s">
        <v>114</v>
      </c>
      <c r="J2078" s="176" t="s">
        <v>32</v>
      </c>
      <c r="K2078" s="175" t="s">
        <v>2345</v>
      </c>
      <c r="L2078" s="175" t="s">
        <v>276</v>
      </c>
      <c r="M2078" s="175" t="s">
        <v>276</v>
      </c>
      <c r="N2078" s="176" t="s">
        <v>7294</v>
      </c>
      <c r="O2078" s="176" t="s">
        <v>7062</v>
      </c>
      <c r="P2078" s="176" t="s">
        <v>239</v>
      </c>
      <c r="Q2078" s="304">
        <v>37256</v>
      </c>
      <c r="R2078" s="176" t="s">
        <v>7063</v>
      </c>
      <c r="S2078" s="176" t="s">
        <v>7064</v>
      </c>
      <c r="T2078" s="176" t="s">
        <v>7064</v>
      </c>
      <c r="U2078" s="178" t="s">
        <v>5401</v>
      </c>
      <c r="V2078" s="175" t="s">
        <v>14</v>
      </c>
      <c r="W2078" s="176" t="s">
        <v>98</v>
      </c>
      <c r="X2078" s="176" t="s">
        <v>207</v>
      </c>
      <c r="Y2078" s="180">
        <v>34144</v>
      </c>
      <c r="Z2078" s="179">
        <v>34164</v>
      </c>
      <c r="AA2078" s="176" t="s">
        <v>276</v>
      </c>
      <c r="AB2078" s="176" t="s">
        <v>276</v>
      </c>
      <c r="AC2078" s="175" t="s">
        <v>98</v>
      </c>
      <c r="AD2078" s="175" t="s">
        <v>98</v>
      </c>
      <c r="AE2078" s="175" t="s">
        <v>98</v>
      </c>
      <c r="AF2078" s="175" t="s">
        <v>98</v>
      </c>
      <c r="AG2078" s="176" t="s">
        <v>7307</v>
      </c>
      <c r="AH2078" s="176" t="s">
        <v>7067</v>
      </c>
      <c r="AI2078" s="179">
        <v>721</v>
      </c>
      <c r="AJ2078" s="179">
        <v>754</v>
      </c>
      <c r="AK2078" s="179">
        <v>471072</v>
      </c>
      <c r="AL2078" s="179">
        <v>471980</v>
      </c>
      <c r="AM2078" s="179" t="s">
        <v>425</v>
      </c>
      <c r="AN2078" s="175">
        <v>1.53</v>
      </c>
      <c r="AO2078" s="201">
        <f t="shared" ref="AO2078:AO2087" si="585">AI2078*1000/AK2078</f>
        <v>1.5305515929624347</v>
      </c>
      <c r="AP2078" s="175" t="s">
        <v>276</v>
      </c>
      <c r="AQ2078" s="175" t="s">
        <v>276</v>
      </c>
      <c r="AR2078" s="181">
        <v>1.6</v>
      </c>
      <c r="AS2078" s="201">
        <f t="shared" ref="AS2078:AS2087" si="586">AJ2078*1000/AL2078</f>
        <v>1.5975253188694436</v>
      </c>
      <c r="AT2078" s="175" t="s">
        <v>276</v>
      </c>
      <c r="AU2078" s="175" t="s">
        <v>276</v>
      </c>
      <c r="AV2078" s="175" t="s">
        <v>269</v>
      </c>
      <c r="AW2078" s="175">
        <v>0.96</v>
      </c>
      <c r="AX2078" s="201">
        <f t="shared" si="584"/>
        <v>0.9580765793718965</v>
      </c>
      <c r="AY2078" s="175">
        <v>0.86</v>
      </c>
      <c r="AZ2078" s="175">
        <v>1.06</v>
      </c>
      <c r="BA2078" s="175" t="s">
        <v>276</v>
      </c>
      <c r="BB2078" s="175" t="s">
        <v>282</v>
      </c>
      <c r="BC2078" s="175" t="s">
        <v>98</v>
      </c>
      <c r="BD2078" s="175" t="s">
        <v>98</v>
      </c>
      <c r="BE2078" s="175" t="s">
        <v>98</v>
      </c>
      <c r="BF2078" s="176" t="s">
        <v>7327</v>
      </c>
      <c r="BG2078" s="176"/>
      <c r="BH2078" s="9" t="s">
        <v>100</v>
      </c>
      <c r="BI2078" s="9" t="s">
        <v>100</v>
      </c>
      <c r="BJ2078" s="182"/>
      <c r="BN2078" s="182"/>
      <c r="BO2078" s="182"/>
    </row>
    <row r="2079" spans="1:67" s="183" customFormat="1" ht="52" hidden="1" x14ac:dyDescent="0.35">
      <c r="A2079" s="175">
        <v>243</v>
      </c>
      <c r="B2079" s="175" t="s">
        <v>7059</v>
      </c>
      <c r="C2079" s="176" t="s">
        <v>59</v>
      </c>
      <c r="D2079" s="176" t="s">
        <v>7328</v>
      </c>
      <c r="E2079" s="175" t="s">
        <v>36</v>
      </c>
      <c r="F2079" s="175" t="s">
        <v>123</v>
      </c>
      <c r="G2079" s="175" t="s">
        <v>225</v>
      </c>
      <c r="H2079" s="175" t="s">
        <v>125</v>
      </c>
      <c r="I2079" s="175" t="s">
        <v>114</v>
      </c>
      <c r="J2079" s="346" t="s">
        <v>11166</v>
      </c>
      <c r="K2079" s="175" t="s">
        <v>7109</v>
      </c>
      <c r="L2079" s="175" t="s">
        <v>276</v>
      </c>
      <c r="M2079" s="175" t="s">
        <v>276</v>
      </c>
      <c r="N2079" s="176" t="s">
        <v>7294</v>
      </c>
      <c r="O2079" s="176" t="s">
        <v>7062</v>
      </c>
      <c r="P2079" s="176" t="s">
        <v>239</v>
      </c>
      <c r="Q2079" s="304">
        <v>37256</v>
      </c>
      <c r="R2079" s="176" t="s">
        <v>7063</v>
      </c>
      <c r="S2079" s="176" t="s">
        <v>7064</v>
      </c>
      <c r="T2079" s="176" t="s">
        <v>7064</v>
      </c>
      <c r="U2079" s="178" t="s">
        <v>5401</v>
      </c>
      <c r="V2079" s="175" t="s">
        <v>14</v>
      </c>
      <c r="W2079" s="176" t="s">
        <v>98</v>
      </c>
      <c r="X2079" s="176" t="s">
        <v>207</v>
      </c>
      <c r="Y2079" s="180">
        <v>34144</v>
      </c>
      <c r="Z2079" s="179">
        <v>34164</v>
      </c>
      <c r="AA2079" s="176" t="s">
        <v>276</v>
      </c>
      <c r="AB2079" s="176" t="s">
        <v>276</v>
      </c>
      <c r="AC2079" s="175" t="s">
        <v>98</v>
      </c>
      <c r="AD2079" s="175" t="s">
        <v>98</v>
      </c>
      <c r="AE2079" s="175" t="s">
        <v>98</v>
      </c>
      <c r="AF2079" s="175" t="s">
        <v>98</v>
      </c>
      <c r="AG2079" s="176" t="s">
        <v>7309</v>
      </c>
      <c r="AH2079" s="176" t="s">
        <v>7067</v>
      </c>
      <c r="AI2079" s="179">
        <v>515</v>
      </c>
      <c r="AJ2079" s="179">
        <v>317</v>
      </c>
      <c r="AK2079" s="179">
        <v>471072</v>
      </c>
      <c r="AL2079" s="179">
        <v>471980</v>
      </c>
      <c r="AM2079" s="179" t="s">
        <v>425</v>
      </c>
      <c r="AN2079" s="175" t="s">
        <v>276</v>
      </c>
      <c r="AO2079" s="201">
        <f t="shared" si="585"/>
        <v>1.0932511378303105</v>
      </c>
      <c r="AP2079" s="175" t="s">
        <v>276</v>
      </c>
      <c r="AQ2079" s="175" t="s">
        <v>276</v>
      </c>
      <c r="AR2079" s="175" t="s">
        <v>276</v>
      </c>
      <c r="AS2079" s="201">
        <f t="shared" si="586"/>
        <v>0.67163862875545577</v>
      </c>
      <c r="AT2079" s="175" t="s">
        <v>276</v>
      </c>
      <c r="AU2079" s="175" t="s">
        <v>276</v>
      </c>
      <c r="AV2079" s="175" t="s">
        <v>269</v>
      </c>
      <c r="AW2079" s="175" t="s">
        <v>276</v>
      </c>
      <c r="AX2079" s="201">
        <f t="shared" si="584"/>
        <v>1.6277371357512616</v>
      </c>
      <c r="AY2079" s="175" t="s">
        <v>276</v>
      </c>
      <c r="AZ2079" s="175" t="s">
        <v>276</v>
      </c>
      <c r="BA2079" s="175" t="s">
        <v>276</v>
      </c>
      <c r="BB2079" s="175" t="s">
        <v>282</v>
      </c>
      <c r="BC2079" s="175" t="s">
        <v>98</v>
      </c>
      <c r="BD2079" s="175" t="s">
        <v>98</v>
      </c>
      <c r="BE2079" s="175" t="s">
        <v>98</v>
      </c>
      <c r="BF2079" s="176" t="s">
        <v>7329</v>
      </c>
      <c r="BG2079" s="176"/>
      <c r="BH2079" s="9" t="s">
        <v>100</v>
      </c>
      <c r="BI2079" s="9" t="s">
        <v>100</v>
      </c>
      <c r="BJ2079" s="182"/>
      <c r="BN2079" s="182"/>
      <c r="BO2079" s="182"/>
    </row>
    <row r="2080" spans="1:67" s="183" customFormat="1" ht="52" hidden="1" x14ac:dyDescent="0.35">
      <c r="A2080" s="175">
        <v>243</v>
      </c>
      <c r="B2080" s="175" t="s">
        <v>7059</v>
      </c>
      <c r="C2080" s="176" t="s">
        <v>59</v>
      </c>
      <c r="D2080" s="176" t="s">
        <v>11176</v>
      </c>
      <c r="E2080" s="175" t="s">
        <v>36</v>
      </c>
      <c r="F2080" s="175" t="s">
        <v>123</v>
      </c>
      <c r="G2080" s="175" t="s">
        <v>225</v>
      </c>
      <c r="H2080" s="175" t="s">
        <v>125</v>
      </c>
      <c r="I2080" s="175" t="s">
        <v>114</v>
      </c>
      <c r="J2080" s="176" t="s">
        <v>11166</v>
      </c>
      <c r="K2080" s="176" t="s">
        <v>11174</v>
      </c>
      <c r="L2080" s="175" t="s">
        <v>276</v>
      </c>
      <c r="M2080" s="175" t="s">
        <v>276</v>
      </c>
      <c r="N2080" s="176" t="s">
        <v>7294</v>
      </c>
      <c r="O2080" s="176" t="s">
        <v>7062</v>
      </c>
      <c r="P2080" s="176" t="s">
        <v>239</v>
      </c>
      <c r="Q2080" s="304">
        <v>37256</v>
      </c>
      <c r="R2080" s="176" t="s">
        <v>7063</v>
      </c>
      <c r="S2080" s="176" t="s">
        <v>7064</v>
      </c>
      <c r="T2080" s="176" t="s">
        <v>7064</v>
      </c>
      <c r="U2080" s="178" t="s">
        <v>5401</v>
      </c>
      <c r="V2080" s="175" t="s">
        <v>14</v>
      </c>
      <c r="W2080" s="176" t="s">
        <v>98</v>
      </c>
      <c r="X2080" s="176" t="s">
        <v>207</v>
      </c>
      <c r="Y2080" s="180">
        <v>34144</v>
      </c>
      <c r="Z2080" s="179">
        <v>34164</v>
      </c>
      <c r="AA2080" s="176" t="s">
        <v>276</v>
      </c>
      <c r="AB2080" s="176" t="s">
        <v>276</v>
      </c>
      <c r="AC2080" s="175" t="s">
        <v>98</v>
      </c>
      <c r="AD2080" s="175" t="s">
        <v>98</v>
      </c>
      <c r="AE2080" s="175" t="s">
        <v>98</v>
      </c>
      <c r="AF2080" s="175" t="s">
        <v>98</v>
      </c>
      <c r="AG2080" s="176" t="s">
        <v>11175</v>
      </c>
      <c r="AH2080" s="176" t="s">
        <v>7067</v>
      </c>
      <c r="AI2080" s="179">
        <v>385</v>
      </c>
      <c r="AJ2080" s="179">
        <v>214</v>
      </c>
      <c r="AK2080" s="179">
        <v>471072</v>
      </c>
      <c r="AL2080" s="179">
        <v>471980</v>
      </c>
      <c r="AM2080" s="179" t="s">
        <v>425</v>
      </c>
      <c r="AN2080" s="175" t="s">
        <v>276</v>
      </c>
      <c r="AO2080" s="201">
        <f t="shared" si="585"/>
        <v>0.81728483119353301</v>
      </c>
      <c r="AP2080" s="175" t="s">
        <v>276</v>
      </c>
      <c r="AQ2080" s="175" t="s">
        <v>276</v>
      </c>
      <c r="AR2080" s="175" t="s">
        <v>276</v>
      </c>
      <c r="AS2080" s="201">
        <f t="shared" si="586"/>
        <v>0.45340904275604899</v>
      </c>
      <c r="AT2080" s="175" t="s">
        <v>276</v>
      </c>
      <c r="AU2080" s="175" t="s">
        <v>276</v>
      </c>
      <c r="AV2080" s="175" t="s">
        <v>269</v>
      </c>
      <c r="AW2080" s="175" t="s">
        <v>276</v>
      </c>
      <c r="AX2080" s="201">
        <f t="shared" si="584"/>
        <v>1.8025331524613257</v>
      </c>
      <c r="AY2080" s="175" t="s">
        <v>276</v>
      </c>
      <c r="AZ2080" s="175" t="s">
        <v>276</v>
      </c>
      <c r="BA2080" s="175" t="s">
        <v>276</v>
      </c>
      <c r="BB2080" s="175" t="s">
        <v>282</v>
      </c>
      <c r="BC2080" s="175" t="s">
        <v>98</v>
      </c>
      <c r="BD2080" s="175" t="s">
        <v>98</v>
      </c>
      <c r="BE2080" s="175" t="s">
        <v>98</v>
      </c>
      <c r="BF2080" s="176" t="s">
        <v>7331</v>
      </c>
      <c r="BG2080" s="176"/>
      <c r="BH2080" s="9" t="s">
        <v>100</v>
      </c>
      <c r="BI2080" s="9" t="s">
        <v>100</v>
      </c>
      <c r="BJ2080" s="182"/>
      <c r="BN2080" s="182"/>
      <c r="BO2080" s="182"/>
    </row>
    <row r="2081" spans="1:67" s="183" customFormat="1" ht="52" hidden="1" x14ac:dyDescent="0.35">
      <c r="A2081" s="175">
        <v>243</v>
      </c>
      <c r="B2081" s="175" t="s">
        <v>7059</v>
      </c>
      <c r="C2081" s="176" t="s">
        <v>59</v>
      </c>
      <c r="D2081" s="176" t="s">
        <v>7330</v>
      </c>
      <c r="E2081" s="175" t="s">
        <v>36</v>
      </c>
      <c r="F2081" s="175" t="s">
        <v>123</v>
      </c>
      <c r="G2081" s="175" t="s">
        <v>225</v>
      </c>
      <c r="H2081" s="175" t="s">
        <v>125</v>
      </c>
      <c r="I2081" s="175" t="s">
        <v>114</v>
      </c>
      <c r="J2081" s="346" t="s">
        <v>11166</v>
      </c>
      <c r="K2081" s="175" t="s">
        <v>7312</v>
      </c>
      <c r="L2081" s="175" t="s">
        <v>276</v>
      </c>
      <c r="M2081" s="175" t="s">
        <v>276</v>
      </c>
      <c r="N2081" s="176" t="s">
        <v>7294</v>
      </c>
      <c r="O2081" s="176" t="s">
        <v>7062</v>
      </c>
      <c r="P2081" s="176" t="s">
        <v>239</v>
      </c>
      <c r="Q2081" s="304">
        <v>37256</v>
      </c>
      <c r="R2081" s="176" t="s">
        <v>7063</v>
      </c>
      <c r="S2081" s="176" t="s">
        <v>7064</v>
      </c>
      <c r="T2081" s="176" t="s">
        <v>7064</v>
      </c>
      <c r="U2081" s="178" t="s">
        <v>5401</v>
      </c>
      <c r="V2081" s="175" t="s">
        <v>14</v>
      </c>
      <c r="W2081" s="176" t="s">
        <v>98</v>
      </c>
      <c r="X2081" s="176" t="s">
        <v>207</v>
      </c>
      <c r="Y2081" s="180">
        <v>34144</v>
      </c>
      <c r="Z2081" s="179">
        <v>34164</v>
      </c>
      <c r="AA2081" s="176" t="s">
        <v>276</v>
      </c>
      <c r="AB2081" s="176" t="s">
        <v>276</v>
      </c>
      <c r="AC2081" s="175" t="s">
        <v>98</v>
      </c>
      <c r="AD2081" s="175" t="s">
        <v>98</v>
      </c>
      <c r="AE2081" s="175" t="s">
        <v>98</v>
      </c>
      <c r="AF2081" s="175" t="s">
        <v>98</v>
      </c>
      <c r="AG2081" s="176" t="s">
        <v>7313</v>
      </c>
      <c r="AH2081" s="176" t="s">
        <v>7067</v>
      </c>
      <c r="AI2081" s="179">
        <v>130</v>
      </c>
      <c r="AJ2081" s="179">
        <v>103</v>
      </c>
      <c r="AK2081" s="179">
        <v>471072</v>
      </c>
      <c r="AL2081" s="179">
        <v>471980</v>
      </c>
      <c r="AM2081" s="179" t="s">
        <v>425</v>
      </c>
      <c r="AN2081" s="175" t="s">
        <v>276</v>
      </c>
      <c r="AO2081" s="201">
        <f t="shared" si="585"/>
        <v>0.2759663066367774</v>
      </c>
      <c r="AP2081" s="175" t="s">
        <v>276</v>
      </c>
      <c r="AQ2081" s="175" t="s">
        <v>276</v>
      </c>
      <c r="AR2081" s="175" t="s">
        <v>276</v>
      </c>
      <c r="AS2081" s="201">
        <f t="shared" si="586"/>
        <v>0.21822958599940676</v>
      </c>
      <c r="AT2081" s="175" t="s">
        <v>276</v>
      </c>
      <c r="AU2081" s="175" t="s">
        <v>276</v>
      </c>
      <c r="AV2081" s="175" t="s">
        <v>269</v>
      </c>
      <c r="AW2081" s="175" t="s">
        <v>276</v>
      </c>
      <c r="AX2081" s="201">
        <f t="shared" si="584"/>
        <v>1.2645687126837495</v>
      </c>
      <c r="AY2081" s="175" t="s">
        <v>276</v>
      </c>
      <c r="AZ2081" s="175" t="s">
        <v>276</v>
      </c>
      <c r="BA2081" s="175" t="s">
        <v>276</v>
      </c>
      <c r="BB2081" s="175" t="s">
        <v>282</v>
      </c>
      <c r="BC2081" s="175" t="s">
        <v>98</v>
      </c>
      <c r="BD2081" s="175" t="s">
        <v>98</v>
      </c>
      <c r="BE2081" s="175" t="s">
        <v>98</v>
      </c>
      <c r="BF2081" s="176" t="s">
        <v>7331</v>
      </c>
      <c r="BG2081" s="176"/>
      <c r="BH2081" s="9" t="s">
        <v>100</v>
      </c>
      <c r="BI2081" s="9" t="s">
        <v>100</v>
      </c>
      <c r="BJ2081" s="182"/>
      <c r="BN2081" s="182"/>
      <c r="BO2081" s="182"/>
    </row>
    <row r="2082" spans="1:67" s="194" customFormat="1" ht="65" hidden="1" x14ac:dyDescent="0.35">
      <c r="A2082" s="184">
        <v>243</v>
      </c>
      <c r="B2082" s="184" t="s">
        <v>7059</v>
      </c>
      <c r="C2082" s="185" t="s">
        <v>59</v>
      </c>
      <c r="D2082" s="185" t="s">
        <v>7332</v>
      </c>
      <c r="E2082" s="184" t="s">
        <v>36</v>
      </c>
      <c r="F2082" s="184" t="s">
        <v>123</v>
      </c>
      <c r="G2082" s="184" t="s">
        <v>225</v>
      </c>
      <c r="H2082" s="184" t="s">
        <v>125</v>
      </c>
      <c r="I2082" s="184" t="s">
        <v>114</v>
      </c>
      <c r="J2082" s="185" t="s">
        <v>28</v>
      </c>
      <c r="K2082" s="184" t="s">
        <v>6737</v>
      </c>
      <c r="L2082" s="184" t="s">
        <v>276</v>
      </c>
      <c r="M2082" s="184" t="s">
        <v>276</v>
      </c>
      <c r="N2082" s="185" t="s">
        <v>7315</v>
      </c>
      <c r="O2082" s="185" t="s">
        <v>7062</v>
      </c>
      <c r="P2082" s="185" t="s">
        <v>239</v>
      </c>
      <c r="Q2082" s="302">
        <v>37256</v>
      </c>
      <c r="R2082" s="185" t="s">
        <v>7063</v>
      </c>
      <c r="S2082" s="185" t="s">
        <v>7064</v>
      </c>
      <c r="T2082" s="185" t="s">
        <v>7064</v>
      </c>
      <c r="U2082" s="187" t="s">
        <v>5401</v>
      </c>
      <c r="V2082" s="184" t="s">
        <v>14</v>
      </c>
      <c r="W2082" s="185" t="s">
        <v>98</v>
      </c>
      <c r="X2082" s="185" t="s">
        <v>207</v>
      </c>
      <c r="Y2082" s="189">
        <v>34144</v>
      </c>
      <c r="Z2082" s="188">
        <v>34164</v>
      </c>
      <c r="AA2082" s="185" t="s">
        <v>276</v>
      </c>
      <c r="AB2082" s="185" t="s">
        <v>276</v>
      </c>
      <c r="AC2082" s="184">
        <v>0</v>
      </c>
      <c r="AD2082" s="184" t="s">
        <v>7316</v>
      </c>
      <c r="AE2082" s="184">
        <v>0</v>
      </c>
      <c r="AF2082" s="184" t="s">
        <v>7316</v>
      </c>
      <c r="AG2082" s="185" t="s">
        <v>7317</v>
      </c>
      <c r="AH2082" s="185" t="s">
        <v>7067</v>
      </c>
      <c r="AI2082" s="188">
        <v>124</v>
      </c>
      <c r="AJ2082" s="188">
        <v>112</v>
      </c>
      <c r="AK2082" s="188">
        <v>471072</v>
      </c>
      <c r="AL2082" s="188">
        <v>471980</v>
      </c>
      <c r="AM2082" s="188" t="s">
        <v>425</v>
      </c>
      <c r="AN2082" s="184" t="s">
        <v>276</v>
      </c>
      <c r="AO2082" s="338">
        <f t="shared" si="585"/>
        <v>0.26322940017661844</v>
      </c>
      <c r="AP2082" s="184" t="s">
        <v>276</v>
      </c>
      <c r="AQ2082" s="184" t="s">
        <v>276</v>
      </c>
      <c r="AR2082" s="184" t="s">
        <v>276</v>
      </c>
      <c r="AS2082" s="338">
        <f t="shared" si="586"/>
        <v>0.23729819060129667</v>
      </c>
      <c r="AT2082" s="184" t="s">
        <v>276</v>
      </c>
      <c r="AU2082" s="184" t="s">
        <v>276</v>
      </c>
      <c r="AV2082" s="184" t="s">
        <v>269</v>
      </c>
      <c r="AW2082" s="184" t="s">
        <v>276</v>
      </c>
      <c r="AX2082" s="338">
        <f t="shared" si="584"/>
        <v>1.1092768954942891</v>
      </c>
      <c r="AY2082" s="184" t="s">
        <v>276</v>
      </c>
      <c r="AZ2082" s="184" t="s">
        <v>276</v>
      </c>
      <c r="BA2082" s="184" t="s">
        <v>276</v>
      </c>
      <c r="BB2082" s="184" t="s">
        <v>282</v>
      </c>
      <c r="BC2082" s="184" t="s">
        <v>98</v>
      </c>
      <c r="BD2082" s="184" t="s">
        <v>98</v>
      </c>
      <c r="BE2082" s="184" t="s">
        <v>98</v>
      </c>
      <c r="BF2082" s="185" t="s">
        <v>7331</v>
      </c>
      <c r="BG2082" s="185"/>
      <c r="BH2082" s="9" t="s">
        <v>100</v>
      </c>
      <c r="BI2082" s="9" t="s">
        <v>100</v>
      </c>
      <c r="BJ2082" s="193"/>
      <c r="BN2082" s="193"/>
      <c r="BO2082" s="193"/>
    </row>
    <row r="2083" spans="1:67" s="194" customFormat="1" ht="65" hidden="1" x14ac:dyDescent="0.35">
      <c r="A2083" s="184">
        <v>243</v>
      </c>
      <c r="B2083" s="184" t="s">
        <v>7059</v>
      </c>
      <c r="C2083" s="185" t="s">
        <v>59</v>
      </c>
      <c r="D2083" s="185" t="s">
        <v>7333</v>
      </c>
      <c r="E2083" s="184" t="s">
        <v>36</v>
      </c>
      <c r="F2083" s="184" t="s">
        <v>123</v>
      </c>
      <c r="G2083" s="184" t="s">
        <v>225</v>
      </c>
      <c r="H2083" s="184" t="s">
        <v>125</v>
      </c>
      <c r="I2083" s="184" t="s">
        <v>114</v>
      </c>
      <c r="J2083" s="185" t="s">
        <v>28</v>
      </c>
      <c r="K2083" s="184" t="s">
        <v>6740</v>
      </c>
      <c r="L2083" s="184" t="s">
        <v>276</v>
      </c>
      <c r="M2083" s="184" t="s">
        <v>276</v>
      </c>
      <c r="N2083" s="185" t="s">
        <v>7315</v>
      </c>
      <c r="O2083" s="185" t="s">
        <v>7062</v>
      </c>
      <c r="P2083" s="185" t="s">
        <v>239</v>
      </c>
      <c r="Q2083" s="302">
        <v>37256</v>
      </c>
      <c r="R2083" s="185" t="s">
        <v>7063</v>
      </c>
      <c r="S2083" s="185" t="s">
        <v>7064</v>
      </c>
      <c r="T2083" s="185" t="s">
        <v>7064</v>
      </c>
      <c r="U2083" s="187" t="s">
        <v>5401</v>
      </c>
      <c r="V2083" s="184" t="s">
        <v>14</v>
      </c>
      <c r="W2083" s="185" t="s">
        <v>98</v>
      </c>
      <c r="X2083" s="185" t="s">
        <v>207</v>
      </c>
      <c r="Y2083" s="189">
        <v>34144</v>
      </c>
      <c r="Z2083" s="188">
        <v>34164</v>
      </c>
      <c r="AA2083" s="185" t="s">
        <v>276</v>
      </c>
      <c r="AB2083" s="185" t="s">
        <v>276</v>
      </c>
      <c r="AC2083" s="184">
        <v>0</v>
      </c>
      <c r="AD2083" s="184" t="s">
        <v>7316</v>
      </c>
      <c r="AE2083" s="184">
        <v>0</v>
      </c>
      <c r="AF2083" s="184" t="s">
        <v>7316</v>
      </c>
      <c r="AG2083" s="185" t="s">
        <v>7319</v>
      </c>
      <c r="AH2083" s="185" t="s">
        <v>7067</v>
      </c>
      <c r="AI2083" s="188">
        <v>261</v>
      </c>
      <c r="AJ2083" s="188">
        <v>260</v>
      </c>
      <c r="AK2083" s="188">
        <v>471072</v>
      </c>
      <c r="AL2083" s="188">
        <v>471980</v>
      </c>
      <c r="AM2083" s="188" t="s">
        <v>425</v>
      </c>
      <c r="AN2083" s="184" t="s">
        <v>276</v>
      </c>
      <c r="AO2083" s="338">
        <f t="shared" si="585"/>
        <v>0.55405543101691457</v>
      </c>
      <c r="AP2083" s="184" t="s">
        <v>276</v>
      </c>
      <c r="AQ2083" s="184" t="s">
        <v>276</v>
      </c>
      <c r="AR2083" s="184" t="s">
        <v>276</v>
      </c>
      <c r="AS2083" s="338">
        <f t="shared" si="586"/>
        <v>0.55087079961015295</v>
      </c>
      <c r="AT2083" s="184" t="s">
        <v>276</v>
      </c>
      <c r="AU2083" s="184" t="s">
        <v>276</v>
      </c>
      <c r="AV2083" s="184" t="s">
        <v>269</v>
      </c>
      <c r="AW2083" s="184" t="s">
        <v>276</v>
      </c>
      <c r="AX2083" s="338">
        <f t="shared" si="584"/>
        <v>1.005781085889859</v>
      </c>
      <c r="AY2083" s="184" t="s">
        <v>276</v>
      </c>
      <c r="AZ2083" s="184" t="s">
        <v>276</v>
      </c>
      <c r="BA2083" s="184" t="s">
        <v>276</v>
      </c>
      <c r="BB2083" s="184" t="s">
        <v>282</v>
      </c>
      <c r="BC2083" s="184" t="s">
        <v>98</v>
      </c>
      <c r="BD2083" s="184" t="s">
        <v>98</v>
      </c>
      <c r="BE2083" s="184" t="s">
        <v>98</v>
      </c>
      <c r="BF2083" s="185" t="s">
        <v>7331</v>
      </c>
      <c r="BG2083" s="185"/>
      <c r="BH2083" s="9" t="s">
        <v>100</v>
      </c>
      <c r="BI2083" s="9" t="s">
        <v>100</v>
      </c>
      <c r="BJ2083" s="193"/>
      <c r="BN2083" s="193"/>
      <c r="BO2083" s="193"/>
    </row>
    <row r="2084" spans="1:67" s="194" customFormat="1" ht="65" hidden="1" x14ac:dyDescent="0.35">
      <c r="A2084" s="184">
        <v>243</v>
      </c>
      <c r="B2084" s="184" t="s">
        <v>7059</v>
      </c>
      <c r="C2084" s="185" t="s">
        <v>59</v>
      </c>
      <c r="D2084" s="185" t="s">
        <v>11608</v>
      </c>
      <c r="E2084" s="184" t="s">
        <v>36</v>
      </c>
      <c r="F2084" s="184" t="s">
        <v>123</v>
      </c>
      <c r="G2084" s="184" t="s">
        <v>225</v>
      </c>
      <c r="H2084" s="184" t="s">
        <v>125</v>
      </c>
      <c r="I2084" s="184" t="s">
        <v>114</v>
      </c>
      <c r="J2084" s="185" t="s">
        <v>28</v>
      </c>
      <c r="K2084" s="184" t="s">
        <v>9119</v>
      </c>
      <c r="L2084" s="184" t="s">
        <v>276</v>
      </c>
      <c r="M2084" s="184" t="s">
        <v>276</v>
      </c>
      <c r="N2084" s="185" t="s">
        <v>7315</v>
      </c>
      <c r="O2084" s="185" t="s">
        <v>7062</v>
      </c>
      <c r="P2084" s="185" t="s">
        <v>239</v>
      </c>
      <c r="Q2084" s="302">
        <v>37256</v>
      </c>
      <c r="R2084" s="185" t="s">
        <v>7063</v>
      </c>
      <c r="S2084" s="185" t="s">
        <v>7064</v>
      </c>
      <c r="T2084" s="185" t="s">
        <v>7064</v>
      </c>
      <c r="U2084" s="187" t="s">
        <v>5401</v>
      </c>
      <c r="V2084" s="184" t="s">
        <v>14</v>
      </c>
      <c r="W2084" s="185" t="s">
        <v>98</v>
      </c>
      <c r="X2084" s="185" t="s">
        <v>207</v>
      </c>
      <c r="Y2084" s="189">
        <v>34144</v>
      </c>
      <c r="Z2084" s="188">
        <v>34164</v>
      </c>
      <c r="AA2084" s="185" t="s">
        <v>276</v>
      </c>
      <c r="AB2084" s="185" t="s">
        <v>276</v>
      </c>
      <c r="AC2084" s="184">
        <v>0</v>
      </c>
      <c r="AD2084" s="184" t="s">
        <v>7316</v>
      </c>
      <c r="AE2084" s="184">
        <v>0</v>
      </c>
      <c r="AF2084" s="184" t="s">
        <v>7316</v>
      </c>
      <c r="AG2084" s="185" t="s">
        <v>11609</v>
      </c>
      <c r="AH2084" s="185" t="s">
        <v>7067</v>
      </c>
      <c r="AI2084" s="188">
        <f>261+124</f>
        <v>385</v>
      </c>
      <c r="AJ2084" s="188">
        <f>260+112</f>
        <v>372</v>
      </c>
      <c r="AK2084" s="188">
        <v>471072</v>
      </c>
      <c r="AL2084" s="188">
        <v>471980</v>
      </c>
      <c r="AM2084" s="188" t="s">
        <v>425</v>
      </c>
      <c r="AN2084" s="184" t="s">
        <v>276</v>
      </c>
      <c r="AO2084" s="338">
        <f t="shared" ref="AO2084" si="587">AI2084*1000/AK2084</f>
        <v>0.81728483119353301</v>
      </c>
      <c r="AP2084" s="184" t="s">
        <v>276</v>
      </c>
      <c r="AQ2084" s="184" t="s">
        <v>276</v>
      </c>
      <c r="AR2084" s="184" t="s">
        <v>276</v>
      </c>
      <c r="AS2084" s="338">
        <f t="shared" ref="AS2084" si="588">AJ2084*1000/AL2084</f>
        <v>0.78816899021144959</v>
      </c>
      <c r="AT2084" s="184" t="s">
        <v>276</v>
      </c>
      <c r="AU2084" s="184" t="s">
        <v>276</v>
      </c>
      <c r="AV2084" s="184" t="s">
        <v>269</v>
      </c>
      <c r="AW2084" s="184" t="s">
        <v>276</v>
      </c>
      <c r="AX2084" s="338">
        <f t="shared" ref="AX2084" si="589">AO2084/AS2084</f>
        <v>1.036941114587967</v>
      </c>
      <c r="AY2084" s="184" t="s">
        <v>276</v>
      </c>
      <c r="AZ2084" s="184" t="s">
        <v>276</v>
      </c>
      <c r="BA2084" s="184" t="s">
        <v>276</v>
      </c>
      <c r="BB2084" s="184" t="s">
        <v>282</v>
      </c>
      <c r="BC2084" s="184" t="s">
        <v>98</v>
      </c>
      <c r="BD2084" s="184" t="s">
        <v>98</v>
      </c>
      <c r="BE2084" s="184" t="s">
        <v>98</v>
      </c>
      <c r="BF2084" s="185" t="s">
        <v>7331</v>
      </c>
      <c r="BG2084" s="185"/>
      <c r="BH2084" s="9" t="s">
        <v>100</v>
      </c>
      <c r="BI2084" s="9" t="s">
        <v>100</v>
      </c>
      <c r="BJ2084" s="193"/>
      <c r="BN2084" s="193"/>
      <c r="BO2084" s="193"/>
    </row>
    <row r="2085" spans="1:67" s="194" customFormat="1" ht="65" hidden="1" x14ac:dyDescent="0.35">
      <c r="A2085" s="184">
        <v>243</v>
      </c>
      <c r="B2085" s="184" t="s">
        <v>7059</v>
      </c>
      <c r="C2085" s="185" t="s">
        <v>59</v>
      </c>
      <c r="D2085" s="185" t="s">
        <v>7334</v>
      </c>
      <c r="E2085" s="184" t="s">
        <v>36</v>
      </c>
      <c r="F2085" s="184" t="s">
        <v>123</v>
      </c>
      <c r="G2085" s="184" t="s">
        <v>225</v>
      </c>
      <c r="H2085" s="184" t="s">
        <v>125</v>
      </c>
      <c r="I2085" s="184" t="s">
        <v>114</v>
      </c>
      <c r="J2085" s="185" t="s">
        <v>28</v>
      </c>
      <c r="K2085" s="184" t="s">
        <v>6742</v>
      </c>
      <c r="L2085" s="184" t="s">
        <v>276</v>
      </c>
      <c r="M2085" s="184" t="s">
        <v>276</v>
      </c>
      <c r="N2085" s="185" t="s">
        <v>7315</v>
      </c>
      <c r="O2085" s="185" t="s">
        <v>7062</v>
      </c>
      <c r="P2085" s="185" t="s">
        <v>239</v>
      </c>
      <c r="Q2085" s="302">
        <v>37256</v>
      </c>
      <c r="R2085" s="185" t="s">
        <v>7063</v>
      </c>
      <c r="S2085" s="185" t="s">
        <v>7064</v>
      </c>
      <c r="T2085" s="185" t="s">
        <v>7064</v>
      </c>
      <c r="U2085" s="187" t="s">
        <v>5401</v>
      </c>
      <c r="V2085" s="184" t="s">
        <v>14</v>
      </c>
      <c r="W2085" s="185" t="s">
        <v>98</v>
      </c>
      <c r="X2085" s="185" t="s">
        <v>207</v>
      </c>
      <c r="Y2085" s="189">
        <v>34144</v>
      </c>
      <c r="Z2085" s="188">
        <v>34164</v>
      </c>
      <c r="AA2085" s="185" t="s">
        <v>276</v>
      </c>
      <c r="AB2085" s="185" t="s">
        <v>276</v>
      </c>
      <c r="AC2085" s="184">
        <v>0</v>
      </c>
      <c r="AD2085" s="184" t="s">
        <v>7316</v>
      </c>
      <c r="AE2085" s="184">
        <v>0</v>
      </c>
      <c r="AF2085" s="184" t="s">
        <v>7316</v>
      </c>
      <c r="AG2085" s="185" t="s">
        <v>7321</v>
      </c>
      <c r="AH2085" s="185" t="s">
        <v>7067</v>
      </c>
      <c r="AI2085" s="188">
        <v>184</v>
      </c>
      <c r="AJ2085" s="188">
        <v>221</v>
      </c>
      <c r="AK2085" s="188">
        <v>471072</v>
      </c>
      <c r="AL2085" s="188">
        <v>471980</v>
      </c>
      <c r="AM2085" s="188" t="s">
        <v>425</v>
      </c>
      <c r="AN2085" s="184" t="s">
        <v>276</v>
      </c>
      <c r="AO2085" s="338">
        <f t="shared" si="585"/>
        <v>0.39059846477820798</v>
      </c>
      <c r="AP2085" s="184" t="s">
        <v>276</v>
      </c>
      <c r="AQ2085" s="184" t="s">
        <v>276</v>
      </c>
      <c r="AR2085" s="184" t="s">
        <v>276</v>
      </c>
      <c r="AS2085" s="338">
        <f t="shared" si="586"/>
        <v>0.46824017966863002</v>
      </c>
      <c r="AT2085" s="184" t="s">
        <v>276</v>
      </c>
      <c r="AU2085" s="184" t="s">
        <v>276</v>
      </c>
      <c r="AV2085" s="184" t="s">
        <v>269</v>
      </c>
      <c r="AW2085" s="184" t="s">
        <v>276</v>
      </c>
      <c r="AX2085" s="338">
        <f t="shared" si="584"/>
        <v>0.83418399731230142</v>
      </c>
      <c r="AY2085" s="184" t="s">
        <v>276</v>
      </c>
      <c r="AZ2085" s="184" t="s">
        <v>276</v>
      </c>
      <c r="BA2085" s="184" t="s">
        <v>276</v>
      </c>
      <c r="BB2085" s="184" t="s">
        <v>282</v>
      </c>
      <c r="BC2085" s="184" t="s">
        <v>98</v>
      </c>
      <c r="BD2085" s="184" t="s">
        <v>98</v>
      </c>
      <c r="BE2085" s="184" t="s">
        <v>98</v>
      </c>
      <c r="BF2085" s="185" t="s">
        <v>7331</v>
      </c>
      <c r="BG2085" s="185"/>
      <c r="BH2085" s="9" t="s">
        <v>100</v>
      </c>
      <c r="BI2085" s="9" t="s">
        <v>100</v>
      </c>
      <c r="BJ2085" s="193"/>
      <c r="BN2085" s="193"/>
      <c r="BO2085" s="193"/>
    </row>
    <row r="2086" spans="1:67" s="194" customFormat="1" ht="65" hidden="1" x14ac:dyDescent="0.35">
      <c r="A2086" s="184">
        <v>243</v>
      </c>
      <c r="B2086" s="184" t="s">
        <v>7059</v>
      </c>
      <c r="C2086" s="185" t="s">
        <v>59</v>
      </c>
      <c r="D2086" s="185" t="s">
        <v>7335</v>
      </c>
      <c r="E2086" s="184" t="s">
        <v>36</v>
      </c>
      <c r="F2086" s="184" t="s">
        <v>123</v>
      </c>
      <c r="G2086" s="184" t="s">
        <v>225</v>
      </c>
      <c r="H2086" s="184" t="s">
        <v>125</v>
      </c>
      <c r="I2086" s="184" t="s">
        <v>114</v>
      </c>
      <c r="J2086" s="185" t="s">
        <v>28</v>
      </c>
      <c r="K2086" s="184" t="s">
        <v>7100</v>
      </c>
      <c r="L2086" s="184" t="s">
        <v>276</v>
      </c>
      <c r="M2086" s="184" t="s">
        <v>276</v>
      </c>
      <c r="N2086" s="185" t="s">
        <v>7315</v>
      </c>
      <c r="O2086" s="185" t="s">
        <v>7062</v>
      </c>
      <c r="P2086" s="185" t="s">
        <v>239</v>
      </c>
      <c r="Q2086" s="302">
        <v>37256</v>
      </c>
      <c r="R2086" s="185" t="s">
        <v>7063</v>
      </c>
      <c r="S2086" s="185" t="s">
        <v>7064</v>
      </c>
      <c r="T2086" s="185" t="s">
        <v>7064</v>
      </c>
      <c r="U2086" s="187" t="s">
        <v>5401</v>
      </c>
      <c r="V2086" s="184" t="s">
        <v>14</v>
      </c>
      <c r="W2086" s="185" t="s">
        <v>98</v>
      </c>
      <c r="X2086" s="185" t="s">
        <v>207</v>
      </c>
      <c r="Y2086" s="189">
        <v>34144</v>
      </c>
      <c r="Z2086" s="188">
        <v>34164</v>
      </c>
      <c r="AA2086" s="185" t="s">
        <v>276</v>
      </c>
      <c r="AB2086" s="185" t="s">
        <v>276</v>
      </c>
      <c r="AC2086" s="184">
        <v>0</v>
      </c>
      <c r="AD2086" s="184" t="s">
        <v>7316</v>
      </c>
      <c r="AE2086" s="184">
        <v>0</v>
      </c>
      <c r="AF2086" s="184" t="s">
        <v>7316</v>
      </c>
      <c r="AG2086" s="185" t="s">
        <v>7323</v>
      </c>
      <c r="AH2086" s="185" t="s">
        <v>7067</v>
      </c>
      <c r="AI2086" s="188">
        <v>152</v>
      </c>
      <c r="AJ2086" s="188">
        <v>161</v>
      </c>
      <c r="AK2086" s="188">
        <v>471072</v>
      </c>
      <c r="AL2086" s="188">
        <v>471980</v>
      </c>
      <c r="AM2086" s="188" t="s">
        <v>425</v>
      </c>
      <c r="AN2086" s="184" t="s">
        <v>276</v>
      </c>
      <c r="AO2086" s="338">
        <f t="shared" ref="AO2086" si="590">AI2086*1000/AK2086</f>
        <v>0.32266829699069355</v>
      </c>
      <c r="AP2086" s="184" t="s">
        <v>276</v>
      </c>
      <c r="AQ2086" s="184" t="s">
        <v>276</v>
      </c>
      <c r="AR2086" s="184" t="s">
        <v>276</v>
      </c>
      <c r="AS2086" s="338">
        <f t="shared" ref="AS2086" si="591">AJ2086*1000/AL2086</f>
        <v>0.34111614898936393</v>
      </c>
      <c r="AT2086" s="184" t="s">
        <v>276</v>
      </c>
      <c r="AU2086" s="184" t="s">
        <v>276</v>
      </c>
      <c r="AV2086" s="184" t="s">
        <v>269</v>
      </c>
      <c r="AW2086" s="184" t="s">
        <v>276</v>
      </c>
      <c r="AX2086" s="338">
        <f t="shared" ref="AX2086" si="592">AO2086/AS2086</f>
        <v>0.94591914791097853</v>
      </c>
      <c r="AY2086" s="184" t="s">
        <v>276</v>
      </c>
      <c r="AZ2086" s="184" t="s">
        <v>276</v>
      </c>
      <c r="BA2086" s="184" t="s">
        <v>276</v>
      </c>
      <c r="BB2086" s="184" t="s">
        <v>282</v>
      </c>
      <c r="BC2086" s="184" t="s">
        <v>98</v>
      </c>
      <c r="BD2086" s="184" t="s">
        <v>98</v>
      </c>
      <c r="BE2086" s="184" t="s">
        <v>98</v>
      </c>
      <c r="BF2086" s="185" t="s">
        <v>7331</v>
      </c>
      <c r="BG2086" s="185"/>
      <c r="BH2086" s="9" t="s">
        <v>100</v>
      </c>
      <c r="BI2086" s="9" t="s">
        <v>100</v>
      </c>
      <c r="BJ2086" s="193"/>
      <c r="BN2086" s="193"/>
      <c r="BO2086" s="193"/>
    </row>
    <row r="2087" spans="1:67" s="194" customFormat="1" ht="65" hidden="1" x14ac:dyDescent="0.35">
      <c r="A2087" s="184">
        <v>243</v>
      </c>
      <c r="B2087" s="184" t="s">
        <v>7059</v>
      </c>
      <c r="C2087" s="185" t="s">
        <v>59</v>
      </c>
      <c r="D2087" s="185" t="s">
        <v>11565</v>
      </c>
      <c r="E2087" s="184" t="s">
        <v>36</v>
      </c>
      <c r="F2087" s="184" t="s">
        <v>123</v>
      </c>
      <c r="G2087" s="184" t="s">
        <v>225</v>
      </c>
      <c r="H2087" s="184" t="s">
        <v>125</v>
      </c>
      <c r="I2087" s="184" t="s">
        <v>114</v>
      </c>
      <c r="J2087" s="185" t="s">
        <v>28</v>
      </c>
      <c r="K2087" s="184" t="s">
        <v>8839</v>
      </c>
      <c r="L2087" s="184" t="s">
        <v>276</v>
      </c>
      <c r="M2087" s="184" t="s">
        <v>276</v>
      </c>
      <c r="N2087" s="185" t="s">
        <v>7315</v>
      </c>
      <c r="O2087" s="185" t="s">
        <v>7062</v>
      </c>
      <c r="P2087" s="185" t="s">
        <v>239</v>
      </c>
      <c r="Q2087" s="302">
        <v>37256</v>
      </c>
      <c r="R2087" s="185" t="s">
        <v>7063</v>
      </c>
      <c r="S2087" s="185" t="s">
        <v>7064</v>
      </c>
      <c r="T2087" s="185" t="s">
        <v>7064</v>
      </c>
      <c r="U2087" s="187" t="s">
        <v>5401</v>
      </c>
      <c r="V2087" s="184" t="s">
        <v>14</v>
      </c>
      <c r="W2087" s="185" t="s">
        <v>98</v>
      </c>
      <c r="X2087" s="185" t="s">
        <v>207</v>
      </c>
      <c r="Y2087" s="189">
        <v>34144</v>
      </c>
      <c r="Z2087" s="188">
        <v>34164</v>
      </c>
      <c r="AA2087" s="185" t="s">
        <v>276</v>
      </c>
      <c r="AB2087" s="185" t="s">
        <v>276</v>
      </c>
      <c r="AC2087" s="184">
        <v>0</v>
      </c>
      <c r="AD2087" s="184" t="s">
        <v>7316</v>
      </c>
      <c r="AE2087" s="184">
        <v>0</v>
      </c>
      <c r="AF2087" s="184" t="s">
        <v>7316</v>
      </c>
      <c r="AG2087" s="185" t="s">
        <v>11566</v>
      </c>
      <c r="AH2087" s="185" t="s">
        <v>7067</v>
      </c>
      <c r="AI2087" s="188">
        <f>152+184</f>
        <v>336</v>
      </c>
      <c r="AJ2087" s="188">
        <f>161+221</f>
        <v>382</v>
      </c>
      <c r="AK2087" s="188">
        <v>471072</v>
      </c>
      <c r="AL2087" s="188">
        <v>471980</v>
      </c>
      <c r="AM2087" s="188" t="s">
        <v>425</v>
      </c>
      <c r="AN2087" s="184" t="s">
        <v>276</v>
      </c>
      <c r="AO2087" s="338">
        <f t="shared" si="585"/>
        <v>0.71326676176890158</v>
      </c>
      <c r="AP2087" s="184" t="s">
        <v>276</v>
      </c>
      <c r="AQ2087" s="184" t="s">
        <v>276</v>
      </c>
      <c r="AR2087" s="184" t="s">
        <v>276</v>
      </c>
      <c r="AS2087" s="338">
        <f t="shared" si="586"/>
        <v>0.80935632865799401</v>
      </c>
      <c r="AT2087" s="184" t="s">
        <v>276</v>
      </c>
      <c r="AU2087" s="184" t="s">
        <v>276</v>
      </c>
      <c r="AV2087" s="184" t="s">
        <v>269</v>
      </c>
      <c r="AW2087" s="184" t="s">
        <v>276</v>
      </c>
      <c r="AX2087" s="338">
        <f t="shared" si="584"/>
        <v>0.88127656078451877</v>
      </c>
      <c r="AY2087" s="184" t="s">
        <v>276</v>
      </c>
      <c r="AZ2087" s="184" t="s">
        <v>276</v>
      </c>
      <c r="BA2087" s="184" t="s">
        <v>276</v>
      </c>
      <c r="BB2087" s="184" t="s">
        <v>282</v>
      </c>
      <c r="BC2087" s="184" t="s">
        <v>98</v>
      </c>
      <c r="BD2087" s="184" t="s">
        <v>98</v>
      </c>
      <c r="BE2087" s="184" t="s">
        <v>98</v>
      </c>
      <c r="BF2087" s="185" t="s">
        <v>7331</v>
      </c>
      <c r="BG2087" s="185"/>
      <c r="BH2087" s="9" t="s">
        <v>100</v>
      </c>
      <c r="BI2087" s="9" t="s">
        <v>100</v>
      </c>
      <c r="BJ2087" s="193"/>
      <c r="BN2087" s="193"/>
      <c r="BO2087" s="193"/>
    </row>
    <row r="2088" spans="1:67" s="33" customFormat="1" ht="52" hidden="1" x14ac:dyDescent="0.35">
      <c r="A2088" s="8">
        <v>4372</v>
      </c>
      <c r="B2088" s="8" t="s">
        <v>8969</v>
      </c>
      <c r="C2088" s="9" t="s">
        <v>61</v>
      </c>
      <c r="D2088" s="9" t="s">
        <v>8970</v>
      </c>
      <c r="E2088" s="8" t="s">
        <v>35</v>
      </c>
      <c r="F2088" s="8" t="s">
        <v>97</v>
      </c>
      <c r="G2088" s="8" t="s">
        <v>225</v>
      </c>
      <c r="H2088" s="8" t="s">
        <v>225</v>
      </c>
      <c r="I2088" s="8" t="s">
        <v>98</v>
      </c>
      <c r="J2088" s="9" t="s">
        <v>98</v>
      </c>
      <c r="K2088" s="8" t="s">
        <v>98</v>
      </c>
      <c r="L2088" s="8" t="s">
        <v>98</v>
      </c>
      <c r="M2088" s="8" t="s">
        <v>98</v>
      </c>
      <c r="N2088" s="8" t="s">
        <v>276</v>
      </c>
      <c r="O2088" s="9" t="s">
        <v>276</v>
      </c>
      <c r="P2088" s="9" t="s">
        <v>238</v>
      </c>
      <c r="Q2088" s="51" t="s">
        <v>8971</v>
      </c>
      <c r="R2088" s="9" t="s">
        <v>3967</v>
      </c>
      <c r="S2088" s="9" t="s">
        <v>276</v>
      </c>
      <c r="T2088" s="9" t="s">
        <v>98</v>
      </c>
      <c r="U2088" s="9">
        <v>1</v>
      </c>
      <c r="V2088" s="8" t="s">
        <v>14</v>
      </c>
      <c r="W2088" s="8" t="s">
        <v>98</v>
      </c>
      <c r="X2088" s="9" t="s">
        <v>209</v>
      </c>
      <c r="Y2088" s="13">
        <v>40318</v>
      </c>
      <c r="Z2088" s="9" t="s">
        <v>98</v>
      </c>
      <c r="AA2088" s="9" t="s">
        <v>276</v>
      </c>
      <c r="AB2088" s="9" t="s">
        <v>98</v>
      </c>
      <c r="AC2088" s="8" t="s">
        <v>276</v>
      </c>
      <c r="AD2088" s="9" t="s">
        <v>8972</v>
      </c>
      <c r="AE2088" s="8" t="s">
        <v>98</v>
      </c>
      <c r="AF2088" s="8" t="s">
        <v>98</v>
      </c>
      <c r="AG2088" s="9" t="s">
        <v>8973</v>
      </c>
      <c r="AH2088" s="9" t="s">
        <v>7518</v>
      </c>
      <c r="AI2088" s="38">
        <v>128</v>
      </c>
      <c r="AJ2088" s="38" t="s">
        <v>98</v>
      </c>
      <c r="AK2088" s="38">
        <v>40318</v>
      </c>
      <c r="AL2088" s="38" t="s">
        <v>98</v>
      </c>
      <c r="AM2088" s="38" t="s">
        <v>292</v>
      </c>
      <c r="AN2088" s="8" t="s">
        <v>276</v>
      </c>
      <c r="AO2088" s="66">
        <f t="shared" ref="AO2088:AO2095" si="593">AI2088*100/AK2088</f>
        <v>0.31747606528101591</v>
      </c>
      <c r="AP2088" s="8" t="s">
        <v>276</v>
      </c>
      <c r="AQ2088" s="8" t="s">
        <v>276</v>
      </c>
      <c r="AR2088" s="8" t="s">
        <v>98</v>
      </c>
      <c r="AS2088" s="14" t="s">
        <v>98</v>
      </c>
      <c r="AT2088" s="8" t="s">
        <v>98</v>
      </c>
      <c r="AU2088" s="8" t="s">
        <v>98</v>
      </c>
      <c r="AV2088" s="8" t="s">
        <v>98</v>
      </c>
      <c r="AW2088" s="40" t="s">
        <v>98</v>
      </c>
      <c r="AX2088" s="40" t="s">
        <v>98</v>
      </c>
      <c r="AY2088" s="9" t="s">
        <v>98</v>
      </c>
      <c r="AZ2088" s="9" t="s">
        <v>98</v>
      </c>
      <c r="BA2088" s="9" t="s">
        <v>98</v>
      </c>
      <c r="BB2088" s="9" t="s">
        <v>98</v>
      </c>
      <c r="BC2088" s="9" t="s">
        <v>98</v>
      </c>
      <c r="BD2088" s="9" t="s">
        <v>98</v>
      </c>
      <c r="BE2088" s="9" t="s">
        <v>98</v>
      </c>
      <c r="BF2088" s="9" t="s">
        <v>8974</v>
      </c>
      <c r="BG2088" s="9"/>
      <c r="BH2088" s="9" t="s">
        <v>100</v>
      </c>
      <c r="BI2088" s="9" t="s">
        <v>100</v>
      </c>
      <c r="BJ2088" s="32"/>
      <c r="BN2088" s="32"/>
      <c r="BO2088" s="32"/>
    </row>
    <row r="2089" spans="1:67" s="33" customFormat="1" ht="78" hidden="1" x14ac:dyDescent="0.35">
      <c r="A2089" s="8">
        <v>4372</v>
      </c>
      <c r="B2089" s="8" t="s">
        <v>8969</v>
      </c>
      <c r="C2089" s="9" t="s">
        <v>61</v>
      </c>
      <c r="D2089" s="9" t="s">
        <v>8975</v>
      </c>
      <c r="E2089" s="8" t="s">
        <v>35</v>
      </c>
      <c r="F2089" s="8" t="s">
        <v>97</v>
      </c>
      <c r="G2089" s="8" t="s">
        <v>225</v>
      </c>
      <c r="H2089" s="8" t="s">
        <v>225</v>
      </c>
      <c r="I2089" s="8" t="s">
        <v>98</v>
      </c>
      <c r="J2089" s="9" t="s">
        <v>98</v>
      </c>
      <c r="K2089" s="8" t="s">
        <v>98</v>
      </c>
      <c r="L2089" s="8" t="s">
        <v>98</v>
      </c>
      <c r="M2089" s="8" t="s">
        <v>98</v>
      </c>
      <c r="N2089" s="8" t="s">
        <v>276</v>
      </c>
      <c r="O2089" s="9" t="s">
        <v>276</v>
      </c>
      <c r="P2089" s="9" t="s">
        <v>236</v>
      </c>
      <c r="Q2089" s="51" t="s">
        <v>276</v>
      </c>
      <c r="R2089" s="9" t="s">
        <v>710</v>
      </c>
      <c r="S2089" s="9" t="s">
        <v>276</v>
      </c>
      <c r="T2089" s="9" t="s">
        <v>98</v>
      </c>
      <c r="U2089" s="9">
        <v>1</v>
      </c>
      <c r="V2089" s="8" t="s">
        <v>14</v>
      </c>
      <c r="W2089" s="8" t="s">
        <v>98</v>
      </c>
      <c r="X2089" s="9" t="s">
        <v>209</v>
      </c>
      <c r="Y2089" s="13" t="s">
        <v>98</v>
      </c>
      <c r="Z2089" s="9" t="s">
        <v>98</v>
      </c>
      <c r="AA2089" s="9" t="s">
        <v>276</v>
      </c>
      <c r="AB2089" s="9" t="s">
        <v>98</v>
      </c>
      <c r="AC2089" s="8" t="s">
        <v>276</v>
      </c>
      <c r="AD2089" s="9" t="s">
        <v>8972</v>
      </c>
      <c r="AE2089" s="8" t="s">
        <v>98</v>
      </c>
      <c r="AF2089" s="8" t="s">
        <v>98</v>
      </c>
      <c r="AG2089" s="9" t="s">
        <v>8973</v>
      </c>
      <c r="AH2089" s="9" t="s">
        <v>8976</v>
      </c>
      <c r="AI2089" s="38">
        <v>128</v>
      </c>
      <c r="AJ2089" s="38" t="s">
        <v>98</v>
      </c>
      <c r="AK2089" s="38">
        <f>175+60</f>
        <v>235</v>
      </c>
      <c r="AL2089" s="38" t="s">
        <v>98</v>
      </c>
      <c r="AM2089" s="38" t="s">
        <v>292</v>
      </c>
      <c r="AN2089" s="8" t="s">
        <v>276</v>
      </c>
      <c r="AO2089" s="14">
        <f t="shared" si="593"/>
        <v>54.468085106382979</v>
      </c>
      <c r="AP2089" s="8" t="s">
        <v>276</v>
      </c>
      <c r="AQ2089" s="8" t="s">
        <v>276</v>
      </c>
      <c r="AR2089" s="8" t="s">
        <v>98</v>
      </c>
      <c r="AS2089" s="14" t="s">
        <v>98</v>
      </c>
      <c r="AT2089" s="8" t="s">
        <v>98</v>
      </c>
      <c r="AU2089" s="8" t="s">
        <v>98</v>
      </c>
      <c r="AV2089" s="8" t="s">
        <v>98</v>
      </c>
      <c r="AW2089" s="40" t="s">
        <v>98</v>
      </c>
      <c r="AX2089" s="40" t="s">
        <v>98</v>
      </c>
      <c r="AY2089" s="9" t="s">
        <v>98</v>
      </c>
      <c r="AZ2089" s="9" t="s">
        <v>98</v>
      </c>
      <c r="BA2089" s="9" t="s">
        <v>98</v>
      </c>
      <c r="BB2089" s="9" t="s">
        <v>98</v>
      </c>
      <c r="BC2089" s="9" t="s">
        <v>98</v>
      </c>
      <c r="BD2089" s="9" t="s">
        <v>98</v>
      </c>
      <c r="BE2089" s="9" t="s">
        <v>98</v>
      </c>
      <c r="BF2089" s="9" t="s">
        <v>8977</v>
      </c>
      <c r="BG2089" s="9"/>
      <c r="BH2089" s="9" t="s">
        <v>100</v>
      </c>
      <c r="BI2089" s="9" t="s">
        <v>100</v>
      </c>
      <c r="BJ2089" s="32"/>
      <c r="BN2089" s="32"/>
      <c r="BO2089" s="32"/>
    </row>
    <row r="2090" spans="1:67" s="79" customFormat="1" ht="52" hidden="1" x14ac:dyDescent="0.35">
      <c r="A2090" s="72">
        <v>4372</v>
      </c>
      <c r="B2090" s="72" t="s">
        <v>8969</v>
      </c>
      <c r="C2090" s="73" t="s">
        <v>61</v>
      </c>
      <c r="D2090" s="73" t="s">
        <v>8978</v>
      </c>
      <c r="E2090" s="72" t="s">
        <v>35</v>
      </c>
      <c r="F2090" s="72" t="s">
        <v>97</v>
      </c>
      <c r="G2090" s="72" t="s">
        <v>225</v>
      </c>
      <c r="H2090" s="72" t="s">
        <v>225</v>
      </c>
      <c r="I2090" s="72" t="s">
        <v>98</v>
      </c>
      <c r="J2090" s="73" t="s">
        <v>98</v>
      </c>
      <c r="K2090" s="72" t="s">
        <v>98</v>
      </c>
      <c r="L2090" s="72" t="s">
        <v>98</v>
      </c>
      <c r="M2090" s="72" t="s">
        <v>98</v>
      </c>
      <c r="N2090" s="72" t="s">
        <v>276</v>
      </c>
      <c r="O2090" s="73" t="s">
        <v>276</v>
      </c>
      <c r="P2090" s="73" t="s">
        <v>238</v>
      </c>
      <c r="Q2090" s="89" t="s">
        <v>8971</v>
      </c>
      <c r="R2090" s="73" t="s">
        <v>3967</v>
      </c>
      <c r="S2090" s="73" t="s">
        <v>276</v>
      </c>
      <c r="T2090" s="73" t="s">
        <v>98</v>
      </c>
      <c r="U2090" s="73">
        <v>1</v>
      </c>
      <c r="V2090" s="72" t="s">
        <v>14</v>
      </c>
      <c r="W2090" s="72" t="s">
        <v>98</v>
      </c>
      <c r="X2090" s="73" t="s">
        <v>209</v>
      </c>
      <c r="Y2090" s="74">
        <v>40318</v>
      </c>
      <c r="Z2090" s="73" t="s">
        <v>98</v>
      </c>
      <c r="AA2090" s="73" t="s">
        <v>276</v>
      </c>
      <c r="AB2090" s="73" t="s">
        <v>98</v>
      </c>
      <c r="AC2090" s="72" t="s">
        <v>276</v>
      </c>
      <c r="AD2090" s="73" t="s">
        <v>8972</v>
      </c>
      <c r="AE2090" s="72" t="s">
        <v>98</v>
      </c>
      <c r="AF2090" s="72" t="s">
        <v>98</v>
      </c>
      <c r="AG2090" s="73" t="s">
        <v>8979</v>
      </c>
      <c r="AH2090" s="73" t="s">
        <v>7518</v>
      </c>
      <c r="AI2090" s="75">
        <f>128-15</f>
        <v>113</v>
      </c>
      <c r="AJ2090" s="75" t="s">
        <v>98</v>
      </c>
      <c r="AK2090" s="75">
        <v>40318</v>
      </c>
      <c r="AL2090" s="75" t="s">
        <v>98</v>
      </c>
      <c r="AM2090" s="75" t="s">
        <v>292</v>
      </c>
      <c r="AN2090" s="72" t="s">
        <v>276</v>
      </c>
      <c r="AO2090" s="801">
        <f t="shared" si="593"/>
        <v>0.28027183888089685</v>
      </c>
      <c r="AP2090" s="72" t="s">
        <v>276</v>
      </c>
      <c r="AQ2090" s="72" t="s">
        <v>276</v>
      </c>
      <c r="AR2090" s="72" t="s">
        <v>98</v>
      </c>
      <c r="AS2090" s="76" t="s">
        <v>98</v>
      </c>
      <c r="AT2090" s="72" t="s">
        <v>98</v>
      </c>
      <c r="AU2090" s="72" t="s">
        <v>98</v>
      </c>
      <c r="AV2090" s="72" t="s">
        <v>98</v>
      </c>
      <c r="AW2090" s="83" t="s">
        <v>98</v>
      </c>
      <c r="AX2090" s="83" t="s">
        <v>98</v>
      </c>
      <c r="AY2090" s="73" t="s">
        <v>98</v>
      </c>
      <c r="AZ2090" s="73" t="s">
        <v>98</v>
      </c>
      <c r="BA2090" s="73" t="s">
        <v>98</v>
      </c>
      <c r="BB2090" s="73" t="s">
        <v>98</v>
      </c>
      <c r="BC2090" s="73" t="s">
        <v>98</v>
      </c>
      <c r="BD2090" s="73" t="s">
        <v>98</v>
      </c>
      <c r="BE2090" s="73" t="s">
        <v>98</v>
      </c>
      <c r="BF2090" s="73" t="s">
        <v>298</v>
      </c>
      <c r="BG2090" s="9"/>
      <c r="BH2090" s="9" t="s">
        <v>100</v>
      </c>
      <c r="BI2090" s="9" t="s">
        <v>100</v>
      </c>
      <c r="BJ2090" s="78"/>
      <c r="BN2090" s="78"/>
      <c r="BO2090" s="78"/>
    </row>
    <row r="2091" spans="1:67" s="33" customFormat="1" ht="78" hidden="1" x14ac:dyDescent="0.35">
      <c r="A2091" s="8">
        <v>4372</v>
      </c>
      <c r="B2091" s="8" t="s">
        <v>8969</v>
      </c>
      <c r="C2091" s="9" t="s">
        <v>61</v>
      </c>
      <c r="D2091" s="9" t="s">
        <v>8980</v>
      </c>
      <c r="E2091" s="8" t="s">
        <v>35</v>
      </c>
      <c r="F2091" s="8" t="s">
        <v>97</v>
      </c>
      <c r="G2091" s="8" t="s">
        <v>225</v>
      </c>
      <c r="H2091" s="8" t="s">
        <v>225</v>
      </c>
      <c r="I2091" s="8" t="s">
        <v>114</v>
      </c>
      <c r="J2091" s="9" t="s">
        <v>1116</v>
      </c>
      <c r="K2091" s="9" t="s">
        <v>8981</v>
      </c>
      <c r="L2091" s="8" t="s">
        <v>4151</v>
      </c>
      <c r="M2091" s="8" t="s">
        <v>276</v>
      </c>
      <c r="N2091" s="9" t="s">
        <v>8982</v>
      </c>
      <c r="O2091" s="9" t="s">
        <v>276</v>
      </c>
      <c r="P2091" s="9" t="s">
        <v>239</v>
      </c>
      <c r="Q2091" s="51" t="s">
        <v>8971</v>
      </c>
      <c r="R2091" s="51" t="s">
        <v>276</v>
      </c>
      <c r="S2091" s="9" t="s">
        <v>276</v>
      </c>
      <c r="T2091" s="9" t="s">
        <v>276</v>
      </c>
      <c r="U2091" s="9">
        <v>1</v>
      </c>
      <c r="V2091" s="8" t="s">
        <v>14</v>
      </c>
      <c r="W2091" s="8" t="s">
        <v>98</v>
      </c>
      <c r="X2091" s="9" t="s">
        <v>207</v>
      </c>
      <c r="Y2091" s="13">
        <v>40318</v>
      </c>
      <c r="Z2091" s="38">
        <v>20000</v>
      </c>
      <c r="AA2091" s="9" t="s">
        <v>276</v>
      </c>
      <c r="AB2091" s="9" t="s">
        <v>276</v>
      </c>
      <c r="AC2091" s="8" t="s">
        <v>276</v>
      </c>
      <c r="AD2091" s="9" t="s">
        <v>8983</v>
      </c>
      <c r="AE2091" s="8" t="s">
        <v>276</v>
      </c>
      <c r="AF2091" s="9" t="s">
        <v>8983</v>
      </c>
      <c r="AG2091" s="9" t="s">
        <v>8984</v>
      </c>
      <c r="AH2091" s="9" t="s">
        <v>4658</v>
      </c>
      <c r="AI2091" s="38">
        <v>43</v>
      </c>
      <c r="AJ2091" s="38">
        <v>27</v>
      </c>
      <c r="AK2091" s="38">
        <v>40318</v>
      </c>
      <c r="AL2091" s="38">
        <v>20000</v>
      </c>
      <c r="AM2091" s="38" t="s">
        <v>292</v>
      </c>
      <c r="AN2091" s="8" t="s">
        <v>276</v>
      </c>
      <c r="AO2091" s="14">
        <f t="shared" si="593"/>
        <v>0.10665211568034129</v>
      </c>
      <c r="AP2091" s="8" t="s">
        <v>276</v>
      </c>
      <c r="AQ2091" s="8" t="s">
        <v>276</v>
      </c>
      <c r="AR2091" s="8" t="s">
        <v>276</v>
      </c>
      <c r="AS2091" s="14">
        <f>AJ2091*100/AL2091</f>
        <v>0.13500000000000001</v>
      </c>
      <c r="AT2091" s="8" t="s">
        <v>276</v>
      </c>
      <c r="AU2091" s="8" t="s">
        <v>276</v>
      </c>
      <c r="AV2091" s="8" t="s">
        <v>268</v>
      </c>
      <c r="AW2091" s="40" t="s">
        <v>276</v>
      </c>
      <c r="AX2091" s="40">
        <f>AO2091/AS2091</f>
        <v>0.79001567170623177</v>
      </c>
      <c r="AY2091" s="9" t="s">
        <v>276</v>
      </c>
      <c r="AZ2091" s="9" t="s">
        <v>276</v>
      </c>
      <c r="BA2091" s="9" t="s">
        <v>276</v>
      </c>
      <c r="BB2091" s="9" t="s">
        <v>282</v>
      </c>
      <c r="BC2091" s="9" t="s">
        <v>98</v>
      </c>
      <c r="BD2091" s="9" t="s">
        <v>98</v>
      </c>
      <c r="BE2091" s="9" t="s">
        <v>98</v>
      </c>
      <c r="BF2091" s="9" t="s">
        <v>8985</v>
      </c>
      <c r="BH2091" s="9" t="s">
        <v>100</v>
      </c>
      <c r="BI2091" s="9" t="s">
        <v>100</v>
      </c>
      <c r="BJ2091" s="32"/>
      <c r="BN2091" s="32"/>
      <c r="BO2091" s="32"/>
    </row>
    <row r="2092" spans="1:67" s="33" customFormat="1" ht="78" hidden="1" x14ac:dyDescent="0.35">
      <c r="A2092" s="8">
        <v>4372</v>
      </c>
      <c r="B2092" s="8" t="s">
        <v>8969</v>
      </c>
      <c r="C2092" s="9" t="s">
        <v>61</v>
      </c>
      <c r="D2092" s="9" t="s">
        <v>8986</v>
      </c>
      <c r="E2092" s="8" t="s">
        <v>35</v>
      </c>
      <c r="F2092" s="8" t="s">
        <v>97</v>
      </c>
      <c r="G2092" s="8" t="s">
        <v>225</v>
      </c>
      <c r="H2092" s="8" t="s">
        <v>225</v>
      </c>
      <c r="I2092" s="8" t="s">
        <v>114</v>
      </c>
      <c r="J2092" s="9" t="s">
        <v>25</v>
      </c>
      <c r="K2092" s="9" t="s">
        <v>7801</v>
      </c>
      <c r="L2092" s="8" t="s">
        <v>4151</v>
      </c>
      <c r="M2092" s="8" t="s">
        <v>276</v>
      </c>
      <c r="N2092" s="9" t="s">
        <v>8982</v>
      </c>
      <c r="O2092" s="9" t="s">
        <v>276</v>
      </c>
      <c r="P2092" s="9" t="s">
        <v>239</v>
      </c>
      <c r="Q2092" s="51" t="s">
        <v>8971</v>
      </c>
      <c r="R2092" s="51" t="s">
        <v>276</v>
      </c>
      <c r="S2092" s="9" t="s">
        <v>276</v>
      </c>
      <c r="T2092" s="9" t="s">
        <v>276</v>
      </c>
      <c r="U2092" s="9">
        <v>1</v>
      </c>
      <c r="V2092" s="8" t="s">
        <v>14</v>
      </c>
      <c r="W2092" s="8" t="s">
        <v>98</v>
      </c>
      <c r="X2092" s="9" t="s">
        <v>207</v>
      </c>
      <c r="Y2092" s="13">
        <v>40318</v>
      </c>
      <c r="Z2092" s="38">
        <v>20000</v>
      </c>
      <c r="AA2092" s="9" t="s">
        <v>276</v>
      </c>
      <c r="AB2092" s="9" t="s">
        <v>276</v>
      </c>
      <c r="AC2092" s="8" t="s">
        <v>276</v>
      </c>
      <c r="AD2092" s="9" t="s">
        <v>968</v>
      </c>
      <c r="AE2092" s="8" t="s">
        <v>276</v>
      </c>
      <c r="AF2092" s="9" t="s">
        <v>968</v>
      </c>
      <c r="AG2092" s="9" t="s">
        <v>8987</v>
      </c>
      <c r="AH2092" s="9" t="s">
        <v>4658</v>
      </c>
      <c r="AI2092" s="38">
        <v>52</v>
      </c>
      <c r="AJ2092" s="38">
        <v>40</v>
      </c>
      <c r="AK2092" s="38">
        <v>40318</v>
      </c>
      <c r="AL2092" s="38">
        <v>20000</v>
      </c>
      <c r="AM2092" s="38" t="s">
        <v>292</v>
      </c>
      <c r="AN2092" s="8" t="s">
        <v>276</v>
      </c>
      <c r="AO2092" s="14">
        <f t="shared" si="593"/>
        <v>0.12897465152041271</v>
      </c>
      <c r="AP2092" s="8" t="s">
        <v>276</v>
      </c>
      <c r="AQ2092" s="8" t="s">
        <v>276</v>
      </c>
      <c r="AR2092" s="8" t="s">
        <v>276</v>
      </c>
      <c r="AS2092" s="14">
        <f>AJ2092*100/AL2092</f>
        <v>0.2</v>
      </c>
      <c r="AT2092" s="8" t="s">
        <v>276</v>
      </c>
      <c r="AU2092" s="8" t="s">
        <v>276</v>
      </c>
      <c r="AV2092" s="8" t="s">
        <v>268</v>
      </c>
      <c r="AW2092" s="40" t="s">
        <v>276</v>
      </c>
      <c r="AX2092" s="40">
        <f>AO2092/AS2092</f>
        <v>0.64487325760206349</v>
      </c>
      <c r="AY2092" s="9" t="s">
        <v>276</v>
      </c>
      <c r="AZ2092" s="9" t="s">
        <v>276</v>
      </c>
      <c r="BA2092" s="9" t="s">
        <v>276</v>
      </c>
      <c r="BB2092" s="9" t="s">
        <v>282</v>
      </c>
      <c r="BC2092" s="9" t="s">
        <v>98</v>
      </c>
      <c r="BD2092" s="9" t="s">
        <v>98</v>
      </c>
      <c r="BE2092" s="9" t="s">
        <v>98</v>
      </c>
      <c r="BF2092" s="9" t="s">
        <v>8988</v>
      </c>
      <c r="BG2092" s="9"/>
      <c r="BH2092" s="9" t="s">
        <v>100</v>
      </c>
      <c r="BI2092" s="9" t="s">
        <v>100</v>
      </c>
      <c r="BJ2092" s="32"/>
      <c r="BN2092" s="32"/>
      <c r="BO2092" s="32"/>
    </row>
    <row r="2093" spans="1:67" s="79" customFormat="1" ht="65" hidden="1" x14ac:dyDescent="0.35">
      <c r="A2093" s="72">
        <v>4372</v>
      </c>
      <c r="B2093" s="72" t="s">
        <v>8969</v>
      </c>
      <c r="C2093" s="73" t="s">
        <v>61</v>
      </c>
      <c r="D2093" s="73" t="s">
        <v>8989</v>
      </c>
      <c r="E2093" s="72" t="s">
        <v>35</v>
      </c>
      <c r="F2093" s="72" t="s">
        <v>97</v>
      </c>
      <c r="G2093" s="72" t="s">
        <v>225</v>
      </c>
      <c r="H2093" s="72" t="s">
        <v>225</v>
      </c>
      <c r="I2093" s="72" t="s">
        <v>114</v>
      </c>
      <c r="J2093" s="73" t="s">
        <v>25</v>
      </c>
      <c r="K2093" s="73" t="s">
        <v>7801</v>
      </c>
      <c r="L2093" s="72" t="s">
        <v>4151</v>
      </c>
      <c r="M2093" s="72" t="s">
        <v>276</v>
      </c>
      <c r="N2093" s="73" t="s">
        <v>8982</v>
      </c>
      <c r="O2093" s="73" t="s">
        <v>276</v>
      </c>
      <c r="P2093" s="73" t="s">
        <v>235</v>
      </c>
      <c r="Q2093" s="89" t="s">
        <v>8971</v>
      </c>
      <c r="R2093" s="89" t="s">
        <v>276</v>
      </c>
      <c r="S2093" s="73" t="s">
        <v>276</v>
      </c>
      <c r="T2093" s="73" t="s">
        <v>276</v>
      </c>
      <c r="U2093" s="73">
        <v>1</v>
      </c>
      <c r="V2093" s="72" t="s">
        <v>14</v>
      </c>
      <c r="W2093" s="72" t="s">
        <v>98</v>
      </c>
      <c r="X2093" s="73" t="s">
        <v>207</v>
      </c>
      <c r="Y2093" s="74" t="s">
        <v>98</v>
      </c>
      <c r="Z2093" s="75" t="s">
        <v>98</v>
      </c>
      <c r="AA2093" s="73" t="s">
        <v>276</v>
      </c>
      <c r="AB2093" s="73" t="s">
        <v>276</v>
      </c>
      <c r="AC2093" s="72" t="s">
        <v>276</v>
      </c>
      <c r="AD2093" s="73" t="s">
        <v>968</v>
      </c>
      <c r="AE2093" s="72" t="s">
        <v>276</v>
      </c>
      <c r="AF2093" s="73" t="s">
        <v>968</v>
      </c>
      <c r="AG2093" s="73" t="s">
        <v>8987</v>
      </c>
      <c r="AH2093" s="73" t="s">
        <v>8990</v>
      </c>
      <c r="AI2093" s="75">
        <v>52</v>
      </c>
      <c r="AJ2093" s="75">
        <v>40</v>
      </c>
      <c r="AK2093" s="75">
        <v>155</v>
      </c>
      <c r="AL2093" s="75">
        <v>71</v>
      </c>
      <c r="AM2093" s="75" t="s">
        <v>292</v>
      </c>
      <c r="AN2093" s="72">
        <v>34</v>
      </c>
      <c r="AO2093" s="76">
        <f t="shared" si="593"/>
        <v>33.548387096774192</v>
      </c>
      <c r="AP2093" s="72" t="s">
        <v>276</v>
      </c>
      <c r="AQ2093" s="72" t="s">
        <v>276</v>
      </c>
      <c r="AR2093" s="72">
        <v>56</v>
      </c>
      <c r="AS2093" s="76">
        <f>AJ2093*100/AL2093</f>
        <v>56.338028169014088</v>
      </c>
      <c r="AT2093" s="72" t="s">
        <v>276</v>
      </c>
      <c r="AU2093" s="72" t="s">
        <v>276</v>
      </c>
      <c r="AV2093" s="72" t="s">
        <v>268</v>
      </c>
      <c r="AW2093" s="83" t="s">
        <v>276</v>
      </c>
      <c r="AX2093" s="83">
        <f>AO2093/AS2093</f>
        <v>0.59548387096774191</v>
      </c>
      <c r="AY2093" s="73" t="s">
        <v>276</v>
      </c>
      <c r="AZ2093" s="73" t="s">
        <v>276</v>
      </c>
      <c r="BA2093" s="73" t="s">
        <v>276</v>
      </c>
      <c r="BB2093" s="73" t="s">
        <v>282</v>
      </c>
      <c r="BC2093" s="73" t="s">
        <v>98</v>
      </c>
      <c r="BD2093" s="73" t="s">
        <v>98</v>
      </c>
      <c r="BE2093" s="73" t="s">
        <v>98</v>
      </c>
      <c r="BF2093" s="73" t="s">
        <v>8988</v>
      </c>
      <c r="BG2093" s="73"/>
      <c r="BH2093" s="9" t="s">
        <v>100</v>
      </c>
      <c r="BI2093" s="9" t="s">
        <v>100</v>
      </c>
      <c r="BJ2093" s="78"/>
      <c r="BN2093" s="78"/>
      <c r="BO2093" s="78"/>
    </row>
    <row r="2094" spans="1:67" s="183" customFormat="1" ht="52" hidden="1" x14ac:dyDescent="0.35">
      <c r="A2094" s="175">
        <v>4370</v>
      </c>
      <c r="B2094" s="175" t="s">
        <v>8991</v>
      </c>
      <c r="C2094" s="176" t="s">
        <v>61</v>
      </c>
      <c r="D2094" s="176" t="s">
        <v>8992</v>
      </c>
      <c r="E2094" s="175" t="s">
        <v>35</v>
      </c>
      <c r="F2094" s="175" t="s">
        <v>97</v>
      </c>
      <c r="G2094" s="175" t="s">
        <v>225</v>
      </c>
      <c r="H2094" s="175" t="s">
        <v>225</v>
      </c>
      <c r="I2094" s="175" t="s">
        <v>98</v>
      </c>
      <c r="J2094" s="176" t="s">
        <v>98</v>
      </c>
      <c r="K2094" s="175" t="s">
        <v>98</v>
      </c>
      <c r="L2094" s="175" t="s">
        <v>98</v>
      </c>
      <c r="M2094" s="175" t="s">
        <v>98</v>
      </c>
      <c r="N2094" s="175" t="s">
        <v>276</v>
      </c>
      <c r="O2094" s="176" t="s">
        <v>276</v>
      </c>
      <c r="P2094" s="176" t="s">
        <v>238</v>
      </c>
      <c r="Q2094" s="304" t="s">
        <v>8993</v>
      </c>
      <c r="R2094" s="176" t="s">
        <v>276</v>
      </c>
      <c r="S2094" s="176" t="s">
        <v>276</v>
      </c>
      <c r="T2094" s="176" t="s">
        <v>98</v>
      </c>
      <c r="U2094" s="176">
        <v>2</v>
      </c>
      <c r="V2094" s="175" t="s">
        <v>14</v>
      </c>
      <c r="W2094" s="175" t="s">
        <v>98</v>
      </c>
      <c r="X2094" s="176" t="s">
        <v>209</v>
      </c>
      <c r="Y2094" s="180">
        <v>40318</v>
      </c>
      <c r="Z2094" s="176" t="s">
        <v>98</v>
      </c>
      <c r="AA2094" s="176" t="s">
        <v>276</v>
      </c>
      <c r="AB2094" s="176" t="s">
        <v>98</v>
      </c>
      <c r="AC2094" s="175" t="s">
        <v>276</v>
      </c>
      <c r="AD2094" s="176" t="s">
        <v>8972</v>
      </c>
      <c r="AE2094" s="175" t="s">
        <v>98</v>
      </c>
      <c r="AF2094" s="175" t="s">
        <v>98</v>
      </c>
      <c r="AG2094" s="176" t="s">
        <v>8994</v>
      </c>
      <c r="AH2094" s="176" t="s">
        <v>7518</v>
      </c>
      <c r="AI2094" s="179">
        <f>128+95</f>
        <v>223</v>
      </c>
      <c r="AJ2094" s="179" t="s">
        <v>98</v>
      </c>
      <c r="AK2094" s="179">
        <v>40318</v>
      </c>
      <c r="AL2094" s="179" t="s">
        <v>98</v>
      </c>
      <c r="AM2094" s="179" t="s">
        <v>292</v>
      </c>
      <c r="AN2094" s="175" t="s">
        <v>276</v>
      </c>
      <c r="AO2094" s="804">
        <f t="shared" si="593"/>
        <v>0.55310283248176995</v>
      </c>
      <c r="AP2094" s="175" t="s">
        <v>276</v>
      </c>
      <c r="AQ2094" s="175" t="s">
        <v>276</v>
      </c>
      <c r="AR2094" s="175" t="s">
        <v>276</v>
      </c>
      <c r="AS2094" s="181" t="s">
        <v>98</v>
      </c>
      <c r="AT2094" s="175" t="s">
        <v>98</v>
      </c>
      <c r="AU2094" s="175" t="s">
        <v>98</v>
      </c>
      <c r="AV2094" s="175" t="s">
        <v>98</v>
      </c>
      <c r="AW2094" s="175" t="s">
        <v>98</v>
      </c>
      <c r="AX2094" s="175" t="s">
        <v>98</v>
      </c>
      <c r="AY2094" s="175" t="s">
        <v>98</v>
      </c>
      <c r="AZ2094" s="175" t="s">
        <v>98</v>
      </c>
      <c r="BA2094" s="175" t="s">
        <v>98</v>
      </c>
      <c r="BB2094" s="175" t="s">
        <v>98</v>
      </c>
      <c r="BC2094" s="175" t="s">
        <v>98</v>
      </c>
      <c r="BD2094" s="175" t="s">
        <v>98</v>
      </c>
      <c r="BE2094" s="175" t="s">
        <v>98</v>
      </c>
      <c r="BF2094" s="176" t="s">
        <v>8995</v>
      </c>
      <c r="BG2094" s="176"/>
      <c r="BH2094" s="9" t="s">
        <v>100</v>
      </c>
      <c r="BI2094" s="9" t="s">
        <v>100</v>
      </c>
      <c r="BJ2094" s="182"/>
      <c r="BN2094" s="182"/>
      <c r="BO2094" s="182"/>
    </row>
    <row r="2095" spans="1:67" s="183" customFormat="1" ht="52" hidden="1" x14ac:dyDescent="0.35">
      <c r="A2095" s="175">
        <v>4370</v>
      </c>
      <c r="B2095" s="175" t="s">
        <v>8991</v>
      </c>
      <c r="C2095" s="176" t="s">
        <v>61</v>
      </c>
      <c r="D2095" s="176" t="s">
        <v>8996</v>
      </c>
      <c r="E2095" s="175" t="s">
        <v>35</v>
      </c>
      <c r="F2095" s="175" t="s">
        <v>97</v>
      </c>
      <c r="G2095" s="175" t="s">
        <v>225</v>
      </c>
      <c r="H2095" s="175" t="s">
        <v>225</v>
      </c>
      <c r="I2095" s="175" t="s">
        <v>98</v>
      </c>
      <c r="J2095" s="176" t="s">
        <v>98</v>
      </c>
      <c r="K2095" s="175" t="s">
        <v>98</v>
      </c>
      <c r="L2095" s="175" t="s">
        <v>98</v>
      </c>
      <c r="M2095" s="175" t="s">
        <v>98</v>
      </c>
      <c r="N2095" s="175" t="s">
        <v>276</v>
      </c>
      <c r="O2095" s="176" t="s">
        <v>276</v>
      </c>
      <c r="P2095" s="176" t="s">
        <v>236</v>
      </c>
      <c r="Q2095" s="178" t="s">
        <v>8997</v>
      </c>
      <c r="R2095" s="176" t="s">
        <v>2977</v>
      </c>
      <c r="S2095" s="176" t="s">
        <v>2977</v>
      </c>
      <c r="T2095" s="176" t="s">
        <v>98</v>
      </c>
      <c r="U2095" s="176">
        <v>2</v>
      </c>
      <c r="V2095" s="175" t="s">
        <v>14</v>
      </c>
      <c r="W2095" s="175" t="s">
        <v>98</v>
      </c>
      <c r="X2095" s="176" t="s">
        <v>209</v>
      </c>
      <c r="Y2095" s="180" t="s">
        <v>98</v>
      </c>
      <c r="Z2095" s="176" t="s">
        <v>98</v>
      </c>
      <c r="AA2095" s="176" t="s">
        <v>276</v>
      </c>
      <c r="AB2095" s="176" t="s">
        <v>98</v>
      </c>
      <c r="AC2095" s="175" t="s">
        <v>276</v>
      </c>
      <c r="AD2095" s="176" t="s">
        <v>8972</v>
      </c>
      <c r="AE2095" s="175" t="s">
        <v>98</v>
      </c>
      <c r="AF2095" s="175" t="s">
        <v>98</v>
      </c>
      <c r="AG2095" s="176" t="s">
        <v>8998</v>
      </c>
      <c r="AH2095" s="176" t="s">
        <v>8999</v>
      </c>
      <c r="AI2095" s="179">
        <v>223</v>
      </c>
      <c r="AJ2095" s="179" t="s">
        <v>98</v>
      </c>
      <c r="AK2095" s="179">
        <f>371+10</f>
        <v>381</v>
      </c>
      <c r="AL2095" s="179" t="s">
        <v>98</v>
      </c>
      <c r="AM2095" s="179" t="s">
        <v>292</v>
      </c>
      <c r="AN2095" s="175" t="s">
        <v>276</v>
      </c>
      <c r="AO2095" s="181">
        <f t="shared" si="593"/>
        <v>58.530183727034121</v>
      </c>
      <c r="AP2095" s="175" t="s">
        <v>276</v>
      </c>
      <c r="AQ2095" s="175" t="s">
        <v>276</v>
      </c>
      <c r="AR2095" s="175" t="s">
        <v>98</v>
      </c>
      <c r="AS2095" s="181" t="s">
        <v>98</v>
      </c>
      <c r="AT2095" s="175" t="s">
        <v>98</v>
      </c>
      <c r="AU2095" s="175" t="s">
        <v>98</v>
      </c>
      <c r="AV2095" s="175" t="s">
        <v>98</v>
      </c>
      <c r="AW2095" s="305" t="s">
        <v>98</v>
      </c>
      <c r="AX2095" s="305" t="s">
        <v>98</v>
      </c>
      <c r="AY2095" s="176" t="s">
        <v>98</v>
      </c>
      <c r="AZ2095" s="176" t="s">
        <v>98</v>
      </c>
      <c r="BA2095" s="176" t="s">
        <v>98</v>
      </c>
      <c r="BB2095" s="176" t="s">
        <v>98</v>
      </c>
      <c r="BC2095" s="176" t="s">
        <v>98</v>
      </c>
      <c r="BD2095" s="176" t="s">
        <v>98</v>
      </c>
      <c r="BE2095" s="176" t="s">
        <v>98</v>
      </c>
      <c r="BF2095" s="176" t="s">
        <v>1020</v>
      </c>
      <c r="BG2095" s="176" t="s">
        <v>9000</v>
      </c>
      <c r="BH2095" s="9" t="s">
        <v>100</v>
      </c>
      <c r="BI2095" s="9" t="s">
        <v>100</v>
      </c>
      <c r="BJ2095" s="182"/>
      <c r="BN2095" s="182"/>
      <c r="BO2095" s="182"/>
    </row>
    <row r="2096" spans="1:67" s="494" customFormat="1" ht="91" hidden="1" x14ac:dyDescent="0.35">
      <c r="A2096" s="485">
        <v>4370</v>
      </c>
      <c r="B2096" s="485" t="s">
        <v>8991</v>
      </c>
      <c r="C2096" s="486" t="s">
        <v>61</v>
      </c>
      <c r="D2096" s="486" t="s">
        <v>11177</v>
      </c>
      <c r="E2096" s="485" t="s">
        <v>35</v>
      </c>
      <c r="F2096" s="485" t="s">
        <v>97</v>
      </c>
      <c r="G2096" s="485" t="s">
        <v>225</v>
      </c>
      <c r="H2096" s="485" t="s">
        <v>225</v>
      </c>
      <c r="I2096" s="485" t="s">
        <v>114</v>
      </c>
      <c r="J2096" s="486" t="s">
        <v>25</v>
      </c>
      <c r="K2096" s="486" t="s">
        <v>7801</v>
      </c>
      <c r="L2096" s="485" t="s">
        <v>4151</v>
      </c>
      <c r="M2096" s="485" t="s">
        <v>276</v>
      </c>
      <c r="N2096" s="486" t="s">
        <v>276</v>
      </c>
      <c r="O2096" s="486" t="s">
        <v>276</v>
      </c>
      <c r="P2096" s="486" t="s">
        <v>239</v>
      </c>
      <c r="Q2096" s="487" t="s">
        <v>8997</v>
      </c>
      <c r="R2096" s="487" t="s">
        <v>2977</v>
      </c>
      <c r="S2096" s="486" t="s">
        <v>2977</v>
      </c>
      <c r="T2096" s="486" t="s">
        <v>9001</v>
      </c>
      <c r="U2096" s="486">
        <v>2</v>
      </c>
      <c r="V2096" s="485" t="s">
        <v>14</v>
      </c>
      <c r="W2096" s="485" t="s">
        <v>98</v>
      </c>
      <c r="X2096" s="486" t="s">
        <v>207</v>
      </c>
      <c r="Y2096" s="488">
        <v>40318</v>
      </c>
      <c r="Z2096" s="489">
        <v>19943</v>
      </c>
      <c r="AA2096" s="486" t="s">
        <v>276</v>
      </c>
      <c r="AB2096" s="486" t="s">
        <v>276</v>
      </c>
      <c r="AC2096" s="485">
        <v>4</v>
      </c>
      <c r="AD2096" s="486" t="s">
        <v>9002</v>
      </c>
      <c r="AE2096" s="485" t="s">
        <v>276</v>
      </c>
      <c r="AF2096" s="486" t="s">
        <v>9002</v>
      </c>
      <c r="AG2096" s="486" t="s">
        <v>11178</v>
      </c>
      <c r="AH2096" s="486" t="s">
        <v>4658</v>
      </c>
      <c r="AI2096" s="490">
        <f>143+4</f>
        <v>147</v>
      </c>
      <c r="AJ2096" s="490">
        <v>89</v>
      </c>
      <c r="AK2096" s="490">
        <v>40318</v>
      </c>
      <c r="AL2096" s="489">
        <v>19943</v>
      </c>
      <c r="AM2096" s="490" t="s">
        <v>4787</v>
      </c>
      <c r="AN2096" s="485" t="s">
        <v>276</v>
      </c>
      <c r="AO2096" s="491">
        <f t="shared" ref="AO2096:AO2110" si="594">AI2096*10000/AK2096</f>
        <v>36.460141872116672</v>
      </c>
      <c r="AP2096" s="485" t="s">
        <v>276</v>
      </c>
      <c r="AQ2096" s="485" t="s">
        <v>276</v>
      </c>
      <c r="AR2096" s="485" t="s">
        <v>276</v>
      </c>
      <c r="AS2096" s="491">
        <f t="shared" ref="AS2096:AS2110" si="595">AJ2096*10000/AL2096</f>
        <v>44.627187484330342</v>
      </c>
      <c r="AT2096" s="485" t="s">
        <v>276</v>
      </c>
      <c r="AU2096" s="485" t="s">
        <v>276</v>
      </c>
      <c r="AV2096" s="485" t="s">
        <v>268</v>
      </c>
      <c r="AW2096" s="492" t="s">
        <v>276</v>
      </c>
      <c r="AX2096" s="492">
        <f t="shared" ref="AX2096:AX2131" si="596">AO2096/AS2096</f>
        <v>0.81699394309620532</v>
      </c>
      <c r="AY2096" s="486" t="s">
        <v>276</v>
      </c>
      <c r="AZ2096" s="486" t="s">
        <v>276</v>
      </c>
      <c r="BA2096" s="486" t="s">
        <v>276</v>
      </c>
      <c r="BB2096" s="486" t="s">
        <v>282</v>
      </c>
      <c r="BC2096" s="486" t="s">
        <v>98</v>
      </c>
      <c r="BD2096" s="486" t="s">
        <v>98</v>
      </c>
      <c r="BE2096" s="486" t="s">
        <v>98</v>
      </c>
      <c r="BF2096" s="486" t="s">
        <v>9003</v>
      </c>
      <c r="BG2096" s="486"/>
      <c r="BH2096" s="9" t="s">
        <v>100</v>
      </c>
      <c r="BI2096" s="9" t="s">
        <v>100</v>
      </c>
      <c r="BJ2096" s="493"/>
      <c r="BN2096" s="493"/>
      <c r="BO2096" s="493"/>
    </row>
    <row r="2097" spans="1:67" s="183" customFormat="1" ht="104" hidden="1" x14ac:dyDescent="0.35">
      <c r="A2097" s="175">
        <v>4370</v>
      </c>
      <c r="B2097" s="175" t="s">
        <v>8991</v>
      </c>
      <c r="C2097" s="176" t="s">
        <v>61</v>
      </c>
      <c r="D2097" s="176" t="s">
        <v>11179</v>
      </c>
      <c r="E2097" s="175" t="s">
        <v>35</v>
      </c>
      <c r="F2097" s="175" t="s">
        <v>97</v>
      </c>
      <c r="G2097" s="175" t="s">
        <v>225</v>
      </c>
      <c r="H2097" s="175" t="s">
        <v>225</v>
      </c>
      <c r="I2097" s="175" t="s">
        <v>114</v>
      </c>
      <c r="J2097" s="176" t="s">
        <v>25</v>
      </c>
      <c r="K2097" s="176" t="s">
        <v>7801</v>
      </c>
      <c r="L2097" s="175" t="s">
        <v>4151</v>
      </c>
      <c r="M2097" s="175" t="s">
        <v>276</v>
      </c>
      <c r="N2097" s="176" t="s">
        <v>276</v>
      </c>
      <c r="O2097" s="176" t="s">
        <v>276</v>
      </c>
      <c r="P2097" s="176" t="s">
        <v>239</v>
      </c>
      <c r="Q2097" s="178" t="s">
        <v>8997</v>
      </c>
      <c r="R2097" s="178" t="s">
        <v>2977</v>
      </c>
      <c r="S2097" s="176" t="s">
        <v>2977</v>
      </c>
      <c r="T2097" s="176" t="s">
        <v>9001</v>
      </c>
      <c r="U2097" s="176">
        <v>2</v>
      </c>
      <c r="V2097" s="175" t="s">
        <v>14</v>
      </c>
      <c r="W2097" s="175" t="s">
        <v>98</v>
      </c>
      <c r="X2097" s="176" t="s">
        <v>207</v>
      </c>
      <c r="Y2097" s="180">
        <v>39164</v>
      </c>
      <c r="Z2097" s="317">
        <v>19943</v>
      </c>
      <c r="AA2097" s="176" t="s">
        <v>276</v>
      </c>
      <c r="AB2097" s="176" t="s">
        <v>276</v>
      </c>
      <c r="AC2097" s="175">
        <v>4</v>
      </c>
      <c r="AD2097" s="176" t="s">
        <v>9002</v>
      </c>
      <c r="AE2097" s="175" t="s">
        <v>276</v>
      </c>
      <c r="AF2097" s="176" t="s">
        <v>9002</v>
      </c>
      <c r="AG2097" s="176" t="s">
        <v>11180</v>
      </c>
      <c r="AH2097" s="176" t="s">
        <v>11181</v>
      </c>
      <c r="AI2097" s="179">
        <v>143</v>
      </c>
      <c r="AJ2097" s="179">
        <v>150</v>
      </c>
      <c r="AK2097" s="179">
        <v>39164</v>
      </c>
      <c r="AL2097" s="317">
        <f>19943+19859</f>
        <v>39802</v>
      </c>
      <c r="AM2097" s="179" t="s">
        <v>4787</v>
      </c>
      <c r="AN2097" s="175" t="s">
        <v>276</v>
      </c>
      <c r="AO2097" s="181">
        <f t="shared" si="594"/>
        <v>36.513124297824533</v>
      </c>
      <c r="AP2097" s="175" t="s">
        <v>276</v>
      </c>
      <c r="AQ2097" s="175" t="s">
        <v>276</v>
      </c>
      <c r="AR2097" s="175" t="s">
        <v>276</v>
      </c>
      <c r="AS2097" s="181">
        <f t="shared" si="595"/>
        <v>37.686548414652528</v>
      </c>
      <c r="AT2097" s="175" t="s">
        <v>276</v>
      </c>
      <c r="AU2097" s="175" t="s">
        <v>276</v>
      </c>
      <c r="AV2097" s="175" t="s">
        <v>268</v>
      </c>
      <c r="AW2097" s="305" t="s">
        <v>276</v>
      </c>
      <c r="AX2097" s="305">
        <f t="shared" si="596"/>
        <v>0.96886358220134139</v>
      </c>
      <c r="AY2097" s="176" t="s">
        <v>276</v>
      </c>
      <c r="AZ2097" s="176" t="s">
        <v>276</v>
      </c>
      <c r="BA2097" s="176" t="s">
        <v>276</v>
      </c>
      <c r="BB2097" s="176" t="s">
        <v>282</v>
      </c>
      <c r="BC2097" s="176" t="s">
        <v>98</v>
      </c>
      <c r="BD2097" s="176" t="s">
        <v>98</v>
      </c>
      <c r="BE2097" s="176" t="s">
        <v>98</v>
      </c>
      <c r="BF2097" s="176" t="s">
        <v>1020</v>
      </c>
      <c r="BG2097" s="176" t="s">
        <v>11182</v>
      </c>
      <c r="BH2097" s="9" t="s">
        <v>100</v>
      </c>
      <c r="BI2097" s="9" t="s">
        <v>100</v>
      </c>
      <c r="BJ2097" s="182"/>
      <c r="BN2097" s="182"/>
      <c r="BO2097" s="182"/>
    </row>
    <row r="2098" spans="1:67" s="183" customFormat="1" ht="104" hidden="1" x14ac:dyDescent="0.35">
      <c r="A2098" s="175">
        <v>4370</v>
      </c>
      <c r="B2098" s="175" t="s">
        <v>8991</v>
      </c>
      <c r="C2098" s="176" t="s">
        <v>61</v>
      </c>
      <c r="D2098" s="176" t="s">
        <v>11183</v>
      </c>
      <c r="E2098" s="175" t="s">
        <v>35</v>
      </c>
      <c r="F2098" s="175" t="s">
        <v>97</v>
      </c>
      <c r="G2098" s="175" t="s">
        <v>225</v>
      </c>
      <c r="H2098" s="175" t="s">
        <v>225</v>
      </c>
      <c r="I2098" s="175" t="s">
        <v>114</v>
      </c>
      <c r="J2098" s="176" t="s">
        <v>25</v>
      </c>
      <c r="K2098" s="176" t="s">
        <v>9005</v>
      </c>
      <c r="L2098" s="175" t="s">
        <v>4151</v>
      </c>
      <c r="M2098" s="175" t="s">
        <v>276</v>
      </c>
      <c r="N2098" s="176" t="s">
        <v>276</v>
      </c>
      <c r="O2098" s="176" t="s">
        <v>276</v>
      </c>
      <c r="P2098" s="176" t="s">
        <v>239</v>
      </c>
      <c r="Q2098" s="178" t="s">
        <v>8997</v>
      </c>
      <c r="R2098" s="178" t="s">
        <v>2977</v>
      </c>
      <c r="S2098" s="176" t="s">
        <v>2977</v>
      </c>
      <c r="T2098" s="176" t="s">
        <v>9001</v>
      </c>
      <c r="U2098" s="176">
        <v>2</v>
      </c>
      <c r="V2098" s="175" t="s">
        <v>14</v>
      </c>
      <c r="W2098" s="175" t="s">
        <v>98</v>
      </c>
      <c r="X2098" s="176" t="s">
        <v>207</v>
      </c>
      <c r="Y2098" s="180">
        <v>39164</v>
      </c>
      <c r="Z2098" s="317">
        <v>19943</v>
      </c>
      <c r="AA2098" s="176" t="s">
        <v>276</v>
      </c>
      <c r="AB2098" s="176" t="s">
        <v>276</v>
      </c>
      <c r="AC2098" s="175">
        <v>4</v>
      </c>
      <c r="AD2098" s="176" t="s">
        <v>9002</v>
      </c>
      <c r="AE2098" s="175" t="s">
        <v>276</v>
      </c>
      <c r="AF2098" s="176" t="s">
        <v>9002</v>
      </c>
      <c r="AG2098" s="176" t="s">
        <v>11184</v>
      </c>
      <c r="AH2098" s="176" t="s">
        <v>11181</v>
      </c>
      <c r="AI2098" s="179">
        <v>224</v>
      </c>
      <c r="AJ2098" s="179">
        <v>107</v>
      </c>
      <c r="AK2098" s="179">
        <v>39164</v>
      </c>
      <c r="AL2098" s="317">
        <f>19943+19859</f>
        <v>39802</v>
      </c>
      <c r="AM2098" s="179" t="s">
        <v>4787</v>
      </c>
      <c r="AN2098" s="175" t="s">
        <v>276</v>
      </c>
      <c r="AO2098" s="181">
        <f t="shared" si="594"/>
        <v>57.195383515473395</v>
      </c>
      <c r="AP2098" s="175" t="s">
        <v>276</v>
      </c>
      <c r="AQ2098" s="175" t="s">
        <v>276</v>
      </c>
      <c r="AR2098" s="175" t="s">
        <v>276</v>
      </c>
      <c r="AS2098" s="181">
        <f t="shared" si="595"/>
        <v>26.88307120245214</v>
      </c>
      <c r="AT2098" s="175" t="s">
        <v>276</v>
      </c>
      <c r="AU2098" s="175" t="s">
        <v>276</v>
      </c>
      <c r="AV2098" s="175" t="s">
        <v>268</v>
      </c>
      <c r="AW2098" s="305" t="s">
        <v>276</v>
      </c>
      <c r="AX2098" s="305">
        <f t="shared" si="596"/>
        <v>2.1275613595167027</v>
      </c>
      <c r="AY2098" s="176" t="s">
        <v>276</v>
      </c>
      <c r="AZ2098" s="176" t="s">
        <v>276</v>
      </c>
      <c r="BA2098" s="176" t="s">
        <v>276</v>
      </c>
      <c r="BB2098" s="176" t="s">
        <v>282</v>
      </c>
      <c r="BC2098" s="176" t="s">
        <v>98</v>
      </c>
      <c r="BD2098" s="176" t="s">
        <v>98</v>
      </c>
      <c r="BE2098" s="176" t="s">
        <v>98</v>
      </c>
      <c r="BF2098" s="176" t="s">
        <v>1020</v>
      </c>
      <c r="BG2098" s="176" t="s">
        <v>11182</v>
      </c>
      <c r="BH2098" s="9" t="s">
        <v>100</v>
      </c>
      <c r="BI2098" s="9" t="s">
        <v>100</v>
      </c>
      <c r="BJ2098" s="182"/>
      <c r="BN2098" s="182"/>
      <c r="BO2098" s="182"/>
    </row>
    <row r="2099" spans="1:67" s="194" customFormat="1" ht="143" hidden="1" x14ac:dyDescent="0.35">
      <c r="A2099" s="184">
        <v>4370</v>
      </c>
      <c r="B2099" s="184" t="s">
        <v>8991</v>
      </c>
      <c r="C2099" s="185" t="s">
        <v>61</v>
      </c>
      <c r="D2099" s="185" t="s">
        <v>11185</v>
      </c>
      <c r="E2099" s="184" t="s">
        <v>35</v>
      </c>
      <c r="F2099" s="184" t="s">
        <v>97</v>
      </c>
      <c r="G2099" s="184" t="s">
        <v>225</v>
      </c>
      <c r="H2099" s="184" t="s">
        <v>225</v>
      </c>
      <c r="I2099" s="184" t="s">
        <v>114</v>
      </c>
      <c r="J2099" s="185" t="s">
        <v>25</v>
      </c>
      <c r="K2099" s="185" t="s">
        <v>7801</v>
      </c>
      <c r="L2099" s="184" t="s">
        <v>4151</v>
      </c>
      <c r="M2099" s="184" t="s">
        <v>276</v>
      </c>
      <c r="N2099" s="185" t="s">
        <v>276</v>
      </c>
      <c r="O2099" s="185" t="s">
        <v>276</v>
      </c>
      <c r="P2099" s="185" t="s">
        <v>239</v>
      </c>
      <c r="Q2099" s="187" t="s">
        <v>276</v>
      </c>
      <c r="R2099" s="187" t="s">
        <v>705</v>
      </c>
      <c r="S2099" s="185" t="s">
        <v>276</v>
      </c>
      <c r="T2099" s="185" t="s">
        <v>276</v>
      </c>
      <c r="U2099" s="185">
        <v>1</v>
      </c>
      <c r="V2099" s="184" t="s">
        <v>14</v>
      </c>
      <c r="W2099" s="184" t="s">
        <v>98</v>
      </c>
      <c r="X2099" s="185" t="s">
        <v>207</v>
      </c>
      <c r="Y2099" s="189">
        <v>39164</v>
      </c>
      <c r="Z2099" s="324">
        <v>19943</v>
      </c>
      <c r="AA2099" s="185" t="s">
        <v>276</v>
      </c>
      <c r="AB2099" s="185" t="s">
        <v>276</v>
      </c>
      <c r="AC2099" s="184">
        <v>4</v>
      </c>
      <c r="AD2099" s="185" t="s">
        <v>9002</v>
      </c>
      <c r="AE2099" s="184" t="s">
        <v>276</v>
      </c>
      <c r="AF2099" s="185" t="s">
        <v>9002</v>
      </c>
      <c r="AG2099" s="185" t="s">
        <v>11186</v>
      </c>
      <c r="AH2099" s="185" t="s">
        <v>11181</v>
      </c>
      <c r="AI2099" s="188">
        <v>54</v>
      </c>
      <c r="AJ2099" s="188">
        <v>36</v>
      </c>
      <c r="AK2099" s="188">
        <v>39164</v>
      </c>
      <c r="AL2099" s="324">
        <f>19943+19859</f>
        <v>39802</v>
      </c>
      <c r="AM2099" s="188" t="s">
        <v>4787</v>
      </c>
      <c r="AN2099" s="184" t="s">
        <v>276</v>
      </c>
      <c r="AO2099" s="192">
        <f t="shared" si="594"/>
        <v>13.788172811765907</v>
      </c>
      <c r="AP2099" s="184" t="s">
        <v>276</v>
      </c>
      <c r="AQ2099" s="184" t="s">
        <v>276</v>
      </c>
      <c r="AR2099" s="184" t="s">
        <v>276</v>
      </c>
      <c r="AS2099" s="192">
        <f t="shared" si="595"/>
        <v>9.0447716195166077</v>
      </c>
      <c r="AT2099" s="184" t="s">
        <v>276</v>
      </c>
      <c r="AU2099" s="184" t="s">
        <v>276</v>
      </c>
      <c r="AV2099" s="184" t="s">
        <v>268</v>
      </c>
      <c r="AW2099" s="303" t="s">
        <v>276</v>
      </c>
      <c r="AX2099" s="303">
        <f t="shared" si="596"/>
        <v>1.5244357062608518</v>
      </c>
      <c r="AY2099" s="185" t="s">
        <v>276</v>
      </c>
      <c r="AZ2099" s="185" t="s">
        <v>276</v>
      </c>
      <c r="BA2099" s="185" t="s">
        <v>276</v>
      </c>
      <c r="BB2099" s="185" t="s">
        <v>282</v>
      </c>
      <c r="BC2099" s="185" t="s">
        <v>98</v>
      </c>
      <c r="BD2099" s="185" t="s">
        <v>98</v>
      </c>
      <c r="BE2099" s="185" t="s">
        <v>98</v>
      </c>
      <c r="BF2099" s="185" t="s">
        <v>1010</v>
      </c>
      <c r="BG2099" s="185" t="s">
        <v>11187</v>
      </c>
      <c r="BH2099" s="9" t="s">
        <v>100</v>
      </c>
      <c r="BI2099" s="9" t="s">
        <v>100</v>
      </c>
      <c r="BJ2099" s="193"/>
      <c r="BN2099" s="193"/>
      <c r="BO2099" s="193"/>
    </row>
    <row r="2100" spans="1:67" s="194" customFormat="1" ht="156" hidden="1" x14ac:dyDescent="0.35">
      <c r="A2100" s="184">
        <v>4370</v>
      </c>
      <c r="B2100" s="184" t="s">
        <v>8991</v>
      </c>
      <c r="C2100" s="185" t="s">
        <v>61</v>
      </c>
      <c r="D2100" s="185" t="s">
        <v>11188</v>
      </c>
      <c r="E2100" s="184" t="s">
        <v>35</v>
      </c>
      <c r="F2100" s="184" t="s">
        <v>97</v>
      </c>
      <c r="G2100" s="184" t="s">
        <v>225</v>
      </c>
      <c r="H2100" s="184" t="s">
        <v>225</v>
      </c>
      <c r="I2100" s="184" t="s">
        <v>114</v>
      </c>
      <c r="J2100" s="185" t="s">
        <v>25</v>
      </c>
      <c r="K2100" s="185" t="s">
        <v>9005</v>
      </c>
      <c r="L2100" s="184" t="s">
        <v>4151</v>
      </c>
      <c r="M2100" s="184" t="s">
        <v>276</v>
      </c>
      <c r="N2100" s="185" t="s">
        <v>276</v>
      </c>
      <c r="O2100" s="185" t="s">
        <v>276</v>
      </c>
      <c r="P2100" s="185" t="s">
        <v>239</v>
      </c>
      <c r="Q2100" s="187" t="s">
        <v>276</v>
      </c>
      <c r="R2100" s="187" t="s">
        <v>705</v>
      </c>
      <c r="S2100" s="185" t="s">
        <v>276</v>
      </c>
      <c r="T2100" s="185" t="s">
        <v>276</v>
      </c>
      <c r="U2100" s="185">
        <v>1</v>
      </c>
      <c r="V2100" s="184" t="s">
        <v>14</v>
      </c>
      <c r="W2100" s="184" t="s">
        <v>98</v>
      </c>
      <c r="X2100" s="185" t="s">
        <v>207</v>
      </c>
      <c r="Y2100" s="189">
        <v>39164</v>
      </c>
      <c r="Z2100" s="324">
        <v>19943</v>
      </c>
      <c r="AA2100" s="185" t="s">
        <v>276</v>
      </c>
      <c r="AB2100" s="185" t="s">
        <v>276</v>
      </c>
      <c r="AC2100" s="184">
        <v>4</v>
      </c>
      <c r="AD2100" s="185" t="s">
        <v>9002</v>
      </c>
      <c r="AE2100" s="184" t="s">
        <v>276</v>
      </c>
      <c r="AF2100" s="185" t="s">
        <v>9002</v>
      </c>
      <c r="AG2100" s="185" t="s">
        <v>11189</v>
      </c>
      <c r="AH2100" s="185" t="s">
        <v>11181</v>
      </c>
      <c r="AI2100" s="188">
        <f>158-54</f>
        <v>104</v>
      </c>
      <c r="AJ2100" s="188">
        <f>68-36</f>
        <v>32</v>
      </c>
      <c r="AK2100" s="188">
        <v>39164</v>
      </c>
      <c r="AL2100" s="324">
        <f>19943+19859</f>
        <v>39802</v>
      </c>
      <c r="AM2100" s="188" t="s">
        <v>4787</v>
      </c>
      <c r="AN2100" s="184" t="s">
        <v>276</v>
      </c>
      <c r="AO2100" s="192">
        <f t="shared" si="594"/>
        <v>26.554999489326931</v>
      </c>
      <c r="AP2100" s="184" t="s">
        <v>276</v>
      </c>
      <c r="AQ2100" s="184" t="s">
        <v>276</v>
      </c>
      <c r="AR2100" s="184" t="s">
        <v>276</v>
      </c>
      <c r="AS2100" s="192">
        <f t="shared" si="595"/>
        <v>8.0397969951258723</v>
      </c>
      <c r="AT2100" s="184" t="s">
        <v>276</v>
      </c>
      <c r="AU2100" s="184" t="s">
        <v>276</v>
      </c>
      <c r="AV2100" s="184" t="s">
        <v>268</v>
      </c>
      <c r="AW2100" s="303" t="s">
        <v>276</v>
      </c>
      <c r="AX2100" s="303">
        <f t="shared" si="596"/>
        <v>3.3029440302318456</v>
      </c>
      <c r="AY2100" s="185" t="s">
        <v>276</v>
      </c>
      <c r="AZ2100" s="185" t="s">
        <v>276</v>
      </c>
      <c r="BA2100" s="185" t="s">
        <v>276</v>
      </c>
      <c r="BB2100" s="185" t="s">
        <v>282</v>
      </c>
      <c r="BC2100" s="185" t="s">
        <v>98</v>
      </c>
      <c r="BD2100" s="185" t="s">
        <v>98</v>
      </c>
      <c r="BE2100" s="185" t="s">
        <v>98</v>
      </c>
      <c r="BF2100" s="185" t="s">
        <v>1010</v>
      </c>
      <c r="BG2100" s="185" t="s">
        <v>11190</v>
      </c>
      <c r="BH2100" s="9" t="s">
        <v>100</v>
      </c>
      <c r="BI2100" s="9" t="s">
        <v>100</v>
      </c>
      <c r="BJ2100" s="193"/>
      <c r="BN2100" s="193"/>
      <c r="BO2100" s="193"/>
    </row>
    <row r="2101" spans="1:67" s="183" customFormat="1" ht="143" hidden="1" x14ac:dyDescent="0.35">
      <c r="A2101" s="175">
        <v>4370</v>
      </c>
      <c r="B2101" s="175" t="s">
        <v>8991</v>
      </c>
      <c r="C2101" s="176" t="s">
        <v>61</v>
      </c>
      <c r="D2101" s="176" t="s">
        <v>11191</v>
      </c>
      <c r="E2101" s="175" t="s">
        <v>35</v>
      </c>
      <c r="F2101" s="175" t="s">
        <v>97</v>
      </c>
      <c r="G2101" s="175" t="s">
        <v>225</v>
      </c>
      <c r="H2101" s="175" t="s">
        <v>225</v>
      </c>
      <c r="I2101" s="175" t="s">
        <v>114</v>
      </c>
      <c r="J2101" s="176" t="s">
        <v>25</v>
      </c>
      <c r="K2101" s="176" t="s">
        <v>7801</v>
      </c>
      <c r="L2101" s="175" t="s">
        <v>4151</v>
      </c>
      <c r="M2101" s="175" t="s">
        <v>276</v>
      </c>
      <c r="N2101" s="176" t="s">
        <v>276</v>
      </c>
      <c r="O2101" s="176" t="s">
        <v>276</v>
      </c>
      <c r="P2101" s="176" t="s">
        <v>239</v>
      </c>
      <c r="Q2101" s="178" t="s">
        <v>276</v>
      </c>
      <c r="R2101" s="178" t="s">
        <v>710</v>
      </c>
      <c r="S2101" s="176" t="s">
        <v>276</v>
      </c>
      <c r="T2101" s="176" t="s">
        <v>276</v>
      </c>
      <c r="U2101" s="176">
        <v>1</v>
      </c>
      <c r="V2101" s="175" t="s">
        <v>14</v>
      </c>
      <c r="W2101" s="175" t="s">
        <v>98</v>
      </c>
      <c r="X2101" s="176" t="s">
        <v>207</v>
      </c>
      <c r="Y2101" s="180">
        <v>39164</v>
      </c>
      <c r="Z2101" s="317">
        <v>19943</v>
      </c>
      <c r="AA2101" s="176" t="s">
        <v>276</v>
      </c>
      <c r="AB2101" s="176" t="s">
        <v>276</v>
      </c>
      <c r="AC2101" s="175">
        <v>4</v>
      </c>
      <c r="AD2101" s="176" t="s">
        <v>9002</v>
      </c>
      <c r="AE2101" s="175" t="s">
        <v>276</v>
      </c>
      <c r="AF2101" s="176" t="s">
        <v>9002</v>
      </c>
      <c r="AG2101" s="176" t="s">
        <v>11192</v>
      </c>
      <c r="AH2101" s="176" t="s">
        <v>11181</v>
      </c>
      <c r="AI2101" s="179">
        <f>54+29</f>
        <v>83</v>
      </c>
      <c r="AJ2101" s="179">
        <f>36+39</f>
        <v>75</v>
      </c>
      <c r="AK2101" s="179">
        <v>39164</v>
      </c>
      <c r="AL2101" s="317">
        <f t="shared" ref="AL2101:AL2131" si="597">19943+19859</f>
        <v>39802</v>
      </c>
      <c r="AM2101" s="179" t="s">
        <v>4787</v>
      </c>
      <c r="AN2101" s="175" t="s">
        <v>276</v>
      </c>
      <c r="AO2101" s="181">
        <f t="shared" si="594"/>
        <v>21.192932284751301</v>
      </c>
      <c r="AP2101" s="175" t="s">
        <v>276</v>
      </c>
      <c r="AQ2101" s="175" t="s">
        <v>276</v>
      </c>
      <c r="AR2101" s="175" t="s">
        <v>276</v>
      </c>
      <c r="AS2101" s="181">
        <f t="shared" si="595"/>
        <v>18.843274207326264</v>
      </c>
      <c r="AT2101" s="175" t="s">
        <v>276</v>
      </c>
      <c r="AU2101" s="175" t="s">
        <v>276</v>
      </c>
      <c r="AV2101" s="175" t="s">
        <v>268</v>
      </c>
      <c r="AW2101" s="305" t="s">
        <v>276</v>
      </c>
      <c r="AX2101" s="305">
        <f t="shared" si="596"/>
        <v>1.1246947877302285</v>
      </c>
      <c r="AY2101" s="176" t="s">
        <v>276</v>
      </c>
      <c r="AZ2101" s="176" t="s">
        <v>276</v>
      </c>
      <c r="BA2101" s="176" t="s">
        <v>276</v>
      </c>
      <c r="BB2101" s="176" t="s">
        <v>282</v>
      </c>
      <c r="BC2101" s="176" t="s">
        <v>98</v>
      </c>
      <c r="BD2101" s="176" t="s">
        <v>98</v>
      </c>
      <c r="BE2101" s="176" t="s">
        <v>98</v>
      </c>
      <c r="BF2101" s="176" t="s">
        <v>1010</v>
      </c>
      <c r="BG2101" s="176" t="s">
        <v>11187</v>
      </c>
      <c r="BH2101" s="9" t="s">
        <v>100</v>
      </c>
      <c r="BI2101" s="9" t="s">
        <v>100</v>
      </c>
      <c r="BJ2101" s="182"/>
      <c r="BN2101" s="182"/>
      <c r="BO2101" s="182"/>
    </row>
    <row r="2102" spans="1:67" s="183" customFormat="1" ht="156" hidden="1" x14ac:dyDescent="0.35">
      <c r="A2102" s="175">
        <v>4370</v>
      </c>
      <c r="B2102" s="175" t="s">
        <v>8991</v>
      </c>
      <c r="C2102" s="176" t="s">
        <v>61</v>
      </c>
      <c r="D2102" s="176" t="s">
        <v>11193</v>
      </c>
      <c r="E2102" s="175" t="s">
        <v>35</v>
      </c>
      <c r="F2102" s="175" t="s">
        <v>97</v>
      </c>
      <c r="G2102" s="175" t="s">
        <v>225</v>
      </c>
      <c r="H2102" s="175" t="s">
        <v>225</v>
      </c>
      <c r="I2102" s="175" t="s">
        <v>114</v>
      </c>
      <c r="J2102" s="176" t="s">
        <v>25</v>
      </c>
      <c r="K2102" s="176" t="s">
        <v>9005</v>
      </c>
      <c r="L2102" s="175" t="s">
        <v>4151</v>
      </c>
      <c r="M2102" s="175" t="s">
        <v>276</v>
      </c>
      <c r="N2102" s="176" t="s">
        <v>276</v>
      </c>
      <c r="O2102" s="176" t="s">
        <v>276</v>
      </c>
      <c r="P2102" s="176" t="s">
        <v>239</v>
      </c>
      <c r="Q2102" s="178" t="s">
        <v>276</v>
      </c>
      <c r="R2102" s="178" t="s">
        <v>710</v>
      </c>
      <c r="S2102" s="176" t="s">
        <v>276</v>
      </c>
      <c r="T2102" s="176" t="s">
        <v>276</v>
      </c>
      <c r="U2102" s="176">
        <v>1</v>
      </c>
      <c r="V2102" s="175" t="s">
        <v>14</v>
      </c>
      <c r="W2102" s="175" t="s">
        <v>98</v>
      </c>
      <c r="X2102" s="176" t="s">
        <v>207</v>
      </c>
      <c r="Y2102" s="180">
        <v>39164</v>
      </c>
      <c r="Z2102" s="317">
        <v>19943</v>
      </c>
      <c r="AA2102" s="176" t="s">
        <v>276</v>
      </c>
      <c r="AB2102" s="176" t="s">
        <v>276</v>
      </c>
      <c r="AC2102" s="175">
        <v>4</v>
      </c>
      <c r="AD2102" s="176" t="s">
        <v>9002</v>
      </c>
      <c r="AE2102" s="175" t="s">
        <v>276</v>
      </c>
      <c r="AF2102" s="176" t="s">
        <v>9002</v>
      </c>
      <c r="AG2102" s="176" t="s">
        <v>11194</v>
      </c>
      <c r="AH2102" s="176" t="s">
        <v>11181</v>
      </c>
      <c r="AI2102" s="179">
        <f>158+52-83</f>
        <v>127</v>
      </c>
      <c r="AJ2102" s="179">
        <f>68+80-75</f>
        <v>73</v>
      </c>
      <c r="AK2102" s="179">
        <v>39164</v>
      </c>
      <c r="AL2102" s="317">
        <f t="shared" si="597"/>
        <v>39802</v>
      </c>
      <c r="AM2102" s="179" t="s">
        <v>4787</v>
      </c>
      <c r="AN2102" s="175" t="s">
        <v>276</v>
      </c>
      <c r="AO2102" s="181">
        <f t="shared" si="594"/>
        <v>32.427739761005007</v>
      </c>
      <c r="AP2102" s="175" t="s">
        <v>276</v>
      </c>
      <c r="AQ2102" s="175" t="s">
        <v>276</v>
      </c>
      <c r="AR2102" s="175" t="s">
        <v>276</v>
      </c>
      <c r="AS2102" s="181">
        <f t="shared" si="595"/>
        <v>18.340786895130897</v>
      </c>
      <c r="AT2102" s="175" t="s">
        <v>276</v>
      </c>
      <c r="AU2102" s="175" t="s">
        <v>276</v>
      </c>
      <c r="AV2102" s="175" t="s">
        <v>268</v>
      </c>
      <c r="AW2102" s="305" t="s">
        <v>276</v>
      </c>
      <c r="AX2102" s="305">
        <f t="shared" si="596"/>
        <v>1.7680669835171525</v>
      </c>
      <c r="AY2102" s="176" t="s">
        <v>276</v>
      </c>
      <c r="AZ2102" s="176" t="s">
        <v>276</v>
      </c>
      <c r="BA2102" s="176" t="s">
        <v>276</v>
      </c>
      <c r="BB2102" s="176" t="s">
        <v>282</v>
      </c>
      <c r="BC2102" s="176" t="s">
        <v>98</v>
      </c>
      <c r="BD2102" s="176" t="s">
        <v>98</v>
      </c>
      <c r="BE2102" s="176" t="s">
        <v>98</v>
      </c>
      <c r="BF2102" s="176" t="s">
        <v>1010</v>
      </c>
      <c r="BG2102" s="176" t="s">
        <v>11190</v>
      </c>
      <c r="BH2102" s="9" t="s">
        <v>100</v>
      </c>
      <c r="BI2102" s="9" t="s">
        <v>100</v>
      </c>
      <c r="BJ2102" s="182"/>
      <c r="BN2102" s="182"/>
      <c r="BO2102" s="182"/>
    </row>
    <row r="2103" spans="1:67" s="194" customFormat="1" ht="143" hidden="1" x14ac:dyDescent="0.35">
      <c r="A2103" s="184">
        <v>4370</v>
      </c>
      <c r="B2103" s="184" t="s">
        <v>8991</v>
      </c>
      <c r="C2103" s="185" t="s">
        <v>61</v>
      </c>
      <c r="D2103" s="185" t="s">
        <v>11195</v>
      </c>
      <c r="E2103" s="184" t="s">
        <v>35</v>
      </c>
      <c r="F2103" s="184" t="s">
        <v>97</v>
      </c>
      <c r="G2103" s="184" t="s">
        <v>225</v>
      </c>
      <c r="H2103" s="184" t="s">
        <v>225</v>
      </c>
      <c r="I2103" s="184" t="s">
        <v>114</v>
      </c>
      <c r="J2103" s="185" t="s">
        <v>25</v>
      </c>
      <c r="K2103" s="185" t="s">
        <v>7801</v>
      </c>
      <c r="L2103" s="184" t="s">
        <v>4151</v>
      </c>
      <c r="M2103" s="184" t="s">
        <v>276</v>
      </c>
      <c r="N2103" s="185" t="s">
        <v>276</v>
      </c>
      <c r="O2103" s="185" t="s">
        <v>276</v>
      </c>
      <c r="P2103" s="185" t="s">
        <v>239</v>
      </c>
      <c r="Q2103" s="187" t="s">
        <v>276</v>
      </c>
      <c r="R2103" s="187" t="s">
        <v>686</v>
      </c>
      <c r="S2103" s="185" t="s">
        <v>276</v>
      </c>
      <c r="T2103" s="185" t="s">
        <v>276</v>
      </c>
      <c r="U2103" s="185">
        <v>2</v>
      </c>
      <c r="V2103" s="184" t="s">
        <v>14</v>
      </c>
      <c r="W2103" s="184" t="s">
        <v>98</v>
      </c>
      <c r="X2103" s="185" t="s">
        <v>207</v>
      </c>
      <c r="Y2103" s="189">
        <v>39164</v>
      </c>
      <c r="Z2103" s="324">
        <v>19943</v>
      </c>
      <c r="AA2103" s="185" t="s">
        <v>276</v>
      </c>
      <c r="AB2103" s="185" t="s">
        <v>276</v>
      </c>
      <c r="AC2103" s="184">
        <v>4</v>
      </c>
      <c r="AD2103" s="185" t="s">
        <v>9002</v>
      </c>
      <c r="AE2103" s="184" t="s">
        <v>276</v>
      </c>
      <c r="AF2103" s="185" t="s">
        <v>9002</v>
      </c>
      <c r="AG2103" s="185" t="s">
        <v>11196</v>
      </c>
      <c r="AH2103" s="185" t="s">
        <v>11181</v>
      </c>
      <c r="AI2103" s="188">
        <f>54+29+40</f>
        <v>123</v>
      </c>
      <c r="AJ2103" s="188">
        <f>36+39+42</f>
        <v>117</v>
      </c>
      <c r="AK2103" s="188">
        <v>39164</v>
      </c>
      <c r="AL2103" s="324">
        <f t="shared" si="597"/>
        <v>39802</v>
      </c>
      <c r="AM2103" s="188" t="s">
        <v>4787</v>
      </c>
      <c r="AN2103" s="184" t="s">
        <v>276</v>
      </c>
      <c r="AO2103" s="192">
        <f t="shared" si="594"/>
        <v>31.406393626800124</v>
      </c>
      <c r="AP2103" s="184" t="s">
        <v>276</v>
      </c>
      <c r="AQ2103" s="184" t="s">
        <v>276</v>
      </c>
      <c r="AR2103" s="184" t="s">
        <v>276</v>
      </c>
      <c r="AS2103" s="192">
        <f t="shared" si="595"/>
        <v>29.395507763428974</v>
      </c>
      <c r="AT2103" s="184" t="s">
        <v>276</v>
      </c>
      <c r="AU2103" s="184" t="s">
        <v>276</v>
      </c>
      <c r="AV2103" s="184" t="s">
        <v>268</v>
      </c>
      <c r="AW2103" s="303" t="s">
        <v>276</v>
      </c>
      <c r="AX2103" s="303">
        <f t="shared" si="596"/>
        <v>1.068407930883674</v>
      </c>
      <c r="AY2103" s="185" t="s">
        <v>276</v>
      </c>
      <c r="AZ2103" s="185" t="s">
        <v>276</v>
      </c>
      <c r="BA2103" s="185" t="s">
        <v>276</v>
      </c>
      <c r="BB2103" s="185" t="s">
        <v>282</v>
      </c>
      <c r="BC2103" s="185" t="s">
        <v>98</v>
      </c>
      <c r="BD2103" s="185" t="s">
        <v>98</v>
      </c>
      <c r="BE2103" s="185" t="s">
        <v>98</v>
      </c>
      <c r="BF2103" s="185" t="s">
        <v>1010</v>
      </c>
      <c r="BG2103" s="185" t="s">
        <v>11187</v>
      </c>
      <c r="BH2103" s="9" t="s">
        <v>100</v>
      </c>
      <c r="BI2103" s="9" t="s">
        <v>100</v>
      </c>
      <c r="BJ2103" s="193"/>
      <c r="BN2103" s="193"/>
      <c r="BO2103" s="193"/>
    </row>
    <row r="2104" spans="1:67" s="194" customFormat="1" ht="156" hidden="1" x14ac:dyDescent="0.35">
      <c r="A2104" s="184">
        <v>4370</v>
      </c>
      <c r="B2104" s="184" t="s">
        <v>8991</v>
      </c>
      <c r="C2104" s="185" t="s">
        <v>61</v>
      </c>
      <c r="D2104" s="185" t="s">
        <v>11197</v>
      </c>
      <c r="E2104" s="184" t="s">
        <v>35</v>
      </c>
      <c r="F2104" s="184" t="s">
        <v>97</v>
      </c>
      <c r="G2104" s="184" t="s">
        <v>225</v>
      </c>
      <c r="H2104" s="184" t="s">
        <v>225</v>
      </c>
      <c r="I2104" s="184" t="s">
        <v>114</v>
      </c>
      <c r="J2104" s="185" t="s">
        <v>25</v>
      </c>
      <c r="K2104" s="185" t="s">
        <v>9005</v>
      </c>
      <c r="L2104" s="184" t="s">
        <v>4151</v>
      </c>
      <c r="M2104" s="184" t="s">
        <v>276</v>
      </c>
      <c r="N2104" s="185" t="s">
        <v>276</v>
      </c>
      <c r="O2104" s="185" t="s">
        <v>276</v>
      </c>
      <c r="P2104" s="185" t="s">
        <v>239</v>
      </c>
      <c r="Q2104" s="187" t="s">
        <v>276</v>
      </c>
      <c r="R2104" s="187" t="s">
        <v>686</v>
      </c>
      <c r="S2104" s="185" t="s">
        <v>276</v>
      </c>
      <c r="T2104" s="185" t="s">
        <v>276</v>
      </c>
      <c r="U2104" s="185">
        <v>2</v>
      </c>
      <c r="V2104" s="184" t="s">
        <v>14</v>
      </c>
      <c r="W2104" s="184" t="s">
        <v>98</v>
      </c>
      <c r="X2104" s="185" t="s">
        <v>207</v>
      </c>
      <c r="Y2104" s="189">
        <v>39164</v>
      </c>
      <c r="Z2104" s="324">
        <v>19943</v>
      </c>
      <c r="AA2104" s="185" t="s">
        <v>276</v>
      </c>
      <c r="AB2104" s="185" t="s">
        <v>276</v>
      </c>
      <c r="AC2104" s="184">
        <v>4</v>
      </c>
      <c r="AD2104" s="185" t="s">
        <v>9002</v>
      </c>
      <c r="AE2104" s="184" t="s">
        <v>276</v>
      </c>
      <c r="AF2104" s="185" t="s">
        <v>9002</v>
      </c>
      <c r="AG2104" s="185" t="s">
        <v>11198</v>
      </c>
      <c r="AH2104" s="185" t="s">
        <v>11181</v>
      </c>
      <c r="AI2104" s="188">
        <f>158+52+124-123</f>
        <v>211</v>
      </c>
      <c r="AJ2104" s="188">
        <f>68+80+61-117</f>
        <v>92</v>
      </c>
      <c r="AK2104" s="188">
        <v>39164</v>
      </c>
      <c r="AL2104" s="324">
        <f t="shared" si="597"/>
        <v>39802</v>
      </c>
      <c r="AM2104" s="188" t="s">
        <v>4787</v>
      </c>
      <c r="AN2104" s="184" t="s">
        <v>276</v>
      </c>
      <c r="AO2104" s="192">
        <f t="shared" si="594"/>
        <v>53.876008579307531</v>
      </c>
      <c r="AP2104" s="184" t="s">
        <v>276</v>
      </c>
      <c r="AQ2104" s="184" t="s">
        <v>276</v>
      </c>
      <c r="AR2104" s="184" t="s">
        <v>276</v>
      </c>
      <c r="AS2104" s="192">
        <f t="shared" si="595"/>
        <v>23.114416360986883</v>
      </c>
      <c r="AT2104" s="184" t="s">
        <v>276</v>
      </c>
      <c r="AU2104" s="184" t="s">
        <v>276</v>
      </c>
      <c r="AV2104" s="184" t="s">
        <v>268</v>
      </c>
      <c r="AW2104" s="303" t="s">
        <v>276</v>
      </c>
      <c r="AX2104" s="303">
        <f t="shared" si="596"/>
        <v>2.3308401016017375</v>
      </c>
      <c r="AY2104" s="185" t="s">
        <v>276</v>
      </c>
      <c r="AZ2104" s="185" t="s">
        <v>276</v>
      </c>
      <c r="BA2104" s="185" t="s">
        <v>276</v>
      </c>
      <c r="BB2104" s="185" t="s">
        <v>282</v>
      </c>
      <c r="BC2104" s="185" t="s">
        <v>98</v>
      </c>
      <c r="BD2104" s="185" t="s">
        <v>98</v>
      </c>
      <c r="BE2104" s="185" t="s">
        <v>98</v>
      </c>
      <c r="BF2104" s="185" t="s">
        <v>1010</v>
      </c>
      <c r="BG2104" s="185" t="s">
        <v>11190</v>
      </c>
      <c r="BH2104" s="9" t="s">
        <v>100</v>
      </c>
      <c r="BI2104" s="9" t="s">
        <v>100</v>
      </c>
      <c r="BJ2104" s="193"/>
      <c r="BN2104" s="193"/>
      <c r="BO2104" s="193"/>
    </row>
    <row r="2105" spans="1:67" s="183" customFormat="1" ht="143" hidden="1" x14ac:dyDescent="0.35">
      <c r="A2105" s="175">
        <v>4370</v>
      </c>
      <c r="B2105" s="175" t="s">
        <v>8991</v>
      </c>
      <c r="C2105" s="176" t="s">
        <v>61</v>
      </c>
      <c r="D2105" s="176" t="s">
        <v>11199</v>
      </c>
      <c r="E2105" s="175" t="s">
        <v>35</v>
      </c>
      <c r="F2105" s="175" t="s">
        <v>97</v>
      </c>
      <c r="G2105" s="175" t="s">
        <v>225</v>
      </c>
      <c r="H2105" s="175" t="s">
        <v>225</v>
      </c>
      <c r="I2105" s="175" t="s">
        <v>114</v>
      </c>
      <c r="J2105" s="176" t="s">
        <v>25</v>
      </c>
      <c r="K2105" s="176" t="s">
        <v>7801</v>
      </c>
      <c r="L2105" s="175" t="s">
        <v>4151</v>
      </c>
      <c r="M2105" s="175" t="s">
        <v>276</v>
      </c>
      <c r="N2105" s="176" t="s">
        <v>276</v>
      </c>
      <c r="O2105" s="176" t="s">
        <v>276</v>
      </c>
      <c r="P2105" s="176" t="s">
        <v>239</v>
      </c>
      <c r="Q2105" s="178" t="s">
        <v>276</v>
      </c>
      <c r="R2105" s="178" t="s">
        <v>721</v>
      </c>
      <c r="S2105" s="176" t="s">
        <v>276</v>
      </c>
      <c r="T2105" s="176" t="s">
        <v>276</v>
      </c>
      <c r="U2105" s="176">
        <v>2</v>
      </c>
      <c r="V2105" s="175" t="s">
        <v>14</v>
      </c>
      <c r="W2105" s="175" t="s">
        <v>98</v>
      </c>
      <c r="X2105" s="176" t="s">
        <v>207</v>
      </c>
      <c r="Y2105" s="180">
        <v>39164</v>
      </c>
      <c r="Z2105" s="317">
        <v>19943</v>
      </c>
      <c r="AA2105" s="176" t="s">
        <v>276</v>
      </c>
      <c r="AB2105" s="176" t="s">
        <v>276</v>
      </c>
      <c r="AC2105" s="175">
        <v>4</v>
      </c>
      <c r="AD2105" s="176" t="s">
        <v>9002</v>
      </c>
      <c r="AE2105" s="175" t="s">
        <v>276</v>
      </c>
      <c r="AF2105" s="176" t="s">
        <v>9002</v>
      </c>
      <c r="AG2105" s="176" t="s">
        <v>11200</v>
      </c>
      <c r="AH2105" s="176" t="s">
        <v>11181</v>
      </c>
      <c r="AI2105" s="179">
        <f>54+29+40+15</f>
        <v>138</v>
      </c>
      <c r="AJ2105" s="179">
        <f>36+39+42+28</f>
        <v>145</v>
      </c>
      <c r="AK2105" s="179">
        <v>39164</v>
      </c>
      <c r="AL2105" s="317">
        <f t="shared" si="597"/>
        <v>39802</v>
      </c>
      <c r="AM2105" s="179" t="s">
        <v>4787</v>
      </c>
      <c r="AN2105" s="175" t="s">
        <v>276</v>
      </c>
      <c r="AO2105" s="181">
        <f t="shared" si="594"/>
        <v>35.236441630068427</v>
      </c>
      <c r="AP2105" s="175" t="s">
        <v>276</v>
      </c>
      <c r="AQ2105" s="175" t="s">
        <v>276</v>
      </c>
      <c r="AR2105" s="175" t="s">
        <v>276</v>
      </c>
      <c r="AS2105" s="181">
        <f t="shared" si="595"/>
        <v>36.430330134164109</v>
      </c>
      <c r="AT2105" s="175" t="s">
        <v>276</v>
      </c>
      <c r="AU2105" s="175" t="s">
        <v>276</v>
      </c>
      <c r="AV2105" s="175" t="s">
        <v>268</v>
      </c>
      <c r="AW2105" s="305" t="s">
        <v>276</v>
      </c>
      <c r="AX2105" s="305">
        <f t="shared" si="596"/>
        <v>0.96722817224826463</v>
      </c>
      <c r="AY2105" s="176" t="s">
        <v>276</v>
      </c>
      <c r="AZ2105" s="176" t="s">
        <v>276</v>
      </c>
      <c r="BA2105" s="176" t="s">
        <v>276</v>
      </c>
      <c r="BB2105" s="176" t="s">
        <v>282</v>
      </c>
      <c r="BC2105" s="176" t="s">
        <v>98</v>
      </c>
      <c r="BD2105" s="176" t="s">
        <v>98</v>
      </c>
      <c r="BE2105" s="176" t="s">
        <v>98</v>
      </c>
      <c r="BF2105" s="176" t="s">
        <v>1010</v>
      </c>
      <c r="BG2105" s="176" t="s">
        <v>11187</v>
      </c>
      <c r="BH2105" s="9" t="s">
        <v>100</v>
      </c>
      <c r="BI2105" s="9" t="s">
        <v>100</v>
      </c>
      <c r="BJ2105" s="182"/>
      <c r="BN2105" s="182"/>
      <c r="BO2105" s="182"/>
    </row>
    <row r="2106" spans="1:67" s="183" customFormat="1" ht="156" hidden="1" x14ac:dyDescent="0.35">
      <c r="A2106" s="175">
        <v>4370</v>
      </c>
      <c r="B2106" s="175" t="s">
        <v>8991</v>
      </c>
      <c r="C2106" s="176" t="s">
        <v>61</v>
      </c>
      <c r="D2106" s="176" t="s">
        <v>11201</v>
      </c>
      <c r="E2106" s="175" t="s">
        <v>35</v>
      </c>
      <c r="F2106" s="175" t="s">
        <v>97</v>
      </c>
      <c r="G2106" s="175" t="s">
        <v>225</v>
      </c>
      <c r="H2106" s="175" t="s">
        <v>225</v>
      </c>
      <c r="I2106" s="175" t="s">
        <v>114</v>
      </c>
      <c r="J2106" s="176" t="s">
        <v>25</v>
      </c>
      <c r="K2106" s="176" t="s">
        <v>9005</v>
      </c>
      <c r="L2106" s="175" t="s">
        <v>4151</v>
      </c>
      <c r="M2106" s="175" t="s">
        <v>276</v>
      </c>
      <c r="N2106" s="176" t="s">
        <v>276</v>
      </c>
      <c r="O2106" s="176" t="s">
        <v>276</v>
      </c>
      <c r="P2106" s="176" t="s">
        <v>239</v>
      </c>
      <c r="Q2106" s="178" t="s">
        <v>276</v>
      </c>
      <c r="R2106" s="178" t="s">
        <v>721</v>
      </c>
      <c r="S2106" s="176" t="s">
        <v>276</v>
      </c>
      <c r="T2106" s="176" t="s">
        <v>276</v>
      </c>
      <c r="U2106" s="176">
        <v>2</v>
      </c>
      <c r="V2106" s="175" t="s">
        <v>14</v>
      </c>
      <c r="W2106" s="175" t="s">
        <v>98</v>
      </c>
      <c r="X2106" s="176" t="s">
        <v>207</v>
      </c>
      <c r="Y2106" s="180">
        <v>39164</v>
      </c>
      <c r="Z2106" s="317">
        <v>19943</v>
      </c>
      <c r="AA2106" s="176" t="s">
        <v>276</v>
      </c>
      <c r="AB2106" s="176" t="s">
        <v>276</v>
      </c>
      <c r="AC2106" s="175">
        <v>4</v>
      </c>
      <c r="AD2106" s="176" t="s">
        <v>9002</v>
      </c>
      <c r="AE2106" s="175" t="s">
        <v>276</v>
      </c>
      <c r="AF2106" s="176" t="s">
        <v>9002</v>
      </c>
      <c r="AG2106" s="176" t="s">
        <v>11202</v>
      </c>
      <c r="AH2106" s="176" t="s">
        <v>11181</v>
      </c>
      <c r="AI2106" s="179">
        <f>158+52+124+31-138</f>
        <v>227</v>
      </c>
      <c r="AJ2106" s="179">
        <f>68+80+61+43-145</f>
        <v>107</v>
      </c>
      <c r="AK2106" s="179">
        <v>39164</v>
      </c>
      <c r="AL2106" s="317">
        <f t="shared" si="597"/>
        <v>39802</v>
      </c>
      <c r="AM2106" s="179" t="s">
        <v>4787</v>
      </c>
      <c r="AN2106" s="175" t="s">
        <v>276</v>
      </c>
      <c r="AO2106" s="181">
        <f t="shared" si="594"/>
        <v>57.961393116127056</v>
      </c>
      <c r="AP2106" s="175" t="s">
        <v>276</v>
      </c>
      <c r="AQ2106" s="175" t="s">
        <v>276</v>
      </c>
      <c r="AR2106" s="175" t="s">
        <v>276</v>
      </c>
      <c r="AS2106" s="181">
        <f t="shared" si="595"/>
        <v>26.88307120245214</v>
      </c>
      <c r="AT2106" s="175" t="s">
        <v>276</v>
      </c>
      <c r="AU2106" s="175" t="s">
        <v>276</v>
      </c>
      <c r="AV2106" s="175" t="s">
        <v>268</v>
      </c>
      <c r="AW2106" s="305" t="s">
        <v>276</v>
      </c>
      <c r="AX2106" s="305">
        <f t="shared" si="596"/>
        <v>2.1560554848673728</v>
      </c>
      <c r="AY2106" s="176" t="s">
        <v>276</v>
      </c>
      <c r="AZ2106" s="176" t="s">
        <v>276</v>
      </c>
      <c r="BA2106" s="176" t="s">
        <v>276</v>
      </c>
      <c r="BB2106" s="176" t="s">
        <v>282</v>
      </c>
      <c r="BC2106" s="176" t="s">
        <v>98</v>
      </c>
      <c r="BD2106" s="176" t="s">
        <v>98</v>
      </c>
      <c r="BE2106" s="176" t="s">
        <v>98</v>
      </c>
      <c r="BF2106" s="176" t="s">
        <v>1010</v>
      </c>
      <c r="BG2106" s="176" t="s">
        <v>11190</v>
      </c>
      <c r="BH2106" s="9" t="s">
        <v>100</v>
      </c>
      <c r="BI2106" s="9" t="s">
        <v>100</v>
      </c>
      <c r="BJ2106" s="182"/>
      <c r="BN2106" s="182"/>
      <c r="BO2106" s="182"/>
    </row>
    <row r="2107" spans="1:67" s="137" customFormat="1" ht="104" hidden="1" x14ac:dyDescent="0.35">
      <c r="A2107" s="126">
        <v>4368</v>
      </c>
      <c r="B2107" s="126" t="s">
        <v>8896</v>
      </c>
      <c r="C2107" s="127" t="s">
        <v>61</v>
      </c>
      <c r="D2107" s="127" t="s">
        <v>11203</v>
      </c>
      <c r="E2107" s="126" t="s">
        <v>35</v>
      </c>
      <c r="F2107" s="126" t="s">
        <v>97</v>
      </c>
      <c r="G2107" s="126" t="s">
        <v>225</v>
      </c>
      <c r="H2107" s="126" t="s">
        <v>125</v>
      </c>
      <c r="I2107" s="126" t="s">
        <v>113</v>
      </c>
      <c r="J2107" s="127" t="s">
        <v>25</v>
      </c>
      <c r="K2107" s="126" t="s">
        <v>1499</v>
      </c>
      <c r="L2107" s="126" t="s">
        <v>4151</v>
      </c>
      <c r="M2107" s="126" t="s">
        <v>300</v>
      </c>
      <c r="N2107" s="127" t="s">
        <v>9006</v>
      </c>
      <c r="O2107" s="127" t="s">
        <v>276</v>
      </c>
      <c r="P2107" s="127" t="s">
        <v>239</v>
      </c>
      <c r="Q2107" s="146">
        <v>31777</v>
      </c>
      <c r="R2107" s="127" t="s">
        <v>276</v>
      </c>
      <c r="S2107" s="127" t="s">
        <v>276</v>
      </c>
      <c r="T2107" s="127" t="s">
        <v>276</v>
      </c>
      <c r="U2107" s="127">
        <v>2</v>
      </c>
      <c r="V2107" s="126" t="s">
        <v>14</v>
      </c>
      <c r="W2107" s="126" t="s">
        <v>98</v>
      </c>
      <c r="X2107" s="127" t="s">
        <v>207</v>
      </c>
      <c r="Y2107" s="132">
        <v>39164</v>
      </c>
      <c r="Z2107" s="127">
        <v>19943</v>
      </c>
      <c r="AA2107" s="127" t="s">
        <v>276</v>
      </c>
      <c r="AB2107" s="127" t="s">
        <v>276</v>
      </c>
      <c r="AC2107" s="126" t="s">
        <v>276</v>
      </c>
      <c r="AD2107" s="126" t="s">
        <v>968</v>
      </c>
      <c r="AE2107" s="126" t="s">
        <v>276</v>
      </c>
      <c r="AF2107" s="126" t="s">
        <v>968</v>
      </c>
      <c r="AG2107" s="127" t="s">
        <v>11204</v>
      </c>
      <c r="AH2107" s="127" t="s">
        <v>11181</v>
      </c>
      <c r="AI2107" s="134">
        <v>224</v>
      </c>
      <c r="AJ2107" s="134">
        <v>183</v>
      </c>
      <c r="AK2107" s="134">
        <v>39164</v>
      </c>
      <c r="AL2107" s="133">
        <f t="shared" si="597"/>
        <v>39802</v>
      </c>
      <c r="AM2107" s="134" t="s">
        <v>4787</v>
      </c>
      <c r="AN2107" s="126" t="s">
        <v>276</v>
      </c>
      <c r="AO2107" s="135">
        <f t="shared" si="594"/>
        <v>57.195383515473395</v>
      </c>
      <c r="AP2107" s="126" t="s">
        <v>276</v>
      </c>
      <c r="AQ2107" s="126" t="s">
        <v>276</v>
      </c>
      <c r="AR2107" s="126" t="s">
        <v>276</v>
      </c>
      <c r="AS2107" s="135">
        <f t="shared" si="595"/>
        <v>45.977589065876089</v>
      </c>
      <c r="AT2107" s="126" t="s">
        <v>276</v>
      </c>
      <c r="AU2107" s="126" t="s">
        <v>276</v>
      </c>
      <c r="AV2107" s="126" t="s">
        <v>268</v>
      </c>
      <c r="AW2107" s="234" t="s">
        <v>276</v>
      </c>
      <c r="AX2107" s="234">
        <f t="shared" si="596"/>
        <v>1.2439839643075803</v>
      </c>
      <c r="AY2107" s="127" t="s">
        <v>276</v>
      </c>
      <c r="AZ2107" s="127" t="s">
        <v>276</v>
      </c>
      <c r="BA2107" s="127" t="s">
        <v>276</v>
      </c>
      <c r="BB2107" s="127" t="s">
        <v>282</v>
      </c>
      <c r="BC2107" s="127" t="s">
        <v>98</v>
      </c>
      <c r="BD2107" s="127" t="s">
        <v>98</v>
      </c>
      <c r="BE2107" s="127" t="s">
        <v>98</v>
      </c>
      <c r="BF2107" s="127" t="s">
        <v>1029</v>
      </c>
      <c r="BG2107" s="127" t="s">
        <v>11182</v>
      </c>
      <c r="BH2107" s="9" t="s">
        <v>100</v>
      </c>
      <c r="BI2107" s="9" t="s">
        <v>100</v>
      </c>
      <c r="BJ2107" s="136"/>
      <c r="BN2107" s="136"/>
      <c r="BO2107" s="136"/>
    </row>
    <row r="2108" spans="1:67" s="137" customFormat="1" ht="104" hidden="1" x14ac:dyDescent="0.35">
      <c r="A2108" s="126">
        <v>4368</v>
      </c>
      <c r="B2108" s="126" t="s">
        <v>8896</v>
      </c>
      <c r="C2108" s="127" t="s">
        <v>61</v>
      </c>
      <c r="D2108" s="127" t="s">
        <v>11205</v>
      </c>
      <c r="E2108" s="126" t="s">
        <v>35</v>
      </c>
      <c r="F2108" s="126" t="s">
        <v>97</v>
      </c>
      <c r="G2108" s="126" t="s">
        <v>225</v>
      </c>
      <c r="H2108" s="126" t="s">
        <v>125</v>
      </c>
      <c r="I2108" s="126" t="s">
        <v>113</v>
      </c>
      <c r="J2108" s="127" t="s">
        <v>25</v>
      </c>
      <c r="K2108" s="126" t="s">
        <v>1510</v>
      </c>
      <c r="L2108" s="126" t="s">
        <v>4151</v>
      </c>
      <c r="M2108" s="126" t="s">
        <v>300</v>
      </c>
      <c r="N2108" s="127" t="s">
        <v>9006</v>
      </c>
      <c r="O2108" s="127" t="s">
        <v>276</v>
      </c>
      <c r="P2108" s="127" t="s">
        <v>239</v>
      </c>
      <c r="Q2108" s="146">
        <v>31777</v>
      </c>
      <c r="R2108" s="127" t="s">
        <v>276</v>
      </c>
      <c r="S2108" s="127" t="s">
        <v>276</v>
      </c>
      <c r="T2108" s="127" t="s">
        <v>276</v>
      </c>
      <c r="U2108" s="127">
        <v>2</v>
      </c>
      <c r="V2108" s="126" t="s">
        <v>14</v>
      </c>
      <c r="W2108" s="126" t="s">
        <v>98</v>
      </c>
      <c r="X2108" s="127" t="s">
        <v>207</v>
      </c>
      <c r="Y2108" s="132">
        <v>39164</v>
      </c>
      <c r="Z2108" s="127">
        <v>19943</v>
      </c>
      <c r="AA2108" s="127" t="s">
        <v>276</v>
      </c>
      <c r="AB2108" s="127" t="s">
        <v>276</v>
      </c>
      <c r="AC2108" s="126" t="s">
        <v>276</v>
      </c>
      <c r="AD2108" s="126" t="s">
        <v>968</v>
      </c>
      <c r="AE2108" s="126" t="s">
        <v>276</v>
      </c>
      <c r="AF2108" s="126" t="s">
        <v>968</v>
      </c>
      <c r="AG2108" s="127" t="s">
        <v>11206</v>
      </c>
      <c r="AH2108" s="127" t="s">
        <v>11181</v>
      </c>
      <c r="AI2108" s="134">
        <v>139</v>
      </c>
      <c r="AJ2108" s="134">
        <v>171</v>
      </c>
      <c r="AK2108" s="134">
        <v>39164</v>
      </c>
      <c r="AL2108" s="133">
        <f t="shared" si="597"/>
        <v>39802</v>
      </c>
      <c r="AM2108" s="134" t="s">
        <v>4787</v>
      </c>
      <c r="AN2108" s="126" t="s">
        <v>276</v>
      </c>
      <c r="AO2108" s="135">
        <f t="shared" si="594"/>
        <v>35.491778163619649</v>
      </c>
      <c r="AP2108" s="126" t="s">
        <v>276</v>
      </c>
      <c r="AQ2108" s="126" t="s">
        <v>276</v>
      </c>
      <c r="AR2108" s="126" t="s">
        <v>276</v>
      </c>
      <c r="AS2108" s="135">
        <f t="shared" si="595"/>
        <v>42.962665192703881</v>
      </c>
      <c r="AT2108" s="126" t="s">
        <v>276</v>
      </c>
      <c r="AU2108" s="126" t="s">
        <v>276</v>
      </c>
      <c r="AV2108" s="126" t="s">
        <v>268</v>
      </c>
      <c r="AW2108" s="234" t="s">
        <v>276</v>
      </c>
      <c r="AX2108" s="234">
        <f t="shared" si="596"/>
        <v>0.82610745875344405</v>
      </c>
      <c r="AY2108" s="127" t="s">
        <v>276</v>
      </c>
      <c r="AZ2108" s="127" t="s">
        <v>276</v>
      </c>
      <c r="BA2108" s="127" t="s">
        <v>276</v>
      </c>
      <c r="BB2108" s="127" t="s">
        <v>282</v>
      </c>
      <c r="BC2108" s="127" t="s">
        <v>98</v>
      </c>
      <c r="BD2108" s="127" t="s">
        <v>98</v>
      </c>
      <c r="BE2108" s="127" t="s">
        <v>98</v>
      </c>
      <c r="BF2108" s="127" t="s">
        <v>1029</v>
      </c>
      <c r="BG2108" s="127" t="s">
        <v>11182</v>
      </c>
      <c r="BH2108" s="9" t="s">
        <v>100</v>
      </c>
      <c r="BI2108" s="9" t="s">
        <v>100</v>
      </c>
      <c r="BJ2108" s="136"/>
      <c r="BN2108" s="136"/>
      <c r="BO2108" s="136"/>
    </row>
    <row r="2109" spans="1:67" s="137" customFormat="1" ht="104" hidden="1" x14ac:dyDescent="0.35">
      <c r="A2109" s="126">
        <v>4368</v>
      </c>
      <c r="B2109" s="126" t="s">
        <v>8896</v>
      </c>
      <c r="C2109" s="127" t="s">
        <v>61</v>
      </c>
      <c r="D2109" s="127" t="s">
        <v>11207</v>
      </c>
      <c r="E2109" s="126" t="s">
        <v>35</v>
      </c>
      <c r="F2109" s="126" t="s">
        <v>97</v>
      </c>
      <c r="G2109" s="126" t="s">
        <v>225</v>
      </c>
      <c r="H2109" s="126" t="s">
        <v>125</v>
      </c>
      <c r="I2109" s="126" t="s">
        <v>113</v>
      </c>
      <c r="J2109" s="127" t="s">
        <v>25</v>
      </c>
      <c r="K2109" s="126" t="s">
        <v>1519</v>
      </c>
      <c r="L2109" s="126" t="s">
        <v>4151</v>
      </c>
      <c r="M2109" s="126" t="s">
        <v>300</v>
      </c>
      <c r="N2109" s="127" t="s">
        <v>9006</v>
      </c>
      <c r="O2109" s="127" t="s">
        <v>276</v>
      </c>
      <c r="P2109" s="127" t="s">
        <v>239</v>
      </c>
      <c r="Q2109" s="146">
        <v>31777</v>
      </c>
      <c r="R2109" s="127" t="s">
        <v>276</v>
      </c>
      <c r="S2109" s="127" t="s">
        <v>276</v>
      </c>
      <c r="T2109" s="127" t="s">
        <v>276</v>
      </c>
      <c r="U2109" s="127">
        <v>2</v>
      </c>
      <c r="V2109" s="126" t="s">
        <v>14</v>
      </c>
      <c r="W2109" s="126" t="s">
        <v>98</v>
      </c>
      <c r="X2109" s="127" t="s">
        <v>207</v>
      </c>
      <c r="Y2109" s="132">
        <v>39164</v>
      </c>
      <c r="Z2109" s="127">
        <v>19943</v>
      </c>
      <c r="AA2109" s="127" t="s">
        <v>276</v>
      </c>
      <c r="AB2109" s="127" t="s">
        <v>276</v>
      </c>
      <c r="AC2109" s="126" t="s">
        <v>276</v>
      </c>
      <c r="AD2109" s="126" t="s">
        <v>968</v>
      </c>
      <c r="AE2109" s="126" t="s">
        <v>276</v>
      </c>
      <c r="AF2109" s="126" t="s">
        <v>968</v>
      </c>
      <c r="AG2109" s="127" t="s">
        <v>11208</v>
      </c>
      <c r="AH2109" s="127" t="s">
        <v>11181</v>
      </c>
      <c r="AI2109" s="134">
        <v>34</v>
      </c>
      <c r="AJ2109" s="134">
        <v>39</v>
      </c>
      <c r="AK2109" s="134">
        <v>39164</v>
      </c>
      <c r="AL2109" s="133">
        <f t="shared" si="597"/>
        <v>39802</v>
      </c>
      <c r="AM2109" s="134" t="s">
        <v>4787</v>
      </c>
      <c r="AN2109" s="126" t="s">
        <v>276</v>
      </c>
      <c r="AO2109" s="135">
        <f t="shared" si="594"/>
        <v>8.6814421407414972</v>
      </c>
      <c r="AP2109" s="126" t="s">
        <v>276</v>
      </c>
      <c r="AQ2109" s="126" t="s">
        <v>276</v>
      </c>
      <c r="AR2109" s="126" t="s">
        <v>276</v>
      </c>
      <c r="AS2109" s="135">
        <f t="shared" si="595"/>
        <v>9.7985025878096579</v>
      </c>
      <c r="AT2109" s="126" t="s">
        <v>276</v>
      </c>
      <c r="AU2109" s="126" t="s">
        <v>276</v>
      </c>
      <c r="AV2109" s="126" t="s">
        <v>268</v>
      </c>
      <c r="AW2109" s="234" t="s">
        <v>276</v>
      </c>
      <c r="AX2109" s="234">
        <f t="shared" si="596"/>
        <v>0.88599682073280273</v>
      </c>
      <c r="AY2109" s="127" t="s">
        <v>276</v>
      </c>
      <c r="AZ2109" s="127" t="s">
        <v>276</v>
      </c>
      <c r="BA2109" s="127" t="s">
        <v>276</v>
      </c>
      <c r="BB2109" s="127" t="s">
        <v>282</v>
      </c>
      <c r="BC2109" s="127" t="s">
        <v>98</v>
      </c>
      <c r="BD2109" s="127" t="s">
        <v>98</v>
      </c>
      <c r="BE2109" s="127" t="s">
        <v>98</v>
      </c>
      <c r="BF2109" s="127" t="s">
        <v>1029</v>
      </c>
      <c r="BG2109" s="127" t="s">
        <v>11182</v>
      </c>
      <c r="BH2109" s="9" t="s">
        <v>100</v>
      </c>
      <c r="BI2109" s="9" t="s">
        <v>100</v>
      </c>
      <c r="BJ2109" s="136"/>
      <c r="BN2109" s="136"/>
      <c r="BO2109" s="136"/>
    </row>
    <row r="2110" spans="1:67" s="137" customFormat="1" ht="104" hidden="1" x14ac:dyDescent="0.35">
      <c r="A2110" s="126">
        <v>4368</v>
      </c>
      <c r="B2110" s="126" t="s">
        <v>8896</v>
      </c>
      <c r="C2110" s="127" t="s">
        <v>61</v>
      </c>
      <c r="D2110" s="127" t="s">
        <v>11209</v>
      </c>
      <c r="E2110" s="126" t="s">
        <v>35</v>
      </c>
      <c r="F2110" s="126" t="s">
        <v>97</v>
      </c>
      <c r="G2110" s="126" t="s">
        <v>225</v>
      </c>
      <c r="H2110" s="126" t="s">
        <v>125</v>
      </c>
      <c r="I2110" s="126" t="s">
        <v>113</v>
      </c>
      <c r="J2110" s="127" t="s">
        <v>25</v>
      </c>
      <c r="K2110" s="126" t="s">
        <v>7801</v>
      </c>
      <c r="L2110" s="126" t="s">
        <v>4151</v>
      </c>
      <c r="M2110" s="126" t="s">
        <v>300</v>
      </c>
      <c r="N2110" s="127" t="s">
        <v>9006</v>
      </c>
      <c r="O2110" s="127" t="s">
        <v>276</v>
      </c>
      <c r="P2110" s="127" t="s">
        <v>239</v>
      </c>
      <c r="Q2110" s="146">
        <v>31777</v>
      </c>
      <c r="R2110" s="127" t="s">
        <v>276</v>
      </c>
      <c r="S2110" s="127" t="s">
        <v>276</v>
      </c>
      <c r="T2110" s="127" t="s">
        <v>276</v>
      </c>
      <c r="U2110" s="127">
        <v>2</v>
      </c>
      <c r="V2110" s="126" t="s">
        <v>14</v>
      </c>
      <c r="W2110" s="126" t="s">
        <v>98</v>
      </c>
      <c r="X2110" s="127" t="s">
        <v>207</v>
      </c>
      <c r="Y2110" s="132">
        <v>39164</v>
      </c>
      <c r="Z2110" s="127">
        <v>19943</v>
      </c>
      <c r="AA2110" s="127" t="s">
        <v>276</v>
      </c>
      <c r="AB2110" s="127" t="s">
        <v>276</v>
      </c>
      <c r="AC2110" s="126" t="s">
        <v>276</v>
      </c>
      <c r="AD2110" s="126" t="s">
        <v>968</v>
      </c>
      <c r="AE2110" s="126" t="s">
        <v>276</v>
      </c>
      <c r="AF2110" s="126" t="s">
        <v>968</v>
      </c>
      <c r="AG2110" s="127" t="s">
        <v>11210</v>
      </c>
      <c r="AH2110" s="127" t="s">
        <v>11181</v>
      </c>
      <c r="AI2110" s="134">
        <f>34+139</f>
        <v>173</v>
      </c>
      <c r="AJ2110" s="134">
        <f>39+171</f>
        <v>210</v>
      </c>
      <c r="AK2110" s="134">
        <v>39164</v>
      </c>
      <c r="AL2110" s="133">
        <f t="shared" si="597"/>
        <v>39802</v>
      </c>
      <c r="AM2110" s="134" t="s">
        <v>4787</v>
      </c>
      <c r="AN2110" s="126" t="s">
        <v>276</v>
      </c>
      <c r="AO2110" s="135">
        <f t="shared" si="594"/>
        <v>44.173220304361145</v>
      </c>
      <c r="AP2110" s="126" t="s">
        <v>276</v>
      </c>
      <c r="AQ2110" s="126" t="s">
        <v>276</v>
      </c>
      <c r="AR2110" s="126" t="s">
        <v>276</v>
      </c>
      <c r="AS2110" s="135">
        <f t="shared" si="595"/>
        <v>52.761167780513539</v>
      </c>
      <c r="AT2110" s="126" t="s">
        <v>276</v>
      </c>
      <c r="AU2110" s="126" t="s">
        <v>276</v>
      </c>
      <c r="AV2110" s="126" t="s">
        <v>268</v>
      </c>
      <c r="AW2110" s="234">
        <f>1-0.176</f>
        <v>0.82400000000000007</v>
      </c>
      <c r="AX2110" s="234">
        <f t="shared" si="596"/>
        <v>0.83722976883532496</v>
      </c>
      <c r="AY2110" s="127" t="s">
        <v>276</v>
      </c>
      <c r="AZ2110" s="127" t="s">
        <v>276</v>
      </c>
      <c r="BA2110" s="127" t="s">
        <v>276</v>
      </c>
      <c r="BB2110" s="127" t="s">
        <v>282</v>
      </c>
      <c r="BC2110" s="127" t="s">
        <v>98</v>
      </c>
      <c r="BD2110" s="127" t="s">
        <v>98</v>
      </c>
      <c r="BE2110" s="127" t="s">
        <v>98</v>
      </c>
      <c r="BF2110" s="127" t="s">
        <v>9007</v>
      </c>
      <c r="BG2110" s="127" t="s">
        <v>11182</v>
      </c>
      <c r="BH2110" s="9" t="s">
        <v>100</v>
      </c>
      <c r="BI2110" s="9" t="s">
        <v>100</v>
      </c>
      <c r="BJ2110" s="136"/>
      <c r="BN2110" s="136"/>
      <c r="BO2110" s="136"/>
    </row>
    <row r="2111" spans="1:67" s="137" customFormat="1" ht="104" hidden="1" x14ac:dyDescent="0.35">
      <c r="A2111" s="126">
        <v>4368</v>
      </c>
      <c r="B2111" s="126" t="s">
        <v>8896</v>
      </c>
      <c r="C2111" s="127" t="s">
        <v>61</v>
      </c>
      <c r="D2111" s="127" t="s">
        <v>11211</v>
      </c>
      <c r="E2111" s="126" t="s">
        <v>35</v>
      </c>
      <c r="F2111" s="126" t="s">
        <v>97</v>
      </c>
      <c r="G2111" s="126" t="s">
        <v>225</v>
      </c>
      <c r="H2111" s="126" t="s">
        <v>125</v>
      </c>
      <c r="I2111" s="126" t="s">
        <v>113</v>
      </c>
      <c r="J2111" s="127" t="s">
        <v>25</v>
      </c>
      <c r="K2111" s="126" t="s">
        <v>7801</v>
      </c>
      <c r="L2111" s="126" t="s">
        <v>4151</v>
      </c>
      <c r="M2111" s="126" t="s">
        <v>300</v>
      </c>
      <c r="N2111" s="127" t="s">
        <v>9006</v>
      </c>
      <c r="O2111" s="127" t="s">
        <v>276</v>
      </c>
      <c r="P2111" s="127" t="s">
        <v>235</v>
      </c>
      <c r="Q2111" s="146">
        <v>31777</v>
      </c>
      <c r="R2111" s="127" t="s">
        <v>276</v>
      </c>
      <c r="S2111" s="127" t="s">
        <v>276</v>
      </c>
      <c r="T2111" s="127" t="s">
        <v>276</v>
      </c>
      <c r="U2111" s="127">
        <v>2</v>
      </c>
      <c r="V2111" s="126" t="s">
        <v>14</v>
      </c>
      <c r="W2111" s="126" t="s">
        <v>98</v>
      </c>
      <c r="X2111" s="127" t="s">
        <v>207</v>
      </c>
      <c r="Y2111" s="132" t="s">
        <v>98</v>
      </c>
      <c r="Z2111" s="127" t="s">
        <v>98</v>
      </c>
      <c r="AA2111" s="127" t="s">
        <v>276</v>
      </c>
      <c r="AB2111" s="127" t="s">
        <v>276</v>
      </c>
      <c r="AC2111" s="126" t="s">
        <v>276</v>
      </c>
      <c r="AD2111" s="126" t="s">
        <v>968</v>
      </c>
      <c r="AE2111" s="126" t="s">
        <v>276</v>
      </c>
      <c r="AF2111" s="126" t="s">
        <v>968</v>
      </c>
      <c r="AG2111" s="127" t="s">
        <v>11210</v>
      </c>
      <c r="AH2111" s="127" t="s">
        <v>11212</v>
      </c>
      <c r="AI2111" s="134">
        <f>34+139</f>
        <v>173</v>
      </c>
      <c r="AJ2111" s="134">
        <f>39+171</f>
        <v>210</v>
      </c>
      <c r="AK2111" s="134">
        <f>428-31</f>
        <v>397</v>
      </c>
      <c r="AL2111" s="134">
        <f>439-46</f>
        <v>393</v>
      </c>
      <c r="AM2111" s="134" t="s">
        <v>292</v>
      </c>
      <c r="AN2111" s="126" t="s">
        <v>276</v>
      </c>
      <c r="AO2111" s="135">
        <f>AI2111*100/AK2111</f>
        <v>43.576826196473554</v>
      </c>
      <c r="AP2111" s="126" t="s">
        <v>276</v>
      </c>
      <c r="AQ2111" s="126" t="s">
        <v>276</v>
      </c>
      <c r="AR2111" s="126" t="s">
        <v>276</v>
      </c>
      <c r="AS2111" s="135">
        <f>AJ2111*100/AL2111</f>
        <v>53.435114503816791</v>
      </c>
      <c r="AT2111" s="126" t="s">
        <v>276</v>
      </c>
      <c r="AU2111" s="126" t="s">
        <v>276</v>
      </c>
      <c r="AV2111" s="126" t="s">
        <v>268</v>
      </c>
      <c r="AW2111" s="234" t="s">
        <v>276</v>
      </c>
      <c r="AX2111" s="234">
        <f t="shared" si="596"/>
        <v>0.81550917596257655</v>
      </c>
      <c r="AY2111" s="127" t="s">
        <v>276</v>
      </c>
      <c r="AZ2111" s="127" t="s">
        <v>276</v>
      </c>
      <c r="BA2111" s="127" t="s">
        <v>276</v>
      </c>
      <c r="BB2111" s="127" t="s">
        <v>282</v>
      </c>
      <c r="BC2111" s="127" t="s">
        <v>98</v>
      </c>
      <c r="BD2111" s="127" t="s">
        <v>98</v>
      </c>
      <c r="BE2111" s="127" t="s">
        <v>98</v>
      </c>
      <c r="BF2111" s="127" t="s">
        <v>9009</v>
      </c>
      <c r="BG2111" s="127" t="s">
        <v>11182</v>
      </c>
      <c r="BH2111" s="9" t="s">
        <v>100</v>
      </c>
      <c r="BI2111" s="9" t="s">
        <v>100</v>
      </c>
      <c r="BJ2111" s="136"/>
      <c r="BN2111" s="136"/>
      <c r="BO2111" s="136"/>
    </row>
    <row r="2112" spans="1:67" s="172" customFormat="1" ht="96.65" hidden="1" customHeight="1" x14ac:dyDescent="0.35">
      <c r="A2112" s="150">
        <v>4368</v>
      </c>
      <c r="B2112" s="150" t="s">
        <v>8896</v>
      </c>
      <c r="C2112" s="151" t="s">
        <v>61</v>
      </c>
      <c r="D2112" s="151" t="s">
        <v>11213</v>
      </c>
      <c r="E2112" s="150" t="s">
        <v>35</v>
      </c>
      <c r="F2112" s="150" t="s">
        <v>97</v>
      </c>
      <c r="G2112" s="150" t="s">
        <v>225</v>
      </c>
      <c r="H2112" s="150" t="s">
        <v>125</v>
      </c>
      <c r="I2112" s="150" t="s">
        <v>114</v>
      </c>
      <c r="J2112" s="151" t="s">
        <v>25</v>
      </c>
      <c r="K2112" s="150" t="s">
        <v>1499</v>
      </c>
      <c r="L2112" s="150" t="s">
        <v>4151</v>
      </c>
      <c r="M2112" s="150" t="s">
        <v>300</v>
      </c>
      <c r="N2112" s="151" t="s">
        <v>9006</v>
      </c>
      <c r="O2112" s="151" t="s">
        <v>276</v>
      </c>
      <c r="P2112" s="151" t="s">
        <v>239</v>
      </c>
      <c r="Q2112" s="154">
        <v>29951</v>
      </c>
      <c r="R2112" s="151" t="s">
        <v>276</v>
      </c>
      <c r="S2112" s="151" t="s">
        <v>276</v>
      </c>
      <c r="T2112" s="151" t="s">
        <v>276</v>
      </c>
      <c r="U2112" s="151">
        <v>1</v>
      </c>
      <c r="V2112" s="150" t="s">
        <v>14</v>
      </c>
      <c r="W2112" s="150" t="s">
        <v>98</v>
      </c>
      <c r="X2112" s="151" t="s">
        <v>207</v>
      </c>
      <c r="Y2112" s="155">
        <v>39164</v>
      </c>
      <c r="Z2112" s="151">
        <v>19943</v>
      </c>
      <c r="AA2112" s="151" t="s">
        <v>276</v>
      </c>
      <c r="AB2112" s="151" t="s">
        <v>276</v>
      </c>
      <c r="AC2112" s="150" t="s">
        <v>276</v>
      </c>
      <c r="AD2112" s="150" t="s">
        <v>968</v>
      </c>
      <c r="AE2112" s="150" t="s">
        <v>276</v>
      </c>
      <c r="AF2112" s="150" t="s">
        <v>968</v>
      </c>
      <c r="AG2112" s="151" t="s">
        <v>11214</v>
      </c>
      <c r="AH2112" s="151" t="s">
        <v>11181</v>
      </c>
      <c r="AI2112" s="156">
        <v>20</v>
      </c>
      <c r="AJ2112" s="156">
        <v>4</v>
      </c>
      <c r="AK2112" s="156">
        <v>39164</v>
      </c>
      <c r="AL2112" s="497">
        <f t="shared" si="597"/>
        <v>39802</v>
      </c>
      <c r="AM2112" s="156" t="s">
        <v>4787</v>
      </c>
      <c r="AN2112" s="150" t="s">
        <v>276</v>
      </c>
      <c r="AO2112" s="159">
        <f t="shared" ref="AO2112:AO2131" si="598">AI2112*10000/AK2112</f>
        <v>5.10673067102441</v>
      </c>
      <c r="AP2112" s="150" t="s">
        <v>276</v>
      </c>
      <c r="AQ2112" s="150" t="s">
        <v>276</v>
      </c>
      <c r="AR2112" s="150" t="s">
        <v>276</v>
      </c>
      <c r="AS2112" s="159">
        <f t="shared" ref="AS2112:AS2131" si="599">AJ2112*10000/AL2112</f>
        <v>1.004974624390734</v>
      </c>
      <c r="AT2112" s="150" t="s">
        <v>276</v>
      </c>
      <c r="AU2112" s="150" t="s">
        <v>276</v>
      </c>
      <c r="AV2112" s="150" t="s">
        <v>268</v>
      </c>
      <c r="AW2112" s="235" t="s">
        <v>276</v>
      </c>
      <c r="AX2112" s="235">
        <f t="shared" si="596"/>
        <v>5.08145235420284</v>
      </c>
      <c r="AY2112" s="151" t="s">
        <v>276</v>
      </c>
      <c r="AZ2112" s="151" t="s">
        <v>276</v>
      </c>
      <c r="BA2112" s="151" t="s">
        <v>276</v>
      </c>
      <c r="BB2112" s="151" t="s">
        <v>282</v>
      </c>
      <c r="BC2112" s="151" t="s">
        <v>98</v>
      </c>
      <c r="BD2112" s="151" t="s">
        <v>98</v>
      </c>
      <c r="BE2112" s="151" t="s">
        <v>98</v>
      </c>
      <c r="BF2112" s="151" t="s">
        <v>1029</v>
      </c>
      <c r="BG2112" s="151" t="s">
        <v>11182</v>
      </c>
      <c r="BH2112" s="9" t="s">
        <v>100</v>
      </c>
      <c r="BI2112" s="9" t="s">
        <v>100</v>
      </c>
      <c r="BJ2112" s="171"/>
      <c r="BN2112" s="171"/>
      <c r="BO2112" s="171"/>
    </row>
    <row r="2113" spans="1:67" s="172" customFormat="1" ht="68.5" hidden="1" customHeight="1" x14ac:dyDescent="0.35">
      <c r="A2113" s="150">
        <v>4368</v>
      </c>
      <c r="B2113" s="150" t="s">
        <v>8896</v>
      </c>
      <c r="C2113" s="151" t="s">
        <v>61</v>
      </c>
      <c r="D2113" s="151" t="s">
        <v>11215</v>
      </c>
      <c r="E2113" s="150" t="s">
        <v>35</v>
      </c>
      <c r="F2113" s="150" t="s">
        <v>97</v>
      </c>
      <c r="G2113" s="150" t="s">
        <v>225</v>
      </c>
      <c r="H2113" s="150" t="s">
        <v>125</v>
      </c>
      <c r="I2113" s="150" t="s">
        <v>114</v>
      </c>
      <c r="J2113" s="151" t="s">
        <v>25</v>
      </c>
      <c r="K2113" s="150" t="s">
        <v>1510</v>
      </c>
      <c r="L2113" s="150" t="s">
        <v>4151</v>
      </c>
      <c r="M2113" s="150" t="s">
        <v>300</v>
      </c>
      <c r="N2113" s="151" t="s">
        <v>9006</v>
      </c>
      <c r="O2113" s="151" t="s">
        <v>276</v>
      </c>
      <c r="P2113" s="151" t="s">
        <v>239</v>
      </c>
      <c r="Q2113" s="154">
        <v>29951</v>
      </c>
      <c r="R2113" s="151" t="s">
        <v>276</v>
      </c>
      <c r="S2113" s="151" t="s">
        <v>276</v>
      </c>
      <c r="T2113" s="151" t="s">
        <v>276</v>
      </c>
      <c r="U2113" s="151">
        <v>1</v>
      </c>
      <c r="V2113" s="150" t="s">
        <v>14</v>
      </c>
      <c r="W2113" s="150" t="s">
        <v>98</v>
      </c>
      <c r="X2113" s="151" t="s">
        <v>207</v>
      </c>
      <c r="Y2113" s="155">
        <v>39164</v>
      </c>
      <c r="Z2113" s="151">
        <v>19943</v>
      </c>
      <c r="AA2113" s="151" t="s">
        <v>276</v>
      </c>
      <c r="AB2113" s="151" t="s">
        <v>276</v>
      </c>
      <c r="AC2113" s="150" t="s">
        <v>276</v>
      </c>
      <c r="AD2113" s="150" t="s">
        <v>968</v>
      </c>
      <c r="AE2113" s="150" t="s">
        <v>276</v>
      </c>
      <c r="AF2113" s="150" t="s">
        <v>968</v>
      </c>
      <c r="AG2113" s="151" t="s">
        <v>11216</v>
      </c>
      <c r="AH2113" s="151" t="s">
        <v>11181</v>
      </c>
      <c r="AI2113" s="156">
        <v>8</v>
      </c>
      <c r="AJ2113" s="156">
        <v>2</v>
      </c>
      <c r="AK2113" s="156">
        <v>39164</v>
      </c>
      <c r="AL2113" s="497">
        <f t="shared" si="597"/>
        <v>39802</v>
      </c>
      <c r="AM2113" s="156" t="s">
        <v>4787</v>
      </c>
      <c r="AN2113" s="150" t="s">
        <v>276</v>
      </c>
      <c r="AO2113" s="159">
        <f t="shared" si="598"/>
        <v>2.0426922684097639</v>
      </c>
      <c r="AP2113" s="150" t="s">
        <v>276</v>
      </c>
      <c r="AQ2113" s="150" t="s">
        <v>276</v>
      </c>
      <c r="AR2113" s="150" t="s">
        <v>276</v>
      </c>
      <c r="AS2113" s="159">
        <f t="shared" si="599"/>
        <v>0.50248731219536702</v>
      </c>
      <c r="AT2113" s="150" t="s">
        <v>276</v>
      </c>
      <c r="AU2113" s="150" t="s">
        <v>276</v>
      </c>
      <c r="AV2113" s="150" t="s">
        <v>268</v>
      </c>
      <c r="AW2113" s="235" t="s">
        <v>276</v>
      </c>
      <c r="AX2113" s="235">
        <f t="shared" si="596"/>
        <v>4.0651618833622711</v>
      </c>
      <c r="AY2113" s="151" t="s">
        <v>276</v>
      </c>
      <c r="AZ2113" s="151" t="s">
        <v>276</v>
      </c>
      <c r="BA2113" s="151" t="s">
        <v>276</v>
      </c>
      <c r="BB2113" s="151" t="s">
        <v>282</v>
      </c>
      <c r="BC2113" s="151" t="s">
        <v>98</v>
      </c>
      <c r="BD2113" s="151" t="s">
        <v>98</v>
      </c>
      <c r="BE2113" s="151" t="s">
        <v>98</v>
      </c>
      <c r="BF2113" s="151" t="s">
        <v>1029</v>
      </c>
      <c r="BG2113" s="151" t="s">
        <v>11182</v>
      </c>
      <c r="BH2113" s="9" t="s">
        <v>100</v>
      </c>
      <c r="BI2113" s="9" t="s">
        <v>100</v>
      </c>
      <c r="BJ2113" s="171"/>
      <c r="BN2113" s="171"/>
      <c r="BO2113" s="171"/>
    </row>
    <row r="2114" spans="1:67" s="172" customFormat="1" ht="68.5" hidden="1" customHeight="1" x14ac:dyDescent="0.35">
      <c r="A2114" s="150">
        <v>4368</v>
      </c>
      <c r="B2114" s="150" t="s">
        <v>8896</v>
      </c>
      <c r="C2114" s="151" t="s">
        <v>61</v>
      </c>
      <c r="D2114" s="151" t="s">
        <v>11217</v>
      </c>
      <c r="E2114" s="150" t="s">
        <v>35</v>
      </c>
      <c r="F2114" s="150" t="s">
        <v>97</v>
      </c>
      <c r="G2114" s="150" t="s">
        <v>225</v>
      </c>
      <c r="H2114" s="150" t="s">
        <v>125</v>
      </c>
      <c r="I2114" s="150" t="s">
        <v>114</v>
      </c>
      <c r="J2114" s="151" t="s">
        <v>25</v>
      </c>
      <c r="K2114" s="150" t="s">
        <v>1519</v>
      </c>
      <c r="L2114" s="150" t="s">
        <v>4151</v>
      </c>
      <c r="M2114" s="150" t="s">
        <v>300</v>
      </c>
      <c r="N2114" s="151" t="s">
        <v>9006</v>
      </c>
      <c r="O2114" s="151" t="s">
        <v>276</v>
      </c>
      <c r="P2114" s="151" t="s">
        <v>239</v>
      </c>
      <c r="Q2114" s="154">
        <v>29951</v>
      </c>
      <c r="R2114" s="151" t="s">
        <v>276</v>
      </c>
      <c r="S2114" s="151" t="s">
        <v>276</v>
      </c>
      <c r="T2114" s="151" t="s">
        <v>276</v>
      </c>
      <c r="U2114" s="151">
        <v>1</v>
      </c>
      <c r="V2114" s="150" t="s">
        <v>14</v>
      </c>
      <c r="W2114" s="150" t="s">
        <v>98</v>
      </c>
      <c r="X2114" s="151" t="s">
        <v>207</v>
      </c>
      <c r="Y2114" s="155">
        <v>39164</v>
      </c>
      <c r="Z2114" s="151">
        <v>19943</v>
      </c>
      <c r="AA2114" s="151" t="s">
        <v>276</v>
      </c>
      <c r="AB2114" s="151" t="s">
        <v>276</v>
      </c>
      <c r="AC2114" s="150" t="s">
        <v>276</v>
      </c>
      <c r="AD2114" s="150" t="s">
        <v>968</v>
      </c>
      <c r="AE2114" s="150" t="s">
        <v>276</v>
      </c>
      <c r="AF2114" s="150" t="s">
        <v>968</v>
      </c>
      <c r="AG2114" s="151" t="s">
        <v>11218</v>
      </c>
      <c r="AH2114" s="151" t="s">
        <v>11181</v>
      </c>
      <c r="AI2114" s="156">
        <v>1</v>
      </c>
      <c r="AJ2114" s="156">
        <v>1</v>
      </c>
      <c r="AK2114" s="156">
        <v>39164</v>
      </c>
      <c r="AL2114" s="497">
        <f t="shared" si="597"/>
        <v>39802</v>
      </c>
      <c r="AM2114" s="156" t="s">
        <v>4787</v>
      </c>
      <c r="AN2114" s="150" t="s">
        <v>276</v>
      </c>
      <c r="AO2114" s="159">
        <f t="shared" si="598"/>
        <v>0.25533653355122049</v>
      </c>
      <c r="AP2114" s="150" t="s">
        <v>276</v>
      </c>
      <c r="AQ2114" s="150" t="s">
        <v>276</v>
      </c>
      <c r="AR2114" s="150" t="s">
        <v>276</v>
      </c>
      <c r="AS2114" s="159">
        <f t="shared" si="599"/>
        <v>0.25124365609768351</v>
      </c>
      <c r="AT2114" s="150" t="s">
        <v>276</v>
      </c>
      <c r="AU2114" s="150" t="s">
        <v>276</v>
      </c>
      <c r="AV2114" s="150" t="s">
        <v>268</v>
      </c>
      <c r="AW2114" s="235" t="s">
        <v>276</v>
      </c>
      <c r="AX2114" s="235">
        <f t="shared" si="596"/>
        <v>1.0162904708405678</v>
      </c>
      <c r="AY2114" s="151" t="s">
        <v>276</v>
      </c>
      <c r="AZ2114" s="151" t="s">
        <v>276</v>
      </c>
      <c r="BA2114" s="151" t="s">
        <v>276</v>
      </c>
      <c r="BB2114" s="151" t="s">
        <v>282</v>
      </c>
      <c r="BC2114" s="151" t="s">
        <v>98</v>
      </c>
      <c r="BD2114" s="151" t="s">
        <v>98</v>
      </c>
      <c r="BE2114" s="151" t="s">
        <v>98</v>
      </c>
      <c r="BF2114" s="151" t="s">
        <v>1029</v>
      </c>
      <c r="BG2114" s="151" t="s">
        <v>11182</v>
      </c>
      <c r="BH2114" s="9" t="s">
        <v>100</v>
      </c>
      <c r="BI2114" s="9" t="s">
        <v>100</v>
      </c>
      <c r="BJ2114" s="171"/>
      <c r="BN2114" s="171"/>
      <c r="BO2114" s="171"/>
    </row>
    <row r="2115" spans="1:67" s="172" customFormat="1" ht="68.5" hidden="1" customHeight="1" x14ac:dyDescent="0.35">
      <c r="A2115" s="150">
        <v>4368</v>
      </c>
      <c r="B2115" s="150" t="s">
        <v>8896</v>
      </c>
      <c r="C2115" s="151" t="s">
        <v>61</v>
      </c>
      <c r="D2115" s="151" t="s">
        <v>11219</v>
      </c>
      <c r="E2115" s="150" t="s">
        <v>35</v>
      </c>
      <c r="F2115" s="150" t="s">
        <v>97</v>
      </c>
      <c r="G2115" s="150" t="s">
        <v>225</v>
      </c>
      <c r="H2115" s="150" t="s">
        <v>125</v>
      </c>
      <c r="I2115" s="150" t="s">
        <v>114</v>
      </c>
      <c r="J2115" s="151" t="s">
        <v>25</v>
      </c>
      <c r="K2115" s="150" t="s">
        <v>7801</v>
      </c>
      <c r="L2115" s="150" t="s">
        <v>4151</v>
      </c>
      <c r="M2115" s="150" t="s">
        <v>300</v>
      </c>
      <c r="N2115" s="151" t="s">
        <v>9006</v>
      </c>
      <c r="O2115" s="151" t="s">
        <v>276</v>
      </c>
      <c r="P2115" s="151" t="s">
        <v>239</v>
      </c>
      <c r="Q2115" s="154">
        <v>29951</v>
      </c>
      <c r="R2115" s="151" t="s">
        <v>276</v>
      </c>
      <c r="S2115" s="151" t="s">
        <v>276</v>
      </c>
      <c r="T2115" s="151" t="s">
        <v>276</v>
      </c>
      <c r="U2115" s="151">
        <v>1</v>
      </c>
      <c r="V2115" s="150" t="s">
        <v>14</v>
      </c>
      <c r="W2115" s="150" t="s">
        <v>98</v>
      </c>
      <c r="X2115" s="151" t="s">
        <v>207</v>
      </c>
      <c r="Y2115" s="155">
        <v>39164</v>
      </c>
      <c r="Z2115" s="151">
        <v>19943</v>
      </c>
      <c r="AA2115" s="151" t="s">
        <v>276</v>
      </c>
      <c r="AB2115" s="151" t="s">
        <v>276</v>
      </c>
      <c r="AC2115" s="150" t="s">
        <v>276</v>
      </c>
      <c r="AD2115" s="150" t="s">
        <v>968</v>
      </c>
      <c r="AE2115" s="150" t="s">
        <v>276</v>
      </c>
      <c r="AF2115" s="150" t="s">
        <v>968</v>
      </c>
      <c r="AG2115" s="151" t="s">
        <v>11220</v>
      </c>
      <c r="AH2115" s="151" t="s">
        <v>11181</v>
      </c>
      <c r="AI2115" s="156">
        <f>1+8</f>
        <v>9</v>
      </c>
      <c r="AJ2115" s="156">
        <f>1+2</f>
        <v>3</v>
      </c>
      <c r="AK2115" s="156">
        <v>39164</v>
      </c>
      <c r="AL2115" s="497">
        <f t="shared" si="597"/>
        <v>39802</v>
      </c>
      <c r="AM2115" s="156" t="s">
        <v>4787</v>
      </c>
      <c r="AN2115" s="150" t="s">
        <v>276</v>
      </c>
      <c r="AO2115" s="159">
        <f t="shared" si="598"/>
        <v>2.2980288019609847</v>
      </c>
      <c r="AP2115" s="150" t="s">
        <v>276</v>
      </c>
      <c r="AQ2115" s="150" t="s">
        <v>276</v>
      </c>
      <c r="AR2115" s="150" t="s">
        <v>276</v>
      </c>
      <c r="AS2115" s="159">
        <f t="shared" si="599"/>
        <v>0.75373096829305064</v>
      </c>
      <c r="AT2115" s="150" t="s">
        <v>276</v>
      </c>
      <c r="AU2115" s="150" t="s">
        <v>276</v>
      </c>
      <c r="AV2115" s="150" t="s">
        <v>268</v>
      </c>
      <c r="AW2115" s="235" t="s">
        <v>276</v>
      </c>
      <c r="AX2115" s="235">
        <f t="shared" si="596"/>
        <v>3.0488714125217036</v>
      </c>
      <c r="AY2115" s="151" t="s">
        <v>276</v>
      </c>
      <c r="AZ2115" s="151" t="s">
        <v>276</v>
      </c>
      <c r="BA2115" s="151" t="s">
        <v>276</v>
      </c>
      <c r="BB2115" s="151" t="s">
        <v>282</v>
      </c>
      <c r="BC2115" s="151" t="s">
        <v>98</v>
      </c>
      <c r="BD2115" s="151" t="s">
        <v>98</v>
      </c>
      <c r="BE2115" s="151" t="s">
        <v>98</v>
      </c>
      <c r="BF2115" s="151" t="s">
        <v>1029</v>
      </c>
      <c r="BG2115" s="151" t="s">
        <v>11182</v>
      </c>
      <c r="BH2115" s="9" t="s">
        <v>100</v>
      </c>
      <c r="BI2115" s="9" t="s">
        <v>100</v>
      </c>
      <c r="BJ2115" s="171"/>
      <c r="BN2115" s="171"/>
      <c r="BO2115" s="171"/>
    </row>
    <row r="2116" spans="1:67" s="137" customFormat="1" ht="68.5" hidden="1" customHeight="1" x14ac:dyDescent="0.35">
      <c r="A2116" s="126">
        <v>4368</v>
      </c>
      <c r="B2116" s="126" t="s">
        <v>8896</v>
      </c>
      <c r="C2116" s="127" t="s">
        <v>61</v>
      </c>
      <c r="D2116" s="127" t="s">
        <v>11221</v>
      </c>
      <c r="E2116" s="126" t="s">
        <v>35</v>
      </c>
      <c r="F2116" s="126" t="s">
        <v>97</v>
      </c>
      <c r="G2116" s="126" t="s">
        <v>225</v>
      </c>
      <c r="H2116" s="126" t="s">
        <v>125</v>
      </c>
      <c r="I2116" s="126" t="s">
        <v>114</v>
      </c>
      <c r="J2116" s="127" t="s">
        <v>25</v>
      </c>
      <c r="K2116" s="126" t="s">
        <v>1499</v>
      </c>
      <c r="L2116" s="126" t="s">
        <v>4151</v>
      </c>
      <c r="M2116" s="126" t="s">
        <v>300</v>
      </c>
      <c r="N2116" s="127" t="s">
        <v>9006</v>
      </c>
      <c r="O2116" s="127" t="s">
        <v>276</v>
      </c>
      <c r="P2116" s="127" t="s">
        <v>239</v>
      </c>
      <c r="Q2116" s="146">
        <v>30316</v>
      </c>
      <c r="R2116" s="127" t="s">
        <v>276</v>
      </c>
      <c r="S2116" s="127" t="s">
        <v>276</v>
      </c>
      <c r="T2116" s="127" t="s">
        <v>276</v>
      </c>
      <c r="U2116" s="127">
        <v>1</v>
      </c>
      <c r="V2116" s="126" t="s">
        <v>14</v>
      </c>
      <c r="W2116" s="126" t="s">
        <v>98</v>
      </c>
      <c r="X2116" s="127" t="s">
        <v>207</v>
      </c>
      <c r="Y2116" s="132">
        <v>39164</v>
      </c>
      <c r="Z2116" s="127">
        <v>19943</v>
      </c>
      <c r="AA2116" s="127" t="s">
        <v>276</v>
      </c>
      <c r="AB2116" s="127" t="s">
        <v>276</v>
      </c>
      <c r="AC2116" s="126" t="s">
        <v>276</v>
      </c>
      <c r="AD2116" s="126" t="s">
        <v>968</v>
      </c>
      <c r="AE2116" s="126" t="s">
        <v>276</v>
      </c>
      <c r="AF2116" s="126" t="s">
        <v>968</v>
      </c>
      <c r="AG2116" s="127" t="s">
        <v>11222</v>
      </c>
      <c r="AH2116" s="127" t="s">
        <v>11181</v>
      </c>
      <c r="AI2116" s="134">
        <f>20+46</f>
        <v>66</v>
      </c>
      <c r="AJ2116" s="134">
        <f>4+16</f>
        <v>20</v>
      </c>
      <c r="AK2116" s="134">
        <v>39164</v>
      </c>
      <c r="AL2116" s="133">
        <f t="shared" si="597"/>
        <v>39802</v>
      </c>
      <c r="AM2116" s="134" t="s">
        <v>4787</v>
      </c>
      <c r="AN2116" s="126" t="s">
        <v>276</v>
      </c>
      <c r="AO2116" s="135">
        <f t="shared" si="598"/>
        <v>16.852211214380553</v>
      </c>
      <c r="AP2116" s="126" t="s">
        <v>276</v>
      </c>
      <c r="AQ2116" s="126" t="s">
        <v>276</v>
      </c>
      <c r="AR2116" s="126" t="s">
        <v>276</v>
      </c>
      <c r="AS2116" s="135">
        <f t="shared" si="599"/>
        <v>5.0248731219536706</v>
      </c>
      <c r="AT2116" s="126" t="s">
        <v>276</v>
      </c>
      <c r="AU2116" s="126" t="s">
        <v>276</v>
      </c>
      <c r="AV2116" s="126" t="s">
        <v>268</v>
      </c>
      <c r="AW2116" s="234" t="s">
        <v>276</v>
      </c>
      <c r="AX2116" s="234">
        <f t="shared" si="596"/>
        <v>3.3537585537738739</v>
      </c>
      <c r="AY2116" s="127" t="s">
        <v>276</v>
      </c>
      <c r="AZ2116" s="127" t="s">
        <v>276</v>
      </c>
      <c r="BA2116" s="127" t="s">
        <v>276</v>
      </c>
      <c r="BB2116" s="127" t="s">
        <v>282</v>
      </c>
      <c r="BC2116" s="127" t="s">
        <v>98</v>
      </c>
      <c r="BD2116" s="127" t="s">
        <v>98</v>
      </c>
      <c r="BE2116" s="127" t="s">
        <v>98</v>
      </c>
      <c r="BF2116" s="127" t="s">
        <v>1029</v>
      </c>
      <c r="BG2116" s="127" t="s">
        <v>11182</v>
      </c>
      <c r="BH2116" s="9" t="s">
        <v>100</v>
      </c>
      <c r="BI2116" s="9" t="s">
        <v>100</v>
      </c>
      <c r="BJ2116" s="136"/>
      <c r="BN2116" s="136"/>
      <c r="BO2116" s="136"/>
    </row>
    <row r="2117" spans="1:67" s="137" customFormat="1" ht="68.5" hidden="1" customHeight="1" x14ac:dyDescent="0.35">
      <c r="A2117" s="126">
        <v>4368</v>
      </c>
      <c r="B2117" s="126" t="s">
        <v>8896</v>
      </c>
      <c r="C2117" s="127" t="s">
        <v>61</v>
      </c>
      <c r="D2117" s="127" t="s">
        <v>11223</v>
      </c>
      <c r="E2117" s="126" t="s">
        <v>35</v>
      </c>
      <c r="F2117" s="126" t="s">
        <v>97</v>
      </c>
      <c r="G2117" s="126" t="s">
        <v>225</v>
      </c>
      <c r="H2117" s="126" t="s">
        <v>125</v>
      </c>
      <c r="I2117" s="126" t="s">
        <v>114</v>
      </c>
      <c r="J2117" s="127" t="s">
        <v>25</v>
      </c>
      <c r="K2117" s="126" t="s">
        <v>1510</v>
      </c>
      <c r="L2117" s="126" t="s">
        <v>4151</v>
      </c>
      <c r="M2117" s="126" t="s">
        <v>300</v>
      </c>
      <c r="N2117" s="127" t="s">
        <v>9006</v>
      </c>
      <c r="O2117" s="127" t="s">
        <v>276</v>
      </c>
      <c r="P2117" s="127" t="s">
        <v>239</v>
      </c>
      <c r="Q2117" s="146">
        <v>30316</v>
      </c>
      <c r="R2117" s="127" t="s">
        <v>276</v>
      </c>
      <c r="S2117" s="127" t="s">
        <v>276</v>
      </c>
      <c r="T2117" s="127" t="s">
        <v>276</v>
      </c>
      <c r="U2117" s="127">
        <v>1</v>
      </c>
      <c r="V2117" s="126" t="s">
        <v>14</v>
      </c>
      <c r="W2117" s="126" t="s">
        <v>98</v>
      </c>
      <c r="X2117" s="127" t="s">
        <v>207</v>
      </c>
      <c r="Y2117" s="132">
        <v>39164</v>
      </c>
      <c r="Z2117" s="127">
        <v>19943</v>
      </c>
      <c r="AA2117" s="127" t="s">
        <v>276</v>
      </c>
      <c r="AB2117" s="127" t="s">
        <v>276</v>
      </c>
      <c r="AC2117" s="126" t="s">
        <v>276</v>
      </c>
      <c r="AD2117" s="126" t="s">
        <v>968</v>
      </c>
      <c r="AE2117" s="126" t="s">
        <v>276</v>
      </c>
      <c r="AF2117" s="126" t="s">
        <v>968</v>
      </c>
      <c r="AG2117" s="127" t="s">
        <v>11224</v>
      </c>
      <c r="AH2117" s="127" t="s">
        <v>11181</v>
      </c>
      <c r="AI2117" s="134">
        <f>8+24</f>
        <v>32</v>
      </c>
      <c r="AJ2117" s="134">
        <f>2+19</f>
        <v>21</v>
      </c>
      <c r="AK2117" s="134">
        <v>39164</v>
      </c>
      <c r="AL2117" s="133">
        <f t="shared" si="597"/>
        <v>39802</v>
      </c>
      <c r="AM2117" s="134" t="s">
        <v>4787</v>
      </c>
      <c r="AN2117" s="126" t="s">
        <v>276</v>
      </c>
      <c r="AO2117" s="135">
        <f t="shared" si="598"/>
        <v>8.1707690736390557</v>
      </c>
      <c r="AP2117" s="126" t="s">
        <v>276</v>
      </c>
      <c r="AQ2117" s="126" t="s">
        <v>276</v>
      </c>
      <c r="AR2117" s="126" t="s">
        <v>276</v>
      </c>
      <c r="AS2117" s="135">
        <f t="shared" si="599"/>
        <v>5.276116778051354</v>
      </c>
      <c r="AT2117" s="126" t="s">
        <v>276</v>
      </c>
      <c r="AU2117" s="126" t="s">
        <v>276</v>
      </c>
      <c r="AV2117" s="126" t="s">
        <v>268</v>
      </c>
      <c r="AW2117" s="234" t="s">
        <v>276</v>
      </c>
      <c r="AX2117" s="234">
        <f t="shared" si="596"/>
        <v>1.5486330984237224</v>
      </c>
      <c r="AY2117" s="127" t="s">
        <v>276</v>
      </c>
      <c r="AZ2117" s="127" t="s">
        <v>276</v>
      </c>
      <c r="BA2117" s="127" t="s">
        <v>276</v>
      </c>
      <c r="BB2117" s="127" t="s">
        <v>282</v>
      </c>
      <c r="BC2117" s="127" t="s">
        <v>98</v>
      </c>
      <c r="BD2117" s="127" t="s">
        <v>98</v>
      </c>
      <c r="BE2117" s="127" t="s">
        <v>98</v>
      </c>
      <c r="BF2117" s="127" t="s">
        <v>1029</v>
      </c>
      <c r="BG2117" s="127" t="s">
        <v>11182</v>
      </c>
      <c r="BH2117" s="9" t="s">
        <v>100</v>
      </c>
      <c r="BI2117" s="9" t="s">
        <v>100</v>
      </c>
      <c r="BJ2117" s="136"/>
      <c r="BN2117" s="136"/>
      <c r="BO2117" s="136"/>
    </row>
    <row r="2118" spans="1:67" s="137" customFormat="1" ht="68.5" hidden="1" customHeight="1" x14ac:dyDescent="0.35">
      <c r="A2118" s="126">
        <v>4368</v>
      </c>
      <c r="B2118" s="126" t="s">
        <v>8896</v>
      </c>
      <c r="C2118" s="127" t="s">
        <v>61</v>
      </c>
      <c r="D2118" s="127" t="s">
        <v>11225</v>
      </c>
      <c r="E2118" s="126" t="s">
        <v>35</v>
      </c>
      <c r="F2118" s="126" t="s">
        <v>97</v>
      </c>
      <c r="G2118" s="126" t="s">
        <v>225</v>
      </c>
      <c r="H2118" s="126" t="s">
        <v>125</v>
      </c>
      <c r="I2118" s="126" t="s">
        <v>114</v>
      </c>
      <c r="J2118" s="127" t="s">
        <v>25</v>
      </c>
      <c r="K2118" s="126" t="s">
        <v>1519</v>
      </c>
      <c r="L2118" s="126" t="s">
        <v>4151</v>
      </c>
      <c r="M2118" s="126" t="s">
        <v>300</v>
      </c>
      <c r="N2118" s="127" t="s">
        <v>9006</v>
      </c>
      <c r="O2118" s="127" t="s">
        <v>276</v>
      </c>
      <c r="P2118" s="127" t="s">
        <v>239</v>
      </c>
      <c r="Q2118" s="146">
        <v>30316</v>
      </c>
      <c r="R2118" s="127" t="s">
        <v>276</v>
      </c>
      <c r="S2118" s="127" t="s">
        <v>276</v>
      </c>
      <c r="T2118" s="127" t="s">
        <v>276</v>
      </c>
      <c r="U2118" s="127">
        <v>1</v>
      </c>
      <c r="V2118" s="126" t="s">
        <v>14</v>
      </c>
      <c r="W2118" s="126" t="s">
        <v>98</v>
      </c>
      <c r="X2118" s="127" t="s">
        <v>207</v>
      </c>
      <c r="Y2118" s="132">
        <v>39164</v>
      </c>
      <c r="Z2118" s="127">
        <v>19943</v>
      </c>
      <c r="AA2118" s="127" t="s">
        <v>276</v>
      </c>
      <c r="AB2118" s="127" t="s">
        <v>276</v>
      </c>
      <c r="AC2118" s="126" t="s">
        <v>276</v>
      </c>
      <c r="AD2118" s="126" t="s">
        <v>968</v>
      </c>
      <c r="AE2118" s="126" t="s">
        <v>276</v>
      </c>
      <c r="AF2118" s="126" t="s">
        <v>968</v>
      </c>
      <c r="AG2118" s="127" t="s">
        <v>11226</v>
      </c>
      <c r="AH2118" s="127" t="s">
        <v>11181</v>
      </c>
      <c r="AI2118" s="134">
        <f>1+5</f>
        <v>6</v>
      </c>
      <c r="AJ2118" s="134">
        <f>1+1</f>
        <v>2</v>
      </c>
      <c r="AK2118" s="134">
        <v>39164</v>
      </c>
      <c r="AL2118" s="133">
        <f t="shared" si="597"/>
        <v>39802</v>
      </c>
      <c r="AM2118" s="134" t="s">
        <v>4787</v>
      </c>
      <c r="AN2118" s="126" t="s">
        <v>276</v>
      </c>
      <c r="AO2118" s="135">
        <f t="shared" si="598"/>
        <v>1.5320192013073231</v>
      </c>
      <c r="AP2118" s="126" t="s">
        <v>276</v>
      </c>
      <c r="AQ2118" s="126" t="s">
        <v>276</v>
      </c>
      <c r="AR2118" s="126" t="s">
        <v>276</v>
      </c>
      <c r="AS2118" s="135">
        <f t="shared" si="599"/>
        <v>0.50248731219536702</v>
      </c>
      <c r="AT2118" s="126" t="s">
        <v>276</v>
      </c>
      <c r="AU2118" s="126" t="s">
        <v>276</v>
      </c>
      <c r="AV2118" s="126" t="s">
        <v>268</v>
      </c>
      <c r="AW2118" s="234" t="s">
        <v>276</v>
      </c>
      <c r="AX2118" s="234">
        <f t="shared" si="596"/>
        <v>3.048871412521704</v>
      </c>
      <c r="AY2118" s="127" t="s">
        <v>276</v>
      </c>
      <c r="AZ2118" s="127" t="s">
        <v>276</v>
      </c>
      <c r="BA2118" s="127" t="s">
        <v>276</v>
      </c>
      <c r="BB2118" s="127" t="s">
        <v>282</v>
      </c>
      <c r="BC2118" s="127" t="s">
        <v>98</v>
      </c>
      <c r="BD2118" s="127" t="s">
        <v>98</v>
      </c>
      <c r="BE2118" s="127" t="s">
        <v>98</v>
      </c>
      <c r="BF2118" s="127" t="s">
        <v>1029</v>
      </c>
      <c r="BG2118" s="127" t="s">
        <v>11182</v>
      </c>
      <c r="BH2118" s="9" t="s">
        <v>100</v>
      </c>
      <c r="BI2118" s="9" t="s">
        <v>100</v>
      </c>
      <c r="BJ2118" s="136"/>
      <c r="BN2118" s="136"/>
      <c r="BO2118" s="136"/>
    </row>
    <row r="2119" spans="1:67" s="137" customFormat="1" ht="68.5" hidden="1" customHeight="1" x14ac:dyDescent="0.35">
      <c r="A2119" s="126">
        <v>4368</v>
      </c>
      <c r="B2119" s="126" t="s">
        <v>8896</v>
      </c>
      <c r="C2119" s="127" t="s">
        <v>61</v>
      </c>
      <c r="D2119" s="127" t="s">
        <v>11227</v>
      </c>
      <c r="E2119" s="126" t="s">
        <v>35</v>
      </c>
      <c r="F2119" s="126" t="s">
        <v>97</v>
      </c>
      <c r="G2119" s="126" t="s">
        <v>225</v>
      </c>
      <c r="H2119" s="126" t="s">
        <v>125</v>
      </c>
      <c r="I2119" s="126" t="s">
        <v>114</v>
      </c>
      <c r="J2119" s="127" t="s">
        <v>25</v>
      </c>
      <c r="K2119" s="126" t="s">
        <v>7801</v>
      </c>
      <c r="L2119" s="126" t="s">
        <v>4151</v>
      </c>
      <c r="M2119" s="126" t="s">
        <v>300</v>
      </c>
      <c r="N2119" s="127" t="s">
        <v>9006</v>
      </c>
      <c r="O2119" s="127" t="s">
        <v>276</v>
      </c>
      <c r="P2119" s="127" t="s">
        <v>239</v>
      </c>
      <c r="Q2119" s="146">
        <v>30316</v>
      </c>
      <c r="R2119" s="127" t="s">
        <v>276</v>
      </c>
      <c r="S2119" s="127" t="s">
        <v>276</v>
      </c>
      <c r="T2119" s="127" t="s">
        <v>276</v>
      </c>
      <c r="U2119" s="127">
        <v>1</v>
      </c>
      <c r="V2119" s="126" t="s">
        <v>14</v>
      </c>
      <c r="W2119" s="126" t="s">
        <v>98</v>
      </c>
      <c r="X2119" s="127" t="s">
        <v>207</v>
      </c>
      <c r="Y2119" s="132">
        <v>39164</v>
      </c>
      <c r="Z2119" s="127">
        <v>19943</v>
      </c>
      <c r="AA2119" s="127" t="s">
        <v>276</v>
      </c>
      <c r="AB2119" s="127" t="s">
        <v>276</v>
      </c>
      <c r="AC2119" s="126" t="s">
        <v>276</v>
      </c>
      <c r="AD2119" s="126" t="s">
        <v>968</v>
      </c>
      <c r="AE2119" s="126" t="s">
        <v>276</v>
      </c>
      <c r="AF2119" s="126" t="s">
        <v>968</v>
      </c>
      <c r="AG2119" s="127" t="s">
        <v>11228</v>
      </c>
      <c r="AH2119" s="127" t="s">
        <v>11181</v>
      </c>
      <c r="AI2119" s="134">
        <f>32+6</f>
        <v>38</v>
      </c>
      <c r="AJ2119" s="134">
        <f>21+2</f>
        <v>23</v>
      </c>
      <c r="AK2119" s="134">
        <v>39164</v>
      </c>
      <c r="AL2119" s="133">
        <f t="shared" si="597"/>
        <v>39802</v>
      </c>
      <c r="AM2119" s="134" t="s">
        <v>4787</v>
      </c>
      <c r="AN2119" s="126" t="s">
        <v>276</v>
      </c>
      <c r="AO2119" s="135">
        <f t="shared" si="598"/>
        <v>9.7027882749463785</v>
      </c>
      <c r="AP2119" s="126" t="s">
        <v>276</v>
      </c>
      <c r="AQ2119" s="126" t="s">
        <v>276</v>
      </c>
      <c r="AR2119" s="126" t="s">
        <v>276</v>
      </c>
      <c r="AS2119" s="135">
        <f t="shared" si="599"/>
        <v>5.7786040902467208</v>
      </c>
      <c r="AT2119" s="126" t="s">
        <v>276</v>
      </c>
      <c r="AU2119" s="126" t="s">
        <v>276</v>
      </c>
      <c r="AV2119" s="126" t="s">
        <v>268</v>
      </c>
      <c r="AW2119" s="234" t="s">
        <v>276</v>
      </c>
      <c r="AX2119" s="234">
        <f t="shared" si="596"/>
        <v>1.67908860399746</v>
      </c>
      <c r="AY2119" s="127" t="s">
        <v>276</v>
      </c>
      <c r="AZ2119" s="127" t="s">
        <v>276</v>
      </c>
      <c r="BA2119" s="127" t="s">
        <v>276</v>
      </c>
      <c r="BB2119" s="127" t="s">
        <v>282</v>
      </c>
      <c r="BC2119" s="127" t="s">
        <v>98</v>
      </c>
      <c r="BD2119" s="127" t="s">
        <v>98</v>
      </c>
      <c r="BE2119" s="127" t="s">
        <v>98</v>
      </c>
      <c r="BF2119" s="127" t="s">
        <v>1029</v>
      </c>
      <c r="BG2119" s="127" t="s">
        <v>11182</v>
      </c>
      <c r="BH2119" s="9" t="s">
        <v>100</v>
      </c>
      <c r="BI2119" s="9" t="s">
        <v>100</v>
      </c>
      <c r="BJ2119" s="136"/>
      <c r="BN2119" s="136"/>
      <c r="BO2119" s="136"/>
    </row>
    <row r="2120" spans="1:67" s="172" customFormat="1" ht="68.5" hidden="1" customHeight="1" x14ac:dyDescent="0.35">
      <c r="A2120" s="150">
        <v>4368</v>
      </c>
      <c r="B2120" s="150" t="s">
        <v>8896</v>
      </c>
      <c r="C2120" s="151" t="s">
        <v>61</v>
      </c>
      <c r="D2120" s="151" t="s">
        <v>11229</v>
      </c>
      <c r="E2120" s="150" t="s">
        <v>35</v>
      </c>
      <c r="F2120" s="150" t="s">
        <v>97</v>
      </c>
      <c r="G2120" s="150" t="s">
        <v>225</v>
      </c>
      <c r="H2120" s="150" t="s">
        <v>125</v>
      </c>
      <c r="I2120" s="150" t="s">
        <v>114</v>
      </c>
      <c r="J2120" s="151" t="s">
        <v>25</v>
      </c>
      <c r="K2120" s="150" t="s">
        <v>1499</v>
      </c>
      <c r="L2120" s="150" t="s">
        <v>4151</v>
      </c>
      <c r="M2120" s="150" t="s">
        <v>300</v>
      </c>
      <c r="N2120" s="151" t="s">
        <v>9006</v>
      </c>
      <c r="O2120" s="151" t="s">
        <v>276</v>
      </c>
      <c r="P2120" s="151" t="s">
        <v>239</v>
      </c>
      <c r="Q2120" s="154">
        <v>30681</v>
      </c>
      <c r="R2120" s="151" t="s">
        <v>276</v>
      </c>
      <c r="S2120" s="151" t="s">
        <v>276</v>
      </c>
      <c r="T2120" s="151" t="s">
        <v>276</v>
      </c>
      <c r="U2120" s="168" t="s">
        <v>2331</v>
      </c>
      <c r="V2120" s="150" t="s">
        <v>14</v>
      </c>
      <c r="W2120" s="150" t="s">
        <v>98</v>
      </c>
      <c r="X2120" s="151" t="s">
        <v>207</v>
      </c>
      <c r="Y2120" s="155">
        <v>39164</v>
      </c>
      <c r="Z2120" s="151">
        <v>19943</v>
      </c>
      <c r="AA2120" s="151" t="s">
        <v>276</v>
      </c>
      <c r="AB2120" s="151" t="s">
        <v>276</v>
      </c>
      <c r="AC2120" s="150" t="s">
        <v>276</v>
      </c>
      <c r="AD2120" s="150" t="s">
        <v>968</v>
      </c>
      <c r="AE2120" s="150" t="s">
        <v>276</v>
      </c>
      <c r="AF2120" s="150" t="s">
        <v>968</v>
      </c>
      <c r="AG2120" s="151" t="s">
        <v>11230</v>
      </c>
      <c r="AH2120" s="151" t="s">
        <v>11181</v>
      </c>
      <c r="AI2120" s="156">
        <f>20+46+56</f>
        <v>122</v>
      </c>
      <c r="AJ2120" s="156">
        <f>4+16+31</f>
        <v>51</v>
      </c>
      <c r="AK2120" s="156">
        <v>39164</v>
      </c>
      <c r="AL2120" s="497">
        <f t="shared" si="597"/>
        <v>39802</v>
      </c>
      <c r="AM2120" s="156" t="s">
        <v>4787</v>
      </c>
      <c r="AN2120" s="150" t="s">
        <v>276</v>
      </c>
      <c r="AO2120" s="159">
        <f t="shared" si="598"/>
        <v>31.151057093248902</v>
      </c>
      <c r="AP2120" s="150" t="s">
        <v>276</v>
      </c>
      <c r="AQ2120" s="150" t="s">
        <v>276</v>
      </c>
      <c r="AR2120" s="150" t="s">
        <v>276</v>
      </c>
      <c r="AS2120" s="159">
        <f t="shared" si="599"/>
        <v>12.81342646098186</v>
      </c>
      <c r="AT2120" s="150" t="s">
        <v>276</v>
      </c>
      <c r="AU2120" s="150" t="s">
        <v>276</v>
      </c>
      <c r="AV2120" s="150" t="s">
        <v>268</v>
      </c>
      <c r="AW2120" s="235" t="s">
        <v>276</v>
      </c>
      <c r="AX2120" s="235">
        <f t="shared" si="596"/>
        <v>2.4311262243637115</v>
      </c>
      <c r="AY2120" s="151" t="s">
        <v>276</v>
      </c>
      <c r="AZ2120" s="151" t="s">
        <v>276</v>
      </c>
      <c r="BA2120" s="151" t="s">
        <v>276</v>
      </c>
      <c r="BB2120" s="151" t="s">
        <v>282</v>
      </c>
      <c r="BC2120" s="151" t="s">
        <v>98</v>
      </c>
      <c r="BD2120" s="151" t="s">
        <v>98</v>
      </c>
      <c r="BE2120" s="151" t="s">
        <v>98</v>
      </c>
      <c r="BF2120" s="151" t="s">
        <v>1029</v>
      </c>
      <c r="BG2120" s="151" t="s">
        <v>11182</v>
      </c>
      <c r="BH2120" s="9" t="s">
        <v>100</v>
      </c>
      <c r="BI2120" s="9" t="s">
        <v>100</v>
      </c>
      <c r="BJ2120" s="171"/>
      <c r="BN2120" s="171"/>
      <c r="BO2120" s="171"/>
    </row>
    <row r="2121" spans="1:67" s="172" customFormat="1" ht="68.5" hidden="1" customHeight="1" x14ac:dyDescent="0.35">
      <c r="A2121" s="150">
        <v>4368</v>
      </c>
      <c r="B2121" s="150" t="s">
        <v>8896</v>
      </c>
      <c r="C2121" s="151" t="s">
        <v>61</v>
      </c>
      <c r="D2121" s="151" t="s">
        <v>11231</v>
      </c>
      <c r="E2121" s="150" t="s">
        <v>35</v>
      </c>
      <c r="F2121" s="150" t="s">
        <v>97</v>
      </c>
      <c r="G2121" s="150" t="s">
        <v>225</v>
      </c>
      <c r="H2121" s="150" t="s">
        <v>125</v>
      </c>
      <c r="I2121" s="150" t="s">
        <v>114</v>
      </c>
      <c r="J2121" s="151" t="s">
        <v>25</v>
      </c>
      <c r="K2121" s="150" t="s">
        <v>1510</v>
      </c>
      <c r="L2121" s="150" t="s">
        <v>4151</v>
      </c>
      <c r="M2121" s="150" t="s">
        <v>300</v>
      </c>
      <c r="N2121" s="151" t="s">
        <v>9006</v>
      </c>
      <c r="O2121" s="151" t="s">
        <v>276</v>
      </c>
      <c r="P2121" s="151" t="s">
        <v>239</v>
      </c>
      <c r="Q2121" s="154">
        <v>30681</v>
      </c>
      <c r="R2121" s="151" t="s">
        <v>276</v>
      </c>
      <c r="S2121" s="151" t="s">
        <v>276</v>
      </c>
      <c r="T2121" s="151" t="s">
        <v>276</v>
      </c>
      <c r="U2121" s="168" t="s">
        <v>2331</v>
      </c>
      <c r="V2121" s="150" t="s">
        <v>14</v>
      </c>
      <c r="W2121" s="150" t="s">
        <v>98</v>
      </c>
      <c r="X2121" s="151" t="s">
        <v>207</v>
      </c>
      <c r="Y2121" s="155">
        <v>39164</v>
      </c>
      <c r="Z2121" s="151">
        <v>19943</v>
      </c>
      <c r="AA2121" s="151" t="s">
        <v>276</v>
      </c>
      <c r="AB2121" s="151" t="s">
        <v>276</v>
      </c>
      <c r="AC2121" s="150" t="s">
        <v>276</v>
      </c>
      <c r="AD2121" s="150" t="s">
        <v>968</v>
      </c>
      <c r="AE2121" s="150" t="s">
        <v>276</v>
      </c>
      <c r="AF2121" s="150" t="s">
        <v>968</v>
      </c>
      <c r="AG2121" s="151" t="s">
        <v>11232</v>
      </c>
      <c r="AH2121" s="151" t="s">
        <v>11181</v>
      </c>
      <c r="AI2121" s="156">
        <f>8+24+37</f>
        <v>69</v>
      </c>
      <c r="AJ2121" s="156">
        <f>2+19+28</f>
        <v>49</v>
      </c>
      <c r="AK2121" s="156">
        <v>39164</v>
      </c>
      <c r="AL2121" s="497">
        <f t="shared" si="597"/>
        <v>39802</v>
      </c>
      <c r="AM2121" s="156" t="s">
        <v>4787</v>
      </c>
      <c r="AN2121" s="150" t="s">
        <v>276</v>
      </c>
      <c r="AO2121" s="159">
        <f t="shared" si="598"/>
        <v>17.618220815034213</v>
      </c>
      <c r="AP2121" s="150" t="s">
        <v>276</v>
      </c>
      <c r="AQ2121" s="150" t="s">
        <v>276</v>
      </c>
      <c r="AR2121" s="150" t="s">
        <v>276</v>
      </c>
      <c r="AS2121" s="159">
        <f t="shared" si="599"/>
        <v>12.310939148786494</v>
      </c>
      <c r="AT2121" s="150" t="s">
        <v>276</v>
      </c>
      <c r="AU2121" s="150" t="s">
        <v>276</v>
      </c>
      <c r="AV2121" s="150" t="s">
        <v>268</v>
      </c>
      <c r="AW2121" s="235" t="s">
        <v>276</v>
      </c>
      <c r="AX2121" s="235">
        <f t="shared" si="596"/>
        <v>1.4311029079183504</v>
      </c>
      <c r="AY2121" s="151" t="s">
        <v>276</v>
      </c>
      <c r="AZ2121" s="151" t="s">
        <v>276</v>
      </c>
      <c r="BA2121" s="151" t="s">
        <v>276</v>
      </c>
      <c r="BB2121" s="151" t="s">
        <v>282</v>
      </c>
      <c r="BC2121" s="151" t="s">
        <v>98</v>
      </c>
      <c r="BD2121" s="151" t="s">
        <v>98</v>
      </c>
      <c r="BE2121" s="151" t="s">
        <v>98</v>
      </c>
      <c r="BF2121" s="151" t="s">
        <v>1029</v>
      </c>
      <c r="BG2121" s="151" t="s">
        <v>11182</v>
      </c>
      <c r="BH2121" s="9" t="s">
        <v>100</v>
      </c>
      <c r="BI2121" s="9" t="s">
        <v>100</v>
      </c>
      <c r="BJ2121" s="171"/>
      <c r="BN2121" s="171"/>
      <c r="BO2121" s="171"/>
    </row>
    <row r="2122" spans="1:67" s="172" customFormat="1" ht="68.5" hidden="1" customHeight="1" x14ac:dyDescent="0.35">
      <c r="A2122" s="150">
        <v>4368</v>
      </c>
      <c r="B2122" s="150" t="s">
        <v>8896</v>
      </c>
      <c r="C2122" s="151" t="s">
        <v>61</v>
      </c>
      <c r="D2122" s="151" t="s">
        <v>11233</v>
      </c>
      <c r="E2122" s="150" t="s">
        <v>35</v>
      </c>
      <c r="F2122" s="150" t="s">
        <v>97</v>
      </c>
      <c r="G2122" s="150" t="s">
        <v>225</v>
      </c>
      <c r="H2122" s="150" t="s">
        <v>125</v>
      </c>
      <c r="I2122" s="150" t="s">
        <v>114</v>
      </c>
      <c r="J2122" s="151" t="s">
        <v>25</v>
      </c>
      <c r="K2122" s="150" t="s">
        <v>1519</v>
      </c>
      <c r="L2122" s="150" t="s">
        <v>4151</v>
      </c>
      <c r="M2122" s="150" t="s">
        <v>300</v>
      </c>
      <c r="N2122" s="151" t="s">
        <v>9006</v>
      </c>
      <c r="O2122" s="151" t="s">
        <v>276</v>
      </c>
      <c r="P2122" s="151" t="s">
        <v>239</v>
      </c>
      <c r="Q2122" s="154">
        <v>30681</v>
      </c>
      <c r="R2122" s="151" t="s">
        <v>276</v>
      </c>
      <c r="S2122" s="151" t="s">
        <v>276</v>
      </c>
      <c r="T2122" s="151" t="s">
        <v>276</v>
      </c>
      <c r="U2122" s="168" t="s">
        <v>2331</v>
      </c>
      <c r="V2122" s="150" t="s">
        <v>14</v>
      </c>
      <c r="W2122" s="150" t="s">
        <v>98</v>
      </c>
      <c r="X2122" s="151" t="s">
        <v>207</v>
      </c>
      <c r="Y2122" s="155">
        <v>39164</v>
      </c>
      <c r="Z2122" s="151">
        <v>19943</v>
      </c>
      <c r="AA2122" s="151" t="s">
        <v>276</v>
      </c>
      <c r="AB2122" s="151" t="s">
        <v>276</v>
      </c>
      <c r="AC2122" s="150" t="s">
        <v>276</v>
      </c>
      <c r="AD2122" s="150" t="s">
        <v>968</v>
      </c>
      <c r="AE2122" s="150" t="s">
        <v>276</v>
      </c>
      <c r="AF2122" s="150" t="s">
        <v>968</v>
      </c>
      <c r="AG2122" s="151" t="s">
        <v>11234</v>
      </c>
      <c r="AH2122" s="151" t="s">
        <v>11181</v>
      </c>
      <c r="AI2122" s="156">
        <f>1+5+6</f>
        <v>12</v>
      </c>
      <c r="AJ2122" s="156">
        <f>1+1+7</f>
        <v>9</v>
      </c>
      <c r="AK2122" s="156">
        <v>39164</v>
      </c>
      <c r="AL2122" s="497">
        <f t="shared" si="597"/>
        <v>39802</v>
      </c>
      <c r="AM2122" s="156" t="s">
        <v>4787</v>
      </c>
      <c r="AN2122" s="150" t="s">
        <v>276</v>
      </c>
      <c r="AO2122" s="159">
        <f t="shared" si="598"/>
        <v>3.0640384026146461</v>
      </c>
      <c r="AP2122" s="150" t="s">
        <v>276</v>
      </c>
      <c r="AQ2122" s="150" t="s">
        <v>276</v>
      </c>
      <c r="AR2122" s="150" t="s">
        <v>276</v>
      </c>
      <c r="AS2122" s="159">
        <f t="shared" si="599"/>
        <v>2.2611929048791519</v>
      </c>
      <c r="AT2122" s="150" t="s">
        <v>276</v>
      </c>
      <c r="AU2122" s="150" t="s">
        <v>276</v>
      </c>
      <c r="AV2122" s="150" t="s">
        <v>268</v>
      </c>
      <c r="AW2122" s="235" t="s">
        <v>276</v>
      </c>
      <c r="AX2122" s="235">
        <f t="shared" si="596"/>
        <v>1.355053961120757</v>
      </c>
      <c r="AY2122" s="151" t="s">
        <v>276</v>
      </c>
      <c r="AZ2122" s="151" t="s">
        <v>276</v>
      </c>
      <c r="BA2122" s="151" t="s">
        <v>276</v>
      </c>
      <c r="BB2122" s="151" t="s">
        <v>282</v>
      </c>
      <c r="BC2122" s="151" t="s">
        <v>98</v>
      </c>
      <c r="BD2122" s="151" t="s">
        <v>98</v>
      </c>
      <c r="BE2122" s="151" t="s">
        <v>98</v>
      </c>
      <c r="BF2122" s="151" t="s">
        <v>1029</v>
      </c>
      <c r="BG2122" s="151" t="s">
        <v>11182</v>
      </c>
      <c r="BH2122" s="9" t="s">
        <v>100</v>
      </c>
      <c r="BI2122" s="9" t="s">
        <v>100</v>
      </c>
      <c r="BJ2122" s="171"/>
      <c r="BN2122" s="171"/>
      <c r="BO2122" s="171"/>
    </row>
    <row r="2123" spans="1:67" s="172" customFormat="1" ht="68.5" hidden="1" customHeight="1" x14ac:dyDescent="0.35">
      <c r="A2123" s="150">
        <v>4368</v>
      </c>
      <c r="B2123" s="150" t="s">
        <v>8896</v>
      </c>
      <c r="C2123" s="151" t="s">
        <v>61</v>
      </c>
      <c r="D2123" s="151" t="s">
        <v>11235</v>
      </c>
      <c r="E2123" s="150" t="s">
        <v>35</v>
      </c>
      <c r="F2123" s="150" t="s">
        <v>97</v>
      </c>
      <c r="G2123" s="150" t="s">
        <v>225</v>
      </c>
      <c r="H2123" s="150" t="s">
        <v>125</v>
      </c>
      <c r="I2123" s="150" t="s">
        <v>114</v>
      </c>
      <c r="J2123" s="151" t="s">
        <v>25</v>
      </c>
      <c r="K2123" s="150" t="s">
        <v>7801</v>
      </c>
      <c r="L2123" s="150" t="s">
        <v>4151</v>
      </c>
      <c r="M2123" s="150" t="s">
        <v>300</v>
      </c>
      <c r="N2123" s="151" t="s">
        <v>9006</v>
      </c>
      <c r="O2123" s="151" t="s">
        <v>276</v>
      </c>
      <c r="P2123" s="151" t="s">
        <v>239</v>
      </c>
      <c r="Q2123" s="154">
        <v>30681</v>
      </c>
      <c r="R2123" s="151" t="s">
        <v>276</v>
      </c>
      <c r="S2123" s="151" t="s">
        <v>276</v>
      </c>
      <c r="T2123" s="151" t="s">
        <v>276</v>
      </c>
      <c r="U2123" s="168" t="s">
        <v>2331</v>
      </c>
      <c r="V2123" s="150" t="s">
        <v>14</v>
      </c>
      <c r="W2123" s="150" t="s">
        <v>98</v>
      </c>
      <c r="X2123" s="151" t="s">
        <v>207</v>
      </c>
      <c r="Y2123" s="155">
        <v>39164</v>
      </c>
      <c r="Z2123" s="151">
        <v>19943</v>
      </c>
      <c r="AA2123" s="151" t="s">
        <v>276</v>
      </c>
      <c r="AB2123" s="151" t="s">
        <v>276</v>
      </c>
      <c r="AC2123" s="150" t="s">
        <v>276</v>
      </c>
      <c r="AD2123" s="150" t="s">
        <v>968</v>
      </c>
      <c r="AE2123" s="150" t="s">
        <v>276</v>
      </c>
      <c r="AF2123" s="150" t="s">
        <v>968</v>
      </c>
      <c r="AG2123" s="151" t="s">
        <v>11236</v>
      </c>
      <c r="AH2123" s="151" t="s">
        <v>11181</v>
      </c>
      <c r="AI2123" s="156">
        <f>12+69</f>
        <v>81</v>
      </c>
      <c r="AJ2123" s="156">
        <f>9+49</f>
        <v>58</v>
      </c>
      <c r="AK2123" s="156">
        <v>39164</v>
      </c>
      <c r="AL2123" s="497">
        <f t="shared" si="597"/>
        <v>39802</v>
      </c>
      <c r="AM2123" s="156" t="s">
        <v>4787</v>
      </c>
      <c r="AN2123" s="150" t="s">
        <v>276</v>
      </c>
      <c r="AO2123" s="159">
        <f t="shared" si="598"/>
        <v>20.682259217648863</v>
      </c>
      <c r="AP2123" s="150" t="s">
        <v>276</v>
      </c>
      <c r="AQ2123" s="150" t="s">
        <v>276</v>
      </c>
      <c r="AR2123" s="150" t="s">
        <v>276</v>
      </c>
      <c r="AS2123" s="159">
        <f t="shared" si="599"/>
        <v>14.572132053665644</v>
      </c>
      <c r="AT2123" s="150" t="s">
        <v>276</v>
      </c>
      <c r="AU2123" s="150" t="s">
        <v>276</v>
      </c>
      <c r="AV2123" s="150" t="s">
        <v>268</v>
      </c>
      <c r="AW2123" s="235" t="s">
        <v>276</v>
      </c>
      <c r="AX2123" s="235">
        <f t="shared" si="596"/>
        <v>1.4193022092773449</v>
      </c>
      <c r="AY2123" s="151" t="s">
        <v>276</v>
      </c>
      <c r="AZ2123" s="151" t="s">
        <v>276</v>
      </c>
      <c r="BA2123" s="151" t="s">
        <v>276</v>
      </c>
      <c r="BB2123" s="151" t="s">
        <v>282</v>
      </c>
      <c r="BC2123" s="151" t="s">
        <v>98</v>
      </c>
      <c r="BD2123" s="151" t="s">
        <v>98</v>
      </c>
      <c r="BE2123" s="151" t="s">
        <v>98</v>
      </c>
      <c r="BF2123" s="151" t="s">
        <v>1029</v>
      </c>
      <c r="BG2123" s="151" t="s">
        <v>11182</v>
      </c>
      <c r="BH2123" s="9" t="s">
        <v>100</v>
      </c>
      <c r="BI2123" s="9" t="s">
        <v>100</v>
      </c>
      <c r="BJ2123" s="171"/>
      <c r="BN2123" s="171"/>
      <c r="BO2123" s="171"/>
    </row>
    <row r="2124" spans="1:67" s="137" customFormat="1" ht="68.5" hidden="1" customHeight="1" x14ac:dyDescent="0.35">
      <c r="A2124" s="126">
        <v>4368</v>
      </c>
      <c r="B2124" s="126" t="s">
        <v>8896</v>
      </c>
      <c r="C2124" s="127" t="s">
        <v>61</v>
      </c>
      <c r="D2124" s="127" t="s">
        <v>11237</v>
      </c>
      <c r="E2124" s="126" t="s">
        <v>35</v>
      </c>
      <c r="F2124" s="126" t="s">
        <v>97</v>
      </c>
      <c r="G2124" s="126" t="s">
        <v>225</v>
      </c>
      <c r="H2124" s="126" t="s">
        <v>125</v>
      </c>
      <c r="I2124" s="126" t="s">
        <v>114</v>
      </c>
      <c r="J2124" s="127" t="s">
        <v>25</v>
      </c>
      <c r="K2124" s="126" t="s">
        <v>1499</v>
      </c>
      <c r="L2124" s="126" t="s">
        <v>4151</v>
      </c>
      <c r="M2124" s="126" t="s">
        <v>300</v>
      </c>
      <c r="N2124" s="127" t="s">
        <v>9006</v>
      </c>
      <c r="O2124" s="127" t="s">
        <v>276</v>
      </c>
      <c r="P2124" s="127" t="s">
        <v>239</v>
      </c>
      <c r="Q2124" s="146">
        <v>31047</v>
      </c>
      <c r="R2124" s="127" t="s">
        <v>276</v>
      </c>
      <c r="S2124" s="127" t="s">
        <v>276</v>
      </c>
      <c r="T2124" s="127" t="s">
        <v>276</v>
      </c>
      <c r="U2124" s="167" t="s">
        <v>2331</v>
      </c>
      <c r="V2124" s="126" t="s">
        <v>14</v>
      </c>
      <c r="W2124" s="126" t="s">
        <v>98</v>
      </c>
      <c r="X2124" s="127" t="s">
        <v>207</v>
      </c>
      <c r="Y2124" s="132">
        <v>39164</v>
      </c>
      <c r="Z2124" s="127">
        <v>19943</v>
      </c>
      <c r="AA2124" s="127" t="s">
        <v>276</v>
      </c>
      <c r="AB2124" s="127" t="s">
        <v>276</v>
      </c>
      <c r="AC2124" s="126" t="s">
        <v>276</v>
      </c>
      <c r="AD2124" s="126" t="s">
        <v>968</v>
      </c>
      <c r="AE2124" s="126" t="s">
        <v>276</v>
      </c>
      <c r="AF2124" s="126" t="s">
        <v>968</v>
      </c>
      <c r="AG2124" s="127" t="s">
        <v>11238</v>
      </c>
      <c r="AH2124" s="127" t="s">
        <v>11181</v>
      </c>
      <c r="AI2124" s="134">
        <f>20+46+56+39</f>
        <v>161</v>
      </c>
      <c r="AJ2124" s="134">
        <f>4+16+31+18</f>
        <v>69</v>
      </c>
      <c r="AK2124" s="134">
        <v>39164</v>
      </c>
      <c r="AL2124" s="133">
        <f t="shared" si="597"/>
        <v>39802</v>
      </c>
      <c r="AM2124" s="134" t="s">
        <v>4787</v>
      </c>
      <c r="AN2124" s="126" t="s">
        <v>276</v>
      </c>
      <c r="AO2124" s="135">
        <f t="shared" si="598"/>
        <v>41.109181901746503</v>
      </c>
      <c r="AP2124" s="126" t="s">
        <v>276</v>
      </c>
      <c r="AQ2124" s="126" t="s">
        <v>276</v>
      </c>
      <c r="AR2124" s="126" t="s">
        <v>276</v>
      </c>
      <c r="AS2124" s="135">
        <f t="shared" si="599"/>
        <v>17.335812270740163</v>
      </c>
      <c r="AT2124" s="126" t="s">
        <v>276</v>
      </c>
      <c r="AU2124" s="126" t="s">
        <v>276</v>
      </c>
      <c r="AV2124" s="126" t="s">
        <v>268</v>
      </c>
      <c r="AW2124" s="234" t="s">
        <v>276</v>
      </c>
      <c r="AX2124" s="234">
        <f t="shared" si="596"/>
        <v>2.371344431961325</v>
      </c>
      <c r="AY2124" s="127" t="s">
        <v>276</v>
      </c>
      <c r="AZ2124" s="127" t="s">
        <v>276</v>
      </c>
      <c r="BA2124" s="127" t="s">
        <v>276</v>
      </c>
      <c r="BB2124" s="127" t="s">
        <v>282</v>
      </c>
      <c r="BC2124" s="127" t="s">
        <v>98</v>
      </c>
      <c r="BD2124" s="127" t="s">
        <v>98</v>
      </c>
      <c r="BE2124" s="127" t="s">
        <v>98</v>
      </c>
      <c r="BF2124" s="127" t="s">
        <v>1029</v>
      </c>
      <c r="BG2124" s="127" t="s">
        <v>11182</v>
      </c>
      <c r="BH2124" s="9" t="s">
        <v>100</v>
      </c>
      <c r="BI2124" s="9" t="s">
        <v>100</v>
      </c>
      <c r="BJ2124" s="136"/>
      <c r="BN2124" s="136"/>
      <c r="BO2124" s="136"/>
    </row>
    <row r="2125" spans="1:67" s="137" customFormat="1" ht="68.5" hidden="1" customHeight="1" x14ac:dyDescent="0.35">
      <c r="A2125" s="126">
        <v>4368</v>
      </c>
      <c r="B2125" s="126" t="s">
        <v>8896</v>
      </c>
      <c r="C2125" s="127" t="s">
        <v>61</v>
      </c>
      <c r="D2125" s="127" t="s">
        <v>11239</v>
      </c>
      <c r="E2125" s="126" t="s">
        <v>35</v>
      </c>
      <c r="F2125" s="126" t="s">
        <v>97</v>
      </c>
      <c r="G2125" s="126" t="s">
        <v>225</v>
      </c>
      <c r="H2125" s="126" t="s">
        <v>125</v>
      </c>
      <c r="I2125" s="126" t="s">
        <v>114</v>
      </c>
      <c r="J2125" s="127" t="s">
        <v>25</v>
      </c>
      <c r="K2125" s="126" t="s">
        <v>1510</v>
      </c>
      <c r="L2125" s="126" t="s">
        <v>4151</v>
      </c>
      <c r="M2125" s="126" t="s">
        <v>300</v>
      </c>
      <c r="N2125" s="127" t="s">
        <v>9006</v>
      </c>
      <c r="O2125" s="127" t="s">
        <v>276</v>
      </c>
      <c r="P2125" s="127" t="s">
        <v>239</v>
      </c>
      <c r="Q2125" s="146">
        <v>31047</v>
      </c>
      <c r="R2125" s="127" t="s">
        <v>276</v>
      </c>
      <c r="S2125" s="127" t="s">
        <v>276</v>
      </c>
      <c r="T2125" s="127" t="s">
        <v>276</v>
      </c>
      <c r="U2125" s="167" t="s">
        <v>2331</v>
      </c>
      <c r="V2125" s="126" t="s">
        <v>14</v>
      </c>
      <c r="W2125" s="126" t="s">
        <v>98</v>
      </c>
      <c r="X2125" s="127" t="s">
        <v>207</v>
      </c>
      <c r="Y2125" s="132">
        <v>39164</v>
      </c>
      <c r="Z2125" s="127">
        <v>19943</v>
      </c>
      <c r="AA2125" s="127" t="s">
        <v>276</v>
      </c>
      <c r="AB2125" s="127" t="s">
        <v>276</v>
      </c>
      <c r="AC2125" s="126" t="s">
        <v>276</v>
      </c>
      <c r="AD2125" s="126" t="s">
        <v>968</v>
      </c>
      <c r="AE2125" s="126" t="s">
        <v>276</v>
      </c>
      <c r="AF2125" s="126" t="s">
        <v>968</v>
      </c>
      <c r="AG2125" s="127" t="s">
        <v>11240</v>
      </c>
      <c r="AH2125" s="127" t="s">
        <v>11181</v>
      </c>
      <c r="AI2125" s="134">
        <f>8+24+37+27</f>
        <v>96</v>
      </c>
      <c r="AJ2125" s="134">
        <f>2+19+28+34</f>
        <v>83</v>
      </c>
      <c r="AK2125" s="134">
        <v>39164</v>
      </c>
      <c r="AL2125" s="133">
        <f t="shared" si="597"/>
        <v>39802</v>
      </c>
      <c r="AM2125" s="134" t="s">
        <v>4787</v>
      </c>
      <c r="AN2125" s="126" t="s">
        <v>276</v>
      </c>
      <c r="AO2125" s="135">
        <f t="shared" si="598"/>
        <v>24.512307220917169</v>
      </c>
      <c r="AP2125" s="126" t="s">
        <v>276</v>
      </c>
      <c r="AQ2125" s="126" t="s">
        <v>276</v>
      </c>
      <c r="AR2125" s="126" t="s">
        <v>276</v>
      </c>
      <c r="AS2125" s="135">
        <f t="shared" si="599"/>
        <v>20.853223456107735</v>
      </c>
      <c r="AT2125" s="126" t="s">
        <v>276</v>
      </c>
      <c r="AU2125" s="126" t="s">
        <v>276</v>
      </c>
      <c r="AV2125" s="126" t="s">
        <v>268</v>
      </c>
      <c r="AW2125" s="234" t="s">
        <v>276</v>
      </c>
      <c r="AX2125" s="234">
        <f t="shared" si="596"/>
        <v>1.1754684963939097</v>
      </c>
      <c r="AY2125" s="127" t="s">
        <v>276</v>
      </c>
      <c r="AZ2125" s="127" t="s">
        <v>276</v>
      </c>
      <c r="BA2125" s="127" t="s">
        <v>276</v>
      </c>
      <c r="BB2125" s="127" t="s">
        <v>282</v>
      </c>
      <c r="BC2125" s="127" t="s">
        <v>98</v>
      </c>
      <c r="BD2125" s="127" t="s">
        <v>98</v>
      </c>
      <c r="BE2125" s="127" t="s">
        <v>98</v>
      </c>
      <c r="BF2125" s="127" t="s">
        <v>1029</v>
      </c>
      <c r="BG2125" s="127" t="s">
        <v>11182</v>
      </c>
      <c r="BH2125" s="9" t="s">
        <v>100</v>
      </c>
      <c r="BI2125" s="9" t="s">
        <v>100</v>
      </c>
      <c r="BJ2125" s="136"/>
      <c r="BN2125" s="136"/>
      <c r="BO2125" s="136"/>
    </row>
    <row r="2126" spans="1:67" s="137" customFormat="1" ht="68.5" hidden="1" customHeight="1" x14ac:dyDescent="0.35">
      <c r="A2126" s="126">
        <v>4368</v>
      </c>
      <c r="B2126" s="126" t="s">
        <v>8896</v>
      </c>
      <c r="C2126" s="127" t="s">
        <v>61</v>
      </c>
      <c r="D2126" s="127" t="s">
        <v>11241</v>
      </c>
      <c r="E2126" s="126" t="s">
        <v>35</v>
      </c>
      <c r="F2126" s="126" t="s">
        <v>97</v>
      </c>
      <c r="G2126" s="126" t="s">
        <v>225</v>
      </c>
      <c r="H2126" s="126" t="s">
        <v>125</v>
      </c>
      <c r="I2126" s="126" t="s">
        <v>114</v>
      </c>
      <c r="J2126" s="127" t="s">
        <v>25</v>
      </c>
      <c r="K2126" s="126" t="s">
        <v>1519</v>
      </c>
      <c r="L2126" s="126" t="s">
        <v>4151</v>
      </c>
      <c r="M2126" s="126" t="s">
        <v>300</v>
      </c>
      <c r="N2126" s="127" t="s">
        <v>9006</v>
      </c>
      <c r="O2126" s="127" t="s">
        <v>276</v>
      </c>
      <c r="P2126" s="127" t="s">
        <v>239</v>
      </c>
      <c r="Q2126" s="146">
        <v>31047</v>
      </c>
      <c r="R2126" s="127" t="s">
        <v>276</v>
      </c>
      <c r="S2126" s="127" t="s">
        <v>276</v>
      </c>
      <c r="T2126" s="127" t="s">
        <v>276</v>
      </c>
      <c r="U2126" s="167" t="s">
        <v>2331</v>
      </c>
      <c r="V2126" s="126" t="s">
        <v>14</v>
      </c>
      <c r="W2126" s="126" t="s">
        <v>98</v>
      </c>
      <c r="X2126" s="127" t="s">
        <v>207</v>
      </c>
      <c r="Y2126" s="132">
        <v>39164</v>
      </c>
      <c r="Z2126" s="127">
        <v>19943</v>
      </c>
      <c r="AA2126" s="127" t="s">
        <v>276</v>
      </c>
      <c r="AB2126" s="127" t="s">
        <v>276</v>
      </c>
      <c r="AC2126" s="126" t="s">
        <v>276</v>
      </c>
      <c r="AD2126" s="126" t="s">
        <v>968</v>
      </c>
      <c r="AE2126" s="126" t="s">
        <v>276</v>
      </c>
      <c r="AF2126" s="126" t="s">
        <v>968</v>
      </c>
      <c r="AG2126" s="127" t="s">
        <v>11242</v>
      </c>
      <c r="AH2126" s="127" t="s">
        <v>11181</v>
      </c>
      <c r="AI2126" s="134">
        <f>1+5+6+8</f>
        <v>20</v>
      </c>
      <c r="AJ2126" s="134">
        <f>1+1+7+4</f>
        <v>13</v>
      </c>
      <c r="AK2126" s="134">
        <v>39164</v>
      </c>
      <c r="AL2126" s="133">
        <f t="shared" si="597"/>
        <v>39802</v>
      </c>
      <c r="AM2126" s="134" t="s">
        <v>4787</v>
      </c>
      <c r="AN2126" s="126" t="s">
        <v>276</v>
      </c>
      <c r="AO2126" s="135">
        <f t="shared" si="598"/>
        <v>5.10673067102441</v>
      </c>
      <c r="AP2126" s="126" t="s">
        <v>276</v>
      </c>
      <c r="AQ2126" s="126" t="s">
        <v>276</v>
      </c>
      <c r="AR2126" s="126" t="s">
        <v>276</v>
      </c>
      <c r="AS2126" s="135">
        <f t="shared" si="599"/>
        <v>3.266167529269886</v>
      </c>
      <c r="AT2126" s="126" t="s">
        <v>276</v>
      </c>
      <c r="AU2126" s="126" t="s">
        <v>276</v>
      </c>
      <c r="AV2126" s="126" t="s">
        <v>268</v>
      </c>
      <c r="AW2126" s="234" t="s">
        <v>276</v>
      </c>
      <c r="AX2126" s="234">
        <f t="shared" si="596"/>
        <v>1.5635238012931814</v>
      </c>
      <c r="AY2126" s="127" t="s">
        <v>276</v>
      </c>
      <c r="AZ2126" s="127" t="s">
        <v>276</v>
      </c>
      <c r="BA2126" s="127" t="s">
        <v>276</v>
      </c>
      <c r="BB2126" s="127" t="s">
        <v>282</v>
      </c>
      <c r="BC2126" s="127" t="s">
        <v>98</v>
      </c>
      <c r="BD2126" s="127" t="s">
        <v>98</v>
      </c>
      <c r="BE2126" s="127" t="s">
        <v>98</v>
      </c>
      <c r="BF2126" s="127" t="s">
        <v>1029</v>
      </c>
      <c r="BG2126" s="127" t="s">
        <v>11182</v>
      </c>
      <c r="BH2126" s="9" t="s">
        <v>100</v>
      </c>
      <c r="BI2126" s="9" t="s">
        <v>100</v>
      </c>
      <c r="BJ2126" s="136"/>
      <c r="BN2126" s="136"/>
      <c r="BO2126" s="136"/>
    </row>
    <row r="2127" spans="1:67" s="137" customFormat="1" ht="68.5" hidden="1" customHeight="1" x14ac:dyDescent="0.35">
      <c r="A2127" s="126">
        <v>4368</v>
      </c>
      <c r="B2127" s="126" t="s">
        <v>8896</v>
      </c>
      <c r="C2127" s="127" t="s">
        <v>61</v>
      </c>
      <c r="D2127" s="127" t="s">
        <v>11243</v>
      </c>
      <c r="E2127" s="126" t="s">
        <v>35</v>
      </c>
      <c r="F2127" s="126" t="s">
        <v>97</v>
      </c>
      <c r="G2127" s="126" t="s">
        <v>225</v>
      </c>
      <c r="H2127" s="126" t="s">
        <v>125</v>
      </c>
      <c r="I2127" s="126" t="s">
        <v>114</v>
      </c>
      <c r="J2127" s="127" t="s">
        <v>25</v>
      </c>
      <c r="K2127" s="126" t="s">
        <v>7801</v>
      </c>
      <c r="L2127" s="126" t="s">
        <v>4151</v>
      </c>
      <c r="M2127" s="126" t="s">
        <v>300</v>
      </c>
      <c r="N2127" s="127" t="s">
        <v>9006</v>
      </c>
      <c r="O2127" s="127" t="s">
        <v>276</v>
      </c>
      <c r="P2127" s="127" t="s">
        <v>239</v>
      </c>
      <c r="Q2127" s="146">
        <v>31047</v>
      </c>
      <c r="R2127" s="127" t="s">
        <v>276</v>
      </c>
      <c r="S2127" s="127" t="s">
        <v>276</v>
      </c>
      <c r="T2127" s="127" t="s">
        <v>276</v>
      </c>
      <c r="U2127" s="167" t="s">
        <v>2331</v>
      </c>
      <c r="V2127" s="126" t="s">
        <v>14</v>
      </c>
      <c r="W2127" s="126" t="s">
        <v>98</v>
      </c>
      <c r="X2127" s="127" t="s">
        <v>207</v>
      </c>
      <c r="Y2127" s="132">
        <v>39164</v>
      </c>
      <c r="Z2127" s="127">
        <v>19943</v>
      </c>
      <c r="AA2127" s="127" t="s">
        <v>276</v>
      </c>
      <c r="AB2127" s="127" t="s">
        <v>276</v>
      </c>
      <c r="AC2127" s="126" t="s">
        <v>276</v>
      </c>
      <c r="AD2127" s="126" t="s">
        <v>968</v>
      </c>
      <c r="AE2127" s="126" t="s">
        <v>276</v>
      </c>
      <c r="AF2127" s="126" t="s">
        <v>968</v>
      </c>
      <c r="AG2127" s="127" t="s">
        <v>11244</v>
      </c>
      <c r="AH2127" s="127" t="s">
        <v>11181</v>
      </c>
      <c r="AI2127" s="134">
        <f>20+96</f>
        <v>116</v>
      </c>
      <c r="AJ2127" s="134">
        <f>13+83</f>
        <v>96</v>
      </c>
      <c r="AK2127" s="134">
        <v>39164</v>
      </c>
      <c r="AL2127" s="133">
        <f t="shared" si="597"/>
        <v>39802</v>
      </c>
      <c r="AM2127" s="134" t="s">
        <v>4787</v>
      </c>
      <c r="AN2127" s="126" t="s">
        <v>276</v>
      </c>
      <c r="AO2127" s="135">
        <f t="shared" si="598"/>
        <v>29.619037891941581</v>
      </c>
      <c r="AP2127" s="126" t="s">
        <v>276</v>
      </c>
      <c r="AQ2127" s="126" t="s">
        <v>276</v>
      </c>
      <c r="AR2127" s="126" t="s">
        <v>276</v>
      </c>
      <c r="AS2127" s="135">
        <f t="shared" si="599"/>
        <v>24.11939098537762</v>
      </c>
      <c r="AT2127" s="126" t="s">
        <v>276</v>
      </c>
      <c r="AU2127" s="126" t="s">
        <v>276</v>
      </c>
      <c r="AV2127" s="126" t="s">
        <v>268</v>
      </c>
      <c r="AW2127" s="234" t="s">
        <v>276</v>
      </c>
      <c r="AX2127" s="234">
        <f t="shared" si="596"/>
        <v>1.2280176522656863</v>
      </c>
      <c r="AY2127" s="127" t="s">
        <v>276</v>
      </c>
      <c r="AZ2127" s="127" t="s">
        <v>276</v>
      </c>
      <c r="BA2127" s="127" t="s">
        <v>276</v>
      </c>
      <c r="BB2127" s="127" t="s">
        <v>282</v>
      </c>
      <c r="BC2127" s="127" t="s">
        <v>98</v>
      </c>
      <c r="BD2127" s="127" t="s">
        <v>98</v>
      </c>
      <c r="BE2127" s="127" t="s">
        <v>98</v>
      </c>
      <c r="BF2127" s="127" t="s">
        <v>1029</v>
      </c>
      <c r="BG2127" s="127" t="s">
        <v>11182</v>
      </c>
      <c r="BH2127" s="9" t="s">
        <v>100</v>
      </c>
      <c r="BI2127" s="9" t="s">
        <v>100</v>
      </c>
      <c r="BJ2127" s="136"/>
      <c r="BN2127" s="136"/>
      <c r="BO2127" s="136"/>
    </row>
    <row r="2128" spans="1:67" s="172" customFormat="1" ht="68.5" hidden="1" customHeight="1" x14ac:dyDescent="0.35">
      <c r="A2128" s="150">
        <v>4368</v>
      </c>
      <c r="B2128" s="150" t="s">
        <v>8896</v>
      </c>
      <c r="C2128" s="151" t="s">
        <v>61</v>
      </c>
      <c r="D2128" s="151" t="s">
        <v>11245</v>
      </c>
      <c r="E2128" s="150" t="s">
        <v>35</v>
      </c>
      <c r="F2128" s="150" t="s">
        <v>97</v>
      </c>
      <c r="G2128" s="150" t="s">
        <v>225</v>
      </c>
      <c r="H2128" s="150" t="s">
        <v>125</v>
      </c>
      <c r="I2128" s="150" t="s">
        <v>114</v>
      </c>
      <c r="J2128" s="151" t="s">
        <v>25</v>
      </c>
      <c r="K2128" s="150" t="s">
        <v>1499</v>
      </c>
      <c r="L2128" s="150" t="s">
        <v>4151</v>
      </c>
      <c r="M2128" s="150" t="s">
        <v>300</v>
      </c>
      <c r="N2128" s="151" t="s">
        <v>9006</v>
      </c>
      <c r="O2128" s="151" t="s">
        <v>276</v>
      </c>
      <c r="P2128" s="151" t="s">
        <v>239</v>
      </c>
      <c r="Q2128" s="154">
        <v>31412</v>
      </c>
      <c r="R2128" s="151" t="s">
        <v>276</v>
      </c>
      <c r="S2128" s="151" t="s">
        <v>276</v>
      </c>
      <c r="T2128" s="151" t="s">
        <v>276</v>
      </c>
      <c r="U2128" s="168" t="s">
        <v>1191</v>
      </c>
      <c r="V2128" s="150" t="s">
        <v>14</v>
      </c>
      <c r="W2128" s="150" t="s">
        <v>98</v>
      </c>
      <c r="X2128" s="151" t="s">
        <v>207</v>
      </c>
      <c r="Y2128" s="155">
        <v>39164</v>
      </c>
      <c r="Z2128" s="151">
        <v>19943</v>
      </c>
      <c r="AA2128" s="151" t="s">
        <v>276</v>
      </c>
      <c r="AB2128" s="151" t="s">
        <v>276</v>
      </c>
      <c r="AC2128" s="150" t="s">
        <v>276</v>
      </c>
      <c r="AD2128" s="150" t="s">
        <v>968</v>
      </c>
      <c r="AE2128" s="150" t="s">
        <v>276</v>
      </c>
      <c r="AF2128" s="150" t="s">
        <v>968</v>
      </c>
      <c r="AG2128" s="151" t="s">
        <v>11246</v>
      </c>
      <c r="AH2128" s="151" t="s">
        <v>11181</v>
      </c>
      <c r="AI2128" s="156">
        <f>20+46+56+39+36</f>
        <v>197</v>
      </c>
      <c r="AJ2128" s="156">
        <f>4+16+31+18+20</f>
        <v>89</v>
      </c>
      <c r="AK2128" s="156">
        <v>39164</v>
      </c>
      <c r="AL2128" s="497">
        <f t="shared" si="597"/>
        <v>39802</v>
      </c>
      <c r="AM2128" s="156" t="s">
        <v>4787</v>
      </c>
      <c r="AN2128" s="150" t="s">
        <v>276</v>
      </c>
      <c r="AO2128" s="159">
        <f t="shared" si="598"/>
        <v>50.301297109590443</v>
      </c>
      <c r="AP2128" s="150" t="s">
        <v>276</v>
      </c>
      <c r="AQ2128" s="150" t="s">
        <v>276</v>
      </c>
      <c r="AR2128" s="150" t="s">
        <v>276</v>
      </c>
      <c r="AS2128" s="159">
        <f t="shared" si="599"/>
        <v>22.360685392693835</v>
      </c>
      <c r="AT2128" s="150" t="s">
        <v>276</v>
      </c>
      <c r="AU2128" s="150" t="s">
        <v>276</v>
      </c>
      <c r="AV2128" s="150" t="s">
        <v>268</v>
      </c>
      <c r="AW2128" s="235" t="s">
        <v>276</v>
      </c>
      <c r="AX2128" s="235">
        <f t="shared" si="596"/>
        <v>2.2495418287145155</v>
      </c>
      <c r="AY2128" s="151" t="s">
        <v>276</v>
      </c>
      <c r="AZ2128" s="151" t="s">
        <v>276</v>
      </c>
      <c r="BA2128" s="151" t="s">
        <v>276</v>
      </c>
      <c r="BB2128" s="151" t="s">
        <v>282</v>
      </c>
      <c r="BC2128" s="151" t="s">
        <v>98</v>
      </c>
      <c r="BD2128" s="151" t="s">
        <v>98</v>
      </c>
      <c r="BE2128" s="151" t="s">
        <v>98</v>
      </c>
      <c r="BF2128" s="151" t="s">
        <v>1029</v>
      </c>
      <c r="BG2128" s="151" t="s">
        <v>11182</v>
      </c>
      <c r="BH2128" s="9" t="s">
        <v>100</v>
      </c>
      <c r="BI2128" s="9" t="s">
        <v>100</v>
      </c>
      <c r="BJ2128" s="171"/>
      <c r="BN2128" s="171"/>
      <c r="BO2128" s="171"/>
    </row>
    <row r="2129" spans="1:67" s="172" customFormat="1" ht="68.5" hidden="1" customHeight="1" x14ac:dyDescent="0.35">
      <c r="A2129" s="150">
        <v>4368</v>
      </c>
      <c r="B2129" s="150" t="s">
        <v>8896</v>
      </c>
      <c r="C2129" s="151" t="s">
        <v>61</v>
      </c>
      <c r="D2129" s="151" t="s">
        <v>11247</v>
      </c>
      <c r="E2129" s="150" t="s">
        <v>35</v>
      </c>
      <c r="F2129" s="150" t="s">
        <v>97</v>
      </c>
      <c r="G2129" s="150" t="s">
        <v>225</v>
      </c>
      <c r="H2129" s="150" t="s">
        <v>125</v>
      </c>
      <c r="I2129" s="150" t="s">
        <v>114</v>
      </c>
      <c r="J2129" s="151" t="s">
        <v>25</v>
      </c>
      <c r="K2129" s="150" t="s">
        <v>1510</v>
      </c>
      <c r="L2129" s="150" t="s">
        <v>4151</v>
      </c>
      <c r="M2129" s="150" t="s">
        <v>300</v>
      </c>
      <c r="N2129" s="151" t="s">
        <v>9006</v>
      </c>
      <c r="O2129" s="151" t="s">
        <v>276</v>
      </c>
      <c r="P2129" s="151" t="s">
        <v>239</v>
      </c>
      <c r="Q2129" s="154">
        <v>31412</v>
      </c>
      <c r="R2129" s="151" t="s">
        <v>276</v>
      </c>
      <c r="S2129" s="151" t="s">
        <v>276</v>
      </c>
      <c r="T2129" s="151" t="s">
        <v>276</v>
      </c>
      <c r="U2129" s="168" t="s">
        <v>1191</v>
      </c>
      <c r="V2129" s="150" t="s">
        <v>14</v>
      </c>
      <c r="W2129" s="150" t="s">
        <v>98</v>
      </c>
      <c r="X2129" s="151" t="s">
        <v>207</v>
      </c>
      <c r="Y2129" s="155">
        <v>39164</v>
      </c>
      <c r="Z2129" s="151">
        <v>19943</v>
      </c>
      <c r="AA2129" s="151" t="s">
        <v>276</v>
      </c>
      <c r="AB2129" s="151" t="s">
        <v>276</v>
      </c>
      <c r="AC2129" s="150" t="s">
        <v>276</v>
      </c>
      <c r="AD2129" s="150" t="s">
        <v>968</v>
      </c>
      <c r="AE2129" s="150" t="s">
        <v>276</v>
      </c>
      <c r="AF2129" s="150" t="s">
        <v>968</v>
      </c>
      <c r="AG2129" s="151" t="s">
        <v>11248</v>
      </c>
      <c r="AH2129" s="151" t="s">
        <v>11181</v>
      </c>
      <c r="AI2129" s="156">
        <f>8+24+37+27+21</f>
        <v>117</v>
      </c>
      <c r="AJ2129" s="156">
        <f>2+19+28+34+40</f>
        <v>123</v>
      </c>
      <c r="AK2129" s="156">
        <v>39164</v>
      </c>
      <c r="AL2129" s="497">
        <f t="shared" si="597"/>
        <v>39802</v>
      </c>
      <c r="AM2129" s="156" t="s">
        <v>4787</v>
      </c>
      <c r="AN2129" s="150" t="s">
        <v>276</v>
      </c>
      <c r="AO2129" s="159">
        <f t="shared" si="598"/>
        <v>29.8743744254928</v>
      </c>
      <c r="AP2129" s="150" t="s">
        <v>276</v>
      </c>
      <c r="AQ2129" s="150" t="s">
        <v>276</v>
      </c>
      <c r="AR2129" s="150" t="s">
        <v>276</v>
      </c>
      <c r="AS2129" s="159">
        <f t="shared" si="599"/>
        <v>30.902969700015074</v>
      </c>
      <c r="AT2129" s="150" t="s">
        <v>276</v>
      </c>
      <c r="AU2129" s="150" t="s">
        <v>276</v>
      </c>
      <c r="AV2129" s="150" t="s">
        <v>268</v>
      </c>
      <c r="AW2129" s="235" t="s">
        <v>276</v>
      </c>
      <c r="AX2129" s="235">
        <f t="shared" si="596"/>
        <v>0.96671532592151577</v>
      </c>
      <c r="AY2129" s="151" t="s">
        <v>276</v>
      </c>
      <c r="AZ2129" s="151" t="s">
        <v>276</v>
      </c>
      <c r="BA2129" s="151" t="s">
        <v>276</v>
      </c>
      <c r="BB2129" s="151" t="s">
        <v>282</v>
      </c>
      <c r="BC2129" s="151" t="s">
        <v>98</v>
      </c>
      <c r="BD2129" s="151" t="s">
        <v>98</v>
      </c>
      <c r="BE2129" s="151" t="s">
        <v>98</v>
      </c>
      <c r="BF2129" s="151" t="s">
        <v>1029</v>
      </c>
      <c r="BG2129" s="151" t="s">
        <v>11182</v>
      </c>
      <c r="BH2129" s="9" t="s">
        <v>100</v>
      </c>
      <c r="BI2129" s="9" t="s">
        <v>100</v>
      </c>
      <c r="BJ2129" s="171"/>
      <c r="BN2129" s="171"/>
      <c r="BO2129" s="171"/>
    </row>
    <row r="2130" spans="1:67" s="172" customFormat="1" ht="68.5" hidden="1" customHeight="1" x14ac:dyDescent="0.35">
      <c r="A2130" s="150">
        <v>4368</v>
      </c>
      <c r="B2130" s="150" t="s">
        <v>8896</v>
      </c>
      <c r="C2130" s="151" t="s">
        <v>61</v>
      </c>
      <c r="D2130" s="151" t="s">
        <v>11249</v>
      </c>
      <c r="E2130" s="150" t="s">
        <v>35</v>
      </c>
      <c r="F2130" s="150" t="s">
        <v>97</v>
      </c>
      <c r="G2130" s="150" t="s">
        <v>225</v>
      </c>
      <c r="H2130" s="150" t="s">
        <v>125</v>
      </c>
      <c r="I2130" s="150" t="s">
        <v>114</v>
      </c>
      <c r="J2130" s="151" t="s">
        <v>25</v>
      </c>
      <c r="K2130" s="150" t="s">
        <v>1519</v>
      </c>
      <c r="L2130" s="150" t="s">
        <v>4151</v>
      </c>
      <c r="M2130" s="150" t="s">
        <v>300</v>
      </c>
      <c r="N2130" s="151" t="s">
        <v>9006</v>
      </c>
      <c r="O2130" s="151" t="s">
        <v>276</v>
      </c>
      <c r="P2130" s="151" t="s">
        <v>239</v>
      </c>
      <c r="Q2130" s="154">
        <v>31412</v>
      </c>
      <c r="R2130" s="151" t="s">
        <v>276</v>
      </c>
      <c r="S2130" s="151" t="s">
        <v>276</v>
      </c>
      <c r="T2130" s="151" t="s">
        <v>276</v>
      </c>
      <c r="U2130" s="168" t="s">
        <v>1191</v>
      </c>
      <c r="V2130" s="150" t="s">
        <v>14</v>
      </c>
      <c r="W2130" s="150" t="s">
        <v>98</v>
      </c>
      <c r="X2130" s="151" t="s">
        <v>207</v>
      </c>
      <c r="Y2130" s="155">
        <v>39164</v>
      </c>
      <c r="Z2130" s="151">
        <v>19943</v>
      </c>
      <c r="AA2130" s="151" t="s">
        <v>276</v>
      </c>
      <c r="AB2130" s="151" t="s">
        <v>276</v>
      </c>
      <c r="AC2130" s="150" t="s">
        <v>276</v>
      </c>
      <c r="AD2130" s="150" t="s">
        <v>968</v>
      </c>
      <c r="AE2130" s="150" t="s">
        <v>276</v>
      </c>
      <c r="AF2130" s="150" t="s">
        <v>968</v>
      </c>
      <c r="AG2130" s="151" t="s">
        <v>11250</v>
      </c>
      <c r="AH2130" s="151" t="s">
        <v>11181</v>
      </c>
      <c r="AI2130" s="156">
        <f>1+5+6+8+6</f>
        <v>26</v>
      </c>
      <c r="AJ2130" s="156">
        <f>1+1+7+4+14</f>
        <v>27</v>
      </c>
      <c r="AK2130" s="156">
        <v>39164</v>
      </c>
      <c r="AL2130" s="497">
        <f t="shared" si="597"/>
        <v>39802</v>
      </c>
      <c r="AM2130" s="156" t="s">
        <v>4787</v>
      </c>
      <c r="AN2130" s="150" t="s">
        <v>276</v>
      </c>
      <c r="AO2130" s="159">
        <f t="shared" si="598"/>
        <v>6.6387498723317329</v>
      </c>
      <c r="AP2130" s="150" t="s">
        <v>276</v>
      </c>
      <c r="AQ2130" s="150" t="s">
        <v>276</v>
      </c>
      <c r="AR2130" s="150" t="s">
        <v>276</v>
      </c>
      <c r="AS2130" s="159">
        <f t="shared" si="599"/>
        <v>6.7835787146374553</v>
      </c>
      <c r="AT2130" s="150" t="s">
        <v>276</v>
      </c>
      <c r="AU2130" s="150" t="s">
        <v>276</v>
      </c>
      <c r="AV2130" s="150" t="s">
        <v>268</v>
      </c>
      <c r="AW2130" s="235" t="s">
        <v>276</v>
      </c>
      <c r="AX2130" s="235">
        <f t="shared" si="596"/>
        <v>0.9786500830316579</v>
      </c>
      <c r="AY2130" s="151" t="s">
        <v>276</v>
      </c>
      <c r="AZ2130" s="151" t="s">
        <v>276</v>
      </c>
      <c r="BA2130" s="151" t="s">
        <v>276</v>
      </c>
      <c r="BB2130" s="151" t="s">
        <v>282</v>
      </c>
      <c r="BC2130" s="151" t="s">
        <v>98</v>
      </c>
      <c r="BD2130" s="151" t="s">
        <v>98</v>
      </c>
      <c r="BE2130" s="151" t="s">
        <v>98</v>
      </c>
      <c r="BF2130" s="151" t="s">
        <v>1029</v>
      </c>
      <c r="BG2130" s="151" t="s">
        <v>11182</v>
      </c>
      <c r="BH2130" s="9" t="s">
        <v>100</v>
      </c>
      <c r="BI2130" s="9" t="s">
        <v>100</v>
      </c>
      <c r="BJ2130" s="171"/>
      <c r="BN2130" s="171"/>
      <c r="BO2130" s="171"/>
    </row>
    <row r="2131" spans="1:67" s="172" customFormat="1" ht="68.5" hidden="1" customHeight="1" x14ac:dyDescent="0.35">
      <c r="A2131" s="150">
        <v>4368</v>
      </c>
      <c r="B2131" s="150" t="s">
        <v>8896</v>
      </c>
      <c r="C2131" s="151" t="s">
        <v>61</v>
      </c>
      <c r="D2131" s="151" t="s">
        <v>11251</v>
      </c>
      <c r="E2131" s="150" t="s">
        <v>35</v>
      </c>
      <c r="F2131" s="150" t="s">
        <v>97</v>
      </c>
      <c r="G2131" s="150" t="s">
        <v>225</v>
      </c>
      <c r="H2131" s="150" t="s">
        <v>125</v>
      </c>
      <c r="I2131" s="150" t="s">
        <v>114</v>
      </c>
      <c r="J2131" s="151" t="s">
        <v>25</v>
      </c>
      <c r="K2131" s="150" t="s">
        <v>7801</v>
      </c>
      <c r="L2131" s="150" t="s">
        <v>4151</v>
      </c>
      <c r="M2131" s="150" t="s">
        <v>300</v>
      </c>
      <c r="N2131" s="151" t="s">
        <v>9006</v>
      </c>
      <c r="O2131" s="151" t="s">
        <v>276</v>
      </c>
      <c r="P2131" s="151" t="s">
        <v>239</v>
      </c>
      <c r="Q2131" s="154">
        <v>31412</v>
      </c>
      <c r="R2131" s="151" t="s">
        <v>276</v>
      </c>
      <c r="S2131" s="151" t="s">
        <v>276</v>
      </c>
      <c r="T2131" s="151" t="s">
        <v>276</v>
      </c>
      <c r="U2131" s="168" t="s">
        <v>1191</v>
      </c>
      <c r="V2131" s="150" t="s">
        <v>14</v>
      </c>
      <c r="W2131" s="150" t="s">
        <v>98</v>
      </c>
      <c r="X2131" s="151" t="s">
        <v>207</v>
      </c>
      <c r="Y2131" s="155">
        <v>39164</v>
      </c>
      <c r="Z2131" s="151">
        <v>19943</v>
      </c>
      <c r="AA2131" s="151" t="s">
        <v>276</v>
      </c>
      <c r="AB2131" s="151" t="s">
        <v>276</v>
      </c>
      <c r="AC2131" s="150" t="s">
        <v>276</v>
      </c>
      <c r="AD2131" s="150" t="s">
        <v>968</v>
      </c>
      <c r="AE2131" s="150" t="s">
        <v>276</v>
      </c>
      <c r="AF2131" s="150" t="s">
        <v>968</v>
      </c>
      <c r="AG2131" s="151" t="s">
        <v>11252</v>
      </c>
      <c r="AH2131" s="151" t="s">
        <v>9004</v>
      </c>
      <c r="AI2131" s="156">
        <f>26+117</f>
        <v>143</v>
      </c>
      <c r="AJ2131" s="156">
        <f>27+123</f>
        <v>150</v>
      </c>
      <c r="AK2131" s="156">
        <v>39164</v>
      </c>
      <c r="AL2131" s="497">
        <f t="shared" si="597"/>
        <v>39802</v>
      </c>
      <c r="AM2131" s="156" t="s">
        <v>4787</v>
      </c>
      <c r="AN2131" s="150" t="s">
        <v>276</v>
      </c>
      <c r="AO2131" s="159">
        <f t="shared" si="598"/>
        <v>36.513124297824533</v>
      </c>
      <c r="AP2131" s="150" t="s">
        <v>276</v>
      </c>
      <c r="AQ2131" s="150" t="s">
        <v>276</v>
      </c>
      <c r="AR2131" s="150" t="s">
        <v>276</v>
      </c>
      <c r="AS2131" s="159">
        <f t="shared" si="599"/>
        <v>37.686548414652528</v>
      </c>
      <c r="AT2131" s="150" t="s">
        <v>276</v>
      </c>
      <c r="AU2131" s="150" t="s">
        <v>276</v>
      </c>
      <c r="AV2131" s="150" t="s">
        <v>268</v>
      </c>
      <c r="AW2131" s="235" t="s">
        <v>276</v>
      </c>
      <c r="AX2131" s="235">
        <f t="shared" si="596"/>
        <v>0.96886358220134139</v>
      </c>
      <c r="AY2131" s="151" t="s">
        <v>276</v>
      </c>
      <c r="AZ2131" s="151" t="s">
        <v>276</v>
      </c>
      <c r="BA2131" s="151" t="s">
        <v>276</v>
      </c>
      <c r="BB2131" s="151" t="s">
        <v>282</v>
      </c>
      <c r="BC2131" s="151" t="s">
        <v>98</v>
      </c>
      <c r="BD2131" s="151" t="s">
        <v>98</v>
      </c>
      <c r="BE2131" s="151" t="s">
        <v>98</v>
      </c>
      <c r="BF2131" s="151" t="s">
        <v>1029</v>
      </c>
      <c r="BG2131" s="151" t="s">
        <v>11182</v>
      </c>
      <c r="BH2131" s="9" t="s">
        <v>100</v>
      </c>
      <c r="BI2131" s="9" t="s">
        <v>100</v>
      </c>
      <c r="BJ2131" s="171"/>
      <c r="BN2131" s="171"/>
      <c r="BO2131" s="171"/>
    </row>
    <row r="2132" spans="1:67" s="110" customFormat="1" ht="52" hidden="1" x14ac:dyDescent="0.35">
      <c r="A2132" s="94">
        <v>4365</v>
      </c>
      <c r="B2132" s="95" t="s">
        <v>8926</v>
      </c>
      <c r="C2132" s="95" t="s">
        <v>61</v>
      </c>
      <c r="D2132" s="95" t="s">
        <v>9010</v>
      </c>
      <c r="E2132" s="94" t="s">
        <v>35</v>
      </c>
      <c r="F2132" s="94" t="s">
        <v>97</v>
      </c>
      <c r="G2132" s="94" t="s">
        <v>225</v>
      </c>
      <c r="H2132" s="94" t="s">
        <v>225</v>
      </c>
      <c r="I2132" s="94" t="s">
        <v>98</v>
      </c>
      <c r="J2132" s="95" t="s">
        <v>98</v>
      </c>
      <c r="K2132" s="94" t="s">
        <v>98</v>
      </c>
      <c r="L2132" s="94" t="s">
        <v>98</v>
      </c>
      <c r="M2132" s="94" t="s">
        <v>98</v>
      </c>
      <c r="N2132" s="94" t="s">
        <v>276</v>
      </c>
      <c r="O2132" s="95" t="s">
        <v>276</v>
      </c>
      <c r="P2132" s="95" t="s">
        <v>238</v>
      </c>
      <c r="Q2132" s="140" t="s">
        <v>276</v>
      </c>
      <c r="R2132" s="95" t="s">
        <v>276</v>
      </c>
      <c r="S2132" s="95" t="s">
        <v>276</v>
      </c>
      <c r="T2132" s="95" t="s">
        <v>98</v>
      </c>
      <c r="U2132" s="95">
        <v>2</v>
      </c>
      <c r="V2132" s="94" t="s">
        <v>15</v>
      </c>
      <c r="W2132" s="94" t="s">
        <v>3032</v>
      </c>
      <c r="X2132" s="95" t="s">
        <v>209</v>
      </c>
      <c r="Y2132" s="98">
        <v>14842</v>
      </c>
      <c r="Z2132" s="95" t="s">
        <v>98</v>
      </c>
      <c r="AA2132" s="95" t="s">
        <v>276</v>
      </c>
      <c r="AB2132" s="95" t="s">
        <v>98</v>
      </c>
      <c r="AC2132" s="94" t="s">
        <v>276</v>
      </c>
      <c r="AD2132" s="95" t="s">
        <v>8972</v>
      </c>
      <c r="AE2132" s="94" t="s">
        <v>98</v>
      </c>
      <c r="AF2132" s="94" t="s">
        <v>98</v>
      </c>
      <c r="AG2132" s="95" t="s">
        <v>11253</v>
      </c>
      <c r="AH2132" s="95" t="s">
        <v>11254</v>
      </c>
      <c r="AI2132" s="99">
        <f>8+14+12+12</f>
        <v>46</v>
      </c>
      <c r="AJ2132" s="99" t="s">
        <v>98</v>
      </c>
      <c r="AK2132" s="98">
        <v>14842</v>
      </c>
      <c r="AL2132" s="99" t="s">
        <v>98</v>
      </c>
      <c r="AM2132" s="99" t="s">
        <v>292</v>
      </c>
      <c r="AN2132" s="94" t="s">
        <v>276</v>
      </c>
      <c r="AO2132" s="802">
        <f t="shared" ref="AO2132:AO2137" si="600">AI2132*100/AK2132</f>
        <v>0.3099312761083412</v>
      </c>
      <c r="AP2132" s="94" t="s">
        <v>276</v>
      </c>
      <c r="AQ2132" s="94" t="s">
        <v>276</v>
      </c>
      <c r="AR2132" s="94" t="s">
        <v>276</v>
      </c>
      <c r="AS2132" s="102" t="s">
        <v>98</v>
      </c>
      <c r="AT2132" s="94" t="s">
        <v>98</v>
      </c>
      <c r="AU2132" s="94" t="s">
        <v>98</v>
      </c>
      <c r="AV2132" s="94" t="s">
        <v>98</v>
      </c>
      <c r="AW2132" s="94" t="s">
        <v>98</v>
      </c>
      <c r="AX2132" s="94" t="s">
        <v>98</v>
      </c>
      <c r="AY2132" s="94" t="s">
        <v>98</v>
      </c>
      <c r="AZ2132" s="94" t="s">
        <v>98</v>
      </c>
      <c r="BA2132" s="94" t="s">
        <v>98</v>
      </c>
      <c r="BB2132" s="94" t="s">
        <v>98</v>
      </c>
      <c r="BC2132" s="94" t="s">
        <v>98</v>
      </c>
      <c r="BD2132" s="94" t="s">
        <v>98</v>
      </c>
      <c r="BE2132" s="94" t="s">
        <v>98</v>
      </c>
      <c r="BF2132" s="95" t="s">
        <v>1358</v>
      </c>
      <c r="BG2132" s="95"/>
      <c r="BH2132" s="9" t="s">
        <v>100</v>
      </c>
      <c r="BI2132" s="9" t="s">
        <v>100</v>
      </c>
      <c r="BJ2132" s="109"/>
      <c r="BN2132" s="109"/>
      <c r="BO2132" s="109"/>
    </row>
    <row r="2133" spans="1:67" s="110" customFormat="1" ht="65" hidden="1" x14ac:dyDescent="0.35">
      <c r="A2133" s="94">
        <v>4365</v>
      </c>
      <c r="B2133" s="95" t="s">
        <v>8926</v>
      </c>
      <c r="C2133" s="95" t="s">
        <v>61</v>
      </c>
      <c r="D2133" s="95" t="s">
        <v>9011</v>
      </c>
      <c r="E2133" s="94" t="s">
        <v>35</v>
      </c>
      <c r="F2133" s="94" t="s">
        <v>97</v>
      </c>
      <c r="G2133" s="94" t="s">
        <v>225</v>
      </c>
      <c r="H2133" s="94" t="s">
        <v>225</v>
      </c>
      <c r="I2133" s="94" t="s">
        <v>98</v>
      </c>
      <c r="J2133" s="95" t="s">
        <v>98</v>
      </c>
      <c r="K2133" s="94" t="s">
        <v>98</v>
      </c>
      <c r="L2133" s="94" t="s">
        <v>98</v>
      </c>
      <c r="M2133" s="94" t="s">
        <v>98</v>
      </c>
      <c r="N2133" s="94" t="s">
        <v>276</v>
      </c>
      <c r="O2133" s="95" t="s">
        <v>276</v>
      </c>
      <c r="P2133" s="95" t="s">
        <v>236</v>
      </c>
      <c r="Q2133" s="163" t="s">
        <v>276</v>
      </c>
      <c r="R2133" s="95" t="s">
        <v>2367</v>
      </c>
      <c r="S2133" s="95" t="s">
        <v>9012</v>
      </c>
      <c r="T2133" s="95" t="s">
        <v>98</v>
      </c>
      <c r="U2133" s="95">
        <v>2</v>
      </c>
      <c r="V2133" s="94" t="s">
        <v>15</v>
      </c>
      <c r="W2133" s="94" t="s">
        <v>3032</v>
      </c>
      <c r="X2133" s="95" t="s">
        <v>209</v>
      </c>
      <c r="Y2133" s="98" t="s">
        <v>98</v>
      </c>
      <c r="Z2133" s="95" t="s">
        <v>98</v>
      </c>
      <c r="AA2133" s="95" t="s">
        <v>276</v>
      </c>
      <c r="AB2133" s="95" t="s">
        <v>98</v>
      </c>
      <c r="AC2133" s="94" t="s">
        <v>276</v>
      </c>
      <c r="AD2133" s="95" t="s">
        <v>8972</v>
      </c>
      <c r="AE2133" s="94" t="s">
        <v>98</v>
      </c>
      <c r="AF2133" s="94" t="s">
        <v>98</v>
      </c>
      <c r="AG2133" s="95" t="s">
        <v>11255</v>
      </c>
      <c r="AH2133" s="95" t="s">
        <v>11256</v>
      </c>
      <c r="AI2133" s="99">
        <f>8+14+12+12</f>
        <v>46</v>
      </c>
      <c r="AJ2133" s="99" t="s">
        <v>98</v>
      </c>
      <c r="AK2133" s="99">
        <v>118</v>
      </c>
      <c r="AL2133" s="99" t="s">
        <v>98</v>
      </c>
      <c r="AM2133" s="99" t="s">
        <v>292</v>
      </c>
      <c r="AN2133" s="94" t="s">
        <v>276</v>
      </c>
      <c r="AO2133" s="102">
        <f t="shared" si="600"/>
        <v>38.983050847457626</v>
      </c>
      <c r="AP2133" s="94" t="s">
        <v>276</v>
      </c>
      <c r="AQ2133" s="94" t="s">
        <v>276</v>
      </c>
      <c r="AR2133" s="94" t="s">
        <v>98</v>
      </c>
      <c r="AS2133" s="102" t="s">
        <v>98</v>
      </c>
      <c r="AT2133" s="94" t="s">
        <v>98</v>
      </c>
      <c r="AU2133" s="94" t="s">
        <v>98</v>
      </c>
      <c r="AV2133" s="94" t="s">
        <v>98</v>
      </c>
      <c r="AW2133" s="141" t="s">
        <v>98</v>
      </c>
      <c r="AX2133" s="141" t="s">
        <v>98</v>
      </c>
      <c r="AY2133" s="95" t="s">
        <v>98</v>
      </c>
      <c r="AZ2133" s="95" t="s">
        <v>98</v>
      </c>
      <c r="BA2133" s="95" t="s">
        <v>98</v>
      </c>
      <c r="BB2133" s="95" t="s">
        <v>98</v>
      </c>
      <c r="BC2133" s="95" t="s">
        <v>98</v>
      </c>
      <c r="BD2133" s="95" t="s">
        <v>98</v>
      </c>
      <c r="BE2133" s="95" t="s">
        <v>98</v>
      </c>
      <c r="BF2133" s="95" t="s">
        <v>9014</v>
      </c>
      <c r="BG2133" s="95"/>
      <c r="BH2133" s="9" t="s">
        <v>100</v>
      </c>
      <c r="BI2133" s="9" t="s">
        <v>100</v>
      </c>
      <c r="BJ2133" s="109"/>
      <c r="BN2133" s="109"/>
      <c r="BO2133" s="109"/>
    </row>
    <row r="2134" spans="1:67" s="33" customFormat="1" ht="91" hidden="1" x14ac:dyDescent="0.35">
      <c r="A2134" s="8">
        <v>4366</v>
      </c>
      <c r="B2134" s="9" t="s">
        <v>8926</v>
      </c>
      <c r="C2134" s="9" t="s">
        <v>61</v>
      </c>
      <c r="D2134" s="9" t="s">
        <v>8992</v>
      </c>
      <c r="E2134" s="8" t="s">
        <v>35</v>
      </c>
      <c r="F2134" s="8" t="s">
        <v>97</v>
      </c>
      <c r="G2134" s="8" t="s">
        <v>225</v>
      </c>
      <c r="H2134" s="8" t="s">
        <v>225</v>
      </c>
      <c r="I2134" s="8" t="s">
        <v>98</v>
      </c>
      <c r="J2134" s="9" t="s">
        <v>98</v>
      </c>
      <c r="K2134" s="8" t="s">
        <v>98</v>
      </c>
      <c r="L2134" s="8" t="s">
        <v>98</v>
      </c>
      <c r="M2134" s="8" t="s">
        <v>98</v>
      </c>
      <c r="N2134" s="9" t="s">
        <v>9015</v>
      </c>
      <c r="O2134" s="9" t="s">
        <v>276</v>
      </c>
      <c r="P2134" s="9" t="s">
        <v>238</v>
      </c>
      <c r="Q2134" s="52">
        <v>31777</v>
      </c>
      <c r="R2134" s="9" t="s">
        <v>276</v>
      </c>
      <c r="S2134" s="9" t="s">
        <v>276</v>
      </c>
      <c r="T2134" s="9" t="s">
        <v>98</v>
      </c>
      <c r="U2134" s="9">
        <v>2</v>
      </c>
      <c r="V2134" s="8" t="s">
        <v>14</v>
      </c>
      <c r="W2134" s="8" t="s">
        <v>98</v>
      </c>
      <c r="X2134" s="9" t="s">
        <v>209</v>
      </c>
      <c r="Y2134" s="13">
        <v>40318</v>
      </c>
      <c r="Z2134" s="9" t="s">
        <v>98</v>
      </c>
      <c r="AA2134" s="9" t="s">
        <v>276</v>
      </c>
      <c r="AB2134" s="9" t="s">
        <v>98</v>
      </c>
      <c r="AC2134" s="8" t="s">
        <v>276</v>
      </c>
      <c r="AD2134" s="9" t="s">
        <v>8972</v>
      </c>
      <c r="AE2134" s="8" t="s">
        <v>98</v>
      </c>
      <c r="AF2134" s="8" t="s">
        <v>98</v>
      </c>
      <c r="AG2134" s="9" t="s">
        <v>8994</v>
      </c>
      <c r="AH2134" s="9" t="s">
        <v>7518</v>
      </c>
      <c r="AI2134" s="38">
        <v>224</v>
      </c>
      <c r="AJ2134" s="38" t="s">
        <v>98</v>
      </c>
      <c r="AK2134" s="13">
        <v>40318</v>
      </c>
      <c r="AL2134" s="38" t="s">
        <v>98</v>
      </c>
      <c r="AM2134" s="38" t="s">
        <v>292</v>
      </c>
      <c r="AN2134" s="8" t="s">
        <v>276</v>
      </c>
      <c r="AO2134" s="66">
        <f t="shared" si="600"/>
        <v>0.55558311424177786</v>
      </c>
      <c r="AP2134" s="8" t="s">
        <v>276</v>
      </c>
      <c r="AQ2134" s="8" t="s">
        <v>276</v>
      </c>
      <c r="AR2134" s="8" t="s">
        <v>276</v>
      </c>
      <c r="AS2134" s="14" t="s">
        <v>98</v>
      </c>
      <c r="AT2134" s="8" t="s">
        <v>98</v>
      </c>
      <c r="AU2134" s="8" t="s">
        <v>98</v>
      </c>
      <c r="AV2134" s="8" t="s">
        <v>98</v>
      </c>
      <c r="AW2134" s="8" t="s">
        <v>98</v>
      </c>
      <c r="AX2134" s="8" t="s">
        <v>98</v>
      </c>
      <c r="AY2134" s="8" t="s">
        <v>98</v>
      </c>
      <c r="AZ2134" s="8" t="s">
        <v>98</v>
      </c>
      <c r="BA2134" s="8" t="s">
        <v>98</v>
      </c>
      <c r="BB2134" s="8" t="s">
        <v>98</v>
      </c>
      <c r="BC2134" s="8" t="s">
        <v>98</v>
      </c>
      <c r="BD2134" s="8" t="s">
        <v>98</v>
      </c>
      <c r="BE2134" s="8" t="s">
        <v>98</v>
      </c>
      <c r="BF2134" s="9" t="s">
        <v>1358</v>
      </c>
      <c r="BG2134" s="9"/>
      <c r="BH2134" s="9" t="s">
        <v>100</v>
      </c>
      <c r="BI2134" s="9" t="s">
        <v>100</v>
      </c>
      <c r="BJ2134" s="32"/>
      <c r="BN2134" s="32"/>
      <c r="BO2134" s="32"/>
    </row>
    <row r="2135" spans="1:67" s="33" customFormat="1" ht="91" x14ac:dyDescent="0.35">
      <c r="A2135" s="8">
        <v>4366</v>
      </c>
      <c r="B2135" s="9" t="s">
        <v>8926</v>
      </c>
      <c r="C2135" s="9" t="s">
        <v>61</v>
      </c>
      <c r="D2135" s="9" t="s">
        <v>9016</v>
      </c>
      <c r="E2135" s="8" t="s">
        <v>35</v>
      </c>
      <c r="F2135" s="8" t="s">
        <v>97</v>
      </c>
      <c r="G2135" s="8" t="s">
        <v>225</v>
      </c>
      <c r="H2135" s="8" t="s">
        <v>225</v>
      </c>
      <c r="I2135" s="8" t="s">
        <v>98</v>
      </c>
      <c r="J2135" s="9" t="s">
        <v>98</v>
      </c>
      <c r="K2135" s="8" t="s">
        <v>98</v>
      </c>
      <c r="L2135" s="8" t="s">
        <v>98</v>
      </c>
      <c r="M2135" s="8" t="s">
        <v>98</v>
      </c>
      <c r="N2135" s="9" t="s">
        <v>9015</v>
      </c>
      <c r="O2135" s="9" t="s">
        <v>276</v>
      </c>
      <c r="P2135" s="9" t="s">
        <v>236</v>
      </c>
      <c r="Q2135" s="51" t="s">
        <v>9017</v>
      </c>
      <c r="R2135" s="9" t="s">
        <v>276</v>
      </c>
      <c r="S2135" s="9" t="s">
        <v>276</v>
      </c>
      <c r="T2135" s="9" t="s">
        <v>98</v>
      </c>
      <c r="U2135" s="9">
        <v>2</v>
      </c>
      <c r="V2135" s="8" t="s">
        <v>14</v>
      </c>
      <c r="W2135" s="8" t="s">
        <v>98</v>
      </c>
      <c r="X2135" s="9" t="s">
        <v>209</v>
      </c>
      <c r="Y2135" s="13" t="s">
        <v>98</v>
      </c>
      <c r="Z2135" s="9" t="s">
        <v>98</v>
      </c>
      <c r="AA2135" s="9" t="s">
        <v>276</v>
      </c>
      <c r="AB2135" s="9" t="s">
        <v>98</v>
      </c>
      <c r="AC2135" s="8" t="s">
        <v>276</v>
      </c>
      <c r="AD2135" s="9" t="s">
        <v>8972</v>
      </c>
      <c r="AE2135" s="8" t="s">
        <v>98</v>
      </c>
      <c r="AF2135" s="8" t="s">
        <v>98</v>
      </c>
      <c r="AG2135" s="9" t="s">
        <v>8998</v>
      </c>
      <c r="AH2135" s="9" t="s">
        <v>9013</v>
      </c>
      <c r="AI2135" s="38">
        <v>224</v>
      </c>
      <c r="AJ2135" s="38" t="s">
        <v>98</v>
      </c>
      <c r="AK2135" s="38">
        <v>428</v>
      </c>
      <c r="AL2135" s="38" t="s">
        <v>98</v>
      </c>
      <c r="AM2135" s="38" t="s">
        <v>292</v>
      </c>
      <c r="AN2135" s="8">
        <v>52</v>
      </c>
      <c r="AO2135" s="14">
        <f t="shared" si="600"/>
        <v>52.336448598130843</v>
      </c>
      <c r="AP2135" s="8" t="s">
        <v>276</v>
      </c>
      <c r="AQ2135" s="8" t="s">
        <v>276</v>
      </c>
      <c r="AR2135" s="8" t="s">
        <v>98</v>
      </c>
      <c r="AS2135" s="14" t="s">
        <v>98</v>
      </c>
      <c r="AT2135" s="8" t="s">
        <v>98</v>
      </c>
      <c r="AU2135" s="8" t="s">
        <v>98</v>
      </c>
      <c r="AV2135" s="8" t="s">
        <v>98</v>
      </c>
      <c r="AW2135" s="40" t="s">
        <v>98</v>
      </c>
      <c r="AX2135" s="40" t="s">
        <v>98</v>
      </c>
      <c r="AY2135" s="9" t="s">
        <v>98</v>
      </c>
      <c r="AZ2135" s="9" t="s">
        <v>98</v>
      </c>
      <c r="BA2135" s="9" t="s">
        <v>98</v>
      </c>
      <c r="BB2135" s="9" t="s">
        <v>98</v>
      </c>
      <c r="BC2135" s="9" t="s">
        <v>98</v>
      </c>
      <c r="BD2135" s="9" t="s">
        <v>98</v>
      </c>
      <c r="BE2135" s="9" t="s">
        <v>98</v>
      </c>
      <c r="BF2135" s="9" t="s">
        <v>9018</v>
      </c>
      <c r="BG2135" s="9"/>
      <c r="BH2135" s="9" t="s">
        <v>99</v>
      </c>
      <c r="BI2135" s="9" t="s">
        <v>99</v>
      </c>
      <c r="BJ2135" s="32"/>
      <c r="BN2135" s="32"/>
      <c r="BO2135" s="32"/>
    </row>
    <row r="2136" spans="1:67" s="79" customFormat="1" ht="91" hidden="1" x14ac:dyDescent="0.35">
      <c r="A2136" s="72">
        <v>4366</v>
      </c>
      <c r="B2136" s="73" t="s">
        <v>8926</v>
      </c>
      <c r="C2136" s="73" t="s">
        <v>61</v>
      </c>
      <c r="D2136" s="73" t="s">
        <v>9019</v>
      </c>
      <c r="E2136" s="72" t="s">
        <v>35</v>
      </c>
      <c r="F2136" s="72" t="s">
        <v>97</v>
      </c>
      <c r="G2136" s="72" t="s">
        <v>225</v>
      </c>
      <c r="H2136" s="72" t="s">
        <v>225</v>
      </c>
      <c r="I2136" s="72" t="s">
        <v>98</v>
      </c>
      <c r="J2136" s="73" t="s">
        <v>98</v>
      </c>
      <c r="K2136" s="72" t="s">
        <v>98</v>
      </c>
      <c r="L2136" s="72" t="s">
        <v>98</v>
      </c>
      <c r="M2136" s="72" t="s">
        <v>98</v>
      </c>
      <c r="N2136" s="73" t="s">
        <v>9015</v>
      </c>
      <c r="O2136" s="73" t="s">
        <v>276</v>
      </c>
      <c r="P2136" s="73" t="s">
        <v>238</v>
      </c>
      <c r="Q2136" s="77">
        <v>31777</v>
      </c>
      <c r="R2136" s="73" t="s">
        <v>276</v>
      </c>
      <c r="S2136" s="73" t="s">
        <v>276</v>
      </c>
      <c r="T2136" s="73" t="s">
        <v>98</v>
      </c>
      <c r="U2136" s="73">
        <v>2</v>
      </c>
      <c r="V2136" s="72" t="s">
        <v>14</v>
      </c>
      <c r="W2136" s="72" t="s">
        <v>98</v>
      </c>
      <c r="X2136" s="73" t="s">
        <v>209</v>
      </c>
      <c r="Y2136" s="74">
        <v>40318</v>
      </c>
      <c r="Z2136" s="73" t="s">
        <v>98</v>
      </c>
      <c r="AA2136" s="73" t="s">
        <v>276</v>
      </c>
      <c r="AB2136" s="73" t="s">
        <v>98</v>
      </c>
      <c r="AC2136" s="72" t="s">
        <v>276</v>
      </c>
      <c r="AD2136" s="73" t="s">
        <v>8972</v>
      </c>
      <c r="AE2136" s="72" t="s">
        <v>98</v>
      </c>
      <c r="AF2136" s="72" t="s">
        <v>98</v>
      </c>
      <c r="AG2136" s="73" t="s">
        <v>9020</v>
      </c>
      <c r="AH2136" s="73" t="s">
        <v>7518</v>
      </c>
      <c r="AI2136" s="75">
        <f>224-29</f>
        <v>195</v>
      </c>
      <c r="AJ2136" s="75" t="s">
        <v>98</v>
      </c>
      <c r="AK2136" s="74">
        <v>40318</v>
      </c>
      <c r="AL2136" s="75" t="s">
        <v>98</v>
      </c>
      <c r="AM2136" s="75" t="s">
        <v>292</v>
      </c>
      <c r="AN2136" s="72" t="s">
        <v>276</v>
      </c>
      <c r="AO2136" s="801">
        <f t="shared" si="600"/>
        <v>0.48365494320154767</v>
      </c>
      <c r="AP2136" s="72" t="s">
        <v>276</v>
      </c>
      <c r="AQ2136" s="72" t="s">
        <v>276</v>
      </c>
      <c r="AR2136" s="72" t="s">
        <v>276</v>
      </c>
      <c r="AS2136" s="76" t="s">
        <v>98</v>
      </c>
      <c r="AT2136" s="72" t="s">
        <v>98</v>
      </c>
      <c r="AU2136" s="72" t="s">
        <v>98</v>
      </c>
      <c r="AV2136" s="72" t="s">
        <v>98</v>
      </c>
      <c r="AW2136" s="72" t="s">
        <v>98</v>
      </c>
      <c r="AX2136" s="72" t="s">
        <v>98</v>
      </c>
      <c r="AY2136" s="72" t="s">
        <v>98</v>
      </c>
      <c r="AZ2136" s="72" t="s">
        <v>98</v>
      </c>
      <c r="BA2136" s="72" t="s">
        <v>98</v>
      </c>
      <c r="BB2136" s="72" t="s">
        <v>98</v>
      </c>
      <c r="BC2136" s="72" t="s">
        <v>98</v>
      </c>
      <c r="BD2136" s="72" t="s">
        <v>98</v>
      </c>
      <c r="BE2136" s="72" t="s">
        <v>98</v>
      </c>
      <c r="BF2136" s="73" t="s">
        <v>1358</v>
      </c>
      <c r="BG2136" s="73"/>
      <c r="BH2136" s="9" t="s">
        <v>100</v>
      </c>
      <c r="BI2136" s="9" t="s">
        <v>100</v>
      </c>
      <c r="BJ2136" s="78"/>
      <c r="BN2136" s="78"/>
      <c r="BO2136" s="78"/>
    </row>
    <row r="2137" spans="1:67" s="79" customFormat="1" ht="91" hidden="1" x14ac:dyDescent="0.35">
      <c r="A2137" s="72">
        <v>4366</v>
      </c>
      <c r="B2137" s="73" t="s">
        <v>8926</v>
      </c>
      <c r="C2137" s="73" t="s">
        <v>61</v>
      </c>
      <c r="D2137" s="73" t="s">
        <v>9021</v>
      </c>
      <c r="E2137" s="72" t="s">
        <v>35</v>
      </c>
      <c r="F2137" s="72" t="s">
        <v>97</v>
      </c>
      <c r="G2137" s="72" t="s">
        <v>225</v>
      </c>
      <c r="H2137" s="72" t="s">
        <v>225</v>
      </c>
      <c r="I2137" s="72" t="s">
        <v>98</v>
      </c>
      <c r="J2137" s="73" t="s">
        <v>98</v>
      </c>
      <c r="K2137" s="72" t="s">
        <v>98</v>
      </c>
      <c r="L2137" s="72" t="s">
        <v>98</v>
      </c>
      <c r="M2137" s="72" t="s">
        <v>98</v>
      </c>
      <c r="N2137" s="73" t="s">
        <v>9015</v>
      </c>
      <c r="O2137" s="73" t="s">
        <v>276</v>
      </c>
      <c r="P2137" s="73" t="s">
        <v>236</v>
      </c>
      <c r="Q2137" s="89" t="s">
        <v>9017</v>
      </c>
      <c r="R2137" s="73" t="s">
        <v>276</v>
      </c>
      <c r="S2137" s="73" t="s">
        <v>276</v>
      </c>
      <c r="T2137" s="73" t="s">
        <v>98</v>
      </c>
      <c r="U2137" s="73">
        <v>2</v>
      </c>
      <c r="V2137" s="72" t="s">
        <v>14</v>
      </c>
      <c r="W2137" s="72" t="s">
        <v>98</v>
      </c>
      <c r="X2137" s="73" t="s">
        <v>209</v>
      </c>
      <c r="Y2137" s="74" t="s">
        <v>98</v>
      </c>
      <c r="Z2137" s="73" t="s">
        <v>98</v>
      </c>
      <c r="AA2137" s="73" t="s">
        <v>276</v>
      </c>
      <c r="AB2137" s="73" t="s">
        <v>98</v>
      </c>
      <c r="AC2137" s="72" t="s">
        <v>276</v>
      </c>
      <c r="AD2137" s="73" t="s">
        <v>8972</v>
      </c>
      <c r="AE2137" s="72" t="s">
        <v>98</v>
      </c>
      <c r="AF2137" s="72" t="s">
        <v>98</v>
      </c>
      <c r="AG2137" s="73" t="s">
        <v>9022</v>
      </c>
      <c r="AH2137" s="73" t="s">
        <v>9023</v>
      </c>
      <c r="AI2137" s="75">
        <f>224-29</f>
        <v>195</v>
      </c>
      <c r="AJ2137" s="75" t="s">
        <v>98</v>
      </c>
      <c r="AK2137" s="75">
        <f>428-43</f>
        <v>385</v>
      </c>
      <c r="AL2137" s="75" t="s">
        <v>98</v>
      </c>
      <c r="AM2137" s="75" t="s">
        <v>292</v>
      </c>
      <c r="AN2137" s="72" t="s">
        <v>276</v>
      </c>
      <c r="AO2137" s="76">
        <f t="shared" si="600"/>
        <v>50.649350649350652</v>
      </c>
      <c r="AP2137" s="72" t="s">
        <v>276</v>
      </c>
      <c r="AQ2137" s="72" t="s">
        <v>276</v>
      </c>
      <c r="AR2137" s="72" t="s">
        <v>98</v>
      </c>
      <c r="AS2137" s="76" t="s">
        <v>98</v>
      </c>
      <c r="AT2137" s="72" t="s">
        <v>98</v>
      </c>
      <c r="AU2137" s="72" t="s">
        <v>98</v>
      </c>
      <c r="AV2137" s="72" t="s">
        <v>98</v>
      </c>
      <c r="AW2137" s="83" t="s">
        <v>98</v>
      </c>
      <c r="AX2137" s="83" t="s">
        <v>98</v>
      </c>
      <c r="AY2137" s="73" t="s">
        <v>98</v>
      </c>
      <c r="AZ2137" s="73" t="s">
        <v>98</v>
      </c>
      <c r="BA2137" s="73" t="s">
        <v>98</v>
      </c>
      <c r="BB2137" s="73" t="s">
        <v>98</v>
      </c>
      <c r="BC2137" s="73" t="s">
        <v>98</v>
      </c>
      <c r="BD2137" s="73" t="s">
        <v>98</v>
      </c>
      <c r="BE2137" s="73" t="s">
        <v>98</v>
      </c>
      <c r="BF2137" s="73" t="s">
        <v>1358</v>
      </c>
      <c r="BG2137" s="73"/>
      <c r="BH2137" s="9" t="s">
        <v>100</v>
      </c>
      <c r="BI2137" s="9" t="s">
        <v>100</v>
      </c>
      <c r="BJ2137" s="78"/>
      <c r="BN2137" s="78"/>
      <c r="BO2137" s="78"/>
    </row>
    <row r="2138" spans="1:67" s="33" customFormat="1" ht="91" hidden="1" x14ac:dyDescent="0.35">
      <c r="A2138" s="8">
        <v>4366</v>
      </c>
      <c r="B2138" s="9" t="s">
        <v>8926</v>
      </c>
      <c r="C2138" s="9" t="s">
        <v>61</v>
      </c>
      <c r="D2138" s="9" t="s">
        <v>11257</v>
      </c>
      <c r="E2138" s="8" t="s">
        <v>35</v>
      </c>
      <c r="F2138" s="8" t="s">
        <v>97</v>
      </c>
      <c r="G2138" s="8" t="s">
        <v>225</v>
      </c>
      <c r="H2138" s="8" t="s">
        <v>125</v>
      </c>
      <c r="I2138" s="8" t="s">
        <v>113</v>
      </c>
      <c r="J2138" s="9" t="s">
        <v>32</v>
      </c>
      <c r="K2138" s="8" t="s">
        <v>3794</v>
      </c>
      <c r="L2138" s="8" t="s">
        <v>4151</v>
      </c>
      <c r="M2138" s="8" t="s">
        <v>300</v>
      </c>
      <c r="N2138" s="9" t="s">
        <v>9015</v>
      </c>
      <c r="O2138" s="9" t="s">
        <v>276</v>
      </c>
      <c r="P2138" s="9" t="s">
        <v>239</v>
      </c>
      <c r="Q2138" s="52">
        <v>31777</v>
      </c>
      <c r="R2138" s="9" t="s">
        <v>276</v>
      </c>
      <c r="S2138" s="9" t="s">
        <v>276</v>
      </c>
      <c r="T2138" s="9" t="s">
        <v>276</v>
      </c>
      <c r="U2138" s="9">
        <v>2</v>
      </c>
      <c r="V2138" s="8" t="s">
        <v>14</v>
      </c>
      <c r="W2138" s="8" t="s">
        <v>98</v>
      </c>
      <c r="X2138" s="9" t="s">
        <v>207</v>
      </c>
      <c r="Y2138" s="13">
        <v>40318</v>
      </c>
      <c r="Z2138" s="9">
        <v>19943</v>
      </c>
      <c r="AA2138" s="9" t="s">
        <v>276</v>
      </c>
      <c r="AB2138" s="9" t="s">
        <v>276</v>
      </c>
      <c r="AC2138" s="8" t="s">
        <v>276</v>
      </c>
      <c r="AD2138" s="8" t="s">
        <v>968</v>
      </c>
      <c r="AE2138" s="8" t="s">
        <v>276</v>
      </c>
      <c r="AF2138" s="8" t="s">
        <v>968</v>
      </c>
      <c r="AG2138" s="9" t="s">
        <v>11258</v>
      </c>
      <c r="AH2138" s="9" t="s">
        <v>7518</v>
      </c>
      <c r="AI2138" s="38">
        <v>43</v>
      </c>
      <c r="AJ2138" s="38">
        <v>14</v>
      </c>
      <c r="AK2138" s="13">
        <v>40318</v>
      </c>
      <c r="AL2138" s="9">
        <v>19943</v>
      </c>
      <c r="AM2138" s="38" t="s">
        <v>4787</v>
      </c>
      <c r="AN2138" s="8" t="s">
        <v>276</v>
      </c>
      <c r="AO2138" s="14">
        <f t="shared" ref="AO2138:AO2143" si="601">AI2138*10000/AK2138</f>
        <v>10.665211568034129</v>
      </c>
      <c r="AP2138" s="8" t="s">
        <v>276</v>
      </c>
      <c r="AQ2138" s="8" t="s">
        <v>276</v>
      </c>
      <c r="AR2138" s="8" t="s">
        <v>276</v>
      </c>
      <c r="AS2138" s="14">
        <f t="shared" ref="AS2138:AS2143" si="602">AJ2138*10000/AL2138</f>
        <v>7.0200070200070197</v>
      </c>
      <c r="AT2138" s="8" t="s">
        <v>276</v>
      </c>
      <c r="AU2138" s="8" t="s">
        <v>276</v>
      </c>
      <c r="AV2138" s="8" t="s">
        <v>268</v>
      </c>
      <c r="AW2138" s="40" t="s">
        <v>276</v>
      </c>
      <c r="AX2138" s="40">
        <f t="shared" ref="AX2138:AX2145" si="603">AO2138/AS2138</f>
        <v>1.5192593878664618</v>
      </c>
      <c r="AY2138" s="9" t="s">
        <v>276</v>
      </c>
      <c r="AZ2138" s="9" t="s">
        <v>276</v>
      </c>
      <c r="BA2138" s="9" t="s">
        <v>276</v>
      </c>
      <c r="BB2138" s="9" t="s">
        <v>282</v>
      </c>
      <c r="BC2138" s="9" t="s">
        <v>98</v>
      </c>
      <c r="BD2138" s="9" t="s">
        <v>98</v>
      </c>
      <c r="BE2138" s="9" t="s">
        <v>98</v>
      </c>
      <c r="BF2138" s="9" t="s">
        <v>1358</v>
      </c>
      <c r="BG2138" s="9"/>
      <c r="BH2138" s="9" t="s">
        <v>100</v>
      </c>
      <c r="BI2138" s="9" t="s">
        <v>100</v>
      </c>
      <c r="BJ2138" s="32"/>
      <c r="BN2138" s="32"/>
      <c r="BO2138" s="32"/>
    </row>
    <row r="2139" spans="1:67" s="33" customFormat="1" ht="91" hidden="1" x14ac:dyDescent="0.35">
      <c r="A2139" s="8">
        <v>4366</v>
      </c>
      <c r="B2139" s="9" t="s">
        <v>8926</v>
      </c>
      <c r="C2139" s="9" t="s">
        <v>61</v>
      </c>
      <c r="D2139" s="9" t="s">
        <v>9024</v>
      </c>
      <c r="E2139" s="8" t="s">
        <v>35</v>
      </c>
      <c r="F2139" s="8" t="s">
        <v>97</v>
      </c>
      <c r="G2139" s="8" t="s">
        <v>225</v>
      </c>
      <c r="H2139" s="8" t="s">
        <v>125</v>
      </c>
      <c r="I2139" s="8" t="s">
        <v>113</v>
      </c>
      <c r="J2139" s="9" t="s">
        <v>25</v>
      </c>
      <c r="K2139" s="8" t="s">
        <v>1499</v>
      </c>
      <c r="L2139" s="8" t="s">
        <v>4151</v>
      </c>
      <c r="M2139" s="8" t="s">
        <v>300</v>
      </c>
      <c r="N2139" s="9" t="s">
        <v>9015</v>
      </c>
      <c r="O2139" s="9" t="s">
        <v>276</v>
      </c>
      <c r="P2139" s="9" t="s">
        <v>239</v>
      </c>
      <c r="Q2139" s="52">
        <v>31777</v>
      </c>
      <c r="R2139" s="9" t="s">
        <v>276</v>
      </c>
      <c r="S2139" s="9" t="s">
        <v>276</v>
      </c>
      <c r="T2139" s="9" t="s">
        <v>276</v>
      </c>
      <c r="U2139" s="9">
        <v>2</v>
      </c>
      <c r="V2139" s="8" t="s">
        <v>14</v>
      </c>
      <c r="W2139" s="8" t="s">
        <v>98</v>
      </c>
      <c r="X2139" s="9" t="s">
        <v>207</v>
      </c>
      <c r="Y2139" s="13">
        <v>40318</v>
      </c>
      <c r="Z2139" s="9">
        <v>19943</v>
      </c>
      <c r="AA2139" s="9" t="s">
        <v>276</v>
      </c>
      <c r="AB2139" s="9" t="s">
        <v>276</v>
      </c>
      <c r="AC2139" s="8" t="s">
        <v>276</v>
      </c>
      <c r="AD2139" s="8" t="s">
        <v>968</v>
      </c>
      <c r="AE2139" s="8" t="s">
        <v>276</v>
      </c>
      <c r="AF2139" s="8" t="s">
        <v>968</v>
      </c>
      <c r="AG2139" s="9" t="s">
        <v>9025</v>
      </c>
      <c r="AH2139" s="9" t="s">
        <v>7518</v>
      </c>
      <c r="AI2139" s="38">
        <v>213</v>
      </c>
      <c r="AJ2139" s="38">
        <v>106</v>
      </c>
      <c r="AK2139" s="13">
        <v>40318</v>
      </c>
      <c r="AL2139" s="9">
        <v>19943</v>
      </c>
      <c r="AM2139" s="38" t="s">
        <v>4787</v>
      </c>
      <c r="AN2139" s="8" t="s">
        <v>276</v>
      </c>
      <c r="AO2139" s="14">
        <f t="shared" ref="AO2139" si="604">AI2139*10000/AK2139</f>
        <v>52.830001488169053</v>
      </c>
      <c r="AP2139" s="8" t="s">
        <v>276</v>
      </c>
      <c r="AQ2139" s="8" t="s">
        <v>276</v>
      </c>
      <c r="AR2139" s="8" t="s">
        <v>276</v>
      </c>
      <c r="AS2139" s="14">
        <f t="shared" ref="AS2139" si="605">AJ2139*10000/AL2139</f>
        <v>53.151481722910297</v>
      </c>
      <c r="AT2139" s="8" t="s">
        <v>276</v>
      </c>
      <c r="AU2139" s="8" t="s">
        <v>276</v>
      </c>
      <c r="AV2139" s="8" t="s">
        <v>268</v>
      </c>
      <c r="AW2139" s="40" t="s">
        <v>276</v>
      </c>
      <c r="AX2139" s="40">
        <f t="shared" ref="AX2139" si="606">AO2139/AS2139</f>
        <v>0.99395162233825973</v>
      </c>
      <c r="AY2139" s="9" t="s">
        <v>276</v>
      </c>
      <c r="AZ2139" s="9" t="s">
        <v>276</v>
      </c>
      <c r="BA2139" s="9" t="s">
        <v>276</v>
      </c>
      <c r="BB2139" s="9" t="s">
        <v>282</v>
      </c>
      <c r="BC2139" s="9" t="s">
        <v>98</v>
      </c>
      <c r="BD2139" s="9" t="s">
        <v>98</v>
      </c>
      <c r="BE2139" s="9" t="s">
        <v>98</v>
      </c>
      <c r="BF2139" s="9" t="s">
        <v>1358</v>
      </c>
      <c r="BG2139" s="9"/>
      <c r="BH2139" s="9" t="s">
        <v>100</v>
      </c>
      <c r="BI2139" s="9" t="s">
        <v>100</v>
      </c>
      <c r="BJ2139" s="32"/>
      <c r="BN2139" s="32"/>
      <c r="BO2139" s="32"/>
    </row>
    <row r="2140" spans="1:67" s="33" customFormat="1" ht="91" hidden="1" x14ac:dyDescent="0.35">
      <c r="A2140" s="8">
        <v>4366</v>
      </c>
      <c r="B2140" s="9" t="s">
        <v>8926</v>
      </c>
      <c r="C2140" s="9" t="s">
        <v>61</v>
      </c>
      <c r="D2140" s="9" t="s">
        <v>11623</v>
      </c>
      <c r="E2140" s="8" t="s">
        <v>35</v>
      </c>
      <c r="F2140" s="8" t="s">
        <v>97</v>
      </c>
      <c r="G2140" s="8" t="s">
        <v>225</v>
      </c>
      <c r="H2140" s="8" t="s">
        <v>125</v>
      </c>
      <c r="I2140" s="8" t="s">
        <v>113</v>
      </c>
      <c r="J2140" s="9" t="s">
        <v>25</v>
      </c>
      <c r="K2140" s="8" t="s">
        <v>11624</v>
      </c>
      <c r="L2140" s="8" t="s">
        <v>4151</v>
      </c>
      <c r="M2140" s="8" t="s">
        <v>300</v>
      </c>
      <c r="N2140" s="9" t="s">
        <v>9015</v>
      </c>
      <c r="O2140" s="9" t="s">
        <v>276</v>
      </c>
      <c r="P2140" s="9" t="s">
        <v>239</v>
      </c>
      <c r="Q2140" s="52">
        <v>31777</v>
      </c>
      <c r="R2140" s="9" t="s">
        <v>276</v>
      </c>
      <c r="S2140" s="9" t="s">
        <v>276</v>
      </c>
      <c r="T2140" s="9" t="s">
        <v>276</v>
      </c>
      <c r="U2140" s="9">
        <v>2</v>
      </c>
      <c r="V2140" s="8" t="s">
        <v>14</v>
      </c>
      <c r="W2140" s="8" t="s">
        <v>98</v>
      </c>
      <c r="X2140" s="9" t="s">
        <v>207</v>
      </c>
      <c r="Y2140" s="13">
        <v>40318</v>
      </c>
      <c r="Z2140" s="9">
        <v>19943</v>
      </c>
      <c r="AA2140" s="9" t="s">
        <v>276</v>
      </c>
      <c r="AB2140" s="9" t="s">
        <v>276</v>
      </c>
      <c r="AC2140" s="8" t="s">
        <v>276</v>
      </c>
      <c r="AD2140" s="8" t="s">
        <v>968</v>
      </c>
      <c r="AE2140" s="8" t="s">
        <v>276</v>
      </c>
      <c r="AF2140" s="8" t="s">
        <v>968</v>
      </c>
      <c r="AG2140" s="9" t="s">
        <v>11625</v>
      </c>
      <c r="AH2140" s="9" t="s">
        <v>7518</v>
      </c>
      <c r="AI2140" s="38">
        <f>213+43</f>
        <v>256</v>
      </c>
      <c r="AJ2140" s="38">
        <f>106+14</f>
        <v>120</v>
      </c>
      <c r="AK2140" s="13">
        <v>40318</v>
      </c>
      <c r="AL2140" s="9">
        <v>19943</v>
      </c>
      <c r="AM2140" s="38" t="s">
        <v>4787</v>
      </c>
      <c r="AN2140" s="8" t="s">
        <v>276</v>
      </c>
      <c r="AO2140" s="14">
        <f t="shared" si="601"/>
        <v>63.495213056203184</v>
      </c>
      <c r="AP2140" s="8" t="s">
        <v>276</v>
      </c>
      <c r="AQ2140" s="8" t="s">
        <v>276</v>
      </c>
      <c r="AR2140" s="8" t="s">
        <v>276</v>
      </c>
      <c r="AS2140" s="14">
        <f t="shared" si="602"/>
        <v>60.171488742917312</v>
      </c>
      <c r="AT2140" s="8" t="s">
        <v>276</v>
      </c>
      <c r="AU2140" s="8" t="s">
        <v>276</v>
      </c>
      <c r="AV2140" s="8" t="s">
        <v>268</v>
      </c>
      <c r="AW2140" s="40" t="s">
        <v>276</v>
      </c>
      <c r="AX2140" s="40">
        <f t="shared" si="603"/>
        <v>1.05523752831655</v>
      </c>
      <c r="AY2140" s="9" t="s">
        <v>276</v>
      </c>
      <c r="AZ2140" s="9" t="s">
        <v>276</v>
      </c>
      <c r="BA2140" s="9" t="s">
        <v>276</v>
      </c>
      <c r="BB2140" s="9" t="s">
        <v>282</v>
      </c>
      <c r="BC2140" s="9" t="s">
        <v>98</v>
      </c>
      <c r="BD2140" s="9" t="s">
        <v>98</v>
      </c>
      <c r="BE2140" s="9" t="s">
        <v>98</v>
      </c>
      <c r="BF2140" s="9" t="s">
        <v>1358</v>
      </c>
      <c r="BG2140" s="9"/>
      <c r="BH2140" s="9" t="s">
        <v>100</v>
      </c>
      <c r="BI2140" s="9" t="s">
        <v>100</v>
      </c>
      <c r="BJ2140" s="32"/>
      <c r="BN2140" s="32"/>
      <c r="BO2140" s="32"/>
    </row>
    <row r="2141" spans="1:67" s="33" customFormat="1" ht="91" hidden="1" x14ac:dyDescent="0.35">
      <c r="A2141" s="8">
        <v>4366</v>
      </c>
      <c r="B2141" s="9" t="s">
        <v>8926</v>
      </c>
      <c r="C2141" s="9" t="s">
        <v>61</v>
      </c>
      <c r="D2141" s="9" t="s">
        <v>9026</v>
      </c>
      <c r="E2141" s="8" t="s">
        <v>35</v>
      </c>
      <c r="F2141" s="8" t="s">
        <v>97</v>
      </c>
      <c r="G2141" s="8" t="s">
        <v>225</v>
      </c>
      <c r="H2141" s="8" t="s">
        <v>125</v>
      </c>
      <c r="I2141" s="8" t="s">
        <v>113</v>
      </c>
      <c r="J2141" s="9" t="s">
        <v>25</v>
      </c>
      <c r="K2141" s="8" t="s">
        <v>1510</v>
      </c>
      <c r="L2141" s="8" t="s">
        <v>4151</v>
      </c>
      <c r="M2141" s="8" t="s">
        <v>300</v>
      </c>
      <c r="N2141" s="9" t="s">
        <v>9015</v>
      </c>
      <c r="O2141" s="9" t="s">
        <v>276</v>
      </c>
      <c r="P2141" s="9" t="s">
        <v>239</v>
      </c>
      <c r="Q2141" s="52">
        <v>31777</v>
      </c>
      <c r="R2141" s="9" t="s">
        <v>276</v>
      </c>
      <c r="S2141" s="9" t="s">
        <v>276</v>
      </c>
      <c r="T2141" s="9" t="s">
        <v>276</v>
      </c>
      <c r="U2141" s="9">
        <v>2</v>
      </c>
      <c r="V2141" s="8" t="s">
        <v>14</v>
      </c>
      <c r="W2141" s="8" t="s">
        <v>98</v>
      </c>
      <c r="X2141" s="9" t="s">
        <v>207</v>
      </c>
      <c r="Y2141" s="13">
        <v>40318</v>
      </c>
      <c r="Z2141" s="9">
        <v>19943</v>
      </c>
      <c r="AA2141" s="9" t="s">
        <v>276</v>
      </c>
      <c r="AB2141" s="9" t="s">
        <v>276</v>
      </c>
      <c r="AC2141" s="8" t="s">
        <v>276</v>
      </c>
      <c r="AD2141" s="8" t="s">
        <v>968</v>
      </c>
      <c r="AE2141" s="8" t="s">
        <v>276</v>
      </c>
      <c r="AF2141" s="8" t="s">
        <v>968</v>
      </c>
      <c r="AG2141" s="9" t="s">
        <v>9027</v>
      </c>
      <c r="AH2141" s="9" t="s">
        <v>7518</v>
      </c>
      <c r="AI2141" s="38">
        <v>144</v>
      </c>
      <c r="AJ2141" s="38">
        <v>85</v>
      </c>
      <c r="AK2141" s="13">
        <v>40318</v>
      </c>
      <c r="AL2141" s="9">
        <v>19943</v>
      </c>
      <c r="AM2141" s="38" t="s">
        <v>4787</v>
      </c>
      <c r="AN2141" s="8" t="s">
        <v>276</v>
      </c>
      <c r="AO2141" s="14">
        <f t="shared" si="601"/>
        <v>35.71605734411429</v>
      </c>
      <c r="AP2141" s="8" t="s">
        <v>276</v>
      </c>
      <c r="AQ2141" s="8" t="s">
        <v>276</v>
      </c>
      <c r="AR2141" s="8" t="s">
        <v>276</v>
      </c>
      <c r="AS2141" s="14">
        <f t="shared" si="602"/>
        <v>42.621471192899762</v>
      </c>
      <c r="AT2141" s="8" t="s">
        <v>276</v>
      </c>
      <c r="AU2141" s="8" t="s">
        <v>276</v>
      </c>
      <c r="AV2141" s="8" t="s">
        <v>268</v>
      </c>
      <c r="AW2141" s="40" t="s">
        <v>276</v>
      </c>
      <c r="AX2141" s="40">
        <f t="shared" si="603"/>
        <v>0.8379827430749075</v>
      </c>
      <c r="AY2141" s="9" t="s">
        <v>276</v>
      </c>
      <c r="AZ2141" s="9" t="s">
        <v>276</v>
      </c>
      <c r="BA2141" s="9" t="s">
        <v>276</v>
      </c>
      <c r="BB2141" s="9" t="s">
        <v>282</v>
      </c>
      <c r="BC2141" s="9" t="s">
        <v>98</v>
      </c>
      <c r="BD2141" s="9" t="s">
        <v>98</v>
      </c>
      <c r="BE2141" s="9" t="s">
        <v>98</v>
      </c>
      <c r="BF2141" s="9" t="s">
        <v>1358</v>
      </c>
      <c r="BG2141" s="9"/>
      <c r="BH2141" s="9" t="s">
        <v>100</v>
      </c>
      <c r="BI2141" s="9" t="s">
        <v>100</v>
      </c>
      <c r="BJ2141" s="32"/>
      <c r="BN2141" s="32"/>
      <c r="BO2141" s="32"/>
    </row>
    <row r="2142" spans="1:67" s="33" customFormat="1" ht="91" hidden="1" x14ac:dyDescent="0.35">
      <c r="A2142" s="8">
        <v>4366</v>
      </c>
      <c r="B2142" s="9" t="s">
        <v>8926</v>
      </c>
      <c r="C2142" s="9" t="s">
        <v>61</v>
      </c>
      <c r="D2142" s="9" t="s">
        <v>9028</v>
      </c>
      <c r="E2142" s="8" t="s">
        <v>35</v>
      </c>
      <c r="F2142" s="8" t="s">
        <v>97</v>
      </c>
      <c r="G2142" s="8" t="s">
        <v>225</v>
      </c>
      <c r="H2142" s="8" t="s">
        <v>125</v>
      </c>
      <c r="I2142" s="8" t="s">
        <v>113</v>
      </c>
      <c r="J2142" s="9" t="s">
        <v>25</v>
      </c>
      <c r="K2142" s="8" t="s">
        <v>1519</v>
      </c>
      <c r="L2142" s="8" t="s">
        <v>4151</v>
      </c>
      <c r="M2142" s="8" t="s">
        <v>300</v>
      </c>
      <c r="N2142" s="9" t="s">
        <v>9015</v>
      </c>
      <c r="O2142" s="9" t="s">
        <v>276</v>
      </c>
      <c r="P2142" s="9" t="s">
        <v>239</v>
      </c>
      <c r="Q2142" s="52">
        <v>31777</v>
      </c>
      <c r="R2142" s="9" t="s">
        <v>276</v>
      </c>
      <c r="S2142" s="9" t="s">
        <v>276</v>
      </c>
      <c r="T2142" s="9" t="s">
        <v>276</v>
      </c>
      <c r="U2142" s="9">
        <v>2</v>
      </c>
      <c r="V2142" s="8" t="s">
        <v>14</v>
      </c>
      <c r="W2142" s="8" t="s">
        <v>98</v>
      </c>
      <c r="X2142" s="9" t="s">
        <v>207</v>
      </c>
      <c r="Y2142" s="13">
        <v>40318</v>
      </c>
      <c r="Z2142" s="9">
        <v>19943</v>
      </c>
      <c r="AA2142" s="9" t="s">
        <v>276</v>
      </c>
      <c r="AB2142" s="9" t="s">
        <v>276</v>
      </c>
      <c r="AC2142" s="8" t="s">
        <v>276</v>
      </c>
      <c r="AD2142" s="8" t="s">
        <v>968</v>
      </c>
      <c r="AE2142" s="8" t="s">
        <v>276</v>
      </c>
      <c r="AF2142" s="8" t="s">
        <v>968</v>
      </c>
      <c r="AG2142" s="9" t="s">
        <v>9029</v>
      </c>
      <c r="AH2142" s="9" t="s">
        <v>7518</v>
      </c>
      <c r="AI2142" s="38">
        <v>28</v>
      </c>
      <c r="AJ2142" s="38">
        <v>12</v>
      </c>
      <c r="AK2142" s="13">
        <v>40318</v>
      </c>
      <c r="AL2142" s="9">
        <v>19943</v>
      </c>
      <c r="AM2142" s="38" t="s">
        <v>4787</v>
      </c>
      <c r="AN2142" s="8" t="s">
        <v>276</v>
      </c>
      <c r="AO2142" s="14">
        <f t="shared" si="601"/>
        <v>6.9447889280222235</v>
      </c>
      <c r="AP2142" s="8" t="s">
        <v>276</v>
      </c>
      <c r="AQ2142" s="8" t="s">
        <v>276</v>
      </c>
      <c r="AR2142" s="8" t="s">
        <v>276</v>
      </c>
      <c r="AS2142" s="14">
        <f t="shared" si="602"/>
        <v>6.0171488742917312</v>
      </c>
      <c r="AT2142" s="8" t="s">
        <v>276</v>
      </c>
      <c r="AU2142" s="8" t="s">
        <v>276</v>
      </c>
      <c r="AV2142" s="8" t="s">
        <v>268</v>
      </c>
      <c r="AW2142" s="40" t="s">
        <v>276</v>
      </c>
      <c r="AX2142" s="40">
        <f t="shared" si="603"/>
        <v>1.1541660465962267</v>
      </c>
      <c r="AY2142" s="9" t="s">
        <v>276</v>
      </c>
      <c r="AZ2142" s="9" t="s">
        <v>276</v>
      </c>
      <c r="BA2142" s="9" t="s">
        <v>276</v>
      </c>
      <c r="BB2142" s="9" t="s">
        <v>282</v>
      </c>
      <c r="BC2142" s="9" t="s">
        <v>98</v>
      </c>
      <c r="BD2142" s="9" t="s">
        <v>98</v>
      </c>
      <c r="BE2142" s="9" t="s">
        <v>98</v>
      </c>
      <c r="BF2142" s="9" t="s">
        <v>1358</v>
      </c>
      <c r="BG2142" s="9"/>
      <c r="BH2142" s="9" t="s">
        <v>100</v>
      </c>
      <c r="BI2142" s="9" t="s">
        <v>100</v>
      </c>
      <c r="BJ2142" s="32"/>
      <c r="BN2142" s="32"/>
      <c r="BO2142" s="32"/>
    </row>
    <row r="2143" spans="1:67" s="33" customFormat="1" ht="91" hidden="1" x14ac:dyDescent="0.35">
      <c r="A2143" s="8">
        <v>4366</v>
      </c>
      <c r="B2143" s="9" t="s">
        <v>8926</v>
      </c>
      <c r="C2143" s="9" t="s">
        <v>61</v>
      </c>
      <c r="D2143" s="9" t="s">
        <v>9030</v>
      </c>
      <c r="E2143" s="8" t="s">
        <v>35</v>
      </c>
      <c r="F2143" s="8" t="s">
        <v>97</v>
      </c>
      <c r="G2143" s="8" t="s">
        <v>225</v>
      </c>
      <c r="H2143" s="8" t="s">
        <v>125</v>
      </c>
      <c r="I2143" s="8" t="s">
        <v>113</v>
      </c>
      <c r="J2143" s="9" t="s">
        <v>25</v>
      </c>
      <c r="K2143" s="8" t="s">
        <v>7801</v>
      </c>
      <c r="L2143" s="8" t="s">
        <v>4151</v>
      </c>
      <c r="M2143" s="8" t="s">
        <v>300</v>
      </c>
      <c r="N2143" s="9" t="s">
        <v>9015</v>
      </c>
      <c r="O2143" s="9" t="s">
        <v>276</v>
      </c>
      <c r="P2143" s="9" t="s">
        <v>239</v>
      </c>
      <c r="Q2143" s="52">
        <v>31777</v>
      </c>
      <c r="R2143" s="9" t="s">
        <v>276</v>
      </c>
      <c r="S2143" s="9" t="s">
        <v>276</v>
      </c>
      <c r="T2143" s="9" t="s">
        <v>276</v>
      </c>
      <c r="U2143" s="9">
        <v>2</v>
      </c>
      <c r="V2143" s="8" t="s">
        <v>14</v>
      </c>
      <c r="W2143" s="8" t="s">
        <v>98</v>
      </c>
      <c r="X2143" s="9" t="s">
        <v>207</v>
      </c>
      <c r="Y2143" s="13">
        <v>40318</v>
      </c>
      <c r="Z2143" s="9">
        <v>19943</v>
      </c>
      <c r="AA2143" s="9" t="s">
        <v>276</v>
      </c>
      <c r="AB2143" s="9" t="s">
        <v>276</v>
      </c>
      <c r="AC2143" s="8" t="s">
        <v>276</v>
      </c>
      <c r="AD2143" s="8" t="s">
        <v>968</v>
      </c>
      <c r="AE2143" s="8" t="s">
        <v>276</v>
      </c>
      <c r="AF2143" s="8" t="s">
        <v>968</v>
      </c>
      <c r="AG2143" s="9" t="s">
        <v>9031</v>
      </c>
      <c r="AH2143" s="9" t="s">
        <v>7518</v>
      </c>
      <c r="AI2143" s="38">
        <f>144+28</f>
        <v>172</v>
      </c>
      <c r="AJ2143" s="38">
        <f>85+12</f>
        <v>97</v>
      </c>
      <c r="AK2143" s="13">
        <v>40318</v>
      </c>
      <c r="AL2143" s="9">
        <v>19943</v>
      </c>
      <c r="AM2143" s="38" t="s">
        <v>4787</v>
      </c>
      <c r="AN2143" s="8" t="s">
        <v>276</v>
      </c>
      <c r="AO2143" s="14">
        <f t="shared" si="601"/>
        <v>42.660846272136517</v>
      </c>
      <c r="AP2143" s="8" t="s">
        <v>276</v>
      </c>
      <c r="AQ2143" s="8" t="s">
        <v>276</v>
      </c>
      <c r="AR2143" s="8" t="s">
        <v>276</v>
      </c>
      <c r="AS2143" s="14">
        <f t="shared" si="602"/>
        <v>48.638620067191496</v>
      </c>
      <c r="AT2143" s="8" t="s">
        <v>276</v>
      </c>
      <c r="AU2143" s="8" t="s">
        <v>276</v>
      </c>
      <c r="AV2143" s="8" t="s">
        <v>268</v>
      </c>
      <c r="AW2143" s="40" t="s">
        <v>276</v>
      </c>
      <c r="AX2143" s="40">
        <f t="shared" si="603"/>
        <v>0.87709820330434907</v>
      </c>
      <c r="AY2143" s="9" t="s">
        <v>276</v>
      </c>
      <c r="AZ2143" s="9" t="s">
        <v>276</v>
      </c>
      <c r="BA2143" s="9" t="s">
        <v>276</v>
      </c>
      <c r="BB2143" s="9" t="s">
        <v>282</v>
      </c>
      <c r="BC2143" s="9" t="s">
        <v>98</v>
      </c>
      <c r="BD2143" s="9" t="s">
        <v>98</v>
      </c>
      <c r="BE2143" s="9" t="s">
        <v>98</v>
      </c>
      <c r="BF2143" s="9" t="s">
        <v>1358</v>
      </c>
      <c r="BG2143" s="9"/>
      <c r="BH2143" s="9" t="s">
        <v>100</v>
      </c>
      <c r="BI2143" s="9" t="s">
        <v>100</v>
      </c>
      <c r="BJ2143" s="32"/>
      <c r="BN2143" s="32"/>
      <c r="BO2143" s="32"/>
    </row>
    <row r="2144" spans="1:67" s="79" customFormat="1" ht="91" hidden="1" x14ac:dyDescent="0.35">
      <c r="A2144" s="72">
        <v>4366</v>
      </c>
      <c r="B2144" s="73" t="s">
        <v>8926</v>
      </c>
      <c r="C2144" s="73" t="s">
        <v>61</v>
      </c>
      <c r="D2144" s="417" t="s">
        <v>11259</v>
      </c>
      <c r="E2144" s="72" t="s">
        <v>35</v>
      </c>
      <c r="F2144" s="72" t="s">
        <v>97</v>
      </c>
      <c r="G2144" s="72" t="s">
        <v>225</v>
      </c>
      <c r="H2144" s="72" t="s">
        <v>125</v>
      </c>
      <c r="I2144" s="72" t="s">
        <v>113</v>
      </c>
      <c r="J2144" s="73" t="s">
        <v>25</v>
      </c>
      <c r="K2144" s="72" t="s">
        <v>7801</v>
      </c>
      <c r="L2144" s="72" t="s">
        <v>4151</v>
      </c>
      <c r="M2144" s="72" t="s">
        <v>300</v>
      </c>
      <c r="N2144" s="73" t="s">
        <v>9015</v>
      </c>
      <c r="O2144" s="73" t="s">
        <v>276</v>
      </c>
      <c r="P2144" s="73" t="s">
        <v>235</v>
      </c>
      <c r="Q2144" s="77">
        <v>31777</v>
      </c>
      <c r="R2144" s="73" t="s">
        <v>276</v>
      </c>
      <c r="S2144" s="73" t="s">
        <v>276</v>
      </c>
      <c r="T2144" s="73" t="s">
        <v>276</v>
      </c>
      <c r="U2144" s="73">
        <v>2</v>
      </c>
      <c r="V2144" s="72" t="s">
        <v>14</v>
      </c>
      <c r="W2144" s="72" t="s">
        <v>98</v>
      </c>
      <c r="X2144" s="73" t="s">
        <v>207</v>
      </c>
      <c r="Y2144" s="74" t="s">
        <v>98</v>
      </c>
      <c r="Z2144" s="73" t="s">
        <v>98</v>
      </c>
      <c r="AA2144" s="73" t="s">
        <v>276</v>
      </c>
      <c r="AB2144" s="73" t="s">
        <v>276</v>
      </c>
      <c r="AC2144" s="72" t="s">
        <v>276</v>
      </c>
      <c r="AD2144" s="72" t="s">
        <v>968</v>
      </c>
      <c r="AE2144" s="72" t="s">
        <v>276</v>
      </c>
      <c r="AF2144" s="72" t="s">
        <v>968</v>
      </c>
      <c r="AG2144" s="73" t="s">
        <v>9031</v>
      </c>
      <c r="AH2144" s="73" t="s">
        <v>9032</v>
      </c>
      <c r="AI2144" s="75">
        <f>144+28</f>
        <v>172</v>
      </c>
      <c r="AJ2144" s="75">
        <f>85+12</f>
        <v>97</v>
      </c>
      <c r="AK2144" s="75">
        <v>428</v>
      </c>
      <c r="AL2144" s="75">
        <v>217</v>
      </c>
      <c r="AM2144" s="75" t="s">
        <v>292</v>
      </c>
      <c r="AN2144" s="72">
        <v>40.200000000000003</v>
      </c>
      <c r="AO2144" s="76">
        <f>AI2144*100/AK2144</f>
        <v>40.186915887850468</v>
      </c>
      <c r="AP2144" s="72" t="s">
        <v>276</v>
      </c>
      <c r="AQ2144" s="72" t="s">
        <v>276</v>
      </c>
      <c r="AR2144" s="72">
        <v>44.7</v>
      </c>
      <c r="AS2144" s="76">
        <f>AJ2144*100/AL2144</f>
        <v>44.700460829493089</v>
      </c>
      <c r="AT2144" s="72" t="s">
        <v>276</v>
      </c>
      <c r="AU2144" s="72" t="s">
        <v>276</v>
      </c>
      <c r="AV2144" s="72" t="s">
        <v>268</v>
      </c>
      <c r="AW2144" s="83" t="s">
        <v>276</v>
      </c>
      <c r="AX2144" s="83">
        <f t="shared" si="603"/>
        <v>0.89902688120242791</v>
      </c>
      <c r="AY2144" s="73" t="s">
        <v>276</v>
      </c>
      <c r="AZ2144" s="73" t="s">
        <v>276</v>
      </c>
      <c r="BA2144" s="73" t="s">
        <v>276</v>
      </c>
      <c r="BB2144" s="73" t="s">
        <v>282</v>
      </c>
      <c r="BC2144" s="73" t="s">
        <v>98</v>
      </c>
      <c r="BD2144" s="73" t="s">
        <v>98</v>
      </c>
      <c r="BE2144" s="73" t="s">
        <v>98</v>
      </c>
      <c r="BF2144" s="73" t="s">
        <v>9033</v>
      </c>
      <c r="BG2144" s="73"/>
      <c r="BH2144" s="9" t="s">
        <v>100</v>
      </c>
      <c r="BI2144" s="9" t="s">
        <v>100</v>
      </c>
      <c r="BJ2144" s="78"/>
      <c r="BN2144" s="78"/>
      <c r="BO2144" s="78"/>
    </row>
    <row r="2145" spans="1:68" s="79" customFormat="1" ht="91" hidden="1" x14ac:dyDescent="0.35">
      <c r="A2145" s="72">
        <v>4366</v>
      </c>
      <c r="B2145" s="73" t="s">
        <v>8926</v>
      </c>
      <c r="C2145" s="73" t="s">
        <v>61</v>
      </c>
      <c r="D2145" s="73" t="s">
        <v>11260</v>
      </c>
      <c r="E2145" s="72" t="s">
        <v>35</v>
      </c>
      <c r="F2145" s="72" t="s">
        <v>97</v>
      </c>
      <c r="G2145" s="72" t="s">
        <v>225</v>
      </c>
      <c r="H2145" s="72" t="s">
        <v>125</v>
      </c>
      <c r="I2145" s="72" t="s">
        <v>113</v>
      </c>
      <c r="J2145" s="73" t="s">
        <v>25</v>
      </c>
      <c r="K2145" s="72" t="s">
        <v>7801</v>
      </c>
      <c r="L2145" s="72" t="s">
        <v>4151</v>
      </c>
      <c r="M2145" s="72" t="s">
        <v>300</v>
      </c>
      <c r="N2145" s="73" t="s">
        <v>9015</v>
      </c>
      <c r="O2145" s="73" t="s">
        <v>276</v>
      </c>
      <c r="P2145" s="73" t="s">
        <v>235</v>
      </c>
      <c r="Q2145" s="77">
        <v>31777</v>
      </c>
      <c r="R2145" s="73" t="s">
        <v>276</v>
      </c>
      <c r="S2145" s="73" t="s">
        <v>276</v>
      </c>
      <c r="T2145" s="73" t="s">
        <v>276</v>
      </c>
      <c r="U2145" s="73">
        <v>2</v>
      </c>
      <c r="V2145" s="72" t="s">
        <v>14</v>
      </c>
      <c r="W2145" s="72" t="s">
        <v>98</v>
      </c>
      <c r="X2145" s="73" t="s">
        <v>207</v>
      </c>
      <c r="Y2145" s="74" t="s">
        <v>98</v>
      </c>
      <c r="Z2145" s="73" t="s">
        <v>98</v>
      </c>
      <c r="AA2145" s="73" t="s">
        <v>276</v>
      </c>
      <c r="AB2145" s="73" t="s">
        <v>276</v>
      </c>
      <c r="AC2145" s="72" t="s">
        <v>276</v>
      </c>
      <c r="AD2145" s="72" t="s">
        <v>968</v>
      </c>
      <c r="AE2145" s="72" t="s">
        <v>276</v>
      </c>
      <c r="AF2145" s="72" t="s">
        <v>968</v>
      </c>
      <c r="AG2145" s="73" t="s">
        <v>9031</v>
      </c>
      <c r="AH2145" s="346" t="s">
        <v>9008</v>
      </c>
      <c r="AI2145" s="75">
        <f>144+28</f>
        <v>172</v>
      </c>
      <c r="AJ2145" s="75">
        <f>85+12</f>
        <v>97</v>
      </c>
      <c r="AK2145" s="75">
        <f>428-43</f>
        <v>385</v>
      </c>
      <c r="AL2145" s="75">
        <f>217-14</f>
        <v>203</v>
      </c>
      <c r="AM2145" s="75" t="s">
        <v>292</v>
      </c>
      <c r="AN2145" s="72" t="s">
        <v>276</v>
      </c>
      <c r="AO2145" s="76">
        <f>AI2145*100/AK2145</f>
        <v>44.675324675324674</v>
      </c>
      <c r="AP2145" s="72" t="s">
        <v>276</v>
      </c>
      <c r="AQ2145" s="72" t="s">
        <v>276</v>
      </c>
      <c r="AR2145" s="72" t="s">
        <v>276</v>
      </c>
      <c r="AS2145" s="76">
        <f>AJ2145*100/AL2145</f>
        <v>47.783251231527096</v>
      </c>
      <c r="AT2145" s="72" t="s">
        <v>276</v>
      </c>
      <c r="AU2145" s="72" t="s">
        <v>276</v>
      </c>
      <c r="AV2145" s="72" t="s">
        <v>268</v>
      </c>
      <c r="AW2145" s="83" t="s">
        <v>276</v>
      </c>
      <c r="AX2145" s="83">
        <f t="shared" si="603"/>
        <v>0.93495782567947505</v>
      </c>
      <c r="AY2145" s="73" t="s">
        <v>276</v>
      </c>
      <c r="AZ2145" s="73" t="s">
        <v>276</v>
      </c>
      <c r="BA2145" s="73" t="s">
        <v>276</v>
      </c>
      <c r="BB2145" s="73" t="s">
        <v>282</v>
      </c>
      <c r="BC2145" s="73" t="s">
        <v>98</v>
      </c>
      <c r="BD2145" s="73" t="s">
        <v>98</v>
      </c>
      <c r="BE2145" s="73" t="s">
        <v>98</v>
      </c>
      <c r="BF2145" s="73" t="s">
        <v>9880</v>
      </c>
      <c r="BG2145" s="73"/>
      <c r="BH2145" s="9" t="s">
        <v>100</v>
      </c>
      <c r="BI2145" s="9" t="s">
        <v>100</v>
      </c>
      <c r="BJ2145" s="78"/>
      <c r="BN2145" s="78"/>
      <c r="BO2145" s="78"/>
    </row>
    <row r="2146" spans="1:68" s="6" customFormat="1" ht="52" hidden="1" x14ac:dyDescent="0.35">
      <c r="A2146" s="357">
        <v>10547</v>
      </c>
      <c r="B2146" s="357" t="s">
        <v>4985</v>
      </c>
      <c r="C2146" s="357" t="s">
        <v>88</v>
      </c>
      <c r="D2146" s="351" t="s">
        <v>5570</v>
      </c>
      <c r="E2146" s="357" t="s">
        <v>43</v>
      </c>
      <c r="F2146" s="351" t="s">
        <v>4987</v>
      </c>
      <c r="G2146" s="357" t="s">
        <v>225</v>
      </c>
      <c r="H2146" s="357" t="s">
        <v>125</v>
      </c>
      <c r="I2146" s="357" t="s">
        <v>114</v>
      </c>
      <c r="J2146" s="351" t="s">
        <v>98</v>
      </c>
      <c r="K2146" s="357" t="s">
        <v>98</v>
      </c>
      <c r="L2146" s="357" t="s">
        <v>98</v>
      </c>
      <c r="M2146" s="357" t="s">
        <v>98</v>
      </c>
      <c r="N2146" s="351" t="s">
        <v>5571</v>
      </c>
      <c r="O2146" s="351" t="s">
        <v>4989</v>
      </c>
      <c r="P2146" s="351" t="s">
        <v>236</v>
      </c>
      <c r="Q2146" s="383" t="s">
        <v>4991</v>
      </c>
      <c r="R2146" s="351" t="s">
        <v>98</v>
      </c>
      <c r="S2146" s="380" t="s">
        <v>5572</v>
      </c>
      <c r="T2146" s="380" t="s">
        <v>98</v>
      </c>
      <c r="U2146" s="351" t="s">
        <v>276</v>
      </c>
      <c r="V2146" s="351" t="s">
        <v>261</v>
      </c>
      <c r="W2146" s="351" t="s">
        <v>5573</v>
      </c>
      <c r="X2146" s="351" t="s">
        <v>209</v>
      </c>
      <c r="Y2146" s="355" t="s">
        <v>98</v>
      </c>
      <c r="Z2146" s="355" t="s">
        <v>98</v>
      </c>
      <c r="AA2146" s="351" t="s">
        <v>276</v>
      </c>
      <c r="AB2146" s="351" t="s">
        <v>98</v>
      </c>
      <c r="AC2146" s="357" t="s">
        <v>276</v>
      </c>
      <c r="AD2146" s="357" t="s">
        <v>5574</v>
      </c>
      <c r="AE2146" s="357" t="s">
        <v>98</v>
      </c>
      <c r="AF2146" s="357" t="s">
        <v>98</v>
      </c>
      <c r="AG2146" s="351" t="s">
        <v>5575</v>
      </c>
      <c r="AH2146" s="351" t="s">
        <v>5576</v>
      </c>
      <c r="AI2146" s="357">
        <v>4860</v>
      </c>
      <c r="AJ2146" s="355" t="s">
        <v>98</v>
      </c>
      <c r="AK2146" s="355">
        <v>6830</v>
      </c>
      <c r="AL2146" s="355" t="s">
        <v>98</v>
      </c>
      <c r="AM2146" s="355" t="s">
        <v>292</v>
      </c>
      <c r="AN2146" s="357" t="s">
        <v>276</v>
      </c>
      <c r="AO2146" s="385">
        <f>AI2146*100/AK2146</f>
        <v>71.156661786237194</v>
      </c>
      <c r="AP2146" s="357" t="s">
        <v>276</v>
      </c>
      <c r="AQ2146" s="357" t="s">
        <v>276</v>
      </c>
      <c r="AR2146" s="357" t="s">
        <v>98</v>
      </c>
      <c r="AS2146" s="357" t="s">
        <v>98</v>
      </c>
      <c r="AT2146" s="357" t="s">
        <v>98</v>
      </c>
      <c r="AU2146" s="357" t="s">
        <v>98</v>
      </c>
      <c r="AV2146" s="357" t="s">
        <v>98</v>
      </c>
      <c r="AW2146" s="357" t="s">
        <v>98</v>
      </c>
      <c r="AX2146" s="357" t="s">
        <v>98</v>
      </c>
      <c r="AY2146" s="357" t="s">
        <v>98</v>
      </c>
      <c r="AZ2146" s="357" t="s">
        <v>98</v>
      </c>
      <c r="BA2146" s="357" t="s">
        <v>98</v>
      </c>
      <c r="BB2146" s="357" t="s">
        <v>98</v>
      </c>
      <c r="BC2146" s="357" t="s">
        <v>98</v>
      </c>
      <c r="BD2146" s="357" t="s">
        <v>98</v>
      </c>
      <c r="BE2146" s="357" t="s">
        <v>98</v>
      </c>
      <c r="BF2146" s="351" t="s">
        <v>5577</v>
      </c>
      <c r="BG2146" s="9"/>
      <c r="BH2146" s="9" t="s">
        <v>100</v>
      </c>
      <c r="BI2146" s="9" t="s">
        <v>100</v>
      </c>
      <c r="BJ2146" s="32"/>
      <c r="BK2146" s="33"/>
      <c r="BL2146" s="33"/>
      <c r="BM2146" s="33"/>
      <c r="BN2146" s="32"/>
      <c r="BO2146" s="32"/>
      <c r="BP2146" s="33"/>
    </row>
    <row r="2147" spans="1:68" s="6" customFormat="1" ht="52" hidden="1" x14ac:dyDescent="0.35">
      <c r="A2147" s="357">
        <v>10547</v>
      </c>
      <c r="B2147" s="357" t="s">
        <v>4985</v>
      </c>
      <c r="C2147" s="357" t="s">
        <v>88</v>
      </c>
      <c r="D2147" s="351" t="s">
        <v>5578</v>
      </c>
      <c r="E2147" s="357" t="s">
        <v>43</v>
      </c>
      <c r="F2147" s="351" t="s">
        <v>4987</v>
      </c>
      <c r="G2147" s="357" t="s">
        <v>225</v>
      </c>
      <c r="H2147" s="357" t="s">
        <v>125</v>
      </c>
      <c r="I2147" s="357" t="s">
        <v>114</v>
      </c>
      <c r="J2147" s="351" t="s">
        <v>98</v>
      </c>
      <c r="K2147" s="357" t="s">
        <v>98</v>
      </c>
      <c r="L2147" s="357" t="s">
        <v>98</v>
      </c>
      <c r="M2147" s="357" t="s">
        <v>98</v>
      </c>
      <c r="N2147" s="351" t="s">
        <v>5571</v>
      </c>
      <c r="O2147" s="351" t="s">
        <v>4989</v>
      </c>
      <c r="P2147" s="351" t="s">
        <v>236</v>
      </c>
      <c r="Q2147" s="383" t="s">
        <v>4991</v>
      </c>
      <c r="R2147" s="351" t="s">
        <v>98</v>
      </c>
      <c r="S2147" s="380" t="s">
        <v>5572</v>
      </c>
      <c r="T2147" s="380" t="s">
        <v>98</v>
      </c>
      <c r="U2147" s="351" t="s">
        <v>276</v>
      </c>
      <c r="V2147" s="351" t="s">
        <v>261</v>
      </c>
      <c r="W2147" s="351" t="s">
        <v>5153</v>
      </c>
      <c r="X2147" s="351" t="s">
        <v>209</v>
      </c>
      <c r="Y2147" s="355" t="s">
        <v>98</v>
      </c>
      <c r="Z2147" s="355" t="s">
        <v>98</v>
      </c>
      <c r="AA2147" s="351" t="s">
        <v>276</v>
      </c>
      <c r="AB2147" s="351" t="s">
        <v>98</v>
      </c>
      <c r="AC2147" s="357" t="s">
        <v>276</v>
      </c>
      <c r="AD2147" s="357" t="s">
        <v>5574</v>
      </c>
      <c r="AE2147" s="357" t="s">
        <v>98</v>
      </c>
      <c r="AF2147" s="357" t="s">
        <v>98</v>
      </c>
      <c r="AG2147" s="351" t="s">
        <v>5575</v>
      </c>
      <c r="AH2147" s="351" t="s">
        <v>5576</v>
      </c>
      <c r="AI2147" s="347">
        <v>1830</v>
      </c>
      <c r="AJ2147" s="355" t="s">
        <v>98</v>
      </c>
      <c r="AK2147" s="355">
        <v>2153</v>
      </c>
      <c r="AL2147" s="355" t="s">
        <v>98</v>
      </c>
      <c r="AM2147" s="355" t="s">
        <v>292</v>
      </c>
      <c r="AN2147" s="357" t="s">
        <v>276</v>
      </c>
      <c r="AO2147" s="385">
        <f t="shared" ref="AO2147:AO2161" si="607">AI2147*100/AK2147</f>
        <v>84.997677659080352</v>
      </c>
      <c r="AP2147" s="357" t="s">
        <v>276</v>
      </c>
      <c r="AQ2147" s="357" t="s">
        <v>276</v>
      </c>
      <c r="AR2147" s="357" t="s">
        <v>98</v>
      </c>
      <c r="AS2147" s="357" t="s">
        <v>98</v>
      </c>
      <c r="AT2147" s="357" t="s">
        <v>98</v>
      </c>
      <c r="AU2147" s="357" t="s">
        <v>98</v>
      </c>
      <c r="AV2147" s="357" t="s">
        <v>98</v>
      </c>
      <c r="AW2147" s="357" t="s">
        <v>98</v>
      </c>
      <c r="AX2147" s="357" t="s">
        <v>98</v>
      </c>
      <c r="AY2147" s="357" t="s">
        <v>98</v>
      </c>
      <c r="AZ2147" s="357" t="s">
        <v>98</v>
      </c>
      <c r="BA2147" s="357" t="s">
        <v>98</v>
      </c>
      <c r="BB2147" s="357" t="s">
        <v>98</v>
      </c>
      <c r="BC2147" s="357" t="s">
        <v>98</v>
      </c>
      <c r="BD2147" s="357" t="s">
        <v>98</v>
      </c>
      <c r="BE2147" s="357" t="s">
        <v>98</v>
      </c>
      <c r="BF2147" s="351" t="s">
        <v>5579</v>
      </c>
      <c r="BG2147" s="9"/>
      <c r="BH2147" s="9" t="s">
        <v>100</v>
      </c>
      <c r="BI2147" s="9" t="s">
        <v>100</v>
      </c>
      <c r="BJ2147" s="32"/>
      <c r="BK2147" s="33"/>
      <c r="BL2147" s="33"/>
      <c r="BM2147" s="33"/>
      <c r="BN2147" s="32"/>
      <c r="BO2147" s="32"/>
      <c r="BP2147" s="33"/>
    </row>
    <row r="2148" spans="1:68" s="6" customFormat="1" ht="52" hidden="1" x14ac:dyDescent="0.35">
      <c r="A2148" s="357">
        <v>10547</v>
      </c>
      <c r="B2148" s="357" t="s">
        <v>4985</v>
      </c>
      <c r="C2148" s="357" t="s">
        <v>88</v>
      </c>
      <c r="D2148" s="351" t="s">
        <v>5580</v>
      </c>
      <c r="E2148" s="357" t="s">
        <v>43</v>
      </c>
      <c r="F2148" s="351" t="s">
        <v>4987</v>
      </c>
      <c r="G2148" s="357" t="s">
        <v>225</v>
      </c>
      <c r="H2148" s="357" t="s">
        <v>125</v>
      </c>
      <c r="I2148" s="357" t="s">
        <v>114</v>
      </c>
      <c r="J2148" s="351" t="s">
        <v>98</v>
      </c>
      <c r="K2148" s="357" t="s">
        <v>98</v>
      </c>
      <c r="L2148" s="357" t="s">
        <v>98</v>
      </c>
      <c r="M2148" s="357" t="s">
        <v>98</v>
      </c>
      <c r="N2148" s="351" t="s">
        <v>5571</v>
      </c>
      <c r="O2148" s="351" t="s">
        <v>4989</v>
      </c>
      <c r="P2148" s="351" t="s">
        <v>236</v>
      </c>
      <c r="Q2148" s="383" t="s">
        <v>4991</v>
      </c>
      <c r="R2148" s="351" t="s">
        <v>98</v>
      </c>
      <c r="S2148" s="380" t="s">
        <v>5572</v>
      </c>
      <c r="T2148" s="380" t="s">
        <v>98</v>
      </c>
      <c r="U2148" s="351" t="s">
        <v>276</v>
      </c>
      <c r="V2148" s="351" t="s">
        <v>261</v>
      </c>
      <c r="W2148" s="351" t="s">
        <v>5581</v>
      </c>
      <c r="X2148" s="351" t="s">
        <v>209</v>
      </c>
      <c r="Y2148" s="355" t="s">
        <v>98</v>
      </c>
      <c r="Z2148" s="355" t="s">
        <v>98</v>
      </c>
      <c r="AA2148" s="351" t="s">
        <v>276</v>
      </c>
      <c r="AB2148" s="351" t="s">
        <v>98</v>
      </c>
      <c r="AC2148" s="357" t="s">
        <v>276</v>
      </c>
      <c r="AD2148" s="357" t="s">
        <v>5574</v>
      </c>
      <c r="AE2148" s="357" t="s">
        <v>98</v>
      </c>
      <c r="AF2148" s="357" t="s">
        <v>98</v>
      </c>
      <c r="AG2148" s="351" t="s">
        <v>5575</v>
      </c>
      <c r="AH2148" s="351" t="s">
        <v>5576</v>
      </c>
      <c r="AI2148" s="357">
        <v>208</v>
      </c>
      <c r="AJ2148" s="355" t="s">
        <v>98</v>
      </c>
      <c r="AK2148" s="355">
        <v>437</v>
      </c>
      <c r="AL2148" s="355" t="s">
        <v>98</v>
      </c>
      <c r="AM2148" s="355" t="s">
        <v>292</v>
      </c>
      <c r="AN2148" s="357" t="s">
        <v>276</v>
      </c>
      <c r="AO2148" s="385">
        <f t="shared" si="607"/>
        <v>47.597254004576662</v>
      </c>
      <c r="AP2148" s="357" t="s">
        <v>276</v>
      </c>
      <c r="AQ2148" s="357" t="s">
        <v>276</v>
      </c>
      <c r="AR2148" s="357" t="s">
        <v>98</v>
      </c>
      <c r="AS2148" s="357" t="s">
        <v>98</v>
      </c>
      <c r="AT2148" s="357" t="s">
        <v>98</v>
      </c>
      <c r="AU2148" s="357" t="s">
        <v>98</v>
      </c>
      <c r="AV2148" s="357" t="s">
        <v>98</v>
      </c>
      <c r="AW2148" s="357" t="s">
        <v>98</v>
      </c>
      <c r="AX2148" s="357" t="s">
        <v>98</v>
      </c>
      <c r="AY2148" s="357" t="s">
        <v>98</v>
      </c>
      <c r="AZ2148" s="357" t="s">
        <v>98</v>
      </c>
      <c r="BA2148" s="357" t="s">
        <v>98</v>
      </c>
      <c r="BB2148" s="357" t="s">
        <v>98</v>
      </c>
      <c r="BC2148" s="357" t="s">
        <v>98</v>
      </c>
      <c r="BD2148" s="357" t="s">
        <v>98</v>
      </c>
      <c r="BE2148" s="357" t="s">
        <v>98</v>
      </c>
      <c r="BF2148" s="351" t="s">
        <v>5577</v>
      </c>
      <c r="BG2148" s="9"/>
      <c r="BH2148" s="9" t="s">
        <v>100</v>
      </c>
      <c r="BI2148" s="9" t="s">
        <v>100</v>
      </c>
      <c r="BJ2148" s="32"/>
      <c r="BK2148" s="33"/>
      <c r="BL2148" s="33"/>
      <c r="BM2148" s="33"/>
      <c r="BN2148" s="32"/>
      <c r="BO2148" s="32"/>
      <c r="BP2148" s="33"/>
    </row>
    <row r="2149" spans="1:68" s="6" customFormat="1" ht="52" hidden="1" x14ac:dyDescent="0.35">
      <c r="A2149" s="357">
        <v>10547</v>
      </c>
      <c r="B2149" s="357" t="s">
        <v>4985</v>
      </c>
      <c r="C2149" s="357" t="s">
        <v>88</v>
      </c>
      <c r="D2149" s="351" t="s">
        <v>5582</v>
      </c>
      <c r="E2149" s="357" t="s">
        <v>43</v>
      </c>
      <c r="F2149" s="351" t="s">
        <v>4987</v>
      </c>
      <c r="G2149" s="357" t="s">
        <v>225</v>
      </c>
      <c r="H2149" s="357" t="s">
        <v>125</v>
      </c>
      <c r="I2149" s="357" t="s">
        <v>114</v>
      </c>
      <c r="J2149" s="351" t="s">
        <v>98</v>
      </c>
      <c r="K2149" s="357" t="s">
        <v>98</v>
      </c>
      <c r="L2149" s="357" t="s">
        <v>98</v>
      </c>
      <c r="M2149" s="357" t="s">
        <v>98</v>
      </c>
      <c r="N2149" s="351" t="s">
        <v>5571</v>
      </c>
      <c r="O2149" s="351" t="s">
        <v>4989</v>
      </c>
      <c r="P2149" s="351" t="s">
        <v>236</v>
      </c>
      <c r="Q2149" s="383" t="s">
        <v>4991</v>
      </c>
      <c r="R2149" s="351" t="s">
        <v>98</v>
      </c>
      <c r="S2149" s="380" t="s">
        <v>5572</v>
      </c>
      <c r="T2149" s="380" t="s">
        <v>98</v>
      </c>
      <c r="U2149" s="351" t="s">
        <v>276</v>
      </c>
      <c r="V2149" s="351" t="s">
        <v>261</v>
      </c>
      <c r="W2149" s="351" t="s">
        <v>5159</v>
      </c>
      <c r="X2149" s="351" t="s">
        <v>209</v>
      </c>
      <c r="Y2149" s="355" t="s">
        <v>98</v>
      </c>
      <c r="Z2149" s="355" t="s">
        <v>98</v>
      </c>
      <c r="AA2149" s="351" t="s">
        <v>276</v>
      </c>
      <c r="AB2149" s="351" t="s">
        <v>98</v>
      </c>
      <c r="AC2149" s="357" t="s">
        <v>276</v>
      </c>
      <c r="AD2149" s="357" t="s">
        <v>5574</v>
      </c>
      <c r="AE2149" s="357" t="s">
        <v>98</v>
      </c>
      <c r="AF2149" s="357" t="s">
        <v>98</v>
      </c>
      <c r="AG2149" s="351" t="s">
        <v>5575</v>
      </c>
      <c r="AH2149" s="351" t="s">
        <v>5576</v>
      </c>
      <c r="AI2149" s="357">
        <v>805</v>
      </c>
      <c r="AJ2149" s="355" t="s">
        <v>98</v>
      </c>
      <c r="AK2149" s="355">
        <v>997</v>
      </c>
      <c r="AL2149" s="355" t="s">
        <v>98</v>
      </c>
      <c r="AM2149" s="355" t="s">
        <v>292</v>
      </c>
      <c r="AN2149" s="357" t="s">
        <v>276</v>
      </c>
      <c r="AO2149" s="385">
        <f t="shared" si="607"/>
        <v>80.742226680040119</v>
      </c>
      <c r="AP2149" s="357" t="s">
        <v>276</v>
      </c>
      <c r="AQ2149" s="357" t="s">
        <v>276</v>
      </c>
      <c r="AR2149" s="357" t="s">
        <v>98</v>
      </c>
      <c r="AS2149" s="357" t="s">
        <v>98</v>
      </c>
      <c r="AT2149" s="357" t="s">
        <v>98</v>
      </c>
      <c r="AU2149" s="357" t="s">
        <v>98</v>
      </c>
      <c r="AV2149" s="357" t="s">
        <v>98</v>
      </c>
      <c r="AW2149" s="357" t="s">
        <v>98</v>
      </c>
      <c r="AX2149" s="357" t="s">
        <v>98</v>
      </c>
      <c r="AY2149" s="357" t="s">
        <v>98</v>
      </c>
      <c r="AZ2149" s="357" t="s">
        <v>98</v>
      </c>
      <c r="BA2149" s="357" t="s">
        <v>98</v>
      </c>
      <c r="BB2149" s="357" t="s">
        <v>98</v>
      </c>
      <c r="BC2149" s="357" t="s">
        <v>98</v>
      </c>
      <c r="BD2149" s="357" t="s">
        <v>98</v>
      </c>
      <c r="BE2149" s="357" t="s">
        <v>98</v>
      </c>
      <c r="BF2149" s="351" t="s">
        <v>5577</v>
      </c>
      <c r="BG2149" s="9"/>
      <c r="BH2149" s="9" t="s">
        <v>100</v>
      </c>
      <c r="BI2149" s="9" t="s">
        <v>100</v>
      </c>
      <c r="BJ2149" s="32"/>
      <c r="BK2149" s="33"/>
      <c r="BL2149" s="33"/>
      <c r="BM2149" s="33"/>
      <c r="BN2149" s="32"/>
      <c r="BO2149" s="32"/>
      <c r="BP2149" s="33"/>
    </row>
    <row r="2150" spans="1:68" s="6" customFormat="1" ht="52" hidden="1" x14ac:dyDescent="0.35">
      <c r="A2150" s="357">
        <v>10547</v>
      </c>
      <c r="B2150" s="357" t="s">
        <v>4985</v>
      </c>
      <c r="C2150" s="357" t="s">
        <v>88</v>
      </c>
      <c r="D2150" s="351" t="s">
        <v>5583</v>
      </c>
      <c r="E2150" s="357" t="s">
        <v>43</v>
      </c>
      <c r="F2150" s="351" t="s">
        <v>4987</v>
      </c>
      <c r="G2150" s="357" t="s">
        <v>225</v>
      </c>
      <c r="H2150" s="357" t="s">
        <v>125</v>
      </c>
      <c r="I2150" s="357" t="s">
        <v>114</v>
      </c>
      <c r="J2150" s="351" t="s">
        <v>98</v>
      </c>
      <c r="K2150" s="357" t="s">
        <v>98</v>
      </c>
      <c r="L2150" s="357" t="s">
        <v>98</v>
      </c>
      <c r="M2150" s="357" t="s">
        <v>98</v>
      </c>
      <c r="N2150" s="351" t="s">
        <v>5571</v>
      </c>
      <c r="O2150" s="351" t="s">
        <v>4989</v>
      </c>
      <c r="P2150" s="351" t="s">
        <v>236</v>
      </c>
      <c r="Q2150" s="383" t="s">
        <v>4991</v>
      </c>
      <c r="R2150" s="351" t="s">
        <v>98</v>
      </c>
      <c r="S2150" s="380" t="s">
        <v>5572</v>
      </c>
      <c r="T2150" s="380" t="s">
        <v>98</v>
      </c>
      <c r="U2150" s="351" t="s">
        <v>276</v>
      </c>
      <c r="V2150" s="351" t="s">
        <v>261</v>
      </c>
      <c r="W2150" s="351" t="s">
        <v>5162</v>
      </c>
      <c r="X2150" s="351" t="s">
        <v>209</v>
      </c>
      <c r="Y2150" s="355" t="s">
        <v>98</v>
      </c>
      <c r="Z2150" s="355" t="s">
        <v>98</v>
      </c>
      <c r="AA2150" s="351" t="s">
        <v>276</v>
      </c>
      <c r="AB2150" s="351" t="s">
        <v>98</v>
      </c>
      <c r="AC2150" s="357" t="s">
        <v>276</v>
      </c>
      <c r="AD2150" s="357" t="s">
        <v>5574</v>
      </c>
      <c r="AE2150" s="357" t="s">
        <v>98</v>
      </c>
      <c r="AF2150" s="357" t="s">
        <v>98</v>
      </c>
      <c r="AG2150" s="351" t="s">
        <v>5575</v>
      </c>
      <c r="AH2150" s="351" t="s">
        <v>5576</v>
      </c>
      <c r="AI2150" s="357">
        <v>1477</v>
      </c>
      <c r="AJ2150" s="355" t="s">
        <v>98</v>
      </c>
      <c r="AK2150" s="355">
        <v>2493</v>
      </c>
      <c r="AL2150" s="355" t="s">
        <v>98</v>
      </c>
      <c r="AM2150" s="355" t="s">
        <v>292</v>
      </c>
      <c r="AN2150" s="357" t="s">
        <v>276</v>
      </c>
      <c r="AO2150" s="385">
        <f t="shared" si="607"/>
        <v>59.245888487765747</v>
      </c>
      <c r="AP2150" s="357" t="s">
        <v>276</v>
      </c>
      <c r="AQ2150" s="357" t="s">
        <v>276</v>
      </c>
      <c r="AR2150" s="357" t="s">
        <v>98</v>
      </c>
      <c r="AS2150" s="357" t="s">
        <v>98</v>
      </c>
      <c r="AT2150" s="357" t="s">
        <v>98</v>
      </c>
      <c r="AU2150" s="357" t="s">
        <v>98</v>
      </c>
      <c r="AV2150" s="357" t="s">
        <v>98</v>
      </c>
      <c r="AW2150" s="357" t="s">
        <v>98</v>
      </c>
      <c r="AX2150" s="357" t="s">
        <v>98</v>
      </c>
      <c r="AY2150" s="357" t="s">
        <v>98</v>
      </c>
      <c r="AZ2150" s="357" t="s">
        <v>98</v>
      </c>
      <c r="BA2150" s="357" t="s">
        <v>98</v>
      </c>
      <c r="BB2150" s="357" t="s">
        <v>98</v>
      </c>
      <c r="BC2150" s="357" t="s">
        <v>98</v>
      </c>
      <c r="BD2150" s="357" t="s">
        <v>98</v>
      </c>
      <c r="BE2150" s="357" t="s">
        <v>98</v>
      </c>
      <c r="BF2150" s="351" t="s">
        <v>5577</v>
      </c>
      <c r="BG2150" s="9"/>
      <c r="BH2150" s="9" t="s">
        <v>100</v>
      </c>
      <c r="BI2150" s="9" t="s">
        <v>100</v>
      </c>
      <c r="BJ2150" s="32"/>
      <c r="BK2150" s="33"/>
      <c r="BL2150" s="33"/>
      <c r="BM2150" s="33"/>
      <c r="BN2150" s="32"/>
      <c r="BO2150" s="32"/>
      <c r="BP2150" s="33"/>
    </row>
    <row r="2151" spans="1:68" s="6" customFormat="1" ht="52" hidden="1" x14ac:dyDescent="0.35">
      <c r="A2151" s="357">
        <v>10547</v>
      </c>
      <c r="B2151" s="357" t="s">
        <v>4985</v>
      </c>
      <c r="C2151" s="357" t="s">
        <v>88</v>
      </c>
      <c r="D2151" s="351" t="s">
        <v>5584</v>
      </c>
      <c r="E2151" s="357" t="s">
        <v>43</v>
      </c>
      <c r="F2151" s="351" t="s">
        <v>4987</v>
      </c>
      <c r="G2151" s="357" t="s">
        <v>225</v>
      </c>
      <c r="H2151" s="357" t="s">
        <v>125</v>
      </c>
      <c r="I2151" s="357" t="s">
        <v>114</v>
      </c>
      <c r="J2151" s="351" t="s">
        <v>98</v>
      </c>
      <c r="K2151" s="357" t="s">
        <v>98</v>
      </c>
      <c r="L2151" s="357" t="s">
        <v>98</v>
      </c>
      <c r="M2151" s="357" t="s">
        <v>98</v>
      </c>
      <c r="N2151" s="351" t="s">
        <v>5571</v>
      </c>
      <c r="O2151" s="351" t="s">
        <v>4989</v>
      </c>
      <c r="P2151" s="351" t="s">
        <v>236</v>
      </c>
      <c r="Q2151" s="383" t="s">
        <v>4991</v>
      </c>
      <c r="R2151" s="351" t="s">
        <v>98</v>
      </c>
      <c r="S2151" s="380" t="s">
        <v>5572</v>
      </c>
      <c r="T2151" s="380" t="s">
        <v>98</v>
      </c>
      <c r="U2151" s="351" t="s">
        <v>276</v>
      </c>
      <c r="V2151" s="351" t="s">
        <v>261</v>
      </c>
      <c r="W2151" s="351" t="s">
        <v>5165</v>
      </c>
      <c r="X2151" s="351" t="s">
        <v>209</v>
      </c>
      <c r="Y2151" s="355" t="s">
        <v>98</v>
      </c>
      <c r="Z2151" s="355" t="s">
        <v>98</v>
      </c>
      <c r="AA2151" s="351" t="s">
        <v>276</v>
      </c>
      <c r="AB2151" s="351" t="s">
        <v>98</v>
      </c>
      <c r="AC2151" s="357" t="s">
        <v>276</v>
      </c>
      <c r="AD2151" s="357" t="s">
        <v>5574</v>
      </c>
      <c r="AE2151" s="357" t="s">
        <v>98</v>
      </c>
      <c r="AF2151" s="357" t="s">
        <v>98</v>
      </c>
      <c r="AG2151" s="351" t="s">
        <v>5575</v>
      </c>
      <c r="AH2151" s="351" t="s">
        <v>5576</v>
      </c>
      <c r="AI2151" s="357">
        <v>185</v>
      </c>
      <c r="AJ2151" s="355" t="s">
        <v>98</v>
      </c>
      <c r="AK2151" s="355">
        <v>296</v>
      </c>
      <c r="AL2151" s="355" t="s">
        <v>98</v>
      </c>
      <c r="AM2151" s="355" t="s">
        <v>292</v>
      </c>
      <c r="AN2151" s="357" t="s">
        <v>276</v>
      </c>
      <c r="AO2151" s="385">
        <f t="shared" si="607"/>
        <v>62.5</v>
      </c>
      <c r="AP2151" s="357" t="s">
        <v>276</v>
      </c>
      <c r="AQ2151" s="357" t="s">
        <v>276</v>
      </c>
      <c r="AR2151" s="357" t="s">
        <v>98</v>
      </c>
      <c r="AS2151" s="357" t="s">
        <v>98</v>
      </c>
      <c r="AT2151" s="357" t="s">
        <v>98</v>
      </c>
      <c r="AU2151" s="357" t="s">
        <v>98</v>
      </c>
      <c r="AV2151" s="357" t="s">
        <v>98</v>
      </c>
      <c r="AW2151" s="357" t="s">
        <v>98</v>
      </c>
      <c r="AX2151" s="357" t="s">
        <v>98</v>
      </c>
      <c r="AY2151" s="357" t="s">
        <v>98</v>
      </c>
      <c r="AZ2151" s="357" t="s">
        <v>98</v>
      </c>
      <c r="BA2151" s="357" t="s">
        <v>98</v>
      </c>
      <c r="BB2151" s="357" t="s">
        <v>98</v>
      </c>
      <c r="BC2151" s="357" t="s">
        <v>98</v>
      </c>
      <c r="BD2151" s="357" t="s">
        <v>98</v>
      </c>
      <c r="BE2151" s="357" t="s">
        <v>98</v>
      </c>
      <c r="BF2151" s="351" t="s">
        <v>5577</v>
      </c>
      <c r="BG2151" s="9"/>
      <c r="BH2151" s="9" t="s">
        <v>100</v>
      </c>
      <c r="BI2151" s="9" t="s">
        <v>100</v>
      </c>
      <c r="BJ2151" s="32"/>
      <c r="BK2151" s="33"/>
      <c r="BL2151" s="33"/>
      <c r="BM2151" s="33"/>
      <c r="BN2151" s="32"/>
      <c r="BO2151" s="32"/>
      <c r="BP2151" s="33"/>
    </row>
    <row r="2152" spans="1:68" s="6" customFormat="1" ht="52" hidden="1" x14ac:dyDescent="0.35">
      <c r="A2152" s="357">
        <v>10547</v>
      </c>
      <c r="B2152" s="357" t="s">
        <v>4985</v>
      </c>
      <c r="C2152" s="357" t="s">
        <v>88</v>
      </c>
      <c r="D2152" s="351" t="s">
        <v>5585</v>
      </c>
      <c r="E2152" s="357" t="s">
        <v>43</v>
      </c>
      <c r="F2152" s="351" t="s">
        <v>4987</v>
      </c>
      <c r="G2152" s="357" t="s">
        <v>225</v>
      </c>
      <c r="H2152" s="357" t="s">
        <v>125</v>
      </c>
      <c r="I2152" s="357" t="s">
        <v>114</v>
      </c>
      <c r="J2152" s="351" t="s">
        <v>98</v>
      </c>
      <c r="K2152" s="357" t="s">
        <v>98</v>
      </c>
      <c r="L2152" s="357" t="s">
        <v>98</v>
      </c>
      <c r="M2152" s="357" t="s">
        <v>98</v>
      </c>
      <c r="N2152" s="351" t="s">
        <v>5571</v>
      </c>
      <c r="O2152" s="351" t="s">
        <v>4989</v>
      </c>
      <c r="P2152" s="351" t="s">
        <v>236</v>
      </c>
      <c r="Q2152" s="383" t="s">
        <v>4991</v>
      </c>
      <c r="R2152" s="351" t="s">
        <v>98</v>
      </c>
      <c r="S2152" s="380" t="s">
        <v>5572</v>
      </c>
      <c r="T2152" s="380" t="s">
        <v>98</v>
      </c>
      <c r="U2152" s="351" t="s">
        <v>276</v>
      </c>
      <c r="V2152" s="351" t="s">
        <v>261</v>
      </c>
      <c r="W2152" s="351" t="s">
        <v>5168</v>
      </c>
      <c r="X2152" s="351" t="s">
        <v>209</v>
      </c>
      <c r="Y2152" s="355" t="s">
        <v>98</v>
      </c>
      <c r="Z2152" s="355" t="s">
        <v>98</v>
      </c>
      <c r="AA2152" s="351" t="s">
        <v>276</v>
      </c>
      <c r="AB2152" s="351" t="s">
        <v>98</v>
      </c>
      <c r="AC2152" s="357" t="s">
        <v>276</v>
      </c>
      <c r="AD2152" s="357" t="s">
        <v>5574</v>
      </c>
      <c r="AE2152" s="357" t="s">
        <v>98</v>
      </c>
      <c r="AF2152" s="357" t="s">
        <v>98</v>
      </c>
      <c r="AG2152" s="351" t="s">
        <v>5575</v>
      </c>
      <c r="AH2152" s="351" t="s">
        <v>5576</v>
      </c>
      <c r="AI2152" s="357">
        <v>78</v>
      </c>
      <c r="AJ2152" s="355" t="s">
        <v>98</v>
      </c>
      <c r="AK2152" s="355">
        <v>87</v>
      </c>
      <c r="AL2152" s="355" t="s">
        <v>98</v>
      </c>
      <c r="AM2152" s="355" t="s">
        <v>292</v>
      </c>
      <c r="AN2152" s="357" t="s">
        <v>276</v>
      </c>
      <c r="AO2152" s="385">
        <f t="shared" si="607"/>
        <v>89.65517241379311</v>
      </c>
      <c r="AP2152" s="357" t="s">
        <v>276</v>
      </c>
      <c r="AQ2152" s="357" t="s">
        <v>276</v>
      </c>
      <c r="AR2152" s="357" t="s">
        <v>98</v>
      </c>
      <c r="AS2152" s="357" t="s">
        <v>98</v>
      </c>
      <c r="AT2152" s="357" t="s">
        <v>98</v>
      </c>
      <c r="AU2152" s="357" t="s">
        <v>98</v>
      </c>
      <c r="AV2152" s="357" t="s">
        <v>98</v>
      </c>
      <c r="AW2152" s="357" t="s">
        <v>98</v>
      </c>
      <c r="AX2152" s="357" t="s">
        <v>98</v>
      </c>
      <c r="AY2152" s="357" t="s">
        <v>98</v>
      </c>
      <c r="AZ2152" s="357" t="s">
        <v>98</v>
      </c>
      <c r="BA2152" s="357" t="s">
        <v>98</v>
      </c>
      <c r="BB2152" s="357" t="s">
        <v>98</v>
      </c>
      <c r="BC2152" s="357" t="s">
        <v>98</v>
      </c>
      <c r="BD2152" s="357" t="s">
        <v>98</v>
      </c>
      <c r="BE2152" s="357" t="s">
        <v>98</v>
      </c>
      <c r="BF2152" s="351" t="s">
        <v>5577</v>
      </c>
      <c r="BG2152" s="9"/>
      <c r="BH2152" s="9" t="s">
        <v>100</v>
      </c>
      <c r="BI2152" s="9" t="s">
        <v>100</v>
      </c>
      <c r="BJ2152" s="32"/>
      <c r="BK2152" s="33"/>
      <c r="BL2152" s="33"/>
      <c r="BM2152" s="33"/>
      <c r="BN2152" s="32"/>
      <c r="BO2152" s="32"/>
      <c r="BP2152" s="33"/>
    </row>
    <row r="2153" spans="1:68" s="6" customFormat="1" ht="52" hidden="1" x14ac:dyDescent="0.35">
      <c r="A2153" s="357">
        <v>10547</v>
      </c>
      <c r="B2153" s="357" t="s">
        <v>4985</v>
      </c>
      <c r="C2153" s="357" t="s">
        <v>88</v>
      </c>
      <c r="D2153" s="351" t="s">
        <v>5586</v>
      </c>
      <c r="E2153" s="357" t="s">
        <v>43</v>
      </c>
      <c r="F2153" s="351" t="s">
        <v>4987</v>
      </c>
      <c r="G2153" s="357" t="s">
        <v>225</v>
      </c>
      <c r="H2153" s="357" t="s">
        <v>125</v>
      </c>
      <c r="I2153" s="357" t="s">
        <v>114</v>
      </c>
      <c r="J2153" s="351" t="s">
        <v>98</v>
      </c>
      <c r="K2153" s="357" t="s">
        <v>98</v>
      </c>
      <c r="L2153" s="357" t="s">
        <v>98</v>
      </c>
      <c r="M2153" s="357" t="s">
        <v>98</v>
      </c>
      <c r="N2153" s="351" t="s">
        <v>5571</v>
      </c>
      <c r="O2153" s="351" t="s">
        <v>4989</v>
      </c>
      <c r="P2153" s="351" t="s">
        <v>236</v>
      </c>
      <c r="Q2153" s="383" t="s">
        <v>4991</v>
      </c>
      <c r="R2153" s="351" t="s">
        <v>98</v>
      </c>
      <c r="S2153" s="380" t="s">
        <v>5572</v>
      </c>
      <c r="T2153" s="380" t="s">
        <v>98</v>
      </c>
      <c r="U2153" s="351" t="s">
        <v>276</v>
      </c>
      <c r="V2153" s="351" t="s">
        <v>261</v>
      </c>
      <c r="W2153" s="351" t="s">
        <v>5171</v>
      </c>
      <c r="X2153" s="351" t="s">
        <v>209</v>
      </c>
      <c r="Y2153" s="355" t="s">
        <v>98</v>
      </c>
      <c r="Z2153" s="355" t="s">
        <v>98</v>
      </c>
      <c r="AA2153" s="351" t="s">
        <v>276</v>
      </c>
      <c r="AB2153" s="351" t="s">
        <v>98</v>
      </c>
      <c r="AC2153" s="357" t="s">
        <v>276</v>
      </c>
      <c r="AD2153" s="357" t="s">
        <v>5574</v>
      </c>
      <c r="AE2153" s="357" t="s">
        <v>98</v>
      </c>
      <c r="AF2153" s="357" t="s">
        <v>98</v>
      </c>
      <c r="AG2153" s="351" t="s">
        <v>5575</v>
      </c>
      <c r="AH2153" s="351" t="s">
        <v>5576</v>
      </c>
      <c r="AI2153" s="357">
        <v>277</v>
      </c>
      <c r="AJ2153" s="355" t="s">
        <v>98</v>
      </c>
      <c r="AK2153" s="355">
        <v>367</v>
      </c>
      <c r="AL2153" s="355" t="s">
        <v>98</v>
      </c>
      <c r="AM2153" s="355" t="s">
        <v>292</v>
      </c>
      <c r="AN2153" s="357" t="s">
        <v>276</v>
      </c>
      <c r="AO2153" s="385">
        <f t="shared" si="607"/>
        <v>75.47683923705722</v>
      </c>
      <c r="AP2153" s="357" t="s">
        <v>276</v>
      </c>
      <c r="AQ2153" s="357" t="s">
        <v>276</v>
      </c>
      <c r="AR2153" s="357" t="s">
        <v>98</v>
      </c>
      <c r="AS2153" s="357" t="s">
        <v>98</v>
      </c>
      <c r="AT2153" s="357" t="s">
        <v>98</v>
      </c>
      <c r="AU2153" s="357" t="s">
        <v>98</v>
      </c>
      <c r="AV2153" s="357" t="s">
        <v>98</v>
      </c>
      <c r="AW2153" s="357" t="s">
        <v>98</v>
      </c>
      <c r="AX2153" s="357" t="s">
        <v>98</v>
      </c>
      <c r="AY2153" s="357" t="s">
        <v>98</v>
      </c>
      <c r="AZ2153" s="357" t="s">
        <v>98</v>
      </c>
      <c r="BA2153" s="357" t="s">
        <v>98</v>
      </c>
      <c r="BB2153" s="357" t="s">
        <v>98</v>
      </c>
      <c r="BC2153" s="357" t="s">
        <v>98</v>
      </c>
      <c r="BD2153" s="357" t="s">
        <v>98</v>
      </c>
      <c r="BE2153" s="357" t="s">
        <v>98</v>
      </c>
      <c r="BF2153" s="351" t="s">
        <v>5577</v>
      </c>
      <c r="BG2153" s="9"/>
      <c r="BH2153" s="9" t="s">
        <v>100</v>
      </c>
      <c r="BI2153" s="9" t="s">
        <v>100</v>
      </c>
      <c r="BJ2153" s="32"/>
      <c r="BK2153" s="33"/>
      <c r="BL2153" s="33"/>
      <c r="BM2153" s="33"/>
      <c r="BN2153" s="32"/>
      <c r="BO2153" s="32"/>
      <c r="BP2153" s="33"/>
    </row>
    <row r="2154" spans="1:68" s="6" customFormat="1" ht="52" hidden="1" x14ac:dyDescent="0.35">
      <c r="A2154" s="357">
        <v>10547</v>
      </c>
      <c r="B2154" s="357" t="s">
        <v>4985</v>
      </c>
      <c r="C2154" s="357" t="s">
        <v>88</v>
      </c>
      <c r="D2154" s="351" t="s">
        <v>5587</v>
      </c>
      <c r="E2154" s="357" t="s">
        <v>43</v>
      </c>
      <c r="F2154" s="351" t="s">
        <v>4987</v>
      </c>
      <c r="G2154" s="357" t="s">
        <v>225</v>
      </c>
      <c r="H2154" s="357" t="s">
        <v>125</v>
      </c>
      <c r="I2154" s="357" t="s">
        <v>114</v>
      </c>
      <c r="J2154" s="351" t="s">
        <v>98</v>
      </c>
      <c r="K2154" s="357" t="s">
        <v>98</v>
      </c>
      <c r="L2154" s="357" t="s">
        <v>98</v>
      </c>
      <c r="M2154" s="357" t="s">
        <v>98</v>
      </c>
      <c r="N2154" s="351" t="s">
        <v>5571</v>
      </c>
      <c r="O2154" s="351" t="s">
        <v>4989</v>
      </c>
      <c r="P2154" s="351" t="s">
        <v>236</v>
      </c>
      <c r="Q2154" s="383" t="s">
        <v>4991</v>
      </c>
      <c r="R2154" s="351" t="s">
        <v>98</v>
      </c>
      <c r="S2154" s="380" t="s">
        <v>5572</v>
      </c>
      <c r="T2154" s="380" t="s">
        <v>98</v>
      </c>
      <c r="U2154" s="351" t="s">
        <v>276</v>
      </c>
      <c r="V2154" s="357" t="s">
        <v>259</v>
      </c>
      <c r="W2154" s="351" t="s">
        <v>5033</v>
      </c>
      <c r="X2154" s="351" t="s">
        <v>209</v>
      </c>
      <c r="Y2154" s="355" t="s">
        <v>98</v>
      </c>
      <c r="Z2154" s="355" t="s">
        <v>98</v>
      </c>
      <c r="AA2154" s="351" t="s">
        <v>276</v>
      </c>
      <c r="AB2154" s="351" t="s">
        <v>98</v>
      </c>
      <c r="AC2154" s="357" t="s">
        <v>276</v>
      </c>
      <c r="AD2154" s="357" t="s">
        <v>5574</v>
      </c>
      <c r="AE2154" s="357" t="s">
        <v>98</v>
      </c>
      <c r="AF2154" s="357" t="s">
        <v>98</v>
      </c>
      <c r="AG2154" s="351" t="s">
        <v>5575</v>
      </c>
      <c r="AH2154" s="351" t="s">
        <v>5576</v>
      </c>
      <c r="AI2154" s="355">
        <v>4235</v>
      </c>
      <c r="AJ2154" s="355" t="s">
        <v>98</v>
      </c>
      <c r="AK2154" s="355">
        <v>5990</v>
      </c>
      <c r="AL2154" s="355" t="s">
        <v>98</v>
      </c>
      <c r="AM2154" s="355" t="s">
        <v>292</v>
      </c>
      <c r="AN2154" s="357" t="s">
        <v>276</v>
      </c>
      <c r="AO2154" s="385">
        <f t="shared" si="607"/>
        <v>70.701168614357258</v>
      </c>
      <c r="AP2154" s="357" t="s">
        <v>276</v>
      </c>
      <c r="AQ2154" s="357" t="s">
        <v>276</v>
      </c>
      <c r="AR2154" s="357" t="s">
        <v>98</v>
      </c>
      <c r="AS2154" s="357" t="s">
        <v>98</v>
      </c>
      <c r="AT2154" s="357" t="s">
        <v>98</v>
      </c>
      <c r="AU2154" s="357" t="s">
        <v>98</v>
      </c>
      <c r="AV2154" s="357" t="s">
        <v>98</v>
      </c>
      <c r="AW2154" s="357" t="s">
        <v>98</v>
      </c>
      <c r="AX2154" s="357" t="s">
        <v>98</v>
      </c>
      <c r="AY2154" s="357" t="s">
        <v>98</v>
      </c>
      <c r="AZ2154" s="357" t="s">
        <v>98</v>
      </c>
      <c r="BA2154" s="357" t="s">
        <v>98</v>
      </c>
      <c r="BB2154" s="357" t="s">
        <v>98</v>
      </c>
      <c r="BC2154" s="357" t="s">
        <v>98</v>
      </c>
      <c r="BD2154" s="357" t="s">
        <v>98</v>
      </c>
      <c r="BE2154" s="357" t="s">
        <v>98</v>
      </c>
      <c r="BF2154" s="351" t="s">
        <v>1358</v>
      </c>
      <c r="BG2154" s="9"/>
      <c r="BH2154" s="9" t="s">
        <v>100</v>
      </c>
      <c r="BI2154" s="9" t="s">
        <v>100</v>
      </c>
      <c r="BJ2154" s="32"/>
      <c r="BK2154" s="33"/>
      <c r="BL2154" s="33"/>
      <c r="BM2154" s="33"/>
      <c r="BN2154" s="32"/>
      <c r="BO2154" s="32"/>
      <c r="BP2154" s="33"/>
    </row>
    <row r="2155" spans="1:68" s="6" customFormat="1" ht="52" hidden="1" x14ac:dyDescent="0.35">
      <c r="A2155" s="357">
        <v>10547</v>
      </c>
      <c r="B2155" s="357" t="s">
        <v>4985</v>
      </c>
      <c r="C2155" s="357" t="s">
        <v>88</v>
      </c>
      <c r="D2155" s="351" t="s">
        <v>5588</v>
      </c>
      <c r="E2155" s="357" t="s">
        <v>43</v>
      </c>
      <c r="F2155" s="351" t="s">
        <v>4987</v>
      </c>
      <c r="G2155" s="357" t="s">
        <v>225</v>
      </c>
      <c r="H2155" s="357" t="s">
        <v>125</v>
      </c>
      <c r="I2155" s="357" t="s">
        <v>114</v>
      </c>
      <c r="J2155" s="351" t="s">
        <v>98</v>
      </c>
      <c r="K2155" s="357" t="s">
        <v>98</v>
      </c>
      <c r="L2155" s="357" t="s">
        <v>98</v>
      </c>
      <c r="M2155" s="357" t="s">
        <v>98</v>
      </c>
      <c r="N2155" s="351" t="s">
        <v>5571</v>
      </c>
      <c r="O2155" s="351" t="s">
        <v>4989</v>
      </c>
      <c r="P2155" s="351" t="s">
        <v>236</v>
      </c>
      <c r="Q2155" s="383" t="s">
        <v>4991</v>
      </c>
      <c r="R2155" s="351" t="s">
        <v>98</v>
      </c>
      <c r="S2155" s="380" t="s">
        <v>5572</v>
      </c>
      <c r="T2155" s="380" t="s">
        <v>98</v>
      </c>
      <c r="U2155" s="351" t="s">
        <v>276</v>
      </c>
      <c r="V2155" s="357" t="s">
        <v>259</v>
      </c>
      <c r="W2155" s="351" t="s">
        <v>5072</v>
      </c>
      <c r="X2155" s="351" t="s">
        <v>209</v>
      </c>
      <c r="Y2155" s="355" t="s">
        <v>98</v>
      </c>
      <c r="Z2155" s="355" t="s">
        <v>98</v>
      </c>
      <c r="AA2155" s="351" t="s">
        <v>276</v>
      </c>
      <c r="AB2155" s="351" t="s">
        <v>98</v>
      </c>
      <c r="AC2155" s="357" t="s">
        <v>276</v>
      </c>
      <c r="AD2155" s="357" t="s">
        <v>5574</v>
      </c>
      <c r="AE2155" s="357" t="s">
        <v>98</v>
      </c>
      <c r="AF2155" s="357" t="s">
        <v>98</v>
      </c>
      <c r="AG2155" s="351" t="s">
        <v>5575</v>
      </c>
      <c r="AH2155" s="351" t="s">
        <v>5576</v>
      </c>
      <c r="AI2155" s="355">
        <v>1521</v>
      </c>
      <c r="AJ2155" s="355" t="s">
        <v>98</v>
      </c>
      <c r="AK2155" s="355">
        <v>1736</v>
      </c>
      <c r="AL2155" s="355" t="s">
        <v>98</v>
      </c>
      <c r="AM2155" s="355" t="s">
        <v>292</v>
      </c>
      <c r="AN2155" s="357" t="s">
        <v>276</v>
      </c>
      <c r="AO2155" s="385">
        <f t="shared" si="607"/>
        <v>87.615207373271886</v>
      </c>
      <c r="AP2155" s="357" t="s">
        <v>276</v>
      </c>
      <c r="AQ2155" s="357" t="s">
        <v>276</v>
      </c>
      <c r="AR2155" s="357" t="s">
        <v>98</v>
      </c>
      <c r="AS2155" s="357" t="s">
        <v>98</v>
      </c>
      <c r="AT2155" s="357" t="s">
        <v>98</v>
      </c>
      <c r="AU2155" s="357" t="s">
        <v>98</v>
      </c>
      <c r="AV2155" s="357" t="s">
        <v>98</v>
      </c>
      <c r="AW2155" s="357" t="s">
        <v>98</v>
      </c>
      <c r="AX2155" s="357" t="s">
        <v>98</v>
      </c>
      <c r="AY2155" s="357" t="s">
        <v>98</v>
      </c>
      <c r="AZ2155" s="357" t="s">
        <v>98</v>
      </c>
      <c r="BA2155" s="357" t="s">
        <v>98</v>
      </c>
      <c r="BB2155" s="357" t="s">
        <v>98</v>
      </c>
      <c r="BC2155" s="357" t="s">
        <v>98</v>
      </c>
      <c r="BD2155" s="357" t="s">
        <v>98</v>
      </c>
      <c r="BE2155" s="357" t="s">
        <v>98</v>
      </c>
      <c r="BF2155" s="351" t="s">
        <v>1358</v>
      </c>
      <c r="BG2155" s="9"/>
      <c r="BH2155" s="9" t="s">
        <v>100</v>
      </c>
      <c r="BI2155" s="9" t="s">
        <v>100</v>
      </c>
      <c r="BJ2155" s="32"/>
      <c r="BK2155" s="33"/>
      <c r="BL2155" s="33"/>
      <c r="BM2155" s="33"/>
      <c r="BN2155" s="32"/>
      <c r="BO2155" s="32"/>
      <c r="BP2155" s="33"/>
    </row>
    <row r="2156" spans="1:68" s="6" customFormat="1" ht="52" hidden="1" x14ac:dyDescent="0.35">
      <c r="A2156" s="357">
        <v>10547</v>
      </c>
      <c r="B2156" s="357" t="s">
        <v>4985</v>
      </c>
      <c r="C2156" s="357" t="s">
        <v>88</v>
      </c>
      <c r="D2156" s="351" t="s">
        <v>5589</v>
      </c>
      <c r="E2156" s="357" t="s">
        <v>43</v>
      </c>
      <c r="F2156" s="351" t="s">
        <v>4987</v>
      </c>
      <c r="G2156" s="357" t="s">
        <v>225</v>
      </c>
      <c r="H2156" s="357" t="s">
        <v>125</v>
      </c>
      <c r="I2156" s="357" t="s">
        <v>114</v>
      </c>
      <c r="J2156" s="351" t="s">
        <v>98</v>
      </c>
      <c r="K2156" s="357" t="s">
        <v>98</v>
      </c>
      <c r="L2156" s="357" t="s">
        <v>98</v>
      </c>
      <c r="M2156" s="357" t="s">
        <v>98</v>
      </c>
      <c r="N2156" s="351" t="s">
        <v>5571</v>
      </c>
      <c r="O2156" s="351" t="s">
        <v>4989</v>
      </c>
      <c r="P2156" s="351" t="s">
        <v>236</v>
      </c>
      <c r="Q2156" s="383" t="s">
        <v>4991</v>
      </c>
      <c r="R2156" s="351" t="s">
        <v>98</v>
      </c>
      <c r="S2156" s="380" t="s">
        <v>5572</v>
      </c>
      <c r="T2156" s="380" t="s">
        <v>98</v>
      </c>
      <c r="U2156" s="351" t="s">
        <v>276</v>
      </c>
      <c r="V2156" s="357" t="s">
        <v>259</v>
      </c>
      <c r="W2156" s="351" t="s">
        <v>5130</v>
      </c>
      <c r="X2156" s="351" t="s">
        <v>209</v>
      </c>
      <c r="Y2156" s="355" t="s">
        <v>98</v>
      </c>
      <c r="Z2156" s="355" t="s">
        <v>98</v>
      </c>
      <c r="AA2156" s="351" t="s">
        <v>276</v>
      </c>
      <c r="AB2156" s="351" t="s">
        <v>98</v>
      </c>
      <c r="AC2156" s="357" t="s">
        <v>276</v>
      </c>
      <c r="AD2156" s="357" t="s">
        <v>5574</v>
      </c>
      <c r="AE2156" s="357" t="s">
        <v>98</v>
      </c>
      <c r="AF2156" s="357" t="s">
        <v>98</v>
      </c>
      <c r="AG2156" s="351" t="s">
        <v>5575</v>
      </c>
      <c r="AH2156" s="351" t="s">
        <v>5576</v>
      </c>
      <c r="AI2156" s="355">
        <v>182</v>
      </c>
      <c r="AJ2156" s="355" t="s">
        <v>98</v>
      </c>
      <c r="AK2156" s="355">
        <v>363</v>
      </c>
      <c r="AL2156" s="355" t="s">
        <v>98</v>
      </c>
      <c r="AM2156" s="355" t="s">
        <v>292</v>
      </c>
      <c r="AN2156" s="357" t="s">
        <v>276</v>
      </c>
      <c r="AO2156" s="385">
        <f t="shared" si="607"/>
        <v>50.137741046831955</v>
      </c>
      <c r="AP2156" s="357" t="s">
        <v>276</v>
      </c>
      <c r="AQ2156" s="357" t="s">
        <v>276</v>
      </c>
      <c r="AR2156" s="357" t="s">
        <v>98</v>
      </c>
      <c r="AS2156" s="357" t="s">
        <v>98</v>
      </c>
      <c r="AT2156" s="357" t="s">
        <v>98</v>
      </c>
      <c r="AU2156" s="357" t="s">
        <v>98</v>
      </c>
      <c r="AV2156" s="357" t="s">
        <v>98</v>
      </c>
      <c r="AW2156" s="357" t="s">
        <v>98</v>
      </c>
      <c r="AX2156" s="357" t="s">
        <v>98</v>
      </c>
      <c r="AY2156" s="357" t="s">
        <v>98</v>
      </c>
      <c r="AZ2156" s="357" t="s">
        <v>98</v>
      </c>
      <c r="BA2156" s="357" t="s">
        <v>98</v>
      </c>
      <c r="BB2156" s="357" t="s">
        <v>98</v>
      </c>
      <c r="BC2156" s="357" t="s">
        <v>98</v>
      </c>
      <c r="BD2156" s="357" t="s">
        <v>98</v>
      </c>
      <c r="BE2156" s="357" t="s">
        <v>98</v>
      </c>
      <c r="BF2156" s="351" t="s">
        <v>1358</v>
      </c>
      <c r="BG2156" s="9"/>
      <c r="BH2156" s="9" t="s">
        <v>100</v>
      </c>
      <c r="BI2156" s="9" t="s">
        <v>100</v>
      </c>
      <c r="BJ2156" s="32"/>
      <c r="BK2156" s="33"/>
      <c r="BL2156" s="33"/>
      <c r="BM2156" s="33"/>
      <c r="BN2156" s="32"/>
      <c r="BO2156" s="32"/>
      <c r="BP2156" s="33"/>
    </row>
    <row r="2157" spans="1:68" s="6" customFormat="1" ht="52" hidden="1" x14ac:dyDescent="0.35">
      <c r="A2157" s="357">
        <v>10547</v>
      </c>
      <c r="B2157" s="357" t="s">
        <v>4985</v>
      </c>
      <c r="C2157" s="357" t="s">
        <v>88</v>
      </c>
      <c r="D2157" s="351" t="s">
        <v>5590</v>
      </c>
      <c r="E2157" s="357" t="s">
        <v>43</v>
      </c>
      <c r="F2157" s="351" t="s">
        <v>4987</v>
      </c>
      <c r="G2157" s="357" t="s">
        <v>225</v>
      </c>
      <c r="H2157" s="357" t="s">
        <v>125</v>
      </c>
      <c r="I2157" s="357" t="s">
        <v>114</v>
      </c>
      <c r="J2157" s="351" t="s">
        <v>98</v>
      </c>
      <c r="K2157" s="357" t="s">
        <v>98</v>
      </c>
      <c r="L2157" s="357" t="s">
        <v>98</v>
      </c>
      <c r="M2157" s="357" t="s">
        <v>98</v>
      </c>
      <c r="N2157" s="351" t="s">
        <v>5571</v>
      </c>
      <c r="O2157" s="351" t="s">
        <v>4989</v>
      </c>
      <c r="P2157" s="351" t="s">
        <v>236</v>
      </c>
      <c r="Q2157" s="383" t="s">
        <v>4991</v>
      </c>
      <c r="R2157" s="351" t="s">
        <v>98</v>
      </c>
      <c r="S2157" s="380" t="s">
        <v>5572</v>
      </c>
      <c r="T2157" s="380" t="s">
        <v>98</v>
      </c>
      <c r="U2157" s="351" t="s">
        <v>276</v>
      </c>
      <c r="V2157" s="357" t="s">
        <v>259</v>
      </c>
      <c r="W2157" s="351" t="s">
        <v>5133</v>
      </c>
      <c r="X2157" s="351" t="s">
        <v>209</v>
      </c>
      <c r="Y2157" s="355" t="s">
        <v>98</v>
      </c>
      <c r="Z2157" s="355" t="s">
        <v>98</v>
      </c>
      <c r="AA2157" s="351" t="s">
        <v>276</v>
      </c>
      <c r="AB2157" s="351" t="s">
        <v>98</v>
      </c>
      <c r="AC2157" s="357" t="s">
        <v>276</v>
      </c>
      <c r="AD2157" s="357" t="s">
        <v>5574</v>
      </c>
      <c r="AE2157" s="357" t="s">
        <v>98</v>
      </c>
      <c r="AF2157" s="357" t="s">
        <v>98</v>
      </c>
      <c r="AG2157" s="351" t="s">
        <v>5575</v>
      </c>
      <c r="AH2157" s="351" t="s">
        <v>5576</v>
      </c>
      <c r="AI2157" s="355">
        <v>550</v>
      </c>
      <c r="AJ2157" s="355" t="s">
        <v>98</v>
      </c>
      <c r="AK2157" s="355">
        <v>697</v>
      </c>
      <c r="AL2157" s="355" t="s">
        <v>98</v>
      </c>
      <c r="AM2157" s="355" t="s">
        <v>292</v>
      </c>
      <c r="AN2157" s="357" t="s">
        <v>276</v>
      </c>
      <c r="AO2157" s="385">
        <f t="shared" si="607"/>
        <v>78.909612625538017</v>
      </c>
      <c r="AP2157" s="357" t="s">
        <v>276</v>
      </c>
      <c r="AQ2157" s="357" t="s">
        <v>276</v>
      </c>
      <c r="AR2157" s="357" t="s">
        <v>98</v>
      </c>
      <c r="AS2157" s="357" t="s">
        <v>98</v>
      </c>
      <c r="AT2157" s="357" t="s">
        <v>98</v>
      </c>
      <c r="AU2157" s="357" t="s">
        <v>98</v>
      </c>
      <c r="AV2157" s="357" t="s">
        <v>98</v>
      </c>
      <c r="AW2157" s="357" t="s">
        <v>98</v>
      </c>
      <c r="AX2157" s="357" t="s">
        <v>98</v>
      </c>
      <c r="AY2157" s="357" t="s">
        <v>98</v>
      </c>
      <c r="AZ2157" s="357" t="s">
        <v>98</v>
      </c>
      <c r="BA2157" s="357" t="s">
        <v>98</v>
      </c>
      <c r="BB2157" s="357" t="s">
        <v>98</v>
      </c>
      <c r="BC2157" s="357" t="s">
        <v>98</v>
      </c>
      <c r="BD2157" s="357" t="s">
        <v>98</v>
      </c>
      <c r="BE2157" s="357" t="s">
        <v>98</v>
      </c>
      <c r="BF2157" s="351" t="s">
        <v>1358</v>
      </c>
      <c r="BG2157" s="9"/>
      <c r="BH2157" s="9" t="s">
        <v>100</v>
      </c>
      <c r="BI2157" s="9" t="s">
        <v>100</v>
      </c>
      <c r="BJ2157" s="32"/>
      <c r="BK2157" s="33"/>
      <c r="BL2157" s="33"/>
      <c r="BM2157" s="33"/>
      <c r="BN2157" s="32"/>
      <c r="BO2157" s="32"/>
      <c r="BP2157" s="33"/>
    </row>
    <row r="2158" spans="1:68" s="6" customFormat="1" ht="52" hidden="1" x14ac:dyDescent="0.35">
      <c r="A2158" s="357">
        <v>10547</v>
      </c>
      <c r="B2158" s="357" t="s">
        <v>4985</v>
      </c>
      <c r="C2158" s="357" t="s">
        <v>88</v>
      </c>
      <c r="D2158" s="351" t="s">
        <v>5591</v>
      </c>
      <c r="E2158" s="357" t="s">
        <v>43</v>
      </c>
      <c r="F2158" s="351" t="s">
        <v>4987</v>
      </c>
      <c r="G2158" s="357" t="s">
        <v>225</v>
      </c>
      <c r="H2158" s="357" t="s">
        <v>125</v>
      </c>
      <c r="I2158" s="357" t="s">
        <v>114</v>
      </c>
      <c r="J2158" s="351" t="s">
        <v>98</v>
      </c>
      <c r="K2158" s="357" t="s">
        <v>98</v>
      </c>
      <c r="L2158" s="357" t="s">
        <v>98</v>
      </c>
      <c r="M2158" s="357" t="s">
        <v>98</v>
      </c>
      <c r="N2158" s="351" t="s">
        <v>5571</v>
      </c>
      <c r="O2158" s="351" t="s">
        <v>4989</v>
      </c>
      <c r="P2158" s="351" t="s">
        <v>236</v>
      </c>
      <c r="Q2158" s="383" t="s">
        <v>4991</v>
      </c>
      <c r="R2158" s="351" t="s">
        <v>98</v>
      </c>
      <c r="S2158" s="380" t="s">
        <v>5572</v>
      </c>
      <c r="T2158" s="380" t="s">
        <v>98</v>
      </c>
      <c r="U2158" s="351" t="s">
        <v>276</v>
      </c>
      <c r="V2158" s="357" t="s">
        <v>259</v>
      </c>
      <c r="W2158" s="351" t="s">
        <v>5136</v>
      </c>
      <c r="X2158" s="351" t="s">
        <v>209</v>
      </c>
      <c r="Y2158" s="355" t="s">
        <v>98</v>
      </c>
      <c r="Z2158" s="355" t="s">
        <v>98</v>
      </c>
      <c r="AA2158" s="351" t="s">
        <v>276</v>
      </c>
      <c r="AB2158" s="351" t="s">
        <v>98</v>
      </c>
      <c r="AC2158" s="357" t="s">
        <v>276</v>
      </c>
      <c r="AD2158" s="357" t="s">
        <v>5574</v>
      </c>
      <c r="AE2158" s="357" t="s">
        <v>98</v>
      </c>
      <c r="AF2158" s="357" t="s">
        <v>98</v>
      </c>
      <c r="AG2158" s="351" t="s">
        <v>5575</v>
      </c>
      <c r="AH2158" s="351" t="s">
        <v>5576</v>
      </c>
      <c r="AI2158" s="355">
        <v>1477</v>
      </c>
      <c r="AJ2158" s="355" t="s">
        <v>98</v>
      </c>
      <c r="AK2158" s="355">
        <v>2493</v>
      </c>
      <c r="AL2158" s="355" t="s">
        <v>98</v>
      </c>
      <c r="AM2158" s="355" t="s">
        <v>292</v>
      </c>
      <c r="AN2158" s="357" t="s">
        <v>276</v>
      </c>
      <c r="AO2158" s="385">
        <f t="shared" si="607"/>
        <v>59.245888487765747</v>
      </c>
      <c r="AP2158" s="357" t="s">
        <v>276</v>
      </c>
      <c r="AQ2158" s="357" t="s">
        <v>276</v>
      </c>
      <c r="AR2158" s="357" t="s">
        <v>98</v>
      </c>
      <c r="AS2158" s="357" t="s">
        <v>98</v>
      </c>
      <c r="AT2158" s="357" t="s">
        <v>98</v>
      </c>
      <c r="AU2158" s="357" t="s">
        <v>98</v>
      </c>
      <c r="AV2158" s="357" t="s">
        <v>98</v>
      </c>
      <c r="AW2158" s="357" t="s">
        <v>98</v>
      </c>
      <c r="AX2158" s="357" t="s">
        <v>98</v>
      </c>
      <c r="AY2158" s="357" t="s">
        <v>98</v>
      </c>
      <c r="AZ2158" s="357" t="s">
        <v>98</v>
      </c>
      <c r="BA2158" s="357" t="s">
        <v>98</v>
      </c>
      <c r="BB2158" s="357" t="s">
        <v>98</v>
      </c>
      <c r="BC2158" s="357" t="s">
        <v>98</v>
      </c>
      <c r="BD2158" s="357" t="s">
        <v>98</v>
      </c>
      <c r="BE2158" s="357" t="s">
        <v>98</v>
      </c>
      <c r="BF2158" s="351" t="s">
        <v>1358</v>
      </c>
      <c r="BG2158" s="9"/>
      <c r="BH2158" s="9" t="s">
        <v>100</v>
      </c>
      <c r="BI2158" s="9" t="s">
        <v>100</v>
      </c>
      <c r="BJ2158" s="32"/>
      <c r="BK2158" s="33"/>
      <c r="BL2158" s="33"/>
      <c r="BM2158" s="33"/>
      <c r="BN2158" s="32"/>
      <c r="BO2158" s="32"/>
      <c r="BP2158" s="33"/>
    </row>
    <row r="2159" spans="1:68" s="6" customFormat="1" ht="52" hidden="1" x14ac:dyDescent="0.35">
      <c r="A2159" s="357">
        <v>10547</v>
      </c>
      <c r="B2159" s="357" t="s">
        <v>4985</v>
      </c>
      <c r="C2159" s="357" t="s">
        <v>88</v>
      </c>
      <c r="D2159" s="351" t="s">
        <v>5592</v>
      </c>
      <c r="E2159" s="357" t="s">
        <v>43</v>
      </c>
      <c r="F2159" s="351" t="s">
        <v>4987</v>
      </c>
      <c r="G2159" s="357" t="s">
        <v>225</v>
      </c>
      <c r="H2159" s="357" t="s">
        <v>125</v>
      </c>
      <c r="I2159" s="357" t="s">
        <v>114</v>
      </c>
      <c r="J2159" s="351" t="s">
        <v>98</v>
      </c>
      <c r="K2159" s="357" t="s">
        <v>98</v>
      </c>
      <c r="L2159" s="357" t="s">
        <v>98</v>
      </c>
      <c r="M2159" s="357" t="s">
        <v>98</v>
      </c>
      <c r="N2159" s="351" t="s">
        <v>5571</v>
      </c>
      <c r="O2159" s="351" t="s">
        <v>4989</v>
      </c>
      <c r="P2159" s="351" t="s">
        <v>236</v>
      </c>
      <c r="Q2159" s="383" t="s">
        <v>4991</v>
      </c>
      <c r="R2159" s="351" t="s">
        <v>98</v>
      </c>
      <c r="S2159" s="380" t="s">
        <v>5572</v>
      </c>
      <c r="T2159" s="380" t="s">
        <v>98</v>
      </c>
      <c r="U2159" s="351" t="s">
        <v>276</v>
      </c>
      <c r="V2159" s="357" t="s">
        <v>259</v>
      </c>
      <c r="W2159" s="351" t="s">
        <v>5139</v>
      </c>
      <c r="X2159" s="351" t="s">
        <v>209</v>
      </c>
      <c r="Y2159" s="355" t="s">
        <v>98</v>
      </c>
      <c r="Z2159" s="355" t="s">
        <v>98</v>
      </c>
      <c r="AA2159" s="351" t="s">
        <v>276</v>
      </c>
      <c r="AB2159" s="351" t="s">
        <v>98</v>
      </c>
      <c r="AC2159" s="357" t="s">
        <v>276</v>
      </c>
      <c r="AD2159" s="357" t="s">
        <v>5574</v>
      </c>
      <c r="AE2159" s="357" t="s">
        <v>98</v>
      </c>
      <c r="AF2159" s="357" t="s">
        <v>98</v>
      </c>
      <c r="AG2159" s="351" t="s">
        <v>5575</v>
      </c>
      <c r="AH2159" s="351" t="s">
        <v>5576</v>
      </c>
      <c r="AI2159" s="355">
        <v>180</v>
      </c>
      <c r="AJ2159" s="355" t="s">
        <v>98</v>
      </c>
      <c r="AK2159" s="355">
        <v>280</v>
      </c>
      <c r="AL2159" s="355" t="s">
        <v>98</v>
      </c>
      <c r="AM2159" s="355" t="s">
        <v>292</v>
      </c>
      <c r="AN2159" s="357" t="s">
        <v>276</v>
      </c>
      <c r="AO2159" s="385">
        <f t="shared" si="607"/>
        <v>64.285714285714292</v>
      </c>
      <c r="AP2159" s="357" t="s">
        <v>276</v>
      </c>
      <c r="AQ2159" s="357" t="s">
        <v>276</v>
      </c>
      <c r="AR2159" s="357" t="s">
        <v>98</v>
      </c>
      <c r="AS2159" s="357" t="s">
        <v>98</v>
      </c>
      <c r="AT2159" s="357" t="s">
        <v>98</v>
      </c>
      <c r="AU2159" s="357" t="s">
        <v>98</v>
      </c>
      <c r="AV2159" s="357" t="s">
        <v>98</v>
      </c>
      <c r="AW2159" s="357" t="s">
        <v>98</v>
      </c>
      <c r="AX2159" s="357" t="s">
        <v>98</v>
      </c>
      <c r="AY2159" s="357" t="s">
        <v>98</v>
      </c>
      <c r="AZ2159" s="357" t="s">
        <v>98</v>
      </c>
      <c r="BA2159" s="357" t="s">
        <v>98</v>
      </c>
      <c r="BB2159" s="357" t="s">
        <v>98</v>
      </c>
      <c r="BC2159" s="357" t="s">
        <v>98</v>
      </c>
      <c r="BD2159" s="357" t="s">
        <v>98</v>
      </c>
      <c r="BE2159" s="357" t="s">
        <v>98</v>
      </c>
      <c r="BF2159" s="351" t="s">
        <v>1358</v>
      </c>
      <c r="BG2159" s="9"/>
      <c r="BH2159" s="9" t="s">
        <v>100</v>
      </c>
      <c r="BI2159" s="9" t="s">
        <v>100</v>
      </c>
      <c r="BJ2159" s="32"/>
      <c r="BK2159" s="33"/>
      <c r="BL2159" s="33"/>
      <c r="BM2159" s="33"/>
      <c r="BN2159" s="32"/>
      <c r="BO2159" s="32"/>
      <c r="BP2159" s="33"/>
    </row>
    <row r="2160" spans="1:68" s="6" customFormat="1" ht="52" hidden="1" x14ac:dyDescent="0.35">
      <c r="A2160" s="357">
        <v>10547</v>
      </c>
      <c r="B2160" s="357" t="s">
        <v>4985</v>
      </c>
      <c r="C2160" s="357" t="s">
        <v>88</v>
      </c>
      <c r="D2160" s="351" t="s">
        <v>5593</v>
      </c>
      <c r="E2160" s="357" t="s">
        <v>43</v>
      </c>
      <c r="F2160" s="351" t="s">
        <v>4987</v>
      </c>
      <c r="G2160" s="357" t="s">
        <v>225</v>
      </c>
      <c r="H2160" s="357" t="s">
        <v>125</v>
      </c>
      <c r="I2160" s="357" t="s">
        <v>114</v>
      </c>
      <c r="J2160" s="351" t="s">
        <v>98</v>
      </c>
      <c r="K2160" s="357" t="s">
        <v>98</v>
      </c>
      <c r="L2160" s="357" t="s">
        <v>98</v>
      </c>
      <c r="M2160" s="357" t="s">
        <v>98</v>
      </c>
      <c r="N2160" s="351" t="s">
        <v>5571</v>
      </c>
      <c r="O2160" s="351" t="s">
        <v>4989</v>
      </c>
      <c r="P2160" s="351" t="s">
        <v>236</v>
      </c>
      <c r="Q2160" s="383" t="s">
        <v>4991</v>
      </c>
      <c r="R2160" s="351" t="s">
        <v>98</v>
      </c>
      <c r="S2160" s="380" t="s">
        <v>5572</v>
      </c>
      <c r="T2160" s="380" t="s">
        <v>98</v>
      </c>
      <c r="U2160" s="351" t="s">
        <v>276</v>
      </c>
      <c r="V2160" s="357" t="s">
        <v>259</v>
      </c>
      <c r="W2160" s="351" t="s">
        <v>5142</v>
      </c>
      <c r="X2160" s="351" t="s">
        <v>209</v>
      </c>
      <c r="Y2160" s="355" t="s">
        <v>98</v>
      </c>
      <c r="Z2160" s="355" t="s">
        <v>98</v>
      </c>
      <c r="AA2160" s="351" t="s">
        <v>276</v>
      </c>
      <c r="AB2160" s="351" t="s">
        <v>98</v>
      </c>
      <c r="AC2160" s="357" t="s">
        <v>276</v>
      </c>
      <c r="AD2160" s="357" t="s">
        <v>5574</v>
      </c>
      <c r="AE2160" s="357" t="s">
        <v>98</v>
      </c>
      <c r="AF2160" s="357" t="s">
        <v>98</v>
      </c>
      <c r="AG2160" s="351" t="s">
        <v>5575</v>
      </c>
      <c r="AH2160" s="351" t="s">
        <v>5576</v>
      </c>
      <c r="AI2160" s="355">
        <v>60</v>
      </c>
      <c r="AJ2160" s="355" t="s">
        <v>98</v>
      </c>
      <c r="AK2160" s="355">
        <v>68</v>
      </c>
      <c r="AL2160" s="355" t="s">
        <v>98</v>
      </c>
      <c r="AM2160" s="355" t="s">
        <v>292</v>
      </c>
      <c r="AN2160" s="357" t="s">
        <v>276</v>
      </c>
      <c r="AO2160" s="385">
        <f t="shared" si="607"/>
        <v>88.235294117647058</v>
      </c>
      <c r="AP2160" s="357" t="s">
        <v>276</v>
      </c>
      <c r="AQ2160" s="357" t="s">
        <v>276</v>
      </c>
      <c r="AR2160" s="357" t="s">
        <v>98</v>
      </c>
      <c r="AS2160" s="357" t="s">
        <v>98</v>
      </c>
      <c r="AT2160" s="357" t="s">
        <v>98</v>
      </c>
      <c r="AU2160" s="357" t="s">
        <v>98</v>
      </c>
      <c r="AV2160" s="357" t="s">
        <v>98</v>
      </c>
      <c r="AW2160" s="357" t="s">
        <v>98</v>
      </c>
      <c r="AX2160" s="357" t="s">
        <v>98</v>
      </c>
      <c r="AY2160" s="357" t="s">
        <v>98</v>
      </c>
      <c r="AZ2160" s="357" t="s">
        <v>98</v>
      </c>
      <c r="BA2160" s="357" t="s">
        <v>98</v>
      </c>
      <c r="BB2160" s="357" t="s">
        <v>98</v>
      </c>
      <c r="BC2160" s="357" t="s">
        <v>98</v>
      </c>
      <c r="BD2160" s="357" t="s">
        <v>98</v>
      </c>
      <c r="BE2160" s="357" t="s">
        <v>98</v>
      </c>
      <c r="BF2160" s="351" t="s">
        <v>1358</v>
      </c>
      <c r="BG2160" s="9"/>
      <c r="BH2160" s="9" t="s">
        <v>100</v>
      </c>
      <c r="BI2160" s="9" t="s">
        <v>100</v>
      </c>
      <c r="BJ2160" s="32"/>
      <c r="BK2160" s="33"/>
      <c r="BL2160" s="33"/>
      <c r="BM2160" s="33"/>
      <c r="BN2160" s="32"/>
      <c r="BO2160" s="32"/>
      <c r="BP2160" s="33"/>
    </row>
    <row r="2161" spans="1:68" s="6" customFormat="1" ht="52" hidden="1" x14ac:dyDescent="0.35">
      <c r="A2161" s="357">
        <v>10547</v>
      </c>
      <c r="B2161" s="357" t="s">
        <v>4985</v>
      </c>
      <c r="C2161" s="357" t="s">
        <v>88</v>
      </c>
      <c r="D2161" s="351" t="s">
        <v>5594</v>
      </c>
      <c r="E2161" s="357" t="s">
        <v>43</v>
      </c>
      <c r="F2161" s="351" t="s">
        <v>4987</v>
      </c>
      <c r="G2161" s="357" t="s">
        <v>225</v>
      </c>
      <c r="H2161" s="357" t="s">
        <v>125</v>
      </c>
      <c r="I2161" s="357" t="s">
        <v>114</v>
      </c>
      <c r="J2161" s="351" t="s">
        <v>98</v>
      </c>
      <c r="K2161" s="357" t="s">
        <v>98</v>
      </c>
      <c r="L2161" s="357" t="s">
        <v>98</v>
      </c>
      <c r="M2161" s="357" t="s">
        <v>98</v>
      </c>
      <c r="N2161" s="351" t="s">
        <v>5571</v>
      </c>
      <c r="O2161" s="351" t="s">
        <v>4989</v>
      </c>
      <c r="P2161" s="351" t="s">
        <v>236</v>
      </c>
      <c r="Q2161" s="383" t="s">
        <v>4991</v>
      </c>
      <c r="R2161" s="351" t="s">
        <v>98</v>
      </c>
      <c r="S2161" s="380" t="s">
        <v>5572</v>
      </c>
      <c r="T2161" s="380" t="s">
        <v>98</v>
      </c>
      <c r="U2161" s="351" t="s">
        <v>276</v>
      </c>
      <c r="V2161" s="357" t="s">
        <v>259</v>
      </c>
      <c r="W2161" s="351" t="s">
        <v>5145</v>
      </c>
      <c r="X2161" s="351" t="s">
        <v>209</v>
      </c>
      <c r="Y2161" s="355" t="s">
        <v>98</v>
      </c>
      <c r="Z2161" s="355" t="s">
        <v>98</v>
      </c>
      <c r="AA2161" s="351" t="s">
        <v>276</v>
      </c>
      <c r="AB2161" s="351" t="s">
        <v>98</v>
      </c>
      <c r="AC2161" s="357" t="s">
        <v>276</v>
      </c>
      <c r="AD2161" s="357" t="s">
        <v>5574</v>
      </c>
      <c r="AE2161" s="357" t="s">
        <v>98</v>
      </c>
      <c r="AF2161" s="357" t="s">
        <v>98</v>
      </c>
      <c r="AG2161" s="351" t="s">
        <v>5575</v>
      </c>
      <c r="AH2161" s="351" t="s">
        <v>5576</v>
      </c>
      <c r="AI2161" s="355">
        <v>265</v>
      </c>
      <c r="AJ2161" s="355" t="s">
        <v>98</v>
      </c>
      <c r="AK2161" s="355">
        <v>353</v>
      </c>
      <c r="AL2161" s="355" t="s">
        <v>98</v>
      </c>
      <c r="AM2161" s="355" t="s">
        <v>292</v>
      </c>
      <c r="AN2161" s="357" t="s">
        <v>276</v>
      </c>
      <c r="AO2161" s="385">
        <f t="shared" si="607"/>
        <v>75.070821529745047</v>
      </c>
      <c r="AP2161" s="357" t="s">
        <v>276</v>
      </c>
      <c r="AQ2161" s="357" t="s">
        <v>276</v>
      </c>
      <c r="AR2161" s="357" t="s">
        <v>98</v>
      </c>
      <c r="AS2161" s="357" t="s">
        <v>98</v>
      </c>
      <c r="AT2161" s="357" t="s">
        <v>98</v>
      </c>
      <c r="AU2161" s="357" t="s">
        <v>98</v>
      </c>
      <c r="AV2161" s="357" t="s">
        <v>98</v>
      </c>
      <c r="AW2161" s="357" t="s">
        <v>98</v>
      </c>
      <c r="AX2161" s="357" t="s">
        <v>98</v>
      </c>
      <c r="AY2161" s="357" t="s">
        <v>98</v>
      </c>
      <c r="AZ2161" s="357" t="s">
        <v>98</v>
      </c>
      <c r="BA2161" s="357" t="s">
        <v>98</v>
      </c>
      <c r="BB2161" s="357" t="s">
        <v>98</v>
      </c>
      <c r="BC2161" s="357" t="s">
        <v>98</v>
      </c>
      <c r="BD2161" s="357" t="s">
        <v>98</v>
      </c>
      <c r="BE2161" s="357" t="s">
        <v>98</v>
      </c>
      <c r="BF2161" s="351" t="s">
        <v>1358</v>
      </c>
      <c r="BG2161" s="9"/>
      <c r="BH2161" s="9" t="s">
        <v>100</v>
      </c>
      <c r="BI2161" s="9" t="s">
        <v>100</v>
      </c>
      <c r="BJ2161" s="32"/>
      <c r="BK2161" s="33"/>
      <c r="BL2161" s="33"/>
      <c r="BM2161" s="33"/>
      <c r="BN2161" s="32"/>
      <c r="BO2161" s="32"/>
      <c r="BP2161" s="33"/>
    </row>
    <row r="2162" spans="1:68" s="388" customFormat="1" ht="52" hidden="1" x14ac:dyDescent="0.35">
      <c r="A2162" s="357">
        <v>10547</v>
      </c>
      <c r="B2162" s="357" t="s">
        <v>4985</v>
      </c>
      <c r="C2162" s="357" t="s">
        <v>88</v>
      </c>
      <c r="D2162" s="351" t="s">
        <v>5595</v>
      </c>
      <c r="E2162" s="357" t="s">
        <v>43</v>
      </c>
      <c r="F2162" s="351" t="s">
        <v>4987</v>
      </c>
      <c r="G2162" s="357" t="s">
        <v>225</v>
      </c>
      <c r="H2162" s="357" t="s">
        <v>125</v>
      </c>
      <c r="I2162" s="357" t="s">
        <v>114</v>
      </c>
      <c r="J2162" s="351" t="s">
        <v>98</v>
      </c>
      <c r="K2162" s="357" t="s">
        <v>98</v>
      </c>
      <c r="L2162" s="357" t="s">
        <v>98</v>
      </c>
      <c r="M2162" s="357" t="s">
        <v>98</v>
      </c>
      <c r="N2162" s="351" t="s">
        <v>5571</v>
      </c>
      <c r="O2162" s="351" t="s">
        <v>4989</v>
      </c>
      <c r="P2162" s="351" t="s">
        <v>238</v>
      </c>
      <c r="Q2162" s="383" t="s">
        <v>4991</v>
      </c>
      <c r="R2162" s="351" t="s">
        <v>98</v>
      </c>
      <c r="S2162" s="380" t="s">
        <v>5572</v>
      </c>
      <c r="T2162" s="380" t="s">
        <v>98</v>
      </c>
      <c r="U2162" s="351" t="s">
        <v>276</v>
      </c>
      <c r="V2162" s="351" t="s">
        <v>261</v>
      </c>
      <c r="W2162" s="351" t="s">
        <v>5573</v>
      </c>
      <c r="X2162" s="351" t="s">
        <v>209</v>
      </c>
      <c r="Y2162" s="355">
        <v>82816</v>
      </c>
      <c r="Z2162" s="355" t="s">
        <v>98</v>
      </c>
      <c r="AA2162" s="351" t="s">
        <v>276</v>
      </c>
      <c r="AB2162" s="351" t="s">
        <v>98</v>
      </c>
      <c r="AC2162" s="357" t="s">
        <v>276</v>
      </c>
      <c r="AD2162" s="357" t="s">
        <v>5574</v>
      </c>
      <c r="AE2162" s="357" t="s">
        <v>98</v>
      </c>
      <c r="AF2162" s="357" t="s">
        <v>98</v>
      </c>
      <c r="AG2162" s="351" t="s">
        <v>5575</v>
      </c>
      <c r="AH2162" s="351" t="s">
        <v>5596</v>
      </c>
      <c r="AI2162" s="357">
        <v>4860</v>
      </c>
      <c r="AJ2162" s="355" t="s">
        <v>98</v>
      </c>
      <c r="AK2162" s="355">
        <v>82816</v>
      </c>
      <c r="AL2162" s="355" t="s">
        <v>98</v>
      </c>
      <c r="AM2162" s="355" t="s">
        <v>690</v>
      </c>
      <c r="AN2162" s="357" t="s">
        <v>276</v>
      </c>
      <c r="AO2162" s="386">
        <f>AI2162*1000/AK2162</f>
        <v>58.684312210200929</v>
      </c>
      <c r="AP2162" s="357" t="s">
        <v>276</v>
      </c>
      <c r="AQ2162" s="357" t="s">
        <v>276</v>
      </c>
      <c r="AR2162" s="357" t="s">
        <v>98</v>
      </c>
      <c r="AS2162" s="357" t="s">
        <v>98</v>
      </c>
      <c r="AT2162" s="357" t="s">
        <v>98</v>
      </c>
      <c r="AU2162" s="357" t="s">
        <v>98</v>
      </c>
      <c r="AV2162" s="357" t="s">
        <v>98</v>
      </c>
      <c r="AW2162" s="357" t="s">
        <v>98</v>
      </c>
      <c r="AX2162" s="357" t="s">
        <v>98</v>
      </c>
      <c r="AY2162" s="357" t="s">
        <v>98</v>
      </c>
      <c r="AZ2162" s="357" t="s">
        <v>98</v>
      </c>
      <c r="BA2162" s="357" t="s">
        <v>98</v>
      </c>
      <c r="BB2162" s="357" t="s">
        <v>98</v>
      </c>
      <c r="BC2162" s="357" t="s">
        <v>98</v>
      </c>
      <c r="BD2162" s="357" t="s">
        <v>98</v>
      </c>
      <c r="BE2162" s="357" t="s">
        <v>98</v>
      </c>
      <c r="BF2162" s="351" t="s">
        <v>5577</v>
      </c>
      <c r="BG2162" s="364"/>
      <c r="BH2162" s="9" t="s">
        <v>100</v>
      </c>
      <c r="BI2162" s="9" t="s">
        <v>100</v>
      </c>
      <c r="BJ2162" s="387"/>
      <c r="BN2162" s="387"/>
      <c r="BO2162" s="387"/>
    </row>
    <row r="2163" spans="1:68" s="388" customFormat="1" ht="52" hidden="1" x14ac:dyDescent="0.35">
      <c r="A2163" s="357">
        <v>10547</v>
      </c>
      <c r="B2163" s="357" t="s">
        <v>4985</v>
      </c>
      <c r="C2163" s="357" t="s">
        <v>88</v>
      </c>
      <c r="D2163" s="351" t="s">
        <v>5597</v>
      </c>
      <c r="E2163" s="357" t="s">
        <v>43</v>
      </c>
      <c r="F2163" s="351" t="s">
        <v>4987</v>
      </c>
      <c r="G2163" s="357" t="s">
        <v>225</v>
      </c>
      <c r="H2163" s="357" t="s">
        <v>125</v>
      </c>
      <c r="I2163" s="357" t="s">
        <v>114</v>
      </c>
      <c r="J2163" s="351" t="s">
        <v>98</v>
      </c>
      <c r="K2163" s="357" t="s">
        <v>98</v>
      </c>
      <c r="L2163" s="357" t="s">
        <v>98</v>
      </c>
      <c r="M2163" s="357" t="s">
        <v>98</v>
      </c>
      <c r="N2163" s="351" t="s">
        <v>5571</v>
      </c>
      <c r="O2163" s="351" t="s">
        <v>4989</v>
      </c>
      <c r="P2163" s="351" t="s">
        <v>238</v>
      </c>
      <c r="Q2163" s="383" t="s">
        <v>4991</v>
      </c>
      <c r="R2163" s="351" t="s">
        <v>98</v>
      </c>
      <c r="S2163" s="380" t="s">
        <v>5572</v>
      </c>
      <c r="T2163" s="380" t="s">
        <v>98</v>
      </c>
      <c r="U2163" s="351" t="s">
        <v>276</v>
      </c>
      <c r="V2163" s="351" t="s">
        <v>261</v>
      </c>
      <c r="W2163" s="351" t="s">
        <v>5153</v>
      </c>
      <c r="X2163" s="351" t="s">
        <v>209</v>
      </c>
      <c r="Y2163" s="355">
        <v>21206</v>
      </c>
      <c r="Z2163" s="355" t="s">
        <v>98</v>
      </c>
      <c r="AA2163" s="351" t="s">
        <v>276</v>
      </c>
      <c r="AB2163" s="351" t="s">
        <v>98</v>
      </c>
      <c r="AC2163" s="357" t="s">
        <v>276</v>
      </c>
      <c r="AD2163" s="357" t="s">
        <v>5574</v>
      </c>
      <c r="AE2163" s="357" t="s">
        <v>98</v>
      </c>
      <c r="AF2163" s="357" t="s">
        <v>98</v>
      </c>
      <c r="AG2163" s="351" t="s">
        <v>5575</v>
      </c>
      <c r="AH2163" s="351" t="s">
        <v>5596</v>
      </c>
      <c r="AI2163" s="347">
        <v>1830</v>
      </c>
      <c r="AJ2163" s="355" t="s">
        <v>98</v>
      </c>
      <c r="AK2163" s="355">
        <v>21206</v>
      </c>
      <c r="AL2163" s="355" t="s">
        <v>98</v>
      </c>
      <c r="AM2163" s="355" t="s">
        <v>690</v>
      </c>
      <c r="AN2163" s="357" t="s">
        <v>276</v>
      </c>
      <c r="AO2163" s="386">
        <f t="shared" ref="AO2163:AO2177" si="608">AI2163*1000/AK2163</f>
        <v>86.296331227011223</v>
      </c>
      <c r="AP2163" s="357" t="s">
        <v>276</v>
      </c>
      <c r="AQ2163" s="357" t="s">
        <v>276</v>
      </c>
      <c r="AR2163" s="357" t="s">
        <v>98</v>
      </c>
      <c r="AS2163" s="357" t="s">
        <v>98</v>
      </c>
      <c r="AT2163" s="357" t="s">
        <v>98</v>
      </c>
      <c r="AU2163" s="357" t="s">
        <v>98</v>
      </c>
      <c r="AV2163" s="357" t="s">
        <v>98</v>
      </c>
      <c r="AW2163" s="357" t="s">
        <v>98</v>
      </c>
      <c r="AX2163" s="357" t="s">
        <v>98</v>
      </c>
      <c r="AY2163" s="357" t="s">
        <v>98</v>
      </c>
      <c r="AZ2163" s="357" t="s">
        <v>98</v>
      </c>
      <c r="BA2163" s="357" t="s">
        <v>98</v>
      </c>
      <c r="BB2163" s="357" t="s">
        <v>98</v>
      </c>
      <c r="BC2163" s="357" t="s">
        <v>98</v>
      </c>
      <c r="BD2163" s="357" t="s">
        <v>98</v>
      </c>
      <c r="BE2163" s="357" t="s">
        <v>98</v>
      </c>
      <c r="BF2163" s="351" t="s">
        <v>5579</v>
      </c>
      <c r="BG2163" s="364"/>
      <c r="BH2163" s="9" t="s">
        <v>100</v>
      </c>
      <c r="BI2163" s="9" t="s">
        <v>100</v>
      </c>
      <c r="BJ2163" s="387"/>
      <c r="BN2163" s="387"/>
      <c r="BO2163" s="387"/>
    </row>
    <row r="2164" spans="1:68" s="388" customFormat="1" ht="52" hidden="1" x14ac:dyDescent="0.35">
      <c r="A2164" s="357">
        <v>10547</v>
      </c>
      <c r="B2164" s="357" t="s">
        <v>4985</v>
      </c>
      <c r="C2164" s="357" t="s">
        <v>88</v>
      </c>
      <c r="D2164" s="351" t="s">
        <v>5598</v>
      </c>
      <c r="E2164" s="357" t="s">
        <v>43</v>
      </c>
      <c r="F2164" s="351" t="s">
        <v>4987</v>
      </c>
      <c r="G2164" s="357" t="s">
        <v>225</v>
      </c>
      <c r="H2164" s="357" t="s">
        <v>125</v>
      </c>
      <c r="I2164" s="357" t="s">
        <v>114</v>
      </c>
      <c r="J2164" s="351" t="s">
        <v>98</v>
      </c>
      <c r="K2164" s="357" t="s">
        <v>98</v>
      </c>
      <c r="L2164" s="357" t="s">
        <v>98</v>
      </c>
      <c r="M2164" s="357" t="s">
        <v>98</v>
      </c>
      <c r="N2164" s="351" t="s">
        <v>5571</v>
      </c>
      <c r="O2164" s="351" t="s">
        <v>4989</v>
      </c>
      <c r="P2164" s="351" t="s">
        <v>238</v>
      </c>
      <c r="Q2164" s="383" t="s">
        <v>4991</v>
      </c>
      <c r="R2164" s="351" t="s">
        <v>98</v>
      </c>
      <c r="S2164" s="380" t="s">
        <v>5572</v>
      </c>
      <c r="T2164" s="380" t="s">
        <v>98</v>
      </c>
      <c r="U2164" s="351" t="s">
        <v>276</v>
      </c>
      <c r="V2164" s="351" t="s">
        <v>261</v>
      </c>
      <c r="W2164" s="351" t="s">
        <v>5581</v>
      </c>
      <c r="X2164" s="351" t="s">
        <v>209</v>
      </c>
      <c r="Y2164" s="355">
        <v>5188</v>
      </c>
      <c r="Z2164" s="355" t="s">
        <v>98</v>
      </c>
      <c r="AA2164" s="351" t="s">
        <v>276</v>
      </c>
      <c r="AB2164" s="351" t="s">
        <v>98</v>
      </c>
      <c r="AC2164" s="357" t="s">
        <v>276</v>
      </c>
      <c r="AD2164" s="357" t="s">
        <v>5574</v>
      </c>
      <c r="AE2164" s="357" t="s">
        <v>98</v>
      </c>
      <c r="AF2164" s="357" t="s">
        <v>98</v>
      </c>
      <c r="AG2164" s="351" t="s">
        <v>5575</v>
      </c>
      <c r="AH2164" s="351" t="s">
        <v>5596</v>
      </c>
      <c r="AI2164" s="357">
        <v>208</v>
      </c>
      <c r="AJ2164" s="355" t="s">
        <v>98</v>
      </c>
      <c r="AK2164" s="355">
        <v>5188</v>
      </c>
      <c r="AL2164" s="355" t="s">
        <v>98</v>
      </c>
      <c r="AM2164" s="355" t="s">
        <v>690</v>
      </c>
      <c r="AN2164" s="357" t="s">
        <v>276</v>
      </c>
      <c r="AO2164" s="386">
        <f t="shared" si="608"/>
        <v>40.092521202775636</v>
      </c>
      <c r="AP2164" s="357" t="s">
        <v>276</v>
      </c>
      <c r="AQ2164" s="357" t="s">
        <v>276</v>
      </c>
      <c r="AR2164" s="357" t="s">
        <v>98</v>
      </c>
      <c r="AS2164" s="357" t="s">
        <v>98</v>
      </c>
      <c r="AT2164" s="357" t="s">
        <v>98</v>
      </c>
      <c r="AU2164" s="357" t="s">
        <v>98</v>
      </c>
      <c r="AV2164" s="357" t="s">
        <v>98</v>
      </c>
      <c r="AW2164" s="357" t="s">
        <v>98</v>
      </c>
      <c r="AX2164" s="357" t="s">
        <v>98</v>
      </c>
      <c r="AY2164" s="357" t="s">
        <v>98</v>
      </c>
      <c r="AZ2164" s="357" t="s">
        <v>98</v>
      </c>
      <c r="BA2164" s="357" t="s">
        <v>98</v>
      </c>
      <c r="BB2164" s="357" t="s">
        <v>98</v>
      </c>
      <c r="BC2164" s="357" t="s">
        <v>98</v>
      </c>
      <c r="BD2164" s="357" t="s">
        <v>98</v>
      </c>
      <c r="BE2164" s="357" t="s">
        <v>98</v>
      </c>
      <c r="BF2164" s="351" t="s">
        <v>5577</v>
      </c>
      <c r="BG2164" s="364"/>
      <c r="BH2164" s="9" t="s">
        <v>100</v>
      </c>
      <c r="BI2164" s="9" t="s">
        <v>100</v>
      </c>
      <c r="BJ2164" s="387"/>
      <c r="BN2164" s="387"/>
      <c r="BO2164" s="387"/>
    </row>
    <row r="2165" spans="1:68" s="388" customFormat="1" ht="52" hidden="1" x14ac:dyDescent="0.35">
      <c r="A2165" s="357">
        <v>10547</v>
      </c>
      <c r="B2165" s="357" t="s">
        <v>4985</v>
      </c>
      <c r="C2165" s="357" t="s">
        <v>88</v>
      </c>
      <c r="D2165" s="351" t="s">
        <v>5599</v>
      </c>
      <c r="E2165" s="357" t="s">
        <v>43</v>
      </c>
      <c r="F2165" s="351" t="s">
        <v>4987</v>
      </c>
      <c r="G2165" s="357" t="s">
        <v>225</v>
      </c>
      <c r="H2165" s="357" t="s">
        <v>125</v>
      </c>
      <c r="I2165" s="357" t="s">
        <v>114</v>
      </c>
      <c r="J2165" s="351" t="s">
        <v>98</v>
      </c>
      <c r="K2165" s="357" t="s">
        <v>98</v>
      </c>
      <c r="L2165" s="357" t="s">
        <v>98</v>
      </c>
      <c r="M2165" s="357" t="s">
        <v>98</v>
      </c>
      <c r="N2165" s="351" t="s">
        <v>5571</v>
      </c>
      <c r="O2165" s="351" t="s">
        <v>4989</v>
      </c>
      <c r="P2165" s="351" t="s">
        <v>238</v>
      </c>
      <c r="Q2165" s="383" t="s">
        <v>4991</v>
      </c>
      <c r="R2165" s="351" t="s">
        <v>98</v>
      </c>
      <c r="S2165" s="380" t="s">
        <v>5572</v>
      </c>
      <c r="T2165" s="380" t="s">
        <v>98</v>
      </c>
      <c r="U2165" s="351" t="s">
        <v>276</v>
      </c>
      <c r="V2165" s="351" t="s">
        <v>261</v>
      </c>
      <c r="W2165" s="351" t="s">
        <v>5159</v>
      </c>
      <c r="X2165" s="351" t="s">
        <v>209</v>
      </c>
      <c r="Y2165" s="355">
        <v>9957</v>
      </c>
      <c r="Z2165" s="355" t="s">
        <v>98</v>
      </c>
      <c r="AA2165" s="351" t="s">
        <v>276</v>
      </c>
      <c r="AB2165" s="351" t="s">
        <v>98</v>
      </c>
      <c r="AC2165" s="357" t="s">
        <v>276</v>
      </c>
      <c r="AD2165" s="357" t="s">
        <v>5574</v>
      </c>
      <c r="AE2165" s="357" t="s">
        <v>98</v>
      </c>
      <c r="AF2165" s="357" t="s">
        <v>98</v>
      </c>
      <c r="AG2165" s="351" t="s">
        <v>5575</v>
      </c>
      <c r="AH2165" s="351" t="s">
        <v>5596</v>
      </c>
      <c r="AI2165" s="357">
        <v>805</v>
      </c>
      <c r="AJ2165" s="355" t="s">
        <v>98</v>
      </c>
      <c r="AK2165" s="355">
        <v>9957</v>
      </c>
      <c r="AL2165" s="355" t="s">
        <v>98</v>
      </c>
      <c r="AM2165" s="355" t="s">
        <v>690</v>
      </c>
      <c r="AN2165" s="357" t="s">
        <v>276</v>
      </c>
      <c r="AO2165" s="386">
        <f t="shared" si="608"/>
        <v>80.847644872953694</v>
      </c>
      <c r="AP2165" s="357" t="s">
        <v>276</v>
      </c>
      <c r="AQ2165" s="357" t="s">
        <v>276</v>
      </c>
      <c r="AR2165" s="357" t="s">
        <v>98</v>
      </c>
      <c r="AS2165" s="357" t="s">
        <v>98</v>
      </c>
      <c r="AT2165" s="357" t="s">
        <v>98</v>
      </c>
      <c r="AU2165" s="357" t="s">
        <v>98</v>
      </c>
      <c r="AV2165" s="357" t="s">
        <v>98</v>
      </c>
      <c r="AW2165" s="357" t="s">
        <v>98</v>
      </c>
      <c r="AX2165" s="357" t="s">
        <v>98</v>
      </c>
      <c r="AY2165" s="357" t="s">
        <v>98</v>
      </c>
      <c r="AZ2165" s="357" t="s">
        <v>98</v>
      </c>
      <c r="BA2165" s="357" t="s">
        <v>98</v>
      </c>
      <c r="BB2165" s="357" t="s">
        <v>98</v>
      </c>
      <c r="BC2165" s="357" t="s">
        <v>98</v>
      </c>
      <c r="BD2165" s="357" t="s">
        <v>98</v>
      </c>
      <c r="BE2165" s="357" t="s">
        <v>98</v>
      </c>
      <c r="BF2165" s="351" t="s">
        <v>5577</v>
      </c>
      <c r="BG2165" s="364"/>
      <c r="BH2165" s="9" t="s">
        <v>100</v>
      </c>
      <c r="BI2165" s="9" t="s">
        <v>100</v>
      </c>
      <c r="BJ2165" s="387"/>
      <c r="BN2165" s="387"/>
      <c r="BO2165" s="387"/>
    </row>
    <row r="2166" spans="1:68" s="388" customFormat="1" ht="52" hidden="1" x14ac:dyDescent="0.35">
      <c r="A2166" s="357">
        <v>10547</v>
      </c>
      <c r="B2166" s="357" t="s">
        <v>4985</v>
      </c>
      <c r="C2166" s="357" t="s">
        <v>88</v>
      </c>
      <c r="D2166" s="351" t="s">
        <v>5600</v>
      </c>
      <c r="E2166" s="357" t="s">
        <v>43</v>
      </c>
      <c r="F2166" s="351" t="s">
        <v>4987</v>
      </c>
      <c r="G2166" s="357" t="s">
        <v>225</v>
      </c>
      <c r="H2166" s="357" t="s">
        <v>125</v>
      </c>
      <c r="I2166" s="357" t="s">
        <v>114</v>
      </c>
      <c r="J2166" s="351" t="s">
        <v>98</v>
      </c>
      <c r="K2166" s="357" t="s">
        <v>98</v>
      </c>
      <c r="L2166" s="357" t="s">
        <v>98</v>
      </c>
      <c r="M2166" s="357" t="s">
        <v>98</v>
      </c>
      <c r="N2166" s="351" t="s">
        <v>5571</v>
      </c>
      <c r="O2166" s="351" t="s">
        <v>4989</v>
      </c>
      <c r="P2166" s="351" t="s">
        <v>238</v>
      </c>
      <c r="Q2166" s="383" t="s">
        <v>4991</v>
      </c>
      <c r="R2166" s="351" t="s">
        <v>98</v>
      </c>
      <c r="S2166" s="380" t="s">
        <v>5572</v>
      </c>
      <c r="T2166" s="380" t="s">
        <v>98</v>
      </c>
      <c r="U2166" s="351" t="s">
        <v>276</v>
      </c>
      <c r="V2166" s="351" t="s">
        <v>261</v>
      </c>
      <c r="W2166" s="351" t="s">
        <v>5162</v>
      </c>
      <c r="X2166" s="351" t="s">
        <v>209</v>
      </c>
      <c r="Y2166" s="355">
        <v>31970</v>
      </c>
      <c r="Z2166" s="355" t="s">
        <v>98</v>
      </c>
      <c r="AA2166" s="351" t="s">
        <v>276</v>
      </c>
      <c r="AB2166" s="351" t="s">
        <v>98</v>
      </c>
      <c r="AC2166" s="357" t="s">
        <v>276</v>
      </c>
      <c r="AD2166" s="357" t="s">
        <v>5574</v>
      </c>
      <c r="AE2166" s="357" t="s">
        <v>98</v>
      </c>
      <c r="AF2166" s="357" t="s">
        <v>98</v>
      </c>
      <c r="AG2166" s="351" t="s">
        <v>5575</v>
      </c>
      <c r="AH2166" s="351" t="s">
        <v>5596</v>
      </c>
      <c r="AI2166" s="357">
        <v>1477</v>
      </c>
      <c r="AJ2166" s="355" t="s">
        <v>98</v>
      </c>
      <c r="AK2166" s="355">
        <v>31970</v>
      </c>
      <c r="AL2166" s="355" t="s">
        <v>98</v>
      </c>
      <c r="AM2166" s="355" t="s">
        <v>690</v>
      </c>
      <c r="AN2166" s="357" t="s">
        <v>276</v>
      </c>
      <c r="AO2166" s="386">
        <f t="shared" si="608"/>
        <v>46.199562089458865</v>
      </c>
      <c r="AP2166" s="357" t="s">
        <v>276</v>
      </c>
      <c r="AQ2166" s="357" t="s">
        <v>276</v>
      </c>
      <c r="AR2166" s="357" t="s">
        <v>98</v>
      </c>
      <c r="AS2166" s="357" t="s">
        <v>98</v>
      </c>
      <c r="AT2166" s="357" t="s">
        <v>98</v>
      </c>
      <c r="AU2166" s="357" t="s">
        <v>98</v>
      </c>
      <c r="AV2166" s="357" t="s">
        <v>98</v>
      </c>
      <c r="AW2166" s="357" t="s">
        <v>98</v>
      </c>
      <c r="AX2166" s="357" t="s">
        <v>98</v>
      </c>
      <c r="AY2166" s="357" t="s">
        <v>98</v>
      </c>
      <c r="AZ2166" s="357" t="s">
        <v>98</v>
      </c>
      <c r="BA2166" s="357" t="s">
        <v>98</v>
      </c>
      <c r="BB2166" s="357" t="s">
        <v>98</v>
      </c>
      <c r="BC2166" s="357" t="s">
        <v>98</v>
      </c>
      <c r="BD2166" s="357" t="s">
        <v>98</v>
      </c>
      <c r="BE2166" s="357" t="s">
        <v>98</v>
      </c>
      <c r="BF2166" s="351" t="s">
        <v>5577</v>
      </c>
      <c r="BG2166" s="364"/>
      <c r="BH2166" s="9" t="s">
        <v>100</v>
      </c>
      <c r="BI2166" s="9" t="s">
        <v>100</v>
      </c>
      <c r="BJ2166" s="387"/>
      <c r="BN2166" s="387"/>
      <c r="BO2166" s="387"/>
    </row>
    <row r="2167" spans="1:68" s="388" customFormat="1" ht="52" hidden="1" x14ac:dyDescent="0.35">
      <c r="A2167" s="357">
        <v>10547</v>
      </c>
      <c r="B2167" s="357" t="s">
        <v>4985</v>
      </c>
      <c r="C2167" s="357" t="s">
        <v>88</v>
      </c>
      <c r="D2167" s="351" t="s">
        <v>5601</v>
      </c>
      <c r="E2167" s="357" t="s">
        <v>43</v>
      </c>
      <c r="F2167" s="351" t="s">
        <v>4987</v>
      </c>
      <c r="G2167" s="357" t="s">
        <v>225</v>
      </c>
      <c r="H2167" s="357" t="s">
        <v>125</v>
      </c>
      <c r="I2167" s="357" t="s">
        <v>114</v>
      </c>
      <c r="J2167" s="351" t="s">
        <v>98</v>
      </c>
      <c r="K2167" s="357" t="s">
        <v>98</v>
      </c>
      <c r="L2167" s="357" t="s">
        <v>98</v>
      </c>
      <c r="M2167" s="357" t="s">
        <v>98</v>
      </c>
      <c r="N2167" s="351" t="s">
        <v>5571</v>
      </c>
      <c r="O2167" s="351" t="s">
        <v>4989</v>
      </c>
      <c r="P2167" s="351" t="s">
        <v>238</v>
      </c>
      <c r="Q2167" s="383" t="s">
        <v>4991</v>
      </c>
      <c r="R2167" s="351" t="s">
        <v>98</v>
      </c>
      <c r="S2167" s="380" t="s">
        <v>5572</v>
      </c>
      <c r="T2167" s="380" t="s">
        <v>98</v>
      </c>
      <c r="U2167" s="351" t="s">
        <v>276</v>
      </c>
      <c r="V2167" s="351" t="s">
        <v>261</v>
      </c>
      <c r="W2167" s="351" t="s">
        <v>5165</v>
      </c>
      <c r="X2167" s="351" t="s">
        <v>209</v>
      </c>
      <c r="Y2167" s="355">
        <v>7497</v>
      </c>
      <c r="Z2167" s="355" t="s">
        <v>98</v>
      </c>
      <c r="AA2167" s="351" t="s">
        <v>276</v>
      </c>
      <c r="AB2167" s="351" t="s">
        <v>98</v>
      </c>
      <c r="AC2167" s="357" t="s">
        <v>276</v>
      </c>
      <c r="AD2167" s="357" t="s">
        <v>5574</v>
      </c>
      <c r="AE2167" s="357" t="s">
        <v>98</v>
      </c>
      <c r="AF2167" s="357" t="s">
        <v>98</v>
      </c>
      <c r="AG2167" s="351" t="s">
        <v>5575</v>
      </c>
      <c r="AH2167" s="351" t="s">
        <v>5596</v>
      </c>
      <c r="AI2167" s="357">
        <v>185</v>
      </c>
      <c r="AJ2167" s="355" t="s">
        <v>98</v>
      </c>
      <c r="AK2167" s="355">
        <v>7497</v>
      </c>
      <c r="AL2167" s="355" t="s">
        <v>98</v>
      </c>
      <c r="AM2167" s="355" t="s">
        <v>690</v>
      </c>
      <c r="AN2167" s="357" t="s">
        <v>276</v>
      </c>
      <c r="AO2167" s="386">
        <f t="shared" si="608"/>
        <v>24.6765372815793</v>
      </c>
      <c r="AP2167" s="357" t="s">
        <v>276</v>
      </c>
      <c r="AQ2167" s="357" t="s">
        <v>276</v>
      </c>
      <c r="AR2167" s="357" t="s">
        <v>98</v>
      </c>
      <c r="AS2167" s="357" t="s">
        <v>98</v>
      </c>
      <c r="AT2167" s="357" t="s">
        <v>98</v>
      </c>
      <c r="AU2167" s="357" t="s">
        <v>98</v>
      </c>
      <c r="AV2167" s="357" t="s">
        <v>98</v>
      </c>
      <c r="AW2167" s="357" t="s">
        <v>98</v>
      </c>
      <c r="AX2167" s="357" t="s">
        <v>98</v>
      </c>
      <c r="AY2167" s="357" t="s">
        <v>98</v>
      </c>
      <c r="AZ2167" s="357" t="s">
        <v>98</v>
      </c>
      <c r="BA2167" s="357" t="s">
        <v>98</v>
      </c>
      <c r="BB2167" s="357" t="s">
        <v>98</v>
      </c>
      <c r="BC2167" s="357" t="s">
        <v>98</v>
      </c>
      <c r="BD2167" s="357" t="s">
        <v>98</v>
      </c>
      <c r="BE2167" s="357" t="s">
        <v>98</v>
      </c>
      <c r="BF2167" s="351" t="s">
        <v>5577</v>
      </c>
      <c r="BG2167" s="364"/>
      <c r="BH2167" s="9" t="s">
        <v>100</v>
      </c>
      <c r="BI2167" s="9" t="s">
        <v>100</v>
      </c>
      <c r="BJ2167" s="387"/>
      <c r="BN2167" s="387"/>
      <c r="BO2167" s="387"/>
    </row>
    <row r="2168" spans="1:68" s="388" customFormat="1" ht="52" hidden="1" x14ac:dyDescent="0.35">
      <c r="A2168" s="357">
        <v>10547</v>
      </c>
      <c r="B2168" s="357" t="s">
        <v>4985</v>
      </c>
      <c r="C2168" s="357" t="s">
        <v>88</v>
      </c>
      <c r="D2168" s="351" t="s">
        <v>5602</v>
      </c>
      <c r="E2168" s="357" t="s">
        <v>43</v>
      </c>
      <c r="F2168" s="351" t="s">
        <v>4987</v>
      </c>
      <c r="G2168" s="357" t="s">
        <v>225</v>
      </c>
      <c r="H2168" s="357" t="s">
        <v>125</v>
      </c>
      <c r="I2168" s="357" t="s">
        <v>114</v>
      </c>
      <c r="J2168" s="351" t="s">
        <v>98</v>
      </c>
      <c r="K2168" s="357" t="s">
        <v>98</v>
      </c>
      <c r="L2168" s="357" t="s">
        <v>98</v>
      </c>
      <c r="M2168" s="357" t="s">
        <v>98</v>
      </c>
      <c r="N2168" s="351" t="s">
        <v>5571</v>
      </c>
      <c r="O2168" s="351" t="s">
        <v>4989</v>
      </c>
      <c r="P2168" s="351" t="s">
        <v>238</v>
      </c>
      <c r="Q2168" s="383" t="s">
        <v>4991</v>
      </c>
      <c r="R2168" s="351" t="s">
        <v>98</v>
      </c>
      <c r="S2168" s="380" t="s">
        <v>5572</v>
      </c>
      <c r="T2168" s="380" t="s">
        <v>98</v>
      </c>
      <c r="U2168" s="351" t="s">
        <v>276</v>
      </c>
      <c r="V2168" s="351" t="s">
        <v>261</v>
      </c>
      <c r="W2168" s="351" t="s">
        <v>5168</v>
      </c>
      <c r="X2168" s="351" t="s">
        <v>209</v>
      </c>
      <c r="Y2168" s="355">
        <v>1840</v>
      </c>
      <c r="Z2168" s="355" t="s">
        <v>98</v>
      </c>
      <c r="AA2168" s="351" t="s">
        <v>276</v>
      </c>
      <c r="AB2168" s="351" t="s">
        <v>98</v>
      </c>
      <c r="AC2168" s="357" t="s">
        <v>276</v>
      </c>
      <c r="AD2168" s="357" t="s">
        <v>5574</v>
      </c>
      <c r="AE2168" s="357" t="s">
        <v>98</v>
      </c>
      <c r="AF2168" s="357" t="s">
        <v>98</v>
      </c>
      <c r="AG2168" s="351" t="s">
        <v>5575</v>
      </c>
      <c r="AH2168" s="351" t="s">
        <v>5596</v>
      </c>
      <c r="AI2168" s="357">
        <v>78</v>
      </c>
      <c r="AJ2168" s="355" t="s">
        <v>98</v>
      </c>
      <c r="AK2168" s="355">
        <v>1840</v>
      </c>
      <c r="AL2168" s="355" t="s">
        <v>98</v>
      </c>
      <c r="AM2168" s="355" t="s">
        <v>690</v>
      </c>
      <c r="AN2168" s="357" t="s">
        <v>276</v>
      </c>
      <c r="AO2168" s="386">
        <f t="shared" si="608"/>
        <v>42.391304347826086</v>
      </c>
      <c r="AP2168" s="357" t="s">
        <v>276</v>
      </c>
      <c r="AQ2168" s="357" t="s">
        <v>276</v>
      </c>
      <c r="AR2168" s="357" t="s">
        <v>98</v>
      </c>
      <c r="AS2168" s="357" t="s">
        <v>98</v>
      </c>
      <c r="AT2168" s="357" t="s">
        <v>98</v>
      </c>
      <c r="AU2168" s="357" t="s">
        <v>98</v>
      </c>
      <c r="AV2168" s="357" t="s">
        <v>98</v>
      </c>
      <c r="AW2168" s="357" t="s">
        <v>98</v>
      </c>
      <c r="AX2168" s="357" t="s">
        <v>98</v>
      </c>
      <c r="AY2168" s="357" t="s">
        <v>98</v>
      </c>
      <c r="AZ2168" s="357" t="s">
        <v>98</v>
      </c>
      <c r="BA2168" s="357" t="s">
        <v>98</v>
      </c>
      <c r="BB2168" s="357" t="s">
        <v>98</v>
      </c>
      <c r="BC2168" s="357" t="s">
        <v>98</v>
      </c>
      <c r="BD2168" s="357" t="s">
        <v>98</v>
      </c>
      <c r="BE2168" s="357" t="s">
        <v>98</v>
      </c>
      <c r="BF2168" s="351" t="s">
        <v>5577</v>
      </c>
      <c r="BG2168" s="364"/>
      <c r="BH2168" s="9" t="s">
        <v>100</v>
      </c>
      <c r="BI2168" s="9" t="s">
        <v>100</v>
      </c>
      <c r="BJ2168" s="387"/>
      <c r="BN2168" s="387"/>
      <c r="BO2168" s="387"/>
    </row>
    <row r="2169" spans="1:68" s="388" customFormat="1" ht="52" hidden="1" x14ac:dyDescent="0.35">
      <c r="A2169" s="357">
        <v>10547</v>
      </c>
      <c r="B2169" s="357" t="s">
        <v>4985</v>
      </c>
      <c r="C2169" s="357" t="s">
        <v>88</v>
      </c>
      <c r="D2169" s="351" t="s">
        <v>5603</v>
      </c>
      <c r="E2169" s="357" t="s">
        <v>43</v>
      </c>
      <c r="F2169" s="351" t="s">
        <v>4987</v>
      </c>
      <c r="G2169" s="357" t="s">
        <v>225</v>
      </c>
      <c r="H2169" s="357" t="s">
        <v>125</v>
      </c>
      <c r="I2169" s="357" t="s">
        <v>114</v>
      </c>
      <c r="J2169" s="351" t="s">
        <v>98</v>
      </c>
      <c r="K2169" s="357" t="s">
        <v>98</v>
      </c>
      <c r="L2169" s="357" t="s">
        <v>98</v>
      </c>
      <c r="M2169" s="357" t="s">
        <v>98</v>
      </c>
      <c r="N2169" s="351" t="s">
        <v>5571</v>
      </c>
      <c r="O2169" s="351" t="s">
        <v>4989</v>
      </c>
      <c r="P2169" s="351" t="s">
        <v>238</v>
      </c>
      <c r="Q2169" s="383" t="s">
        <v>4991</v>
      </c>
      <c r="R2169" s="351" t="s">
        <v>98</v>
      </c>
      <c r="S2169" s="380" t="s">
        <v>5572</v>
      </c>
      <c r="T2169" s="380" t="s">
        <v>98</v>
      </c>
      <c r="U2169" s="351" t="s">
        <v>276</v>
      </c>
      <c r="V2169" s="351" t="s">
        <v>261</v>
      </c>
      <c r="W2169" s="351" t="s">
        <v>5171</v>
      </c>
      <c r="X2169" s="351" t="s">
        <v>209</v>
      </c>
      <c r="Y2169" s="355">
        <v>5158</v>
      </c>
      <c r="Z2169" s="355" t="s">
        <v>98</v>
      </c>
      <c r="AA2169" s="351" t="s">
        <v>276</v>
      </c>
      <c r="AB2169" s="351" t="s">
        <v>98</v>
      </c>
      <c r="AC2169" s="357" t="s">
        <v>276</v>
      </c>
      <c r="AD2169" s="357" t="s">
        <v>5574</v>
      </c>
      <c r="AE2169" s="357" t="s">
        <v>98</v>
      </c>
      <c r="AF2169" s="357" t="s">
        <v>98</v>
      </c>
      <c r="AG2169" s="351" t="s">
        <v>5575</v>
      </c>
      <c r="AH2169" s="351" t="s">
        <v>5596</v>
      </c>
      <c r="AI2169" s="357">
        <v>277</v>
      </c>
      <c r="AJ2169" s="355" t="s">
        <v>98</v>
      </c>
      <c r="AK2169" s="355">
        <v>5158</v>
      </c>
      <c r="AL2169" s="355" t="s">
        <v>98</v>
      </c>
      <c r="AM2169" s="355" t="s">
        <v>690</v>
      </c>
      <c r="AN2169" s="357" t="s">
        <v>276</v>
      </c>
      <c r="AO2169" s="386">
        <f t="shared" si="608"/>
        <v>53.702985653354013</v>
      </c>
      <c r="AP2169" s="357" t="s">
        <v>276</v>
      </c>
      <c r="AQ2169" s="357" t="s">
        <v>276</v>
      </c>
      <c r="AR2169" s="357" t="s">
        <v>98</v>
      </c>
      <c r="AS2169" s="357" t="s">
        <v>98</v>
      </c>
      <c r="AT2169" s="357" t="s">
        <v>98</v>
      </c>
      <c r="AU2169" s="357" t="s">
        <v>98</v>
      </c>
      <c r="AV2169" s="357" t="s">
        <v>98</v>
      </c>
      <c r="AW2169" s="357" t="s">
        <v>98</v>
      </c>
      <c r="AX2169" s="357" t="s">
        <v>98</v>
      </c>
      <c r="AY2169" s="357" t="s">
        <v>98</v>
      </c>
      <c r="AZ2169" s="357" t="s">
        <v>98</v>
      </c>
      <c r="BA2169" s="357" t="s">
        <v>98</v>
      </c>
      <c r="BB2169" s="357" t="s">
        <v>98</v>
      </c>
      <c r="BC2169" s="357" t="s">
        <v>98</v>
      </c>
      <c r="BD2169" s="357" t="s">
        <v>98</v>
      </c>
      <c r="BE2169" s="357" t="s">
        <v>98</v>
      </c>
      <c r="BF2169" s="351" t="s">
        <v>5577</v>
      </c>
      <c r="BG2169" s="364"/>
      <c r="BH2169" s="9" t="s">
        <v>100</v>
      </c>
      <c r="BI2169" s="9" t="s">
        <v>100</v>
      </c>
      <c r="BJ2169" s="387"/>
      <c r="BN2169" s="387"/>
      <c r="BO2169" s="387"/>
    </row>
    <row r="2170" spans="1:68" s="388" customFormat="1" ht="65" hidden="1" x14ac:dyDescent="0.35">
      <c r="A2170" s="357">
        <v>10547</v>
      </c>
      <c r="B2170" s="357" t="s">
        <v>4985</v>
      </c>
      <c r="C2170" s="357" t="s">
        <v>88</v>
      </c>
      <c r="D2170" s="351" t="s">
        <v>5604</v>
      </c>
      <c r="E2170" s="357" t="s">
        <v>43</v>
      </c>
      <c r="F2170" s="351" t="s">
        <v>4987</v>
      </c>
      <c r="G2170" s="357" t="s">
        <v>225</v>
      </c>
      <c r="H2170" s="357" t="s">
        <v>125</v>
      </c>
      <c r="I2170" s="357" t="s">
        <v>114</v>
      </c>
      <c r="J2170" s="351" t="s">
        <v>98</v>
      </c>
      <c r="K2170" s="357" t="s">
        <v>98</v>
      </c>
      <c r="L2170" s="357" t="s">
        <v>98</v>
      </c>
      <c r="M2170" s="357" t="s">
        <v>98</v>
      </c>
      <c r="N2170" s="351" t="s">
        <v>5571</v>
      </c>
      <c r="O2170" s="351" t="s">
        <v>4989</v>
      </c>
      <c r="P2170" s="351" t="s">
        <v>238</v>
      </c>
      <c r="Q2170" s="383" t="s">
        <v>4991</v>
      </c>
      <c r="R2170" s="351" t="s">
        <v>98</v>
      </c>
      <c r="S2170" s="380" t="s">
        <v>5572</v>
      </c>
      <c r="T2170" s="380" t="s">
        <v>98</v>
      </c>
      <c r="U2170" s="351" t="s">
        <v>276</v>
      </c>
      <c r="V2170" s="357" t="s">
        <v>259</v>
      </c>
      <c r="W2170" s="351" t="s">
        <v>5033</v>
      </c>
      <c r="X2170" s="351" t="s">
        <v>209</v>
      </c>
      <c r="Y2170" s="354">
        <v>72890</v>
      </c>
      <c r="Z2170" s="355" t="s">
        <v>98</v>
      </c>
      <c r="AA2170" s="351" t="s">
        <v>276</v>
      </c>
      <c r="AB2170" s="351" t="s">
        <v>98</v>
      </c>
      <c r="AC2170" s="357" t="s">
        <v>276</v>
      </c>
      <c r="AD2170" s="357" t="s">
        <v>5574</v>
      </c>
      <c r="AE2170" s="357" t="s">
        <v>98</v>
      </c>
      <c r="AF2170" s="357" t="s">
        <v>98</v>
      </c>
      <c r="AG2170" s="351" t="s">
        <v>5575</v>
      </c>
      <c r="AH2170" s="351" t="s">
        <v>5596</v>
      </c>
      <c r="AI2170" s="355">
        <v>4235</v>
      </c>
      <c r="AJ2170" s="355" t="s">
        <v>98</v>
      </c>
      <c r="AK2170" s="354">
        <v>72890</v>
      </c>
      <c r="AL2170" s="355" t="s">
        <v>98</v>
      </c>
      <c r="AM2170" s="355" t="s">
        <v>690</v>
      </c>
      <c r="AN2170" s="357" t="s">
        <v>276</v>
      </c>
      <c r="AO2170" s="382">
        <f t="shared" si="608"/>
        <v>58.101248456578404</v>
      </c>
      <c r="AP2170" s="357" t="s">
        <v>276</v>
      </c>
      <c r="AQ2170" s="357" t="s">
        <v>276</v>
      </c>
      <c r="AR2170" s="357" t="s">
        <v>98</v>
      </c>
      <c r="AS2170" s="357" t="s">
        <v>98</v>
      </c>
      <c r="AT2170" s="357" t="s">
        <v>98</v>
      </c>
      <c r="AU2170" s="357" t="s">
        <v>98</v>
      </c>
      <c r="AV2170" s="357" t="s">
        <v>98</v>
      </c>
      <c r="AW2170" s="357" t="s">
        <v>98</v>
      </c>
      <c r="AX2170" s="357" t="s">
        <v>98</v>
      </c>
      <c r="AY2170" s="357" t="s">
        <v>98</v>
      </c>
      <c r="AZ2170" s="357" t="s">
        <v>98</v>
      </c>
      <c r="BA2170" s="357" t="s">
        <v>98</v>
      </c>
      <c r="BB2170" s="357" t="s">
        <v>98</v>
      </c>
      <c r="BC2170" s="357" t="s">
        <v>98</v>
      </c>
      <c r="BD2170" s="357" t="s">
        <v>98</v>
      </c>
      <c r="BE2170" s="357" t="s">
        <v>98</v>
      </c>
      <c r="BF2170" s="351" t="s">
        <v>1358</v>
      </c>
      <c r="BG2170" s="364"/>
      <c r="BH2170" s="9" t="s">
        <v>100</v>
      </c>
      <c r="BI2170" s="9" t="s">
        <v>100</v>
      </c>
      <c r="BJ2170" s="387"/>
      <c r="BN2170" s="387"/>
      <c r="BO2170" s="387"/>
    </row>
    <row r="2171" spans="1:68" s="388" customFormat="1" ht="52" hidden="1" x14ac:dyDescent="0.35">
      <c r="A2171" s="357">
        <v>10547</v>
      </c>
      <c r="B2171" s="357" t="s">
        <v>4985</v>
      </c>
      <c r="C2171" s="357" t="s">
        <v>88</v>
      </c>
      <c r="D2171" s="351" t="s">
        <v>5605</v>
      </c>
      <c r="E2171" s="357" t="s">
        <v>43</v>
      </c>
      <c r="F2171" s="351" t="s">
        <v>4987</v>
      </c>
      <c r="G2171" s="357" t="s">
        <v>225</v>
      </c>
      <c r="H2171" s="357" t="s">
        <v>125</v>
      </c>
      <c r="I2171" s="357" t="s">
        <v>114</v>
      </c>
      <c r="J2171" s="351" t="s">
        <v>98</v>
      </c>
      <c r="K2171" s="357" t="s">
        <v>98</v>
      </c>
      <c r="L2171" s="357" t="s">
        <v>98</v>
      </c>
      <c r="M2171" s="357" t="s">
        <v>98</v>
      </c>
      <c r="N2171" s="351" t="s">
        <v>5571</v>
      </c>
      <c r="O2171" s="351" t="s">
        <v>4989</v>
      </c>
      <c r="P2171" s="351" t="s">
        <v>238</v>
      </c>
      <c r="Q2171" s="383" t="s">
        <v>4991</v>
      </c>
      <c r="R2171" s="351" t="s">
        <v>98</v>
      </c>
      <c r="S2171" s="380" t="s">
        <v>5572</v>
      </c>
      <c r="T2171" s="380" t="s">
        <v>98</v>
      </c>
      <c r="U2171" s="351" t="s">
        <v>276</v>
      </c>
      <c r="V2171" s="357" t="s">
        <v>259</v>
      </c>
      <c r="W2171" s="351" t="s">
        <v>5072</v>
      </c>
      <c r="X2171" s="351" t="s">
        <v>209</v>
      </c>
      <c r="Y2171" s="354">
        <v>17443</v>
      </c>
      <c r="Z2171" s="355" t="s">
        <v>98</v>
      </c>
      <c r="AA2171" s="351" t="s">
        <v>276</v>
      </c>
      <c r="AB2171" s="351" t="s">
        <v>98</v>
      </c>
      <c r="AC2171" s="357" t="s">
        <v>276</v>
      </c>
      <c r="AD2171" s="357" t="s">
        <v>5574</v>
      </c>
      <c r="AE2171" s="357" t="s">
        <v>98</v>
      </c>
      <c r="AF2171" s="357" t="s">
        <v>98</v>
      </c>
      <c r="AG2171" s="351" t="s">
        <v>5575</v>
      </c>
      <c r="AH2171" s="351" t="s">
        <v>5596</v>
      </c>
      <c r="AI2171" s="355">
        <v>1521</v>
      </c>
      <c r="AJ2171" s="355" t="s">
        <v>98</v>
      </c>
      <c r="AK2171" s="354">
        <v>17443</v>
      </c>
      <c r="AL2171" s="355" t="s">
        <v>98</v>
      </c>
      <c r="AM2171" s="355" t="s">
        <v>690</v>
      </c>
      <c r="AN2171" s="357" t="s">
        <v>276</v>
      </c>
      <c r="AO2171" s="386">
        <f t="shared" si="608"/>
        <v>87.198303044201111</v>
      </c>
      <c r="AP2171" s="357" t="s">
        <v>276</v>
      </c>
      <c r="AQ2171" s="357" t="s">
        <v>276</v>
      </c>
      <c r="AR2171" s="357" t="s">
        <v>98</v>
      </c>
      <c r="AS2171" s="357" t="s">
        <v>98</v>
      </c>
      <c r="AT2171" s="357" t="s">
        <v>98</v>
      </c>
      <c r="AU2171" s="357" t="s">
        <v>98</v>
      </c>
      <c r="AV2171" s="357" t="s">
        <v>98</v>
      </c>
      <c r="AW2171" s="357" t="s">
        <v>98</v>
      </c>
      <c r="AX2171" s="357" t="s">
        <v>98</v>
      </c>
      <c r="AY2171" s="357" t="s">
        <v>98</v>
      </c>
      <c r="AZ2171" s="357" t="s">
        <v>98</v>
      </c>
      <c r="BA2171" s="357" t="s">
        <v>98</v>
      </c>
      <c r="BB2171" s="357" t="s">
        <v>98</v>
      </c>
      <c r="BC2171" s="357" t="s">
        <v>98</v>
      </c>
      <c r="BD2171" s="357" t="s">
        <v>98</v>
      </c>
      <c r="BE2171" s="357" t="s">
        <v>98</v>
      </c>
      <c r="BF2171" s="351" t="s">
        <v>1358</v>
      </c>
      <c r="BG2171" s="364"/>
      <c r="BH2171" s="9" t="s">
        <v>100</v>
      </c>
      <c r="BI2171" s="9" t="s">
        <v>100</v>
      </c>
      <c r="BJ2171" s="387"/>
      <c r="BN2171" s="387"/>
      <c r="BO2171" s="387"/>
    </row>
    <row r="2172" spans="1:68" s="388" customFormat="1" ht="52" hidden="1" x14ac:dyDescent="0.35">
      <c r="A2172" s="357">
        <v>10547</v>
      </c>
      <c r="B2172" s="357" t="s">
        <v>4985</v>
      </c>
      <c r="C2172" s="357" t="s">
        <v>88</v>
      </c>
      <c r="D2172" s="351" t="s">
        <v>5606</v>
      </c>
      <c r="E2172" s="357" t="s">
        <v>43</v>
      </c>
      <c r="F2172" s="351" t="s">
        <v>4987</v>
      </c>
      <c r="G2172" s="357" t="s">
        <v>225</v>
      </c>
      <c r="H2172" s="357" t="s">
        <v>125</v>
      </c>
      <c r="I2172" s="357" t="s">
        <v>114</v>
      </c>
      <c r="J2172" s="351" t="s">
        <v>98</v>
      </c>
      <c r="K2172" s="357" t="s">
        <v>98</v>
      </c>
      <c r="L2172" s="357" t="s">
        <v>98</v>
      </c>
      <c r="M2172" s="357" t="s">
        <v>98</v>
      </c>
      <c r="N2172" s="351" t="s">
        <v>5571</v>
      </c>
      <c r="O2172" s="351" t="s">
        <v>4989</v>
      </c>
      <c r="P2172" s="351" t="s">
        <v>238</v>
      </c>
      <c r="Q2172" s="383" t="s">
        <v>4991</v>
      </c>
      <c r="R2172" s="351" t="s">
        <v>98</v>
      </c>
      <c r="S2172" s="380" t="s">
        <v>5572</v>
      </c>
      <c r="T2172" s="380" t="s">
        <v>98</v>
      </c>
      <c r="U2172" s="351" t="s">
        <v>276</v>
      </c>
      <c r="V2172" s="357" t="s">
        <v>259</v>
      </c>
      <c r="W2172" s="351" t="s">
        <v>5130</v>
      </c>
      <c r="X2172" s="351" t="s">
        <v>209</v>
      </c>
      <c r="Y2172" s="354">
        <v>4307</v>
      </c>
      <c r="Z2172" s="355" t="s">
        <v>98</v>
      </c>
      <c r="AA2172" s="351" t="s">
        <v>276</v>
      </c>
      <c r="AB2172" s="351" t="s">
        <v>98</v>
      </c>
      <c r="AC2172" s="357" t="s">
        <v>276</v>
      </c>
      <c r="AD2172" s="357" t="s">
        <v>5574</v>
      </c>
      <c r="AE2172" s="357" t="s">
        <v>98</v>
      </c>
      <c r="AF2172" s="357" t="s">
        <v>98</v>
      </c>
      <c r="AG2172" s="351" t="s">
        <v>5575</v>
      </c>
      <c r="AH2172" s="351" t="s">
        <v>5596</v>
      </c>
      <c r="AI2172" s="355">
        <v>182</v>
      </c>
      <c r="AJ2172" s="355" t="s">
        <v>98</v>
      </c>
      <c r="AK2172" s="354">
        <v>4307</v>
      </c>
      <c r="AL2172" s="355" t="s">
        <v>98</v>
      </c>
      <c r="AM2172" s="355" t="s">
        <v>690</v>
      </c>
      <c r="AN2172" s="357" t="s">
        <v>276</v>
      </c>
      <c r="AO2172" s="386">
        <f t="shared" si="608"/>
        <v>42.256791270025538</v>
      </c>
      <c r="AP2172" s="357" t="s">
        <v>276</v>
      </c>
      <c r="AQ2172" s="357" t="s">
        <v>276</v>
      </c>
      <c r="AR2172" s="357" t="s">
        <v>98</v>
      </c>
      <c r="AS2172" s="357" t="s">
        <v>98</v>
      </c>
      <c r="AT2172" s="357" t="s">
        <v>98</v>
      </c>
      <c r="AU2172" s="357" t="s">
        <v>98</v>
      </c>
      <c r="AV2172" s="357" t="s">
        <v>98</v>
      </c>
      <c r="AW2172" s="357" t="s">
        <v>98</v>
      </c>
      <c r="AX2172" s="357" t="s">
        <v>98</v>
      </c>
      <c r="AY2172" s="357" t="s">
        <v>98</v>
      </c>
      <c r="AZ2172" s="357" t="s">
        <v>98</v>
      </c>
      <c r="BA2172" s="357" t="s">
        <v>98</v>
      </c>
      <c r="BB2172" s="357" t="s">
        <v>98</v>
      </c>
      <c r="BC2172" s="357" t="s">
        <v>98</v>
      </c>
      <c r="BD2172" s="357" t="s">
        <v>98</v>
      </c>
      <c r="BE2172" s="357" t="s">
        <v>98</v>
      </c>
      <c r="BF2172" s="351" t="s">
        <v>1358</v>
      </c>
      <c r="BG2172" s="364"/>
      <c r="BH2172" s="9" t="s">
        <v>100</v>
      </c>
      <c r="BI2172" s="9" t="s">
        <v>100</v>
      </c>
      <c r="BJ2172" s="387"/>
      <c r="BN2172" s="387"/>
      <c r="BO2172" s="387"/>
    </row>
    <row r="2173" spans="1:68" s="388" customFormat="1" ht="52" hidden="1" x14ac:dyDescent="0.35">
      <c r="A2173" s="357">
        <v>10547</v>
      </c>
      <c r="B2173" s="357" t="s">
        <v>4985</v>
      </c>
      <c r="C2173" s="357" t="s">
        <v>88</v>
      </c>
      <c r="D2173" s="351" t="s">
        <v>5607</v>
      </c>
      <c r="E2173" s="357" t="s">
        <v>43</v>
      </c>
      <c r="F2173" s="351" t="s">
        <v>4987</v>
      </c>
      <c r="G2173" s="357" t="s">
        <v>225</v>
      </c>
      <c r="H2173" s="357" t="s">
        <v>125</v>
      </c>
      <c r="I2173" s="357" t="s">
        <v>114</v>
      </c>
      <c r="J2173" s="351" t="s">
        <v>98</v>
      </c>
      <c r="K2173" s="357" t="s">
        <v>98</v>
      </c>
      <c r="L2173" s="357" t="s">
        <v>98</v>
      </c>
      <c r="M2173" s="357" t="s">
        <v>98</v>
      </c>
      <c r="N2173" s="351" t="s">
        <v>5571</v>
      </c>
      <c r="O2173" s="351" t="s">
        <v>4989</v>
      </c>
      <c r="P2173" s="351" t="s">
        <v>238</v>
      </c>
      <c r="Q2173" s="383" t="s">
        <v>4991</v>
      </c>
      <c r="R2173" s="351" t="s">
        <v>98</v>
      </c>
      <c r="S2173" s="380" t="s">
        <v>5572</v>
      </c>
      <c r="T2173" s="380" t="s">
        <v>98</v>
      </c>
      <c r="U2173" s="351" t="s">
        <v>276</v>
      </c>
      <c r="V2173" s="357" t="s">
        <v>259</v>
      </c>
      <c r="W2173" s="351" t="s">
        <v>5133</v>
      </c>
      <c r="X2173" s="351" t="s">
        <v>209</v>
      </c>
      <c r="Y2173" s="354">
        <v>5901</v>
      </c>
      <c r="Z2173" s="355" t="s">
        <v>98</v>
      </c>
      <c r="AA2173" s="351" t="s">
        <v>276</v>
      </c>
      <c r="AB2173" s="351" t="s">
        <v>98</v>
      </c>
      <c r="AC2173" s="357" t="s">
        <v>276</v>
      </c>
      <c r="AD2173" s="357" t="s">
        <v>5574</v>
      </c>
      <c r="AE2173" s="357" t="s">
        <v>98</v>
      </c>
      <c r="AF2173" s="357" t="s">
        <v>98</v>
      </c>
      <c r="AG2173" s="351" t="s">
        <v>5575</v>
      </c>
      <c r="AH2173" s="351" t="s">
        <v>5596</v>
      </c>
      <c r="AI2173" s="355">
        <v>550</v>
      </c>
      <c r="AJ2173" s="355" t="s">
        <v>98</v>
      </c>
      <c r="AK2173" s="354">
        <v>5901</v>
      </c>
      <c r="AL2173" s="355" t="s">
        <v>98</v>
      </c>
      <c r="AM2173" s="355" t="s">
        <v>690</v>
      </c>
      <c r="AN2173" s="357" t="s">
        <v>276</v>
      </c>
      <c r="AO2173" s="386">
        <f t="shared" si="608"/>
        <v>93.204541603118116</v>
      </c>
      <c r="AP2173" s="357" t="s">
        <v>276</v>
      </c>
      <c r="AQ2173" s="357" t="s">
        <v>276</v>
      </c>
      <c r="AR2173" s="357" t="s">
        <v>98</v>
      </c>
      <c r="AS2173" s="357" t="s">
        <v>98</v>
      </c>
      <c r="AT2173" s="357" t="s">
        <v>98</v>
      </c>
      <c r="AU2173" s="357" t="s">
        <v>98</v>
      </c>
      <c r="AV2173" s="357" t="s">
        <v>98</v>
      </c>
      <c r="AW2173" s="357" t="s">
        <v>98</v>
      </c>
      <c r="AX2173" s="357" t="s">
        <v>98</v>
      </c>
      <c r="AY2173" s="357" t="s">
        <v>98</v>
      </c>
      <c r="AZ2173" s="357" t="s">
        <v>98</v>
      </c>
      <c r="BA2173" s="357" t="s">
        <v>98</v>
      </c>
      <c r="BB2173" s="357" t="s">
        <v>98</v>
      </c>
      <c r="BC2173" s="357" t="s">
        <v>98</v>
      </c>
      <c r="BD2173" s="357" t="s">
        <v>98</v>
      </c>
      <c r="BE2173" s="357" t="s">
        <v>98</v>
      </c>
      <c r="BF2173" s="351" t="s">
        <v>1358</v>
      </c>
      <c r="BG2173" s="364"/>
      <c r="BH2173" s="9" t="s">
        <v>100</v>
      </c>
      <c r="BI2173" s="9" t="s">
        <v>100</v>
      </c>
      <c r="BJ2173" s="387"/>
      <c r="BN2173" s="387"/>
      <c r="BO2173" s="387"/>
    </row>
    <row r="2174" spans="1:68" s="388" customFormat="1" ht="52" hidden="1" x14ac:dyDescent="0.35">
      <c r="A2174" s="357">
        <v>10547</v>
      </c>
      <c r="B2174" s="357" t="s">
        <v>4985</v>
      </c>
      <c r="C2174" s="357" t="s">
        <v>88</v>
      </c>
      <c r="D2174" s="351" t="s">
        <v>5608</v>
      </c>
      <c r="E2174" s="357" t="s">
        <v>43</v>
      </c>
      <c r="F2174" s="351" t="s">
        <v>4987</v>
      </c>
      <c r="G2174" s="357" t="s">
        <v>225</v>
      </c>
      <c r="H2174" s="357" t="s">
        <v>125</v>
      </c>
      <c r="I2174" s="357" t="s">
        <v>114</v>
      </c>
      <c r="J2174" s="351" t="s">
        <v>98</v>
      </c>
      <c r="K2174" s="357" t="s">
        <v>98</v>
      </c>
      <c r="L2174" s="357" t="s">
        <v>98</v>
      </c>
      <c r="M2174" s="357" t="s">
        <v>98</v>
      </c>
      <c r="N2174" s="351" t="s">
        <v>5571</v>
      </c>
      <c r="O2174" s="351" t="s">
        <v>4989</v>
      </c>
      <c r="P2174" s="351" t="s">
        <v>238</v>
      </c>
      <c r="Q2174" s="383" t="s">
        <v>4991</v>
      </c>
      <c r="R2174" s="351" t="s">
        <v>98</v>
      </c>
      <c r="S2174" s="380" t="s">
        <v>5572</v>
      </c>
      <c r="T2174" s="380" t="s">
        <v>98</v>
      </c>
      <c r="U2174" s="351" t="s">
        <v>276</v>
      </c>
      <c r="V2174" s="357" t="s">
        <v>259</v>
      </c>
      <c r="W2174" s="351" t="s">
        <v>5136</v>
      </c>
      <c r="X2174" s="351" t="s">
        <v>209</v>
      </c>
      <c r="Y2174" s="354">
        <v>31970</v>
      </c>
      <c r="Z2174" s="355" t="s">
        <v>98</v>
      </c>
      <c r="AA2174" s="351" t="s">
        <v>276</v>
      </c>
      <c r="AB2174" s="351" t="s">
        <v>98</v>
      </c>
      <c r="AC2174" s="357" t="s">
        <v>276</v>
      </c>
      <c r="AD2174" s="357" t="s">
        <v>5574</v>
      </c>
      <c r="AE2174" s="357" t="s">
        <v>98</v>
      </c>
      <c r="AF2174" s="357" t="s">
        <v>98</v>
      </c>
      <c r="AG2174" s="351" t="s">
        <v>5575</v>
      </c>
      <c r="AH2174" s="351" t="s">
        <v>5596</v>
      </c>
      <c r="AI2174" s="355">
        <v>1477</v>
      </c>
      <c r="AJ2174" s="355" t="s">
        <v>98</v>
      </c>
      <c r="AK2174" s="354">
        <v>31970</v>
      </c>
      <c r="AL2174" s="355" t="s">
        <v>98</v>
      </c>
      <c r="AM2174" s="355" t="s">
        <v>690</v>
      </c>
      <c r="AN2174" s="357" t="s">
        <v>276</v>
      </c>
      <c r="AO2174" s="386">
        <f t="shared" si="608"/>
        <v>46.199562089458865</v>
      </c>
      <c r="AP2174" s="357" t="s">
        <v>276</v>
      </c>
      <c r="AQ2174" s="357" t="s">
        <v>276</v>
      </c>
      <c r="AR2174" s="357" t="s">
        <v>98</v>
      </c>
      <c r="AS2174" s="357" t="s">
        <v>98</v>
      </c>
      <c r="AT2174" s="357" t="s">
        <v>98</v>
      </c>
      <c r="AU2174" s="357" t="s">
        <v>98</v>
      </c>
      <c r="AV2174" s="357" t="s">
        <v>98</v>
      </c>
      <c r="AW2174" s="357" t="s">
        <v>98</v>
      </c>
      <c r="AX2174" s="357" t="s">
        <v>98</v>
      </c>
      <c r="AY2174" s="357" t="s">
        <v>98</v>
      </c>
      <c r="AZ2174" s="357" t="s">
        <v>98</v>
      </c>
      <c r="BA2174" s="357" t="s">
        <v>98</v>
      </c>
      <c r="BB2174" s="357" t="s">
        <v>98</v>
      </c>
      <c r="BC2174" s="357" t="s">
        <v>98</v>
      </c>
      <c r="BD2174" s="357" t="s">
        <v>98</v>
      </c>
      <c r="BE2174" s="357" t="s">
        <v>98</v>
      </c>
      <c r="BF2174" s="351" t="s">
        <v>1358</v>
      </c>
      <c r="BG2174" s="364"/>
      <c r="BH2174" s="9" t="s">
        <v>100</v>
      </c>
      <c r="BI2174" s="9" t="s">
        <v>100</v>
      </c>
      <c r="BJ2174" s="387"/>
      <c r="BN2174" s="387"/>
      <c r="BO2174" s="387"/>
    </row>
    <row r="2175" spans="1:68" s="388" customFormat="1" ht="52" hidden="1" x14ac:dyDescent="0.35">
      <c r="A2175" s="357">
        <v>10547</v>
      </c>
      <c r="B2175" s="357" t="s">
        <v>4985</v>
      </c>
      <c r="C2175" s="357" t="s">
        <v>88</v>
      </c>
      <c r="D2175" s="351" t="s">
        <v>5609</v>
      </c>
      <c r="E2175" s="357" t="s">
        <v>43</v>
      </c>
      <c r="F2175" s="351" t="s">
        <v>4987</v>
      </c>
      <c r="G2175" s="357" t="s">
        <v>225</v>
      </c>
      <c r="H2175" s="357" t="s">
        <v>125</v>
      </c>
      <c r="I2175" s="357" t="s">
        <v>114</v>
      </c>
      <c r="J2175" s="351" t="s">
        <v>98</v>
      </c>
      <c r="K2175" s="357" t="s">
        <v>98</v>
      </c>
      <c r="L2175" s="357" t="s">
        <v>98</v>
      </c>
      <c r="M2175" s="357" t="s">
        <v>98</v>
      </c>
      <c r="N2175" s="351" t="s">
        <v>5571</v>
      </c>
      <c r="O2175" s="351" t="s">
        <v>4989</v>
      </c>
      <c r="P2175" s="351" t="s">
        <v>238</v>
      </c>
      <c r="Q2175" s="383" t="s">
        <v>4991</v>
      </c>
      <c r="R2175" s="351" t="s">
        <v>98</v>
      </c>
      <c r="S2175" s="380" t="s">
        <v>5572</v>
      </c>
      <c r="T2175" s="380" t="s">
        <v>98</v>
      </c>
      <c r="U2175" s="351" t="s">
        <v>276</v>
      </c>
      <c r="V2175" s="357" t="s">
        <v>259</v>
      </c>
      <c r="W2175" s="351" t="s">
        <v>5139</v>
      </c>
      <c r="X2175" s="351" t="s">
        <v>209</v>
      </c>
      <c r="Y2175" s="354">
        <v>7265</v>
      </c>
      <c r="Z2175" s="355" t="s">
        <v>98</v>
      </c>
      <c r="AA2175" s="351" t="s">
        <v>276</v>
      </c>
      <c r="AB2175" s="351" t="s">
        <v>98</v>
      </c>
      <c r="AC2175" s="357" t="s">
        <v>276</v>
      </c>
      <c r="AD2175" s="357" t="s">
        <v>5574</v>
      </c>
      <c r="AE2175" s="357" t="s">
        <v>98</v>
      </c>
      <c r="AF2175" s="357" t="s">
        <v>98</v>
      </c>
      <c r="AG2175" s="351" t="s">
        <v>5575</v>
      </c>
      <c r="AH2175" s="351" t="s">
        <v>5596</v>
      </c>
      <c r="AI2175" s="355">
        <v>180</v>
      </c>
      <c r="AJ2175" s="355" t="s">
        <v>98</v>
      </c>
      <c r="AK2175" s="354">
        <v>7265</v>
      </c>
      <c r="AL2175" s="355" t="s">
        <v>98</v>
      </c>
      <c r="AM2175" s="355" t="s">
        <v>690</v>
      </c>
      <c r="AN2175" s="357" t="s">
        <v>276</v>
      </c>
      <c r="AO2175" s="386">
        <f t="shared" si="608"/>
        <v>24.776324845147968</v>
      </c>
      <c r="AP2175" s="357" t="s">
        <v>276</v>
      </c>
      <c r="AQ2175" s="357" t="s">
        <v>276</v>
      </c>
      <c r="AR2175" s="357" t="s">
        <v>98</v>
      </c>
      <c r="AS2175" s="357" t="s">
        <v>98</v>
      </c>
      <c r="AT2175" s="357" t="s">
        <v>98</v>
      </c>
      <c r="AU2175" s="357" t="s">
        <v>98</v>
      </c>
      <c r="AV2175" s="357" t="s">
        <v>98</v>
      </c>
      <c r="AW2175" s="357" t="s">
        <v>98</v>
      </c>
      <c r="AX2175" s="357" t="s">
        <v>98</v>
      </c>
      <c r="AY2175" s="357" t="s">
        <v>98</v>
      </c>
      <c r="AZ2175" s="357" t="s">
        <v>98</v>
      </c>
      <c r="BA2175" s="357" t="s">
        <v>98</v>
      </c>
      <c r="BB2175" s="357" t="s">
        <v>98</v>
      </c>
      <c r="BC2175" s="357" t="s">
        <v>98</v>
      </c>
      <c r="BD2175" s="357" t="s">
        <v>98</v>
      </c>
      <c r="BE2175" s="357" t="s">
        <v>98</v>
      </c>
      <c r="BF2175" s="351" t="s">
        <v>1358</v>
      </c>
      <c r="BG2175" s="364"/>
      <c r="BH2175" s="9" t="s">
        <v>100</v>
      </c>
      <c r="BI2175" s="9" t="s">
        <v>100</v>
      </c>
      <c r="BJ2175" s="387"/>
      <c r="BN2175" s="387"/>
      <c r="BO2175" s="387"/>
    </row>
    <row r="2176" spans="1:68" s="388" customFormat="1" ht="52" hidden="1" x14ac:dyDescent="0.35">
      <c r="A2176" s="357">
        <v>10547</v>
      </c>
      <c r="B2176" s="357" t="s">
        <v>4985</v>
      </c>
      <c r="C2176" s="357" t="s">
        <v>88</v>
      </c>
      <c r="D2176" s="351" t="s">
        <v>5610</v>
      </c>
      <c r="E2176" s="357" t="s">
        <v>43</v>
      </c>
      <c r="F2176" s="351" t="s">
        <v>4987</v>
      </c>
      <c r="G2176" s="357" t="s">
        <v>225</v>
      </c>
      <c r="H2176" s="357" t="s">
        <v>125</v>
      </c>
      <c r="I2176" s="357" t="s">
        <v>114</v>
      </c>
      <c r="J2176" s="351" t="s">
        <v>98</v>
      </c>
      <c r="K2176" s="357" t="s">
        <v>98</v>
      </c>
      <c r="L2176" s="357" t="s">
        <v>98</v>
      </c>
      <c r="M2176" s="357" t="s">
        <v>98</v>
      </c>
      <c r="N2176" s="351" t="s">
        <v>5571</v>
      </c>
      <c r="O2176" s="351" t="s">
        <v>4989</v>
      </c>
      <c r="P2176" s="351" t="s">
        <v>238</v>
      </c>
      <c r="Q2176" s="383" t="s">
        <v>4991</v>
      </c>
      <c r="R2176" s="351" t="s">
        <v>98</v>
      </c>
      <c r="S2176" s="380" t="s">
        <v>5572</v>
      </c>
      <c r="T2176" s="380" t="s">
        <v>98</v>
      </c>
      <c r="U2176" s="351" t="s">
        <v>276</v>
      </c>
      <c r="V2176" s="357" t="s">
        <v>259</v>
      </c>
      <c r="W2176" s="351" t="s">
        <v>5142</v>
      </c>
      <c r="X2176" s="351" t="s">
        <v>209</v>
      </c>
      <c r="Y2176" s="354">
        <v>1056</v>
      </c>
      <c r="Z2176" s="355" t="s">
        <v>98</v>
      </c>
      <c r="AA2176" s="351" t="s">
        <v>276</v>
      </c>
      <c r="AB2176" s="351" t="s">
        <v>98</v>
      </c>
      <c r="AC2176" s="357" t="s">
        <v>276</v>
      </c>
      <c r="AD2176" s="357" t="s">
        <v>5574</v>
      </c>
      <c r="AE2176" s="357" t="s">
        <v>98</v>
      </c>
      <c r="AF2176" s="357" t="s">
        <v>98</v>
      </c>
      <c r="AG2176" s="351" t="s">
        <v>5575</v>
      </c>
      <c r="AH2176" s="351" t="s">
        <v>5596</v>
      </c>
      <c r="AI2176" s="355">
        <v>60</v>
      </c>
      <c r="AJ2176" s="355" t="s">
        <v>98</v>
      </c>
      <c r="AK2176" s="354">
        <v>1056</v>
      </c>
      <c r="AL2176" s="355" t="s">
        <v>98</v>
      </c>
      <c r="AM2176" s="355" t="s">
        <v>690</v>
      </c>
      <c r="AN2176" s="357" t="s">
        <v>276</v>
      </c>
      <c r="AO2176" s="386">
        <f t="shared" si="608"/>
        <v>56.81818181818182</v>
      </c>
      <c r="AP2176" s="357" t="s">
        <v>276</v>
      </c>
      <c r="AQ2176" s="357" t="s">
        <v>276</v>
      </c>
      <c r="AR2176" s="357" t="s">
        <v>98</v>
      </c>
      <c r="AS2176" s="357" t="s">
        <v>98</v>
      </c>
      <c r="AT2176" s="357" t="s">
        <v>98</v>
      </c>
      <c r="AU2176" s="357" t="s">
        <v>98</v>
      </c>
      <c r="AV2176" s="357" t="s">
        <v>98</v>
      </c>
      <c r="AW2176" s="357" t="s">
        <v>98</v>
      </c>
      <c r="AX2176" s="357" t="s">
        <v>98</v>
      </c>
      <c r="AY2176" s="357" t="s">
        <v>98</v>
      </c>
      <c r="AZ2176" s="357" t="s">
        <v>98</v>
      </c>
      <c r="BA2176" s="357" t="s">
        <v>98</v>
      </c>
      <c r="BB2176" s="357" t="s">
        <v>98</v>
      </c>
      <c r="BC2176" s="357" t="s">
        <v>98</v>
      </c>
      <c r="BD2176" s="357" t="s">
        <v>98</v>
      </c>
      <c r="BE2176" s="357" t="s">
        <v>98</v>
      </c>
      <c r="BF2176" s="351" t="s">
        <v>1358</v>
      </c>
      <c r="BG2176" s="364"/>
      <c r="BH2176" s="9" t="s">
        <v>100</v>
      </c>
      <c r="BI2176" s="9" t="s">
        <v>100</v>
      </c>
      <c r="BJ2176" s="387"/>
      <c r="BN2176" s="387"/>
      <c r="BO2176" s="387"/>
    </row>
    <row r="2177" spans="1:68" s="388" customFormat="1" ht="52" hidden="1" x14ac:dyDescent="0.35">
      <c r="A2177" s="357">
        <v>10547</v>
      </c>
      <c r="B2177" s="357" t="s">
        <v>4985</v>
      </c>
      <c r="C2177" s="357" t="s">
        <v>88</v>
      </c>
      <c r="D2177" s="351" t="s">
        <v>5611</v>
      </c>
      <c r="E2177" s="357" t="s">
        <v>43</v>
      </c>
      <c r="F2177" s="351" t="s">
        <v>4987</v>
      </c>
      <c r="G2177" s="357" t="s">
        <v>225</v>
      </c>
      <c r="H2177" s="357" t="s">
        <v>125</v>
      </c>
      <c r="I2177" s="357" t="s">
        <v>114</v>
      </c>
      <c r="J2177" s="351" t="s">
        <v>98</v>
      </c>
      <c r="K2177" s="357" t="s">
        <v>98</v>
      </c>
      <c r="L2177" s="357" t="s">
        <v>98</v>
      </c>
      <c r="M2177" s="357" t="s">
        <v>98</v>
      </c>
      <c r="N2177" s="351" t="s">
        <v>5571</v>
      </c>
      <c r="O2177" s="351" t="s">
        <v>4989</v>
      </c>
      <c r="P2177" s="351" t="s">
        <v>238</v>
      </c>
      <c r="Q2177" s="383" t="s">
        <v>4991</v>
      </c>
      <c r="R2177" s="351" t="s">
        <v>98</v>
      </c>
      <c r="S2177" s="380" t="s">
        <v>5572</v>
      </c>
      <c r="T2177" s="380" t="s">
        <v>98</v>
      </c>
      <c r="U2177" s="351" t="s">
        <v>276</v>
      </c>
      <c r="V2177" s="357" t="s">
        <v>259</v>
      </c>
      <c r="W2177" s="351" t="s">
        <v>5145</v>
      </c>
      <c r="X2177" s="351" t="s">
        <v>209</v>
      </c>
      <c r="Y2177" s="354">
        <v>4948</v>
      </c>
      <c r="Z2177" s="355" t="s">
        <v>98</v>
      </c>
      <c r="AA2177" s="351" t="s">
        <v>276</v>
      </c>
      <c r="AB2177" s="351" t="s">
        <v>98</v>
      </c>
      <c r="AC2177" s="357" t="s">
        <v>276</v>
      </c>
      <c r="AD2177" s="357" t="s">
        <v>5574</v>
      </c>
      <c r="AE2177" s="357" t="s">
        <v>98</v>
      </c>
      <c r="AF2177" s="357" t="s">
        <v>98</v>
      </c>
      <c r="AG2177" s="351" t="s">
        <v>5575</v>
      </c>
      <c r="AH2177" s="351" t="s">
        <v>5596</v>
      </c>
      <c r="AI2177" s="355">
        <v>265</v>
      </c>
      <c r="AJ2177" s="355" t="s">
        <v>98</v>
      </c>
      <c r="AK2177" s="354">
        <v>4948</v>
      </c>
      <c r="AL2177" s="355" t="s">
        <v>98</v>
      </c>
      <c r="AM2177" s="355" t="s">
        <v>690</v>
      </c>
      <c r="AN2177" s="357" t="s">
        <v>276</v>
      </c>
      <c r="AO2177" s="386">
        <f t="shared" si="608"/>
        <v>53.556992724333064</v>
      </c>
      <c r="AP2177" s="357" t="s">
        <v>276</v>
      </c>
      <c r="AQ2177" s="357" t="s">
        <v>276</v>
      </c>
      <c r="AR2177" s="357" t="s">
        <v>98</v>
      </c>
      <c r="AS2177" s="357" t="s">
        <v>98</v>
      </c>
      <c r="AT2177" s="357" t="s">
        <v>98</v>
      </c>
      <c r="AU2177" s="357" t="s">
        <v>98</v>
      </c>
      <c r="AV2177" s="357" t="s">
        <v>98</v>
      </c>
      <c r="AW2177" s="357" t="s">
        <v>98</v>
      </c>
      <c r="AX2177" s="357" t="s">
        <v>98</v>
      </c>
      <c r="AY2177" s="357" t="s">
        <v>98</v>
      </c>
      <c r="AZ2177" s="357" t="s">
        <v>98</v>
      </c>
      <c r="BA2177" s="357" t="s">
        <v>98</v>
      </c>
      <c r="BB2177" s="357" t="s">
        <v>98</v>
      </c>
      <c r="BC2177" s="357" t="s">
        <v>98</v>
      </c>
      <c r="BD2177" s="357" t="s">
        <v>98</v>
      </c>
      <c r="BE2177" s="357" t="s">
        <v>98</v>
      </c>
      <c r="BF2177" s="351" t="s">
        <v>1358</v>
      </c>
      <c r="BG2177" s="364"/>
      <c r="BH2177" s="9" t="s">
        <v>100</v>
      </c>
      <c r="BI2177" s="9" t="s">
        <v>100</v>
      </c>
      <c r="BJ2177" s="387"/>
      <c r="BN2177" s="387"/>
      <c r="BO2177" s="387"/>
    </row>
    <row r="2178" spans="1:68" s="6" customFormat="1" ht="52" hidden="1" x14ac:dyDescent="0.35">
      <c r="A2178" s="357">
        <v>10548</v>
      </c>
      <c r="B2178" s="357" t="s">
        <v>5029</v>
      </c>
      <c r="C2178" s="357" t="s">
        <v>88</v>
      </c>
      <c r="D2178" s="351" t="s">
        <v>5612</v>
      </c>
      <c r="E2178" s="357" t="s">
        <v>43</v>
      </c>
      <c r="F2178" s="351" t="s">
        <v>4987</v>
      </c>
      <c r="G2178" s="357" t="s">
        <v>225</v>
      </c>
      <c r="H2178" s="357" t="s">
        <v>125</v>
      </c>
      <c r="I2178" s="357" t="s">
        <v>114</v>
      </c>
      <c r="J2178" s="351" t="s">
        <v>98</v>
      </c>
      <c r="K2178" s="357" t="s">
        <v>98</v>
      </c>
      <c r="L2178" s="357" t="s">
        <v>98</v>
      </c>
      <c r="M2178" s="357" t="s">
        <v>98</v>
      </c>
      <c r="N2178" s="351" t="s">
        <v>5613</v>
      </c>
      <c r="O2178" s="351" t="s">
        <v>276</v>
      </c>
      <c r="P2178" s="351" t="s">
        <v>236</v>
      </c>
      <c r="Q2178" s="383" t="s">
        <v>5034</v>
      </c>
      <c r="R2178" s="351" t="s">
        <v>98</v>
      </c>
      <c r="S2178" s="380" t="s">
        <v>5614</v>
      </c>
      <c r="T2178" s="380" t="s">
        <v>98</v>
      </c>
      <c r="U2178" s="351" t="s">
        <v>276</v>
      </c>
      <c r="V2178" s="357" t="s">
        <v>14</v>
      </c>
      <c r="W2178" s="357" t="s">
        <v>98</v>
      </c>
      <c r="X2178" s="351" t="s">
        <v>209</v>
      </c>
      <c r="Y2178" s="354">
        <v>125268</v>
      </c>
      <c r="Z2178" s="355" t="s">
        <v>98</v>
      </c>
      <c r="AA2178" s="351" t="s">
        <v>276</v>
      </c>
      <c r="AB2178" s="351" t="s">
        <v>276</v>
      </c>
      <c r="AC2178" s="357" t="s">
        <v>276</v>
      </c>
      <c r="AD2178" s="357" t="s">
        <v>5574</v>
      </c>
      <c r="AE2178" s="357" t="s">
        <v>98</v>
      </c>
      <c r="AF2178" s="357" t="s">
        <v>98</v>
      </c>
      <c r="AG2178" s="351" t="s">
        <v>5615</v>
      </c>
      <c r="AH2178" s="351" t="s">
        <v>5616</v>
      </c>
      <c r="AI2178" s="355">
        <v>5742</v>
      </c>
      <c r="AJ2178" s="355" t="s">
        <v>98</v>
      </c>
      <c r="AK2178" s="355">
        <v>9426</v>
      </c>
      <c r="AL2178" s="355" t="s">
        <v>98</v>
      </c>
      <c r="AM2178" s="355" t="s">
        <v>292</v>
      </c>
      <c r="AN2178" s="357" t="s">
        <v>276</v>
      </c>
      <c r="AO2178" s="386">
        <f>AI2178*100/AK2178</f>
        <v>60.916613621896879</v>
      </c>
      <c r="AP2178" s="357" t="s">
        <v>276</v>
      </c>
      <c r="AQ2178" s="357" t="s">
        <v>276</v>
      </c>
      <c r="AR2178" s="357" t="s">
        <v>276</v>
      </c>
      <c r="AS2178" s="357" t="s">
        <v>276</v>
      </c>
      <c r="AT2178" s="357" t="s">
        <v>276</v>
      </c>
      <c r="AU2178" s="357" t="s">
        <v>276</v>
      </c>
      <c r="AV2178" s="357" t="s">
        <v>276</v>
      </c>
      <c r="AW2178" s="357" t="s">
        <v>276</v>
      </c>
      <c r="AX2178" s="357" t="s">
        <v>276</v>
      </c>
      <c r="AY2178" s="357" t="s">
        <v>276</v>
      </c>
      <c r="AZ2178" s="357" t="s">
        <v>276</v>
      </c>
      <c r="BA2178" s="357" t="s">
        <v>276</v>
      </c>
      <c r="BB2178" s="357" t="s">
        <v>276</v>
      </c>
      <c r="BC2178" s="357" t="s">
        <v>276</v>
      </c>
      <c r="BD2178" s="357" t="s">
        <v>276</v>
      </c>
      <c r="BE2178" s="357" t="s">
        <v>276</v>
      </c>
      <c r="BF2178" s="351" t="s">
        <v>5617</v>
      </c>
      <c r="BG2178" s="9"/>
      <c r="BH2178" s="9" t="s">
        <v>100</v>
      </c>
      <c r="BI2178" s="9" t="s">
        <v>100</v>
      </c>
      <c r="BJ2178" s="32"/>
      <c r="BK2178" s="33"/>
      <c r="BL2178" s="33"/>
      <c r="BM2178" s="33"/>
      <c r="BN2178" s="32"/>
      <c r="BO2178" s="32"/>
      <c r="BP2178" s="33"/>
    </row>
    <row r="2179" spans="1:68" s="388" customFormat="1" ht="52" x14ac:dyDescent="0.35">
      <c r="A2179" s="357">
        <v>10548</v>
      </c>
      <c r="B2179" s="357" t="s">
        <v>5029</v>
      </c>
      <c r="C2179" s="357" t="s">
        <v>88</v>
      </c>
      <c r="D2179" s="351" t="s">
        <v>5618</v>
      </c>
      <c r="E2179" s="357" t="s">
        <v>43</v>
      </c>
      <c r="F2179" s="351" t="s">
        <v>4987</v>
      </c>
      <c r="G2179" s="357" t="s">
        <v>225</v>
      </c>
      <c r="H2179" s="357" t="s">
        <v>125</v>
      </c>
      <c r="I2179" s="357" t="s">
        <v>114</v>
      </c>
      <c r="J2179" s="351" t="s">
        <v>98</v>
      </c>
      <c r="K2179" s="357" t="s">
        <v>98</v>
      </c>
      <c r="L2179" s="357" t="s">
        <v>98</v>
      </c>
      <c r="M2179" s="357" t="s">
        <v>98</v>
      </c>
      <c r="N2179" s="351" t="s">
        <v>5613</v>
      </c>
      <c r="O2179" s="351" t="s">
        <v>276</v>
      </c>
      <c r="P2179" s="351" t="s">
        <v>236</v>
      </c>
      <c r="Q2179" s="383" t="s">
        <v>5034</v>
      </c>
      <c r="R2179" s="351" t="s">
        <v>98</v>
      </c>
      <c r="S2179" s="380" t="s">
        <v>5619</v>
      </c>
      <c r="T2179" s="380" t="s">
        <v>98</v>
      </c>
      <c r="U2179" s="351" t="s">
        <v>276</v>
      </c>
      <c r="V2179" s="357" t="s">
        <v>261</v>
      </c>
      <c r="W2179" s="351" t="s">
        <v>5573</v>
      </c>
      <c r="X2179" s="351" t="s">
        <v>209</v>
      </c>
      <c r="Y2179" s="354">
        <v>82816</v>
      </c>
      <c r="Z2179" s="354">
        <v>99183</v>
      </c>
      <c r="AA2179" s="351" t="s">
        <v>276</v>
      </c>
      <c r="AB2179" s="351" t="s">
        <v>276</v>
      </c>
      <c r="AC2179" s="357" t="s">
        <v>276</v>
      </c>
      <c r="AD2179" s="357" t="s">
        <v>5574</v>
      </c>
      <c r="AE2179" s="357" t="s">
        <v>98</v>
      </c>
      <c r="AF2179" s="357" t="s">
        <v>98</v>
      </c>
      <c r="AG2179" s="351" t="s">
        <v>5615</v>
      </c>
      <c r="AH2179" s="351" t="s">
        <v>5616</v>
      </c>
      <c r="AI2179" s="355">
        <v>5455</v>
      </c>
      <c r="AJ2179" s="355" t="s">
        <v>98</v>
      </c>
      <c r="AK2179" s="355">
        <v>7938</v>
      </c>
      <c r="AL2179" s="355" t="s">
        <v>98</v>
      </c>
      <c r="AM2179" s="355" t="s">
        <v>292</v>
      </c>
      <c r="AN2179" s="357" t="s">
        <v>276</v>
      </c>
      <c r="AO2179" s="386">
        <f>AI2179*100/AK2179</f>
        <v>68.720080624842524</v>
      </c>
      <c r="AP2179" s="357" t="s">
        <v>276</v>
      </c>
      <c r="AQ2179" s="357" t="s">
        <v>276</v>
      </c>
      <c r="AR2179" s="357" t="s">
        <v>276</v>
      </c>
      <c r="AS2179" s="357" t="s">
        <v>276</v>
      </c>
      <c r="AT2179" s="357" t="s">
        <v>276</v>
      </c>
      <c r="AU2179" s="357" t="s">
        <v>276</v>
      </c>
      <c r="AV2179" s="357" t="s">
        <v>276</v>
      </c>
      <c r="AW2179" s="357" t="s">
        <v>276</v>
      </c>
      <c r="AX2179" s="357" t="s">
        <v>276</v>
      </c>
      <c r="AY2179" s="357" t="s">
        <v>276</v>
      </c>
      <c r="AZ2179" s="357" t="s">
        <v>276</v>
      </c>
      <c r="BA2179" s="357" t="s">
        <v>276</v>
      </c>
      <c r="BB2179" s="357" t="s">
        <v>276</v>
      </c>
      <c r="BC2179" s="357" t="s">
        <v>276</v>
      </c>
      <c r="BD2179" s="357" t="s">
        <v>276</v>
      </c>
      <c r="BE2179" s="357" t="s">
        <v>276</v>
      </c>
      <c r="BF2179" s="351" t="s">
        <v>5617</v>
      </c>
      <c r="BG2179" s="364"/>
      <c r="BH2179" s="9" t="s">
        <v>99</v>
      </c>
      <c r="BI2179" s="9" t="s">
        <v>100</v>
      </c>
      <c r="BJ2179" s="387"/>
      <c r="BN2179" s="387"/>
      <c r="BO2179" s="387"/>
    </row>
    <row r="2180" spans="1:68" s="6" customFormat="1" ht="52" hidden="1" x14ac:dyDescent="0.35">
      <c r="A2180" s="357">
        <v>10548</v>
      </c>
      <c r="B2180" s="357" t="s">
        <v>5029</v>
      </c>
      <c r="C2180" s="357" t="s">
        <v>88</v>
      </c>
      <c r="D2180" s="351" t="s">
        <v>5620</v>
      </c>
      <c r="E2180" s="357" t="s">
        <v>43</v>
      </c>
      <c r="F2180" s="351" t="s">
        <v>4987</v>
      </c>
      <c r="G2180" s="357" t="s">
        <v>225</v>
      </c>
      <c r="H2180" s="357" t="s">
        <v>125</v>
      </c>
      <c r="I2180" s="357" t="s">
        <v>114</v>
      </c>
      <c r="J2180" s="351" t="s">
        <v>98</v>
      </c>
      <c r="K2180" s="357" t="s">
        <v>98</v>
      </c>
      <c r="L2180" s="357" t="s">
        <v>98</v>
      </c>
      <c r="M2180" s="357" t="s">
        <v>98</v>
      </c>
      <c r="N2180" s="351" t="s">
        <v>5613</v>
      </c>
      <c r="O2180" s="351" t="s">
        <v>276</v>
      </c>
      <c r="P2180" s="351" t="s">
        <v>236</v>
      </c>
      <c r="Q2180" s="383" t="s">
        <v>5034</v>
      </c>
      <c r="R2180" s="351" t="s">
        <v>98</v>
      </c>
      <c r="S2180" s="380" t="s">
        <v>5619</v>
      </c>
      <c r="T2180" s="380" t="s">
        <v>98</v>
      </c>
      <c r="U2180" s="351" t="s">
        <v>276</v>
      </c>
      <c r="V2180" s="357" t="s">
        <v>261</v>
      </c>
      <c r="W2180" s="357" t="s">
        <v>5153</v>
      </c>
      <c r="X2180" s="351" t="s">
        <v>209</v>
      </c>
      <c r="Y2180" s="354">
        <v>21206</v>
      </c>
      <c r="Z2180" s="355" t="s">
        <v>98</v>
      </c>
      <c r="AA2180" s="351" t="s">
        <v>276</v>
      </c>
      <c r="AB2180" s="351" t="s">
        <v>276</v>
      </c>
      <c r="AC2180" s="357" t="s">
        <v>276</v>
      </c>
      <c r="AD2180" s="357" t="s">
        <v>5574</v>
      </c>
      <c r="AE2180" s="357" t="s">
        <v>98</v>
      </c>
      <c r="AF2180" s="357" t="s">
        <v>98</v>
      </c>
      <c r="AG2180" s="351" t="s">
        <v>5615</v>
      </c>
      <c r="AH2180" s="351" t="s">
        <v>5616</v>
      </c>
      <c r="AI2180" s="355">
        <v>2040</v>
      </c>
      <c r="AJ2180" s="355" t="s">
        <v>98</v>
      </c>
      <c r="AK2180" s="355">
        <v>2478</v>
      </c>
      <c r="AL2180" s="355" t="s">
        <v>98</v>
      </c>
      <c r="AM2180" s="355" t="s">
        <v>292</v>
      </c>
      <c r="AN2180" s="357" t="s">
        <v>276</v>
      </c>
      <c r="AO2180" s="386">
        <f t="shared" ref="AO2180:AO2199" si="609">AI2180*100/AK2180</f>
        <v>82.324455205811134</v>
      </c>
      <c r="AP2180" s="357" t="s">
        <v>276</v>
      </c>
      <c r="AQ2180" s="357" t="s">
        <v>276</v>
      </c>
      <c r="AR2180" s="357" t="s">
        <v>276</v>
      </c>
      <c r="AS2180" s="357" t="s">
        <v>276</v>
      </c>
      <c r="AT2180" s="357" t="s">
        <v>276</v>
      </c>
      <c r="AU2180" s="357" t="s">
        <v>276</v>
      </c>
      <c r="AV2180" s="357" t="s">
        <v>276</v>
      </c>
      <c r="AW2180" s="357" t="s">
        <v>276</v>
      </c>
      <c r="AX2180" s="357" t="s">
        <v>276</v>
      </c>
      <c r="AY2180" s="357" t="s">
        <v>276</v>
      </c>
      <c r="AZ2180" s="357" t="s">
        <v>276</v>
      </c>
      <c r="BA2180" s="357" t="s">
        <v>276</v>
      </c>
      <c r="BB2180" s="357" t="s">
        <v>276</v>
      </c>
      <c r="BC2180" s="357" t="s">
        <v>276</v>
      </c>
      <c r="BD2180" s="357" t="s">
        <v>276</v>
      </c>
      <c r="BE2180" s="357" t="s">
        <v>276</v>
      </c>
      <c r="BF2180" s="351" t="s">
        <v>5617</v>
      </c>
      <c r="BG2180" s="9"/>
      <c r="BH2180" s="9" t="s">
        <v>100</v>
      </c>
      <c r="BI2180" s="9" t="s">
        <v>100</v>
      </c>
      <c r="BJ2180" s="32"/>
      <c r="BK2180" s="33"/>
      <c r="BL2180" s="33"/>
      <c r="BM2180" s="33"/>
      <c r="BN2180" s="32"/>
      <c r="BO2180" s="32"/>
      <c r="BP2180" s="33"/>
    </row>
    <row r="2181" spans="1:68" s="6" customFormat="1" ht="52" hidden="1" x14ac:dyDescent="0.35">
      <c r="A2181" s="357">
        <v>10548</v>
      </c>
      <c r="B2181" s="357" t="s">
        <v>5029</v>
      </c>
      <c r="C2181" s="357" t="s">
        <v>88</v>
      </c>
      <c r="D2181" s="351" t="s">
        <v>5621</v>
      </c>
      <c r="E2181" s="357" t="s">
        <v>43</v>
      </c>
      <c r="F2181" s="351" t="s">
        <v>4987</v>
      </c>
      <c r="G2181" s="357" t="s">
        <v>225</v>
      </c>
      <c r="H2181" s="357" t="s">
        <v>125</v>
      </c>
      <c r="I2181" s="357" t="s">
        <v>114</v>
      </c>
      <c r="J2181" s="351" t="s">
        <v>98</v>
      </c>
      <c r="K2181" s="357" t="s">
        <v>98</v>
      </c>
      <c r="L2181" s="357" t="s">
        <v>98</v>
      </c>
      <c r="M2181" s="357" t="s">
        <v>98</v>
      </c>
      <c r="N2181" s="351" t="s">
        <v>5613</v>
      </c>
      <c r="O2181" s="351" t="s">
        <v>276</v>
      </c>
      <c r="P2181" s="351" t="s">
        <v>236</v>
      </c>
      <c r="Q2181" s="383" t="s">
        <v>5034</v>
      </c>
      <c r="R2181" s="351" t="s">
        <v>98</v>
      </c>
      <c r="S2181" s="380" t="s">
        <v>5622</v>
      </c>
      <c r="T2181" s="380" t="s">
        <v>98</v>
      </c>
      <c r="U2181" s="351" t="s">
        <v>276</v>
      </c>
      <c r="V2181" s="357" t="s">
        <v>261</v>
      </c>
      <c r="W2181" s="357" t="s">
        <v>5156</v>
      </c>
      <c r="X2181" s="351" t="s">
        <v>209</v>
      </c>
      <c r="Y2181" s="354">
        <v>5188</v>
      </c>
      <c r="Z2181" s="355" t="s">
        <v>98</v>
      </c>
      <c r="AA2181" s="351" t="s">
        <v>276</v>
      </c>
      <c r="AB2181" s="351" t="s">
        <v>276</v>
      </c>
      <c r="AC2181" s="357" t="s">
        <v>276</v>
      </c>
      <c r="AD2181" s="357" t="s">
        <v>5574</v>
      </c>
      <c r="AE2181" s="357" t="s">
        <v>98</v>
      </c>
      <c r="AF2181" s="357" t="s">
        <v>98</v>
      </c>
      <c r="AG2181" s="351" t="s">
        <v>5615</v>
      </c>
      <c r="AH2181" s="351" t="s">
        <v>5616</v>
      </c>
      <c r="AI2181" s="355">
        <v>214</v>
      </c>
      <c r="AJ2181" s="355" t="s">
        <v>98</v>
      </c>
      <c r="AK2181" s="355">
        <v>504</v>
      </c>
      <c r="AL2181" s="355" t="s">
        <v>98</v>
      </c>
      <c r="AM2181" s="355" t="s">
        <v>292</v>
      </c>
      <c r="AN2181" s="357" t="s">
        <v>276</v>
      </c>
      <c r="AO2181" s="386">
        <f t="shared" si="609"/>
        <v>42.460317460317462</v>
      </c>
      <c r="AP2181" s="357" t="s">
        <v>276</v>
      </c>
      <c r="AQ2181" s="357" t="s">
        <v>276</v>
      </c>
      <c r="AR2181" s="357" t="s">
        <v>276</v>
      </c>
      <c r="AS2181" s="357" t="s">
        <v>276</v>
      </c>
      <c r="AT2181" s="357" t="s">
        <v>276</v>
      </c>
      <c r="AU2181" s="357" t="s">
        <v>276</v>
      </c>
      <c r="AV2181" s="357" t="s">
        <v>276</v>
      </c>
      <c r="AW2181" s="357" t="s">
        <v>276</v>
      </c>
      <c r="AX2181" s="357" t="s">
        <v>276</v>
      </c>
      <c r="AY2181" s="357" t="s">
        <v>276</v>
      </c>
      <c r="AZ2181" s="357" t="s">
        <v>276</v>
      </c>
      <c r="BA2181" s="357" t="s">
        <v>276</v>
      </c>
      <c r="BB2181" s="357" t="s">
        <v>276</v>
      </c>
      <c r="BC2181" s="357" t="s">
        <v>276</v>
      </c>
      <c r="BD2181" s="357" t="s">
        <v>276</v>
      </c>
      <c r="BE2181" s="357" t="s">
        <v>276</v>
      </c>
      <c r="BF2181" s="351" t="s">
        <v>5617</v>
      </c>
      <c r="BG2181" s="9"/>
      <c r="BH2181" s="9" t="s">
        <v>100</v>
      </c>
      <c r="BI2181" s="9" t="s">
        <v>100</v>
      </c>
      <c r="BJ2181" s="32"/>
      <c r="BK2181" s="33"/>
      <c r="BL2181" s="33"/>
      <c r="BM2181" s="33"/>
      <c r="BN2181" s="32"/>
      <c r="BO2181" s="32"/>
      <c r="BP2181" s="33"/>
    </row>
    <row r="2182" spans="1:68" s="6" customFormat="1" ht="52" hidden="1" x14ac:dyDescent="0.35">
      <c r="A2182" s="357">
        <v>10548</v>
      </c>
      <c r="B2182" s="357" t="s">
        <v>5029</v>
      </c>
      <c r="C2182" s="357" t="s">
        <v>88</v>
      </c>
      <c r="D2182" s="351" t="s">
        <v>5623</v>
      </c>
      <c r="E2182" s="357" t="s">
        <v>43</v>
      </c>
      <c r="F2182" s="351" t="s">
        <v>4987</v>
      </c>
      <c r="G2182" s="357" t="s">
        <v>225</v>
      </c>
      <c r="H2182" s="357" t="s">
        <v>125</v>
      </c>
      <c r="I2182" s="357" t="s">
        <v>114</v>
      </c>
      <c r="J2182" s="351" t="s">
        <v>98</v>
      </c>
      <c r="K2182" s="357" t="s">
        <v>98</v>
      </c>
      <c r="L2182" s="357" t="s">
        <v>98</v>
      </c>
      <c r="M2182" s="357" t="s">
        <v>98</v>
      </c>
      <c r="N2182" s="351" t="s">
        <v>5613</v>
      </c>
      <c r="O2182" s="351" t="s">
        <v>276</v>
      </c>
      <c r="P2182" s="351" t="s">
        <v>236</v>
      </c>
      <c r="Q2182" s="383" t="s">
        <v>5034</v>
      </c>
      <c r="R2182" s="351" t="s">
        <v>98</v>
      </c>
      <c r="S2182" s="380" t="s">
        <v>5624</v>
      </c>
      <c r="T2182" s="380" t="s">
        <v>98</v>
      </c>
      <c r="U2182" s="351" t="s">
        <v>276</v>
      </c>
      <c r="V2182" s="357" t="s">
        <v>261</v>
      </c>
      <c r="W2182" s="357" t="s">
        <v>5159</v>
      </c>
      <c r="X2182" s="351" t="s">
        <v>209</v>
      </c>
      <c r="Y2182" s="354">
        <v>9957</v>
      </c>
      <c r="Z2182" s="355" t="s">
        <v>98</v>
      </c>
      <c r="AA2182" s="351" t="s">
        <v>276</v>
      </c>
      <c r="AB2182" s="351" t="s">
        <v>276</v>
      </c>
      <c r="AC2182" s="357" t="s">
        <v>276</v>
      </c>
      <c r="AD2182" s="357" t="s">
        <v>5574</v>
      </c>
      <c r="AE2182" s="357" t="s">
        <v>98</v>
      </c>
      <c r="AF2182" s="357" t="s">
        <v>98</v>
      </c>
      <c r="AG2182" s="351" t="s">
        <v>5615</v>
      </c>
      <c r="AH2182" s="351" t="s">
        <v>5616</v>
      </c>
      <c r="AI2182" s="355">
        <v>896</v>
      </c>
      <c r="AJ2182" s="355" t="s">
        <v>98</v>
      </c>
      <c r="AK2182" s="355">
        <v>1139</v>
      </c>
      <c r="AL2182" s="355" t="s">
        <v>98</v>
      </c>
      <c r="AM2182" s="355" t="s">
        <v>292</v>
      </c>
      <c r="AN2182" s="357" t="s">
        <v>276</v>
      </c>
      <c r="AO2182" s="386">
        <f t="shared" si="609"/>
        <v>78.665496049165938</v>
      </c>
      <c r="AP2182" s="357" t="s">
        <v>276</v>
      </c>
      <c r="AQ2182" s="357" t="s">
        <v>276</v>
      </c>
      <c r="AR2182" s="357" t="s">
        <v>276</v>
      </c>
      <c r="AS2182" s="357" t="s">
        <v>276</v>
      </c>
      <c r="AT2182" s="357" t="s">
        <v>276</v>
      </c>
      <c r="AU2182" s="357" t="s">
        <v>276</v>
      </c>
      <c r="AV2182" s="357" t="s">
        <v>276</v>
      </c>
      <c r="AW2182" s="357" t="s">
        <v>276</v>
      </c>
      <c r="AX2182" s="357" t="s">
        <v>276</v>
      </c>
      <c r="AY2182" s="357" t="s">
        <v>276</v>
      </c>
      <c r="AZ2182" s="357" t="s">
        <v>276</v>
      </c>
      <c r="BA2182" s="357" t="s">
        <v>276</v>
      </c>
      <c r="BB2182" s="357" t="s">
        <v>276</v>
      </c>
      <c r="BC2182" s="357" t="s">
        <v>276</v>
      </c>
      <c r="BD2182" s="357" t="s">
        <v>276</v>
      </c>
      <c r="BE2182" s="357" t="s">
        <v>276</v>
      </c>
      <c r="BF2182" s="351" t="s">
        <v>5617</v>
      </c>
      <c r="BG2182" s="9"/>
      <c r="BH2182" s="9" t="s">
        <v>100</v>
      </c>
      <c r="BI2182" s="9" t="s">
        <v>100</v>
      </c>
      <c r="BJ2182" s="32"/>
      <c r="BK2182" s="33"/>
      <c r="BL2182" s="33"/>
      <c r="BM2182" s="33"/>
      <c r="BN2182" s="32"/>
      <c r="BO2182" s="32"/>
      <c r="BP2182" s="33"/>
    </row>
    <row r="2183" spans="1:68" s="6" customFormat="1" ht="52" hidden="1" x14ac:dyDescent="0.35">
      <c r="A2183" s="357">
        <v>10548</v>
      </c>
      <c r="B2183" s="357" t="s">
        <v>5029</v>
      </c>
      <c r="C2183" s="357" t="s">
        <v>88</v>
      </c>
      <c r="D2183" s="351" t="s">
        <v>5625</v>
      </c>
      <c r="E2183" s="357" t="s">
        <v>43</v>
      </c>
      <c r="F2183" s="351" t="s">
        <v>4987</v>
      </c>
      <c r="G2183" s="357" t="s">
        <v>225</v>
      </c>
      <c r="H2183" s="357" t="s">
        <v>125</v>
      </c>
      <c r="I2183" s="357" t="s">
        <v>114</v>
      </c>
      <c r="J2183" s="351" t="s">
        <v>98</v>
      </c>
      <c r="K2183" s="357" t="s">
        <v>98</v>
      </c>
      <c r="L2183" s="357" t="s">
        <v>98</v>
      </c>
      <c r="M2183" s="357" t="s">
        <v>98</v>
      </c>
      <c r="N2183" s="351" t="s">
        <v>5613</v>
      </c>
      <c r="O2183" s="351" t="s">
        <v>276</v>
      </c>
      <c r="P2183" s="351" t="s">
        <v>236</v>
      </c>
      <c r="Q2183" s="383" t="s">
        <v>5034</v>
      </c>
      <c r="R2183" s="351" t="s">
        <v>98</v>
      </c>
      <c r="S2183" s="380" t="s">
        <v>5619</v>
      </c>
      <c r="T2183" s="380" t="s">
        <v>98</v>
      </c>
      <c r="U2183" s="351" t="s">
        <v>276</v>
      </c>
      <c r="V2183" s="357" t="s">
        <v>261</v>
      </c>
      <c r="W2183" s="357" t="s">
        <v>5162</v>
      </c>
      <c r="X2183" s="351" t="s">
        <v>209</v>
      </c>
      <c r="Y2183" s="354">
        <v>31970</v>
      </c>
      <c r="Z2183" s="355" t="s">
        <v>98</v>
      </c>
      <c r="AA2183" s="351" t="s">
        <v>276</v>
      </c>
      <c r="AB2183" s="351" t="s">
        <v>276</v>
      </c>
      <c r="AC2183" s="357" t="s">
        <v>276</v>
      </c>
      <c r="AD2183" s="357" t="s">
        <v>5574</v>
      </c>
      <c r="AE2183" s="357" t="s">
        <v>98</v>
      </c>
      <c r="AF2183" s="357" t="s">
        <v>98</v>
      </c>
      <c r="AG2183" s="351" t="s">
        <v>5615</v>
      </c>
      <c r="AH2183" s="351" t="s">
        <v>5616</v>
      </c>
      <c r="AI2183" s="355">
        <v>1631</v>
      </c>
      <c r="AJ2183" s="355" t="s">
        <v>98</v>
      </c>
      <c r="AK2183" s="355">
        <v>2838</v>
      </c>
      <c r="AL2183" s="355" t="s">
        <v>98</v>
      </c>
      <c r="AM2183" s="355" t="s">
        <v>292</v>
      </c>
      <c r="AN2183" s="357" t="s">
        <v>276</v>
      </c>
      <c r="AO2183" s="386">
        <f t="shared" si="609"/>
        <v>57.470049330514449</v>
      </c>
      <c r="AP2183" s="357" t="s">
        <v>276</v>
      </c>
      <c r="AQ2183" s="357" t="s">
        <v>276</v>
      </c>
      <c r="AR2183" s="357" t="s">
        <v>276</v>
      </c>
      <c r="AS2183" s="357" t="s">
        <v>276</v>
      </c>
      <c r="AT2183" s="357" t="s">
        <v>276</v>
      </c>
      <c r="AU2183" s="357" t="s">
        <v>276</v>
      </c>
      <c r="AV2183" s="357" t="s">
        <v>276</v>
      </c>
      <c r="AW2183" s="357" t="s">
        <v>276</v>
      </c>
      <c r="AX2183" s="357" t="s">
        <v>276</v>
      </c>
      <c r="AY2183" s="357" t="s">
        <v>276</v>
      </c>
      <c r="AZ2183" s="357" t="s">
        <v>276</v>
      </c>
      <c r="BA2183" s="357" t="s">
        <v>276</v>
      </c>
      <c r="BB2183" s="357" t="s">
        <v>276</v>
      </c>
      <c r="BC2183" s="357" t="s">
        <v>276</v>
      </c>
      <c r="BD2183" s="357" t="s">
        <v>276</v>
      </c>
      <c r="BE2183" s="357" t="s">
        <v>276</v>
      </c>
      <c r="BF2183" s="351" t="s">
        <v>5617</v>
      </c>
      <c r="BG2183" s="9"/>
      <c r="BH2183" s="9" t="s">
        <v>100</v>
      </c>
      <c r="BI2183" s="9" t="s">
        <v>100</v>
      </c>
      <c r="BJ2183" s="32"/>
      <c r="BK2183" s="33"/>
      <c r="BL2183" s="33"/>
      <c r="BM2183" s="33"/>
      <c r="BN2183" s="32"/>
      <c r="BO2183" s="32"/>
      <c r="BP2183" s="33"/>
    </row>
    <row r="2184" spans="1:68" s="6" customFormat="1" ht="52" hidden="1" x14ac:dyDescent="0.35">
      <c r="A2184" s="357">
        <v>10548</v>
      </c>
      <c r="B2184" s="357" t="s">
        <v>5029</v>
      </c>
      <c r="C2184" s="357" t="s">
        <v>88</v>
      </c>
      <c r="D2184" s="351" t="s">
        <v>5626</v>
      </c>
      <c r="E2184" s="357" t="s">
        <v>43</v>
      </c>
      <c r="F2184" s="351" t="s">
        <v>4987</v>
      </c>
      <c r="G2184" s="357" t="s">
        <v>225</v>
      </c>
      <c r="H2184" s="357" t="s">
        <v>125</v>
      </c>
      <c r="I2184" s="357" t="s">
        <v>114</v>
      </c>
      <c r="J2184" s="351" t="s">
        <v>98</v>
      </c>
      <c r="K2184" s="357" t="s">
        <v>98</v>
      </c>
      <c r="L2184" s="357" t="s">
        <v>98</v>
      </c>
      <c r="M2184" s="357" t="s">
        <v>98</v>
      </c>
      <c r="N2184" s="351" t="s">
        <v>5613</v>
      </c>
      <c r="O2184" s="351" t="s">
        <v>276</v>
      </c>
      <c r="P2184" s="351" t="s">
        <v>236</v>
      </c>
      <c r="Q2184" s="383" t="s">
        <v>5034</v>
      </c>
      <c r="R2184" s="351" t="s">
        <v>98</v>
      </c>
      <c r="S2184" s="380" t="s">
        <v>5627</v>
      </c>
      <c r="T2184" s="380" t="s">
        <v>98</v>
      </c>
      <c r="U2184" s="351" t="s">
        <v>276</v>
      </c>
      <c r="V2184" s="357" t="s">
        <v>261</v>
      </c>
      <c r="W2184" s="357" t="s">
        <v>5165</v>
      </c>
      <c r="X2184" s="351" t="s">
        <v>209</v>
      </c>
      <c r="Y2184" s="354">
        <v>7497</v>
      </c>
      <c r="Z2184" s="355" t="s">
        <v>98</v>
      </c>
      <c r="AA2184" s="351" t="s">
        <v>276</v>
      </c>
      <c r="AB2184" s="351" t="s">
        <v>276</v>
      </c>
      <c r="AC2184" s="357" t="s">
        <v>276</v>
      </c>
      <c r="AD2184" s="357" t="s">
        <v>5574</v>
      </c>
      <c r="AE2184" s="357" t="s">
        <v>98</v>
      </c>
      <c r="AF2184" s="357" t="s">
        <v>98</v>
      </c>
      <c r="AG2184" s="351" t="s">
        <v>5615</v>
      </c>
      <c r="AH2184" s="351" t="s">
        <v>5616</v>
      </c>
      <c r="AI2184" s="355">
        <v>202</v>
      </c>
      <c r="AJ2184" s="355" t="s">
        <v>98</v>
      </c>
      <c r="AK2184" s="355">
        <v>394</v>
      </c>
      <c r="AL2184" s="355" t="s">
        <v>98</v>
      </c>
      <c r="AM2184" s="355" t="s">
        <v>292</v>
      </c>
      <c r="AN2184" s="357" t="s">
        <v>276</v>
      </c>
      <c r="AO2184" s="386">
        <f t="shared" si="609"/>
        <v>51.269035532994927</v>
      </c>
      <c r="AP2184" s="357" t="s">
        <v>276</v>
      </c>
      <c r="AQ2184" s="357" t="s">
        <v>276</v>
      </c>
      <c r="AR2184" s="357" t="s">
        <v>276</v>
      </c>
      <c r="AS2184" s="357" t="s">
        <v>276</v>
      </c>
      <c r="AT2184" s="357" t="s">
        <v>276</v>
      </c>
      <c r="AU2184" s="357" t="s">
        <v>276</v>
      </c>
      <c r="AV2184" s="357" t="s">
        <v>276</v>
      </c>
      <c r="AW2184" s="357" t="s">
        <v>276</v>
      </c>
      <c r="AX2184" s="357" t="s">
        <v>276</v>
      </c>
      <c r="AY2184" s="357" t="s">
        <v>276</v>
      </c>
      <c r="AZ2184" s="357" t="s">
        <v>276</v>
      </c>
      <c r="BA2184" s="357" t="s">
        <v>276</v>
      </c>
      <c r="BB2184" s="357" t="s">
        <v>276</v>
      </c>
      <c r="BC2184" s="357" t="s">
        <v>276</v>
      </c>
      <c r="BD2184" s="357" t="s">
        <v>276</v>
      </c>
      <c r="BE2184" s="357" t="s">
        <v>276</v>
      </c>
      <c r="BF2184" s="351" t="s">
        <v>5617</v>
      </c>
      <c r="BG2184" s="9"/>
      <c r="BH2184" s="9" t="s">
        <v>100</v>
      </c>
      <c r="BI2184" s="9" t="s">
        <v>100</v>
      </c>
      <c r="BJ2184" s="32"/>
      <c r="BK2184" s="33"/>
      <c r="BL2184" s="33"/>
      <c r="BM2184" s="33"/>
      <c r="BN2184" s="32"/>
      <c r="BO2184" s="32"/>
      <c r="BP2184" s="33"/>
    </row>
    <row r="2185" spans="1:68" s="6" customFormat="1" ht="52" hidden="1" x14ac:dyDescent="0.35">
      <c r="A2185" s="357">
        <v>10548</v>
      </c>
      <c r="B2185" s="357" t="s">
        <v>5029</v>
      </c>
      <c r="C2185" s="357" t="s">
        <v>88</v>
      </c>
      <c r="D2185" s="351" t="s">
        <v>5628</v>
      </c>
      <c r="E2185" s="357" t="s">
        <v>43</v>
      </c>
      <c r="F2185" s="351" t="s">
        <v>4987</v>
      </c>
      <c r="G2185" s="357" t="s">
        <v>225</v>
      </c>
      <c r="H2185" s="357" t="s">
        <v>125</v>
      </c>
      <c r="I2185" s="357" t="s">
        <v>114</v>
      </c>
      <c r="J2185" s="351" t="s">
        <v>98</v>
      </c>
      <c r="K2185" s="357" t="s">
        <v>98</v>
      </c>
      <c r="L2185" s="357" t="s">
        <v>98</v>
      </c>
      <c r="M2185" s="357" t="s">
        <v>98</v>
      </c>
      <c r="N2185" s="351" t="s">
        <v>5613</v>
      </c>
      <c r="O2185" s="351" t="s">
        <v>276</v>
      </c>
      <c r="P2185" s="351" t="s">
        <v>236</v>
      </c>
      <c r="Q2185" s="383" t="s">
        <v>5034</v>
      </c>
      <c r="R2185" s="351" t="s">
        <v>98</v>
      </c>
      <c r="S2185" s="380" t="s">
        <v>5629</v>
      </c>
      <c r="T2185" s="380" t="s">
        <v>98</v>
      </c>
      <c r="U2185" s="351" t="s">
        <v>276</v>
      </c>
      <c r="V2185" s="357" t="s">
        <v>261</v>
      </c>
      <c r="W2185" s="357" t="s">
        <v>5168</v>
      </c>
      <c r="X2185" s="351" t="s">
        <v>209</v>
      </c>
      <c r="Y2185" s="354">
        <v>1840</v>
      </c>
      <c r="Z2185" s="355" t="s">
        <v>98</v>
      </c>
      <c r="AA2185" s="351" t="s">
        <v>276</v>
      </c>
      <c r="AB2185" s="351" t="s">
        <v>276</v>
      </c>
      <c r="AC2185" s="357" t="s">
        <v>276</v>
      </c>
      <c r="AD2185" s="357" t="s">
        <v>5574</v>
      </c>
      <c r="AE2185" s="357" t="s">
        <v>98</v>
      </c>
      <c r="AF2185" s="357" t="s">
        <v>98</v>
      </c>
      <c r="AG2185" s="351" t="s">
        <v>5615</v>
      </c>
      <c r="AH2185" s="351" t="s">
        <v>5616</v>
      </c>
      <c r="AI2185" s="355">
        <v>78</v>
      </c>
      <c r="AJ2185" s="355" t="s">
        <v>98</v>
      </c>
      <c r="AK2185" s="355">
        <v>88</v>
      </c>
      <c r="AL2185" s="355" t="s">
        <v>98</v>
      </c>
      <c r="AM2185" s="355" t="s">
        <v>292</v>
      </c>
      <c r="AN2185" s="357" t="s">
        <v>276</v>
      </c>
      <c r="AO2185" s="386">
        <f t="shared" si="609"/>
        <v>88.63636363636364</v>
      </c>
      <c r="AP2185" s="357" t="s">
        <v>276</v>
      </c>
      <c r="AQ2185" s="357" t="s">
        <v>276</v>
      </c>
      <c r="AR2185" s="357" t="s">
        <v>276</v>
      </c>
      <c r="AS2185" s="357" t="s">
        <v>276</v>
      </c>
      <c r="AT2185" s="357" t="s">
        <v>276</v>
      </c>
      <c r="AU2185" s="357" t="s">
        <v>276</v>
      </c>
      <c r="AV2185" s="357" t="s">
        <v>276</v>
      </c>
      <c r="AW2185" s="357" t="s">
        <v>276</v>
      </c>
      <c r="AX2185" s="357" t="s">
        <v>276</v>
      </c>
      <c r="AY2185" s="357" t="s">
        <v>276</v>
      </c>
      <c r="AZ2185" s="357" t="s">
        <v>276</v>
      </c>
      <c r="BA2185" s="357" t="s">
        <v>276</v>
      </c>
      <c r="BB2185" s="357" t="s">
        <v>276</v>
      </c>
      <c r="BC2185" s="357" t="s">
        <v>276</v>
      </c>
      <c r="BD2185" s="357" t="s">
        <v>276</v>
      </c>
      <c r="BE2185" s="357" t="s">
        <v>276</v>
      </c>
      <c r="BF2185" s="351" t="s">
        <v>5617</v>
      </c>
      <c r="BG2185" s="9"/>
      <c r="BH2185" s="9" t="s">
        <v>100</v>
      </c>
      <c r="BI2185" s="9" t="s">
        <v>100</v>
      </c>
      <c r="BJ2185" s="32"/>
      <c r="BK2185" s="33"/>
      <c r="BL2185" s="33"/>
      <c r="BM2185" s="33"/>
      <c r="BN2185" s="32"/>
      <c r="BO2185" s="32"/>
      <c r="BP2185" s="33"/>
    </row>
    <row r="2186" spans="1:68" s="6" customFormat="1" ht="52" hidden="1" x14ac:dyDescent="0.35">
      <c r="A2186" s="357">
        <v>10548</v>
      </c>
      <c r="B2186" s="357" t="s">
        <v>5029</v>
      </c>
      <c r="C2186" s="357" t="s">
        <v>88</v>
      </c>
      <c r="D2186" s="351" t="s">
        <v>5630</v>
      </c>
      <c r="E2186" s="357" t="s">
        <v>43</v>
      </c>
      <c r="F2186" s="351" t="s">
        <v>4987</v>
      </c>
      <c r="G2186" s="357" t="s">
        <v>225</v>
      </c>
      <c r="H2186" s="357" t="s">
        <v>125</v>
      </c>
      <c r="I2186" s="357" t="s">
        <v>114</v>
      </c>
      <c r="J2186" s="351" t="s">
        <v>98</v>
      </c>
      <c r="K2186" s="357" t="s">
        <v>98</v>
      </c>
      <c r="L2186" s="357" t="s">
        <v>98</v>
      </c>
      <c r="M2186" s="357" t="s">
        <v>98</v>
      </c>
      <c r="N2186" s="351" t="s">
        <v>5613</v>
      </c>
      <c r="O2186" s="351" t="s">
        <v>276</v>
      </c>
      <c r="P2186" s="351" t="s">
        <v>236</v>
      </c>
      <c r="Q2186" s="383" t="s">
        <v>5034</v>
      </c>
      <c r="R2186" s="351" t="s">
        <v>98</v>
      </c>
      <c r="S2186" s="380" t="s">
        <v>5631</v>
      </c>
      <c r="T2186" s="380" t="s">
        <v>98</v>
      </c>
      <c r="U2186" s="351" t="s">
        <v>276</v>
      </c>
      <c r="V2186" s="357" t="s">
        <v>261</v>
      </c>
      <c r="W2186" s="357" t="s">
        <v>5171</v>
      </c>
      <c r="X2186" s="351" t="s">
        <v>209</v>
      </c>
      <c r="Y2186" s="354">
        <v>5158</v>
      </c>
      <c r="Z2186" s="355" t="s">
        <v>98</v>
      </c>
      <c r="AA2186" s="351" t="s">
        <v>276</v>
      </c>
      <c r="AB2186" s="351" t="s">
        <v>276</v>
      </c>
      <c r="AC2186" s="357" t="s">
        <v>276</v>
      </c>
      <c r="AD2186" s="357" t="s">
        <v>5574</v>
      </c>
      <c r="AE2186" s="357" t="s">
        <v>98</v>
      </c>
      <c r="AF2186" s="357" t="s">
        <v>98</v>
      </c>
      <c r="AG2186" s="351" t="s">
        <v>5615</v>
      </c>
      <c r="AH2186" s="351" t="s">
        <v>5616</v>
      </c>
      <c r="AI2186" s="355">
        <v>394</v>
      </c>
      <c r="AJ2186" s="355" t="s">
        <v>98</v>
      </c>
      <c r="AK2186" s="355">
        <v>497</v>
      </c>
      <c r="AL2186" s="355" t="s">
        <v>98</v>
      </c>
      <c r="AM2186" s="355" t="s">
        <v>292</v>
      </c>
      <c r="AN2186" s="357" t="s">
        <v>276</v>
      </c>
      <c r="AO2186" s="386">
        <f t="shared" si="609"/>
        <v>79.275653923541242</v>
      </c>
      <c r="AP2186" s="357" t="s">
        <v>276</v>
      </c>
      <c r="AQ2186" s="357" t="s">
        <v>276</v>
      </c>
      <c r="AR2186" s="357" t="s">
        <v>276</v>
      </c>
      <c r="AS2186" s="357" t="s">
        <v>276</v>
      </c>
      <c r="AT2186" s="357" t="s">
        <v>276</v>
      </c>
      <c r="AU2186" s="357" t="s">
        <v>276</v>
      </c>
      <c r="AV2186" s="357" t="s">
        <v>276</v>
      </c>
      <c r="AW2186" s="357" t="s">
        <v>276</v>
      </c>
      <c r="AX2186" s="357" t="s">
        <v>276</v>
      </c>
      <c r="AY2186" s="357" t="s">
        <v>276</v>
      </c>
      <c r="AZ2186" s="357" t="s">
        <v>276</v>
      </c>
      <c r="BA2186" s="357" t="s">
        <v>276</v>
      </c>
      <c r="BB2186" s="357" t="s">
        <v>276</v>
      </c>
      <c r="BC2186" s="357" t="s">
        <v>276</v>
      </c>
      <c r="BD2186" s="357" t="s">
        <v>276</v>
      </c>
      <c r="BE2186" s="357" t="s">
        <v>276</v>
      </c>
      <c r="BF2186" s="351" t="s">
        <v>5617</v>
      </c>
      <c r="BG2186" s="9"/>
      <c r="BH2186" s="9" t="s">
        <v>100</v>
      </c>
      <c r="BI2186" s="9" t="s">
        <v>100</v>
      </c>
      <c r="BJ2186" s="32"/>
      <c r="BK2186" s="33"/>
      <c r="BL2186" s="33"/>
      <c r="BM2186" s="33"/>
      <c r="BN2186" s="32"/>
      <c r="BO2186" s="32"/>
      <c r="BP2186" s="33"/>
    </row>
    <row r="2187" spans="1:68" s="6" customFormat="1" ht="52" hidden="1" x14ac:dyDescent="0.35">
      <c r="A2187" s="357">
        <v>10548</v>
      </c>
      <c r="B2187" s="357" t="s">
        <v>5029</v>
      </c>
      <c r="C2187" s="357" t="s">
        <v>88</v>
      </c>
      <c r="D2187" s="351" t="s">
        <v>5632</v>
      </c>
      <c r="E2187" s="357" t="s">
        <v>43</v>
      </c>
      <c r="F2187" s="351" t="s">
        <v>4987</v>
      </c>
      <c r="G2187" s="357" t="s">
        <v>225</v>
      </c>
      <c r="H2187" s="357" t="s">
        <v>125</v>
      </c>
      <c r="I2187" s="357" t="s">
        <v>114</v>
      </c>
      <c r="J2187" s="351" t="s">
        <v>98</v>
      </c>
      <c r="K2187" s="357" t="s">
        <v>98</v>
      </c>
      <c r="L2187" s="357" t="s">
        <v>98</v>
      </c>
      <c r="M2187" s="357" t="s">
        <v>98</v>
      </c>
      <c r="N2187" s="351" t="s">
        <v>5613</v>
      </c>
      <c r="O2187" s="351" t="s">
        <v>276</v>
      </c>
      <c r="P2187" s="351" t="s">
        <v>236</v>
      </c>
      <c r="Q2187" s="383" t="s">
        <v>5034</v>
      </c>
      <c r="R2187" s="351" t="s">
        <v>98</v>
      </c>
      <c r="S2187" s="380" t="s">
        <v>5633</v>
      </c>
      <c r="T2187" s="380" t="s">
        <v>98</v>
      </c>
      <c r="U2187" s="351" t="s">
        <v>276</v>
      </c>
      <c r="V2187" s="357" t="s">
        <v>261</v>
      </c>
      <c r="W2187" s="357" t="s">
        <v>5634</v>
      </c>
      <c r="X2187" s="351" t="s">
        <v>209</v>
      </c>
      <c r="Y2187" s="354">
        <v>31022</v>
      </c>
      <c r="Z2187" s="355" t="s">
        <v>98</v>
      </c>
      <c r="AA2187" s="351" t="s">
        <v>276</v>
      </c>
      <c r="AB2187" s="351" t="s">
        <v>276</v>
      </c>
      <c r="AC2187" s="357" t="s">
        <v>276</v>
      </c>
      <c r="AD2187" s="357" t="s">
        <v>5574</v>
      </c>
      <c r="AE2187" s="357" t="s">
        <v>98</v>
      </c>
      <c r="AF2187" s="357" t="s">
        <v>98</v>
      </c>
      <c r="AG2187" s="351" t="s">
        <v>5615</v>
      </c>
      <c r="AH2187" s="351" t="s">
        <v>5616</v>
      </c>
      <c r="AI2187" s="355">
        <v>174</v>
      </c>
      <c r="AJ2187" s="355" t="s">
        <v>98</v>
      </c>
      <c r="AK2187" s="355">
        <v>977</v>
      </c>
      <c r="AL2187" s="355" t="s">
        <v>98</v>
      </c>
      <c r="AM2187" s="355" t="s">
        <v>292</v>
      </c>
      <c r="AN2187" s="357" t="s">
        <v>276</v>
      </c>
      <c r="AO2187" s="386">
        <f t="shared" si="609"/>
        <v>17.809621289662232</v>
      </c>
      <c r="AP2187" s="357" t="s">
        <v>276</v>
      </c>
      <c r="AQ2187" s="357" t="s">
        <v>276</v>
      </c>
      <c r="AR2187" s="357" t="s">
        <v>276</v>
      </c>
      <c r="AS2187" s="357" t="s">
        <v>276</v>
      </c>
      <c r="AT2187" s="357" t="s">
        <v>276</v>
      </c>
      <c r="AU2187" s="357" t="s">
        <v>276</v>
      </c>
      <c r="AV2187" s="357" t="s">
        <v>276</v>
      </c>
      <c r="AW2187" s="357" t="s">
        <v>276</v>
      </c>
      <c r="AX2187" s="357" t="s">
        <v>276</v>
      </c>
      <c r="AY2187" s="357" t="s">
        <v>276</v>
      </c>
      <c r="AZ2187" s="357" t="s">
        <v>276</v>
      </c>
      <c r="BA2187" s="357" t="s">
        <v>276</v>
      </c>
      <c r="BB2187" s="357" t="s">
        <v>276</v>
      </c>
      <c r="BC2187" s="357" t="s">
        <v>276</v>
      </c>
      <c r="BD2187" s="357" t="s">
        <v>276</v>
      </c>
      <c r="BE2187" s="357" t="s">
        <v>276</v>
      </c>
      <c r="BF2187" s="351" t="s">
        <v>5617</v>
      </c>
      <c r="BG2187" s="9"/>
      <c r="BH2187" s="9" t="s">
        <v>100</v>
      </c>
      <c r="BI2187" s="9" t="s">
        <v>100</v>
      </c>
      <c r="BJ2187" s="32"/>
      <c r="BK2187" s="33"/>
      <c r="BL2187" s="33"/>
      <c r="BM2187" s="33"/>
      <c r="BN2187" s="32"/>
      <c r="BO2187" s="32"/>
      <c r="BP2187" s="33"/>
    </row>
    <row r="2188" spans="1:68" s="6" customFormat="1" ht="52" hidden="1" x14ac:dyDescent="0.35">
      <c r="A2188" s="357">
        <v>10548</v>
      </c>
      <c r="B2188" s="357" t="s">
        <v>5029</v>
      </c>
      <c r="C2188" s="357" t="s">
        <v>88</v>
      </c>
      <c r="D2188" s="351" t="s">
        <v>5635</v>
      </c>
      <c r="E2188" s="357" t="s">
        <v>43</v>
      </c>
      <c r="F2188" s="351" t="s">
        <v>4987</v>
      </c>
      <c r="G2188" s="357" t="s">
        <v>225</v>
      </c>
      <c r="H2188" s="357" t="s">
        <v>125</v>
      </c>
      <c r="I2188" s="357" t="s">
        <v>114</v>
      </c>
      <c r="J2188" s="351" t="s">
        <v>98</v>
      </c>
      <c r="K2188" s="357" t="s">
        <v>98</v>
      </c>
      <c r="L2188" s="357" t="s">
        <v>98</v>
      </c>
      <c r="M2188" s="357" t="s">
        <v>98</v>
      </c>
      <c r="N2188" s="351" t="s">
        <v>5613</v>
      </c>
      <c r="O2188" s="351" t="s">
        <v>276</v>
      </c>
      <c r="P2188" s="351" t="s">
        <v>236</v>
      </c>
      <c r="Q2188" s="383" t="s">
        <v>5034</v>
      </c>
      <c r="R2188" s="351" t="s">
        <v>98</v>
      </c>
      <c r="S2188" s="380" t="s">
        <v>5636</v>
      </c>
      <c r="T2188" s="380" t="s">
        <v>98</v>
      </c>
      <c r="U2188" s="351" t="s">
        <v>276</v>
      </c>
      <c r="V2188" s="357" t="s">
        <v>261</v>
      </c>
      <c r="W2188" s="357" t="s">
        <v>5637</v>
      </c>
      <c r="X2188" s="351" t="s">
        <v>209</v>
      </c>
      <c r="Y2188" s="354">
        <v>11430</v>
      </c>
      <c r="Z2188" s="355" t="s">
        <v>98</v>
      </c>
      <c r="AA2188" s="351" t="s">
        <v>276</v>
      </c>
      <c r="AB2188" s="351" t="s">
        <v>276</v>
      </c>
      <c r="AC2188" s="357" t="s">
        <v>276</v>
      </c>
      <c r="AD2188" s="357" t="s">
        <v>5574</v>
      </c>
      <c r="AE2188" s="357" t="s">
        <v>98</v>
      </c>
      <c r="AF2188" s="357" t="s">
        <v>98</v>
      </c>
      <c r="AG2188" s="351" t="s">
        <v>5615</v>
      </c>
      <c r="AH2188" s="351" t="s">
        <v>5616</v>
      </c>
      <c r="AI2188" s="355">
        <v>113</v>
      </c>
      <c r="AJ2188" s="355" t="s">
        <v>98</v>
      </c>
      <c r="AK2188" s="355">
        <v>511</v>
      </c>
      <c r="AL2188" s="355" t="s">
        <v>98</v>
      </c>
      <c r="AM2188" s="355" t="s">
        <v>292</v>
      </c>
      <c r="AN2188" s="357" t="s">
        <v>276</v>
      </c>
      <c r="AO2188" s="386">
        <f t="shared" si="609"/>
        <v>22.113502935420744</v>
      </c>
      <c r="AP2188" s="357" t="s">
        <v>276</v>
      </c>
      <c r="AQ2188" s="357" t="s">
        <v>276</v>
      </c>
      <c r="AR2188" s="357" t="s">
        <v>276</v>
      </c>
      <c r="AS2188" s="357" t="s">
        <v>276</v>
      </c>
      <c r="AT2188" s="357" t="s">
        <v>276</v>
      </c>
      <c r="AU2188" s="357" t="s">
        <v>276</v>
      </c>
      <c r="AV2188" s="357" t="s">
        <v>276</v>
      </c>
      <c r="AW2188" s="357" t="s">
        <v>276</v>
      </c>
      <c r="AX2188" s="357" t="s">
        <v>276</v>
      </c>
      <c r="AY2188" s="357" t="s">
        <v>276</v>
      </c>
      <c r="AZ2188" s="357" t="s">
        <v>276</v>
      </c>
      <c r="BA2188" s="357" t="s">
        <v>276</v>
      </c>
      <c r="BB2188" s="357" t="s">
        <v>276</v>
      </c>
      <c r="BC2188" s="357" t="s">
        <v>276</v>
      </c>
      <c r="BD2188" s="357" t="s">
        <v>276</v>
      </c>
      <c r="BE2188" s="357" t="s">
        <v>276</v>
      </c>
      <c r="BF2188" s="351" t="s">
        <v>5617</v>
      </c>
      <c r="BG2188" s="9"/>
      <c r="BH2188" s="9" t="s">
        <v>100</v>
      </c>
      <c r="BI2188" s="9" t="s">
        <v>100</v>
      </c>
      <c r="BJ2188" s="32"/>
      <c r="BK2188" s="33"/>
      <c r="BL2188" s="33"/>
      <c r="BM2188" s="33"/>
      <c r="BN2188" s="32"/>
      <c r="BO2188" s="32"/>
      <c r="BP2188" s="33"/>
    </row>
    <row r="2189" spans="1:68" s="6" customFormat="1" ht="52" hidden="1" x14ac:dyDescent="0.35">
      <c r="A2189" s="357">
        <v>10548</v>
      </c>
      <c r="B2189" s="357" t="s">
        <v>5029</v>
      </c>
      <c r="C2189" s="357" t="s">
        <v>88</v>
      </c>
      <c r="D2189" s="351" t="s">
        <v>5638</v>
      </c>
      <c r="E2189" s="357" t="s">
        <v>43</v>
      </c>
      <c r="F2189" s="351" t="s">
        <v>4987</v>
      </c>
      <c r="G2189" s="357" t="s">
        <v>225</v>
      </c>
      <c r="H2189" s="357" t="s">
        <v>125</v>
      </c>
      <c r="I2189" s="357" t="s">
        <v>114</v>
      </c>
      <c r="J2189" s="351" t="s">
        <v>98</v>
      </c>
      <c r="K2189" s="357" t="s">
        <v>98</v>
      </c>
      <c r="L2189" s="357" t="s">
        <v>98</v>
      </c>
      <c r="M2189" s="357" t="s">
        <v>98</v>
      </c>
      <c r="N2189" s="351" t="s">
        <v>5613</v>
      </c>
      <c r="O2189" s="351" t="s">
        <v>276</v>
      </c>
      <c r="P2189" s="351" t="s">
        <v>236</v>
      </c>
      <c r="Q2189" s="383" t="s">
        <v>5034</v>
      </c>
      <c r="R2189" s="351" t="s">
        <v>98</v>
      </c>
      <c r="S2189" s="380" t="s">
        <v>5639</v>
      </c>
      <c r="T2189" s="380" t="s">
        <v>98</v>
      </c>
      <c r="U2189" s="351" t="s">
        <v>276</v>
      </c>
      <c r="V2189" s="357" t="s">
        <v>15</v>
      </c>
      <c r="W2189" s="357" t="s">
        <v>5640</v>
      </c>
      <c r="X2189" s="351" t="s">
        <v>209</v>
      </c>
      <c r="Y2189" s="354">
        <v>112569</v>
      </c>
      <c r="Z2189" s="355" t="s">
        <v>98</v>
      </c>
      <c r="AA2189" s="351" t="s">
        <v>276</v>
      </c>
      <c r="AB2189" s="351" t="s">
        <v>276</v>
      </c>
      <c r="AC2189" s="357" t="s">
        <v>276</v>
      </c>
      <c r="AD2189" s="357" t="s">
        <v>5574</v>
      </c>
      <c r="AE2189" s="357" t="s">
        <v>98</v>
      </c>
      <c r="AF2189" s="357" t="s">
        <v>98</v>
      </c>
      <c r="AG2189" s="351" t="s">
        <v>5615</v>
      </c>
      <c r="AH2189" s="351" t="s">
        <v>5616</v>
      </c>
      <c r="AI2189" s="355">
        <v>5032</v>
      </c>
      <c r="AJ2189" s="355" t="s">
        <v>98</v>
      </c>
      <c r="AK2189" s="355">
        <v>8345</v>
      </c>
      <c r="AL2189" s="355" t="s">
        <v>98</v>
      </c>
      <c r="AM2189" s="355" t="s">
        <v>292</v>
      </c>
      <c r="AN2189" s="357" t="s">
        <v>276</v>
      </c>
      <c r="AO2189" s="386">
        <f t="shared" si="609"/>
        <v>60.29958058717795</v>
      </c>
      <c r="AP2189" s="357" t="s">
        <v>276</v>
      </c>
      <c r="AQ2189" s="357" t="s">
        <v>276</v>
      </c>
      <c r="AR2189" s="357" t="s">
        <v>276</v>
      </c>
      <c r="AS2189" s="357" t="s">
        <v>276</v>
      </c>
      <c r="AT2189" s="357" t="s">
        <v>276</v>
      </c>
      <c r="AU2189" s="357" t="s">
        <v>276</v>
      </c>
      <c r="AV2189" s="357" t="s">
        <v>276</v>
      </c>
      <c r="AW2189" s="357" t="s">
        <v>276</v>
      </c>
      <c r="AX2189" s="357" t="s">
        <v>276</v>
      </c>
      <c r="AY2189" s="357" t="s">
        <v>276</v>
      </c>
      <c r="AZ2189" s="357" t="s">
        <v>276</v>
      </c>
      <c r="BA2189" s="357" t="s">
        <v>276</v>
      </c>
      <c r="BB2189" s="357" t="s">
        <v>276</v>
      </c>
      <c r="BC2189" s="357" t="s">
        <v>276</v>
      </c>
      <c r="BD2189" s="357" t="s">
        <v>276</v>
      </c>
      <c r="BE2189" s="357" t="s">
        <v>276</v>
      </c>
      <c r="BF2189" s="351" t="s">
        <v>1358</v>
      </c>
      <c r="BG2189" s="9"/>
      <c r="BH2189" s="9" t="s">
        <v>100</v>
      </c>
      <c r="BI2189" s="9" t="s">
        <v>100</v>
      </c>
      <c r="BJ2189" s="32"/>
      <c r="BK2189" s="33"/>
      <c r="BL2189" s="33"/>
      <c r="BM2189" s="33"/>
      <c r="BN2189" s="32"/>
      <c r="BO2189" s="32"/>
      <c r="BP2189" s="33"/>
    </row>
    <row r="2190" spans="1:68" s="388" customFormat="1" ht="52" hidden="1" x14ac:dyDescent="0.35">
      <c r="A2190" s="357">
        <v>10548</v>
      </c>
      <c r="B2190" s="357" t="s">
        <v>5029</v>
      </c>
      <c r="C2190" s="357" t="s">
        <v>88</v>
      </c>
      <c r="D2190" s="351" t="s">
        <v>5641</v>
      </c>
      <c r="E2190" s="357" t="s">
        <v>43</v>
      </c>
      <c r="F2190" s="351" t="s">
        <v>4987</v>
      </c>
      <c r="G2190" s="357" t="s">
        <v>225</v>
      </c>
      <c r="H2190" s="357" t="s">
        <v>125</v>
      </c>
      <c r="I2190" s="357" t="s">
        <v>114</v>
      </c>
      <c r="J2190" s="351" t="s">
        <v>98</v>
      </c>
      <c r="K2190" s="357" t="s">
        <v>98</v>
      </c>
      <c r="L2190" s="357" t="s">
        <v>98</v>
      </c>
      <c r="M2190" s="357" t="s">
        <v>98</v>
      </c>
      <c r="N2190" s="351" t="s">
        <v>5613</v>
      </c>
      <c r="O2190" s="351" t="s">
        <v>276</v>
      </c>
      <c r="P2190" s="351" t="s">
        <v>236</v>
      </c>
      <c r="Q2190" s="383" t="s">
        <v>5034</v>
      </c>
      <c r="R2190" s="351" t="s">
        <v>98</v>
      </c>
      <c r="S2190" s="380" t="s">
        <v>5619</v>
      </c>
      <c r="T2190" s="380" t="s">
        <v>98</v>
      </c>
      <c r="U2190" s="351" t="s">
        <v>276</v>
      </c>
      <c r="V2190" s="357" t="s">
        <v>259</v>
      </c>
      <c r="W2190" s="351" t="s">
        <v>5033</v>
      </c>
      <c r="X2190" s="351" t="s">
        <v>209</v>
      </c>
      <c r="Y2190" s="354">
        <v>72891</v>
      </c>
      <c r="Z2190" s="355" t="s">
        <v>98</v>
      </c>
      <c r="AA2190" s="351" t="s">
        <v>276</v>
      </c>
      <c r="AB2190" s="351" t="s">
        <v>276</v>
      </c>
      <c r="AC2190" s="357" t="s">
        <v>276</v>
      </c>
      <c r="AD2190" s="357" t="s">
        <v>5574</v>
      </c>
      <c r="AE2190" s="357" t="s">
        <v>98</v>
      </c>
      <c r="AF2190" s="357" t="s">
        <v>98</v>
      </c>
      <c r="AG2190" s="351" t="s">
        <v>5615</v>
      </c>
      <c r="AH2190" s="351" t="s">
        <v>5616</v>
      </c>
      <c r="AI2190" s="355">
        <v>4757</v>
      </c>
      <c r="AJ2190" s="355" t="s">
        <v>98</v>
      </c>
      <c r="AK2190" s="355">
        <v>6963</v>
      </c>
      <c r="AL2190" s="355" t="s">
        <v>98</v>
      </c>
      <c r="AM2190" s="355" t="s">
        <v>292</v>
      </c>
      <c r="AN2190" s="357" t="s">
        <v>276</v>
      </c>
      <c r="AO2190" s="386">
        <f t="shared" si="609"/>
        <v>68.318253626310494</v>
      </c>
      <c r="AP2190" s="357" t="s">
        <v>276</v>
      </c>
      <c r="AQ2190" s="357" t="s">
        <v>276</v>
      </c>
      <c r="AR2190" s="357" t="s">
        <v>276</v>
      </c>
      <c r="AS2190" s="357" t="s">
        <v>276</v>
      </c>
      <c r="AT2190" s="357" t="s">
        <v>276</v>
      </c>
      <c r="AU2190" s="357" t="s">
        <v>276</v>
      </c>
      <c r="AV2190" s="357" t="s">
        <v>276</v>
      </c>
      <c r="AW2190" s="357" t="s">
        <v>276</v>
      </c>
      <c r="AX2190" s="357" t="s">
        <v>276</v>
      </c>
      <c r="AY2190" s="357" t="s">
        <v>276</v>
      </c>
      <c r="AZ2190" s="357" t="s">
        <v>276</v>
      </c>
      <c r="BA2190" s="357" t="s">
        <v>276</v>
      </c>
      <c r="BB2190" s="357" t="s">
        <v>276</v>
      </c>
      <c r="BC2190" s="357" t="s">
        <v>276</v>
      </c>
      <c r="BD2190" s="357" t="s">
        <v>276</v>
      </c>
      <c r="BE2190" s="357" t="s">
        <v>276</v>
      </c>
      <c r="BF2190" s="351" t="s">
        <v>1358</v>
      </c>
      <c r="BG2190" s="364"/>
      <c r="BH2190" s="9" t="s">
        <v>100</v>
      </c>
      <c r="BI2190" s="9" t="s">
        <v>100</v>
      </c>
      <c r="BJ2190" s="387"/>
      <c r="BN2190" s="387"/>
      <c r="BO2190" s="387"/>
    </row>
    <row r="2191" spans="1:68" s="6" customFormat="1" ht="52" hidden="1" x14ac:dyDescent="0.35">
      <c r="A2191" s="357">
        <v>10548</v>
      </c>
      <c r="B2191" s="357" t="s">
        <v>5029</v>
      </c>
      <c r="C2191" s="357" t="s">
        <v>88</v>
      </c>
      <c r="D2191" s="351" t="s">
        <v>5642</v>
      </c>
      <c r="E2191" s="357" t="s">
        <v>43</v>
      </c>
      <c r="F2191" s="351" t="s">
        <v>4987</v>
      </c>
      <c r="G2191" s="357" t="s">
        <v>225</v>
      </c>
      <c r="H2191" s="357" t="s">
        <v>125</v>
      </c>
      <c r="I2191" s="357" t="s">
        <v>114</v>
      </c>
      <c r="J2191" s="351" t="s">
        <v>98</v>
      </c>
      <c r="K2191" s="357" t="s">
        <v>98</v>
      </c>
      <c r="L2191" s="357" t="s">
        <v>98</v>
      </c>
      <c r="M2191" s="357" t="s">
        <v>98</v>
      </c>
      <c r="N2191" s="351" t="s">
        <v>5613</v>
      </c>
      <c r="O2191" s="351" t="s">
        <v>276</v>
      </c>
      <c r="P2191" s="351" t="s">
        <v>236</v>
      </c>
      <c r="Q2191" s="383" t="s">
        <v>5034</v>
      </c>
      <c r="R2191" s="351" t="s">
        <v>98</v>
      </c>
      <c r="S2191" s="380" t="s">
        <v>5643</v>
      </c>
      <c r="T2191" s="380" t="s">
        <v>98</v>
      </c>
      <c r="U2191" s="351" t="s">
        <v>276</v>
      </c>
      <c r="V2191" s="357" t="s">
        <v>259</v>
      </c>
      <c r="W2191" s="351" t="s">
        <v>5072</v>
      </c>
      <c r="X2191" s="351" t="s">
        <v>209</v>
      </c>
      <c r="Y2191" s="354">
        <v>17443</v>
      </c>
      <c r="Z2191" s="355" t="s">
        <v>98</v>
      </c>
      <c r="AA2191" s="351" t="s">
        <v>276</v>
      </c>
      <c r="AB2191" s="351" t="s">
        <v>276</v>
      </c>
      <c r="AC2191" s="357" t="s">
        <v>276</v>
      </c>
      <c r="AD2191" s="357" t="s">
        <v>5574</v>
      </c>
      <c r="AE2191" s="357" t="s">
        <v>98</v>
      </c>
      <c r="AF2191" s="357" t="s">
        <v>98</v>
      </c>
      <c r="AG2191" s="351" t="s">
        <v>5615</v>
      </c>
      <c r="AH2191" s="351" t="s">
        <v>5616</v>
      </c>
      <c r="AI2191" s="355">
        <v>1730</v>
      </c>
      <c r="AJ2191" s="355" t="s">
        <v>98</v>
      </c>
      <c r="AK2191" s="355">
        <v>2028</v>
      </c>
      <c r="AL2191" s="355" t="s">
        <v>98</v>
      </c>
      <c r="AM2191" s="355" t="s">
        <v>292</v>
      </c>
      <c r="AN2191" s="357" t="s">
        <v>276</v>
      </c>
      <c r="AO2191" s="386">
        <f t="shared" si="609"/>
        <v>85.30571992110454</v>
      </c>
      <c r="AP2191" s="357" t="s">
        <v>276</v>
      </c>
      <c r="AQ2191" s="357" t="s">
        <v>276</v>
      </c>
      <c r="AR2191" s="357" t="s">
        <v>276</v>
      </c>
      <c r="AS2191" s="357" t="s">
        <v>276</v>
      </c>
      <c r="AT2191" s="357" t="s">
        <v>276</v>
      </c>
      <c r="AU2191" s="357" t="s">
        <v>276</v>
      </c>
      <c r="AV2191" s="357" t="s">
        <v>276</v>
      </c>
      <c r="AW2191" s="357" t="s">
        <v>276</v>
      </c>
      <c r="AX2191" s="357" t="s">
        <v>276</v>
      </c>
      <c r="AY2191" s="357" t="s">
        <v>276</v>
      </c>
      <c r="AZ2191" s="357" t="s">
        <v>276</v>
      </c>
      <c r="BA2191" s="357" t="s">
        <v>276</v>
      </c>
      <c r="BB2191" s="357" t="s">
        <v>276</v>
      </c>
      <c r="BC2191" s="357" t="s">
        <v>276</v>
      </c>
      <c r="BD2191" s="357" t="s">
        <v>276</v>
      </c>
      <c r="BE2191" s="357" t="s">
        <v>276</v>
      </c>
      <c r="BF2191" s="351" t="s">
        <v>1358</v>
      </c>
      <c r="BG2191" s="9"/>
      <c r="BH2191" s="9" t="s">
        <v>100</v>
      </c>
      <c r="BI2191" s="9" t="s">
        <v>100</v>
      </c>
      <c r="BJ2191" s="32"/>
      <c r="BK2191" s="33"/>
      <c r="BL2191" s="33"/>
      <c r="BM2191" s="33"/>
      <c r="BN2191" s="32"/>
      <c r="BO2191" s="32"/>
      <c r="BP2191" s="33"/>
    </row>
    <row r="2192" spans="1:68" s="6" customFormat="1" ht="52" hidden="1" x14ac:dyDescent="0.35">
      <c r="A2192" s="357">
        <v>10548</v>
      </c>
      <c r="B2192" s="357" t="s">
        <v>5029</v>
      </c>
      <c r="C2192" s="357" t="s">
        <v>88</v>
      </c>
      <c r="D2192" s="351" t="s">
        <v>5644</v>
      </c>
      <c r="E2192" s="357" t="s">
        <v>43</v>
      </c>
      <c r="F2192" s="351" t="s">
        <v>4987</v>
      </c>
      <c r="G2192" s="357" t="s">
        <v>225</v>
      </c>
      <c r="H2192" s="357" t="s">
        <v>125</v>
      </c>
      <c r="I2192" s="357" t="s">
        <v>114</v>
      </c>
      <c r="J2192" s="351" t="s">
        <v>98</v>
      </c>
      <c r="K2192" s="357" t="s">
        <v>98</v>
      </c>
      <c r="L2192" s="357" t="s">
        <v>98</v>
      </c>
      <c r="M2192" s="357" t="s">
        <v>98</v>
      </c>
      <c r="N2192" s="351" t="s">
        <v>5613</v>
      </c>
      <c r="O2192" s="351" t="s">
        <v>276</v>
      </c>
      <c r="P2192" s="351" t="s">
        <v>236</v>
      </c>
      <c r="Q2192" s="383" t="s">
        <v>5034</v>
      </c>
      <c r="R2192" s="351" t="s">
        <v>98</v>
      </c>
      <c r="S2192" s="380" t="s">
        <v>5622</v>
      </c>
      <c r="T2192" s="380" t="s">
        <v>98</v>
      </c>
      <c r="U2192" s="351" t="s">
        <v>276</v>
      </c>
      <c r="V2192" s="357" t="s">
        <v>259</v>
      </c>
      <c r="W2192" s="351" t="s">
        <v>5130</v>
      </c>
      <c r="X2192" s="351" t="s">
        <v>209</v>
      </c>
      <c r="Y2192" s="354">
        <v>4307</v>
      </c>
      <c r="Z2192" s="355" t="s">
        <v>98</v>
      </c>
      <c r="AA2192" s="351" t="s">
        <v>276</v>
      </c>
      <c r="AB2192" s="351" t="s">
        <v>276</v>
      </c>
      <c r="AC2192" s="357" t="s">
        <v>276</v>
      </c>
      <c r="AD2192" s="357" t="s">
        <v>5574</v>
      </c>
      <c r="AE2192" s="357" t="s">
        <v>98</v>
      </c>
      <c r="AF2192" s="357" t="s">
        <v>98</v>
      </c>
      <c r="AG2192" s="351" t="s">
        <v>5615</v>
      </c>
      <c r="AH2192" s="351" t="s">
        <v>5616</v>
      </c>
      <c r="AI2192" s="355">
        <v>187</v>
      </c>
      <c r="AJ2192" s="355" t="s">
        <v>98</v>
      </c>
      <c r="AK2192" s="355">
        <v>420</v>
      </c>
      <c r="AL2192" s="355" t="s">
        <v>98</v>
      </c>
      <c r="AM2192" s="355" t="s">
        <v>292</v>
      </c>
      <c r="AN2192" s="357" t="s">
        <v>276</v>
      </c>
      <c r="AO2192" s="386">
        <f t="shared" si="609"/>
        <v>44.523809523809526</v>
      </c>
      <c r="AP2192" s="357" t="s">
        <v>276</v>
      </c>
      <c r="AQ2192" s="357" t="s">
        <v>276</v>
      </c>
      <c r="AR2192" s="357" t="s">
        <v>276</v>
      </c>
      <c r="AS2192" s="357" t="s">
        <v>276</v>
      </c>
      <c r="AT2192" s="357" t="s">
        <v>276</v>
      </c>
      <c r="AU2192" s="357" t="s">
        <v>276</v>
      </c>
      <c r="AV2192" s="357" t="s">
        <v>276</v>
      </c>
      <c r="AW2192" s="357" t="s">
        <v>276</v>
      </c>
      <c r="AX2192" s="357" t="s">
        <v>276</v>
      </c>
      <c r="AY2192" s="357" t="s">
        <v>276</v>
      </c>
      <c r="AZ2192" s="357" t="s">
        <v>276</v>
      </c>
      <c r="BA2192" s="357" t="s">
        <v>276</v>
      </c>
      <c r="BB2192" s="357" t="s">
        <v>276</v>
      </c>
      <c r="BC2192" s="357" t="s">
        <v>276</v>
      </c>
      <c r="BD2192" s="357" t="s">
        <v>276</v>
      </c>
      <c r="BE2192" s="357" t="s">
        <v>276</v>
      </c>
      <c r="BF2192" s="351" t="s">
        <v>1358</v>
      </c>
      <c r="BG2192" s="9"/>
      <c r="BH2192" s="9" t="s">
        <v>100</v>
      </c>
      <c r="BI2192" s="9" t="s">
        <v>100</v>
      </c>
      <c r="BJ2192" s="32"/>
      <c r="BK2192" s="33"/>
      <c r="BL2192" s="33"/>
      <c r="BM2192" s="33"/>
      <c r="BN2192" s="32"/>
      <c r="BO2192" s="32"/>
      <c r="BP2192" s="33"/>
    </row>
    <row r="2193" spans="1:68" s="6" customFormat="1" ht="52" hidden="1" x14ac:dyDescent="0.35">
      <c r="A2193" s="357">
        <v>10548</v>
      </c>
      <c r="B2193" s="357" t="s">
        <v>5029</v>
      </c>
      <c r="C2193" s="357" t="s">
        <v>88</v>
      </c>
      <c r="D2193" s="351" t="s">
        <v>5645</v>
      </c>
      <c r="E2193" s="357" t="s">
        <v>43</v>
      </c>
      <c r="F2193" s="351" t="s">
        <v>4987</v>
      </c>
      <c r="G2193" s="357" t="s">
        <v>225</v>
      </c>
      <c r="H2193" s="357" t="s">
        <v>125</v>
      </c>
      <c r="I2193" s="357" t="s">
        <v>114</v>
      </c>
      <c r="J2193" s="351" t="s">
        <v>98</v>
      </c>
      <c r="K2193" s="357" t="s">
        <v>98</v>
      </c>
      <c r="L2193" s="357" t="s">
        <v>98</v>
      </c>
      <c r="M2193" s="357" t="s">
        <v>98</v>
      </c>
      <c r="N2193" s="351" t="s">
        <v>5613</v>
      </c>
      <c r="O2193" s="351" t="s">
        <v>276</v>
      </c>
      <c r="P2193" s="351" t="s">
        <v>236</v>
      </c>
      <c r="Q2193" s="383" t="s">
        <v>5034</v>
      </c>
      <c r="R2193" s="351" t="s">
        <v>98</v>
      </c>
      <c r="S2193" s="380" t="s">
        <v>5624</v>
      </c>
      <c r="T2193" s="380" t="s">
        <v>98</v>
      </c>
      <c r="U2193" s="351" t="s">
        <v>276</v>
      </c>
      <c r="V2193" s="357" t="s">
        <v>259</v>
      </c>
      <c r="W2193" s="351" t="s">
        <v>5133</v>
      </c>
      <c r="X2193" s="351" t="s">
        <v>209</v>
      </c>
      <c r="Y2193" s="354">
        <v>5901</v>
      </c>
      <c r="Z2193" s="355" t="s">
        <v>98</v>
      </c>
      <c r="AA2193" s="351" t="s">
        <v>276</v>
      </c>
      <c r="AB2193" s="351" t="s">
        <v>276</v>
      </c>
      <c r="AC2193" s="357" t="s">
        <v>276</v>
      </c>
      <c r="AD2193" s="357" t="s">
        <v>5574</v>
      </c>
      <c r="AE2193" s="357" t="s">
        <v>98</v>
      </c>
      <c r="AF2193" s="357" t="s">
        <v>98</v>
      </c>
      <c r="AG2193" s="351" t="s">
        <v>5615</v>
      </c>
      <c r="AH2193" s="351" t="s">
        <v>5616</v>
      </c>
      <c r="AI2193" s="355">
        <v>576</v>
      </c>
      <c r="AJ2193" s="355" t="s">
        <v>98</v>
      </c>
      <c r="AK2193" s="355">
        <v>759</v>
      </c>
      <c r="AL2193" s="355" t="s">
        <v>98</v>
      </c>
      <c r="AM2193" s="355" t="s">
        <v>292</v>
      </c>
      <c r="AN2193" s="357" t="s">
        <v>276</v>
      </c>
      <c r="AO2193" s="386">
        <f t="shared" si="609"/>
        <v>75.889328063241109</v>
      </c>
      <c r="AP2193" s="357" t="s">
        <v>276</v>
      </c>
      <c r="AQ2193" s="357" t="s">
        <v>276</v>
      </c>
      <c r="AR2193" s="357" t="s">
        <v>276</v>
      </c>
      <c r="AS2193" s="357" t="s">
        <v>276</v>
      </c>
      <c r="AT2193" s="357" t="s">
        <v>276</v>
      </c>
      <c r="AU2193" s="357" t="s">
        <v>276</v>
      </c>
      <c r="AV2193" s="357" t="s">
        <v>276</v>
      </c>
      <c r="AW2193" s="357" t="s">
        <v>276</v>
      </c>
      <c r="AX2193" s="357" t="s">
        <v>276</v>
      </c>
      <c r="AY2193" s="357" t="s">
        <v>276</v>
      </c>
      <c r="AZ2193" s="357" t="s">
        <v>276</v>
      </c>
      <c r="BA2193" s="357" t="s">
        <v>276</v>
      </c>
      <c r="BB2193" s="357" t="s">
        <v>276</v>
      </c>
      <c r="BC2193" s="357" t="s">
        <v>276</v>
      </c>
      <c r="BD2193" s="357" t="s">
        <v>276</v>
      </c>
      <c r="BE2193" s="357" t="s">
        <v>276</v>
      </c>
      <c r="BF2193" s="351" t="s">
        <v>1358</v>
      </c>
      <c r="BG2193" s="9"/>
      <c r="BH2193" s="9" t="s">
        <v>100</v>
      </c>
      <c r="BI2193" s="9" t="s">
        <v>100</v>
      </c>
      <c r="BJ2193" s="32"/>
      <c r="BK2193" s="33"/>
      <c r="BL2193" s="33"/>
      <c r="BM2193" s="33"/>
      <c r="BN2193" s="32"/>
      <c r="BO2193" s="32"/>
      <c r="BP2193" s="33"/>
    </row>
    <row r="2194" spans="1:68" s="6" customFormat="1" ht="52" hidden="1" x14ac:dyDescent="0.35">
      <c r="A2194" s="357">
        <v>10548</v>
      </c>
      <c r="B2194" s="357" t="s">
        <v>5029</v>
      </c>
      <c r="C2194" s="357" t="s">
        <v>88</v>
      </c>
      <c r="D2194" s="351" t="s">
        <v>5646</v>
      </c>
      <c r="E2194" s="357" t="s">
        <v>43</v>
      </c>
      <c r="F2194" s="351" t="s">
        <v>4987</v>
      </c>
      <c r="G2194" s="357" t="s">
        <v>225</v>
      </c>
      <c r="H2194" s="357" t="s">
        <v>125</v>
      </c>
      <c r="I2194" s="357" t="s">
        <v>114</v>
      </c>
      <c r="J2194" s="351" t="s">
        <v>98</v>
      </c>
      <c r="K2194" s="357" t="s">
        <v>98</v>
      </c>
      <c r="L2194" s="357" t="s">
        <v>98</v>
      </c>
      <c r="M2194" s="357" t="s">
        <v>98</v>
      </c>
      <c r="N2194" s="351" t="s">
        <v>5613</v>
      </c>
      <c r="O2194" s="351" t="s">
        <v>276</v>
      </c>
      <c r="P2194" s="351" t="s">
        <v>236</v>
      </c>
      <c r="Q2194" s="383" t="s">
        <v>5034</v>
      </c>
      <c r="R2194" s="351" t="s">
        <v>98</v>
      </c>
      <c r="S2194" s="380" t="s">
        <v>5619</v>
      </c>
      <c r="T2194" s="380" t="s">
        <v>98</v>
      </c>
      <c r="U2194" s="351" t="s">
        <v>276</v>
      </c>
      <c r="V2194" s="357" t="s">
        <v>259</v>
      </c>
      <c r="W2194" s="351" t="s">
        <v>5136</v>
      </c>
      <c r="X2194" s="351" t="s">
        <v>209</v>
      </c>
      <c r="Y2194" s="354">
        <v>31970</v>
      </c>
      <c r="Z2194" s="355" t="s">
        <v>98</v>
      </c>
      <c r="AA2194" s="351" t="s">
        <v>276</v>
      </c>
      <c r="AB2194" s="351" t="s">
        <v>276</v>
      </c>
      <c r="AC2194" s="357" t="s">
        <v>276</v>
      </c>
      <c r="AD2194" s="357" t="s">
        <v>5574</v>
      </c>
      <c r="AE2194" s="357" t="s">
        <v>98</v>
      </c>
      <c r="AF2194" s="357" t="s">
        <v>98</v>
      </c>
      <c r="AG2194" s="351" t="s">
        <v>5615</v>
      </c>
      <c r="AH2194" s="351" t="s">
        <v>5616</v>
      </c>
      <c r="AI2194" s="355">
        <v>1631</v>
      </c>
      <c r="AJ2194" s="355" t="s">
        <v>98</v>
      </c>
      <c r="AK2194" s="355">
        <v>2838</v>
      </c>
      <c r="AL2194" s="355" t="s">
        <v>98</v>
      </c>
      <c r="AM2194" s="355" t="s">
        <v>292</v>
      </c>
      <c r="AN2194" s="357" t="s">
        <v>276</v>
      </c>
      <c r="AO2194" s="386">
        <f t="shared" si="609"/>
        <v>57.470049330514449</v>
      </c>
      <c r="AP2194" s="357" t="s">
        <v>276</v>
      </c>
      <c r="AQ2194" s="357" t="s">
        <v>276</v>
      </c>
      <c r="AR2194" s="357" t="s">
        <v>276</v>
      </c>
      <c r="AS2194" s="357" t="s">
        <v>276</v>
      </c>
      <c r="AT2194" s="357" t="s">
        <v>276</v>
      </c>
      <c r="AU2194" s="357" t="s">
        <v>276</v>
      </c>
      <c r="AV2194" s="357" t="s">
        <v>276</v>
      </c>
      <c r="AW2194" s="357" t="s">
        <v>276</v>
      </c>
      <c r="AX2194" s="357" t="s">
        <v>276</v>
      </c>
      <c r="AY2194" s="357" t="s">
        <v>276</v>
      </c>
      <c r="AZ2194" s="357" t="s">
        <v>276</v>
      </c>
      <c r="BA2194" s="357" t="s">
        <v>276</v>
      </c>
      <c r="BB2194" s="357" t="s">
        <v>276</v>
      </c>
      <c r="BC2194" s="357" t="s">
        <v>276</v>
      </c>
      <c r="BD2194" s="357" t="s">
        <v>276</v>
      </c>
      <c r="BE2194" s="357" t="s">
        <v>276</v>
      </c>
      <c r="BF2194" s="351" t="s">
        <v>1358</v>
      </c>
      <c r="BG2194" s="9"/>
      <c r="BH2194" s="9" t="s">
        <v>100</v>
      </c>
      <c r="BI2194" s="9" t="s">
        <v>100</v>
      </c>
      <c r="BJ2194" s="32"/>
      <c r="BK2194" s="33"/>
      <c r="BL2194" s="33"/>
      <c r="BM2194" s="33"/>
      <c r="BN2194" s="32"/>
      <c r="BO2194" s="32"/>
      <c r="BP2194" s="33"/>
    </row>
    <row r="2195" spans="1:68" s="6" customFormat="1" ht="52" hidden="1" x14ac:dyDescent="0.35">
      <c r="A2195" s="357">
        <v>10548</v>
      </c>
      <c r="B2195" s="357" t="s">
        <v>5029</v>
      </c>
      <c r="C2195" s="357" t="s">
        <v>88</v>
      </c>
      <c r="D2195" s="351" t="s">
        <v>5647</v>
      </c>
      <c r="E2195" s="357" t="s">
        <v>43</v>
      </c>
      <c r="F2195" s="351" t="s">
        <v>4987</v>
      </c>
      <c r="G2195" s="357" t="s">
        <v>225</v>
      </c>
      <c r="H2195" s="357" t="s">
        <v>125</v>
      </c>
      <c r="I2195" s="357" t="s">
        <v>114</v>
      </c>
      <c r="J2195" s="351" t="s">
        <v>98</v>
      </c>
      <c r="K2195" s="357" t="s">
        <v>98</v>
      </c>
      <c r="L2195" s="357" t="s">
        <v>98</v>
      </c>
      <c r="M2195" s="357" t="s">
        <v>98</v>
      </c>
      <c r="N2195" s="351" t="s">
        <v>5613</v>
      </c>
      <c r="O2195" s="351" t="s">
        <v>276</v>
      </c>
      <c r="P2195" s="351" t="s">
        <v>236</v>
      </c>
      <c r="Q2195" s="383" t="s">
        <v>5034</v>
      </c>
      <c r="R2195" s="351" t="s">
        <v>98</v>
      </c>
      <c r="S2195" s="380" t="s">
        <v>5627</v>
      </c>
      <c r="T2195" s="380" t="s">
        <v>98</v>
      </c>
      <c r="U2195" s="351" t="s">
        <v>276</v>
      </c>
      <c r="V2195" s="357" t="s">
        <v>259</v>
      </c>
      <c r="W2195" s="351" t="s">
        <v>5139</v>
      </c>
      <c r="X2195" s="351" t="s">
        <v>209</v>
      </c>
      <c r="Y2195" s="354">
        <v>7266</v>
      </c>
      <c r="Z2195" s="355" t="s">
        <v>98</v>
      </c>
      <c r="AA2195" s="351" t="s">
        <v>276</v>
      </c>
      <c r="AB2195" s="351" t="s">
        <v>276</v>
      </c>
      <c r="AC2195" s="357" t="s">
        <v>276</v>
      </c>
      <c r="AD2195" s="357" t="s">
        <v>5574</v>
      </c>
      <c r="AE2195" s="357" t="s">
        <v>98</v>
      </c>
      <c r="AF2195" s="357" t="s">
        <v>98</v>
      </c>
      <c r="AG2195" s="351" t="s">
        <v>5615</v>
      </c>
      <c r="AH2195" s="351" t="s">
        <v>5616</v>
      </c>
      <c r="AI2195" s="355">
        <v>197</v>
      </c>
      <c r="AJ2195" s="355" t="s">
        <v>98</v>
      </c>
      <c r="AK2195" s="355">
        <v>374</v>
      </c>
      <c r="AL2195" s="355" t="s">
        <v>98</v>
      </c>
      <c r="AM2195" s="355" t="s">
        <v>292</v>
      </c>
      <c r="AN2195" s="357" t="s">
        <v>276</v>
      </c>
      <c r="AO2195" s="386">
        <f t="shared" si="609"/>
        <v>52.673796791443849</v>
      </c>
      <c r="AP2195" s="357" t="s">
        <v>276</v>
      </c>
      <c r="AQ2195" s="357" t="s">
        <v>276</v>
      </c>
      <c r="AR2195" s="357" t="s">
        <v>276</v>
      </c>
      <c r="AS2195" s="357" t="s">
        <v>276</v>
      </c>
      <c r="AT2195" s="357" t="s">
        <v>276</v>
      </c>
      <c r="AU2195" s="357" t="s">
        <v>276</v>
      </c>
      <c r="AV2195" s="357" t="s">
        <v>276</v>
      </c>
      <c r="AW2195" s="357" t="s">
        <v>276</v>
      </c>
      <c r="AX2195" s="357" t="s">
        <v>276</v>
      </c>
      <c r="AY2195" s="357" t="s">
        <v>276</v>
      </c>
      <c r="AZ2195" s="357" t="s">
        <v>276</v>
      </c>
      <c r="BA2195" s="357" t="s">
        <v>276</v>
      </c>
      <c r="BB2195" s="357" t="s">
        <v>276</v>
      </c>
      <c r="BC2195" s="357" t="s">
        <v>276</v>
      </c>
      <c r="BD2195" s="357" t="s">
        <v>276</v>
      </c>
      <c r="BE2195" s="357" t="s">
        <v>276</v>
      </c>
      <c r="BF2195" s="351" t="s">
        <v>1358</v>
      </c>
      <c r="BG2195" s="9"/>
      <c r="BH2195" s="9" t="s">
        <v>100</v>
      </c>
      <c r="BI2195" s="9" t="s">
        <v>100</v>
      </c>
      <c r="BJ2195" s="32"/>
      <c r="BK2195" s="33"/>
      <c r="BL2195" s="33"/>
      <c r="BM2195" s="33"/>
      <c r="BN2195" s="32"/>
      <c r="BO2195" s="32"/>
      <c r="BP2195" s="33"/>
    </row>
    <row r="2196" spans="1:68" s="6" customFormat="1" ht="52" hidden="1" x14ac:dyDescent="0.35">
      <c r="A2196" s="357">
        <v>10548</v>
      </c>
      <c r="B2196" s="357" t="s">
        <v>5029</v>
      </c>
      <c r="C2196" s="357" t="s">
        <v>88</v>
      </c>
      <c r="D2196" s="351" t="s">
        <v>5648</v>
      </c>
      <c r="E2196" s="357" t="s">
        <v>43</v>
      </c>
      <c r="F2196" s="351" t="s">
        <v>4987</v>
      </c>
      <c r="G2196" s="357" t="s">
        <v>225</v>
      </c>
      <c r="H2196" s="357" t="s">
        <v>125</v>
      </c>
      <c r="I2196" s="357" t="s">
        <v>114</v>
      </c>
      <c r="J2196" s="351" t="s">
        <v>98</v>
      </c>
      <c r="K2196" s="357" t="s">
        <v>98</v>
      </c>
      <c r="L2196" s="357" t="s">
        <v>98</v>
      </c>
      <c r="M2196" s="357" t="s">
        <v>98</v>
      </c>
      <c r="N2196" s="351" t="s">
        <v>5613</v>
      </c>
      <c r="O2196" s="351" t="s">
        <v>276</v>
      </c>
      <c r="P2196" s="351" t="s">
        <v>236</v>
      </c>
      <c r="Q2196" s="383" t="s">
        <v>5034</v>
      </c>
      <c r="R2196" s="351" t="s">
        <v>98</v>
      </c>
      <c r="S2196" s="380" t="s">
        <v>5627</v>
      </c>
      <c r="T2196" s="380" t="s">
        <v>98</v>
      </c>
      <c r="U2196" s="351" t="s">
        <v>276</v>
      </c>
      <c r="V2196" s="357" t="s">
        <v>259</v>
      </c>
      <c r="W2196" s="351" t="s">
        <v>5142</v>
      </c>
      <c r="X2196" s="351" t="s">
        <v>209</v>
      </c>
      <c r="Y2196" s="354">
        <v>1056</v>
      </c>
      <c r="Z2196" s="355" t="s">
        <v>98</v>
      </c>
      <c r="AA2196" s="351" t="s">
        <v>276</v>
      </c>
      <c r="AB2196" s="351" t="s">
        <v>276</v>
      </c>
      <c r="AC2196" s="357" t="s">
        <v>276</v>
      </c>
      <c r="AD2196" s="357" t="s">
        <v>5574</v>
      </c>
      <c r="AE2196" s="357" t="s">
        <v>98</v>
      </c>
      <c r="AF2196" s="357" t="s">
        <v>98</v>
      </c>
      <c r="AG2196" s="351" t="s">
        <v>5615</v>
      </c>
      <c r="AH2196" s="351" t="s">
        <v>5616</v>
      </c>
      <c r="AI2196" s="355">
        <v>60</v>
      </c>
      <c r="AJ2196" s="355" t="s">
        <v>98</v>
      </c>
      <c r="AK2196" s="355">
        <v>69</v>
      </c>
      <c r="AL2196" s="355" t="s">
        <v>98</v>
      </c>
      <c r="AM2196" s="355" t="s">
        <v>292</v>
      </c>
      <c r="AN2196" s="357" t="s">
        <v>276</v>
      </c>
      <c r="AO2196" s="386">
        <f t="shared" si="609"/>
        <v>86.956521739130437</v>
      </c>
      <c r="AP2196" s="357" t="s">
        <v>276</v>
      </c>
      <c r="AQ2196" s="357" t="s">
        <v>276</v>
      </c>
      <c r="AR2196" s="357" t="s">
        <v>276</v>
      </c>
      <c r="AS2196" s="357" t="s">
        <v>276</v>
      </c>
      <c r="AT2196" s="357" t="s">
        <v>276</v>
      </c>
      <c r="AU2196" s="357" t="s">
        <v>276</v>
      </c>
      <c r="AV2196" s="357" t="s">
        <v>276</v>
      </c>
      <c r="AW2196" s="357" t="s">
        <v>276</v>
      </c>
      <c r="AX2196" s="357" t="s">
        <v>276</v>
      </c>
      <c r="AY2196" s="357" t="s">
        <v>276</v>
      </c>
      <c r="AZ2196" s="357" t="s">
        <v>276</v>
      </c>
      <c r="BA2196" s="357" t="s">
        <v>276</v>
      </c>
      <c r="BB2196" s="357" t="s">
        <v>276</v>
      </c>
      <c r="BC2196" s="357" t="s">
        <v>276</v>
      </c>
      <c r="BD2196" s="357" t="s">
        <v>276</v>
      </c>
      <c r="BE2196" s="357" t="s">
        <v>276</v>
      </c>
      <c r="BF2196" s="351" t="s">
        <v>1358</v>
      </c>
      <c r="BG2196" s="9"/>
      <c r="BH2196" s="9" t="s">
        <v>100</v>
      </c>
      <c r="BI2196" s="9" t="s">
        <v>100</v>
      </c>
      <c r="BJ2196" s="32"/>
      <c r="BK2196" s="33"/>
      <c r="BL2196" s="33"/>
      <c r="BM2196" s="33"/>
      <c r="BN2196" s="32"/>
      <c r="BO2196" s="32"/>
      <c r="BP2196" s="33"/>
    </row>
    <row r="2197" spans="1:68" s="6" customFormat="1" ht="52" hidden="1" x14ac:dyDescent="0.35">
      <c r="A2197" s="357">
        <v>10548</v>
      </c>
      <c r="B2197" s="357" t="s">
        <v>5029</v>
      </c>
      <c r="C2197" s="357" t="s">
        <v>88</v>
      </c>
      <c r="D2197" s="351" t="s">
        <v>5649</v>
      </c>
      <c r="E2197" s="357" t="s">
        <v>43</v>
      </c>
      <c r="F2197" s="351" t="s">
        <v>4987</v>
      </c>
      <c r="G2197" s="357" t="s">
        <v>225</v>
      </c>
      <c r="H2197" s="357" t="s">
        <v>125</v>
      </c>
      <c r="I2197" s="357" t="s">
        <v>114</v>
      </c>
      <c r="J2197" s="351" t="s">
        <v>98</v>
      </c>
      <c r="K2197" s="357" t="s">
        <v>98</v>
      </c>
      <c r="L2197" s="357" t="s">
        <v>98</v>
      </c>
      <c r="M2197" s="357" t="s">
        <v>98</v>
      </c>
      <c r="N2197" s="351" t="s">
        <v>5613</v>
      </c>
      <c r="O2197" s="351" t="s">
        <v>276</v>
      </c>
      <c r="P2197" s="351" t="s">
        <v>236</v>
      </c>
      <c r="Q2197" s="383" t="s">
        <v>5034</v>
      </c>
      <c r="R2197" s="351" t="s">
        <v>98</v>
      </c>
      <c r="S2197" s="380" t="s">
        <v>5631</v>
      </c>
      <c r="T2197" s="380" t="s">
        <v>98</v>
      </c>
      <c r="U2197" s="351" t="s">
        <v>276</v>
      </c>
      <c r="V2197" s="357" t="s">
        <v>259</v>
      </c>
      <c r="W2197" s="351" t="s">
        <v>5145</v>
      </c>
      <c r="X2197" s="351" t="s">
        <v>209</v>
      </c>
      <c r="Y2197" s="354">
        <v>4948</v>
      </c>
      <c r="Z2197" s="355" t="s">
        <v>98</v>
      </c>
      <c r="AA2197" s="351" t="s">
        <v>276</v>
      </c>
      <c r="AB2197" s="351" t="s">
        <v>276</v>
      </c>
      <c r="AC2197" s="357" t="s">
        <v>276</v>
      </c>
      <c r="AD2197" s="357" t="s">
        <v>5574</v>
      </c>
      <c r="AE2197" s="357" t="s">
        <v>98</v>
      </c>
      <c r="AF2197" s="357" t="s">
        <v>98</v>
      </c>
      <c r="AG2197" s="351" t="s">
        <v>5615</v>
      </c>
      <c r="AH2197" s="351" t="s">
        <v>5616</v>
      </c>
      <c r="AI2197" s="355">
        <v>376</v>
      </c>
      <c r="AJ2197" s="355" t="s">
        <v>98</v>
      </c>
      <c r="AK2197" s="355">
        <v>475</v>
      </c>
      <c r="AL2197" s="355" t="s">
        <v>98</v>
      </c>
      <c r="AM2197" s="355" t="s">
        <v>292</v>
      </c>
      <c r="AN2197" s="357" t="s">
        <v>276</v>
      </c>
      <c r="AO2197" s="386">
        <f t="shared" si="609"/>
        <v>79.15789473684211</v>
      </c>
      <c r="AP2197" s="357" t="s">
        <v>276</v>
      </c>
      <c r="AQ2197" s="357" t="s">
        <v>276</v>
      </c>
      <c r="AR2197" s="357" t="s">
        <v>276</v>
      </c>
      <c r="AS2197" s="357" t="s">
        <v>276</v>
      </c>
      <c r="AT2197" s="357" t="s">
        <v>276</v>
      </c>
      <c r="AU2197" s="357" t="s">
        <v>276</v>
      </c>
      <c r="AV2197" s="357" t="s">
        <v>276</v>
      </c>
      <c r="AW2197" s="357" t="s">
        <v>276</v>
      </c>
      <c r="AX2197" s="357" t="s">
        <v>276</v>
      </c>
      <c r="AY2197" s="357" t="s">
        <v>276</v>
      </c>
      <c r="AZ2197" s="357" t="s">
        <v>276</v>
      </c>
      <c r="BA2197" s="357" t="s">
        <v>276</v>
      </c>
      <c r="BB2197" s="357" t="s">
        <v>276</v>
      </c>
      <c r="BC2197" s="357" t="s">
        <v>276</v>
      </c>
      <c r="BD2197" s="357" t="s">
        <v>276</v>
      </c>
      <c r="BE2197" s="357" t="s">
        <v>276</v>
      </c>
      <c r="BF2197" s="351" t="s">
        <v>1358</v>
      </c>
      <c r="BG2197" s="9"/>
      <c r="BH2197" s="9" t="s">
        <v>100</v>
      </c>
      <c r="BI2197" s="9" t="s">
        <v>100</v>
      </c>
      <c r="BJ2197" s="32"/>
      <c r="BK2197" s="33"/>
      <c r="BL2197" s="33"/>
      <c r="BM2197" s="33"/>
      <c r="BN2197" s="32"/>
      <c r="BO2197" s="32"/>
      <c r="BP2197" s="33"/>
    </row>
    <row r="2198" spans="1:68" s="6" customFormat="1" ht="52" hidden="1" x14ac:dyDescent="0.35">
      <c r="A2198" s="357">
        <v>10548</v>
      </c>
      <c r="B2198" s="357" t="s">
        <v>5029</v>
      </c>
      <c r="C2198" s="357" t="s">
        <v>88</v>
      </c>
      <c r="D2198" s="351" t="s">
        <v>5650</v>
      </c>
      <c r="E2198" s="357" t="s">
        <v>43</v>
      </c>
      <c r="F2198" s="351" t="s">
        <v>4987</v>
      </c>
      <c r="G2198" s="357" t="s">
        <v>225</v>
      </c>
      <c r="H2198" s="357" t="s">
        <v>125</v>
      </c>
      <c r="I2198" s="357" t="s">
        <v>114</v>
      </c>
      <c r="J2198" s="351" t="s">
        <v>98</v>
      </c>
      <c r="K2198" s="357" t="s">
        <v>98</v>
      </c>
      <c r="L2198" s="357" t="s">
        <v>98</v>
      </c>
      <c r="M2198" s="357" t="s">
        <v>98</v>
      </c>
      <c r="N2198" s="351" t="s">
        <v>5613</v>
      </c>
      <c r="O2198" s="351" t="s">
        <v>276</v>
      </c>
      <c r="P2198" s="351" t="s">
        <v>236</v>
      </c>
      <c r="Q2198" s="383" t="s">
        <v>5034</v>
      </c>
      <c r="R2198" s="351" t="s">
        <v>98</v>
      </c>
      <c r="S2198" s="380" t="s">
        <v>5633</v>
      </c>
      <c r="T2198" s="380" t="s">
        <v>98</v>
      </c>
      <c r="U2198" s="351" t="s">
        <v>276</v>
      </c>
      <c r="V2198" s="357" t="s">
        <v>259</v>
      </c>
      <c r="W2198" s="351" t="s">
        <v>5651</v>
      </c>
      <c r="X2198" s="351" t="s">
        <v>209</v>
      </c>
      <c r="Y2198" s="354">
        <v>28792</v>
      </c>
      <c r="Z2198" s="355" t="s">
        <v>98</v>
      </c>
      <c r="AA2198" s="351" t="s">
        <v>276</v>
      </c>
      <c r="AB2198" s="351" t="s">
        <v>276</v>
      </c>
      <c r="AC2198" s="357" t="s">
        <v>276</v>
      </c>
      <c r="AD2198" s="357" t="s">
        <v>5574</v>
      </c>
      <c r="AE2198" s="357" t="s">
        <v>98</v>
      </c>
      <c r="AF2198" s="357" t="s">
        <v>98</v>
      </c>
      <c r="AG2198" s="351" t="s">
        <v>5615</v>
      </c>
      <c r="AH2198" s="351" t="s">
        <v>5616</v>
      </c>
      <c r="AI2198" s="355">
        <v>163</v>
      </c>
      <c r="AJ2198" s="355" t="s">
        <v>98</v>
      </c>
      <c r="AK2198" s="355">
        <v>885</v>
      </c>
      <c r="AL2198" s="355" t="s">
        <v>98</v>
      </c>
      <c r="AM2198" s="355" t="s">
        <v>292</v>
      </c>
      <c r="AN2198" s="357" t="s">
        <v>276</v>
      </c>
      <c r="AO2198" s="386">
        <f t="shared" si="609"/>
        <v>18.418079096045197</v>
      </c>
      <c r="AP2198" s="357" t="s">
        <v>276</v>
      </c>
      <c r="AQ2198" s="357" t="s">
        <v>276</v>
      </c>
      <c r="AR2198" s="357" t="s">
        <v>276</v>
      </c>
      <c r="AS2198" s="357" t="s">
        <v>276</v>
      </c>
      <c r="AT2198" s="357" t="s">
        <v>276</v>
      </c>
      <c r="AU2198" s="357" t="s">
        <v>276</v>
      </c>
      <c r="AV2198" s="357" t="s">
        <v>276</v>
      </c>
      <c r="AW2198" s="357" t="s">
        <v>276</v>
      </c>
      <c r="AX2198" s="357" t="s">
        <v>276</v>
      </c>
      <c r="AY2198" s="357" t="s">
        <v>276</v>
      </c>
      <c r="AZ2198" s="357" t="s">
        <v>276</v>
      </c>
      <c r="BA2198" s="357" t="s">
        <v>276</v>
      </c>
      <c r="BB2198" s="357" t="s">
        <v>276</v>
      </c>
      <c r="BC2198" s="357" t="s">
        <v>276</v>
      </c>
      <c r="BD2198" s="357" t="s">
        <v>276</v>
      </c>
      <c r="BE2198" s="357" t="s">
        <v>276</v>
      </c>
      <c r="BF2198" s="351" t="s">
        <v>1358</v>
      </c>
      <c r="BG2198" s="9"/>
      <c r="BH2198" s="9" t="s">
        <v>100</v>
      </c>
      <c r="BI2198" s="9" t="s">
        <v>100</v>
      </c>
      <c r="BJ2198" s="32"/>
      <c r="BK2198" s="33"/>
      <c r="BL2198" s="33"/>
      <c r="BM2198" s="33"/>
      <c r="BN2198" s="32"/>
      <c r="BO2198" s="32"/>
      <c r="BP2198" s="33"/>
    </row>
    <row r="2199" spans="1:68" s="6" customFormat="1" ht="40" hidden="1" customHeight="1" x14ac:dyDescent="0.35">
      <c r="A2199" s="357">
        <v>10548</v>
      </c>
      <c r="B2199" s="357" t="s">
        <v>5029</v>
      </c>
      <c r="C2199" s="357" t="s">
        <v>88</v>
      </c>
      <c r="D2199" s="351" t="s">
        <v>5652</v>
      </c>
      <c r="E2199" s="357" t="s">
        <v>43</v>
      </c>
      <c r="F2199" s="351" t="s">
        <v>4987</v>
      </c>
      <c r="G2199" s="357" t="s">
        <v>225</v>
      </c>
      <c r="H2199" s="357" t="s">
        <v>125</v>
      </c>
      <c r="I2199" s="357" t="s">
        <v>114</v>
      </c>
      <c r="J2199" s="351" t="s">
        <v>98</v>
      </c>
      <c r="K2199" s="357" t="s">
        <v>98</v>
      </c>
      <c r="L2199" s="357" t="s">
        <v>98</v>
      </c>
      <c r="M2199" s="357" t="s">
        <v>98</v>
      </c>
      <c r="N2199" s="351" t="s">
        <v>5613</v>
      </c>
      <c r="O2199" s="351" t="s">
        <v>276</v>
      </c>
      <c r="P2199" s="351" t="s">
        <v>236</v>
      </c>
      <c r="Q2199" s="383" t="s">
        <v>5034</v>
      </c>
      <c r="R2199" s="351" t="s">
        <v>98</v>
      </c>
      <c r="S2199" s="380" t="s">
        <v>5636</v>
      </c>
      <c r="T2199" s="380" t="s">
        <v>98</v>
      </c>
      <c r="U2199" s="351" t="s">
        <v>276</v>
      </c>
      <c r="V2199" s="357" t="s">
        <v>259</v>
      </c>
      <c r="W2199" s="351" t="s">
        <v>5653</v>
      </c>
      <c r="X2199" s="351" t="s">
        <v>209</v>
      </c>
      <c r="Y2199" s="354">
        <v>10886</v>
      </c>
      <c r="Z2199" s="355" t="s">
        <v>98</v>
      </c>
      <c r="AA2199" s="351" t="s">
        <v>276</v>
      </c>
      <c r="AB2199" s="351" t="s">
        <v>276</v>
      </c>
      <c r="AC2199" s="357" t="s">
        <v>276</v>
      </c>
      <c r="AD2199" s="357" t="s">
        <v>5574</v>
      </c>
      <c r="AE2199" s="357" t="s">
        <v>98</v>
      </c>
      <c r="AF2199" s="357" t="s">
        <v>98</v>
      </c>
      <c r="AG2199" s="351" t="s">
        <v>5615</v>
      </c>
      <c r="AH2199" s="351" t="s">
        <v>5616</v>
      </c>
      <c r="AI2199" s="355">
        <v>112</v>
      </c>
      <c r="AJ2199" s="355" t="s">
        <v>98</v>
      </c>
      <c r="AK2199" s="355">
        <v>497</v>
      </c>
      <c r="AL2199" s="355" t="s">
        <v>98</v>
      </c>
      <c r="AM2199" s="355" t="s">
        <v>292</v>
      </c>
      <c r="AN2199" s="357" t="s">
        <v>276</v>
      </c>
      <c r="AO2199" s="386">
        <f t="shared" si="609"/>
        <v>22.535211267605632</v>
      </c>
      <c r="AP2199" s="357" t="s">
        <v>276</v>
      </c>
      <c r="AQ2199" s="357" t="s">
        <v>276</v>
      </c>
      <c r="AR2199" s="357" t="s">
        <v>276</v>
      </c>
      <c r="AS2199" s="357" t="s">
        <v>276</v>
      </c>
      <c r="AT2199" s="357" t="s">
        <v>276</v>
      </c>
      <c r="AU2199" s="357" t="s">
        <v>276</v>
      </c>
      <c r="AV2199" s="357" t="s">
        <v>276</v>
      </c>
      <c r="AW2199" s="357" t="s">
        <v>276</v>
      </c>
      <c r="AX2199" s="357" t="s">
        <v>276</v>
      </c>
      <c r="AY2199" s="357" t="s">
        <v>276</v>
      </c>
      <c r="AZ2199" s="357" t="s">
        <v>276</v>
      </c>
      <c r="BA2199" s="357" t="s">
        <v>276</v>
      </c>
      <c r="BB2199" s="357" t="s">
        <v>276</v>
      </c>
      <c r="BC2199" s="357" t="s">
        <v>276</v>
      </c>
      <c r="BD2199" s="357" t="s">
        <v>276</v>
      </c>
      <c r="BE2199" s="357" t="s">
        <v>276</v>
      </c>
      <c r="BF2199" s="351" t="s">
        <v>1358</v>
      </c>
      <c r="BG2199" s="9"/>
      <c r="BH2199" s="9" t="s">
        <v>100</v>
      </c>
      <c r="BI2199" s="9" t="s">
        <v>100</v>
      </c>
      <c r="BJ2199" s="32"/>
      <c r="BK2199" s="33"/>
      <c r="BL2199" s="33"/>
      <c r="BM2199" s="33"/>
      <c r="BN2199" s="32"/>
      <c r="BO2199" s="32"/>
      <c r="BP2199" s="33"/>
    </row>
    <row r="2200" spans="1:68" s="374" customFormat="1" ht="52" hidden="1" x14ac:dyDescent="0.35">
      <c r="A2200" s="357">
        <v>10548</v>
      </c>
      <c r="B2200" s="357" t="s">
        <v>5029</v>
      </c>
      <c r="C2200" s="357" t="s">
        <v>88</v>
      </c>
      <c r="D2200" s="351" t="s">
        <v>5654</v>
      </c>
      <c r="E2200" s="357" t="s">
        <v>43</v>
      </c>
      <c r="F2200" s="351" t="s">
        <v>4987</v>
      </c>
      <c r="G2200" s="357" t="s">
        <v>225</v>
      </c>
      <c r="H2200" s="357" t="s">
        <v>125</v>
      </c>
      <c r="I2200" s="357" t="s">
        <v>114</v>
      </c>
      <c r="J2200" s="351" t="s">
        <v>98</v>
      </c>
      <c r="K2200" s="357" t="s">
        <v>98</v>
      </c>
      <c r="L2200" s="357" t="s">
        <v>98</v>
      </c>
      <c r="M2200" s="357" t="s">
        <v>98</v>
      </c>
      <c r="N2200" s="351" t="s">
        <v>5613</v>
      </c>
      <c r="O2200" s="351" t="s">
        <v>276</v>
      </c>
      <c r="P2200" s="351" t="s">
        <v>238</v>
      </c>
      <c r="Q2200" s="383" t="s">
        <v>5034</v>
      </c>
      <c r="R2200" s="351" t="s">
        <v>98</v>
      </c>
      <c r="S2200" s="380" t="s">
        <v>5614</v>
      </c>
      <c r="T2200" s="380" t="s">
        <v>98</v>
      </c>
      <c r="U2200" s="351" t="s">
        <v>276</v>
      </c>
      <c r="V2200" s="357" t="s">
        <v>14</v>
      </c>
      <c r="W2200" s="357" t="s">
        <v>98</v>
      </c>
      <c r="X2200" s="351" t="s">
        <v>209</v>
      </c>
      <c r="Y2200" s="354" t="s">
        <v>98</v>
      </c>
      <c r="Z2200" s="354" t="s">
        <v>98</v>
      </c>
      <c r="AA2200" s="351" t="s">
        <v>276</v>
      </c>
      <c r="AB2200" s="351" t="s">
        <v>276</v>
      </c>
      <c r="AC2200" s="357" t="s">
        <v>276</v>
      </c>
      <c r="AD2200" s="357" t="s">
        <v>5574</v>
      </c>
      <c r="AE2200" s="357" t="s">
        <v>98</v>
      </c>
      <c r="AF2200" s="357" t="s">
        <v>98</v>
      </c>
      <c r="AG2200" s="351" t="s">
        <v>5615</v>
      </c>
      <c r="AH2200" s="351" t="s">
        <v>5596</v>
      </c>
      <c r="AI2200" s="355">
        <v>5742</v>
      </c>
      <c r="AJ2200" s="355" t="s">
        <v>98</v>
      </c>
      <c r="AK2200" s="354">
        <v>125268</v>
      </c>
      <c r="AL2200" s="355" t="s">
        <v>98</v>
      </c>
      <c r="AM2200" s="355" t="s">
        <v>690</v>
      </c>
      <c r="AN2200" s="357" t="s">
        <v>276</v>
      </c>
      <c r="AO2200" s="386">
        <f>AI2200*1000/AK2200</f>
        <v>45.837723919915703</v>
      </c>
      <c r="AP2200" s="357" t="s">
        <v>276</v>
      </c>
      <c r="AQ2200" s="357" t="s">
        <v>276</v>
      </c>
      <c r="AR2200" s="357" t="s">
        <v>276</v>
      </c>
      <c r="AS2200" s="357" t="s">
        <v>276</v>
      </c>
      <c r="AT2200" s="357" t="s">
        <v>276</v>
      </c>
      <c r="AU2200" s="357" t="s">
        <v>276</v>
      </c>
      <c r="AV2200" s="357" t="s">
        <v>276</v>
      </c>
      <c r="AW2200" s="357" t="s">
        <v>276</v>
      </c>
      <c r="AX2200" s="357" t="s">
        <v>276</v>
      </c>
      <c r="AY2200" s="357" t="s">
        <v>276</v>
      </c>
      <c r="AZ2200" s="357" t="s">
        <v>276</v>
      </c>
      <c r="BA2200" s="357" t="s">
        <v>276</v>
      </c>
      <c r="BB2200" s="357" t="s">
        <v>276</v>
      </c>
      <c r="BC2200" s="357" t="s">
        <v>276</v>
      </c>
      <c r="BD2200" s="357" t="s">
        <v>276</v>
      </c>
      <c r="BE2200" s="357" t="s">
        <v>276</v>
      </c>
      <c r="BF2200" s="351" t="s">
        <v>5617</v>
      </c>
      <c r="BG2200" s="351"/>
      <c r="BH2200" s="9" t="s">
        <v>100</v>
      </c>
      <c r="BI2200" s="9" t="s">
        <v>100</v>
      </c>
      <c r="BJ2200" s="373"/>
      <c r="BN2200" s="373"/>
      <c r="BO2200" s="373"/>
    </row>
    <row r="2201" spans="1:68" s="374" customFormat="1" ht="52" hidden="1" x14ac:dyDescent="0.35">
      <c r="A2201" s="357">
        <v>10548</v>
      </c>
      <c r="B2201" s="357" t="s">
        <v>5029</v>
      </c>
      <c r="C2201" s="357" t="s">
        <v>88</v>
      </c>
      <c r="D2201" s="351" t="s">
        <v>5655</v>
      </c>
      <c r="E2201" s="357" t="s">
        <v>43</v>
      </c>
      <c r="F2201" s="351" t="s">
        <v>4987</v>
      </c>
      <c r="G2201" s="357" t="s">
        <v>225</v>
      </c>
      <c r="H2201" s="357" t="s">
        <v>125</v>
      </c>
      <c r="I2201" s="357" t="s">
        <v>114</v>
      </c>
      <c r="J2201" s="351" t="s">
        <v>98</v>
      </c>
      <c r="K2201" s="357" t="s">
        <v>98</v>
      </c>
      <c r="L2201" s="357" t="s">
        <v>98</v>
      </c>
      <c r="M2201" s="357" t="s">
        <v>98</v>
      </c>
      <c r="N2201" s="351" t="s">
        <v>5613</v>
      </c>
      <c r="O2201" s="351" t="s">
        <v>276</v>
      </c>
      <c r="P2201" s="351" t="s">
        <v>238</v>
      </c>
      <c r="Q2201" s="383" t="s">
        <v>5034</v>
      </c>
      <c r="R2201" s="351" t="s">
        <v>98</v>
      </c>
      <c r="S2201" s="380" t="s">
        <v>5619</v>
      </c>
      <c r="T2201" s="380" t="s">
        <v>98</v>
      </c>
      <c r="U2201" s="351" t="s">
        <v>276</v>
      </c>
      <c r="V2201" s="357" t="s">
        <v>261</v>
      </c>
      <c r="W2201" s="351" t="s">
        <v>5573</v>
      </c>
      <c r="X2201" s="351" t="s">
        <v>209</v>
      </c>
      <c r="Y2201" s="354" t="s">
        <v>98</v>
      </c>
      <c r="Z2201" s="354" t="s">
        <v>98</v>
      </c>
      <c r="AA2201" s="351" t="s">
        <v>276</v>
      </c>
      <c r="AB2201" s="351" t="s">
        <v>276</v>
      </c>
      <c r="AC2201" s="357" t="s">
        <v>276</v>
      </c>
      <c r="AD2201" s="357" t="s">
        <v>5574</v>
      </c>
      <c r="AE2201" s="357" t="s">
        <v>98</v>
      </c>
      <c r="AF2201" s="357" t="s">
        <v>98</v>
      </c>
      <c r="AG2201" s="351" t="s">
        <v>5615</v>
      </c>
      <c r="AH2201" s="351" t="s">
        <v>5596</v>
      </c>
      <c r="AI2201" s="355">
        <v>5455</v>
      </c>
      <c r="AJ2201" s="355" t="s">
        <v>98</v>
      </c>
      <c r="AK2201" s="354">
        <v>82816</v>
      </c>
      <c r="AL2201" s="355" t="s">
        <v>98</v>
      </c>
      <c r="AM2201" s="355" t="s">
        <v>690</v>
      </c>
      <c r="AN2201" s="357" t="s">
        <v>276</v>
      </c>
      <c r="AO2201" s="386">
        <f t="shared" ref="AO2201:AO2221" si="610">AI2201*1000/AK2201</f>
        <v>65.868914219474505</v>
      </c>
      <c r="AP2201" s="357" t="s">
        <v>276</v>
      </c>
      <c r="AQ2201" s="357" t="s">
        <v>276</v>
      </c>
      <c r="AR2201" s="357" t="s">
        <v>276</v>
      </c>
      <c r="AS2201" s="357" t="s">
        <v>276</v>
      </c>
      <c r="AT2201" s="357" t="s">
        <v>276</v>
      </c>
      <c r="AU2201" s="357" t="s">
        <v>276</v>
      </c>
      <c r="AV2201" s="357" t="s">
        <v>276</v>
      </c>
      <c r="AW2201" s="357" t="s">
        <v>276</v>
      </c>
      <c r="AX2201" s="357" t="s">
        <v>276</v>
      </c>
      <c r="AY2201" s="357" t="s">
        <v>276</v>
      </c>
      <c r="AZ2201" s="357" t="s">
        <v>276</v>
      </c>
      <c r="BA2201" s="357" t="s">
        <v>276</v>
      </c>
      <c r="BB2201" s="357" t="s">
        <v>276</v>
      </c>
      <c r="BC2201" s="357" t="s">
        <v>276</v>
      </c>
      <c r="BD2201" s="357" t="s">
        <v>276</v>
      </c>
      <c r="BE2201" s="357" t="s">
        <v>276</v>
      </c>
      <c r="BF2201" s="351" t="s">
        <v>5617</v>
      </c>
      <c r="BG2201" s="351"/>
      <c r="BH2201" s="9" t="s">
        <v>100</v>
      </c>
      <c r="BI2201" s="9" t="s">
        <v>100</v>
      </c>
      <c r="BJ2201" s="373"/>
      <c r="BN2201" s="373"/>
      <c r="BO2201" s="373"/>
    </row>
    <row r="2202" spans="1:68" s="374" customFormat="1" ht="52" hidden="1" x14ac:dyDescent="0.35">
      <c r="A2202" s="357">
        <v>10548</v>
      </c>
      <c r="B2202" s="357" t="s">
        <v>5029</v>
      </c>
      <c r="C2202" s="357" t="s">
        <v>88</v>
      </c>
      <c r="D2202" s="351" t="s">
        <v>5656</v>
      </c>
      <c r="E2202" s="357" t="s">
        <v>43</v>
      </c>
      <c r="F2202" s="351" t="s">
        <v>4987</v>
      </c>
      <c r="G2202" s="357" t="s">
        <v>225</v>
      </c>
      <c r="H2202" s="357" t="s">
        <v>125</v>
      </c>
      <c r="I2202" s="357" t="s">
        <v>114</v>
      </c>
      <c r="J2202" s="351" t="s">
        <v>98</v>
      </c>
      <c r="K2202" s="357" t="s">
        <v>98</v>
      </c>
      <c r="L2202" s="357" t="s">
        <v>98</v>
      </c>
      <c r="M2202" s="357" t="s">
        <v>98</v>
      </c>
      <c r="N2202" s="351" t="s">
        <v>5613</v>
      </c>
      <c r="O2202" s="351" t="s">
        <v>276</v>
      </c>
      <c r="P2202" s="351" t="s">
        <v>238</v>
      </c>
      <c r="Q2202" s="383" t="s">
        <v>5034</v>
      </c>
      <c r="R2202" s="351" t="s">
        <v>98</v>
      </c>
      <c r="S2202" s="380" t="s">
        <v>5619</v>
      </c>
      <c r="T2202" s="380" t="s">
        <v>98</v>
      </c>
      <c r="U2202" s="351" t="s">
        <v>276</v>
      </c>
      <c r="V2202" s="357" t="s">
        <v>261</v>
      </c>
      <c r="W2202" s="357" t="s">
        <v>5153</v>
      </c>
      <c r="X2202" s="351" t="s">
        <v>209</v>
      </c>
      <c r="Y2202" s="354" t="s">
        <v>98</v>
      </c>
      <c r="Z2202" s="354" t="s">
        <v>98</v>
      </c>
      <c r="AA2202" s="351" t="s">
        <v>276</v>
      </c>
      <c r="AB2202" s="351" t="s">
        <v>276</v>
      </c>
      <c r="AC2202" s="357" t="s">
        <v>276</v>
      </c>
      <c r="AD2202" s="357" t="s">
        <v>5574</v>
      </c>
      <c r="AE2202" s="357" t="s">
        <v>98</v>
      </c>
      <c r="AF2202" s="357" t="s">
        <v>98</v>
      </c>
      <c r="AG2202" s="351" t="s">
        <v>5615</v>
      </c>
      <c r="AH2202" s="351" t="s">
        <v>5596</v>
      </c>
      <c r="AI2202" s="355">
        <v>2040</v>
      </c>
      <c r="AJ2202" s="355" t="s">
        <v>98</v>
      </c>
      <c r="AK2202" s="354">
        <v>21206</v>
      </c>
      <c r="AL2202" s="355" t="s">
        <v>98</v>
      </c>
      <c r="AM2202" s="355" t="s">
        <v>690</v>
      </c>
      <c r="AN2202" s="357" t="s">
        <v>276</v>
      </c>
      <c r="AO2202" s="386">
        <f t="shared" si="610"/>
        <v>96.1991889087994</v>
      </c>
      <c r="AP2202" s="357" t="s">
        <v>276</v>
      </c>
      <c r="AQ2202" s="357" t="s">
        <v>276</v>
      </c>
      <c r="AR2202" s="357" t="s">
        <v>276</v>
      </c>
      <c r="AS2202" s="357" t="s">
        <v>276</v>
      </c>
      <c r="AT2202" s="357" t="s">
        <v>276</v>
      </c>
      <c r="AU2202" s="357" t="s">
        <v>276</v>
      </c>
      <c r="AV2202" s="357" t="s">
        <v>276</v>
      </c>
      <c r="AW2202" s="357" t="s">
        <v>276</v>
      </c>
      <c r="AX2202" s="357" t="s">
        <v>276</v>
      </c>
      <c r="AY2202" s="357" t="s">
        <v>276</v>
      </c>
      <c r="AZ2202" s="357" t="s">
        <v>276</v>
      </c>
      <c r="BA2202" s="357" t="s">
        <v>276</v>
      </c>
      <c r="BB2202" s="357" t="s">
        <v>276</v>
      </c>
      <c r="BC2202" s="357" t="s">
        <v>276</v>
      </c>
      <c r="BD2202" s="357" t="s">
        <v>276</v>
      </c>
      <c r="BE2202" s="357" t="s">
        <v>276</v>
      </c>
      <c r="BF2202" s="351" t="s">
        <v>5617</v>
      </c>
      <c r="BG2202" s="351"/>
      <c r="BH2202" s="9" t="s">
        <v>100</v>
      </c>
      <c r="BI2202" s="9" t="s">
        <v>100</v>
      </c>
      <c r="BJ2202" s="373"/>
      <c r="BN2202" s="373"/>
      <c r="BO2202" s="373"/>
    </row>
    <row r="2203" spans="1:68" s="374" customFormat="1" ht="52" hidden="1" x14ac:dyDescent="0.35">
      <c r="A2203" s="357">
        <v>10548</v>
      </c>
      <c r="B2203" s="357" t="s">
        <v>5029</v>
      </c>
      <c r="C2203" s="357" t="s">
        <v>88</v>
      </c>
      <c r="D2203" s="351" t="s">
        <v>5657</v>
      </c>
      <c r="E2203" s="357" t="s">
        <v>43</v>
      </c>
      <c r="F2203" s="351" t="s">
        <v>4987</v>
      </c>
      <c r="G2203" s="357" t="s">
        <v>225</v>
      </c>
      <c r="H2203" s="357" t="s">
        <v>125</v>
      </c>
      <c r="I2203" s="357" t="s">
        <v>114</v>
      </c>
      <c r="J2203" s="351" t="s">
        <v>98</v>
      </c>
      <c r="K2203" s="357" t="s">
        <v>98</v>
      </c>
      <c r="L2203" s="357" t="s">
        <v>98</v>
      </c>
      <c r="M2203" s="357" t="s">
        <v>98</v>
      </c>
      <c r="N2203" s="351" t="s">
        <v>5613</v>
      </c>
      <c r="O2203" s="351" t="s">
        <v>276</v>
      </c>
      <c r="P2203" s="351" t="s">
        <v>238</v>
      </c>
      <c r="Q2203" s="383" t="s">
        <v>5034</v>
      </c>
      <c r="R2203" s="351" t="s">
        <v>98</v>
      </c>
      <c r="S2203" s="380" t="s">
        <v>5622</v>
      </c>
      <c r="T2203" s="380" t="s">
        <v>98</v>
      </c>
      <c r="U2203" s="351" t="s">
        <v>276</v>
      </c>
      <c r="V2203" s="357" t="s">
        <v>261</v>
      </c>
      <c r="W2203" s="357" t="s">
        <v>5156</v>
      </c>
      <c r="X2203" s="351" t="s">
        <v>209</v>
      </c>
      <c r="Y2203" s="354" t="s">
        <v>98</v>
      </c>
      <c r="Z2203" s="354" t="s">
        <v>98</v>
      </c>
      <c r="AA2203" s="351" t="s">
        <v>276</v>
      </c>
      <c r="AB2203" s="351" t="s">
        <v>276</v>
      </c>
      <c r="AC2203" s="357" t="s">
        <v>276</v>
      </c>
      <c r="AD2203" s="357" t="s">
        <v>5574</v>
      </c>
      <c r="AE2203" s="357" t="s">
        <v>98</v>
      </c>
      <c r="AF2203" s="357" t="s">
        <v>98</v>
      </c>
      <c r="AG2203" s="351" t="s">
        <v>5615</v>
      </c>
      <c r="AH2203" s="351" t="s">
        <v>5596</v>
      </c>
      <c r="AI2203" s="355">
        <v>214</v>
      </c>
      <c r="AJ2203" s="355" t="s">
        <v>98</v>
      </c>
      <c r="AK2203" s="354">
        <v>5188</v>
      </c>
      <c r="AL2203" s="355" t="s">
        <v>98</v>
      </c>
      <c r="AM2203" s="355" t="s">
        <v>690</v>
      </c>
      <c r="AN2203" s="357" t="s">
        <v>276</v>
      </c>
      <c r="AO2203" s="386">
        <f t="shared" si="610"/>
        <v>41.249036237471088</v>
      </c>
      <c r="AP2203" s="357" t="s">
        <v>276</v>
      </c>
      <c r="AQ2203" s="357" t="s">
        <v>276</v>
      </c>
      <c r="AR2203" s="357" t="s">
        <v>276</v>
      </c>
      <c r="AS2203" s="357" t="s">
        <v>276</v>
      </c>
      <c r="AT2203" s="357" t="s">
        <v>276</v>
      </c>
      <c r="AU2203" s="357" t="s">
        <v>276</v>
      </c>
      <c r="AV2203" s="357" t="s">
        <v>276</v>
      </c>
      <c r="AW2203" s="357" t="s">
        <v>276</v>
      </c>
      <c r="AX2203" s="357" t="s">
        <v>276</v>
      </c>
      <c r="AY2203" s="357" t="s">
        <v>276</v>
      </c>
      <c r="AZ2203" s="357" t="s">
        <v>276</v>
      </c>
      <c r="BA2203" s="357" t="s">
        <v>276</v>
      </c>
      <c r="BB2203" s="357" t="s">
        <v>276</v>
      </c>
      <c r="BC2203" s="357" t="s">
        <v>276</v>
      </c>
      <c r="BD2203" s="357" t="s">
        <v>276</v>
      </c>
      <c r="BE2203" s="357" t="s">
        <v>276</v>
      </c>
      <c r="BF2203" s="351" t="s">
        <v>5617</v>
      </c>
      <c r="BG2203" s="351"/>
      <c r="BH2203" s="9" t="s">
        <v>100</v>
      </c>
      <c r="BI2203" s="9" t="s">
        <v>100</v>
      </c>
      <c r="BJ2203" s="373"/>
      <c r="BN2203" s="373"/>
      <c r="BO2203" s="373"/>
    </row>
    <row r="2204" spans="1:68" s="374" customFormat="1" ht="52" hidden="1" x14ac:dyDescent="0.35">
      <c r="A2204" s="357">
        <v>10548</v>
      </c>
      <c r="B2204" s="357" t="s">
        <v>5029</v>
      </c>
      <c r="C2204" s="357" t="s">
        <v>88</v>
      </c>
      <c r="D2204" s="351" t="s">
        <v>5658</v>
      </c>
      <c r="E2204" s="357" t="s">
        <v>43</v>
      </c>
      <c r="F2204" s="351" t="s">
        <v>4987</v>
      </c>
      <c r="G2204" s="357" t="s">
        <v>225</v>
      </c>
      <c r="H2204" s="357" t="s">
        <v>125</v>
      </c>
      <c r="I2204" s="357" t="s">
        <v>114</v>
      </c>
      <c r="J2204" s="351" t="s">
        <v>98</v>
      </c>
      <c r="K2204" s="357" t="s">
        <v>98</v>
      </c>
      <c r="L2204" s="357" t="s">
        <v>98</v>
      </c>
      <c r="M2204" s="357" t="s">
        <v>98</v>
      </c>
      <c r="N2204" s="351" t="s">
        <v>5613</v>
      </c>
      <c r="O2204" s="351" t="s">
        <v>276</v>
      </c>
      <c r="P2204" s="351" t="s">
        <v>238</v>
      </c>
      <c r="Q2204" s="383" t="s">
        <v>5034</v>
      </c>
      <c r="R2204" s="351" t="s">
        <v>98</v>
      </c>
      <c r="S2204" s="380" t="s">
        <v>5624</v>
      </c>
      <c r="T2204" s="380" t="s">
        <v>98</v>
      </c>
      <c r="U2204" s="351" t="s">
        <v>276</v>
      </c>
      <c r="V2204" s="357" t="s">
        <v>261</v>
      </c>
      <c r="W2204" s="357" t="s">
        <v>5159</v>
      </c>
      <c r="X2204" s="351" t="s">
        <v>209</v>
      </c>
      <c r="Y2204" s="354" t="s">
        <v>98</v>
      </c>
      <c r="Z2204" s="354" t="s">
        <v>98</v>
      </c>
      <c r="AA2204" s="351" t="s">
        <v>276</v>
      </c>
      <c r="AB2204" s="351" t="s">
        <v>276</v>
      </c>
      <c r="AC2204" s="357" t="s">
        <v>276</v>
      </c>
      <c r="AD2204" s="357" t="s">
        <v>5574</v>
      </c>
      <c r="AE2204" s="357" t="s">
        <v>98</v>
      </c>
      <c r="AF2204" s="357" t="s">
        <v>98</v>
      </c>
      <c r="AG2204" s="351" t="s">
        <v>5615</v>
      </c>
      <c r="AH2204" s="351" t="s">
        <v>5596</v>
      </c>
      <c r="AI2204" s="355">
        <v>896</v>
      </c>
      <c r="AJ2204" s="355" t="s">
        <v>98</v>
      </c>
      <c r="AK2204" s="354">
        <v>9957</v>
      </c>
      <c r="AL2204" s="355" t="s">
        <v>98</v>
      </c>
      <c r="AM2204" s="355" t="s">
        <v>690</v>
      </c>
      <c r="AN2204" s="357" t="s">
        <v>276</v>
      </c>
      <c r="AO2204" s="386">
        <f t="shared" si="610"/>
        <v>89.986943858591943</v>
      </c>
      <c r="AP2204" s="357" t="s">
        <v>276</v>
      </c>
      <c r="AQ2204" s="357" t="s">
        <v>276</v>
      </c>
      <c r="AR2204" s="357" t="s">
        <v>276</v>
      </c>
      <c r="AS2204" s="357" t="s">
        <v>276</v>
      </c>
      <c r="AT2204" s="357" t="s">
        <v>276</v>
      </c>
      <c r="AU2204" s="357" t="s">
        <v>276</v>
      </c>
      <c r="AV2204" s="357" t="s">
        <v>276</v>
      </c>
      <c r="AW2204" s="357" t="s">
        <v>276</v>
      </c>
      <c r="AX2204" s="357" t="s">
        <v>276</v>
      </c>
      <c r="AY2204" s="357" t="s">
        <v>276</v>
      </c>
      <c r="AZ2204" s="357" t="s">
        <v>276</v>
      </c>
      <c r="BA2204" s="357" t="s">
        <v>276</v>
      </c>
      <c r="BB2204" s="357" t="s">
        <v>276</v>
      </c>
      <c r="BC2204" s="357" t="s">
        <v>276</v>
      </c>
      <c r="BD2204" s="357" t="s">
        <v>276</v>
      </c>
      <c r="BE2204" s="357" t="s">
        <v>276</v>
      </c>
      <c r="BF2204" s="351" t="s">
        <v>5617</v>
      </c>
      <c r="BG2204" s="351"/>
      <c r="BH2204" s="9" t="s">
        <v>100</v>
      </c>
      <c r="BI2204" s="9" t="s">
        <v>100</v>
      </c>
      <c r="BJ2204" s="373"/>
      <c r="BN2204" s="373"/>
      <c r="BO2204" s="373"/>
    </row>
    <row r="2205" spans="1:68" s="374" customFormat="1" ht="52" hidden="1" x14ac:dyDescent="0.35">
      <c r="A2205" s="357">
        <v>10548</v>
      </c>
      <c r="B2205" s="357" t="s">
        <v>5029</v>
      </c>
      <c r="C2205" s="357" t="s">
        <v>88</v>
      </c>
      <c r="D2205" s="351" t="s">
        <v>5659</v>
      </c>
      <c r="E2205" s="357" t="s">
        <v>43</v>
      </c>
      <c r="F2205" s="351" t="s">
        <v>4987</v>
      </c>
      <c r="G2205" s="357" t="s">
        <v>225</v>
      </c>
      <c r="H2205" s="357" t="s">
        <v>125</v>
      </c>
      <c r="I2205" s="357" t="s">
        <v>114</v>
      </c>
      <c r="J2205" s="351" t="s">
        <v>98</v>
      </c>
      <c r="K2205" s="357" t="s">
        <v>98</v>
      </c>
      <c r="L2205" s="357" t="s">
        <v>98</v>
      </c>
      <c r="M2205" s="357" t="s">
        <v>98</v>
      </c>
      <c r="N2205" s="351" t="s">
        <v>5613</v>
      </c>
      <c r="O2205" s="351" t="s">
        <v>276</v>
      </c>
      <c r="P2205" s="351" t="s">
        <v>238</v>
      </c>
      <c r="Q2205" s="383" t="s">
        <v>5034</v>
      </c>
      <c r="R2205" s="351" t="s">
        <v>98</v>
      </c>
      <c r="S2205" s="380" t="s">
        <v>5619</v>
      </c>
      <c r="T2205" s="380" t="s">
        <v>98</v>
      </c>
      <c r="U2205" s="351" t="s">
        <v>276</v>
      </c>
      <c r="V2205" s="357" t="s">
        <v>261</v>
      </c>
      <c r="W2205" s="357" t="s">
        <v>5162</v>
      </c>
      <c r="X2205" s="351" t="s">
        <v>209</v>
      </c>
      <c r="Y2205" s="354" t="s">
        <v>98</v>
      </c>
      <c r="Z2205" s="354" t="s">
        <v>98</v>
      </c>
      <c r="AA2205" s="351" t="s">
        <v>276</v>
      </c>
      <c r="AB2205" s="351" t="s">
        <v>276</v>
      </c>
      <c r="AC2205" s="357" t="s">
        <v>276</v>
      </c>
      <c r="AD2205" s="357" t="s">
        <v>5574</v>
      </c>
      <c r="AE2205" s="357" t="s">
        <v>98</v>
      </c>
      <c r="AF2205" s="357" t="s">
        <v>98</v>
      </c>
      <c r="AG2205" s="351" t="s">
        <v>5615</v>
      </c>
      <c r="AH2205" s="351" t="s">
        <v>5596</v>
      </c>
      <c r="AI2205" s="355">
        <v>1631</v>
      </c>
      <c r="AJ2205" s="355" t="s">
        <v>98</v>
      </c>
      <c r="AK2205" s="354">
        <v>31970</v>
      </c>
      <c r="AL2205" s="355" t="s">
        <v>98</v>
      </c>
      <c r="AM2205" s="355" t="s">
        <v>690</v>
      </c>
      <c r="AN2205" s="357" t="s">
        <v>276</v>
      </c>
      <c r="AO2205" s="386">
        <f t="shared" si="610"/>
        <v>51.016578041914293</v>
      </c>
      <c r="AP2205" s="357" t="s">
        <v>276</v>
      </c>
      <c r="AQ2205" s="357" t="s">
        <v>276</v>
      </c>
      <c r="AR2205" s="357" t="s">
        <v>276</v>
      </c>
      <c r="AS2205" s="357" t="s">
        <v>276</v>
      </c>
      <c r="AT2205" s="357" t="s">
        <v>276</v>
      </c>
      <c r="AU2205" s="357" t="s">
        <v>276</v>
      </c>
      <c r="AV2205" s="357" t="s">
        <v>276</v>
      </c>
      <c r="AW2205" s="357" t="s">
        <v>276</v>
      </c>
      <c r="AX2205" s="357" t="s">
        <v>276</v>
      </c>
      <c r="AY2205" s="357" t="s">
        <v>276</v>
      </c>
      <c r="AZ2205" s="357" t="s">
        <v>276</v>
      </c>
      <c r="BA2205" s="357" t="s">
        <v>276</v>
      </c>
      <c r="BB2205" s="357" t="s">
        <v>276</v>
      </c>
      <c r="BC2205" s="357" t="s">
        <v>276</v>
      </c>
      <c r="BD2205" s="357" t="s">
        <v>276</v>
      </c>
      <c r="BE2205" s="357" t="s">
        <v>276</v>
      </c>
      <c r="BF2205" s="351" t="s">
        <v>5617</v>
      </c>
      <c r="BG2205" s="351"/>
      <c r="BH2205" s="9" t="s">
        <v>100</v>
      </c>
      <c r="BI2205" s="9" t="s">
        <v>100</v>
      </c>
      <c r="BJ2205" s="373"/>
      <c r="BN2205" s="373"/>
      <c r="BO2205" s="373"/>
    </row>
    <row r="2206" spans="1:68" s="374" customFormat="1" ht="52" hidden="1" x14ac:dyDescent="0.35">
      <c r="A2206" s="357">
        <v>10548</v>
      </c>
      <c r="B2206" s="357" t="s">
        <v>5029</v>
      </c>
      <c r="C2206" s="357" t="s">
        <v>88</v>
      </c>
      <c r="D2206" s="351" t="s">
        <v>5660</v>
      </c>
      <c r="E2206" s="357" t="s">
        <v>43</v>
      </c>
      <c r="F2206" s="351" t="s">
        <v>4987</v>
      </c>
      <c r="G2206" s="357" t="s">
        <v>225</v>
      </c>
      <c r="H2206" s="357" t="s">
        <v>125</v>
      </c>
      <c r="I2206" s="357" t="s">
        <v>114</v>
      </c>
      <c r="J2206" s="351" t="s">
        <v>98</v>
      </c>
      <c r="K2206" s="357" t="s">
        <v>98</v>
      </c>
      <c r="L2206" s="357" t="s">
        <v>98</v>
      </c>
      <c r="M2206" s="357" t="s">
        <v>98</v>
      </c>
      <c r="N2206" s="351" t="s">
        <v>5613</v>
      </c>
      <c r="O2206" s="351" t="s">
        <v>276</v>
      </c>
      <c r="P2206" s="351" t="s">
        <v>238</v>
      </c>
      <c r="Q2206" s="383" t="s">
        <v>5034</v>
      </c>
      <c r="R2206" s="351" t="s">
        <v>98</v>
      </c>
      <c r="S2206" s="380" t="s">
        <v>5627</v>
      </c>
      <c r="T2206" s="380" t="s">
        <v>98</v>
      </c>
      <c r="U2206" s="351" t="s">
        <v>276</v>
      </c>
      <c r="V2206" s="357" t="s">
        <v>261</v>
      </c>
      <c r="W2206" s="357" t="s">
        <v>5165</v>
      </c>
      <c r="X2206" s="351" t="s">
        <v>209</v>
      </c>
      <c r="Y2206" s="354" t="s">
        <v>98</v>
      </c>
      <c r="Z2206" s="354" t="s">
        <v>98</v>
      </c>
      <c r="AA2206" s="351" t="s">
        <v>276</v>
      </c>
      <c r="AB2206" s="351" t="s">
        <v>276</v>
      </c>
      <c r="AC2206" s="357" t="s">
        <v>276</v>
      </c>
      <c r="AD2206" s="357" t="s">
        <v>5574</v>
      </c>
      <c r="AE2206" s="357" t="s">
        <v>98</v>
      </c>
      <c r="AF2206" s="357" t="s">
        <v>98</v>
      </c>
      <c r="AG2206" s="351" t="s">
        <v>5615</v>
      </c>
      <c r="AH2206" s="351" t="s">
        <v>5596</v>
      </c>
      <c r="AI2206" s="355">
        <v>202</v>
      </c>
      <c r="AJ2206" s="355" t="s">
        <v>98</v>
      </c>
      <c r="AK2206" s="354">
        <v>7497</v>
      </c>
      <c r="AL2206" s="355" t="s">
        <v>98</v>
      </c>
      <c r="AM2206" s="355" t="s">
        <v>690</v>
      </c>
      <c r="AN2206" s="357" t="s">
        <v>276</v>
      </c>
      <c r="AO2206" s="386">
        <f t="shared" si="610"/>
        <v>26.944110977724424</v>
      </c>
      <c r="AP2206" s="357" t="s">
        <v>276</v>
      </c>
      <c r="AQ2206" s="357" t="s">
        <v>276</v>
      </c>
      <c r="AR2206" s="357" t="s">
        <v>276</v>
      </c>
      <c r="AS2206" s="357" t="s">
        <v>276</v>
      </c>
      <c r="AT2206" s="357" t="s">
        <v>276</v>
      </c>
      <c r="AU2206" s="357" t="s">
        <v>276</v>
      </c>
      <c r="AV2206" s="357" t="s">
        <v>276</v>
      </c>
      <c r="AW2206" s="357" t="s">
        <v>276</v>
      </c>
      <c r="AX2206" s="357" t="s">
        <v>276</v>
      </c>
      <c r="AY2206" s="357" t="s">
        <v>276</v>
      </c>
      <c r="AZ2206" s="357" t="s">
        <v>276</v>
      </c>
      <c r="BA2206" s="357" t="s">
        <v>276</v>
      </c>
      <c r="BB2206" s="357" t="s">
        <v>276</v>
      </c>
      <c r="BC2206" s="357" t="s">
        <v>276</v>
      </c>
      <c r="BD2206" s="357" t="s">
        <v>276</v>
      </c>
      <c r="BE2206" s="357" t="s">
        <v>276</v>
      </c>
      <c r="BF2206" s="351" t="s">
        <v>5617</v>
      </c>
      <c r="BG2206" s="351"/>
      <c r="BH2206" s="9" t="s">
        <v>100</v>
      </c>
      <c r="BI2206" s="9" t="s">
        <v>100</v>
      </c>
      <c r="BJ2206" s="373"/>
      <c r="BN2206" s="373"/>
      <c r="BO2206" s="373"/>
    </row>
    <row r="2207" spans="1:68" s="374" customFormat="1" ht="52" hidden="1" x14ac:dyDescent="0.35">
      <c r="A2207" s="357">
        <v>10548</v>
      </c>
      <c r="B2207" s="357" t="s">
        <v>5029</v>
      </c>
      <c r="C2207" s="357" t="s">
        <v>88</v>
      </c>
      <c r="D2207" s="351" t="s">
        <v>5661</v>
      </c>
      <c r="E2207" s="357" t="s">
        <v>43</v>
      </c>
      <c r="F2207" s="351" t="s">
        <v>4987</v>
      </c>
      <c r="G2207" s="357" t="s">
        <v>225</v>
      </c>
      <c r="H2207" s="357" t="s">
        <v>125</v>
      </c>
      <c r="I2207" s="357" t="s">
        <v>114</v>
      </c>
      <c r="J2207" s="351" t="s">
        <v>98</v>
      </c>
      <c r="K2207" s="357" t="s">
        <v>98</v>
      </c>
      <c r="L2207" s="357" t="s">
        <v>98</v>
      </c>
      <c r="M2207" s="357" t="s">
        <v>98</v>
      </c>
      <c r="N2207" s="351" t="s">
        <v>5613</v>
      </c>
      <c r="O2207" s="351" t="s">
        <v>276</v>
      </c>
      <c r="P2207" s="351" t="s">
        <v>238</v>
      </c>
      <c r="Q2207" s="383" t="s">
        <v>5034</v>
      </c>
      <c r="R2207" s="351" t="s">
        <v>98</v>
      </c>
      <c r="S2207" s="380" t="s">
        <v>5629</v>
      </c>
      <c r="T2207" s="380" t="s">
        <v>98</v>
      </c>
      <c r="U2207" s="351" t="s">
        <v>276</v>
      </c>
      <c r="V2207" s="357" t="s">
        <v>261</v>
      </c>
      <c r="W2207" s="357" t="s">
        <v>5168</v>
      </c>
      <c r="X2207" s="351" t="s">
        <v>209</v>
      </c>
      <c r="Y2207" s="354" t="s">
        <v>98</v>
      </c>
      <c r="Z2207" s="354" t="s">
        <v>98</v>
      </c>
      <c r="AA2207" s="351" t="s">
        <v>276</v>
      </c>
      <c r="AB2207" s="351" t="s">
        <v>276</v>
      </c>
      <c r="AC2207" s="357" t="s">
        <v>276</v>
      </c>
      <c r="AD2207" s="357" t="s">
        <v>5574</v>
      </c>
      <c r="AE2207" s="357" t="s">
        <v>98</v>
      </c>
      <c r="AF2207" s="357" t="s">
        <v>98</v>
      </c>
      <c r="AG2207" s="351" t="s">
        <v>5615</v>
      </c>
      <c r="AH2207" s="351" t="s">
        <v>5596</v>
      </c>
      <c r="AI2207" s="355">
        <v>78</v>
      </c>
      <c r="AJ2207" s="355" t="s">
        <v>98</v>
      </c>
      <c r="AK2207" s="354">
        <v>1840</v>
      </c>
      <c r="AL2207" s="355" t="s">
        <v>98</v>
      </c>
      <c r="AM2207" s="355" t="s">
        <v>690</v>
      </c>
      <c r="AN2207" s="357" t="s">
        <v>276</v>
      </c>
      <c r="AO2207" s="386">
        <f t="shared" si="610"/>
        <v>42.391304347826086</v>
      </c>
      <c r="AP2207" s="357" t="s">
        <v>276</v>
      </c>
      <c r="AQ2207" s="357" t="s">
        <v>276</v>
      </c>
      <c r="AR2207" s="357" t="s">
        <v>276</v>
      </c>
      <c r="AS2207" s="357" t="s">
        <v>276</v>
      </c>
      <c r="AT2207" s="357" t="s">
        <v>276</v>
      </c>
      <c r="AU2207" s="357" t="s">
        <v>276</v>
      </c>
      <c r="AV2207" s="357" t="s">
        <v>276</v>
      </c>
      <c r="AW2207" s="357" t="s">
        <v>276</v>
      </c>
      <c r="AX2207" s="357" t="s">
        <v>276</v>
      </c>
      <c r="AY2207" s="357" t="s">
        <v>276</v>
      </c>
      <c r="AZ2207" s="357" t="s">
        <v>276</v>
      </c>
      <c r="BA2207" s="357" t="s">
        <v>276</v>
      </c>
      <c r="BB2207" s="357" t="s">
        <v>276</v>
      </c>
      <c r="BC2207" s="357" t="s">
        <v>276</v>
      </c>
      <c r="BD2207" s="357" t="s">
        <v>276</v>
      </c>
      <c r="BE2207" s="357" t="s">
        <v>276</v>
      </c>
      <c r="BF2207" s="351" t="s">
        <v>5617</v>
      </c>
      <c r="BG2207" s="351"/>
      <c r="BH2207" s="9" t="s">
        <v>100</v>
      </c>
      <c r="BI2207" s="9" t="s">
        <v>100</v>
      </c>
      <c r="BJ2207" s="373"/>
      <c r="BN2207" s="373"/>
      <c r="BO2207" s="373"/>
    </row>
    <row r="2208" spans="1:68" s="374" customFormat="1" ht="52" hidden="1" x14ac:dyDescent="0.35">
      <c r="A2208" s="357">
        <v>10548</v>
      </c>
      <c r="B2208" s="357" t="s">
        <v>5029</v>
      </c>
      <c r="C2208" s="357" t="s">
        <v>88</v>
      </c>
      <c r="D2208" s="351" t="s">
        <v>5662</v>
      </c>
      <c r="E2208" s="357" t="s">
        <v>43</v>
      </c>
      <c r="F2208" s="351" t="s">
        <v>4987</v>
      </c>
      <c r="G2208" s="357" t="s">
        <v>225</v>
      </c>
      <c r="H2208" s="357" t="s">
        <v>125</v>
      </c>
      <c r="I2208" s="357" t="s">
        <v>114</v>
      </c>
      <c r="J2208" s="351" t="s">
        <v>98</v>
      </c>
      <c r="K2208" s="357" t="s">
        <v>98</v>
      </c>
      <c r="L2208" s="357" t="s">
        <v>98</v>
      </c>
      <c r="M2208" s="357" t="s">
        <v>98</v>
      </c>
      <c r="N2208" s="351" t="s">
        <v>5613</v>
      </c>
      <c r="O2208" s="351" t="s">
        <v>276</v>
      </c>
      <c r="P2208" s="351" t="s">
        <v>238</v>
      </c>
      <c r="Q2208" s="383" t="s">
        <v>5034</v>
      </c>
      <c r="R2208" s="351" t="s">
        <v>98</v>
      </c>
      <c r="S2208" s="380" t="s">
        <v>5631</v>
      </c>
      <c r="T2208" s="380" t="s">
        <v>98</v>
      </c>
      <c r="U2208" s="351" t="s">
        <v>276</v>
      </c>
      <c r="V2208" s="357" t="s">
        <v>261</v>
      </c>
      <c r="W2208" s="357" t="s">
        <v>5171</v>
      </c>
      <c r="X2208" s="351" t="s">
        <v>209</v>
      </c>
      <c r="Y2208" s="354" t="s">
        <v>98</v>
      </c>
      <c r="Z2208" s="354" t="s">
        <v>98</v>
      </c>
      <c r="AA2208" s="351" t="s">
        <v>276</v>
      </c>
      <c r="AB2208" s="351" t="s">
        <v>276</v>
      </c>
      <c r="AC2208" s="357" t="s">
        <v>276</v>
      </c>
      <c r="AD2208" s="357" t="s">
        <v>5574</v>
      </c>
      <c r="AE2208" s="357" t="s">
        <v>98</v>
      </c>
      <c r="AF2208" s="357" t="s">
        <v>98</v>
      </c>
      <c r="AG2208" s="351" t="s">
        <v>5615</v>
      </c>
      <c r="AH2208" s="351" t="s">
        <v>5596</v>
      </c>
      <c r="AI2208" s="355">
        <v>394</v>
      </c>
      <c r="AJ2208" s="355" t="s">
        <v>98</v>
      </c>
      <c r="AK2208" s="354">
        <v>5158</v>
      </c>
      <c r="AL2208" s="355" t="s">
        <v>98</v>
      </c>
      <c r="AM2208" s="355" t="s">
        <v>690</v>
      </c>
      <c r="AN2208" s="357" t="s">
        <v>276</v>
      </c>
      <c r="AO2208" s="386">
        <f t="shared" si="610"/>
        <v>76.386196200077549</v>
      </c>
      <c r="AP2208" s="357" t="s">
        <v>276</v>
      </c>
      <c r="AQ2208" s="357" t="s">
        <v>276</v>
      </c>
      <c r="AR2208" s="357" t="s">
        <v>276</v>
      </c>
      <c r="AS2208" s="357" t="s">
        <v>276</v>
      </c>
      <c r="AT2208" s="357" t="s">
        <v>276</v>
      </c>
      <c r="AU2208" s="357" t="s">
        <v>276</v>
      </c>
      <c r="AV2208" s="357" t="s">
        <v>276</v>
      </c>
      <c r="AW2208" s="357" t="s">
        <v>276</v>
      </c>
      <c r="AX2208" s="357" t="s">
        <v>276</v>
      </c>
      <c r="AY2208" s="357" t="s">
        <v>276</v>
      </c>
      <c r="AZ2208" s="357" t="s">
        <v>276</v>
      </c>
      <c r="BA2208" s="357" t="s">
        <v>276</v>
      </c>
      <c r="BB2208" s="357" t="s">
        <v>276</v>
      </c>
      <c r="BC2208" s="357" t="s">
        <v>276</v>
      </c>
      <c r="BD2208" s="357" t="s">
        <v>276</v>
      </c>
      <c r="BE2208" s="357" t="s">
        <v>276</v>
      </c>
      <c r="BF2208" s="351" t="s">
        <v>5617</v>
      </c>
      <c r="BG2208" s="351"/>
      <c r="BH2208" s="9" t="s">
        <v>100</v>
      </c>
      <c r="BI2208" s="9" t="s">
        <v>100</v>
      </c>
      <c r="BJ2208" s="373"/>
      <c r="BN2208" s="373"/>
      <c r="BO2208" s="373"/>
    </row>
    <row r="2209" spans="1:67" s="374" customFormat="1" ht="52" hidden="1" x14ac:dyDescent="0.35">
      <c r="A2209" s="357">
        <v>10548</v>
      </c>
      <c r="B2209" s="357" t="s">
        <v>5029</v>
      </c>
      <c r="C2209" s="357" t="s">
        <v>88</v>
      </c>
      <c r="D2209" s="351" t="s">
        <v>5663</v>
      </c>
      <c r="E2209" s="357" t="s">
        <v>43</v>
      </c>
      <c r="F2209" s="351" t="s">
        <v>4987</v>
      </c>
      <c r="G2209" s="357" t="s">
        <v>225</v>
      </c>
      <c r="H2209" s="357" t="s">
        <v>125</v>
      </c>
      <c r="I2209" s="357" t="s">
        <v>114</v>
      </c>
      <c r="J2209" s="351" t="s">
        <v>98</v>
      </c>
      <c r="K2209" s="357" t="s">
        <v>98</v>
      </c>
      <c r="L2209" s="357" t="s">
        <v>98</v>
      </c>
      <c r="M2209" s="357" t="s">
        <v>98</v>
      </c>
      <c r="N2209" s="351" t="s">
        <v>5613</v>
      </c>
      <c r="O2209" s="351" t="s">
        <v>276</v>
      </c>
      <c r="P2209" s="351" t="s">
        <v>238</v>
      </c>
      <c r="Q2209" s="383" t="s">
        <v>5034</v>
      </c>
      <c r="R2209" s="351" t="s">
        <v>98</v>
      </c>
      <c r="S2209" s="380" t="s">
        <v>5633</v>
      </c>
      <c r="T2209" s="380" t="s">
        <v>98</v>
      </c>
      <c r="U2209" s="351" t="s">
        <v>276</v>
      </c>
      <c r="V2209" s="357" t="s">
        <v>261</v>
      </c>
      <c r="W2209" s="357" t="s">
        <v>5634</v>
      </c>
      <c r="X2209" s="351" t="s">
        <v>209</v>
      </c>
      <c r="Y2209" s="354" t="s">
        <v>98</v>
      </c>
      <c r="Z2209" s="354" t="s">
        <v>98</v>
      </c>
      <c r="AA2209" s="351" t="s">
        <v>276</v>
      </c>
      <c r="AB2209" s="351" t="s">
        <v>276</v>
      </c>
      <c r="AC2209" s="357" t="s">
        <v>276</v>
      </c>
      <c r="AD2209" s="357" t="s">
        <v>5574</v>
      </c>
      <c r="AE2209" s="357" t="s">
        <v>98</v>
      </c>
      <c r="AF2209" s="357" t="s">
        <v>98</v>
      </c>
      <c r="AG2209" s="351" t="s">
        <v>5615</v>
      </c>
      <c r="AH2209" s="351" t="s">
        <v>5596</v>
      </c>
      <c r="AI2209" s="355">
        <v>174</v>
      </c>
      <c r="AJ2209" s="355" t="s">
        <v>98</v>
      </c>
      <c r="AK2209" s="354">
        <v>31022</v>
      </c>
      <c r="AL2209" s="355" t="s">
        <v>98</v>
      </c>
      <c r="AM2209" s="355" t="s">
        <v>690</v>
      </c>
      <c r="AN2209" s="357" t="s">
        <v>276</v>
      </c>
      <c r="AO2209" s="386">
        <f t="shared" si="610"/>
        <v>5.6089227000193409</v>
      </c>
      <c r="AP2209" s="357" t="s">
        <v>276</v>
      </c>
      <c r="AQ2209" s="357" t="s">
        <v>276</v>
      </c>
      <c r="AR2209" s="357" t="s">
        <v>276</v>
      </c>
      <c r="AS2209" s="357" t="s">
        <v>276</v>
      </c>
      <c r="AT2209" s="357" t="s">
        <v>276</v>
      </c>
      <c r="AU2209" s="357" t="s">
        <v>276</v>
      </c>
      <c r="AV2209" s="357" t="s">
        <v>276</v>
      </c>
      <c r="AW2209" s="357" t="s">
        <v>276</v>
      </c>
      <c r="AX2209" s="357" t="s">
        <v>276</v>
      </c>
      <c r="AY2209" s="357" t="s">
        <v>276</v>
      </c>
      <c r="AZ2209" s="357" t="s">
        <v>276</v>
      </c>
      <c r="BA2209" s="357" t="s">
        <v>276</v>
      </c>
      <c r="BB2209" s="357" t="s">
        <v>276</v>
      </c>
      <c r="BC2209" s="357" t="s">
        <v>276</v>
      </c>
      <c r="BD2209" s="357" t="s">
        <v>276</v>
      </c>
      <c r="BE2209" s="357" t="s">
        <v>276</v>
      </c>
      <c r="BF2209" s="351" t="s">
        <v>5617</v>
      </c>
      <c r="BG2209" s="351"/>
      <c r="BH2209" s="9" t="s">
        <v>100</v>
      </c>
      <c r="BI2209" s="9" t="s">
        <v>100</v>
      </c>
      <c r="BJ2209" s="373"/>
      <c r="BN2209" s="373"/>
      <c r="BO2209" s="373"/>
    </row>
    <row r="2210" spans="1:67" s="374" customFormat="1" ht="52" hidden="1" x14ac:dyDescent="0.35">
      <c r="A2210" s="357">
        <v>10548</v>
      </c>
      <c r="B2210" s="357" t="s">
        <v>5029</v>
      </c>
      <c r="C2210" s="357" t="s">
        <v>88</v>
      </c>
      <c r="D2210" s="351" t="s">
        <v>5664</v>
      </c>
      <c r="E2210" s="357" t="s">
        <v>43</v>
      </c>
      <c r="F2210" s="351" t="s">
        <v>4987</v>
      </c>
      <c r="G2210" s="357" t="s">
        <v>225</v>
      </c>
      <c r="H2210" s="357" t="s">
        <v>125</v>
      </c>
      <c r="I2210" s="357" t="s">
        <v>114</v>
      </c>
      <c r="J2210" s="351" t="s">
        <v>98</v>
      </c>
      <c r="K2210" s="357" t="s">
        <v>98</v>
      </c>
      <c r="L2210" s="357" t="s">
        <v>98</v>
      </c>
      <c r="M2210" s="357" t="s">
        <v>98</v>
      </c>
      <c r="N2210" s="351" t="s">
        <v>5613</v>
      </c>
      <c r="O2210" s="351" t="s">
        <v>276</v>
      </c>
      <c r="P2210" s="351" t="s">
        <v>238</v>
      </c>
      <c r="Q2210" s="383" t="s">
        <v>5034</v>
      </c>
      <c r="R2210" s="351" t="s">
        <v>98</v>
      </c>
      <c r="S2210" s="380" t="s">
        <v>5636</v>
      </c>
      <c r="T2210" s="380" t="s">
        <v>98</v>
      </c>
      <c r="U2210" s="351" t="s">
        <v>276</v>
      </c>
      <c r="V2210" s="357" t="s">
        <v>261</v>
      </c>
      <c r="W2210" s="357" t="s">
        <v>5637</v>
      </c>
      <c r="X2210" s="351" t="s">
        <v>209</v>
      </c>
      <c r="Y2210" s="354" t="s">
        <v>98</v>
      </c>
      <c r="Z2210" s="354" t="s">
        <v>98</v>
      </c>
      <c r="AA2210" s="351" t="s">
        <v>276</v>
      </c>
      <c r="AB2210" s="351" t="s">
        <v>276</v>
      </c>
      <c r="AC2210" s="357" t="s">
        <v>276</v>
      </c>
      <c r="AD2210" s="357" t="s">
        <v>5574</v>
      </c>
      <c r="AE2210" s="357" t="s">
        <v>98</v>
      </c>
      <c r="AF2210" s="357" t="s">
        <v>98</v>
      </c>
      <c r="AG2210" s="351" t="s">
        <v>5615</v>
      </c>
      <c r="AH2210" s="351" t="s">
        <v>5596</v>
      </c>
      <c r="AI2210" s="355">
        <v>113</v>
      </c>
      <c r="AJ2210" s="355" t="s">
        <v>98</v>
      </c>
      <c r="AK2210" s="354">
        <v>11430</v>
      </c>
      <c r="AL2210" s="355" t="s">
        <v>98</v>
      </c>
      <c r="AM2210" s="355" t="s">
        <v>690</v>
      </c>
      <c r="AN2210" s="357" t="s">
        <v>276</v>
      </c>
      <c r="AO2210" s="386">
        <f t="shared" si="610"/>
        <v>9.8862642169728776</v>
      </c>
      <c r="AP2210" s="357" t="s">
        <v>276</v>
      </c>
      <c r="AQ2210" s="357" t="s">
        <v>276</v>
      </c>
      <c r="AR2210" s="357" t="s">
        <v>276</v>
      </c>
      <c r="AS2210" s="357" t="s">
        <v>276</v>
      </c>
      <c r="AT2210" s="357" t="s">
        <v>276</v>
      </c>
      <c r="AU2210" s="357" t="s">
        <v>276</v>
      </c>
      <c r="AV2210" s="357" t="s">
        <v>276</v>
      </c>
      <c r="AW2210" s="357" t="s">
        <v>276</v>
      </c>
      <c r="AX2210" s="357" t="s">
        <v>276</v>
      </c>
      <c r="AY2210" s="357" t="s">
        <v>276</v>
      </c>
      <c r="AZ2210" s="357" t="s">
        <v>276</v>
      </c>
      <c r="BA2210" s="357" t="s">
        <v>276</v>
      </c>
      <c r="BB2210" s="357" t="s">
        <v>276</v>
      </c>
      <c r="BC2210" s="357" t="s">
        <v>276</v>
      </c>
      <c r="BD2210" s="357" t="s">
        <v>276</v>
      </c>
      <c r="BE2210" s="357" t="s">
        <v>276</v>
      </c>
      <c r="BF2210" s="351" t="s">
        <v>5617</v>
      </c>
      <c r="BG2210" s="351"/>
      <c r="BH2210" s="9" t="s">
        <v>100</v>
      </c>
      <c r="BI2210" s="9" t="s">
        <v>100</v>
      </c>
      <c r="BJ2210" s="373"/>
      <c r="BN2210" s="373"/>
      <c r="BO2210" s="373"/>
    </row>
    <row r="2211" spans="1:67" s="374" customFormat="1" ht="52" hidden="1" x14ac:dyDescent="0.35">
      <c r="A2211" s="357">
        <v>10548</v>
      </c>
      <c r="B2211" s="357" t="s">
        <v>5029</v>
      </c>
      <c r="C2211" s="357" t="s">
        <v>88</v>
      </c>
      <c r="D2211" s="351" t="s">
        <v>5665</v>
      </c>
      <c r="E2211" s="357" t="s">
        <v>43</v>
      </c>
      <c r="F2211" s="351" t="s">
        <v>4987</v>
      </c>
      <c r="G2211" s="357" t="s">
        <v>225</v>
      </c>
      <c r="H2211" s="357" t="s">
        <v>125</v>
      </c>
      <c r="I2211" s="357" t="s">
        <v>114</v>
      </c>
      <c r="J2211" s="351" t="s">
        <v>98</v>
      </c>
      <c r="K2211" s="357" t="s">
        <v>98</v>
      </c>
      <c r="L2211" s="357" t="s">
        <v>98</v>
      </c>
      <c r="M2211" s="357" t="s">
        <v>98</v>
      </c>
      <c r="N2211" s="351" t="s">
        <v>5613</v>
      </c>
      <c r="O2211" s="351" t="s">
        <v>276</v>
      </c>
      <c r="P2211" s="351" t="s">
        <v>238</v>
      </c>
      <c r="Q2211" s="383" t="s">
        <v>5034</v>
      </c>
      <c r="R2211" s="351" t="s">
        <v>98</v>
      </c>
      <c r="S2211" s="380" t="s">
        <v>5639</v>
      </c>
      <c r="T2211" s="380" t="s">
        <v>98</v>
      </c>
      <c r="U2211" s="351" t="s">
        <v>276</v>
      </c>
      <c r="V2211" s="357" t="s">
        <v>15</v>
      </c>
      <c r="W2211" s="357" t="s">
        <v>5640</v>
      </c>
      <c r="X2211" s="351" t="s">
        <v>209</v>
      </c>
      <c r="Y2211" s="354" t="s">
        <v>98</v>
      </c>
      <c r="Z2211" s="354" t="s">
        <v>98</v>
      </c>
      <c r="AA2211" s="351" t="s">
        <v>276</v>
      </c>
      <c r="AB2211" s="351" t="s">
        <v>276</v>
      </c>
      <c r="AC2211" s="357" t="s">
        <v>276</v>
      </c>
      <c r="AD2211" s="357" t="s">
        <v>5574</v>
      </c>
      <c r="AE2211" s="357" t="s">
        <v>98</v>
      </c>
      <c r="AF2211" s="357" t="s">
        <v>98</v>
      </c>
      <c r="AG2211" s="351" t="s">
        <v>5615</v>
      </c>
      <c r="AH2211" s="351" t="s">
        <v>5596</v>
      </c>
      <c r="AI2211" s="355">
        <v>5032</v>
      </c>
      <c r="AJ2211" s="355" t="s">
        <v>98</v>
      </c>
      <c r="AK2211" s="354">
        <v>112569</v>
      </c>
      <c r="AL2211" s="355" t="s">
        <v>98</v>
      </c>
      <c r="AM2211" s="355" t="s">
        <v>690</v>
      </c>
      <c r="AN2211" s="357" t="s">
        <v>276</v>
      </c>
      <c r="AO2211" s="386">
        <f t="shared" si="610"/>
        <v>44.701471986070764</v>
      </c>
      <c r="AP2211" s="357" t="s">
        <v>276</v>
      </c>
      <c r="AQ2211" s="357" t="s">
        <v>276</v>
      </c>
      <c r="AR2211" s="357" t="s">
        <v>276</v>
      </c>
      <c r="AS2211" s="357" t="s">
        <v>276</v>
      </c>
      <c r="AT2211" s="357" t="s">
        <v>276</v>
      </c>
      <c r="AU2211" s="357" t="s">
        <v>276</v>
      </c>
      <c r="AV2211" s="357" t="s">
        <v>276</v>
      </c>
      <c r="AW2211" s="357" t="s">
        <v>276</v>
      </c>
      <c r="AX2211" s="357" t="s">
        <v>276</v>
      </c>
      <c r="AY2211" s="357" t="s">
        <v>276</v>
      </c>
      <c r="AZ2211" s="357" t="s">
        <v>276</v>
      </c>
      <c r="BA2211" s="357" t="s">
        <v>276</v>
      </c>
      <c r="BB2211" s="357" t="s">
        <v>276</v>
      </c>
      <c r="BC2211" s="357" t="s">
        <v>276</v>
      </c>
      <c r="BD2211" s="357" t="s">
        <v>276</v>
      </c>
      <c r="BE2211" s="357" t="s">
        <v>276</v>
      </c>
      <c r="BF2211" s="351" t="s">
        <v>1358</v>
      </c>
      <c r="BG2211" s="351"/>
      <c r="BH2211" s="9" t="s">
        <v>100</v>
      </c>
      <c r="BI2211" s="9" t="s">
        <v>100</v>
      </c>
      <c r="BJ2211" s="373"/>
      <c r="BN2211" s="373"/>
      <c r="BO2211" s="373"/>
    </row>
    <row r="2212" spans="1:67" s="374" customFormat="1" ht="52" hidden="1" x14ac:dyDescent="0.35">
      <c r="A2212" s="357">
        <v>10548</v>
      </c>
      <c r="B2212" s="357" t="s">
        <v>5029</v>
      </c>
      <c r="C2212" s="357" t="s">
        <v>88</v>
      </c>
      <c r="D2212" s="351" t="s">
        <v>5666</v>
      </c>
      <c r="E2212" s="357" t="s">
        <v>43</v>
      </c>
      <c r="F2212" s="351" t="s">
        <v>4987</v>
      </c>
      <c r="G2212" s="357" t="s">
        <v>225</v>
      </c>
      <c r="H2212" s="357" t="s">
        <v>125</v>
      </c>
      <c r="I2212" s="357" t="s">
        <v>114</v>
      </c>
      <c r="J2212" s="351" t="s">
        <v>98</v>
      </c>
      <c r="K2212" s="357" t="s">
        <v>98</v>
      </c>
      <c r="L2212" s="357" t="s">
        <v>98</v>
      </c>
      <c r="M2212" s="357" t="s">
        <v>98</v>
      </c>
      <c r="N2212" s="351" t="s">
        <v>5613</v>
      </c>
      <c r="O2212" s="351" t="s">
        <v>276</v>
      </c>
      <c r="P2212" s="351" t="s">
        <v>238</v>
      </c>
      <c r="Q2212" s="383" t="s">
        <v>5034</v>
      </c>
      <c r="R2212" s="351" t="s">
        <v>98</v>
      </c>
      <c r="S2212" s="380" t="s">
        <v>5619</v>
      </c>
      <c r="T2212" s="380" t="s">
        <v>98</v>
      </c>
      <c r="U2212" s="351" t="s">
        <v>276</v>
      </c>
      <c r="V2212" s="357" t="s">
        <v>259</v>
      </c>
      <c r="W2212" s="351" t="s">
        <v>5033</v>
      </c>
      <c r="X2212" s="351" t="s">
        <v>209</v>
      </c>
      <c r="Y2212" s="354" t="s">
        <v>98</v>
      </c>
      <c r="Z2212" s="354" t="s">
        <v>98</v>
      </c>
      <c r="AA2212" s="351" t="s">
        <v>276</v>
      </c>
      <c r="AB2212" s="351" t="s">
        <v>276</v>
      </c>
      <c r="AC2212" s="357" t="s">
        <v>276</v>
      </c>
      <c r="AD2212" s="357" t="s">
        <v>5574</v>
      </c>
      <c r="AE2212" s="357" t="s">
        <v>98</v>
      </c>
      <c r="AF2212" s="357" t="s">
        <v>98</v>
      </c>
      <c r="AG2212" s="351" t="s">
        <v>5615</v>
      </c>
      <c r="AH2212" s="351" t="s">
        <v>5596</v>
      </c>
      <c r="AI2212" s="355">
        <v>4757</v>
      </c>
      <c r="AJ2212" s="355" t="s">
        <v>98</v>
      </c>
      <c r="AK2212" s="354">
        <v>72891</v>
      </c>
      <c r="AL2212" s="355" t="s">
        <v>98</v>
      </c>
      <c r="AM2212" s="355" t="s">
        <v>690</v>
      </c>
      <c r="AN2212" s="357" t="s">
        <v>276</v>
      </c>
      <c r="AO2212" s="382">
        <f t="shared" si="610"/>
        <v>65.261829306773123</v>
      </c>
      <c r="AP2212" s="357" t="s">
        <v>276</v>
      </c>
      <c r="AQ2212" s="357" t="s">
        <v>276</v>
      </c>
      <c r="AR2212" s="357" t="s">
        <v>276</v>
      </c>
      <c r="AS2212" s="357" t="s">
        <v>276</v>
      </c>
      <c r="AT2212" s="357" t="s">
        <v>276</v>
      </c>
      <c r="AU2212" s="357" t="s">
        <v>276</v>
      </c>
      <c r="AV2212" s="357" t="s">
        <v>276</v>
      </c>
      <c r="AW2212" s="357" t="s">
        <v>276</v>
      </c>
      <c r="AX2212" s="357" t="s">
        <v>276</v>
      </c>
      <c r="AY2212" s="357" t="s">
        <v>276</v>
      </c>
      <c r="AZ2212" s="357" t="s">
        <v>276</v>
      </c>
      <c r="BA2212" s="357" t="s">
        <v>276</v>
      </c>
      <c r="BB2212" s="357" t="s">
        <v>276</v>
      </c>
      <c r="BC2212" s="357" t="s">
        <v>276</v>
      </c>
      <c r="BD2212" s="357" t="s">
        <v>276</v>
      </c>
      <c r="BE2212" s="357" t="s">
        <v>276</v>
      </c>
      <c r="BF2212" s="351" t="s">
        <v>1358</v>
      </c>
      <c r="BG2212" s="351"/>
      <c r="BH2212" s="9" t="s">
        <v>100</v>
      </c>
      <c r="BI2212" s="9" t="s">
        <v>100</v>
      </c>
      <c r="BJ2212" s="373"/>
      <c r="BN2212" s="373"/>
      <c r="BO2212" s="373"/>
    </row>
    <row r="2213" spans="1:67" s="374" customFormat="1" ht="52" hidden="1" x14ac:dyDescent="0.35">
      <c r="A2213" s="357">
        <v>10548</v>
      </c>
      <c r="B2213" s="357" t="s">
        <v>5029</v>
      </c>
      <c r="C2213" s="357" t="s">
        <v>88</v>
      </c>
      <c r="D2213" s="351" t="s">
        <v>5667</v>
      </c>
      <c r="E2213" s="357" t="s">
        <v>43</v>
      </c>
      <c r="F2213" s="351" t="s">
        <v>4987</v>
      </c>
      <c r="G2213" s="357" t="s">
        <v>225</v>
      </c>
      <c r="H2213" s="357" t="s">
        <v>125</v>
      </c>
      <c r="I2213" s="357" t="s">
        <v>114</v>
      </c>
      <c r="J2213" s="351" t="s">
        <v>98</v>
      </c>
      <c r="K2213" s="357" t="s">
        <v>98</v>
      </c>
      <c r="L2213" s="357" t="s">
        <v>98</v>
      </c>
      <c r="M2213" s="357" t="s">
        <v>98</v>
      </c>
      <c r="N2213" s="351" t="s">
        <v>5613</v>
      </c>
      <c r="O2213" s="351" t="s">
        <v>276</v>
      </c>
      <c r="P2213" s="351" t="s">
        <v>238</v>
      </c>
      <c r="Q2213" s="383" t="s">
        <v>5034</v>
      </c>
      <c r="R2213" s="351" t="s">
        <v>98</v>
      </c>
      <c r="S2213" s="380" t="s">
        <v>5643</v>
      </c>
      <c r="T2213" s="380" t="s">
        <v>98</v>
      </c>
      <c r="U2213" s="351" t="s">
        <v>276</v>
      </c>
      <c r="V2213" s="357" t="s">
        <v>259</v>
      </c>
      <c r="W2213" s="351" t="s">
        <v>5072</v>
      </c>
      <c r="X2213" s="351" t="s">
        <v>209</v>
      </c>
      <c r="Y2213" s="354" t="s">
        <v>98</v>
      </c>
      <c r="Z2213" s="354" t="s">
        <v>98</v>
      </c>
      <c r="AA2213" s="351" t="s">
        <v>276</v>
      </c>
      <c r="AB2213" s="351" t="s">
        <v>276</v>
      </c>
      <c r="AC2213" s="357" t="s">
        <v>276</v>
      </c>
      <c r="AD2213" s="357" t="s">
        <v>5574</v>
      </c>
      <c r="AE2213" s="357" t="s">
        <v>98</v>
      </c>
      <c r="AF2213" s="357" t="s">
        <v>98</v>
      </c>
      <c r="AG2213" s="351" t="s">
        <v>5615</v>
      </c>
      <c r="AH2213" s="351" t="s">
        <v>5596</v>
      </c>
      <c r="AI2213" s="355">
        <v>1730</v>
      </c>
      <c r="AJ2213" s="355" t="s">
        <v>98</v>
      </c>
      <c r="AK2213" s="354">
        <v>17443</v>
      </c>
      <c r="AL2213" s="355" t="s">
        <v>98</v>
      </c>
      <c r="AM2213" s="355" t="s">
        <v>690</v>
      </c>
      <c r="AN2213" s="357" t="s">
        <v>276</v>
      </c>
      <c r="AO2213" s="386">
        <f t="shared" si="610"/>
        <v>99.180186894456227</v>
      </c>
      <c r="AP2213" s="357" t="s">
        <v>276</v>
      </c>
      <c r="AQ2213" s="357" t="s">
        <v>276</v>
      </c>
      <c r="AR2213" s="357" t="s">
        <v>276</v>
      </c>
      <c r="AS2213" s="357" t="s">
        <v>276</v>
      </c>
      <c r="AT2213" s="357" t="s">
        <v>276</v>
      </c>
      <c r="AU2213" s="357" t="s">
        <v>276</v>
      </c>
      <c r="AV2213" s="357" t="s">
        <v>276</v>
      </c>
      <c r="AW2213" s="357" t="s">
        <v>276</v>
      </c>
      <c r="AX2213" s="357" t="s">
        <v>276</v>
      </c>
      <c r="AY2213" s="357" t="s">
        <v>276</v>
      </c>
      <c r="AZ2213" s="357" t="s">
        <v>276</v>
      </c>
      <c r="BA2213" s="357" t="s">
        <v>276</v>
      </c>
      <c r="BB2213" s="357" t="s">
        <v>276</v>
      </c>
      <c r="BC2213" s="357" t="s">
        <v>276</v>
      </c>
      <c r="BD2213" s="357" t="s">
        <v>276</v>
      </c>
      <c r="BE2213" s="357" t="s">
        <v>276</v>
      </c>
      <c r="BF2213" s="351" t="s">
        <v>1358</v>
      </c>
      <c r="BG2213" s="351"/>
      <c r="BH2213" s="9" t="s">
        <v>100</v>
      </c>
      <c r="BI2213" s="9" t="s">
        <v>100</v>
      </c>
      <c r="BJ2213" s="373"/>
      <c r="BN2213" s="373"/>
      <c r="BO2213" s="373"/>
    </row>
    <row r="2214" spans="1:67" s="374" customFormat="1" ht="52" hidden="1" x14ac:dyDescent="0.35">
      <c r="A2214" s="357">
        <v>10548</v>
      </c>
      <c r="B2214" s="357" t="s">
        <v>5029</v>
      </c>
      <c r="C2214" s="357" t="s">
        <v>88</v>
      </c>
      <c r="D2214" s="351" t="s">
        <v>5668</v>
      </c>
      <c r="E2214" s="357" t="s">
        <v>43</v>
      </c>
      <c r="F2214" s="351" t="s">
        <v>4987</v>
      </c>
      <c r="G2214" s="357" t="s">
        <v>225</v>
      </c>
      <c r="H2214" s="357" t="s">
        <v>125</v>
      </c>
      <c r="I2214" s="357" t="s">
        <v>114</v>
      </c>
      <c r="J2214" s="351" t="s">
        <v>98</v>
      </c>
      <c r="K2214" s="357" t="s">
        <v>98</v>
      </c>
      <c r="L2214" s="357" t="s">
        <v>98</v>
      </c>
      <c r="M2214" s="357" t="s">
        <v>98</v>
      </c>
      <c r="N2214" s="351" t="s">
        <v>5613</v>
      </c>
      <c r="O2214" s="351" t="s">
        <v>276</v>
      </c>
      <c r="P2214" s="351" t="s">
        <v>238</v>
      </c>
      <c r="Q2214" s="383" t="s">
        <v>5034</v>
      </c>
      <c r="R2214" s="351" t="s">
        <v>98</v>
      </c>
      <c r="S2214" s="380" t="s">
        <v>5622</v>
      </c>
      <c r="T2214" s="380" t="s">
        <v>98</v>
      </c>
      <c r="U2214" s="351" t="s">
        <v>276</v>
      </c>
      <c r="V2214" s="357" t="s">
        <v>259</v>
      </c>
      <c r="W2214" s="351" t="s">
        <v>5130</v>
      </c>
      <c r="X2214" s="351" t="s">
        <v>209</v>
      </c>
      <c r="Y2214" s="354" t="s">
        <v>98</v>
      </c>
      <c r="Z2214" s="354" t="s">
        <v>98</v>
      </c>
      <c r="AA2214" s="351" t="s">
        <v>276</v>
      </c>
      <c r="AB2214" s="351" t="s">
        <v>276</v>
      </c>
      <c r="AC2214" s="357" t="s">
        <v>276</v>
      </c>
      <c r="AD2214" s="357" t="s">
        <v>5574</v>
      </c>
      <c r="AE2214" s="357" t="s">
        <v>98</v>
      </c>
      <c r="AF2214" s="357" t="s">
        <v>98</v>
      </c>
      <c r="AG2214" s="351" t="s">
        <v>5615</v>
      </c>
      <c r="AH2214" s="351" t="s">
        <v>5596</v>
      </c>
      <c r="AI2214" s="355">
        <v>187</v>
      </c>
      <c r="AJ2214" s="355" t="s">
        <v>98</v>
      </c>
      <c r="AK2214" s="354">
        <v>4307</v>
      </c>
      <c r="AL2214" s="355" t="s">
        <v>98</v>
      </c>
      <c r="AM2214" s="355" t="s">
        <v>690</v>
      </c>
      <c r="AN2214" s="357" t="s">
        <v>276</v>
      </c>
      <c r="AO2214" s="386">
        <f t="shared" si="610"/>
        <v>43.417692129092174</v>
      </c>
      <c r="AP2214" s="357" t="s">
        <v>276</v>
      </c>
      <c r="AQ2214" s="357" t="s">
        <v>276</v>
      </c>
      <c r="AR2214" s="357" t="s">
        <v>276</v>
      </c>
      <c r="AS2214" s="357" t="s">
        <v>276</v>
      </c>
      <c r="AT2214" s="357" t="s">
        <v>276</v>
      </c>
      <c r="AU2214" s="357" t="s">
        <v>276</v>
      </c>
      <c r="AV2214" s="357" t="s">
        <v>276</v>
      </c>
      <c r="AW2214" s="357" t="s">
        <v>276</v>
      </c>
      <c r="AX2214" s="357" t="s">
        <v>276</v>
      </c>
      <c r="AY2214" s="357" t="s">
        <v>276</v>
      </c>
      <c r="AZ2214" s="357" t="s">
        <v>276</v>
      </c>
      <c r="BA2214" s="357" t="s">
        <v>276</v>
      </c>
      <c r="BB2214" s="357" t="s">
        <v>276</v>
      </c>
      <c r="BC2214" s="357" t="s">
        <v>276</v>
      </c>
      <c r="BD2214" s="357" t="s">
        <v>276</v>
      </c>
      <c r="BE2214" s="357" t="s">
        <v>276</v>
      </c>
      <c r="BF2214" s="351" t="s">
        <v>1358</v>
      </c>
      <c r="BG2214" s="351"/>
      <c r="BH2214" s="9" t="s">
        <v>100</v>
      </c>
      <c r="BI2214" s="9" t="s">
        <v>100</v>
      </c>
      <c r="BJ2214" s="373"/>
      <c r="BN2214" s="373"/>
      <c r="BO2214" s="373"/>
    </row>
    <row r="2215" spans="1:67" s="374" customFormat="1" ht="52" hidden="1" x14ac:dyDescent="0.35">
      <c r="A2215" s="357">
        <v>10548</v>
      </c>
      <c r="B2215" s="357" t="s">
        <v>5029</v>
      </c>
      <c r="C2215" s="357" t="s">
        <v>88</v>
      </c>
      <c r="D2215" s="351" t="s">
        <v>5669</v>
      </c>
      <c r="E2215" s="357" t="s">
        <v>43</v>
      </c>
      <c r="F2215" s="351" t="s">
        <v>4987</v>
      </c>
      <c r="G2215" s="357" t="s">
        <v>225</v>
      </c>
      <c r="H2215" s="357" t="s">
        <v>125</v>
      </c>
      <c r="I2215" s="357" t="s">
        <v>114</v>
      </c>
      <c r="J2215" s="351" t="s">
        <v>98</v>
      </c>
      <c r="K2215" s="357" t="s">
        <v>98</v>
      </c>
      <c r="L2215" s="357" t="s">
        <v>98</v>
      </c>
      <c r="M2215" s="357" t="s">
        <v>98</v>
      </c>
      <c r="N2215" s="351" t="s">
        <v>5613</v>
      </c>
      <c r="O2215" s="351" t="s">
        <v>276</v>
      </c>
      <c r="P2215" s="351" t="s">
        <v>238</v>
      </c>
      <c r="Q2215" s="383" t="s">
        <v>5034</v>
      </c>
      <c r="R2215" s="351" t="s">
        <v>98</v>
      </c>
      <c r="S2215" s="380" t="s">
        <v>5624</v>
      </c>
      <c r="T2215" s="380" t="s">
        <v>98</v>
      </c>
      <c r="U2215" s="351" t="s">
        <v>276</v>
      </c>
      <c r="V2215" s="357" t="s">
        <v>259</v>
      </c>
      <c r="W2215" s="351" t="s">
        <v>5133</v>
      </c>
      <c r="X2215" s="351" t="s">
        <v>209</v>
      </c>
      <c r="Y2215" s="354" t="s">
        <v>98</v>
      </c>
      <c r="Z2215" s="354" t="s">
        <v>98</v>
      </c>
      <c r="AA2215" s="351" t="s">
        <v>276</v>
      </c>
      <c r="AB2215" s="351" t="s">
        <v>276</v>
      </c>
      <c r="AC2215" s="357" t="s">
        <v>276</v>
      </c>
      <c r="AD2215" s="357" t="s">
        <v>5574</v>
      </c>
      <c r="AE2215" s="357" t="s">
        <v>98</v>
      </c>
      <c r="AF2215" s="357" t="s">
        <v>98</v>
      </c>
      <c r="AG2215" s="351" t="s">
        <v>5615</v>
      </c>
      <c r="AH2215" s="351" t="s">
        <v>5596</v>
      </c>
      <c r="AI2215" s="355">
        <v>576</v>
      </c>
      <c r="AJ2215" s="355" t="s">
        <v>98</v>
      </c>
      <c r="AK2215" s="354">
        <v>5901</v>
      </c>
      <c r="AL2215" s="355" t="s">
        <v>98</v>
      </c>
      <c r="AM2215" s="355" t="s">
        <v>690</v>
      </c>
      <c r="AN2215" s="357" t="s">
        <v>276</v>
      </c>
      <c r="AO2215" s="386">
        <f t="shared" si="610"/>
        <v>97.610574478901881</v>
      </c>
      <c r="AP2215" s="357" t="s">
        <v>276</v>
      </c>
      <c r="AQ2215" s="357" t="s">
        <v>276</v>
      </c>
      <c r="AR2215" s="357" t="s">
        <v>276</v>
      </c>
      <c r="AS2215" s="357" t="s">
        <v>276</v>
      </c>
      <c r="AT2215" s="357" t="s">
        <v>276</v>
      </c>
      <c r="AU2215" s="357" t="s">
        <v>276</v>
      </c>
      <c r="AV2215" s="357" t="s">
        <v>276</v>
      </c>
      <c r="AW2215" s="357" t="s">
        <v>276</v>
      </c>
      <c r="AX2215" s="357" t="s">
        <v>276</v>
      </c>
      <c r="AY2215" s="357" t="s">
        <v>276</v>
      </c>
      <c r="AZ2215" s="357" t="s">
        <v>276</v>
      </c>
      <c r="BA2215" s="357" t="s">
        <v>276</v>
      </c>
      <c r="BB2215" s="357" t="s">
        <v>276</v>
      </c>
      <c r="BC2215" s="357" t="s">
        <v>276</v>
      </c>
      <c r="BD2215" s="357" t="s">
        <v>276</v>
      </c>
      <c r="BE2215" s="357" t="s">
        <v>276</v>
      </c>
      <c r="BF2215" s="351" t="s">
        <v>1358</v>
      </c>
      <c r="BG2215" s="351"/>
      <c r="BH2215" s="9" t="s">
        <v>100</v>
      </c>
      <c r="BI2215" s="9" t="s">
        <v>100</v>
      </c>
      <c r="BJ2215" s="373"/>
      <c r="BN2215" s="373"/>
      <c r="BO2215" s="373"/>
    </row>
    <row r="2216" spans="1:67" s="374" customFormat="1" ht="52" hidden="1" x14ac:dyDescent="0.35">
      <c r="A2216" s="357">
        <v>10548</v>
      </c>
      <c r="B2216" s="357" t="s">
        <v>5029</v>
      </c>
      <c r="C2216" s="357" t="s">
        <v>88</v>
      </c>
      <c r="D2216" s="351" t="s">
        <v>5670</v>
      </c>
      <c r="E2216" s="357" t="s">
        <v>43</v>
      </c>
      <c r="F2216" s="351" t="s">
        <v>4987</v>
      </c>
      <c r="G2216" s="357" t="s">
        <v>225</v>
      </c>
      <c r="H2216" s="357" t="s">
        <v>125</v>
      </c>
      <c r="I2216" s="357" t="s">
        <v>114</v>
      </c>
      <c r="J2216" s="351" t="s">
        <v>98</v>
      </c>
      <c r="K2216" s="357" t="s">
        <v>98</v>
      </c>
      <c r="L2216" s="357" t="s">
        <v>98</v>
      </c>
      <c r="M2216" s="357" t="s">
        <v>98</v>
      </c>
      <c r="N2216" s="351" t="s">
        <v>5613</v>
      </c>
      <c r="O2216" s="351" t="s">
        <v>276</v>
      </c>
      <c r="P2216" s="351" t="s">
        <v>238</v>
      </c>
      <c r="Q2216" s="383" t="s">
        <v>5034</v>
      </c>
      <c r="R2216" s="351" t="s">
        <v>98</v>
      </c>
      <c r="S2216" s="380" t="s">
        <v>5619</v>
      </c>
      <c r="T2216" s="380" t="s">
        <v>98</v>
      </c>
      <c r="U2216" s="351" t="s">
        <v>276</v>
      </c>
      <c r="V2216" s="357" t="s">
        <v>259</v>
      </c>
      <c r="W2216" s="351" t="s">
        <v>5136</v>
      </c>
      <c r="X2216" s="351" t="s">
        <v>209</v>
      </c>
      <c r="Y2216" s="354" t="s">
        <v>98</v>
      </c>
      <c r="Z2216" s="354" t="s">
        <v>98</v>
      </c>
      <c r="AA2216" s="351" t="s">
        <v>276</v>
      </c>
      <c r="AB2216" s="351" t="s">
        <v>276</v>
      </c>
      <c r="AC2216" s="357" t="s">
        <v>276</v>
      </c>
      <c r="AD2216" s="357" t="s">
        <v>5574</v>
      </c>
      <c r="AE2216" s="357" t="s">
        <v>98</v>
      </c>
      <c r="AF2216" s="357" t="s">
        <v>98</v>
      </c>
      <c r="AG2216" s="351" t="s">
        <v>5615</v>
      </c>
      <c r="AH2216" s="351" t="s">
        <v>5596</v>
      </c>
      <c r="AI2216" s="355">
        <v>1631</v>
      </c>
      <c r="AJ2216" s="355" t="s">
        <v>98</v>
      </c>
      <c r="AK2216" s="354">
        <v>31970</v>
      </c>
      <c r="AL2216" s="355" t="s">
        <v>98</v>
      </c>
      <c r="AM2216" s="355" t="s">
        <v>690</v>
      </c>
      <c r="AN2216" s="357" t="s">
        <v>276</v>
      </c>
      <c r="AO2216" s="386">
        <f t="shared" si="610"/>
        <v>51.016578041914293</v>
      </c>
      <c r="AP2216" s="357" t="s">
        <v>276</v>
      </c>
      <c r="AQ2216" s="357" t="s">
        <v>276</v>
      </c>
      <c r="AR2216" s="357" t="s">
        <v>276</v>
      </c>
      <c r="AS2216" s="357" t="s">
        <v>276</v>
      </c>
      <c r="AT2216" s="357" t="s">
        <v>276</v>
      </c>
      <c r="AU2216" s="357" t="s">
        <v>276</v>
      </c>
      <c r="AV2216" s="357" t="s">
        <v>276</v>
      </c>
      <c r="AW2216" s="357" t="s">
        <v>276</v>
      </c>
      <c r="AX2216" s="357" t="s">
        <v>276</v>
      </c>
      <c r="AY2216" s="357" t="s">
        <v>276</v>
      </c>
      <c r="AZ2216" s="357" t="s">
        <v>276</v>
      </c>
      <c r="BA2216" s="357" t="s">
        <v>276</v>
      </c>
      <c r="BB2216" s="357" t="s">
        <v>276</v>
      </c>
      <c r="BC2216" s="357" t="s">
        <v>276</v>
      </c>
      <c r="BD2216" s="357" t="s">
        <v>276</v>
      </c>
      <c r="BE2216" s="357" t="s">
        <v>276</v>
      </c>
      <c r="BF2216" s="351" t="s">
        <v>1358</v>
      </c>
      <c r="BG2216" s="351"/>
      <c r="BH2216" s="9" t="s">
        <v>100</v>
      </c>
      <c r="BI2216" s="9" t="s">
        <v>100</v>
      </c>
      <c r="BJ2216" s="373"/>
      <c r="BN2216" s="373"/>
      <c r="BO2216" s="373"/>
    </row>
    <row r="2217" spans="1:67" s="374" customFormat="1" ht="52" hidden="1" x14ac:dyDescent="0.35">
      <c r="A2217" s="357">
        <v>10548</v>
      </c>
      <c r="B2217" s="357" t="s">
        <v>5029</v>
      </c>
      <c r="C2217" s="357" t="s">
        <v>88</v>
      </c>
      <c r="D2217" s="351" t="s">
        <v>5671</v>
      </c>
      <c r="E2217" s="357" t="s">
        <v>43</v>
      </c>
      <c r="F2217" s="351" t="s">
        <v>4987</v>
      </c>
      <c r="G2217" s="357" t="s">
        <v>225</v>
      </c>
      <c r="H2217" s="357" t="s">
        <v>125</v>
      </c>
      <c r="I2217" s="357" t="s">
        <v>114</v>
      </c>
      <c r="J2217" s="351" t="s">
        <v>98</v>
      </c>
      <c r="K2217" s="357" t="s">
        <v>98</v>
      </c>
      <c r="L2217" s="357" t="s">
        <v>98</v>
      </c>
      <c r="M2217" s="357" t="s">
        <v>98</v>
      </c>
      <c r="N2217" s="351" t="s">
        <v>5613</v>
      </c>
      <c r="O2217" s="351" t="s">
        <v>276</v>
      </c>
      <c r="P2217" s="351" t="s">
        <v>238</v>
      </c>
      <c r="Q2217" s="383" t="s">
        <v>5034</v>
      </c>
      <c r="R2217" s="351" t="s">
        <v>98</v>
      </c>
      <c r="S2217" s="380" t="s">
        <v>5627</v>
      </c>
      <c r="T2217" s="380" t="s">
        <v>98</v>
      </c>
      <c r="U2217" s="351" t="s">
        <v>276</v>
      </c>
      <c r="V2217" s="357" t="s">
        <v>259</v>
      </c>
      <c r="W2217" s="351" t="s">
        <v>5139</v>
      </c>
      <c r="X2217" s="351" t="s">
        <v>209</v>
      </c>
      <c r="Y2217" s="354" t="s">
        <v>98</v>
      </c>
      <c r="Z2217" s="354" t="s">
        <v>98</v>
      </c>
      <c r="AA2217" s="351" t="s">
        <v>276</v>
      </c>
      <c r="AB2217" s="351" t="s">
        <v>276</v>
      </c>
      <c r="AC2217" s="357" t="s">
        <v>276</v>
      </c>
      <c r="AD2217" s="357" t="s">
        <v>5574</v>
      </c>
      <c r="AE2217" s="357" t="s">
        <v>98</v>
      </c>
      <c r="AF2217" s="357" t="s">
        <v>98</v>
      </c>
      <c r="AG2217" s="351" t="s">
        <v>5615</v>
      </c>
      <c r="AH2217" s="351" t="s">
        <v>5596</v>
      </c>
      <c r="AI2217" s="355">
        <v>197</v>
      </c>
      <c r="AJ2217" s="355" t="s">
        <v>98</v>
      </c>
      <c r="AK2217" s="354">
        <v>7266</v>
      </c>
      <c r="AL2217" s="355" t="s">
        <v>98</v>
      </c>
      <c r="AM2217" s="355" t="s">
        <v>690</v>
      </c>
      <c r="AN2217" s="357" t="s">
        <v>276</v>
      </c>
      <c r="AO2217" s="386">
        <f t="shared" si="610"/>
        <v>27.112579135700521</v>
      </c>
      <c r="AP2217" s="357" t="s">
        <v>276</v>
      </c>
      <c r="AQ2217" s="357" t="s">
        <v>276</v>
      </c>
      <c r="AR2217" s="357" t="s">
        <v>276</v>
      </c>
      <c r="AS2217" s="357" t="s">
        <v>276</v>
      </c>
      <c r="AT2217" s="357" t="s">
        <v>276</v>
      </c>
      <c r="AU2217" s="357" t="s">
        <v>276</v>
      </c>
      <c r="AV2217" s="357" t="s">
        <v>276</v>
      </c>
      <c r="AW2217" s="357" t="s">
        <v>276</v>
      </c>
      <c r="AX2217" s="357" t="s">
        <v>276</v>
      </c>
      <c r="AY2217" s="357" t="s">
        <v>276</v>
      </c>
      <c r="AZ2217" s="357" t="s">
        <v>276</v>
      </c>
      <c r="BA2217" s="357" t="s">
        <v>276</v>
      </c>
      <c r="BB2217" s="357" t="s">
        <v>276</v>
      </c>
      <c r="BC2217" s="357" t="s">
        <v>276</v>
      </c>
      <c r="BD2217" s="357" t="s">
        <v>276</v>
      </c>
      <c r="BE2217" s="357" t="s">
        <v>276</v>
      </c>
      <c r="BF2217" s="351" t="s">
        <v>1358</v>
      </c>
      <c r="BG2217" s="351"/>
      <c r="BH2217" s="9" t="s">
        <v>100</v>
      </c>
      <c r="BI2217" s="9" t="s">
        <v>100</v>
      </c>
      <c r="BJ2217" s="373"/>
      <c r="BN2217" s="373"/>
      <c r="BO2217" s="373"/>
    </row>
    <row r="2218" spans="1:67" s="374" customFormat="1" ht="52" hidden="1" x14ac:dyDescent="0.35">
      <c r="A2218" s="357">
        <v>10548</v>
      </c>
      <c r="B2218" s="357" t="s">
        <v>5029</v>
      </c>
      <c r="C2218" s="357" t="s">
        <v>88</v>
      </c>
      <c r="D2218" s="351" t="s">
        <v>5672</v>
      </c>
      <c r="E2218" s="357" t="s">
        <v>43</v>
      </c>
      <c r="F2218" s="351" t="s">
        <v>4987</v>
      </c>
      <c r="G2218" s="357" t="s">
        <v>225</v>
      </c>
      <c r="H2218" s="357" t="s">
        <v>125</v>
      </c>
      <c r="I2218" s="357" t="s">
        <v>114</v>
      </c>
      <c r="J2218" s="351" t="s">
        <v>98</v>
      </c>
      <c r="K2218" s="357" t="s">
        <v>98</v>
      </c>
      <c r="L2218" s="357" t="s">
        <v>98</v>
      </c>
      <c r="M2218" s="357" t="s">
        <v>98</v>
      </c>
      <c r="N2218" s="351" t="s">
        <v>5613</v>
      </c>
      <c r="O2218" s="351" t="s">
        <v>276</v>
      </c>
      <c r="P2218" s="351" t="s">
        <v>238</v>
      </c>
      <c r="Q2218" s="383" t="s">
        <v>5034</v>
      </c>
      <c r="R2218" s="351" t="s">
        <v>98</v>
      </c>
      <c r="S2218" s="380" t="s">
        <v>5627</v>
      </c>
      <c r="T2218" s="380" t="s">
        <v>98</v>
      </c>
      <c r="U2218" s="351" t="s">
        <v>276</v>
      </c>
      <c r="V2218" s="357" t="s">
        <v>259</v>
      </c>
      <c r="W2218" s="351" t="s">
        <v>5142</v>
      </c>
      <c r="X2218" s="351" t="s">
        <v>209</v>
      </c>
      <c r="Y2218" s="354" t="s">
        <v>98</v>
      </c>
      <c r="Z2218" s="354" t="s">
        <v>98</v>
      </c>
      <c r="AA2218" s="351" t="s">
        <v>276</v>
      </c>
      <c r="AB2218" s="351" t="s">
        <v>276</v>
      </c>
      <c r="AC2218" s="357" t="s">
        <v>276</v>
      </c>
      <c r="AD2218" s="357" t="s">
        <v>5574</v>
      </c>
      <c r="AE2218" s="357" t="s">
        <v>98</v>
      </c>
      <c r="AF2218" s="357" t="s">
        <v>98</v>
      </c>
      <c r="AG2218" s="351" t="s">
        <v>5615</v>
      </c>
      <c r="AH2218" s="351" t="s">
        <v>5596</v>
      </c>
      <c r="AI2218" s="355">
        <v>60</v>
      </c>
      <c r="AJ2218" s="355" t="s">
        <v>98</v>
      </c>
      <c r="AK2218" s="354">
        <v>1056</v>
      </c>
      <c r="AL2218" s="355" t="s">
        <v>98</v>
      </c>
      <c r="AM2218" s="355" t="s">
        <v>690</v>
      </c>
      <c r="AN2218" s="357" t="s">
        <v>276</v>
      </c>
      <c r="AO2218" s="386">
        <f t="shared" si="610"/>
        <v>56.81818181818182</v>
      </c>
      <c r="AP2218" s="357" t="s">
        <v>276</v>
      </c>
      <c r="AQ2218" s="357" t="s">
        <v>276</v>
      </c>
      <c r="AR2218" s="357" t="s">
        <v>276</v>
      </c>
      <c r="AS2218" s="357" t="s">
        <v>276</v>
      </c>
      <c r="AT2218" s="357" t="s">
        <v>276</v>
      </c>
      <c r="AU2218" s="357" t="s">
        <v>276</v>
      </c>
      <c r="AV2218" s="357" t="s">
        <v>276</v>
      </c>
      <c r="AW2218" s="357" t="s">
        <v>276</v>
      </c>
      <c r="AX2218" s="357" t="s">
        <v>276</v>
      </c>
      <c r="AY2218" s="357" t="s">
        <v>276</v>
      </c>
      <c r="AZ2218" s="357" t="s">
        <v>276</v>
      </c>
      <c r="BA2218" s="357" t="s">
        <v>276</v>
      </c>
      <c r="BB2218" s="357" t="s">
        <v>276</v>
      </c>
      <c r="BC2218" s="357" t="s">
        <v>276</v>
      </c>
      <c r="BD2218" s="357" t="s">
        <v>276</v>
      </c>
      <c r="BE2218" s="357" t="s">
        <v>276</v>
      </c>
      <c r="BF2218" s="351" t="s">
        <v>1358</v>
      </c>
      <c r="BG2218" s="351"/>
      <c r="BH2218" s="9" t="s">
        <v>100</v>
      </c>
      <c r="BI2218" s="9" t="s">
        <v>100</v>
      </c>
      <c r="BJ2218" s="373"/>
      <c r="BN2218" s="373"/>
      <c r="BO2218" s="373"/>
    </row>
    <row r="2219" spans="1:67" s="374" customFormat="1" ht="52" hidden="1" x14ac:dyDescent="0.35">
      <c r="A2219" s="357">
        <v>10548</v>
      </c>
      <c r="B2219" s="357" t="s">
        <v>5029</v>
      </c>
      <c r="C2219" s="357" t="s">
        <v>88</v>
      </c>
      <c r="D2219" s="351" t="s">
        <v>5673</v>
      </c>
      <c r="E2219" s="357" t="s">
        <v>43</v>
      </c>
      <c r="F2219" s="351" t="s">
        <v>4987</v>
      </c>
      <c r="G2219" s="357" t="s">
        <v>225</v>
      </c>
      <c r="H2219" s="357" t="s">
        <v>125</v>
      </c>
      <c r="I2219" s="357" t="s">
        <v>114</v>
      </c>
      <c r="J2219" s="351" t="s">
        <v>98</v>
      </c>
      <c r="K2219" s="357" t="s">
        <v>98</v>
      </c>
      <c r="L2219" s="357" t="s">
        <v>98</v>
      </c>
      <c r="M2219" s="357" t="s">
        <v>98</v>
      </c>
      <c r="N2219" s="351" t="s">
        <v>5613</v>
      </c>
      <c r="O2219" s="351" t="s">
        <v>276</v>
      </c>
      <c r="P2219" s="351" t="s">
        <v>238</v>
      </c>
      <c r="Q2219" s="383" t="s">
        <v>5034</v>
      </c>
      <c r="R2219" s="351" t="s">
        <v>98</v>
      </c>
      <c r="S2219" s="380" t="s">
        <v>5631</v>
      </c>
      <c r="T2219" s="380" t="s">
        <v>98</v>
      </c>
      <c r="U2219" s="351" t="s">
        <v>276</v>
      </c>
      <c r="V2219" s="357" t="s">
        <v>259</v>
      </c>
      <c r="W2219" s="351" t="s">
        <v>5145</v>
      </c>
      <c r="X2219" s="351" t="s">
        <v>209</v>
      </c>
      <c r="Y2219" s="354" t="s">
        <v>98</v>
      </c>
      <c r="Z2219" s="354" t="s">
        <v>98</v>
      </c>
      <c r="AA2219" s="351" t="s">
        <v>276</v>
      </c>
      <c r="AB2219" s="351" t="s">
        <v>276</v>
      </c>
      <c r="AC2219" s="357" t="s">
        <v>276</v>
      </c>
      <c r="AD2219" s="357" t="s">
        <v>5574</v>
      </c>
      <c r="AE2219" s="357" t="s">
        <v>98</v>
      </c>
      <c r="AF2219" s="357" t="s">
        <v>98</v>
      </c>
      <c r="AG2219" s="351" t="s">
        <v>5615</v>
      </c>
      <c r="AH2219" s="351" t="s">
        <v>5596</v>
      </c>
      <c r="AI2219" s="355">
        <v>376</v>
      </c>
      <c r="AJ2219" s="355" t="s">
        <v>98</v>
      </c>
      <c r="AK2219" s="354">
        <v>4948</v>
      </c>
      <c r="AL2219" s="355" t="s">
        <v>98</v>
      </c>
      <c r="AM2219" s="355" t="s">
        <v>690</v>
      </c>
      <c r="AN2219" s="357" t="s">
        <v>276</v>
      </c>
      <c r="AO2219" s="386">
        <f t="shared" si="610"/>
        <v>75.99029911075182</v>
      </c>
      <c r="AP2219" s="357" t="s">
        <v>276</v>
      </c>
      <c r="AQ2219" s="357" t="s">
        <v>276</v>
      </c>
      <c r="AR2219" s="357" t="s">
        <v>276</v>
      </c>
      <c r="AS2219" s="357" t="s">
        <v>276</v>
      </c>
      <c r="AT2219" s="357" t="s">
        <v>276</v>
      </c>
      <c r="AU2219" s="357" t="s">
        <v>276</v>
      </c>
      <c r="AV2219" s="357" t="s">
        <v>276</v>
      </c>
      <c r="AW2219" s="357" t="s">
        <v>276</v>
      </c>
      <c r="AX2219" s="357" t="s">
        <v>276</v>
      </c>
      <c r="AY2219" s="357" t="s">
        <v>276</v>
      </c>
      <c r="AZ2219" s="357" t="s">
        <v>276</v>
      </c>
      <c r="BA2219" s="357" t="s">
        <v>276</v>
      </c>
      <c r="BB2219" s="357" t="s">
        <v>276</v>
      </c>
      <c r="BC2219" s="357" t="s">
        <v>276</v>
      </c>
      <c r="BD2219" s="357" t="s">
        <v>276</v>
      </c>
      <c r="BE2219" s="357" t="s">
        <v>276</v>
      </c>
      <c r="BF2219" s="351" t="s">
        <v>1358</v>
      </c>
      <c r="BG2219" s="351"/>
      <c r="BH2219" s="9" t="s">
        <v>100</v>
      </c>
      <c r="BI2219" s="9" t="s">
        <v>100</v>
      </c>
      <c r="BJ2219" s="373"/>
      <c r="BN2219" s="373"/>
      <c r="BO2219" s="373"/>
    </row>
    <row r="2220" spans="1:67" s="374" customFormat="1" ht="52" hidden="1" x14ac:dyDescent="0.35">
      <c r="A2220" s="357">
        <v>10548</v>
      </c>
      <c r="B2220" s="357" t="s">
        <v>5029</v>
      </c>
      <c r="C2220" s="357" t="s">
        <v>88</v>
      </c>
      <c r="D2220" s="351" t="s">
        <v>5674</v>
      </c>
      <c r="E2220" s="357" t="s">
        <v>43</v>
      </c>
      <c r="F2220" s="351" t="s">
        <v>4987</v>
      </c>
      <c r="G2220" s="357" t="s">
        <v>225</v>
      </c>
      <c r="H2220" s="357" t="s">
        <v>125</v>
      </c>
      <c r="I2220" s="357" t="s">
        <v>114</v>
      </c>
      <c r="J2220" s="351" t="s">
        <v>98</v>
      </c>
      <c r="K2220" s="357" t="s">
        <v>98</v>
      </c>
      <c r="L2220" s="357" t="s">
        <v>98</v>
      </c>
      <c r="M2220" s="357" t="s">
        <v>98</v>
      </c>
      <c r="N2220" s="351" t="s">
        <v>5613</v>
      </c>
      <c r="O2220" s="351" t="s">
        <v>276</v>
      </c>
      <c r="P2220" s="351" t="s">
        <v>238</v>
      </c>
      <c r="Q2220" s="383" t="s">
        <v>5034</v>
      </c>
      <c r="R2220" s="351" t="s">
        <v>98</v>
      </c>
      <c r="S2220" s="380" t="s">
        <v>5633</v>
      </c>
      <c r="T2220" s="380" t="s">
        <v>98</v>
      </c>
      <c r="U2220" s="351" t="s">
        <v>276</v>
      </c>
      <c r="V2220" s="357" t="s">
        <v>259</v>
      </c>
      <c r="W2220" s="351" t="s">
        <v>5651</v>
      </c>
      <c r="X2220" s="351" t="s">
        <v>209</v>
      </c>
      <c r="Y2220" s="354" t="s">
        <v>98</v>
      </c>
      <c r="Z2220" s="354" t="s">
        <v>98</v>
      </c>
      <c r="AA2220" s="351" t="s">
        <v>276</v>
      </c>
      <c r="AB2220" s="351" t="s">
        <v>276</v>
      </c>
      <c r="AC2220" s="357" t="s">
        <v>276</v>
      </c>
      <c r="AD2220" s="357" t="s">
        <v>5574</v>
      </c>
      <c r="AE2220" s="357" t="s">
        <v>98</v>
      </c>
      <c r="AF2220" s="357" t="s">
        <v>98</v>
      </c>
      <c r="AG2220" s="351" t="s">
        <v>5615</v>
      </c>
      <c r="AH2220" s="351" t="s">
        <v>5596</v>
      </c>
      <c r="AI2220" s="355">
        <v>163</v>
      </c>
      <c r="AJ2220" s="355" t="s">
        <v>98</v>
      </c>
      <c r="AK2220" s="354">
        <v>28792</v>
      </c>
      <c r="AL2220" s="355" t="s">
        <v>98</v>
      </c>
      <c r="AM2220" s="355" t="s">
        <v>690</v>
      </c>
      <c r="AN2220" s="357" t="s">
        <v>276</v>
      </c>
      <c r="AO2220" s="386">
        <f t="shared" si="610"/>
        <v>5.6612948041122531</v>
      </c>
      <c r="AP2220" s="357" t="s">
        <v>276</v>
      </c>
      <c r="AQ2220" s="357" t="s">
        <v>276</v>
      </c>
      <c r="AR2220" s="357" t="s">
        <v>276</v>
      </c>
      <c r="AS2220" s="357" t="s">
        <v>276</v>
      </c>
      <c r="AT2220" s="357" t="s">
        <v>276</v>
      </c>
      <c r="AU2220" s="357" t="s">
        <v>276</v>
      </c>
      <c r="AV2220" s="357" t="s">
        <v>276</v>
      </c>
      <c r="AW2220" s="357" t="s">
        <v>276</v>
      </c>
      <c r="AX2220" s="357" t="s">
        <v>276</v>
      </c>
      <c r="AY2220" s="357" t="s">
        <v>276</v>
      </c>
      <c r="AZ2220" s="357" t="s">
        <v>276</v>
      </c>
      <c r="BA2220" s="357" t="s">
        <v>276</v>
      </c>
      <c r="BB2220" s="357" t="s">
        <v>276</v>
      </c>
      <c r="BC2220" s="357" t="s">
        <v>276</v>
      </c>
      <c r="BD2220" s="357" t="s">
        <v>276</v>
      </c>
      <c r="BE2220" s="357" t="s">
        <v>276</v>
      </c>
      <c r="BF2220" s="351" t="s">
        <v>1358</v>
      </c>
      <c r="BG2220" s="351"/>
      <c r="BH2220" s="9" t="s">
        <v>100</v>
      </c>
      <c r="BI2220" s="9" t="s">
        <v>100</v>
      </c>
      <c r="BJ2220" s="373"/>
      <c r="BN2220" s="373"/>
      <c r="BO2220" s="373"/>
    </row>
    <row r="2221" spans="1:67" s="374" customFormat="1" ht="40" hidden="1" customHeight="1" x14ac:dyDescent="0.35">
      <c r="A2221" s="357">
        <v>10548</v>
      </c>
      <c r="B2221" s="357" t="s">
        <v>5029</v>
      </c>
      <c r="C2221" s="357" t="s">
        <v>88</v>
      </c>
      <c r="D2221" s="351" t="s">
        <v>5675</v>
      </c>
      <c r="E2221" s="357" t="s">
        <v>43</v>
      </c>
      <c r="F2221" s="351" t="s">
        <v>4987</v>
      </c>
      <c r="G2221" s="357" t="s">
        <v>225</v>
      </c>
      <c r="H2221" s="357" t="s">
        <v>125</v>
      </c>
      <c r="I2221" s="357" t="s">
        <v>114</v>
      </c>
      <c r="J2221" s="351" t="s">
        <v>98</v>
      </c>
      <c r="K2221" s="357" t="s">
        <v>98</v>
      </c>
      <c r="L2221" s="357" t="s">
        <v>98</v>
      </c>
      <c r="M2221" s="357" t="s">
        <v>98</v>
      </c>
      <c r="N2221" s="351" t="s">
        <v>5613</v>
      </c>
      <c r="O2221" s="351" t="s">
        <v>276</v>
      </c>
      <c r="P2221" s="351" t="s">
        <v>238</v>
      </c>
      <c r="Q2221" s="383" t="s">
        <v>5034</v>
      </c>
      <c r="R2221" s="351" t="s">
        <v>98</v>
      </c>
      <c r="S2221" s="380" t="s">
        <v>5636</v>
      </c>
      <c r="T2221" s="380" t="s">
        <v>98</v>
      </c>
      <c r="U2221" s="351" t="s">
        <v>276</v>
      </c>
      <c r="V2221" s="357" t="s">
        <v>259</v>
      </c>
      <c r="W2221" s="351" t="s">
        <v>5653</v>
      </c>
      <c r="X2221" s="351" t="s">
        <v>209</v>
      </c>
      <c r="Y2221" s="354" t="s">
        <v>98</v>
      </c>
      <c r="Z2221" s="354" t="s">
        <v>98</v>
      </c>
      <c r="AA2221" s="351" t="s">
        <v>276</v>
      </c>
      <c r="AB2221" s="351" t="s">
        <v>276</v>
      </c>
      <c r="AC2221" s="357" t="s">
        <v>276</v>
      </c>
      <c r="AD2221" s="357" t="s">
        <v>5574</v>
      </c>
      <c r="AE2221" s="357" t="s">
        <v>98</v>
      </c>
      <c r="AF2221" s="357" t="s">
        <v>98</v>
      </c>
      <c r="AG2221" s="351" t="s">
        <v>5615</v>
      </c>
      <c r="AH2221" s="351" t="s">
        <v>5596</v>
      </c>
      <c r="AI2221" s="355">
        <v>112</v>
      </c>
      <c r="AJ2221" s="355" t="s">
        <v>98</v>
      </c>
      <c r="AK2221" s="354">
        <v>10886</v>
      </c>
      <c r="AL2221" s="355" t="s">
        <v>98</v>
      </c>
      <c r="AM2221" s="355" t="s">
        <v>690</v>
      </c>
      <c r="AN2221" s="357" t="s">
        <v>276</v>
      </c>
      <c r="AO2221" s="386">
        <f t="shared" si="610"/>
        <v>10.28844387286423</v>
      </c>
      <c r="AP2221" s="357" t="s">
        <v>276</v>
      </c>
      <c r="AQ2221" s="357" t="s">
        <v>276</v>
      </c>
      <c r="AR2221" s="357" t="s">
        <v>276</v>
      </c>
      <c r="AS2221" s="357" t="s">
        <v>276</v>
      </c>
      <c r="AT2221" s="357" t="s">
        <v>276</v>
      </c>
      <c r="AU2221" s="357" t="s">
        <v>276</v>
      </c>
      <c r="AV2221" s="357" t="s">
        <v>276</v>
      </c>
      <c r="AW2221" s="357" t="s">
        <v>276</v>
      </c>
      <c r="AX2221" s="357" t="s">
        <v>276</v>
      </c>
      <c r="AY2221" s="357" t="s">
        <v>276</v>
      </c>
      <c r="AZ2221" s="357" t="s">
        <v>276</v>
      </c>
      <c r="BA2221" s="357" t="s">
        <v>276</v>
      </c>
      <c r="BB2221" s="357" t="s">
        <v>276</v>
      </c>
      <c r="BC2221" s="357" t="s">
        <v>276</v>
      </c>
      <c r="BD2221" s="357" t="s">
        <v>276</v>
      </c>
      <c r="BE2221" s="357" t="s">
        <v>276</v>
      </c>
      <c r="BF2221" s="351" t="s">
        <v>1358</v>
      </c>
      <c r="BG2221" s="351"/>
      <c r="BH2221" s="9" t="s">
        <v>100</v>
      </c>
      <c r="BI2221" s="9" t="s">
        <v>100</v>
      </c>
      <c r="BJ2221" s="373"/>
      <c r="BN2221" s="373"/>
      <c r="BO2221" s="373"/>
    </row>
    <row r="2222" spans="1:67" s="33" customFormat="1" ht="52" hidden="1" x14ac:dyDescent="0.35">
      <c r="A2222" s="357">
        <v>10549</v>
      </c>
      <c r="B2222" s="357" t="s">
        <v>5173</v>
      </c>
      <c r="C2222" s="357" t="s">
        <v>88</v>
      </c>
      <c r="D2222" s="351" t="s">
        <v>5676</v>
      </c>
      <c r="E2222" s="357" t="s">
        <v>43</v>
      </c>
      <c r="F2222" s="351" t="s">
        <v>4987</v>
      </c>
      <c r="G2222" s="357" t="s">
        <v>225</v>
      </c>
      <c r="H2222" s="357" t="s">
        <v>125</v>
      </c>
      <c r="I2222" s="357" t="s">
        <v>114</v>
      </c>
      <c r="J2222" s="351" t="s">
        <v>98</v>
      </c>
      <c r="K2222" s="357" t="s">
        <v>98</v>
      </c>
      <c r="L2222" s="357" t="s">
        <v>98</v>
      </c>
      <c r="M2222" s="357" t="s">
        <v>98</v>
      </c>
      <c r="N2222" s="357" t="s">
        <v>276</v>
      </c>
      <c r="O2222" s="351" t="s">
        <v>276</v>
      </c>
      <c r="P2222" s="351" t="s">
        <v>236</v>
      </c>
      <c r="Q2222" s="383" t="s">
        <v>5201</v>
      </c>
      <c r="R2222" s="351" t="s">
        <v>98</v>
      </c>
      <c r="S2222" s="806" t="s">
        <v>5677</v>
      </c>
      <c r="T2222" s="806"/>
      <c r="U2222" s="351" t="s">
        <v>276</v>
      </c>
      <c r="V2222" s="357" t="s">
        <v>14</v>
      </c>
      <c r="W2222" s="357" t="s">
        <v>98</v>
      </c>
      <c r="X2222" s="351" t="s">
        <v>209</v>
      </c>
      <c r="Y2222" s="354">
        <v>125263</v>
      </c>
      <c r="Z2222" s="355" t="s">
        <v>98</v>
      </c>
      <c r="AA2222" s="357" t="s">
        <v>276</v>
      </c>
      <c r="AB2222" s="357" t="s">
        <v>276</v>
      </c>
      <c r="AC2222" s="357" t="s">
        <v>276</v>
      </c>
      <c r="AD2222" s="357" t="s">
        <v>5574</v>
      </c>
      <c r="AE2222" s="357" t="s">
        <v>98</v>
      </c>
      <c r="AF2222" s="357" t="s">
        <v>98</v>
      </c>
      <c r="AG2222" s="351" t="s">
        <v>5678</v>
      </c>
      <c r="AH2222" s="351" t="s">
        <v>5679</v>
      </c>
      <c r="AI2222" s="354">
        <v>5850</v>
      </c>
      <c r="AJ2222" s="354" t="s">
        <v>98</v>
      </c>
      <c r="AK2222" s="354">
        <v>10264</v>
      </c>
      <c r="AL2222" s="355" t="s">
        <v>98</v>
      </c>
      <c r="AM2222" s="355" t="s">
        <v>292</v>
      </c>
      <c r="AN2222" s="357" t="s">
        <v>276</v>
      </c>
      <c r="AO2222" s="386">
        <f>AI2222*100/AK2222</f>
        <v>56.995323460639128</v>
      </c>
      <c r="AP2222" s="357" t="s">
        <v>276</v>
      </c>
      <c r="AQ2222" s="357" t="s">
        <v>276</v>
      </c>
      <c r="AR2222" s="357" t="s">
        <v>276</v>
      </c>
      <c r="AS2222" s="357" t="s">
        <v>276</v>
      </c>
      <c r="AT2222" s="357" t="s">
        <v>276</v>
      </c>
      <c r="AU2222" s="357" t="s">
        <v>276</v>
      </c>
      <c r="AV2222" s="357" t="s">
        <v>276</v>
      </c>
      <c r="AW2222" s="357" t="s">
        <v>276</v>
      </c>
      <c r="AX2222" s="357" t="s">
        <v>276</v>
      </c>
      <c r="AY2222" s="357" t="s">
        <v>276</v>
      </c>
      <c r="AZ2222" s="357" t="s">
        <v>276</v>
      </c>
      <c r="BA2222" s="357" t="s">
        <v>276</v>
      </c>
      <c r="BB2222" s="357" t="s">
        <v>276</v>
      </c>
      <c r="BC2222" s="357" t="s">
        <v>276</v>
      </c>
      <c r="BD2222" s="357" t="s">
        <v>276</v>
      </c>
      <c r="BE2222" s="357" t="s">
        <v>276</v>
      </c>
      <c r="BF2222" s="351" t="s">
        <v>5617</v>
      </c>
      <c r="BG2222" s="8"/>
      <c r="BH2222" s="9" t="s">
        <v>100</v>
      </c>
      <c r="BI2222" s="9" t="s">
        <v>100</v>
      </c>
    </row>
    <row r="2223" spans="1:67" s="388" customFormat="1" ht="52" hidden="1" x14ac:dyDescent="0.35">
      <c r="A2223" s="357">
        <v>10549</v>
      </c>
      <c r="B2223" s="357" t="s">
        <v>5173</v>
      </c>
      <c r="C2223" s="357" t="s">
        <v>88</v>
      </c>
      <c r="D2223" s="351" t="s">
        <v>5680</v>
      </c>
      <c r="E2223" s="357" t="s">
        <v>43</v>
      </c>
      <c r="F2223" s="351" t="s">
        <v>4987</v>
      </c>
      <c r="G2223" s="357" t="s">
        <v>225</v>
      </c>
      <c r="H2223" s="357" t="s">
        <v>125</v>
      </c>
      <c r="I2223" s="357" t="s">
        <v>114</v>
      </c>
      <c r="J2223" s="351" t="s">
        <v>98</v>
      </c>
      <c r="K2223" s="357" t="s">
        <v>98</v>
      </c>
      <c r="L2223" s="357" t="s">
        <v>98</v>
      </c>
      <c r="M2223" s="357" t="s">
        <v>98</v>
      </c>
      <c r="N2223" s="357" t="s">
        <v>276</v>
      </c>
      <c r="O2223" s="351" t="s">
        <v>276</v>
      </c>
      <c r="P2223" s="351" t="s">
        <v>236</v>
      </c>
      <c r="Q2223" s="383" t="s">
        <v>5201</v>
      </c>
      <c r="R2223" s="351" t="s">
        <v>98</v>
      </c>
      <c r="S2223" s="806" t="s">
        <v>5681</v>
      </c>
      <c r="T2223" s="806"/>
      <c r="U2223" s="351" t="s">
        <v>276</v>
      </c>
      <c r="V2223" s="351" t="s">
        <v>261</v>
      </c>
      <c r="W2223" s="351" t="s">
        <v>5682</v>
      </c>
      <c r="X2223" s="351" t="s">
        <v>209</v>
      </c>
      <c r="Y2223" s="354">
        <v>82816</v>
      </c>
      <c r="Z2223" s="355" t="s">
        <v>98</v>
      </c>
      <c r="AA2223" s="357" t="s">
        <v>276</v>
      </c>
      <c r="AB2223" s="357" t="s">
        <v>276</v>
      </c>
      <c r="AC2223" s="357" t="s">
        <v>276</v>
      </c>
      <c r="AD2223" s="357" t="s">
        <v>5574</v>
      </c>
      <c r="AE2223" s="357" t="s">
        <v>98</v>
      </c>
      <c r="AF2223" s="357" t="s">
        <v>98</v>
      </c>
      <c r="AG2223" s="351" t="s">
        <v>5678</v>
      </c>
      <c r="AH2223" s="351" t="s">
        <v>5679</v>
      </c>
      <c r="AI2223" s="354">
        <v>5553</v>
      </c>
      <c r="AJ2223" s="354" t="s">
        <v>98</v>
      </c>
      <c r="AK2223" s="354">
        <v>8371</v>
      </c>
      <c r="AL2223" s="355" t="s">
        <v>98</v>
      </c>
      <c r="AM2223" s="355" t="s">
        <v>292</v>
      </c>
      <c r="AN2223" s="357" t="s">
        <v>276</v>
      </c>
      <c r="AO2223" s="386">
        <f>AI2223*100/AK2223</f>
        <v>66.336160554294594</v>
      </c>
      <c r="AP2223" s="357" t="s">
        <v>276</v>
      </c>
      <c r="AQ2223" s="357" t="s">
        <v>276</v>
      </c>
      <c r="AR2223" s="357" t="s">
        <v>276</v>
      </c>
      <c r="AS2223" s="357" t="s">
        <v>276</v>
      </c>
      <c r="AT2223" s="357" t="s">
        <v>276</v>
      </c>
      <c r="AU2223" s="357" t="s">
        <v>276</v>
      </c>
      <c r="AV2223" s="357" t="s">
        <v>276</v>
      </c>
      <c r="AW2223" s="357" t="s">
        <v>276</v>
      </c>
      <c r="AX2223" s="357" t="s">
        <v>276</v>
      </c>
      <c r="AY2223" s="357" t="s">
        <v>276</v>
      </c>
      <c r="AZ2223" s="357" t="s">
        <v>276</v>
      </c>
      <c r="BA2223" s="357" t="s">
        <v>276</v>
      </c>
      <c r="BB2223" s="357" t="s">
        <v>276</v>
      </c>
      <c r="BC2223" s="357" t="s">
        <v>276</v>
      </c>
      <c r="BD2223" s="357" t="s">
        <v>276</v>
      </c>
      <c r="BE2223" s="357" t="s">
        <v>276</v>
      </c>
      <c r="BF2223" s="351" t="s">
        <v>5617</v>
      </c>
      <c r="BG2223" s="384"/>
      <c r="BH2223" s="9" t="s">
        <v>100</v>
      </c>
      <c r="BI2223" s="9" t="s">
        <v>100</v>
      </c>
    </row>
    <row r="2224" spans="1:67" s="6" customFormat="1" ht="52" hidden="1" x14ac:dyDescent="0.35">
      <c r="A2224" s="357">
        <v>10549</v>
      </c>
      <c r="B2224" s="357" t="s">
        <v>5173</v>
      </c>
      <c r="C2224" s="357" t="s">
        <v>88</v>
      </c>
      <c r="D2224" s="351" t="s">
        <v>5683</v>
      </c>
      <c r="E2224" s="357" t="s">
        <v>43</v>
      </c>
      <c r="F2224" s="351" t="s">
        <v>4987</v>
      </c>
      <c r="G2224" s="357" t="s">
        <v>225</v>
      </c>
      <c r="H2224" s="357" t="s">
        <v>125</v>
      </c>
      <c r="I2224" s="357" t="s">
        <v>114</v>
      </c>
      <c r="J2224" s="351" t="s">
        <v>98</v>
      </c>
      <c r="K2224" s="357" t="s">
        <v>98</v>
      </c>
      <c r="L2224" s="357" t="s">
        <v>98</v>
      </c>
      <c r="M2224" s="357" t="s">
        <v>98</v>
      </c>
      <c r="N2224" s="357" t="s">
        <v>276</v>
      </c>
      <c r="O2224" s="351" t="s">
        <v>276</v>
      </c>
      <c r="P2224" s="351" t="s">
        <v>236</v>
      </c>
      <c r="Q2224" s="383" t="s">
        <v>5201</v>
      </c>
      <c r="R2224" s="351" t="s">
        <v>98</v>
      </c>
      <c r="S2224" s="806" t="s">
        <v>5684</v>
      </c>
      <c r="T2224" s="806"/>
      <c r="U2224" s="351" t="s">
        <v>276</v>
      </c>
      <c r="V2224" s="351" t="s">
        <v>261</v>
      </c>
      <c r="W2224" s="357" t="s">
        <v>5153</v>
      </c>
      <c r="X2224" s="351" t="s">
        <v>209</v>
      </c>
      <c r="Y2224" s="354">
        <v>21206</v>
      </c>
      <c r="Z2224" s="355" t="s">
        <v>98</v>
      </c>
      <c r="AA2224" s="357" t="s">
        <v>276</v>
      </c>
      <c r="AB2224" s="357" t="s">
        <v>276</v>
      </c>
      <c r="AC2224" s="357" t="s">
        <v>276</v>
      </c>
      <c r="AD2224" s="357" t="s">
        <v>5574</v>
      </c>
      <c r="AE2224" s="357" t="s">
        <v>98</v>
      </c>
      <c r="AF2224" s="357" t="s">
        <v>98</v>
      </c>
      <c r="AG2224" s="351" t="s">
        <v>5678</v>
      </c>
      <c r="AH2224" s="351" t="s">
        <v>5679</v>
      </c>
      <c r="AI2224" s="354">
        <v>2120</v>
      </c>
      <c r="AJ2224" s="354" t="s">
        <v>98</v>
      </c>
      <c r="AK2224" s="354">
        <v>2643</v>
      </c>
      <c r="AL2224" s="355" t="s">
        <v>98</v>
      </c>
      <c r="AM2224" s="355" t="s">
        <v>292</v>
      </c>
      <c r="AN2224" s="357" t="s">
        <v>276</v>
      </c>
      <c r="AO2224" s="386">
        <f t="shared" ref="AO2224:AO2243" si="611">AI2224*100/AK2224</f>
        <v>80.211880438895193</v>
      </c>
      <c r="AP2224" s="357" t="s">
        <v>276</v>
      </c>
      <c r="AQ2224" s="357" t="s">
        <v>276</v>
      </c>
      <c r="AR2224" s="357" t="s">
        <v>276</v>
      </c>
      <c r="AS2224" s="357" t="s">
        <v>276</v>
      </c>
      <c r="AT2224" s="357" t="s">
        <v>276</v>
      </c>
      <c r="AU2224" s="357" t="s">
        <v>276</v>
      </c>
      <c r="AV2224" s="357" t="s">
        <v>276</v>
      </c>
      <c r="AW2224" s="357" t="s">
        <v>276</v>
      </c>
      <c r="AX2224" s="357" t="s">
        <v>276</v>
      </c>
      <c r="AY2224" s="357" t="s">
        <v>276</v>
      </c>
      <c r="AZ2224" s="357" t="s">
        <v>276</v>
      </c>
      <c r="BA2224" s="357" t="s">
        <v>276</v>
      </c>
      <c r="BB2224" s="357" t="s">
        <v>276</v>
      </c>
      <c r="BC2224" s="357" t="s">
        <v>276</v>
      </c>
      <c r="BD2224" s="357" t="s">
        <v>276</v>
      </c>
      <c r="BE2224" s="357" t="s">
        <v>276</v>
      </c>
      <c r="BF2224" s="351" t="s">
        <v>5617</v>
      </c>
      <c r="BG2224" s="2"/>
      <c r="BH2224" s="9" t="s">
        <v>100</v>
      </c>
      <c r="BI2224" s="9" t="s">
        <v>100</v>
      </c>
    </row>
    <row r="2225" spans="1:61" ht="52" hidden="1" x14ac:dyDescent="0.35">
      <c r="A2225" s="357">
        <v>10549</v>
      </c>
      <c r="B2225" s="357" t="s">
        <v>5173</v>
      </c>
      <c r="C2225" s="357" t="s">
        <v>88</v>
      </c>
      <c r="D2225" s="351" t="s">
        <v>5685</v>
      </c>
      <c r="E2225" s="357" t="s">
        <v>43</v>
      </c>
      <c r="F2225" s="351" t="s">
        <v>4987</v>
      </c>
      <c r="G2225" s="357" t="s">
        <v>225</v>
      </c>
      <c r="H2225" s="357" t="s">
        <v>125</v>
      </c>
      <c r="I2225" s="357" t="s">
        <v>114</v>
      </c>
      <c r="J2225" s="351" t="s">
        <v>98</v>
      </c>
      <c r="K2225" s="357" t="s">
        <v>98</v>
      </c>
      <c r="L2225" s="357" t="s">
        <v>98</v>
      </c>
      <c r="M2225" s="357" t="s">
        <v>98</v>
      </c>
      <c r="N2225" s="357" t="s">
        <v>276</v>
      </c>
      <c r="O2225" s="351" t="s">
        <v>276</v>
      </c>
      <c r="P2225" s="351" t="s">
        <v>236</v>
      </c>
      <c r="Q2225" s="383" t="s">
        <v>5201</v>
      </c>
      <c r="R2225" s="351" t="s">
        <v>98</v>
      </c>
      <c r="S2225" s="806" t="s">
        <v>5681</v>
      </c>
      <c r="T2225" s="806"/>
      <c r="U2225" s="351" t="s">
        <v>276</v>
      </c>
      <c r="V2225" s="351" t="s">
        <v>261</v>
      </c>
      <c r="W2225" s="357" t="s">
        <v>5156</v>
      </c>
      <c r="X2225" s="351" t="s">
        <v>209</v>
      </c>
      <c r="Y2225" s="354">
        <v>5188</v>
      </c>
      <c r="Z2225" s="355" t="s">
        <v>98</v>
      </c>
      <c r="AA2225" s="357" t="s">
        <v>276</v>
      </c>
      <c r="AB2225" s="357" t="s">
        <v>276</v>
      </c>
      <c r="AC2225" s="357" t="s">
        <v>276</v>
      </c>
      <c r="AD2225" s="357" t="s">
        <v>5574</v>
      </c>
      <c r="AE2225" s="357" t="s">
        <v>98</v>
      </c>
      <c r="AF2225" s="357" t="s">
        <v>98</v>
      </c>
      <c r="AG2225" s="351" t="s">
        <v>5678</v>
      </c>
      <c r="AH2225" s="351" t="s">
        <v>5679</v>
      </c>
      <c r="AI2225" s="354">
        <v>214</v>
      </c>
      <c r="AJ2225" s="354" t="s">
        <v>98</v>
      </c>
      <c r="AK2225" s="354">
        <v>500</v>
      </c>
      <c r="AL2225" s="355" t="s">
        <v>98</v>
      </c>
      <c r="AM2225" s="355" t="s">
        <v>292</v>
      </c>
      <c r="AN2225" s="357" t="s">
        <v>276</v>
      </c>
      <c r="AO2225" s="386">
        <f t="shared" si="611"/>
        <v>42.8</v>
      </c>
      <c r="AP2225" s="357" t="s">
        <v>276</v>
      </c>
      <c r="AQ2225" s="357" t="s">
        <v>276</v>
      </c>
      <c r="AR2225" s="357" t="s">
        <v>276</v>
      </c>
      <c r="AS2225" s="357" t="s">
        <v>276</v>
      </c>
      <c r="AT2225" s="357" t="s">
        <v>276</v>
      </c>
      <c r="AU2225" s="357" t="s">
        <v>276</v>
      </c>
      <c r="AV2225" s="357" t="s">
        <v>276</v>
      </c>
      <c r="AW2225" s="357" t="s">
        <v>276</v>
      </c>
      <c r="AX2225" s="357" t="s">
        <v>276</v>
      </c>
      <c r="AY2225" s="357" t="s">
        <v>276</v>
      </c>
      <c r="AZ2225" s="357" t="s">
        <v>276</v>
      </c>
      <c r="BA2225" s="357" t="s">
        <v>276</v>
      </c>
      <c r="BB2225" s="357" t="s">
        <v>276</v>
      </c>
      <c r="BC2225" s="357" t="s">
        <v>276</v>
      </c>
      <c r="BD2225" s="357" t="s">
        <v>276</v>
      </c>
      <c r="BE2225" s="357" t="s">
        <v>276</v>
      </c>
      <c r="BF2225" s="351" t="s">
        <v>5617</v>
      </c>
      <c r="BH2225" s="9" t="s">
        <v>100</v>
      </c>
      <c r="BI2225" s="9" t="s">
        <v>100</v>
      </c>
    </row>
    <row r="2226" spans="1:61" ht="52" hidden="1" x14ac:dyDescent="0.35">
      <c r="A2226" s="357">
        <v>10549</v>
      </c>
      <c r="B2226" s="357" t="s">
        <v>5173</v>
      </c>
      <c r="C2226" s="357" t="s">
        <v>88</v>
      </c>
      <c r="D2226" s="351" t="s">
        <v>5686</v>
      </c>
      <c r="E2226" s="357" t="s">
        <v>43</v>
      </c>
      <c r="F2226" s="351" t="s">
        <v>4987</v>
      </c>
      <c r="G2226" s="357" t="s">
        <v>225</v>
      </c>
      <c r="H2226" s="357" t="s">
        <v>125</v>
      </c>
      <c r="I2226" s="357" t="s">
        <v>114</v>
      </c>
      <c r="J2226" s="351" t="s">
        <v>98</v>
      </c>
      <c r="K2226" s="357" t="s">
        <v>98</v>
      </c>
      <c r="L2226" s="357" t="s">
        <v>98</v>
      </c>
      <c r="M2226" s="357" t="s">
        <v>98</v>
      </c>
      <c r="N2226" s="357" t="s">
        <v>276</v>
      </c>
      <c r="O2226" s="351" t="s">
        <v>276</v>
      </c>
      <c r="P2226" s="351" t="s">
        <v>236</v>
      </c>
      <c r="Q2226" s="383" t="s">
        <v>5201</v>
      </c>
      <c r="R2226" s="351" t="s">
        <v>98</v>
      </c>
      <c r="S2226" s="806" t="s">
        <v>5681</v>
      </c>
      <c r="T2226" s="806"/>
      <c r="U2226" s="351" t="s">
        <v>276</v>
      </c>
      <c r="V2226" s="351" t="s">
        <v>261</v>
      </c>
      <c r="W2226" s="357" t="s">
        <v>5159</v>
      </c>
      <c r="X2226" s="351" t="s">
        <v>209</v>
      </c>
      <c r="Y2226" s="354">
        <v>9957</v>
      </c>
      <c r="Z2226" s="355" t="s">
        <v>98</v>
      </c>
      <c r="AA2226" s="357" t="s">
        <v>276</v>
      </c>
      <c r="AB2226" s="357" t="s">
        <v>276</v>
      </c>
      <c r="AC2226" s="357" t="s">
        <v>276</v>
      </c>
      <c r="AD2226" s="357" t="s">
        <v>5574</v>
      </c>
      <c r="AE2226" s="357" t="s">
        <v>98</v>
      </c>
      <c r="AF2226" s="357" t="s">
        <v>98</v>
      </c>
      <c r="AG2226" s="351" t="s">
        <v>5678</v>
      </c>
      <c r="AH2226" s="351" t="s">
        <v>5679</v>
      </c>
      <c r="AI2226" s="354">
        <v>861</v>
      </c>
      <c r="AJ2226" s="354" t="s">
        <v>98</v>
      </c>
      <c r="AK2226" s="354">
        <v>1082</v>
      </c>
      <c r="AL2226" s="355" t="s">
        <v>98</v>
      </c>
      <c r="AM2226" s="355" t="s">
        <v>292</v>
      </c>
      <c r="AN2226" s="357" t="s">
        <v>276</v>
      </c>
      <c r="AO2226" s="386">
        <f t="shared" si="611"/>
        <v>79.574861367837343</v>
      </c>
      <c r="AP2226" s="357" t="s">
        <v>276</v>
      </c>
      <c r="AQ2226" s="357" t="s">
        <v>276</v>
      </c>
      <c r="AR2226" s="357" t="s">
        <v>276</v>
      </c>
      <c r="AS2226" s="357" t="s">
        <v>276</v>
      </c>
      <c r="AT2226" s="357" t="s">
        <v>276</v>
      </c>
      <c r="AU2226" s="357" t="s">
        <v>276</v>
      </c>
      <c r="AV2226" s="357" t="s">
        <v>276</v>
      </c>
      <c r="AW2226" s="357" t="s">
        <v>276</v>
      </c>
      <c r="AX2226" s="357" t="s">
        <v>276</v>
      </c>
      <c r="AY2226" s="357" t="s">
        <v>276</v>
      </c>
      <c r="AZ2226" s="357" t="s">
        <v>276</v>
      </c>
      <c r="BA2226" s="357" t="s">
        <v>276</v>
      </c>
      <c r="BB2226" s="357" t="s">
        <v>276</v>
      </c>
      <c r="BC2226" s="357" t="s">
        <v>276</v>
      </c>
      <c r="BD2226" s="357" t="s">
        <v>276</v>
      </c>
      <c r="BE2226" s="357" t="s">
        <v>276</v>
      </c>
      <c r="BF2226" s="351" t="s">
        <v>5617</v>
      </c>
      <c r="BH2226" s="9" t="s">
        <v>100</v>
      </c>
      <c r="BI2226" s="9" t="s">
        <v>100</v>
      </c>
    </row>
    <row r="2227" spans="1:61" ht="52" hidden="1" x14ac:dyDescent="0.35">
      <c r="A2227" s="357">
        <v>10549</v>
      </c>
      <c r="B2227" s="357" t="s">
        <v>5173</v>
      </c>
      <c r="C2227" s="357" t="s">
        <v>88</v>
      </c>
      <c r="D2227" s="351" t="s">
        <v>5687</v>
      </c>
      <c r="E2227" s="357" t="s">
        <v>43</v>
      </c>
      <c r="F2227" s="351" t="s">
        <v>4987</v>
      </c>
      <c r="G2227" s="357" t="s">
        <v>225</v>
      </c>
      <c r="H2227" s="357" t="s">
        <v>125</v>
      </c>
      <c r="I2227" s="357" t="s">
        <v>114</v>
      </c>
      <c r="J2227" s="351" t="s">
        <v>98</v>
      </c>
      <c r="K2227" s="357" t="s">
        <v>98</v>
      </c>
      <c r="L2227" s="357" t="s">
        <v>98</v>
      </c>
      <c r="M2227" s="357" t="s">
        <v>98</v>
      </c>
      <c r="N2227" s="357" t="s">
        <v>276</v>
      </c>
      <c r="O2227" s="351" t="s">
        <v>276</v>
      </c>
      <c r="P2227" s="351" t="s">
        <v>236</v>
      </c>
      <c r="Q2227" s="383" t="s">
        <v>5201</v>
      </c>
      <c r="R2227" s="351" t="s">
        <v>98</v>
      </c>
      <c r="S2227" s="806" t="s">
        <v>5681</v>
      </c>
      <c r="T2227" s="806"/>
      <c r="U2227" s="351" t="s">
        <v>276</v>
      </c>
      <c r="V2227" s="351" t="s">
        <v>261</v>
      </c>
      <c r="W2227" s="357" t="s">
        <v>5162</v>
      </c>
      <c r="X2227" s="351" t="s">
        <v>209</v>
      </c>
      <c r="Y2227" s="354">
        <v>31970</v>
      </c>
      <c r="Z2227" s="355" t="s">
        <v>98</v>
      </c>
      <c r="AA2227" s="357" t="s">
        <v>276</v>
      </c>
      <c r="AB2227" s="357" t="s">
        <v>276</v>
      </c>
      <c r="AC2227" s="357" t="s">
        <v>276</v>
      </c>
      <c r="AD2227" s="357" t="s">
        <v>5574</v>
      </c>
      <c r="AE2227" s="357" t="s">
        <v>98</v>
      </c>
      <c r="AF2227" s="357" t="s">
        <v>98</v>
      </c>
      <c r="AG2227" s="351" t="s">
        <v>5678</v>
      </c>
      <c r="AH2227" s="351" t="s">
        <v>5679</v>
      </c>
      <c r="AI2227" s="354">
        <v>1631</v>
      </c>
      <c r="AJ2227" s="354" t="s">
        <v>98</v>
      </c>
      <c r="AK2227" s="354">
        <v>3018</v>
      </c>
      <c r="AL2227" s="355" t="s">
        <v>98</v>
      </c>
      <c r="AM2227" s="355" t="s">
        <v>292</v>
      </c>
      <c r="AN2227" s="357" t="s">
        <v>276</v>
      </c>
      <c r="AO2227" s="386">
        <f t="shared" si="611"/>
        <v>54.042412193505633</v>
      </c>
      <c r="AP2227" s="357" t="s">
        <v>276</v>
      </c>
      <c r="AQ2227" s="357" t="s">
        <v>276</v>
      </c>
      <c r="AR2227" s="357" t="s">
        <v>276</v>
      </c>
      <c r="AS2227" s="357" t="s">
        <v>276</v>
      </c>
      <c r="AT2227" s="357" t="s">
        <v>276</v>
      </c>
      <c r="AU2227" s="357" t="s">
        <v>276</v>
      </c>
      <c r="AV2227" s="357" t="s">
        <v>276</v>
      </c>
      <c r="AW2227" s="357" t="s">
        <v>276</v>
      </c>
      <c r="AX2227" s="357" t="s">
        <v>276</v>
      </c>
      <c r="AY2227" s="357" t="s">
        <v>276</v>
      </c>
      <c r="AZ2227" s="357" t="s">
        <v>276</v>
      </c>
      <c r="BA2227" s="357" t="s">
        <v>276</v>
      </c>
      <c r="BB2227" s="357" t="s">
        <v>276</v>
      </c>
      <c r="BC2227" s="357" t="s">
        <v>276</v>
      </c>
      <c r="BD2227" s="357" t="s">
        <v>276</v>
      </c>
      <c r="BE2227" s="357" t="s">
        <v>276</v>
      </c>
      <c r="BF2227" s="351" t="s">
        <v>5617</v>
      </c>
      <c r="BH2227" s="9" t="s">
        <v>100</v>
      </c>
      <c r="BI2227" s="9" t="s">
        <v>100</v>
      </c>
    </row>
    <row r="2228" spans="1:61" ht="52" hidden="1" x14ac:dyDescent="0.35">
      <c r="A2228" s="357">
        <v>10549</v>
      </c>
      <c r="B2228" s="357" t="s">
        <v>5173</v>
      </c>
      <c r="C2228" s="357" t="s">
        <v>88</v>
      </c>
      <c r="D2228" s="351" t="s">
        <v>5688</v>
      </c>
      <c r="E2228" s="357" t="s">
        <v>43</v>
      </c>
      <c r="F2228" s="351" t="s">
        <v>4987</v>
      </c>
      <c r="G2228" s="357" t="s">
        <v>225</v>
      </c>
      <c r="H2228" s="357" t="s">
        <v>125</v>
      </c>
      <c r="I2228" s="357" t="s">
        <v>114</v>
      </c>
      <c r="J2228" s="351" t="s">
        <v>98</v>
      </c>
      <c r="K2228" s="357" t="s">
        <v>98</v>
      </c>
      <c r="L2228" s="357" t="s">
        <v>98</v>
      </c>
      <c r="M2228" s="357" t="s">
        <v>98</v>
      </c>
      <c r="N2228" s="357" t="s">
        <v>276</v>
      </c>
      <c r="O2228" s="351" t="s">
        <v>276</v>
      </c>
      <c r="P2228" s="351" t="s">
        <v>236</v>
      </c>
      <c r="Q2228" s="383" t="s">
        <v>5201</v>
      </c>
      <c r="R2228" s="351" t="s">
        <v>98</v>
      </c>
      <c r="S2228" s="806" t="s">
        <v>5689</v>
      </c>
      <c r="T2228" s="806"/>
      <c r="U2228" s="351" t="s">
        <v>276</v>
      </c>
      <c r="V2228" s="351" t="s">
        <v>261</v>
      </c>
      <c r="W2228" s="357" t="s">
        <v>5165</v>
      </c>
      <c r="X2228" s="351" t="s">
        <v>209</v>
      </c>
      <c r="Y2228" s="354">
        <v>7497</v>
      </c>
      <c r="Z2228" s="355" t="s">
        <v>98</v>
      </c>
      <c r="AA2228" s="357" t="s">
        <v>276</v>
      </c>
      <c r="AB2228" s="357" t="s">
        <v>276</v>
      </c>
      <c r="AC2228" s="357" t="s">
        <v>276</v>
      </c>
      <c r="AD2228" s="357" t="s">
        <v>5574</v>
      </c>
      <c r="AE2228" s="357" t="s">
        <v>98</v>
      </c>
      <c r="AF2228" s="357" t="s">
        <v>98</v>
      </c>
      <c r="AG2228" s="351" t="s">
        <v>5678</v>
      </c>
      <c r="AH2228" s="351" t="s">
        <v>5679</v>
      </c>
      <c r="AI2228" s="354">
        <v>202</v>
      </c>
      <c r="AJ2228" s="354" t="s">
        <v>98</v>
      </c>
      <c r="AK2228" s="354">
        <v>417</v>
      </c>
      <c r="AL2228" s="355" t="s">
        <v>98</v>
      </c>
      <c r="AM2228" s="355" t="s">
        <v>292</v>
      </c>
      <c r="AN2228" s="357" t="s">
        <v>276</v>
      </c>
      <c r="AO2228" s="386">
        <f t="shared" si="611"/>
        <v>48.441247002398079</v>
      </c>
      <c r="AP2228" s="357" t="s">
        <v>276</v>
      </c>
      <c r="AQ2228" s="357" t="s">
        <v>276</v>
      </c>
      <c r="AR2228" s="357" t="s">
        <v>276</v>
      </c>
      <c r="AS2228" s="357" t="s">
        <v>276</v>
      </c>
      <c r="AT2228" s="357" t="s">
        <v>276</v>
      </c>
      <c r="AU2228" s="357" t="s">
        <v>276</v>
      </c>
      <c r="AV2228" s="357" t="s">
        <v>276</v>
      </c>
      <c r="AW2228" s="357" t="s">
        <v>276</v>
      </c>
      <c r="AX2228" s="357" t="s">
        <v>276</v>
      </c>
      <c r="AY2228" s="357" t="s">
        <v>276</v>
      </c>
      <c r="AZ2228" s="357" t="s">
        <v>276</v>
      </c>
      <c r="BA2228" s="357" t="s">
        <v>276</v>
      </c>
      <c r="BB2228" s="357" t="s">
        <v>276</v>
      </c>
      <c r="BC2228" s="357" t="s">
        <v>276</v>
      </c>
      <c r="BD2228" s="357" t="s">
        <v>276</v>
      </c>
      <c r="BE2228" s="357" t="s">
        <v>276</v>
      </c>
      <c r="BF2228" s="351" t="s">
        <v>5617</v>
      </c>
      <c r="BH2228" s="9" t="s">
        <v>100</v>
      </c>
      <c r="BI2228" s="9" t="s">
        <v>100</v>
      </c>
    </row>
    <row r="2229" spans="1:61" ht="52" hidden="1" x14ac:dyDescent="0.35">
      <c r="A2229" s="357">
        <v>10549</v>
      </c>
      <c r="B2229" s="357" t="s">
        <v>5173</v>
      </c>
      <c r="C2229" s="357" t="s">
        <v>88</v>
      </c>
      <c r="D2229" s="351" t="s">
        <v>5690</v>
      </c>
      <c r="E2229" s="357" t="s">
        <v>43</v>
      </c>
      <c r="F2229" s="351" t="s">
        <v>4987</v>
      </c>
      <c r="G2229" s="357" t="s">
        <v>225</v>
      </c>
      <c r="H2229" s="357" t="s">
        <v>125</v>
      </c>
      <c r="I2229" s="357" t="s">
        <v>114</v>
      </c>
      <c r="J2229" s="351" t="s">
        <v>98</v>
      </c>
      <c r="K2229" s="357" t="s">
        <v>98</v>
      </c>
      <c r="L2229" s="357" t="s">
        <v>98</v>
      </c>
      <c r="M2229" s="357" t="s">
        <v>98</v>
      </c>
      <c r="N2229" s="357" t="s">
        <v>276</v>
      </c>
      <c r="O2229" s="351" t="s">
        <v>276</v>
      </c>
      <c r="P2229" s="351" t="s">
        <v>236</v>
      </c>
      <c r="Q2229" s="383" t="s">
        <v>5201</v>
      </c>
      <c r="R2229" s="351" t="s">
        <v>98</v>
      </c>
      <c r="S2229" s="806" t="s">
        <v>5689</v>
      </c>
      <c r="T2229" s="806"/>
      <c r="U2229" s="351" t="s">
        <v>276</v>
      </c>
      <c r="V2229" s="351" t="s">
        <v>261</v>
      </c>
      <c r="W2229" s="357" t="s">
        <v>5168</v>
      </c>
      <c r="X2229" s="351" t="s">
        <v>209</v>
      </c>
      <c r="Y2229" s="354">
        <v>1840</v>
      </c>
      <c r="Z2229" s="355" t="s">
        <v>98</v>
      </c>
      <c r="AA2229" s="357" t="s">
        <v>276</v>
      </c>
      <c r="AB2229" s="357" t="s">
        <v>276</v>
      </c>
      <c r="AC2229" s="357" t="s">
        <v>276</v>
      </c>
      <c r="AD2229" s="357" t="s">
        <v>5574</v>
      </c>
      <c r="AE2229" s="357" t="s">
        <v>98</v>
      </c>
      <c r="AF2229" s="357" t="s">
        <v>98</v>
      </c>
      <c r="AG2229" s="351" t="s">
        <v>5678</v>
      </c>
      <c r="AH2229" s="351" t="s">
        <v>5679</v>
      </c>
      <c r="AI2229" s="354">
        <v>78</v>
      </c>
      <c r="AJ2229" s="354" t="s">
        <v>98</v>
      </c>
      <c r="AK2229" s="354">
        <v>115</v>
      </c>
      <c r="AL2229" s="355" t="s">
        <v>98</v>
      </c>
      <c r="AM2229" s="355" t="s">
        <v>292</v>
      </c>
      <c r="AN2229" s="357" t="s">
        <v>276</v>
      </c>
      <c r="AO2229" s="386">
        <f t="shared" si="611"/>
        <v>67.826086956521735</v>
      </c>
      <c r="AP2229" s="357" t="s">
        <v>276</v>
      </c>
      <c r="AQ2229" s="357" t="s">
        <v>276</v>
      </c>
      <c r="AR2229" s="357" t="s">
        <v>276</v>
      </c>
      <c r="AS2229" s="357" t="s">
        <v>276</v>
      </c>
      <c r="AT2229" s="357" t="s">
        <v>276</v>
      </c>
      <c r="AU2229" s="357" t="s">
        <v>276</v>
      </c>
      <c r="AV2229" s="357" t="s">
        <v>276</v>
      </c>
      <c r="AW2229" s="357" t="s">
        <v>276</v>
      </c>
      <c r="AX2229" s="357" t="s">
        <v>276</v>
      </c>
      <c r="AY2229" s="357" t="s">
        <v>276</v>
      </c>
      <c r="AZ2229" s="357" t="s">
        <v>276</v>
      </c>
      <c r="BA2229" s="357" t="s">
        <v>276</v>
      </c>
      <c r="BB2229" s="357" t="s">
        <v>276</v>
      </c>
      <c r="BC2229" s="357" t="s">
        <v>276</v>
      </c>
      <c r="BD2229" s="357" t="s">
        <v>276</v>
      </c>
      <c r="BE2229" s="357" t="s">
        <v>276</v>
      </c>
      <c r="BF2229" s="351" t="s">
        <v>5617</v>
      </c>
      <c r="BH2229" s="9" t="s">
        <v>100</v>
      </c>
      <c r="BI2229" s="9" t="s">
        <v>100</v>
      </c>
    </row>
    <row r="2230" spans="1:61" ht="52" hidden="1" x14ac:dyDescent="0.35">
      <c r="A2230" s="357">
        <v>10549</v>
      </c>
      <c r="B2230" s="357" t="s">
        <v>5173</v>
      </c>
      <c r="C2230" s="357" t="s">
        <v>88</v>
      </c>
      <c r="D2230" s="351" t="s">
        <v>5691</v>
      </c>
      <c r="E2230" s="357" t="s">
        <v>43</v>
      </c>
      <c r="F2230" s="351" t="s">
        <v>4987</v>
      </c>
      <c r="G2230" s="357" t="s">
        <v>225</v>
      </c>
      <c r="H2230" s="357" t="s">
        <v>125</v>
      </c>
      <c r="I2230" s="357" t="s">
        <v>114</v>
      </c>
      <c r="J2230" s="351" t="s">
        <v>98</v>
      </c>
      <c r="K2230" s="357" t="s">
        <v>98</v>
      </c>
      <c r="L2230" s="357" t="s">
        <v>98</v>
      </c>
      <c r="M2230" s="357" t="s">
        <v>98</v>
      </c>
      <c r="N2230" s="357" t="s">
        <v>276</v>
      </c>
      <c r="O2230" s="351" t="s">
        <v>276</v>
      </c>
      <c r="P2230" s="351" t="s">
        <v>236</v>
      </c>
      <c r="Q2230" s="383" t="s">
        <v>5201</v>
      </c>
      <c r="R2230" s="351" t="s">
        <v>98</v>
      </c>
      <c r="S2230" s="806" t="s">
        <v>5692</v>
      </c>
      <c r="T2230" s="806"/>
      <c r="U2230" s="351" t="s">
        <v>276</v>
      </c>
      <c r="V2230" s="351" t="s">
        <v>261</v>
      </c>
      <c r="W2230" s="357" t="s">
        <v>5171</v>
      </c>
      <c r="X2230" s="351" t="s">
        <v>209</v>
      </c>
      <c r="Y2230" s="354">
        <v>5158</v>
      </c>
      <c r="Z2230" s="355" t="s">
        <v>98</v>
      </c>
      <c r="AA2230" s="357" t="s">
        <v>276</v>
      </c>
      <c r="AB2230" s="357" t="s">
        <v>276</v>
      </c>
      <c r="AC2230" s="357" t="s">
        <v>276</v>
      </c>
      <c r="AD2230" s="357" t="s">
        <v>5574</v>
      </c>
      <c r="AE2230" s="357" t="s">
        <v>98</v>
      </c>
      <c r="AF2230" s="357" t="s">
        <v>98</v>
      </c>
      <c r="AG2230" s="351" t="s">
        <v>5678</v>
      </c>
      <c r="AH2230" s="351" t="s">
        <v>5679</v>
      </c>
      <c r="AI2230" s="354">
        <v>447</v>
      </c>
      <c r="AJ2230" s="354" t="s">
        <v>98</v>
      </c>
      <c r="AK2230" s="354">
        <v>596</v>
      </c>
      <c r="AL2230" s="355" t="s">
        <v>98</v>
      </c>
      <c r="AM2230" s="355" t="s">
        <v>292</v>
      </c>
      <c r="AN2230" s="357" t="s">
        <v>276</v>
      </c>
      <c r="AO2230" s="386">
        <f t="shared" si="611"/>
        <v>75</v>
      </c>
      <c r="AP2230" s="357" t="s">
        <v>276</v>
      </c>
      <c r="AQ2230" s="357" t="s">
        <v>276</v>
      </c>
      <c r="AR2230" s="357" t="s">
        <v>276</v>
      </c>
      <c r="AS2230" s="357" t="s">
        <v>276</v>
      </c>
      <c r="AT2230" s="357" t="s">
        <v>276</v>
      </c>
      <c r="AU2230" s="357" t="s">
        <v>276</v>
      </c>
      <c r="AV2230" s="357" t="s">
        <v>276</v>
      </c>
      <c r="AW2230" s="357" t="s">
        <v>276</v>
      </c>
      <c r="AX2230" s="357" t="s">
        <v>276</v>
      </c>
      <c r="AY2230" s="357" t="s">
        <v>276</v>
      </c>
      <c r="AZ2230" s="357" t="s">
        <v>276</v>
      </c>
      <c r="BA2230" s="357" t="s">
        <v>276</v>
      </c>
      <c r="BB2230" s="357" t="s">
        <v>276</v>
      </c>
      <c r="BC2230" s="357" t="s">
        <v>276</v>
      </c>
      <c r="BD2230" s="357" t="s">
        <v>276</v>
      </c>
      <c r="BE2230" s="357" t="s">
        <v>276</v>
      </c>
      <c r="BF2230" s="351" t="s">
        <v>5617</v>
      </c>
      <c r="BH2230" s="9" t="s">
        <v>100</v>
      </c>
      <c r="BI2230" s="9" t="s">
        <v>100</v>
      </c>
    </row>
    <row r="2231" spans="1:61" ht="52" hidden="1" x14ac:dyDescent="0.35">
      <c r="A2231" s="357">
        <v>10549</v>
      </c>
      <c r="B2231" s="357" t="s">
        <v>5173</v>
      </c>
      <c r="C2231" s="357" t="s">
        <v>88</v>
      </c>
      <c r="D2231" s="351" t="s">
        <v>5693</v>
      </c>
      <c r="E2231" s="357" t="s">
        <v>43</v>
      </c>
      <c r="F2231" s="351" t="s">
        <v>4987</v>
      </c>
      <c r="G2231" s="357" t="s">
        <v>225</v>
      </c>
      <c r="H2231" s="357" t="s">
        <v>125</v>
      </c>
      <c r="I2231" s="357" t="s">
        <v>114</v>
      </c>
      <c r="J2231" s="351" t="s">
        <v>98</v>
      </c>
      <c r="K2231" s="357" t="s">
        <v>98</v>
      </c>
      <c r="L2231" s="357" t="s">
        <v>98</v>
      </c>
      <c r="M2231" s="357" t="s">
        <v>98</v>
      </c>
      <c r="N2231" s="357" t="s">
        <v>276</v>
      </c>
      <c r="O2231" s="351" t="s">
        <v>276</v>
      </c>
      <c r="P2231" s="351" t="s">
        <v>236</v>
      </c>
      <c r="Q2231" s="383" t="s">
        <v>5201</v>
      </c>
      <c r="R2231" s="351" t="s">
        <v>98</v>
      </c>
      <c r="S2231" s="806" t="s">
        <v>5694</v>
      </c>
      <c r="T2231" s="806"/>
      <c r="U2231" s="351" t="s">
        <v>276</v>
      </c>
      <c r="V2231" s="351" t="s">
        <v>261</v>
      </c>
      <c r="W2231" s="357" t="s">
        <v>5634</v>
      </c>
      <c r="X2231" s="351" t="s">
        <v>209</v>
      </c>
      <c r="Y2231" s="354">
        <v>31024</v>
      </c>
      <c r="Z2231" s="355" t="s">
        <v>98</v>
      </c>
      <c r="AA2231" s="357" t="s">
        <v>276</v>
      </c>
      <c r="AB2231" s="357" t="s">
        <v>276</v>
      </c>
      <c r="AC2231" s="357" t="s">
        <v>276</v>
      </c>
      <c r="AD2231" s="357" t="s">
        <v>5574</v>
      </c>
      <c r="AE2231" s="357" t="s">
        <v>98</v>
      </c>
      <c r="AF2231" s="357" t="s">
        <v>98</v>
      </c>
      <c r="AG2231" s="351" t="s">
        <v>5678</v>
      </c>
      <c r="AH2231" s="351" t="s">
        <v>5679</v>
      </c>
      <c r="AI2231" s="354">
        <v>174</v>
      </c>
      <c r="AJ2231" s="354" t="s">
        <v>98</v>
      </c>
      <c r="AK2231" s="354">
        <v>1320</v>
      </c>
      <c r="AL2231" s="355" t="s">
        <v>98</v>
      </c>
      <c r="AM2231" s="355" t="s">
        <v>292</v>
      </c>
      <c r="AN2231" s="357" t="s">
        <v>276</v>
      </c>
      <c r="AO2231" s="386">
        <f t="shared" si="611"/>
        <v>13.181818181818182</v>
      </c>
      <c r="AP2231" s="357" t="s">
        <v>276</v>
      </c>
      <c r="AQ2231" s="357" t="s">
        <v>276</v>
      </c>
      <c r="AR2231" s="357" t="s">
        <v>276</v>
      </c>
      <c r="AS2231" s="357" t="s">
        <v>276</v>
      </c>
      <c r="AT2231" s="357" t="s">
        <v>276</v>
      </c>
      <c r="AU2231" s="357" t="s">
        <v>276</v>
      </c>
      <c r="AV2231" s="357" t="s">
        <v>276</v>
      </c>
      <c r="AW2231" s="357" t="s">
        <v>276</v>
      </c>
      <c r="AX2231" s="357" t="s">
        <v>276</v>
      </c>
      <c r="AY2231" s="357" t="s">
        <v>276</v>
      </c>
      <c r="AZ2231" s="357" t="s">
        <v>276</v>
      </c>
      <c r="BA2231" s="357" t="s">
        <v>276</v>
      </c>
      <c r="BB2231" s="357" t="s">
        <v>276</v>
      </c>
      <c r="BC2231" s="357" t="s">
        <v>276</v>
      </c>
      <c r="BD2231" s="357" t="s">
        <v>276</v>
      </c>
      <c r="BE2231" s="357" t="s">
        <v>276</v>
      </c>
      <c r="BF2231" s="351" t="s">
        <v>5617</v>
      </c>
      <c r="BH2231" s="9" t="s">
        <v>100</v>
      </c>
      <c r="BI2231" s="9" t="s">
        <v>100</v>
      </c>
    </row>
    <row r="2232" spans="1:61" ht="52" hidden="1" x14ac:dyDescent="0.35">
      <c r="A2232" s="357">
        <v>10549</v>
      </c>
      <c r="B2232" s="357" t="s">
        <v>5173</v>
      </c>
      <c r="C2232" s="357" t="s">
        <v>88</v>
      </c>
      <c r="D2232" s="351" t="s">
        <v>5695</v>
      </c>
      <c r="E2232" s="357" t="s">
        <v>43</v>
      </c>
      <c r="F2232" s="351" t="s">
        <v>4987</v>
      </c>
      <c r="G2232" s="357" t="s">
        <v>225</v>
      </c>
      <c r="H2232" s="357" t="s">
        <v>125</v>
      </c>
      <c r="I2232" s="357" t="s">
        <v>114</v>
      </c>
      <c r="J2232" s="351" t="s">
        <v>98</v>
      </c>
      <c r="K2232" s="357" t="s">
        <v>98</v>
      </c>
      <c r="L2232" s="357" t="s">
        <v>98</v>
      </c>
      <c r="M2232" s="357" t="s">
        <v>98</v>
      </c>
      <c r="N2232" s="357" t="s">
        <v>276</v>
      </c>
      <c r="O2232" s="351" t="s">
        <v>276</v>
      </c>
      <c r="P2232" s="351" t="s">
        <v>236</v>
      </c>
      <c r="Q2232" s="383" t="s">
        <v>5201</v>
      </c>
      <c r="R2232" s="351" t="s">
        <v>98</v>
      </c>
      <c r="S2232" s="806" t="s">
        <v>5696</v>
      </c>
      <c r="T2232" s="806"/>
      <c r="U2232" s="351" t="s">
        <v>276</v>
      </c>
      <c r="V2232" s="351" t="s">
        <v>261</v>
      </c>
      <c r="W2232" s="357" t="s">
        <v>5637</v>
      </c>
      <c r="X2232" s="351" t="s">
        <v>209</v>
      </c>
      <c r="Y2232" s="354">
        <v>11423</v>
      </c>
      <c r="Z2232" s="355" t="s">
        <v>98</v>
      </c>
      <c r="AA2232" s="357" t="s">
        <v>276</v>
      </c>
      <c r="AB2232" s="357" t="s">
        <v>276</v>
      </c>
      <c r="AC2232" s="357" t="s">
        <v>276</v>
      </c>
      <c r="AD2232" s="357" t="s">
        <v>5574</v>
      </c>
      <c r="AE2232" s="357" t="s">
        <v>98</v>
      </c>
      <c r="AF2232" s="357" t="s">
        <v>98</v>
      </c>
      <c r="AG2232" s="351" t="s">
        <v>5678</v>
      </c>
      <c r="AH2232" s="351" t="s">
        <v>5679</v>
      </c>
      <c r="AI2232" s="354">
        <v>123</v>
      </c>
      <c r="AJ2232" s="354" t="s">
        <v>98</v>
      </c>
      <c r="AK2232" s="354">
        <v>573</v>
      </c>
      <c r="AL2232" s="355" t="s">
        <v>98</v>
      </c>
      <c r="AM2232" s="355" t="s">
        <v>292</v>
      </c>
      <c r="AN2232" s="357" t="s">
        <v>276</v>
      </c>
      <c r="AO2232" s="386">
        <f t="shared" si="611"/>
        <v>21.465968586387433</v>
      </c>
      <c r="AP2232" s="357" t="s">
        <v>276</v>
      </c>
      <c r="AQ2232" s="357" t="s">
        <v>276</v>
      </c>
      <c r="AR2232" s="357" t="s">
        <v>276</v>
      </c>
      <c r="AS2232" s="357" t="s">
        <v>276</v>
      </c>
      <c r="AT2232" s="357" t="s">
        <v>276</v>
      </c>
      <c r="AU2232" s="357" t="s">
        <v>276</v>
      </c>
      <c r="AV2232" s="357" t="s">
        <v>276</v>
      </c>
      <c r="AW2232" s="357" t="s">
        <v>276</v>
      </c>
      <c r="AX2232" s="357" t="s">
        <v>276</v>
      </c>
      <c r="AY2232" s="357" t="s">
        <v>276</v>
      </c>
      <c r="AZ2232" s="357" t="s">
        <v>276</v>
      </c>
      <c r="BA2232" s="357" t="s">
        <v>276</v>
      </c>
      <c r="BB2232" s="357" t="s">
        <v>276</v>
      </c>
      <c r="BC2232" s="357" t="s">
        <v>276</v>
      </c>
      <c r="BD2232" s="357" t="s">
        <v>276</v>
      </c>
      <c r="BE2232" s="357" t="s">
        <v>276</v>
      </c>
      <c r="BF2232" s="351" t="s">
        <v>5617</v>
      </c>
      <c r="BH2232" s="9" t="s">
        <v>100</v>
      </c>
      <c r="BI2232" s="9" t="s">
        <v>100</v>
      </c>
    </row>
    <row r="2233" spans="1:61" ht="52" hidden="1" x14ac:dyDescent="0.35">
      <c r="A2233" s="357">
        <v>10549</v>
      </c>
      <c r="B2233" s="357" t="s">
        <v>5173</v>
      </c>
      <c r="C2233" s="357" t="s">
        <v>88</v>
      </c>
      <c r="D2233" s="351" t="s">
        <v>5697</v>
      </c>
      <c r="E2233" s="357" t="s">
        <v>43</v>
      </c>
      <c r="F2233" s="351" t="s">
        <v>4987</v>
      </c>
      <c r="G2233" s="357" t="s">
        <v>225</v>
      </c>
      <c r="H2233" s="357" t="s">
        <v>125</v>
      </c>
      <c r="I2233" s="357" t="s">
        <v>114</v>
      </c>
      <c r="J2233" s="351" t="s">
        <v>98</v>
      </c>
      <c r="K2233" s="357" t="s">
        <v>98</v>
      </c>
      <c r="L2233" s="357" t="s">
        <v>98</v>
      </c>
      <c r="M2233" s="357" t="s">
        <v>98</v>
      </c>
      <c r="N2233" s="357" t="s">
        <v>276</v>
      </c>
      <c r="O2233" s="351" t="s">
        <v>276</v>
      </c>
      <c r="P2233" s="351" t="s">
        <v>236</v>
      </c>
      <c r="Q2233" s="383" t="s">
        <v>5201</v>
      </c>
      <c r="R2233" s="351" t="s">
        <v>98</v>
      </c>
      <c r="S2233" s="807" t="s">
        <v>5698</v>
      </c>
      <c r="T2233" s="807"/>
      <c r="U2233" s="351" t="s">
        <v>276</v>
      </c>
      <c r="V2233" s="357" t="s">
        <v>15</v>
      </c>
      <c r="W2233" s="357" t="s">
        <v>5640</v>
      </c>
      <c r="X2233" s="351" t="s">
        <v>209</v>
      </c>
      <c r="Y2233" s="354">
        <v>112563</v>
      </c>
      <c r="Z2233" s="355" t="s">
        <v>98</v>
      </c>
      <c r="AA2233" s="357" t="s">
        <v>276</v>
      </c>
      <c r="AB2233" s="357" t="s">
        <v>276</v>
      </c>
      <c r="AC2233" s="357" t="s">
        <v>276</v>
      </c>
      <c r="AD2233" s="357" t="s">
        <v>5574</v>
      </c>
      <c r="AE2233" s="357" t="s">
        <v>98</v>
      </c>
      <c r="AF2233" s="357" t="s">
        <v>98</v>
      </c>
      <c r="AG2233" s="351" t="s">
        <v>5678</v>
      </c>
      <c r="AH2233" s="351" t="s">
        <v>5679</v>
      </c>
      <c r="AI2233" s="354">
        <v>5167</v>
      </c>
      <c r="AJ2233" s="354" t="s">
        <v>98</v>
      </c>
      <c r="AK2233" s="354">
        <v>9163</v>
      </c>
      <c r="AL2233" s="355" t="s">
        <v>98</v>
      </c>
      <c r="AM2233" s="355" t="s">
        <v>292</v>
      </c>
      <c r="AN2233" s="357" t="s">
        <v>276</v>
      </c>
      <c r="AO2233" s="386">
        <f t="shared" si="611"/>
        <v>56.389828658736221</v>
      </c>
      <c r="AP2233" s="357" t="s">
        <v>276</v>
      </c>
      <c r="AQ2233" s="357" t="s">
        <v>276</v>
      </c>
      <c r="AR2233" s="357" t="s">
        <v>276</v>
      </c>
      <c r="AS2233" s="357" t="s">
        <v>276</v>
      </c>
      <c r="AT2233" s="357" t="s">
        <v>276</v>
      </c>
      <c r="AU2233" s="357" t="s">
        <v>276</v>
      </c>
      <c r="AV2233" s="357" t="s">
        <v>276</v>
      </c>
      <c r="AW2233" s="357" t="s">
        <v>276</v>
      </c>
      <c r="AX2233" s="357" t="s">
        <v>276</v>
      </c>
      <c r="AY2233" s="357" t="s">
        <v>276</v>
      </c>
      <c r="AZ2233" s="357" t="s">
        <v>276</v>
      </c>
      <c r="BA2233" s="357" t="s">
        <v>276</v>
      </c>
      <c r="BB2233" s="357" t="s">
        <v>276</v>
      </c>
      <c r="BC2233" s="357" t="s">
        <v>276</v>
      </c>
      <c r="BD2233" s="357" t="s">
        <v>276</v>
      </c>
      <c r="BE2233" s="357" t="s">
        <v>276</v>
      </c>
      <c r="BF2233" s="351" t="s">
        <v>1358</v>
      </c>
      <c r="BH2233" s="9" t="s">
        <v>100</v>
      </c>
      <c r="BI2233" s="9" t="s">
        <v>100</v>
      </c>
    </row>
    <row r="2234" spans="1:61" s="391" customFormat="1" ht="52" hidden="1" x14ac:dyDescent="0.35">
      <c r="A2234" s="357">
        <v>10549</v>
      </c>
      <c r="B2234" s="357" t="s">
        <v>5173</v>
      </c>
      <c r="C2234" s="357" t="s">
        <v>88</v>
      </c>
      <c r="D2234" s="351" t="s">
        <v>5699</v>
      </c>
      <c r="E2234" s="357" t="s">
        <v>43</v>
      </c>
      <c r="F2234" s="351" t="s">
        <v>4987</v>
      </c>
      <c r="G2234" s="357" t="s">
        <v>225</v>
      </c>
      <c r="H2234" s="357" t="s">
        <v>125</v>
      </c>
      <c r="I2234" s="357" t="s">
        <v>114</v>
      </c>
      <c r="J2234" s="351" t="s">
        <v>98</v>
      </c>
      <c r="K2234" s="357" t="s">
        <v>98</v>
      </c>
      <c r="L2234" s="357" t="s">
        <v>98</v>
      </c>
      <c r="M2234" s="357" t="s">
        <v>98</v>
      </c>
      <c r="N2234" s="357" t="s">
        <v>276</v>
      </c>
      <c r="O2234" s="351" t="s">
        <v>276</v>
      </c>
      <c r="P2234" s="351" t="s">
        <v>236</v>
      </c>
      <c r="Q2234" s="383" t="s">
        <v>5201</v>
      </c>
      <c r="R2234" s="351" t="s">
        <v>98</v>
      </c>
      <c r="S2234" s="807" t="s">
        <v>5700</v>
      </c>
      <c r="T2234" s="807"/>
      <c r="U2234" s="351" t="s">
        <v>276</v>
      </c>
      <c r="V2234" s="357" t="s">
        <v>259</v>
      </c>
      <c r="W2234" s="351" t="s">
        <v>5701</v>
      </c>
      <c r="X2234" s="351" t="s">
        <v>209</v>
      </c>
      <c r="Y2234" s="354">
        <v>72891</v>
      </c>
      <c r="Z2234" s="355" t="s">
        <v>98</v>
      </c>
      <c r="AA2234" s="357" t="s">
        <v>276</v>
      </c>
      <c r="AB2234" s="357" t="s">
        <v>276</v>
      </c>
      <c r="AC2234" s="357" t="s">
        <v>276</v>
      </c>
      <c r="AD2234" s="357" t="s">
        <v>5574</v>
      </c>
      <c r="AE2234" s="357" t="s">
        <v>98</v>
      </c>
      <c r="AF2234" s="357" t="s">
        <v>98</v>
      </c>
      <c r="AG2234" s="351" t="s">
        <v>5678</v>
      </c>
      <c r="AH2234" s="351" t="s">
        <v>5679</v>
      </c>
      <c r="AI2234" s="354">
        <v>4883</v>
      </c>
      <c r="AJ2234" s="354" t="s">
        <v>98</v>
      </c>
      <c r="AK2234" s="354">
        <v>7408</v>
      </c>
      <c r="AL2234" s="355" t="s">
        <v>98</v>
      </c>
      <c r="AM2234" s="355" t="s">
        <v>292</v>
      </c>
      <c r="AN2234" s="357" t="s">
        <v>276</v>
      </c>
      <c r="AO2234" s="386">
        <f t="shared" si="611"/>
        <v>65.915226781857456</v>
      </c>
      <c r="AP2234" s="357" t="s">
        <v>276</v>
      </c>
      <c r="AQ2234" s="357" t="s">
        <v>276</v>
      </c>
      <c r="AR2234" s="357" t="s">
        <v>276</v>
      </c>
      <c r="AS2234" s="357" t="s">
        <v>276</v>
      </c>
      <c r="AT2234" s="357" t="s">
        <v>276</v>
      </c>
      <c r="AU2234" s="357" t="s">
        <v>276</v>
      </c>
      <c r="AV2234" s="357" t="s">
        <v>276</v>
      </c>
      <c r="AW2234" s="357" t="s">
        <v>276</v>
      </c>
      <c r="AX2234" s="357" t="s">
        <v>276</v>
      </c>
      <c r="AY2234" s="357" t="s">
        <v>276</v>
      </c>
      <c r="AZ2234" s="357" t="s">
        <v>276</v>
      </c>
      <c r="BA2234" s="357" t="s">
        <v>276</v>
      </c>
      <c r="BB2234" s="357" t="s">
        <v>276</v>
      </c>
      <c r="BC2234" s="357" t="s">
        <v>276</v>
      </c>
      <c r="BD2234" s="357" t="s">
        <v>276</v>
      </c>
      <c r="BE2234" s="357" t="s">
        <v>276</v>
      </c>
      <c r="BF2234" s="351" t="s">
        <v>1358</v>
      </c>
      <c r="BG2234" s="390"/>
      <c r="BH2234" s="9" t="s">
        <v>100</v>
      </c>
      <c r="BI2234" s="9" t="s">
        <v>100</v>
      </c>
    </row>
    <row r="2235" spans="1:61" ht="52" hidden="1" x14ac:dyDescent="0.35">
      <c r="A2235" s="357">
        <v>10549</v>
      </c>
      <c r="B2235" s="357" t="s">
        <v>5173</v>
      </c>
      <c r="C2235" s="357" t="s">
        <v>88</v>
      </c>
      <c r="D2235" s="351" t="s">
        <v>5702</v>
      </c>
      <c r="E2235" s="357" t="s">
        <v>43</v>
      </c>
      <c r="F2235" s="351" t="s">
        <v>4987</v>
      </c>
      <c r="G2235" s="357" t="s">
        <v>225</v>
      </c>
      <c r="H2235" s="357" t="s">
        <v>125</v>
      </c>
      <c r="I2235" s="357" t="s">
        <v>114</v>
      </c>
      <c r="J2235" s="351" t="s">
        <v>98</v>
      </c>
      <c r="K2235" s="357" t="s">
        <v>98</v>
      </c>
      <c r="L2235" s="357" t="s">
        <v>98</v>
      </c>
      <c r="M2235" s="357" t="s">
        <v>98</v>
      </c>
      <c r="N2235" s="357" t="s">
        <v>276</v>
      </c>
      <c r="O2235" s="351" t="s">
        <v>276</v>
      </c>
      <c r="P2235" s="351" t="s">
        <v>236</v>
      </c>
      <c r="Q2235" s="383" t="s">
        <v>5201</v>
      </c>
      <c r="R2235" s="351" t="s">
        <v>98</v>
      </c>
      <c r="S2235" s="807" t="s">
        <v>5681</v>
      </c>
      <c r="T2235" s="807"/>
      <c r="U2235" s="351" t="s">
        <v>276</v>
      </c>
      <c r="V2235" s="357" t="s">
        <v>259</v>
      </c>
      <c r="W2235" s="351" t="s">
        <v>5072</v>
      </c>
      <c r="X2235" s="351" t="s">
        <v>209</v>
      </c>
      <c r="Y2235" s="354">
        <v>17443</v>
      </c>
      <c r="Z2235" s="355" t="s">
        <v>98</v>
      </c>
      <c r="AA2235" s="357" t="s">
        <v>276</v>
      </c>
      <c r="AB2235" s="357" t="s">
        <v>276</v>
      </c>
      <c r="AC2235" s="357" t="s">
        <v>276</v>
      </c>
      <c r="AD2235" s="357" t="s">
        <v>5574</v>
      </c>
      <c r="AE2235" s="357" t="s">
        <v>98</v>
      </c>
      <c r="AF2235" s="357" t="s">
        <v>98</v>
      </c>
      <c r="AG2235" s="351" t="s">
        <v>5678</v>
      </c>
      <c r="AH2235" s="351" t="s">
        <v>5679</v>
      </c>
      <c r="AI2235" s="354">
        <v>1809</v>
      </c>
      <c r="AJ2235" s="354" t="s">
        <v>98</v>
      </c>
      <c r="AK2235" s="354">
        <v>2180</v>
      </c>
      <c r="AL2235" s="355" t="s">
        <v>98</v>
      </c>
      <c r="AM2235" s="355" t="s">
        <v>292</v>
      </c>
      <c r="AN2235" s="357" t="s">
        <v>276</v>
      </c>
      <c r="AO2235" s="386">
        <f t="shared" si="611"/>
        <v>82.981651376146786</v>
      </c>
      <c r="AP2235" s="357" t="s">
        <v>276</v>
      </c>
      <c r="AQ2235" s="357" t="s">
        <v>276</v>
      </c>
      <c r="AR2235" s="357" t="s">
        <v>276</v>
      </c>
      <c r="AS2235" s="357" t="s">
        <v>276</v>
      </c>
      <c r="AT2235" s="357" t="s">
        <v>276</v>
      </c>
      <c r="AU2235" s="357" t="s">
        <v>276</v>
      </c>
      <c r="AV2235" s="357" t="s">
        <v>276</v>
      </c>
      <c r="AW2235" s="357" t="s">
        <v>276</v>
      </c>
      <c r="AX2235" s="357" t="s">
        <v>276</v>
      </c>
      <c r="AY2235" s="357" t="s">
        <v>276</v>
      </c>
      <c r="AZ2235" s="357" t="s">
        <v>276</v>
      </c>
      <c r="BA2235" s="357" t="s">
        <v>276</v>
      </c>
      <c r="BB2235" s="357" t="s">
        <v>276</v>
      </c>
      <c r="BC2235" s="357" t="s">
        <v>276</v>
      </c>
      <c r="BD2235" s="357" t="s">
        <v>276</v>
      </c>
      <c r="BE2235" s="357" t="s">
        <v>276</v>
      </c>
      <c r="BF2235" s="351" t="s">
        <v>1358</v>
      </c>
      <c r="BH2235" s="9" t="s">
        <v>100</v>
      </c>
      <c r="BI2235" s="9" t="s">
        <v>100</v>
      </c>
    </row>
    <row r="2236" spans="1:61" ht="52" hidden="1" x14ac:dyDescent="0.35">
      <c r="A2236" s="357">
        <v>10549</v>
      </c>
      <c r="B2236" s="357" t="s">
        <v>5173</v>
      </c>
      <c r="C2236" s="357" t="s">
        <v>88</v>
      </c>
      <c r="D2236" s="351" t="s">
        <v>5703</v>
      </c>
      <c r="E2236" s="357" t="s">
        <v>43</v>
      </c>
      <c r="F2236" s="351" t="s">
        <v>4987</v>
      </c>
      <c r="G2236" s="357" t="s">
        <v>225</v>
      </c>
      <c r="H2236" s="357" t="s">
        <v>125</v>
      </c>
      <c r="I2236" s="357" t="s">
        <v>114</v>
      </c>
      <c r="J2236" s="351" t="s">
        <v>98</v>
      </c>
      <c r="K2236" s="357" t="s">
        <v>98</v>
      </c>
      <c r="L2236" s="357" t="s">
        <v>98</v>
      </c>
      <c r="M2236" s="357" t="s">
        <v>98</v>
      </c>
      <c r="N2236" s="357" t="s">
        <v>276</v>
      </c>
      <c r="O2236" s="351" t="s">
        <v>276</v>
      </c>
      <c r="P2236" s="351" t="s">
        <v>236</v>
      </c>
      <c r="Q2236" s="383" t="s">
        <v>5201</v>
      </c>
      <c r="R2236" s="351" t="s">
        <v>98</v>
      </c>
      <c r="S2236" s="807" t="s">
        <v>5681</v>
      </c>
      <c r="T2236" s="807"/>
      <c r="U2236" s="351" t="s">
        <v>276</v>
      </c>
      <c r="V2236" s="357" t="s">
        <v>259</v>
      </c>
      <c r="W2236" s="351" t="s">
        <v>5130</v>
      </c>
      <c r="X2236" s="351" t="s">
        <v>209</v>
      </c>
      <c r="Y2236" s="354">
        <v>4307</v>
      </c>
      <c r="Z2236" s="355" t="s">
        <v>98</v>
      </c>
      <c r="AA2236" s="357" t="s">
        <v>276</v>
      </c>
      <c r="AB2236" s="357" t="s">
        <v>276</v>
      </c>
      <c r="AC2236" s="357" t="s">
        <v>276</v>
      </c>
      <c r="AD2236" s="357" t="s">
        <v>5574</v>
      </c>
      <c r="AE2236" s="357" t="s">
        <v>98</v>
      </c>
      <c r="AF2236" s="357" t="s">
        <v>98</v>
      </c>
      <c r="AG2236" s="351" t="s">
        <v>5678</v>
      </c>
      <c r="AH2236" s="351" t="s">
        <v>5679</v>
      </c>
      <c r="AI2236" s="354">
        <v>187</v>
      </c>
      <c r="AJ2236" s="354" t="s">
        <v>98</v>
      </c>
      <c r="AK2236" s="354">
        <v>417</v>
      </c>
      <c r="AL2236" s="355" t="s">
        <v>98</v>
      </c>
      <c r="AM2236" s="355" t="s">
        <v>292</v>
      </c>
      <c r="AN2236" s="357" t="s">
        <v>276</v>
      </c>
      <c r="AO2236" s="386">
        <f t="shared" si="611"/>
        <v>44.84412470023981</v>
      </c>
      <c r="AP2236" s="357" t="s">
        <v>276</v>
      </c>
      <c r="AQ2236" s="357" t="s">
        <v>276</v>
      </c>
      <c r="AR2236" s="357" t="s">
        <v>276</v>
      </c>
      <c r="AS2236" s="357" t="s">
        <v>276</v>
      </c>
      <c r="AT2236" s="357" t="s">
        <v>276</v>
      </c>
      <c r="AU2236" s="357" t="s">
        <v>276</v>
      </c>
      <c r="AV2236" s="357" t="s">
        <v>276</v>
      </c>
      <c r="AW2236" s="357" t="s">
        <v>276</v>
      </c>
      <c r="AX2236" s="357" t="s">
        <v>276</v>
      </c>
      <c r="AY2236" s="357" t="s">
        <v>276</v>
      </c>
      <c r="AZ2236" s="357" t="s">
        <v>276</v>
      </c>
      <c r="BA2236" s="357" t="s">
        <v>276</v>
      </c>
      <c r="BB2236" s="357" t="s">
        <v>276</v>
      </c>
      <c r="BC2236" s="357" t="s">
        <v>276</v>
      </c>
      <c r="BD2236" s="357" t="s">
        <v>276</v>
      </c>
      <c r="BE2236" s="357" t="s">
        <v>276</v>
      </c>
      <c r="BF2236" s="351" t="s">
        <v>1358</v>
      </c>
      <c r="BH2236" s="9" t="s">
        <v>100</v>
      </c>
      <c r="BI2236" s="9" t="s">
        <v>100</v>
      </c>
    </row>
    <row r="2237" spans="1:61" ht="52" hidden="1" x14ac:dyDescent="0.35">
      <c r="A2237" s="357">
        <v>10549</v>
      </c>
      <c r="B2237" s="357" t="s">
        <v>5173</v>
      </c>
      <c r="C2237" s="357" t="s">
        <v>88</v>
      </c>
      <c r="D2237" s="351" t="s">
        <v>5704</v>
      </c>
      <c r="E2237" s="357" t="s">
        <v>43</v>
      </c>
      <c r="F2237" s="351" t="s">
        <v>4987</v>
      </c>
      <c r="G2237" s="357" t="s">
        <v>225</v>
      </c>
      <c r="H2237" s="357" t="s">
        <v>125</v>
      </c>
      <c r="I2237" s="357" t="s">
        <v>114</v>
      </c>
      <c r="J2237" s="351" t="s">
        <v>98</v>
      </c>
      <c r="K2237" s="357" t="s">
        <v>98</v>
      </c>
      <c r="L2237" s="357" t="s">
        <v>98</v>
      </c>
      <c r="M2237" s="357" t="s">
        <v>98</v>
      </c>
      <c r="N2237" s="357" t="s">
        <v>276</v>
      </c>
      <c r="O2237" s="351" t="s">
        <v>276</v>
      </c>
      <c r="P2237" s="351" t="s">
        <v>236</v>
      </c>
      <c r="Q2237" s="383" t="s">
        <v>5201</v>
      </c>
      <c r="R2237" s="351" t="s">
        <v>98</v>
      </c>
      <c r="S2237" s="807" t="s">
        <v>5681</v>
      </c>
      <c r="T2237" s="807"/>
      <c r="U2237" s="351" t="s">
        <v>276</v>
      </c>
      <c r="V2237" s="357" t="s">
        <v>259</v>
      </c>
      <c r="W2237" s="351" t="s">
        <v>5133</v>
      </c>
      <c r="X2237" s="351" t="s">
        <v>209</v>
      </c>
      <c r="Y2237" s="354">
        <v>5901</v>
      </c>
      <c r="Z2237" s="355" t="s">
        <v>98</v>
      </c>
      <c r="AA2237" s="357" t="s">
        <v>276</v>
      </c>
      <c r="AB2237" s="357" t="s">
        <v>276</v>
      </c>
      <c r="AC2237" s="357" t="s">
        <v>276</v>
      </c>
      <c r="AD2237" s="357" t="s">
        <v>5574</v>
      </c>
      <c r="AE2237" s="357" t="s">
        <v>98</v>
      </c>
      <c r="AF2237" s="357" t="s">
        <v>98</v>
      </c>
      <c r="AG2237" s="351" t="s">
        <v>5678</v>
      </c>
      <c r="AH2237" s="351" t="s">
        <v>5679</v>
      </c>
      <c r="AI2237" s="354">
        <v>570</v>
      </c>
      <c r="AJ2237" s="354" t="s">
        <v>98</v>
      </c>
      <c r="AK2237" s="354">
        <v>738</v>
      </c>
      <c r="AL2237" s="355" t="s">
        <v>98</v>
      </c>
      <c r="AM2237" s="355" t="s">
        <v>292</v>
      </c>
      <c r="AN2237" s="357" t="s">
        <v>276</v>
      </c>
      <c r="AO2237" s="386">
        <f t="shared" si="611"/>
        <v>77.235772357723576</v>
      </c>
      <c r="AP2237" s="357" t="s">
        <v>276</v>
      </c>
      <c r="AQ2237" s="357" t="s">
        <v>276</v>
      </c>
      <c r="AR2237" s="357" t="s">
        <v>276</v>
      </c>
      <c r="AS2237" s="357" t="s">
        <v>276</v>
      </c>
      <c r="AT2237" s="357" t="s">
        <v>276</v>
      </c>
      <c r="AU2237" s="357" t="s">
        <v>276</v>
      </c>
      <c r="AV2237" s="357" t="s">
        <v>276</v>
      </c>
      <c r="AW2237" s="357" t="s">
        <v>276</v>
      </c>
      <c r="AX2237" s="357" t="s">
        <v>276</v>
      </c>
      <c r="AY2237" s="357" t="s">
        <v>276</v>
      </c>
      <c r="AZ2237" s="357" t="s">
        <v>276</v>
      </c>
      <c r="BA2237" s="357" t="s">
        <v>276</v>
      </c>
      <c r="BB2237" s="357" t="s">
        <v>276</v>
      </c>
      <c r="BC2237" s="357" t="s">
        <v>276</v>
      </c>
      <c r="BD2237" s="357" t="s">
        <v>276</v>
      </c>
      <c r="BE2237" s="357" t="s">
        <v>276</v>
      </c>
      <c r="BF2237" s="351" t="s">
        <v>1358</v>
      </c>
      <c r="BH2237" s="9" t="s">
        <v>100</v>
      </c>
      <c r="BI2237" s="9" t="s">
        <v>100</v>
      </c>
    </row>
    <row r="2238" spans="1:61" ht="52" hidden="1" x14ac:dyDescent="0.35">
      <c r="A2238" s="357">
        <v>10549</v>
      </c>
      <c r="B2238" s="357" t="s">
        <v>5173</v>
      </c>
      <c r="C2238" s="357" t="s">
        <v>88</v>
      </c>
      <c r="D2238" s="351" t="s">
        <v>5705</v>
      </c>
      <c r="E2238" s="357" t="s">
        <v>43</v>
      </c>
      <c r="F2238" s="351" t="s">
        <v>4987</v>
      </c>
      <c r="G2238" s="357" t="s">
        <v>225</v>
      </c>
      <c r="H2238" s="357" t="s">
        <v>125</v>
      </c>
      <c r="I2238" s="357" t="s">
        <v>114</v>
      </c>
      <c r="J2238" s="351" t="s">
        <v>98</v>
      </c>
      <c r="K2238" s="357" t="s">
        <v>98</v>
      </c>
      <c r="L2238" s="357" t="s">
        <v>98</v>
      </c>
      <c r="M2238" s="357" t="s">
        <v>98</v>
      </c>
      <c r="N2238" s="357" t="s">
        <v>276</v>
      </c>
      <c r="O2238" s="351" t="s">
        <v>276</v>
      </c>
      <c r="P2238" s="351" t="s">
        <v>236</v>
      </c>
      <c r="Q2238" s="383" t="s">
        <v>5201</v>
      </c>
      <c r="R2238" s="351" t="s">
        <v>98</v>
      </c>
      <c r="S2238" s="807" t="s">
        <v>5681</v>
      </c>
      <c r="T2238" s="807"/>
      <c r="U2238" s="351" t="s">
        <v>276</v>
      </c>
      <c r="V2238" s="357" t="s">
        <v>259</v>
      </c>
      <c r="W2238" s="351" t="s">
        <v>5136</v>
      </c>
      <c r="X2238" s="351" t="s">
        <v>209</v>
      </c>
      <c r="Y2238" s="354">
        <v>31970</v>
      </c>
      <c r="Z2238" s="355" t="s">
        <v>98</v>
      </c>
      <c r="AA2238" s="357" t="s">
        <v>276</v>
      </c>
      <c r="AB2238" s="357" t="s">
        <v>276</v>
      </c>
      <c r="AC2238" s="357" t="s">
        <v>276</v>
      </c>
      <c r="AD2238" s="357" t="s">
        <v>5574</v>
      </c>
      <c r="AE2238" s="357" t="s">
        <v>98</v>
      </c>
      <c r="AF2238" s="357" t="s">
        <v>98</v>
      </c>
      <c r="AG2238" s="351" t="s">
        <v>5678</v>
      </c>
      <c r="AH2238" s="351" t="s">
        <v>5679</v>
      </c>
      <c r="AI2238" s="354">
        <v>1631</v>
      </c>
      <c r="AJ2238" s="354" t="s">
        <v>98</v>
      </c>
      <c r="AK2238" s="354">
        <v>3018</v>
      </c>
      <c r="AL2238" s="355" t="s">
        <v>98</v>
      </c>
      <c r="AM2238" s="355" t="s">
        <v>292</v>
      </c>
      <c r="AN2238" s="357" t="s">
        <v>276</v>
      </c>
      <c r="AO2238" s="386">
        <f t="shared" si="611"/>
        <v>54.042412193505633</v>
      </c>
      <c r="AP2238" s="357" t="s">
        <v>276</v>
      </c>
      <c r="AQ2238" s="357" t="s">
        <v>276</v>
      </c>
      <c r="AR2238" s="357" t="s">
        <v>276</v>
      </c>
      <c r="AS2238" s="357" t="s">
        <v>276</v>
      </c>
      <c r="AT2238" s="357" t="s">
        <v>276</v>
      </c>
      <c r="AU2238" s="357" t="s">
        <v>276</v>
      </c>
      <c r="AV2238" s="357" t="s">
        <v>276</v>
      </c>
      <c r="AW2238" s="357" t="s">
        <v>276</v>
      </c>
      <c r="AX2238" s="357" t="s">
        <v>276</v>
      </c>
      <c r="AY2238" s="357" t="s">
        <v>276</v>
      </c>
      <c r="AZ2238" s="357" t="s">
        <v>276</v>
      </c>
      <c r="BA2238" s="357" t="s">
        <v>276</v>
      </c>
      <c r="BB2238" s="357" t="s">
        <v>276</v>
      </c>
      <c r="BC2238" s="357" t="s">
        <v>276</v>
      </c>
      <c r="BD2238" s="357" t="s">
        <v>276</v>
      </c>
      <c r="BE2238" s="357" t="s">
        <v>276</v>
      </c>
      <c r="BF2238" s="351" t="s">
        <v>1358</v>
      </c>
      <c r="BH2238" s="9" t="s">
        <v>100</v>
      </c>
      <c r="BI2238" s="9" t="s">
        <v>100</v>
      </c>
    </row>
    <row r="2239" spans="1:61" ht="52" hidden="1" x14ac:dyDescent="0.35">
      <c r="A2239" s="357">
        <v>10549</v>
      </c>
      <c r="B2239" s="357" t="s">
        <v>5173</v>
      </c>
      <c r="C2239" s="357" t="s">
        <v>88</v>
      </c>
      <c r="D2239" s="351" t="s">
        <v>5706</v>
      </c>
      <c r="E2239" s="357" t="s">
        <v>43</v>
      </c>
      <c r="F2239" s="351" t="s">
        <v>4987</v>
      </c>
      <c r="G2239" s="357" t="s">
        <v>225</v>
      </c>
      <c r="H2239" s="357" t="s">
        <v>125</v>
      </c>
      <c r="I2239" s="357" t="s">
        <v>114</v>
      </c>
      <c r="J2239" s="351" t="s">
        <v>98</v>
      </c>
      <c r="K2239" s="357" t="s">
        <v>98</v>
      </c>
      <c r="L2239" s="357" t="s">
        <v>98</v>
      </c>
      <c r="M2239" s="357" t="s">
        <v>98</v>
      </c>
      <c r="N2239" s="357" t="s">
        <v>276</v>
      </c>
      <c r="O2239" s="351" t="s">
        <v>276</v>
      </c>
      <c r="P2239" s="351" t="s">
        <v>236</v>
      </c>
      <c r="Q2239" s="383" t="s">
        <v>5201</v>
      </c>
      <c r="R2239" s="351" t="s">
        <v>98</v>
      </c>
      <c r="S2239" s="807" t="s">
        <v>5707</v>
      </c>
      <c r="T2239" s="807"/>
      <c r="U2239" s="351" t="s">
        <v>276</v>
      </c>
      <c r="V2239" s="357" t="s">
        <v>259</v>
      </c>
      <c r="W2239" s="351" t="s">
        <v>5139</v>
      </c>
      <c r="X2239" s="351" t="s">
        <v>209</v>
      </c>
      <c r="Y2239" s="354">
        <v>7266</v>
      </c>
      <c r="Z2239" s="355" t="s">
        <v>98</v>
      </c>
      <c r="AA2239" s="357" t="s">
        <v>276</v>
      </c>
      <c r="AB2239" s="357" t="s">
        <v>276</v>
      </c>
      <c r="AC2239" s="357" t="s">
        <v>276</v>
      </c>
      <c r="AD2239" s="357" t="s">
        <v>5574</v>
      </c>
      <c r="AE2239" s="357" t="s">
        <v>98</v>
      </c>
      <c r="AF2239" s="357" t="s">
        <v>98</v>
      </c>
      <c r="AG2239" s="351" t="s">
        <v>5678</v>
      </c>
      <c r="AH2239" s="351" t="s">
        <v>5679</v>
      </c>
      <c r="AI2239" s="354">
        <v>197</v>
      </c>
      <c r="AJ2239" s="354" t="s">
        <v>98</v>
      </c>
      <c r="AK2239" s="354">
        <v>396</v>
      </c>
      <c r="AL2239" s="355" t="s">
        <v>98</v>
      </c>
      <c r="AM2239" s="355" t="s">
        <v>292</v>
      </c>
      <c r="AN2239" s="357" t="s">
        <v>276</v>
      </c>
      <c r="AO2239" s="386">
        <f t="shared" si="611"/>
        <v>49.747474747474747</v>
      </c>
      <c r="AP2239" s="357" t="s">
        <v>276</v>
      </c>
      <c r="AQ2239" s="357" t="s">
        <v>276</v>
      </c>
      <c r="AR2239" s="357" t="s">
        <v>276</v>
      </c>
      <c r="AS2239" s="357" t="s">
        <v>276</v>
      </c>
      <c r="AT2239" s="357" t="s">
        <v>276</v>
      </c>
      <c r="AU2239" s="357" t="s">
        <v>276</v>
      </c>
      <c r="AV2239" s="357" t="s">
        <v>276</v>
      </c>
      <c r="AW2239" s="357" t="s">
        <v>276</v>
      </c>
      <c r="AX2239" s="357" t="s">
        <v>276</v>
      </c>
      <c r="AY2239" s="357" t="s">
        <v>276</v>
      </c>
      <c r="AZ2239" s="357" t="s">
        <v>276</v>
      </c>
      <c r="BA2239" s="357" t="s">
        <v>276</v>
      </c>
      <c r="BB2239" s="357" t="s">
        <v>276</v>
      </c>
      <c r="BC2239" s="357" t="s">
        <v>276</v>
      </c>
      <c r="BD2239" s="357" t="s">
        <v>276</v>
      </c>
      <c r="BE2239" s="357" t="s">
        <v>276</v>
      </c>
      <c r="BF2239" s="351" t="s">
        <v>1358</v>
      </c>
      <c r="BH2239" s="9" t="s">
        <v>100</v>
      </c>
      <c r="BI2239" s="9" t="s">
        <v>100</v>
      </c>
    </row>
    <row r="2240" spans="1:61" ht="52" hidden="1" x14ac:dyDescent="0.35">
      <c r="A2240" s="357">
        <v>10549</v>
      </c>
      <c r="B2240" s="357" t="s">
        <v>5173</v>
      </c>
      <c r="C2240" s="357" t="s">
        <v>88</v>
      </c>
      <c r="D2240" s="351" t="s">
        <v>5708</v>
      </c>
      <c r="E2240" s="357" t="s">
        <v>43</v>
      </c>
      <c r="F2240" s="351" t="s">
        <v>4987</v>
      </c>
      <c r="G2240" s="357" t="s">
        <v>225</v>
      </c>
      <c r="H2240" s="357" t="s">
        <v>125</v>
      </c>
      <c r="I2240" s="357" t="s">
        <v>114</v>
      </c>
      <c r="J2240" s="351" t="s">
        <v>98</v>
      </c>
      <c r="K2240" s="357" t="s">
        <v>98</v>
      </c>
      <c r="L2240" s="357" t="s">
        <v>98</v>
      </c>
      <c r="M2240" s="357" t="s">
        <v>98</v>
      </c>
      <c r="N2240" s="357" t="s">
        <v>276</v>
      </c>
      <c r="O2240" s="351" t="s">
        <v>276</v>
      </c>
      <c r="P2240" s="351" t="s">
        <v>236</v>
      </c>
      <c r="Q2240" s="383" t="s">
        <v>5201</v>
      </c>
      <c r="R2240" s="351" t="s">
        <v>98</v>
      </c>
      <c r="S2240" s="807" t="s">
        <v>5689</v>
      </c>
      <c r="T2240" s="807"/>
      <c r="U2240" s="351" t="s">
        <v>276</v>
      </c>
      <c r="V2240" s="357" t="s">
        <v>259</v>
      </c>
      <c r="W2240" s="351" t="s">
        <v>5142</v>
      </c>
      <c r="X2240" s="351" t="s">
        <v>209</v>
      </c>
      <c r="Y2240" s="354">
        <v>1056</v>
      </c>
      <c r="Z2240" s="355" t="s">
        <v>98</v>
      </c>
      <c r="AA2240" s="357" t="s">
        <v>276</v>
      </c>
      <c r="AB2240" s="357" t="s">
        <v>276</v>
      </c>
      <c r="AC2240" s="357" t="s">
        <v>276</v>
      </c>
      <c r="AD2240" s="357" t="s">
        <v>5574</v>
      </c>
      <c r="AE2240" s="357" t="s">
        <v>98</v>
      </c>
      <c r="AF2240" s="357" t="s">
        <v>98</v>
      </c>
      <c r="AG2240" s="351" t="s">
        <v>5678</v>
      </c>
      <c r="AH2240" s="351" t="s">
        <v>5679</v>
      </c>
      <c r="AI2240" s="354">
        <v>60</v>
      </c>
      <c r="AJ2240" s="354" t="s">
        <v>98</v>
      </c>
      <c r="AK2240" s="354">
        <v>87</v>
      </c>
      <c r="AL2240" s="355" t="s">
        <v>98</v>
      </c>
      <c r="AM2240" s="355" t="s">
        <v>292</v>
      </c>
      <c r="AN2240" s="357" t="s">
        <v>276</v>
      </c>
      <c r="AO2240" s="386">
        <f t="shared" si="611"/>
        <v>68.965517241379317</v>
      </c>
      <c r="AP2240" s="357" t="s">
        <v>276</v>
      </c>
      <c r="AQ2240" s="357" t="s">
        <v>276</v>
      </c>
      <c r="AR2240" s="357" t="s">
        <v>276</v>
      </c>
      <c r="AS2240" s="357" t="s">
        <v>276</v>
      </c>
      <c r="AT2240" s="357" t="s">
        <v>276</v>
      </c>
      <c r="AU2240" s="357" t="s">
        <v>276</v>
      </c>
      <c r="AV2240" s="357" t="s">
        <v>276</v>
      </c>
      <c r="AW2240" s="357" t="s">
        <v>276</v>
      </c>
      <c r="AX2240" s="357" t="s">
        <v>276</v>
      </c>
      <c r="AY2240" s="357" t="s">
        <v>276</v>
      </c>
      <c r="AZ2240" s="357" t="s">
        <v>276</v>
      </c>
      <c r="BA2240" s="357" t="s">
        <v>276</v>
      </c>
      <c r="BB2240" s="357" t="s">
        <v>276</v>
      </c>
      <c r="BC2240" s="357" t="s">
        <v>276</v>
      </c>
      <c r="BD2240" s="357" t="s">
        <v>276</v>
      </c>
      <c r="BE2240" s="357" t="s">
        <v>276</v>
      </c>
      <c r="BF2240" s="351" t="s">
        <v>1358</v>
      </c>
      <c r="BH2240" s="9" t="s">
        <v>100</v>
      </c>
      <c r="BI2240" s="9" t="s">
        <v>100</v>
      </c>
    </row>
    <row r="2241" spans="1:61" ht="52" hidden="1" x14ac:dyDescent="0.35">
      <c r="A2241" s="357">
        <v>10549</v>
      </c>
      <c r="B2241" s="357" t="s">
        <v>5173</v>
      </c>
      <c r="C2241" s="357" t="s">
        <v>88</v>
      </c>
      <c r="D2241" s="351" t="s">
        <v>5709</v>
      </c>
      <c r="E2241" s="357" t="s">
        <v>43</v>
      </c>
      <c r="F2241" s="351" t="s">
        <v>4987</v>
      </c>
      <c r="G2241" s="357" t="s">
        <v>225</v>
      </c>
      <c r="H2241" s="357" t="s">
        <v>125</v>
      </c>
      <c r="I2241" s="357" t="s">
        <v>114</v>
      </c>
      <c r="J2241" s="351" t="s">
        <v>98</v>
      </c>
      <c r="K2241" s="357" t="s">
        <v>98</v>
      </c>
      <c r="L2241" s="357" t="s">
        <v>98</v>
      </c>
      <c r="M2241" s="357" t="s">
        <v>98</v>
      </c>
      <c r="N2241" s="357" t="s">
        <v>276</v>
      </c>
      <c r="O2241" s="351" t="s">
        <v>276</v>
      </c>
      <c r="P2241" s="351" t="s">
        <v>236</v>
      </c>
      <c r="Q2241" s="383" t="s">
        <v>5201</v>
      </c>
      <c r="R2241" s="351" t="s">
        <v>98</v>
      </c>
      <c r="S2241" s="807" t="s">
        <v>5692</v>
      </c>
      <c r="T2241" s="807"/>
      <c r="U2241" s="351" t="s">
        <v>276</v>
      </c>
      <c r="V2241" s="357" t="s">
        <v>259</v>
      </c>
      <c r="W2241" s="351" t="s">
        <v>5145</v>
      </c>
      <c r="X2241" s="351" t="s">
        <v>209</v>
      </c>
      <c r="Y2241" s="354">
        <v>4948</v>
      </c>
      <c r="Z2241" s="355" t="s">
        <v>98</v>
      </c>
      <c r="AA2241" s="357" t="s">
        <v>276</v>
      </c>
      <c r="AB2241" s="357" t="s">
        <v>276</v>
      </c>
      <c r="AC2241" s="357" t="s">
        <v>276</v>
      </c>
      <c r="AD2241" s="357" t="s">
        <v>5574</v>
      </c>
      <c r="AE2241" s="357" t="s">
        <v>98</v>
      </c>
      <c r="AF2241" s="357" t="s">
        <v>98</v>
      </c>
      <c r="AG2241" s="351" t="s">
        <v>5678</v>
      </c>
      <c r="AH2241" s="351" t="s">
        <v>5679</v>
      </c>
      <c r="AI2241" s="354">
        <v>429</v>
      </c>
      <c r="AJ2241" s="354" t="s">
        <v>98</v>
      </c>
      <c r="AK2241" s="354">
        <v>572</v>
      </c>
      <c r="AL2241" s="355" t="s">
        <v>98</v>
      </c>
      <c r="AM2241" s="355" t="s">
        <v>292</v>
      </c>
      <c r="AN2241" s="357" t="s">
        <v>276</v>
      </c>
      <c r="AO2241" s="386">
        <f t="shared" si="611"/>
        <v>75</v>
      </c>
      <c r="AP2241" s="357" t="s">
        <v>276</v>
      </c>
      <c r="AQ2241" s="357" t="s">
        <v>276</v>
      </c>
      <c r="AR2241" s="357" t="s">
        <v>276</v>
      </c>
      <c r="AS2241" s="357" t="s">
        <v>276</v>
      </c>
      <c r="AT2241" s="357" t="s">
        <v>276</v>
      </c>
      <c r="AU2241" s="357" t="s">
        <v>276</v>
      </c>
      <c r="AV2241" s="357" t="s">
        <v>276</v>
      </c>
      <c r="AW2241" s="357" t="s">
        <v>276</v>
      </c>
      <c r="AX2241" s="357" t="s">
        <v>276</v>
      </c>
      <c r="AY2241" s="357" t="s">
        <v>276</v>
      </c>
      <c r="AZ2241" s="357" t="s">
        <v>276</v>
      </c>
      <c r="BA2241" s="357" t="s">
        <v>276</v>
      </c>
      <c r="BB2241" s="357" t="s">
        <v>276</v>
      </c>
      <c r="BC2241" s="357" t="s">
        <v>276</v>
      </c>
      <c r="BD2241" s="357" t="s">
        <v>276</v>
      </c>
      <c r="BE2241" s="357" t="s">
        <v>276</v>
      </c>
      <c r="BF2241" s="351" t="s">
        <v>1358</v>
      </c>
      <c r="BH2241" s="9" t="s">
        <v>100</v>
      </c>
      <c r="BI2241" s="9" t="s">
        <v>100</v>
      </c>
    </row>
    <row r="2242" spans="1:61" ht="52" hidden="1" x14ac:dyDescent="0.35">
      <c r="A2242" s="357">
        <v>10549</v>
      </c>
      <c r="B2242" s="357" t="s">
        <v>5173</v>
      </c>
      <c r="C2242" s="357" t="s">
        <v>88</v>
      </c>
      <c r="D2242" s="351" t="s">
        <v>5710</v>
      </c>
      <c r="E2242" s="357" t="s">
        <v>43</v>
      </c>
      <c r="F2242" s="351" t="s">
        <v>4987</v>
      </c>
      <c r="G2242" s="357" t="s">
        <v>225</v>
      </c>
      <c r="H2242" s="357" t="s">
        <v>125</v>
      </c>
      <c r="I2242" s="357" t="s">
        <v>114</v>
      </c>
      <c r="J2242" s="351" t="s">
        <v>98</v>
      </c>
      <c r="K2242" s="357" t="s">
        <v>98</v>
      </c>
      <c r="L2242" s="357" t="s">
        <v>98</v>
      </c>
      <c r="M2242" s="357" t="s">
        <v>98</v>
      </c>
      <c r="N2242" s="357" t="s">
        <v>276</v>
      </c>
      <c r="O2242" s="351" t="s">
        <v>276</v>
      </c>
      <c r="P2242" s="351" t="s">
        <v>236</v>
      </c>
      <c r="Q2242" s="383" t="s">
        <v>5201</v>
      </c>
      <c r="R2242" s="351" t="s">
        <v>98</v>
      </c>
      <c r="S2242" s="807" t="s">
        <v>5694</v>
      </c>
      <c r="T2242" s="807"/>
      <c r="U2242" s="351" t="s">
        <v>276</v>
      </c>
      <c r="V2242" s="357" t="s">
        <v>259</v>
      </c>
      <c r="W2242" s="351" t="s">
        <v>5651</v>
      </c>
      <c r="X2242" s="351" t="s">
        <v>209</v>
      </c>
      <c r="Y2242" s="354">
        <v>28793</v>
      </c>
      <c r="Z2242" s="355" t="s">
        <v>98</v>
      </c>
      <c r="AA2242" s="357" t="s">
        <v>276</v>
      </c>
      <c r="AB2242" s="357" t="s">
        <v>276</v>
      </c>
      <c r="AC2242" s="357" t="s">
        <v>276</v>
      </c>
      <c r="AD2242" s="357" t="s">
        <v>5574</v>
      </c>
      <c r="AE2242" s="357" t="s">
        <v>98</v>
      </c>
      <c r="AF2242" s="357" t="s">
        <v>98</v>
      </c>
      <c r="AG2242" s="351" t="s">
        <v>5678</v>
      </c>
      <c r="AH2242" s="351" t="s">
        <v>5679</v>
      </c>
      <c r="AI2242" s="354">
        <v>163</v>
      </c>
      <c r="AJ2242" s="354" t="s">
        <v>98</v>
      </c>
      <c r="AK2242" s="354">
        <v>1196</v>
      </c>
      <c r="AL2242" s="355" t="s">
        <v>98</v>
      </c>
      <c r="AM2242" s="355" t="s">
        <v>292</v>
      </c>
      <c r="AN2242" s="357" t="s">
        <v>276</v>
      </c>
      <c r="AO2242" s="386">
        <f t="shared" si="611"/>
        <v>13.628762541806021</v>
      </c>
      <c r="AP2242" s="357" t="s">
        <v>276</v>
      </c>
      <c r="AQ2242" s="357" t="s">
        <v>276</v>
      </c>
      <c r="AR2242" s="357" t="s">
        <v>276</v>
      </c>
      <c r="AS2242" s="357" t="s">
        <v>276</v>
      </c>
      <c r="AT2242" s="357" t="s">
        <v>276</v>
      </c>
      <c r="AU2242" s="357" t="s">
        <v>276</v>
      </c>
      <c r="AV2242" s="357" t="s">
        <v>276</v>
      </c>
      <c r="AW2242" s="357" t="s">
        <v>276</v>
      </c>
      <c r="AX2242" s="357" t="s">
        <v>276</v>
      </c>
      <c r="AY2242" s="357" t="s">
        <v>276</v>
      </c>
      <c r="AZ2242" s="357" t="s">
        <v>276</v>
      </c>
      <c r="BA2242" s="357" t="s">
        <v>276</v>
      </c>
      <c r="BB2242" s="357" t="s">
        <v>276</v>
      </c>
      <c r="BC2242" s="357" t="s">
        <v>276</v>
      </c>
      <c r="BD2242" s="357" t="s">
        <v>276</v>
      </c>
      <c r="BE2242" s="357" t="s">
        <v>276</v>
      </c>
      <c r="BF2242" s="351" t="s">
        <v>1358</v>
      </c>
      <c r="BH2242" s="9" t="s">
        <v>100</v>
      </c>
      <c r="BI2242" s="9" t="s">
        <v>100</v>
      </c>
    </row>
    <row r="2243" spans="1:61" ht="52" hidden="1" x14ac:dyDescent="0.35">
      <c r="A2243" s="357">
        <v>10549</v>
      </c>
      <c r="B2243" s="357" t="s">
        <v>5173</v>
      </c>
      <c r="C2243" s="357" t="s">
        <v>88</v>
      </c>
      <c r="D2243" s="351" t="s">
        <v>5711</v>
      </c>
      <c r="E2243" s="357" t="s">
        <v>43</v>
      </c>
      <c r="F2243" s="351" t="s">
        <v>4987</v>
      </c>
      <c r="G2243" s="357" t="s">
        <v>225</v>
      </c>
      <c r="H2243" s="357" t="s">
        <v>125</v>
      </c>
      <c r="I2243" s="357" t="s">
        <v>114</v>
      </c>
      <c r="J2243" s="351" t="s">
        <v>98</v>
      </c>
      <c r="K2243" s="357" t="s">
        <v>98</v>
      </c>
      <c r="L2243" s="357" t="s">
        <v>98</v>
      </c>
      <c r="M2243" s="357" t="s">
        <v>98</v>
      </c>
      <c r="N2243" s="357" t="s">
        <v>276</v>
      </c>
      <c r="O2243" s="351" t="s">
        <v>276</v>
      </c>
      <c r="P2243" s="351" t="s">
        <v>236</v>
      </c>
      <c r="Q2243" s="383" t="s">
        <v>5201</v>
      </c>
      <c r="R2243" s="351" t="s">
        <v>98</v>
      </c>
      <c r="S2243" s="807" t="s">
        <v>5696</v>
      </c>
      <c r="T2243" s="807"/>
      <c r="U2243" s="351" t="s">
        <v>276</v>
      </c>
      <c r="V2243" s="357" t="s">
        <v>259</v>
      </c>
      <c r="W2243" s="351" t="s">
        <v>5653</v>
      </c>
      <c r="X2243" s="351" t="s">
        <v>209</v>
      </c>
      <c r="Y2243" s="354">
        <v>10879</v>
      </c>
      <c r="Z2243" s="355" t="s">
        <v>98</v>
      </c>
      <c r="AA2243" s="357" t="s">
        <v>276</v>
      </c>
      <c r="AB2243" s="357" t="s">
        <v>276</v>
      </c>
      <c r="AC2243" s="357" t="s">
        <v>276</v>
      </c>
      <c r="AD2243" s="357" t="s">
        <v>5574</v>
      </c>
      <c r="AE2243" s="357" t="s">
        <v>98</v>
      </c>
      <c r="AF2243" s="357" t="s">
        <v>98</v>
      </c>
      <c r="AG2243" s="351" t="s">
        <v>5678</v>
      </c>
      <c r="AH2243" s="351" t="s">
        <v>5679</v>
      </c>
      <c r="AI2243" s="354">
        <v>121</v>
      </c>
      <c r="AJ2243" s="354" t="s">
        <v>98</v>
      </c>
      <c r="AK2243" s="354">
        <v>559</v>
      </c>
      <c r="AL2243" s="355" t="s">
        <v>98</v>
      </c>
      <c r="AM2243" s="355" t="s">
        <v>292</v>
      </c>
      <c r="AN2243" s="357" t="s">
        <v>276</v>
      </c>
      <c r="AO2243" s="386">
        <f t="shared" si="611"/>
        <v>21.645796064400717</v>
      </c>
      <c r="AP2243" s="357" t="s">
        <v>276</v>
      </c>
      <c r="AQ2243" s="357" t="s">
        <v>276</v>
      </c>
      <c r="AR2243" s="357" t="s">
        <v>276</v>
      </c>
      <c r="AS2243" s="357" t="s">
        <v>276</v>
      </c>
      <c r="AT2243" s="357" t="s">
        <v>276</v>
      </c>
      <c r="AU2243" s="357" t="s">
        <v>276</v>
      </c>
      <c r="AV2243" s="357" t="s">
        <v>276</v>
      </c>
      <c r="AW2243" s="357" t="s">
        <v>276</v>
      </c>
      <c r="AX2243" s="357" t="s">
        <v>276</v>
      </c>
      <c r="AY2243" s="357" t="s">
        <v>276</v>
      </c>
      <c r="AZ2243" s="357" t="s">
        <v>276</v>
      </c>
      <c r="BA2243" s="357" t="s">
        <v>276</v>
      </c>
      <c r="BB2243" s="357" t="s">
        <v>276</v>
      </c>
      <c r="BC2243" s="357" t="s">
        <v>276</v>
      </c>
      <c r="BD2243" s="357" t="s">
        <v>276</v>
      </c>
      <c r="BE2243" s="357" t="s">
        <v>276</v>
      </c>
      <c r="BF2243" s="351" t="s">
        <v>1358</v>
      </c>
      <c r="BH2243" s="9" t="s">
        <v>100</v>
      </c>
      <c r="BI2243" s="9" t="s">
        <v>100</v>
      </c>
    </row>
    <row r="2244" spans="1:61" s="388" customFormat="1" ht="52" hidden="1" x14ac:dyDescent="0.35">
      <c r="A2244" s="357">
        <v>10549</v>
      </c>
      <c r="B2244" s="357" t="s">
        <v>5173</v>
      </c>
      <c r="C2244" s="357" t="s">
        <v>88</v>
      </c>
      <c r="D2244" s="351" t="s">
        <v>5712</v>
      </c>
      <c r="E2244" s="357" t="s">
        <v>43</v>
      </c>
      <c r="F2244" s="351" t="s">
        <v>4987</v>
      </c>
      <c r="G2244" s="357" t="s">
        <v>225</v>
      </c>
      <c r="H2244" s="357" t="s">
        <v>125</v>
      </c>
      <c r="I2244" s="357" t="s">
        <v>114</v>
      </c>
      <c r="J2244" s="351" t="s">
        <v>98</v>
      </c>
      <c r="K2244" s="357" t="s">
        <v>98</v>
      </c>
      <c r="L2244" s="357" t="s">
        <v>98</v>
      </c>
      <c r="M2244" s="357" t="s">
        <v>98</v>
      </c>
      <c r="N2244" s="357" t="s">
        <v>276</v>
      </c>
      <c r="O2244" s="351" t="s">
        <v>276</v>
      </c>
      <c r="P2244" s="351" t="s">
        <v>238</v>
      </c>
      <c r="Q2244" s="383" t="s">
        <v>5201</v>
      </c>
      <c r="R2244" s="351" t="s">
        <v>98</v>
      </c>
      <c r="S2244" s="806" t="s">
        <v>5677</v>
      </c>
      <c r="T2244" s="806"/>
      <c r="U2244" s="351" t="s">
        <v>276</v>
      </c>
      <c r="V2244" s="357" t="s">
        <v>14</v>
      </c>
      <c r="W2244" s="357" t="s">
        <v>98</v>
      </c>
      <c r="X2244" s="351" t="s">
        <v>209</v>
      </c>
      <c r="Y2244" s="354">
        <v>125263</v>
      </c>
      <c r="Z2244" s="355" t="s">
        <v>98</v>
      </c>
      <c r="AA2244" s="357" t="s">
        <v>276</v>
      </c>
      <c r="AB2244" s="357" t="s">
        <v>276</v>
      </c>
      <c r="AC2244" s="357" t="s">
        <v>276</v>
      </c>
      <c r="AD2244" s="357" t="s">
        <v>5574</v>
      </c>
      <c r="AE2244" s="357" t="s">
        <v>98</v>
      </c>
      <c r="AF2244" s="357" t="s">
        <v>98</v>
      </c>
      <c r="AG2244" s="351" t="s">
        <v>5678</v>
      </c>
      <c r="AH2244" s="351" t="s">
        <v>5596</v>
      </c>
      <c r="AI2244" s="354">
        <v>5850</v>
      </c>
      <c r="AJ2244" s="354" t="s">
        <v>98</v>
      </c>
      <c r="AK2244" s="354">
        <v>125263</v>
      </c>
      <c r="AL2244" s="355" t="s">
        <v>98</v>
      </c>
      <c r="AM2244" s="355" t="s">
        <v>690</v>
      </c>
      <c r="AN2244" s="357" t="s">
        <v>276</v>
      </c>
      <c r="AO2244" s="386">
        <f>AI2244*1000/AK2244</f>
        <v>46.701739540007821</v>
      </c>
      <c r="AP2244" s="357" t="s">
        <v>276</v>
      </c>
      <c r="AQ2244" s="357" t="s">
        <v>276</v>
      </c>
      <c r="AR2244" s="357" t="s">
        <v>276</v>
      </c>
      <c r="AS2244" s="357" t="s">
        <v>276</v>
      </c>
      <c r="AT2244" s="357" t="s">
        <v>276</v>
      </c>
      <c r="AU2244" s="357" t="s">
        <v>276</v>
      </c>
      <c r="AV2244" s="357" t="s">
        <v>276</v>
      </c>
      <c r="AW2244" s="357" t="s">
        <v>276</v>
      </c>
      <c r="AX2244" s="357" t="s">
        <v>276</v>
      </c>
      <c r="AY2244" s="357" t="s">
        <v>276</v>
      </c>
      <c r="AZ2244" s="357" t="s">
        <v>276</v>
      </c>
      <c r="BA2244" s="357" t="s">
        <v>276</v>
      </c>
      <c r="BB2244" s="357" t="s">
        <v>276</v>
      </c>
      <c r="BC2244" s="357" t="s">
        <v>276</v>
      </c>
      <c r="BD2244" s="357" t="s">
        <v>276</v>
      </c>
      <c r="BE2244" s="357" t="s">
        <v>276</v>
      </c>
      <c r="BF2244" s="351" t="s">
        <v>5617</v>
      </c>
      <c r="BG2244" s="384"/>
      <c r="BH2244" s="9" t="s">
        <v>100</v>
      </c>
      <c r="BI2244" s="9" t="s">
        <v>100</v>
      </c>
    </row>
    <row r="2245" spans="1:61" s="388" customFormat="1" ht="52" hidden="1" x14ac:dyDescent="0.35">
      <c r="A2245" s="357">
        <v>10549</v>
      </c>
      <c r="B2245" s="357" t="s">
        <v>5173</v>
      </c>
      <c r="C2245" s="357" t="s">
        <v>88</v>
      </c>
      <c r="D2245" s="351" t="s">
        <v>5713</v>
      </c>
      <c r="E2245" s="357" t="s">
        <v>43</v>
      </c>
      <c r="F2245" s="351" t="s">
        <v>4987</v>
      </c>
      <c r="G2245" s="357" t="s">
        <v>225</v>
      </c>
      <c r="H2245" s="357" t="s">
        <v>125</v>
      </c>
      <c r="I2245" s="357" t="s">
        <v>114</v>
      </c>
      <c r="J2245" s="351" t="s">
        <v>98</v>
      </c>
      <c r="K2245" s="357" t="s">
        <v>98</v>
      </c>
      <c r="L2245" s="357" t="s">
        <v>98</v>
      </c>
      <c r="M2245" s="357" t="s">
        <v>98</v>
      </c>
      <c r="N2245" s="357" t="s">
        <v>276</v>
      </c>
      <c r="O2245" s="351" t="s">
        <v>276</v>
      </c>
      <c r="P2245" s="351" t="s">
        <v>238</v>
      </c>
      <c r="Q2245" s="383" t="s">
        <v>5201</v>
      </c>
      <c r="R2245" s="351" t="s">
        <v>98</v>
      </c>
      <c r="S2245" s="806" t="s">
        <v>5681</v>
      </c>
      <c r="T2245" s="806"/>
      <c r="U2245" s="351" t="s">
        <v>276</v>
      </c>
      <c r="V2245" s="351" t="s">
        <v>261</v>
      </c>
      <c r="W2245" s="351" t="s">
        <v>5682</v>
      </c>
      <c r="X2245" s="351" t="s">
        <v>209</v>
      </c>
      <c r="Y2245" s="354">
        <v>82816</v>
      </c>
      <c r="Z2245" s="355" t="s">
        <v>98</v>
      </c>
      <c r="AA2245" s="357" t="s">
        <v>276</v>
      </c>
      <c r="AB2245" s="357" t="s">
        <v>276</v>
      </c>
      <c r="AC2245" s="357" t="s">
        <v>276</v>
      </c>
      <c r="AD2245" s="357" t="s">
        <v>5574</v>
      </c>
      <c r="AE2245" s="357" t="s">
        <v>98</v>
      </c>
      <c r="AF2245" s="357" t="s">
        <v>98</v>
      </c>
      <c r="AG2245" s="351" t="s">
        <v>5678</v>
      </c>
      <c r="AH2245" s="351" t="s">
        <v>5596</v>
      </c>
      <c r="AI2245" s="354">
        <v>5553</v>
      </c>
      <c r="AJ2245" s="354" t="s">
        <v>98</v>
      </c>
      <c r="AK2245" s="354">
        <v>82816</v>
      </c>
      <c r="AL2245" s="355" t="s">
        <v>98</v>
      </c>
      <c r="AM2245" s="355" t="s">
        <v>690</v>
      </c>
      <c r="AN2245" s="357" t="s">
        <v>276</v>
      </c>
      <c r="AO2245" s="386">
        <f t="shared" ref="AO2245:AO2265" si="612">AI2245*1000/AK2245</f>
        <v>67.052260432766616</v>
      </c>
      <c r="AP2245" s="357" t="s">
        <v>276</v>
      </c>
      <c r="AQ2245" s="357" t="s">
        <v>276</v>
      </c>
      <c r="AR2245" s="357" t="s">
        <v>276</v>
      </c>
      <c r="AS2245" s="357" t="s">
        <v>276</v>
      </c>
      <c r="AT2245" s="357" t="s">
        <v>276</v>
      </c>
      <c r="AU2245" s="357" t="s">
        <v>276</v>
      </c>
      <c r="AV2245" s="357" t="s">
        <v>276</v>
      </c>
      <c r="AW2245" s="357" t="s">
        <v>276</v>
      </c>
      <c r="AX2245" s="357" t="s">
        <v>276</v>
      </c>
      <c r="AY2245" s="357" t="s">
        <v>276</v>
      </c>
      <c r="AZ2245" s="357" t="s">
        <v>276</v>
      </c>
      <c r="BA2245" s="357" t="s">
        <v>276</v>
      </c>
      <c r="BB2245" s="357" t="s">
        <v>276</v>
      </c>
      <c r="BC2245" s="357" t="s">
        <v>276</v>
      </c>
      <c r="BD2245" s="357" t="s">
        <v>276</v>
      </c>
      <c r="BE2245" s="357" t="s">
        <v>276</v>
      </c>
      <c r="BF2245" s="351" t="s">
        <v>5617</v>
      </c>
      <c r="BG2245" s="384"/>
      <c r="BH2245" s="9" t="s">
        <v>100</v>
      </c>
      <c r="BI2245" s="9" t="s">
        <v>100</v>
      </c>
    </row>
    <row r="2246" spans="1:61" s="388" customFormat="1" ht="52" hidden="1" x14ac:dyDescent="0.35">
      <c r="A2246" s="357">
        <v>10549</v>
      </c>
      <c r="B2246" s="357" t="s">
        <v>5173</v>
      </c>
      <c r="C2246" s="357" t="s">
        <v>88</v>
      </c>
      <c r="D2246" s="351" t="s">
        <v>5714</v>
      </c>
      <c r="E2246" s="357" t="s">
        <v>43</v>
      </c>
      <c r="F2246" s="351" t="s">
        <v>4987</v>
      </c>
      <c r="G2246" s="357" t="s">
        <v>225</v>
      </c>
      <c r="H2246" s="357" t="s">
        <v>125</v>
      </c>
      <c r="I2246" s="357" t="s">
        <v>114</v>
      </c>
      <c r="J2246" s="351" t="s">
        <v>98</v>
      </c>
      <c r="K2246" s="357" t="s">
        <v>98</v>
      </c>
      <c r="L2246" s="357" t="s">
        <v>98</v>
      </c>
      <c r="M2246" s="357" t="s">
        <v>98</v>
      </c>
      <c r="N2246" s="357" t="s">
        <v>276</v>
      </c>
      <c r="O2246" s="351" t="s">
        <v>276</v>
      </c>
      <c r="P2246" s="351" t="s">
        <v>238</v>
      </c>
      <c r="Q2246" s="383" t="s">
        <v>5201</v>
      </c>
      <c r="R2246" s="351" t="s">
        <v>98</v>
      </c>
      <c r="S2246" s="806" t="s">
        <v>5684</v>
      </c>
      <c r="T2246" s="806"/>
      <c r="U2246" s="351" t="s">
        <v>276</v>
      </c>
      <c r="V2246" s="351" t="s">
        <v>261</v>
      </c>
      <c r="W2246" s="357" t="s">
        <v>5153</v>
      </c>
      <c r="X2246" s="351" t="s">
        <v>209</v>
      </c>
      <c r="Y2246" s="354">
        <v>21206</v>
      </c>
      <c r="Z2246" s="355" t="s">
        <v>98</v>
      </c>
      <c r="AA2246" s="357" t="s">
        <v>276</v>
      </c>
      <c r="AB2246" s="357" t="s">
        <v>276</v>
      </c>
      <c r="AC2246" s="357" t="s">
        <v>276</v>
      </c>
      <c r="AD2246" s="357" t="s">
        <v>5574</v>
      </c>
      <c r="AE2246" s="357" t="s">
        <v>98</v>
      </c>
      <c r="AF2246" s="357" t="s">
        <v>98</v>
      </c>
      <c r="AG2246" s="351" t="s">
        <v>5678</v>
      </c>
      <c r="AH2246" s="351" t="s">
        <v>5596</v>
      </c>
      <c r="AI2246" s="354">
        <v>2120</v>
      </c>
      <c r="AJ2246" s="354" t="s">
        <v>98</v>
      </c>
      <c r="AK2246" s="354">
        <v>21206</v>
      </c>
      <c r="AL2246" s="355" t="s">
        <v>98</v>
      </c>
      <c r="AM2246" s="355" t="s">
        <v>690</v>
      </c>
      <c r="AN2246" s="357" t="s">
        <v>276</v>
      </c>
      <c r="AO2246" s="386">
        <f t="shared" si="612"/>
        <v>99.971706120909175</v>
      </c>
      <c r="AP2246" s="357" t="s">
        <v>276</v>
      </c>
      <c r="AQ2246" s="357" t="s">
        <v>276</v>
      </c>
      <c r="AR2246" s="357" t="s">
        <v>276</v>
      </c>
      <c r="AS2246" s="357" t="s">
        <v>276</v>
      </c>
      <c r="AT2246" s="357" t="s">
        <v>276</v>
      </c>
      <c r="AU2246" s="357" t="s">
        <v>276</v>
      </c>
      <c r="AV2246" s="357" t="s">
        <v>276</v>
      </c>
      <c r="AW2246" s="357" t="s">
        <v>276</v>
      </c>
      <c r="AX2246" s="357" t="s">
        <v>276</v>
      </c>
      <c r="AY2246" s="357" t="s">
        <v>276</v>
      </c>
      <c r="AZ2246" s="357" t="s">
        <v>276</v>
      </c>
      <c r="BA2246" s="357" t="s">
        <v>276</v>
      </c>
      <c r="BB2246" s="357" t="s">
        <v>276</v>
      </c>
      <c r="BC2246" s="357" t="s">
        <v>276</v>
      </c>
      <c r="BD2246" s="357" t="s">
        <v>276</v>
      </c>
      <c r="BE2246" s="357" t="s">
        <v>276</v>
      </c>
      <c r="BF2246" s="351" t="s">
        <v>5617</v>
      </c>
      <c r="BG2246" s="384"/>
      <c r="BH2246" s="9" t="s">
        <v>100</v>
      </c>
      <c r="BI2246" s="9" t="s">
        <v>100</v>
      </c>
    </row>
    <row r="2247" spans="1:61" s="391" customFormat="1" ht="52" hidden="1" x14ac:dyDescent="0.35">
      <c r="A2247" s="357">
        <v>10549</v>
      </c>
      <c r="B2247" s="357" t="s">
        <v>5173</v>
      </c>
      <c r="C2247" s="357" t="s">
        <v>88</v>
      </c>
      <c r="D2247" s="351" t="s">
        <v>5715</v>
      </c>
      <c r="E2247" s="357" t="s">
        <v>43</v>
      </c>
      <c r="F2247" s="351" t="s">
        <v>4987</v>
      </c>
      <c r="G2247" s="357" t="s">
        <v>225</v>
      </c>
      <c r="H2247" s="357" t="s">
        <v>125</v>
      </c>
      <c r="I2247" s="357" t="s">
        <v>114</v>
      </c>
      <c r="J2247" s="351" t="s">
        <v>98</v>
      </c>
      <c r="K2247" s="357" t="s">
        <v>98</v>
      </c>
      <c r="L2247" s="357" t="s">
        <v>98</v>
      </c>
      <c r="M2247" s="357" t="s">
        <v>98</v>
      </c>
      <c r="N2247" s="357" t="s">
        <v>276</v>
      </c>
      <c r="O2247" s="351" t="s">
        <v>276</v>
      </c>
      <c r="P2247" s="351" t="s">
        <v>238</v>
      </c>
      <c r="Q2247" s="383" t="s">
        <v>5201</v>
      </c>
      <c r="R2247" s="351" t="s">
        <v>98</v>
      </c>
      <c r="S2247" s="806" t="s">
        <v>5681</v>
      </c>
      <c r="T2247" s="806"/>
      <c r="U2247" s="351" t="s">
        <v>276</v>
      </c>
      <c r="V2247" s="351" t="s">
        <v>261</v>
      </c>
      <c r="W2247" s="357" t="s">
        <v>5156</v>
      </c>
      <c r="X2247" s="351" t="s">
        <v>209</v>
      </c>
      <c r="Y2247" s="354">
        <v>5188</v>
      </c>
      <c r="Z2247" s="355" t="s">
        <v>98</v>
      </c>
      <c r="AA2247" s="357" t="s">
        <v>276</v>
      </c>
      <c r="AB2247" s="357" t="s">
        <v>276</v>
      </c>
      <c r="AC2247" s="357" t="s">
        <v>276</v>
      </c>
      <c r="AD2247" s="357" t="s">
        <v>5574</v>
      </c>
      <c r="AE2247" s="357" t="s">
        <v>98</v>
      </c>
      <c r="AF2247" s="357" t="s">
        <v>98</v>
      </c>
      <c r="AG2247" s="351" t="s">
        <v>5678</v>
      </c>
      <c r="AH2247" s="351" t="s">
        <v>5596</v>
      </c>
      <c r="AI2247" s="354">
        <v>214</v>
      </c>
      <c r="AJ2247" s="354" t="s">
        <v>98</v>
      </c>
      <c r="AK2247" s="354">
        <v>5188</v>
      </c>
      <c r="AL2247" s="355" t="s">
        <v>98</v>
      </c>
      <c r="AM2247" s="355" t="s">
        <v>690</v>
      </c>
      <c r="AN2247" s="357" t="s">
        <v>276</v>
      </c>
      <c r="AO2247" s="386">
        <f t="shared" si="612"/>
        <v>41.249036237471088</v>
      </c>
      <c r="AP2247" s="357" t="s">
        <v>276</v>
      </c>
      <c r="AQ2247" s="357" t="s">
        <v>276</v>
      </c>
      <c r="AR2247" s="357" t="s">
        <v>276</v>
      </c>
      <c r="AS2247" s="357" t="s">
        <v>276</v>
      </c>
      <c r="AT2247" s="357" t="s">
        <v>276</v>
      </c>
      <c r="AU2247" s="357" t="s">
        <v>276</v>
      </c>
      <c r="AV2247" s="357" t="s">
        <v>276</v>
      </c>
      <c r="AW2247" s="357" t="s">
        <v>276</v>
      </c>
      <c r="AX2247" s="357" t="s">
        <v>276</v>
      </c>
      <c r="AY2247" s="357" t="s">
        <v>276</v>
      </c>
      <c r="AZ2247" s="357" t="s">
        <v>276</v>
      </c>
      <c r="BA2247" s="357" t="s">
        <v>276</v>
      </c>
      <c r="BB2247" s="357" t="s">
        <v>276</v>
      </c>
      <c r="BC2247" s="357" t="s">
        <v>276</v>
      </c>
      <c r="BD2247" s="357" t="s">
        <v>276</v>
      </c>
      <c r="BE2247" s="357" t="s">
        <v>276</v>
      </c>
      <c r="BF2247" s="351" t="s">
        <v>5617</v>
      </c>
      <c r="BG2247" s="390"/>
      <c r="BH2247" s="9" t="s">
        <v>100</v>
      </c>
      <c r="BI2247" s="9" t="s">
        <v>100</v>
      </c>
    </row>
    <row r="2248" spans="1:61" s="391" customFormat="1" ht="52" hidden="1" x14ac:dyDescent="0.35">
      <c r="A2248" s="357">
        <v>10549</v>
      </c>
      <c r="B2248" s="357" t="s">
        <v>5173</v>
      </c>
      <c r="C2248" s="357" t="s">
        <v>88</v>
      </c>
      <c r="D2248" s="351" t="s">
        <v>5716</v>
      </c>
      <c r="E2248" s="357" t="s">
        <v>43</v>
      </c>
      <c r="F2248" s="351" t="s">
        <v>4987</v>
      </c>
      <c r="G2248" s="357" t="s">
        <v>225</v>
      </c>
      <c r="H2248" s="357" t="s">
        <v>125</v>
      </c>
      <c r="I2248" s="357" t="s">
        <v>114</v>
      </c>
      <c r="J2248" s="351" t="s">
        <v>98</v>
      </c>
      <c r="K2248" s="357" t="s">
        <v>98</v>
      </c>
      <c r="L2248" s="357" t="s">
        <v>98</v>
      </c>
      <c r="M2248" s="357" t="s">
        <v>98</v>
      </c>
      <c r="N2248" s="357" t="s">
        <v>276</v>
      </c>
      <c r="O2248" s="351" t="s">
        <v>276</v>
      </c>
      <c r="P2248" s="351" t="s">
        <v>238</v>
      </c>
      <c r="Q2248" s="383" t="s">
        <v>5201</v>
      </c>
      <c r="R2248" s="351" t="s">
        <v>98</v>
      </c>
      <c r="S2248" s="806" t="s">
        <v>5681</v>
      </c>
      <c r="T2248" s="806"/>
      <c r="U2248" s="351" t="s">
        <v>276</v>
      </c>
      <c r="V2248" s="351" t="s">
        <v>261</v>
      </c>
      <c r="W2248" s="357" t="s">
        <v>5159</v>
      </c>
      <c r="X2248" s="351" t="s">
        <v>209</v>
      </c>
      <c r="Y2248" s="354">
        <v>9957</v>
      </c>
      <c r="Z2248" s="355" t="s">
        <v>98</v>
      </c>
      <c r="AA2248" s="357" t="s">
        <v>276</v>
      </c>
      <c r="AB2248" s="357" t="s">
        <v>276</v>
      </c>
      <c r="AC2248" s="357" t="s">
        <v>276</v>
      </c>
      <c r="AD2248" s="357" t="s">
        <v>5574</v>
      </c>
      <c r="AE2248" s="357" t="s">
        <v>98</v>
      </c>
      <c r="AF2248" s="357" t="s">
        <v>98</v>
      </c>
      <c r="AG2248" s="351" t="s">
        <v>5678</v>
      </c>
      <c r="AH2248" s="351" t="s">
        <v>5596</v>
      </c>
      <c r="AI2248" s="354">
        <v>861</v>
      </c>
      <c r="AJ2248" s="354" t="s">
        <v>98</v>
      </c>
      <c r="AK2248" s="354">
        <v>9957</v>
      </c>
      <c r="AL2248" s="355" t="s">
        <v>98</v>
      </c>
      <c r="AM2248" s="355" t="s">
        <v>690</v>
      </c>
      <c r="AN2248" s="357" t="s">
        <v>276</v>
      </c>
      <c r="AO2248" s="386">
        <f t="shared" si="612"/>
        <v>86.471828864115693</v>
      </c>
      <c r="AP2248" s="357" t="s">
        <v>276</v>
      </c>
      <c r="AQ2248" s="357" t="s">
        <v>276</v>
      </c>
      <c r="AR2248" s="357" t="s">
        <v>276</v>
      </c>
      <c r="AS2248" s="357" t="s">
        <v>276</v>
      </c>
      <c r="AT2248" s="357" t="s">
        <v>276</v>
      </c>
      <c r="AU2248" s="357" t="s">
        <v>276</v>
      </c>
      <c r="AV2248" s="357" t="s">
        <v>276</v>
      </c>
      <c r="AW2248" s="357" t="s">
        <v>276</v>
      </c>
      <c r="AX2248" s="357" t="s">
        <v>276</v>
      </c>
      <c r="AY2248" s="357" t="s">
        <v>276</v>
      </c>
      <c r="AZ2248" s="357" t="s">
        <v>276</v>
      </c>
      <c r="BA2248" s="357" t="s">
        <v>276</v>
      </c>
      <c r="BB2248" s="357" t="s">
        <v>276</v>
      </c>
      <c r="BC2248" s="357" t="s">
        <v>276</v>
      </c>
      <c r="BD2248" s="357" t="s">
        <v>276</v>
      </c>
      <c r="BE2248" s="357" t="s">
        <v>276</v>
      </c>
      <c r="BF2248" s="351" t="s">
        <v>5617</v>
      </c>
      <c r="BG2248" s="390"/>
      <c r="BH2248" s="9" t="s">
        <v>100</v>
      </c>
      <c r="BI2248" s="9" t="s">
        <v>100</v>
      </c>
    </row>
    <row r="2249" spans="1:61" s="391" customFormat="1" ht="52" hidden="1" x14ac:dyDescent="0.35">
      <c r="A2249" s="357">
        <v>10549</v>
      </c>
      <c r="B2249" s="357" t="s">
        <v>5173</v>
      </c>
      <c r="C2249" s="357" t="s">
        <v>88</v>
      </c>
      <c r="D2249" s="351" t="s">
        <v>5717</v>
      </c>
      <c r="E2249" s="357" t="s">
        <v>43</v>
      </c>
      <c r="F2249" s="351" t="s">
        <v>4987</v>
      </c>
      <c r="G2249" s="357" t="s">
        <v>225</v>
      </c>
      <c r="H2249" s="357" t="s">
        <v>125</v>
      </c>
      <c r="I2249" s="357" t="s">
        <v>114</v>
      </c>
      <c r="J2249" s="351" t="s">
        <v>98</v>
      </c>
      <c r="K2249" s="357" t="s">
        <v>98</v>
      </c>
      <c r="L2249" s="357" t="s">
        <v>98</v>
      </c>
      <c r="M2249" s="357" t="s">
        <v>98</v>
      </c>
      <c r="N2249" s="357" t="s">
        <v>276</v>
      </c>
      <c r="O2249" s="351" t="s">
        <v>276</v>
      </c>
      <c r="P2249" s="351" t="s">
        <v>238</v>
      </c>
      <c r="Q2249" s="383" t="s">
        <v>5201</v>
      </c>
      <c r="R2249" s="351" t="s">
        <v>98</v>
      </c>
      <c r="S2249" s="806" t="s">
        <v>5681</v>
      </c>
      <c r="T2249" s="806"/>
      <c r="U2249" s="351" t="s">
        <v>276</v>
      </c>
      <c r="V2249" s="351" t="s">
        <v>261</v>
      </c>
      <c r="W2249" s="357" t="s">
        <v>5162</v>
      </c>
      <c r="X2249" s="351" t="s">
        <v>209</v>
      </c>
      <c r="Y2249" s="354">
        <v>31970</v>
      </c>
      <c r="Z2249" s="355" t="s">
        <v>98</v>
      </c>
      <c r="AA2249" s="357" t="s">
        <v>276</v>
      </c>
      <c r="AB2249" s="357" t="s">
        <v>276</v>
      </c>
      <c r="AC2249" s="357" t="s">
        <v>276</v>
      </c>
      <c r="AD2249" s="357" t="s">
        <v>5574</v>
      </c>
      <c r="AE2249" s="357" t="s">
        <v>98</v>
      </c>
      <c r="AF2249" s="357" t="s">
        <v>98</v>
      </c>
      <c r="AG2249" s="351" t="s">
        <v>5678</v>
      </c>
      <c r="AH2249" s="351" t="s">
        <v>5596</v>
      </c>
      <c r="AI2249" s="354">
        <v>1631</v>
      </c>
      <c r="AJ2249" s="354" t="s">
        <v>98</v>
      </c>
      <c r="AK2249" s="354">
        <v>31970</v>
      </c>
      <c r="AL2249" s="355" t="s">
        <v>98</v>
      </c>
      <c r="AM2249" s="355" t="s">
        <v>690</v>
      </c>
      <c r="AN2249" s="357" t="s">
        <v>276</v>
      </c>
      <c r="AO2249" s="386">
        <f t="shared" si="612"/>
        <v>51.016578041914293</v>
      </c>
      <c r="AP2249" s="357" t="s">
        <v>276</v>
      </c>
      <c r="AQ2249" s="357" t="s">
        <v>276</v>
      </c>
      <c r="AR2249" s="357" t="s">
        <v>276</v>
      </c>
      <c r="AS2249" s="357" t="s">
        <v>276</v>
      </c>
      <c r="AT2249" s="357" t="s">
        <v>276</v>
      </c>
      <c r="AU2249" s="357" t="s">
        <v>276</v>
      </c>
      <c r="AV2249" s="357" t="s">
        <v>276</v>
      </c>
      <c r="AW2249" s="357" t="s">
        <v>276</v>
      </c>
      <c r="AX2249" s="357" t="s">
        <v>276</v>
      </c>
      <c r="AY2249" s="357" t="s">
        <v>276</v>
      </c>
      <c r="AZ2249" s="357" t="s">
        <v>276</v>
      </c>
      <c r="BA2249" s="357" t="s">
        <v>276</v>
      </c>
      <c r="BB2249" s="357" t="s">
        <v>276</v>
      </c>
      <c r="BC2249" s="357" t="s">
        <v>276</v>
      </c>
      <c r="BD2249" s="357" t="s">
        <v>276</v>
      </c>
      <c r="BE2249" s="357" t="s">
        <v>276</v>
      </c>
      <c r="BF2249" s="351" t="s">
        <v>5617</v>
      </c>
      <c r="BG2249" s="390"/>
      <c r="BH2249" s="9" t="s">
        <v>100</v>
      </c>
      <c r="BI2249" s="9" t="s">
        <v>100</v>
      </c>
    </row>
    <row r="2250" spans="1:61" s="391" customFormat="1" ht="52" hidden="1" x14ac:dyDescent="0.35">
      <c r="A2250" s="357">
        <v>10549</v>
      </c>
      <c r="B2250" s="357" t="s">
        <v>5173</v>
      </c>
      <c r="C2250" s="357" t="s">
        <v>88</v>
      </c>
      <c r="D2250" s="351" t="s">
        <v>5718</v>
      </c>
      <c r="E2250" s="357" t="s">
        <v>43</v>
      </c>
      <c r="F2250" s="351" t="s">
        <v>4987</v>
      </c>
      <c r="G2250" s="357" t="s">
        <v>225</v>
      </c>
      <c r="H2250" s="357" t="s">
        <v>125</v>
      </c>
      <c r="I2250" s="357" t="s">
        <v>114</v>
      </c>
      <c r="J2250" s="351" t="s">
        <v>98</v>
      </c>
      <c r="K2250" s="357" t="s">
        <v>98</v>
      </c>
      <c r="L2250" s="357" t="s">
        <v>98</v>
      </c>
      <c r="M2250" s="357" t="s">
        <v>98</v>
      </c>
      <c r="N2250" s="357" t="s">
        <v>276</v>
      </c>
      <c r="O2250" s="351" t="s">
        <v>276</v>
      </c>
      <c r="P2250" s="351" t="s">
        <v>238</v>
      </c>
      <c r="Q2250" s="383" t="s">
        <v>5201</v>
      </c>
      <c r="R2250" s="351" t="s">
        <v>98</v>
      </c>
      <c r="S2250" s="806" t="s">
        <v>5689</v>
      </c>
      <c r="T2250" s="806"/>
      <c r="U2250" s="351" t="s">
        <v>276</v>
      </c>
      <c r="V2250" s="351" t="s">
        <v>261</v>
      </c>
      <c r="W2250" s="357" t="s">
        <v>5165</v>
      </c>
      <c r="X2250" s="351" t="s">
        <v>209</v>
      </c>
      <c r="Y2250" s="354">
        <v>7497</v>
      </c>
      <c r="Z2250" s="355" t="s">
        <v>98</v>
      </c>
      <c r="AA2250" s="357" t="s">
        <v>276</v>
      </c>
      <c r="AB2250" s="357" t="s">
        <v>276</v>
      </c>
      <c r="AC2250" s="357" t="s">
        <v>276</v>
      </c>
      <c r="AD2250" s="357" t="s">
        <v>5574</v>
      </c>
      <c r="AE2250" s="357" t="s">
        <v>98</v>
      </c>
      <c r="AF2250" s="357" t="s">
        <v>98</v>
      </c>
      <c r="AG2250" s="351" t="s">
        <v>5678</v>
      </c>
      <c r="AH2250" s="351" t="s">
        <v>5596</v>
      </c>
      <c r="AI2250" s="354">
        <v>202</v>
      </c>
      <c r="AJ2250" s="354" t="s">
        <v>98</v>
      </c>
      <c r="AK2250" s="354">
        <v>7497</v>
      </c>
      <c r="AL2250" s="355" t="s">
        <v>98</v>
      </c>
      <c r="AM2250" s="355" t="s">
        <v>690</v>
      </c>
      <c r="AN2250" s="357" t="s">
        <v>276</v>
      </c>
      <c r="AO2250" s="386">
        <f t="shared" si="612"/>
        <v>26.944110977724424</v>
      </c>
      <c r="AP2250" s="357" t="s">
        <v>276</v>
      </c>
      <c r="AQ2250" s="357" t="s">
        <v>276</v>
      </c>
      <c r="AR2250" s="357" t="s">
        <v>276</v>
      </c>
      <c r="AS2250" s="357" t="s">
        <v>276</v>
      </c>
      <c r="AT2250" s="357" t="s">
        <v>276</v>
      </c>
      <c r="AU2250" s="357" t="s">
        <v>276</v>
      </c>
      <c r="AV2250" s="357" t="s">
        <v>276</v>
      </c>
      <c r="AW2250" s="357" t="s">
        <v>276</v>
      </c>
      <c r="AX2250" s="357" t="s">
        <v>276</v>
      </c>
      <c r="AY2250" s="357" t="s">
        <v>276</v>
      </c>
      <c r="AZ2250" s="357" t="s">
        <v>276</v>
      </c>
      <c r="BA2250" s="357" t="s">
        <v>276</v>
      </c>
      <c r="BB2250" s="357" t="s">
        <v>276</v>
      </c>
      <c r="BC2250" s="357" t="s">
        <v>276</v>
      </c>
      <c r="BD2250" s="357" t="s">
        <v>276</v>
      </c>
      <c r="BE2250" s="357" t="s">
        <v>276</v>
      </c>
      <c r="BF2250" s="351" t="s">
        <v>5617</v>
      </c>
      <c r="BG2250" s="390"/>
      <c r="BH2250" s="9" t="s">
        <v>100</v>
      </c>
      <c r="BI2250" s="9" t="s">
        <v>100</v>
      </c>
    </row>
    <row r="2251" spans="1:61" s="391" customFormat="1" ht="52" hidden="1" x14ac:dyDescent="0.35">
      <c r="A2251" s="357">
        <v>10549</v>
      </c>
      <c r="B2251" s="357" t="s">
        <v>5173</v>
      </c>
      <c r="C2251" s="357" t="s">
        <v>88</v>
      </c>
      <c r="D2251" s="351" t="s">
        <v>5719</v>
      </c>
      <c r="E2251" s="357" t="s">
        <v>43</v>
      </c>
      <c r="F2251" s="351" t="s">
        <v>4987</v>
      </c>
      <c r="G2251" s="357" t="s">
        <v>225</v>
      </c>
      <c r="H2251" s="357" t="s">
        <v>125</v>
      </c>
      <c r="I2251" s="357" t="s">
        <v>114</v>
      </c>
      <c r="J2251" s="351" t="s">
        <v>98</v>
      </c>
      <c r="K2251" s="357" t="s">
        <v>98</v>
      </c>
      <c r="L2251" s="357" t="s">
        <v>98</v>
      </c>
      <c r="M2251" s="357" t="s">
        <v>98</v>
      </c>
      <c r="N2251" s="357" t="s">
        <v>276</v>
      </c>
      <c r="O2251" s="351" t="s">
        <v>276</v>
      </c>
      <c r="P2251" s="351" t="s">
        <v>238</v>
      </c>
      <c r="Q2251" s="383" t="s">
        <v>5201</v>
      </c>
      <c r="R2251" s="351" t="s">
        <v>98</v>
      </c>
      <c r="S2251" s="806" t="s">
        <v>5689</v>
      </c>
      <c r="T2251" s="806"/>
      <c r="U2251" s="351" t="s">
        <v>276</v>
      </c>
      <c r="V2251" s="351" t="s">
        <v>261</v>
      </c>
      <c r="W2251" s="357" t="s">
        <v>5168</v>
      </c>
      <c r="X2251" s="351" t="s">
        <v>209</v>
      </c>
      <c r="Y2251" s="354">
        <v>1840</v>
      </c>
      <c r="Z2251" s="355" t="s">
        <v>98</v>
      </c>
      <c r="AA2251" s="357" t="s">
        <v>276</v>
      </c>
      <c r="AB2251" s="357" t="s">
        <v>276</v>
      </c>
      <c r="AC2251" s="357" t="s">
        <v>276</v>
      </c>
      <c r="AD2251" s="357" t="s">
        <v>5574</v>
      </c>
      <c r="AE2251" s="357" t="s">
        <v>98</v>
      </c>
      <c r="AF2251" s="357" t="s">
        <v>98</v>
      </c>
      <c r="AG2251" s="351" t="s">
        <v>5678</v>
      </c>
      <c r="AH2251" s="351" t="s">
        <v>5596</v>
      </c>
      <c r="AI2251" s="354">
        <v>78</v>
      </c>
      <c r="AJ2251" s="354" t="s">
        <v>98</v>
      </c>
      <c r="AK2251" s="354">
        <v>1840</v>
      </c>
      <c r="AL2251" s="355" t="s">
        <v>98</v>
      </c>
      <c r="AM2251" s="355" t="s">
        <v>690</v>
      </c>
      <c r="AN2251" s="357" t="s">
        <v>276</v>
      </c>
      <c r="AO2251" s="386">
        <f t="shared" si="612"/>
        <v>42.391304347826086</v>
      </c>
      <c r="AP2251" s="357" t="s">
        <v>276</v>
      </c>
      <c r="AQ2251" s="357" t="s">
        <v>276</v>
      </c>
      <c r="AR2251" s="357" t="s">
        <v>276</v>
      </c>
      <c r="AS2251" s="357" t="s">
        <v>276</v>
      </c>
      <c r="AT2251" s="357" t="s">
        <v>276</v>
      </c>
      <c r="AU2251" s="357" t="s">
        <v>276</v>
      </c>
      <c r="AV2251" s="357" t="s">
        <v>276</v>
      </c>
      <c r="AW2251" s="357" t="s">
        <v>276</v>
      </c>
      <c r="AX2251" s="357" t="s">
        <v>276</v>
      </c>
      <c r="AY2251" s="357" t="s">
        <v>276</v>
      </c>
      <c r="AZ2251" s="357" t="s">
        <v>276</v>
      </c>
      <c r="BA2251" s="357" t="s">
        <v>276</v>
      </c>
      <c r="BB2251" s="357" t="s">
        <v>276</v>
      </c>
      <c r="BC2251" s="357" t="s">
        <v>276</v>
      </c>
      <c r="BD2251" s="357" t="s">
        <v>276</v>
      </c>
      <c r="BE2251" s="357" t="s">
        <v>276</v>
      </c>
      <c r="BF2251" s="351" t="s">
        <v>5617</v>
      </c>
      <c r="BG2251" s="390"/>
      <c r="BH2251" s="9" t="s">
        <v>100</v>
      </c>
      <c r="BI2251" s="9" t="s">
        <v>100</v>
      </c>
    </row>
    <row r="2252" spans="1:61" s="391" customFormat="1" ht="52" hidden="1" x14ac:dyDescent="0.35">
      <c r="A2252" s="357">
        <v>10549</v>
      </c>
      <c r="B2252" s="357" t="s">
        <v>5173</v>
      </c>
      <c r="C2252" s="357" t="s">
        <v>88</v>
      </c>
      <c r="D2252" s="351" t="s">
        <v>5720</v>
      </c>
      <c r="E2252" s="357" t="s">
        <v>43</v>
      </c>
      <c r="F2252" s="351" t="s">
        <v>4987</v>
      </c>
      <c r="G2252" s="357" t="s">
        <v>225</v>
      </c>
      <c r="H2252" s="357" t="s">
        <v>125</v>
      </c>
      <c r="I2252" s="357" t="s">
        <v>114</v>
      </c>
      <c r="J2252" s="351" t="s">
        <v>98</v>
      </c>
      <c r="K2252" s="357" t="s">
        <v>98</v>
      </c>
      <c r="L2252" s="357" t="s">
        <v>98</v>
      </c>
      <c r="M2252" s="357" t="s">
        <v>98</v>
      </c>
      <c r="N2252" s="357" t="s">
        <v>276</v>
      </c>
      <c r="O2252" s="351" t="s">
        <v>276</v>
      </c>
      <c r="P2252" s="351" t="s">
        <v>238</v>
      </c>
      <c r="Q2252" s="383" t="s">
        <v>5201</v>
      </c>
      <c r="R2252" s="351" t="s">
        <v>98</v>
      </c>
      <c r="S2252" s="806" t="s">
        <v>5692</v>
      </c>
      <c r="T2252" s="806"/>
      <c r="U2252" s="351" t="s">
        <v>276</v>
      </c>
      <c r="V2252" s="351" t="s">
        <v>261</v>
      </c>
      <c r="W2252" s="357" t="s">
        <v>5171</v>
      </c>
      <c r="X2252" s="351" t="s">
        <v>209</v>
      </c>
      <c r="Y2252" s="354">
        <v>5158</v>
      </c>
      <c r="Z2252" s="355" t="s">
        <v>98</v>
      </c>
      <c r="AA2252" s="357" t="s">
        <v>276</v>
      </c>
      <c r="AB2252" s="357" t="s">
        <v>276</v>
      </c>
      <c r="AC2252" s="357" t="s">
        <v>276</v>
      </c>
      <c r="AD2252" s="357" t="s">
        <v>5574</v>
      </c>
      <c r="AE2252" s="357" t="s">
        <v>98</v>
      </c>
      <c r="AF2252" s="357" t="s">
        <v>98</v>
      </c>
      <c r="AG2252" s="351" t="s">
        <v>5678</v>
      </c>
      <c r="AH2252" s="351" t="s">
        <v>5596</v>
      </c>
      <c r="AI2252" s="354">
        <v>447</v>
      </c>
      <c r="AJ2252" s="354" t="s">
        <v>98</v>
      </c>
      <c r="AK2252" s="354">
        <v>5158</v>
      </c>
      <c r="AL2252" s="355" t="s">
        <v>98</v>
      </c>
      <c r="AM2252" s="355" t="s">
        <v>690</v>
      </c>
      <c r="AN2252" s="357" t="s">
        <v>276</v>
      </c>
      <c r="AO2252" s="386">
        <f t="shared" si="612"/>
        <v>86.661496704148888</v>
      </c>
      <c r="AP2252" s="357" t="s">
        <v>276</v>
      </c>
      <c r="AQ2252" s="357" t="s">
        <v>276</v>
      </c>
      <c r="AR2252" s="357" t="s">
        <v>276</v>
      </c>
      <c r="AS2252" s="357" t="s">
        <v>276</v>
      </c>
      <c r="AT2252" s="357" t="s">
        <v>276</v>
      </c>
      <c r="AU2252" s="357" t="s">
        <v>276</v>
      </c>
      <c r="AV2252" s="357" t="s">
        <v>276</v>
      </c>
      <c r="AW2252" s="357" t="s">
        <v>276</v>
      </c>
      <c r="AX2252" s="357" t="s">
        <v>276</v>
      </c>
      <c r="AY2252" s="357" t="s">
        <v>276</v>
      </c>
      <c r="AZ2252" s="357" t="s">
        <v>276</v>
      </c>
      <c r="BA2252" s="357" t="s">
        <v>276</v>
      </c>
      <c r="BB2252" s="357" t="s">
        <v>276</v>
      </c>
      <c r="BC2252" s="357" t="s">
        <v>276</v>
      </c>
      <c r="BD2252" s="357" t="s">
        <v>276</v>
      </c>
      <c r="BE2252" s="357" t="s">
        <v>276</v>
      </c>
      <c r="BF2252" s="351" t="s">
        <v>5617</v>
      </c>
      <c r="BG2252" s="390"/>
      <c r="BH2252" s="9" t="s">
        <v>100</v>
      </c>
      <c r="BI2252" s="9" t="s">
        <v>100</v>
      </c>
    </row>
    <row r="2253" spans="1:61" s="391" customFormat="1" ht="52" hidden="1" x14ac:dyDescent="0.35">
      <c r="A2253" s="357">
        <v>10549</v>
      </c>
      <c r="B2253" s="357" t="s">
        <v>5173</v>
      </c>
      <c r="C2253" s="357" t="s">
        <v>88</v>
      </c>
      <c r="D2253" s="351" t="s">
        <v>5721</v>
      </c>
      <c r="E2253" s="357" t="s">
        <v>43</v>
      </c>
      <c r="F2253" s="351" t="s">
        <v>4987</v>
      </c>
      <c r="G2253" s="357" t="s">
        <v>225</v>
      </c>
      <c r="H2253" s="357" t="s">
        <v>125</v>
      </c>
      <c r="I2253" s="357" t="s">
        <v>114</v>
      </c>
      <c r="J2253" s="351" t="s">
        <v>98</v>
      </c>
      <c r="K2253" s="357" t="s">
        <v>98</v>
      </c>
      <c r="L2253" s="357" t="s">
        <v>98</v>
      </c>
      <c r="M2253" s="357" t="s">
        <v>98</v>
      </c>
      <c r="N2253" s="357" t="s">
        <v>276</v>
      </c>
      <c r="O2253" s="351" t="s">
        <v>276</v>
      </c>
      <c r="P2253" s="351" t="s">
        <v>238</v>
      </c>
      <c r="Q2253" s="383" t="s">
        <v>5201</v>
      </c>
      <c r="R2253" s="351" t="s">
        <v>98</v>
      </c>
      <c r="S2253" s="806" t="s">
        <v>5694</v>
      </c>
      <c r="T2253" s="806"/>
      <c r="U2253" s="351" t="s">
        <v>276</v>
      </c>
      <c r="V2253" s="351" t="s">
        <v>261</v>
      </c>
      <c r="W2253" s="357" t="s">
        <v>5634</v>
      </c>
      <c r="X2253" s="351" t="s">
        <v>209</v>
      </c>
      <c r="Y2253" s="354">
        <v>31024</v>
      </c>
      <c r="Z2253" s="355" t="s">
        <v>98</v>
      </c>
      <c r="AA2253" s="357" t="s">
        <v>276</v>
      </c>
      <c r="AB2253" s="357" t="s">
        <v>276</v>
      </c>
      <c r="AC2253" s="357" t="s">
        <v>276</v>
      </c>
      <c r="AD2253" s="357" t="s">
        <v>5574</v>
      </c>
      <c r="AE2253" s="357" t="s">
        <v>98</v>
      </c>
      <c r="AF2253" s="357" t="s">
        <v>98</v>
      </c>
      <c r="AG2253" s="351" t="s">
        <v>5678</v>
      </c>
      <c r="AH2253" s="351" t="s">
        <v>5596</v>
      </c>
      <c r="AI2253" s="354">
        <v>174</v>
      </c>
      <c r="AJ2253" s="354" t="s">
        <v>98</v>
      </c>
      <c r="AK2253" s="354">
        <v>31024</v>
      </c>
      <c r="AL2253" s="355" t="s">
        <v>98</v>
      </c>
      <c r="AM2253" s="355" t="s">
        <v>690</v>
      </c>
      <c r="AN2253" s="357" t="s">
        <v>276</v>
      </c>
      <c r="AO2253" s="386">
        <f t="shared" si="612"/>
        <v>5.6085611139762763</v>
      </c>
      <c r="AP2253" s="357" t="s">
        <v>276</v>
      </c>
      <c r="AQ2253" s="357" t="s">
        <v>276</v>
      </c>
      <c r="AR2253" s="357" t="s">
        <v>276</v>
      </c>
      <c r="AS2253" s="357" t="s">
        <v>276</v>
      </c>
      <c r="AT2253" s="357" t="s">
        <v>276</v>
      </c>
      <c r="AU2253" s="357" t="s">
        <v>276</v>
      </c>
      <c r="AV2253" s="357" t="s">
        <v>276</v>
      </c>
      <c r="AW2253" s="357" t="s">
        <v>276</v>
      </c>
      <c r="AX2253" s="357" t="s">
        <v>276</v>
      </c>
      <c r="AY2253" s="357" t="s">
        <v>276</v>
      </c>
      <c r="AZ2253" s="357" t="s">
        <v>276</v>
      </c>
      <c r="BA2253" s="357" t="s">
        <v>276</v>
      </c>
      <c r="BB2253" s="357" t="s">
        <v>276</v>
      </c>
      <c r="BC2253" s="357" t="s">
        <v>276</v>
      </c>
      <c r="BD2253" s="357" t="s">
        <v>276</v>
      </c>
      <c r="BE2253" s="357" t="s">
        <v>276</v>
      </c>
      <c r="BF2253" s="351" t="s">
        <v>5617</v>
      </c>
      <c r="BG2253" s="390"/>
      <c r="BH2253" s="9" t="s">
        <v>100</v>
      </c>
      <c r="BI2253" s="9" t="s">
        <v>100</v>
      </c>
    </row>
    <row r="2254" spans="1:61" s="391" customFormat="1" ht="52" hidden="1" x14ac:dyDescent="0.35">
      <c r="A2254" s="357">
        <v>10549</v>
      </c>
      <c r="B2254" s="357" t="s">
        <v>5173</v>
      </c>
      <c r="C2254" s="357" t="s">
        <v>88</v>
      </c>
      <c r="D2254" s="351" t="s">
        <v>5722</v>
      </c>
      <c r="E2254" s="357" t="s">
        <v>43</v>
      </c>
      <c r="F2254" s="351" t="s">
        <v>4987</v>
      </c>
      <c r="G2254" s="357" t="s">
        <v>225</v>
      </c>
      <c r="H2254" s="357" t="s">
        <v>125</v>
      </c>
      <c r="I2254" s="357" t="s">
        <v>114</v>
      </c>
      <c r="J2254" s="351" t="s">
        <v>98</v>
      </c>
      <c r="K2254" s="357" t="s">
        <v>98</v>
      </c>
      <c r="L2254" s="357" t="s">
        <v>98</v>
      </c>
      <c r="M2254" s="357" t="s">
        <v>98</v>
      </c>
      <c r="N2254" s="357" t="s">
        <v>276</v>
      </c>
      <c r="O2254" s="351" t="s">
        <v>276</v>
      </c>
      <c r="P2254" s="351" t="s">
        <v>238</v>
      </c>
      <c r="Q2254" s="383" t="s">
        <v>5201</v>
      </c>
      <c r="R2254" s="351" t="s">
        <v>98</v>
      </c>
      <c r="S2254" s="806" t="s">
        <v>5696</v>
      </c>
      <c r="T2254" s="806"/>
      <c r="U2254" s="351" t="s">
        <v>276</v>
      </c>
      <c r="V2254" s="351" t="s">
        <v>261</v>
      </c>
      <c r="W2254" s="357" t="s">
        <v>5637</v>
      </c>
      <c r="X2254" s="351" t="s">
        <v>209</v>
      </c>
      <c r="Y2254" s="354">
        <v>11423</v>
      </c>
      <c r="Z2254" s="355" t="s">
        <v>98</v>
      </c>
      <c r="AA2254" s="357" t="s">
        <v>276</v>
      </c>
      <c r="AB2254" s="357" t="s">
        <v>276</v>
      </c>
      <c r="AC2254" s="357" t="s">
        <v>276</v>
      </c>
      <c r="AD2254" s="357" t="s">
        <v>5574</v>
      </c>
      <c r="AE2254" s="357" t="s">
        <v>98</v>
      </c>
      <c r="AF2254" s="357" t="s">
        <v>98</v>
      </c>
      <c r="AG2254" s="351" t="s">
        <v>5678</v>
      </c>
      <c r="AH2254" s="351" t="s">
        <v>5596</v>
      </c>
      <c r="AI2254" s="354">
        <v>123</v>
      </c>
      <c r="AJ2254" s="354" t="s">
        <v>98</v>
      </c>
      <c r="AK2254" s="354">
        <v>11423</v>
      </c>
      <c r="AL2254" s="355" t="s">
        <v>98</v>
      </c>
      <c r="AM2254" s="355" t="s">
        <v>690</v>
      </c>
      <c r="AN2254" s="357" t="s">
        <v>276</v>
      </c>
      <c r="AO2254" s="386">
        <f t="shared" si="612"/>
        <v>10.767749277772914</v>
      </c>
      <c r="AP2254" s="357" t="s">
        <v>276</v>
      </c>
      <c r="AQ2254" s="357" t="s">
        <v>276</v>
      </c>
      <c r="AR2254" s="357" t="s">
        <v>276</v>
      </c>
      <c r="AS2254" s="357" t="s">
        <v>276</v>
      </c>
      <c r="AT2254" s="357" t="s">
        <v>276</v>
      </c>
      <c r="AU2254" s="357" t="s">
        <v>276</v>
      </c>
      <c r="AV2254" s="357" t="s">
        <v>276</v>
      </c>
      <c r="AW2254" s="357" t="s">
        <v>276</v>
      </c>
      <c r="AX2254" s="357" t="s">
        <v>276</v>
      </c>
      <c r="AY2254" s="357" t="s">
        <v>276</v>
      </c>
      <c r="AZ2254" s="357" t="s">
        <v>276</v>
      </c>
      <c r="BA2254" s="357" t="s">
        <v>276</v>
      </c>
      <c r="BB2254" s="357" t="s">
        <v>276</v>
      </c>
      <c r="BC2254" s="357" t="s">
        <v>276</v>
      </c>
      <c r="BD2254" s="357" t="s">
        <v>276</v>
      </c>
      <c r="BE2254" s="357" t="s">
        <v>276</v>
      </c>
      <c r="BF2254" s="351" t="s">
        <v>5617</v>
      </c>
      <c r="BG2254" s="390"/>
      <c r="BH2254" s="9" t="s">
        <v>100</v>
      </c>
      <c r="BI2254" s="9" t="s">
        <v>100</v>
      </c>
    </row>
    <row r="2255" spans="1:61" s="391" customFormat="1" ht="52" hidden="1" x14ac:dyDescent="0.35">
      <c r="A2255" s="357">
        <v>10549</v>
      </c>
      <c r="B2255" s="357" t="s">
        <v>5173</v>
      </c>
      <c r="C2255" s="357" t="s">
        <v>88</v>
      </c>
      <c r="D2255" s="351" t="s">
        <v>5723</v>
      </c>
      <c r="E2255" s="357" t="s">
        <v>43</v>
      </c>
      <c r="F2255" s="351" t="s">
        <v>4987</v>
      </c>
      <c r="G2255" s="357" t="s">
        <v>225</v>
      </c>
      <c r="H2255" s="357" t="s">
        <v>125</v>
      </c>
      <c r="I2255" s="357" t="s">
        <v>114</v>
      </c>
      <c r="J2255" s="351" t="s">
        <v>98</v>
      </c>
      <c r="K2255" s="357" t="s">
        <v>98</v>
      </c>
      <c r="L2255" s="357" t="s">
        <v>98</v>
      </c>
      <c r="M2255" s="357" t="s">
        <v>98</v>
      </c>
      <c r="N2255" s="357" t="s">
        <v>276</v>
      </c>
      <c r="O2255" s="351" t="s">
        <v>276</v>
      </c>
      <c r="P2255" s="351" t="s">
        <v>238</v>
      </c>
      <c r="Q2255" s="383" t="s">
        <v>5201</v>
      </c>
      <c r="R2255" s="351" t="s">
        <v>98</v>
      </c>
      <c r="S2255" s="807" t="s">
        <v>5698</v>
      </c>
      <c r="T2255" s="807"/>
      <c r="U2255" s="351" t="s">
        <v>276</v>
      </c>
      <c r="V2255" s="357" t="s">
        <v>15</v>
      </c>
      <c r="W2255" s="357" t="s">
        <v>5640</v>
      </c>
      <c r="X2255" s="351" t="s">
        <v>209</v>
      </c>
      <c r="Y2255" s="354">
        <v>112563</v>
      </c>
      <c r="Z2255" s="355" t="s">
        <v>98</v>
      </c>
      <c r="AA2255" s="357" t="s">
        <v>276</v>
      </c>
      <c r="AB2255" s="357" t="s">
        <v>276</v>
      </c>
      <c r="AC2255" s="357" t="s">
        <v>276</v>
      </c>
      <c r="AD2255" s="357" t="s">
        <v>5574</v>
      </c>
      <c r="AE2255" s="357" t="s">
        <v>98</v>
      </c>
      <c r="AF2255" s="357" t="s">
        <v>98</v>
      </c>
      <c r="AG2255" s="351" t="s">
        <v>5678</v>
      </c>
      <c r="AH2255" s="351" t="s">
        <v>5596</v>
      </c>
      <c r="AI2255" s="354">
        <v>5167</v>
      </c>
      <c r="AJ2255" s="354" t="s">
        <v>98</v>
      </c>
      <c r="AK2255" s="354">
        <v>112563</v>
      </c>
      <c r="AL2255" s="355" t="s">
        <v>98</v>
      </c>
      <c r="AM2255" s="355" t="s">
        <v>690</v>
      </c>
      <c r="AN2255" s="357" t="s">
        <v>276</v>
      </c>
      <c r="AO2255" s="386">
        <f t="shared" si="612"/>
        <v>45.903183106349331</v>
      </c>
      <c r="AP2255" s="357" t="s">
        <v>276</v>
      </c>
      <c r="AQ2255" s="357" t="s">
        <v>276</v>
      </c>
      <c r="AR2255" s="357" t="s">
        <v>276</v>
      </c>
      <c r="AS2255" s="357" t="s">
        <v>276</v>
      </c>
      <c r="AT2255" s="357" t="s">
        <v>276</v>
      </c>
      <c r="AU2255" s="357" t="s">
        <v>276</v>
      </c>
      <c r="AV2255" s="357" t="s">
        <v>276</v>
      </c>
      <c r="AW2255" s="357" t="s">
        <v>276</v>
      </c>
      <c r="AX2255" s="357" t="s">
        <v>276</v>
      </c>
      <c r="AY2255" s="357" t="s">
        <v>276</v>
      </c>
      <c r="AZ2255" s="357" t="s">
        <v>276</v>
      </c>
      <c r="BA2255" s="357" t="s">
        <v>276</v>
      </c>
      <c r="BB2255" s="357" t="s">
        <v>276</v>
      </c>
      <c r="BC2255" s="357" t="s">
        <v>276</v>
      </c>
      <c r="BD2255" s="357" t="s">
        <v>276</v>
      </c>
      <c r="BE2255" s="357" t="s">
        <v>276</v>
      </c>
      <c r="BF2255" s="351" t="s">
        <v>1358</v>
      </c>
      <c r="BG2255" s="390"/>
      <c r="BH2255" s="9" t="s">
        <v>100</v>
      </c>
      <c r="BI2255" s="9" t="s">
        <v>100</v>
      </c>
    </row>
    <row r="2256" spans="1:61" s="391" customFormat="1" ht="52" hidden="1" x14ac:dyDescent="0.35">
      <c r="A2256" s="357">
        <v>10549</v>
      </c>
      <c r="B2256" s="357" t="s">
        <v>5173</v>
      </c>
      <c r="C2256" s="357" t="s">
        <v>88</v>
      </c>
      <c r="D2256" s="351" t="s">
        <v>5724</v>
      </c>
      <c r="E2256" s="357" t="s">
        <v>43</v>
      </c>
      <c r="F2256" s="351" t="s">
        <v>4987</v>
      </c>
      <c r="G2256" s="357" t="s">
        <v>225</v>
      </c>
      <c r="H2256" s="357" t="s">
        <v>125</v>
      </c>
      <c r="I2256" s="357" t="s">
        <v>114</v>
      </c>
      <c r="J2256" s="351" t="s">
        <v>98</v>
      </c>
      <c r="K2256" s="357" t="s">
        <v>98</v>
      </c>
      <c r="L2256" s="357" t="s">
        <v>98</v>
      </c>
      <c r="M2256" s="357" t="s">
        <v>98</v>
      </c>
      <c r="N2256" s="357" t="s">
        <v>276</v>
      </c>
      <c r="O2256" s="351" t="s">
        <v>276</v>
      </c>
      <c r="P2256" s="351" t="s">
        <v>238</v>
      </c>
      <c r="Q2256" s="383" t="s">
        <v>5201</v>
      </c>
      <c r="R2256" s="351" t="s">
        <v>98</v>
      </c>
      <c r="S2256" s="807" t="s">
        <v>5700</v>
      </c>
      <c r="T2256" s="807"/>
      <c r="U2256" s="351" t="s">
        <v>276</v>
      </c>
      <c r="V2256" s="357" t="s">
        <v>259</v>
      </c>
      <c r="W2256" s="351" t="s">
        <v>5701</v>
      </c>
      <c r="X2256" s="351" t="s">
        <v>209</v>
      </c>
      <c r="Y2256" s="354">
        <v>72891</v>
      </c>
      <c r="Z2256" s="355" t="s">
        <v>98</v>
      </c>
      <c r="AA2256" s="357" t="s">
        <v>276</v>
      </c>
      <c r="AB2256" s="357" t="s">
        <v>276</v>
      </c>
      <c r="AC2256" s="357" t="s">
        <v>276</v>
      </c>
      <c r="AD2256" s="357" t="s">
        <v>5574</v>
      </c>
      <c r="AE2256" s="357" t="s">
        <v>98</v>
      </c>
      <c r="AF2256" s="357" t="s">
        <v>98</v>
      </c>
      <c r="AG2256" s="351" t="s">
        <v>5678</v>
      </c>
      <c r="AH2256" s="351" t="s">
        <v>5596</v>
      </c>
      <c r="AI2256" s="354">
        <v>4883</v>
      </c>
      <c r="AJ2256" s="354" t="s">
        <v>98</v>
      </c>
      <c r="AK2256" s="354">
        <v>72891</v>
      </c>
      <c r="AL2256" s="355" t="s">
        <v>98</v>
      </c>
      <c r="AM2256" s="355" t="s">
        <v>690</v>
      </c>
      <c r="AN2256" s="357" t="s">
        <v>276</v>
      </c>
      <c r="AO2256" s="382">
        <f t="shared" si="612"/>
        <v>66.990437776954636</v>
      </c>
      <c r="AP2256" s="357" t="s">
        <v>276</v>
      </c>
      <c r="AQ2256" s="357" t="s">
        <v>276</v>
      </c>
      <c r="AR2256" s="357" t="s">
        <v>276</v>
      </c>
      <c r="AS2256" s="357" t="s">
        <v>276</v>
      </c>
      <c r="AT2256" s="357" t="s">
        <v>276</v>
      </c>
      <c r="AU2256" s="357" t="s">
        <v>276</v>
      </c>
      <c r="AV2256" s="357" t="s">
        <v>276</v>
      </c>
      <c r="AW2256" s="357" t="s">
        <v>276</v>
      </c>
      <c r="AX2256" s="357" t="s">
        <v>276</v>
      </c>
      <c r="AY2256" s="357" t="s">
        <v>276</v>
      </c>
      <c r="AZ2256" s="357" t="s">
        <v>276</v>
      </c>
      <c r="BA2256" s="357" t="s">
        <v>276</v>
      </c>
      <c r="BB2256" s="357" t="s">
        <v>276</v>
      </c>
      <c r="BC2256" s="357" t="s">
        <v>276</v>
      </c>
      <c r="BD2256" s="357" t="s">
        <v>276</v>
      </c>
      <c r="BE2256" s="357" t="s">
        <v>276</v>
      </c>
      <c r="BF2256" s="351" t="s">
        <v>1358</v>
      </c>
      <c r="BG2256" s="390"/>
      <c r="BH2256" s="9" t="s">
        <v>100</v>
      </c>
      <c r="BI2256" s="9" t="s">
        <v>100</v>
      </c>
    </row>
    <row r="2257" spans="1:61" s="391" customFormat="1" ht="52" hidden="1" x14ac:dyDescent="0.35">
      <c r="A2257" s="357">
        <v>10549</v>
      </c>
      <c r="B2257" s="357" t="s">
        <v>5173</v>
      </c>
      <c r="C2257" s="357" t="s">
        <v>88</v>
      </c>
      <c r="D2257" s="351" t="s">
        <v>5725</v>
      </c>
      <c r="E2257" s="357" t="s">
        <v>43</v>
      </c>
      <c r="F2257" s="351" t="s">
        <v>4987</v>
      </c>
      <c r="G2257" s="357" t="s">
        <v>225</v>
      </c>
      <c r="H2257" s="357" t="s">
        <v>125</v>
      </c>
      <c r="I2257" s="357" t="s">
        <v>114</v>
      </c>
      <c r="J2257" s="351" t="s">
        <v>98</v>
      </c>
      <c r="K2257" s="357" t="s">
        <v>98</v>
      </c>
      <c r="L2257" s="357" t="s">
        <v>98</v>
      </c>
      <c r="M2257" s="357" t="s">
        <v>98</v>
      </c>
      <c r="N2257" s="357" t="s">
        <v>276</v>
      </c>
      <c r="O2257" s="351" t="s">
        <v>276</v>
      </c>
      <c r="P2257" s="351" t="s">
        <v>238</v>
      </c>
      <c r="Q2257" s="383" t="s">
        <v>5201</v>
      </c>
      <c r="R2257" s="351" t="s">
        <v>98</v>
      </c>
      <c r="S2257" s="807" t="s">
        <v>5681</v>
      </c>
      <c r="T2257" s="807"/>
      <c r="U2257" s="351" t="s">
        <v>276</v>
      </c>
      <c r="V2257" s="357" t="s">
        <v>259</v>
      </c>
      <c r="W2257" s="351" t="s">
        <v>5072</v>
      </c>
      <c r="X2257" s="351" t="s">
        <v>209</v>
      </c>
      <c r="Y2257" s="354">
        <v>17443</v>
      </c>
      <c r="Z2257" s="355" t="s">
        <v>98</v>
      </c>
      <c r="AA2257" s="357" t="s">
        <v>276</v>
      </c>
      <c r="AB2257" s="357" t="s">
        <v>276</v>
      </c>
      <c r="AC2257" s="357" t="s">
        <v>276</v>
      </c>
      <c r="AD2257" s="357" t="s">
        <v>5574</v>
      </c>
      <c r="AE2257" s="357" t="s">
        <v>98</v>
      </c>
      <c r="AF2257" s="357" t="s">
        <v>98</v>
      </c>
      <c r="AG2257" s="351" t="s">
        <v>5678</v>
      </c>
      <c r="AH2257" s="351" t="s">
        <v>5596</v>
      </c>
      <c r="AI2257" s="354">
        <v>1809</v>
      </c>
      <c r="AJ2257" s="354" t="s">
        <v>98</v>
      </c>
      <c r="AK2257" s="354">
        <v>17443</v>
      </c>
      <c r="AL2257" s="355" t="s">
        <v>98</v>
      </c>
      <c r="AM2257" s="355" t="s">
        <v>690</v>
      </c>
      <c r="AN2257" s="357" t="s">
        <v>276</v>
      </c>
      <c r="AO2257" s="386">
        <f t="shared" si="612"/>
        <v>103.70922433067706</v>
      </c>
      <c r="AP2257" s="357" t="s">
        <v>276</v>
      </c>
      <c r="AQ2257" s="357" t="s">
        <v>276</v>
      </c>
      <c r="AR2257" s="357" t="s">
        <v>276</v>
      </c>
      <c r="AS2257" s="357" t="s">
        <v>276</v>
      </c>
      <c r="AT2257" s="357" t="s">
        <v>276</v>
      </c>
      <c r="AU2257" s="357" t="s">
        <v>276</v>
      </c>
      <c r="AV2257" s="357" t="s">
        <v>276</v>
      </c>
      <c r="AW2257" s="357" t="s">
        <v>276</v>
      </c>
      <c r="AX2257" s="357" t="s">
        <v>276</v>
      </c>
      <c r="AY2257" s="357" t="s">
        <v>276</v>
      </c>
      <c r="AZ2257" s="357" t="s">
        <v>276</v>
      </c>
      <c r="BA2257" s="357" t="s">
        <v>276</v>
      </c>
      <c r="BB2257" s="357" t="s">
        <v>276</v>
      </c>
      <c r="BC2257" s="357" t="s">
        <v>276</v>
      </c>
      <c r="BD2257" s="357" t="s">
        <v>276</v>
      </c>
      <c r="BE2257" s="357" t="s">
        <v>276</v>
      </c>
      <c r="BF2257" s="351" t="s">
        <v>1358</v>
      </c>
      <c r="BG2257" s="390"/>
      <c r="BH2257" s="9" t="s">
        <v>100</v>
      </c>
      <c r="BI2257" s="9" t="s">
        <v>100</v>
      </c>
    </row>
    <row r="2258" spans="1:61" s="391" customFormat="1" ht="52" hidden="1" x14ac:dyDescent="0.35">
      <c r="A2258" s="357">
        <v>10549</v>
      </c>
      <c r="B2258" s="357" t="s">
        <v>5173</v>
      </c>
      <c r="C2258" s="357" t="s">
        <v>88</v>
      </c>
      <c r="D2258" s="351" t="s">
        <v>5726</v>
      </c>
      <c r="E2258" s="357" t="s">
        <v>43</v>
      </c>
      <c r="F2258" s="351" t="s">
        <v>4987</v>
      </c>
      <c r="G2258" s="357" t="s">
        <v>225</v>
      </c>
      <c r="H2258" s="357" t="s">
        <v>125</v>
      </c>
      <c r="I2258" s="357" t="s">
        <v>114</v>
      </c>
      <c r="J2258" s="351" t="s">
        <v>98</v>
      </c>
      <c r="K2258" s="357" t="s">
        <v>98</v>
      </c>
      <c r="L2258" s="357" t="s">
        <v>98</v>
      </c>
      <c r="M2258" s="357" t="s">
        <v>98</v>
      </c>
      <c r="N2258" s="357" t="s">
        <v>276</v>
      </c>
      <c r="O2258" s="351" t="s">
        <v>276</v>
      </c>
      <c r="P2258" s="351" t="s">
        <v>238</v>
      </c>
      <c r="Q2258" s="383" t="s">
        <v>5201</v>
      </c>
      <c r="R2258" s="351" t="s">
        <v>98</v>
      </c>
      <c r="S2258" s="807" t="s">
        <v>5681</v>
      </c>
      <c r="T2258" s="807"/>
      <c r="U2258" s="351" t="s">
        <v>276</v>
      </c>
      <c r="V2258" s="357" t="s">
        <v>259</v>
      </c>
      <c r="W2258" s="351" t="s">
        <v>5130</v>
      </c>
      <c r="X2258" s="351" t="s">
        <v>209</v>
      </c>
      <c r="Y2258" s="354">
        <v>4307</v>
      </c>
      <c r="Z2258" s="355" t="s">
        <v>98</v>
      </c>
      <c r="AA2258" s="357" t="s">
        <v>276</v>
      </c>
      <c r="AB2258" s="357" t="s">
        <v>276</v>
      </c>
      <c r="AC2258" s="357" t="s">
        <v>276</v>
      </c>
      <c r="AD2258" s="357" t="s">
        <v>5574</v>
      </c>
      <c r="AE2258" s="357" t="s">
        <v>98</v>
      </c>
      <c r="AF2258" s="357" t="s">
        <v>98</v>
      </c>
      <c r="AG2258" s="351" t="s">
        <v>5678</v>
      </c>
      <c r="AH2258" s="351" t="s">
        <v>5596</v>
      </c>
      <c r="AI2258" s="354">
        <v>187</v>
      </c>
      <c r="AJ2258" s="354" t="s">
        <v>98</v>
      </c>
      <c r="AK2258" s="354">
        <v>4307</v>
      </c>
      <c r="AL2258" s="355" t="s">
        <v>98</v>
      </c>
      <c r="AM2258" s="355" t="s">
        <v>690</v>
      </c>
      <c r="AN2258" s="357" t="s">
        <v>276</v>
      </c>
      <c r="AO2258" s="386">
        <f t="shared" si="612"/>
        <v>43.417692129092174</v>
      </c>
      <c r="AP2258" s="357" t="s">
        <v>276</v>
      </c>
      <c r="AQ2258" s="357" t="s">
        <v>276</v>
      </c>
      <c r="AR2258" s="357" t="s">
        <v>276</v>
      </c>
      <c r="AS2258" s="357" t="s">
        <v>276</v>
      </c>
      <c r="AT2258" s="357" t="s">
        <v>276</v>
      </c>
      <c r="AU2258" s="357" t="s">
        <v>276</v>
      </c>
      <c r="AV2258" s="357" t="s">
        <v>276</v>
      </c>
      <c r="AW2258" s="357" t="s">
        <v>276</v>
      </c>
      <c r="AX2258" s="357" t="s">
        <v>276</v>
      </c>
      <c r="AY2258" s="357" t="s">
        <v>276</v>
      </c>
      <c r="AZ2258" s="357" t="s">
        <v>276</v>
      </c>
      <c r="BA2258" s="357" t="s">
        <v>276</v>
      </c>
      <c r="BB2258" s="357" t="s">
        <v>276</v>
      </c>
      <c r="BC2258" s="357" t="s">
        <v>276</v>
      </c>
      <c r="BD2258" s="357" t="s">
        <v>276</v>
      </c>
      <c r="BE2258" s="357" t="s">
        <v>276</v>
      </c>
      <c r="BF2258" s="351" t="s">
        <v>1358</v>
      </c>
      <c r="BG2258" s="390"/>
      <c r="BH2258" s="9" t="s">
        <v>100</v>
      </c>
      <c r="BI2258" s="9" t="s">
        <v>100</v>
      </c>
    </row>
    <row r="2259" spans="1:61" s="391" customFormat="1" ht="52" hidden="1" x14ac:dyDescent="0.35">
      <c r="A2259" s="357">
        <v>10549</v>
      </c>
      <c r="B2259" s="357" t="s">
        <v>5173</v>
      </c>
      <c r="C2259" s="357" t="s">
        <v>88</v>
      </c>
      <c r="D2259" s="351" t="s">
        <v>5727</v>
      </c>
      <c r="E2259" s="357" t="s">
        <v>43</v>
      </c>
      <c r="F2259" s="351" t="s">
        <v>4987</v>
      </c>
      <c r="G2259" s="357" t="s">
        <v>225</v>
      </c>
      <c r="H2259" s="357" t="s">
        <v>125</v>
      </c>
      <c r="I2259" s="357" t="s">
        <v>114</v>
      </c>
      <c r="J2259" s="351" t="s">
        <v>98</v>
      </c>
      <c r="K2259" s="357" t="s">
        <v>98</v>
      </c>
      <c r="L2259" s="357" t="s">
        <v>98</v>
      </c>
      <c r="M2259" s="357" t="s">
        <v>98</v>
      </c>
      <c r="N2259" s="357" t="s">
        <v>276</v>
      </c>
      <c r="O2259" s="351" t="s">
        <v>276</v>
      </c>
      <c r="P2259" s="351" t="s">
        <v>238</v>
      </c>
      <c r="Q2259" s="383" t="s">
        <v>5201</v>
      </c>
      <c r="R2259" s="351" t="s">
        <v>98</v>
      </c>
      <c r="S2259" s="807" t="s">
        <v>5681</v>
      </c>
      <c r="T2259" s="807"/>
      <c r="U2259" s="351" t="s">
        <v>276</v>
      </c>
      <c r="V2259" s="357" t="s">
        <v>259</v>
      </c>
      <c r="W2259" s="351" t="s">
        <v>5133</v>
      </c>
      <c r="X2259" s="351" t="s">
        <v>209</v>
      </c>
      <c r="Y2259" s="354">
        <v>5901</v>
      </c>
      <c r="Z2259" s="355" t="s">
        <v>98</v>
      </c>
      <c r="AA2259" s="357" t="s">
        <v>276</v>
      </c>
      <c r="AB2259" s="357" t="s">
        <v>276</v>
      </c>
      <c r="AC2259" s="357" t="s">
        <v>276</v>
      </c>
      <c r="AD2259" s="357" t="s">
        <v>5574</v>
      </c>
      <c r="AE2259" s="357" t="s">
        <v>98</v>
      </c>
      <c r="AF2259" s="357" t="s">
        <v>98</v>
      </c>
      <c r="AG2259" s="351" t="s">
        <v>5678</v>
      </c>
      <c r="AH2259" s="351" t="s">
        <v>5596</v>
      </c>
      <c r="AI2259" s="354">
        <v>570</v>
      </c>
      <c r="AJ2259" s="354" t="s">
        <v>98</v>
      </c>
      <c r="AK2259" s="354">
        <v>5901</v>
      </c>
      <c r="AL2259" s="355" t="s">
        <v>98</v>
      </c>
      <c r="AM2259" s="355" t="s">
        <v>690</v>
      </c>
      <c r="AN2259" s="357" t="s">
        <v>276</v>
      </c>
      <c r="AO2259" s="386">
        <f t="shared" si="612"/>
        <v>96.593797661413319</v>
      </c>
      <c r="AP2259" s="357" t="s">
        <v>276</v>
      </c>
      <c r="AQ2259" s="357" t="s">
        <v>276</v>
      </c>
      <c r="AR2259" s="357" t="s">
        <v>276</v>
      </c>
      <c r="AS2259" s="357" t="s">
        <v>276</v>
      </c>
      <c r="AT2259" s="357" t="s">
        <v>276</v>
      </c>
      <c r="AU2259" s="357" t="s">
        <v>276</v>
      </c>
      <c r="AV2259" s="357" t="s">
        <v>276</v>
      </c>
      <c r="AW2259" s="357" t="s">
        <v>276</v>
      </c>
      <c r="AX2259" s="357" t="s">
        <v>276</v>
      </c>
      <c r="AY2259" s="357" t="s">
        <v>276</v>
      </c>
      <c r="AZ2259" s="357" t="s">
        <v>276</v>
      </c>
      <c r="BA2259" s="357" t="s">
        <v>276</v>
      </c>
      <c r="BB2259" s="357" t="s">
        <v>276</v>
      </c>
      <c r="BC2259" s="357" t="s">
        <v>276</v>
      </c>
      <c r="BD2259" s="357" t="s">
        <v>276</v>
      </c>
      <c r="BE2259" s="357" t="s">
        <v>276</v>
      </c>
      <c r="BF2259" s="351" t="s">
        <v>1358</v>
      </c>
      <c r="BG2259" s="390"/>
      <c r="BH2259" s="9" t="s">
        <v>100</v>
      </c>
      <c r="BI2259" s="9" t="s">
        <v>100</v>
      </c>
    </row>
    <row r="2260" spans="1:61" s="391" customFormat="1" ht="52" hidden="1" x14ac:dyDescent="0.35">
      <c r="A2260" s="357">
        <v>10549</v>
      </c>
      <c r="B2260" s="357" t="s">
        <v>5173</v>
      </c>
      <c r="C2260" s="357" t="s">
        <v>88</v>
      </c>
      <c r="D2260" s="351" t="s">
        <v>5728</v>
      </c>
      <c r="E2260" s="357" t="s">
        <v>43</v>
      </c>
      <c r="F2260" s="351" t="s">
        <v>4987</v>
      </c>
      <c r="G2260" s="357" t="s">
        <v>225</v>
      </c>
      <c r="H2260" s="357" t="s">
        <v>125</v>
      </c>
      <c r="I2260" s="357" t="s">
        <v>114</v>
      </c>
      <c r="J2260" s="351" t="s">
        <v>98</v>
      </c>
      <c r="K2260" s="357" t="s">
        <v>98</v>
      </c>
      <c r="L2260" s="357" t="s">
        <v>98</v>
      </c>
      <c r="M2260" s="357" t="s">
        <v>98</v>
      </c>
      <c r="N2260" s="357" t="s">
        <v>276</v>
      </c>
      <c r="O2260" s="351" t="s">
        <v>276</v>
      </c>
      <c r="P2260" s="351" t="s">
        <v>238</v>
      </c>
      <c r="Q2260" s="383" t="s">
        <v>5201</v>
      </c>
      <c r="R2260" s="351" t="s">
        <v>98</v>
      </c>
      <c r="S2260" s="807" t="s">
        <v>5681</v>
      </c>
      <c r="T2260" s="807"/>
      <c r="U2260" s="351" t="s">
        <v>276</v>
      </c>
      <c r="V2260" s="357" t="s">
        <v>259</v>
      </c>
      <c r="W2260" s="351" t="s">
        <v>5136</v>
      </c>
      <c r="X2260" s="351" t="s">
        <v>209</v>
      </c>
      <c r="Y2260" s="354">
        <v>31970</v>
      </c>
      <c r="Z2260" s="355" t="s">
        <v>98</v>
      </c>
      <c r="AA2260" s="357" t="s">
        <v>276</v>
      </c>
      <c r="AB2260" s="357" t="s">
        <v>276</v>
      </c>
      <c r="AC2260" s="357" t="s">
        <v>276</v>
      </c>
      <c r="AD2260" s="357" t="s">
        <v>5574</v>
      </c>
      <c r="AE2260" s="357" t="s">
        <v>98</v>
      </c>
      <c r="AF2260" s="357" t="s">
        <v>98</v>
      </c>
      <c r="AG2260" s="351" t="s">
        <v>5678</v>
      </c>
      <c r="AH2260" s="351" t="s">
        <v>5596</v>
      </c>
      <c r="AI2260" s="354">
        <v>1631</v>
      </c>
      <c r="AJ2260" s="354" t="s">
        <v>98</v>
      </c>
      <c r="AK2260" s="354">
        <v>31970</v>
      </c>
      <c r="AL2260" s="355" t="s">
        <v>98</v>
      </c>
      <c r="AM2260" s="355" t="s">
        <v>690</v>
      </c>
      <c r="AN2260" s="357" t="s">
        <v>276</v>
      </c>
      <c r="AO2260" s="386">
        <f t="shared" si="612"/>
        <v>51.016578041914293</v>
      </c>
      <c r="AP2260" s="357" t="s">
        <v>276</v>
      </c>
      <c r="AQ2260" s="357" t="s">
        <v>276</v>
      </c>
      <c r="AR2260" s="357" t="s">
        <v>276</v>
      </c>
      <c r="AS2260" s="357" t="s">
        <v>276</v>
      </c>
      <c r="AT2260" s="357" t="s">
        <v>276</v>
      </c>
      <c r="AU2260" s="357" t="s">
        <v>276</v>
      </c>
      <c r="AV2260" s="357" t="s">
        <v>276</v>
      </c>
      <c r="AW2260" s="357" t="s">
        <v>276</v>
      </c>
      <c r="AX2260" s="357" t="s">
        <v>276</v>
      </c>
      <c r="AY2260" s="357" t="s">
        <v>276</v>
      </c>
      <c r="AZ2260" s="357" t="s">
        <v>276</v>
      </c>
      <c r="BA2260" s="357" t="s">
        <v>276</v>
      </c>
      <c r="BB2260" s="357" t="s">
        <v>276</v>
      </c>
      <c r="BC2260" s="357" t="s">
        <v>276</v>
      </c>
      <c r="BD2260" s="357" t="s">
        <v>276</v>
      </c>
      <c r="BE2260" s="357" t="s">
        <v>276</v>
      </c>
      <c r="BF2260" s="351" t="s">
        <v>1358</v>
      </c>
      <c r="BG2260" s="390"/>
      <c r="BH2260" s="9" t="s">
        <v>100</v>
      </c>
      <c r="BI2260" s="9" t="s">
        <v>100</v>
      </c>
    </row>
    <row r="2261" spans="1:61" s="391" customFormat="1" ht="52" hidden="1" x14ac:dyDescent="0.35">
      <c r="A2261" s="357">
        <v>10549</v>
      </c>
      <c r="B2261" s="357" t="s">
        <v>5173</v>
      </c>
      <c r="C2261" s="357" t="s">
        <v>88</v>
      </c>
      <c r="D2261" s="351" t="s">
        <v>5729</v>
      </c>
      <c r="E2261" s="357" t="s">
        <v>43</v>
      </c>
      <c r="F2261" s="351" t="s">
        <v>4987</v>
      </c>
      <c r="G2261" s="357" t="s">
        <v>225</v>
      </c>
      <c r="H2261" s="357" t="s">
        <v>125</v>
      </c>
      <c r="I2261" s="357" t="s">
        <v>114</v>
      </c>
      <c r="J2261" s="351" t="s">
        <v>98</v>
      </c>
      <c r="K2261" s="357" t="s">
        <v>98</v>
      </c>
      <c r="L2261" s="357" t="s">
        <v>98</v>
      </c>
      <c r="M2261" s="357" t="s">
        <v>98</v>
      </c>
      <c r="N2261" s="357" t="s">
        <v>276</v>
      </c>
      <c r="O2261" s="351" t="s">
        <v>276</v>
      </c>
      <c r="P2261" s="351" t="s">
        <v>238</v>
      </c>
      <c r="Q2261" s="383" t="s">
        <v>5201</v>
      </c>
      <c r="R2261" s="351" t="s">
        <v>98</v>
      </c>
      <c r="S2261" s="807" t="s">
        <v>5707</v>
      </c>
      <c r="T2261" s="807"/>
      <c r="U2261" s="351" t="s">
        <v>276</v>
      </c>
      <c r="V2261" s="357" t="s">
        <v>259</v>
      </c>
      <c r="W2261" s="351" t="s">
        <v>5139</v>
      </c>
      <c r="X2261" s="351" t="s">
        <v>209</v>
      </c>
      <c r="Y2261" s="354">
        <v>7266</v>
      </c>
      <c r="Z2261" s="355" t="s">
        <v>98</v>
      </c>
      <c r="AA2261" s="357" t="s">
        <v>276</v>
      </c>
      <c r="AB2261" s="357" t="s">
        <v>276</v>
      </c>
      <c r="AC2261" s="357" t="s">
        <v>276</v>
      </c>
      <c r="AD2261" s="357" t="s">
        <v>5574</v>
      </c>
      <c r="AE2261" s="357" t="s">
        <v>98</v>
      </c>
      <c r="AF2261" s="357" t="s">
        <v>98</v>
      </c>
      <c r="AG2261" s="351" t="s">
        <v>5678</v>
      </c>
      <c r="AH2261" s="351" t="s">
        <v>5596</v>
      </c>
      <c r="AI2261" s="354">
        <v>197</v>
      </c>
      <c r="AJ2261" s="354" t="s">
        <v>98</v>
      </c>
      <c r="AK2261" s="354">
        <v>7266</v>
      </c>
      <c r="AL2261" s="355" t="s">
        <v>98</v>
      </c>
      <c r="AM2261" s="355" t="s">
        <v>690</v>
      </c>
      <c r="AN2261" s="357" t="s">
        <v>276</v>
      </c>
      <c r="AO2261" s="386">
        <f t="shared" si="612"/>
        <v>27.112579135700521</v>
      </c>
      <c r="AP2261" s="357" t="s">
        <v>276</v>
      </c>
      <c r="AQ2261" s="357" t="s">
        <v>276</v>
      </c>
      <c r="AR2261" s="357" t="s">
        <v>276</v>
      </c>
      <c r="AS2261" s="357" t="s">
        <v>276</v>
      </c>
      <c r="AT2261" s="357" t="s">
        <v>276</v>
      </c>
      <c r="AU2261" s="357" t="s">
        <v>276</v>
      </c>
      <c r="AV2261" s="357" t="s">
        <v>276</v>
      </c>
      <c r="AW2261" s="357" t="s">
        <v>276</v>
      </c>
      <c r="AX2261" s="357" t="s">
        <v>276</v>
      </c>
      <c r="AY2261" s="357" t="s">
        <v>276</v>
      </c>
      <c r="AZ2261" s="357" t="s">
        <v>276</v>
      </c>
      <c r="BA2261" s="357" t="s">
        <v>276</v>
      </c>
      <c r="BB2261" s="357" t="s">
        <v>276</v>
      </c>
      <c r="BC2261" s="357" t="s">
        <v>276</v>
      </c>
      <c r="BD2261" s="357" t="s">
        <v>276</v>
      </c>
      <c r="BE2261" s="357" t="s">
        <v>276</v>
      </c>
      <c r="BF2261" s="351" t="s">
        <v>1358</v>
      </c>
      <c r="BG2261" s="390"/>
      <c r="BH2261" s="9" t="s">
        <v>100</v>
      </c>
      <c r="BI2261" s="9" t="s">
        <v>100</v>
      </c>
    </row>
    <row r="2262" spans="1:61" s="391" customFormat="1" ht="52" hidden="1" x14ac:dyDescent="0.35">
      <c r="A2262" s="357">
        <v>10549</v>
      </c>
      <c r="B2262" s="357" t="s">
        <v>5173</v>
      </c>
      <c r="C2262" s="357" t="s">
        <v>88</v>
      </c>
      <c r="D2262" s="351" t="s">
        <v>5730</v>
      </c>
      <c r="E2262" s="357" t="s">
        <v>43</v>
      </c>
      <c r="F2262" s="351" t="s">
        <v>4987</v>
      </c>
      <c r="G2262" s="357" t="s">
        <v>225</v>
      </c>
      <c r="H2262" s="357" t="s">
        <v>125</v>
      </c>
      <c r="I2262" s="357" t="s">
        <v>114</v>
      </c>
      <c r="J2262" s="351" t="s">
        <v>98</v>
      </c>
      <c r="K2262" s="357" t="s">
        <v>98</v>
      </c>
      <c r="L2262" s="357" t="s">
        <v>98</v>
      </c>
      <c r="M2262" s="357" t="s">
        <v>98</v>
      </c>
      <c r="N2262" s="357" t="s">
        <v>276</v>
      </c>
      <c r="O2262" s="351" t="s">
        <v>276</v>
      </c>
      <c r="P2262" s="351" t="s">
        <v>238</v>
      </c>
      <c r="Q2262" s="383" t="s">
        <v>5201</v>
      </c>
      <c r="R2262" s="351" t="s">
        <v>98</v>
      </c>
      <c r="S2262" s="807" t="s">
        <v>5689</v>
      </c>
      <c r="T2262" s="807"/>
      <c r="U2262" s="351" t="s">
        <v>276</v>
      </c>
      <c r="V2262" s="357" t="s">
        <v>259</v>
      </c>
      <c r="W2262" s="351" t="s">
        <v>5142</v>
      </c>
      <c r="X2262" s="351" t="s">
        <v>209</v>
      </c>
      <c r="Y2262" s="354">
        <v>1056</v>
      </c>
      <c r="Z2262" s="355" t="s">
        <v>98</v>
      </c>
      <c r="AA2262" s="357" t="s">
        <v>276</v>
      </c>
      <c r="AB2262" s="357" t="s">
        <v>276</v>
      </c>
      <c r="AC2262" s="357" t="s">
        <v>276</v>
      </c>
      <c r="AD2262" s="357" t="s">
        <v>5574</v>
      </c>
      <c r="AE2262" s="357" t="s">
        <v>98</v>
      </c>
      <c r="AF2262" s="357" t="s">
        <v>98</v>
      </c>
      <c r="AG2262" s="351" t="s">
        <v>5678</v>
      </c>
      <c r="AH2262" s="351" t="s">
        <v>5596</v>
      </c>
      <c r="AI2262" s="354">
        <v>60</v>
      </c>
      <c r="AJ2262" s="354" t="s">
        <v>98</v>
      </c>
      <c r="AK2262" s="354">
        <v>1056</v>
      </c>
      <c r="AL2262" s="355" t="s">
        <v>98</v>
      </c>
      <c r="AM2262" s="355" t="s">
        <v>690</v>
      </c>
      <c r="AN2262" s="357" t="s">
        <v>276</v>
      </c>
      <c r="AO2262" s="386">
        <f t="shared" si="612"/>
        <v>56.81818181818182</v>
      </c>
      <c r="AP2262" s="357" t="s">
        <v>276</v>
      </c>
      <c r="AQ2262" s="357" t="s">
        <v>276</v>
      </c>
      <c r="AR2262" s="357" t="s">
        <v>276</v>
      </c>
      <c r="AS2262" s="357" t="s">
        <v>276</v>
      </c>
      <c r="AT2262" s="357" t="s">
        <v>276</v>
      </c>
      <c r="AU2262" s="357" t="s">
        <v>276</v>
      </c>
      <c r="AV2262" s="357" t="s">
        <v>276</v>
      </c>
      <c r="AW2262" s="357" t="s">
        <v>276</v>
      </c>
      <c r="AX2262" s="357" t="s">
        <v>276</v>
      </c>
      <c r="AY2262" s="357" t="s">
        <v>276</v>
      </c>
      <c r="AZ2262" s="357" t="s">
        <v>276</v>
      </c>
      <c r="BA2262" s="357" t="s">
        <v>276</v>
      </c>
      <c r="BB2262" s="357" t="s">
        <v>276</v>
      </c>
      <c r="BC2262" s="357" t="s">
        <v>276</v>
      </c>
      <c r="BD2262" s="357" t="s">
        <v>276</v>
      </c>
      <c r="BE2262" s="357" t="s">
        <v>276</v>
      </c>
      <c r="BF2262" s="351" t="s">
        <v>1358</v>
      </c>
      <c r="BG2262" s="390"/>
      <c r="BH2262" s="9" t="s">
        <v>100</v>
      </c>
      <c r="BI2262" s="9" t="s">
        <v>100</v>
      </c>
    </row>
    <row r="2263" spans="1:61" s="391" customFormat="1" ht="52" hidden="1" x14ac:dyDescent="0.35">
      <c r="A2263" s="357">
        <v>10549</v>
      </c>
      <c r="B2263" s="357" t="s">
        <v>5173</v>
      </c>
      <c r="C2263" s="357" t="s">
        <v>88</v>
      </c>
      <c r="D2263" s="351" t="s">
        <v>5731</v>
      </c>
      <c r="E2263" s="357" t="s">
        <v>43</v>
      </c>
      <c r="F2263" s="351" t="s">
        <v>4987</v>
      </c>
      <c r="G2263" s="357" t="s">
        <v>225</v>
      </c>
      <c r="H2263" s="357" t="s">
        <v>125</v>
      </c>
      <c r="I2263" s="357" t="s">
        <v>114</v>
      </c>
      <c r="J2263" s="351" t="s">
        <v>98</v>
      </c>
      <c r="K2263" s="357" t="s">
        <v>98</v>
      </c>
      <c r="L2263" s="357" t="s">
        <v>98</v>
      </c>
      <c r="M2263" s="357" t="s">
        <v>98</v>
      </c>
      <c r="N2263" s="357" t="s">
        <v>276</v>
      </c>
      <c r="O2263" s="351" t="s">
        <v>276</v>
      </c>
      <c r="P2263" s="351" t="s">
        <v>238</v>
      </c>
      <c r="Q2263" s="383" t="s">
        <v>5201</v>
      </c>
      <c r="R2263" s="351" t="s">
        <v>98</v>
      </c>
      <c r="S2263" s="807" t="s">
        <v>5692</v>
      </c>
      <c r="T2263" s="807"/>
      <c r="U2263" s="351" t="s">
        <v>276</v>
      </c>
      <c r="V2263" s="357" t="s">
        <v>259</v>
      </c>
      <c r="W2263" s="351" t="s">
        <v>5145</v>
      </c>
      <c r="X2263" s="351" t="s">
        <v>209</v>
      </c>
      <c r="Y2263" s="354">
        <v>4948</v>
      </c>
      <c r="Z2263" s="355" t="s">
        <v>98</v>
      </c>
      <c r="AA2263" s="357" t="s">
        <v>276</v>
      </c>
      <c r="AB2263" s="357" t="s">
        <v>276</v>
      </c>
      <c r="AC2263" s="357" t="s">
        <v>276</v>
      </c>
      <c r="AD2263" s="357" t="s">
        <v>5574</v>
      </c>
      <c r="AE2263" s="357" t="s">
        <v>98</v>
      </c>
      <c r="AF2263" s="357" t="s">
        <v>98</v>
      </c>
      <c r="AG2263" s="351" t="s">
        <v>5678</v>
      </c>
      <c r="AH2263" s="351" t="s">
        <v>5596</v>
      </c>
      <c r="AI2263" s="354">
        <v>429</v>
      </c>
      <c r="AJ2263" s="354" t="s">
        <v>98</v>
      </c>
      <c r="AK2263" s="354">
        <v>4948</v>
      </c>
      <c r="AL2263" s="355" t="s">
        <v>98</v>
      </c>
      <c r="AM2263" s="355" t="s">
        <v>690</v>
      </c>
      <c r="AN2263" s="357" t="s">
        <v>276</v>
      </c>
      <c r="AO2263" s="386">
        <f t="shared" si="612"/>
        <v>86.701697655618432</v>
      </c>
      <c r="AP2263" s="357" t="s">
        <v>276</v>
      </c>
      <c r="AQ2263" s="357" t="s">
        <v>276</v>
      </c>
      <c r="AR2263" s="357" t="s">
        <v>276</v>
      </c>
      <c r="AS2263" s="357" t="s">
        <v>276</v>
      </c>
      <c r="AT2263" s="357" t="s">
        <v>276</v>
      </c>
      <c r="AU2263" s="357" t="s">
        <v>276</v>
      </c>
      <c r="AV2263" s="357" t="s">
        <v>276</v>
      </c>
      <c r="AW2263" s="357" t="s">
        <v>276</v>
      </c>
      <c r="AX2263" s="357" t="s">
        <v>276</v>
      </c>
      <c r="AY2263" s="357" t="s">
        <v>276</v>
      </c>
      <c r="AZ2263" s="357" t="s">
        <v>276</v>
      </c>
      <c r="BA2263" s="357" t="s">
        <v>276</v>
      </c>
      <c r="BB2263" s="357" t="s">
        <v>276</v>
      </c>
      <c r="BC2263" s="357" t="s">
        <v>276</v>
      </c>
      <c r="BD2263" s="357" t="s">
        <v>276</v>
      </c>
      <c r="BE2263" s="357" t="s">
        <v>276</v>
      </c>
      <c r="BF2263" s="351" t="s">
        <v>1358</v>
      </c>
      <c r="BG2263" s="390"/>
      <c r="BH2263" s="9" t="s">
        <v>100</v>
      </c>
      <c r="BI2263" s="9" t="s">
        <v>100</v>
      </c>
    </row>
    <row r="2264" spans="1:61" s="391" customFormat="1" ht="52" hidden="1" x14ac:dyDescent="0.35">
      <c r="A2264" s="357">
        <v>10549</v>
      </c>
      <c r="B2264" s="357" t="s">
        <v>5173</v>
      </c>
      <c r="C2264" s="357" t="s">
        <v>88</v>
      </c>
      <c r="D2264" s="351" t="s">
        <v>5732</v>
      </c>
      <c r="E2264" s="357" t="s">
        <v>43</v>
      </c>
      <c r="F2264" s="351" t="s">
        <v>4987</v>
      </c>
      <c r="G2264" s="357" t="s">
        <v>225</v>
      </c>
      <c r="H2264" s="357" t="s">
        <v>125</v>
      </c>
      <c r="I2264" s="357" t="s">
        <v>114</v>
      </c>
      <c r="J2264" s="351" t="s">
        <v>98</v>
      </c>
      <c r="K2264" s="357" t="s">
        <v>98</v>
      </c>
      <c r="L2264" s="357" t="s">
        <v>98</v>
      </c>
      <c r="M2264" s="357" t="s">
        <v>98</v>
      </c>
      <c r="N2264" s="357" t="s">
        <v>276</v>
      </c>
      <c r="O2264" s="351" t="s">
        <v>276</v>
      </c>
      <c r="P2264" s="351" t="s">
        <v>238</v>
      </c>
      <c r="Q2264" s="383" t="s">
        <v>5201</v>
      </c>
      <c r="R2264" s="351" t="s">
        <v>98</v>
      </c>
      <c r="S2264" s="807" t="s">
        <v>5694</v>
      </c>
      <c r="T2264" s="807"/>
      <c r="U2264" s="351" t="s">
        <v>276</v>
      </c>
      <c r="V2264" s="357" t="s">
        <v>259</v>
      </c>
      <c r="W2264" s="351" t="s">
        <v>5651</v>
      </c>
      <c r="X2264" s="351" t="s">
        <v>209</v>
      </c>
      <c r="Y2264" s="354">
        <v>28793</v>
      </c>
      <c r="Z2264" s="355" t="s">
        <v>98</v>
      </c>
      <c r="AA2264" s="357" t="s">
        <v>276</v>
      </c>
      <c r="AB2264" s="357" t="s">
        <v>276</v>
      </c>
      <c r="AC2264" s="357" t="s">
        <v>276</v>
      </c>
      <c r="AD2264" s="357" t="s">
        <v>5574</v>
      </c>
      <c r="AE2264" s="357" t="s">
        <v>98</v>
      </c>
      <c r="AF2264" s="357" t="s">
        <v>98</v>
      </c>
      <c r="AG2264" s="351" t="s">
        <v>5678</v>
      </c>
      <c r="AH2264" s="351" t="s">
        <v>5596</v>
      </c>
      <c r="AI2264" s="354">
        <v>163</v>
      </c>
      <c r="AJ2264" s="354" t="s">
        <v>98</v>
      </c>
      <c r="AK2264" s="354">
        <v>28793</v>
      </c>
      <c r="AL2264" s="355" t="s">
        <v>98</v>
      </c>
      <c r="AM2264" s="355" t="s">
        <v>690</v>
      </c>
      <c r="AN2264" s="357" t="s">
        <v>276</v>
      </c>
      <c r="AO2264" s="386">
        <f t="shared" si="612"/>
        <v>5.6610981835862884</v>
      </c>
      <c r="AP2264" s="357" t="s">
        <v>276</v>
      </c>
      <c r="AQ2264" s="357" t="s">
        <v>276</v>
      </c>
      <c r="AR2264" s="357" t="s">
        <v>276</v>
      </c>
      <c r="AS2264" s="357" t="s">
        <v>276</v>
      </c>
      <c r="AT2264" s="357" t="s">
        <v>276</v>
      </c>
      <c r="AU2264" s="357" t="s">
        <v>276</v>
      </c>
      <c r="AV2264" s="357" t="s">
        <v>276</v>
      </c>
      <c r="AW2264" s="357" t="s">
        <v>276</v>
      </c>
      <c r="AX2264" s="357" t="s">
        <v>276</v>
      </c>
      <c r="AY2264" s="357" t="s">
        <v>276</v>
      </c>
      <c r="AZ2264" s="357" t="s">
        <v>276</v>
      </c>
      <c r="BA2264" s="357" t="s">
        <v>276</v>
      </c>
      <c r="BB2264" s="357" t="s">
        <v>276</v>
      </c>
      <c r="BC2264" s="357" t="s">
        <v>276</v>
      </c>
      <c r="BD2264" s="357" t="s">
        <v>276</v>
      </c>
      <c r="BE2264" s="357" t="s">
        <v>276</v>
      </c>
      <c r="BF2264" s="351" t="s">
        <v>1358</v>
      </c>
      <c r="BG2264" s="390"/>
      <c r="BH2264" s="9" t="s">
        <v>100</v>
      </c>
      <c r="BI2264" s="9" t="s">
        <v>100</v>
      </c>
    </row>
    <row r="2265" spans="1:61" s="391" customFormat="1" ht="52" hidden="1" x14ac:dyDescent="0.35">
      <c r="A2265" s="357">
        <v>10549</v>
      </c>
      <c r="B2265" s="357" t="s">
        <v>5173</v>
      </c>
      <c r="C2265" s="357" t="s">
        <v>88</v>
      </c>
      <c r="D2265" s="351" t="s">
        <v>5733</v>
      </c>
      <c r="E2265" s="357" t="s">
        <v>43</v>
      </c>
      <c r="F2265" s="351" t="s">
        <v>4987</v>
      </c>
      <c r="G2265" s="357" t="s">
        <v>225</v>
      </c>
      <c r="H2265" s="357" t="s">
        <v>125</v>
      </c>
      <c r="I2265" s="357" t="s">
        <v>114</v>
      </c>
      <c r="J2265" s="351" t="s">
        <v>98</v>
      </c>
      <c r="K2265" s="357" t="s">
        <v>98</v>
      </c>
      <c r="L2265" s="357" t="s">
        <v>98</v>
      </c>
      <c r="M2265" s="357" t="s">
        <v>98</v>
      </c>
      <c r="N2265" s="357" t="s">
        <v>276</v>
      </c>
      <c r="O2265" s="351" t="s">
        <v>276</v>
      </c>
      <c r="P2265" s="351" t="s">
        <v>238</v>
      </c>
      <c r="Q2265" s="383" t="s">
        <v>5201</v>
      </c>
      <c r="R2265" s="351" t="s">
        <v>98</v>
      </c>
      <c r="S2265" s="807" t="s">
        <v>5696</v>
      </c>
      <c r="T2265" s="807"/>
      <c r="U2265" s="351" t="s">
        <v>276</v>
      </c>
      <c r="V2265" s="357" t="s">
        <v>259</v>
      </c>
      <c r="W2265" s="351" t="s">
        <v>5653</v>
      </c>
      <c r="X2265" s="351" t="s">
        <v>209</v>
      </c>
      <c r="Y2265" s="354">
        <v>10879</v>
      </c>
      <c r="Z2265" s="355" t="s">
        <v>98</v>
      </c>
      <c r="AA2265" s="357" t="s">
        <v>276</v>
      </c>
      <c r="AB2265" s="357" t="s">
        <v>276</v>
      </c>
      <c r="AC2265" s="357" t="s">
        <v>276</v>
      </c>
      <c r="AD2265" s="357" t="s">
        <v>5574</v>
      </c>
      <c r="AE2265" s="357" t="s">
        <v>98</v>
      </c>
      <c r="AF2265" s="357" t="s">
        <v>98</v>
      </c>
      <c r="AG2265" s="351" t="s">
        <v>5678</v>
      </c>
      <c r="AH2265" s="351" t="s">
        <v>5596</v>
      </c>
      <c r="AI2265" s="354">
        <v>121</v>
      </c>
      <c r="AJ2265" s="354" t="s">
        <v>98</v>
      </c>
      <c r="AK2265" s="354">
        <v>10879</v>
      </c>
      <c r="AL2265" s="355" t="s">
        <v>98</v>
      </c>
      <c r="AM2265" s="355" t="s">
        <v>690</v>
      </c>
      <c r="AN2265" s="357" t="s">
        <v>276</v>
      </c>
      <c r="AO2265" s="386">
        <f t="shared" si="612"/>
        <v>11.122345803842265</v>
      </c>
      <c r="AP2265" s="357" t="s">
        <v>276</v>
      </c>
      <c r="AQ2265" s="357" t="s">
        <v>276</v>
      </c>
      <c r="AR2265" s="357" t="s">
        <v>276</v>
      </c>
      <c r="AS2265" s="357" t="s">
        <v>276</v>
      </c>
      <c r="AT2265" s="357" t="s">
        <v>276</v>
      </c>
      <c r="AU2265" s="357" t="s">
        <v>276</v>
      </c>
      <c r="AV2265" s="357" t="s">
        <v>276</v>
      </c>
      <c r="AW2265" s="357" t="s">
        <v>276</v>
      </c>
      <c r="AX2265" s="357" t="s">
        <v>276</v>
      </c>
      <c r="AY2265" s="357" t="s">
        <v>276</v>
      </c>
      <c r="AZ2265" s="357" t="s">
        <v>276</v>
      </c>
      <c r="BA2265" s="357" t="s">
        <v>276</v>
      </c>
      <c r="BB2265" s="357" t="s">
        <v>276</v>
      </c>
      <c r="BC2265" s="357" t="s">
        <v>276</v>
      </c>
      <c r="BD2265" s="357" t="s">
        <v>276</v>
      </c>
      <c r="BE2265" s="357" t="s">
        <v>276</v>
      </c>
      <c r="BF2265" s="351" t="s">
        <v>1358</v>
      </c>
      <c r="BG2265" s="390"/>
      <c r="BH2265" s="9" t="s">
        <v>100</v>
      </c>
      <c r="BI2265" s="9" t="s">
        <v>100</v>
      </c>
    </row>
    <row r="2266" spans="1:61" ht="52" hidden="1" x14ac:dyDescent="0.35">
      <c r="A2266" s="357">
        <v>10213</v>
      </c>
      <c r="B2266" s="357" t="s">
        <v>5259</v>
      </c>
      <c r="C2266" s="357" t="s">
        <v>88</v>
      </c>
      <c r="D2266" s="351" t="s">
        <v>5734</v>
      </c>
      <c r="E2266" s="357" t="s">
        <v>43</v>
      </c>
      <c r="F2266" s="351" t="s">
        <v>4987</v>
      </c>
      <c r="G2266" s="357" t="s">
        <v>225</v>
      </c>
      <c r="H2266" s="357" t="s">
        <v>125</v>
      </c>
      <c r="I2266" s="357" t="s">
        <v>114</v>
      </c>
      <c r="J2266" s="351" t="s">
        <v>98</v>
      </c>
      <c r="K2266" s="357" t="s">
        <v>98</v>
      </c>
      <c r="L2266" s="357" t="s">
        <v>98</v>
      </c>
      <c r="M2266" s="357" t="s">
        <v>98</v>
      </c>
      <c r="N2266" s="351" t="s">
        <v>5735</v>
      </c>
      <c r="O2266" s="357" t="s">
        <v>276</v>
      </c>
      <c r="P2266" s="351" t="s">
        <v>236</v>
      </c>
      <c r="Q2266" s="383" t="s">
        <v>5263</v>
      </c>
      <c r="R2266" s="351" t="s">
        <v>5736</v>
      </c>
      <c r="S2266" s="808" t="s">
        <v>5737</v>
      </c>
      <c r="T2266" s="808"/>
      <c r="U2266" s="360" t="s">
        <v>276</v>
      </c>
      <c r="V2266" s="357" t="s">
        <v>15</v>
      </c>
      <c r="W2266" s="357" t="s">
        <v>5640</v>
      </c>
      <c r="X2266" s="351" t="s">
        <v>207</v>
      </c>
      <c r="Y2266" s="354">
        <v>112553</v>
      </c>
      <c r="Z2266" s="354">
        <v>128681</v>
      </c>
      <c r="AA2266" s="392" t="s">
        <v>276</v>
      </c>
      <c r="AB2266" s="392" t="s">
        <v>276</v>
      </c>
      <c r="AC2266" s="357" t="s">
        <v>276</v>
      </c>
      <c r="AD2266" s="357" t="s">
        <v>5574</v>
      </c>
      <c r="AE2266" s="357" t="s">
        <v>98</v>
      </c>
      <c r="AF2266" s="357" t="s">
        <v>98</v>
      </c>
      <c r="AG2266" s="351" t="s">
        <v>5738</v>
      </c>
      <c r="AH2266" s="351" t="s">
        <v>5739</v>
      </c>
      <c r="AI2266" s="354">
        <v>5314</v>
      </c>
      <c r="AJ2266" s="354" t="s">
        <v>98</v>
      </c>
      <c r="AK2266" s="354">
        <v>10909</v>
      </c>
      <c r="AL2266" s="355" t="s">
        <v>98</v>
      </c>
      <c r="AM2266" s="355" t="s">
        <v>292</v>
      </c>
      <c r="AN2266" s="357" t="s">
        <v>276</v>
      </c>
      <c r="AO2266" s="386">
        <f>AI2266*100/AK2266</f>
        <v>48.712072600605005</v>
      </c>
      <c r="AP2266" s="357" t="s">
        <v>276</v>
      </c>
      <c r="AQ2266" s="357" t="s">
        <v>276</v>
      </c>
      <c r="AR2266" s="357" t="s">
        <v>276</v>
      </c>
      <c r="AS2266" s="357" t="s">
        <v>276</v>
      </c>
      <c r="AT2266" s="357" t="s">
        <v>276</v>
      </c>
      <c r="AU2266" s="357" t="s">
        <v>276</v>
      </c>
      <c r="AV2266" s="357" t="s">
        <v>276</v>
      </c>
      <c r="AW2266" s="357" t="s">
        <v>276</v>
      </c>
      <c r="AX2266" s="357" t="s">
        <v>276</v>
      </c>
      <c r="AY2266" s="357" t="s">
        <v>276</v>
      </c>
      <c r="AZ2266" s="357" t="s">
        <v>276</v>
      </c>
      <c r="BA2266" s="357" t="s">
        <v>276</v>
      </c>
      <c r="BB2266" s="357" t="s">
        <v>276</v>
      </c>
      <c r="BC2266" s="357" t="s">
        <v>276</v>
      </c>
      <c r="BD2266" s="357" t="s">
        <v>276</v>
      </c>
      <c r="BE2266" s="357" t="s">
        <v>276</v>
      </c>
      <c r="BF2266" s="351" t="s">
        <v>1358</v>
      </c>
      <c r="BH2266" s="9" t="s">
        <v>100</v>
      </c>
      <c r="BI2266" s="9" t="s">
        <v>100</v>
      </c>
    </row>
    <row r="2267" spans="1:61" s="391" customFormat="1" ht="52" hidden="1" x14ac:dyDescent="0.35">
      <c r="A2267" s="357">
        <v>10213</v>
      </c>
      <c r="B2267" s="357" t="s">
        <v>5259</v>
      </c>
      <c r="C2267" s="357" t="s">
        <v>88</v>
      </c>
      <c r="D2267" s="351" t="s">
        <v>5740</v>
      </c>
      <c r="E2267" s="357" t="s">
        <v>43</v>
      </c>
      <c r="F2267" s="351" t="s">
        <v>4987</v>
      </c>
      <c r="G2267" s="357" t="s">
        <v>225</v>
      </c>
      <c r="H2267" s="357" t="s">
        <v>125</v>
      </c>
      <c r="I2267" s="357" t="s">
        <v>114</v>
      </c>
      <c r="J2267" s="351" t="s">
        <v>98</v>
      </c>
      <c r="K2267" s="357" t="s">
        <v>98</v>
      </c>
      <c r="L2267" s="357" t="s">
        <v>98</v>
      </c>
      <c r="M2267" s="357" t="s">
        <v>98</v>
      </c>
      <c r="N2267" s="351" t="s">
        <v>5735</v>
      </c>
      <c r="O2267" s="357" t="s">
        <v>276</v>
      </c>
      <c r="P2267" s="351" t="s">
        <v>236</v>
      </c>
      <c r="Q2267" s="383" t="s">
        <v>5263</v>
      </c>
      <c r="R2267" s="351" t="s">
        <v>5736</v>
      </c>
      <c r="S2267" s="808" t="s">
        <v>5741</v>
      </c>
      <c r="T2267" s="808"/>
      <c r="U2267" s="360" t="s">
        <v>276</v>
      </c>
      <c r="V2267" s="357" t="s">
        <v>259</v>
      </c>
      <c r="W2267" s="351" t="s">
        <v>4990</v>
      </c>
      <c r="X2267" s="351" t="s">
        <v>207</v>
      </c>
      <c r="Y2267" s="354">
        <v>72890</v>
      </c>
      <c r="Z2267" s="354">
        <v>89351</v>
      </c>
      <c r="AA2267" s="392" t="s">
        <v>276</v>
      </c>
      <c r="AB2267" s="392" t="s">
        <v>276</v>
      </c>
      <c r="AC2267" s="357" t="s">
        <v>276</v>
      </c>
      <c r="AD2267" s="357" t="s">
        <v>5574</v>
      </c>
      <c r="AE2267" s="357" t="s">
        <v>98</v>
      </c>
      <c r="AF2267" s="357" t="s">
        <v>98</v>
      </c>
      <c r="AG2267" s="351" t="s">
        <v>5738</v>
      </c>
      <c r="AH2267" s="351" t="s">
        <v>5739</v>
      </c>
      <c r="AI2267" s="354">
        <v>4957</v>
      </c>
      <c r="AJ2267" s="354" t="s">
        <v>98</v>
      </c>
      <c r="AK2267" s="354">
        <v>8444</v>
      </c>
      <c r="AL2267" s="355" t="s">
        <v>98</v>
      </c>
      <c r="AM2267" s="355" t="s">
        <v>292</v>
      </c>
      <c r="AN2267" s="357" t="s">
        <v>276</v>
      </c>
      <c r="AO2267" s="386">
        <f t="shared" ref="AO2267:AO2276" si="613">AI2267*100/AK2267</f>
        <v>58.704405495026052</v>
      </c>
      <c r="AP2267" s="357" t="s">
        <v>276</v>
      </c>
      <c r="AQ2267" s="357" t="s">
        <v>276</v>
      </c>
      <c r="AR2267" s="357" t="s">
        <v>276</v>
      </c>
      <c r="AS2267" s="357" t="s">
        <v>276</v>
      </c>
      <c r="AT2267" s="357" t="s">
        <v>276</v>
      </c>
      <c r="AU2267" s="357" t="s">
        <v>276</v>
      </c>
      <c r="AV2267" s="357" t="s">
        <v>276</v>
      </c>
      <c r="AW2267" s="357" t="s">
        <v>276</v>
      </c>
      <c r="AX2267" s="357" t="s">
        <v>276</v>
      </c>
      <c r="AY2267" s="357" t="s">
        <v>276</v>
      </c>
      <c r="AZ2267" s="357" t="s">
        <v>276</v>
      </c>
      <c r="BA2267" s="357" t="s">
        <v>276</v>
      </c>
      <c r="BB2267" s="357" t="s">
        <v>276</v>
      </c>
      <c r="BC2267" s="357" t="s">
        <v>276</v>
      </c>
      <c r="BD2267" s="357" t="s">
        <v>276</v>
      </c>
      <c r="BE2267" s="357" t="s">
        <v>276</v>
      </c>
      <c r="BF2267" s="351" t="s">
        <v>1358</v>
      </c>
      <c r="BG2267" s="390"/>
      <c r="BH2267" s="9" t="s">
        <v>100</v>
      </c>
      <c r="BI2267" s="9" t="s">
        <v>100</v>
      </c>
    </row>
    <row r="2268" spans="1:61" ht="52" hidden="1" x14ac:dyDescent="0.35">
      <c r="A2268" s="357">
        <v>10213</v>
      </c>
      <c r="B2268" s="357" t="s">
        <v>5259</v>
      </c>
      <c r="C2268" s="357" t="s">
        <v>88</v>
      </c>
      <c r="D2268" s="351" t="s">
        <v>5742</v>
      </c>
      <c r="E2268" s="357" t="s">
        <v>43</v>
      </c>
      <c r="F2268" s="351" t="s">
        <v>4987</v>
      </c>
      <c r="G2268" s="357" t="s">
        <v>225</v>
      </c>
      <c r="H2268" s="357" t="s">
        <v>125</v>
      </c>
      <c r="I2268" s="357" t="s">
        <v>114</v>
      </c>
      <c r="J2268" s="351" t="s">
        <v>98</v>
      </c>
      <c r="K2268" s="357" t="s">
        <v>98</v>
      </c>
      <c r="L2268" s="357" t="s">
        <v>98</v>
      </c>
      <c r="M2268" s="357" t="s">
        <v>98</v>
      </c>
      <c r="N2268" s="351" t="s">
        <v>5735</v>
      </c>
      <c r="O2268" s="357" t="s">
        <v>276</v>
      </c>
      <c r="P2268" s="351" t="s">
        <v>236</v>
      </c>
      <c r="Q2268" s="383" t="s">
        <v>5263</v>
      </c>
      <c r="R2268" s="351" t="s">
        <v>5736</v>
      </c>
      <c r="S2268" s="808" t="s">
        <v>5743</v>
      </c>
      <c r="T2268" s="808"/>
      <c r="U2268" s="360" t="s">
        <v>276</v>
      </c>
      <c r="V2268" s="357" t="s">
        <v>259</v>
      </c>
      <c r="W2268" s="351" t="s">
        <v>5072</v>
      </c>
      <c r="X2268" s="351" t="s">
        <v>207</v>
      </c>
      <c r="Y2268" s="354">
        <v>17443</v>
      </c>
      <c r="Z2268" s="354">
        <v>17390</v>
      </c>
      <c r="AA2268" s="392" t="s">
        <v>276</v>
      </c>
      <c r="AB2268" s="392" t="s">
        <v>276</v>
      </c>
      <c r="AC2268" s="357" t="s">
        <v>276</v>
      </c>
      <c r="AD2268" s="357" t="s">
        <v>5574</v>
      </c>
      <c r="AE2268" s="357" t="s">
        <v>98</v>
      </c>
      <c r="AF2268" s="357" t="s">
        <v>98</v>
      </c>
      <c r="AG2268" s="351" t="s">
        <v>5738</v>
      </c>
      <c r="AH2268" s="351" t="s">
        <v>5739</v>
      </c>
      <c r="AI2268" s="354">
        <v>1868</v>
      </c>
      <c r="AJ2268" s="354" t="s">
        <v>98</v>
      </c>
      <c r="AK2268" s="354">
        <v>2376</v>
      </c>
      <c r="AL2268" s="355" t="s">
        <v>98</v>
      </c>
      <c r="AM2268" s="355" t="s">
        <v>292</v>
      </c>
      <c r="AN2268" s="357" t="s">
        <v>276</v>
      </c>
      <c r="AO2268" s="386">
        <f t="shared" si="613"/>
        <v>78.619528619528623</v>
      </c>
      <c r="AP2268" s="357" t="s">
        <v>276</v>
      </c>
      <c r="AQ2268" s="357" t="s">
        <v>276</v>
      </c>
      <c r="AR2268" s="357" t="s">
        <v>276</v>
      </c>
      <c r="AS2268" s="357" t="s">
        <v>276</v>
      </c>
      <c r="AT2268" s="357" t="s">
        <v>276</v>
      </c>
      <c r="AU2268" s="357" t="s">
        <v>276</v>
      </c>
      <c r="AV2268" s="357" t="s">
        <v>276</v>
      </c>
      <c r="AW2268" s="357" t="s">
        <v>276</v>
      </c>
      <c r="AX2268" s="357" t="s">
        <v>276</v>
      </c>
      <c r="AY2268" s="357" t="s">
        <v>276</v>
      </c>
      <c r="AZ2268" s="357" t="s">
        <v>276</v>
      </c>
      <c r="BA2268" s="357" t="s">
        <v>276</v>
      </c>
      <c r="BB2268" s="357" t="s">
        <v>276</v>
      </c>
      <c r="BC2268" s="357" t="s">
        <v>276</v>
      </c>
      <c r="BD2268" s="357" t="s">
        <v>276</v>
      </c>
      <c r="BE2268" s="357" t="s">
        <v>276</v>
      </c>
      <c r="BF2268" s="351" t="s">
        <v>1358</v>
      </c>
      <c r="BH2268" s="9" t="s">
        <v>100</v>
      </c>
      <c r="BI2268" s="9" t="s">
        <v>100</v>
      </c>
    </row>
    <row r="2269" spans="1:61" ht="52" hidden="1" x14ac:dyDescent="0.35">
      <c r="A2269" s="357">
        <v>10213</v>
      </c>
      <c r="B2269" s="357" t="s">
        <v>5259</v>
      </c>
      <c r="C2269" s="357" t="s">
        <v>88</v>
      </c>
      <c r="D2269" s="351" t="s">
        <v>5744</v>
      </c>
      <c r="E2269" s="357" t="s">
        <v>43</v>
      </c>
      <c r="F2269" s="351" t="s">
        <v>4987</v>
      </c>
      <c r="G2269" s="357" t="s">
        <v>225</v>
      </c>
      <c r="H2269" s="357" t="s">
        <v>125</v>
      </c>
      <c r="I2269" s="357" t="s">
        <v>114</v>
      </c>
      <c r="J2269" s="351" t="s">
        <v>98</v>
      </c>
      <c r="K2269" s="357" t="s">
        <v>98</v>
      </c>
      <c r="L2269" s="357" t="s">
        <v>98</v>
      </c>
      <c r="M2269" s="357" t="s">
        <v>98</v>
      </c>
      <c r="N2269" s="351" t="s">
        <v>5735</v>
      </c>
      <c r="O2269" s="357" t="s">
        <v>276</v>
      </c>
      <c r="P2269" s="351" t="s">
        <v>236</v>
      </c>
      <c r="Q2269" s="383" t="s">
        <v>5263</v>
      </c>
      <c r="R2269" s="351" t="s">
        <v>5736</v>
      </c>
      <c r="S2269" s="808" t="s">
        <v>5745</v>
      </c>
      <c r="T2269" s="808"/>
      <c r="U2269" s="360" t="s">
        <v>276</v>
      </c>
      <c r="V2269" s="357" t="s">
        <v>259</v>
      </c>
      <c r="W2269" s="351" t="s">
        <v>5130</v>
      </c>
      <c r="X2269" s="351" t="s">
        <v>207</v>
      </c>
      <c r="Y2269" s="354">
        <v>4307</v>
      </c>
      <c r="Z2269" s="354">
        <v>4255</v>
      </c>
      <c r="AA2269" s="392" t="s">
        <v>276</v>
      </c>
      <c r="AB2269" s="392" t="s">
        <v>276</v>
      </c>
      <c r="AC2269" s="357" t="s">
        <v>276</v>
      </c>
      <c r="AD2269" s="357" t="s">
        <v>5574</v>
      </c>
      <c r="AE2269" s="357" t="s">
        <v>98</v>
      </c>
      <c r="AF2269" s="357" t="s">
        <v>98</v>
      </c>
      <c r="AG2269" s="351" t="s">
        <v>5738</v>
      </c>
      <c r="AH2269" s="351" t="s">
        <v>5739</v>
      </c>
      <c r="AI2269" s="354">
        <v>188</v>
      </c>
      <c r="AJ2269" s="354" t="s">
        <v>98</v>
      </c>
      <c r="AK2269" s="354">
        <v>482</v>
      </c>
      <c r="AL2269" s="355" t="s">
        <v>98</v>
      </c>
      <c r="AM2269" s="355" t="s">
        <v>292</v>
      </c>
      <c r="AN2269" s="357" t="s">
        <v>276</v>
      </c>
      <c r="AO2269" s="386">
        <f t="shared" si="613"/>
        <v>39.004149377593365</v>
      </c>
      <c r="AP2269" s="357" t="s">
        <v>276</v>
      </c>
      <c r="AQ2269" s="357" t="s">
        <v>276</v>
      </c>
      <c r="AR2269" s="357" t="s">
        <v>276</v>
      </c>
      <c r="AS2269" s="357" t="s">
        <v>276</v>
      </c>
      <c r="AT2269" s="357" t="s">
        <v>276</v>
      </c>
      <c r="AU2269" s="357" t="s">
        <v>276</v>
      </c>
      <c r="AV2269" s="357" t="s">
        <v>276</v>
      </c>
      <c r="AW2269" s="357" t="s">
        <v>276</v>
      </c>
      <c r="AX2269" s="357" t="s">
        <v>276</v>
      </c>
      <c r="AY2269" s="357" t="s">
        <v>276</v>
      </c>
      <c r="AZ2269" s="357" t="s">
        <v>276</v>
      </c>
      <c r="BA2269" s="357" t="s">
        <v>276</v>
      </c>
      <c r="BB2269" s="357" t="s">
        <v>276</v>
      </c>
      <c r="BC2269" s="357" t="s">
        <v>276</v>
      </c>
      <c r="BD2269" s="357" t="s">
        <v>276</v>
      </c>
      <c r="BE2269" s="357" t="s">
        <v>276</v>
      </c>
      <c r="BF2269" s="351" t="s">
        <v>1358</v>
      </c>
      <c r="BH2269" s="9" t="s">
        <v>100</v>
      </c>
      <c r="BI2269" s="9" t="s">
        <v>100</v>
      </c>
    </row>
    <row r="2270" spans="1:61" ht="52" hidden="1" x14ac:dyDescent="0.35">
      <c r="A2270" s="357">
        <v>10213</v>
      </c>
      <c r="B2270" s="357" t="s">
        <v>5259</v>
      </c>
      <c r="C2270" s="357" t="s">
        <v>88</v>
      </c>
      <c r="D2270" s="351" t="s">
        <v>5746</v>
      </c>
      <c r="E2270" s="357" t="s">
        <v>43</v>
      </c>
      <c r="F2270" s="351" t="s">
        <v>4987</v>
      </c>
      <c r="G2270" s="357" t="s">
        <v>225</v>
      </c>
      <c r="H2270" s="357" t="s">
        <v>125</v>
      </c>
      <c r="I2270" s="357" t="s">
        <v>114</v>
      </c>
      <c r="J2270" s="351" t="s">
        <v>98</v>
      </c>
      <c r="K2270" s="357" t="s">
        <v>98</v>
      </c>
      <c r="L2270" s="357" t="s">
        <v>98</v>
      </c>
      <c r="M2270" s="357" t="s">
        <v>98</v>
      </c>
      <c r="N2270" s="351" t="s">
        <v>5735</v>
      </c>
      <c r="O2270" s="357" t="s">
        <v>276</v>
      </c>
      <c r="P2270" s="351" t="s">
        <v>236</v>
      </c>
      <c r="Q2270" s="383" t="s">
        <v>5263</v>
      </c>
      <c r="R2270" s="351" t="s">
        <v>5736</v>
      </c>
      <c r="S2270" s="808" t="s">
        <v>5747</v>
      </c>
      <c r="T2270" s="808"/>
      <c r="U2270" s="360" t="s">
        <v>276</v>
      </c>
      <c r="V2270" s="357" t="s">
        <v>259</v>
      </c>
      <c r="W2270" s="351" t="s">
        <v>5133</v>
      </c>
      <c r="X2270" s="351" t="s">
        <v>207</v>
      </c>
      <c r="Y2270" s="354">
        <v>5901</v>
      </c>
      <c r="Z2270" s="354">
        <v>5951</v>
      </c>
      <c r="AA2270" s="392" t="s">
        <v>276</v>
      </c>
      <c r="AB2270" s="392" t="s">
        <v>276</v>
      </c>
      <c r="AC2270" s="357" t="s">
        <v>276</v>
      </c>
      <c r="AD2270" s="357" t="s">
        <v>5574</v>
      </c>
      <c r="AE2270" s="357" t="s">
        <v>98</v>
      </c>
      <c r="AF2270" s="357" t="s">
        <v>98</v>
      </c>
      <c r="AG2270" s="351" t="s">
        <v>5738</v>
      </c>
      <c r="AH2270" s="351" t="s">
        <v>5739</v>
      </c>
      <c r="AI2270" s="354">
        <v>576</v>
      </c>
      <c r="AJ2270" s="354" t="s">
        <v>98</v>
      </c>
      <c r="AK2270" s="354">
        <v>814</v>
      </c>
      <c r="AL2270" s="355" t="s">
        <v>98</v>
      </c>
      <c r="AM2270" s="355" t="s">
        <v>292</v>
      </c>
      <c r="AN2270" s="357" t="s">
        <v>276</v>
      </c>
      <c r="AO2270" s="386">
        <f t="shared" si="613"/>
        <v>70.761670761670757</v>
      </c>
      <c r="AP2270" s="357" t="s">
        <v>276</v>
      </c>
      <c r="AQ2270" s="357" t="s">
        <v>276</v>
      </c>
      <c r="AR2270" s="357" t="s">
        <v>276</v>
      </c>
      <c r="AS2270" s="357" t="s">
        <v>276</v>
      </c>
      <c r="AT2270" s="357" t="s">
        <v>276</v>
      </c>
      <c r="AU2270" s="357" t="s">
        <v>276</v>
      </c>
      <c r="AV2270" s="357" t="s">
        <v>276</v>
      </c>
      <c r="AW2270" s="357" t="s">
        <v>276</v>
      </c>
      <c r="AX2270" s="357" t="s">
        <v>276</v>
      </c>
      <c r="AY2270" s="357" t="s">
        <v>276</v>
      </c>
      <c r="AZ2270" s="357" t="s">
        <v>276</v>
      </c>
      <c r="BA2270" s="357" t="s">
        <v>276</v>
      </c>
      <c r="BB2270" s="357" t="s">
        <v>276</v>
      </c>
      <c r="BC2270" s="357" t="s">
        <v>276</v>
      </c>
      <c r="BD2270" s="357" t="s">
        <v>276</v>
      </c>
      <c r="BE2270" s="357" t="s">
        <v>276</v>
      </c>
      <c r="BF2270" s="351" t="s">
        <v>1358</v>
      </c>
      <c r="BH2270" s="9" t="s">
        <v>100</v>
      </c>
      <c r="BI2270" s="9" t="s">
        <v>100</v>
      </c>
    </row>
    <row r="2271" spans="1:61" ht="52" hidden="1" x14ac:dyDescent="0.35">
      <c r="A2271" s="357">
        <v>10213</v>
      </c>
      <c r="B2271" s="357" t="s">
        <v>5259</v>
      </c>
      <c r="C2271" s="357" t="s">
        <v>88</v>
      </c>
      <c r="D2271" s="351" t="s">
        <v>5748</v>
      </c>
      <c r="E2271" s="357" t="s">
        <v>43</v>
      </c>
      <c r="F2271" s="351" t="s">
        <v>4987</v>
      </c>
      <c r="G2271" s="357" t="s">
        <v>225</v>
      </c>
      <c r="H2271" s="357" t="s">
        <v>125</v>
      </c>
      <c r="I2271" s="357" t="s">
        <v>114</v>
      </c>
      <c r="J2271" s="351" t="s">
        <v>98</v>
      </c>
      <c r="K2271" s="357" t="s">
        <v>98</v>
      </c>
      <c r="L2271" s="357" t="s">
        <v>98</v>
      </c>
      <c r="M2271" s="357" t="s">
        <v>98</v>
      </c>
      <c r="N2271" s="351" t="s">
        <v>5735</v>
      </c>
      <c r="O2271" s="357" t="s">
        <v>276</v>
      </c>
      <c r="P2271" s="351" t="s">
        <v>236</v>
      </c>
      <c r="Q2271" s="383" t="s">
        <v>5263</v>
      </c>
      <c r="R2271" s="351" t="s">
        <v>5736</v>
      </c>
      <c r="S2271" s="808" t="s">
        <v>5743</v>
      </c>
      <c r="T2271" s="808"/>
      <c r="U2271" s="360" t="s">
        <v>276</v>
      </c>
      <c r="V2271" s="357" t="s">
        <v>259</v>
      </c>
      <c r="W2271" s="351" t="s">
        <v>5136</v>
      </c>
      <c r="X2271" s="351" t="s">
        <v>207</v>
      </c>
      <c r="Y2271" s="354">
        <v>31970</v>
      </c>
      <c r="Z2271" s="354">
        <v>48409</v>
      </c>
      <c r="AA2271" s="392" t="s">
        <v>276</v>
      </c>
      <c r="AB2271" s="392" t="s">
        <v>276</v>
      </c>
      <c r="AC2271" s="357" t="s">
        <v>276</v>
      </c>
      <c r="AD2271" s="357" t="s">
        <v>5574</v>
      </c>
      <c r="AE2271" s="357" t="s">
        <v>98</v>
      </c>
      <c r="AF2271" s="357" t="s">
        <v>98</v>
      </c>
      <c r="AG2271" s="351" t="s">
        <v>5738</v>
      </c>
      <c r="AH2271" s="351" t="s">
        <v>5739</v>
      </c>
      <c r="AI2271" s="354">
        <v>1632</v>
      </c>
      <c r="AJ2271" s="354" t="s">
        <v>98</v>
      </c>
      <c r="AK2271" s="354">
        <v>3500</v>
      </c>
      <c r="AL2271" s="355" t="s">
        <v>98</v>
      </c>
      <c r="AM2271" s="355" t="s">
        <v>292</v>
      </c>
      <c r="AN2271" s="357" t="s">
        <v>276</v>
      </c>
      <c r="AO2271" s="386">
        <f t="shared" si="613"/>
        <v>46.628571428571426</v>
      </c>
      <c r="AP2271" s="357" t="s">
        <v>276</v>
      </c>
      <c r="AQ2271" s="357" t="s">
        <v>276</v>
      </c>
      <c r="AR2271" s="357" t="s">
        <v>276</v>
      </c>
      <c r="AS2271" s="357" t="s">
        <v>276</v>
      </c>
      <c r="AT2271" s="357" t="s">
        <v>276</v>
      </c>
      <c r="AU2271" s="357" t="s">
        <v>276</v>
      </c>
      <c r="AV2271" s="357" t="s">
        <v>276</v>
      </c>
      <c r="AW2271" s="357" t="s">
        <v>276</v>
      </c>
      <c r="AX2271" s="357" t="s">
        <v>276</v>
      </c>
      <c r="AY2271" s="357" t="s">
        <v>276</v>
      </c>
      <c r="AZ2271" s="357" t="s">
        <v>276</v>
      </c>
      <c r="BA2271" s="357" t="s">
        <v>276</v>
      </c>
      <c r="BB2271" s="357" t="s">
        <v>276</v>
      </c>
      <c r="BC2271" s="357" t="s">
        <v>276</v>
      </c>
      <c r="BD2271" s="357" t="s">
        <v>276</v>
      </c>
      <c r="BE2271" s="357" t="s">
        <v>276</v>
      </c>
      <c r="BF2271" s="351" t="s">
        <v>1358</v>
      </c>
      <c r="BH2271" s="9" t="s">
        <v>100</v>
      </c>
      <c r="BI2271" s="9" t="s">
        <v>100</v>
      </c>
    </row>
    <row r="2272" spans="1:61" ht="52" hidden="1" x14ac:dyDescent="0.35">
      <c r="A2272" s="357">
        <v>10213</v>
      </c>
      <c r="B2272" s="357" t="s">
        <v>5259</v>
      </c>
      <c r="C2272" s="357" t="s">
        <v>88</v>
      </c>
      <c r="D2272" s="351" t="s">
        <v>5749</v>
      </c>
      <c r="E2272" s="357" t="s">
        <v>43</v>
      </c>
      <c r="F2272" s="351" t="s">
        <v>4987</v>
      </c>
      <c r="G2272" s="357" t="s">
        <v>225</v>
      </c>
      <c r="H2272" s="357" t="s">
        <v>125</v>
      </c>
      <c r="I2272" s="357" t="s">
        <v>114</v>
      </c>
      <c r="J2272" s="351" t="s">
        <v>98</v>
      </c>
      <c r="K2272" s="357" t="s">
        <v>98</v>
      </c>
      <c r="L2272" s="357" t="s">
        <v>98</v>
      </c>
      <c r="M2272" s="357" t="s">
        <v>98</v>
      </c>
      <c r="N2272" s="351" t="s">
        <v>5735</v>
      </c>
      <c r="O2272" s="357" t="s">
        <v>276</v>
      </c>
      <c r="P2272" s="351" t="s">
        <v>236</v>
      </c>
      <c r="Q2272" s="383" t="s">
        <v>5263</v>
      </c>
      <c r="R2272" s="351" t="s">
        <v>5736</v>
      </c>
      <c r="S2272" s="808" t="s">
        <v>5750</v>
      </c>
      <c r="T2272" s="808"/>
      <c r="U2272" s="360" t="s">
        <v>276</v>
      </c>
      <c r="V2272" s="357" t="s">
        <v>259</v>
      </c>
      <c r="W2272" s="351" t="s">
        <v>5139</v>
      </c>
      <c r="X2272" s="351" t="s">
        <v>207</v>
      </c>
      <c r="Y2272" s="354">
        <v>7265</v>
      </c>
      <c r="Z2272" s="354">
        <v>7250</v>
      </c>
      <c r="AA2272" s="392" t="s">
        <v>276</v>
      </c>
      <c r="AB2272" s="392" t="s">
        <v>276</v>
      </c>
      <c r="AC2272" s="357" t="s">
        <v>276</v>
      </c>
      <c r="AD2272" s="357" t="s">
        <v>5574</v>
      </c>
      <c r="AE2272" s="357" t="s">
        <v>98</v>
      </c>
      <c r="AF2272" s="357" t="s">
        <v>98</v>
      </c>
      <c r="AG2272" s="351" t="s">
        <v>5738</v>
      </c>
      <c r="AH2272" s="351" t="s">
        <v>5739</v>
      </c>
      <c r="AI2272" s="354">
        <v>197</v>
      </c>
      <c r="AJ2272" s="354" t="s">
        <v>98</v>
      </c>
      <c r="AK2272" s="354">
        <v>560</v>
      </c>
      <c r="AL2272" s="355" t="s">
        <v>98</v>
      </c>
      <c r="AM2272" s="355" t="s">
        <v>292</v>
      </c>
      <c r="AN2272" s="357" t="s">
        <v>276</v>
      </c>
      <c r="AO2272" s="386">
        <f t="shared" si="613"/>
        <v>35.178571428571431</v>
      </c>
      <c r="AP2272" s="357" t="s">
        <v>276</v>
      </c>
      <c r="AQ2272" s="357" t="s">
        <v>276</v>
      </c>
      <c r="AR2272" s="357" t="s">
        <v>276</v>
      </c>
      <c r="AS2272" s="357" t="s">
        <v>276</v>
      </c>
      <c r="AT2272" s="357" t="s">
        <v>276</v>
      </c>
      <c r="AU2272" s="357" t="s">
        <v>276</v>
      </c>
      <c r="AV2272" s="357" t="s">
        <v>276</v>
      </c>
      <c r="AW2272" s="357" t="s">
        <v>276</v>
      </c>
      <c r="AX2272" s="357" t="s">
        <v>276</v>
      </c>
      <c r="AY2272" s="357" t="s">
        <v>276</v>
      </c>
      <c r="AZ2272" s="357" t="s">
        <v>276</v>
      </c>
      <c r="BA2272" s="357" t="s">
        <v>276</v>
      </c>
      <c r="BB2272" s="357" t="s">
        <v>276</v>
      </c>
      <c r="BC2272" s="357" t="s">
        <v>276</v>
      </c>
      <c r="BD2272" s="357" t="s">
        <v>276</v>
      </c>
      <c r="BE2272" s="357" t="s">
        <v>276</v>
      </c>
      <c r="BF2272" s="351" t="s">
        <v>1358</v>
      </c>
      <c r="BH2272" s="9" t="s">
        <v>100</v>
      </c>
      <c r="BI2272" s="9" t="s">
        <v>100</v>
      </c>
    </row>
    <row r="2273" spans="1:67" ht="52" hidden="1" x14ac:dyDescent="0.35">
      <c r="A2273" s="357">
        <v>10213</v>
      </c>
      <c r="B2273" s="357" t="s">
        <v>5259</v>
      </c>
      <c r="C2273" s="357" t="s">
        <v>88</v>
      </c>
      <c r="D2273" s="351" t="s">
        <v>5751</v>
      </c>
      <c r="E2273" s="357" t="s">
        <v>43</v>
      </c>
      <c r="F2273" s="351" t="s">
        <v>4987</v>
      </c>
      <c r="G2273" s="357" t="s">
        <v>225</v>
      </c>
      <c r="H2273" s="357" t="s">
        <v>125</v>
      </c>
      <c r="I2273" s="357" t="s">
        <v>114</v>
      </c>
      <c r="J2273" s="351" t="s">
        <v>98</v>
      </c>
      <c r="K2273" s="357" t="s">
        <v>98</v>
      </c>
      <c r="L2273" s="357" t="s">
        <v>98</v>
      </c>
      <c r="M2273" s="357" t="s">
        <v>98</v>
      </c>
      <c r="N2273" s="351" t="s">
        <v>5735</v>
      </c>
      <c r="O2273" s="357" t="s">
        <v>276</v>
      </c>
      <c r="P2273" s="351" t="s">
        <v>236</v>
      </c>
      <c r="Q2273" s="383" t="s">
        <v>5263</v>
      </c>
      <c r="R2273" s="351" t="s">
        <v>5736</v>
      </c>
      <c r="S2273" s="808" t="s">
        <v>5752</v>
      </c>
      <c r="T2273" s="808"/>
      <c r="U2273" s="360" t="s">
        <v>276</v>
      </c>
      <c r="V2273" s="357" t="s">
        <v>259</v>
      </c>
      <c r="W2273" s="351" t="s">
        <v>5142</v>
      </c>
      <c r="X2273" s="351" t="s">
        <v>207</v>
      </c>
      <c r="Y2273" s="354">
        <v>1056</v>
      </c>
      <c r="Z2273" s="354">
        <v>1141</v>
      </c>
      <c r="AA2273" s="392" t="s">
        <v>276</v>
      </c>
      <c r="AB2273" s="392" t="s">
        <v>276</v>
      </c>
      <c r="AC2273" s="357" t="s">
        <v>276</v>
      </c>
      <c r="AD2273" s="357" t="s">
        <v>5574</v>
      </c>
      <c r="AE2273" s="357" t="s">
        <v>98</v>
      </c>
      <c r="AF2273" s="357" t="s">
        <v>98</v>
      </c>
      <c r="AG2273" s="351" t="s">
        <v>5738</v>
      </c>
      <c r="AH2273" s="351" t="s">
        <v>5739</v>
      </c>
      <c r="AI2273" s="354">
        <v>60</v>
      </c>
      <c r="AJ2273" s="354" t="s">
        <v>98</v>
      </c>
      <c r="AK2273" s="354">
        <v>92</v>
      </c>
      <c r="AL2273" s="355" t="s">
        <v>98</v>
      </c>
      <c r="AM2273" s="355" t="s">
        <v>292</v>
      </c>
      <c r="AN2273" s="357" t="s">
        <v>276</v>
      </c>
      <c r="AO2273" s="386">
        <f t="shared" si="613"/>
        <v>65.217391304347828</v>
      </c>
      <c r="AP2273" s="357" t="s">
        <v>276</v>
      </c>
      <c r="AQ2273" s="357" t="s">
        <v>276</v>
      </c>
      <c r="AR2273" s="357" t="s">
        <v>276</v>
      </c>
      <c r="AS2273" s="357" t="s">
        <v>276</v>
      </c>
      <c r="AT2273" s="357" t="s">
        <v>276</v>
      </c>
      <c r="AU2273" s="357" t="s">
        <v>276</v>
      </c>
      <c r="AV2273" s="357" t="s">
        <v>276</v>
      </c>
      <c r="AW2273" s="357" t="s">
        <v>276</v>
      </c>
      <c r="AX2273" s="357" t="s">
        <v>276</v>
      </c>
      <c r="AY2273" s="357" t="s">
        <v>276</v>
      </c>
      <c r="AZ2273" s="357" t="s">
        <v>276</v>
      </c>
      <c r="BA2273" s="357" t="s">
        <v>276</v>
      </c>
      <c r="BB2273" s="357" t="s">
        <v>276</v>
      </c>
      <c r="BC2273" s="357" t="s">
        <v>276</v>
      </c>
      <c r="BD2273" s="357" t="s">
        <v>276</v>
      </c>
      <c r="BE2273" s="357" t="s">
        <v>276</v>
      </c>
      <c r="BF2273" s="351" t="s">
        <v>1358</v>
      </c>
      <c r="BH2273" s="9" t="s">
        <v>100</v>
      </c>
      <c r="BI2273" s="9" t="s">
        <v>100</v>
      </c>
    </row>
    <row r="2274" spans="1:67" ht="52" hidden="1" x14ac:dyDescent="0.35">
      <c r="A2274" s="357">
        <v>10213</v>
      </c>
      <c r="B2274" s="357" t="s">
        <v>5259</v>
      </c>
      <c r="C2274" s="357" t="s">
        <v>88</v>
      </c>
      <c r="D2274" s="351" t="s">
        <v>5753</v>
      </c>
      <c r="E2274" s="357" t="s">
        <v>43</v>
      </c>
      <c r="F2274" s="351" t="s">
        <v>4987</v>
      </c>
      <c r="G2274" s="357" t="s">
        <v>225</v>
      </c>
      <c r="H2274" s="357" t="s">
        <v>125</v>
      </c>
      <c r="I2274" s="357" t="s">
        <v>114</v>
      </c>
      <c r="J2274" s="351" t="s">
        <v>98</v>
      </c>
      <c r="K2274" s="357" t="s">
        <v>98</v>
      </c>
      <c r="L2274" s="357" t="s">
        <v>98</v>
      </c>
      <c r="M2274" s="357" t="s">
        <v>98</v>
      </c>
      <c r="N2274" s="351" t="s">
        <v>5735</v>
      </c>
      <c r="O2274" s="357" t="s">
        <v>276</v>
      </c>
      <c r="P2274" s="351" t="s">
        <v>236</v>
      </c>
      <c r="Q2274" s="383" t="s">
        <v>5263</v>
      </c>
      <c r="R2274" s="351" t="s">
        <v>5736</v>
      </c>
      <c r="S2274" s="808" t="s">
        <v>5745</v>
      </c>
      <c r="T2274" s="808"/>
      <c r="U2274" s="360" t="s">
        <v>276</v>
      </c>
      <c r="V2274" s="357" t="s">
        <v>259</v>
      </c>
      <c r="W2274" s="351" t="s">
        <v>5145</v>
      </c>
      <c r="X2274" s="351" t="s">
        <v>207</v>
      </c>
      <c r="Y2274" s="354">
        <v>4948</v>
      </c>
      <c r="Z2274" s="354">
        <v>4955</v>
      </c>
      <c r="AA2274" s="392" t="s">
        <v>276</v>
      </c>
      <c r="AB2274" s="392" t="s">
        <v>276</v>
      </c>
      <c r="AC2274" s="357" t="s">
        <v>276</v>
      </c>
      <c r="AD2274" s="357" t="s">
        <v>5574</v>
      </c>
      <c r="AE2274" s="357" t="s">
        <v>98</v>
      </c>
      <c r="AF2274" s="357" t="s">
        <v>98</v>
      </c>
      <c r="AG2274" s="351" t="s">
        <v>5738</v>
      </c>
      <c r="AH2274" s="351" t="s">
        <v>5739</v>
      </c>
      <c r="AI2274" s="354">
        <v>436</v>
      </c>
      <c r="AJ2274" s="354" t="s">
        <v>98</v>
      </c>
      <c r="AK2274" s="354">
        <v>620</v>
      </c>
      <c r="AL2274" s="355" t="s">
        <v>98</v>
      </c>
      <c r="AM2274" s="355" t="s">
        <v>292</v>
      </c>
      <c r="AN2274" s="357" t="s">
        <v>276</v>
      </c>
      <c r="AO2274" s="386">
        <f t="shared" si="613"/>
        <v>70.322580645161295</v>
      </c>
      <c r="AP2274" s="357" t="s">
        <v>276</v>
      </c>
      <c r="AQ2274" s="357" t="s">
        <v>276</v>
      </c>
      <c r="AR2274" s="357" t="s">
        <v>276</v>
      </c>
      <c r="AS2274" s="357" t="s">
        <v>276</v>
      </c>
      <c r="AT2274" s="357" t="s">
        <v>276</v>
      </c>
      <c r="AU2274" s="357" t="s">
        <v>276</v>
      </c>
      <c r="AV2274" s="357" t="s">
        <v>276</v>
      </c>
      <c r="AW2274" s="357" t="s">
        <v>276</v>
      </c>
      <c r="AX2274" s="357" t="s">
        <v>276</v>
      </c>
      <c r="AY2274" s="357" t="s">
        <v>276</v>
      </c>
      <c r="AZ2274" s="357" t="s">
        <v>276</v>
      </c>
      <c r="BA2274" s="357" t="s">
        <v>276</v>
      </c>
      <c r="BB2274" s="357" t="s">
        <v>276</v>
      </c>
      <c r="BC2274" s="357" t="s">
        <v>276</v>
      </c>
      <c r="BD2274" s="357" t="s">
        <v>276</v>
      </c>
      <c r="BE2274" s="357" t="s">
        <v>276</v>
      </c>
      <c r="BF2274" s="351" t="s">
        <v>1358</v>
      </c>
      <c r="BH2274" s="9" t="s">
        <v>100</v>
      </c>
      <c r="BI2274" s="9" t="s">
        <v>100</v>
      </c>
    </row>
    <row r="2275" spans="1:67" s="394" customFormat="1" ht="52" hidden="1" x14ac:dyDescent="0.35">
      <c r="A2275" s="357">
        <v>10213</v>
      </c>
      <c r="B2275" s="357" t="s">
        <v>5259</v>
      </c>
      <c r="C2275" s="357" t="s">
        <v>88</v>
      </c>
      <c r="D2275" s="351" t="s">
        <v>5754</v>
      </c>
      <c r="E2275" s="357" t="s">
        <v>43</v>
      </c>
      <c r="F2275" s="351" t="s">
        <v>4987</v>
      </c>
      <c r="G2275" s="357" t="s">
        <v>225</v>
      </c>
      <c r="H2275" s="357" t="s">
        <v>125</v>
      </c>
      <c r="I2275" s="357" t="s">
        <v>114</v>
      </c>
      <c r="J2275" s="351" t="s">
        <v>98</v>
      </c>
      <c r="K2275" s="357" t="s">
        <v>98</v>
      </c>
      <c r="L2275" s="357" t="s">
        <v>98</v>
      </c>
      <c r="M2275" s="357" t="s">
        <v>98</v>
      </c>
      <c r="N2275" s="351" t="s">
        <v>5735</v>
      </c>
      <c r="O2275" s="357" t="s">
        <v>276</v>
      </c>
      <c r="P2275" s="351" t="s">
        <v>236</v>
      </c>
      <c r="Q2275" s="383" t="s">
        <v>5263</v>
      </c>
      <c r="R2275" s="351" t="s">
        <v>5736</v>
      </c>
      <c r="S2275" s="808" t="s">
        <v>5755</v>
      </c>
      <c r="T2275" s="808"/>
      <c r="U2275" s="360" t="s">
        <v>276</v>
      </c>
      <c r="V2275" s="357" t="s">
        <v>259</v>
      </c>
      <c r="W2275" s="351" t="s">
        <v>5651</v>
      </c>
      <c r="X2275" s="351" t="s">
        <v>207</v>
      </c>
      <c r="Y2275" s="354">
        <v>28784</v>
      </c>
      <c r="Z2275" s="354">
        <v>28859</v>
      </c>
      <c r="AA2275" s="392" t="s">
        <v>276</v>
      </c>
      <c r="AB2275" s="392" t="s">
        <v>276</v>
      </c>
      <c r="AC2275" s="357" t="s">
        <v>276</v>
      </c>
      <c r="AD2275" s="357" t="s">
        <v>5574</v>
      </c>
      <c r="AE2275" s="357" t="s">
        <v>98</v>
      </c>
      <c r="AF2275" s="357" t="s">
        <v>98</v>
      </c>
      <c r="AG2275" s="351" t="s">
        <v>5738</v>
      </c>
      <c r="AH2275" s="351" t="s">
        <v>5739</v>
      </c>
      <c r="AI2275" s="354">
        <v>229</v>
      </c>
      <c r="AJ2275" s="354" t="s">
        <v>98</v>
      </c>
      <c r="AK2275" s="354">
        <v>1718</v>
      </c>
      <c r="AL2275" s="355" t="s">
        <v>98</v>
      </c>
      <c r="AM2275" s="355" t="s">
        <v>292</v>
      </c>
      <c r="AN2275" s="357" t="s">
        <v>276</v>
      </c>
      <c r="AO2275" s="386">
        <f t="shared" si="613"/>
        <v>13.329452852153667</v>
      </c>
      <c r="AP2275" s="357" t="s">
        <v>276</v>
      </c>
      <c r="AQ2275" s="357" t="s">
        <v>276</v>
      </c>
      <c r="AR2275" s="357" t="s">
        <v>276</v>
      </c>
      <c r="AS2275" s="357" t="s">
        <v>276</v>
      </c>
      <c r="AT2275" s="357" t="s">
        <v>276</v>
      </c>
      <c r="AU2275" s="357" t="s">
        <v>276</v>
      </c>
      <c r="AV2275" s="357" t="s">
        <v>276</v>
      </c>
      <c r="AW2275" s="357" t="s">
        <v>276</v>
      </c>
      <c r="AX2275" s="357" t="s">
        <v>276</v>
      </c>
      <c r="AY2275" s="357" t="s">
        <v>276</v>
      </c>
      <c r="AZ2275" s="357" t="s">
        <v>276</v>
      </c>
      <c r="BA2275" s="357" t="s">
        <v>276</v>
      </c>
      <c r="BB2275" s="357" t="s">
        <v>276</v>
      </c>
      <c r="BC2275" s="357" t="s">
        <v>276</v>
      </c>
      <c r="BD2275" s="357" t="s">
        <v>276</v>
      </c>
      <c r="BE2275" s="357" t="s">
        <v>276</v>
      </c>
      <c r="BF2275" s="351" t="s">
        <v>1358</v>
      </c>
      <c r="BG2275" s="393"/>
      <c r="BH2275" s="9" t="s">
        <v>100</v>
      </c>
      <c r="BI2275" s="9" t="s">
        <v>100</v>
      </c>
    </row>
    <row r="2276" spans="1:67" s="394" customFormat="1" ht="52" hidden="1" x14ac:dyDescent="0.35">
      <c r="A2276" s="357">
        <v>10213</v>
      </c>
      <c r="B2276" s="357" t="s">
        <v>5259</v>
      </c>
      <c r="C2276" s="357" t="s">
        <v>88</v>
      </c>
      <c r="D2276" s="351" t="s">
        <v>5756</v>
      </c>
      <c r="E2276" s="357" t="s">
        <v>43</v>
      </c>
      <c r="F2276" s="351" t="s">
        <v>4987</v>
      </c>
      <c r="G2276" s="357" t="s">
        <v>225</v>
      </c>
      <c r="H2276" s="357" t="s">
        <v>125</v>
      </c>
      <c r="I2276" s="357" t="s">
        <v>114</v>
      </c>
      <c r="J2276" s="351" t="s">
        <v>98</v>
      </c>
      <c r="K2276" s="357" t="s">
        <v>98</v>
      </c>
      <c r="L2276" s="357" t="s">
        <v>98</v>
      </c>
      <c r="M2276" s="357" t="s">
        <v>98</v>
      </c>
      <c r="N2276" s="351" t="s">
        <v>5735</v>
      </c>
      <c r="O2276" s="357" t="s">
        <v>276</v>
      </c>
      <c r="P2276" s="351" t="s">
        <v>236</v>
      </c>
      <c r="Q2276" s="383" t="s">
        <v>5263</v>
      </c>
      <c r="R2276" s="351" t="s">
        <v>5736</v>
      </c>
      <c r="S2276" s="808" t="s">
        <v>5757</v>
      </c>
      <c r="T2276" s="808"/>
      <c r="U2276" s="360" t="s">
        <v>276</v>
      </c>
      <c r="V2276" s="357" t="s">
        <v>259</v>
      </c>
      <c r="W2276" s="351" t="s">
        <v>5653</v>
      </c>
      <c r="X2276" s="351" t="s">
        <v>207</v>
      </c>
      <c r="Y2276" s="354">
        <v>10879</v>
      </c>
      <c r="Z2276" s="354">
        <v>10471</v>
      </c>
      <c r="AA2276" s="392" t="s">
        <v>276</v>
      </c>
      <c r="AB2276" s="392" t="s">
        <v>276</v>
      </c>
      <c r="AC2276" s="357" t="s">
        <v>276</v>
      </c>
      <c r="AD2276" s="357" t="s">
        <v>5574</v>
      </c>
      <c r="AE2276" s="357" t="s">
        <v>98</v>
      </c>
      <c r="AF2276" s="357" t="s">
        <v>98</v>
      </c>
      <c r="AG2276" s="351" t="s">
        <v>5738</v>
      </c>
      <c r="AH2276" s="351" t="s">
        <v>5739</v>
      </c>
      <c r="AI2276" s="354">
        <v>128</v>
      </c>
      <c r="AJ2276" s="354" t="s">
        <v>98</v>
      </c>
      <c r="AK2276" s="354">
        <v>747</v>
      </c>
      <c r="AL2276" s="355" t="s">
        <v>98</v>
      </c>
      <c r="AM2276" s="355" t="s">
        <v>292</v>
      </c>
      <c r="AN2276" s="357" t="s">
        <v>276</v>
      </c>
      <c r="AO2276" s="386">
        <f t="shared" si="613"/>
        <v>17.13520749665328</v>
      </c>
      <c r="AP2276" s="357" t="s">
        <v>276</v>
      </c>
      <c r="AQ2276" s="357" t="s">
        <v>276</v>
      </c>
      <c r="AR2276" s="357" t="s">
        <v>276</v>
      </c>
      <c r="AS2276" s="357" t="s">
        <v>276</v>
      </c>
      <c r="AT2276" s="357" t="s">
        <v>276</v>
      </c>
      <c r="AU2276" s="357" t="s">
        <v>276</v>
      </c>
      <c r="AV2276" s="357" t="s">
        <v>276</v>
      </c>
      <c r="AW2276" s="357" t="s">
        <v>276</v>
      </c>
      <c r="AX2276" s="357" t="s">
        <v>276</v>
      </c>
      <c r="AY2276" s="357" t="s">
        <v>276</v>
      </c>
      <c r="AZ2276" s="357" t="s">
        <v>276</v>
      </c>
      <c r="BA2276" s="357" t="s">
        <v>276</v>
      </c>
      <c r="BB2276" s="357" t="s">
        <v>276</v>
      </c>
      <c r="BC2276" s="357" t="s">
        <v>276</v>
      </c>
      <c r="BD2276" s="357" t="s">
        <v>276</v>
      </c>
      <c r="BE2276" s="357" t="s">
        <v>276</v>
      </c>
      <c r="BF2276" s="351" t="s">
        <v>1358</v>
      </c>
      <c r="BG2276" s="393"/>
      <c r="BH2276" s="9" t="s">
        <v>100</v>
      </c>
      <c r="BI2276" s="9" t="s">
        <v>100</v>
      </c>
    </row>
    <row r="2277" spans="1:67" s="394" customFormat="1" ht="52" hidden="1" x14ac:dyDescent="0.35">
      <c r="A2277" s="357">
        <v>10213</v>
      </c>
      <c r="B2277" s="357" t="s">
        <v>5259</v>
      </c>
      <c r="C2277" s="357" t="s">
        <v>88</v>
      </c>
      <c r="D2277" s="351" t="s">
        <v>5758</v>
      </c>
      <c r="E2277" s="357" t="s">
        <v>43</v>
      </c>
      <c r="F2277" s="351" t="s">
        <v>4987</v>
      </c>
      <c r="G2277" s="357" t="s">
        <v>225</v>
      </c>
      <c r="H2277" s="357" t="s">
        <v>125</v>
      </c>
      <c r="I2277" s="357" t="s">
        <v>114</v>
      </c>
      <c r="J2277" s="351" t="s">
        <v>98</v>
      </c>
      <c r="K2277" s="357" t="s">
        <v>98</v>
      </c>
      <c r="L2277" s="357" t="s">
        <v>98</v>
      </c>
      <c r="M2277" s="357" t="s">
        <v>98</v>
      </c>
      <c r="N2277" s="351" t="s">
        <v>5735</v>
      </c>
      <c r="O2277" s="357" t="s">
        <v>276</v>
      </c>
      <c r="P2277" s="351" t="s">
        <v>238</v>
      </c>
      <c r="Q2277" s="383" t="s">
        <v>5263</v>
      </c>
      <c r="R2277" s="351" t="s">
        <v>5736</v>
      </c>
      <c r="S2277" s="808" t="s">
        <v>5737</v>
      </c>
      <c r="T2277" s="808"/>
      <c r="U2277" s="360" t="s">
        <v>276</v>
      </c>
      <c r="V2277" s="357" t="s">
        <v>15</v>
      </c>
      <c r="W2277" s="357" t="s">
        <v>5640</v>
      </c>
      <c r="X2277" s="351" t="s">
        <v>207</v>
      </c>
      <c r="Y2277" s="354">
        <v>112553</v>
      </c>
      <c r="Z2277" s="354">
        <v>128681</v>
      </c>
      <c r="AA2277" s="392" t="s">
        <v>276</v>
      </c>
      <c r="AB2277" s="392" t="s">
        <v>276</v>
      </c>
      <c r="AC2277" s="357" t="s">
        <v>276</v>
      </c>
      <c r="AD2277" s="357" t="s">
        <v>5574</v>
      </c>
      <c r="AE2277" s="357" t="s">
        <v>98</v>
      </c>
      <c r="AF2277" s="357" t="s">
        <v>98</v>
      </c>
      <c r="AG2277" s="351" t="s">
        <v>5738</v>
      </c>
      <c r="AH2277" s="351" t="s">
        <v>5596</v>
      </c>
      <c r="AI2277" s="354">
        <v>5314</v>
      </c>
      <c r="AJ2277" s="354" t="s">
        <v>98</v>
      </c>
      <c r="AK2277" s="354">
        <v>112553</v>
      </c>
      <c r="AL2277" s="355" t="s">
        <v>98</v>
      </c>
      <c r="AM2277" s="355" t="s">
        <v>690</v>
      </c>
      <c r="AN2277" s="357" t="s">
        <v>276</v>
      </c>
      <c r="AO2277" s="386">
        <f>AI2277*1000/AK2277</f>
        <v>47.213312839284605</v>
      </c>
      <c r="AP2277" s="357" t="s">
        <v>276</v>
      </c>
      <c r="AQ2277" s="357" t="s">
        <v>276</v>
      </c>
      <c r="AR2277" s="357" t="s">
        <v>276</v>
      </c>
      <c r="AS2277" s="357" t="s">
        <v>276</v>
      </c>
      <c r="AT2277" s="357" t="s">
        <v>276</v>
      </c>
      <c r="AU2277" s="357" t="s">
        <v>276</v>
      </c>
      <c r="AV2277" s="357" t="s">
        <v>276</v>
      </c>
      <c r="AW2277" s="357" t="s">
        <v>276</v>
      </c>
      <c r="AX2277" s="357" t="s">
        <v>276</v>
      </c>
      <c r="AY2277" s="357" t="s">
        <v>276</v>
      </c>
      <c r="AZ2277" s="357" t="s">
        <v>276</v>
      </c>
      <c r="BA2277" s="357" t="s">
        <v>276</v>
      </c>
      <c r="BB2277" s="357" t="s">
        <v>276</v>
      </c>
      <c r="BC2277" s="357" t="s">
        <v>276</v>
      </c>
      <c r="BD2277" s="357" t="s">
        <v>276</v>
      </c>
      <c r="BE2277" s="357" t="s">
        <v>276</v>
      </c>
      <c r="BF2277" s="351" t="s">
        <v>1358</v>
      </c>
      <c r="BG2277" s="393"/>
      <c r="BH2277" s="9" t="s">
        <v>100</v>
      </c>
      <c r="BI2277" s="9" t="s">
        <v>100</v>
      </c>
    </row>
    <row r="2278" spans="1:67" s="394" customFormat="1" ht="52" hidden="1" x14ac:dyDescent="0.35">
      <c r="A2278" s="357">
        <v>10213</v>
      </c>
      <c r="B2278" s="357" t="s">
        <v>5259</v>
      </c>
      <c r="C2278" s="357" t="s">
        <v>88</v>
      </c>
      <c r="D2278" s="351" t="s">
        <v>5759</v>
      </c>
      <c r="E2278" s="357" t="s">
        <v>43</v>
      </c>
      <c r="F2278" s="351" t="s">
        <v>4987</v>
      </c>
      <c r="G2278" s="357" t="s">
        <v>225</v>
      </c>
      <c r="H2278" s="357" t="s">
        <v>125</v>
      </c>
      <c r="I2278" s="357" t="s">
        <v>114</v>
      </c>
      <c r="J2278" s="351" t="s">
        <v>98</v>
      </c>
      <c r="K2278" s="357" t="s">
        <v>98</v>
      </c>
      <c r="L2278" s="357" t="s">
        <v>98</v>
      </c>
      <c r="M2278" s="357" t="s">
        <v>98</v>
      </c>
      <c r="N2278" s="351" t="s">
        <v>5735</v>
      </c>
      <c r="O2278" s="357" t="s">
        <v>276</v>
      </c>
      <c r="P2278" s="351" t="s">
        <v>238</v>
      </c>
      <c r="Q2278" s="383" t="s">
        <v>5263</v>
      </c>
      <c r="R2278" s="351" t="s">
        <v>5736</v>
      </c>
      <c r="S2278" s="808" t="s">
        <v>5741</v>
      </c>
      <c r="T2278" s="808"/>
      <c r="U2278" s="360" t="s">
        <v>276</v>
      </c>
      <c r="V2278" s="357" t="s">
        <v>259</v>
      </c>
      <c r="W2278" s="351" t="s">
        <v>4990</v>
      </c>
      <c r="X2278" s="351" t="s">
        <v>209</v>
      </c>
      <c r="Y2278" s="354">
        <v>72890</v>
      </c>
      <c r="Z2278" s="354">
        <v>89351</v>
      </c>
      <c r="AA2278" s="392" t="s">
        <v>276</v>
      </c>
      <c r="AB2278" s="392" t="s">
        <v>276</v>
      </c>
      <c r="AC2278" s="357" t="s">
        <v>276</v>
      </c>
      <c r="AD2278" s="357" t="s">
        <v>5574</v>
      </c>
      <c r="AE2278" s="357" t="s">
        <v>98</v>
      </c>
      <c r="AF2278" s="357" t="s">
        <v>98</v>
      </c>
      <c r="AG2278" s="351" t="s">
        <v>5738</v>
      </c>
      <c r="AH2278" s="351" t="s">
        <v>5596</v>
      </c>
      <c r="AI2278" s="354">
        <v>4957</v>
      </c>
      <c r="AJ2278" s="354" t="s">
        <v>98</v>
      </c>
      <c r="AK2278" s="354">
        <v>72890</v>
      </c>
      <c r="AL2278" s="355" t="s">
        <v>98</v>
      </c>
      <c r="AM2278" s="355" t="s">
        <v>690</v>
      </c>
      <c r="AN2278" s="357" t="s">
        <v>276</v>
      </c>
      <c r="AO2278" s="382">
        <f t="shared" ref="AO2278:AO2287" si="614">AI2278*1000/AK2278</f>
        <v>68.006585265468516</v>
      </c>
      <c r="AP2278" s="357" t="s">
        <v>276</v>
      </c>
      <c r="AQ2278" s="357" t="s">
        <v>276</v>
      </c>
      <c r="AR2278" s="357" t="s">
        <v>276</v>
      </c>
      <c r="AS2278" s="357" t="s">
        <v>276</v>
      </c>
      <c r="AT2278" s="357" t="s">
        <v>276</v>
      </c>
      <c r="AU2278" s="357" t="s">
        <v>276</v>
      </c>
      <c r="AV2278" s="357" t="s">
        <v>276</v>
      </c>
      <c r="AW2278" s="357" t="s">
        <v>276</v>
      </c>
      <c r="AX2278" s="357" t="s">
        <v>276</v>
      </c>
      <c r="AY2278" s="357" t="s">
        <v>276</v>
      </c>
      <c r="AZ2278" s="357" t="s">
        <v>276</v>
      </c>
      <c r="BA2278" s="357" t="s">
        <v>276</v>
      </c>
      <c r="BB2278" s="357" t="s">
        <v>276</v>
      </c>
      <c r="BC2278" s="357" t="s">
        <v>276</v>
      </c>
      <c r="BD2278" s="357" t="s">
        <v>276</v>
      </c>
      <c r="BE2278" s="357" t="s">
        <v>276</v>
      </c>
      <c r="BF2278" s="351" t="s">
        <v>1358</v>
      </c>
      <c r="BG2278" s="393"/>
      <c r="BH2278" s="9" t="s">
        <v>100</v>
      </c>
      <c r="BI2278" s="9" t="s">
        <v>100</v>
      </c>
    </row>
    <row r="2279" spans="1:67" s="394" customFormat="1" ht="52" hidden="1" x14ac:dyDescent="0.35">
      <c r="A2279" s="357">
        <v>10213</v>
      </c>
      <c r="B2279" s="357" t="s">
        <v>5259</v>
      </c>
      <c r="C2279" s="357" t="s">
        <v>88</v>
      </c>
      <c r="D2279" s="351" t="s">
        <v>5760</v>
      </c>
      <c r="E2279" s="357" t="s">
        <v>43</v>
      </c>
      <c r="F2279" s="351" t="s">
        <v>4987</v>
      </c>
      <c r="G2279" s="357" t="s">
        <v>225</v>
      </c>
      <c r="H2279" s="357" t="s">
        <v>125</v>
      </c>
      <c r="I2279" s="357" t="s">
        <v>114</v>
      </c>
      <c r="J2279" s="351" t="s">
        <v>98</v>
      </c>
      <c r="K2279" s="357" t="s">
        <v>98</v>
      </c>
      <c r="L2279" s="357" t="s">
        <v>98</v>
      </c>
      <c r="M2279" s="357" t="s">
        <v>98</v>
      </c>
      <c r="N2279" s="351" t="s">
        <v>5735</v>
      </c>
      <c r="O2279" s="357" t="s">
        <v>276</v>
      </c>
      <c r="P2279" s="351" t="s">
        <v>238</v>
      </c>
      <c r="Q2279" s="383" t="s">
        <v>5263</v>
      </c>
      <c r="R2279" s="351" t="s">
        <v>5736</v>
      </c>
      <c r="S2279" s="808" t="s">
        <v>5743</v>
      </c>
      <c r="T2279" s="808"/>
      <c r="U2279" s="360" t="s">
        <v>276</v>
      </c>
      <c r="V2279" s="357" t="s">
        <v>259</v>
      </c>
      <c r="W2279" s="351" t="s">
        <v>5072</v>
      </c>
      <c r="X2279" s="351" t="s">
        <v>207</v>
      </c>
      <c r="Y2279" s="354">
        <v>17443</v>
      </c>
      <c r="Z2279" s="354">
        <v>17390</v>
      </c>
      <c r="AA2279" s="392" t="s">
        <v>276</v>
      </c>
      <c r="AB2279" s="392" t="s">
        <v>276</v>
      </c>
      <c r="AC2279" s="357" t="s">
        <v>276</v>
      </c>
      <c r="AD2279" s="357" t="s">
        <v>5574</v>
      </c>
      <c r="AE2279" s="357" t="s">
        <v>98</v>
      </c>
      <c r="AF2279" s="357" t="s">
        <v>98</v>
      </c>
      <c r="AG2279" s="351" t="s">
        <v>5738</v>
      </c>
      <c r="AH2279" s="351" t="s">
        <v>5596</v>
      </c>
      <c r="AI2279" s="354">
        <v>1868</v>
      </c>
      <c r="AJ2279" s="354" t="s">
        <v>98</v>
      </c>
      <c r="AK2279" s="354">
        <v>17443</v>
      </c>
      <c r="AL2279" s="355" t="s">
        <v>98</v>
      </c>
      <c r="AM2279" s="355" t="s">
        <v>690</v>
      </c>
      <c r="AN2279" s="357" t="s">
        <v>276</v>
      </c>
      <c r="AO2279" s="386">
        <f t="shared" si="614"/>
        <v>107.09167001089263</v>
      </c>
      <c r="AP2279" s="357" t="s">
        <v>276</v>
      </c>
      <c r="AQ2279" s="357" t="s">
        <v>276</v>
      </c>
      <c r="AR2279" s="357" t="s">
        <v>276</v>
      </c>
      <c r="AS2279" s="357" t="s">
        <v>276</v>
      </c>
      <c r="AT2279" s="357" t="s">
        <v>276</v>
      </c>
      <c r="AU2279" s="357" t="s">
        <v>276</v>
      </c>
      <c r="AV2279" s="357" t="s">
        <v>276</v>
      </c>
      <c r="AW2279" s="357" t="s">
        <v>276</v>
      </c>
      <c r="AX2279" s="357" t="s">
        <v>276</v>
      </c>
      <c r="AY2279" s="357" t="s">
        <v>276</v>
      </c>
      <c r="AZ2279" s="357" t="s">
        <v>276</v>
      </c>
      <c r="BA2279" s="357" t="s">
        <v>276</v>
      </c>
      <c r="BB2279" s="357" t="s">
        <v>276</v>
      </c>
      <c r="BC2279" s="357" t="s">
        <v>276</v>
      </c>
      <c r="BD2279" s="357" t="s">
        <v>276</v>
      </c>
      <c r="BE2279" s="357" t="s">
        <v>276</v>
      </c>
      <c r="BF2279" s="351" t="s">
        <v>1358</v>
      </c>
      <c r="BG2279" s="393"/>
      <c r="BH2279" s="9" t="s">
        <v>100</v>
      </c>
      <c r="BI2279" s="9" t="s">
        <v>100</v>
      </c>
    </row>
    <row r="2280" spans="1:67" s="394" customFormat="1" ht="52" hidden="1" x14ac:dyDescent="0.35">
      <c r="A2280" s="357">
        <v>10213</v>
      </c>
      <c r="B2280" s="357" t="s">
        <v>5259</v>
      </c>
      <c r="C2280" s="357" t="s">
        <v>88</v>
      </c>
      <c r="D2280" s="351" t="s">
        <v>5761</v>
      </c>
      <c r="E2280" s="357" t="s">
        <v>43</v>
      </c>
      <c r="F2280" s="351" t="s">
        <v>4987</v>
      </c>
      <c r="G2280" s="357" t="s">
        <v>225</v>
      </c>
      <c r="H2280" s="357" t="s">
        <v>125</v>
      </c>
      <c r="I2280" s="357" t="s">
        <v>114</v>
      </c>
      <c r="J2280" s="351" t="s">
        <v>98</v>
      </c>
      <c r="K2280" s="357" t="s">
        <v>98</v>
      </c>
      <c r="L2280" s="357" t="s">
        <v>98</v>
      </c>
      <c r="M2280" s="357" t="s">
        <v>98</v>
      </c>
      <c r="N2280" s="351" t="s">
        <v>5735</v>
      </c>
      <c r="O2280" s="357" t="s">
        <v>276</v>
      </c>
      <c r="P2280" s="351" t="s">
        <v>238</v>
      </c>
      <c r="Q2280" s="383" t="s">
        <v>5263</v>
      </c>
      <c r="R2280" s="351" t="s">
        <v>5736</v>
      </c>
      <c r="S2280" s="808" t="s">
        <v>5745</v>
      </c>
      <c r="T2280" s="808"/>
      <c r="U2280" s="360" t="s">
        <v>276</v>
      </c>
      <c r="V2280" s="357" t="s">
        <v>259</v>
      </c>
      <c r="W2280" s="351" t="s">
        <v>5130</v>
      </c>
      <c r="X2280" s="351" t="s">
        <v>207</v>
      </c>
      <c r="Y2280" s="354">
        <v>4307</v>
      </c>
      <c r="Z2280" s="354">
        <v>4255</v>
      </c>
      <c r="AA2280" s="392" t="s">
        <v>276</v>
      </c>
      <c r="AB2280" s="392" t="s">
        <v>276</v>
      </c>
      <c r="AC2280" s="357" t="s">
        <v>276</v>
      </c>
      <c r="AD2280" s="357" t="s">
        <v>5574</v>
      </c>
      <c r="AE2280" s="357" t="s">
        <v>98</v>
      </c>
      <c r="AF2280" s="357" t="s">
        <v>98</v>
      </c>
      <c r="AG2280" s="351" t="s">
        <v>5738</v>
      </c>
      <c r="AH2280" s="351" t="s">
        <v>5596</v>
      </c>
      <c r="AI2280" s="354">
        <v>188</v>
      </c>
      <c r="AJ2280" s="354" t="s">
        <v>98</v>
      </c>
      <c r="AK2280" s="354">
        <v>4307</v>
      </c>
      <c r="AL2280" s="355" t="s">
        <v>98</v>
      </c>
      <c r="AM2280" s="355" t="s">
        <v>690</v>
      </c>
      <c r="AN2280" s="357" t="s">
        <v>276</v>
      </c>
      <c r="AO2280" s="386">
        <f t="shared" si="614"/>
        <v>43.6498723009055</v>
      </c>
      <c r="AP2280" s="357" t="s">
        <v>276</v>
      </c>
      <c r="AQ2280" s="357" t="s">
        <v>276</v>
      </c>
      <c r="AR2280" s="357" t="s">
        <v>276</v>
      </c>
      <c r="AS2280" s="357" t="s">
        <v>276</v>
      </c>
      <c r="AT2280" s="357" t="s">
        <v>276</v>
      </c>
      <c r="AU2280" s="357" t="s">
        <v>276</v>
      </c>
      <c r="AV2280" s="357" t="s">
        <v>276</v>
      </c>
      <c r="AW2280" s="357" t="s">
        <v>276</v>
      </c>
      <c r="AX2280" s="357" t="s">
        <v>276</v>
      </c>
      <c r="AY2280" s="357" t="s">
        <v>276</v>
      </c>
      <c r="AZ2280" s="357" t="s">
        <v>276</v>
      </c>
      <c r="BA2280" s="357" t="s">
        <v>276</v>
      </c>
      <c r="BB2280" s="357" t="s">
        <v>276</v>
      </c>
      <c r="BC2280" s="357" t="s">
        <v>276</v>
      </c>
      <c r="BD2280" s="357" t="s">
        <v>276</v>
      </c>
      <c r="BE2280" s="357" t="s">
        <v>276</v>
      </c>
      <c r="BF2280" s="351" t="s">
        <v>1358</v>
      </c>
      <c r="BG2280" s="393"/>
      <c r="BH2280" s="9" t="s">
        <v>100</v>
      </c>
      <c r="BI2280" s="9" t="s">
        <v>100</v>
      </c>
    </row>
    <row r="2281" spans="1:67" s="394" customFormat="1" ht="52" hidden="1" x14ac:dyDescent="0.35">
      <c r="A2281" s="357">
        <v>10213</v>
      </c>
      <c r="B2281" s="357" t="s">
        <v>5259</v>
      </c>
      <c r="C2281" s="357" t="s">
        <v>88</v>
      </c>
      <c r="D2281" s="351" t="s">
        <v>5762</v>
      </c>
      <c r="E2281" s="357" t="s">
        <v>43</v>
      </c>
      <c r="F2281" s="351" t="s">
        <v>4987</v>
      </c>
      <c r="G2281" s="357" t="s">
        <v>225</v>
      </c>
      <c r="H2281" s="357" t="s">
        <v>125</v>
      </c>
      <c r="I2281" s="357" t="s">
        <v>114</v>
      </c>
      <c r="J2281" s="351" t="s">
        <v>98</v>
      </c>
      <c r="K2281" s="357" t="s">
        <v>98</v>
      </c>
      <c r="L2281" s="357" t="s">
        <v>98</v>
      </c>
      <c r="M2281" s="357" t="s">
        <v>98</v>
      </c>
      <c r="N2281" s="351" t="s">
        <v>5735</v>
      </c>
      <c r="O2281" s="357" t="s">
        <v>276</v>
      </c>
      <c r="P2281" s="351" t="s">
        <v>238</v>
      </c>
      <c r="Q2281" s="383" t="s">
        <v>5263</v>
      </c>
      <c r="R2281" s="351" t="s">
        <v>5736</v>
      </c>
      <c r="S2281" s="808" t="s">
        <v>5747</v>
      </c>
      <c r="T2281" s="808"/>
      <c r="U2281" s="360" t="s">
        <v>276</v>
      </c>
      <c r="V2281" s="357" t="s">
        <v>259</v>
      </c>
      <c r="W2281" s="351" t="s">
        <v>5133</v>
      </c>
      <c r="X2281" s="351" t="s">
        <v>207</v>
      </c>
      <c r="Y2281" s="354">
        <v>5901</v>
      </c>
      <c r="Z2281" s="354">
        <v>5951</v>
      </c>
      <c r="AA2281" s="392" t="s">
        <v>276</v>
      </c>
      <c r="AB2281" s="392" t="s">
        <v>276</v>
      </c>
      <c r="AC2281" s="357" t="s">
        <v>276</v>
      </c>
      <c r="AD2281" s="357" t="s">
        <v>5574</v>
      </c>
      <c r="AE2281" s="357" t="s">
        <v>98</v>
      </c>
      <c r="AF2281" s="357" t="s">
        <v>98</v>
      </c>
      <c r="AG2281" s="351" t="s">
        <v>5738</v>
      </c>
      <c r="AH2281" s="351" t="s">
        <v>5596</v>
      </c>
      <c r="AI2281" s="354">
        <v>576</v>
      </c>
      <c r="AJ2281" s="354" t="s">
        <v>98</v>
      </c>
      <c r="AK2281" s="354">
        <v>5901</v>
      </c>
      <c r="AL2281" s="355" t="s">
        <v>98</v>
      </c>
      <c r="AM2281" s="355" t="s">
        <v>690</v>
      </c>
      <c r="AN2281" s="357" t="s">
        <v>276</v>
      </c>
      <c r="AO2281" s="386">
        <f t="shared" si="614"/>
        <v>97.610574478901881</v>
      </c>
      <c r="AP2281" s="357" t="s">
        <v>276</v>
      </c>
      <c r="AQ2281" s="357" t="s">
        <v>276</v>
      </c>
      <c r="AR2281" s="357" t="s">
        <v>276</v>
      </c>
      <c r="AS2281" s="357" t="s">
        <v>276</v>
      </c>
      <c r="AT2281" s="357" t="s">
        <v>276</v>
      </c>
      <c r="AU2281" s="357" t="s">
        <v>276</v>
      </c>
      <c r="AV2281" s="357" t="s">
        <v>276</v>
      </c>
      <c r="AW2281" s="357" t="s">
        <v>276</v>
      </c>
      <c r="AX2281" s="357" t="s">
        <v>276</v>
      </c>
      <c r="AY2281" s="357" t="s">
        <v>276</v>
      </c>
      <c r="AZ2281" s="357" t="s">
        <v>276</v>
      </c>
      <c r="BA2281" s="357" t="s">
        <v>276</v>
      </c>
      <c r="BB2281" s="357" t="s">
        <v>276</v>
      </c>
      <c r="BC2281" s="357" t="s">
        <v>276</v>
      </c>
      <c r="BD2281" s="357" t="s">
        <v>276</v>
      </c>
      <c r="BE2281" s="357" t="s">
        <v>276</v>
      </c>
      <c r="BF2281" s="351" t="s">
        <v>1358</v>
      </c>
      <c r="BG2281" s="393"/>
      <c r="BH2281" s="9" t="s">
        <v>100</v>
      </c>
      <c r="BI2281" s="9" t="s">
        <v>100</v>
      </c>
    </row>
    <row r="2282" spans="1:67" s="394" customFormat="1" ht="52" hidden="1" x14ac:dyDescent="0.35">
      <c r="A2282" s="357">
        <v>10213</v>
      </c>
      <c r="B2282" s="357" t="s">
        <v>5259</v>
      </c>
      <c r="C2282" s="357" t="s">
        <v>88</v>
      </c>
      <c r="D2282" s="351" t="s">
        <v>5763</v>
      </c>
      <c r="E2282" s="357" t="s">
        <v>43</v>
      </c>
      <c r="F2282" s="351" t="s">
        <v>4987</v>
      </c>
      <c r="G2282" s="357" t="s">
        <v>225</v>
      </c>
      <c r="H2282" s="357" t="s">
        <v>125</v>
      </c>
      <c r="I2282" s="357" t="s">
        <v>114</v>
      </c>
      <c r="J2282" s="351" t="s">
        <v>98</v>
      </c>
      <c r="K2282" s="357" t="s">
        <v>98</v>
      </c>
      <c r="L2282" s="357" t="s">
        <v>98</v>
      </c>
      <c r="M2282" s="357" t="s">
        <v>98</v>
      </c>
      <c r="N2282" s="351" t="s">
        <v>5735</v>
      </c>
      <c r="O2282" s="357" t="s">
        <v>276</v>
      </c>
      <c r="P2282" s="351" t="s">
        <v>238</v>
      </c>
      <c r="Q2282" s="383" t="s">
        <v>5263</v>
      </c>
      <c r="R2282" s="351" t="s">
        <v>5736</v>
      </c>
      <c r="S2282" s="808" t="s">
        <v>5743</v>
      </c>
      <c r="T2282" s="808"/>
      <c r="U2282" s="360" t="s">
        <v>276</v>
      </c>
      <c r="V2282" s="357" t="s">
        <v>259</v>
      </c>
      <c r="W2282" s="351" t="s">
        <v>5136</v>
      </c>
      <c r="X2282" s="351" t="s">
        <v>207</v>
      </c>
      <c r="Y2282" s="354">
        <v>31970</v>
      </c>
      <c r="Z2282" s="354">
        <v>48409</v>
      </c>
      <c r="AA2282" s="392" t="s">
        <v>276</v>
      </c>
      <c r="AB2282" s="392" t="s">
        <v>276</v>
      </c>
      <c r="AC2282" s="357" t="s">
        <v>276</v>
      </c>
      <c r="AD2282" s="357" t="s">
        <v>5574</v>
      </c>
      <c r="AE2282" s="357" t="s">
        <v>98</v>
      </c>
      <c r="AF2282" s="357" t="s">
        <v>98</v>
      </c>
      <c r="AG2282" s="351" t="s">
        <v>5738</v>
      </c>
      <c r="AH2282" s="351" t="s">
        <v>5596</v>
      </c>
      <c r="AI2282" s="354">
        <v>1632</v>
      </c>
      <c r="AJ2282" s="354" t="s">
        <v>98</v>
      </c>
      <c r="AK2282" s="354">
        <v>31970</v>
      </c>
      <c r="AL2282" s="355" t="s">
        <v>98</v>
      </c>
      <c r="AM2282" s="355" t="s">
        <v>690</v>
      </c>
      <c r="AN2282" s="357" t="s">
        <v>276</v>
      </c>
      <c r="AO2282" s="386">
        <f t="shared" si="614"/>
        <v>51.047857366280887</v>
      </c>
      <c r="AP2282" s="357" t="s">
        <v>276</v>
      </c>
      <c r="AQ2282" s="357" t="s">
        <v>276</v>
      </c>
      <c r="AR2282" s="357" t="s">
        <v>276</v>
      </c>
      <c r="AS2282" s="357" t="s">
        <v>276</v>
      </c>
      <c r="AT2282" s="357" t="s">
        <v>276</v>
      </c>
      <c r="AU2282" s="357" t="s">
        <v>276</v>
      </c>
      <c r="AV2282" s="357" t="s">
        <v>276</v>
      </c>
      <c r="AW2282" s="357" t="s">
        <v>276</v>
      </c>
      <c r="AX2282" s="357" t="s">
        <v>276</v>
      </c>
      <c r="AY2282" s="357" t="s">
        <v>276</v>
      </c>
      <c r="AZ2282" s="357" t="s">
        <v>276</v>
      </c>
      <c r="BA2282" s="357" t="s">
        <v>276</v>
      </c>
      <c r="BB2282" s="357" t="s">
        <v>276</v>
      </c>
      <c r="BC2282" s="357" t="s">
        <v>276</v>
      </c>
      <c r="BD2282" s="357" t="s">
        <v>276</v>
      </c>
      <c r="BE2282" s="357" t="s">
        <v>276</v>
      </c>
      <c r="BF2282" s="351" t="s">
        <v>1358</v>
      </c>
      <c r="BG2282" s="393"/>
      <c r="BH2282" s="9" t="s">
        <v>100</v>
      </c>
      <c r="BI2282" s="9" t="s">
        <v>100</v>
      </c>
    </row>
    <row r="2283" spans="1:67" s="394" customFormat="1" ht="52" hidden="1" x14ac:dyDescent="0.35">
      <c r="A2283" s="357">
        <v>10213</v>
      </c>
      <c r="B2283" s="357" t="s">
        <v>5259</v>
      </c>
      <c r="C2283" s="357" t="s">
        <v>88</v>
      </c>
      <c r="D2283" s="351" t="s">
        <v>5764</v>
      </c>
      <c r="E2283" s="357" t="s">
        <v>43</v>
      </c>
      <c r="F2283" s="351" t="s">
        <v>4987</v>
      </c>
      <c r="G2283" s="357" t="s">
        <v>225</v>
      </c>
      <c r="H2283" s="357" t="s">
        <v>125</v>
      </c>
      <c r="I2283" s="357" t="s">
        <v>114</v>
      </c>
      <c r="J2283" s="351" t="s">
        <v>98</v>
      </c>
      <c r="K2283" s="357" t="s">
        <v>98</v>
      </c>
      <c r="L2283" s="357" t="s">
        <v>98</v>
      </c>
      <c r="M2283" s="357" t="s">
        <v>98</v>
      </c>
      <c r="N2283" s="351" t="s">
        <v>5735</v>
      </c>
      <c r="O2283" s="357" t="s">
        <v>276</v>
      </c>
      <c r="P2283" s="351" t="s">
        <v>238</v>
      </c>
      <c r="Q2283" s="383" t="s">
        <v>5263</v>
      </c>
      <c r="R2283" s="351" t="s">
        <v>5736</v>
      </c>
      <c r="S2283" s="808" t="s">
        <v>5750</v>
      </c>
      <c r="T2283" s="808"/>
      <c r="U2283" s="360" t="s">
        <v>276</v>
      </c>
      <c r="V2283" s="357" t="s">
        <v>259</v>
      </c>
      <c r="W2283" s="351" t="s">
        <v>5139</v>
      </c>
      <c r="X2283" s="351" t="s">
        <v>207</v>
      </c>
      <c r="Y2283" s="354">
        <v>7265</v>
      </c>
      <c r="Z2283" s="354">
        <v>7250</v>
      </c>
      <c r="AA2283" s="392" t="s">
        <v>276</v>
      </c>
      <c r="AB2283" s="392" t="s">
        <v>276</v>
      </c>
      <c r="AC2283" s="357" t="s">
        <v>276</v>
      </c>
      <c r="AD2283" s="357" t="s">
        <v>5574</v>
      </c>
      <c r="AE2283" s="357" t="s">
        <v>98</v>
      </c>
      <c r="AF2283" s="357" t="s">
        <v>98</v>
      </c>
      <c r="AG2283" s="351" t="s">
        <v>5738</v>
      </c>
      <c r="AH2283" s="351" t="s">
        <v>5596</v>
      </c>
      <c r="AI2283" s="354">
        <v>197</v>
      </c>
      <c r="AJ2283" s="354" t="s">
        <v>98</v>
      </c>
      <c r="AK2283" s="354">
        <v>7265</v>
      </c>
      <c r="AL2283" s="355" t="s">
        <v>98</v>
      </c>
      <c r="AM2283" s="355" t="s">
        <v>690</v>
      </c>
      <c r="AN2283" s="357" t="s">
        <v>276</v>
      </c>
      <c r="AO2283" s="386">
        <f t="shared" si="614"/>
        <v>27.116311080523054</v>
      </c>
      <c r="AP2283" s="357" t="s">
        <v>276</v>
      </c>
      <c r="AQ2283" s="357" t="s">
        <v>276</v>
      </c>
      <c r="AR2283" s="357" t="s">
        <v>276</v>
      </c>
      <c r="AS2283" s="357" t="s">
        <v>276</v>
      </c>
      <c r="AT2283" s="357" t="s">
        <v>276</v>
      </c>
      <c r="AU2283" s="357" t="s">
        <v>276</v>
      </c>
      <c r="AV2283" s="357" t="s">
        <v>276</v>
      </c>
      <c r="AW2283" s="357" t="s">
        <v>276</v>
      </c>
      <c r="AX2283" s="357" t="s">
        <v>276</v>
      </c>
      <c r="AY2283" s="357" t="s">
        <v>276</v>
      </c>
      <c r="AZ2283" s="357" t="s">
        <v>276</v>
      </c>
      <c r="BA2283" s="357" t="s">
        <v>276</v>
      </c>
      <c r="BB2283" s="357" t="s">
        <v>276</v>
      </c>
      <c r="BC2283" s="357" t="s">
        <v>276</v>
      </c>
      <c r="BD2283" s="357" t="s">
        <v>276</v>
      </c>
      <c r="BE2283" s="357" t="s">
        <v>276</v>
      </c>
      <c r="BF2283" s="351" t="s">
        <v>1358</v>
      </c>
      <c r="BG2283" s="393"/>
      <c r="BH2283" s="9" t="s">
        <v>100</v>
      </c>
      <c r="BI2283" s="9" t="s">
        <v>100</v>
      </c>
    </row>
    <row r="2284" spans="1:67" s="394" customFormat="1" ht="52" hidden="1" x14ac:dyDescent="0.35">
      <c r="A2284" s="357">
        <v>10213</v>
      </c>
      <c r="B2284" s="357" t="s">
        <v>5259</v>
      </c>
      <c r="C2284" s="357" t="s">
        <v>88</v>
      </c>
      <c r="D2284" s="351" t="s">
        <v>5765</v>
      </c>
      <c r="E2284" s="357" t="s">
        <v>43</v>
      </c>
      <c r="F2284" s="351" t="s">
        <v>4987</v>
      </c>
      <c r="G2284" s="357" t="s">
        <v>225</v>
      </c>
      <c r="H2284" s="357" t="s">
        <v>125</v>
      </c>
      <c r="I2284" s="357" t="s">
        <v>114</v>
      </c>
      <c r="J2284" s="351" t="s">
        <v>98</v>
      </c>
      <c r="K2284" s="357" t="s">
        <v>98</v>
      </c>
      <c r="L2284" s="357" t="s">
        <v>98</v>
      </c>
      <c r="M2284" s="357" t="s">
        <v>98</v>
      </c>
      <c r="N2284" s="351" t="s">
        <v>5735</v>
      </c>
      <c r="O2284" s="357" t="s">
        <v>276</v>
      </c>
      <c r="P2284" s="351" t="s">
        <v>238</v>
      </c>
      <c r="Q2284" s="383" t="s">
        <v>5263</v>
      </c>
      <c r="R2284" s="351" t="s">
        <v>5736</v>
      </c>
      <c r="S2284" s="808" t="s">
        <v>5752</v>
      </c>
      <c r="T2284" s="808"/>
      <c r="U2284" s="360" t="s">
        <v>276</v>
      </c>
      <c r="V2284" s="357" t="s">
        <v>259</v>
      </c>
      <c r="W2284" s="351" t="s">
        <v>5142</v>
      </c>
      <c r="X2284" s="351" t="s">
        <v>207</v>
      </c>
      <c r="Y2284" s="354">
        <v>1056</v>
      </c>
      <c r="Z2284" s="354">
        <v>1141</v>
      </c>
      <c r="AA2284" s="392" t="s">
        <v>276</v>
      </c>
      <c r="AB2284" s="392" t="s">
        <v>276</v>
      </c>
      <c r="AC2284" s="357" t="s">
        <v>276</v>
      </c>
      <c r="AD2284" s="357" t="s">
        <v>5574</v>
      </c>
      <c r="AE2284" s="357" t="s">
        <v>98</v>
      </c>
      <c r="AF2284" s="357" t="s">
        <v>98</v>
      </c>
      <c r="AG2284" s="351" t="s">
        <v>5738</v>
      </c>
      <c r="AH2284" s="351" t="s">
        <v>5596</v>
      </c>
      <c r="AI2284" s="354">
        <v>60</v>
      </c>
      <c r="AJ2284" s="354" t="s">
        <v>98</v>
      </c>
      <c r="AK2284" s="354">
        <v>1056</v>
      </c>
      <c r="AL2284" s="355" t="s">
        <v>98</v>
      </c>
      <c r="AM2284" s="355" t="s">
        <v>690</v>
      </c>
      <c r="AN2284" s="357" t="s">
        <v>276</v>
      </c>
      <c r="AO2284" s="386">
        <f t="shared" si="614"/>
        <v>56.81818181818182</v>
      </c>
      <c r="AP2284" s="357" t="s">
        <v>276</v>
      </c>
      <c r="AQ2284" s="357" t="s">
        <v>276</v>
      </c>
      <c r="AR2284" s="357" t="s">
        <v>276</v>
      </c>
      <c r="AS2284" s="357" t="s">
        <v>276</v>
      </c>
      <c r="AT2284" s="357" t="s">
        <v>276</v>
      </c>
      <c r="AU2284" s="357" t="s">
        <v>276</v>
      </c>
      <c r="AV2284" s="357" t="s">
        <v>276</v>
      </c>
      <c r="AW2284" s="357" t="s">
        <v>276</v>
      </c>
      <c r="AX2284" s="357" t="s">
        <v>276</v>
      </c>
      <c r="AY2284" s="357" t="s">
        <v>276</v>
      </c>
      <c r="AZ2284" s="357" t="s">
        <v>276</v>
      </c>
      <c r="BA2284" s="357" t="s">
        <v>276</v>
      </c>
      <c r="BB2284" s="357" t="s">
        <v>276</v>
      </c>
      <c r="BC2284" s="357" t="s">
        <v>276</v>
      </c>
      <c r="BD2284" s="357" t="s">
        <v>276</v>
      </c>
      <c r="BE2284" s="357" t="s">
        <v>276</v>
      </c>
      <c r="BF2284" s="351" t="s">
        <v>1358</v>
      </c>
      <c r="BG2284" s="393"/>
      <c r="BH2284" s="9" t="s">
        <v>100</v>
      </c>
      <c r="BI2284" s="9" t="s">
        <v>100</v>
      </c>
    </row>
    <row r="2285" spans="1:67" s="394" customFormat="1" ht="52" hidden="1" x14ac:dyDescent="0.35">
      <c r="A2285" s="357">
        <v>10213</v>
      </c>
      <c r="B2285" s="357" t="s">
        <v>5259</v>
      </c>
      <c r="C2285" s="357" t="s">
        <v>88</v>
      </c>
      <c r="D2285" s="351" t="s">
        <v>5766</v>
      </c>
      <c r="E2285" s="357" t="s">
        <v>43</v>
      </c>
      <c r="F2285" s="351" t="s">
        <v>4987</v>
      </c>
      <c r="G2285" s="357" t="s">
        <v>225</v>
      </c>
      <c r="H2285" s="357" t="s">
        <v>125</v>
      </c>
      <c r="I2285" s="357" t="s">
        <v>114</v>
      </c>
      <c r="J2285" s="351" t="s">
        <v>98</v>
      </c>
      <c r="K2285" s="357" t="s">
        <v>98</v>
      </c>
      <c r="L2285" s="357" t="s">
        <v>98</v>
      </c>
      <c r="M2285" s="357" t="s">
        <v>98</v>
      </c>
      <c r="N2285" s="351" t="s">
        <v>5735</v>
      </c>
      <c r="O2285" s="357" t="s">
        <v>276</v>
      </c>
      <c r="P2285" s="351" t="s">
        <v>238</v>
      </c>
      <c r="Q2285" s="383" t="s">
        <v>5263</v>
      </c>
      <c r="R2285" s="351" t="s">
        <v>5736</v>
      </c>
      <c r="S2285" s="808" t="s">
        <v>5745</v>
      </c>
      <c r="T2285" s="808"/>
      <c r="U2285" s="360" t="s">
        <v>276</v>
      </c>
      <c r="V2285" s="357" t="s">
        <v>259</v>
      </c>
      <c r="W2285" s="351" t="s">
        <v>5145</v>
      </c>
      <c r="X2285" s="351" t="s">
        <v>207</v>
      </c>
      <c r="Y2285" s="354">
        <v>4948</v>
      </c>
      <c r="Z2285" s="354">
        <v>4955</v>
      </c>
      <c r="AA2285" s="392" t="s">
        <v>276</v>
      </c>
      <c r="AB2285" s="392" t="s">
        <v>276</v>
      </c>
      <c r="AC2285" s="357" t="s">
        <v>276</v>
      </c>
      <c r="AD2285" s="357" t="s">
        <v>5574</v>
      </c>
      <c r="AE2285" s="357" t="s">
        <v>98</v>
      </c>
      <c r="AF2285" s="357" t="s">
        <v>98</v>
      </c>
      <c r="AG2285" s="351" t="s">
        <v>5738</v>
      </c>
      <c r="AH2285" s="351" t="s">
        <v>5596</v>
      </c>
      <c r="AI2285" s="354">
        <v>436</v>
      </c>
      <c r="AJ2285" s="354" t="s">
        <v>98</v>
      </c>
      <c r="AK2285" s="354">
        <v>4948</v>
      </c>
      <c r="AL2285" s="355" t="s">
        <v>98</v>
      </c>
      <c r="AM2285" s="355" t="s">
        <v>690</v>
      </c>
      <c r="AN2285" s="357" t="s">
        <v>276</v>
      </c>
      <c r="AO2285" s="386">
        <f t="shared" si="614"/>
        <v>88.116410670978169</v>
      </c>
      <c r="AP2285" s="357" t="s">
        <v>276</v>
      </c>
      <c r="AQ2285" s="357" t="s">
        <v>276</v>
      </c>
      <c r="AR2285" s="357" t="s">
        <v>276</v>
      </c>
      <c r="AS2285" s="357" t="s">
        <v>276</v>
      </c>
      <c r="AT2285" s="357" t="s">
        <v>276</v>
      </c>
      <c r="AU2285" s="357" t="s">
        <v>276</v>
      </c>
      <c r="AV2285" s="357" t="s">
        <v>276</v>
      </c>
      <c r="AW2285" s="357" t="s">
        <v>276</v>
      </c>
      <c r="AX2285" s="357" t="s">
        <v>276</v>
      </c>
      <c r="AY2285" s="357" t="s">
        <v>276</v>
      </c>
      <c r="AZ2285" s="357" t="s">
        <v>276</v>
      </c>
      <c r="BA2285" s="357" t="s">
        <v>276</v>
      </c>
      <c r="BB2285" s="357" t="s">
        <v>276</v>
      </c>
      <c r="BC2285" s="357" t="s">
        <v>276</v>
      </c>
      <c r="BD2285" s="357" t="s">
        <v>276</v>
      </c>
      <c r="BE2285" s="357" t="s">
        <v>276</v>
      </c>
      <c r="BF2285" s="351" t="s">
        <v>1358</v>
      </c>
      <c r="BG2285" s="393"/>
      <c r="BH2285" s="9" t="s">
        <v>100</v>
      </c>
      <c r="BI2285" s="9" t="s">
        <v>100</v>
      </c>
    </row>
    <row r="2286" spans="1:67" s="394" customFormat="1" ht="52" hidden="1" x14ac:dyDescent="0.35">
      <c r="A2286" s="357">
        <v>10213</v>
      </c>
      <c r="B2286" s="357" t="s">
        <v>5259</v>
      </c>
      <c r="C2286" s="357" t="s">
        <v>88</v>
      </c>
      <c r="D2286" s="351" t="s">
        <v>5767</v>
      </c>
      <c r="E2286" s="357" t="s">
        <v>43</v>
      </c>
      <c r="F2286" s="351" t="s">
        <v>4987</v>
      </c>
      <c r="G2286" s="357" t="s">
        <v>225</v>
      </c>
      <c r="H2286" s="357" t="s">
        <v>125</v>
      </c>
      <c r="I2286" s="357" t="s">
        <v>114</v>
      </c>
      <c r="J2286" s="351" t="s">
        <v>98</v>
      </c>
      <c r="K2286" s="357" t="s">
        <v>98</v>
      </c>
      <c r="L2286" s="357" t="s">
        <v>98</v>
      </c>
      <c r="M2286" s="357" t="s">
        <v>98</v>
      </c>
      <c r="N2286" s="351" t="s">
        <v>5735</v>
      </c>
      <c r="O2286" s="357" t="s">
        <v>276</v>
      </c>
      <c r="P2286" s="351" t="s">
        <v>238</v>
      </c>
      <c r="Q2286" s="383" t="s">
        <v>5263</v>
      </c>
      <c r="R2286" s="351" t="s">
        <v>5736</v>
      </c>
      <c r="S2286" s="808" t="s">
        <v>5755</v>
      </c>
      <c r="T2286" s="808"/>
      <c r="U2286" s="360" t="s">
        <v>276</v>
      </c>
      <c r="V2286" s="357" t="s">
        <v>259</v>
      </c>
      <c r="W2286" s="351" t="s">
        <v>5651</v>
      </c>
      <c r="X2286" s="351" t="s">
        <v>207</v>
      </c>
      <c r="Y2286" s="354">
        <v>28784</v>
      </c>
      <c r="Z2286" s="354">
        <v>28859</v>
      </c>
      <c r="AA2286" s="392" t="s">
        <v>276</v>
      </c>
      <c r="AB2286" s="392" t="s">
        <v>276</v>
      </c>
      <c r="AC2286" s="357" t="s">
        <v>276</v>
      </c>
      <c r="AD2286" s="357" t="s">
        <v>5574</v>
      </c>
      <c r="AE2286" s="357" t="s">
        <v>98</v>
      </c>
      <c r="AF2286" s="357" t="s">
        <v>98</v>
      </c>
      <c r="AG2286" s="351" t="s">
        <v>5738</v>
      </c>
      <c r="AH2286" s="351" t="s">
        <v>5596</v>
      </c>
      <c r="AI2286" s="354">
        <v>229</v>
      </c>
      <c r="AJ2286" s="354" t="s">
        <v>98</v>
      </c>
      <c r="AK2286" s="354">
        <v>28784</v>
      </c>
      <c r="AL2286" s="355" t="s">
        <v>98</v>
      </c>
      <c r="AM2286" s="355" t="s">
        <v>690</v>
      </c>
      <c r="AN2286" s="357" t="s">
        <v>276</v>
      </c>
      <c r="AO2286" s="386">
        <f t="shared" si="614"/>
        <v>7.9558087826570318</v>
      </c>
      <c r="AP2286" s="357" t="s">
        <v>276</v>
      </c>
      <c r="AQ2286" s="357" t="s">
        <v>276</v>
      </c>
      <c r="AR2286" s="357" t="s">
        <v>276</v>
      </c>
      <c r="AS2286" s="357" t="s">
        <v>276</v>
      </c>
      <c r="AT2286" s="357" t="s">
        <v>276</v>
      </c>
      <c r="AU2286" s="357" t="s">
        <v>276</v>
      </c>
      <c r="AV2286" s="357" t="s">
        <v>276</v>
      </c>
      <c r="AW2286" s="357" t="s">
        <v>276</v>
      </c>
      <c r="AX2286" s="357" t="s">
        <v>276</v>
      </c>
      <c r="AY2286" s="357" t="s">
        <v>276</v>
      </c>
      <c r="AZ2286" s="357" t="s">
        <v>276</v>
      </c>
      <c r="BA2286" s="357" t="s">
        <v>276</v>
      </c>
      <c r="BB2286" s="357" t="s">
        <v>276</v>
      </c>
      <c r="BC2286" s="357" t="s">
        <v>276</v>
      </c>
      <c r="BD2286" s="357" t="s">
        <v>276</v>
      </c>
      <c r="BE2286" s="357" t="s">
        <v>276</v>
      </c>
      <c r="BF2286" s="351" t="s">
        <v>1358</v>
      </c>
      <c r="BG2286" s="393"/>
      <c r="BH2286" s="9" t="s">
        <v>100</v>
      </c>
      <c r="BI2286" s="9" t="s">
        <v>100</v>
      </c>
    </row>
    <row r="2287" spans="1:67" s="394" customFormat="1" ht="52" hidden="1" x14ac:dyDescent="0.35">
      <c r="A2287" s="357">
        <v>10213</v>
      </c>
      <c r="B2287" s="357" t="s">
        <v>5259</v>
      </c>
      <c r="C2287" s="357" t="s">
        <v>88</v>
      </c>
      <c r="D2287" s="351" t="s">
        <v>5768</v>
      </c>
      <c r="E2287" s="357" t="s">
        <v>43</v>
      </c>
      <c r="F2287" s="351" t="s">
        <v>4987</v>
      </c>
      <c r="G2287" s="357" t="s">
        <v>225</v>
      </c>
      <c r="H2287" s="357" t="s">
        <v>125</v>
      </c>
      <c r="I2287" s="357" t="s">
        <v>114</v>
      </c>
      <c r="J2287" s="351" t="s">
        <v>98</v>
      </c>
      <c r="K2287" s="357" t="s">
        <v>98</v>
      </c>
      <c r="L2287" s="357" t="s">
        <v>98</v>
      </c>
      <c r="M2287" s="357" t="s">
        <v>98</v>
      </c>
      <c r="N2287" s="351" t="s">
        <v>5735</v>
      </c>
      <c r="O2287" s="357" t="s">
        <v>276</v>
      </c>
      <c r="P2287" s="351" t="s">
        <v>238</v>
      </c>
      <c r="Q2287" s="383" t="s">
        <v>5263</v>
      </c>
      <c r="R2287" s="351" t="s">
        <v>5736</v>
      </c>
      <c r="S2287" s="808" t="s">
        <v>5757</v>
      </c>
      <c r="T2287" s="808"/>
      <c r="U2287" s="360" t="s">
        <v>276</v>
      </c>
      <c r="V2287" s="357" t="s">
        <v>259</v>
      </c>
      <c r="W2287" s="351" t="s">
        <v>5653</v>
      </c>
      <c r="X2287" s="351" t="s">
        <v>207</v>
      </c>
      <c r="Y2287" s="354">
        <v>10879</v>
      </c>
      <c r="Z2287" s="354">
        <v>10471</v>
      </c>
      <c r="AA2287" s="392" t="s">
        <v>276</v>
      </c>
      <c r="AB2287" s="392" t="s">
        <v>276</v>
      </c>
      <c r="AC2287" s="357" t="s">
        <v>276</v>
      </c>
      <c r="AD2287" s="357" t="s">
        <v>5574</v>
      </c>
      <c r="AE2287" s="357" t="s">
        <v>98</v>
      </c>
      <c r="AF2287" s="357" t="s">
        <v>98</v>
      </c>
      <c r="AG2287" s="351" t="s">
        <v>5738</v>
      </c>
      <c r="AH2287" s="351" t="s">
        <v>5596</v>
      </c>
      <c r="AI2287" s="354">
        <v>128</v>
      </c>
      <c r="AJ2287" s="354" t="s">
        <v>98</v>
      </c>
      <c r="AK2287" s="354">
        <v>10879</v>
      </c>
      <c r="AL2287" s="355" t="s">
        <v>98</v>
      </c>
      <c r="AM2287" s="355" t="s">
        <v>690</v>
      </c>
      <c r="AN2287" s="357" t="s">
        <v>276</v>
      </c>
      <c r="AO2287" s="386">
        <f t="shared" si="614"/>
        <v>11.765787296626527</v>
      </c>
      <c r="AP2287" s="357" t="s">
        <v>276</v>
      </c>
      <c r="AQ2287" s="357" t="s">
        <v>276</v>
      </c>
      <c r="AR2287" s="357" t="s">
        <v>276</v>
      </c>
      <c r="AS2287" s="357" t="s">
        <v>276</v>
      </c>
      <c r="AT2287" s="357" t="s">
        <v>276</v>
      </c>
      <c r="AU2287" s="357" t="s">
        <v>276</v>
      </c>
      <c r="AV2287" s="357" t="s">
        <v>276</v>
      </c>
      <c r="AW2287" s="357" t="s">
        <v>276</v>
      </c>
      <c r="AX2287" s="357" t="s">
        <v>276</v>
      </c>
      <c r="AY2287" s="357" t="s">
        <v>276</v>
      </c>
      <c r="AZ2287" s="357" t="s">
        <v>276</v>
      </c>
      <c r="BA2287" s="357" t="s">
        <v>276</v>
      </c>
      <c r="BB2287" s="357" t="s">
        <v>276</v>
      </c>
      <c r="BC2287" s="357" t="s">
        <v>276</v>
      </c>
      <c r="BD2287" s="357" t="s">
        <v>276</v>
      </c>
      <c r="BE2287" s="357" t="s">
        <v>276</v>
      </c>
      <c r="BF2287" s="351" t="s">
        <v>1358</v>
      </c>
      <c r="BG2287" s="393"/>
      <c r="BH2287" s="9" t="s">
        <v>100</v>
      </c>
      <c r="BI2287" s="9" t="s">
        <v>100</v>
      </c>
    </row>
    <row r="2288" spans="1:67" s="374" customFormat="1" ht="65" hidden="1" x14ac:dyDescent="0.35">
      <c r="A2288" s="357">
        <v>10624</v>
      </c>
      <c r="B2288" s="357" t="s">
        <v>5769</v>
      </c>
      <c r="C2288" s="357" t="s">
        <v>88</v>
      </c>
      <c r="D2288" s="351" t="s">
        <v>5770</v>
      </c>
      <c r="E2288" s="357" t="s">
        <v>43</v>
      </c>
      <c r="F2288" s="351" t="s">
        <v>4987</v>
      </c>
      <c r="G2288" s="357" t="s">
        <v>225</v>
      </c>
      <c r="H2288" s="357" t="s">
        <v>125</v>
      </c>
      <c r="I2288" s="357" t="s">
        <v>114</v>
      </c>
      <c r="J2288" s="351" t="s">
        <v>98</v>
      </c>
      <c r="K2288" s="357" t="s">
        <v>98</v>
      </c>
      <c r="L2288" s="357" t="s">
        <v>98</v>
      </c>
      <c r="M2288" s="357" t="s">
        <v>98</v>
      </c>
      <c r="N2288" s="351" t="s">
        <v>5771</v>
      </c>
      <c r="O2288" s="351" t="s">
        <v>276</v>
      </c>
      <c r="P2288" s="351" t="s">
        <v>236</v>
      </c>
      <c r="Q2288" s="383" t="s">
        <v>5772</v>
      </c>
      <c r="R2288" s="351" t="s">
        <v>276</v>
      </c>
      <c r="S2288" s="380" t="s">
        <v>276</v>
      </c>
      <c r="T2288" s="380" t="s">
        <v>98</v>
      </c>
      <c r="U2288" s="351">
        <v>3</v>
      </c>
      <c r="V2288" s="351" t="s">
        <v>261</v>
      </c>
      <c r="W2288" s="351" t="s">
        <v>5153</v>
      </c>
      <c r="X2288" s="351" t="s">
        <v>209</v>
      </c>
      <c r="Y2288" s="355" t="s">
        <v>98</v>
      </c>
      <c r="Z2288" s="355" t="s">
        <v>98</v>
      </c>
      <c r="AA2288" s="351" t="s">
        <v>276</v>
      </c>
      <c r="AB2288" s="351" t="s">
        <v>98</v>
      </c>
      <c r="AC2288" s="357" t="s">
        <v>276</v>
      </c>
      <c r="AD2288" s="357" t="s">
        <v>5574</v>
      </c>
      <c r="AE2288" s="357" t="s">
        <v>98</v>
      </c>
      <c r="AF2288" s="357" t="s">
        <v>98</v>
      </c>
      <c r="AG2288" s="351" t="s">
        <v>5773</v>
      </c>
      <c r="AH2288" s="351" t="s">
        <v>5774</v>
      </c>
      <c r="AI2288" s="353">
        <f>818+336+8</f>
        <v>1162</v>
      </c>
      <c r="AJ2288" s="355" t="s">
        <v>98</v>
      </c>
      <c r="AK2288" s="355">
        <f>818+63+336+8+44</f>
        <v>1269</v>
      </c>
      <c r="AL2288" s="355" t="s">
        <v>98</v>
      </c>
      <c r="AM2288" s="355" t="s">
        <v>292</v>
      </c>
      <c r="AN2288" s="357" t="s">
        <v>276</v>
      </c>
      <c r="AO2288" s="386">
        <f t="shared" ref="AO2288:AO2290" si="615">AI2288*100/AK2288</f>
        <v>91.56816390858944</v>
      </c>
      <c r="AP2288" s="357" t="s">
        <v>276</v>
      </c>
      <c r="AQ2288" s="357" t="s">
        <v>276</v>
      </c>
      <c r="AR2288" s="357" t="s">
        <v>98</v>
      </c>
      <c r="AS2288" s="357" t="s">
        <v>98</v>
      </c>
      <c r="AT2288" s="357" t="s">
        <v>98</v>
      </c>
      <c r="AU2288" s="357" t="s">
        <v>98</v>
      </c>
      <c r="AV2288" s="357" t="s">
        <v>98</v>
      </c>
      <c r="AW2288" s="357" t="s">
        <v>98</v>
      </c>
      <c r="AX2288" s="357" t="s">
        <v>98</v>
      </c>
      <c r="AY2288" s="357" t="s">
        <v>98</v>
      </c>
      <c r="AZ2288" s="357" t="s">
        <v>98</v>
      </c>
      <c r="BA2288" s="357" t="s">
        <v>98</v>
      </c>
      <c r="BB2288" s="357" t="s">
        <v>98</v>
      </c>
      <c r="BC2288" s="357" t="s">
        <v>98</v>
      </c>
      <c r="BD2288" s="357" t="s">
        <v>98</v>
      </c>
      <c r="BE2288" s="357" t="s">
        <v>98</v>
      </c>
      <c r="BF2288" s="351" t="s">
        <v>1358</v>
      </c>
      <c r="BG2288" s="351"/>
      <c r="BH2288" s="9" t="s">
        <v>100</v>
      </c>
      <c r="BI2288" s="9" t="s">
        <v>100</v>
      </c>
      <c r="BJ2288" s="373"/>
      <c r="BN2288" s="373"/>
      <c r="BO2288" s="373"/>
    </row>
    <row r="2289" spans="1:67" s="374" customFormat="1" ht="78" hidden="1" x14ac:dyDescent="0.35">
      <c r="A2289" s="357">
        <v>10624</v>
      </c>
      <c r="B2289" s="357" t="s">
        <v>5769</v>
      </c>
      <c r="C2289" s="357" t="s">
        <v>88</v>
      </c>
      <c r="D2289" s="351" t="s">
        <v>5775</v>
      </c>
      <c r="E2289" s="357" t="s">
        <v>43</v>
      </c>
      <c r="F2289" s="351" t="s">
        <v>4987</v>
      </c>
      <c r="G2289" s="357" t="s">
        <v>225</v>
      </c>
      <c r="H2289" s="357" t="s">
        <v>125</v>
      </c>
      <c r="I2289" s="357" t="s">
        <v>114</v>
      </c>
      <c r="J2289" s="351" t="s">
        <v>29</v>
      </c>
      <c r="K2289" s="395" t="s">
        <v>1709</v>
      </c>
      <c r="L2289" s="357" t="s">
        <v>98</v>
      </c>
      <c r="M2289" s="357" t="s">
        <v>98</v>
      </c>
      <c r="N2289" s="351" t="s">
        <v>5771</v>
      </c>
      <c r="O2289" s="351" t="s">
        <v>276</v>
      </c>
      <c r="P2289" s="351" t="s">
        <v>237</v>
      </c>
      <c r="Q2289" s="383" t="s">
        <v>5772</v>
      </c>
      <c r="R2289" s="351" t="s">
        <v>276</v>
      </c>
      <c r="S2289" s="380" t="s">
        <v>276</v>
      </c>
      <c r="T2289" s="380" t="s">
        <v>98</v>
      </c>
      <c r="U2289" s="351">
        <v>3</v>
      </c>
      <c r="V2289" s="351" t="s">
        <v>261</v>
      </c>
      <c r="W2289" s="351" t="s">
        <v>5153</v>
      </c>
      <c r="X2289" s="351" t="s">
        <v>209</v>
      </c>
      <c r="Y2289" s="355" t="s">
        <v>98</v>
      </c>
      <c r="Z2289" s="355" t="s">
        <v>98</v>
      </c>
      <c r="AA2289" s="351" t="s">
        <v>276</v>
      </c>
      <c r="AB2289" s="351" t="s">
        <v>98</v>
      </c>
      <c r="AC2289" s="357" t="s">
        <v>276</v>
      </c>
      <c r="AD2289" s="357" t="s">
        <v>5574</v>
      </c>
      <c r="AE2289" s="357" t="s">
        <v>98</v>
      </c>
      <c r="AF2289" s="357" t="s">
        <v>98</v>
      </c>
      <c r="AG2289" s="351" t="s">
        <v>5776</v>
      </c>
      <c r="AH2289" s="351" t="s">
        <v>5777</v>
      </c>
      <c r="AI2289" s="355">
        <f>76+13</f>
        <v>89</v>
      </c>
      <c r="AJ2289" s="355" t="s">
        <v>98</v>
      </c>
      <c r="AK2289" s="355">
        <v>91</v>
      </c>
      <c r="AL2289" s="355" t="s">
        <v>98</v>
      </c>
      <c r="AM2289" s="355" t="s">
        <v>292</v>
      </c>
      <c r="AN2289" s="357" t="s">
        <v>276</v>
      </c>
      <c r="AO2289" s="386">
        <f t="shared" si="615"/>
        <v>97.802197802197796</v>
      </c>
      <c r="AP2289" s="357" t="s">
        <v>276</v>
      </c>
      <c r="AQ2289" s="357" t="s">
        <v>276</v>
      </c>
      <c r="AR2289" s="357" t="s">
        <v>98</v>
      </c>
      <c r="AS2289" s="357" t="s">
        <v>98</v>
      </c>
      <c r="AT2289" s="357" t="s">
        <v>98</v>
      </c>
      <c r="AU2289" s="357" t="s">
        <v>98</v>
      </c>
      <c r="AV2289" s="357" t="s">
        <v>98</v>
      </c>
      <c r="AW2289" s="357" t="s">
        <v>98</v>
      </c>
      <c r="AX2289" s="357" t="s">
        <v>98</v>
      </c>
      <c r="AY2289" s="357" t="s">
        <v>98</v>
      </c>
      <c r="AZ2289" s="357" t="s">
        <v>98</v>
      </c>
      <c r="BA2289" s="357" t="s">
        <v>98</v>
      </c>
      <c r="BB2289" s="357" t="s">
        <v>98</v>
      </c>
      <c r="BC2289" s="357" t="s">
        <v>98</v>
      </c>
      <c r="BD2289" s="357" t="s">
        <v>98</v>
      </c>
      <c r="BE2289" s="357" t="s">
        <v>98</v>
      </c>
      <c r="BF2289" s="351" t="s">
        <v>1020</v>
      </c>
      <c r="BG2289" s="351"/>
      <c r="BH2289" s="9" t="s">
        <v>100</v>
      </c>
      <c r="BI2289" s="9" t="s">
        <v>100</v>
      </c>
      <c r="BJ2289" s="373"/>
      <c r="BN2289" s="373"/>
      <c r="BO2289" s="373"/>
    </row>
    <row r="2290" spans="1:67" s="374" customFormat="1" ht="78" hidden="1" x14ac:dyDescent="0.35">
      <c r="A2290" s="357">
        <v>10624</v>
      </c>
      <c r="B2290" s="357" t="s">
        <v>5769</v>
      </c>
      <c r="C2290" s="357" t="s">
        <v>88</v>
      </c>
      <c r="D2290" s="351" t="s">
        <v>5778</v>
      </c>
      <c r="E2290" s="357" t="s">
        <v>43</v>
      </c>
      <c r="F2290" s="351" t="s">
        <v>4987</v>
      </c>
      <c r="G2290" s="357" t="s">
        <v>225</v>
      </c>
      <c r="H2290" s="357" t="s">
        <v>125</v>
      </c>
      <c r="I2290" s="357" t="s">
        <v>114</v>
      </c>
      <c r="J2290" s="351" t="s">
        <v>29</v>
      </c>
      <c r="K2290" s="395" t="s">
        <v>1237</v>
      </c>
      <c r="L2290" s="357" t="s">
        <v>98</v>
      </c>
      <c r="M2290" s="357" t="s">
        <v>98</v>
      </c>
      <c r="N2290" s="351" t="s">
        <v>5771</v>
      </c>
      <c r="O2290" s="351" t="s">
        <v>276</v>
      </c>
      <c r="P2290" s="351" t="s">
        <v>237</v>
      </c>
      <c r="Q2290" s="383" t="s">
        <v>5772</v>
      </c>
      <c r="R2290" s="351" t="s">
        <v>276</v>
      </c>
      <c r="S2290" s="380" t="s">
        <v>276</v>
      </c>
      <c r="T2290" s="380" t="s">
        <v>98</v>
      </c>
      <c r="U2290" s="351">
        <v>3</v>
      </c>
      <c r="V2290" s="351" t="s">
        <v>261</v>
      </c>
      <c r="W2290" s="351" t="s">
        <v>5153</v>
      </c>
      <c r="X2290" s="351" t="s">
        <v>209</v>
      </c>
      <c r="Y2290" s="355" t="s">
        <v>98</v>
      </c>
      <c r="Z2290" s="355" t="s">
        <v>98</v>
      </c>
      <c r="AA2290" s="351" t="s">
        <v>276</v>
      </c>
      <c r="AB2290" s="351" t="s">
        <v>98</v>
      </c>
      <c r="AC2290" s="357" t="s">
        <v>276</v>
      </c>
      <c r="AD2290" s="357" t="s">
        <v>5574</v>
      </c>
      <c r="AE2290" s="357" t="s">
        <v>98</v>
      </c>
      <c r="AF2290" s="357" t="s">
        <v>98</v>
      </c>
      <c r="AG2290" s="351" t="s">
        <v>5779</v>
      </c>
      <c r="AH2290" s="351" t="s">
        <v>5780</v>
      </c>
      <c r="AI2290" s="355">
        <f>76+13+216+62+1</f>
        <v>368</v>
      </c>
      <c r="AJ2290" s="355" t="s">
        <v>98</v>
      </c>
      <c r="AK2290" s="355">
        <f>294+91</f>
        <v>385</v>
      </c>
      <c r="AL2290" s="355" t="s">
        <v>98</v>
      </c>
      <c r="AM2290" s="355" t="s">
        <v>292</v>
      </c>
      <c r="AN2290" s="357" t="s">
        <v>276</v>
      </c>
      <c r="AO2290" s="386">
        <f t="shared" si="615"/>
        <v>95.584415584415581</v>
      </c>
      <c r="AP2290" s="357" t="s">
        <v>276</v>
      </c>
      <c r="AQ2290" s="357" t="s">
        <v>276</v>
      </c>
      <c r="AR2290" s="357" t="s">
        <v>98</v>
      </c>
      <c r="AS2290" s="357" t="s">
        <v>98</v>
      </c>
      <c r="AT2290" s="357" t="s">
        <v>98</v>
      </c>
      <c r="AU2290" s="357" t="s">
        <v>98</v>
      </c>
      <c r="AV2290" s="357" t="s">
        <v>98</v>
      </c>
      <c r="AW2290" s="357" t="s">
        <v>98</v>
      </c>
      <c r="AX2290" s="357" t="s">
        <v>98</v>
      </c>
      <c r="AY2290" s="357" t="s">
        <v>98</v>
      </c>
      <c r="AZ2290" s="357" t="s">
        <v>98</v>
      </c>
      <c r="BA2290" s="357" t="s">
        <v>98</v>
      </c>
      <c r="BB2290" s="357" t="s">
        <v>98</v>
      </c>
      <c r="BC2290" s="357" t="s">
        <v>98</v>
      </c>
      <c r="BD2290" s="357" t="s">
        <v>98</v>
      </c>
      <c r="BE2290" s="357" t="s">
        <v>98</v>
      </c>
      <c r="BF2290" s="351" t="s">
        <v>1020</v>
      </c>
      <c r="BG2290" s="351"/>
      <c r="BH2290" s="9" t="s">
        <v>100</v>
      </c>
      <c r="BI2290" s="9" t="s">
        <v>100</v>
      </c>
      <c r="BJ2290" s="373"/>
      <c r="BN2290" s="373"/>
      <c r="BO2290" s="373"/>
    </row>
    <row r="2291" spans="1:67" s="374" customFormat="1" ht="65" hidden="1" x14ac:dyDescent="0.35">
      <c r="A2291" s="357">
        <v>10624</v>
      </c>
      <c r="B2291" s="357" t="s">
        <v>5769</v>
      </c>
      <c r="C2291" s="357" t="s">
        <v>88</v>
      </c>
      <c r="D2291" s="351" t="s">
        <v>5781</v>
      </c>
      <c r="E2291" s="357" t="s">
        <v>43</v>
      </c>
      <c r="F2291" s="351" t="s">
        <v>4987</v>
      </c>
      <c r="G2291" s="357" t="s">
        <v>225</v>
      </c>
      <c r="H2291" s="357" t="s">
        <v>125</v>
      </c>
      <c r="I2291" s="357" t="s">
        <v>114</v>
      </c>
      <c r="J2291" s="351" t="s">
        <v>98</v>
      </c>
      <c r="K2291" s="357" t="s">
        <v>98</v>
      </c>
      <c r="L2291" s="357" t="s">
        <v>98</v>
      </c>
      <c r="M2291" s="357" t="s">
        <v>98</v>
      </c>
      <c r="N2291" s="351" t="s">
        <v>5771</v>
      </c>
      <c r="O2291" s="351" t="s">
        <v>276</v>
      </c>
      <c r="P2291" s="351" t="s">
        <v>238</v>
      </c>
      <c r="Q2291" s="383" t="s">
        <v>5772</v>
      </c>
      <c r="R2291" s="351" t="s">
        <v>276</v>
      </c>
      <c r="S2291" s="380" t="s">
        <v>276</v>
      </c>
      <c r="T2291" s="380" t="s">
        <v>98</v>
      </c>
      <c r="U2291" s="351">
        <v>3</v>
      </c>
      <c r="V2291" s="351" t="s">
        <v>261</v>
      </c>
      <c r="W2291" s="351" t="s">
        <v>5153</v>
      </c>
      <c r="X2291" s="351" t="s">
        <v>209</v>
      </c>
      <c r="Y2291" s="355">
        <v>17635</v>
      </c>
      <c r="Z2291" s="355" t="s">
        <v>98</v>
      </c>
      <c r="AA2291" s="351" t="s">
        <v>276</v>
      </c>
      <c r="AB2291" s="351" t="s">
        <v>98</v>
      </c>
      <c r="AC2291" s="357" t="s">
        <v>276</v>
      </c>
      <c r="AD2291" s="357" t="s">
        <v>5574</v>
      </c>
      <c r="AE2291" s="357" t="s">
        <v>98</v>
      </c>
      <c r="AF2291" s="357" t="s">
        <v>98</v>
      </c>
      <c r="AG2291" s="351" t="s">
        <v>5773</v>
      </c>
      <c r="AH2291" s="351" t="s">
        <v>5596</v>
      </c>
      <c r="AI2291" s="353">
        <f>818+336+8</f>
        <v>1162</v>
      </c>
      <c r="AJ2291" s="355" t="s">
        <v>98</v>
      </c>
      <c r="AK2291" s="355">
        <v>17635</v>
      </c>
      <c r="AL2291" s="355" t="s">
        <v>98</v>
      </c>
      <c r="AM2291" s="355" t="s">
        <v>690</v>
      </c>
      <c r="AN2291" s="357" t="s">
        <v>276</v>
      </c>
      <c r="AO2291" s="386">
        <f>AI2291*1000/AK2291</f>
        <v>65.891692656648715</v>
      </c>
      <c r="AP2291" s="357" t="s">
        <v>276</v>
      </c>
      <c r="AQ2291" s="357" t="s">
        <v>276</v>
      </c>
      <c r="AR2291" s="357" t="s">
        <v>98</v>
      </c>
      <c r="AS2291" s="357" t="s">
        <v>98</v>
      </c>
      <c r="AT2291" s="357" t="s">
        <v>98</v>
      </c>
      <c r="AU2291" s="357" t="s">
        <v>98</v>
      </c>
      <c r="AV2291" s="357" t="s">
        <v>98</v>
      </c>
      <c r="AW2291" s="357" t="s">
        <v>98</v>
      </c>
      <c r="AX2291" s="357" t="s">
        <v>98</v>
      </c>
      <c r="AY2291" s="357" t="s">
        <v>98</v>
      </c>
      <c r="AZ2291" s="357" t="s">
        <v>98</v>
      </c>
      <c r="BA2291" s="357" t="s">
        <v>98</v>
      </c>
      <c r="BB2291" s="357" t="s">
        <v>98</v>
      </c>
      <c r="BC2291" s="357" t="s">
        <v>98</v>
      </c>
      <c r="BD2291" s="357" t="s">
        <v>98</v>
      </c>
      <c r="BE2291" s="357" t="s">
        <v>98</v>
      </c>
      <c r="BF2291" s="351" t="s">
        <v>1358</v>
      </c>
      <c r="BG2291" s="351"/>
      <c r="BH2291" s="9" t="s">
        <v>100</v>
      </c>
      <c r="BI2291" s="9" t="s">
        <v>100</v>
      </c>
      <c r="BJ2291" s="373"/>
      <c r="BN2291" s="373"/>
      <c r="BO2291" s="373"/>
    </row>
    <row r="2292" spans="1:67" s="394" customFormat="1" ht="52" hidden="1" x14ac:dyDescent="0.35">
      <c r="A2292" s="357">
        <v>10483</v>
      </c>
      <c r="B2292" s="357" t="s">
        <v>5383</v>
      </c>
      <c r="C2292" s="357" t="s">
        <v>88</v>
      </c>
      <c r="D2292" s="351" t="s">
        <v>5782</v>
      </c>
      <c r="E2292" s="357" t="s">
        <v>43</v>
      </c>
      <c r="F2292" s="351" t="s">
        <v>4987</v>
      </c>
      <c r="G2292" s="357" t="s">
        <v>225</v>
      </c>
      <c r="H2292" s="357" t="s">
        <v>125</v>
      </c>
      <c r="I2292" s="357" t="s">
        <v>114</v>
      </c>
      <c r="J2292" s="351" t="s">
        <v>98</v>
      </c>
      <c r="K2292" s="357" t="s">
        <v>98</v>
      </c>
      <c r="L2292" s="357" t="s">
        <v>98</v>
      </c>
      <c r="M2292" s="357" t="s">
        <v>98</v>
      </c>
      <c r="N2292" s="351" t="s">
        <v>5385</v>
      </c>
      <c r="O2292" s="351" t="s">
        <v>276</v>
      </c>
      <c r="P2292" s="351" t="s">
        <v>236</v>
      </c>
      <c r="Q2292" s="383" t="s">
        <v>5201</v>
      </c>
      <c r="R2292" s="351" t="s">
        <v>98</v>
      </c>
      <c r="S2292" s="807" t="s">
        <v>5684</v>
      </c>
      <c r="T2292" s="807"/>
      <c r="U2292" s="351">
        <v>4</v>
      </c>
      <c r="V2292" s="357" t="s">
        <v>259</v>
      </c>
      <c r="W2292" s="351" t="s">
        <v>5386</v>
      </c>
      <c r="X2292" s="351" t="s">
        <v>209</v>
      </c>
      <c r="Y2292" s="354" t="s">
        <v>98</v>
      </c>
      <c r="Z2292" s="355" t="s">
        <v>98</v>
      </c>
      <c r="AA2292" s="357" t="s">
        <v>276</v>
      </c>
      <c r="AB2292" s="354" t="s">
        <v>98</v>
      </c>
      <c r="AC2292" s="357" t="s">
        <v>276</v>
      </c>
      <c r="AD2292" s="357" t="s">
        <v>5574</v>
      </c>
      <c r="AE2292" s="357" t="s">
        <v>98</v>
      </c>
      <c r="AF2292" s="357" t="s">
        <v>98</v>
      </c>
      <c r="AG2292" s="351" t="s">
        <v>5678</v>
      </c>
      <c r="AH2292" s="351" t="s">
        <v>5679</v>
      </c>
      <c r="AI2292" s="354">
        <v>2113</v>
      </c>
      <c r="AJ2292" s="354" t="s">
        <v>98</v>
      </c>
      <c r="AK2292" s="354">
        <v>2674</v>
      </c>
      <c r="AL2292" s="355" t="s">
        <v>98</v>
      </c>
      <c r="AM2292" s="355" t="s">
        <v>292</v>
      </c>
      <c r="AN2292" s="357" t="s">
        <v>276</v>
      </c>
      <c r="AO2292" s="386">
        <f t="shared" ref="AO2292" si="616">AI2292*100/AK2292</f>
        <v>79.020194465220641</v>
      </c>
      <c r="AP2292" s="357" t="s">
        <v>276</v>
      </c>
      <c r="AQ2292" s="357" t="s">
        <v>276</v>
      </c>
      <c r="AR2292" s="357" t="s">
        <v>276</v>
      </c>
      <c r="AS2292" s="357" t="s">
        <v>276</v>
      </c>
      <c r="AT2292" s="357" t="s">
        <v>276</v>
      </c>
      <c r="AU2292" s="357" t="s">
        <v>276</v>
      </c>
      <c r="AV2292" s="357" t="s">
        <v>276</v>
      </c>
      <c r="AW2292" s="357" t="s">
        <v>276</v>
      </c>
      <c r="AX2292" s="357" t="s">
        <v>276</v>
      </c>
      <c r="AY2292" s="357" t="s">
        <v>276</v>
      </c>
      <c r="AZ2292" s="357" t="s">
        <v>276</v>
      </c>
      <c r="BA2292" s="357" t="s">
        <v>276</v>
      </c>
      <c r="BB2292" s="357" t="s">
        <v>276</v>
      </c>
      <c r="BC2292" s="357" t="s">
        <v>276</v>
      </c>
      <c r="BD2292" s="357" t="s">
        <v>276</v>
      </c>
      <c r="BE2292" s="357" t="s">
        <v>276</v>
      </c>
      <c r="BF2292" s="351" t="s">
        <v>5783</v>
      </c>
      <c r="BG2292" s="393"/>
      <c r="BH2292" s="9" t="s">
        <v>100</v>
      </c>
      <c r="BI2292" s="9" t="s">
        <v>100</v>
      </c>
    </row>
    <row r="2293" spans="1:67" s="394" customFormat="1" ht="52" hidden="1" x14ac:dyDescent="0.35">
      <c r="A2293" s="357">
        <v>10483</v>
      </c>
      <c r="B2293" s="357" t="s">
        <v>5383</v>
      </c>
      <c r="C2293" s="357" t="s">
        <v>88</v>
      </c>
      <c r="D2293" s="351" t="s">
        <v>5784</v>
      </c>
      <c r="E2293" s="357" t="s">
        <v>43</v>
      </c>
      <c r="F2293" s="351" t="s">
        <v>4987</v>
      </c>
      <c r="G2293" s="357" t="s">
        <v>225</v>
      </c>
      <c r="H2293" s="357" t="s">
        <v>125</v>
      </c>
      <c r="I2293" s="357" t="s">
        <v>114</v>
      </c>
      <c r="J2293" s="351" t="s">
        <v>98</v>
      </c>
      <c r="K2293" s="357" t="s">
        <v>98</v>
      </c>
      <c r="L2293" s="357" t="s">
        <v>98</v>
      </c>
      <c r="M2293" s="357" t="s">
        <v>98</v>
      </c>
      <c r="N2293" s="351" t="s">
        <v>5385</v>
      </c>
      <c r="O2293" s="351" t="s">
        <v>276</v>
      </c>
      <c r="P2293" s="351" t="s">
        <v>238</v>
      </c>
      <c r="Q2293" s="383" t="s">
        <v>5201</v>
      </c>
      <c r="R2293" s="351" t="s">
        <v>98</v>
      </c>
      <c r="S2293" s="807" t="s">
        <v>5684</v>
      </c>
      <c r="T2293" s="807"/>
      <c r="U2293" s="351">
        <v>4</v>
      </c>
      <c r="V2293" s="357" t="s">
        <v>259</v>
      </c>
      <c r="W2293" s="351" t="s">
        <v>5386</v>
      </c>
      <c r="X2293" s="351" t="s">
        <v>209</v>
      </c>
      <c r="Y2293" s="354">
        <v>20985</v>
      </c>
      <c r="Z2293" s="355" t="s">
        <v>98</v>
      </c>
      <c r="AA2293" s="357" t="s">
        <v>276</v>
      </c>
      <c r="AB2293" s="354" t="s">
        <v>98</v>
      </c>
      <c r="AC2293" s="357" t="s">
        <v>276</v>
      </c>
      <c r="AD2293" s="357" t="s">
        <v>5574</v>
      </c>
      <c r="AE2293" s="357" t="s">
        <v>98</v>
      </c>
      <c r="AF2293" s="357" t="s">
        <v>98</v>
      </c>
      <c r="AG2293" s="351" t="s">
        <v>5678</v>
      </c>
      <c r="AH2293" s="351" t="s">
        <v>5596</v>
      </c>
      <c r="AI2293" s="354">
        <v>2113</v>
      </c>
      <c r="AJ2293" s="354" t="s">
        <v>98</v>
      </c>
      <c r="AK2293" s="354">
        <v>20985</v>
      </c>
      <c r="AL2293" s="355" t="s">
        <v>98</v>
      </c>
      <c r="AM2293" s="355" t="s">
        <v>690</v>
      </c>
      <c r="AN2293" s="357" t="s">
        <v>276</v>
      </c>
      <c r="AO2293" s="386">
        <f>AI2293*1000/AK2293</f>
        <v>100.69096974029068</v>
      </c>
      <c r="AP2293" s="357" t="s">
        <v>276</v>
      </c>
      <c r="AQ2293" s="357" t="s">
        <v>276</v>
      </c>
      <c r="AR2293" s="357" t="s">
        <v>276</v>
      </c>
      <c r="AS2293" s="357" t="s">
        <v>276</v>
      </c>
      <c r="AT2293" s="357" t="s">
        <v>276</v>
      </c>
      <c r="AU2293" s="357" t="s">
        <v>276</v>
      </c>
      <c r="AV2293" s="357" t="s">
        <v>276</v>
      </c>
      <c r="AW2293" s="357" t="s">
        <v>276</v>
      </c>
      <c r="AX2293" s="357" t="s">
        <v>276</v>
      </c>
      <c r="AY2293" s="357" t="s">
        <v>276</v>
      </c>
      <c r="AZ2293" s="357" t="s">
        <v>276</v>
      </c>
      <c r="BA2293" s="357" t="s">
        <v>276</v>
      </c>
      <c r="BB2293" s="357" t="s">
        <v>276</v>
      </c>
      <c r="BC2293" s="357" t="s">
        <v>276</v>
      </c>
      <c r="BD2293" s="357" t="s">
        <v>276</v>
      </c>
      <c r="BE2293" s="357" t="s">
        <v>276</v>
      </c>
      <c r="BF2293" s="351" t="s">
        <v>5783</v>
      </c>
      <c r="BG2293" s="393"/>
      <c r="BH2293" s="9" t="s">
        <v>100</v>
      </c>
      <c r="BI2293" s="9" t="s">
        <v>100</v>
      </c>
    </row>
    <row r="2294" spans="1:67" s="374" customFormat="1" ht="65" hidden="1" x14ac:dyDescent="0.35">
      <c r="A2294" s="357">
        <v>10483</v>
      </c>
      <c r="B2294" s="357" t="s">
        <v>5383</v>
      </c>
      <c r="C2294" s="357" t="s">
        <v>88</v>
      </c>
      <c r="D2294" s="351" t="s">
        <v>5785</v>
      </c>
      <c r="E2294" s="357" t="s">
        <v>43</v>
      </c>
      <c r="F2294" s="351" t="s">
        <v>4987</v>
      </c>
      <c r="G2294" s="357" t="s">
        <v>225</v>
      </c>
      <c r="H2294" s="357" t="s">
        <v>125</v>
      </c>
      <c r="I2294" s="357" t="s">
        <v>114</v>
      </c>
      <c r="J2294" s="351" t="s">
        <v>29</v>
      </c>
      <c r="K2294" s="395" t="s">
        <v>1709</v>
      </c>
      <c r="L2294" s="357" t="s">
        <v>98</v>
      </c>
      <c r="M2294" s="357" t="s">
        <v>98</v>
      </c>
      <c r="N2294" s="351" t="s">
        <v>5385</v>
      </c>
      <c r="O2294" s="351" t="s">
        <v>276</v>
      </c>
      <c r="P2294" s="351" t="s">
        <v>237</v>
      </c>
      <c r="Q2294" s="383" t="s">
        <v>5201</v>
      </c>
      <c r="R2294" s="351" t="s">
        <v>276</v>
      </c>
      <c r="S2294" s="807" t="s">
        <v>5684</v>
      </c>
      <c r="T2294" s="807"/>
      <c r="U2294" s="351">
        <v>4</v>
      </c>
      <c r="V2294" s="357" t="s">
        <v>259</v>
      </c>
      <c r="W2294" s="351" t="s">
        <v>5386</v>
      </c>
      <c r="X2294" s="351" t="s">
        <v>209</v>
      </c>
      <c r="Y2294" s="355" t="s">
        <v>98</v>
      </c>
      <c r="Z2294" s="355" t="s">
        <v>98</v>
      </c>
      <c r="AA2294" s="351" t="s">
        <v>276</v>
      </c>
      <c r="AB2294" s="351" t="s">
        <v>98</v>
      </c>
      <c r="AC2294" s="357" t="s">
        <v>276</v>
      </c>
      <c r="AD2294" s="357" t="s">
        <v>5574</v>
      </c>
      <c r="AE2294" s="357" t="s">
        <v>98</v>
      </c>
      <c r="AF2294" s="357" t="s">
        <v>98</v>
      </c>
      <c r="AG2294" s="351" t="s">
        <v>5786</v>
      </c>
      <c r="AH2294" s="351" t="s">
        <v>5787</v>
      </c>
      <c r="AI2294" s="355">
        <v>126</v>
      </c>
      <c r="AJ2294" s="355" t="s">
        <v>98</v>
      </c>
      <c r="AK2294" s="355">
        <v>205</v>
      </c>
      <c r="AL2294" s="355" t="s">
        <v>98</v>
      </c>
      <c r="AM2294" s="355" t="s">
        <v>292</v>
      </c>
      <c r="AN2294" s="357" t="s">
        <v>276</v>
      </c>
      <c r="AO2294" s="386">
        <f t="shared" ref="AO2294:AO2295" si="617">AI2294*100/AK2294</f>
        <v>61.463414634146339</v>
      </c>
      <c r="AP2294" s="357" t="s">
        <v>276</v>
      </c>
      <c r="AQ2294" s="357" t="s">
        <v>276</v>
      </c>
      <c r="AR2294" s="357" t="s">
        <v>98</v>
      </c>
      <c r="AS2294" s="357" t="s">
        <v>98</v>
      </c>
      <c r="AT2294" s="357" t="s">
        <v>98</v>
      </c>
      <c r="AU2294" s="357" t="s">
        <v>98</v>
      </c>
      <c r="AV2294" s="357" t="s">
        <v>98</v>
      </c>
      <c r="AW2294" s="357" t="s">
        <v>98</v>
      </c>
      <c r="AX2294" s="357" t="s">
        <v>98</v>
      </c>
      <c r="AY2294" s="357" t="s">
        <v>98</v>
      </c>
      <c r="AZ2294" s="357" t="s">
        <v>98</v>
      </c>
      <c r="BA2294" s="357" t="s">
        <v>98</v>
      </c>
      <c r="BB2294" s="357" t="s">
        <v>98</v>
      </c>
      <c r="BC2294" s="357" t="s">
        <v>98</v>
      </c>
      <c r="BD2294" s="357" t="s">
        <v>98</v>
      </c>
      <c r="BE2294" s="357" t="s">
        <v>98</v>
      </c>
      <c r="BF2294" s="351" t="s">
        <v>298</v>
      </c>
      <c r="BG2294" s="351"/>
      <c r="BH2294" s="9" t="s">
        <v>100</v>
      </c>
      <c r="BI2294" s="9" t="s">
        <v>100</v>
      </c>
      <c r="BJ2294" s="373"/>
      <c r="BN2294" s="373"/>
      <c r="BO2294" s="373"/>
    </row>
    <row r="2295" spans="1:67" s="374" customFormat="1" ht="65" hidden="1" x14ac:dyDescent="0.35">
      <c r="A2295" s="357">
        <v>10483</v>
      </c>
      <c r="B2295" s="357" t="s">
        <v>5383</v>
      </c>
      <c r="C2295" s="357" t="s">
        <v>88</v>
      </c>
      <c r="D2295" s="351" t="s">
        <v>5788</v>
      </c>
      <c r="E2295" s="357" t="s">
        <v>43</v>
      </c>
      <c r="F2295" s="351" t="s">
        <v>4987</v>
      </c>
      <c r="G2295" s="357" t="s">
        <v>225</v>
      </c>
      <c r="H2295" s="357" t="s">
        <v>125</v>
      </c>
      <c r="I2295" s="357" t="s">
        <v>114</v>
      </c>
      <c r="J2295" s="351" t="s">
        <v>29</v>
      </c>
      <c r="K2295" s="395" t="s">
        <v>1237</v>
      </c>
      <c r="L2295" s="357" t="s">
        <v>98</v>
      </c>
      <c r="M2295" s="357" t="s">
        <v>98</v>
      </c>
      <c r="N2295" s="351" t="s">
        <v>5385</v>
      </c>
      <c r="O2295" s="351" t="s">
        <v>276</v>
      </c>
      <c r="P2295" s="351" t="s">
        <v>237</v>
      </c>
      <c r="Q2295" s="383" t="s">
        <v>5201</v>
      </c>
      <c r="R2295" s="351" t="s">
        <v>276</v>
      </c>
      <c r="S2295" s="807" t="s">
        <v>5684</v>
      </c>
      <c r="T2295" s="807"/>
      <c r="U2295" s="351">
        <v>4</v>
      </c>
      <c r="V2295" s="357" t="s">
        <v>259</v>
      </c>
      <c r="W2295" s="351" t="s">
        <v>5386</v>
      </c>
      <c r="X2295" s="351" t="s">
        <v>209</v>
      </c>
      <c r="Y2295" s="355" t="s">
        <v>98</v>
      </c>
      <c r="Z2295" s="355" t="s">
        <v>98</v>
      </c>
      <c r="AA2295" s="351" t="s">
        <v>276</v>
      </c>
      <c r="AB2295" s="351" t="s">
        <v>98</v>
      </c>
      <c r="AC2295" s="357" t="s">
        <v>276</v>
      </c>
      <c r="AD2295" s="357" t="s">
        <v>5574</v>
      </c>
      <c r="AE2295" s="357" t="s">
        <v>98</v>
      </c>
      <c r="AF2295" s="357" t="s">
        <v>98</v>
      </c>
      <c r="AG2295" s="351" t="s">
        <v>5789</v>
      </c>
      <c r="AH2295" s="351" t="s">
        <v>5790</v>
      </c>
      <c r="AI2295" s="355">
        <f>399+126+38</f>
        <v>563</v>
      </c>
      <c r="AJ2295" s="355" t="s">
        <v>98</v>
      </c>
      <c r="AK2295" s="355">
        <f>205+71+468</f>
        <v>744</v>
      </c>
      <c r="AL2295" s="355" t="s">
        <v>98</v>
      </c>
      <c r="AM2295" s="355" t="s">
        <v>292</v>
      </c>
      <c r="AN2295" s="357" t="s">
        <v>276</v>
      </c>
      <c r="AO2295" s="386">
        <f t="shared" si="617"/>
        <v>75.672043010752688</v>
      </c>
      <c r="AP2295" s="357" t="s">
        <v>276</v>
      </c>
      <c r="AQ2295" s="357" t="s">
        <v>276</v>
      </c>
      <c r="AR2295" s="357" t="s">
        <v>98</v>
      </c>
      <c r="AS2295" s="357" t="s">
        <v>98</v>
      </c>
      <c r="AT2295" s="357" t="s">
        <v>98</v>
      </c>
      <c r="AU2295" s="357" t="s">
        <v>98</v>
      </c>
      <c r="AV2295" s="357" t="s">
        <v>98</v>
      </c>
      <c r="AW2295" s="357" t="s">
        <v>98</v>
      </c>
      <c r="AX2295" s="357" t="s">
        <v>98</v>
      </c>
      <c r="AY2295" s="357" t="s">
        <v>98</v>
      </c>
      <c r="AZ2295" s="357" t="s">
        <v>98</v>
      </c>
      <c r="BA2295" s="357" t="s">
        <v>98</v>
      </c>
      <c r="BB2295" s="357" t="s">
        <v>98</v>
      </c>
      <c r="BC2295" s="357" t="s">
        <v>98</v>
      </c>
      <c r="BD2295" s="357" t="s">
        <v>98</v>
      </c>
      <c r="BE2295" s="357" t="s">
        <v>98</v>
      </c>
      <c r="BF2295" s="351" t="s">
        <v>298</v>
      </c>
      <c r="BG2295" s="351"/>
      <c r="BH2295" s="9" t="s">
        <v>100</v>
      </c>
      <c r="BI2295" s="9" t="s">
        <v>100</v>
      </c>
      <c r="BJ2295" s="373"/>
      <c r="BN2295" s="373"/>
      <c r="BO2295" s="373"/>
    </row>
    <row r="2296" spans="1:67" s="394" customFormat="1" ht="52" hidden="1" x14ac:dyDescent="0.35">
      <c r="A2296" s="357">
        <v>9995</v>
      </c>
      <c r="B2296" s="357" t="s">
        <v>5359</v>
      </c>
      <c r="C2296" s="357" t="s">
        <v>88</v>
      </c>
      <c r="D2296" s="351" t="s">
        <v>5791</v>
      </c>
      <c r="E2296" s="357" t="s">
        <v>43</v>
      </c>
      <c r="F2296" s="351" t="s">
        <v>4987</v>
      </c>
      <c r="G2296" s="357" t="s">
        <v>225</v>
      </c>
      <c r="H2296" s="357" t="s">
        <v>125</v>
      </c>
      <c r="I2296" s="357" t="s">
        <v>114</v>
      </c>
      <c r="J2296" s="351" t="s">
        <v>98</v>
      </c>
      <c r="K2296" s="357" t="s">
        <v>98</v>
      </c>
      <c r="L2296" s="357" t="s">
        <v>98</v>
      </c>
      <c r="M2296" s="357" t="s">
        <v>98</v>
      </c>
      <c r="N2296" s="351" t="s">
        <v>276</v>
      </c>
      <c r="O2296" s="351" t="s">
        <v>276</v>
      </c>
      <c r="P2296" s="351" t="s">
        <v>236</v>
      </c>
      <c r="Q2296" s="383">
        <v>37653</v>
      </c>
      <c r="R2296" s="351" t="s">
        <v>3010</v>
      </c>
      <c r="S2296" s="389" t="s">
        <v>276</v>
      </c>
      <c r="T2296" s="357" t="s">
        <v>98</v>
      </c>
      <c r="U2296" s="351">
        <v>2</v>
      </c>
      <c r="V2296" s="357" t="s">
        <v>261</v>
      </c>
      <c r="W2296" s="351" t="s">
        <v>5168</v>
      </c>
      <c r="X2296" s="351" t="s">
        <v>209</v>
      </c>
      <c r="Y2296" s="354" t="s">
        <v>98</v>
      </c>
      <c r="Z2296" s="355" t="s">
        <v>98</v>
      </c>
      <c r="AA2296" s="357" t="s">
        <v>276</v>
      </c>
      <c r="AB2296" s="354" t="s">
        <v>98</v>
      </c>
      <c r="AC2296" s="357" t="s">
        <v>276</v>
      </c>
      <c r="AD2296" s="357" t="s">
        <v>5574</v>
      </c>
      <c r="AE2296" s="357" t="s">
        <v>98</v>
      </c>
      <c r="AF2296" s="357" t="s">
        <v>98</v>
      </c>
      <c r="AG2296" s="351" t="s">
        <v>5792</v>
      </c>
      <c r="AH2296" s="351" t="s">
        <v>5793</v>
      </c>
      <c r="AI2296" s="354">
        <f>40+14</f>
        <v>54</v>
      </c>
      <c r="AJ2296" s="354" t="s">
        <v>98</v>
      </c>
      <c r="AK2296" s="354">
        <v>78</v>
      </c>
      <c r="AL2296" s="355" t="s">
        <v>98</v>
      </c>
      <c r="AM2296" s="355" t="s">
        <v>292</v>
      </c>
      <c r="AN2296" s="357" t="s">
        <v>276</v>
      </c>
      <c r="AO2296" s="386">
        <f>AI2296*100/AK2296</f>
        <v>69.230769230769226</v>
      </c>
      <c r="AP2296" s="357" t="s">
        <v>276</v>
      </c>
      <c r="AQ2296" s="357" t="s">
        <v>276</v>
      </c>
      <c r="AR2296" s="368" t="s">
        <v>98</v>
      </c>
      <c r="AS2296" s="368" t="s">
        <v>98</v>
      </c>
      <c r="AT2296" s="368" t="s">
        <v>98</v>
      </c>
      <c r="AU2296" s="368" t="s">
        <v>98</v>
      </c>
      <c r="AV2296" s="357" t="s">
        <v>98</v>
      </c>
      <c r="AW2296" s="357" t="s">
        <v>98</v>
      </c>
      <c r="AX2296" s="357" t="s">
        <v>98</v>
      </c>
      <c r="AY2296" s="357" t="s">
        <v>98</v>
      </c>
      <c r="AZ2296" s="357" t="s">
        <v>98</v>
      </c>
      <c r="BA2296" s="357" t="s">
        <v>98</v>
      </c>
      <c r="BB2296" s="357" t="s">
        <v>98</v>
      </c>
      <c r="BC2296" s="357" t="s">
        <v>98</v>
      </c>
      <c r="BD2296" s="357" t="s">
        <v>98</v>
      </c>
      <c r="BE2296" s="357" t="s">
        <v>98</v>
      </c>
      <c r="BF2296" s="351" t="s">
        <v>5794</v>
      </c>
      <c r="BG2296" s="393"/>
      <c r="BH2296" s="9" t="s">
        <v>100</v>
      </c>
      <c r="BI2296" s="9" t="s">
        <v>100</v>
      </c>
    </row>
    <row r="2297" spans="1:67" s="394" customFormat="1" ht="52" hidden="1" x14ac:dyDescent="0.35">
      <c r="A2297" s="357">
        <v>9995</v>
      </c>
      <c r="B2297" s="357" t="s">
        <v>5359</v>
      </c>
      <c r="C2297" s="357" t="s">
        <v>88</v>
      </c>
      <c r="D2297" s="351" t="s">
        <v>5795</v>
      </c>
      <c r="E2297" s="357" t="s">
        <v>43</v>
      </c>
      <c r="F2297" s="351" t="s">
        <v>4987</v>
      </c>
      <c r="G2297" s="357" t="s">
        <v>225</v>
      </c>
      <c r="H2297" s="357" t="s">
        <v>125</v>
      </c>
      <c r="I2297" s="357" t="s">
        <v>114</v>
      </c>
      <c r="J2297" s="351" t="s">
        <v>98</v>
      </c>
      <c r="K2297" s="357" t="s">
        <v>98</v>
      </c>
      <c r="L2297" s="357" t="s">
        <v>98</v>
      </c>
      <c r="M2297" s="357" t="s">
        <v>98</v>
      </c>
      <c r="N2297" s="351" t="s">
        <v>276</v>
      </c>
      <c r="O2297" s="351" t="s">
        <v>276</v>
      </c>
      <c r="P2297" s="351" t="s">
        <v>238</v>
      </c>
      <c r="Q2297" s="383">
        <v>37653</v>
      </c>
      <c r="R2297" s="351" t="s">
        <v>3010</v>
      </c>
      <c r="S2297" s="389" t="s">
        <v>276</v>
      </c>
      <c r="T2297" s="357" t="s">
        <v>98</v>
      </c>
      <c r="U2297" s="351">
        <v>2</v>
      </c>
      <c r="V2297" s="357" t="s">
        <v>261</v>
      </c>
      <c r="W2297" s="351" t="s">
        <v>5168</v>
      </c>
      <c r="X2297" s="351" t="s">
        <v>209</v>
      </c>
      <c r="Y2297" s="354">
        <v>2416</v>
      </c>
      <c r="Z2297" s="355" t="s">
        <v>98</v>
      </c>
      <c r="AA2297" s="357" t="s">
        <v>276</v>
      </c>
      <c r="AB2297" s="354" t="s">
        <v>98</v>
      </c>
      <c r="AC2297" s="357" t="s">
        <v>276</v>
      </c>
      <c r="AD2297" s="357" t="s">
        <v>5574</v>
      </c>
      <c r="AE2297" s="357" t="s">
        <v>98</v>
      </c>
      <c r="AF2297" s="357" t="s">
        <v>98</v>
      </c>
      <c r="AG2297" s="351" t="s">
        <v>5792</v>
      </c>
      <c r="AH2297" s="351" t="s">
        <v>5796</v>
      </c>
      <c r="AI2297" s="354">
        <f>40+14</f>
        <v>54</v>
      </c>
      <c r="AJ2297" s="354" t="s">
        <v>98</v>
      </c>
      <c r="AK2297" s="354">
        <v>2416</v>
      </c>
      <c r="AL2297" s="355" t="s">
        <v>98</v>
      </c>
      <c r="AM2297" s="355" t="s">
        <v>690</v>
      </c>
      <c r="AN2297" s="357" t="s">
        <v>276</v>
      </c>
      <c r="AO2297" s="386">
        <f>AI2297*1000/AK2297</f>
        <v>22.350993377483444</v>
      </c>
      <c r="AP2297" s="357" t="s">
        <v>276</v>
      </c>
      <c r="AQ2297" s="357" t="s">
        <v>276</v>
      </c>
      <c r="AR2297" s="368" t="s">
        <v>98</v>
      </c>
      <c r="AS2297" s="368" t="s">
        <v>98</v>
      </c>
      <c r="AT2297" s="368" t="s">
        <v>98</v>
      </c>
      <c r="AU2297" s="368" t="s">
        <v>98</v>
      </c>
      <c r="AV2297" s="357" t="s">
        <v>98</v>
      </c>
      <c r="AW2297" s="357" t="s">
        <v>98</v>
      </c>
      <c r="AX2297" s="357" t="s">
        <v>98</v>
      </c>
      <c r="AY2297" s="357" t="s">
        <v>98</v>
      </c>
      <c r="AZ2297" s="357" t="s">
        <v>98</v>
      </c>
      <c r="BA2297" s="357" t="s">
        <v>98</v>
      </c>
      <c r="BB2297" s="357" t="s">
        <v>98</v>
      </c>
      <c r="BC2297" s="357" t="s">
        <v>98</v>
      </c>
      <c r="BD2297" s="357" t="s">
        <v>98</v>
      </c>
      <c r="BE2297" s="357" t="s">
        <v>98</v>
      </c>
      <c r="BF2297" s="351" t="s">
        <v>426</v>
      </c>
      <c r="BG2297" s="393"/>
      <c r="BH2297" s="9" t="s">
        <v>100</v>
      </c>
      <c r="BI2297" s="9" t="s">
        <v>100</v>
      </c>
    </row>
    <row r="2298" spans="1:67" s="374" customFormat="1" ht="52" hidden="1" x14ac:dyDescent="0.35">
      <c r="A2298" s="357">
        <v>10250</v>
      </c>
      <c r="B2298" s="357" t="s">
        <v>5797</v>
      </c>
      <c r="C2298" s="357" t="s">
        <v>88</v>
      </c>
      <c r="D2298" s="351" t="s">
        <v>5798</v>
      </c>
      <c r="E2298" s="357" t="s">
        <v>43</v>
      </c>
      <c r="F2298" s="351" t="s">
        <v>4987</v>
      </c>
      <c r="G2298" s="357" t="s">
        <v>225</v>
      </c>
      <c r="H2298" s="357" t="s">
        <v>125</v>
      </c>
      <c r="I2298" s="357" t="s">
        <v>114</v>
      </c>
      <c r="J2298" s="351" t="s">
        <v>98</v>
      </c>
      <c r="K2298" s="357" t="s">
        <v>98</v>
      </c>
      <c r="L2298" s="357" t="s">
        <v>98</v>
      </c>
      <c r="M2298" s="357" t="s">
        <v>98</v>
      </c>
      <c r="N2298" s="351" t="s">
        <v>5799</v>
      </c>
      <c r="O2298" s="357" t="s">
        <v>276</v>
      </c>
      <c r="P2298" s="351" t="s">
        <v>236</v>
      </c>
      <c r="Q2298" s="351" t="s">
        <v>5800</v>
      </c>
      <c r="R2298" s="351" t="s">
        <v>276</v>
      </c>
      <c r="S2298" s="351" t="s">
        <v>5801</v>
      </c>
      <c r="T2298" s="357" t="s">
        <v>98</v>
      </c>
      <c r="U2298" s="351">
        <v>3</v>
      </c>
      <c r="V2298" s="357" t="s">
        <v>261</v>
      </c>
      <c r="W2298" s="357" t="s">
        <v>5162</v>
      </c>
      <c r="X2298" s="351" t="s">
        <v>209</v>
      </c>
      <c r="Y2298" s="354" t="s">
        <v>98</v>
      </c>
      <c r="Z2298" s="355" t="s">
        <v>98</v>
      </c>
      <c r="AA2298" s="354" t="s">
        <v>276</v>
      </c>
      <c r="AB2298" s="354" t="s">
        <v>276</v>
      </c>
      <c r="AC2298" s="357" t="s">
        <v>276</v>
      </c>
      <c r="AD2298" s="357" t="s">
        <v>5574</v>
      </c>
      <c r="AE2298" s="357" t="s">
        <v>98</v>
      </c>
      <c r="AF2298" s="357" t="s">
        <v>98</v>
      </c>
      <c r="AG2298" s="351" t="s">
        <v>5802</v>
      </c>
      <c r="AH2298" s="351" t="s">
        <v>5803</v>
      </c>
      <c r="AI2298" s="354">
        <f>543+613+455</f>
        <v>1611</v>
      </c>
      <c r="AJ2298" s="354" t="s">
        <v>98</v>
      </c>
      <c r="AK2298" s="355">
        <v>2655</v>
      </c>
      <c r="AL2298" s="355" t="s">
        <v>98</v>
      </c>
      <c r="AM2298" s="355" t="s">
        <v>292</v>
      </c>
      <c r="AN2298" s="368" t="s">
        <v>98</v>
      </c>
      <c r="AO2298" s="356">
        <f>AI2298*100/AK2298</f>
        <v>60.677966101694913</v>
      </c>
      <c r="AP2298" s="356" t="s">
        <v>276</v>
      </c>
      <c r="AQ2298" s="356" t="s">
        <v>276</v>
      </c>
      <c r="AR2298" s="368" t="s">
        <v>98</v>
      </c>
      <c r="AS2298" s="368" t="s">
        <v>98</v>
      </c>
      <c r="AT2298" s="368" t="s">
        <v>98</v>
      </c>
      <c r="AU2298" s="368" t="s">
        <v>98</v>
      </c>
      <c r="AV2298" s="357" t="s">
        <v>98</v>
      </c>
      <c r="AW2298" s="357" t="s">
        <v>98</v>
      </c>
      <c r="AX2298" s="357" t="s">
        <v>98</v>
      </c>
      <c r="AY2298" s="357" t="s">
        <v>98</v>
      </c>
      <c r="AZ2298" s="357" t="s">
        <v>98</v>
      </c>
      <c r="BA2298" s="357" t="s">
        <v>98</v>
      </c>
      <c r="BB2298" s="357" t="s">
        <v>98</v>
      </c>
      <c r="BC2298" s="357" t="s">
        <v>98</v>
      </c>
      <c r="BD2298" s="357" t="s">
        <v>98</v>
      </c>
      <c r="BE2298" s="357" t="s">
        <v>98</v>
      </c>
      <c r="BF2298" s="351" t="s">
        <v>1358</v>
      </c>
      <c r="BG2298" s="351"/>
      <c r="BH2298" s="9" t="s">
        <v>100</v>
      </c>
      <c r="BI2298" s="9" t="s">
        <v>100</v>
      </c>
    </row>
    <row r="2299" spans="1:67" s="374" customFormat="1" ht="52" hidden="1" x14ac:dyDescent="0.35">
      <c r="A2299" s="357">
        <v>10250</v>
      </c>
      <c r="B2299" s="357" t="s">
        <v>5797</v>
      </c>
      <c r="C2299" s="357" t="s">
        <v>88</v>
      </c>
      <c r="D2299" s="351" t="s">
        <v>5804</v>
      </c>
      <c r="E2299" s="357" t="s">
        <v>43</v>
      </c>
      <c r="F2299" s="351" t="s">
        <v>4987</v>
      </c>
      <c r="G2299" s="357" t="s">
        <v>225</v>
      </c>
      <c r="H2299" s="357" t="s">
        <v>125</v>
      </c>
      <c r="I2299" s="357" t="s">
        <v>114</v>
      </c>
      <c r="J2299" s="351" t="s">
        <v>98</v>
      </c>
      <c r="K2299" s="357" t="s">
        <v>98</v>
      </c>
      <c r="L2299" s="357" t="s">
        <v>98</v>
      </c>
      <c r="M2299" s="357" t="s">
        <v>98</v>
      </c>
      <c r="N2299" s="351" t="s">
        <v>5799</v>
      </c>
      <c r="O2299" s="357" t="s">
        <v>276</v>
      </c>
      <c r="P2299" s="351" t="s">
        <v>238</v>
      </c>
      <c r="Q2299" s="351" t="s">
        <v>5800</v>
      </c>
      <c r="R2299" s="351" t="s">
        <v>276</v>
      </c>
      <c r="S2299" s="351" t="s">
        <v>5801</v>
      </c>
      <c r="T2299" s="357" t="s">
        <v>98</v>
      </c>
      <c r="U2299" s="351">
        <v>3</v>
      </c>
      <c r="V2299" s="357" t="s">
        <v>261</v>
      </c>
      <c r="W2299" s="357" t="s">
        <v>5162</v>
      </c>
      <c r="X2299" s="351" t="s">
        <v>209</v>
      </c>
      <c r="Y2299" s="354">
        <v>31866</v>
      </c>
      <c r="Z2299" s="355" t="s">
        <v>98</v>
      </c>
      <c r="AA2299" s="354" t="s">
        <v>276</v>
      </c>
      <c r="AB2299" s="354" t="s">
        <v>276</v>
      </c>
      <c r="AC2299" s="357" t="s">
        <v>276</v>
      </c>
      <c r="AD2299" s="357" t="s">
        <v>5574</v>
      </c>
      <c r="AE2299" s="357" t="s">
        <v>98</v>
      </c>
      <c r="AF2299" s="357" t="s">
        <v>98</v>
      </c>
      <c r="AG2299" s="351" t="s">
        <v>5802</v>
      </c>
      <c r="AH2299" s="351" t="s">
        <v>5796</v>
      </c>
      <c r="AI2299" s="354">
        <f>543+613+455</f>
        <v>1611</v>
      </c>
      <c r="AJ2299" s="354" t="s">
        <v>98</v>
      </c>
      <c r="AK2299" s="355">
        <v>31866</v>
      </c>
      <c r="AL2299" s="355" t="s">
        <v>98</v>
      </c>
      <c r="AM2299" s="355" t="s">
        <v>690</v>
      </c>
      <c r="AN2299" s="368" t="s">
        <v>98</v>
      </c>
      <c r="AO2299" s="356">
        <f>AI2299*1000/AK2299</f>
        <v>50.555450950856709</v>
      </c>
      <c r="AP2299" s="356" t="s">
        <v>276</v>
      </c>
      <c r="AQ2299" s="356" t="s">
        <v>276</v>
      </c>
      <c r="AR2299" s="368" t="s">
        <v>98</v>
      </c>
      <c r="AS2299" s="368" t="s">
        <v>98</v>
      </c>
      <c r="AT2299" s="368" t="s">
        <v>98</v>
      </c>
      <c r="AU2299" s="368" t="s">
        <v>98</v>
      </c>
      <c r="AV2299" s="357" t="s">
        <v>98</v>
      </c>
      <c r="AW2299" s="357" t="s">
        <v>98</v>
      </c>
      <c r="AX2299" s="357" t="s">
        <v>98</v>
      </c>
      <c r="AY2299" s="357" t="s">
        <v>98</v>
      </c>
      <c r="AZ2299" s="357" t="s">
        <v>98</v>
      </c>
      <c r="BA2299" s="357" t="s">
        <v>98</v>
      </c>
      <c r="BB2299" s="357" t="s">
        <v>98</v>
      </c>
      <c r="BC2299" s="357" t="s">
        <v>98</v>
      </c>
      <c r="BD2299" s="357" t="s">
        <v>98</v>
      </c>
      <c r="BE2299" s="357" t="s">
        <v>98</v>
      </c>
      <c r="BF2299" s="351" t="s">
        <v>1358</v>
      </c>
      <c r="BG2299" s="351"/>
      <c r="BH2299" s="9" t="s">
        <v>100</v>
      </c>
      <c r="BI2299" s="9" t="s">
        <v>100</v>
      </c>
    </row>
    <row r="2300" spans="1:67" s="394" customFormat="1" ht="52" hidden="1" x14ac:dyDescent="0.35">
      <c r="A2300" s="357">
        <v>2814</v>
      </c>
      <c r="B2300" s="357" t="s">
        <v>5805</v>
      </c>
      <c r="C2300" s="357" t="s">
        <v>88</v>
      </c>
      <c r="D2300" s="351" t="s">
        <v>5806</v>
      </c>
      <c r="E2300" s="357" t="s">
        <v>43</v>
      </c>
      <c r="F2300" s="351" t="s">
        <v>4987</v>
      </c>
      <c r="G2300" s="357" t="s">
        <v>225</v>
      </c>
      <c r="H2300" s="357" t="s">
        <v>125</v>
      </c>
      <c r="I2300" s="357" t="s">
        <v>114</v>
      </c>
      <c r="J2300" s="351" t="s">
        <v>98</v>
      </c>
      <c r="K2300" s="357" t="s">
        <v>98</v>
      </c>
      <c r="L2300" s="357" t="s">
        <v>98</v>
      </c>
      <c r="M2300" s="357" t="s">
        <v>98</v>
      </c>
      <c r="N2300" s="360" t="s">
        <v>5807</v>
      </c>
      <c r="O2300" s="351" t="s">
        <v>276</v>
      </c>
      <c r="P2300" s="351" t="s">
        <v>236</v>
      </c>
      <c r="Q2300" s="383" t="s">
        <v>5808</v>
      </c>
      <c r="R2300" s="351" t="s">
        <v>746</v>
      </c>
      <c r="S2300" s="351" t="s">
        <v>276</v>
      </c>
      <c r="T2300" s="351" t="s">
        <v>98</v>
      </c>
      <c r="U2300" s="351">
        <v>4</v>
      </c>
      <c r="V2300" s="357" t="s">
        <v>261</v>
      </c>
      <c r="W2300" s="357" t="s">
        <v>5159</v>
      </c>
      <c r="X2300" s="351" t="s">
        <v>209</v>
      </c>
      <c r="Y2300" s="354" t="s">
        <v>98</v>
      </c>
      <c r="Z2300" s="354" t="s">
        <v>98</v>
      </c>
      <c r="AA2300" s="351" t="s">
        <v>276</v>
      </c>
      <c r="AB2300" s="351" t="s">
        <v>276</v>
      </c>
      <c r="AC2300" s="357">
        <v>0</v>
      </c>
      <c r="AD2300" s="357" t="s">
        <v>5574</v>
      </c>
      <c r="AE2300" s="357" t="s">
        <v>98</v>
      </c>
      <c r="AF2300" s="357" t="s">
        <v>98</v>
      </c>
      <c r="AG2300" s="351" t="s">
        <v>5809</v>
      </c>
      <c r="AH2300" s="351" t="s">
        <v>5810</v>
      </c>
      <c r="AI2300" s="357">
        <v>550</v>
      </c>
      <c r="AJ2300" s="354" t="s">
        <v>98</v>
      </c>
      <c r="AK2300" s="354">
        <v>640</v>
      </c>
      <c r="AL2300" s="355" t="s">
        <v>98</v>
      </c>
      <c r="AM2300" s="357" t="s">
        <v>292</v>
      </c>
      <c r="AN2300" s="357" t="s">
        <v>276</v>
      </c>
      <c r="AO2300" s="369">
        <f t="shared" ref="AO2300" si="618">AI2300*100/AK2300</f>
        <v>85.9375</v>
      </c>
      <c r="AP2300" s="357" t="s">
        <v>276</v>
      </c>
      <c r="AQ2300" s="357" t="s">
        <v>276</v>
      </c>
      <c r="AR2300" s="357" t="s">
        <v>276</v>
      </c>
      <c r="AS2300" s="369" t="s">
        <v>98</v>
      </c>
      <c r="AT2300" s="368" t="s">
        <v>98</v>
      </c>
      <c r="AU2300" s="368" t="s">
        <v>98</v>
      </c>
      <c r="AV2300" s="357" t="s">
        <v>98</v>
      </c>
      <c r="AW2300" s="357" t="s">
        <v>98</v>
      </c>
      <c r="AX2300" s="357" t="s">
        <v>98</v>
      </c>
      <c r="AY2300" s="357" t="s">
        <v>98</v>
      </c>
      <c r="AZ2300" s="357" t="s">
        <v>98</v>
      </c>
      <c r="BA2300" s="357" t="s">
        <v>98</v>
      </c>
      <c r="BB2300" s="357" t="s">
        <v>98</v>
      </c>
      <c r="BC2300" s="357" t="s">
        <v>98</v>
      </c>
      <c r="BD2300" s="357" t="s">
        <v>98</v>
      </c>
      <c r="BE2300" s="357" t="s">
        <v>98</v>
      </c>
      <c r="BF2300" s="357" t="s">
        <v>5811</v>
      </c>
      <c r="BG2300" s="393"/>
      <c r="BH2300" s="9" t="s">
        <v>100</v>
      </c>
      <c r="BI2300" s="9" t="s">
        <v>100</v>
      </c>
    </row>
    <row r="2301" spans="1:67" s="394" customFormat="1" ht="52" hidden="1" x14ac:dyDescent="0.35">
      <c r="A2301" s="357">
        <v>2814</v>
      </c>
      <c r="B2301" s="357" t="s">
        <v>5805</v>
      </c>
      <c r="C2301" s="357" t="s">
        <v>88</v>
      </c>
      <c r="D2301" s="351" t="s">
        <v>5812</v>
      </c>
      <c r="E2301" s="357" t="s">
        <v>43</v>
      </c>
      <c r="F2301" s="351" t="s">
        <v>4987</v>
      </c>
      <c r="G2301" s="357" t="s">
        <v>225</v>
      </c>
      <c r="H2301" s="357" t="s">
        <v>125</v>
      </c>
      <c r="I2301" s="357" t="s">
        <v>114</v>
      </c>
      <c r="J2301" s="351" t="s">
        <v>98</v>
      </c>
      <c r="K2301" s="357" t="s">
        <v>98</v>
      </c>
      <c r="L2301" s="357" t="s">
        <v>98</v>
      </c>
      <c r="M2301" s="357" t="s">
        <v>98</v>
      </c>
      <c r="N2301" s="360" t="s">
        <v>5807</v>
      </c>
      <c r="O2301" s="351" t="s">
        <v>276</v>
      </c>
      <c r="P2301" s="351" t="s">
        <v>238</v>
      </c>
      <c r="Q2301" s="383" t="s">
        <v>5808</v>
      </c>
      <c r="R2301" s="351" t="s">
        <v>746</v>
      </c>
      <c r="S2301" s="351" t="s">
        <v>276</v>
      </c>
      <c r="T2301" s="351" t="s">
        <v>98</v>
      </c>
      <c r="U2301" s="351">
        <v>4</v>
      </c>
      <c r="V2301" s="357" t="s">
        <v>261</v>
      </c>
      <c r="W2301" s="357" t="s">
        <v>5159</v>
      </c>
      <c r="X2301" s="351" t="s">
        <v>209</v>
      </c>
      <c r="Y2301" s="354">
        <v>9972</v>
      </c>
      <c r="Z2301" s="354" t="s">
        <v>98</v>
      </c>
      <c r="AA2301" s="351" t="s">
        <v>276</v>
      </c>
      <c r="AB2301" s="351" t="s">
        <v>276</v>
      </c>
      <c r="AC2301" s="357">
        <v>0</v>
      </c>
      <c r="AD2301" s="357" t="s">
        <v>5574</v>
      </c>
      <c r="AE2301" s="357" t="s">
        <v>98</v>
      </c>
      <c r="AF2301" s="357" t="s">
        <v>98</v>
      </c>
      <c r="AG2301" s="351" t="s">
        <v>5809</v>
      </c>
      <c r="AH2301" s="351" t="s">
        <v>5596</v>
      </c>
      <c r="AI2301" s="357">
        <v>550</v>
      </c>
      <c r="AJ2301" s="354" t="s">
        <v>98</v>
      </c>
      <c r="AK2301" s="354">
        <v>9972</v>
      </c>
      <c r="AL2301" s="355" t="s">
        <v>98</v>
      </c>
      <c r="AM2301" s="355" t="s">
        <v>690</v>
      </c>
      <c r="AN2301" s="357" t="s">
        <v>276</v>
      </c>
      <c r="AO2301" s="369">
        <f>AI2301*1000/AK2301</f>
        <v>55.154432410750097</v>
      </c>
      <c r="AP2301" s="357" t="s">
        <v>276</v>
      </c>
      <c r="AQ2301" s="357" t="s">
        <v>276</v>
      </c>
      <c r="AR2301" s="357" t="s">
        <v>276</v>
      </c>
      <c r="AS2301" s="369" t="s">
        <v>98</v>
      </c>
      <c r="AT2301" s="368" t="s">
        <v>98</v>
      </c>
      <c r="AU2301" s="368" t="s">
        <v>98</v>
      </c>
      <c r="AV2301" s="357" t="s">
        <v>98</v>
      </c>
      <c r="AW2301" s="357" t="s">
        <v>98</v>
      </c>
      <c r="AX2301" s="357" t="s">
        <v>98</v>
      </c>
      <c r="AY2301" s="357" t="s">
        <v>98</v>
      </c>
      <c r="AZ2301" s="357" t="s">
        <v>98</v>
      </c>
      <c r="BA2301" s="357" t="s">
        <v>98</v>
      </c>
      <c r="BB2301" s="357" t="s">
        <v>98</v>
      </c>
      <c r="BC2301" s="357" t="s">
        <v>98</v>
      </c>
      <c r="BD2301" s="357" t="s">
        <v>98</v>
      </c>
      <c r="BE2301" s="357" t="s">
        <v>98</v>
      </c>
      <c r="BF2301" s="357" t="s">
        <v>5811</v>
      </c>
      <c r="BG2301" s="393"/>
      <c r="BH2301" s="9" t="s">
        <v>100</v>
      </c>
      <c r="BI2301" s="9" t="s">
        <v>100</v>
      </c>
    </row>
    <row r="2302" spans="1:67" s="394" customFormat="1" ht="65" hidden="1" x14ac:dyDescent="0.35">
      <c r="A2302" s="357">
        <v>2813</v>
      </c>
      <c r="B2302" s="357" t="s">
        <v>5421</v>
      </c>
      <c r="C2302" s="357" t="s">
        <v>88</v>
      </c>
      <c r="D2302" s="351" t="s">
        <v>5813</v>
      </c>
      <c r="E2302" s="357" t="s">
        <v>43</v>
      </c>
      <c r="F2302" s="351" t="s">
        <v>4987</v>
      </c>
      <c r="G2302" s="357" t="s">
        <v>225</v>
      </c>
      <c r="H2302" s="357" t="s">
        <v>125</v>
      </c>
      <c r="I2302" s="357" t="s">
        <v>114</v>
      </c>
      <c r="J2302" s="351" t="s">
        <v>98</v>
      </c>
      <c r="K2302" s="357" t="s">
        <v>98</v>
      </c>
      <c r="L2302" s="357" t="s">
        <v>98</v>
      </c>
      <c r="M2302" s="357" t="s">
        <v>98</v>
      </c>
      <c r="N2302" s="351" t="s">
        <v>5814</v>
      </c>
      <c r="O2302" s="351" t="s">
        <v>276</v>
      </c>
      <c r="P2302" s="351" t="s">
        <v>236</v>
      </c>
      <c r="Q2302" s="383" t="s">
        <v>5034</v>
      </c>
      <c r="R2302" s="351" t="s">
        <v>779</v>
      </c>
      <c r="S2302" s="351" t="s">
        <v>276</v>
      </c>
      <c r="T2302" s="351" t="s">
        <v>98</v>
      </c>
      <c r="U2302" s="351">
        <v>7</v>
      </c>
      <c r="V2302" s="357" t="s">
        <v>261</v>
      </c>
      <c r="W2302" s="357" t="s">
        <v>5159</v>
      </c>
      <c r="X2302" s="351" t="s">
        <v>209</v>
      </c>
      <c r="Y2302" s="354" t="s">
        <v>98</v>
      </c>
      <c r="Z2302" s="354" t="s">
        <v>98</v>
      </c>
      <c r="AA2302" s="351" t="s">
        <v>276</v>
      </c>
      <c r="AB2302" s="351" t="s">
        <v>276</v>
      </c>
      <c r="AC2302" s="357">
        <v>0</v>
      </c>
      <c r="AD2302" s="357" t="s">
        <v>5574</v>
      </c>
      <c r="AE2302" s="357" t="s">
        <v>98</v>
      </c>
      <c r="AF2302" s="357" t="s">
        <v>98</v>
      </c>
      <c r="AG2302" s="351" t="s">
        <v>5815</v>
      </c>
      <c r="AH2302" s="351" t="s">
        <v>5816</v>
      </c>
      <c r="AI2302" s="357">
        <v>896</v>
      </c>
      <c r="AJ2302" s="354" t="s">
        <v>98</v>
      </c>
      <c r="AK2302" s="354">
        <v>1138</v>
      </c>
      <c r="AL2302" s="355" t="s">
        <v>98</v>
      </c>
      <c r="AM2302" s="357" t="s">
        <v>292</v>
      </c>
      <c r="AN2302" s="357">
        <v>78.7</v>
      </c>
      <c r="AO2302" s="369">
        <f t="shared" ref="AO2302" si="619">AI2302*100/AK2302</f>
        <v>78.734622144112478</v>
      </c>
      <c r="AP2302" s="357" t="s">
        <v>276</v>
      </c>
      <c r="AQ2302" s="357" t="s">
        <v>276</v>
      </c>
      <c r="AR2302" s="357" t="s">
        <v>276</v>
      </c>
      <c r="AS2302" s="369" t="s">
        <v>98</v>
      </c>
      <c r="AT2302" s="368" t="s">
        <v>98</v>
      </c>
      <c r="AU2302" s="368" t="s">
        <v>98</v>
      </c>
      <c r="AV2302" s="357" t="s">
        <v>98</v>
      </c>
      <c r="AW2302" s="357" t="s">
        <v>98</v>
      </c>
      <c r="AX2302" s="357" t="s">
        <v>98</v>
      </c>
      <c r="AY2302" s="357" t="s">
        <v>98</v>
      </c>
      <c r="AZ2302" s="357" t="s">
        <v>98</v>
      </c>
      <c r="BA2302" s="357" t="s">
        <v>98</v>
      </c>
      <c r="BB2302" s="357" t="s">
        <v>98</v>
      </c>
      <c r="BC2302" s="357" t="s">
        <v>98</v>
      </c>
      <c r="BD2302" s="357" t="s">
        <v>98</v>
      </c>
      <c r="BE2302" s="357" t="s">
        <v>98</v>
      </c>
      <c r="BF2302" s="351" t="s">
        <v>5817</v>
      </c>
      <c r="BG2302" s="393"/>
      <c r="BH2302" s="9" t="s">
        <v>100</v>
      </c>
      <c r="BI2302" s="9" t="s">
        <v>100</v>
      </c>
    </row>
    <row r="2303" spans="1:67" s="394" customFormat="1" ht="65" hidden="1" x14ac:dyDescent="0.35">
      <c r="A2303" s="357">
        <v>2813</v>
      </c>
      <c r="B2303" s="357" t="s">
        <v>5421</v>
      </c>
      <c r="C2303" s="357" t="s">
        <v>88</v>
      </c>
      <c r="D2303" s="351" t="s">
        <v>5818</v>
      </c>
      <c r="E2303" s="357" t="s">
        <v>43</v>
      </c>
      <c r="F2303" s="351" t="s">
        <v>4987</v>
      </c>
      <c r="G2303" s="357" t="s">
        <v>225</v>
      </c>
      <c r="H2303" s="357" t="s">
        <v>125</v>
      </c>
      <c r="I2303" s="357" t="s">
        <v>114</v>
      </c>
      <c r="J2303" s="351" t="s">
        <v>98</v>
      </c>
      <c r="K2303" s="357" t="s">
        <v>98</v>
      </c>
      <c r="L2303" s="357" t="s">
        <v>98</v>
      </c>
      <c r="M2303" s="357" t="s">
        <v>98</v>
      </c>
      <c r="N2303" s="351" t="s">
        <v>5814</v>
      </c>
      <c r="O2303" s="351" t="s">
        <v>276</v>
      </c>
      <c r="P2303" s="351" t="s">
        <v>238</v>
      </c>
      <c r="Q2303" s="383" t="s">
        <v>5034</v>
      </c>
      <c r="R2303" s="351" t="s">
        <v>779</v>
      </c>
      <c r="S2303" s="351" t="s">
        <v>276</v>
      </c>
      <c r="T2303" s="351" t="s">
        <v>98</v>
      </c>
      <c r="U2303" s="351">
        <v>7</v>
      </c>
      <c r="V2303" s="357" t="s">
        <v>261</v>
      </c>
      <c r="W2303" s="357" t="s">
        <v>5159</v>
      </c>
      <c r="X2303" s="351" t="s">
        <v>209</v>
      </c>
      <c r="Y2303" s="354">
        <v>9952</v>
      </c>
      <c r="Z2303" s="354" t="s">
        <v>98</v>
      </c>
      <c r="AA2303" s="351" t="s">
        <v>276</v>
      </c>
      <c r="AB2303" s="351" t="s">
        <v>276</v>
      </c>
      <c r="AC2303" s="357">
        <v>0</v>
      </c>
      <c r="AD2303" s="357" t="s">
        <v>5574</v>
      </c>
      <c r="AE2303" s="357" t="s">
        <v>98</v>
      </c>
      <c r="AF2303" s="357" t="s">
        <v>98</v>
      </c>
      <c r="AG2303" s="351" t="s">
        <v>5815</v>
      </c>
      <c r="AH2303" s="351" t="s">
        <v>5596</v>
      </c>
      <c r="AI2303" s="357">
        <v>896</v>
      </c>
      <c r="AJ2303" s="354" t="s">
        <v>98</v>
      </c>
      <c r="AK2303" s="354">
        <v>9952</v>
      </c>
      <c r="AL2303" s="355" t="s">
        <v>98</v>
      </c>
      <c r="AM2303" s="355" t="s">
        <v>690</v>
      </c>
      <c r="AN2303" s="357" t="s">
        <v>276</v>
      </c>
      <c r="AO2303" s="369">
        <f>AI2303*1000/AK2303</f>
        <v>90.032154340836016</v>
      </c>
      <c r="AP2303" s="357" t="s">
        <v>276</v>
      </c>
      <c r="AQ2303" s="357" t="s">
        <v>276</v>
      </c>
      <c r="AR2303" s="357" t="s">
        <v>276</v>
      </c>
      <c r="AS2303" s="369" t="s">
        <v>98</v>
      </c>
      <c r="AT2303" s="368" t="s">
        <v>98</v>
      </c>
      <c r="AU2303" s="368" t="s">
        <v>98</v>
      </c>
      <c r="AV2303" s="357" t="s">
        <v>98</v>
      </c>
      <c r="AW2303" s="357" t="s">
        <v>98</v>
      </c>
      <c r="AX2303" s="357" t="s">
        <v>98</v>
      </c>
      <c r="AY2303" s="357" t="s">
        <v>98</v>
      </c>
      <c r="AZ2303" s="357" t="s">
        <v>98</v>
      </c>
      <c r="BA2303" s="357" t="s">
        <v>98</v>
      </c>
      <c r="BB2303" s="357" t="s">
        <v>98</v>
      </c>
      <c r="BC2303" s="357" t="s">
        <v>98</v>
      </c>
      <c r="BD2303" s="357" t="s">
        <v>98</v>
      </c>
      <c r="BE2303" s="357" t="s">
        <v>98</v>
      </c>
      <c r="BF2303" s="351" t="s">
        <v>5817</v>
      </c>
      <c r="BG2303" s="393"/>
      <c r="BH2303" s="9" t="s">
        <v>100</v>
      </c>
      <c r="BI2303" s="9" t="s">
        <v>100</v>
      </c>
    </row>
    <row r="2304" spans="1:67" s="394" customFormat="1" ht="52" hidden="1" x14ac:dyDescent="0.35">
      <c r="A2304" s="357">
        <v>6325</v>
      </c>
      <c r="B2304" s="357" t="s">
        <v>5476</v>
      </c>
      <c r="C2304" s="357" t="s">
        <v>88</v>
      </c>
      <c r="D2304" s="351" t="s">
        <v>5819</v>
      </c>
      <c r="E2304" s="357" t="s">
        <v>43</v>
      </c>
      <c r="F2304" s="351" t="s">
        <v>4987</v>
      </c>
      <c r="G2304" s="357" t="s">
        <v>225</v>
      </c>
      <c r="H2304" s="357" t="s">
        <v>125</v>
      </c>
      <c r="I2304" s="357" t="s">
        <v>114</v>
      </c>
      <c r="J2304" s="351" t="s">
        <v>98</v>
      </c>
      <c r="K2304" s="357" t="s">
        <v>98</v>
      </c>
      <c r="L2304" s="357" t="s">
        <v>98</v>
      </c>
      <c r="M2304" s="357" t="s">
        <v>98</v>
      </c>
      <c r="N2304" s="351" t="s">
        <v>5820</v>
      </c>
      <c r="O2304" s="351" t="s">
        <v>276</v>
      </c>
      <c r="P2304" s="351" t="s">
        <v>236</v>
      </c>
      <c r="Q2304" s="383" t="s">
        <v>5821</v>
      </c>
      <c r="R2304" s="351" t="s">
        <v>5481</v>
      </c>
      <c r="S2304" s="351" t="s">
        <v>276</v>
      </c>
      <c r="T2304" s="351" t="s">
        <v>98</v>
      </c>
      <c r="U2304" s="351" t="s">
        <v>5484</v>
      </c>
      <c r="V2304" s="357" t="s">
        <v>261</v>
      </c>
      <c r="W2304" s="357" t="s">
        <v>5159</v>
      </c>
      <c r="X2304" s="351" t="s">
        <v>209</v>
      </c>
      <c r="Y2304" s="354" t="s">
        <v>98</v>
      </c>
      <c r="Z2304" s="354" t="s">
        <v>98</v>
      </c>
      <c r="AA2304" s="351" t="s">
        <v>276</v>
      </c>
      <c r="AB2304" s="351" t="s">
        <v>276</v>
      </c>
      <c r="AC2304" s="357">
        <v>0</v>
      </c>
      <c r="AD2304" s="357" t="s">
        <v>5574</v>
      </c>
      <c r="AE2304" s="357" t="s">
        <v>98</v>
      </c>
      <c r="AF2304" s="357" t="s">
        <v>98</v>
      </c>
      <c r="AG2304" s="351" t="s">
        <v>5822</v>
      </c>
      <c r="AH2304" s="351" t="s">
        <v>5823</v>
      </c>
      <c r="AI2304" s="357">
        <v>1046</v>
      </c>
      <c r="AJ2304" s="354" t="s">
        <v>98</v>
      </c>
      <c r="AK2304" s="354">
        <v>1528</v>
      </c>
      <c r="AL2304" s="355" t="s">
        <v>98</v>
      </c>
      <c r="AM2304" s="357" t="s">
        <v>292</v>
      </c>
      <c r="AN2304" s="357" t="s">
        <v>276</v>
      </c>
      <c r="AO2304" s="369">
        <f t="shared" ref="AO2304" si="620">AI2304*100/AK2304</f>
        <v>68.455497382198956</v>
      </c>
      <c r="AP2304" s="357" t="s">
        <v>276</v>
      </c>
      <c r="AQ2304" s="357" t="s">
        <v>276</v>
      </c>
      <c r="AR2304" s="357" t="s">
        <v>276</v>
      </c>
      <c r="AS2304" s="369" t="s">
        <v>98</v>
      </c>
      <c r="AT2304" s="368" t="s">
        <v>98</v>
      </c>
      <c r="AU2304" s="368" t="s">
        <v>98</v>
      </c>
      <c r="AV2304" s="357" t="s">
        <v>98</v>
      </c>
      <c r="AW2304" s="357" t="s">
        <v>98</v>
      </c>
      <c r="AX2304" s="357" t="s">
        <v>98</v>
      </c>
      <c r="AY2304" s="357" t="s">
        <v>98</v>
      </c>
      <c r="AZ2304" s="357" t="s">
        <v>98</v>
      </c>
      <c r="BA2304" s="357" t="s">
        <v>98</v>
      </c>
      <c r="BB2304" s="357" t="s">
        <v>98</v>
      </c>
      <c r="BC2304" s="357" t="s">
        <v>98</v>
      </c>
      <c r="BD2304" s="357" t="s">
        <v>98</v>
      </c>
      <c r="BE2304" s="357" t="s">
        <v>98</v>
      </c>
      <c r="BF2304" s="351" t="s">
        <v>5824</v>
      </c>
      <c r="BG2304" s="393"/>
      <c r="BH2304" s="9" t="s">
        <v>100</v>
      </c>
      <c r="BI2304" s="9" t="s">
        <v>100</v>
      </c>
    </row>
    <row r="2305" spans="1:67" s="394" customFormat="1" ht="52" hidden="1" x14ac:dyDescent="0.35">
      <c r="A2305" s="357">
        <v>6325</v>
      </c>
      <c r="B2305" s="357" t="s">
        <v>5476</v>
      </c>
      <c r="C2305" s="357" t="s">
        <v>88</v>
      </c>
      <c r="D2305" s="351" t="s">
        <v>5825</v>
      </c>
      <c r="E2305" s="357" t="s">
        <v>43</v>
      </c>
      <c r="F2305" s="351" t="s">
        <v>4987</v>
      </c>
      <c r="G2305" s="357" t="s">
        <v>225</v>
      </c>
      <c r="H2305" s="357" t="s">
        <v>125</v>
      </c>
      <c r="I2305" s="357" t="s">
        <v>114</v>
      </c>
      <c r="J2305" s="351" t="s">
        <v>98</v>
      </c>
      <c r="K2305" s="357" t="s">
        <v>98</v>
      </c>
      <c r="L2305" s="357" t="s">
        <v>98</v>
      </c>
      <c r="M2305" s="357" t="s">
        <v>98</v>
      </c>
      <c r="N2305" s="351" t="s">
        <v>5820</v>
      </c>
      <c r="O2305" s="351" t="s">
        <v>276</v>
      </c>
      <c r="P2305" s="351" t="s">
        <v>238</v>
      </c>
      <c r="Q2305" s="383" t="s">
        <v>5821</v>
      </c>
      <c r="R2305" s="351" t="s">
        <v>5481</v>
      </c>
      <c r="S2305" s="351" t="s">
        <v>276</v>
      </c>
      <c r="T2305" s="351" t="s">
        <v>98</v>
      </c>
      <c r="U2305" s="351" t="s">
        <v>5484</v>
      </c>
      <c r="V2305" s="357" t="s">
        <v>261</v>
      </c>
      <c r="W2305" s="357" t="s">
        <v>5159</v>
      </c>
      <c r="X2305" s="351" t="s">
        <v>209</v>
      </c>
      <c r="Y2305" s="354">
        <v>9945</v>
      </c>
      <c r="Z2305" s="354" t="s">
        <v>98</v>
      </c>
      <c r="AA2305" s="351" t="s">
        <v>276</v>
      </c>
      <c r="AB2305" s="351" t="s">
        <v>276</v>
      </c>
      <c r="AC2305" s="357">
        <v>0</v>
      </c>
      <c r="AD2305" s="357" t="s">
        <v>5574</v>
      </c>
      <c r="AE2305" s="357" t="s">
        <v>98</v>
      </c>
      <c r="AF2305" s="357" t="s">
        <v>98</v>
      </c>
      <c r="AG2305" s="351" t="s">
        <v>5822</v>
      </c>
      <c r="AH2305" s="351" t="s">
        <v>5596</v>
      </c>
      <c r="AI2305" s="357">
        <v>1046</v>
      </c>
      <c r="AJ2305" s="354" t="s">
        <v>98</v>
      </c>
      <c r="AK2305" s="354">
        <v>9945</v>
      </c>
      <c r="AL2305" s="355" t="s">
        <v>98</v>
      </c>
      <c r="AM2305" s="355" t="s">
        <v>690</v>
      </c>
      <c r="AN2305" s="357" t="s">
        <v>276</v>
      </c>
      <c r="AO2305" s="369">
        <f>AI2305*1000/AK2305</f>
        <v>105.17848164906988</v>
      </c>
      <c r="AP2305" s="357" t="s">
        <v>276</v>
      </c>
      <c r="AQ2305" s="357" t="s">
        <v>276</v>
      </c>
      <c r="AR2305" s="357" t="s">
        <v>276</v>
      </c>
      <c r="AS2305" s="369" t="s">
        <v>98</v>
      </c>
      <c r="AT2305" s="368" t="s">
        <v>98</v>
      </c>
      <c r="AU2305" s="368" t="s">
        <v>98</v>
      </c>
      <c r="AV2305" s="357" t="s">
        <v>98</v>
      </c>
      <c r="AW2305" s="357" t="s">
        <v>98</v>
      </c>
      <c r="AX2305" s="357" t="s">
        <v>98</v>
      </c>
      <c r="AY2305" s="357" t="s">
        <v>98</v>
      </c>
      <c r="AZ2305" s="357" t="s">
        <v>98</v>
      </c>
      <c r="BA2305" s="357" t="s">
        <v>98</v>
      </c>
      <c r="BB2305" s="357" t="s">
        <v>98</v>
      </c>
      <c r="BC2305" s="357" t="s">
        <v>98</v>
      </c>
      <c r="BD2305" s="357" t="s">
        <v>98</v>
      </c>
      <c r="BE2305" s="357" t="s">
        <v>98</v>
      </c>
      <c r="BF2305" s="351" t="s">
        <v>5826</v>
      </c>
      <c r="BG2305" s="393"/>
      <c r="BH2305" s="9" t="s">
        <v>100</v>
      </c>
      <c r="BI2305" s="9" t="s">
        <v>100</v>
      </c>
    </row>
    <row r="2306" spans="1:67" s="394" customFormat="1" ht="52" hidden="1" x14ac:dyDescent="0.35">
      <c r="A2306" s="357">
        <v>10679</v>
      </c>
      <c r="B2306" s="357" t="s">
        <v>5501</v>
      </c>
      <c r="C2306" s="357" t="s">
        <v>88</v>
      </c>
      <c r="D2306" s="351" t="s">
        <v>5827</v>
      </c>
      <c r="E2306" s="357" t="s">
        <v>43</v>
      </c>
      <c r="F2306" s="351" t="s">
        <v>4987</v>
      </c>
      <c r="G2306" s="357" t="s">
        <v>225</v>
      </c>
      <c r="H2306" s="357" t="s">
        <v>125</v>
      </c>
      <c r="I2306" s="357" t="s">
        <v>114</v>
      </c>
      <c r="J2306" s="351" t="s">
        <v>98</v>
      </c>
      <c r="K2306" s="357" t="s">
        <v>98</v>
      </c>
      <c r="L2306" s="357" t="s">
        <v>98</v>
      </c>
      <c r="M2306" s="357" t="s">
        <v>98</v>
      </c>
      <c r="N2306" s="351" t="s">
        <v>5828</v>
      </c>
      <c r="O2306" s="351" t="s">
        <v>276</v>
      </c>
      <c r="P2306" s="351" t="s">
        <v>236</v>
      </c>
      <c r="Q2306" s="383" t="s">
        <v>5829</v>
      </c>
      <c r="R2306" s="351" t="s">
        <v>1702</v>
      </c>
      <c r="S2306" s="351" t="s">
        <v>5505</v>
      </c>
      <c r="T2306" s="351" t="s">
        <v>98</v>
      </c>
      <c r="U2306" s="351">
        <v>2</v>
      </c>
      <c r="V2306" s="357" t="s">
        <v>261</v>
      </c>
      <c r="W2306" s="357" t="s">
        <v>5504</v>
      </c>
      <c r="X2306" s="351" t="s">
        <v>209</v>
      </c>
      <c r="Y2306" s="354" t="s">
        <v>98</v>
      </c>
      <c r="Z2306" s="354" t="s">
        <v>98</v>
      </c>
      <c r="AA2306" s="351" t="s">
        <v>276</v>
      </c>
      <c r="AB2306" s="351" t="s">
        <v>276</v>
      </c>
      <c r="AC2306" s="357">
        <v>0</v>
      </c>
      <c r="AD2306" s="357" t="s">
        <v>5574</v>
      </c>
      <c r="AE2306" s="357" t="s">
        <v>98</v>
      </c>
      <c r="AF2306" s="357" t="s">
        <v>98</v>
      </c>
      <c r="AG2306" s="351" t="s">
        <v>5830</v>
      </c>
      <c r="AH2306" s="351" t="s">
        <v>5831</v>
      </c>
      <c r="AI2306" s="357">
        <v>344</v>
      </c>
      <c r="AJ2306" s="354" t="s">
        <v>98</v>
      </c>
      <c r="AK2306" s="354">
        <v>2479</v>
      </c>
      <c r="AL2306" s="355" t="s">
        <v>98</v>
      </c>
      <c r="AM2306" s="357" t="s">
        <v>292</v>
      </c>
      <c r="AN2306" s="357">
        <v>14</v>
      </c>
      <c r="AO2306" s="369">
        <f t="shared" ref="AO2306" si="621">AI2306*100/AK2306</f>
        <v>13.876563130294473</v>
      </c>
      <c r="AP2306" s="357" t="s">
        <v>276</v>
      </c>
      <c r="AQ2306" s="357" t="s">
        <v>276</v>
      </c>
      <c r="AR2306" s="357" t="s">
        <v>276</v>
      </c>
      <c r="AS2306" s="369" t="s">
        <v>98</v>
      </c>
      <c r="AT2306" s="368" t="s">
        <v>98</v>
      </c>
      <c r="AU2306" s="368" t="s">
        <v>98</v>
      </c>
      <c r="AV2306" s="357" t="s">
        <v>98</v>
      </c>
      <c r="AW2306" s="357" t="s">
        <v>98</v>
      </c>
      <c r="AX2306" s="357" t="s">
        <v>98</v>
      </c>
      <c r="AY2306" s="357" t="s">
        <v>98</v>
      </c>
      <c r="AZ2306" s="357" t="s">
        <v>98</v>
      </c>
      <c r="BA2306" s="357" t="s">
        <v>98</v>
      </c>
      <c r="BB2306" s="357" t="s">
        <v>98</v>
      </c>
      <c r="BC2306" s="357" t="s">
        <v>98</v>
      </c>
      <c r="BD2306" s="357" t="s">
        <v>98</v>
      </c>
      <c r="BE2306" s="357" t="s">
        <v>98</v>
      </c>
      <c r="BF2306" s="351" t="s">
        <v>5832</v>
      </c>
      <c r="BG2306" s="393"/>
      <c r="BH2306" s="9" t="s">
        <v>100</v>
      </c>
      <c r="BI2306" s="9" t="s">
        <v>100</v>
      </c>
    </row>
    <row r="2307" spans="1:67" s="394" customFormat="1" ht="52" hidden="1" x14ac:dyDescent="0.35">
      <c r="A2307" s="357">
        <v>10679</v>
      </c>
      <c r="B2307" s="357" t="s">
        <v>5501</v>
      </c>
      <c r="C2307" s="357" t="s">
        <v>88</v>
      </c>
      <c r="D2307" s="351" t="s">
        <v>5833</v>
      </c>
      <c r="E2307" s="357" t="s">
        <v>43</v>
      </c>
      <c r="F2307" s="351" t="s">
        <v>4987</v>
      </c>
      <c r="G2307" s="357" t="s">
        <v>225</v>
      </c>
      <c r="H2307" s="357" t="s">
        <v>125</v>
      </c>
      <c r="I2307" s="357" t="s">
        <v>114</v>
      </c>
      <c r="J2307" s="351" t="s">
        <v>98</v>
      </c>
      <c r="K2307" s="357" t="s">
        <v>98</v>
      </c>
      <c r="L2307" s="357" t="s">
        <v>98</v>
      </c>
      <c r="M2307" s="357" t="s">
        <v>98</v>
      </c>
      <c r="N2307" s="351" t="s">
        <v>5828</v>
      </c>
      <c r="O2307" s="351" t="s">
        <v>276</v>
      </c>
      <c r="P2307" s="351" t="s">
        <v>238</v>
      </c>
      <c r="Q2307" s="383" t="s">
        <v>5829</v>
      </c>
      <c r="R2307" s="351" t="s">
        <v>1702</v>
      </c>
      <c r="S2307" s="351" t="s">
        <v>5505</v>
      </c>
      <c r="T2307" s="351" t="s">
        <v>98</v>
      </c>
      <c r="U2307" s="351">
        <v>2</v>
      </c>
      <c r="V2307" s="357" t="s">
        <v>261</v>
      </c>
      <c r="W2307" s="357" t="s">
        <v>5504</v>
      </c>
      <c r="X2307" s="351" t="s">
        <v>209</v>
      </c>
      <c r="Y2307" s="354">
        <v>38474</v>
      </c>
      <c r="Z2307" s="354" t="s">
        <v>98</v>
      </c>
      <c r="AA2307" s="351" t="s">
        <v>276</v>
      </c>
      <c r="AB2307" s="351" t="s">
        <v>276</v>
      </c>
      <c r="AC2307" s="357">
        <v>0</v>
      </c>
      <c r="AD2307" s="357" t="s">
        <v>5574</v>
      </c>
      <c r="AE2307" s="357" t="s">
        <v>98</v>
      </c>
      <c r="AF2307" s="357" t="s">
        <v>98</v>
      </c>
      <c r="AG2307" s="351" t="s">
        <v>5834</v>
      </c>
      <c r="AH2307" s="351" t="s">
        <v>5596</v>
      </c>
      <c r="AI2307" s="357">
        <v>344</v>
      </c>
      <c r="AJ2307" s="354" t="s">
        <v>98</v>
      </c>
      <c r="AK2307" s="354">
        <v>38474</v>
      </c>
      <c r="AL2307" s="355" t="s">
        <v>98</v>
      </c>
      <c r="AM2307" s="355" t="s">
        <v>690</v>
      </c>
      <c r="AN2307" s="357">
        <v>14</v>
      </c>
      <c r="AO2307" s="369">
        <f>AI2307*1000/AK2307</f>
        <v>8.9411030826012379</v>
      </c>
      <c r="AP2307" s="357" t="s">
        <v>276</v>
      </c>
      <c r="AQ2307" s="357" t="s">
        <v>276</v>
      </c>
      <c r="AR2307" s="357" t="s">
        <v>276</v>
      </c>
      <c r="AS2307" s="369" t="s">
        <v>98</v>
      </c>
      <c r="AT2307" s="368" t="s">
        <v>98</v>
      </c>
      <c r="AU2307" s="368" t="s">
        <v>98</v>
      </c>
      <c r="AV2307" s="357" t="s">
        <v>98</v>
      </c>
      <c r="AW2307" s="357" t="s">
        <v>98</v>
      </c>
      <c r="AX2307" s="357" t="s">
        <v>98</v>
      </c>
      <c r="AY2307" s="357" t="s">
        <v>98</v>
      </c>
      <c r="AZ2307" s="357" t="s">
        <v>98</v>
      </c>
      <c r="BA2307" s="357" t="s">
        <v>98</v>
      </c>
      <c r="BB2307" s="357" t="s">
        <v>98</v>
      </c>
      <c r="BC2307" s="357" t="s">
        <v>98</v>
      </c>
      <c r="BD2307" s="357" t="s">
        <v>98</v>
      </c>
      <c r="BE2307" s="357" t="s">
        <v>98</v>
      </c>
      <c r="BF2307" s="351" t="s">
        <v>5835</v>
      </c>
      <c r="BG2307" s="393"/>
      <c r="BH2307" s="9" t="s">
        <v>100</v>
      </c>
      <c r="BI2307" s="9" t="s">
        <v>100</v>
      </c>
    </row>
    <row r="2308" spans="1:67" s="374" customFormat="1" ht="65" hidden="1" x14ac:dyDescent="0.35">
      <c r="A2308" s="357">
        <v>10547</v>
      </c>
      <c r="B2308" s="357" t="s">
        <v>4985</v>
      </c>
      <c r="C2308" s="357" t="s">
        <v>88</v>
      </c>
      <c r="D2308" s="351" t="s">
        <v>5836</v>
      </c>
      <c r="E2308" s="357" t="s">
        <v>43</v>
      </c>
      <c r="F2308" s="351" t="s">
        <v>4987</v>
      </c>
      <c r="G2308" s="357" t="s">
        <v>225</v>
      </c>
      <c r="H2308" s="357" t="s">
        <v>125</v>
      </c>
      <c r="I2308" s="357" t="s">
        <v>114</v>
      </c>
      <c r="J2308" s="351" t="s">
        <v>33</v>
      </c>
      <c r="K2308" s="357" t="s">
        <v>5837</v>
      </c>
      <c r="L2308" s="351" t="s">
        <v>5838</v>
      </c>
      <c r="M2308" s="351" t="s">
        <v>5838</v>
      </c>
      <c r="N2308" s="351" t="s">
        <v>5571</v>
      </c>
      <c r="O2308" s="351" t="s">
        <v>4989</v>
      </c>
      <c r="P2308" s="351" t="s">
        <v>239</v>
      </c>
      <c r="Q2308" s="383" t="s">
        <v>4991</v>
      </c>
      <c r="R2308" s="351" t="s">
        <v>98</v>
      </c>
      <c r="S2308" s="380" t="s">
        <v>5839</v>
      </c>
      <c r="T2308" s="380" t="s">
        <v>5840</v>
      </c>
      <c r="U2308" s="351" t="s">
        <v>276</v>
      </c>
      <c r="V2308" s="357" t="s">
        <v>259</v>
      </c>
      <c r="W2308" s="351" t="s">
        <v>4990</v>
      </c>
      <c r="X2308" s="351" t="s">
        <v>207</v>
      </c>
      <c r="Y2308" s="354">
        <v>72890</v>
      </c>
      <c r="Z2308" s="355">
        <v>89353</v>
      </c>
      <c r="AA2308" s="351" t="s">
        <v>276</v>
      </c>
      <c r="AB2308" s="351" t="s">
        <v>276</v>
      </c>
      <c r="AC2308" s="357">
        <v>627</v>
      </c>
      <c r="AD2308" s="357" t="s">
        <v>5841</v>
      </c>
      <c r="AE2308" s="357">
        <v>1094</v>
      </c>
      <c r="AF2308" s="357" t="s">
        <v>5841</v>
      </c>
      <c r="AG2308" s="351" t="s">
        <v>5842</v>
      </c>
      <c r="AH2308" s="351" t="s">
        <v>5843</v>
      </c>
      <c r="AI2308" s="355">
        <v>190</v>
      </c>
      <c r="AJ2308" s="355">
        <v>207</v>
      </c>
      <c r="AK2308" s="354">
        <v>72890</v>
      </c>
      <c r="AL2308" s="355">
        <v>89353</v>
      </c>
      <c r="AM2308" s="355" t="s">
        <v>690</v>
      </c>
      <c r="AN2308" s="357" t="s">
        <v>276</v>
      </c>
      <c r="AO2308" s="356">
        <f>AI2308*1000/AK2308</f>
        <v>2.6066675812868705</v>
      </c>
      <c r="AP2308" s="357" t="s">
        <v>276</v>
      </c>
      <c r="AQ2308" s="357" t="s">
        <v>276</v>
      </c>
      <c r="AR2308" s="357" t="s">
        <v>276</v>
      </c>
      <c r="AS2308" s="356">
        <f>AJ2308*1000/AL2308</f>
        <v>2.3166541694179266</v>
      </c>
      <c r="AT2308" s="357" t="s">
        <v>276</v>
      </c>
      <c r="AU2308" s="357" t="s">
        <v>276</v>
      </c>
      <c r="AV2308" s="357" t="s">
        <v>268</v>
      </c>
      <c r="AW2308" s="357" t="s">
        <v>276</v>
      </c>
      <c r="AX2308" s="369">
        <f>AO2308/AS2308</f>
        <v>1.1251863207281436</v>
      </c>
      <c r="AY2308" s="357" t="s">
        <v>276</v>
      </c>
      <c r="AZ2308" s="357" t="s">
        <v>276</v>
      </c>
      <c r="BA2308" s="357" t="s">
        <v>276</v>
      </c>
      <c r="BB2308" s="357" t="s">
        <v>282</v>
      </c>
      <c r="BC2308" s="357" t="s">
        <v>98</v>
      </c>
      <c r="BD2308" s="357" t="s">
        <v>98</v>
      </c>
      <c r="BE2308" s="357" t="s">
        <v>98</v>
      </c>
      <c r="BF2308" s="351" t="s">
        <v>5844</v>
      </c>
      <c r="BG2308" s="351"/>
      <c r="BH2308" s="9" t="s">
        <v>100</v>
      </c>
      <c r="BI2308" s="9" t="s">
        <v>100</v>
      </c>
      <c r="BJ2308" s="373"/>
      <c r="BN2308" s="373"/>
      <c r="BO2308" s="373"/>
    </row>
    <row r="2309" spans="1:67" s="374" customFormat="1" ht="65" hidden="1" x14ac:dyDescent="0.35">
      <c r="A2309" s="357">
        <v>10547</v>
      </c>
      <c r="B2309" s="357" t="s">
        <v>4985</v>
      </c>
      <c r="C2309" s="357" t="s">
        <v>88</v>
      </c>
      <c r="D2309" s="351" t="s">
        <v>5845</v>
      </c>
      <c r="E2309" s="357" t="s">
        <v>43</v>
      </c>
      <c r="F2309" s="351" t="s">
        <v>4987</v>
      </c>
      <c r="G2309" s="357" t="s">
        <v>225</v>
      </c>
      <c r="H2309" s="357" t="s">
        <v>125</v>
      </c>
      <c r="I2309" s="357" t="s">
        <v>114</v>
      </c>
      <c r="J2309" s="351" t="s">
        <v>33</v>
      </c>
      <c r="K2309" s="357" t="s">
        <v>5846</v>
      </c>
      <c r="L2309" s="351" t="s">
        <v>5838</v>
      </c>
      <c r="M2309" s="351" t="s">
        <v>5838</v>
      </c>
      <c r="N2309" s="351" t="s">
        <v>5571</v>
      </c>
      <c r="O2309" s="351" t="s">
        <v>4989</v>
      </c>
      <c r="P2309" s="351" t="s">
        <v>239</v>
      </c>
      <c r="Q2309" s="383" t="s">
        <v>4991</v>
      </c>
      <c r="R2309" s="351" t="s">
        <v>98</v>
      </c>
      <c r="S2309" s="380" t="s">
        <v>5839</v>
      </c>
      <c r="T2309" s="380" t="s">
        <v>5840</v>
      </c>
      <c r="U2309" s="351" t="s">
        <v>276</v>
      </c>
      <c r="V2309" s="357" t="s">
        <v>259</v>
      </c>
      <c r="W2309" s="351" t="s">
        <v>4990</v>
      </c>
      <c r="X2309" s="351" t="s">
        <v>207</v>
      </c>
      <c r="Y2309" s="354">
        <v>72890</v>
      </c>
      <c r="Z2309" s="355">
        <v>89353</v>
      </c>
      <c r="AA2309" s="351" t="s">
        <v>276</v>
      </c>
      <c r="AB2309" s="351" t="s">
        <v>276</v>
      </c>
      <c r="AC2309" s="357">
        <v>627</v>
      </c>
      <c r="AD2309" s="357" t="s">
        <v>5841</v>
      </c>
      <c r="AE2309" s="357">
        <v>1094</v>
      </c>
      <c r="AF2309" s="357" t="s">
        <v>5841</v>
      </c>
      <c r="AG2309" s="351" t="s">
        <v>5847</v>
      </c>
      <c r="AH2309" s="351" t="s">
        <v>5843</v>
      </c>
      <c r="AI2309" s="355">
        <v>3086</v>
      </c>
      <c r="AJ2309" s="355">
        <v>1346</v>
      </c>
      <c r="AK2309" s="354">
        <v>72890</v>
      </c>
      <c r="AL2309" s="355">
        <v>89353</v>
      </c>
      <c r="AM2309" s="355" t="s">
        <v>690</v>
      </c>
      <c r="AN2309" s="357" t="s">
        <v>276</v>
      </c>
      <c r="AO2309" s="356">
        <f t="shared" ref="AO2309:AO2312" si="622">AI2309*1000/AK2309</f>
        <v>42.33776924132254</v>
      </c>
      <c r="AP2309" s="357" t="s">
        <v>276</v>
      </c>
      <c r="AQ2309" s="357" t="s">
        <v>276</v>
      </c>
      <c r="AR2309" s="357" t="s">
        <v>276</v>
      </c>
      <c r="AS2309" s="356">
        <f t="shared" ref="AS2309:AS2312" si="623">AJ2309*1000/AL2309</f>
        <v>15.063847884234441</v>
      </c>
      <c r="AT2309" s="357" t="s">
        <v>276</v>
      </c>
      <c r="AU2309" s="357" t="s">
        <v>276</v>
      </c>
      <c r="AV2309" s="357" t="s">
        <v>268</v>
      </c>
      <c r="AW2309" s="357" t="s">
        <v>276</v>
      </c>
      <c r="AX2309" s="369">
        <f t="shared" ref="AX2309:AX2312" si="624">AO2309/AS2309</f>
        <v>2.8105547511291924</v>
      </c>
      <c r="AY2309" s="357" t="s">
        <v>276</v>
      </c>
      <c r="AZ2309" s="357" t="s">
        <v>276</v>
      </c>
      <c r="BA2309" s="357" t="s">
        <v>276</v>
      </c>
      <c r="BB2309" s="357" t="s">
        <v>282</v>
      </c>
      <c r="BC2309" s="357" t="s">
        <v>98</v>
      </c>
      <c r="BD2309" s="357" t="s">
        <v>98</v>
      </c>
      <c r="BE2309" s="357" t="s">
        <v>98</v>
      </c>
      <c r="BF2309" s="351" t="s">
        <v>5844</v>
      </c>
      <c r="BG2309" s="351"/>
      <c r="BH2309" s="9" t="s">
        <v>100</v>
      </c>
      <c r="BI2309" s="9" t="s">
        <v>100</v>
      </c>
      <c r="BJ2309" s="373"/>
      <c r="BN2309" s="373"/>
      <c r="BO2309" s="373"/>
    </row>
    <row r="2310" spans="1:67" s="374" customFormat="1" ht="65" hidden="1" x14ac:dyDescent="0.35">
      <c r="A2310" s="357">
        <v>10547</v>
      </c>
      <c r="B2310" s="357" t="s">
        <v>4985</v>
      </c>
      <c r="C2310" s="357" t="s">
        <v>88</v>
      </c>
      <c r="D2310" s="351" t="s">
        <v>5848</v>
      </c>
      <c r="E2310" s="357" t="s">
        <v>43</v>
      </c>
      <c r="F2310" s="351" t="s">
        <v>4987</v>
      </c>
      <c r="G2310" s="357" t="s">
        <v>225</v>
      </c>
      <c r="H2310" s="357" t="s">
        <v>125</v>
      </c>
      <c r="I2310" s="357" t="s">
        <v>114</v>
      </c>
      <c r="J2310" s="351" t="s">
        <v>33</v>
      </c>
      <c r="K2310" s="357" t="s">
        <v>2739</v>
      </c>
      <c r="L2310" s="351" t="s">
        <v>5838</v>
      </c>
      <c r="M2310" s="351" t="s">
        <v>5838</v>
      </c>
      <c r="N2310" s="351" t="s">
        <v>5571</v>
      </c>
      <c r="O2310" s="351" t="s">
        <v>4989</v>
      </c>
      <c r="P2310" s="351" t="s">
        <v>239</v>
      </c>
      <c r="Q2310" s="383" t="s">
        <v>4991</v>
      </c>
      <c r="R2310" s="351" t="s">
        <v>98</v>
      </c>
      <c r="S2310" s="380" t="s">
        <v>5839</v>
      </c>
      <c r="T2310" s="380" t="s">
        <v>5840</v>
      </c>
      <c r="U2310" s="351" t="s">
        <v>276</v>
      </c>
      <c r="V2310" s="357" t="s">
        <v>259</v>
      </c>
      <c r="W2310" s="351" t="s">
        <v>4990</v>
      </c>
      <c r="X2310" s="351" t="s">
        <v>207</v>
      </c>
      <c r="Y2310" s="354">
        <v>72890</v>
      </c>
      <c r="Z2310" s="355">
        <v>89353</v>
      </c>
      <c r="AA2310" s="351" t="s">
        <v>276</v>
      </c>
      <c r="AB2310" s="351" t="s">
        <v>276</v>
      </c>
      <c r="AC2310" s="357">
        <v>627</v>
      </c>
      <c r="AD2310" s="357" t="s">
        <v>5841</v>
      </c>
      <c r="AE2310" s="357">
        <v>1094</v>
      </c>
      <c r="AF2310" s="357" t="s">
        <v>5841</v>
      </c>
      <c r="AG2310" s="351" t="s">
        <v>5849</v>
      </c>
      <c r="AH2310" s="351" t="s">
        <v>5843</v>
      </c>
      <c r="AI2310" s="355">
        <v>1571</v>
      </c>
      <c r="AJ2310" s="355">
        <v>984</v>
      </c>
      <c r="AK2310" s="354">
        <v>72890</v>
      </c>
      <c r="AL2310" s="355">
        <v>89353</v>
      </c>
      <c r="AM2310" s="355" t="s">
        <v>690</v>
      </c>
      <c r="AN2310" s="357" t="s">
        <v>276</v>
      </c>
      <c r="AO2310" s="356">
        <f t="shared" si="622"/>
        <v>21.553025106324597</v>
      </c>
      <c r="AP2310" s="357" t="s">
        <v>276</v>
      </c>
      <c r="AQ2310" s="357" t="s">
        <v>276</v>
      </c>
      <c r="AR2310" s="357" t="s">
        <v>276</v>
      </c>
      <c r="AS2310" s="356">
        <f t="shared" si="623"/>
        <v>11.012500979262029</v>
      </c>
      <c r="AT2310" s="357" t="s">
        <v>276</v>
      </c>
      <c r="AU2310" s="357" t="s">
        <v>276</v>
      </c>
      <c r="AV2310" s="357" t="s">
        <v>268</v>
      </c>
      <c r="AW2310" s="357" t="s">
        <v>276</v>
      </c>
      <c r="AX2310" s="369">
        <f t="shared" si="624"/>
        <v>1.9571417198429082</v>
      </c>
      <c r="AY2310" s="357" t="s">
        <v>276</v>
      </c>
      <c r="AZ2310" s="357" t="s">
        <v>276</v>
      </c>
      <c r="BA2310" s="357" t="s">
        <v>276</v>
      </c>
      <c r="BB2310" s="357" t="s">
        <v>282</v>
      </c>
      <c r="BC2310" s="357" t="s">
        <v>98</v>
      </c>
      <c r="BD2310" s="357" t="s">
        <v>98</v>
      </c>
      <c r="BE2310" s="357" t="s">
        <v>98</v>
      </c>
      <c r="BF2310" s="351" t="s">
        <v>5844</v>
      </c>
      <c r="BG2310" s="351"/>
      <c r="BH2310" s="9" t="s">
        <v>100</v>
      </c>
      <c r="BI2310" s="9" t="s">
        <v>100</v>
      </c>
      <c r="BJ2310" s="373"/>
      <c r="BN2310" s="373"/>
      <c r="BO2310" s="373"/>
    </row>
    <row r="2311" spans="1:67" s="374" customFormat="1" ht="65" hidden="1" x14ac:dyDescent="0.35">
      <c r="A2311" s="357">
        <v>10547</v>
      </c>
      <c r="B2311" s="357" t="s">
        <v>4985</v>
      </c>
      <c r="C2311" s="357" t="s">
        <v>88</v>
      </c>
      <c r="D2311" s="351" t="s">
        <v>5850</v>
      </c>
      <c r="E2311" s="357" t="s">
        <v>43</v>
      </c>
      <c r="F2311" s="351" t="s">
        <v>4987</v>
      </c>
      <c r="G2311" s="357" t="s">
        <v>225</v>
      </c>
      <c r="H2311" s="357" t="s">
        <v>125</v>
      </c>
      <c r="I2311" s="357" t="s">
        <v>114</v>
      </c>
      <c r="J2311" s="351" t="s">
        <v>33</v>
      </c>
      <c r="K2311" s="357" t="s">
        <v>2649</v>
      </c>
      <c r="L2311" s="351" t="s">
        <v>5838</v>
      </c>
      <c r="M2311" s="351" t="s">
        <v>5838</v>
      </c>
      <c r="N2311" s="351" t="s">
        <v>5571</v>
      </c>
      <c r="O2311" s="351" t="s">
        <v>4989</v>
      </c>
      <c r="P2311" s="351" t="s">
        <v>239</v>
      </c>
      <c r="Q2311" s="383" t="s">
        <v>4991</v>
      </c>
      <c r="R2311" s="351" t="s">
        <v>98</v>
      </c>
      <c r="S2311" s="380" t="s">
        <v>5839</v>
      </c>
      <c r="T2311" s="380" t="s">
        <v>5840</v>
      </c>
      <c r="U2311" s="351" t="s">
        <v>276</v>
      </c>
      <c r="V2311" s="357" t="s">
        <v>259</v>
      </c>
      <c r="W2311" s="351" t="s">
        <v>4990</v>
      </c>
      <c r="X2311" s="351" t="s">
        <v>207</v>
      </c>
      <c r="Y2311" s="354">
        <v>72890</v>
      </c>
      <c r="Z2311" s="355">
        <v>89353</v>
      </c>
      <c r="AA2311" s="351" t="s">
        <v>276</v>
      </c>
      <c r="AB2311" s="351" t="s">
        <v>276</v>
      </c>
      <c r="AC2311" s="357">
        <v>627</v>
      </c>
      <c r="AD2311" s="357" t="s">
        <v>5841</v>
      </c>
      <c r="AE2311" s="357">
        <v>1094</v>
      </c>
      <c r="AF2311" s="357" t="s">
        <v>5841</v>
      </c>
      <c r="AG2311" s="351" t="s">
        <v>5851</v>
      </c>
      <c r="AH2311" s="351" t="s">
        <v>5843</v>
      </c>
      <c r="AI2311" s="355">
        <v>456</v>
      </c>
      <c r="AJ2311" s="355">
        <v>559</v>
      </c>
      <c r="AK2311" s="354">
        <v>72890</v>
      </c>
      <c r="AL2311" s="355">
        <v>89353</v>
      </c>
      <c r="AM2311" s="355" t="s">
        <v>690</v>
      </c>
      <c r="AN2311" s="357" t="s">
        <v>276</v>
      </c>
      <c r="AO2311" s="356">
        <f t="shared" si="622"/>
        <v>6.2560021950884899</v>
      </c>
      <c r="AP2311" s="357" t="s">
        <v>276</v>
      </c>
      <c r="AQ2311" s="357" t="s">
        <v>276</v>
      </c>
      <c r="AR2311" s="357" t="s">
        <v>276</v>
      </c>
      <c r="AS2311" s="356">
        <f t="shared" si="623"/>
        <v>6.2560854140319853</v>
      </c>
      <c r="AT2311" s="357" t="s">
        <v>276</v>
      </c>
      <c r="AU2311" s="357" t="s">
        <v>276</v>
      </c>
      <c r="AV2311" s="357" t="s">
        <v>268</v>
      </c>
      <c r="AW2311" s="357" t="s">
        <v>276</v>
      </c>
      <c r="AX2311" s="369">
        <f t="shared" si="624"/>
        <v>0.99998669792082617</v>
      </c>
      <c r="AY2311" s="357" t="s">
        <v>276</v>
      </c>
      <c r="AZ2311" s="357" t="s">
        <v>276</v>
      </c>
      <c r="BA2311" s="357" t="s">
        <v>276</v>
      </c>
      <c r="BB2311" s="357" t="s">
        <v>282</v>
      </c>
      <c r="BC2311" s="357" t="s">
        <v>98</v>
      </c>
      <c r="BD2311" s="357" t="s">
        <v>98</v>
      </c>
      <c r="BE2311" s="357" t="s">
        <v>98</v>
      </c>
      <c r="BF2311" s="351" t="s">
        <v>5844</v>
      </c>
      <c r="BG2311" s="351"/>
      <c r="BH2311" s="9" t="s">
        <v>100</v>
      </c>
      <c r="BI2311" s="9" t="s">
        <v>100</v>
      </c>
      <c r="BJ2311" s="373"/>
      <c r="BN2311" s="373"/>
      <c r="BO2311" s="373"/>
    </row>
    <row r="2312" spans="1:67" s="374" customFormat="1" ht="65" hidden="1" x14ac:dyDescent="0.35">
      <c r="A2312" s="357">
        <v>10547</v>
      </c>
      <c r="B2312" s="357" t="s">
        <v>4985</v>
      </c>
      <c r="C2312" s="357" t="s">
        <v>88</v>
      </c>
      <c r="D2312" s="351" t="s">
        <v>5852</v>
      </c>
      <c r="E2312" s="357" t="s">
        <v>43</v>
      </c>
      <c r="F2312" s="351" t="s">
        <v>4987</v>
      </c>
      <c r="G2312" s="357" t="s">
        <v>225</v>
      </c>
      <c r="H2312" s="357" t="s">
        <v>125</v>
      </c>
      <c r="I2312" s="357" t="s">
        <v>114</v>
      </c>
      <c r="J2312" s="351" t="s">
        <v>33</v>
      </c>
      <c r="K2312" s="357" t="s">
        <v>1108</v>
      </c>
      <c r="L2312" s="351" t="s">
        <v>5838</v>
      </c>
      <c r="M2312" s="351" t="s">
        <v>5838</v>
      </c>
      <c r="N2312" s="351" t="s">
        <v>5571</v>
      </c>
      <c r="O2312" s="351" t="s">
        <v>4989</v>
      </c>
      <c r="P2312" s="351" t="s">
        <v>239</v>
      </c>
      <c r="Q2312" s="383" t="s">
        <v>4991</v>
      </c>
      <c r="R2312" s="351" t="s">
        <v>98</v>
      </c>
      <c r="S2312" s="380" t="s">
        <v>5839</v>
      </c>
      <c r="T2312" s="380" t="s">
        <v>5840</v>
      </c>
      <c r="U2312" s="351" t="s">
        <v>276</v>
      </c>
      <c r="V2312" s="357" t="s">
        <v>259</v>
      </c>
      <c r="W2312" s="351" t="s">
        <v>4990</v>
      </c>
      <c r="X2312" s="351" t="s">
        <v>207</v>
      </c>
      <c r="Y2312" s="354">
        <v>72890</v>
      </c>
      <c r="Z2312" s="355">
        <v>89353</v>
      </c>
      <c r="AA2312" s="351" t="s">
        <v>276</v>
      </c>
      <c r="AB2312" s="351" t="s">
        <v>276</v>
      </c>
      <c r="AC2312" s="357">
        <v>627</v>
      </c>
      <c r="AD2312" s="357" t="s">
        <v>5841</v>
      </c>
      <c r="AE2312" s="357">
        <v>1094</v>
      </c>
      <c r="AF2312" s="357" t="s">
        <v>5841</v>
      </c>
      <c r="AG2312" s="351" t="s">
        <v>5853</v>
      </c>
      <c r="AH2312" s="351" t="s">
        <v>5843</v>
      </c>
      <c r="AI2312" s="355">
        <v>60</v>
      </c>
      <c r="AJ2312" s="355">
        <v>117</v>
      </c>
      <c r="AK2312" s="354">
        <v>72890</v>
      </c>
      <c r="AL2312" s="355">
        <v>89353</v>
      </c>
      <c r="AM2312" s="355" t="s">
        <v>690</v>
      </c>
      <c r="AN2312" s="357" t="s">
        <v>276</v>
      </c>
      <c r="AO2312" s="356">
        <f t="shared" si="622"/>
        <v>0.82315818356427495</v>
      </c>
      <c r="AP2312" s="357" t="s">
        <v>276</v>
      </c>
      <c r="AQ2312" s="357" t="s">
        <v>276</v>
      </c>
      <c r="AR2312" s="357" t="s">
        <v>276</v>
      </c>
      <c r="AS2312" s="356">
        <f t="shared" si="623"/>
        <v>1.3094132261927411</v>
      </c>
      <c r="AT2312" s="357" t="s">
        <v>276</v>
      </c>
      <c r="AU2312" s="357" t="s">
        <v>276</v>
      </c>
      <c r="AV2312" s="357" t="s">
        <v>268</v>
      </c>
      <c r="AW2312" s="357" t="s">
        <v>276</v>
      </c>
      <c r="AX2312" s="369">
        <f t="shared" si="624"/>
        <v>0.62864660834203978</v>
      </c>
      <c r="AY2312" s="357" t="s">
        <v>276</v>
      </c>
      <c r="AZ2312" s="357" t="s">
        <v>276</v>
      </c>
      <c r="BA2312" s="357" t="s">
        <v>276</v>
      </c>
      <c r="BB2312" s="357" t="s">
        <v>282</v>
      </c>
      <c r="BC2312" s="357" t="s">
        <v>98</v>
      </c>
      <c r="BD2312" s="357" t="s">
        <v>98</v>
      </c>
      <c r="BE2312" s="357" t="s">
        <v>98</v>
      </c>
      <c r="BF2312" s="351" t="s">
        <v>5844</v>
      </c>
      <c r="BG2312" s="351"/>
      <c r="BH2312" s="9" t="s">
        <v>100</v>
      </c>
      <c r="BI2312" s="9" t="s">
        <v>100</v>
      </c>
      <c r="BJ2312" s="373"/>
      <c r="BN2312" s="373"/>
      <c r="BO2312" s="373"/>
    </row>
    <row r="2313" spans="1:67" s="374" customFormat="1" ht="104" hidden="1" x14ac:dyDescent="0.35">
      <c r="A2313" s="357">
        <v>10547</v>
      </c>
      <c r="B2313" s="357" t="s">
        <v>4985</v>
      </c>
      <c r="C2313" s="357" t="s">
        <v>88</v>
      </c>
      <c r="D2313" s="351" t="s">
        <v>5854</v>
      </c>
      <c r="E2313" s="357" t="s">
        <v>43</v>
      </c>
      <c r="F2313" s="351" t="s">
        <v>4987</v>
      </c>
      <c r="G2313" s="357" t="s">
        <v>225</v>
      </c>
      <c r="H2313" s="357" t="s">
        <v>125</v>
      </c>
      <c r="I2313" s="357" t="s">
        <v>114</v>
      </c>
      <c r="J2313" s="351" t="s">
        <v>1116</v>
      </c>
      <c r="K2313" s="357" t="s">
        <v>1117</v>
      </c>
      <c r="L2313" s="351" t="s">
        <v>5838</v>
      </c>
      <c r="M2313" s="351" t="s">
        <v>5838</v>
      </c>
      <c r="N2313" s="351" t="s">
        <v>5571</v>
      </c>
      <c r="O2313" s="351" t="s">
        <v>4989</v>
      </c>
      <c r="P2313" s="351" t="s">
        <v>239</v>
      </c>
      <c r="Q2313" s="383" t="s">
        <v>4991</v>
      </c>
      <c r="R2313" s="351" t="s">
        <v>98</v>
      </c>
      <c r="S2313" s="380" t="s">
        <v>5839</v>
      </c>
      <c r="T2313" s="380" t="s">
        <v>5840</v>
      </c>
      <c r="U2313" s="351" t="s">
        <v>276</v>
      </c>
      <c r="V2313" s="357" t="s">
        <v>259</v>
      </c>
      <c r="W2313" s="351" t="s">
        <v>4990</v>
      </c>
      <c r="X2313" s="351" t="s">
        <v>207</v>
      </c>
      <c r="Y2313" s="354">
        <v>72890</v>
      </c>
      <c r="Z2313" s="355">
        <v>89353</v>
      </c>
      <c r="AA2313" s="351" t="s">
        <v>276</v>
      </c>
      <c r="AB2313" s="351" t="s">
        <v>276</v>
      </c>
      <c r="AC2313" s="357" t="s">
        <v>276</v>
      </c>
      <c r="AD2313" s="357" t="s">
        <v>5855</v>
      </c>
      <c r="AE2313" s="357" t="s">
        <v>276</v>
      </c>
      <c r="AF2313" s="357" t="s">
        <v>5855</v>
      </c>
      <c r="AG2313" s="351" t="s">
        <v>5856</v>
      </c>
      <c r="AH2313" s="351" t="s">
        <v>1674</v>
      </c>
      <c r="AI2313" s="355">
        <v>149</v>
      </c>
      <c r="AJ2313" s="355">
        <v>304</v>
      </c>
      <c r="AK2313" s="354" t="s">
        <v>276</v>
      </c>
      <c r="AL2313" s="355" t="s">
        <v>276</v>
      </c>
      <c r="AM2313" s="355" t="s">
        <v>425</v>
      </c>
      <c r="AN2313" s="357">
        <v>0.23</v>
      </c>
      <c r="AO2313" s="356" t="s">
        <v>98</v>
      </c>
      <c r="AP2313" s="357" t="s">
        <v>276</v>
      </c>
      <c r="AQ2313" s="357" t="s">
        <v>276</v>
      </c>
      <c r="AR2313" s="357">
        <v>0.39</v>
      </c>
      <c r="AS2313" s="356" t="s">
        <v>98</v>
      </c>
      <c r="AT2313" s="357" t="s">
        <v>276</v>
      </c>
      <c r="AU2313" s="357" t="s">
        <v>276</v>
      </c>
      <c r="AV2313" s="357" t="s">
        <v>269</v>
      </c>
      <c r="AW2313" s="357">
        <f>1-0.41</f>
        <v>0.59000000000000008</v>
      </c>
      <c r="AX2313" s="369">
        <f>AN2313/AR2313</f>
        <v>0.58974358974358976</v>
      </c>
      <c r="AY2313" s="357" t="s">
        <v>276</v>
      </c>
      <c r="AZ2313" s="357" t="s">
        <v>276</v>
      </c>
      <c r="BA2313" s="357" t="s">
        <v>3368</v>
      </c>
      <c r="BB2313" s="357" t="s">
        <v>282</v>
      </c>
      <c r="BC2313" s="357" t="s">
        <v>98</v>
      </c>
      <c r="BD2313" s="357" t="s">
        <v>98</v>
      </c>
      <c r="BE2313" s="357" t="s">
        <v>98</v>
      </c>
      <c r="BF2313" s="351" t="s">
        <v>5857</v>
      </c>
      <c r="BG2313" s="351"/>
      <c r="BH2313" s="9" t="s">
        <v>100</v>
      </c>
      <c r="BI2313" s="9" t="s">
        <v>100</v>
      </c>
      <c r="BJ2313" s="373"/>
      <c r="BN2313" s="373"/>
      <c r="BO2313" s="373"/>
    </row>
    <row r="2314" spans="1:67" s="374" customFormat="1" ht="65" hidden="1" x14ac:dyDescent="0.35">
      <c r="A2314" s="357">
        <v>10548</v>
      </c>
      <c r="B2314" s="357" t="s">
        <v>5029</v>
      </c>
      <c r="C2314" s="357" t="s">
        <v>88</v>
      </c>
      <c r="D2314" s="351" t="s">
        <v>5858</v>
      </c>
      <c r="E2314" s="357" t="s">
        <v>43</v>
      </c>
      <c r="F2314" s="351" t="s">
        <v>4987</v>
      </c>
      <c r="G2314" s="357" t="s">
        <v>225</v>
      </c>
      <c r="H2314" s="357" t="s">
        <v>125</v>
      </c>
      <c r="I2314" s="357" t="s">
        <v>114</v>
      </c>
      <c r="J2314" s="351" t="s">
        <v>33</v>
      </c>
      <c r="K2314" s="357" t="s">
        <v>5837</v>
      </c>
      <c r="L2314" s="351" t="s">
        <v>5859</v>
      </c>
      <c r="M2314" s="351" t="s">
        <v>5838</v>
      </c>
      <c r="N2314" s="351" t="s">
        <v>5613</v>
      </c>
      <c r="O2314" s="357" t="s">
        <v>276</v>
      </c>
      <c r="P2314" s="351" t="s">
        <v>239</v>
      </c>
      <c r="Q2314" s="383" t="s">
        <v>5034</v>
      </c>
      <c r="R2314" s="351" t="s">
        <v>98</v>
      </c>
      <c r="S2314" s="380" t="s">
        <v>5619</v>
      </c>
      <c r="T2314" s="380" t="s">
        <v>5619</v>
      </c>
      <c r="U2314" s="351" t="s">
        <v>276</v>
      </c>
      <c r="V2314" s="357" t="s">
        <v>259</v>
      </c>
      <c r="W2314" s="351" t="s">
        <v>5860</v>
      </c>
      <c r="X2314" s="351" t="s">
        <v>207</v>
      </c>
      <c r="Y2314" s="354">
        <v>17443</v>
      </c>
      <c r="Z2314" s="355">
        <v>17390</v>
      </c>
      <c r="AA2314" s="351" t="s">
        <v>276</v>
      </c>
      <c r="AB2314" s="351" t="s">
        <v>276</v>
      </c>
      <c r="AC2314" s="357">
        <v>4</v>
      </c>
      <c r="AD2314" s="357" t="s">
        <v>5841</v>
      </c>
      <c r="AE2314" s="357">
        <v>15</v>
      </c>
      <c r="AF2314" s="357" t="s">
        <v>5841</v>
      </c>
      <c r="AG2314" s="351" t="s">
        <v>5861</v>
      </c>
      <c r="AH2314" s="351" t="s">
        <v>5843</v>
      </c>
      <c r="AI2314" s="355">
        <v>42</v>
      </c>
      <c r="AJ2314" s="355">
        <v>73</v>
      </c>
      <c r="AK2314" s="354">
        <v>17443</v>
      </c>
      <c r="AL2314" s="355">
        <v>17390</v>
      </c>
      <c r="AM2314" s="355" t="s">
        <v>690</v>
      </c>
      <c r="AN2314" s="357" t="s">
        <v>276</v>
      </c>
      <c r="AO2314" s="356">
        <f>AI2314*1000/AK2314</f>
        <v>2.4078426876110761</v>
      </c>
      <c r="AP2314" s="357" t="s">
        <v>276</v>
      </c>
      <c r="AQ2314" s="357" t="s">
        <v>276</v>
      </c>
      <c r="AR2314" s="357" t="s">
        <v>276</v>
      </c>
      <c r="AS2314" s="356">
        <f>AJ2314*1000/AL2314</f>
        <v>4.1978148361127081</v>
      </c>
      <c r="AT2314" s="357" t="s">
        <v>276</v>
      </c>
      <c r="AU2314" s="357" t="s">
        <v>276</v>
      </c>
      <c r="AV2314" s="357" t="s">
        <v>268</v>
      </c>
      <c r="AW2314" s="357" t="s">
        <v>276</v>
      </c>
      <c r="AX2314" s="369">
        <f>AO2314/AS2314</f>
        <v>0.57359430599392625</v>
      </c>
      <c r="AY2314" s="357" t="s">
        <v>276</v>
      </c>
      <c r="AZ2314" s="357" t="s">
        <v>276</v>
      </c>
      <c r="BA2314" s="357" t="s">
        <v>276</v>
      </c>
      <c r="BB2314" s="357" t="s">
        <v>282</v>
      </c>
      <c r="BC2314" s="357" t="s">
        <v>98</v>
      </c>
      <c r="BD2314" s="357" t="s">
        <v>98</v>
      </c>
      <c r="BE2314" s="357" t="s">
        <v>98</v>
      </c>
      <c r="BF2314" s="351" t="s">
        <v>5862</v>
      </c>
      <c r="BG2314" s="351"/>
      <c r="BH2314" s="9" t="s">
        <v>100</v>
      </c>
      <c r="BI2314" s="9" t="s">
        <v>100</v>
      </c>
      <c r="BJ2314" s="373"/>
      <c r="BN2314" s="373"/>
      <c r="BO2314" s="373"/>
    </row>
    <row r="2315" spans="1:67" s="374" customFormat="1" ht="65" hidden="1" x14ac:dyDescent="0.35">
      <c r="A2315" s="357">
        <v>10548</v>
      </c>
      <c r="B2315" s="357" t="s">
        <v>5029</v>
      </c>
      <c r="C2315" s="357" t="s">
        <v>88</v>
      </c>
      <c r="D2315" s="351" t="s">
        <v>5863</v>
      </c>
      <c r="E2315" s="357" t="s">
        <v>43</v>
      </c>
      <c r="F2315" s="351" t="s">
        <v>4987</v>
      </c>
      <c r="G2315" s="357" t="s">
        <v>225</v>
      </c>
      <c r="H2315" s="357" t="s">
        <v>125</v>
      </c>
      <c r="I2315" s="357" t="s">
        <v>114</v>
      </c>
      <c r="J2315" s="351" t="s">
        <v>33</v>
      </c>
      <c r="K2315" s="357" t="s">
        <v>5846</v>
      </c>
      <c r="L2315" s="351" t="s">
        <v>5859</v>
      </c>
      <c r="M2315" s="351" t="s">
        <v>5838</v>
      </c>
      <c r="N2315" s="351" t="s">
        <v>5613</v>
      </c>
      <c r="O2315" s="357" t="s">
        <v>276</v>
      </c>
      <c r="P2315" s="351" t="s">
        <v>239</v>
      </c>
      <c r="Q2315" s="383" t="s">
        <v>5034</v>
      </c>
      <c r="R2315" s="351" t="s">
        <v>98</v>
      </c>
      <c r="S2315" s="380" t="s">
        <v>5619</v>
      </c>
      <c r="T2315" s="380" t="s">
        <v>5619</v>
      </c>
      <c r="U2315" s="351" t="s">
        <v>276</v>
      </c>
      <c r="V2315" s="357" t="s">
        <v>259</v>
      </c>
      <c r="W2315" s="351" t="s">
        <v>5860</v>
      </c>
      <c r="X2315" s="351" t="s">
        <v>207</v>
      </c>
      <c r="Y2315" s="354">
        <v>17443</v>
      </c>
      <c r="Z2315" s="355">
        <v>17390</v>
      </c>
      <c r="AA2315" s="351" t="s">
        <v>276</v>
      </c>
      <c r="AB2315" s="351" t="s">
        <v>276</v>
      </c>
      <c r="AC2315" s="357">
        <v>4</v>
      </c>
      <c r="AD2315" s="357" t="s">
        <v>5841</v>
      </c>
      <c r="AE2315" s="357">
        <v>15</v>
      </c>
      <c r="AF2315" s="357" t="s">
        <v>5841</v>
      </c>
      <c r="AG2315" s="351" t="s">
        <v>5864</v>
      </c>
      <c r="AH2315" s="351" t="s">
        <v>5843</v>
      </c>
      <c r="AI2315" s="355">
        <v>1107</v>
      </c>
      <c r="AJ2315" s="355">
        <v>355</v>
      </c>
      <c r="AK2315" s="354">
        <v>17443</v>
      </c>
      <c r="AL2315" s="355">
        <v>17390</v>
      </c>
      <c r="AM2315" s="355" t="s">
        <v>690</v>
      </c>
      <c r="AN2315" s="357" t="s">
        <v>276</v>
      </c>
      <c r="AO2315" s="356">
        <f t="shared" ref="AO2315:AO2378" si="625">AI2315*1000/AK2315</f>
        <v>63.463853694891931</v>
      </c>
      <c r="AP2315" s="357" t="s">
        <v>276</v>
      </c>
      <c r="AQ2315" s="357" t="s">
        <v>276</v>
      </c>
      <c r="AR2315" s="357" t="s">
        <v>276</v>
      </c>
      <c r="AS2315" s="356">
        <f t="shared" ref="AS2315:AS2378" si="626">AJ2315*1000/AL2315</f>
        <v>20.414031052328923</v>
      </c>
      <c r="AT2315" s="357" t="s">
        <v>276</v>
      </c>
      <c r="AU2315" s="357" t="s">
        <v>276</v>
      </c>
      <c r="AV2315" s="357" t="s">
        <v>268</v>
      </c>
      <c r="AW2315" s="357" t="s">
        <v>276</v>
      </c>
      <c r="AX2315" s="369">
        <f>AO2315/AS2315</f>
        <v>3.1088349739554104</v>
      </c>
      <c r="AY2315" s="357" t="s">
        <v>276</v>
      </c>
      <c r="AZ2315" s="357" t="s">
        <v>276</v>
      </c>
      <c r="BA2315" s="357" t="s">
        <v>276</v>
      </c>
      <c r="BB2315" s="357" t="s">
        <v>282</v>
      </c>
      <c r="BC2315" s="357" t="s">
        <v>98</v>
      </c>
      <c r="BD2315" s="357" t="s">
        <v>98</v>
      </c>
      <c r="BE2315" s="357" t="s">
        <v>98</v>
      </c>
      <c r="BF2315" s="351" t="s">
        <v>5862</v>
      </c>
      <c r="BG2315" s="351"/>
      <c r="BH2315" s="9" t="s">
        <v>100</v>
      </c>
      <c r="BI2315" s="9" t="s">
        <v>100</v>
      </c>
      <c r="BJ2315" s="373"/>
      <c r="BN2315" s="373"/>
      <c r="BO2315" s="373"/>
    </row>
    <row r="2316" spans="1:67" s="374" customFormat="1" ht="65" hidden="1" x14ac:dyDescent="0.35">
      <c r="A2316" s="357">
        <v>10548</v>
      </c>
      <c r="B2316" s="357" t="s">
        <v>5029</v>
      </c>
      <c r="C2316" s="357" t="s">
        <v>88</v>
      </c>
      <c r="D2316" s="351" t="s">
        <v>5865</v>
      </c>
      <c r="E2316" s="357" t="s">
        <v>43</v>
      </c>
      <c r="F2316" s="351" t="s">
        <v>4987</v>
      </c>
      <c r="G2316" s="357" t="s">
        <v>225</v>
      </c>
      <c r="H2316" s="357" t="s">
        <v>125</v>
      </c>
      <c r="I2316" s="357" t="s">
        <v>114</v>
      </c>
      <c r="J2316" s="351" t="s">
        <v>33</v>
      </c>
      <c r="K2316" s="357" t="s">
        <v>2739</v>
      </c>
      <c r="L2316" s="351" t="s">
        <v>5859</v>
      </c>
      <c r="M2316" s="351" t="s">
        <v>5838</v>
      </c>
      <c r="N2316" s="351" t="s">
        <v>5613</v>
      </c>
      <c r="O2316" s="357" t="s">
        <v>276</v>
      </c>
      <c r="P2316" s="351" t="s">
        <v>239</v>
      </c>
      <c r="Q2316" s="383" t="s">
        <v>5034</v>
      </c>
      <c r="R2316" s="351" t="s">
        <v>98</v>
      </c>
      <c r="S2316" s="380" t="s">
        <v>5619</v>
      </c>
      <c r="T2316" s="380" t="s">
        <v>5619</v>
      </c>
      <c r="U2316" s="351" t="s">
        <v>276</v>
      </c>
      <c r="V2316" s="357" t="s">
        <v>259</v>
      </c>
      <c r="W2316" s="351" t="s">
        <v>5860</v>
      </c>
      <c r="X2316" s="351" t="s">
        <v>207</v>
      </c>
      <c r="Y2316" s="354">
        <v>17443</v>
      </c>
      <c r="Z2316" s="355">
        <v>17390</v>
      </c>
      <c r="AA2316" s="351" t="s">
        <v>276</v>
      </c>
      <c r="AB2316" s="351" t="s">
        <v>276</v>
      </c>
      <c r="AC2316" s="357">
        <v>4</v>
      </c>
      <c r="AD2316" s="357" t="s">
        <v>5841</v>
      </c>
      <c r="AE2316" s="357">
        <v>15</v>
      </c>
      <c r="AF2316" s="357" t="s">
        <v>5841</v>
      </c>
      <c r="AG2316" s="351" t="s">
        <v>5866</v>
      </c>
      <c r="AH2316" s="351" t="s">
        <v>5843</v>
      </c>
      <c r="AI2316" s="355">
        <v>639</v>
      </c>
      <c r="AJ2316" s="355">
        <v>224</v>
      </c>
      <c r="AK2316" s="354">
        <v>17443</v>
      </c>
      <c r="AL2316" s="355">
        <v>17390</v>
      </c>
      <c r="AM2316" s="355" t="s">
        <v>690</v>
      </c>
      <c r="AN2316" s="357" t="s">
        <v>276</v>
      </c>
      <c r="AO2316" s="356">
        <f t="shared" si="625"/>
        <v>36.633606604368516</v>
      </c>
      <c r="AP2316" s="357" t="s">
        <v>276</v>
      </c>
      <c r="AQ2316" s="357" t="s">
        <v>276</v>
      </c>
      <c r="AR2316" s="357" t="s">
        <v>276</v>
      </c>
      <c r="AS2316" s="356">
        <f t="shared" si="626"/>
        <v>12.880966072455434</v>
      </c>
      <c r="AT2316" s="357" t="s">
        <v>276</v>
      </c>
      <c r="AU2316" s="357" t="s">
        <v>276</v>
      </c>
      <c r="AV2316" s="357" t="s">
        <v>268</v>
      </c>
      <c r="AW2316" s="357" t="s">
        <v>276</v>
      </c>
      <c r="AX2316" s="369">
        <f>AO2316/AS2316</f>
        <v>2.8440107984373593</v>
      </c>
      <c r="AY2316" s="357" t="s">
        <v>276</v>
      </c>
      <c r="AZ2316" s="357" t="s">
        <v>276</v>
      </c>
      <c r="BA2316" s="357" t="s">
        <v>276</v>
      </c>
      <c r="BB2316" s="357" t="s">
        <v>282</v>
      </c>
      <c r="BC2316" s="357" t="s">
        <v>98</v>
      </c>
      <c r="BD2316" s="357" t="s">
        <v>98</v>
      </c>
      <c r="BE2316" s="357" t="s">
        <v>98</v>
      </c>
      <c r="BF2316" s="351" t="s">
        <v>5862</v>
      </c>
      <c r="BG2316" s="351"/>
      <c r="BH2316" s="9" t="s">
        <v>100</v>
      </c>
      <c r="BI2316" s="9" t="s">
        <v>100</v>
      </c>
      <c r="BJ2316" s="373"/>
      <c r="BN2316" s="373"/>
      <c r="BO2316" s="373"/>
    </row>
    <row r="2317" spans="1:67" s="374" customFormat="1" ht="65" hidden="1" x14ac:dyDescent="0.35">
      <c r="A2317" s="357">
        <v>10548</v>
      </c>
      <c r="B2317" s="357" t="s">
        <v>5029</v>
      </c>
      <c r="C2317" s="357" t="s">
        <v>88</v>
      </c>
      <c r="D2317" s="351" t="s">
        <v>5867</v>
      </c>
      <c r="E2317" s="357" t="s">
        <v>43</v>
      </c>
      <c r="F2317" s="351" t="s">
        <v>4987</v>
      </c>
      <c r="G2317" s="357" t="s">
        <v>225</v>
      </c>
      <c r="H2317" s="357" t="s">
        <v>125</v>
      </c>
      <c r="I2317" s="357" t="s">
        <v>114</v>
      </c>
      <c r="J2317" s="351" t="s">
        <v>33</v>
      </c>
      <c r="K2317" s="357" t="s">
        <v>2649</v>
      </c>
      <c r="L2317" s="351" t="s">
        <v>5859</v>
      </c>
      <c r="M2317" s="351" t="s">
        <v>5838</v>
      </c>
      <c r="N2317" s="351" t="s">
        <v>5613</v>
      </c>
      <c r="O2317" s="357" t="s">
        <v>276</v>
      </c>
      <c r="P2317" s="351" t="s">
        <v>239</v>
      </c>
      <c r="Q2317" s="383" t="s">
        <v>5034</v>
      </c>
      <c r="R2317" s="351" t="s">
        <v>98</v>
      </c>
      <c r="S2317" s="380" t="s">
        <v>5619</v>
      </c>
      <c r="T2317" s="380" t="s">
        <v>5619</v>
      </c>
      <c r="U2317" s="351" t="s">
        <v>276</v>
      </c>
      <c r="V2317" s="357" t="s">
        <v>259</v>
      </c>
      <c r="W2317" s="351" t="s">
        <v>5860</v>
      </c>
      <c r="X2317" s="351" t="s">
        <v>207</v>
      </c>
      <c r="Y2317" s="354">
        <v>17443</v>
      </c>
      <c r="Z2317" s="355">
        <v>17390</v>
      </c>
      <c r="AA2317" s="351" t="s">
        <v>276</v>
      </c>
      <c r="AB2317" s="351" t="s">
        <v>276</v>
      </c>
      <c r="AC2317" s="357">
        <v>4</v>
      </c>
      <c r="AD2317" s="357" t="s">
        <v>5841</v>
      </c>
      <c r="AE2317" s="357">
        <v>15</v>
      </c>
      <c r="AF2317" s="357" t="s">
        <v>5841</v>
      </c>
      <c r="AG2317" s="351" t="s">
        <v>5868</v>
      </c>
      <c r="AH2317" s="351" t="s">
        <v>5843</v>
      </c>
      <c r="AI2317" s="355">
        <v>219</v>
      </c>
      <c r="AJ2317" s="355">
        <v>187</v>
      </c>
      <c r="AK2317" s="354">
        <v>17443</v>
      </c>
      <c r="AL2317" s="355">
        <v>17390</v>
      </c>
      <c r="AM2317" s="355" t="s">
        <v>690</v>
      </c>
      <c r="AN2317" s="357" t="s">
        <v>276</v>
      </c>
      <c r="AO2317" s="356">
        <f t="shared" si="625"/>
        <v>12.555179728257754</v>
      </c>
      <c r="AP2317" s="357" t="s">
        <v>276</v>
      </c>
      <c r="AQ2317" s="357" t="s">
        <v>276</v>
      </c>
      <c r="AR2317" s="357" t="s">
        <v>276</v>
      </c>
      <c r="AS2317" s="356">
        <f t="shared" si="626"/>
        <v>10.753306497987349</v>
      </c>
      <c r="AT2317" s="357" t="s">
        <v>276</v>
      </c>
      <c r="AU2317" s="357" t="s">
        <v>276</v>
      </c>
      <c r="AV2317" s="357" t="s">
        <v>268</v>
      </c>
      <c r="AW2317" s="357" t="s">
        <v>276</v>
      </c>
      <c r="AX2317" s="369">
        <f>AO2317/AS2317</f>
        <v>1.1675645747294241</v>
      </c>
      <c r="AY2317" s="357" t="s">
        <v>276</v>
      </c>
      <c r="AZ2317" s="357" t="s">
        <v>276</v>
      </c>
      <c r="BA2317" s="357" t="s">
        <v>276</v>
      </c>
      <c r="BB2317" s="357" t="s">
        <v>282</v>
      </c>
      <c r="BC2317" s="357" t="s">
        <v>98</v>
      </c>
      <c r="BD2317" s="357" t="s">
        <v>98</v>
      </c>
      <c r="BE2317" s="357" t="s">
        <v>98</v>
      </c>
      <c r="BF2317" s="351" t="s">
        <v>5862</v>
      </c>
      <c r="BG2317" s="351"/>
      <c r="BH2317" s="9" t="s">
        <v>100</v>
      </c>
      <c r="BI2317" s="9" t="s">
        <v>100</v>
      </c>
      <c r="BJ2317" s="373"/>
      <c r="BN2317" s="373"/>
      <c r="BO2317" s="373"/>
    </row>
    <row r="2318" spans="1:67" s="374" customFormat="1" ht="65" hidden="1" x14ac:dyDescent="0.35">
      <c r="A2318" s="357">
        <v>10548</v>
      </c>
      <c r="B2318" s="357" t="s">
        <v>5029</v>
      </c>
      <c r="C2318" s="357" t="s">
        <v>88</v>
      </c>
      <c r="D2318" s="351" t="s">
        <v>5869</v>
      </c>
      <c r="E2318" s="357" t="s">
        <v>43</v>
      </c>
      <c r="F2318" s="351" t="s">
        <v>4987</v>
      </c>
      <c r="G2318" s="357" t="s">
        <v>225</v>
      </c>
      <c r="H2318" s="357" t="s">
        <v>125</v>
      </c>
      <c r="I2318" s="357" t="s">
        <v>114</v>
      </c>
      <c r="J2318" s="351" t="s">
        <v>33</v>
      </c>
      <c r="K2318" s="357" t="s">
        <v>1108</v>
      </c>
      <c r="L2318" s="351" t="s">
        <v>5859</v>
      </c>
      <c r="M2318" s="351" t="s">
        <v>5838</v>
      </c>
      <c r="N2318" s="351" t="s">
        <v>5613</v>
      </c>
      <c r="O2318" s="357" t="s">
        <v>276</v>
      </c>
      <c r="P2318" s="351" t="s">
        <v>239</v>
      </c>
      <c r="Q2318" s="383" t="s">
        <v>5034</v>
      </c>
      <c r="R2318" s="351" t="s">
        <v>98</v>
      </c>
      <c r="S2318" s="380" t="s">
        <v>5619</v>
      </c>
      <c r="T2318" s="380" t="s">
        <v>5619</v>
      </c>
      <c r="U2318" s="351" t="s">
        <v>276</v>
      </c>
      <c r="V2318" s="357" t="s">
        <v>259</v>
      </c>
      <c r="W2318" s="351" t="s">
        <v>5860</v>
      </c>
      <c r="X2318" s="351" t="s">
        <v>207</v>
      </c>
      <c r="Y2318" s="354">
        <v>17443</v>
      </c>
      <c r="Z2318" s="355">
        <v>17390</v>
      </c>
      <c r="AA2318" s="351" t="s">
        <v>276</v>
      </c>
      <c r="AB2318" s="351" t="s">
        <v>276</v>
      </c>
      <c r="AC2318" s="357">
        <v>4</v>
      </c>
      <c r="AD2318" s="357" t="s">
        <v>5841</v>
      </c>
      <c r="AE2318" s="357">
        <v>15</v>
      </c>
      <c r="AF2318" s="357" t="s">
        <v>5841</v>
      </c>
      <c r="AG2318" s="351" t="s">
        <v>5870</v>
      </c>
      <c r="AH2318" s="351" t="s">
        <v>5843</v>
      </c>
      <c r="AI2318" s="355">
        <v>17</v>
      </c>
      <c r="AJ2318" s="355">
        <v>42</v>
      </c>
      <c r="AK2318" s="354">
        <v>17443</v>
      </c>
      <c r="AL2318" s="355">
        <v>17390</v>
      </c>
      <c r="AM2318" s="355" t="s">
        <v>690</v>
      </c>
      <c r="AN2318" s="357" t="s">
        <v>276</v>
      </c>
      <c r="AO2318" s="356">
        <f t="shared" si="625"/>
        <v>0.97460299260448313</v>
      </c>
      <c r="AP2318" s="357" t="s">
        <v>276</v>
      </c>
      <c r="AQ2318" s="357" t="s">
        <v>276</v>
      </c>
      <c r="AR2318" s="357" t="s">
        <v>276</v>
      </c>
      <c r="AS2318" s="356">
        <f t="shared" si="626"/>
        <v>2.4151811385853938</v>
      </c>
      <c r="AT2318" s="357" t="s">
        <v>276</v>
      </c>
      <c r="AU2318" s="357" t="s">
        <v>276</v>
      </c>
      <c r="AV2318" s="357" t="s">
        <v>268</v>
      </c>
      <c r="AW2318" s="357" t="s">
        <v>276</v>
      </c>
      <c r="AX2318" s="369">
        <f>AO2318/AS2318</f>
        <v>0.40353204860457054</v>
      </c>
      <c r="AY2318" s="357" t="s">
        <v>276</v>
      </c>
      <c r="AZ2318" s="357" t="s">
        <v>276</v>
      </c>
      <c r="BA2318" s="357" t="s">
        <v>276</v>
      </c>
      <c r="BB2318" s="357" t="s">
        <v>282</v>
      </c>
      <c r="BC2318" s="357" t="s">
        <v>98</v>
      </c>
      <c r="BD2318" s="357" t="s">
        <v>98</v>
      </c>
      <c r="BE2318" s="357" t="s">
        <v>98</v>
      </c>
      <c r="BF2318" s="351" t="s">
        <v>5862</v>
      </c>
      <c r="BG2318" s="351"/>
      <c r="BH2318" s="9" t="s">
        <v>100</v>
      </c>
      <c r="BI2318" s="9" t="s">
        <v>100</v>
      </c>
      <c r="BJ2318" s="373"/>
      <c r="BN2318" s="373"/>
      <c r="BO2318" s="373"/>
    </row>
    <row r="2319" spans="1:67" s="374" customFormat="1" ht="65" hidden="1" x14ac:dyDescent="0.35">
      <c r="A2319" s="357">
        <v>10548</v>
      </c>
      <c r="B2319" s="357" t="s">
        <v>5029</v>
      </c>
      <c r="C2319" s="357" t="s">
        <v>88</v>
      </c>
      <c r="D2319" s="351" t="s">
        <v>5871</v>
      </c>
      <c r="E2319" s="357" t="s">
        <v>43</v>
      </c>
      <c r="F2319" s="351" t="s">
        <v>4987</v>
      </c>
      <c r="G2319" s="357" t="s">
        <v>225</v>
      </c>
      <c r="H2319" s="357" t="s">
        <v>125</v>
      </c>
      <c r="I2319" s="357" t="s">
        <v>114</v>
      </c>
      <c r="J2319" s="351" t="s">
        <v>33</v>
      </c>
      <c r="K2319" s="357" t="s">
        <v>5837</v>
      </c>
      <c r="L2319" s="351" t="s">
        <v>5859</v>
      </c>
      <c r="M2319" s="351" t="s">
        <v>5838</v>
      </c>
      <c r="N2319" s="351" t="s">
        <v>5613</v>
      </c>
      <c r="O2319" s="357" t="s">
        <v>276</v>
      </c>
      <c r="P2319" s="351" t="s">
        <v>239</v>
      </c>
      <c r="Q2319" s="383" t="s">
        <v>5034</v>
      </c>
      <c r="R2319" s="351" t="s">
        <v>98</v>
      </c>
      <c r="S2319" s="380" t="s">
        <v>5622</v>
      </c>
      <c r="T2319" s="380" t="s">
        <v>5622</v>
      </c>
      <c r="U2319" s="351" t="s">
        <v>276</v>
      </c>
      <c r="V2319" s="357" t="s">
        <v>259</v>
      </c>
      <c r="W2319" s="351" t="s">
        <v>5872</v>
      </c>
      <c r="X2319" s="351" t="s">
        <v>207</v>
      </c>
      <c r="Y2319" s="354">
        <v>4307</v>
      </c>
      <c r="Z2319" s="351">
        <v>4255</v>
      </c>
      <c r="AA2319" s="351" t="s">
        <v>276</v>
      </c>
      <c r="AB2319" s="351" t="s">
        <v>276</v>
      </c>
      <c r="AC2319" s="357">
        <v>155</v>
      </c>
      <c r="AD2319" s="357" t="s">
        <v>5841</v>
      </c>
      <c r="AE2319" s="357">
        <v>91</v>
      </c>
      <c r="AF2319" s="357" t="s">
        <v>5841</v>
      </c>
      <c r="AG2319" s="351" t="s">
        <v>5861</v>
      </c>
      <c r="AH2319" s="351" t="s">
        <v>5843</v>
      </c>
      <c r="AI2319" s="355">
        <v>54</v>
      </c>
      <c r="AJ2319" s="355">
        <v>33</v>
      </c>
      <c r="AK2319" s="354">
        <v>4307</v>
      </c>
      <c r="AL2319" s="351">
        <v>4255</v>
      </c>
      <c r="AM2319" s="355" t="s">
        <v>690</v>
      </c>
      <c r="AN2319" s="357" t="s">
        <v>276</v>
      </c>
      <c r="AO2319" s="356">
        <f t="shared" si="625"/>
        <v>12.537729277919667</v>
      </c>
      <c r="AP2319" s="357" t="s">
        <v>276</v>
      </c>
      <c r="AQ2319" s="357" t="s">
        <v>276</v>
      </c>
      <c r="AR2319" s="357" t="s">
        <v>276</v>
      </c>
      <c r="AS2319" s="356">
        <f t="shared" si="626"/>
        <v>7.7555816686251466</v>
      </c>
      <c r="AT2319" s="357" t="s">
        <v>276</v>
      </c>
      <c r="AU2319" s="357" t="s">
        <v>276</v>
      </c>
      <c r="AV2319" s="357" t="s">
        <v>268</v>
      </c>
      <c r="AW2319" s="357" t="s">
        <v>276</v>
      </c>
      <c r="AX2319" s="369">
        <f t="shared" ref="AX2319:AX2382" si="627">AO2319/AS2319</f>
        <v>1.616607214471157</v>
      </c>
      <c r="AY2319" s="357" t="s">
        <v>276</v>
      </c>
      <c r="AZ2319" s="357" t="s">
        <v>276</v>
      </c>
      <c r="BA2319" s="357" t="s">
        <v>276</v>
      </c>
      <c r="BB2319" s="357" t="s">
        <v>282</v>
      </c>
      <c r="BC2319" s="357" t="s">
        <v>98</v>
      </c>
      <c r="BD2319" s="357" t="s">
        <v>98</v>
      </c>
      <c r="BE2319" s="357" t="s">
        <v>98</v>
      </c>
      <c r="BF2319" s="351" t="s">
        <v>5862</v>
      </c>
      <c r="BG2319" s="351"/>
      <c r="BH2319" s="9" t="s">
        <v>100</v>
      </c>
      <c r="BI2319" s="9" t="s">
        <v>100</v>
      </c>
      <c r="BJ2319" s="373"/>
      <c r="BN2319" s="373"/>
      <c r="BO2319" s="373"/>
    </row>
    <row r="2320" spans="1:67" s="374" customFormat="1" ht="65" hidden="1" x14ac:dyDescent="0.35">
      <c r="A2320" s="357">
        <v>10548</v>
      </c>
      <c r="B2320" s="357" t="s">
        <v>5029</v>
      </c>
      <c r="C2320" s="357" t="s">
        <v>88</v>
      </c>
      <c r="D2320" s="351" t="s">
        <v>5873</v>
      </c>
      <c r="E2320" s="357" t="s">
        <v>43</v>
      </c>
      <c r="F2320" s="351" t="s">
        <v>4987</v>
      </c>
      <c r="G2320" s="357" t="s">
        <v>225</v>
      </c>
      <c r="H2320" s="357" t="s">
        <v>125</v>
      </c>
      <c r="I2320" s="357" t="s">
        <v>114</v>
      </c>
      <c r="J2320" s="351" t="s">
        <v>33</v>
      </c>
      <c r="K2320" s="357" t="s">
        <v>5846</v>
      </c>
      <c r="L2320" s="351" t="s">
        <v>5859</v>
      </c>
      <c r="M2320" s="351" t="s">
        <v>5838</v>
      </c>
      <c r="N2320" s="351" t="s">
        <v>5613</v>
      </c>
      <c r="O2320" s="357" t="s">
        <v>276</v>
      </c>
      <c r="P2320" s="351" t="s">
        <v>239</v>
      </c>
      <c r="Q2320" s="383" t="s">
        <v>5034</v>
      </c>
      <c r="R2320" s="351" t="s">
        <v>98</v>
      </c>
      <c r="S2320" s="380" t="s">
        <v>5622</v>
      </c>
      <c r="T2320" s="380" t="s">
        <v>5622</v>
      </c>
      <c r="U2320" s="351" t="s">
        <v>276</v>
      </c>
      <c r="V2320" s="357" t="s">
        <v>259</v>
      </c>
      <c r="W2320" s="351" t="s">
        <v>5872</v>
      </c>
      <c r="X2320" s="351" t="s">
        <v>207</v>
      </c>
      <c r="Y2320" s="354">
        <v>4307</v>
      </c>
      <c r="Z2320" s="351">
        <v>4255</v>
      </c>
      <c r="AA2320" s="351" t="s">
        <v>276</v>
      </c>
      <c r="AB2320" s="351" t="s">
        <v>276</v>
      </c>
      <c r="AC2320" s="357">
        <v>155</v>
      </c>
      <c r="AD2320" s="357" t="s">
        <v>5841</v>
      </c>
      <c r="AE2320" s="357">
        <v>91</v>
      </c>
      <c r="AF2320" s="357" t="s">
        <v>5841</v>
      </c>
      <c r="AG2320" s="351" t="s">
        <v>5864</v>
      </c>
      <c r="AH2320" s="351" t="s">
        <v>5843</v>
      </c>
      <c r="AI2320" s="355">
        <v>56</v>
      </c>
      <c r="AJ2320" s="355">
        <v>55</v>
      </c>
      <c r="AK2320" s="354">
        <v>4307</v>
      </c>
      <c r="AL2320" s="351">
        <v>4255</v>
      </c>
      <c r="AM2320" s="355" t="s">
        <v>690</v>
      </c>
      <c r="AN2320" s="357" t="s">
        <v>276</v>
      </c>
      <c r="AO2320" s="356">
        <f t="shared" si="625"/>
        <v>13.00208962154632</v>
      </c>
      <c r="AP2320" s="357" t="s">
        <v>276</v>
      </c>
      <c r="AQ2320" s="357" t="s">
        <v>276</v>
      </c>
      <c r="AR2320" s="357" t="s">
        <v>276</v>
      </c>
      <c r="AS2320" s="356">
        <f t="shared" si="626"/>
        <v>12.925969447708578</v>
      </c>
      <c r="AT2320" s="357" t="s">
        <v>276</v>
      </c>
      <c r="AU2320" s="357" t="s">
        <v>276</v>
      </c>
      <c r="AV2320" s="357" t="s">
        <v>268</v>
      </c>
      <c r="AW2320" s="357" t="s">
        <v>276</v>
      </c>
      <c r="AX2320" s="369">
        <f t="shared" si="627"/>
        <v>1.0058889334487198</v>
      </c>
      <c r="AY2320" s="357" t="s">
        <v>276</v>
      </c>
      <c r="AZ2320" s="357" t="s">
        <v>276</v>
      </c>
      <c r="BA2320" s="357" t="s">
        <v>276</v>
      </c>
      <c r="BB2320" s="357" t="s">
        <v>282</v>
      </c>
      <c r="BC2320" s="357" t="s">
        <v>98</v>
      </c>
      <c r="BD2320" s="357" t="s">
        <v>98</v>
      </c>
      <c r="BE2320" s="357" t="s">
        <v>98</v>
      </c>
      <c r="BF2320" s="351" t="s">
        <v>5862</v>
      </c>
      <c r="BG2320" s="351"/>
      <c r="BH2320" s="9" t="s">
        <v>100</v>
      </c>
      <c r="BI2320" s="9" t="s">
        <v>100</v>
      </c>
      <c r="BJ2320" s="373"/>
      <c r="BN2320" s="373"/>
      <c r="BO2320" s="373"/>
    </row>
    <row r="2321" spans="1:67" s="374" customFormat="1" ht="65" hidden="1" x14ac:dyDescent="0.35">
      <c r="A2321" s="357">
        <v>10548</v>
      </c>
      <c r="B2321" s="357" t="s">
        <v>5029</v>
      </c>
      <c r="C2321" s="357" t="s">
        <v>88</v>
      </c>
      <c r="D2321" s="351" t="s">
        <v>5874</v>
      </c>
      <c r="E2321" s="357" t="s">
        <v>43</v>
      </c>
      <c r="F2321" s="351" t="s">
        <v>4987</v>
      </c>
      <c r="G2321" s="357" t="s">
        <v>225</v>
      </c>
      <c r="H2321" s="357" t="s">
        <v>125</v>
      </c>
      <c r="I2321" s="357" t="s">
        <v>114</v>
      </c>
      <c r="J2321" s="351" t="s">
        <v>33</v>
      </c>
      <c r="K2321" s="357" t="s">
        <v>2739</v>
      </c>
      <c r="L2321" s="351" t="s">
        <v>5859</v>
      </c>
      <c r="M2321" s="351" t="s">
        <v>5838</v>
      </c>
      <c r="N2321" s="351" t="s">
        <v>5613</v>
      </c>
      <c r="O2321" s="357" t="s">
        <v>276</v>
      </c>
      <c r="P2321" s="351" t="s">
        <v>239</v>
      </c>
      <c r="Q2321" s="383" t="s">
        <v>5034</v>
      </c>
      <c r="R2321" s="351" t="s">
        <v>98</v>
      </c>
      <c r="S2321" s="380" t="s">
        <v>5622</v>
      </c>
      <c r="T2321" s="380" t="s">
        <v>5622</v>
      </c>
      <c r="U2321" s="351" t="s">
        <v>276</v>
      </c>
      <c r="V2321" s="357" t="s">
        <v>259</v>
      </c>
      <c r="W2321" s="351" t="s">
        <v>5872</v>
      </c>
      <c r="X2321" s="351" t="s">
        <v>207</v>
      </c>
      <c r="Y2321" s="354">
        <v>4307</v>
      </c>
      <c r="Z2321" s="351">
        <v>4255</v>
      </c>
      <c r="AA2321" s="351" t="s">
        <v>276</v>
      </c>
      <c r="AB2321" s="351" t="s">
        <v>276</v>
      </c>
      <c r="AC2321" s="357">
        <v>155</v>
      </c>
      <c r="AD2321" s="357" t="s">
        <v>5841</v>
      </c>
      <c r="AE2321" s="357">
        <v>91</v>
      </c>
      <c r="AF2321" s="357" t="s">
        <v>5841</v>
      </c>
      <c r="AG2321" s="351" t="s">
        <v>5866</v>
      </c>
      <c r="AH2321" s="351" t="s">
        <v>5843</v>
      </c>
      <c r="AI2321" s="355">
        <v>121</v>
      </c>
      <c r="AJ2321" s="355">
        <v>100</v>
      </c>
      <c r="AK2321" s="354">
        <v>4307</v>
      </c>
      <c r="AL2321" s="351">
        <v>4255</v>
      </c>
      <c r="AM2321" s="355" t="s">
        <v>690</v>
      </c>
      <c r="AN2321" s="357" t="s">
        <v>276</v>
      </c>
      <c r="AO2321" s="356">
        <f t="shared" si="625"/>
        <v>28.093800789412583</v>
      </c>
      <c r="AP2321" s="357" t="s">
        <v>276</v>
      </c>
      <c r="AQ2321" s="357" t="s">
        <v>276</v>
      </c>
      <c r="AR2321" s="357" t="s">
        <v>276</v>
      </c>
      <c r="AS2321" s="356">
        <f t="shared" si="626"/>
        <v>23.501762632197416</v>
      </c>
      <c r="AT2321" s="357" t="s">
        <v>276</v>
      </c>
      <c r="AU2321" s="357" t="s">
        <v>276</v>
      </c>
      <c r="AV2321" s="357" t="s">
        <v>268</v>
      </c>
      <c r="AW2321" s="357" t="s">
        <v>276</v>
      </c>
      <c r="AX2321" s="369">
        <f t="shared" si="627"/>
        <v>1.1953912235895054</v>
      </c>
      <c r="AY2321" s="357" t="s">
        <v>276</v>
      </c>
      <c r="AZ2321" s="357" t="s">
        <v>276</v>
      </c>
      <c r="BA2321" s="357" t="s">
        <v>276</v>
      </c>
      <c r="BB2321" s="357" t="s">
        <v>282</v>
      </c>
      <c r="BC2321" s="357" t="s">
        <v>98</v>
      </c>
      <c r="BD2321" s="357" t="s">
        <v>98</v>
      </c>
      <c r="BE2321" s="357" t="s">
        <v>98</v>
      </c>
      <c r="BF2321" s="351" t="s">
        <v>5862</v>
      </c>
      <c r="BG2321" s="351"/>
      <c r="BH2321" s="9" t="s">
        <v>100</v>
      </c>
      <c r="BI2321" s="9" t="s">
        <v>100</v>
      </c>
      <c r="BJ2321" s="373"/>
      <c r="BN2321" s="373"/>
      <c r="BO2321" s="373"/>
    </row>
    <row r="2322" spans="1:67" s="374" customFormat="1" ht="65" hidden="1" x14ac:dyDescent="0.35">
      <c r="A2322" s="357">
        <v>10548</v>
      </c>
      <c r="B2322" s="357" t="s">
        <v>5029</v>
      </c>
      <c r="C2322" s="357" t="s">
        <v>88</v>
      </c>
      <c r="D2322" s="351" t="s">
        <v>5875</v>
      </c>
      <c r="E2322" s="357" t="s">
        <v>43</v>
      </c>
      <c r="F2322" s="351" t="s">
        <v>4987</v>
      </c>
      <c r="G2322" s="357" t="s">
        <v>225</v>
      </c>
      <c r="H2322" s="357" t="s">
        <v>125</v>
      </c>
      <c r="I2322" s="357" t="s">
        <v>114</v>
      </c>
      <c r="J2322" s="351" t="s">
        <v>33</v>
      </c>
      <c r="K2322" s="357" t="s">
        <v>2649</v>
      </c>
      <c r="L2322" s="351" t="s">
        <v>5859</v>
      </c>
      <c r="M2322" s="351" t="s">
        <v>5838</v>
      </c>
      <c r="N2322" s="351" t="s">
        <v>5613</v>
      </c>
      <c r="O2322" s="357" t="s">
        <v>276</v>
      </c>
      <c r="P2322" s="351" t="s">
        <v>239</v>
      </c>
      <c r="Q2322" s="383" t="s">
        <v>5034</v>
      </c>
      <c r="R2322" s="351" t="s">
        <v>98</v>
      </c>
      <c r="S2322" s="380" t="s">
        <v>5622</v>
      </c>
      <c r="T2322" s="380" t="s">
        <v>5622</v>
      </c>
      <c r="U2322" s="351" t="s">
        <v>276</v>
      </c>
      <c r="V2322" s="357" t="s">
        <v>259</v>
      </c>
      <c r="W2322" s="351" t="s">
        <v>5872</v>
      </c>
      <c r="X2322" s="351" t="s">
        <v>207</v>
      </c>
      <c r="Y2322" s="354">
        <v>4307</v>
      </c>
      <c r="Z2322" s="351">
        <v>4255</v>
      </c>
      <c r="AA2322" s="351" t="s">
        <v>276</v>
      </c>
      <c r="AB2322" s="351" t="s">
        <v>276</v>
      </c>
      <c r="AC2322" s="357">
        <v>155</v>
      </c>
      <c r="AD2322" s="357" t="s">
        <v>5841</v>
      </c>
      <c r="AE2322" s="357">
        <v>91</v>
      </c>
      <c r="AF2322" s="357" t="s">
        <v>5841</v>
      </c>
      <c r="AG2322" s="351" t="s">
        <v>5868</v>
      </c>
      <c r="AH2322" s="351" t="s">
        <v>5843</v>
      </c>
      <c r="AI2322" s="355">
        <v>32</v>
      </c>
      <c r="AJ2322" s="355">
        <v>26</v>
      </c>
      <c r="AK2322" s="354">
        <v>4307</v>
      </c>
      <c r="AL2322" s="351">
        <v>4255</v>
      </c>
      <c r="AM2322" s="355" t="s">
        <v>690</v>
      </c>
      <c r="AN2322" s="357" t="s">
        <v>276</v>
      </c>
      <c r="AO2322" s="356">
        <f t="shared" si="625"/>
        <v>7.4297654980264687</v>
      </c>
      <c r="AP2322" s="357" t="s">
        <v>276</v>
      </c>
      <c r="AQ2322" s="357" t="s">
        <v>276</v>
      </c>
      <c r="AR2322" s="357" t="s">
        <v>276</v>
      </c>
      <c r="AS2322" s="356">
        <f t="shared" si="626"/>
        <v>6.1104582843713278</v>
      </c>
      <c r="AT2322" s="357" t="s">
        <v>276</v>
      </c>
      <c r="AU2322" s="357" t="s">
        <v>276</v>
      </c>
      <c r="AV2322" s="357" t="s">
        <v>268</v>
      </c>
      <c r="AW2322" s="357" t="s">
        <v>276</v>
      </c>
      <c r="AX2322" s="369">
        <f t="shared" si="627"/>
        <v>1.215909699773178</v>
      </c>
      <c r="AY2322" s="357" t="s">
        <v>276</v>
      </c>
      <c r="AZ2322" s="357" t="s">
        <v>276</v>
      </c>
      <c r="BA2322" s="357" t="s">
        <v>276</v>
      </c>
      <c r="BB2322" s="357" t="s">
        <v>282</v>
      </c>
      <c r="BC2322" s="357" t="s">
        <v>98</v>
      </c>
      <c r="BD2322" s="357" t="s">
        <v>98</v>
      </c>
      <c r="BE2322" s="357" t="s">
        <v>98</v>
      </c>
      <c r="BF2322" s="351" t="s">
        <v>5862</v>
      </c>
      <c r="BG2322" s="351"/>
      <c r="BH2322" s="9" t="s">
        <v>100</v>
      </c>
      <c r="BI2322" s="9" t="s">
        <v>100</v>
      </c>
      <c r="BJ2322" s="373"/>
      <c r="BN2322" s="373"/>
      <c r="BO2322" s="373"/>
    </row>
    <row r="2323" spans="1:67" s="374" customFormat="1" ht="65" hidden="1" x14ac:dyDescent="0.35">
      <c r="A2323" s="357">
        <v>10548</v>
      </c>
      <c r="B2323" s="357" t="s">
        <v>5029</v>
      </c>
      <c r="C2323" s="357" t="s">
        <v>88</v>
      </c>
      <c r="D2323" s="351" t="s">
        <v>5876</v>
      </c>
      <c r="E2323" s="357" t="s">
        <v>43</v>
      </c>
      <c r="F2323" s="351" t="s">
        <v>4987</v>
      </c>
      <c r="G2323" s="357" t="s">
        <v>225</v>
      </c>
      <c r="H2323" s="357" t="s">
        <v>125</v>
      </c>
      <c r="I2323" s="357" t="s">
        <v>114</v>
      </c>
      <c r="J2323" s="351" t="s">
        <v>33</v>
      </c>
      <c r="K2323" s="357" t="s">
        <v>1108</v>
      </c>
      <c r="L2323" s="351" t="s">
        <v>5859</v>
      </c>
      <c r="M2323" s="351" t="s">
        <v>5838</v>
      </c>
      <c r="N2323" s="351" t="s">
        <v>5613</v>
      </c>
      <c r="O2323" s="357" t="s">
        <v>276</v>
      </c>
      <c r="P2323" s="351" t="s">
        <v>239</v>
      </c>
      <c r="Q2323" s="383" t="s">
        <v>5034</v>
      </c>
      <c r="R2323" s="351" t="s">
        <v>98</v>
      </c>
      <c r="S2323" s="380" t="s">
        <v>5622</v>
      </c>
      <c r="T2323" s="380" t="s">
        <v>5622</v>
      </c>
      <c r="U2323" s="351" t="s">
        <v>276</v>
      </c>
      <c r="V2323" s="357" t="s">
        <v>259</v>
      </c>
      <c r="W2323" s="351" t="s">
        <v>5872</v>
      </c>
      <c r="X2323" s="351" t="s">
        <v>207</v>
      </c>
      <c r="Y2323" s="354">
        <v>4307</v>
      </c>
      <c r="Z2323" s="351">
        <v>4255</v>
      </c>
      <c r="AA2323" s="351" t="s">
        <v>276</v>
      </c>
      <c r="AB2323" s="351" t="s">
        <v>276</v>
      </c>
      <c r="AC2323" s="357">
        <v>155</v>
      </c>
      <c r="AD2323" s="357" t="s">
        <v>5841</v>
      </c>
      <c r="AE2323" s="357">
        <v>91</v>
      </c>
      <c r="AF2323" s="357" t="s">
        <v>5841</v>
      </c>
      <c r="AG2323" s="351" t="s">
        <v>5870</v>
      </c>
      <c r="AH2323" s="351" t="s">
        <v>5843</v>
      </c>
      <c r="AI2323" s="355">
        <v>2</v>
      </c>
      <c r="AJ2323" s="355">
        <v>6</v>
      </c>
      <c r="AK2323" s="354">
        <v>4307</v>
      </c>
      <c r="AL2323" s="351">
        <v>4255</v>
      </c>
      <c r="AM2323" s="355" t="s">
        <v>690</v>
      </c>
      <c r="AN2323" s="357" t="s">
        <v>276</v>
      </c>
      <c r="AO2323" s="356">
        <f t="shared" si="625"/>
        <v>0.46436034362665429</v>
      </c>
      <c r="AP2323" s="357" t="s">
        <v>276</v>
      </c>
      <c r="AQ2323" s="357" t="s">
        <v>276</v>
      </c>
      <c r="AR2323" s="357" t="s">
        <v>276</v>
      </c>
      <c r="AS2323" s="356">
        <f t="shared" si="626"/>
        <v>1.4101057579318448</v>
      </c>
      <c r="AT2323" s="357" t="s">
        <v>276</v>
      </c>
      <c r="AU2323" s="357" t="s">
        <v>276</v>
      </c>
      <c r="AV2323" s="357" t="s">
        <v>268</v>
      </c>
      <c r="AW2323" s="357" t="s">
        <v>276</v>
      </c>
      <c r="AX2323" s="369">
        <f t="shared" si="627"/>
        <v>0.32930887702190237</v>
      </c>
      <c r="AY2323" s="357" t="s">
        <v>276</v>
      </c>
      <c r="AZ2323" s="357" t="s">
        <v>276</v>
      </c>
      <c r="BA2323" s="357" t="s">
        <v>276</v>
      </c>
      <c r="BB2323" s="357" t="s">
        <v>282</v>
      </c>
      <c r="BC2323" s="357" t="s">
        <v>98</v>
      </c>
      <c r="BD2323" s="357" t="s">
        <v>98</v>
      </c>
      <c r="BE2323" s="357" t="s">
        <v>98</v>
      </c>
      <c r="BF2323" s="351" t="s">
        <v>5862</v>
      </c>
      <c r="BG2323" s="351"/>
      <c r="BH2323" s="9" t="s">
        <v>100</v>
      </c>
      <c r="BI2323" s="9" t="s">
        <v>100</v>
      </c>
      <c r="BJ2323" s="373"/>
      <c r="BN2323" s="373"/>
      <c r="BO2323" s="373"/>
    </row>
    <row r="2324" spans="1:67" s="374" customFormat="1" ht="65" hidden="1" x14ac:dyDescent="0.35">
      <c r="A2324" s="357">
        <v>10548</v>
      </c>
      <c r="B2324" s="357" t="s">
        <v>5029</v>
      </c>
      <c r="C2324" s="357" t="s">
        <v>88</v>
      </c>
      <c r="D2324" s="351" t="s">
        <v>5877</v>
      </c>
      <c r="E2324" s="357" t="s">
        <v>43</v>
      </c>
      <c r="F2324" s="351" t="s">
        <v>4987</v>
      </c>
      <c r="G2324" s="357" t="s">
        <v>225</v>
      </c>
      <c r="H2324" s="357" t="s">
        <v>125</v>
      </c>
      <c r="I2324" s="357" t="s">
        <v>114</v>
      </c>
      <c r="J2324" s="351" t="s">
        <v>33</v>
      </c>
      <c r="K2324" s="357" t="s">
        <v>5837</v>
      </c>
      <c r="L2324" s="351" t="s">
        <v>5859</v>
      </c>
      <c r="M2324" s="351" t="s">
        <v>5838</v>
      </c>
      <c r="N2324" s="351" t="s">
        <v>5613</v>
      </c>
      <c r="O2324" s="357" t="s">
        <v>276</v>
      </c>
      <c r="P2324" s="351" t="s">
        <v>239</v>
      </c>
      <c r="Q2324" s="383" t="s">
        <v>5034</v>
      </c>
      <c r="R2324" s="351" t="s">
        <v>98</v>
      </c>
      <c r="S2324" s="380" t="s">
        <v>5624</v>
      </c>
      <c r="T2324" s="380" t="s">
        <v>5624</v>
      </c>
      <c r="U2324" s="351" t="s">
        <v>276</v>
      </c>
      <c r="V2324" s="357" t="s">
        <v>259</v>
      </c>
      <c r="W2324" s="351" t="s">
        <v>5133</v>
      </c>
      <c r="X2324" s="351" t="s">
        <v>207</v>
      </c>
      <c r="Y2324" s="354">
        <v>5901</v>
      </c>
      <c r="Z2324" s="351">
        <v>5951</v>
      </c>
      <c r="AA2324" s="351" t="s">
        <v>276</v>
      </c>
      <c r="AB2324" s="351" t="s">
        <v>276</v>
      </c>
      <c r="AC2324" s="357">
        <v>12</v>
      </c>
      <c r="AD2324" s="357" t="s">
        <v>5841</v>
      </c>
      <c r="AE2324" s="357">
        <v>16</v>
      </c>
      <c r="AF2324" s="357" t="s">
        <v>5841</v>
      </c>
      <c r="AG2324" s="351" t="s">
        <v>5861</v>
      </c>
      <c r="AH2324" s="351" t="s">
        <v>5843</v>
      </c>
      <c r="AI2324" s="355">
        <v>16</v>
      </c>
      <c r="AJ2324" s="355">
        <v>22</v>
      </c>
      <c r="AK2324" s="354">
        <v>5901</v>
      </c>
      <c r="AL2324" s="351">
        <v>5951</v>
      </c>
      <c r="AM2324" s="355" t="s">
        <v>690</v>
      </c>
      <c r="AN2324" s="357" t="s">
        <v>276</v>
      </c>
      <c r="AO2324" s="356">
        <f t="shared" si="625"/>
        <v>2.7114048466361633</v>
      </c>
      <c r="AP2324" s="357" t="s">
        <v>276</v>
      </c>
      <c r="AQ2324" s="357" t="s">
        <v>276</v>
      </c>
      <c r="AR2324" s="357" t="s">
        <v>276</v>
      </c>
      <c r="AS2324" s="356">
        <f t="shared" si="626"/>
        <v>3.6968576709796674</v>
      </c>
      <c r="AT2324" s="357" t="s">
        <v>276</v>
      </c>
      <c r="AU2324" s="357" t="s">
        <v>276</v>
      </c>
      <c r="AV2324" s="357" t="s">
        <v>268</v>
      </c>
      <c r="AW2324" s="357" t="s">
        <v>276</v>
      </c>
      <c r="AX2324" s="369">
        <f t="shared" si="627"/>
        <v>0.73343501101508213</v>
      </c>
      <c r="AY2324" s="357" t="s">
        <v>276</v>
      </c>
      <c r="AZ2324" s="357" t="s">
        <v>276</v>
      </c>
      <c r="BA2324" s="357" t="s">
        <v>276</v>
      </c>
      <c r="BB2324" s="357" t="s">
        <v>282</v>
      </c>
      <c r="BC2324" s="357" t="s">
        <v>98</v>
      </c>
      <c r="BD2324" s="357" t="s">
        <v>98</v>
      </c>
      <c r="BE2324" s="357" t="s">
        <v>98</v>
      </c>
      <c r="BF2324" s="351" t="s">
        <v>5862</v>
      </c>
      <c r="BG2324" s="351"/>
      <c r="BH2324" s="9" t="s">
        <v>100</v>
      </c>
      <c r="BI2324" s="9" t="s">
        <v>100</v>
      </c>
      <c r="BJ2324" s="373"/>
      <c r="BN2324" s="373"/>
      <c r="BO2324" s="373"/>
    </row>
    <row r="2325" spans="1:67" s="374" customFormat="1" ht="65" hidden="1" x14ac:dyDescent="0.35">
      <c r="A2325" s="357">
        <v>10548</v>
      </c>
      <c r="B2325" s="357" t="s">
        <v>5029</v>
      </c>
      <c r="C2325" s="357" t="s">
        <v>88</v>
      </c>
      <c r="D2325" s="351" t="s">
        <v>5878</v>
      </c>
      <c r="E2325" s="357" t="s">
        <v>43</v>
      </c>
      <c r="F2325" s="351" t="s">
        <v>4987</v>
      </c>
      <c r="G2325" s="357" t="s">
        <v>225</v>
      </c>
      <c r="H2325" s="357" t="s">
        <v>125</v>
      </c>
      <c r="I2325" s="357" t="s">
        <v>114</v>
      </c>
      <c r="J2325" s="351" t="s">
        <v>33</v>
      </c>
      <c r="K2325" s="357" t="s">
        <v>5846</v>
      </c>
      <c r="L2325" s="351" t="s">
        <v>5859</v>
      </c>
      <c r="M2325" s="351" t="s">
        <v>5838</v>
      </c>
      <c r="N2325" s="351" t="s">
        <v>5613</v>
      </c>
      <c r="O2325" s="357" t="s">
        <v>276</v>
      </c>
      <c r="P2325" s="351" t="s">
        <v>239</v>
      </c>
      <c r="Q2325" s="383" t="s">
        <v>5034</v>
      </c>
      <c r="R2325" s="351" t="s">
        <v>98</v>
      </c>
      <c r="S2325" s="380" t="s">
        <v>5624</v>
      </c>
      <c r="T2325" s="380" t="s">
        <v>5624</v>
      </c>
      <c r="U2325" s="351" t="s">
        <v>276</v>
      </c>
      <c r="V2325" s="357" t="s">
        <v>259</v>
      </c>
      <c r="W2325" s="351" t="s">
        <v>5133</v>
      </c>
      <c r="X2325" s="351" t="s">
        <v>207</v>
      </c>
      <c r="Y2325" s="354">
        <v>5901</v>
      </c>
      <c r="Z2325" s="351">
        <v>5951</v>
      </c>
      <c r="AA2325" s="351" t="s">
        <v>276</v>
      </c>
      <c r="AB2325" s="351" t="s">
        <v>276</v>
      </c>
      <c r="AC2325" s="357">
        <v>12</v>
      </c>
      <c r="AD2325" s="357" t="s">
        <v>5841</v>
      </c>
      <c r="AE2325" s="357">
        <v>16</v>
      </c>
      <c r="AF2325" s="357" t="s">
        <v>5841</v>
      </c>
      <c r="AG2325" s="351" t="s">
        <v>5864</v>
      </c>
      <c r="AH2325" s="351" t="s">
        <v>5843</v>
      </c>
      <c r="AI2325" s="355">
        <v>507</v>
      </c>
      <c r="AJ2325" s="355">
        <v>209</v>
      </c>
      <c r="AK2325" s="354">
        <v>5901</v>
      </c>
      <c r="AL2325" s="351">
        <v>5951</v>
      </c>
      <c r="AM2325" s="355" t="s">
        <v>690</v>
      </c>
      <c r="AN2325" s="357" t="s">
        <v>276</v>
      </c>
      <c r="AO2325" s="356">
        <f t="shared" si="625"/>
        <v>85.917641077783429</v>
      </c>
      <c r="AP2325" s="357" t="s">
        <v>276</v>
      </c>
      <c r="AQ2325" s="357" t="s">
        <v>276</v>
      </c>
      <c r="AR2325" s="357" t="s">
        <v>276</v>
      </c>
      <c r="AS2325" s="356">
        <f t="shared" si="626"/>
        <v>35.120147874306838</v>
      </c>
      <c r="AT2325" s="357" t="s">
        <v>276</v>
      </c>
      <c r="AU2325" s="357" t="s">
        <v>276</v>
      </c>
      <c r="AV2325" s="357" t="s">
        <v>268</v>
      </c>
      <c r="AW2325" s="357" t="s">
        <v>276</v>
      </c>
      <c r="AX2325" s="369">
        <f t="shared" si="627"/>
        <v>2.4463917801621493</v>
      </c>
      <c r="AY2325" s="357" t="s">
        <v>276</v>
      </c>
      <c r="AZ2325" s="357" t="s">
        <v>276</v>
      </c>
      <c r="BA2325" s="357" t="s">
        <v>276</v>
      </c>
      <c r="BB2325" s="357" t="s">
        <v>282</v>
      </c>
      <c r="BC2325" s="357" t="s">
        <v>98</v>
      </c>
      <c r="BD2325" s="357" t="s">
        <v>98</v>
      </c>
      <c r="BE2325" s="357" t="s">
        <v>98</v>
      </c>
      <c r="BF2325" s="351" t="s">
        <v>5862</v>
      </c>
      <c r="BG2325" s="351"/>
      <c r="BH2325" s="9" t="s">
        <v>100</v>
      </c>
      <c r="BI2325" s="9" t="s">
        <v>100</v>
      </c>
      <c r="BJ2325" s="373"/>
      <c r="BN2325" s="373"/>
      <c r="BO2325" s="373"/>
    </row>
    <row r="2326" spans="1:67" s="374" customFormat="1" ht="65" hidden="1" x14ac:dyDescent="0.35">
      <c r="A2326" s="357">
        <v>10548</v>
      </c>
      <c r="B2326" s="357" t="s">
        <v>5029</v>
      </c>
      <c r="C2326" s="357" t="s">
        <v>88</v>
      </c>
      <c r="D2326" s="351" t="s">
        <v>5879</v>
      </c>
      <c r="E2326" s="357" t="s">
        <v>43</v>
      </c>
      <c r="F2326" s="351" t="s">
        <v>4987</v>
      </c>
      <c r="G2326" s="357" t="s">
        <v>225</v>
      </c>
      <c r="H2326" s="357" t="s">
        <v>125</v>
      </c>
      <c r="I2326" s="357" t="s">
        <v>114</v>
      </c>
      <c r="J2326" s="351" t="s">
        <v>33</v>
      </c>
      <c r="K2326" s="357" t="s">
        <v>2739</v>
      </c>
      <c r="L2326" s="351" t="s">
        <v>5859</v>
      </c>
      <c r="M2326" s="351" t="s">
        <v>5838</v>
      </c>
      <c r="N2326" s="351" t="s">
        <v>5613</v>
      </c>
      <c r="O2326" s="357" t="s">
        <v>276</v>
      </c>
      <c r="P2326" s="351" t="s">
        <v>239</v>
      </c>
      <c r="Q2326" s="383" t="s">
        <v>5034</v>
      </c>
      <c r="R2326" s="351" t="s">
        <v>98</v>
      </c>
      <c r="S2326" s="380" t="s">
        <v>5624</v>
      </c>
      <c r="T2326" s="380" t="s">
        <v>5624</v>
      </c>
      <c r="U2326" s="351" t="s">
        <v>276</v>
      </c>
      <c r="V2326" s="357" t="s">
        <v>259</v>
      </c>
      <c r="W2326" s="351" t="s">
        <v>5133</v>
      </c>
      <c r="X2326" s="351" t="s">
        <v>207</v>
      </c>
      <c r="Y2326" s="354">
        <v>5901</v>
      </c>
      <c r="Z2326" s="351">
        <v>5951</v>
      </c>
      <c r="AA2326" s="351" t="s">
        <v>276</v>
      </c>
      <c r="AB2326" s="351" t="s">
        <v>276</v>
      </c>
      <c r="AC2326" s="357">
        <v>12</v>
      </c>
      <c r="AD2326" s="357" t="s">
        <v>5841</v>
      </c>
      <c r="AE2326" s="357">
        <v>16</v>
      </c>
      <c r="AF2326" s="357" t="s">
        <v>5841</v>
      </c>
      <c r="AG2326" s="351" t="s">
        <v>5866</v>
      </c>
      <c r="AH2326" s="351" t="s">
        <v>5843</v>
      </c>
      <c r="AI2326" s="355">
        <v>181</v>
      </c>
      <c r="AJ2326" s="355">
        <v>180</v>
      </c>
      <c r="AK2326" s="354">
        <v>5901</v>
      </c>
      <c r="AL2326" s="351">
        <v>5951</v>
      </c>
      <c r="AM2326" s="355" t="s">
        <v>690</v>
      </c>
      <c r="AN2326" s="357" t="s">
        <v>276</v>
      </c>
      <c r="AO2326" s="356">
        <f t="shared" si="625"/>
        <v>30.672767327571599</v>
      </c>
      <c r="AP2326" s="357" t="s">
        <v>276</v>
      </c>
      <c r="AQ2326" s="357" t="s">
        <v>276</v>
      </c>
      <c r="AR2326" s="357" t="s">
        <v>276</v>
      </c>
      <c r="AS2326" s="356">
        <f t="shared" si="626"/>
        <v>30.247017308015458</v>
      </c>
      <c r="AT2326" s="357" t="s">
        <v>276</v>
      </c>
      <c r="AU2326" s="357" t="s">
        <v>276</v>
      </c>
      <c r="AV2326" s="357" t="s">
        <v>268</v>
      </c>
      <c r="AW2326" s="357" t="s">
        <v>276</v>
      </c>
      <c r="AX2326" s="369">
        <f t="shared" si="627"/>
        <v>1.0140757687021034</v>
      </c>
      <c r="AY2326" s="357" t="s">
        <v>276</v>
      </c>
      <c r="AZ2326" s="357" t="s">
        <v>276</v>
      </c>
      <c r="BA2326" s="357" t="s">
        <v>276</v>
      </c>
      <c r="BB2326" s="357" t="s">
        <v>282</v>
      </c>
      <c r="BC2326" s="357" t="s">
        <v>98</v>
      </c>
      <c r="BD2326" s="357" t="s">
        <v>98</v>
      </c>
      <c r="BE2326" s="357" t="s">
        <v>98</v>
      </c>
      <c r="BF2326" s="351" t="s">
        <v>5862</v>
      </c>
      <c r="BG2326" s="351"/>
      <c r="BH2326" s="9" t="s">
        <v>100</v>
      </c>
      <c r="BI2326" s="9" t="s">
        <v>100</v>
      </c>
      <c r="BJ2326" s="373"/>
      <c r="BN2326" s="373"/>
      <c r="BO2326" s="373"/>
    </row>
    <row r="2327" spans="1:67" s="374" customFormat="1" ht="65" hidden="1" x14ac:dyDescent="0.35">
      <c r="A2327" s="357">
        <v>10548</v>
      </c>
      <c r="B2327" s="357" t="s">
        <v>5029</v>
      </c>
      <c r="C2327" s="357" t="s">
        <v>88</v>
      </c>
      <c r="D2327" s="351" t="s">
        <v>5880</v>
      </c>
      <c r="E2327" s="357" t="s">
        <v>43</v>
      </c>
      <c r="F2327" s="351" t="s">
        <v>4987</v>
      </c>
      <c r="G2327" s="357" t="s">
        <v>225</v>
      </c>
      <c r="H2327" s="357" t="s">
        <v>125</v>
      </c>
      <c r="I2327" s="357" t="s">
        <v>114</v>
      </c>
      <c r="J2327" s="351" t="s">
        <v>33</v>
      </c>
      <c r="K2327" s="357" t="s">
        <v>2649</v>
      </c>
      <c r="L2327" s="351" t="s">
        <v>5859</v>
      </c>
      <c r="M2327" s="351" t="s">
        <v>5838</v>
      </c>
      <c r="N2327" s="351" t="s">
        <v>5613</v>
      </c>
      <c r="O2327" s="357" t="s">
        <v>276</v>
      </c>
      <c r="P2327" s="351" t="s">
        <v>239</v>
      </c>
      <c r="Q2327" s="383" t="s">
        <v>5034</v>
      </c>
      <c r="R2327" s="351" t="s">
        <v>98</v>
      </c>
      <c r="S2327" s="380" t="s">
        <v>5624</v>
      </c>
      <c r="T2327" s="380" t="s">
        <v>5624</v>
      </c>
      <c r="U2327" s="351" t="s">
        <v>276</v>
      </c>
      <c r="V2327" s="357" t="s">
        <v>259</v>
      </c>
      <c r="W2327" s="351" t="s">
        <v>5133</v>
      </c>
      <c r="X2327" s="351" t="s">
        <v>207</v>
      </c>
      <c r="Y2327" s="354">
        <v>5901</v>
      </c>
      <c r="Z2327" s="351">
        <v>5951</v>
      </c>
      <c r="AA2327" s="351" t="s">
        <v>276</v>
      </c>
      <c r="AB2327" s="351" t="s">
        <v>276</v>
      </c>
      <c r="AC2327" s="357">
        <v>12</v>
      </c>
      <c r="AD2327" s="357" t="s">
        <v>5841</v>
      </c>
      <c r="AE2327" s="357">
        <v>16</v>
      </c>
      <c r="AF2327" s="357" t="s">
        <v>5841</v>
      </c>
      <c r="AG2327" s="351" t="s">
        <v>5868</v>
      </c>
      <c r="AH2327" s="351" t="s">
        <v>5843</v>
      </c>
      <c r="AI2327" s="355">
        <v>32</v>
      </c>
      <c r="AJ2327" s="355">
        <v>60</v>
      </c>
      <c r="AK2327" s="354">
        <v>5901</v>
      </c>
      <c r="AL2327" s="351">
        <v>5951</v>
      </c>
      <c r="AM2327" s="355" t="s">
        <v>690</v>
      </c>
      <c r="AN2327" s="357" t="s">
        <v>276</v>
      </c>
      <c r="AO2327" s="356">
        <f t="shared" si="625"/>
        <v>5.4228096932723266</v>
      </c>
      <c r="AP2327" s="357" t="s">
        <v>276</v>
      </c>
      <c r="AQ2327" s="357" t="s">
        <v>276</v>
      </c>
      <c r="AR2327" s="357" t="s">
        <v>276</v>
      </c>
      <c r="AS2327" s="356">
        <f t="shared" si="626"/>
        <v>10.082339102671821</v>
      </c>
      <c r="AT2327" s="357" t="s">
        <v>276</v>
      </c>
      <c r="AU2327" s="357" t="s">
        <v>276</v>
      </c>
      <c r="AV2327" s="357" t="s">
        <v>268</v>
      </c>
      <c r="AW2327" s="357" t="s">
        <v>276</v>
      </c>
      <c r="AX2327" s="369">
        <f t="shared" si="627"/>
        <v>0.5378523414110602</v>
      </c>
      <c r="AY2327" s="357" t="s">
        <v>276</v>
      </c>
      <c r="AZ2327" s="357" t="s">
        <v>276</v>
      </c>
      <c r="BA2327" s="357" t="s">
        <v>276</v>
      </c>
      <c r="BB2327" s="357" t="s">
        <v>282</v>
      </c>
      <c r="BC2327" s="357" t="s">
        <v>98</v>
      </c>
      <c r="BD2327" s="357" t="s">
        <v>98</v>
      </c>
      <c r="BE2327" s="357" t="s">
        <v>98</v>
      </c>
      <c r="BF2327" s="351" t="s">
        <v>5862</v>
      </c>
      <c r="BG2327" s="351"/>
      <c r="BH2327" s="9" t="s">
        <v>100</v>
      </c>
      <c r="BI2327" s="9" t="s">
        <v>100</v>
      </c>
      <c r="BJ2327" s="373"/>
      <c r="BN2327" s="373"/>
      <c r="BO2327" s="373"/>
    </row>
    <row r="2328" spans="1:67" s="374" customFormat="1" ht="65" hidden="1" x14ac:dyDescent="0.35">
      <c r="A2328" s="357">
        <v>10548</v>
      </c>
      <c r="B2328" s="357" t="s">
        <v>5029</v>
      </c>
      <c r="C2328" s="357" t="s">
        <v>88</v>
      </c>
      <c r="D2328" s="351" t="s">
        <v>5881</v>
      </c>
      <c r="E2328" s="357" t="s">
        <v>43</v>
      </c>
      <c r="F2328" s="351" t="s">
        <v>4987</v>
      </c>
      <c r="G2328" s="357" t="s">
        <v>225</v>
      </c>
      <c r="H2328" s="357" t="s">
        <v>125</v>
      </c>
      <c r="I2328" s="357" t="s">
        <v>114</v>
      </c>
      <c r="J2328" s="351" t="s">
        <v>33</v>
      </c>
      <c r="K2328" s="357" t="s">
        <v>1108</v>
      </c>
      <c r="L2328" s="351" t="s">
        <v>5859</v>
      </c>
      <c r="M2328" s="351" t="s">
        <v>5838</v>
      </c>
      <c r="N2328" s="351" t="s">
        <v>5613</v>
      </c>
      <c r="O2328" s="357" t="s">
        <v>276</v>
      </c>
      <c r="P2328" s="351" t="s">
        <v>239</v>
      </c>
      <c r="Q2328" s="383" t="s">
        <v>5034</v>
      </c>
      <c r="R2328" s="351" t="s">
        <v>98</v>
      </c>
      <c r="S2328" s="380" t="s">
        <v>5624</v>
      </c>
      <c r="T2328" s="380" t="s">
        <v>5624</v>
      </c>
      <c r="U2328" s="351" t="s">
        <v>276</v>
      </c>
      <c r="V2328" s="357" t="s">
        <v>259</v>
      </c>
      <c r="W2328" s="351" t="s">
        <v>5133</v>
      </c>
      <c r="X2328" s="351" t="s">
        <v>207</v>
      </c>
      <c r="Y2328" s="354">
        <v>5901</v>
      </c>
      <c r="Z2328" s="351">
        <v>5951</v>
      </c>
      <c r="AA2328" s="351" t="s">
        <v>276</v>
      </c>
      <c r="AB2328" s="351" t="s">
        <v>276</v>
      </c>
      <c r="AC2328" s="357">
        <v>12</v>
      </c>
      <c r="AD2328" s="357" t="s">
        <v>5841</v>
      </c>
      <c r="AE2328" s="357">
        <v>16</v>
      </c>
      <c r="AF2328" s="357" t="s">
        <v>5841</v>
      </c>
      <c r="AG2328" s="351" t="s">
        <v>5870</v>
      </c>
      <c r="AH2328" s="351" t="s">
        <v>5843</v>
      </c>
      <c r="AI2328" s="355">
        <v>11</v>
      </c>
      <c r="AJ2328" s="355">
        <v>20</v>
      </c>
      <c r="AK2328" s="354">
        <v>5901</v>
      </c>
      <c r="AL2328" s="351">
        <v>5951</v>
      </c>
      <c r="AM2328" s="355" t="s">
        <v>690</v>
      </c>
      <c r="AN2328" s="357" t="s">
        <v>276</v>
      </c>
      <c r="AO2328" s="356">
        <f t="shared" si="625"/>
        <v>1.8640908320623624</v>
      </c>
      <c r="AP2328" s="357" t="s">
        <v>276</v>
      </c>
      <c r="AQ2328" s="357" t="s">
        <v>276</v>
      </c>
      <c r="AR2328" s="357" t="s">
        <v>276</v>
      </c>
      <c r="AS2328" s="356">
        <f t="shared" si="626"/>
        <v>3.3607797008906064</v>
      </c>
      <c r="AT2328" s="357" t="s">
        <v>276</v>
      </c>
      <c r="AU2328" s="357" t="s">
        <v>276</v>
      </c>
      <c r="AV2328" s="357" t="s">
        <v>268</v>
      </c>
      <c r="AW2328" s="357" t="s">
        <v>276</v>
      </c>
      <c r="AX2328" s="369">
        <f t="shared" si="627"/>
        <v>0.55466022708015594</v>
      </c>
      <c r="AY2328" s="357" t="s">
        <v>276</v>
      </c>
      <c r="AZ2328" s="357" t="s">
        <v>276</v>
      </c>
      <c r="BA2328" s="357" t="s">
        <v>276</v>
      </c>
      <c r="BB2328" s="357" t="s">
        <v>282</v>
      </c>
      <c r="BC2328" s="357" t="s">
        <v>98</v>
      </c>
      <c r="BD2328" s="357" t="s">
        <v>98</v>
      </c>
      <c r="BE2328" s="357" t="s">
        <v>98</v>
      </c>
      <c r="BF2328" s="351" t="s">
        <v>5862</v>
      </c>
      <c r="BG2328" s="351"/>
      <c r="BH2328" s="9" t="s">
        <v>100</v>
      </c>
      <c r="BI2328" s="9" t="s">
        <v>100</v>
      </c>
      <c r="BJ2328" s="373"/>
      <c r="BN2328" s="373"/>
      <c r="BO2328" s="373"/>
    </row>
    <row r="2329" spans="1:67" s="374" customFormat="1" ht="65" hidden="1" x14ac:dyDescent="0.35">
      <c r="A2329" s="357">
        <v>10548</v>
      </c>
      <c r="B2329" s="357" t="s">
        <v>5029</v>
      </c>
      <c r="C2329" s="357" t="s">
        <v>88</v>
      </c>
      <c r="D2329" s="351" t="s">
        <v>5882</v>
      </c>
      <c r="E2329" s="357" t="s">
        <v>43</v>
      </c>
      <c r="F2329" s="351" t="s">
        <v>4987</v>
      </c>
      <c r="G2329" s="357" t="s">
        <v>225</v>
      </c>
      <c r="H2329" s="357" t="s">
        <v>125</v>
      </c>
      <c r="I2329" s="357" t="s">
        <v>114</v>
      </c>
      <c r="J2329" s="351" t="s">
        <v>33</v>
      </c>
      <c r="K2329" s="357" t="s">
        <v>5837</v>
      </c>
      <c r="L2329" s="351" t="s">
        <v>5859</v>
      </c>
      <c r="M2329" s="351" t="s">
        <v>5838</v>
      </c>
      <c r="N2329" s="351" t="s">
        <v>5613</v>
      </c>
      <c r="O2329" s="357" t="s">
        <v>276</v>
      </c>
      <c r="P2329" s="351" t="s">
        <v>239</v>
      </c>
      <c r="Q2329" s="383" t="s">
        <v>5034</v>
      </c>
      <c r="R2329" s="351" t="s">
        <v>98</v>
      </c>
      <c r="S2329" s="380" t="s">
        <v>5619</v>
      </c>
      <c r="T2329" s="380" t="s">
        <v>5619</v>
      </c>
      <c r="U2329" s="351" t="s">
        <v>276</v>
      </c>
      <c r="V2329" s="357" t="s">
        <v>259</v>
      </c>
      <c r="W2329" s="351" t="s">
        <v>5136</v>
      </c>
      <c r="X2329" s="351" t="s">
        <v>207</v>
      </c>
      <c r="Y2329" s="354">
        <v>31970</v>
      </c>
      <c r="Z2329" s="355">
        <v>48409</v>
      </c>
      <c r="AA2329" s="351" t="s">
        <v>276</v>
      </c>
      <c r="AB2329" s="351" t="s">
        <v>276</v>
      </c>
      <c r="AC2329" s="357">
        <v>12</v>
      </c>
      <c r="AD2329" s="357" t="s">
        <v>5841</v>
      </c>
      <c r="AE2329" s="357">
        <v>16</v>
      </c>
      <c r="AF2329" s="357" t="s">
        <v>5841</v>
      </c>
      <c r="AG2329" s="351" t="s">
        <v>5861</v>
      </c>
      <c r="AH2329" s="351" t="s">
        <v>5843</v>
      </c>
      <c r="AI2329" s="355">
        <v>178</v>
      </c>
      <c r="AJ2329" s="355">
        <v>221</v>
      </c>
      <c r="AK2329" s="354">
        <v>31970</v>
      </c>
      <c r="AL2329" s="355">
        <v>48409</v>
      </c>
      <c r="AM2329" s="355" t="s">
        <v>690</v>
      </c>
      <c r="AN2329" s="357" t="s">
        <v>276</v>
      </c>
      <c r="AO2329" s="356">
        <f t="shared" si="625"/>
        <v>5.5677197372536753</v>
      </c>
      <c r="AP2329" s="357" t="s">
        <v>276</v>
      </c>
      <c r="AQ2329" s="357" t="s">
        <v>276</v>
      </c>
      <c r="AR2329" s="357" t="s">
        <v>276</v>
      </c>
      <c r="AS2329" s="356">
        <f t="shared" si="626"/>
        <v>4.5652667892334069</v>
      </c>
      <c r="AT2329" s="357" t="s">
        <v>276</v>
      </c>
      <c r="AU2329" s="357" t="s">
        <v>276</v>
      </c>
      <c r="AV2329" s="357" t="s">
        <v>268</v>
      </c>
      <c r="AW2329" s="357" t="s">
        <v>276</v>
      </c>
      <c r="AX2329" s="369">
        <f t="shared" si="627"/>
        <v>1.2195825554783402</v>
      </c>
      <c r="AY2329" s="357" t="s">
        <v>276</v>
      </c>
      <c r="AZ2329" s="357" t="s">
        <v>276</v>
      </c>
      <c r="BA2329" s="357" t="s">
        <v>276</v>
      </c>
      <c r="BB2329" s="357" t="s">
        <v>282</v>
      </c>
      <c r="BC2329" s="357" t="s">
        <v>98</v>
      </c>
      <c r="BD2329" s="357" t="s">
        <v>98</v>
      </c>
      <c r="BE2329" s="357" t="s">
        <v>98</v>
      </c>
      <c r="BF2329" s="351" t="s">
        <v>5862</v>
      </c>
      <c r="BG2329" s="351"/>
      <c r="BH2329" s="9" t="s">
        <v>100</v>
      </c>
      <c r="BI2329" s="9" t="s">
        <v>100</v>
      </c>
      <c r="BJ2329" s="373"/>
      <c r="BN2329" s="373"/>
      <c r="BO2329" s="373"/>
    </row>
    <row r="2330" spans="1:67" s="374" customFormat="1" ht="65" hidden="1" x14ac:dyDescent="0.35">
      <c r="A2330" s="357">
        <v>10548</v>
      </c>
      <c r="B2330" s="357" t="s">
        <v>5029</v>
      </c>
      <c r="C2330" s="357" t="s">
        <v>88</v>
      </c>
      <c r="D2330" s="351" t="s">
        <v>5883</v>
      </c>
      <c r="E2330" s="357" t="s">
        <v>43</v>
      </c>
      <c r="F2330" s="351" t="s">
        <v>4987</v>
      </c>
      <c r="G2330" s="357" t="s">
        <v>225</v>
      </c>
      <c r="H2330" s="357" t="s">
        <v>125</v>
      </c>
      <c r="I2330" s="357" t="s">
        <v>114</v>
      </c>
      <c r="J2330" s="351" t="s">
        <v>33</v>
      </c>
      <c r="K2330" s="357" t="s">
        <v>5846</v>
      </c>
      <c r="L2330" s="351" t="s">
        <v>5859</v>
      </c>
      <c r="M2330" s="351" t="s">
        <v>5838</v>
      </c>
      <c r="N2330" s="351" t="s">
        <v>5613</v>
      </c>
      <c r="O2330" s="357" t="s">
        <v>276</v>
      </c>
      <c r="P2330" s="351" t="s">
        <v>239</v>
      </c>
      <c r="Q2330" s="383" t="s">
        <v>5034</v>
      </c>
      <c r="R2330" s="351" t="s">
        <v>98</v>
      </c>
      <c r="S2330" s="380" t="s">
        <v>5619</v>
      </c>
      <c r="T2330" s="380" t="s">
        <v>5619</v>
      </c>
      <c r="U2330" s="351" t="s">
        <v>276</v>
      </c>
      <c r="V2330" s="357" t="s">
        <v>259</v>
      </c>
      <c r="W2330" s="351" t="s">
        <v>5136</v>
      </c>
      <c r="X2330" s="351" t="s">
        <v>207</v>
      </c>
      <c r="Y2330" s="354">
        <v>31970</v>
      </c>
      <c r="Z2330" s="355">
        <v>48409</v>
      </c>
      <c r="AA2330" s="351" t="s">
        <v>276</v>
      </c>
      <c r="AB2330" s="351" t="s">
        <v>276</v>
      </c>
      <c r="AC2330" s="357">
        <v>14</v>
      </c>
      <c r="AD2330" s="357" t="s">
        <v>5841</v>
      </c>
      <c r="AE2330" s="357">
        <v>42</v>
      </c>
      <c r="AF2330" s="357" t="s">
        <v>5841</v>
      </c>
      <c r="AG2330" s="351" t="s">
        <v>5864</v>
      </c>
      <c r="AH2330" s="351" t="s">
        <v>5843</v>
      </c>
      <c r="AI2330" s="355">
        <v>1623</v>
      </c>
      <c r="AJ2330" s="355">
        <v>1468</v>
      </c>
      <c r="AK2330" s="354">
        <v>31970</v>
      </c>
      <c r="AL2330" s="355">
        <v>48409</v>
      </c>
      <c r="AM2330" s="355" t="s">
        <v>690</v>
      </c>
      <c r="AN2330" s="357" t="s">
        <v>276</v>
      </c>
      <c r="AO2330" s="356">
        <f t="shared" si="625"/>
        <v>50.766343446981544</v>
      </c>
      <c r="AP2330" s="357" t="s">
        <v>276</v>
      </c>
      <c r="AQ2330" s="357" t="s">
        <v>276</v>
      </c>
      <c r="AR2330" s="357" t="s">
        <v>276</v>
      </c>
      <c r="AS2330" s="356">
        <f t="shared" si="626"/>
        <v>30.324939577351319</v>
      </c>
      <c r="AT2330" s="357" t="s">
        <v>276</v>
      </c>
      <c r="AU2330" s="357" t="s">
        <v>276</v>
      </c>
      <c r="AV2330" s="357" t="s">
        <v>268</v>
      </c>
      <c r="AW2330" s="357" t="s">
        <v>276</v>
      </c>
      <c r="AX2330" s="369">
        <f t="shared" si="627"/>
        <v>1.6740789645265188</v>
      </c>
      <c r="AY2330" s="357" t="s">
        <v>276</v>
      </c>
      <c r="AZ2330" s="357" t="s">
        <v>276</v>
      </c>
      <c r="BA2330" s="357" t="s">
        <v>276</v>
      </c>
      <c r="BB2330" s="357" t="s">
        <v>282</v>
      </c>
      <c r="BC2330" s="357" t="s">
        <v>98</v>
      </c>
      <c r="BD2330" s="357" t="s">
        <v>98</v>
      </c>
      <c r="BE2330" s="357" t="s">
        <v>98</v>
      </c>
      <c r="BF2330" s="351" t="s">
        <v>5862</v>
      </c>
      <c r="BG2330" s="351"/>
      <c r="BH2330" s="9" t="s">
        <v>100</v>
      </c>
      <c r="BI2330" s="9" t="s">
        <v>100</v>
      </c>
      <c r="BJ2330" s="373"/>
      <c r="BN2330" s="373"/>
      <c r="BO2330" s="373"/>
    </row>
    <row r="2331" spans="1:67" s="374" customFormat="1" ht="65" hidden="1" x14ac:dyDescent="0.35">
      <c r="A2331" s="357">
        <v>10548</v>
      </c>
      <c r="B2331" s="357" t="s">
        <v>5029</v>
      </c>
      <c r="C2331" s="357" t="s">
        <v>88</v>
      </c>
      <c r="D2331" s="351" t="s">
        <v>5884</v>
      </c>
      <c r="E2331" s="357" t="s">
        <v>43</v>
      </c>
      <c r="F2331" s="351" t="s">
        <v>4987</v>
      </c>
      <c r="G2331" s="357" t="s">
        <v>225</v>
      </c>
      <c r="H2331" s="357" t="s">
        <v>125</v>
      </c>
      <c r="I2331" s="357" t="s">
        <v>114</v>
      </c>
      <c r="J2331" s="351" t="s">
        <v>33</v>
      </c>
      <c r="K2331" s="357" t="s">
        <v>2739</v>
      </c>
      <c r="L2331" s="351" t="s">
        <v>5859</v>
      </c>
      <c r="M2331" s="351" t="s">
        <v>5838</v>
      </c>
      <c r="N2331" s="351" t="s">
        <v>5613</v>
      </c>
      <c r="O2331" s="357" t="s">
        <v>276</v>
      </c>
      <c r="P2331" s="351" t="s">
        <v>239</v>
      </c>
      <c r="Q2331" s="383" t="s">
        <v>5034</v>
      </c>
      <c r="R2331" s="351" t="s">
        <v>98</v>
      </c>
      <c r="S2331" s="380" t="s">
        <v>5619</v>
      </c>
      <c r="T2331" s="380" t="s">
        <v>5619</v>
      </c>
      <c r="U2331" s="351" t="s">
        <v>276</v>
      </c>
      <c r="V2331" s="357" t="s">
        <v>259</v>
      </c>
      <c r="W2331" s="351" t="s">
        <v>5136</v>
      </c>
      <c r="X2331" s="351" t="s">
        <v>207</v>
      </c>
      <c r="Y2331" s="354">
        <v>31970</v>
      </c>
      <c r="Z2331" s="355">
        <v>48409</v>
      </c>
      <c r="AA2331" s="351" t="s">
        <v>276</v>
      </c>
      <c r="AB2331" s="351" t="s">
        <v>276</v>
      </c>
      <c r="AC2331" s="357">
        <v>14</v>
      </c>
      <c r="AD2331" s="357" t="s">
        <v>5841</v>
      </c>
      <c r="AE2331" s="357">
        <v>42</v>
      </c>
      <c r="AF2331" s="357" t="s">
        <v>5841</v>
      </c>
      <c r="AG2331" s="351" t="s">
        <v>5866</v>
      </c>
      <c r="AH2331" s="351" t="s">
        <v>5843</v>
      </c>
      <c r="AI2331" s="355">
        <v>686</v>
      </c>
      <c r="AJ2331" s="355">
        <v>738</v>
      </c>
      <c r="AK2331" s="354">
        <v>31970</v>
      </c>
      <c r="AL2331" s="355">
        <v>48409</v>
      </c>
      <c r="AM2331" s="355" t="s">
        <v>690</v>
      </c>
      <c r="AN2331" s="357" t="s">
        <v>276</v>
      </c>
      <c r="AO2331" s="356">
        <f t="shared" si="625"/>
        <v>21.457616515483267</v>
      </c>
      <c r="AP2331" s="357" t="s">
        <v>276</v>
      </c>
      <c r="AQ2331" s="357" t="s">
        <v>276</v>
      </c>
      <c r="AR2331" s="357" t="s">
        <v>276</v>
      </c>
      <c r="AS2331" s="356">
        <f t="shared" si="626"/>
        <v>15.245099051829206</v>
      </c>
      <c r="AT2331" s="357" t="s">
        <v>276</v>
      </c>
      <c r="AU2331" s="357" t="s">
        <v>276</v>
      </c>
      <c r="AV2331" s="357" t="s">
        <v>268</v>
      </c>
      <c r="AW2331" s="357" t="s">
        <v>276</v>
      </c>
      <c r="AX2331" s="369">
        <f t="shared" si="627"/>
        <v>1.4075091570434004</v>
      </c>
      <c r="AY2331" s="357" t="s">
        <v>276</v>
      </c>
      <c r="AZ2331" s="357" t="s">
        <v>276</v>
      </c>
      <c r="BA2331" s="357" t="s">
        <v>276</v>
      </c>
      <c r="BB2331" s="357" t="s">
        <v>282</v>
      </c>
      <c r="BC2331" s="357" t="s">
        <v>98</v>
      </c>
      <c r="BD2331" s="357" t="s">
        <v>98</v>
      </c>
      <c r="BE2331" s="357" t="s">
        <v>98</v>
      </c>
      <c r="BF2331" s="351" t="s">
        <v>5862</v>
      </c>
      <c r="BG2331" s="351"/>
      <c r="BH2331" s="9" t="s">
        <v>100</v>
      </c>
      <c r="BI2331" s="9" t="s">
        <v>100</v>
      </c>
      <c r="BJ2331" s="373"/>
      <c r="BN2331" s="373"/>
      <c r="BO2331" s="373"/>
    </row>
    <row r="2332" spans="1:67" s="374" customFormat="1" ht="65" hidden="1" x14ac:dyDescent="0.35">
      <c r="A2332" s="357">
        <v>10548</v>
      </c>
      <c r="B2332" s="357" t="s">
        <v>5029</v>
      </c>
      <c r="C2332" s="357" t="s">
        <v>88</v>
      </c>
      <c r="D2332" s="351" t="s">
        <v>5885</v>
      </c>
      <c r="E2332" s="357" t="s">
        <v>43</v>
      </c>
      <c r="F2332" s="351" t="s">
        <v>4987</v>
      </c>
      <c r="G2332" s="357" t="s">
        <v>225</v>
      </c>
      <c r="H2332" s="357" t="s">
        <v>125</v>
      </c>
      <c r="I2332" s="357" t="s">
        <v>114</v>
      </c>
      <c r="J2332" s="351" t="s">
        <v>33</v>
      </c>
      <c r="K2332" s="357" t="s">
        <v>2649</v>
      </c>
      <c r="L2332" s="351" t="s">
        <v>5859</v>
      </c>
      <c r="M2332" s="351" t="s">
        <v>5838</v>
      </c>
      <c r="N2332" s="351" t="s">
        <v>5613</v>
      </c>
      <c r="O2332" s="357" t="s">
        <v>276</v>
      </c>
      <c r="P2332" s="351" t="s">
        <v>239</v>
      </c>
      <c r="Q2332" s="383" t="s">
        <v>5034</v>
      </c>
      <c r="R2332" s="351" t="s">
        <v>98</v>
      </c>
      <c r="S2332" s="380" t="s">
        <v>5619</v>
      </c>
      <c r="T2332" s="380" t="s">
        <v>5619</v>
      </c>
      <c r="U2332" s="351" t="s">
        <v>276</v>
      </c>
      <c r="V2332" s="357" t="s">
        <v>259</v>
      </c>
      <c r="W2332" s="351" t="s">
        <v>5136</v>
      </c>
      <c r="X2332" s="351" t="s">
        <v>207</v>
      </c>
      <c r="Y2332" s="354">
        <v>31970</v>
      </c>
      <c r="Z2332" s="355">
        <v>48409</v>
      </c>
      <c r="AA2332" s="351" t="s">
        <v>276</v>
      </c>
      <c r="AB2332" s="351" t="s">
        <v>276</v>
      </c>
      <c r="AC2332" s="357">
        <v>14</v>
      </c>
      <c r="AD2332" s="357" t="s">
        <v>5841</v>
      </c>
      <c r="AE2332" s="357">
        <v>42</v>
      </c>
      <c r="AF2332" s="357" t="s">
        <v>5841</v>
      </c>
      <c r="AG2332" s="351" t="s">
        <v>5868</v>
      </c>
      <c r="AH2332" s="351" t="s">
        <v>5843</v>
      </c>
      <c r="AI2332" s="355">
        <v>284</v>
      </c>
      <c r="AJ2332" s="355">
        <v>576</v>
      </c>
      <c r="AK2332" s="354">
        <v>31970</v>
      </c>
      <c r="AL2332" s="355">
        <v>48409</v>
      </c>
      <c r="AM2332" s="355" t="s">
        <v>690</v>
      </c>
      <c r="AN2332" s="357" t="s">
        <v>276</v>
      </c>
      <c r="AO2332" s="356">
        <f t="shared" si="625"/>
        <v>8.8833281201126049</v>
      </c>
      <c r="AP2332" s="357" t="s">
        <v>276</v>
      </c>
      <c r="AQ2332" s="357" t="s">
        <v>276</v>
      </c>
      <c r="AR2332" s="357" t="s">
        <v>276</v>
      </c>
      <c r="AS2332" s="356">
        <f t="shared" si="626"/>
        <v>11.8986138941106</v>
      </c>
      <c r="AT2332" s="357" t="s">
        <v>276</v>
      </c>
      <c r="AU2332" s="357" t="s">
        <v>276</v>
      </c>
      <c r="AV2332" s="357" t="s">
        <v>268</v>
      </c>
      <c r="AW2332" s="357" t="s">
        <v>276</v>
      </c>
      <c r="AX2332" s="369">
        <f t="shared" si="627"/>
        <v>0.74658512320578307</v>
      </c>
      <c r="AY2332" s="357" t="s">
        <v>276</v>
      </c>
      <c r="AZ2332" s="357" t="s">
        <v>276</v>
      </c>
      <c r="BA2332" s="357" t="s">
        <v>276</v>
      </c>
      <c r="BB2332" s="357" t="s">
        <v>282</v>
      </c>
      <c r="BC2332" s="357" t="s">
        <v>98</v>
      </c>
      <c r="BD2332" s="357" t="s">
        <v>98</v>
      </c>
      <c r="BE2332" s="357" t="s">
        <v>98</v>
      </c>
      <c r="BF2332" s="351" t="s">
        <v>5862</v>
      </c>
      <c r="BG2332" s="351"/>
      <c r="BH2332" s="9" t="s">
        <v>100</v>
      </c>
      <c r="BI2332" s="9" t="s">
        <v>100</v>
      </c>
      <c r="BJ2332" s="373"/>
      <c r="BN2332" s="373"/>
      <c r="BO2332" s="373"/>
    </row>
    <row r="2333" spans="1:67" s="374" customFormat="1" ht="65" hidden="1" x14ac:dyDescent="0.35">
      <c r="A2333" s="357">
        <v>10548</v>
      </c>
      <c r="B2333" s="357" t="s">
        <v>5029</v>
      </c>
      <c r="C2333" s="357" t="s">
        <v>88</v>
      </c>
      <c r="D2333" s="351" t="s">
        <v>5886</v>
      </c>
      <c r="E2333" s="357" t="s">
        <v>43</v>
      </c>
      <c r="F2333" s="351" t="s">
        <v>4987</v>
      </c>
      <c r="G2333" s="357" t="s">
        <v>225</v>
      </c>
      <c r="H2333" s="357" t="s">
        <v>125</v>
      </c>
      <c r="I2333" s="357" t="s">
        <v>114</v>
      </c>
      <c r="J2333" s="351" t="s">
        <v>33</v>
      </c>
      <c r="K2333" s="357" t="s">
        <v>1108</v>
      </c>
      <c r="L2333" s="351" t="s">
        <v>5859</v>
      </c>
      <c r="M2333" s="351" t="s">
        <v>5838</v>
      </c>
      <c r="N2333" s="351" t="s">
        <v>5613</v>
      </c>
      <c r="O2333" s="357" t="s">
        <v>276</v>
      </c>
      <c r="P2333" s="351" t="s">
        <v>239</v>
      </c>
      <c r="Q2333" s="383" t="s">
        <v>5034</v>
      </c>
      <c r="R2333" s="351" t="s">
        <v>98</v>
      </c>
      <c r="S2333" s="380" t="s">
        <v>5619</v>
      </c>
      <c r="T2333" s="380" t="s">
        <v>5619</v>
      </c>
      <c r="U2333" s="351" t="s">
        <v>276</v>
      </c>
      <c r="V2333" s="357" t="s">
        <v>259</v>
      </c>
      <c r="W2333" s="351" t="s">
        <v>5136</v>
      </c>
      <c r="X2333" s="351" t="s">
        <v>207</v>
      </c>
      <c r="Y2333" s="354">
        <v>31970</v>
      </c>
      <c r="Z2333" s="355">
        <v>48409</v>
      </c>
      <c r="AA2333" s="351" t="s">
        <v>276</v>
      </c>
      <c r="AB2333" s="351" t="s">
        <v>276</v>
      </c>
      <c r="AC2333" s="357">
        <v>14</v>
      </c>
      <c r="AD2333" s="357" t="s">
        <v>5841</v>
      </c>
      <c r="AE2333" s="357">
        <v>42</v>
      </c>
      <c r="AF2333" s="357" t="s">
        <v>5841</v>
      </c>
      <c r="AG2333" s="351" t="s">
        <v>5870</v>
      </c>
      <c r="AH2333" s="351" t="s">
        <v>5843</v>
      </c>
      <c r="AI2333" s="355">
        <v>53</v>
      </c>
      <c r="AJ2333" s="355">
        <v>130</v>
      </c>
      <c r="AK2333" s="354">
        <v>31970</v>
      </c>
      <c r="AL2333" s="355">
        <v>48409</v>
      </c>
      <c r="AM2333" s="355" t="s">
        <v>690</v>
      </c>
      <c r="AN2333" s="357" t="s">
        <v>276</v>
      </c>
      <c r="AO2333" s="356">
        <f t="shared" si="625"/>
        <v>1.6578041914294652</v>
      </c>
      <c r="AP2333" s="357" t="s">
        <v>276</v>
      </c>
      <c r="AQ2333" s="357" t="s">
        <v>276</v>
      </c>
      <c r="AR2333" s="357" t="s">
        <v>276</v>
      </c>
      <c r="AS2333" s="356">
        <f t="shared" si="626"/>
        <v>2.6854510524902393</v>
      </c>
      <c r="AT2333" s="357" t="s">
        <v>276</v>
      </c>
      <c r="AU2333" s="357" t="s">
        <v>276</v>
      </c>
      <c r="AV2333" s="357" t="s">
        <v>268</v>
      </c>
      <c r="AW2333" s="357" t="s">
        <v>276</v>
      </c>
      <c r="AX2333" s="369">
        <f t="shared" si="627"/>
        <v>0.6173280238685307</v>
      </c>
      <c r="AY2333" s="357" t="s">
        <v>276</v>
      </c>
      <c r="AZ2333" s="357" t="s">
        <v>276</v>
      </c>
      <c r="BA2333" s="357" t="s">
        <v>276</v>
      </c>
      <c r="BB2333" s="357" t="s">
        <v>282</v>
      </c>
      <c r="BC2333" s="357" t="s">
        <v>98</v>
      </c>
      <c r="BD2333" s="357" t="s">
        <v>98</v>
      </c>
      <c r="BE2333" s="357" t="s">
        <v>98</v>
      </c>
      <c r="BF2333" s="351" t="s">
        <v>5862</v>
      </c>
      <c r="BG2333" s="351"/>
      <c r="BH2333" s="9" t="s">
        <v>100</v>
      </c>
      <c r="BI2333" s="9" t="s">
        <v>100</v>
      </c>
      <c r="BJ2333" s="373"/>
      <c r="BN2333" s="373"/>
      <c r="BO2333" s="373"/>
    </row>
    <row r="2334" spans="1:67" s="374" customFormat="1" ht="65" hidden="1" x14ac:dyDescent="0.35">
      <c r="A2334" s="357">
        <v>10548</v>
      </c>
      <c r="B2334" s="357" t="s">
        <v>5029</v>
      </c>
      <c r="C2334" s="357" t="s">
        <v>88</v>
      </c>
      <c r="D2334" s="351" t="s">
        <v>5887</v>
      </c>
      <c r="E2334" s="357" t="s">
        <v>43</v>
      </c>
      <c r="F2334" s="351" t="s">
        <v>4987</v>
      </c>
      <c r="G2334" s="357" t="s">
        <v>225</v>
      </c>
      <c r="H2334" s="357" t="s">
        <v>125</v>
      </c>
      <c r="I2334" s="357" t="s">
        <v>114</v>
      </c>
      <c r="J2334" s="351" t="s">
        <v>33</v>
      </c>
      <c r="K2334" s="357" t="s">
        <v>5837</v>
      </c>
      <c r="L2334" s="351" t="s">
        <v>5859</v>
      </c>
      <c r="M2334" s="351" t="s">
        <v>5838</v>
      </c>
      <c r="N2334" s="351" t="s">
        <v>5613</v>
      </c>
      <c r="O2334" s="357" t="s">
        <v>276</v>
      </c>
      <c r="P2334" s="351" t="s">
        <v>239</v>
      </c>
      <c r="Q2334" s="383" t="s">
        <v>5034</v>
      </c>
      <c r="R2334" s="351" t="s">
        <v>98</v>
      </c>
      <c r="S2334" s="380" t="s">
        <v>5627</v>
      </c>
      <c r="T2334" s="380" t="s">
        <v>5627</v>
      </c>
      <c r="U2334" s="351" t="s">
        <v>276</v>
      </c>
      <c r="V2334" s="357" t="s">
        <v>259</v>
      </c>
      <c r="W2334" s="351" t="s">
        <v>5139</v>
      </c>
      <c r="X2334" s="351" t="s">
        <v>207</v>
      </c>
      <c r="Y2334" s="354">
        <v>7266</v>
      </c>
      <c r="Z2334" s="355">
        <v>7251</v>
      </c>
      <c r="AA2334" s="351" t="s">
        <v>276</v>
      </c>
      <c r="AB2334" s="351" t="s">
        <v>276</v>
      </c>
      <c r="AC2334" s="357">
        <v>112</v>
      </c>
      <c r="AD2334" s="357" t="s">
        <v>5841</v>
      </c>
      <c r="AE2334" s="357">
        <v>169</v>
      </c>
      <c r="AF2334" s="357" t="s">
        <v>5841</v>
      </c>
      <c r="AG2334" s="351" t="s">
        <v>5861</v>
      </c>
      <c r="AH2334" s="351" t="s">
        <v>5843</v>
      </c>
      <c r="AI2334" s="355">
        <v>9</v>
      </c>
      <c r="AJ2334" s="355">
        <v>5</v>
      </c>
      <c r="AK2334" s="354">
        <v>7266</v>
      </c>
      <c r="AL2334" s="355">
        <v>7251</v>
      </c>
      <c r="AM2334" s="355" t="s">
        <v>690</v>
      </c>
      <c r="AN2334" s="357" t="s">
        <v>276</v>
      </c>
      <c r="AO2334" s="356">
        <f t="shared" si="625"/>
        <v>1.2386457473162675</v>
      </c>
      <c r="AP2334" s="357" t="s">
        <v>276</v>
      </c>
      <c r="AQ2334" s="357" t="s">
        <v>276</v>
      </c>
      <c r="AR2334" s="357" t="s">
        <v>276</v>
      </c>
      <c r="AS2334" s="356">
        <f t="shared" si="626"/>
        <v>0.68956006068128539</v>
      </c>
      <c r="AT2334" s="357" t="s">
        <v>276</v>
      </c>
      <c r="AU2334" s="357" t="s">
        <v>276</v>
      </c>
      <c r="AV2334" s="357" t="s">
        <v>268</v>
      </c>
      <c r="AW2334" s="357" t="s">
        <v>276</v>
      </c>
      <c r="AX2334" s="369">
        <f t="shared" si="627"/>
        <v>1.796284062758051</v>
      </c>
      <c r="AY2334" s="357" t="s">
        <v>276</v>
      </c>
      <c r="AZ2334" s="357" t="s">
        <v>276</v>
      </c>
      <c r="BA2334" s="357" t="s">
        <v>276</v>
      </c>
      <c r="BB2334" s="357" t="s">
        <v>282</v>
      </c>
      <c r="BC2334" s="357" t="s">
        <v>98</v>
      </c>
      <c r="BD2334" s="357" t="s">
        <v>98</v>
      </c>
      <c r="BE2334" s="357" t="s">
        <v>98</v>
      </c>
      <c r="BF2334" s="351" t="s">
        <v>5862</v>
      </c>
      <c r="BG2334" s="351"/>
      <c r="BH2334" s="9" t="s">
        <v>100</v>
      </c>
      <c r="BI2334" s="9" t="s">
        <v>100</v>
      </c>
      <c r="BJ2334" s="373"/>
      <c r="BN2334" s="373"/>
      <c r="BO2334" s="373"/>
    </row>
    <row r="2335" spans="1:67" s="374" customFormat="1" ht="65" hidden="1" x14ac:dyDescent="0.35">
      <c r="A2335" s="357">
        <v>10548</v>
      </c>
      <c r="B2335" s="357" t="s">
        <v>5029</v>
      </c>
      <c r="C2335" s="357" t="s">
        <v>88</v>
      </c>
      <c r="D2335" s="351" t="s">
        <v>5888</v>
      </c>
      <c r="E2335" s="357" t="s">
        <v>43</v>
      </c>
      <c r="F2335" s="351" t="s">
        <v>4987</v>
      </c>
      <c r="G2335" s="357" t="s">
        <v>225</v>
      </c>
      <c r="H2335" s="357" t="s">
        <v>125</v>
      </c>
      <c r="I2335" s="357" t="s">
        <v>114</v>
      </c>
      <c r="J2335" s="351" t="s">
        <v>33</v>
      </c>
      <c r="K2335" s="357" t="s">
        <v>5846</v>
      </c>
      <c r="L2335" s="351" t="s">
        <v>5859</v>
      </c>
      <c r="M2335" s="351" t="s">
        <v>5838</v>
      </c>
      <c r="N2335" s="351" t="s">
        <v>5613</v>
      </c>
      <c r="O2335" s="357" t="s">
        <v>276</v>
      </c>
      <c r="P2335" s="351" t="s">
        <v>239</v>
      </c>
      <c r="Q2335" s="383" t="s">
        <v>5034</v>
      </c>
      <c r="R2335" s="351" t="s">
        <v>98</v>
      </c>
      <c r="S2335" s="380" t="s">
        <v>5627</v>
      </c>
      <c r="T2335" s="380" t="s">
        <v>5627</v>
      </c>
      <c r="U2335" s="351" t="s">
        <v>276</v>
      </c>
      <c r="V2335" s="357" t="s">
        <v>259</v>
      </c>
      <c r="W2335" s="351" t="s">
        <v>5139</v>
      </c>
      <c r="X2335" s="351" t="s">
        <v>207</v>
      </c>
      <c r="Y2335" s="354">
        <v>7266</v>
      </c>
      <c r="Z2335" s="355">
        <v>7251</v>
      </c>
      <c r="AA2335" s="351" t="s">
        <v>276</v>
      </c>
      <c r="AB2335" s="351" t="s">
        <v>276</v>
      </c>
      <c r="AC2335" s="357">
        <v>112</v>
      </c>
      <c r="AD2335" s="357" t="s">
        <v>5841</v>
      </c>
      <c r="AE2335" s="357">
        <v>169</v>
      </c>
      <c r="AF2335" s="357" t="s">
        <v>5841</v>
      </c>
      <c r="AG2335" s="351" t="s">
        <v>5864</v>
      </c>
      <c r="AH2335" s="351" t="s">
        <v>5843</v>
      </c>
      <c r="AI2335" s="355">
        <v>106</v>
      </c>
      <c r="AJ2335" s="355">
        <v>20</v>
      </c>
      <c r="AK2335" s="354">
        <v>7266</v>
      </c>
      <c r="AL2335" s="355">
        <v>7251</v>
      </c>
      <c r="AM2335" s="355" t="s">
        <v>690</v>
      </c>
      <c r="AN2335" s="357" t="s">
        <v>276</v>
      </c>
      <c r="AO2335" s="356">
        <f t="shared" si="625"/>
        <v>14.588494357280485</v>
      </c>
      <c r="AP2335" s="357" t="s">
        <v>276</v>
      </c>
      <c r="AQ2335" s="357" t="s">
        <v>276</v>
      </c>
      <c r="AR2335" s="357" t="s">
        <v>276</v>
      </c>
      <c r="AS2335" s="356">
        <f t="shared" si="626"/>
        <v>2.7582402427251416</v>
      </c>
      <c r="AT2335" s="357" t="s">
        <v>276</v>
      </c>
      <c r="AU2335" s="357" t="s">
        <v>276</v>
      </c>
      <c r="AV2335" s="357" t="s">
        <v>268</v>
      </c>
      <c r="AW2335" s="357" t="s">
        <v>276</v>
      </c>
      <c r="AX2335" s="369">
        <f t="shared" si="627"/>
        <v>5.2890586292320396</v>
      </c>
      <c r="AY2335" s="357" t="s">
        <v>276</v>
      </c>
      <c r="AZ2335" s="357" t="s">
        <v>276</v>
      </c>
      <c r="BA2335" s="357" t="s">
        <v>276</v>
      </c>
      <c r="BB2335" s="357" t="s">
        <v>282</v>
      </c>
      <c r="BC2335" s="357" t="s">
        <v>98</v>
      </c>
      <c r="BD2335" s="357" t="s">
        <v>98</v>
      </c>
      <c r="BE2335" s="357" t="s">
        <v>98</v>
      </c>
      <c r="BF2335" s="351" t="s">
        <v>5862</v>
      </c>
      <c r="BG2335" s="351"/>
      <c r="BH2335" s="9" t="s">
        <v>100</v>
      </c>
      <c r="BI2335" s="9" t="s">
        <v>100</v>
      </c>
      <c r="BJ2335" s="373"/>
      <c r="BN2335" s="373"/>
      <c r="BO2335" s="373"/>
    </row>
    <row r="2336" spans="1:67" s="374" customFormat="1" ht="65" hidden="1" x14ac:dyDescent="0.35">
      <c r="A2336" s="357">
        <v>10548</v>
      </c>
      <c r="B2336" s="357" t="s">
        <v>5029</v>
      </c>
      <c r="C2336" s="357" t="s">
        <v>88</v>
      </c>
      <c r="D2336" s="351" t="s">
        <v>5889</v>
      </c>
      <c r="E2336" s="357" t="s">
        <v>43</v>
      </c>
      <c r="F2336" s="351" t="s">
        <v>4987</v>
      </c>
      <c r="G2336" s="357" t="s">
        <v>225</v>
      </c>
      <c r="H2336" s="357" t="s">
        <v>125</v>
      </c>
      <c r="I2336" s="357" t="s">
        <v>114</v>
      </c>
      <c r="J2336" s="351" t="s">
        <v>33</v>
      </c>
      <c r="K2336" s="357" t="s">
        <v>2739</v>
      </c>
      <c r="L2336" s="351" t="s">
        <v>5859</v>
      </c>
      <c r="M2336" s="351" t="s">
        <v>5838</v>
      </c>
      <c r="N2336" s="351" t="s">
        <v>5613</v>
      </c>
      <c r="O2336" s="357" t="s">
        <v>276</v>
      </c>
      <c r="P2336" s="351" t="s">
        <v>239</v>
      </c>
      <c r="Q2336" s="383" t="s">
        <v>5034</v>
      </c>
      <c r="R2336" s="351" t="s">
        <v>98</v>
      </c>
      <c r="S2336" s="380" t="s">
        <v>5627</v>
      </c>
      <c r="T2336" s="380" t="s">
        <v>5627</v>
      </c>
      <c r="U2336" s="351" t="s">
        <v>276</v>
      </c>
      <c r="V2336" s="357" t="s">
        <v>259</v>
      </c>
      <c r="W2336" s="351" t="s">
        <v>5139</v>
      </c>
      <c r="X2336" s="351" t="s">
        <v>207</v>
      </c>
      <c r="Y2336" s="354">
        <v>7266</v>
      </c>
      <c r="Z2336" s="355">
        <v>7251</v>
      </c>
      <c r="AA2336" s="351" t="s">
        <v>276</v>
      </c>
      <c r="AB2336" s="351" t="s">
        <v>276</v>
      </c>
      <c r="AC2336" s="357">
        <v>112</v>
      </c>
      <c r="AD2336" s="357" t="s">
        <v>5841</v>
      </c>
      <c r="AE2336" s="357">
        <v>169</v>
      </c>
      <c r="AF2336" s="357" t="s">
        <v>5841</v>
      </c>
      <c r="AG2336" s="351" t="s">
        <v>5866</v>
      </c>
      <c r="AH2336" s="351" t="s">
        <v>5843</v>
      </c>
      <c r="AI2336" s="355">
        <v>131</v>
      </c>
      <c r="AJ2336" s="355">
        <v>55</v>
      </c>
      <c r="AK2336" s="354">
        <v>7266</v>
      </c>
      <c r="AL2336" s="355">
        <v>7251</v>
      </c>
      <c r="AM2336" s="355" t="s">
        <v>690</v>
      </c>
      <c r="AN2336" s="357" t="s">
        <v>276</v>
      </c>
      <c r="AO2336" s="356">
        <f t="shared" si="625"/>
        <v>18.029176988714561</v>
      </c>
      <c r="AP2336" s="357" t="s">
        <v>276</v>
      </c>
      <c r="AQ2336" s="357" t="s">
        <v>276</v>
      </c>
      <c r="AR2336" s="357" t="s">
        <v>276</v>
      </c>
      <c r="AS2336" s="356">
        <f t="shared" si="626"/>
        <v>7.5851606674941383</v>
      </c>
      <c r="AT2336" s="357" t="s">
        <v>276</v>
      </c>
      <c r="AU2336" s="357" t="s">
        <v>276</v>
      </c>
      <c r="AV2336" s="357" t="s">
        <v>268</v>
      </c>
      <c r="AW2336" s="357" t="s">
        <v>276</v>
      </c>
      <c r="AX2336" s="369">
        <f t="shared" si="627"/>
        <v>2.3769011335485324</v>
      </c>
      <c r="AY2336" s="357" t="s">
        <v>276</v>
      </c>
      <c r="AZ2336" s="357" t="s">
        <v>276</v>
      </c>
      <c r="BA2336" s="357" t="s">
        <v>276</v>
      </c>
      <c r="BB2336" s="357" t="s">
        <v>282</v>
      </c>
      <c r="BC2336" s="357" t="s">
        <v>98</v>
      </c>
      <c r="BD2336" s="357" t="s">
        <v>98</v>
      </c>
      <c r="BE2336" s="357" t="s">
        <v>98</v>
      </c>
      <c r="BF2336" s="351" t="s">
        <v>5862</v>
      </c>
      <c r="BG2336" s="351"/>
      <c r="BH2336" s="9" t="s">
        <v>100</v>
      </c>
      <c r="BI2336" s="9" t="s">
        <v>100</v>
      </c>
      <c r="BJ2336" s="373"/>
      <c r="BN2336" s="373"/>
      <c r="BO2336" s="373"/>
    </row>
    <row r="2337" spans="1:67" s="374" customFormat="1" ht="65" hidden="1" x14ac:dyDescent="0.35">
      <c r="A2337" s="357">
        <v>10548</v>
      </c>
      <c r="B2337" s="357" t="s">
        <v>5029</v>
      </c>
      <c r="C2337" s="357" t="s">
        <v>88</v>
      </c>
      <c r="D2337" s="351" t="s">
        <v>5890</v>
      </c>
      <c r="E2337" s="357" t="s">
        <v>43</v>
      </c>
      <c r="F2337" s="351" t="s">
        <v>4987</v>
      </c>
      <c r="G2337" s="357" t="s">
        <v>225</v>
      </c>
      <c r="H2337" s="357" t="s">
        <v>125</v>
      </c>
      <c r="I2337" s="357" t="s">
        <v>114</v>
      </c>
      <c r="J2337" s="351" t="s">
        <v>33</v>
      </c>
      <c r="K2337" s="357" t="s">
        <v>2649</v>
      </c>
      <c r="L2337" s="351" t="s">
        <v>5859</v>
      </c>
      <c r="M2337" s="351" t="s">
        <v>5838</v>
      </c>
      <c r="N2337" s="351" t="s">
        <v>5613</v>
      </c>
      <c r="O2337" s="357" t="s">
        <v>276</v>
      </c>
      <c r="P2337" s="351" t="s">
        <v>239</v>
      </c>
      <c r="Q2337" s="383" t="s">
        <v>5034</v>
      </c>
      <c r="R2337" s="351" t="s">
        <v>98</v>
      </c>
      <c r="S2337" s="380" t="s">
        <v>5627</v>
      </c>
      <c r="T2337" s="380" t="s">
        <v>5627</v>
      </c>
      <c r="U2337" s="351" t="s">
        <v>276</v>
      </c>
      <c r="V2337" s="357" t="s">
        <v>259</v>
      </c>
      <c r="W2337" s="351" t="s">
        <v>5139</v>
      </c>
      <c r="X2337" s="351" t="s">
        <v>207</v>
      </c>
      <c r="Y2337" s="354">
        <v>7266</v>
      </c>
      <c r="Z2337" s="355">
        <v>7251</v>
      </c>
      <c r="AA2337" s="351" t="s">
        <v>276</v>
      </c>
      <c r="AB2337" s="351" t="s">
        <v>276</v>
      </c>
      <c r="AC2337" s="357">
        <v>112</v>
      </c>
      <c r="AD2337" s="357" t="s">
        <v>5841</v>
      </c>
      <c r="AE2337" s="357">
        <v>169</v>
      </c>
      <c r="AF2337" s="357" t="s">
        <v>5841</v>
      </c>
      <c r="AG2337" s="351" t="s">
        <v>5868</v>
      </c>
      <c r="AH2337" s="351" t="s">
        <v>5843</v>
      </c>
      <c r="AI2337" s="355">
        <v>14</v>
      </c>
      <c r="AJ2337" s="355">
        <v>8</v>
      </c>
      <c r="AK2337" s="354">
        <v>7266</v>
      </c>
      <c r="AL2337" s="355">
        <v>7251</v>
      </c>
      <c r="AM2337" s="355" t="s">
        <v>690</v>
      </c>
      <c r="AN2337" s="357" t="s">
        <v>276</v>
      </c>
      <c r="AO2337" s="356">
        <f t="shared" si="625"/>
        <v>1.9267822736030829</v>
      </c>
      <c r="AP2337" s="357" t="s">
        <v>276</v>
      </c>
      <c r="AQ2337" s="357" t="s">
        <v>276</v>
      </c>
      <c r="AR2337" s="357" t="s">
        <v>276</v>
      </c>
      <c r="AS2337" s="356">
        <f t="shared" si="626"/>
        <v>1.1032960970900565</v>
      </c>
      <c r="AT2337" s="357" t="s">
        <v>276</v>
      </c>
      <c r="AU2337" s="357" t="s">
        <v>276</v>
      </c>
      <c r="AV2337" s="357" t="s">
        <v>268</v>
      </c>
      <c r="AW2337" s="357" t="s">
        <v>276</v>
      </c>
      <c r="AX2337" s="369">
        <f t="shared" si="627"/>
        <v>1.7463872832369942</v>
      </c>
      <c r="AY2337" s="357" t="s">
        <v>276</v>
      </c>
      <c r="AZ2337" s="357" t="s">
        <v>276</v>
      </c>
      <c r="BA2337" s="357" t="s">
        <v>276</v>
      </c>
      <c r="BB2337" s="357" t="s">
        <v>282</v>
      </c>
      <c r="BC2337" s="357" t="s">
        <v>98</v>
      </c>
      <c r="BD2337" s="357" t="s">
        <v>98</v>
      </c>
      <c r="BE2337" s="357" t="s">
        <v>98</v>
      </c>
      <c r="BF2337" s="351" t="s">
        <v>5862</v>
      </c>
      <c r="BG2337" s="351"/>
      <c r="BH2337" s="9" t="s">
        <v>100</v>
      </c>
      <c r="BI2337" s="9" t="s">
        <v>100</v>
      </c>
      <c r="BJ2337" s="373"/>
      <c r="BN2337" s="373"/>
      <c r="BO2337" s="373"/>
    </row>
    <row r="2338" spans="1:67" s="374" customFormat="1" ht="65" hidden="1" x14ac:dyDescent="0.35">
      <c r="A2338" s="357">
        <v>10548</v>
      </c>
      <c r="B2338" s="357" t="s">
        <v>5029</v>
      </c>
      <c r="C2338" s="357" t="s">
        <v>88</v>
      </c>
      <c r="D2338" s="351" t="s">
        <v>5891</v>
      </c>
      <c r="E2338" s="357" t="s">
        <v>43</v>
      </c>
      <c r="F2338" s="351" t="s">
        <v>4987</v>
      </c>
      <c r="G2338" s="357" t="s">
        <v>225</v>
      </c>
      <c r="H2338" s="357" t="s">
        <v>125</v>
      </c>
      <c r="I2338" s="357" t="s">
        <v>114</v>
      </c>
      <c r="J2338" s="351" t="s">
        <v>33</v>
      </c>
      <c r="K2338" s="357" t="s">
        <v>1108</v>
      </c>
      <c r="L2338" s="351" t="s">
        <v>5859</v>
      </c>
      <c r="M2338" s="351" t="s">
        <v>5838</v>
      </c>
      <c r="N2338" s="351" t="s">
        <v>5613</v>
      </c>
      <c r="O2338" s="357" t="s">
        <v>276</v>
      </c>
      <c r="P2338" s="351" t="s">
        <v>239</v>
      </c>
      <c r="Q2338" s="383" t="s">
        <v>5034</v>
      </c>
      <c r="R2338" s="351" t="s">
        <v>98</v>
      </c>
      <c r="S2338" s="380" t="s">
        <v>5627</v>
      </c>
      <c r="T2338" s="380" t="s">
        <v>5627</v>
      </c>
      <c r="U2338" s="351" t="s">
        <v>276</v>
      </c>
      <c r="V2338" s="357" t="s">
        <v>259</v>
      </c>
      <c r="W2338" s="351" t="s">
        <v>5139</v>
      </c>
      <c r="X2338" s="351" t="s">
        <v>207</v>
      </c>
      <c r="Y2338" s="354">
        <v>7266</v>
      </c>
      <c r="Z2338" s="355">
        <v>7251</v>
      </c>
      <c r="AA2338" s="351" t="s">
        <v>276</v>
      </c>
      <c r="AB2338" s="351" t="s">
        <v>276</v>
      </c>
      <c r="AC2338" s="357">
        <v>112</v>
      </c>
      <c r="AD2338" s="357" t="s">
        <v>5841</v>
      </c>
      <c r="AE2338" s="357">
        <v>169</v>
      </c>
      <c r="AF2338" s="357" t="s">
        <v>5841</v>
      </c>
      <c r="AG2338" s="351" t="s">
        <v>5870</v>
      </c>
      <c r="AH2338" s="351" t="s">
        <v>5843</v>
      </c>
      <c r="AI2338" s="355">
        <v>2</v>
      </c>
      <c r="AJ2338" s="355">
        <v>0</v>
      </c>
      <c r="AK2338" s="354">
        <v>7266</v>
      </c>
      <c r="AL2338" s="355">
        <v>7251</v>
      </c>
      <c r="AM2338" s="355" t="s">
        <v>690</v>
      </c>
      <c r="AN2338" s="357" t="s">
        <v>276</v>
      </c>
      <c r="AO2338" s="356">
        <f t="shared" si="625"/>
        <v>0.27525461051472611</v>
      </c>
      <c r="AP2338" s="357" t="s">
        <v>276</v>
      </c>
      <c r="AQ2338" s="357" t="s">
        <v>276</v>
      </c>
      <c r="AR2338" s="357" t="s">
        <v>276</v>
      </c>
      <c r="AS2338" s="356">
        <f t="shared" si="626"/>
        <v>0</v>
      </c>
      <c r="AT2338" s="357" t="s">
        <v>276</v>
      </c>
      <c r="AU2338" s="357" t="s">
        <v>276</v>
      </c>
      <c r="AV2338" s="357" t="s">
        <v>268</v>
      </c>
      <c r="AW2338" s="357" t="s">
        <v>276</v>
      </c>
      <c r="AX2338" s="369" t="e">
        <f t="shared" si="627"/>
        <v>#DIV/0!</v>
      </c>
      <c r="AY2338" s="357" t="s">
        <v>276</v>
      </c>
      <c r="AZ2338" s="357" t="s">
        <v>276</v>
      </c>
      <c r="BA2338" s="357" t="s">
        <v>276</v>
      </c>
      <c r="BB2338" s="357" t="s">
        <v>282</v>
      </c>
      <c r="BC2338" s="357" t="s">
        <v>98</v>
      </c>
      <c r="BD2338" s="357" t="s">
        <v>98</v>
      </c>
      <c r="BE2338" s="357" t="s">
        <v>98</v>
      </c>
      <c r="BF2338" s="351" t="s">
        <v>5862</v>
      </c>
      <c r="BG2338" s="351"/>
      <c r="BH2338" s="9" t="s">
        <v>100</v>
      </c>
      <c r="BI2338" s="9" t="s">
        <v>100</v>
      </c>
      <c r="BJ2338" s="373"/>
      <c r="BN2338" s="373"/>
      <c r="BO2338" s="373"/>
    </row>
    <row r="2339" spans="1:67" s="374" customFormat="1" ht="65" hidden="1" x14ac:dyDescent="0.35">
      <c r="A2339" s="357">
        <v>10548</v>
      </c>
      <c r="B2339" s="357" t="s">
        <v>5029</v>
      </c>
      <c r="C2339" s="357" t="s">
        <v>88</v>
      </c>
      <c r="D2339" s="351" t="s">
        <v>5892</v>
      </c>
      <c r="E2339" s="357" t="s">
        <v>43</v>
      </c>
      <c r="F2339" s="351" t="s">
        <v>4987</v>
      </c>
      <c r="G2339" s="357" t="s">
        <v>225</v>
      </c>
      <c r="H2339" s="357" t="s">
        <v>125</v>
      </c>
      <c r="I2339" s="357" t="s">
        <v>114</v>
      </c>
      <c r="J2339" s="351" t="s">
        <v>33</v>
      </c>
      <c r="K2339" s="357" t="s">
        <v>5837</v>
      </c>
      <c r="L2339" s="351" t="s">
        <v>5859</v>
      </c>
      <c r="M2339" s="351" t="s">
        <v>5838</v>
      </c>
      <c r="N2339" s="351" t="s">
        <v>5613</v>
      </c>
      <c r="O2339" s="357" t="s">
        <v>276</v>
      </c>
      <c r="P2339" s="351" t="s">
        <v>239</v>
      </c>
      <c r="Q2339" s="383" t="s">
        <v>5034</v>
      </c>
      <c r="R2339" s="351" t="s">
        <v>98</v>
      </c>
      <c r="S2339" s="380" t="s">
        <v>5627</v>
      </c>
      <c r="T2339" s="380" t="s">
        <v>5627</v>
      </c>
      <c r="U2339" s="351" t="s">
        <v>276</v>
      </c>
      <c r="V2339" s="357" t="s">
        <v>259</v>
      </c>
      <c r="W2339" s="351" t="s">
        <v>5142</v>
      </c>
      <c r="X2339" s="351" t="s">
        <v>207</v>
      </c>
      <c r="Y2339" s="354">
        <v>1056</v>
      </c>
      <c r="Z2339" s="355">
        <v>1141</v>
      </c>
      <c r="AA2339" s="351" t="s">
        <v>276</v>
      </c>
      <c r="AB2339" s="351" t="s">
        <v>276</v>
      </c>
      <c r="AC2339" s="357">
        <v>1</v>
      </c>
      <c r="AD2339" s="357" t="s">
        <v>5841</v>
      </c>
      <c r="AE2339" s="357">
        <v>0</v>
      </c>
      <c r="AF2339" s="357" t="s">
        <v>5841</v>
      </c>
      <c r="AG2339" s="351" t="s">
        <v>5861</v>
      </c>
      <c r="AH2339" s="351" t="s">
        <v>5843</v>
      </c>
      <c r="AI2339" s="355">
        <v>0</v>
      </c>
      <c r="AJ2339" s="355">
        <v>1</v>
      </c>
      <c r="AK2339" s="354">
        <v>1056</v>
      </c>
      <c r="AL2339" s="355">
        <v>1141</v>
      </c>
      <c r="AM2339" s="355" t="s">
        <v>690</v>
      </c>
      <c r="AN2339" s="357" t="s">
        <v>276</v>
      </c>
      <c r="AO2339" s="356">
        <f t="shared" si="625"/>
        <v>0</v>
      </c>
      <c r="AP2339" s="357" t="s">
        <v>276</v>
      </c>
      <c r="AQ2339" s="357" t="s">
        <v>276</v>
      </c>
      <c r="AR2339" s="357" t="s">
        <v>276</v>
      </c>
      <c r="AS2339" s="356">
        <f t="shared" si="626"/>
        <v>0.87642418930762489</v>
      </c>
      <c r="AT2339" s="357" t="s">
        <v>276</v>
      </c>
      <c r="AU2339" s="357" t="s">
        <v>276</v>
      </c>
      <c r="AV2339" s="357" t="s">
        <v>268</v>
      </c>
      <c r="AW2339" s="357" t="s">
        <v>276</v>
      </c>
      <c r="AX2339" s="369">
        <f t="shared" si="627"/>
        <v>0</v>
      </c>
      <c r="AY2339" s="357" t="s">
        <v>276</v>
      </c>
      <c r="AZ2339" s="357" t="s">
        <v>276</v>
      </c>
      <c r="BA2339" s="357" t="s">
        <v>276</v>
      </c>
      <c r="BB2339" s="357" t="s">
        <v>282</v>
      </c>
      <c r="BC2339" s="357" t="s">
        <v>98</v>
      </c>
      <c r="BD2339" s="357" t="s">
        <v>98</v>
      </c>
      <c r="BE2339" s="357" t="s">
        <v>98</v>
      </c>
      <c r="BF2339" s="351" t="s">
        <v>5862</v>
      </c>
      <c r="BG2339" s="351"/>
      <c r="BH2339" s="9" t="s">
        <v>100</v>
      </c>
      <c r="BI2339" s="9" t="s">
        <v>100</v>
      </c>
      <c r="BJ2339" s="373"/>
      <c r="BN2339" s="373"/>
      <c r="BO2339" s="373"/>
    </row>
    <row r="2340" spans="1:67" s="374" customFormat="1" ht="65" hidden="1" x14ac:dyDescent="0.35">
      <c r="A2340" s="357">
        <v>10548</v>
      </c>
      <c r="B2340" s="357" t="s">
        <v>5029</v>
      </c>
      <c r="C2340" s="357" t="s">
        <v>88</v>
      </c>
      <c r="D2340" s="351" t="s">
        <v>5893</v>
      </c>
      <c r="E2340" s="357" t="s">
        <v>43</v>
      </c>
      <c r="F2340" s="351" t="s">
        <v>4987</v>
      </c>
      <c r="G2340" s="357" t="s">
        <v>225</v>
      </c>
      <c r="H2340" s="357" t="s">
        <v>125</v>
      </c>
      <c r="I2340" s="357" t="s">
        <v>114</v>
      </c>
      <c r="J2340" s="351" t="s">
        <v>33</v>
      </c>
      <c r="K2340" s="357" t="s">
        <v>5846</v>
      </c>
      <c r="L2340" s="351" t="s">
        <v>5859</v>
      </c>
      <c r="M2340" s="351" t="s">
        <v>5838</v>
      </c>
      <c r="N2340" s="351" t="s">
        <v>5613</v>
      </c>
      <c r="O2340" s="357" t="s">
        <v>276</v>
      </c>
      <c r="P2340" s="351" t="s">
        <v>239</v>
      </c>
      <c r="Q2340" s="383" t="s">
        <v>5034</v>
      </c>
      <c r="R2340" s="351" t="s">
        <v>98</v>
      </c>
      <c r="S2340" s="380" t="s">
        <v>5627</v>
      </c>
      <c r="T2340" s="380" t="s">
        <v>5627</v>
      </c>
      <c r="U2340" s="351" t="s">
        <v>276</v>
      </c>
      <c r="V2340" s="357" t="s">
        <v>259</v>
      </c>
      <c r="W2340" s="351" t="s">
        <v>5142</v>
      </c>
      <c r="X2340" s="351" t="s">
        <v>207</v>
      </c>
      <c r="Y2340" s="354">
        <v>1056</v>
      </c>
      <c r="Z2340" s="355">
        <v>1141</v>
      </c>
      <c r="AA2340" s="351" t="s">
        <v>276</v>
      </c>
      <c r="AB2340" s="351" t="s">
        <v>276</v>
      </c>
      <c r="AC2340" s="357">
        <v>1</v>
      </c>
      <c r="AD2340" s="357" t="s">
        <v>5841</v>
      </c>
      <c r="AE2340" s="357">
        <v>0</v>
      </c>
      <c r="AF2340" s="357" t="s">
        <v>5841</v>
      </c>
      <c r="AG2340" s="351" t="s">
        <v>5864</v>
      </c>
      <c r="AH2340" s="351" t="s">
        <v>5843</v>
      </c>
      <c r="AI2340" s="355">
        <v>41</v>
      </c>
      <c r="AJ2340" s="355">
        <v>11</v>
      </c>
      <c r="AK2340" s="354">
        <v>1056</v>
      </c>
      <c r="AL2340" s="355">
        <v>1141</v>
      </c>
      <c r="AM2340" s="355" t="s">
        <v>690</v>
      </c>
      <c r="AN2340" s="357" t="s">
        <v>276</v>
      </c>
      <c r="AO2340" s="356">
        <f t="shared" si="625"/>
        <v>38.825757575757578</v>
      </c>
      <c r="AP2340" s="357" t="s">
        <v>276</v>
      </c>
      <c r="AQ2340" s="357" t="s">
        <v>276</v>
      </c>
      <c r="AR2340" s="357" t="s">
        <v>276</v>
      </c>
      <c r="AS2340" s="356">
        <f t="shared" si="626"/>
        <v>9.6406660823838735</v>
      </c>
      <c r="AT2340" s="357" t="s">
        <v>276</v>
      </c>
      <c r="AU2340" s="357" t="s">
        <v>276</v>
      </c>
      <c r="AV2340" s="357" t="s">
        <v>268</v>
      </c>
      <c r="AW2340" s="357" t="s">
        <v>276</v>
      </c>
      <c r="AX2340" s="369">
        <f t="shared" si="627"/>
        <v>4.0272899449035817</v>
      </c>
      <c r="AY2340" s="357" t="s">
        <v>276</v>
      </c>
      <c r="AZ2340" s="357" t="s">
        <v>276</v>
      </c>
      <c r="BA2340" s="357" t="s">
        <v>276</v>
      </c>
      <c r="BB2340" s="357" t="s">
        <v>282</v>
      </c>
      <c r="BC2340" s="357" t="s">
        <v>98</v>
      </c>
      <c r="BD2340" s="357" t="s">
        <v>98</v>
      </c>
      <c r="BE2340" s="357" t="s">
        <v>98</v>
      </c>
      <c r="BF2340" s="351" t="s">
        <v>5862</v>
      </c>
      <c r="BG2340" s="351"/>
      <c r="BH2340" s="9" t="s">
        <v>100</v>
      </c>
      <c r="BI2340" s="9" t="s">
        <v>100</v>
      </c>
      <c r="BJ2340" s="373"/>
      <c r="BN2340" s="373"/>
      <c r="BO2340" s="373"/>
    </row>
    <row r="2341" spans="1:67" s="374" customFormat="1" ht="65" hidden="1" x14ac:dyDescent="0.35">
      <c r="A2341" s="357">
        <v>10548</v>
      </c>
      <c r="B2341" s="357" t="s">
        <v>5029</v>
      </c>
      <c r="C2341" s="357" t="s">
        <v>88</v>
      </c>
      <c r="D2341" s="351" t="s">
        <v>5894</v>
      </c>
      <c r="E2341" s="357" t="s">
        <v>43</v>
      </c>
      <c r="F2341" s="351" t="s">
        <v>4987</v>
      </c>
      <c r="G2341" s="357" t="s">
        <v>225</v>
      </c>
      <c r="H2341" s="357" t="s">
        <v>125</v>
      </c>
      <c r="I2341" s="357" t="s">
        <v>114</v>
      </c>
      <c r="J2341" s="351" t="s">
        <v>33</v>
      </c>
      <c r="K2341" s="357" t="s">
        <v>2739</v>
      </c>
      <c r="L2341" s="351" t="s">
        <v>5859</v>
      </c>
      <c r="M2341" s="351" t="s">
        <v>5838</v>
      </c>
      <c r="N2341" s="351" t="s">
        <v>5613</v>
      </c>
      <c r="O2341" s="357" t="s">
        <v>276</v>
      </c>
      <c r="P2341" s="351" t="s">
        <v>239</v>
      </c>
      <c r="Q2341" s="383" t="s">
        <v>5034</v>
      </c>
      <c r="R2341" s="351" t="s">
        <v>98</v>
      </c>
      <c r="S2341" s="380" t="s">
        <v>5627</v>
      </c>
      <c r="T2341" s="380" t="s">
        <v>5627</v>
      </c>
      <c r="U2341" s="351" t="s">
        <v>276</v>
      </c>
      <c r="V2341" s="357" t="s">
        <v>259</v>
      </c>
      <c r="W2341" s="351" t="s">
        <v>5142</v>
      </c>
      <c r="X2341" s="351" t="s">
        <v>207</v>
      </c>
      <c r="Y2341" s="354">
        <v>1056</v>
      </c>
      <c r="Z2341" s="355">
        <v>1141</v>
      </c>
      <c r="AA2341" s="351" t="s">
        <v>276</v>
      </c>
      <c r="AB2341" s="351" t="s">
        <v>276</v>
      </c>
      <c r="AC2341" s="357">
        <v>1</v>
      </c>
      <c r="AD2341" s="357" t="s">
        <v>5841</v>
      </c>
      <c r="AE2341" s="357">
        <v>0</v>
      </c>
      <c r="AF2341" s="357" t="s">
        <v>5841</v>
      </c>
      <c r="AG2341" s="351" t="s">
        <v>5866</v>
      </c>
      <c r="AH2341" s="351" t="s">
        <v>5843</v>
      </c>
      <c r="AI2341" s="355">
        <v>21</v>
      </c>
      <c r="AJ2341" s="355">
        <v>8</v>
      </c>
      <c r="AK2341" s="354">
        <v>1056</v>
      </c>
      <c r="AL2341" s="355">
        <v>1141</v>
      </c>
      <c r="AM2341" s="355" t="s">
        <v>690</v>
      </c>
      <c r="AN2341" s="357" t="s">
        <v>276</v>
      </c>
      <c r="AO2341" s="356">
        <f t="shared" si="625"/>
        <v>19.886363636363637</v>
      </c>
      <c r="AP2341" s="357" t="s">
        <v>276</v>
      </c>
      <c r="AQ2341" s="357" t="s">
        <v>276</v>
      </c>
      <c r="AR2341" s="357" t="s">
        <v>276</v>
      </c>
      <c r="AS2341" s="356">
        <f t="shared" si="626"/>
        <v>7.0113935144609991</v>
      </c>
      <c r="AT2341" s="357" t="s">
        <v>276</v>
      </c>
      <c r="AU2341" s="357" t="s">
        <v>276</v>
      </c>
      <c r="AV2341" s="357" t="s">
        <v>268</v>
      </c>
      <c r="AW2341" s="357" t="s">
        <v>276</v>
      </c>
      <c r="AX2341" s="369">
        <f t="shared" si="627"/>
        <v>2.8362926136363638</v>
      </c>
      <c r="AY2341" s="357" t="s">
        <v>276</v>
      </c>
      <c r="AZ2341" s="357" t="s">
        <v>276</v>
      </c>
      <c r="BA2341" s="357" t="s">
        <v>276</v>
      </c>
      <c r="BB2341" s="357" t="s">
        <v>282</v>
      </c>
      <c r="BC2341" s="357" t="s">
        <v>98</v>
      </c>
      <c r="BD2341" s="357" t="s">
        <v>98</v>
      </c>
      <c r="BE2341" s="357" t="s">
        <v>98</v>
      </c>
      <c r="BF2341" s="351" t="s">
        <v>5862</v>
      </c>
      <c r="BG2341" s="351"/>
      <c r="BH2341" s="9" t="s">
        <v>100</v>
      </c>
      <c r="BI2341" s="9" t="s">
        <v>100</v>
      </c>
      <c r="BJ2341" s="373"/>
      <c r="BN2341" s="373"/>
      <c r="BO2341" s="373"/>
    </row>
    <row r="2342" spans="1:67" s="374" customFormat="1" ht="65" hidden="1" x14ac:dyDescent="0.35">
      <c r="A2342" s="357">
        <v>10548</v>
      </c>
      <c r="B2342" s="357" t="s">
        <v>5029</v>
      </c>
      <c r="C2342" s="357" t="s">
        <v>88</v>
      </c>
      <c r="D2342" s="351" t="s">
        <v>5895</v>
      </c>
      <c r="E2342" s="357" t="s">
        <v>43</v>
      </c>
      <c r="F2342" s="351" t="s">
        <v>4987</v>
      </c>
      <c r="G2342" s="357" t="s">
        <v>225</v>
      </c>
      <c r="H2342" s="357" t="s">
        <v>125</v>
      </c>
      <c r="I2342" s="357" t="s">
        <v>114</v>
      </c>
      <c r="J2342" s="351" t="s">
        <v>33</v>
      </c>
      <c r="K2342" s="357" t="s">
        <v>2649</v>
      </c>
      <c r="L2342" s="351" t="s">
        <v>5859</v>
      </c>
      <c r="M2342" s="351" t="s">
        <v>5838</v>
      </c>
      <c r="N2342" s="351" t="s">
        <v>5613</v>
      </c>
      <c r="O2342" s="357" t="s">
        <v>276</v>
      </c>
      <c r="P2342" s="351" t="s">
        <v>239</v>
      </c>
      <c r="Q2342" s="383" t="s">
        <v>5034</v>
      </c>
      <c r="R2342" s="351" t="s">
        <v>98</v>
      </c>
      <c r="S2342" s="380" t="s">
        <v>5627</v>
      </c>
      <c r="T2342" s="380" t="s">
        <v>5627</v>
      </c>
      <c r="U2342" s="351" t="s">
        <v>276</v>
      </c>
      <c r="V2342" s="357" t="s">
        <v>259</v>
      </c>
      <c r="W2342" s="351" t="s">
        <v>5142</v>
      </c>
      <c r="X2342" s="351" t="s">
        <v>207</v>
      </c>
      <c r="Y2342" s="354">
        <v>1056</v>
      </c>
      <c r="Z2342" s="355">
        <v>1141</v>
      </c>
      <c r="AA2342" s="351" t="s">
        <v>276</v>
      </c>
      <c r="AB2342" s="351" t="s">
        <v>276</v>
      </c>
      <c r="AC2342" s="357">
        <v>1</v>
      </c>
      <c r="AD2342" s="357" t="s">
        <v>5841</v>
      </c>
      <c r="AE2342" s="357">
        <v>0</v>
      </c>
      <c r="AF2342" s="357" t="s">
        <v>5841</v>
      </c>
      <c r="AG2342" s="351" t="s">
        <v>5868</v>
      </c>
      <c r="AH2342" s="351" t="s">
        <v>5843</v>
      </c>
      <c r="AI2342" s="355">
        <v>5</v>
      </c>
      <c r="AJ2342" s="355">
        <v>3</v>
      </c>
      <c r="AK2342" s="354">
        <v>1056</v>
      </c>
      <c r="AL2342" s="355">
        <v>1141</v>
      </c>
      <c r="AM2342" s="355" t="s">
        <v>690</v>
      </c>
      <c r="AN2342" s="357" t="s">
        <v>276</v>
      </c>
      <c r="AO2342" s="356">
        <f t="shared" si="625"/>
        <v>4.7348484848484844</v>
      </c>
      <c r="AP2342" s="357" t="s">
        <v>276</v>
      </c>
      <c r="AQ2342" s="357" t="s">
        <v>276</v>
      </c>
      <c r="AR2342" s="357" t="s">
        <v>276</v>
      </c>
      <c r="AS2342" s="356">
        <f t="shared" si="626"/>
        <v>2.6292725679228748</v>
      </c>
      <c r="AT2342" s="357" t="s">
        <v>276</v>
      </c>
      <c r="AU2342" s="357" t="s">
        <v>276</v>
      </c>
      <c r="AV2342" s="357" t="s">
        <v>268</v>
      </c>
      <c r="AW2342" s="357" t="s">
        <v>276</v>
      </c>
      <c r="AX2342" s="369">
        <f t="shared" si="627"/>
        <v>1.8008207070707067</v>
      </c>
      <c r="AY2342" s="357" t="s">
        <v>276</v>
      </c>
      <c r="AZ2342" s="357" t="s">
        <v>276</v>
      </c>
      <c r="BA2342" s="357" t="s">
        <v>276</v>
      </c>
      <c r="BB2342" s="357" t="s">
        <v>282</v>
      </c>
      <c r="BC2342" s="357" t="s">
        <v>98</v>
      </c>
      <c r="BD2342" s="357" t="s">
        <v>98</v>
      </c>
      <c r="BE2342" s="357" t="s">
        <v>98</v>
      </c>
      <c r="BF2342" s="351" t="s">
        <v>5862</v>
      </c>
      <c r="BG2342" s="351"/>
      <c r="BH2342" s="9" t="s">
        <v>100</v>
      </c>
      <c r="BI2342" s="9" t="s">
        <v>100</v>
      </c>
      <c r="BJ2342" s="373"/>
      <c r="BN2342" s="373"/>
      <c r="BO2342" s="373"/>
    </row>
    <row r="2343" spans="1:67" s="374" customFormat="1" ht="65" hidden="1" x14ac:dyDescent="0.35">
      <c r="A2343" s="357">
        <v>10548</v>
      </c>
      <c r="B2343" s="357" t="s">
        <v>5029</v>
      </c>
      <c r="C2343" s="357" t="s">
        <v>88</v>
      </c>
      <c r="D2343" s="351" t="s">
        <v>5896</v>
      </c>
      <c r="E2343" s="357" t="s">
        <v>43</v>
      </c>
      <c r="F2343" s="351" t="s">
        <v>4987</v>
      </c>
      <c r="G2343" s="357" t="s">
        <v>225</v>
      </c>
      <c r="H2343" s="357" t="s">
        <v>125</v>
      </c>
      <c r="I2343" s="357" t="s">
        <v>114</v>
      </c>
      <c r="J2343" s="351" t="s">
        <v>33</v>
      </c>
      <c r="K2343" s="357" t="s">
        <v>1108</v>
      </c>
      <c r="L2343" s="351" t="s">
        <v>5859</v>
      </c>
      <c r="M2343" s="351" t="s">
        <v>5838</v>
      </c>
      <c r="N2343" s="351" t="s">
        <v>5613</v>
      </c>
      <c r="O2343" s="357" t="s">
        <v>276</v>
      </c>
      <c r="P2343" s="351" t="s">
        <v>239</v>
      </c>
      <c r="Q2343" s="383" t="s">
        <v>5034</v>
      </c>
      <c r="R2343" s="351" t="s">
        <v>98</v>
      </c>
      <c r="S2343" s="380" t="s">
        <v>5627</v>
      </c>
      <c r="T2343" s="380" t="s">
        <v>5627</v>
      </c>
      <c r="U2343" s="351" t="s">
        <v>276</v>
      </c>
      <c r="V2343" s="357" t="s">
        <v>259</v>
      </c>
      <c r="W2343" s="351" t="s">
        <v>5142</v>
      </c>
      <c r="X2343" s="351" t="s">
        <v>207</v>
      </c>
      <c r="Y2343" s="354">
        <v>1056</v>
      </c>
      <c r="Z2343" s="355">
        <v>1141</v>
      </c>
      <c r="AA2343" s="351" t="s">
        <v>276</v>
      </c>
      <c r="AB2343" s="351" t="s">
        <v>276</v>
      </c>
      <c r="AC2343" s="357">
        <v>1</v>
      </c>
      <c r="AD2343" s="357" t="s">
        <v>5841</v>
      </c>
      <c r="AE2343" s="357">
        <v>0</v>
      </c>
      <c r="AF2343" s="357" t="s">
        <v>5841</v>
      </c>
      <c r="AG2343" s="351" t="s">
        <v>5870</v>
      </c>
      <c r="AH2343" s="351" t="s">
        <v>5843</v>
      </c>
      <c r="AI2343" s="355">
        <v>1</v>
      </c>
      <c r="AJ2343" s="355">
        <v>1</v>
      </c>
      <c r="AK2343" s="354">
        <v>1056</v>
      </c>
      <c r="AL2343" s="355">
        <v>1141</v>
      </c>
      <c r="AM2343" s="355" t="s">
        <v>690</v>
      </c>
      <c r="AN2343" s="357" t="s">
        <v>276</v>
      </c>
      <c r="AO2343" s="356">
        <f t="shared" si="625"/>
        <v>0.94696969696969702</v>
      </c>
      <c r="AP2343" s="357" t="s">
        <v>276</v>
      </c>
      <c r="AQ2343" s="357" t="s">
        <v>276</v>
      </c>
      <c r="AR2343" s="357" t="s">
        <v>276</v>
      </c>
      <c r="AS2343" s="356">
        <f t="shared" si="626"/>
        <v>0.87642418930762489</v>
      </c>
      <c r="AT2343" s="357" t="s">
        <v>276</v>
      </c>
      <c r="AU2343" s="357" t="s">
        <v>276</v>
      </c>
      <c r="AV2343" s="357" t="s">
        <v>268</v>
      </c>
      <c r="AW2343" s="357" t="s">
        <v>276</v>
      </c>
      <c r="AX2343" s="369">
        <f t="shared" si="627"/>
        <v>1.0804924242424243</v>
      </c>
      <c r="AY2343" s="357" t="s">
        <v>276</v>
      </c>
      <c r="AZ2343" s="357" t="s">
        <v>276</v>
      </c>
      <c r="BA2343" s="357" t="s">
        <v>276</v>
      </c>
      <c r="BB2343" s="357" t="s">
        <v>282</v>
      </c>
      <c r="BC2343" s="357" t="s">
        <v>98</v>
      </c>
      <c r="BD2343" s="357" t="s">
        <v>98</v>
      </c>
      <c r="BE2343" s="357" t="s">
        <v>98</v>
      </c>
      <c r="BF2343" s="351" t="s">
        <v>5862</v>
      </c>
      <c r="BG2343" s="351"/>
      <c r="BH2343" s="9" t="s">
        <v>100</v>
      </c>
      <c r="BI2343" s="9" t="s">
        <v>100</v>
      </c>
      <c r="BJ2343" s="373"/>
      <c r="BN2343" s="373"/>
      <c r="BO2343" s="373"/>
    </row>
    <row r="2344" spans="1:67" s="374" customFormat="1" ht="65" hidden="1" x14ac:dyDescent="0.35">
      <c r="A2344" s="357">
        <v>10548</v>
      </c>
      <c r="B2344" s="357" t="s">
        <v>5029</v>
      </c>
      <c r="C2344" s="357" t="s">
        <v>88</v>
      </c>
      <c r="D2344" s="351" t="s">
        <v>5897</v>
      </c>
      <c r="E2344" s="357" t="s">
        <v>43</v>
      </c>
      <c r="F2344" s="351" t="s">
        <v>4987</v>
      </c>
      <c r="G2344" s="357" t="s">
        <v>225</v>
      </c>
      <c r="H2344" s="357" t="s">
        <v>125</v>
      </c>
      <c r="I2344" s="357" t="s">
        <v>114</v>
      </c>
      <c r="J2344" s="351" t="s">
        <v>33</v>
      </c>
      <c r="K2344" s="357" t="s">
        <v>5837</v>
      </c>
      <c r="L2344" s="351" t="s">
        <v>5859</v>
      </c>
      <c r="M2344" s="351" t="s">
        <v>5838</v>
      </c>
      <c r="N2344" s="351" t="s">
        <v>5613</v>
      </c>
      <c r="O2344" s="357" t="s">
        <v>276</v>
      </c>
      <c r="P2344" s="351" t="s">
        <v>239</v>
      </c>
      <c r="Q2344" s="383" t="s">
        <v>5034</v>
      </c>
      <c r="R2344" s="351" t="s">
        <v>98</v>
      </c>
      <c r="S2344" s="380" t="s">
        <v>5631</v>
      </c>
      <c r="T2344" s="380" t="s">
        <v>5631</v>
      </c>
      <c r="U2344" s="351" t="s">
        <v>276</v>
      </c>
      <c r="V2344" s="357" t="s">
        <v>259</v>
      </c>
      <c r="W2344" s="351" t="s">
        <v>5145</v>
      </c>
      <c r="X2344" s="351" t="s">
        <v>207</v>
      </c>
      <c r="Y2344" s="354">
        <v>4948</v>
      </c>
      <c r="Z2344" s="355">
        <v>4955</v>
      </c>
      <c r="AA2344" s="351" t="s">
        <v>276</v>
      </c>
      <c r="AB2344" s="351" t="s">
        <v>276</v>
      </c>
      <c r="AC2344" s="357">
        <v>1</v>
      </c>
      <c r="AD2344" s="357" t="s">
        <v>5841</v>
      </c>
      <c r="AE2344" s="357">
        <v>0</v>
      </c>
      <c r="AF2344" s="357" t="s">
        <v>5841</v>
      </c>
      <c r="AG2344" s="351" t="s">
        <v>5861</v>
      </c>
      <c r="AH2344" s="351" t="s">
        <v>5843</v>
      </c>
      <c r="AI2344" s="357">
        <v>15</v>
      </c>
      <c r="AJ2344" s="355">
        <v>25</v>
      </c>
      <c r="AK2344" s="354">
        <v>4948</v>
      </c>
      <c r="AL2344" s="355">
        <v>4955</v>
      </c>
      <c r="AM2344" s="355" t="s">
        <v>690</v>
      </c>
      <c r="AN2344" s="357" t="s">
        <v>276</v>
      </c>
      <c r="AO2344" s="356">
        <f t="shared" si="625"/>
        <v>3.0315278900565885</v>
      </c>
      <c r="AP2344" s="357" t="s">
        <v>276</v>
      </c>
      <c r="AQ2344" s="357" t="s">
        <v>276</v>
      </c>
      <c r="AR2344" s="357" t="s">
        <v>276</v>
      </c>
      <c r="AS2344" s="356">
        <f t="shared" si="626"/>
        <v>5.0454086781029259</v>
      </c>
      <c r="AT2344" s="357" t="s">
        <v>276</v>
      </c>
      <c r="AU2344" s="357" t="s">
        <v>276</v>
      </c>
      <c r="AV2344" s="357" t="s">
        <v>268</v>
      </c>
      <c r="AW2344" s="357" t="s">
        <v>276</v>
      </c>
      <c r="AX2344" s="369">
        <f t="shared" si="627"/>
        <v>0.60084882780921589</v>
      </c>
      <c r="AY2344" s="357" t="s">
        <v>276</v>
      </c>
      <c r="AZ2344" s="357" t="s">
        <v>276</v>
      </c>
      <c r="BA2344" s="357" t="s">
        <v>276</v>
      </c>
      <c r="BB2344" s="357" t="s">
        <v>282</v>
      </c>
      <c r="BC2344" s="357" t="s">
        <v>98</v>
      </c>
      <c r="BD2344" s="357" t="s">
        <v>98</v>
      </c>
      <c r="BE2344" s="357" t="s">
        <v>98</v>
      </c>
      <c r="BF2344" s="351" t="s">
        <v>5862</v>
      </c>
      <c r="BG2344" s="351"/>
      <c r="BH2344" s="9" t="s">
        <v>100</v>
      </c>
      <c r="BI2344" s="9" t="s">
        <v>100</v>
      </c>
      <c r="BJ2344" s="373"/>
      <c r="BN2344" s="373"/>
      <c r="BO2344" s="373"/>
    </row>
    <row r="2345" spans="1:67" s="374" customFormat="1" ht="65" hidden="1" x14ac:dyDescent="0.35">
      <c r="A2345" s="357">
        <v>10548</v>
      </c>
      <c r="B2345" s="357" t="s">
        <v>5029</v>
      </c>
      <c r="C2345" s="357" t="s">
        <v>88</v>
      </c>
      <c r="D2345" s="351" t="s">
        <v>5898</v>
      </c>
      <c r="E2345" s="357" t="s">
        <v>43</v>
      </c>
      <c r="F2345" s="351" t="s">
        <v>4987</v>
      </c>
      <c r="G2345" s="357" t="s">
        <v>225</v>
      </c>
      <c r="H2345" s="357" t="s">
        <v>125</v>
      </c>
      <c r="I2345" s="357" t="s">
        <v>114</v>
      </c>
      <c r="J2345" s="351" t="s">
        <v>33</v>
      </c>
      <c r="K2345" s="357" t="s">
        <v>5846</v>
      </c>
      <c r="L2345" s="351" t="s">
        <v>5859</v>
      </c>
      <c r="M2345" s="351" t="s">
        <v>5838</v>
      </c>
      <c r="N2345" s="351" t="s">
        <v>5613</v>
      </c>
      <c r="O2345" s="357" t="s">
        <v>276</v>
      </c>
      <c r="P2345" s="351" t="s">
        <v>239</v>
      </c>
      <c r="Q2345" s="383" t="s">
        <v>5034</v>
      </c>
      <c r="R2345" s="351" t="s">
        <v>98</v>
      </c>
      <c r="S2345" s="380" t="s">
        <v>5627</v>
      </c>
      <c r="T2345" s="380" t="s">
        <v>5627</v>
      </c>
      <c r="U2345" s="351" t="s">
        <v>276</v>
      </c>
      <c r="V2345" s="357" t="s">
        <v>259</v>
      </c>
      <c r="W2345" s="351" t="s">
        <v>5145</v>
      </c>
      <c r="X2345" s="351" t="s">
        <v>207</v>
      </c>
      <c r="Y2345" s="354">
        <v>4948</v>
      </c>
      <c r="Z2345" s="355">
        <v>4955</v>
      </c>
      <c r="AA2345" s="351" t="s">
        <v>276</v>
      </c>
      <c r="AB2345" s="351" t="s">
        <v>276</v>
      </c>
      <c r="AC2345" s="357">
        <v>4</v>
      </c>
      <c r="AD2345" s="357" t="s">
        <v>5841</v>
      </c>
      <c r="AE2345" s="357">
        <v>0</v>
      </c>
      <c r="AF2345" s="357" t="s">
        <v>5841</v>
      </c>
      <c r="AG2345" s="351" t="s">
        <v>5864</v>
      </c>
      <c r="AH2345" s="351" t="s">
        <v>5843</v>
      </c>
      <c r="AI2345" s="357">
        <v>382</v>
      </c>
      <c r="AJ2345" s="355">
        <v>114</v>
      </c>
      <c r="AK2345" s="354">
        <v>4948</v>
      </c>
      <c r="AL2345" s="355">
        <v>4955</v>
      </c>
      <c r="AM2345" s="355" t="s">
        <v>690</v>
      </c>
      <c r="AN2345" s="357" t="s">
        <v>276</v>
      </c>
      <c r="AO2345" s="356">
        <f t="shared" si="625"/>
        <v>77.202910266774452</v>
      </c>
      <c r="AP2345" s="357" t="s">
        <v>276</v>
      </c>
      <c r="AQ2345" s="357" t="s">
        <v>276</v>
      </c>
      <c r="AR2345" s="357" t="s">
        <v>276</v>
      </c>
      <c r="AS2345" s="356">
        <f t="shared" si="626"/>
        <v>23.007063572149345</v>
      </c>
      <c r="AT2345" s="357" t="s">
        <v>276</v>
      </c>
      <c r="AU2345" s="357" t="s">
        <v>276</v>
      </c>
      <c r="AV2345" s="357" t="s">
        <v>268</v>
      </c>
      <c r="AW2345" s="357" t="s">
        <v>276</v>
      </c>
      <c r="AX2345" s="369">
        <f t="shared" si="627"/>
        <v>3.3556177225602402</v>
      </c>
      <c r="AY2345" s="357" t="s">
        <v>276</v>
      </c>
      <c r="AZ2345" s="357" t="s">
        <v>276</v>
      </c>
      <c r="BA2345" s="357" t="s">
        <v>276</v>
      </c>
      <c r="BB2345" s="357" t="s">
        <v>282</v>
      </c>
      <c r="BC2345" s="357" t="s">
        <v>98</v>
      </c>
      <c r="BD2345" s="357" t="s">
        <v>98</v>
      </c>
      <c r="BE2345" s="357" t="s">
        <v>98</v>
      </c>
      <c r="BF2345" s="351" t="s">
        <v>5862</v>
      </c>
      <c r="BG2345" s="351"/>
      <c r="BH2345" s="9" t="s">
        <v>100</v>
      </c>
      <c r="BI2345" s="9" t="s">
        <v>100</v>
      </c>
      <c r="BJ2345" s="373"/>
      <c r="BN2345" s="373"/>
      <c r="BO2345" s="373"/>
    </row>
    <row r="2346" spans="1:67" s="374" customFormat="1" ht="65" hidden="1" x14ac:dyDescent="0.35">
      <c r="A2346" s="357">
        <v>10548</v>
      </c>
      <c r="B2346" s="357" t="s">
        <v>5029</v>
      </c>
      <c r="C2346" s="357" t="s">
        <v>88</v>
      </c>
      <c r="D2346" s="351" t="s">
        <v>5899</v>
      </c>
      <c r="E2346" s="357" t="s">
        <v>43</v>
      </c>
      <c r="F2346" s="351" t="s">
        <v>4987</v>
      </c>
      <c r="G2346" s="357" t="s">
        <v>225</v>
      </c>
      <c r="H2346" s="357" t="s">
        <v>125</v>
      </c>
      <c r="I2346" s="357" t="s">
        <v>114</v>
      </c>
      <c r="J2346" s="351" t="s">
        <v>33</v>
      </c>
      <c r="K2346" s="357" t="s">
        <v>2739</v>
      </c>
      <c r="L2346" s="351" t="s">
        <v>5859</v>
      </c>
      <c r="M2346" s="351" t="s">
        <v>5838</v>
      </c>
      <c r="N2346" s="351" t="s">
        <v>5613</v>
      </c>
      <c r="O2346" s="357" t="s">
        <v>276</v>
      </c>
      <c r="P2346" s="351" t="s">
        <v>239</v>
      </c>
      <c r="Q2346" s="383" t="s">
        <v>5034</v>
      </c>
      <c r="R2346" s="351" t="s">
        <v>98</v>
      </c>
      <c r="S2346" s="380" t="s">
        <v>5631</v>
      </c>
      <c r="T2346" s="380" t="s">
        <v>5631</v>
      </c>
      <c r="U2346" s="351" t="s">
        <v>276</v>
      </c>
      <c r="V2346" s="357" t="s">
        <v>259</v>
      </c>
      <c r="W2346" s="351" t="s">
        <v>5145</v>
      </c>
      <c r="X2346" s="351" t="s">
        <v>207</v>
      </c>
      <c r="Y2346" s="354">
        <v>4948</v>
      </c>
      <c r="Z2346" s="355">
        <v>4955</v>
      </c>
      <c r="AA2346" s="351" t="s">
        <v>276</v>
      </c>
      <c r="AB2346" s="351" t="s">
        <v>276</v>
      </c>
      <c r="AC2346" s="357">
        <v>4</v>
      </c>
      <c r="AD2346" s="357" t="s">
        <v>5841</v>
      </c>
      <c r="AE2346" s="357">
        <v>0</v>
      </c>
      <c r="AF2346" s="357" t="s">
        <v>5841</v>
      </c>
      <c r="AG2346" s="351" t="s">
        <v>5866</v>
      </c>
      <c r="AH2346" s="351" t="s">
        <v>5843</v>
      </c>
      <c r="AI2346" s="357">
        <v>69</v>
      </c>
      <c r="AJ2346" s="355">
        <v>74</v>
      </c>
      <c r="AK2346" s="354">
        <v>4948</v>
      </c>
      <c r="AL2346" s="355">
        <v>4955</v>
      </c>
      <c r="AM2346" s="355" t="s">
        <v>690</v>
      </c>
      <c r="AN2346" s="357" t="s">
        <v>276</v>
      </c>
      <c r="AO2346" s="356">
        <f t="shared" si="625"/>
        <v>13.945028294260307</v>
      </c>
      <c r="AP2346" s="357" t="s">
        <v>276</v>
      </c>
      <c r="AQ2346" s="357" t="s">
        <v>276</v>
      </c>
      <c r="AR2346" s="357" t="s">
        <v>276</v>
      </c>
      <c r="AS2346" s="356">
        <f t="shared" si="626"/>
        <v>14.934409687184662</v>
      </c>
      <c r="AT2346" s="357" t="s">
        <v>276</v>
      </c>
      <c r="AU2346" s="357" t="s">
        <v>276</v>
      </c>
      <c r="AV2346" s="357" t="s">
        <v>268</v>
      </c>
      <c r="AW2346" s="357" t="s">
        <v>276</v>
      </c>
      <c r="AX2346" s="369">
        <f t="shared" si="627"/>
        <v>0.93375155673053822</v>
      </c>
      <c r="AY2346" s="357" t="s">
        <v>276</v>
      </c>
      <c r="AZ2346" s="357" t="s">
        <v>276</v>
      </c>
      <c r="BA2346" s="357" t="s">
        <v>276</v>
      </c>
      <c r="BB2346" s="357" t="s">
        <v>282</v>
      </c>
      <c r="BC2346" s="357" t="s">
        <v>98</v>
      </c>
      <c r="BD2346" s="357" t="s">
        <v>98</v>
      </c>
      <c r="BE2346" s="357" t="s">
        <v>98</v>
      </c>
      <c r="BF2346" s="351" t="s">
        <v>5862</v>
      </c>
      <c r="BG2346" s="351"/>
      <c r="BH2346" s="9" t="s">
        <v>100</v>
      </c>
      <c r="BI2346" s="9" t="s">
        <v>100</v>
      </c>
      <c r="BJ2346" s="373"/>
      <c r="BN2346" s="373"/>
      <c r="BO2346" s="373"/>
    </row>
    <row r="2347" spans="1:67" s="374" customFormat="1" ht="65" hidden="1" x14ac:dyDescent="0.35">
      <c r="A2347" s="357">
        <v>10548</v>
      </c>
      <c r="B2347" s="357" t="s">
        <v>5029</v>
      </c>
      <c r="C2347" s="357" t="s">
        <v>88</v>
      </c>
      <c r="D2347" s="351" t="s">
        <v>5900</v>
      </c>
      <c r="E2347" s="357" t="s">
        <v>43</v>
      </c>
      <c r="F2347" s="351" t="s">
        <v>4987</v>
      </c>
      <c r="G2347" s="357" t="s">
        <v>225</v>
      </c>
      <c r="H2347" s="357" t="s">
        <v>125</v>
      </c>
      <c r="I2347" s="357" t="s">
        <v>114</v>
      </c>
      <c r="J2347" s="351" t="s">
        <v>33</v>
      </c>
      <c r="K2347" s="357" t="s">
        <v>2649</v>
      </c>
      <c r="L2347" s="351" t="s">
        <v>5859</v>
      </c>
      <c r="M2347" s="351" t="s">
        <v>5838</v>
      </c>
      <c r="N2347" s="351" t="s">
        <v>5613</v>
      </c>
      <c r="O2347" s="357" t="s">
        <v>276</v>
      </c>
      <c r="P2347" s="351" t="s">
        <v>239</v>
      </c>
      <c r="Q2347" s="383" t="s">
        <v>5034</v>
      </c>
      <c r="R2347" s="351" t="s">
        <v>98</v>
      </c>
      <c r="S2347" s="380" t="s">
        <v>5631</v>
      </c>
      <c r="T2347" s="380" t="s">
        <v>5631</v>
      </c>
      <c r="U2347" s="351" t="s">
        <v>276</v>
      </c>
      <c r="V2347" s="357" t="s">
        <v>259</v>
      </c>
      <c r="W2347" s="351" t="s">
        <v>5145</v>
      </c>
      <c r="X2347" s="351" t="s">
        <v>207</v>
      </c>
      <c r="Y2347" s="354">
        <v>4948</v>
      </c>
      <c r="Z2347" s="355">
        <v>4955</v>
      </c>
      <c r="AA2347" s="351" t="s">
        <v>276</v>
      </c>
      <c r="AB2347" s="351" t="s">
        <v>276</v>
      </c>
      <c r="AC2347" s="357">
        <v>4</v>
      </c>
      <c r="AD2347" s="357" t="s">
        <v>5841</v>
      </c>
      <c r="AE2347" s="357">
        <v>0</v>
      </c>
      <c r="AF2347" s="357" t="s">
        <v>5841</v>
      </c>
      <c r="AG2347" s="351" t="s">
        <v>5868</v>
      </c>
      <c r="AH2347" s="351" t="s">
        <v>5843</v>
      </c>
      <c r="AI2347" s="357">
        <v>3</v>
      </c>
      <c r="AJ2347" s="355">
        <v>5</v>
      </c>
      <c r="AK2347" s="354">
        <v>4948</v>
      </c>
      <c r="AL2347" s="355">
        <v>4955</v>
      </c>
      <c r="AM2347" s="355" t="s">
        <v>690</v>
      </c>
      <c r="AN2347" s="357" t="s">
        <v>276</v>
      </c>
      <c r="AO2347" s="356">
        <f t="shared" si="625"/>
        <v>0.60630557801131768</v>
      </c>
      <c r="AP2347" s="357" t="s">
        <v>276</v>
      </c>
      <c r="AQ2347" s="357" t="s">
        <v>276</v>
      </c>
      <c r="AR2347" s="357" t="s">
        <v>276</v>
      </c>
      <c r="AS2347" s="356">
        <f t="shared" si="626"/>
        <v>1.0090817356205852</v>
      </c>
      <c r="AT2347" s="357" t="s">
        <v>276</v>
      </c>
      <c r="AU2347" s="357" t="s">
        <v>276</v>
      </c>
      <c r="AV2347" s="357" t="s">
        <v>268</v>
      </c>
      <c r="AW2347" s="357" t="s">
        <v>276</v>
      </c>
      <c r="AX2347" s="369">
        <f t="shared" si="627"/>
        <v>0.60084882780921589</v>
      </c>
      <c r="AY2347" s="357" t="s">
        <v>276</v>
      </c>
      <c r="AZ2347" s="357" t="s">
        <v>276</v>
      </c>
      <c r="BA2347" s="357" t="s">
        <v>276</v>
      </c>
      <c r="BB2347" s="357" t="s">
        <v>282</v>
      </c>
      <c r="BC2347" s="357" t="s">
        <v>98</v>
      </c>
      <c r="BD2347" s="357" t="s">
        <v>98</v>
      </c>
      <c r="BE2347" s="357" t="s">
        <v>98</v>
      </c>
      <c r="BF2347" s="351" t="s">
        <v>5862</v>
      </c>
      <c r="BG2347" s="351"/>
      <c r="BH2347" s="9" t="s">
        <v>100</v>
      </c>
      <c r="BI2347" s="9" t="s">
        <v>100</v>
      </c>
      <c r="BJ2347" s="373"/>
      <c r="BN2347" s="373"/>
      <c r="BO2347" s="373"/>
    </row>
    <row r="2348" spans="1:67" s="374" customFormat="1" ht="65" hidden="1" x14ac:dyDescent="0.35">
      <c r="A2348" s="357">
        <v>10548</v>
      </c>
      <c r="B2348" s="357" t="s">
        <v>5029</v>
      </c>
      <c r="C2348" s="357" t="s">
        <v>88</v>
      </c>
      <c r="D2348" s="351" t="s">
        <v>5901</v>
      </c>
      <c r="E2348" s="357" t="s">
        <v>43</v>
      </c>
      <c r="F2348" s="351" t="s">
        <v>4987</v>
      </c>
      <c r="G2348" s="357" t="s">
        <v>225</v>
      </c>
      <c r="H2348" s="357" t="s">
        <v>125</v>
      </c>
      <c r="I2348" s="357" t="s">
        <v>114</v>
      </c>
      <c r="J2348" s="351" t="s">
        <v>33</v>
      </c>
      <c r="K2348" s="357" t="s">
        <v>1108</v>
      </c>
      <c r="L2348" s="351" t="s">
        <v>5859</v>
      </c>
      <c r="M2348" s="351" t="s">
        <v>5838</v>
      </c>
      <c r="N2348" s="351" t="s">
        <v>5613</v>
      </c>
      <c r="O2348" s="357" t="s">
        <v>276</v>
      </c>
      <c r="P2348" s="351" t="s">
        <v>239</v>
      </c>
      <c r="Q2348" s="383" t="s">
        <v>5034</v>
      </c>
      <c r="R2348" s="351" t="s">
        <v>98</v>
      </c>
      <c r="S2348" s="380" t="s">
        <v>5631</v>
      </c>
      <c r="T2348" s="380" t="s">
        <v>5631</v>
      </c>
      <c r="U2348" s="351" t="s">
        <v>276</v>
      </c>
      <c r="V2348" s="357" t="s">
        <v>259</v>
      </c>
      <c r="W2348" s="351" t="s">
        <v>5145</v>
      </c>
      <c r="X2348" s="351" t="s">
        <v>207</v>
      </c>
      <c r="Y2348" s="354">
        <v>4948</v>
      </c>
      <c r="Z2348" s="355">
        <v>4955</v>
      </c>
      <c r="AA2348" s="351" t="s">
        <v>276</v>
      </c>
      <c r="AB2348" s="351" t="s">
        <v>276</v>
      </c>
      <c r="AC2348" s="357">
        <v>4</v>
      </c>
      <c r="AD2348" s="357" t="s">
        <v>5841</v>
      </c>
      <c r="AE2348" s="357">
        <v>0</v>
      </c>
      <c r="AF2348" s="357" t="s">
        <v>5841</v>
      </c>
      <c r="AG2348" s="351" t="s">
        <v>5870</v>
      </c>
      <c r="AH2348" s="351" t="s">
        <v>5843</v>
      </c>
      <c r="AI2348" s="357">
        <v>2</v>
      </c>
      <c r="AJ2348" s="355">
        <v>7</v>
      </c>
      <c r="AK2348" s="354">
        <v>4948</v>
      </c>
      <c r="AL2348" s="355">
        <v>4955</v>
      </c>
      <c r="AM2348" s="355" t="s">
        <v>690</v>
      </c>
      <c r="AN2348" s="357" t="s">
        <v>276</v>
      </c>
      <c r="AO2348" s="356">
        <f t="shared" si="625"/>
        <v>0.40420371867421179</v>
      </c>
      <c r="AP2348" s="357" t="s">
        <v>276</v>
      </c>
      <c r="AQ2348" s="357" t="s">
        <v>276</v>
      </c>
      <c r="AR2348" s="357" t="s">
        <v>276</v>
      </c>
      <c r="AS2348" s="356">
        <f t="shared" si="626"/>
        <v>1.4127144298688195</v>
      </c>
      <c r="AT2348" s="357" t="s">
        <v>276</v>
      </c>
      <c r="AU2348" s="357" t="s">
        <v>276</v>
      </c>
      <c r="AV2348" s="357" t="s">
        <v>268</v>
      </c>
      <c r="AW2348" s="357" t="s">
        <v>276</v>
      </c>
      <c r="AX2348" s="369">
        <f t="shared" si="627"/>
        <v>0.28611848943295992</v>
      </c>
      <c r="AY2348" s="357" t="s">
        <v>276</v>
      </c>
      <c r="AZ2348" s="357" t="s">
        <v>276</v>
      </c>
      <c r="BA2348" s="357" t="s">
        <v>276</v>
      </c>
      <c r="BB2348" s="357" t="s">
        <v>282</v>
      </c>
      <c r="BC2348" s="357" t="s">
        <v>98</v>
      </c>
      <c r="BD2348" s="357" t="s">
        <v>98</v>
      </c>
      <c r="BE2348" s="357" t="s">
        <v>98</v>
      </c>
      <c r="BF2348" s="351" t="s">
        <v>5862</v>
      </c>
      <c r="BG2348" s="351"/>
      <c r="BH2348" s="9" t="s">
        <v>100</v>
      </c>
      <c r="BI2348" s="9" t="s">
        <v>100</v>
      </c>
      <c r="BJ2348" s="373"/>
      <c r="BN2348" s="373"/>
      <c r="BO2348" s="373"/>
    </row>
    <row r="2349" spans="1:67" s="374" customFormat="1" ht="65" hidden="1" x14ac:dyDescent="0.35">
      <c r="A2349" s="357">
        <v>10548</v>
      </c>
      <c r="B2349" s="357" t="s">
        <v>5029</v>
      </c>
      <c r="C2349" s="357" t="s">
        <v>88</v>
      </c>
      <c r="D2349" s="351" t="s">
        <v>5902</v>
      </c>
      <c r="E2349" s="357" t="s">
        <v>43</v>
      </c>
      <c r="F2349" s="351" t="s">
        <v>4987</v>
      </c>
      <c r="G2349" s="357" t="s">
        <v>225</v>
      </c>
      <c r="H2349" s="357" t="s">
        <v>125</v>
      </c>
      <c r="I2349" s="357" t="s">
        <v>114</v>
      </c>
      <c r="J2349" s="351" t="s">
        <v>33</v>
      </c>
      <c r="K2349" s="357" t="s">
        <v>5837</v>
      </c>
      <c r="L2349" s="351" t="s">
        <v>5859</v>
      </c>
      <c r="M2349" s="351" t="s">
        <v>5838</v>
      </c>
      <c r="N2349" s="351" t="s">
        <v>5613</v>
      </c>
      <c r="O2349" s="357" t="s">
        <v>276</v>
      </c>
      <c r="P2349" s="351" t="s">
        <v>239</v>
      </c>
      <c r="Q2349" s="383" t="s">
        <v>5034</v>
      </c>
      <c r="R2349" s="351" t="s">
        <v>98</v>
      </c>
      <c r="S2349" s="380" t="s">
        <v>5633</v>
      </c>
      <c r="T2349" s="380" t="s">
        <v>5633</v>
      </c>
      <c r="U2349" s="351" t="s">
        <v>276</v>
      </c>
      <c r="V2349" s="357" t="s">
        <v>259</v>
      </c>
      <c r="W2349" s="351" t="s">
        <v>5651</v>
      </c>
      <c r="X2349" s="351" t="s">
        <v>207</v>
      </c>
      <c r="Y2349" s="354">
        <v>28792</v>
      </c>
      <c r="Z2349" s="355">
        <v>28866</v>
      </c>
      <c r="AA2349" s="351" t="s">
        <v>276</v>
      </c>
      <c r="AB2349" s="351" t="s">
        <v>276</v>
      </c>
      <c r="AC2349" s="357">
        <v>311</v>
      </c>
      <c r="AD2349" s="357" t="s">
        <v>5841</v>
      </c>
      <c r="AE2349" s="357">
        <v>303</v>
      </c>
      <c r="AF2349" s="357" t="s">
        <v>5841</v>
      </c>
      <c r="AG2349" s="351" t="s">
        <v>5861</v>
      </c>
      <c r="AH2349" s="351" t="s">
        <v>5843</v>
      </c>
      <c r="AI2349" s="355">
        <v>47</v>
      </c>
      <c r="AJ2349" s="355">
        <v>34</v>
      </c>
      <c r="AK2349" s="354">
        <v>28792</v>
      </c>
      <c r="AL2349" s="355">
        <v>28866</v>
      </c>
      <c r="AM2349" s="355" t="s">
        <v>690</v>
      </c>
      <c r="AN2349" s="357" t="s">
        <v>276</v>
      </c>
      <c r="AO2349" s="356">
        <f t="shared" si="625"/>
        <v>1.6323978883023063</v>
      </c>
      <c r="AP2349" s="357" t="s">
        <v>276</v>
      </c>
      <c r="AQ2349" s="357" t="s">
        <v>276</v>
      </c>
      <c r="AR2349" s="357" t="s">
        <v>276</v>
      </c>
      <c r="AS2349" s="356">
        <f t="shared" si="626"/>
        <v>1.1778563015312131</v>
      </c>
      <c r="AT2349" s="357" t="s">
        <v>276</v>
      </c>
      <c r="AU2349" s="357" t="s">
        <v>276</v>
      </c>
      <c r="AV2349" s="357" t="s">
        <v>268</v>
      </c>
      <c r="AW2349" s="357" t="s">
        <v>276</v>
      </c>
      <c r="AX2349" s="369">
        <f t="shared" si="627"/>
        <v>1.3859058071686581</v>
      </c>
      <c r="AY2349" s="357" t="s">
        <v>276</v>
      </c>
      <c r="AZ2349" s="357" t="s">
        <v>276</v>
      </c>
      <c r="BA2349" s="357" t="s">
        <v>276</v>
      </c>
      <c r="BB2349" s="357" t="s">
        <v>282</v>
      </c>
      <c r="BC2349" s="357" t="s">
        <v>98</v>
      </c>
      <c r="BD2349" s="357" t="s">
        <v>98</v>
      </c>
      <c r="BE2349" s="357" t="s">
        <v>98</v>
      </c>
      <c r="BF2349" s="351" t="s">
        <v>5862</v>
      </c>
      <c r="BG2349" s="351"/>
      <c r="BH2349" s="9" t="s">
        <v>100</v>
      </c>
      <c r="BI2349" s="9" t="s">
        <v>100</v>
      </c>
      <c r="BJ2349" s="373"/>
      <c r="BN2349" s="373"/>
      <c r="BO2349" s="373"/>
    </row>
    <row r="2350" spans="1:67" s="374" customFormat="1" ht="65" hidden="1" x14ac:dyDescent="0.35">
      <c r="A2350" s="357">
        <v>10548</v>
      </c>
      <c r="B2350" s="357" t="s">
        <v>5029</v>
      </c>
      <c r="C2350" s="357" t="s">
        <v>88</v>
      </c>
      <c r="D2350" s="351" t="s">
        <v>5903</v>
      </c>
      <c r="E2350" s="357" t="s">
        <v>43</v>
      </c>
      <c r="F2350" s="351" t="s">
        <v>4987</v>
      </c>
      <c r="G2350" s="357" t="s">
        <v>225</v>
      </c>
      <c r="H2350" s="357" t="s">
        <v>125</v>
      </c>
      <c r="I2350" s="357" t="s">
        <v>114</v>
      </c>
      <c r="J2350" s="351" t="s">
        <v>33</v>
      </c>
      <c r="K2350" s="357" t="s">
        <v>5846</v>
      </c>
      <c r="L2350" s="351" t="s">
        <v>5859</v>
      </c>
      <c r="M2350" s="351" t="s">
        <v>5838</v>
      </c>
      <c r="N2350" s="351" t="s">
        <v>5613</v>
      </c>
      <c r="O2350" s="357" t="s">
        <v>276</v>
      </c>
      <c r="P2350" s="351" t="s">
        <v>239</v>
      </c>
      <c r="Q2350" s="383" t="s">
        <v>5034</v>
      </c>
      <c r="R2350" s="351" t="s">
        <v>98</v>
      </c>
      <c r="S2350" s="380" t="s">
        <v>5633</v>
      </c>
      <c r="T2350" s="380" t="s">
        <v>5633</v>
      </c>
      <c r="U2350" s="351" t="s">
        <v>276</v>
      </c>
      <c r="V2350" s="357" t="s">
        <v>259</v>
      </c>
      <c r="W2350" s="351" t="s">
        <v>5651</v>
      </c>
      <c r="X2350" s="351" t="s">
        <v>207</v>
      </c>
      <c r="Y2350" s="354">
        <v>28792</v>
      </c>
      <c r="Z2350" s="355">
        <v>28866</v>
      </c>
      <c r="AA2350" s="351" t="s">
        <v>276</v>
      </c>
      <c r="AB2350" s="351" t="s">
        <v>276</v>
      </c>
      <c r="AC2350" s="357">
        <v>311</v>
      </c>
      <c r="AD2350" s="357" t="s">
        <v>5841</v>
      </c>
      <c r="AE2350" s="357">
        <v>303</v>
      </c>
      <c r="AF2350" s="357" t="s">
        <v>5841</v>
      </c>
      <c r="AG2350" s="351" t="s">
        <v>5864</v>
      </c>
      <c r="AH2350" s="351" t="s">
        <v>5843</v>
      </c>
      <c r="AI2350" s="355">
        <v>353</v>
      </c>
      <c r="AJ2350" s="355">
        <v>261</v>
      </c>
      <c r="AK2350" s="354">
        <v>28792</v>
      </c>
      <c r="AL2350" s="355">
        <v>28866</v>
      </c>
      <c r="AM2350" s="355" t="s">
        <v>690</v>
      </c>
      <c r="AN2350" s="357" t="s">
        <v>276</v>
      </c>
      <c r="AO2350" s="356">
        <f t="shared" si="625"/>
        <v>12.260350097249235</v>
      </c>
      <c r="AP2350" s="357" t="s">
        <v>276</v>
      </c>
      <c r="AQ2350" s="357" t="s">
        <v>276</v>
      </c>
      <c r="AR2350" s="357" t="s">
        <v>276</v>
      </c>
      <c r="AS2350" s="356">
        <f t="shared" si="626"/>
        <v>9.0417792558719601</v>
      </c>
      <c r="AT2350" s="357" t="s">
        <v>276</v>
      </c>
      <c r="AU2350" s="357" t="s">
        <v>276</v>
      </c>
      <c r="AV2350" s="357" t="s">
        <v>268</v>
      </c>
      <c r="AW2350" s="357" t="s">
        <v>276</v>
      </c>
      <c r="AX2350" s="369">
        <f t="shared" si="627"/>
        <v>1.3559665360428981</v>
      </c>
      <c r="AY2350" s="357" t="s">
        <v>276</v>
      </c>
      <c r="AZ2350" s="357" t="s">
        <v>276</v>
      </c>
      <c r="BA2350" s="357" t="s">
        <v>276</v>
      </c>
      <c r="BB2350" s="357" t="s">
        <v>282</v>
      </c>
      <c r="BC2350" s="357" t="s">
        <v>98</v>
      </c>
      <c r="BD2350" s="357" t="s">
        <v>98</v>
      </c>
      <c r="BE2350" s="357" t="s">
        <v>98</v>
      </c>
      <c r="BF2350" s="351" t="s">
        <v>5862</v>
      </c>
      <c r="BG2350" s="351"/>
      <c r="BH2350" s="9" t="s">
        <v>100</v>
      </c>
      <c r="BI2350" s="9" t="s">
        <v>100</v>
      </c>
      <c r="BJ2350" s="373"/>
      <c r="BN2350" s="373"/>
      <c r="BO2350" s="373"/>
    </row>
    <row r="2351" spans="1:67" s="374" customFormat="1" ht="65" hidden="1" x14ac:dyDescent="0.35">
      <c r="A2351" s="357">
        <v>10548</v>
      </c>
      <c r="B2351" s="357" t="s">
        <v>5029</v>
      </c>
      <c r="C2351" s="357" t="s">
        <v>88</v>
      </c>
      <c r="D2351" s="351" t="s">
        <v>5904</v>
      </c>
      <c r="E2351" s="357" t="s">
        <v>43</v>
      </c>
      <c r="F2351" s="351" t="s">
        <v>4987</v>
      </c>
      <c r="G2351" s="357" t="s">
        <v>225</v>
      </c>
      <c r="H2351" s="357" t="s">
        <v>125</v>
      </c>
      <c r="I2351" s="357" t="s">
        <v>114</v>
      </c>
      <c r="J2351" s="351" t="s">
        <v>33</v>
      </c>
      <c r="K2351" s="357" t="s">
        <v>2739</v>
      </c>
      <c r="L2351" s="351" t="s">
        <v>5859</v>
      </c>
      <c r="M2351" s="351" t="s">
        <v>5838</v>
      </c>
      <c r="N2351" s="351" t="s">
        <v>5613</v>
      </c>
      <c r="O2351" s="357" t="s">
        <v>276</v>
      </c>
      <c r="P2351" s="351" t="s">
        <v>239</v>
      </c>
      <c r="Q2351" s="383" t="s">
        <v>5034</v>
      </c>
      <c r="R2351" s="351" t="s">
        <v>98</v>
      </c>
      <c r="S2351" s="380" t="s">
        <v>5633</v>
      </c>
      <c r="T2351" s="380" t="s">
        <v>5633</v>
      </c>
      <c r="U2351" s="351" t="s">
        <v>276</v>
      </c>
      <c r="V2351" s="357" t="s">
        <v>259</v>
      </c>
      <c r="W2351" s="351" t="s">
        <v>5651</v>
      </c>
      <c r="X2351" s="351" t="s">
        <v>207</v>
      </c>
      <c r="Y2351" s="354">
        <v>28792</v>
      </c>
      <c r="Z2351" s="355">
        <v>28866</v>
      </c>
      <c r="AA2351" s="351" t="s">
        <v>276</v>
      </c>
      <c r="AB2351" s="351" t="s">
        <v>276</v>
      </c>
      <c r="AC2351" s="357">
        <v>311</v>
      </c>
      <c r="AD2351" s="357" t="s">
        <v>5841</v>
      </c>
      <c r="AE2351" s="357">
        <v>303</v>
      </c>
      <c r="AF2351" s="357" t="s">
        <v>5841</v>
      </c>
      <c r="AG2351" s="351" t="s">
        <v>5866</v>
      </c>
      <c r="AH2351" s="351" t="s">
        <v>5843</v>
      </c>
      <c r="AI2351" s="355">
        <v>138</v>
      </c>
      <c r="AJ2351" s="355">
        <v>132</v>
      </c>
      <c r="AK2351" s="354">
        <v>28792</v>
      </c>
      <c r="AL2351" s="355">
        <v>28866</v>
      </c>
      <c r="AM2351" s="355" t="s">
        <v>690</v>
      </c>
      <c r="AN2351" s="357" t="s">
        <v>276</v>
      </c>
      <c r="AO2351" s="356">
        <f t="shared" si="625"/>
        <v>4.792998055015282</v>
      </c>
      <c r="AP2351" s="357" t="s">
        <v>276</v>
      </c>
      <c r="AQ2351" s="357" t="s">
        <v>276</v>
      </c>
      <c r="AR2351" s="357" t="s">
        <v>276</v>
      </c>
      <c r="AS2351" s="356">
        <f t="shared" si="626"/>
        <v>4.5728538765329452</v>
      </c>
      <c r="AT2351" s="357" t="s">
        <v>276</v>
      </c>
      <c r="AU2351" s="357" t="s">
        <v>276</v>
      </c>
      <c r="AV2351" s="357" t="s">
        <v>268</v>
      </c>
      <c r="AW2351" s="357" t="s">
        <v>276</v>
      </c>
      <c r="AX2351" s="369">
        <f t="shared" si="627"/>
        <v>1.0481415292126601</v>
      </c>
      <c r="AY2351" s="357" t="s">
        <v>276</v>
      </c>
      <c r="AZ2351" s="357" t="s">
        <v>276</v>
      </c>
      <c r="BA2351" s="357" t="s">
        <v>276</v>
      </c>
      <c r="BB2351" s="357" t="s">
        <v>282</v>
      </c>
      <c r="BC2351" s="357" t="s">
        <v>98</v>
      </c>
      <c r="BD2351" s="357" t="s">
        <v>98</v>
      </c>
      <c r="BE2351" s="357" t="s">
        <v>98</v>
      </c>
      <c r="BF2351" s="351" t="s">
        <v>5862</v>
      </c>
      <c r="BG2351" s="351"/>
      <c r="BH2351" s="9" t="s">
        <v>100</v>
      </c>
      <c r="BI2351" s="9" t="s">
        <v>100</v>
      </c>
      <c r="BJ2351" s="373"/>
      <c r="BN2351" s="373"/>
      <c r="BO2351" s="373"/>
    </row>
    <row r="2352" spans="1:67" s="374" customFormat="1" ht="65" hidden="1" x14ac:dyDescent="0.35">
      <c r="A2352" s="357">
        <v>10548</v>
      </c>
      <c r="B2352" s="357" t="s">
        <v>5029</v>
      </c>
      <c r="C2352" s="357" t="s">
        <v>88</v>
      </c>
      <c r="D2352" s="351" t="s">
        <v>5905</v>
      </c>
      <c r="E2352" s="357" t="s">
        <v>43</v>
      </c>
      <c r="F2352" s="351" t="s">
        <v>4987</v>
      </c>
      <c r="G2352" s="357" t="s">
        <v>225</v>
      </c>
      <c r="H2352" s="357" t="s">
        <v>125</v>
      </c>
      <c r="I2352" s="357" t="s">
        <v>114</v>
      </c>
      <c r="J2352" s="351" t="s">
        <v>33</v>
      </c>
      <c r="K2352" s="357" t="s">
        <v>2649</v>
      </c>
      <c r="L2352" s="351" t="s">
        <v>5859</v>
      </c>
      <c r="M2352" s="351" t="s">
        <v>5838</v>
      </c>
      <c r="N2352" s="351" t="s">
        <v>5613</v>
      </c>
      <c r="O2352" s="357" t="s">
        <v>276</v>
      </c>
      <c r="P2352" s="351" t="s">
        <v>239</v>
      </c>
      <c r="Q2352" s="383" t="s">
        <v>5034</v>
      </c>
      <c r="R2352" s="351" t="s">
        <v>98</v>
      </c>
      <c r="S2352" s="380" t="s">
        <v>5633</v>
      </c>
      <c r="T2352" s="380" t="s">
        <v>5633</v>
      </c>
      <c r="U2352" s="351" t="s">
        <v>276</v>
      </c>
      <c r="V2352" s="357" t="s">
        <v>259</v>
      </c>
      <c r="W2352" s="351" t="s">
        <v>5651</v>
      </c>
      <c r="X2352" s="351" t="s">
        <v>207</v>
      </c>
      <c r="Y2352" s="354">
        <v>28792</v>
      </c>
      <c r="Z2352" s="355">
        <v>28866</v>
      </c>
      <c r="AA2352" s="351" t="s">
        <v>276</v>
      </c>
      <c r="AB2352" s="351" t="s">
        <v>276</v>
      </c>
      <c r="AC2352" s="357">
        <v>311</v>
      </c>
      <c r="AD2352" s="357" t="s">
        <v>5841</v>
      </c>
      <c r="AE2352" s="357">
        <v>303</v>
      </c>
      <c r="AF2352" s="357" t="s">
        <v>5841</v>
      </c>
      <c r="AG2352" s="351" t="s">
        <v>5868</v>
      </c>
      <c r="AH2352" s="351" t="s">
        <v>5843</v>
      </c>
      <c r="AI2352" s="355">
        <v>36</v>
      </c>
      <c r="AJ2352" s="355">
        <v>49</v>
      </c>
      <c r="AK2352" s="354">
        <v>28792</v>
      </c>
      <c r="AL2352" s="355">
        <v>28866</v>
      </c>
      <c r="AM2352" s="355" t="s">
        <v>690</v>
      </c>
      <c r="AN2352" s="357" t="s">
        <v>276</v>
      </c>
      <c r="AO2352" s="356">
        <f t="shared" si="625"/>
        <v>1.2503473186996388</v>
      </c>
      <c r="AP2352" s="357" t="s">
        <v>276</v>
      </c>
      <c r="AQ2352" s="357" t="s">
        <v>276</v>
      </c>
      <c r="AR2352" s="357" t="s">
        <v>276</v>
      </c>
      <c r="AS2352" s="356">
        <f t="shared" si="626"/>
        <v>1.697498787500866</v>
      </c>
      <c r="AT2352" s="357" t="s">
        <v>276</v>
      </c>
      <c r="AU2352" s="357" t="s">
        <v>276</v>
      </c>
      <c r="AV2352" s="357" t="s">
        <v>268</v>
      </c>
      <c r="AW2352" s="357" t="s">
        <v>276</v>
      </c>
      <c r="AX2352" s="369">
        <f t="shared" si="627"/>
        <v>0.73658215717517905</v>
      </c>
      <c r="AY2352" s="357" t="s">
        <v>276</v>
      </c>
      <c r="AZ2352" s="357" t="s">
        <v>276</v>
      </c>
      <c r="BA2352" s="357" t="s">
        <v>276</v>
      </c>
      <c r="BB2352" s="357" t="s">
        <v>282</v>
      </c>
      <c r="BC2352" s="357" t="s">
        <v>98</v>
      </c>
      <c r="BD2352" s="357" t="s">
        <v>98</v>
      </c>
      <c r="BE2352" s="357" t="s">
        <v>98</v>
      </c>
      <c r="BF2352" s="351" t="s">
        <v>5862</v>
      </c>
      <c r="BG2352" s="351"/>
      <c r="BH2352" s="9" t="s">
        <v>100</v>
      </c>
      <c r="BI2352" s="9" t="s">
        <v>100</v>
      </c>
      <c r="BJ2352" s="373"/>
      <c r="BN2352" s="373"/>
      <c r="BO2352" s="373"/>
    </row>
    <row r="2353" spans="1:67" s="374" customFormat="1" ht="65" hidden="1" x14ac:dyDescent="0.35">
      <c r="A2353" s="357">
        <v>10548</v>
      </c>
      <c r="B2353" s="357" t="s">
        <v>5029</v>
      </c>
      <c r="C2353" s="357" t="s">
        <v>88</v>
      </c>
      <c r="D2353" s="351" t="s">
        <v>5906</v>
      </c>
      <c r="E2353" s="357" t="s">
        <v>43</v>
      </c>
      <c r="F2353" s="351" t="s">
        <v>4987</v>
      </c>
      <c r="G2353" s="357" t="s">
        <v>225</v>
      </c>
      <c r="H2353" s="357" t="s">
        <v>125</v>
      </c>
      <c r="I2353" s="357" t="s">
        <v>114</v>
      </c>
      <c r="J2353" s="351" t="s">
        <v>33</v>
      </c>
      <c r="K2353" s="357" t="s">
        <v>1108</v>
      </c>
      <c r="L2353" s="351" t="s">
        <v>5859</v>
      </c>
      <c r="M2353" s="351" t="s">
        <v>5838</v>
      </c>
      <c r="N2353" s="351" t="s">
        <v>5613</v>
      </c>
      <c r="O2353" s="357" t="s">
        <v>276</v>
      </c>
      <c r="P2353" s="351" t="s">
        <v>239</v>
      </c>
      <c r="Q2353" s="383" t="s">
        <v>5034</v>
      </c>
      <c r="R2353" s="351" t="s">
        <v>98</v>
      </c>
      <c r="S2353" s="380" t="s">
        <v>5633</v>
      </c>
      <c r="T2353" s="380" t="s">
        <v>5633</v>
      </c>
      <c r="U2353" s="351" t="s">
        <v>276</v>
      </c>
      <c r="V2353" s="357" t="s">
        <v>259</v>
      </c>
      <c r="W2353" s="351" t="s">
        <v>5651</v>
      </c>
      <c r="X2353" s="351" t="s">
        <v>207</v>
      </c>
      <c r="Y2353" s="354">
        <v>28792</v>
      </c>
      <c r="Z2353" s="355">
        <v>28866</v>
      </c>
      <c r="AA2353" s="351" t="s">
        <v>276</v>
      </c>
      <c r="AB2353" s="351" t="s">
        <v>276</v>
      </c>
      <c r="AC2353" s="357">
        <v>311</v>
      </c>
      <c r="AD2353" s="357" t="s">
        <v>5841</v>
      </c>
      <c r="AE2353" s="357">
        <v>303</v>
      </c>
      <c r="AF2353" s="357" t="s">
        <v>5841</v>
      </c>
      <c r="AG2353" s="351" t="s">
        <v>5870</v>
      </c>
      <c r="AH2353" s="351" t="s">
        <v>5843</v>
      </c>
      <c r="AI2353" s="355">
        <v>0</v>
      </c>
      <c r="AJ2353" s="355">
        <v>3</v>
      </c>
      <c r="AK2353" s="354">
        <v>28792</v>
      </c>
      <c r="AL2353" s="355">
        <v>28866</v>
      </c>
      <c r="AM2353" s="355" t="s">
        <v>690</v>
      </c>
      <c r="AN2353" s="357" t="s">
        <v>276</v>
      </c>
      <c r="AO2353" s="356">
        <f t="shared" si="625"/>
        <v>0</v>
      </c>
      <c r="AP2353" s="357" t="s">
        <v>276</v>
      </c>
      <c r="AQ2353" s="357" t="s">
        <v>276</v>
      </c>
      <c r="AR2353" s="357" t="s">
        <v>276</v>
      </c>
      <c r="AS2353" s="356">
        <f t="shared" si="626"/>
        <v>0.10392849719393057</v>
      </c>
      <c r="AT2353" s="357" t="s">
        <v>276</v>
      </c>
      <c r="AU2353" s="357" t="s">
        <v>276</v>
      </c>
      <c r="AV2353" s="357" t="s">
        <v>268</v>
      </c>
      <c r="AW2353" s="357" t="s">
        <v>276</v>
      </c>
      <c r="AX2353" s="369">
        <f t="shared" si="627"/>
        <v>0</v>
      </c>
      <c r="AY2353" s="357" t="s">
        <v>276</v>
      </c>
      <c r="AZ2353" s="357" t="s">
        <v>276</v>
      </c>
      <c r="BA2353" s="357" t="s">
        <v>276</v>
      </c>
      <c r="BB2353" s="357" t="s">
        <v>282</v>
      </c>
      <c r="BC2353" s="357" t="s">
        <v>98</v>
      </c>
      <c r="BD2353" s="357" t="s">
        <v>98</v>
      </c>
      <c r="BE2353" s="357" t="s">
        <v>98</v>
      </c>
      <c r="BF2353" s="351" t="s">
        <v>5862</v>
      </c>
      <c r="BG2353" s="351"/>
      <c r="BH2353" s="9" t="s">
        <v>100</v>
      </c>
      <c r="BI2353" s="9" t="s">
        <v>100</v>
      </c>
      <c r="BJ2353" s="373"/>
      <c r="BN2353" s="373"/>
      <c r="BO2353" s="373"/>
    </row>
    <row r="2354" spans="1:67" s="374" customFormat="1" ht="65" hidden="1" x14ac:dyDescent="0.35">
      <c r="A2354" s="357">
        <v>10548</v>
      </c>
      <c r="B2354" s="357" t="s">
        <v>5029</v>
      </c>
      <c r="C2354" s="357" t="s">
        <v>88</v>
      </c>
      <c r="D2354" s="351" t="s">
        <v>5907</v>
      </c>
      <c r="E2354" s="357" t="s">
        <v>43</v>
      </c>
      <c r="F2354" s="351" t="s">
        <v>4987</v>
      </c>
      <c r="G2354" s="357" t="s">
        <v>225</v>
      </c>
      <c r="H2354" s="357" t="s">
        <v>125</v>
      </c>
      <c r="I2354" s="357" t="s">
        <v>114</v>
      </c>
      <c r="J2354" s="351" t="s">
        <v>33</v>
      </c>
      <c r="K2354" s="357" t="s">
        <v>5837</v>
      </c>
      <c r="L2354" s="351" t="s">
        <v>5859</v>
      </c>
      <c r="M2354" s="351" t="s">
        <v>5838</v>
      </c>
      <c r="N2354" s="351" t="s">
        <v>5613</v>
      </c>
      <c r="O2354" s="357" t="s">
        <v>276</v>
      </c>
      <c r="P2354" s="351" t="s">
        <v>239</v>
      </c>
      <c r="Q2354" s="383" t="s">
        <v>5034</v>
      </c>
      <c r="R2354" s="351" t="s">
        <v>98</v>
      </c>
      <c r="S2354" s="380" t="s">
        <v>5636</v>
      </c>
      <c r="T2354" s="380" t="s">
        <v>5636</v>
      </c>
      <c r="U2354" s="351" t="s">
        <v>276</v>
      </c>
      <c r="V2354" s="357" t="s">
        <v>259</v>
      </c>
      <c r="W2354" s="351" t="s">
        <v>5653</v>
      </c>
      <c r="X2354" s="351" t="s">
        <v>207</v>
      </c>
      <c r="Y2354" s="354">
        <v>10886</v>
      </c>
      <c r="Z2354" s="355">
        <v>10470</v>
      </c>
      <c r="AA2354" s="351" t="s">
        <v>276</v>
      </c>
      <c r="AB2354" s="351" t="s">
        <v>276</v>
      </c>
      <c r="AC2354" s="357">
        <v>58</v>
      </c>
      <c r="AD2354" s="357" t="s">
        <v>5841</v>
      </c>
      <c r="AE2354" s="357">
        <v>57</v>
      </c>
      <c r="AF2354" s="357" t="s">
        <v>5841</v>
      </c>
      <c r="AG2354" s="351" t="s">
        <v>5861</v>
      </c>
      <c r="AH2354" s="351" t="s">
        <v>5843</v>
      </c>
      <c r="AI2354" s="355">
        <v>184</v>
      </c>
      <c r="AJ2354" s="355">
        <v>152</v>
      </c>
      <c r="AK2354" s="354">
        <v>10886</v>
      </c>
      <c r="AL2354" s="355">
        <v>10470</v>
      </c>
      <c r="AM2354" s="355" t="s">
        <v>690</v>
      </c>
      <c r="AN2354" s="357" t="s">
        <v>276</v>
      </c>
      <c r="AO2354" s="356">
        <f t="shared" si="625"/>
        <v>16.902443505419804</v>
      </c>
      <c r="AP2354" s="357" t="s">
        <v>276</v>
      </c>
      <c r="AQ2354" s="357" t="s">
        <v>276</v>
      </c>
      <c r="AR2354" s="357" t="s">
        <v>276</v>
      </c>
      <c r="AS2354" s="356">
        <f t="shared" si="626"/>
        <v>14.51766953199618</v>
      </c>
      <c r="AT2354" s="357" t="s">
        <v>276</v>
      </c>
      <c r="AU2354" s="357" t="s">
        <v>276</v>
      </c>
      <c r="AV2354" s="357" t="s">
        <v>268</v>
      </c>
      <c r="AW2354" s="357" t="s">
        <v>276</v>
      </c>
      <c r="AX2354" s="369">
        <f t="shared" si="627"/>
        <v>1.1642669967220087</v>
      </c>
      <c r="AY2354" s="357" t="s">
        <v>276</v>
      </c>
      <c r="AZ2354" s="357" t="s">
        <v>276</v>
      </c>
      <c r="BA2354" s="357" t="s">
        <v>276</v>
      </c>
      <c r="BB2354" s="357" t="s">
        <v>282</v>
      </c>
      <c r="BC2354" s="357" t="s">
        <v>98</v>
      </c>
      <c r="BD2354" s="357" t="s">
        <v>98</v>
      </c>
      <c r="BE2354" s="357" t="s">
        <v>98</v>
      </c>
      <c r="BF2354" s="351" t="s">
        <v>5862</v>
      </c>
      <c r="BG2354" s="351"/>
      <c r="BH2354" s="9" t="s">
        <v>100</v>
      </c>
      <c r="BI2354" s="9" t="s">
        <v>100</v>
      </c>
      <c r="BJ2354" s="373"/>
      <c r="BN2354" s="373"/>
      <c r="BO2354" s="373"/>
    </row>
    <row r="2355" spans="1:67" s="374" customFormat="1" ht="65" hidden="1" x14ac:dyDescent="0.35">
      <c r="A2355" s="357">
        <v>10548</v>
      </c>
      <c r="B2355" s="357" t="s">
        <v>5029</v>
      </c>
      <c r="C2355" s="357" t="s">
        <v>88</v>
      </c>
      <c r="D2355" s="351" t="s">
        <v>5908</v>
      </c>
      <c r="E2355" s="357" t="s">
        <v>43</v>
      </c>
      <c r="F2355" s="351" t="s">
        <v>4987</v>
      </c>
      <c r="G2355" s="357" t="s">
        <v>225</v>
      </c>
      <c r="H2355" s="357" t="s">
        <v>125</v>
      </c>
      <c r="I2355" s="357" t="s">
        <v>114</v>
      </c>
      <c r="J2355" s="351" t="s">
        <v>33</v>
      </c>
      <c r="K2355" s="357" t="s">
        <v>5846</v>
      </c>
      <c r="L2355" s="351" t="s">
        <v>5859</v>
      </c>
      <c r="M2355" s="351" t="s">
        <v>5838</v>
      </c>
      <c r="N2355" s="351" t="s">
        <v>5613</v>
      </c>
      <c r="O2355" s="357" t="s">
        <v>276</v>
      </c>
      <c r="P2355" s="351" t="s">
        <v>239</v>
      </c>
      <c r="Q2355" s="383" t="s">
        <v>5034</v>
      </c>
      <c r="R2355" s="351" t="s">
        <v>98</v>
      </c>
      <c r="S2355" s="380" t="s">
        <v>5636</v>
      </c>
      <c r="T2355" s="380" t="s">
        <v>5636</v>
      </c>
      <c r="U2355" s="351" t="s">
        <v>276</v>
      </c>
      <c r="V2355" s="357" t="s">
        <v>259</v>
      </c>
      <c r="W2355" s="351" t="s">
        <v>5653</v>
      </c>
      <c r="X2355" s="351" t="s">
        <v>207</v>
      </c>
      <c r="Y2355" s="354">
        <v>10886</v>
      </c>
      <c r="Z2355" s="355">
        <v>10470</v>
      </c>
      <c r="AA2355" s="351" t="s">
        <v>276</v>
      </c>
      <c r="AB2355" s="351" t="s">
        <v>276</v>
      </c>
      <c r="AC2355" s="357">
        <v>58</v>
      </c>
      <c r="AD2355" s="357" t="s">
        <v>5841</v>
      </c>
      <c r="AE2355" s="357">
        <v>57</v>
      </c>
      <c r="AF2355" s="357" t="s">
        <v>5841</v>
      </c>
      <c r="AG2355" s="351" t="s">
        <v>5864</v>
      </c>
      <c r="AH2355" s="351" t="s">
        <v>5843</v>
      </c>
      <c r="AI2355" s="355">
        <v>0</v>
      </c>
      <c r="AJ2355" s="355">
        <v>0</v>
      </c>
      <c r="AK2355" s="354">
        <v>10886</v>
      </c>
      <c r="AL2355" s="355">
        <v>10470</v>
      </c>
      <c r="AM2355" s="355" t="s">
        <v>690</v>
      </c>
      <c r="AN2355" s="357" t="s">
        <v>276</v>
      </c>
      <c r="AO2355" s="356">
        <f t="shared" si="625"/>
        <v>0</v>
      </c>
      <c r="AP2355" s="357" t="s">
        <v>276</v>
      </c>
      <c r="AQ2355" s="357" t="s">
        <v>276</v>
      </c>
      <c r="AR2355" s="357" t="s">
        <v>276</v>
      </c>
      <c r="AS2355" s="356">
        <f t="shared" si="626"/>
        <v>0</v>
      </c>
      <c r="AT2355" s="357" t="s">
        <v>276</v>
      </c>
      <c r="AU2355" s="357" t="s">
        <v>276</v>
      </c>
      <c r="AV2355" s="357" t="s">
        <v>268</v>
      </c>
      <c r="AW2355" s="357" t="s">
        <v>276</v>
      </c>
      <c r="AX2355" s="369" t="e">
        <f t="shared" si="627"/>
        <v>#DIV/0!</v>
      </c>
      <c r="AY2355" s="357" t="s">
        <v>276</v>
      </c>
      <c r="AZ2355" s="357" t="s">
        <v>276</v>
      </c>
      <c r="BA2355" s="357" t="s">
        <v>276</v>
      </c>
      <c r="BB2355" s="357" t="s">
        <v>282</v>
      </c>
      <c r="BC2355" s="357" t="s">
        <v>98</v>
      </c>
      <c r="BD2355" s="357" t="s">
        <v>98</v>
      </c>
      <c r="BE2355" s="357" t="s">
        <v>98</v>
      </c>
      <c r="BF2355" s="351" t="s">
        <v>5862</v>
      </c>
      <c r="BG2355" s="351"/>
      <c r="BH2355" s="9" t="s">
        <v>100</v>
      </c>
      <c r="BI2355" s="9" t="s">
        <v>100</v>
      </c>
      <c r="BJ2355" s="373"/>
      <c r="BN2355" s="373"/>
      <c r="BO2355" s="373"/>
    </row>
    <row r="2356" spans="1:67" s="374" customFormat="1" ht="65" hidden="1" x14ac:dyDescent="0.35">
      <c r="A2356" s="357">
        <v>10548</v>
      </c>
      <c r="B2356" s="357" t="s">
        <v>5029</v>
      </c>
      <c r="C2356" s="357" t="s">
        <v>88</v>
      </c>
      <c r="D2356" s="351" t="s">
        <v>5909</v>
      </c>
      <c r="E2356" s="357" t="s">
        <v>43</v>
      </c>
      <c r="F2356" s="351" t="s">
        <v>4987</v>
      </c>
      <c r="G2356" s="357" t="s">
        <v>225</v>
      </c>
      <c r="H2356" s="357" t="s">
        <v>125</v>
      </c>
      <c r="I2356" s="357" t="s">
        <v>114</v>
      </c>
      <c r="J2356" s="351" t="s">
        <v>33</v>
      </c>
      <c r="K2356" s="357" t="s">
        <v>2739</v>
      </c>
      <c r="L2356" s="351" t="s">
        <v>5859</v>
      </c>
      <c r="M2356" s="351" t="s">
        <v>5838</v>
      </c>
      <c r="N2356" s="351" t="s">
        <v>5613</v>
      </c>
      <c r="O2356" s="357" t="s">
        <v>276</v>
      </c>
      <c r="P2356" s="351" t="s">
        <v>239</v>
      </c>
      <c r="Q2356" s="383" t="s">
        <v>5034</v>
      </c>
      <c r="R2356" s="351" t="s">
        <v>98</v>
      </c>
      <c r="S2356" s="380" t="s">
        <v>5636</v>
      </c>
      <c r="T2356" s="380" t="s">
        <v>5636</v>
      </c>
      <c r="U2356" s="351" t="s">
        <v>276</v>
      </c>
      <c r="V2356" s="357" t="s">
        <v>259</v>
      </c>
      <c r="W2356" s="351" t="s">
        <v>5653</v>
      </c>
      <c r="X2356" s="351" t="s">
        <v>207</v>
      </c>
      <c r="Y2356" s="354">
        <v>10886</v>
      </c>
      <c r="Z2356" s="355">
        <v>10470</v>
      </c>
      <c r="AA2356" s="351" t="s">
        <v>276</v>
      </c>
      <c r="AB2356" s="351" t="s">
        <v>276</v>
      </c>
      <c r="AC2356" s="357">
        <v>58</v>
      </c>
      <c r="AD2356" s="357" t="s">
        <v>5841</v>
      </c>
      <c r="AE2356" s="357">
        <v>57</v>
      </c>
      <c r="AF2356" s="357" t="s">
        <v>5841</v>
      </c>
      <c r="AG2356" s="351" t="s">
        <v>5866</v>
      </c>
      <c r="AH2356" s="351" t="s">
        <v>5843</v>
      </c>
      <c r="AI2356" s="355">
        <v>216</v>
      </c>
      <c r="AJ2356" s="355">
        <v>203</v>
      </c>
      <c r="AK2356" s="354">
        <v>10886</v>
      </c>
      <c r="AL2356" s="355">
        <v>10470</v>
      </c>
      <c r="AM2356" s="355" t="s">
        <v>690</v>
      </c>
      <c r="AN2356" s="357" t="s">
        <v>276</v>
      </c>
      <c r="AO2356" s="356">
        <f t="shared" si="625"/>
        <v>19.841998897666727</v>
      </c>
      <c r="AP2356" s="357" t="s">
        <v>276</v>
      </c>
      <c r="AQ2356" s="357" t="s">
        <v>276</v>
      </c>
      <c r="AR2356" s="357" t="s">
        <v>276</v>
      </c>
      <c r="AS2356" s="356">
        <f t="shared" si="626"/>
        <v>19.388729703915949</v>
      </c>
      <c r="AT2356" s="357" t="s">
        <v>276</v>
      </c>
      <c r="AU2356" s="357" t="s">
        <v>276</v>
      </c>
      <c r="AV2356" s="357" t="s">
        <v>268</v>
      </c>
      <c r="AW2356" s="357" t="s">
        <v>276</v>
      </c>
      <c r="AX2356" s="369">
        <f t="shared" si="627"/>
        <v>1.0233779727023185</v>
      </c>
      <c r="AY2356" s="357" t="s">
        <v>276</v>
      </c>
      <c r="AZ2356" s="357" t="s">
        <v>276</v>
      </c>
      <c r="BA2356" s="357" t="s">
        <v>276</v>
      </c>
      <c r="BB2356" s="357" t="s">
        <v>282</v>
      </c>
      <c r="BC2356" s="357" t="s">
        <v>98</v>
      </c>
      <c r="BD2356" s="357" t="s">
        <v>98</v>
      </c>
      <c r="BE2356" s="357" t="s">
        <v>98</v>
      </c>
      <c r="BF2356" s="351" t="s">
        <v>5862</v>
      </c>
      <c r="BG2356" s="351"/>
      <c r="BH2356" s="9" t="s">
        <v>100</v>
      </c>
      <c r="BI2356" s="9" t="s">
        <v>100</v>
      </c>
      <c r="BJ2356" s="373"/>
      <c r="BN2356" s="373"/>
      <c r="BO2356" s="373"/>
    </row>
    <row r="2357" spans="1:67" s="374" customFormat="1" ht="65" hidden="1" x14ac:dyDescent="0.35">
      <c r="A2357" s="357">
        <v>10548</v>
      </c>
      <c r="B2357" s="357" t="s">
        <v>5029</v>
      </c>
      <c r="C2357" s="357" t="s">
        <v>88</v>
      </c>
      <c r="D2357" s="351" t="s">
        <v>5910</v>
      </c>
      <c r="E2357" s="357" t="s">
        <v>43</v>
      </c>
      <c r="F2357" s="351" t="s">
        <v>4987</v>
      </c>
      <c r="G2357" s="357" t="s">
        <v>225</v>
      </c>
      <c r="H2357" s="357" t="s">
        <v>125</v>
      </c>
      <c r="I2357" s="357" t="s">
        <v>114</v>
      </c>
      <c r="J2357" s="351" t="s">
        <v>33</v>
      </c>
      <c r="K2357" s="357" t="s">
        <v>2649</v>
      </c>
      <c r="L2357" s="351" t="s">
        <v>5859</v>
      </c>
      <c r="M2357" s="351" t="s">
        <v>5838</v>
      </c>
      <c r="N2357" s="351" t="s">
        <v>5613</v>
      </c>
      <c r="O2357" s="357" t="s">
        <v>276</v>
      </c>
      <c r="P2357" s="351" t="s">
        <v>239</v>
      </c>
      <c r="Q2357" s="383" t="s">
        <v>5034</v>
      </c>
      <c r="R2357" s="351" t="s">
        <v>98</v>
      </c>
      <c r="S2357" s="380" t="s">
        <v>5636</v>
      </c>
      <c r="T2357" s="380" t="s">
        <v>5636</v>
      </c>
      <c r="U2357" s="351" t="s">
        <v>276</v>
      </c>
      <c r="V2357" s="357" t="s">
        <v>259</v>
      </c>
      <c r="W2357" s="351" t="s">
        <v>5653</v>
      </c>
      <c r="X2357" s="351" t="s">
        <v>207</v>
      </c>
      <c r="Y2357" s="354">
        <v>10886</v>
      </c>
      <c r="Z2357" s="355">
        <v>10470</v>
      </c>
      <c r="AA2357" s="351" t="s">
        <v>276</v>
      </c>
      <c r="AB2357" s="351" t="s">
        <v>276</v>
      </c>
      <c r="AC2357" s="357">
        <v>58</v>
      </c>
      <c r="AD2357" s="357" t="s">
        <v>5841</v>
      </c>
      <c r="AE2357" s="357">
        <v>57</v>
      </c>
      <c r="AF2357" s="357" t="s">
        <v>5841</v>
      </c>
      <c r="AG2357" s="351" t="s">
        <v>5868</v>
      </c>
      <c r="AH2357" s="351" t="s">
        <v>5843</v>
      </c>
      <c r="AI2357" s="355">
        <v>36</v>
      </c>
      <c r="AJ2357" s="355">
        <v>28</v>
      </c>
      <c r="AK2357" s="354">
        <v>10886</v>
      </c>
      <c r="AL2357" s="355">
        <v>10470</v>
      </c>
      <c r="AM2357" s="355" t="s">
        <v>690</v>
      </c>
      <c r="AN2357" s="357" t="s">
        <v>276</v>
      </c>
      <c r="AO2357" s="356">
        <f t="shared" si="625"/>
        <v>3.3069998162777878</v>
      </c>
      <c r="AP2357" s="357" t="s">
        <v>276</v>
      </c>
      <c r="AQ2357" s="357" t="s">
        <v>276</v>
      </c>
      <c r="AR2357" s="357" t="s">
        <v>276</v>
      </c>
      <c r="AS2357" s="356">
        <f t="shared" si="626"/>
        <v>2.6743075453677174</v>
      </c>
      <c r="AT2357" s="357" t="s">
        <v>276</v>
      </c>
      <c r="AU2357" s="357" t="s">
        <v>276</v>
      </c>
      <c r="AV2357" s="357" t="s">
        <v>268</v>
      </c>
      <c r="AW2357" s="357" t="s">
        <v>276</v>
      </c>
      <c r="AX2357" s="369">
        <f t="shared" si="627"/>
        <v>1.2365817170153013</v>
      </c>
      <c r="AY2357" s="357" t="s">
        <v>276</v>
      </c>
      <c r="AZ2357" s="357" t="s">
        <v>276</v>
      </c>
      <c r="BA2357" s="357" t="s">
        <v>276</v>
      </c>
      <c r="BB2357" s="357" t="s">
        <v>282</v>
      </c>
      <c r="BC2357" s="357" t="s">
        <v>98</v>
      </c>
      <c r="BD2357" s="357" t="s">
        <v>98</v>
      </c>
      <c r="BE2357" s="357" t="s">
        <v>98</v>
      </c>
      <c r="BF2357" s="351" t="s">
        <v>5862</v>
      </c>
      <c r="BG2357" s="351"/>
      <c r="BH2357" s="9" t="s">
        <v>100</v>
      </c>
      <c r="BI2357" s="9" t="s">
        <v>100</v>
      </c>
      <c r="BJ2357" s="373"/>
      <c r="BN2357" s="373"/>
      <c r="BO2357" s="373"/>
    </row>
    <row r="2358" spans="1:67" s="374" customFormat="1" ht="65" hidden="1" x14ac:dyDescent="0.35">
      <c r="A2358" s="357">
        <v>10548</v>
      </c>
      <c r="B2358" s="357" t="s">
        <v>5029</v>
      </c>
      <c r="C2358" s="357" t="s">
        <v>88</v>
      </c>
      <c r="D2358" s="351" t="s">
        <v>5911</v>
      </c>
      <c r="E2358" s="357" t="s">
        <v>43</v>
      </c>
      <c r="F2358" s="351" t="s">
        <v>4987</v>
      </c>
      <c r="G2358" s="357" t="s">
        <v>225</v>
      </c>
      <c r="H2358" s="357" t="s">
        <v>125</v>
      </c>
      <c r="I2358" s="357" t="s">
        <v>114</v>
      </c>
      <c r="J2358" s="351" t="s">
        <v>33</v>
      </c>
      <c r="K2358" s="357" t="s">
        <v>1108</v>
      </c>
      <c r="L2358" s="351" t="s">
        <v>5859</v>
      </c>
      <c r="M2358" s="351" t="s">
        <v>5838</v>
      </c>
      <c r="N2358" s="351" t="s">
        <v>5613</v>
      </c>
      <c r="O2358" s="357" t="s">
        <v>276</v>
      </c>
      <c r="P2358" s="351" t="s">
        <v>239</v>
      </c>
      <c r="Q2358" s="383" t="s">
        <v>5034</v>
      </c>
      <c r="R2358" s="351" t="s">
        <v>98</v>
      </c>
      <c r="S2358" s="380" t="s">
        <v>5636</v>
      </c>
      <c r="T2358" s="380" t="s">
        <v>5636</v>
      </c>
      <c r="U2358" s="351" t="s">
        <v>276</v>
      </c>
      <c r="V2358" s="357" t="s">
        <v>259</v>
      </c>
      <c r="W2358" s="351" t="s">
        <v>5653</v>
      </c>
      <c r="X2358" s="351" t="s">
        <v>207</v>
      </c>
      <c r="Y2358" s="354">
        <v>10886</v>
      </c>
      <c r="Z2358" s="355">
        <v>10470</v>
      </c>
      <c r="AA2358" s="351" t="s">
        <v>276</v>
      </c>
      <c r="AB2358" s="351" t="s">
        <v>276</v>
      </c>
      <c r="AC2358" s="357">
        <v>58</v>
      </c>
      <c r="AD2358" s="357" t="s">
        <v>5841</v>
      </c>
      <c r="AE2358" s="357">
        <v>57</v>
      </c>
      <c r="AF2358" s="357" t="s">
        <v>5841</v>
      </c>
      <c r="AG2358" s="351" t="s">
        <v>5870</v>
      </c>
      <c r="AH2358" s="351" t="s">
        <v>5843</v>
      </c>
      <c r="AI2358" s="355">
        <v>3</v>
      </c>
      <c r="AJ2358" s="355">
        <v>3</v>
      </c>
      <c r="AK2358" s="354">
        <v>10886</v>
      </c>
      <c r="AL2358" s="355">
        <v>10470</v>
      </c>
      <c r="AM2358" s="355" t="s">
        <v>690</v>
      </c>
      <c r="AN2358" s="357" t="s">
        <v>276</v>
      </c>
      <c r="AO2358" s="356">
        <f t="shared" si="625"/>
        <v>0.275583318023149</v>
      </c>
      <c r="AP2358" s="357" t="s">
        <v>276</v>
      </c>
      <c r="AQ2358" s="357" t="s">
        <v>276</v>
      </c>
      <c r="AR2358" s="357" t="s">
        <v>276</v>
      </c>
      <c r="AS2358" s="356">
        <f t="shared" si="626"/>
        <v>0.28653295128939826</v>
      </c>
      <c r="AT2358" s="357" t="s">
        <v>276</v>
      </c>
      <c r="AU2358" s="357" t="s">
        <v>276</v>
      </c>
      <c r="AV2358" s="357" t="s">
        <v>268</v>
      </c>
      <c r="AW2358" s="357" t="s">
        <v>276</v>
      </c>
      <c r="AX2358" s="369">
        <f t="shared" si="627"/>
        <v>0.96178577990079006</v>
      </c>
      <c r="AY2358" s="357" t="s">
        <v>276</v>
      </c>
      <c r="AZ2358" s="357" t="s">
        <v>276</v>
      </c>
      <c r="BA2358" s="357" t="s">
        <v>276</v>
      </c>
      <c r="BB2358" s="357" t="s">
        <v>282</v>
      </c>
      <c r="BC2358" s="357" t="s">
        <v>98</v>
      </c>
      <c r="BD2358" s="357" t="s">
        <v>98</v>
      </c>
      <c r="BE2358" s="357" t="s">
        <v>98</v>
      </c>
      <c r="BF2358" s="351" t="s">
        <v>5862</v>
      </c>
      <c r="BG2358" s="351"/>
      <c r="BH2358" s="9" t="s">
        <v>100</v>
      </c>
      <c r="BI2358" s="9" t="s">
        <v>100</v>
      </c>
      <c r="BJ2358" s="373"/>
      <c r="BN2358" s="373"/>
      <c r="BO2358" s="373"/>
    </row>
    <row r="2359" spans="1:67" s="374" customFormat="1" ht="65" hidden="1" x14ac:dyDescent="0.35">
      <c r="A2359" s="357">
        <v>10548</v>
      </c>
      <c r="B2359" s="357" t="s">
        <v>5029</v>
      </c>
      <c r="C2359" s="357" t="s">
        <v>88</v>
      </c>
      <c r="D2359" s="351" t="s">
        <v>5912</v>
      </c>
      <c r="E2359" s="357" t="s">
        <v>43</v>
      </c>
      <c r="F2359" s="351" t="s">
        <v>4987</v>
      </c>
      <c r="G2359" s="357" t="s">
        <v>225</v>
      </c>
      <c r="H2359" s="357" t="s">
        <v>125</v>
      </c>
      <c r="I2359" s="357" t="s">
        <v>114</v>
      </c>
      <c r="J2359" s="351" t="s">
        <v>33</v>
      </c>
      <c r="K2359" s="357" t="s">
        <v>5837</v>
      </c>
      <c r="L2359" s="351" t="s">
        <v>5859</v>
      </c>
      <c r="M2359" s="351" t="s">
        <v>5838</v>
      </c>
      <c r="N2359" s="351" t="s">
        <v>5613</v>
      </c>
      <c r="O2359" s="357" t="s">
        <v>276</v>
      </c>
      <c r="P2359" s="351" t="s">
        <v>239</v>
      </c>
      <c r="Q2359" s="383" t="s">
        <v>5034</v>
      </c>
      <c r="R2359" s="351" t="s">
        <v>98</v>
      </c>
      <c r="S2359" s="380" t="s">
        <v>5913</v>
      </c>
      <c r="T2359" s="380" t="s">
        <v>5913</v>
      </c>
      <c r="U2359" s="351" t="s">
        <v>276</v>
      </c>
      <c r="V2359" s="357" t="s">
        <v>15</v>
      </c>
      <c r="W2359" s="351" t="s">
        <v>5640</v>
      </c>
      <c r="X2359" s="351" t="s">
        <v>207</v>
      </c>
      <c r="Y2359" s="354">
        <v>112569</v>
      </c>
      <c r="Z2359" s="355">
        <v>128688</v>
      </c>
      <c r="AA2359" s="351" t="s">
        <v>276</v>
      </c>
      <c r="AB2359" s="351" t="s">
        <v>276</v>
      </c>
      <c r="AC2359" s="357">
        <v>671</v>
      </c>
      <c r="AD2359" s="357" t="s">
        <v>5841</v>
      </c>
      <c r="AE2359" s="357">
        <v>693</v>
      </c>
      <c r="AF2359" s="357" t="s">
        <v>5841</v>
      </c>
      <c r="AG2359" s="351" t="s">
        <v>5861</v>
      </c>
      <c r="AH2359" s="351" t="s">
        <v>5843</v>
      </c>
      <c r="AI2359" s="355">
        <v>545</v>
      </c>
      <c r="AJ2359" s="355">
        <v>566</v>
      </c>
      <c r="AK2359" s="354">
        <v>112569</v>
      </c>
      <c r="AL2359" s="355">
        <v>128688</v>
      </c>
      <c r="AM2359" s="355" t="s">
        <v>690</v>
      </c>
      <c r="AN2359" s="357" t="s">
        <v>276</v>
      </c>
      <c r="AO2359" s="356">
        <f t="shared" si="625"/>
        <v>4.8414750064404943</v>
      </c>
      <c r="AP2359" s="357" t="s">
        <v>276</v>
      </c>
      <c r="AQ2359" s="357" t="s">
        <v>276</v>
      </c>
      <c r="AR2359" s="357" t="s">
        <v>276</v>
      </c>
      <c r="AS2359" s="356">
        <f t="shared" si="626"/>
        <v>4.3982344896183019</v>
      </c>
      <c r="AT2359" s="357" t="s">
        <v>276</v>
      </c>
      <c r="AU2359" s="357" t="s">
        <v>276</v>
      </c>
      <c r="AV2359" s="357" t="s">
        <v>268</v>
      </c>
      <c r="AW2359" s="357" t="s">
        <v>276</v>
      </c>
      <c r="AX2359" s="369">
        <f t="shared" si="627"/>
        <v>1.1007769180721101</v>
      </c>
      <c r="AY2359" s="357" t="s">
        <v>276</v>
      </c>
      <c r="AZ2359" s="357" t="s">
        <v>276</v>
      </c>
      <c r="BA2359" s="357" t="s">
        <v>276</v>
      </c>
      <c r="BB2359" s="357" t="s">
        <v>282</v>
      </c>
      <c r="BC2359" s="357" t="s">
        <v>98</v>
      </c>
      <c r="BD2359" s="357" t="s">
        <v>98</v>
      </c>
      <c r="BE2359" s="357" t="s">
        <v>98</v>
      </c>
      <c r="BF2359" s="351" t="s">
        <v>5862</v>
      </c>
      <c r="BG2359" s="351"/>
      <c r="BH2359" s="9" t="s">
        <v>100</v>
      </c>
      <c r="BI2359" s="9" t="s">
        <v>100</v>
      </c>
      <c r="BJ2359" s="373"/>
      <c r="BN2359" s="373"/>
      <c r="BO2359" s="373"/>
    </row>
    <row r="2360" spans="1:67" s="374" customFormat="1" ht="65" hidden="1" x14ac:dyDescent="0.35">
      <c r="A2360" s="357">
        <v>10548</v>
      </c>
      <c r="B2360" s="357" t="s">
        <v>5029</v>
      </c>
      <c r="C2360" s="357" t="s">
        <v>88</v>
      </c>
      <c r="D2360" s="351" t="s">
        <v>5914</v>
      </c>
      <c r="E2360" s="357" t="s">
        <v>43</v>
      </c>
      <c r="F2360" s="351" t="s">
        <v>4987</v>
      </c>
      <c r="G2360" s="357" t="s">
        <v>225</v>
      </c>
      <c r="H2360" s="357" t="s">
        <v>125</v>
      </c>
      <c r="I2360" s="357" t="s">
        <v>114</v>
      </c>
      <c r="J2360" s="351" t="s">
        <v>33</v>
      </c>
      <c r="K2360" s="357" t="s">
        <v>5846</v>
      </c>
      <c r="L2360" s="351" t="s">
        <v>5859</v>
      </c>
      <c r="M2360" s="351" t="s">
        <v>5838</v>
      </c>
      <c r="N2360" s="351" t="s">
        <v>5613</v>
      </c>
      <c r="O2360" s="357" t="s">
        <v>276</v>
      </c>
      <c r="P2360" s="351" t="s">
        <v>239</v>
      </c>
      <c r="Q2360" s="383" t="s">
        <v>5034</v>
      </c>
      <c r="R2360" s="351" t="s">
        <v>98</v>
      </c>
      <c r="S2360" s="380" t="s">
        <v>5913</v>
      </c>
      <c r="T2360" s="380" t="s">
        <v>5913</v>
      </c>
      <c r="U2360" s="351" t="s">
        <v>276</v>
      </c>
      <c r="V2360" s="357" t="s">
        <v>15</v>
      </c>
      <c r="W2360" s="351" t="s">
        <v>5640</v>
      </c>
      <c r="X2360" s="351" t="s">
        <v>207</v>
      </c>
      <c r="Y2360" s="354">
        <v>112569</v>
      </c>
      <c r="Z2360" s="355">
        <v>128688</v>
      </c>
      <c r="AA2360" s="351" t="s">
        <v>276</v>
      </c>
      <c r="AB2360" s="351" t="s">
        <v>276</v>
      </c>
      <c r="AC2360" s="357">
        <v>671</v>
      </c>
      <c r="AD2360" s="357" t="s">
        <v>5841</v>
      </c>
      <c r="AE2360" s="357">
        <v>693</v>
      </c>
      <c r="AF2360" s="357" t="s">
        <v>5841</v>
      </c>
      <c r="AG2360" s="351" t="s">
        <v>5864</v>
      </c>
      <c r="AH2360" s="351" t="s">
        <v>5843</v>
      </c>
      <c r="AI2360" s="355">
        <v>4175</v>
      </c>
      <c r="AJ2360" s="355">
        <v>2494</v>
      </c>
      <c r="AK2360" s="354">
        <v>112569</v>
      </c>
      <c r="AL2360" s="355">
        <v>128688</v>
      </c>
      <c r="AM2360" s="355" t="s">
        <v>690</v>
      </c>
      <c r="AN2360" s="357" t="s">
        <v>276</v>
      </c>
      <c r="AO2360" s="356">
        <f t="shared" si="625"/>
        <v>37.088363581447823</v>
      </c>
      <c r="AP2360" s="357" t="s">
        <v>276</v>
      </c>
      <c r="AQ2360" s="357" t="s">
        <v>276</v>
      </c>
      <c r="AR2360" s="357" t="s">
        <v>276</v>
      </c>
      <c r="AS2360" s="356">
        <f t="shared" si="626"/>
        <v>19.380206390650255</v>
      </c>
      <c r="AT2360" s="357" t="s">
        <v>276</v>
      </c>
      <c r="AU2360" s="357" t="s">
        <v>276</v>
      </c>
      <c r="AV2360" s="357" t="s">
        <v>268</v>
      </c>
      <c r="AW2360" s="357" t="s">
        <v>276</v>
      </c>
      <c r="AX2360" s="369">
        <f t="shared" si="627"/>
        <v>1.9137238703165025</v>
      </c>
      <c r="AY2360" s="357" t="s">
        <v>276</v>
      </c>
      <c r="AZ2360" s="357" t="s">
        <v>276</v>
      </c>
      <c r="BA2360" s="357" t="s">
        <v>276</v>
      </c>
      <c r="BB2360" s="357" t="s">
        <v>282</v>
      </c>
      <c r="BC2360" s="357" t="s">
        <v>98</v>
      </c>
      <c r="BD2360" s="357" t="s">
        <v>98</v>
      </c>
      <c r="BE2360" s="357" t="s">
        <v>98</v>
      </c>
      <c r="BF2360" s="351" t="s">
        <v>5862</v>
      </c>
      <c r="BG2360" s="351"/>
      <c r="BH2360" s="9" t="s">
        <v>100</v>
      </c>
      <c r="BI2360" s="9" t="s">
        <v>100</v>
      </c>
      <c r="BJ2360" s="373"/>
      <c r="BN2360" s="373"/>
      <c r="BO2360" s="373"/>
    </row>
    <row r="2361" spans="1:67" s="374" customFormat="1" ht="65" hidden="1" x14ac:dyDescent="0.35">
      <c r="A2361" s="357">
        <v>10548</v>
      </c>
      <c r="B2361" s="357" t="s">
        <v>5029</v>
      </c>
      <c r="C2361" s="357" t="s">
        <v>88</v>
      </c>
      <c r="D2361" s="351" t="s">
        <v>5915</v>
      </c>
      <c r="E2361" s="357" t="s">
        <v>43</v>
      </c>
      <c r="F2361" s="351" t="s">
        <v>4987</v>
      </c>
      <c r="G2361" s="357" t="s">
        <v>225</v>
      </c>
      <c r="H2361" s="357" t="s">
        <v>125</v>
      </c>
      <c r="I2361" s="357" t="s">
        <v>114</v>
      </c>
      <c r="J2361" s="351" t="s">
        <v>33</v>
      </c>
      <c r="K2361" s="357" t="s">
        <v>2739</v>
      </c>
      <c r="L2361" s="351" t="s">
        <v>5859</v>
      </c>
      <c r="M2361" s="351" t="s">
        <v>5838</v>
      </c>
      <c r="N2361" s="351" t="s">
        <v>5613</v>
      </c>
      <c r="O2361" s="357" t="s">
        <v>276</v>
      </c>
      <c r="P2361" s="351" t="s">
        <v>239</v>
      </c>
      <c r="Q2361" s="383" t="s">
        <v>5034</v>
      </c>
      <c r="R2361" s="351" t="s">
        <v>98</v>
      </c>
      <c r="S2361" s="380" t="s">
        <v>5913</v>
      </c>
      <c r="T2361" s="380" t="s">
        <v>5913</v>
      </c>
      <c r="U2361" s="351" t="s">
        <v>276</v>
      </c>
      <c r="V2361" s="357" t="s">
        <v>15</v>
      </c>
      <c r="W2361" s="351" t="s">
        <v>5640</v>
      </c>
      <c r="X2361" s="351" t="s">
        <v>207</v>
      </c>
      <c r="Y2361" s="354">
        <v>112569</v>
      </c>
      <c r="Z2361" s="355">
        <v>128688</v>
      </c>
      <c r="AA2361" s="351" t="s">
        <v>276</v>
      </c>
      <c r="AB2361" s="351" t="s">
        <v>276</v>
      </c>
      <c r="AC2361" s="357">
        <v>671</v>
      </c>
      <c r="AD2361" s="357" t="s">
        <v>5841</v>
      </c>
      <c r="AE2361" s="357">
        <v>693</v>
      </c>
      <c r="AF2361" s="357" t="s">
        <v>5841</v>
      </c>
      <c r="AG2361" s="351" t="s">
        <v>5866</v>
      </c>
      <c r="AH2361" s="351" t="s">
        <v>5843</v>
      </c>
      <c r="AI2361" s="355">
        <v>2202</v>
      </c>
      <c r="AJ2361" s="355">
        <v>1714</v>
      </c>
      <c r="AK2361" s="354">
        <v>112569</v>
      </c>
      <c r="AL2361" s="355">
        <v>128688</v>
      </c>
      <c r="AM2361" s="355" t="s">
        <v>690</v>
      </c>
      <c r="AN2361" s="357" t="s">
        <v>276</v>
      </c>
      <c r="AO2361" s="356">
        <f t="shared" si="625"/>
        <v>19.561335714095353</v>
      </c>
      <c r="AP2361" s="357" t="s">
        <v>276</v>
      </c>
      <c r="AQ2361" s="357" t="s">
        <v>276</v>
      </c>
      <c r="AR2361" s="357" t="s">
        <v>276</v>
      </c>
      <c r="AS2361" s="356">
        <f t="shared" si="626"/>
        <v>13.319035185875917</v>
      </c>
      <c r="AT2361" s="357" t="s">
        <v>276</v>
      </c>
      <c r="AU2361" s="357" t="s">
        <v>276</v>
      </c>
      <c r="AV2361" s="357" t="s">
        <v>268</v>
      </c>
      <c r="AW2361" s="357" t="s">
        <v>276</v>
      </c>
      <c r="AX2361" s="369">
        <f t="shared" si="627"/>
        <v>1.4686751285738056</v>
      </c>
      <c r="AY2361" s="357" t="s">
        <v>276</v>
      </c>
      <c r="AZ2361" s="357" t="s">
        <v>276</v>
      </c>
      <c r="BA2361" s="357" t="s">
        <v>276</v>
      </c>
      <c r="BB2361" s="357" t="s">
        <v>282</v>
      </c>
      <c r="BC2361" s="357" t="s">
        <v>98</v>
      </c>
      <c r="BD2361" s="357" t="s">
        <v>98</v>
      </c>
      <c r="BE2361" s="357" t="s">
        <v>98</v>
      </c>
      <c r="BF2361" s="351" t="s">
        <v>5862</v>
      </c>
      <c r="BG2361" s="351"/>
      <c r="BH2361" s="9" t="s">
        <v>100</v>
      </c>
      <c r="BI2361" s="9" t="s">
        <v>100</v>
      </c>
      <c r="BJ2361" s="373"/>
      <c r="BN2361" s="373"/>
      <c r="BO2361" s="373"/>
    </row>
    <row r="2362" spans="1:67" s="374" customFormat="1" ht="65" hidden="1" x14ac:dyDescent="0.35">
      <c r="A2362" s="357">
        <v>10548</v>
      </c>
      <c r="B2362" s="357" t="s">
        <v>5029</v>
      </c>
      <c r="C2362" s="357" t="s">
        <v>88</v>
      </c>
      <c r="D2362" s="351" t="s">
        <v>5916</v>
      </c>
      <c r="E2362" s="357" t="s">
        <v>43</v>
      </c>
      <c r="F2362" s="351" t="s">
        <v>4987</v>
      </c>
      <c r="G2362" s="357" t="s">
        <v>225</v>
      </c>
      <c r="H2362" s="357" t="s">
        <v>125</v>
      </c>
      <c r="I2362" s="357" t="s">
        <v>114</v>
      </c>
      <c r="J2362" s="351" t="s">
        <v>33</v>
      </c>
      <c r="K2362" s="357" t="s">
        <v>2649</v>
      </c>
      <c r="L2362" s="351" t="s">
        <v>5859</v>
      </c>
      <c r="M2362" s="351" t="s">
        <v>5838</v>
      </c>
      <c r="N2362" s="351" t="s">
        <v>5613</v>
      </c>
      <c r="O2362" s="357" t="s">
        <v>276</v>
      </c>
      <c r="P2362" s="351" t="s">
        <v>239</v>
      </c>
      <c r="Q2362" s="383" t="s">
        <v>5034</v>
      </c>
      <c r="R2362" s="351" t="s">
        <v>98</v>
      </c>
      <c r="S2362" s="380" t="s">
        <v>5913</v>
      </c>
      <c r="T2362" s="380" t="s">
        <v>5913</v>
      </c>
      <c r="U2362" s="351" t="s">
        <v>276</v>
      </c>
      <c r="V2362" s="357" t="s">
        <v>15</v>
      </c>
      <c r="W2362" s="351" t="s">
        <v>5640</v>
      </c>
      <c r="X2362" s="351" t="s">
        <v>207</v>
      </c>
      <c r="Y2362" s="354">
        <v>112569</v>
      </c>
      <c r="Z2362" s="355">
        <v>128688</v>
      </c>
      <c r="AA2362" s="351" t="s">
        <v>276</v>
      </c>
      <c r="AB2362" s="351" t="s">
        <v>276</v>
      </c>
      <c r="AC2362" s="357">
        <v>671</v>
      </c>
      <c r="AD2362" s="357" t="s">
        <v>5841</v>
      </c>
      <c r="AE2362" s="357">
        <v>693</v>
      </c>
      <c r="AF2362" s="357" t="s">
        <v>5841</v>
      </c>
      <c r="AG2362" s="351" t="s">
        <v>5868</v>
      </c>
      <c r="AH2362" s="351" t="s">
        <v>5843</v>
      </c>
      <c r="AI2362" s="355">
        <v>661</v>
      </c>
      <c r="AJ2362" s="355">
        <v>942</v>
      </c>
      <c r="AK2362" s="354">
        <v>112569</v>
      </c>
      <c r="AL2362" s="355">
        <v>128688</v>
      </c>
      <c r="AM2362" s="355" t="s">
        <v>690</v>
      </c>
      <c r="AN2362" s="357" t="s">
        <v>276</v>
      </c>
      <c r="AO2362" s="356">
        <f t="shared" si="625"/>
        <v>5.8719540903801226</v>
      </c>
      <c r="AP2362" s="357" t="s">
        <v>276</v>
      </c>
      <c r="AQ2362" s="357" t="s">
        <v>276</v>
      </c>
      <c r="AR2362" s="357" t="s">
        <v>276</v>
      </c>
      <c r="AS2362" s="356">
        <f t="shared" si="626"/>
        <v>7.3200298396120846</v>
      </c>
      <c r="AT2362" s="357" t="s">
        <v>276</v>
      </c>
      <c r="AU2362" s="357" t="s">
        <v>276</v>
      </c>
      <c r="AV2362" s="357" t="s">
        <v>268</v>
      </c>
      <c r="AW2362" s="357" t="s">
        <v>276</v>
      </c>
      <c r="AX2362" s="369">
        <f t="shared" si="627"/>
        <v>0.80217625051256614</v>
      </c>
      <c r="AY2362" s="357" t="s">
        <v>276</v>
      </c>
      <c r="AZ2362" s="357" t="s">
        <v>276</v>
      </c>
      <c r="BA2362" s="357" t="s">
        <v>276</v>
      </c>
      <c r="BB2362" s="357" t="s">
        <v>282</v>
      </c>
      <c r="BC2362" s="357" t="s">
        <v>98</v>
      </c>
      <c r="BD2362" s="357" t="s">
        <v>98</v>
      </c>
      <c r="BE2362" s="357" t="s">
        <v>98</v>
      </c>
      <c r="BF2362" s="351" t="s">
        <v>5862</v>
      </c>
      <c r="BG2362" s="351"/>
      <c r="BH2362" s="9" t="s">
        <v>100</v>
      </c>
      <c r="BI2362" s="9" t="s">
        <v>100</v>
      </c>
      <c r="BJ2362" s="373"/>
      <c r="BN2362" s="373"/>
      <c r="BO2362" s="373"/>
    </row>
    <row r="2363" spans="1:67" s="374" customFormat="1" ht="65" hidden="1" x14ac:dyDescent="0.35">
      <c r="A2363" s="357">
        <v>10548</v>
      </c>
      <c r="B2363" s="357" t="s">
        <v>5029</v>
      </c>
      <c r="C2363" s="357" t="s">
        <v>88</v>
      </c>
      <c r="D2363" s="351" t="s">
        <v>5917</v>
      </c>
      <c r="E2363" s="357" t="s">
        <v>43</v>
      </c>
      <c r="F2363" s="351" t="s">
        <v>4987</v>
      </c>
      <c r="G2363" s="357" t="s">
        <v>225</v>
      </c>
      <c r="H2363" s="357" t="s">
        <v>125</v>
      </c>
      <c r="I2363" s="357" t="s">
        <v>114</v>
      </c>
      <c r="J2363" s="351" t="s">
        <v>33</v>
      </c>
      <c r="K2363" s="357" t="s">
        <v>1108</v>
      </c>
      <c r="L2363" s="351" t="s">
        <v>5859</v>
      </c>
      <c r="M2363" s="351" t="s">
        <v>5838</v>
      </c>
      <c r="N2363" s="351" t="s">
        <v>5613</v>
      </c>
      <c r="O2363" s="357" t="s">
        <v>276</v>
      </c>
      <c r="P2363" s="351" t="s">
        <v>239</v>
      </c>
      <c r="Q2363" s="383" t="s">
        <v>5034</v>
      </c>
      <c r="R2363" s="351" t="s">
        <v>98</v>
      </c>
      <c r="S2363" s="380" t="s">
        <v>5913</v>
      </c>
      <c r="T2363" s="380" t="s">
        <v>5913</v>
      </c>
      <c r="U2363" s="351" t="s">
        <v>276</v>
      </c>
      <c r="V2363" s="357" t="s">
        <v>15</v>
      </c>
      <c r="W2363" s="351" t="s">
        <v>5640</v>
      </c>
      <c r="X2363" s="351" t="s">
        <v>207</v>
      </c>
      <c r="Y2363" s="354">
        <v>112569</v>
      </c>
      <c r="Z2363" s="355">
        <v>128688</v>
      </c>
      <c r="AA2363" s="351" t="s">
        <v>276</v>
      </c>
      <c r="AB2363" s="351" t="s">
        <v>276</v>
      </c>
      <c r="AC2363" s="357">
        <v>671</v>
      </c>
      <c r="AD2363" s="357" t="s">
        <v>5841</v>
      </c>
      <c r="AE2363" s="357">
        <v>693</v>
      </c>
      <c r="AF2363" s="357" t="s">
        <v>5841</v>
      </c>
      <c r="AG2363" s="351" t="s">
        <v>5870</v>
      </c>
      <c r="AH2363" s="351" t="s">
        <v>5843</v>
      </c>
      <c r="AI2363" s="355">
        <v>91</v>
      </c>
      <c r="AJ2363" s="355">
        <v>212</v>
      </c>
      <c r="AK2363" s="354">
        <v>112569</v>
      </c>
      <c r="AL2363" s="355">
        <v>128688</v>
      </c>
      <c r="AM2363" s="355" t="s">
        <v>690</v>
      </c>
      <c r="AN2363" s="357" t="s">
        <v>276</v>
      </c>
      <c r="AO2363" s="356">
        <f t="shared" si="625"/>
        <v>0.80839307446988073</v>
      </c>
      <c r="AP2363" s="357" t="s">
        <v>276</v>
      </c>
      <c r="AQ2363" s="357" t="s">
        <v>276</v>
      </c>
      <c r="AR2363" s="357" t="s">
        <v>276</v>
      </c>
      <c r="AS2363" s="356">
        <f t="shared" si="626"/>
        <v>1.6473952505284097</v>
      </c>
      <c r="AT2363" s="357" t="s">
        <v>276</v>
      </c>
      <c r="AU2363" s="357" t="s">
        <v>276</v>
      </c>
      <c r="AV2363" s="357" t="s">
        <v>268</v>
      </c>
      <c r="AW2363" s="357" t="s">
        <v>276</v>
      </c>
      <c r="AX2363" s="369">
        <f t="shared" si="627"/>
        <v>0.49070984890273595</v>
      </c>
      <c r="AY2363" s="357" t="s">
        <v>276</v>
      </c>
      <c r="AZ2363" s="357" t="s">
        <v>276</v>
      </c>
      <c r="BA2363" s="357" t="s">
        <v>276</v>
      </c>
      <c r="BB2363" s="357" t="s">
        <v>282</v>
      </c>
      <c r="BC2363" s="357" t="s">
        <v>98</v>
      </c>
      <c r="BD2363" s="357" t="s">
        <v>98</v>
      </c>
      <c r="BE2363" s="357" t="s">
        <v>98</v>
      </c>
      <c r="BF2363" s="351" t="s">
        <v>5862</v>
      </c>
      <c r="BG2363" s="351"/>
      <c r="BH2363" s="9" t="s">
        <v>100</v>
      </c>
      <c r="BI2363" s="9" t="s">
        <v>100</v>
      </c>
      <c r="BJ2363" s="373"/>
      <c r="BN2363" s="373"/>
      <c r="BO2363" s="373"/>
    </row>
    <row r="2364" spans="1:67" s="374" customFormat="1" ht="65" hidden="1" x14ac:dyDescent="0.35">
      <c r="A2364" s="357">
        <v>10548</v>
      </c>
      <c r="B2364" s="357" t="s">
        <v>5029</v>
      </c>
      <c r="C2364" s="357" t="s">
        <v>88</v>
      </c>
      <c r="D2364" s="351" t="s">
        <v>5918</v>
      </c>
      <c r="E2364" s="357" t="s">
        <v>43</v>
      </c>
      <c r="F2364" s="351" t="s">
        <v>4987</v>
      </c>
      <c r="G2364" s="357" t="s">
        <v>225</v>
      </c>
      <c r="H2364" s="357" t="s">
        <v>125</v>
      </c>
      <c r="I2364" s="357" t="s">
        <v>114</v>
      </c>
      <c r="J2364" s="351" t="s">
        <v>30</v>
      </c>
      <c r="K2364" s="351" t="s">
        <v>5919</v>
      </c>
      <c r="L2364" s="351" t="s">
        <v>5859</v>
      </c>
      <c r="M2364" s="351" t="s">
        <v>5838</v>
      </c>
      <c r="N2364" s="351" t="s">
        <v>5613</v>
      </c>
      <c r="O2364" s="351" t="s">
        <v>276</v>
      </c>
      <c r="P2364" s="351" t="s">
        <v>239</v>
      </c>
      <c r="Q2364" s="383" t="s">
        <v>5034</v>
      </c>
      <c r="R2364" s="351" t="s">
        <v>98</v>
      </c>
      <c r="S2364" s="380" t="s">
        <v>5913</v>
      </c>
      <c r="T2364" s="380" t="s">
        <v>5913</v>
      </c>
      <c r="U2364" s="351" t="s">
        <v>276</v>
      </c>
      <c r="V2364" s="357" t="s">
        <v>15</v>
      </c>
      <c r="W2364" s="351" t="s">
        <v>5640</v>
      </c>
      <c r="X2364" s="351" t="s">
        <v>207</v>
      </c>
      <c r="Y2364" s="354">
        <v>112569</v>
      </c>
      <c r="Z2364" s="355">
        <v>128688</v>
      </c>
      <c r="AA2364" s="351" t="s">
        <v>276</v>
      </c>
      <c r="AB2364" s="351" t="s">
        <v>276</v>
      </c>
      <c r="AC2364" s="357">
        <v>1125</v>
      </c>
      <c r="AD2364" s="351" t="s">
        <v>5920</v>
      </c>
      <c r="AE2364" s="357">
        <v>1163</v>
      </c>
      <c r="AF2364" s="351" t="s">
        <v>5920</v>
      </c>
      <c r="AG2364" s="351" t="s">
        <v>5921</v>
      </c>
      <c r="AH2364" s="351" t="s">
        <v>5843</v>
      </c>
      <c r="AI2364" s="355">
        <v>4656</v>
      </c>
      <c r="AJ2364" s="355">
        <v>2596</v>
      </c>
      <c r="AK2364" s="354">
        <v>112569</v>
      </c>
      <c r="AL2364" s="355">
        <v>128688</v>
      </c>
      <c r="AM2364" s="355" t="s">
        <v>690</v>
      </c>
      <c r="AN2364" s="357" t="s">
        <v>276</v>
      </c>
      <c r="AO2364" s="356">
        <f t="shared" si="625"/>
        <v>41.361298403645762</v>
      </c>
      <c r="AP2364" s="357" t="s">
        <v>276</v>
      </c>
      <c r="AQ2364" s="357" t="s">
        <v>276</v>
      </c>
      <c r="AR2364" s="357" t="s">
        <v>276</v>
      </c>
      <c r="AS2364" s="356">
        <f t="shared" si="626"/>
        <v>20.172821086659205</v>
      </c>
      <c r="AT2364" s="357" t="s">
        <v>276</v>
      </c>
      <c r="AU2364" s="357" t="s">
        <v>276</v>
      </c>
      <c r="AV2364" s="357" t="s">
        <v>268</v>
      </c>
      <c r="AW2364" s="357" t="s">
        <v>276</v>
      </c>
      <c r="AX2364" s="369">
        <f t="shared" si="627"/>
        <v>2.0503477538398944</v>
      </c>
      <c r="AY2364" s="357" t="s">
        <v>276</v>
      </c>
      <c r="AZ2364" s="357" t="s">
        <v>276</v>
      </c>
      <c r="BA2364" s="357" t="s">
        <v>276</v>
      </c>
      <c r="BB2364" s="357" t="s">
        <v>282</v>
      </c>
      <c r="BC2364" s="357" t="s">
        <v>98</v>
      </c>
      <c r="BD2364" s="357" t="s">
        <v>98</v>
      </c>
      <c r="BE2364" s="357" t="s">
        <v>98</v>
      </c>
      <c r="BF2364" s="351" t="s">
        <v>5922</v>
      </c>
      <c r="BG2364" s="351"/>
      <c r="BH2364" s="9" t="s">
        <v>100</v>
      </c>
      <c r="BI2364" s="9" t="s">
        <v>100</v>
      </c>
      <c r="BJ2364" s="373"/>
      <c r="BN2364" s="373"/>
      <c r="BO2364" s="373"/>
    </row>
    <row r="2365" spans="1:67" s="374" customFormat="1" ht="78" hidden="1" x14ac:dyDescent="0.35">
      <c r="A2365" s="357">
        <v>10548</v>
      </c>
      <c r="B2365" s="357" t="s">
        <v>5029</v>
      </c>
      <c r="C2365" s="357" t="s">
        <v>88</v>
      </c>
      <c r="D2365" s="351" t="s">
        <v>5923</v>
      </c>
      <c r="E2365" s="357" t="s">
        <v>43</v>
      </c>
      <c r="F2365" s="351" t="s">
        <v>4987</v>
      </c>
      <c r="G2365" s="357" t="s">
        <v>225</v>
      </c>
      <c r="H2365" s="357" t="s">
        <v>125</v>
      </c>
      <c r="I2365" s="357" t="s">
        <v>114</v>
      </c>
      <c r="J2365" s="351" t="s">
        <v>30</v>
      </c>
      <c r="K2365" s="351" t="s">
        <v>5924</v>
      </c>
      <c r="L2365" s="351" t="s">
        <v>5859</v>
      </c>
      <c r="M2365" s="351" t="s">
        <v>5838</v>
      </c>
      <c r="N2365" s="351" t="s">
        <v>5613</v>
      </c>
      <c r="O2365" s="351" t="s">
        <v>276</v>
      </c>
      <c r="P2365" s="351" t="s">
        <v>239</v>
      </c>
      <c r="Q2365" s="383" t="s">
        <v>5034</v>
      </c>
      <c r="R2365" s="351" t="s">
        <v>98</v>
      </c>
      <c r="S2365" s="380" t="s">
        <v>5913</v>
      </c>
      <c r="T2365" s="380" t="s">
        <v>5913</v>
      </c>
      <c r="U2365" s="351" t="s">
        <v>276</v>
      </c>
      <c r="V2365" s="357" t="s">
        <v>15</v>
      </c>
      <c r="W2365" s="351" t="s">
        <v>5640</v>
      </c>
      <c r="X2365" s="351" t="s">
        <v>207</v>
      </c>
      <c r="Y2365" s="354">
        <v>112569</v>
      </c>
      <c r="Z2365" s="355">
        <v>128688</v>
      </c>
      <c r="AA2365" s="351" t="s">
        <v>276</v>
      </c>
      <c r="AB2365" s="351" t="s">
        <v>276</v>
      </c>
      <c r="AC2365" s="357">
        <v>1125</v>
      </c>
      <c r="AD2365" s="351" t="s">
        <v>5920</v>
      </c>
      <c r="AE2365" s="357">
        <v>1163</v>
      </c>
      <c r="AF2365" s="351" t="s">
        <v>5920</v>
      </c>
      <c r="AG2365" s="351" t="s">
        <v>5925</v>
      </c>
      <c r="AH2365" s="351" t="s">
        <v>5843</v>
      </c>
      <c r="AI2365" s="355">
        <v>1754</v>
      </c>
      <c r="AJ2365" s="355">
        <v>1682</v>
      </c>
      <c r="AK2365" s="354">
        <v>112569</v>
      </c>
      <c r="AL2365" s="355">
        <v>128688</v>
      </c>
      <c r="AM2365" s="355" t="s">
        <v>690</v>
      </c>
      <c r="AN2365" s="357" t="s">
        <v>276</v>
      </c>
      <c r="AO2365" s="356">
        <f t="shared" si="625"/>
        <v>15.581554424397481</v>
      </c>
      <c r="AP2365" s="357" t="s">
        <v>276</v>
      </c>
      <c r="AQ2365" s="357" t="s">
        <v>276</v>
      </c>
      <c r="AR2365" s="357" t="s">
        <v>276</v>
      </c>
      <c r="AS2365" s="356">
        <f t="shared" si="626"/>
        <v>13.070371751833893</v>
      </c>
      <c r="AT2365" s="357" t="s">
        <v>276</v>
      </c>
      <c r="AU2365" s="357" t="s">
        <v>276</v>
      </c>
      <c r="AV2365" s="357" t="s">
        <v>268</v>
      </c>
      <c r="AW2365" s="357" t="s">
        <v>276</v>
      </c>
      <c r="AX2365" s="369">
        <f t="shared" si="627"/>
        <v>1.1921278690647223</v>
      </c>
      <c r="AY2365" s="357" t="s">
        <v>276</v>
      </c>
      <c r="AZ2365" s="357" t="s">
        <v>276</v>
      </c>
      <c r="BA2365" s="357" t="s">
        <v>276</v>
      </c>
      <c r="BB2365" s="357" t="s">
        <v>282</v>
      </c>
      <c r="BC2365" s="357" t="s">
        <v>98</v>
      </c>
      <c r="BD2365" s="357" t="s">
        <v>98</v>
      </c>
      <c r="BE2365" s="357" t="s">
        <v>98</v>
      </c>
      <c r="BF2365" s="351" t="s">
        <v>5922</v>
      </c>
      <c r="BG2365" s="351"/>
      <c r="BH2365" s="9" t="s">
        <v>100</v>
      </c>
      <c r="BI2365" s="9" t="s">
        <v>100</v>
      </c>
      <c r="BJ2365" s="373"/>
      <c r="BN2365" s="373"/>
      <c r="BO2365" s="373"/>
    </row>
    <row r="2366" spans="1:67" s="374" customFormat="1" ht="65" hidden="1" x14ac:dyDescent="0.35">
      <c r="A2366" s="357">
        <v>10548</v>
      </c>
      <c r="B2366" s="357" t="s">
        <v>5029</v>
      </c>
      <c r="C2366" s="357" t="s">
        <v>88</v>
      </c>
      <c r="D2366" s="351" t="s">
        <v>5926</v>
      </c>
      <c r="E2366" s="357" t="s">
        <v>43</v>
      </c>
      <c r="F2366" s="351" t="s">
        <v>4987</v>
      </c>
      <c r="G2366" s="357" t="s">
        <v>225</v>
      </c>
      <c r="H2366" s="357" t="s">
        <v>125</v>
      </c>
      <c r="I2366" s="357" t="s">
        <v>114</v>
      </c>
      <c r="J2366" s="351" t="s">
        <v>30</v>
      </c>
      <c r="K2366" s="351" t="s">
        <v>5927</v>
      </c>
      <c r="L2366" s="351" t="s">
        <v>5859</v>
      </c>
      <c r="M2366" s="351" t="s">
        <v>5838</v>
      </c>
      <c r="N2366" s="351" t="s">
        <v>5613</v>
      </c>
      <c r="O2366" s="351" t="s">
        <v>276</v>
      </c>
      <c r="P2366" s="351" t="s">
        <v>239</v>
      </c>
      <c r="Q2366" s="383" t="s">
        <v>5034</v>
      </c>
      <c r="R2366" s="351" t="s">
        <v>98</v>
      </c>
      <c r="S2366" s="380" t="s">
        <v>5913</v>
      </c>
      <c r="T2366" s="380" t="s">
        <v>5913</v>
      </c>
      <c r="U2366" s="351" t="s">
        <v>276</v>
      </c>
      <c r="V2366" s="357" t="s">
        <v>15</v>
      </c>
      <c r="W2366" s="351" t="s">
        <v>5640</v>
      </c>
      <c r="X2366" s="351" t="s">
        <v>207</v>
      </c>
      <c r="Y2366" s="354">
        <v>112569</v>
      </c>
      <c r="Z2366" s="355">
        <v>128688</v>
      </c>
      <c r="AA2366" s="351" t="s">
        <v>276</v>
      </c>
      <c r="AB2366" s="351" t="s">
        <v>276</v>
      </c>
      <c r="AC2366" s="357">
        <v>1125</v>
      </c>
      <c r="AD2366" s="351" t="s">
        <v>5920</v>
      </c>
      <c r="AE2366" s="357">
        <v>1163</v>
      </c>
      <c r="AF2366" s="351" t="s">
        <v>5920</v>
      </c>
      <c r="AG2366" s="351" t="s">
        <v>5928</v>
      </c>
      <c r="AH2366" s="351" t="s">
        <v>5843</v>
      </c>
      <c r="AI2366" s="355">
        <v>588</v>
      </c>
      <c r="AJ2366" s="355">
        <v>718</v>
      </c>
      <c r="AK2366" s="354">
        <v>112569</v>
      </c>
      <c r="AL2366" s="355">
        <v>128688</v>
      </c>
      <c r="AM2366" s="355" t="s">
        <v>690</v>
      </c>
      <c r="AN2366" s="357" t="s">
        <v>276</v>
      </c>
      <c r="AO2366" s="356">
        <f t="shared" si="625"/>
        <v>5.2234629427284602</v>
      </c>
      <c r="AP2366" s="357" t="s">
        <v>276</v>
      </c>
      <c r="AQ2366" s="357" t="s">
        <v>276</v>
      </c>
      <c r="AR2366" s="357" t="s">
        <v>276</v>
      </c>
      <c r="AS2366" s="356">
        <f t="shared" si="626"/>
        <v>5.5793858013179163</v>
      </c>
      <c r="AT2366" s="357" t="s">
        <v>276</v>
      </c>
      <c r="AU2366" s="357" t="s">
        <v>276</v>
      </c>
      <c r="AV2366" s="357" t="s">
        <v>268</v>
      </c>
      <c r="AW2366" s="357" t="s">
        <v>276</v>
      </c>
      <c r="AX2366" s="369">
        <f t="shared" si="627"/>
        <v>0.93620751974072436</v>
      </c>
      <c r="AY2366" s="357" t="s">
        <v>276</v>
      </c>
      <c r="AZ2366" s="357" t="s">
        <v>276</v>
      </c>
      <c r="BA2366" s="357" t="s">
        <v>276</v>
      </c>
      <c r="BB2366" s="357" t="s">
        <v>282</v>
      </c>
      <c r="BC2366" s="357" t="s">
        <v>98</v>
      </c>
      <c r="BD2366" s="357" t="s">
        <v>98</v>
      </c>
      <c r="BE2366" s="357" t="s">
        <v>98</v>
      </c>
      <c r="BF2366" s="351" t="s">
        <v>5922</v>
      </c>
      <c r="BG2366" s="351"/>
      <c r="BH2366" s="9" t="s">
        <v>100</v>
      </c>
      <c r="BI2366" s="9" t="s">
        <v>100</v>
      </c>
      <c r="BJ2366" s="373"/>
      <c r="BN2366" s="373"/>
      <c r="BO2366" s="373"/>
    </row>
    <row r="2367" spans="1:67" s="374" customFormat="1" ht="104" hidden="1" x14ac:dyDescent="0.35">
      <c r="A2367" s="357">
        <v>10548</v>
      </c>
      <c r="B2367" s="357" t="s">
        <v>5029</v>
      </c>
      <c r="C2367" s="357" t="s">
        <v>88</v>
      </c>
      <c r="D2367" s="351" t="s">
        <v>5929</v>
      </c>
      <c r="E2367" s="357" t="s">
        <v>43</v>
      </c>
      <c r="F2367" s="351" t="s">
        <v>4987</v>
      </c>
      <c r="G2367" s="357" t="s">
        <v>225</v>
      </c>
      <c r="H2367" s="357" t="s">
        <v>125</v>
      </c>
      <c r="I2367" s="357" t="s">
        <v>114</v>
      </c>
      <c r="J2367" s="351" t="s">
        <v>1116</v>
      </c>
      <c r="K2367" s="351" t="s">
        <v>5930</v>
      </c>
      <c r="L2367" s="351" t="s">
        <v>5859</v>
      </c>
      <c r="M2367" s="351" t="s">
        <v>5838</v>
      </c>
      <c r="N2367" s="351" t="s">
        <v>5613</v>
      </c>
      <c r="O2367" s="351" t="s">
        <v>276</v>
      </c>
      <c r="P2367" s="351" t="s">
        <v>239</v>
      </c>
      <c r="Q2367" s="383" t="s">
        <v>5034</v>
      </c>
      <c r="R2367" s="351" t="s">
        <v>98</v>
      </c>
      <c r="S2367" s="380" t="s">
        <v>5913</v>
      </c>
      <c r="T2367" s="380" t="s">
        <v>5913</v>
      </c>
      <c r="U2367" s="351" t="s">
        <v>276</v>
      </c>
      <c r="V2367" s="357" t="s">
        <v>15</v>
      </c>
      <c r="W2367" s="351" t="s">
        <v>5640</v>
      </c>
      <c r="X2367" s="351" t="s">
        <v>207</v>
      </c>
      <c r="Y2367" s="354">
        <v>112569</v>
      </c>
      <c r="Z2367" s="355">
        <v>128688</v>
      </c>
      <c r="AA2367" s="351" t="s">
        <v>276</v>
      </c>
      <c r="AB2367" s="351" t="s">
        <v>276</v>
      </c>
      <c r="AC2367" s="357">
        <v>1125</v>
      </c>
      <c r="AD2367" s="351" t="s">
        <v>5920</v>
      </c>
      <c r="AE2367" s="357">
        <v>1163</v>
      </c>
      <c r="AF2367" s="351" t="s">
        <v>5920</v>
      </c>
      <c r="AG2367" s="351" t="s">
        <v>5931</v>
      </c>
      <c r="AH2367" s="351" t="s">
        <v>5843</v>
      </c>
      <c r="AI2367" s="355">
        <v>222</v>
      </c>
      <c r="AJ2367" s="355">
        <v>462</v>
      </c>
      <c r="AK2367" s="354">
        <v>112569</v>
      </c>
      <c r="AL2367" s="355">
        <v>128688</v>
      </c>
      <c r="AM2367" s="355" t="s">
        <v>690</v>
      </c>
      <c r="AN2367" s="357" t="s">
        <v>276</v>
      </c>
      <c r="AO2367" s="356">
        <f t="shared" si="625"/>
        <v>1.9721237640913574</v>
      </c>
      <c r="AP2367" s="357" t="s">
        <v>276</v>
      </c>
      <c r="AQ2367" s="357" t="s">
        <v>276</v>
      </c>
      <c r="AR2367" s="357" t="s">
        <v>276</v>
      </c>
      <c r="AS2367" s="356">
        <f t="shared" si="626"/>
        <v>3.5900783289817233</v>
      </c>
      <c r="AT2367" s="357" t="s">
        <v>276</v>
      </c>
      <c r="AU2367" s="357" t="s">
        <v>276</v>
      </c>
      <c r="AV2367" s="357" t="s">
        <v>268</v>
      </c>
      <c r="AW2367" s="357" t="s">
        <v>276</v>
      </c>
      <c r="AX2367" s="369">
        <f t="shared" si="627"/>
        <v>0.54932611028871992</v>
      </c>
      <c r="AY2367" s="357" t="s">
        <v>276</v>
      </c>
      <c r="AZ2367" s="357" t="s">
        <v>276</v>
      </c>
      <c r="BA2367" s="357" t="s">
        <v>276</v>
      </c>
      <c r="BB2367" s="357" t="s">
        <v>282</v>
      </c>
      <c r="BC2367" s="357" t="s">
        <v>98</v>
      </c>
      <c r="BD2367" s="357" t="s">
        <v>98</v>
      </c>
      <c r="BE2367" s="357" t="s">
        <v>98</v>
      </c>
      <c r="BF2367" s="351" t="s">
        <v>5922</v>
      </c>
      <c r="BG2367" s="351"/>
      <c r="BH2367" s="9" t="s">
        <v>100</v>
      </c>
      <c r="BI2367" s="9" t="s">
        <v>100</v>
      </c>
      <c r="BJ2367" s="373"/>
      <c r="BN2367" s="373"/>
      <c r="BO2367" s="373"/>
    </row>
    <row r="2368" spans="1:67" s="374" customFormat="1" ht="65" hidden="1" x14ac:dyDescent="0.35">
      <c r="A2368" s="357">
        <v>10548</v>
      </c>
      <c r="B2368" s="357" t="s">
        <v>5029</v>
      </c>
      <c r="C2368" s="357" t="s">
        <v>88</v>
      </c>
      <c r="D2368" s="351" t="s">
        <v>5932</v>
      </c>
      <c r="E2368" s="357" t="s">
        <v>43</v>
      </c>
      <c r="F2368" s="351" t="s">
        <v>4987</v>
      </c>
      <c r="G2368" s="357" t="s">
        <v>225</v>
      </c>
      <c r="H2368" s="357" t="s">
        <v>125</v>
      </c>
      <c r="I2368" s="357" t="s">
        <v>114</v>
      </c>
      <c r="J2368" s="351" t="s">
        <v>33</v>
      </c>
      <c r="K2368" s="357" t="s">
        <v>5837</v>
      </c>
      <c r="L2368" s="351" t="s">
        <v>5859</v>
      </c>
      <c r="M2368" s="351" t="s">
        <v>5838</v>
      </c>
      <c r="N2368" s="351" t="s">
        <v>5613</v>
      </c>
      <c r="O2368" s="357" t="s">
        <v>276</v>
      </c>
      <c r="P2368" s="351" t="s">
        <v>239</v>
      </c>
      <c r="Q2368" s="383" t="s">
        <v>5034</v>
      </c>
      <c r="R2368" s="351" t="s">
        <v>98</v>
      </c>
      <c r="S2368" s="380" t="s">
        <v>5619</v>
      </c>
      <c r="T2368" s="380" t="s">
        <v>5619</v>
      </c>
      <c r="U2368" s="351" t="s">
        <v>276</v>
      </c>
      <c r="V2368" s="357" t="s">
        <v>259</v>
      </c>
      <c r="W2368" s="351" t="s">
        <v>5033</v>
      </c>
      <c r="X2368" s="351" t="s">
        <v>207</v>
      </c>
      <c r="Y2368" s="354">
        <v>72891</v>
      </c>
      <c r="Z2368" s="355">
        <v>89352</v>
      </c>
      <c r="AA2368" s="351" t="s">
        <v>276</v>
      </c>
      <c r="AB2368" s="351" t="s">
        <v>276</v>
      </c>
      <c r="AC2368" s="357">
        <v>302</v>
      </c>
      <c r="AD2368" s="357" t="s">
        <v>5841</v>
      </c>
      <c r="AE2368" s="357">
        <v>333</v>
      </c>
      <c r="AF2368" s="357" t="s">
        <v>5841</v>
      </c>
      <c r="AG2368" s="351" t="s">
        <v>5861</v>
      </c>
      <c r="AH2368" s="351" t="s">
        <v>5843</v>
      </c>
      <c r="AI2368" s="355">
        <v>314</v>
      </c>
      <c r="AJ2368" s="355">
        <v>380</v>
      </c>
      <c r="AK2368" s="354">
        <v>72891</v>
      </c>
      <c r="AL2368" s="355">
        <v>89352</v>
      </c>
      <c r="AM2368" s="355" t="s">
        <v>690</v>
      </c>
      <c r="AN2368" s="357" t="s">
        <v>276</v>
      </c>
      <c r="AO2368" s="356">
        <f t="shared" si="625"/>
        <v>4.3078020606110492</v>
      </c>
      <c r="AP2368" s="357" t="s">
        <v>276</v>
      </c>
      <c r="AQ2368" s="357" t="s">
        <v>276</v>
      </c>
      <c r="AR2368" s="357" t="s">
        <v>276</v>
      </c>
      <c r="AS2368" s="356">
        <f t="shared" si="626"/>
        <v>4.2528426895872506</v>
      </c>
      <c r="AT2368" s="357" t="s">
        <v>276</v>
      </c>
      <c r="AU2368" s="357" t="s">
        <v>276</v>
      </c>
      <c r="AV2368" s="357" t="s">
        <v>268</v>
      </c>
      <c r="AW2368" s="357" t="s">
        <v>276</v>
      </c>
      <c r="AX2368" s="369">
        <f t="shared" si="627"/>
        <v>1.0129229729466276</v>
      </c>
      <c r="AY2368" s="357" t="s">
        <v>276</v>
      </c>
      <c r="AZ2368" s="357" t="s">
        <v>276</v>
      </c>
      <c r="BA2368" s="357" t="s">
        <v>276</v>
      </c>
      <c r="BB2368" s="357" t="s">
        <v>282</v>
      </c>
      <c r="BC2368" s="357" t="s">
        <v>98</v>
      </c>
      <c r="BD2368" s="357" t="s">
        <v>98</v>
      </c>
      <c r="BE2368" s="357" t="s">
        <v>98</v>
      </c>
      <c r="BF2368" s="351" t="s">
        <v>5862</v>
      </c>
      <c r="BG2368" s="351"/>
      <c r="BH2368" s="9" t="s">
        <v>100</v>
      </c>
      <c r="BI2368" s="9" t="s">
        <v>100</v>
      </c>
      <c r="BJ2368" s="373"/>
      <c r="BN2368" s="373"/>
      <c r="BO2368" s="373"/>
    </row>
    <row r="2369" spans="1:67" s="374" customFormat="1" ht="65" hidden="1" x14ac:dyDescent="0.35">
      <c r="A2369" s="357">
        <v>10548</v>
      </c>
      <c r="B2369" s="357" t="s">
        <v>5029</v>
      </c>
      <c r="C2369" s="357" t="s">
        <v>88</v>
      </c>
      <c r="D2369" s="351" t="s">
        <v>5933</v>
      </c>
      <c r="E2369" s="357" t="s">
        <v>43</v>
      </c>
      <c r="F2369" s="351" t="s">
        <v>4987</v>
      </c>
      <c r="G2369" s="357" t="s">
        <v>225</v>
      </c>
      <c r="H2369" s="357" t="s">
        <v>125</v>
      </c>
      <c r="I2369" s="357" t="s">
        <v>114</v>
      </c>
      <c r="J2369" s="351" t="s">
        <v>33</v>
      </c>
      <c r="K2369" s="357" t="s">
        <v>5846</v>
      </c>
      <c r="L2369" s="351" t="s">
        <v>5859</v>
      </c>
      <c r="M2369" s="351" t="s">
        <v>5838</v>
      </c>
      <c r="N2369" s="351" t="s">
        <v>5613</v>
      </c>
      <c r="O2369" s="357" t="s">
        <v>276</v>
      </c>
      <c r="P2369" s="351" t="s">
        <v>239</v>
      </c>
      <c r="Q2369" s="383" t="s">
        <v>5034</v>
      </c>
      <c r="R2369" s="351" t="s">
        <v>98</v>
      </c>
      <c r="S2369" s="380" t="s">
        <v>5619</v>
      </c>
      <c r="T2369" s="380" t="s">
        <v>5619</v>
      </c>
      <c r="U2369" s="351" t="s">
        <v>276</v>
      </c>
      <c r="V2369" s="357" t="s">
        <v>259</v>
      </c>
      <c r="W2369" s="351" t="s">
        <v>5033</v>
      </c>
      <c r="X2369" s="351" t="s">
        <v>207</v>
      </c>
      <c r="Y2369" s="354">
        <v>72891</v>
      </c>
      <c r="Z2369" s="355">
        <v>89352</v>
      </c>
      <c r="AA2369" s="351" t="s">
        <v>276</v>
      </c>
      <c r="AB2369" s="351" t="s">
        <v>276</v>
      </c>
      <c r="AC2369" s="357">
        <v>302</v>
      </c>
      <c r="AD2369" s="357" t="s">
        <v>5841</v>
      </c>
      <c r="AE2369" s="357">
        <v>333</v>
      </c>
      <c r="AF2369" s="357" t="s">
        <v>5841</v>
      </c>
      <c r="AG2369" s="351" t="s">
        <v>5864</v>
      </c>
      <c r="AH2369" s="351" t="s">
        <v>5843</v>
      </c>
      <c r="AI2369" s="355">
        <v>3822</v>
      </c>
      <c r="AJ2369" s="355">
        <v>2233</v>
      </c>
      <c r="AK2369" s="354">
        <v>72891</v>
      </c>
      <c r="AL2369" s="355">
        <v>89352</v>
      </c>
      <c r="AM2369" s="355" t="s">
        <v>690</v>
      </c>
      <c r="AN2369" s="357" t="s">
        <v>276</v>
      </c>
      <c r="AO2369" s="356">
        <f t="shared" si="625"/>
        <v>52.434456928838948</v>
      </c>
      <c r="AP2369" s="357" t="s">
        <v>276</v>
      </c>
      <c r="AQ2369" s="357" t="s">
        <v>276</v>
      </c>
      <c r="AR2369" s="357" t="s">
        <v>276</v>
      </c>
      <c r="AS2369" s="356">
        <f t="shared" si="626"/>
        <v>24.991046646969291</v>
      </c>
      <c r="AT2369" s="357" t="s">
        <v>276</v>
      </c>
      <c r="AU2369" s="357" t="s">
        <v>276</v>
      </c>
      <c r="AV2369" s="357" t="s">
        <v>268</v>
      </c>
      <c r="AW2369" s="357" t="s">
        <v>276</v>
      </c>
      <c r="AX2369" s="369">
        <f t="shared" si="627"/>
        <v>2.0981296889859462</v>
      </c>
      <c r="AY2369" s="357" t="s">
        <v>276</v>
      </c>
      <c r="AZ2369" s="357" t="s">
        <v>276</v>
      </c>
      <c r="BA2369" s="357" t="s">
        <v>276</v>
      </c>
      <c r="BB2369" s="357" t="s">
        <v>282</v>
      </c>
      <c r="BC2369" s="357" t="s">
        <v>98</v>
      </c>
      <c r="BD2369" s="357" t="s">
        <v>98</v>
      </c>
      <c r="BE2369" s="357" t="s">
        <v>98</v>
      </c>
      <c r="BF2369" s="351" t="s">
        <v>5862</v>
      </c>
      <c r="BG2369" s="351"/>
      <c r="BH2369" s="9" t="s">
        <v>100</v>
      </c>
      <c r="BI2369" s="9" t="s">
        <v>100</v>
      </c>
      <c r="BJ2369" s="373"/>
      <c r="BN2369" s="373"/>
      <c r="BO2369" s="373"/>
    </row>
    <row r="2370" spans="1:67" s="374" customFormat="1" ht="65" hidden="1" x14ac:dyDescent="0.35">
      <c r="A2370" s="357">
        <v>10548</v>
      </c>
      <c r="B2370" s="357" t="s">
        <v>5029</v>
      </c>
      <c r="C2370" s="357" t="s">
        <v>88</v>
      </c>
      <c r="D2370" s="351" t="s">
        <v>5934</v>
      </c>
      <c r="E2370" s="357" t="s">
        <v>43</v>
      </c>
      <c r="F2370" s="351" t="s">
        <v>4987</v>
      </c>
      <c r="G2370" s="357" t="s">
        <v>225</v>
      </c>
      <c r="H2370" s="357" t="s">
        <v>125</v>
      </c>
      <c r="I2370" s="357" t="s">
        <v>114</v>
      </c>
      <c r="J2370" s="351" t="s">
        <v>33</v>
      </c>
      <c r="K2370" s="357" t="s">
        <v>2739</v>
      </c>
      <c r="L2370" s="351" t="s">
        <v>5859</v>
      </c>
      <c r="M2370" s="351" t="s">
        <v>5838</v>
      </c>
      <c r="N2370" s="351" t="s">
        <v>5613</v>
      </c>
      <c r="O2370" s="357" t="s">
        <v>276</v>
      </c>
      <c r="P2370" s="351" t="s">
        <v>239</v>
      </c>
      <c r="Q2370" s="383" t="s">
        <v>5034</v>
      </c>
      <c r="R2370" s="351" t="s">
        <v>98</v>
      </c>
      <c r="S2370" s="380" t="s">
        <v>5619</v>
      </c>
      <c r="T2370" s="380" t="s">
        <v>5619</v>
      </c>
      <c r="U2370" s="351" t="s">
        <v>276</v>
      </c>
      <c r="V2370" s="357" t="s">
        <v>259</v>
      </c>
      <c r="W2370" s="351" t="s">
        <v>5033</v>
      </c>
      <c r="X2370" s="351" t="s">
        <v>207</v>
      </c>
      <c r="Y2370" s="354">
        <v>72891</v>
      </c>
      <c r="Z2370" s="355">
        <v>89352</v>
      </c>
      <c r="AA2370" s="351" t="s">
        <v>276</v>
      </c>
      <c r="AB2370" s="351" t="s">
        <v>276</v>
      </c>
      <c r="AC2370" s="357">
        <v>302</v>
      </c>
      <c r="AD2370" s="357" t="s">
        <v>5841</v>
      </c>
      <c r="AE2370" s="357">
        <v>333</v>
      </c>
      <c r="AF2370" s="357" t="s">
        <v>5841</v>
      </c>
      <c r="AG2370" s="351" t="s">
        <v>5866</v>
      </c>
      <c r="AH2370" s="351" t="s">
        <v>5843</v>
      </c>
      <c r="AI2370" s="355">
        <v>1848</v>
      </c>
      <c r="AJ2370" s="355">
        <v>1379</v>
      </c>
      <c r="AK2370" s="354">
        <v>72891</v>
      </c>
      <c r="AL2370" s="355">
        <v>89352</v>
      </c>
      <c r="AM2370" s="355" t="s">
        <v>690</v>
      </c>
      <c r="AN2370" s="357" t="s">
        <v>276</v>
      </c>
      <c r="AO2370" s="356">
        <f t="shared" si="625"/>
        <v>25.352924229328725</v>
      </c>
      <c r="AP2370" s="357" t="s">
        <v>276</v>
      </c>
      <c r="AQ2370" s="357" t="s">
        <v>276</v>
      </c>
      <c r="AR2370" s="357" t="s">
        <v>276</v>
      </c>
      <c r="AS2370" s="356">
        <f t="shared" si="626"/>
        <v>15.433342286686363</v>
      </c>
      <c r="AT2370" s="357" t="s">
        <v>276</v>
      </c>
      <c r="AU2370" s="357" t="s">
        <v>276</v>
      </c>
      <c r="AV2370" s="357" t="s">
        <v>268</v>
      </c>
      <c r="AW2370" s="357" t="s">
        <v>276</v>
      </c>
      <c r="AX2370" s="369">
        <f t="shared" si="627"/>
        <v>1.6427371180123136</v>
      </c>
      <c r="AY2370" s="357" t="s">
        <v>276</v>
      </c>
      <c r="AZ2370" s="357" t="s">
        <v>276</v>
      </c>
      <c r="BA2370" s="357" t="s">
        <v>276</v>
      </c>
      <c r="BB2370" s="357" t="s">
        <v>282</v>
      </c>
      <c r="BC2370" s="357" t="s">
        <v>98</v>
      </c>
      <c r="BD2370" s="357" t="s">
        <v>98</v>
      </c>
      <c r="BE2370" s="357" t="s">
        <v>98</v>
      </c>
      <c r="BF2370" s="351" t="s">
        <v>5862</v>
      </c>
      <c r="BG2370" s="351"/>
      <c r="BH2370" s="9" t="s">
        <v>100</v>
      </c>
      <c r="BI2370" s="9" t="s">
        <v>100</v>
      </c>
      <c r="BJ2370" s="373"/>
      <c r="BN2370" s="373"/>
      <c r="BO2370" s="373"/>
    </row>
    <row r="2371" spans="1:67" s="374" customFormat="1" ht="65" hidden="1" x14ac:dyDescent="0.35">
      <c r="A2371" s="357">
        <v>10548</v>
      </c>
      <c r="B2371" s="357" t="s">
        <v>5029</v>
      </c>
      <c r="C2371" s="357" t="s">
        <v>88</v>
      </c>
      <c r="D2371" s="351" t="s">
        <v>5935</v>
      </c>
      <c r="E2371" s="357" t="s">
        <v>43</v>
      </c>
      <c r="F2371" s="351" t="s">
        <v>4987</v>
      </c>
      <c r="G2371" s="357" t="s">
        <v>225</v>
      </c>
      <c r="H2371" s="357" t="s">
        <v>125</v>
      </c>
      <c r="I2371" s="357" t="s">
        <v>114</v>
      </c>
      <c r="J2371" s="351" t="s">
        <v>33</v>
      </c>
      <c r="K2371" s="357" t="s">
        <v>2649</v>
      </c>
      <c r="L2371" s="351" t="s">
        <v>5859</v>
      </c>
      <c r="M2371" s="351" t="s">
        <v>5838</v>
      </c>
      <c r="N2371" s="351" t="s">
        <v>5613</v>
      </c>
      <c r="O2371" s="357" t="s">
        <v>276</v>
      </c>
      <c r="P2371" s="351" t="s">
        <v>239</v>
      </c>
      <c r="Q2371" s="383" t="s">
        <v>5034</v>
      </c>
      <c r="R2371" s="351" t="s">
        <v>98</v>
      </c>
      <c r="S2371" s="380" t="s">
        <v>5619</v>
      </c>
      <c r="T2371" s="380" t="s">
        <v>5619</v>
      </c>
      <c r="U2371" s="351" t="s">
        <v>276</v>
      </c>
      <c r="V2371" s="357" t="s">
        <v>259</v>
      </c>
      <c r="W2371" s="351" t="s">
        <v>5033</v>
      </c>
      <c r="X2371" s="351" t="s">
        <v>207</v>
      </c>
      <c r="Y2371" s="354">
        <v>72891</v>
      </c>
      <c r="Z2371" s="355">
        <v>89352</v>
      </c>
      <c r="AA2371" s="351" t="s">
        <v>276</v>
      </c>
      <c r="AB2371" s="351" t="s">
        <v>276</v>
      </c>
      <c r="AC2371" s="357">
        <v>302</v>
      </c>
      <c r="AD2371" s="357" t="s">
        <v>5841</v>
      </c>
      <c r="AE2371" s="357">
        <v>333</v>
      </c>
      <c r="AF2371" s="357" t="s">
        <v>5841</v>
      </c>
      <c r="AG2371" s="351" t="s">
        <v>5868</v>
      </c>
      <c r="AH2371" s="351" t="s">
        <v>5843</v>
      </c>
      <c r="AI2371" s="355">
        <v>589</v>
      </c>
      <c r="AJ2371" s="355">
        <v>865</v>
      </c>
      <c r="AK2371" s="354">
        <v>72891</v>
      </c>
      <c r="AL2371" s="355">
        <v>89352</v>
      </c>
      <c r="AM2371" s="355" t="s">
        <v>690</v>
      </c>
      <c r="AN2371" s="357" t="s">
        <v>276</v>
      </c>
      <c r="AO2371" s="356">
        <f t="shared" si="625"/>
        <v>8.0805586423563955</v>
      </c>
      <c r="AP2371" s="357" t="s">
        <v>276</v>
      </c>
      <c r="AQ2371" s="357" t="s">
        <v>276</v>
      </c>
      <c r="AR2371" s="357" t="s">
        <v>276</v>
      </c>
      <c r="AS2371" s="356">
        <f t="shared" si="626"/>
        <v>9.680812964455189</v>
      </c>
      <c r="AT2371" s="357" t="s">
        <v>276</v>
      </c>
      <c r="AU2371" s="357" t="s">
        <v>276</v>
      </c>
      <c r="AV2371" s="357" t="s">
        <v>268</v>
      </c>
      <c r="AW2371" s="357" t="s">
        <v>276</v>
      </c>
      <c r="AX2371" s="369">
        <f t="shared" si="627"/>
        <v>0.83469835353968624</v>
      </c>
      <c r="AY2371" s="357" t="s">
        <v>276</v>
      </c>
      <c r="AZ2371" s="357" t="s">
        <v>276</v>
      </c>
      <c r="BA2371" s="357" t="s">
        <v>276</v>
      </c>
      <c r="BB2371" s="357" t="s">
        <v>282</v>
      </c>
      <c r="BC2371" s="357" t="s">
        <v>98</v>
      </c>
      <c r="BD2371" s="357" t="s">
        <v>98</v>
      </c>
      <c r="BE2371" s="357" t="s">
        <v>98</v>
      </c>
      <c r="BF2371" s="351" t="s">
        <v>5862</v>
      </c>
      <c r="BG2371" s="351"/>
      <c r="BH2371" s="9" t="s">
        <v>100</v>
      </c>
      <c r="BI2371" s="9" t="s">
        <v>100</v>
      </c>
      <c r="BJ2371" s="373"/>
      <c r="BN2371" s="373"/>
      <c r="BO2371" s="373"/>
    </row>
    <row r="2372" spans="1:67" s="374" customFormat="1" ht="65" hidden="1" x14ac:dyDescent="0.35">
      <c r="A2372" s="357">
        <v>10548</v>
      </c>
      <c r="B2372" s="357" t="s">
        <v>5029</v>
      </c>
      <c r="C2372" s="357" t="s">
        <v>88</v>
      </c>
      <c r="D2372" s="351" t="s">
        <v>5936</v>
      </c>
      <c r="E2372" s="357" t="s">
        <v>43</v>
      </c>
      <c r="F2372" s="351" t="s">
        <v>4987</v>
      </c>
      <c r="G2372" s="357" t="s">
        <v>225</v>
      </c>
      <c r="H2372" s="357" t="s">
        <v>125</v>
      </c>
      <c r="I2372" s="357" t="s">
        <v>114</v>
      </c>
      <c r="J2372" s="351" t="s">
        <v>33</v>
      </c>
      <c r="K2372" s="357" t="s">
        <v>1108</v>
      </c>
      <c r="L2372" s="351" t="s">
        <v>5859</v>
      </c>
      <c r="M2372" s="351" t="s">
        <v>5838</v>
      </c>
      <c r="N2372" s="351" t="s">
        <v>5613</v>
      </c>
      <c r="O2372" s="357" t="s">
        <v>276</v>
      </c>
      <c r="P2372" s="351" t="s">
        <v>239</v>
      </c>
      <c r="Q2372" s="383" t="s">
        <v>5034</v>
      </c>
      <c r="R2372" s="351" t="s">
        <v>98</v>
      </c>
      <c r="S2372" s="380" t="s">
        <v>5619</v>
      </c>
      <c r="T2372" s="380" t="s">
        <v>5619</v>
      </c>
      <c r="U2372" s="351" t="s">
        <v>276</v>
      </c>
      <c r="V2372" s="357" t="s">
        <v>259</v>
      </c>
      <c r="W2372" s="351" t="s">
        <v>5033</v>
      </c>
      <c r="X2372" s="351" t="s">
        <v>207</v>
      </c>
      <c r="Y2372" s="354">
        <v>72891</v>
      </c>
      <c r="Z2372" s="355">
        <v>89352</v>
      </c>
      <c r="AA2372" s="351" t="s">
        <v>276</v>
      </c>
      <c r="AB2372" s="351" t="s">
        <v>276</v>
      </c>
      <c r="AC2372" s="357">
        <v>302</v>
      </c>
      <c r="AD2372" s="357" t="s">
        <v>5841</v>
      </c>
      <c r="AE2372" s="357">
        <v>333</v>
      </c>
      <c r="AF2372" s="357" t="s">
        <v>5841</v>
      </c>
      <c r="AG2372" s="351" t="s">
        <v>5870</v>
      </c>
      <c r="AH2372" s="351" t="s">
        <v>5843</v>
      </c>
      <c r="AI2372" s="355">
        <v>88</v>
      </c>
      <c r="AJ2372" s="355">
        <v>206</v>
      </c>
      <c r="AK2372" s="354">
        <v>72891</v>
      </c>
      <c r="AL2372" s="355">
        <v>89352</v>
      </c>
      <c r="AM2372" s="355" t="s">
        <v>690</v>
      </c>
      <c r="AN2372" s="357" t="s">
        <v>276</v>
      </c>
      <c r="AO2372" s="356">
        <f t="shared" si="625"/>
        <v>1.2072821061585106</v>
      </c>
      <c r="AP2372" s="357" t="s">
        <v>276</v>
      </c>
      <c r="AQ2372" s="357" t="s">
        <v>276</v>
      </c>
      <c r="AR2372" s="357" t="s">
        <v>276</v>
      </c>
      <c r="AS2372" s="356">
        <f t="shared" si="626"/>
        <v>2.3054884054078251</v>
      </c>
      <c r="AT2372" s="357" t="s">
        <v>276</v>
      </c>
      <c r="AU2372" s="357" t="s">
        <v>276</v>
      </c>
      <c r="AV2372" s="357" t="s">
        <v>268</v>
      </c>
      <c r="AW2372" s="357" t="s">
        <v>276</v>
      </c>
      <c r="AX2372" s="369">
        <f t="shared" si="627"/>
        <v>0.52365568324987988</v>
      </c>
      <c r="AY2372" s="357" t="s">
        <v>276</v>
      </c>
      <c r="AZ2372" s="357" t="s">
        <v>276</v>
      </c>
      <c r="BA2372" s="357" t="s">
        <v>276</v>
      </c>
      <c r="BB2372" s="357" t="s">
        <v>282</v>
      </c>
      <c r="BC2372" s="357" t="s">
        <v>98</v>
      </c>
      <c r="BD2372" s="357" t="s">
        <v>98</v>
      </c>
      <c r="BE2372" s="357" t="s">
        <v>98</v>
      </c>
      <c r="BF2372" s="351" t="s">
        <v>5862</v>
      </c>
      <c r="BG2372" s="351"/>
      <c r="BH2372" s="9" t="s">
        <v>100</v>
      </c>
      <c r="BI2372" s="9" t="s">
        <v>100</v>
      </c>
      <c r="BJ2372" s="373"/>
      <c r="BN2372" s="373"/>
      <c r="BO2372" s="373"/>
    </row>
    <row r="2373" spans="1:67" s="374" customFormat="1" ht="65" hidden="1" x14ac:dyDescent="0.35">
      <c r="A2373" s="357">
        <v>10548</v>
      </c>
      <c r="B2373" s="357" t="s">
        <v>5029</v>
      </c>
      <c r="C2373" s="357" t="s">
        <v>88</v>
      </c>
      <c r="D2373" s="351" t="s">
        <v>5937</v>
      </c>
      <c r="E2373" s="357" t="s">
        <v>43</v>
      </c>
      <c r="F2373" s="351" t="s">
        <v>4987</v>
      </c>
      <c r="G2373" s="357" t="s">
        <v>225</v>
      </c>
      <c r="H2373" s="357" t="s">
        <v>125</v>
      </c>
      <c r="I2373" s="357" t="s">
        <v>114</v>
      </c>
      <c r="J2373" s="351" t="s">
        <v>30</v>
      </c>
      <c r="K2373" s="351" t="s">
        <v>5938</v>
      </c>
      <c r="L2373" s="351" t="s">
        <v>5859</v>
      </c>
      <c r="M2373" s="351" t="s">
        <v>5838</v>
      </c>
      <c r="N2373" s="351" t="s">
        <v>5613</v>
      </c>
      <c r="O2373" s="351" t="s">
        <v>276</v>
      </c>
      <c r="P2373" s="351" t="s">
        <v>239</v>
      </c>
      <c r="Q2373" s="383" t="s">
        <v>5034</v>
      </c>
      <c r="R2373" s="351" t="s">
        <v>98</v>
      </c>
      <c r="S2373" s="380" t="s">
        <v>5619</v>
      </c>
      <c r="T2373" s="380" t="s">
        <v>5619</v>
      </c>
      <c r="U2373" s="351" t="s">
        <v>276</v>
      </c>
      <c r="V2373" s="357" t="s">
        <v>259</v>
      </c>
      <c r="W2373" s="351" t="s">
        <v>5033</v>
      </c>
      <c r="X2373" s="351" t="s">
        <v>207</v>
      </c>
      <c r="Y2373" s="354">
        <v>72891</v>
      </c>
      <c r="Z2373" s="355">
        <v>89352</v>
      </c>
      <c r="AA2373" s="351" t="s">
        <v>276</v>
      </c>
      <c r="AB2373" s="351" t="s">
        <v>276</v>
      </c>
      <c r="AC2373" s="357">
        <v>575</v>
      </c>
      <c r="AD2373" s="351" t="s">
        <v>5920</v>
      </c>
      <c r="AE2373" s="357">
        <v>608</v>
      </c>
      <c r="AF2373" s="351" t="s">
        <v>5920</v>
      </c>
      <c r="AG2373" s="351" t="s">
        <v>5939</v>
      </c>
      <c r="AH2373" s="351" t="s">
        <v>5843</v>
      </c>
      <c r="AI2373" s="355">
        <v>4198</v>
      </c>
      <c r="AJ2373" s="355">
        <v>2249</v>
      </c>
      <c r="AK2373" s="354">
        <v>72891</v>
      </c>
      <c r="AL2373" s="355">
        <v>89352</v>
      </c>
      <c r="AM2373" s="355" t="s">
        <v>690</v>
      </c>
      <c r="AN2373" s="357" t="s">
        <v>276</v>
      </c>
      <c r="AO2373" s="356">
        <f t="shared" si="625"/>
        <v>57.592844109698042</v>
      </c>
      <c r="AP2373" s="357" t="s">
        <v>276</v>
      </c>
      <c r="AQ2373" s="357" t="s">
        <v>276</v>
      </c>
      <c r="AR2373" s="357" t="s">
        <v>276</v>
      </c>
      <c r="AS2373" s="356">
        <f t="shared" si="626"/>
        <v>25.170113707583489</v>
      </c>
      <c r="AT2373" s="357" t="s">
        <v>276</v>
      </c>
      <c r="AU2373" s="357" t="s">
        <v>276</v>
      </c>
      <c r="AV2373" s="357" t="s">
        <v>268</v>
      </c>
      <c r="AW2373" s="357" t="s">
        <v>276</v>
      </c>
      <c r="AX2373" s="369">
        <f t="shared" si="627"/>
        <v>2.2881439781635127</v>
      </c>
      <c r="AY2373" s="357" t="s">
        <v>276</v>
      </c>
      <c r="AZ2373" s="357" t="s">
        <v>276</v>
      </c>
      <c r="BA2373" s="357" t="s">
        <v>276</v>
      </c>
      <c r="BB2373" s="357" t="s">
        <v>282</v>
      </c>
      <c r="BC2373" s="357" t="s">
        <v>98</v>
      </c>
      <c r="BD2373" s="357" t="s">
        <v>98</v>
      </c>
      <c r="BE2373" s="357" t="s">
        <v>98</v>
      </c>
      <c r="BF2373" s="351" t="s">
        <v>5922</v>
      </c>
      <c r="BG2373" s="351"/>
      <c r="BH2373" s="9" t="s">
        <v>100</v>
      </c>
      <c r="BI2373" s="9" t="s">
        <v>100</v>
      </c>
      <c r="BJ2373" s="373"/>
      <c r="BN2373" s="373"/>
      <c r="BO2373" s="373"/>
    </row>
    <row r="2374" spans="1:67" s="374" customFormat="1" ht="78" hidden="1" x14ac:dyDescent="0.35">
      <c r="A2374" s="357">
        <v>10548</v>
      </c>
      <c r="B2374" s="357" t="s">
        <v>5029</v>
      </c>
      <c r="C2374" s="357" t="s">
        <v>88</v>
      </c>
      <c r="D2374" s="351" t="s">
        <v>5940</v>
      </c>
      <c r="E2374" s="357" t="s">
        <v>43</v>
      </c>
      <c r="F2374" s="351" t="s">
        <v>4987</v>
      </c>
      <c r="G2374" s="357" t="s">
        <v>225</v>
      </c>
      <c r="H2374" s="357" t="s">
        <v>125</v>
      </c>
      <c r="I2374" s="357" t="s">
        <v>114</v>
      </c>
      <c r="J2374" s="351" t="s">
        <v>30</v>
      </c>
      <c r="K2374" s="351" t="s">
        <v>5941</v>
      </c>
      <c r="L2374" s="351" t="s">
        <v>5859</v>
      </c>
      <c r="M2374" s="351" t="s">
        <v>5838</v>
      </c>
      <c r="N2374" s="351" t="s">
        <v>5613</v>
      </c>
      <c r="O2374" s="351" t="s">
        <v>276</v>
      </c>
      <c r="P2374" s="351" t="s">
        <v>239</v>
      </c>
      <c r="Q2374" s="383" t="s">
        <v>5034</v>
      </c>
      <c r="R2374" s="351" t="s">
        <v>98</v>
      </c>
      <c r="S2374" s="380" t="s">
        <v>5619</v>
      </c>
      <c r="T2374" s="380" t="s">
        <v>5619</v>
      </c>
      <c r="U2374" s="351" t="s">
        <v>276</v>
      </c>
      <c r="V2374" s="357" t="s">
        <v>259</v>
      </c>
      <c r="W2374" s="351" t="s">
        <v>5033</v>
      </c>
      <c r="X2374" s="351" t="s">
        <v>207</v>
      </c>
      <c r="Y2374" s="354">
        <v>72891</v>
      </c>
      <c r="Z2374" s="355">
        <v>89352</v>
      </c>
      <c r="AA2374" s="351" t="s">
        <v>276</v>
      </c>
      <c r="AB2374" s="351" t="s">
        <v>276</v>
      </c>
      <c r="AC2374" s="357">
        <v>575</v>
      </c>
      <c r="AD2374" s="351" t="s">
        <v>5920</v>
      </c>
      <c r="AE2374" s="357">
        <v>608</v>
      </c>
      <c r="AF2374" s="351" t="s">
        <v>5920</v>
      </c>
      <c r="AG2374" s="351" t="s">
        <v>5942</v>
      </c>
      <c r="AH2374" s="351" t="s">
        <v>5843</v>
      </c>
      <c r="AI2374" s="355">
        <v>1495</v>
      </c>
      <c r="AJ2374" s="355">
        <v>1442</v>
      </c>
      <c r="AK2374" s="354">
        <v>72891</v>
      </c>
      <c r="AL2374" s="355">
        <v>89352</v>
      </c>
      <c r="AM2374" s="355" t="s">
        <v>690</v>
      </c>
      <c r="AN2374" s="357" t="s">
        <v>276</v>
      </c>
      <c r="AO2374" s="356">
        <f t="shared" si="625"/>
        <v>20.510076689851971</v>
      </c>
      <c r="AP2374" s="357" t="s">
        <v>276</v>
      </c>
      <c r="AQ2374" s="357" t="s">
        <v>276</v>
      </c>
      <c r="AR2374" s="357" t="s">
        <v>276</v>
      </c>
      <c r="AS2374" s="356">
        <f t="shared" si="626"/>
        <v>16.138418837854775</v>
      </c>
      <c r="AT2374" s="357" t="s">
        <v>276</v>
      </c>
      <c r="AU2374" s="357" t="s">
        <v>276</v>
      </c>
      <c r="AV2374" s="357" t="s">
        <v>268</v>
      </c>
      <c r="AW2374" s="357" t="s">
        <v>276</v>
      </c>
      <c r="AX2374" s="369">
        <f t="shared" si="627"/>
        <v>1.270885140354822</v>
      </c>
      <c r="AY2374" s="357" t="s">
        <v>276</v>
      </c>
      <c r="AZ2374" s="357" t="s">
        <v>276</v>
      </c>
      <c r="BA2374" s="357" t="s">
        <v>276</v>
      </c>
      <c r="BB2374" s="357" t="s">
        <v>282</v>
      </c>
      <c r="BC2374" s="357" t="s">
        <v>98</v>
      </c>
      <c r="BD2374" s="357" t="s">
        <v>98</v>
      </c>
      <c r="BE2374" s="357" t="s">
        <v>98</v>
      </c>
      <c r="BF2374" s="351" t="s">
        <v>5922</v>
      </c>
      <c r="BG2374" s="351"/>
      <c r="BH2374" s="9" t="s">
        <v>100</v>
      </c>
      <c r="BI2374" s="9" t="s">
        <v>100</v>
      </c>
      <c r="BJ2374" s="373"/>
      <c r="BN2374" s="373"/>
      <c r="BO2374" s="373"/>
    </row>
    <row r="2375" spans="1:67" s="374" customFormat="1" ht="65" hidden="1" x14ac:dyDescent="0.35">
      <c r="A2375" s="357">
        <v>10548</v>
      </c>
      <c r="B2375" s="357" t="s">
        <v>5029</v>
      </c>
      <c r="C2375" s="357" t="s">
        <v>88</v>
      </c>
      <c r="D2375" s="351" t="s">
        <v>5943</v>
      </c>
      <c r="E2375" s="357" t="s">
        <v>43</v>
      </c>
      <c r="F2375" s="351" t="s">
        <v>4987</v>
      </c>
      <c r="G2375" s="357" t="s">
        <v>225</v>
      </c>
      <c r="H2375" s="357" t="s">
        <v>125</v>
      </c>
      <c r="I2375" s="357" t="s">
        <v>114</v>
      </c>
      <c r="J2375" s="351" t="s">
        <v>30</v>
      </c>
      <c r="K2375" s="351" t="s">
        <v>5927</v>
      </c>
      <c r="L2375" s="351" t="s">
        <v>5859</v>
      </c>
      <c r="M2375" s="351" t="s">
        <v>5838</v>
      </c>
      <c r="N2375" s="351" t="s">
        <v>5613</v>
      </c>
      <c r="O2375" s="351" t="s">
        <v>276</v>
      </c>
      <c r="P2375" s="351" t="s">
        <v>239</v>
      </c>
      <c r="Q2375" s="383" t="s">
        <v>5034</v>
      </c>
      <c r="R2375" s="351" t="s">
        <v>98</v>
      </c>
      <c r="S2375" s="380" t="s">
        <v>5619</v>
      </c>
      <c r="T2375" s="380" t="s">
        <v>5619</v>
      </c>
      <c r="U2375" s="351" t="s">
        <v>276</v>
      </c>
      <c r="V2375" s="357" t="s">
        <v>259</v>
      </c>
      <c r="W2375" s="351" t="s">
        <v>5033</v>
      </c>
      <c r="X2375" s="351" t="s">
        <v>207</v>
      </c>
      <c r="Y2375" s="354">
        <v>72891</v>
      </c>
      <c r="Z2375" s="355">
        <v>89352</v>
      </c>
      <c r="AA2375" s="351" t="s">
        <v>276</v>
      </c>
      <c r="AB2375" s="351" t="s">
        <v>276</v>
      </c>
      <c r="AC2375" s="357">
        <v>575</v>
      </c>
      <c r="AD2375" s="351" t="s">
        <v>5920</v>
      </c>
      <c r="AE2375" s="357">
        <v>608</v>
      </c>
      <c r="AF2375" s="351" t="s">
        <v>5920</v>
      </c>
      <c r="AG2375" s="351" t="s">
        <v>5928</v>
      </c>
      <c r="AH2375" s="351" t="s">
        <v>5843</v>
      </c>
      <c r="AI2375" s="355">
        <v>515</v>
      </c>
      <c r="AJ2375" s="355">
        <v>673</v>
      </c>
      <c r="AK2375" s="354">
        <v>72891</v>
      </c>
      <c r="AL2375" s="355">
        <v>89352</v>
      </c>
      <c r="AM2375" s="355" t="s">
        <v>690</v>
      </c>
      <c r="AN2375" s="357" t="s">
        <v>276</v>
      </c>
      <c r="AO2375" s="356">
        <f t="shared" si="625"/>
        <v>7.0653441439958291</v>
      </c>
      <c r="AP2375" s="357" t="s">
        <v>276</v>
      </c>
      <c r="AQ2375" s="357" t="s">
        <v>276</v>
      </c>
      <c r="AR2375" s="357" t="s">
        <v>276</v>
      </c>
      <c r="AS2375" s="356">
        <f t="shared" si="626"/>
        <v>7.5320082370847885</v>
      </c>
      <c r="AT2375" s="357" t="s">
        <v>276</v>
      </c>
      <c r="AU2375" s="357" t="s">
        <v>276</v>
      </c>
      <c r="AV2375" s="357" t="s">
        <v>268</v>
      </c>
      <c r="AW2375" s="357" t="s">
        <v>276</v>
      </c>
      <c r="AX2375" s="369">
        <f t="shared" si="627"/>
        <v>0.93804254079393057</v>
      </c>
      <c r="AY2375" s="357" t="s">
        <v>276</v>
      </c>
      <c r="AZ2375" s="357" t="s">
        <v>276</v>
      </c>
      <c r="BA2375" s="357" t="s">
        <v>276</v>
      </c>
      <c r="BB2375" s="357" t="s">
        <v>282</v>
      </c>
      <c r="BC2375" s="357" t="s">
        <v>98</v>
      </c>
      <c r="BD2375" s="357" t="s">
        <v>98</v>
      </c>
      <c r="BE2375" s="357" t="s">
        <v>98</v>
      </c>
      <c r="BF2375" s="351" t="s">
        <v>5922</v>
      </c>
      <c r="BG2375" s="351"/>
      <c r="BH2375" s="9" t="s">
        <v>100</v>
      </c>
      <c r="BI2375" s="9" t="s">
        <v>100</v>
      </c>
      <c r="BJ2375" s="373"/>
      <c r="BN2375" s="373"/>
      <c r="BO2375" s="373"/>
    </row>
    <row r="2376" spans="1:67" s="374" customFormat="1" ht="104" hidden="1" x14ac:dyDescent="0.35">
      <c r="A2376" s="357">
        <v>10548</v>
      </c>
      <c r="B2376" s="357" t="s">
        <v>5029</v>
      </c>
      <c r="C2376" s="357" t="s">
        <v>88</v>
      </c>
      <c r="D2376" s="351" t="s">
        <v>5944</v>
      </c>
      <c r="E2376" s="357" t="s">
        <v>43</v>
      </c>
      <c r="F2376" s="351" t="s">
        <v>4987</v>
      </c>
      <c r="G2376" s="357" t="s">
        <v>225</v>
      </c>
      <c r="H2376" s="357" t="s">
        <v>125</v>
      </c>
      <c r="I2376" s="357" t="s">
        <v>114</v>
      </c>
      <c r="J2376" s="351" t="s">
        <v>1116</v>
      </c>
      <c r="K2376" s="351" t="s">
        <v>5930</v>
      </c>
      <c r="L2376" s="351" t="s">
        <v>5859</v>
      </c>
      <c r="M2376" s="351" t="s">
        <v>5838</v>
      </c>
      <c r="N2376" s="351" t="s">
        <v>5613</v>
      </c>
      <c r="O2376" s="351" t="s">
        <v>276</v>
      </c>
      <c r="P2376" s="351" t="s">
        <v>239</v>
      </c>
      <c r="Q2376" s="383" t="s">
        <v>5034</v>
      </c>
      <c r="R2376" s="351" t="s">
        <v>98</v>
      </c>
      <c r="S2376" s="380" t="s">
        <v>5619</v>
      </c>
      <c r="T2376" s="380" t="s">
        <v>5619</v>
      </c>
      <c r="U2376" s="351" t="s">
        <v>276</v>
      </c>
      <c r="V2376" s="357" t="s">
        <v>259</v>
      </c>
      <c r="W2376" s="351" t="s">
        <v>5033</v>
      </c>
      <c r="X2376" s="351" t="s">
        <v>207</v>
      </c>
      <c r="Y2376" s="354">
        <v>72891</v>
      </c>
      <c r="Z2376" s="355">
        <v>89352</v>
      </c>
      <c r="AA2376" s="351" t="s">
        <v>276</v>
      </c>
      <c r="AB2376" s="351" t="s">
        <v>276</v>
      </c>
      <c r="AC2376" s="357">
        <v>575</v>
      </c>
      <c r="AD2376" s="351" t="s">
        <v>5920</v>
      </c>
      <c r="AE2376" s="357">
        <v>608</v>
      </c>
      <c r="AF2376" s="351" t="s">
        <v>5920</v>
      </c>
      <c r="AG2376" s="351" t="s">
        <v>5931</v>
      </c>
      <c r="AH2376" s="351" t="s">
        <v>5843</v>
      </c>
      <c r="AI2376" s="355">
        <v>180</v>
      </c>
      <c r="AJ2376" s="355">
        <v>424</v>
      </c>
      <c r="AK2376" s="354">
        <v>72891</v>
      </c>
      <c r="AL2376" s="355">
        <v>89352</v>
      </c>
      <c r="AM2376" s="355" t="s">
        <v>690</v>
      </c>
      <c r="AN2376" s="357" t="s">
        <v>276</v>
      </c>
      <c r="AO2376" s="356">
        <f t="shared" si="625"/>
        <v>2.4694406716878627</v>
      </c>
      <c r="AP2376" s="357" t="s">
        <v>276</v>
      </c>
      <c r="AQ2376" s="357" t="s">
        <v>276</v>
      </c>
      <c r="AR2376" s="357" t="s">
        <v>276</v>
      </c>
      <c r="AS2376" s="356">
        <f t="shared" si="626"/>
        <v>4.7452771062763004</v>
      </c>
      <c r="AT2376" s="357" t="s">
        <v>276</v>
      </c>
      <c r="AU2376" s="357" t="s">
        <v>276</v>
      </c>
      <c r="AV2376" s="357" t="s">
        <v>268</v>
      </c>
      <c r="AW2376" s="357" t="s">
        <v>276</v>
      </c>
      <c r="AX2376" s="369">
        <f t="shared" si="627"/>
        <v>0.52039967664305165</v>
      </c>
      <c r="AY2376" s="357" t="s">
        <v>276</v>
      </c>
      <c r="AZ2376" s="357" t="s">
        <v>276</v>
      </c>
      <c r="BA2376" s="357" t="s">
        <v>276</v>
      </c>
      <c r="BB2376" s="357" t="s">
        <v>282</v>
      </c>
      <c r="BC2376" s="357" t="s">
        <v>98</v>
      </c>
      <c r="BD2376" s="357" t="s">
        <v>98</v>
      </c>
      <c r="BE2376" s="357" t="s">
        <v>98</v>
      </c>
      <c r="BF2376" s="351" t="s">
        <v>5922</v>
      </c>
      <c r="BG2376" s="351"/>
      <c r="BH2376" s="9" t="s">
        <v>100</v>
      </c>
      <c r="BI2376" s="9" t="s">
        <v>100</v>
      </c>
      <c r="BJ2376" s="373"/>
      <c r="BN2376" s="373"/>
      <c r="BO2376" s="373"/>
    </row>
    <row r="2377" spans="1:67" s="374" customFormat="1" ht="65" hidden="1" x14ac:dyDescent="0.35">
      <c r="A2377" s="357">
        <v>10549</v>
      </c>
      <c r="B2377" s="357" t="s">
        <v>5173</v>
      </c>
      <c r="C2377" s="357" t="s">
        <v>88</v>
      </c>
      <c r="D2377" s="351" t="s">
        <v>5945</v>
      </c>
      <c r="E2377" s="357" t="s">
        <v>43</v>
      </c>
      <c r="F2377" s="351" t="s">
        <v>4987</v>
      </c>
      <c r="G2377" s="357" t="s">
        <v>225</v>
      </c>
      <c r="H2377" s="357" t="s">
        <v>125</v>
      </c>
      <c r="I2377" s="357" t="s">
        <v>114</v>
      </c>
      <c r="J2377" s="351" t="s">
        <v>30</v>
      </c>
      <c r="K2377" s="351" t="s">
        <v>5938</v>
      </c>
      <c r="L2377" s="351" t="s">
        <v>5838</v>
      </c>
      <c r="M2377" s="351" t="s">
        <v>5838</v>
      </c>
      <c r="N2377" s="351" t="s">
        <v>276</v>
      </c>
      <c r="O2377" s="351" t="s">
        <v>276</v>
      </c>
      <c r="P2377" s="351" t="s">
        <v>239</v>
      </c>
      <c r="Q2377" s="383" t="s">
        <v>5201</v>
      </c>
      <c r="R2377" s="351" t="s">
        <v>776</v>
      </c>
      <c r="S2377" s="380" t="s">
        <v>5946</v>
      </c>
      <c r="T2377" s="380" t="s">
        <v>5947</v>
      </c>
      <c r="U2377" s="351" t="s">
        <v>276</v>
      </c>
      <c r="V2377" s="357" t="s">
        <v>259</v>
      </c>
      <c r="W2377" s="351" t="s">
        <v>5033</v>
      </c>
      <c r="X2377" s="351" t="s">
        <v>207</v>
      </c>
      <c r="Y2377" s="354">
        <v>72891</v>
      </c>
      <c r="Z2377" s="355">
        <v>89352</v>
      </c>
      <c r="AA2377" s="351" t="s">
        <v>276</v>
      </c>
      <c r="AB2377" s="351" t="s">
        <v>276</v>
      </c>
      <c r="AC2377" s="357">
        <v>570</v>
      </c>
      <c r="AD2377" s="351" t="s">
        <v>5920</v>
      </c>
      <c r="AE2377" s="357">
        <v>600</v>
      </c>
      <c r="AF2377" s="351" t="s">
        <v>5920</v>
      </c>
      <c r="AG2377" s="351" t="s">
        <v>5948</v>
      </c>
      <c r="AH2377" s="351" t="s">
        <v>1674</v>
      </c>
      <c r="AI2377" s="355">
        <v>4441</v>
      </c>
      <c r="AJ2377" s="355">
        <v>2543</v>
      </c>
      <c r="AK2377" s="351">
        <v>775527</v>
      </c>
      <c r="AL2377" s="351">
        <v>980474</v>
      </c>
      <c r="AM2377" s="355" t="s">
        <v>425</v>
      </c>
      <c r="AN2377" s="357" t="s">
        <v>276</v>
      </c>
      <c r="AO2377" s="356">
        <f t="shared" si="625"/>
        <v>5.7264286091909113</v>
      </c>
      <c r="AP2377" s="357" t="s">
        <v>276</v>
      </c>
      <c r="AQ2377" s="357" t="s">
        <v>276</v>
      </c>
      <c r="AR2377" s="357" t="s">
        <v>276</v>
      </c>
      <c r="AS2377" s="356">
        <f t="shared" si="626"/>
        <v>2.5936434826420691</v>
      </c>
      <c r="AT2377" s="357" t="s">
        <v>276</v>
      </c>
      <c r="AU2377" s="357" t="s">
        <v>276</v>
      </c>
      <c r="AV2377" s="357" t="s">
        <v>269</v>
      </c>
      <c r="AW2377" s="357" t="s">
        <v>276</v>
      </c>
      <c r="AX2377" s="369">
        <f t="shared" si="627"/>
        <v>2.2078703752134681</v>
      </c>
      <c r="AY2377" s="357" t="s">
        <v>276</v>
      </c>
      <c r="AZ2377" s="357" t="s">
        <v>276</v>
      </c>
      <c r="BA2377" s="357" t="s">
        <v>276</v>
      </c>
      <c r="BB2377" s="357" t="s">
        <v>282</v>
      </c>
      <c r="BC2377" s="357" t="s">
        <v>98</v>
      </c>
      <c r="BD2377" s="357" t="s">
        <v>98</v>
      </c>
      <c r="BE2377" s="357" t="s">
        <v>98</v>
      </c>
      <c r="BF2377" s="351" t="s">
        <v>1168</v>
      </c>
      <c r="BG2377" s="351"/>
      <c r="BH2377" s="9" t="s">
        <v>100</v>
      </c>
      <c r="BI2377" s="9" t="s">
        <v>100</v>
      </c>
      <c r="BJ2377" s="373"/>
      <c r="BN2377" s="373"/>
      <c r="BO2377" s="373"/>
    </row>
    <row r="2378" spans="1:67" s="374" customFormat="1" ht="78" hidden="1" x14ac:dyDescent="0.35">
      <c r="A2378" s="357">
        <v>10549</v>
      </c>
      <c r="B2378" s="357" t="s">
        <v>5173</v>
      </c>
      <c r="C2378" s="357" t="s">
        <v>88</v>
      </c>
      <c r="D2378" s="351" t="s">
        <v>5949</v>
      </c>
      <c r="E2378" s="357" t="s">
        <v>43</v>
      </c>
      <c r="F2378" s="351" t="s">
        <v>4987</v>
      </c>
      <c r="G2378" s="357" t="s">
        <v>225</v>
      </c>
      <c r="H2378" s="357" t="s">
        <v>125</v>
      </c>
      <c r="I2378" s="357" t="s">
        <v>114</v>
      </c>
      <c r="J2378" s="351" t="s">
        <v>30</v>
      </c>
      <c r="K2378" s="351" t="s">
        <v>5941</v>
      </c>
      <c r="L2378" s="351" t="s">
        <v>5838</v>
      </c>
      <c r="M2378" s="351" t="s">
        <v>5838</v>
      </c>
      <c r="N2378" s="351" t="s">
        <v>276</v>
      </c>
      <c r="O2378" s="351" t="s">
        <v>276</v>
      </c>
      <c r="P2378" s="351" t="s">
        <v>239</v>
      </c>
      <c r="Q2378" s="383" t="s">
        <v>5201</v>
      </c>
      <c r="R2378" s="351" t="s">
        <v>776</v>
      </c>
      <c r="S2378" s="380" t="s">
        <v>5946</v>
      </c>
      <c r="T2378" s="380" t="s">
        <v>5947</v>
      </c>
      <c r="U2378" s="351" t="s">
        <v>276</v>
      </c>
      <c r="V2378" s="357" t="s">
        <v>259</v>
      </c>
      <c r="W2378" s="351" t="s">
        <v>5033</v>
      </c>
      <c r="X2378" s="351" t="s">
        <v>207</v>
      </c>
      <c r="Y2378" s="354">
        <v>72891</v>
      </c>
      <c r="Z2378" s="355">
        <v>89352</v>
      </c>
      <c r="AA2378" s="351" t="s">
        <v>276</v>
      </c>
      <c r="AB2378" s="351" t="s">
        <v>276</v>
      </c>
      <c r="AC2378" s="357">
        <v>570</v>
      </c>
      <c r="AD2378" s="351" t="s">
        <v>5920</v>
      </c>
      <c r="AE2378" s="357">
        <v>600</v>
      </c>
      <c r="AF2378" s="351" t="s">
        <v>5920</v>
      </c>
      <c r="AG2378" s="351" t="s">
        <v>5950</v>
      </c>
      <c r="AH2378" s="351" t="s">
        <v>1674</v>
      </c>
      <c r="AI2378" s="355">
        <v>1625</v>
      </c>
      <c r="AJ2378" s="355">
        <v>1711</v>
      </c>
      <c r="AK2378" s="351">
        <v>775527</v>
      </c>
      <c r="AL2378" s="351">
        <v>980474</v>
      </c>
      <c r="AM2378" s="355" t="s">
        <v>425</v>
      </c>
      <c r="AN2378" s="357" t="s">
        <v>276</v>
      </c>
      <c r="AO2378" s="356">
        <f t="shared" si="625"/>
        <v>2.0953493559863166</v>
      </c>
      <c r="AP2378" s="357" t="s">
        <v>276</v>
      </c>
      <c r="AQ2378" s="357" t="s">
        <v>276</v>
      </c>
      <c r="AR2378" s="357" t="s">
        <v>276</v>
      </c>
      <c r="AS2378" s="356">
        <f t="shared" si="626"/>
        <v>1.7450743211956665</v>
      </c>
      <c r="AT2378" s="357" t="s">
        <v>276</v>
      </c>
      <c r="AU2378" s="357" t="s">
        <v>276</v>
      </c>
      <c r="AV2378" s="357" t="s">
        <v>269</v>
      </c>
      <c r="AW2378" s="357" t="s">
        <v>276</v>
      </c>
      <c r="AX2378" s="369">
        <f t="shared" si="627"/>
        <v>1.2007221300183097</v>
      </c>
      <c r="AY2378" s="357" t="s">
        <v>276</v>
      </c>
      <c r="AZ2378" s="357" t="s">
        <v>276</v>
      </c>
      <c r="BA2378" s="357" t="s">
        <v>276</v>
      </c>
      <c r="BB2378" s="357" t="s">
        <v>282</v>
      </c>
      <c r="BC2378" s="357" t="s">
        <v>98</v>
      </c>
      <c r="BD2378" s="357" t="s">
        <v>98</v>
      </c>
      <c r="BE2378" s="357" t="s">
        <v>98</v>
      </c>
      <c r="BF2378" s="351" t="s">
        <v>1168</v>
      </c>
      <c r="BG2378" s="351"/>
      <c r="BH2378" s="9" t="s">
        <v>100</v>
      </c>
      <c r="BI2378" s="9" t="s">
        <v>100</v>
      </c>
      <c r="BJ2378" s="373"/>
      <c r="BN2378" s="373"/>
      <c r="BO2378" s="373"/>
    </row>
    <row r="2379" spans="1:67" s="374" customFormat="1" ht="65" hidden="1" x14ac:dyDescent="0.35">
      <c r="A2379" s="357">
        <v>10549</v>
      </c>
      <c r="B2379" s="357" t="s">
        <v>5173</v>
      </c>
      <c r="C2379" s="357" t="s">
        <v>88</v>
      </c>
      <c r="D2379" s="351" t="s">
        <v>5951</v>
      </c>
      <c r="E2379" s="357" t="s">
        <v>43</v>
      </c>
      <c r="F2379" s="351" t="s">
        <v>4987</v>
      </c>
      <c r="G2379" s="357" t="s">
        <v>225</v>
      </c>
      <c r="H2379" s="357" t="s">
        <v>125</v>
      </c>
      <c r="I2379" s="357" t="s">
        <v>114</v>
      </c>
      <c r="J2379" s="351" t="s">
        <v>30</v>
      </c>
      <c r="K2379" s="351" t="s">
        <v>5927</v>
      </c>
      <c r="L2379" s="351" t="s">
        <v>5838</v>
      </c>
      <c r="M2379" s="351" t="s">
        <v>5838</v>
      </c>
      <c r="N2379" s="351" t="s">
        <v>276</v>
      </c>
      <c r="O2379" s="351" t="s">
        <v>276</v>
      </c>
      <c r="P2379" s="351" t="s">
        <v>239</v>
      </c>
      <c r="Q2379" s="383" t="s">
        <v>5201</v>
      </c>
      <c r="R2379" s="351" t="s">
        <v>776</v>
      </c>
      <c r="S2379" s="380" t="s">
        <v>5946</v>
      </c>
      <c r="T2379" s="380" t="s">
        <v>5947</v>
      </c>
      <c r="U2379" s="351" t="s">
        <v>276</v>
      </c>
      <c r="V2379" s="357" t="s">
        <v>259</v>
      </c>
      <c r="W2379" s="351" t="s">
        <v>5033</v>
      </c>
      <c r="X2379" s="351" t="s">
        <v>207</v>
      </c>
      <c r="Y2379" s="354">
        <v>72891</v>
      </c>
      <c r="Z2379" s="355">
        <v>89352</v>
      </c>
      <c r="AA2379" s="351" t="s">
        <v>276</v>
      </c>
      <c r="AB2379" s="351" t="s">
        <v>276</v>
      </c>
      <c r="AC2379" s="357">
        <v>570</v>
      </c>
      <c r="AD2379" s="351" t="s">
        <v>5920</v>
      </c>
      <c r="AE2379" s="357">
        <v>600</v>
      </c>
      <c r="AF2379" s="351" t="s">
        <v>5920</v>
      </c>
      <c r="AG2379" s="351" t="s">
        <v>5952</v>
      </c>
      <c r="AH2379" s="351" t="s">
        <v>1674</v>
      </c>
      <c r="AI2379" s="355">
        <v>518</v>
      </c>
      <c r="AJ2379" s="355">
        <v>667</v>
      </c>
      <c r="AK2379" s="351">
        <v>775527</v>
      </c>
      <c r="AL2379" s="351">
        <v>980474</v>
      </c>
      <c r="AM2379" s="355" t="s">
        <v>425</v>
      </c>
      <c r="AN2379" s="357" t="s">
        <v>276</v>
      </c>
      <c r="AO2379" s="356">
        <f t="shared" ref="AO2379:AO2389" si="628">AI2379*1000/AK2379</f>
        <v>0.66793290240056113</v>
      </c>
      <c r="AP2379" s="357" t="s">
        <v>276</v>
      </c>
      <c r="AQ2379" s="357" t="s">
        <v>276</v>
      </c>
      <c r="AR2379" s="357" t="s">
        <v>276</v>
      </c>
      <c r="AS2379" s="356">
        <f t="shared" ref="AS2379:AS2389" si="629">AJ2379*1000/AL2379</f>
        <v>0.6802832099576327</v>
      </c>
      <c r="AT2379" s="357" t="s">
        <v>276</v>
      </c>
      <c r="AU2379" s="357" t="s">
        <v>276</v>
      </c>
      <c r="AV2379" s="357" t="s">
        <v>269</v>
      </c>
      <c r="AW2379" s="357" t="s">
        <v>276</v>
      </c>
      <c r="AX2379" s="369">
        <f t="shared" si="627"/>
        <v>0.98184534415035651</v>
      </c>
      <c r="AY2379" s="357" t="s">
        <v>276</v>
      </c>
      <c r="AZ2379" s="357" t="s">
        <v>276</v>
      </c>
      <c r="BA2379" s="357" t="s">
        <v>276</v>
      </c>
      <c r="BB2379" s="357" t="s">
        <v>282</v>
      </c>
      <c r="BC2379" s="357" t="s">
        <v>98</v>
      </c>
      <c r="BD2379" s="357" t="s">
        <v>98</v>
      </c>
      <c r="BE2379" s="357" t="s">
        <v>98</v>
      </c>
      <c r="BF2379" s="351" t="s">
        <v>1168</v>
      </c>
      <c r="BG2379" s="351"/>
      <c r="BH2379" s="9" t="s">
        <v>100</v>
      </c>
      <c r="BI2379" s="9" t="s">
        <v>100</v>
      </c>
      <c r="BJ2379" s="373"/>
      <c r="BN2379" s="373"/>
      <c r="BO2379" s="373"/>
    </row>
    <row r="2380" spans="1:67" s="374" customFormat="1" ht="91" hidden="1" x14ac:dyDescent="0.35">
      <c r="A2380" s="357">
        <v>10549</v>
      </c>
      <c r="B2380" s="357" t="s">
        <v>5173</v>
      </c>
      <c r="C2380" s="357" t="s">
        <v>88</v>
      </c>
      <c r="D2380" s="351" t="s">
        <v>5953</v>
      </c>
      <c r="E2380" s="357" t="s">
        <v>43</v>
      </c>
      <c r="F2380" s="351" t="s">
        <v>4987</v>
      </c>
      <c r="G2380" s="357" t="s">
        <v>225</v>
      </c>
      <c r="H2380" s="357" t="s">
        <v>125</v>
      </c>
      <c r="I2380" s="357" t="s">
        <v>114</v>
      </c>
      <c r="J2380" s="351" t="s">
        <v>1116</v>
      </c>
      <c r="K2380" s="351" t="s">
        <v>5930</v>
      </c>
      <c r="L2380" s="351" t="s">
        <v>5838</v>
      </c>
      <c r="M2380" s="351" t="s">
        <v>5838</v>
      </c>
      <c r="N2380" s="351" t="s">
        <v>276</v>
      </c>
      <c r="O2380" s="351" t="s">
        <v>276</v>
      </c>
      <c r="P2380" s="351" t="s">
        <v>239</v>
      </c>
      <c r="Q2380" s="383" t="s">
        <v>5201</v>
      </c>
      <c r="R2380" s="351" t="s">
        <v>776</v>
      </c>
      <c r="S2380" s="380" t="s">
        <v>5946</v>
      </c>
      <c r="T2380" s="380" t="s">
        <v>5947</v>
      </c>
      <c r="U2380" s="351" t="s">
        <v>276</v>
      </c>
      <c r="V2380" s="357" t="s">
        <v>259</v>
      </c>
      <c r="W2380" s="351" t="s">
        <v>5033</v>
      </c>
      <c r="X2380" s="351" t="s">
        <v>207</v>
      </c>
      <c r="Y2380" s="354">
        <v>72891</v>
      </c>
      <c r="Z2380" s="355">
        <v>89352</v>
      </c>
      <c r="AA2380" s="351" t="s">
        <v>276</v>
      </c>
      <c r="AB2380" s="351" t="s">
        <v>276</v>
      </c>
      <c r="AC2380" s="357">
        <v>570</v>
      </c>
      <c r="AD2380" s="351" t="s">
        <v>5920</v>
      </c>
      <c r="AE2380" s="357">
        <v>600</v>
      </c>
      <c r="AF2380" s="351" t="s">
        <v>5920</v>
      </c>
      <c r="AG2380" s="351" t="s">
        <v>5954</v>
      </c>
      <c r="AH2380" s="351" t="s">
        <v>1674</v>
      </c>
      <c r="AI2380" s="348">
        <v>254</v>
      </c>
      <c r="AJ2380" s="355">
        <v>586</v>
      </c>
      <c r="AK2380" s="351">
        <v>775527</v>
      </c>
      <c r="AL2380" s="351">
        <v>980474</v>
      </c>
      <c r="AM2380" s="355" t="s">
        <v>425</v>
      </c>
      <c r="AN2380" s="357" t="s">
        <v>276</v>
      </c>
      <c r="AO2380" s="356">
        <f t="shared" si="628"/>
        <v>0.32751922241263037</v>
      </c>
      <c r="AP2380" s="357" t="s">
        <v>276</v>
      </c>
      <c r="AQ2380" s="357" t="s">
        <v>276</v>
      </c>
      <c r="AR2380" s="357" t="s">
        <v>276</v>
      </c>
      <c r="AS2380" s="356">
        <f t="shared" si="629"/>
        <v>0.59767010649950947</v>
      </c>
      <c r="AT2380" s="357" t="s">
        <v>276</v>
      </c>
      <c r="AU2380" s="357" t="s">
        <v>276</v>
      </c>
      <c r="AV2380" s="357" t="s">
        <v>269</v>
      </c>
      <c r="AW2380" s="357" t="s">
        <v>276</v>
      </c>
      <c r="AX2380" s="369">
        <f t="shared" si="627"/>
        <v>0.54799331412252783</v>
      </c>
      <c r="AY2380" s="357" t="s">
        <v>276</v>
      </c>
      <c r="AZ2380" s="357" t="s">
        <v>276</v>
      </c>
      <c r="BA2380" s="357" t="s">
        <v>276</v>
      </c>
      <c r="BB2380" s="357" t="s">
        <v>282</v>
      </c>
      <c r="BC2380" s="357" t="s">
        <v>98</v>
      </c>
      <c r="BD2380" s="357" t="s">
        <v>98</v>
      </c>
      <c r="BE2380" s="357" t="s">
        <v>98</v>
      </c>
      <c r="BF2380" s="351" t="s">
        <v>1168</v>
      </c>
      <c r="BG2380" s="351"/>
      <c r="BH2380" s="9" t="s">
        <v>100</v>
      </c>
      <c r="BI2380" s="9" t="s">
        <v>100</v>
      </c>
      <c r="BJ2380" s="373"/>
      <c r="BN2380" s="373"/>
      <c r="BO2380" s="373"/>
    </row>
    <row r="2381" spans="1:67" s="388" customFormat="1" ht="65" hidden="1" x14ac:dyDescent="0.35">
      <c r="A2381" s="357">
        <v>10549</v>
      </c>
      <c r="B2381" s="357" t="s">
        <v>5173</v>
      </c>
      <c r="C2381" s="357" t="s">
        <v>88</v>
      </c>
      <c r="D2381" s="351" t="s">
        <v>5955</v>
      </c>
      <c r="E2381" s="357" t="s">
        <v>43</v>
      </c>
      <c r="F2381" s="351" t="s">
        <v>4987</v>
      </c>
      <c r="G2381" s="357" t="s">
        <v>225</v>
      </c>
      <c r="H2381" s="357" t="s">
        <v>125</v>
      </c>
      <c r="I2381" s="357" t="s">
        <v>114</v>
      </c>
      <c r="J2381" s="351" t="s">
        <v>33</v>
      </c>
      <c r="K2381" s="357" t="s">
        <v>5846</v>
      </c>
      <c r="L2381" s="351" t="s">
        <v>5838</v>
      </c>
      <c r="M2381" s="351" t="s">
        <v>5838</v>
      </c>
      <c r="N2381" s="357" t="s">
        <v>276</v>
      </c>
      <c r="O2381" s="357" t="s">
        <v>276</v>
      </c>
      <c r="P2381" s="351" t="s">
        <v>239</v>
      </c>
      <c r="Q2381" s="383" t="s">
        <v>98</v>
      </c>
      <c r="R2381" s="351" t="s">
        <v>705</v>
      </c>
      <c r="S2381" s="380" t="s">
        <v>5956</v>
      </c>
      <c r="T2381" s="380" t="s">
        <v>5957</v>
      </c>
      <c r="U2381" s="351" t="s">
        <v>276</v>
      </c>
      <c r="V2381" s="357" t="s">
        <v>259</v>
      </c>
      <c r="W2381" s="351" t="s">
        <v>5033</v>
      </c>
      <c r="X2381" s="351" t="s">
        <v>207</v>
      </c>
      <c r="Y2381" s="354">
        <v>72891</v>
      </c>
      <c r="Z2381" s="355">
        <v>89352</v>
      </c>
      <c r="AA2381" s="351" t="s">
        <v>276</v>
      </c>
      <c r="AB2381" s="351" t="s">
        <v>276</v>
      </c>
      <c r="AC2381" s="357" t="s">
        <v>276</v>
      </c>
      <c r="AD2381" s="357" t="s">
        <v>5841</v>
      </c>
      <c r="AE2381" s="357" t="s">
        <v>276</v>
      </c>
      <c r="AF2381" s="357" t="s">
        <v>5841</v>
      </c>
      <c r="AG2381" s="351" t="s">
        <v>5958</v>
      </c>
      <c r="AH2381" s="351" t="s">
        <v>1674</v>
      </c>
      <c r="AI2381" s="355">
        <v>733</v>
      </c>
      <c r="AJ2381" s="355">
        <v>75</v>
      </c>
      <c r="AK2381" s="351">
        <v>71089.84</v>
      </c>
      <c r="AL2381" s="351">
        <v>88282.97</v>
      </c>
      <c r="AM2381" s="355" t="s">
        <v>425</v>
      </c>
      <c r="AN2381" s="357">
        <v>10.31</v>
      </c>
      <c r="AO2381" s="356">
        <f t="shared" si="628"/>
        <v>10.310896746989444</v>
      </c>
      <c r="AP2381" s="357" t="s">
        <v>276</v>
      </c>
      <c r="AQ2381" s="357" t="s">
        <v>276</v>
      </c>
      <c r="AR2381" s="357">
        <v>0.85</v>
      </c>
      <c r="AS2381" s="356">
        <f t="shared" si="629"/>
        <v>0.84954097035928899</v>
      </c>
      <c r="AT2381" s="357" t="s">
        <v>276</v>
      </c>
      <c r="AU2381" s="357" t="s">
        <v>276</v>
      </c>
      <c r="AV2381" s="357" t="s">
        <v>268</v>
      </c>
      <c r="AW2381" s="357" t="s">
        <v>276</v>
      </c>
      <c r="AX2381" s="369">
        <f t="shared" si="627"/>
        <v>12.137021175834223</v>
      </c>
      <c r="AY2381" s="357" t="s">
        <v>276</v>
      </c>
      <c r="AZ2381" s="357" t="s">
        <v>276</v>
      </c>
      <c r="BA2381" s="357" t="s">
        <v>276</v>
      </c>
      <c r="BB2381" s="357" t="s">
        <v>282</v>
      </c>
      <c r="BC2381" s="357" t="s">
        <v>98</v>
      </c>
      <c r="BD2381" s="357" t="s">
        <v>98</v>
      </c>
      <c r="BE2381" s="357" t="s">
        <v>98</v>
      </c>
      <c r="BF2381" s="351" t="s">
        <v>5959</v>
      </c>
      <c r="BG2381" s="364"/>
      <c r="BH2381" s="9" t="s">
        <v>100</v>
      </c>
      <c r="BI2381" s="9" t="s">
        <v>100</v>
      </c>
      <c r="BJ2381" s="387"/>
      <c r="BN2381" s="387"/>
      <c r="BO2381" s="387"/>
    </row>
    <row r="2382" spans="1:67" s="374" customFormat="1" ht="65" hidden="1" x14ac:dyDescent="0.35">
      <c r="A2382" s="357">
        <v>10549</v>
      </c>
      <c r="B2382" s="357" t="s">
        <v>5173</v>
      </c>
      <c r="C2382" s="357" t="s">
        <v>88</v>
      </c>
      <c r="D2382" s="351" t="s">
        <v>5960</v>
      </c>
      <c r="E2382" s="357" t="s">
        <v>43</v>
      </c>
      <c r="F2382" s="351" t="s">
        <v>4987</v>
      </c>
      <c r="G2382" s="357" t="s">
        <v>225</v>
      </c>
      <c r="H2382" s="357" t="s">
        <v>125</v>
      </c>
      <c r="I2382" s="357" t="s">
        <v>114</v>
      </c>
      <c r="J2382" s="351" t="s">
        <v>30</v>
      </c>
      <c r="K2382" s="351" t="s">
        <v>5938</v>
      </c>
      <c r="L2382" s="351" t="s">
        <v>5838</v>
      </c>
      <c r="M2382" s="351" t="s">
        <v>5838</v>
      </c>
      <c r="N2382" s="351" t="s">
        <v>276</v>
      </c>
      <c r="O2382" s="351" t="s">
        <v>276</v>
      </c>
      <c r="P2382" s="351" t="s">
        <v>239</v>
      </c>
      <c r="Q2382" s="383" t="s">
        <v>5201</v>
      </c>
      <c r="R2382" s="351" t="s">
        <v>776</v>
      </c>
      <c r="S2382" s="380" t="s">
        <v>5961</v>
      </c>
      <c r="T2382" s="380" t="s">
        <v>5962</v>
      </c>
      <c r="U2382" s="351" t="s">
        <v>276</v>
      </c>
      <c r="V2382" s="357" t="s">
        <v>261</v>
      </c>
      <c r="W2382" s="351" t="s">
        <v>5000</v>
      </c>
      <c r="X2382" s="351" t="s">
        <v>207</v>
      </c>
      <c r="Y2382" s="354">
        <v>82816</v>
      </c>
      <c r="Z2382" s="355">
        <v>99183</v>
      </c>
      <c r="AA2382" s="351" t="s">
        <v>276</v>
      </c>
      <c r="AB2382" s="351" t="s">
        <v>276</v>
      </c>
      <c r="AC2382" s="357">
        <v>693</v>
      </c>
      <c r="AD2382" s="351" t="s">
        <v>5920</v>
      </c>
      <c r="AE2382" s="357">
        <v>700</v>
      </c>
      <c r="AF2382" s="351" t="s">
        <v>5920</v>
      </c>
      <c r="AG2382" s="351" t="s">
        <v>5963</v>
      </c>
      <c r="AH2382" s="351" t="s">
        <v>1674</v>
      </c>
      <c r="AI2382" s="355">
        <v>4962</v>
      </c>
      <c r="AJ2382" s="355">
        <v>2773</v>
      </c>
      <c r="AK2382" s="351">
        <v>879450</v>
      </c>
      <c r="AL2382" s="351">
        <v>1086705</v>
      </c>
      <c r="AM2382" s="355" t="s">
        <v>425</v>
      </c>
      <c r="AN2382" s="357" t="s">
        <v>276</v>
      </c>
      <c r="AO2382" s="356">
        <f t="shared" si="628"/>
        <v>5.6421627153334466</v>
      </c>
      <c r="AP2382" s="357" t="s">
        <v>276</v>
      </c>
      <c r="AQ2382" s="357" t="s">
        <v>276</v>
      </c>
      <c r="AR2382" s="357" t="s">
        <v>276</v>
      </c>
      <c r="AS2382" s="356">
        <f t="shared" si="629"/>
        <v>2.5517504750599289</v>
      </c>
      <c r="AT2382" s="357" t="s">
        <v>276</v>
      </c>
      <c r="AU2382" s="357" t="s">
        <v>276</v>
      </c>
      <c r="AV2382" s="357" t="s">
        <v>269</v>
      </c>
      <c r="AW2382" s="357" t="s">
        <v>276</v>
      </c>
      <c r="AX2382" s="369">
        <f t="shared" si="627"/>
        <v>2.2110949994830267</v>
      </c>
      <c r="AY2382" s="357" t="s">
        <v>276</v>
      </c>
      <c r="AZ2382" s="357" t="s">
        <v>276</v>
      </c>
      <c r="BA2382" s="357" t="s">
        <v>276</v>
      </c>
      <c r="BB2382" s="357" t="s">
        <v>282</v>
      </c>
      <c r="BC2382" s="357" t="s">
        <v>98</v>
      </c>
      <c r="BD2382" s="357" t="s">
        <v>98</v>
      </c>
      <c r="BE2382" s="357" t="s">
        <v>98</v>
      </c>
      <c r="BF2382" s="351" t="s">
        <v>5964</v>
      </c>
      <c r="BG2382" s="351"/>
      <c r="BH2382" s="9" t="s">
        <v>100</v>
      </c>
      <c r="BI2382" s="9" t="s">
        <v>100</v>
      </c>
      <c r="BJ2382" s="373"/>
      <c r="BN2382" s="373"/>
      <c r="BO2382" s="373"/>
    </row>
    <row r="2383" spans="1:67" s="374" customFormat="1" ht="78" hidden="1" x14ac:dyDescent="0.35">
      <c r="A2383" s="357">
        <v>10549</v>
      </c>
      <c r="B2383" s="357" t="s">
        <v>5173</v>
      </c>
      <c r="C2383" s="357" t="s">
        <v>88</v>
      </c>
      <c r="D2383" s="351" t="s">
        <v>5965</v>
      </c>
      <c r="E2383" s="357" t="s">
        <v>43</v>
      </c>
      <c r="F2383" s="351" t="s">
        <v>4987</v>
      </c>
      <c r="G2383" s="357" t="s">
        <v>225</v>
      </c>
      <c r="H2383" s="357" t="s">
        <v>125</v>
      </c>
      <c r="I2383" s="357" t="s">
        <v>114</v>
      </c>
      <c r="J2383" s="351" t="s">
        <v>30</v>
      </c>
      <c r="K2383" s="351" t="s">
        <v>5941</v>
      </c>
      <c r="L2383" s="351" t="s">
        <v>5838</v>
      </c>
      <c r="M2383" s="351" t="s">
        <v>5838</v>
      </c>
      <c r="N2383" s="351" t="s">
        <v>276</v>
      </c>
      <c r="O2383" s="351" t="s">
        <v>276</v>
      </c>
      <c r="P2383" s="351" t="s">
        <v>239</v>
      </c>
      <c r="Q2383" s="383" t="s">
        <v>5201</v>
      </c>
      <c r="R2383" s="351" t="s">
        <v>776</v>
      </c>
      <c r="S2383" s="380" t="s">
        <v>5961</v>
      </c>
      <c r="T2383" s="380" t="s">
        <v>5962</v>
      </c>
      <c r="U2383" s="351" t="s">
        <v>276</v>
      </c>
      <c r="V2383" s="357" t="s">
        <v>261</v>
      </c>
      <c r="W2383" s="351" t="s">
        <v>5000</v>
      </c>
      <c r="X2383" s="351" t="s">
        <v>207</v>
      </c>
      <c r="Y2383" s="354">
        <v>82816</v>
      </c>
      <c r="Z2383" s="355">
        <v>99183</v>
      </c>
      <c r="AA2383" s="351" t="s">
        <v>276</v>
      </c>
      <c r="AB2383" s="351" t="s">
        <v>276</v>
      </c>
      <c r="AC2383" s="357">
        <v>693</v>
      </c>
      <c r="AD2383" s="351" t="s">
        <v>5920</v>
      </c>
      <c r="AE2383" s="357">
        <v>700</v>
      </c>
      <c r="AF2383" s="351" t="s">
        <v>5920</v>
      </c>
      <c r="AG2383" s="351" t="s">
        <v>5966</v>
      </c>
      <c r="AH2383" s="351" t="s">
        <v>1674</v>
      </c>
      <c r="AI2383" s="355">
        <v>1831</v>
      </c>
      <c r="AJ2383" s="355">
        <v>1845</v>
      </c>
      <c r="AK2383" s="351">
        <v>879450</v>
      </c>
      <c r="AL2383" s="351">
        <v>1086705</v>
      </c>
      <c r="AM2383" s="355" t="s">
        <v>425</v>
      </c>
      <c r="AN2383" s="357" t="s">
        <v>276</v>
      </c>
      <c r="AO2383" s="356">
        <f t="shared" si="628"/>
        <v>2.0819830575928138</v>
      </c>
      <c r="AP2383" s="357" t="s">
        <v>276</v>
      </c>
      <c r="AQ2383" s="357" t="s">
        <v>276</v>
      </c>
      <c r="AR2383" s="357" t="s">
        <v>276</v>
      </c>
      <c r="AS2383" s="356">
        <f t="shared" si="629"/>
        <v>1.6977928692699491</v>
      </c>
      <c r="AT2383" s="357" t="s">
        <v>276</v>
      </c>
      <c r="AU2383" s="357" t="s">
        <v>276</v>
      </c>
      <c r="AV2383" s="357" t="s">
        <v>269</v>
      </c>
      <c r="AW2383" s="357" t="s">
        <v>276</v>
      </c>
      <c r="AX2383" s="369">
        <f t="shared" ref="AX2383:AX2395" si="630">AO2383/AS2383</f>
        <v>1.2262880209221674</v>
      </c>
      <c r="AY2383" s="357" t="s">
        <v>276</v>
      </c>
      <c r="AZ2383" s="357" t="s">
        <v>276</v>
      </c>
      <c r="BA2383" s="357" t="s">
        <v>276</v>
      </c>
      <c r="BB2383" s="357" t="s">
        <v>282</v>
      </c>
      <c r="BC2383" s="357" t="s">
        <v>98</v>
      </c>
      <c r="BD2383" s="357" t="s">
        <v>98</v>
      </c>
      <c r="BE2383" s="357" t="s">
        <v>98</v>
      </c>
      <c r="BF2383" s="351" t="s">
        <v>5964</v>
      </c>
      <c r="BG2383" s="351"/>
      <c r="BH2383" s="9" t="s">
        <v>100</v>
      </c>
      <c r="BI2383" s="9" t="s">
        <v>100</v>
      </c>
      <c r="BJ2383" s="373"/>
      <c r="BN2383" s="373"/>
      <c r="BO2383" s="373"/>
    </row>
    <row r="2384" spans="1:67" s="374" customFormat="1" ht="65" hidden="1" x14ac:dyDescent="0.35">
      <c r="A2384" s="357">
        <v>10549</v>
      </c>
      <c r="B2384" s="357" t="s">
        <v>5173</v>
      </c>
      <c r="C2384" s="357" t="s">
        <v>88</v>
      </c>
      <c r="D2384" s="351" t="s">
        <v>5967</v>
      </c>
      <c r="E2384" s="357" t="s">
        <v>43</v>
      </c>
      <c r="F2384" s="351" t="s">
        <v>4987</v>
      </c>
      <c r="G2384" s="357" t="s">
        <v>225</v>
      </c>
      <c r="H2384" s="357" t="s">
        <v>125</v>
      </c>
      <c r="I2384" s="357" t="s">
        <v>114</v>
      </c>
      <c r="J2384" s="351" t="s">
        <v>30</v>
      </c>
      <c r="K2384" s="351" t="s">
        <v>5927</v>
      </c>
      <c r="L2384" s="351" t="s">
        <v>5838</v>
      </c>
      <c r="M2384" s="351" t="s">
        <v>5838</v>
      </c>
      <c r="N2384" s="351" t="s">
        <v>276</v>
      </c>
      <c r="O2384" s="351" t="s">
        <v>276</v>
      </c>
      <c r="P2384" s="351" t="s">
        <v>239</v>
      </c>
      <c r="Q2384" s="383" t="s">
        <v>5201</v>
      </c>
      <c r="R2384" s="351" t="s">
        <v>776</v>
      </c>
      <c r="S2384" s="380" t="s">
        <v>5961</v>
      </c>
      <c r="T2384" s="380" t="s">
        <v>5962</v>
      </c>
      <c r="U2384" s="351" t="s">
        <v>276</v>
      </c>
      <c r="V2384" s="357" t="s">
        <v>261</v>
      </c>
      <c r="W2384" s="351" t="s">
        <v>5000</v>
      </c>
      <c r="X2384" s="351" t="s">
        <v>207</v>
      </c>
      <c r="Y2384" s="354">
        <v>82816</v>
      </c>
      <c r="Z2384" s="355">
        <v>99183</v>
      </c>
      <c r="AA2384" s="351" t="s">
        <v>276</v>
      </c>
      <c r="AB2384" s="351" t="s">
        <v>276</v>
      </c>
      <c r="AC2384" s="357">
        <v>693</v>
      </c>
      <c r="AD2384" s="351" t="s">
        <v>5920</v>
      </c>
      <c r="AE2384" s="357">
        <v>700</v>
      </c>
      <c r="AF2384" s="351" t="s">
        <v>5920</v>
      </c>
      <c r="AG2384" s="351" t="s">
        <v>5968</v>
      </c>
      <c r="AH2384" s="351" t="s">
        <v>1674</v>
      </c>
      <c r="AI2384" s="355">
        <v>591</v>
      </c>
      <c r="AJ2384" s="355">
        <v>736</v>
      </c>
      <c r="AK2384" s="351">
        <v>879450</v>
      </c>
      <c r="AL2384" s="351">
        <v>1086705</v>
      </c>
      <c r="AM2384" s="355" t="s">
        <v>425</v>
      </c>
      <c r="AN2384" s="357" t="s">
        <v>276</v>
      </c>
      <c r="AO2384" s="356">
        <f t="shared" si="628"/>
        <v>0.67201091591335493</v>
      </c>
      <c r="AP2384" s="357" t="s">
        <v>276</v>
      </c>
      <c r="AQ2384" s="357" t="s">
        <v>276</v>
      </c>
      <c r="AR2384" s="357" t="s">
        <v>276</v>
      </c>
      <c r="AS2384" s="356">
        <f t="shared" si="629"/>
        <v>0.67727672183343224</v>
      </c>
      <c r="AT2384" s="357" t="s">
        <v>276</v>
      </c>
      <c r="AU2384" s="357" t="s">
        <v>276</v>
      </c>
      <c r="AV2384" s="357" t="s">
        <v>269</v>
      </c>
      <c r="AW2384" s="357" t="s">
        <v>276</v>
      </c>
      <c r="AX2384" s="369">
        <f t="shared" si="630"/>
        <v>0.99222503040437826</v>
      </c>
      <c r="AY2384" s="357" t="s">
        <v>276</v>
      </c>
      <c r="AZ2384" s="357" t="s">
        <v>276</v>
      </c>
      <c r="BA2384" s="357" t="s">
        <v>276</v>
      </c>
      <c r="BB2384" s="357" t="s">
        <v>282</v>
      </c>
      <c r="BC2384" s="357" t="s">
        <v>98</v>
      </c>
      <c r="BD2384" s="357" t="s">
        <v>98</v>
      </c>
      <c r="BE2384" s="357" t="s">
        <v>98</v>
      </c>
      <c r="BF2384" s="351" t="s">
        <v>5964</v>
      </c>
      <c r="BG2384" s="351"/>
      <c r="BH2384" s="9" t="s">
        <v>100</v>
      </c>
      <c r="BI2384" s="9" t="s">
        <v>100</v>
      </c>
      <c r="BJ2384" s="373"/>
      <c r="BN2384" s="373"/>
      <c r="BO2384" s="373"/>
    </row>
    <row r="2385" spans="1:68" s="374" customFormat="1" ht="91" hidden="1" x14ac:dyDescent="0.35">
      <c r="A2385" s="357">
        <v>10549</v>
      </c>
      <c r="B2385" s="357" t="s">
        <v>5173</v>
      </c>
      <c r="C2385" s="357" t="s">
        <v>88</v>
      </c>
      <c r="D2385" s="351" t="s">
        <v>5969</v>
      </c>
      <c r="E2385" s="357" t="s">
        <v>43</v>
      </c>
      <c r="F2385" s="351" t="s">
        <v>4987</v>
      </c>
      <c r="G2385" s="357" t="s">
        <v>225</v>
      </c>
      <c r="H2385" s="357" t="s">
        <v>125</v>
      </c>
      <c r="I2385" s="357" t="s">
        <v>114</v>
      </c>
      <c r="J2385" s="351" t="s">
        <v>1116</v>
      </c>
      <c r="K2385" s="351" t="s">
        <v>5930</v>
      </c>
      <c r="L2385" s="351" t="s">
        <v>5838</v>
      </c>
      <c r="M2385" s="351" t="s">
        <v>5838</v>
      </c>
      <c r="N2385" s="351" t="s">
        <v>276</v>
      </c>
      <c r="O2385" s="351" t="s">
        <v>276</v>
      </c>
      <c r="P2385" s="351" t="s">
        <v>239</v>
      </c>
      <c r="Q2385" s="383" t="s">
        <v>5201</v>
      </c>
      <c r="R2385" s="351" t="s">
        <v>776</v>
      </c>
      <c r="S2385" s="380" t="s">
        <v>5961</v>
      </c>
      <c r="T2385" s="380" t="s">
        <v>5962</v>
      </c>
      <c r="U2385" s="351" t="s">
        <v>276</v>
      </c>
      <c r="V2385" s="357" t="s">
        <v>261</v>
      </c>
      <c r="W2385" s="351" t="s">
        <v>5000</v>
      </c>
      <c r="X2385" s="351" t="s">
        <v>207</v>
      </c>
      <c r="Y2385" s="354">
        <v>82816</v>
      </c>
      <c r="Z2385" s="355">
        <v>99183</v>
      </c>
      <c r="AA2385" s="351" t="s">
        <v>276</v>
      </c>
      <c r="AB2385" s="351" t="s">
        <v>276</v>
      </c>
      <c r="AC2385" s="357">
        <v>693</v>
      </c>
      <c r="AD2385" s="351" t="s">
        <v>5920</v>
      </c>
      <c r="AE2385" s="357">
        <v>700</v>
      </c>
      <c r="AF2385" s="351" t="s">
        <v>5920</v>
      </c>
      <c r="AG2385" s="351" t="s">
        <v>5970</v>
      </c>
      <c r="AH2385" s="351" t="s">
        <v>1674</v>
      </c>
      <c r="AI2385" s="355">
        <v>294</v>
      </c>
      <c r="AJ2385" s="355">
        <v>653</v>
      </c>
      <c r="AK2385" s="351">
        <v>879450</v>
      </c>
      <c r="AL2385" s="351">
        <v>1086705</v>
      </c>
      <c r="AM2385" s="355" t="s">
        <v>425</v>
      </c>
      <c r="AN2385" s="357" t="s">
        <v>276</v>
      </c>
      <c r="AO2385" s="356">
        <f t="shared" si="628"/>
        <v>0.33429984649496847</v>
      </c>
      <c r="AP2385" s="357" t="s">
        <v>276</v>
      </c>
      <c r="AQ2385" s="357" t="s">
        <v>276</v>
      </c>
      <c r="AR2385" s="357" t="s">
        <v>276</v>
      </c>
      <c r="AS2385" s="356">
        <f t="shared" si="629"/>
        <v>0.60089904803971639</v>
      </c>
      <c r="AT2385" s="357" t="s">
        <v>276</v>
      </c>
      <c r="AU2385" s="357" t="s">
        <v>276</v>
      </c>
      <c r="AV2385" s="357" t="s">
        <v>269</v>
      </c>
      <c r="AW2385" s="357" t="s">
        <v>276</v>
      </c>
      <c r="AX2385" s="369">
        <f t="shared" si="630"/>
        <v>0.55633279431135485</v>
      </c>
      <c r="AY2385" s="357" t="s">
        <v>276</v>
      </c>
      <c r="AZ2385" s="357" t="s">
        <v>276</v>
      </c>
      <c r="BA2385" s="357" t="s">
        <v>276</v>
      </c>
      <c r="BB2385" s="357" t="s">
        <v>282</v>
      </c>
      <c r="BC2385" s="357" t="s">
        <v>98</v>
      </c>
      <c r="BD2385" s="357" t="s">
        <v>98</v>
      </c>
      <c r="BE2385" s="357" t="s">
        <v>98</v>
      </c>
      <c r="BF2385" s="351" t="s">
        <v>5964</v>
      </c>
      <c r="BG2385" s="351"/>
      <c r="BH2385" s="9" t="s">
        <v>100</v>
      </c>
      <c r="BI2385" s="9" t="s">
        <v>100</v>
      </c>
      <c r="BJ2385" s="373"/>
      <c r="BN2385" s="373"/>
      <c r="BO2385" s="373"/>
    </row>
    <row r="2386" spans="1:68" s="374" customFormat="1" ht="65" hidden="1" x14ac:dyDescent="0.35">
      <c r="A2386" s="357">
        <v>10213</v>
      </c>
      <c r="B2386" s="357" t="s">
        <v>5971</v>
      </c>
      <c r="C2386" s="357" t="s">
        <v>88</v>
      </c>
      <c r="D2386" s="351" t="s">
        <v>5972</v>
      </c>
      <c r="E2386" s="357" t="s">
        <v>43</v>
      </c>
      <c r="F2386" s="351" t="s">
        <v>4987</v>
      </c>
      <c r="G2386" s="357" t="s">
        <v>225</v>
      </c>
      <c r="H2386" s="357" t="s">
        <v>125</v>
      </c>
      <c r="I2386" s="357" t="s">
        <v>114</v>
      </c>
      <c r="J2386" s="351" t="s">
        <v>30</v>
      </c>
      <c r="K2386" s="351" t="s">
        <v>5938</v>
      </c>
      <c r="L2386" s="351" t="s">
        <v>5838</v>
      </c>
      <c r="M2386" s="351" t="s">
        <v>5838</v>
      </c>
      <c r="N2386" s="351" t="s">
        <v>5973</v>
      </c>
      <c r="O2386" s="351" t="s">
        <v>276</v>
      </c>
      <c r="P2386" s="351" t="s">
        <v>239</v>
      </c>
      <c r="Q2386" s="383" t="s">
        <v>5263</v>
      </c>
      <c r="R2386" s="351" t="s">
        <v>1252</v>
      </c>
      <c r="S2386" s="380" t="s">
        <v>5974</v>
      </c>
      <c r="T2386" s="380" t="s">
        <v>5975</v>
      </c>
      <c r="U2386" s="351" t="s">
        <v>276</v>
      </c>
      <c r="V2386" s="357" t="s">
        <v>259</v>
      </c>
      <c r="W2386" s="351" t="s">
        <v>5033</v>
      </c>
      <c r="X2386" s="351" t="s">
        <v>207</v>
      </c>
      <c r="Y2386" s="354">
        <v>72890</v>
      </c>
      <c r="Z2386" s="355">
        <v>89351</v>
      </c>
      <c r="AA2386" s="351" t="s">
        <v>276</v>
      </c>
      <c r="AB2386" s="351" t="s">
        <v>276</v>
      </c>
      <c r="AC2386" s="357">
        <v>801</v>
      </c>
      <c r="AD2386" s="351" t="s">
        <v>5976</v>
      </c>
      <c r="AE2386" s="357">
        <v>858</v>
      </c>
      <c r="AF2386" s="351" t="s">
        <v>5976</v>
      </c>
      <c r="AG2386" s="351" t="s">
        <v>5977</v>
      </c>
      <c r="AH2386" s="351" t="s">
        <v>1674</v>
      </c>
      <c r="AI2386" s="355">
        <v>4761</v>
      </c>
      <c r="AJ2386" s="355">
        <v>3021</v>
      </c>
      <c r="AK2386" s="351">
        <v>775527</v>
      </c>
      <c r="AL2386" s="351">
        <v>980474</v>
      </c>
      <c r="AM2386" s="355" t="s">
        <v>425</v>
      </c>
      <c r="AN2386" s="357" t="s">
        <v>276</v>
      </c>
      <c r="AO2386" s="356">
        <f t="shared" si="628"/>
        <v>6.1390512516005247</v>
      </c>
      <c r="AP2386" s="357" t="s">
        <v>276</v>
      </c>
      <c r="AQ2386" s="357" t="s">
        <v>276</v>
      </c>
      <c r="AR2386" s="357" t="s">
        <v>276</v>
      </c>
      <c r="AS2386" s="356">
        <f t="shared" si="629"/>
        <v>3.0811627845307474</v>
      </c>
      <c r="AT2386" s="357" t="s">
        <v>276</v>
      </c>
      <c r="AU2386" s="357" t="s">
        <v>276</v>
      </c>
      <c r="AV2386" s="357" t="s">
        <v>269</v>
      </c>
      <c r="AW2386" s="357" t="s">
        <v>276</v>
      </c>
      <c r="AX2386" s="369">
        <f t="shared" si="630"/>
        <v>1.99244625516775</v>
      </c>
      <c r="AY2386" s="357" t="s">
        <v>276</v>
      </c>
      <c r="AZ2386" s="357" t="s">
        <v>276</v>
      </c>
      <c r="BA2386" s="357" t="s">
        <v>276</v>
      </c>
      <c r="BB2386" s="357" t="s">
        <v>282</v>
      </c>
      <c r="BC2386" s="357" t="s">
        <v>98</v>
      </c>
      <c r="BD2386" s="357" t="s">
        <v>98</v>
      </c>
      <c r="BE2386" s="357" t="s">
        <v>98</v>
      </c>
      <c r="BF2386" s="351" t="s">
        <v>1168</v>
      </c>
      <c r="BG2386" s="351"/>
      <c r="BH2386" s="9" t="s">
        <v>100</v>
      </c>
      <c r="BI2386" s="9" t="s">
        <v>100</v>
      </c>
      <c r="BJ2386" s="373"/>
      <c r="BN2386" s="373"/>
      <c r="BO2386" s="373"/>
    </row>
    <row r="2387" spans="1:68" s="374" customFormat="1" ht="78" hidden="1" x14ac:dyDescent="0.35">
      <c r="A2387" s="357">
        <v>10213</v>
      </c>
      <c r="B2387" s="357" t="s">
        <v>5971</v>
      </c>
      <c r="C2387" s="357" t="s">
        <v>88</v>
      </c>
      <c r="D2387" s="351" t="s">
        <v>5978</v>
      </c>
      <c r="E2387" s="357" t="s">
        <v>43</v>
      </c>
      <c r="F2387" s="351" t="s">
        <v>4987</v>
      </c>
      <c r="G2387" s="357" t="s">
        <v>225</v>
      </c>
      <c r="H2387" s="357" t="s">
        <v>125</v>
      </c>
      <c r="I2387" s="357" t="s">
        <v>114</v>
      </c>
      <c r="J2387" s="351" t="s">
        <v>30</v>
      </c>
      <c r="K2387" s="351" t="s">
        <v>5941</v>
      </c>
      <c r="L2387" s="351" t="s">
        <v>5838</v>
      </c>
      <c r="M2387" s="351" t="s">
        <v>5838</v>
      </c>
      <c r="N2387" s="351" t="s">
        <v>5973</v>
      </c>
      <c r="O2387" s="351" t="s">
        <v>276</v>
      </c>
      <c r="P2387" s="351" t="s">
        <v>239</v>
      </c>
      <c r="Q2387" s="383" t="s">
        <v>5263</v>
      </c>
      <c r="R2387" s="351" t="s">
        <v>1252</v>
      </c>
      <c r="S2387" s="380" t="s">
        <v>5974</v>
      </c>
      <c r="T2387" s="380" t="s">
        <v>5975</v>
      </c>
      <c r="U2387" s="351" t="s">
        <v>276</v>
      </c>
      <c r="V2387" s="357" t="s">
        <v>259</v>
      </c>
      <c r="W2387" s="351" t="s">
        <v>5033</v>
      </c>
      <c r="X2387" s="351" t="s">
        <v>207</v>
      </c>
      <c r="Y2387" s="354">
        <v>72890</v>
      </c>
      <c r="Z2387" s="355">
        <v>89351</v>
      </c>
      <c r="AA2387" s="351" t="s">
        <v>276</v>
      </c>
      <c r="AB2387" s="351" t="s">
        <v>276</v>
      </c>
      <c r="AC2387" s="357">
        <v>801</v>
      </c>
      <c r="AD2387" s="351" t="s">
        <v>5976</v>
      </c>
      <c r="AE2387" s="357">
        <v>858</v>
      </c>
      <c r="AF2387" s="351" t="s">
        <v>5976</v>
      </c>
      <c r="AG2387" s="351" t="s">
        <v>5979</v>
      </c>
      <c r="AH2387" s="351" t="s">
        <v>1674</v>
      </c>
      <c r="AI2387" s="355">
        <v>1892</v>
      </c>
      <c r="AJ2387" s="355">
        <v>2197</v>
      </c>
      <c r="AK2387" s="351">
        <v>775527</v>
      </c>
      <c r="AL2387" s="351">
        <v>980474</v>
      </c>
      <c r="AM2387" s="355" t="s">
        <v>425</v>
      </c>
      <c r="AN2387" s="357" t="s">
        <v>276</v>
      </c>
      <c r="AO2387" s="356">
        <f t="shared" si="628"/>
        <v>2.4396313732468373</v>
      </c>
      <c r="AP2387" s="357" t="s">
        <v>276</v>
      </c>
      <c r="AQ2387" s="357" t="s">
        <v>276</v>
      </c>
      <c r="AR2387" s="357" t="s">
        <v>276</v>
      </c>
      <c r="AS2387" s="356">
        <f t="shared" si="629"/>
        <v>2.2407529419444066</v>
      </c>
      <c r="AT2387" s="357" t="s">
        <v>276</v>
      </c>
      <c r="AU2387" s="357" t="s">
        <v>276</v>
      </c>
      <c r="AV2387" s="357" t="s">
        <v>269</v>
      </c>
      <c r="AW2387" s="357" t="s">
        <v>276</v>
      </c>
      <c r="AX2387" s="369">
        <f t="shared" si="630"/>
        <v>1.0887551802698314</v>
      </c>
      <c r="AY2387" s="357" t="s">
        <v>276</v>
      </c>
      <c r="AZ2387" s="357" t="s">
        <v>276</v>
      </c>
      <c r="BA2387" s="357" t="s">
        <v>276</v>
      </c>
      <c r="BB2387" s="357" t="s">
        <v>282</v>
      </c>
      <c r="BC2387" s="357" t="s">
        <v>98</v>
      </c>
      <c r="BD2387" s="357" t="s">
        <v>98</v>
      </c>
      <c r="BE2387" s="357" t="s">
        <v>98</v>
      </c>
      <c r="BF2387" s="351" t="s">
        <v>1168</v>
      </c>
      <c r="BG2387" s="351"/>
      <c r="BH2387" s="9" t="s">
        <v>100</v>
      </c>
      <c r="BI2387" s="9" t="s">
        <v>100</v>
      </c>
      <c r="BJ2387" s="373"/>
      <c r="BN2387" s="373"/>
      <c r="BO2387" s="373"/>
    </row>
    <row r="2388" spans="1:68" s="374" customFormat="1" ht="65" hidden="1" x14ac:dyDescent="0.35">
      <c r="A2388" s="357">
        <v>10213</v>
      </c>
      <c r="B2388" s="357" t="s">
        <v>5971</v>
      </c>
      <c r="C2388" s="357" t="s">
        <v>88</v>
      </c>
      <c r="D2388" s="351" t="s">
        <v>5980</v>
      </c>
      <c r="E2388" s="357" t="s">
        <v>43</v>
      </c>
      <c r="F2388" s="351" t="s">
        <v>4987</v>
      </c>
      <c r="G2388" s="357" t="s">
        <v>225</v>
      </c>
      <c r="H2388" s="357" t="s">
        <v>125</v>
      </c>
      <c r="I2388" s="357" t="s">
        <v>114</v>
      </c>
      <c r="J2388" s="351" t="s">
        <v>30</v>
      </c>
      <c r="K2388" s="351" t="s">
        <v>5927</v>
      </c>
      <c r="L2388" s="351" t="s">
        <v>5838</v>
      </c>
      <c r="M2388" s="351" t="s">
        <v>5838</v>
      </c>
      <c r="N2388" s="351" t="s">
        <v>5973</v>
      </c>
      <c r="O2388" s="351" t="s">
        <v>276</v>
      </c>
      <c r="P2388" s="351" t="s">
        <v>239</v>
      </c>
      <c r="Q2388" s="383" t="s">
        <v>5263</v>
      </c>
      <c r="R2388" s="351" t="s">
        <v>1252</v>
      </c>
      <c r="S2388" s="380" t="s">
        <v>5974</v>
      </c>
      <c r="T2388" s="380" t="s">
        <v>5975</v>
      </c>
      <c r="U2388" s="351" t="s">
        <v>276</v>
      </c>
      <c r="V2388" s="357" t="s">
        <v>259</v>
      </c>
      <c r="W2388" s="351" t="s">
        <v>5033</v>
      </c>
      <c r="X2388" s="351" t="s">
        <v>207</v>
      </c>
      <c r="Y2388" s="354">
        <v>72890</v>
      </c>
      <c r="Z2388" s="355">
        <v>89351</v>
      </c>
      <c r="AA2388" s="351" t="s">
        <v>276</v>
      </c>
      <c r="AB2388" s="351" t="s">
        <v>276</v>
      </c>
      <c r="AC2388" s="357">
        <v>801</v>
      </c>
      <c r="AD2388" s="351" t="s">
        <v>5976</v>
      </c>
      <c r="AE2388" s="357">
        <v>858</v>
      </c>
      <c r="AF2388" s="351" t="s">
        <v>5976</v>
      </c>
      <c r="AG2388" s="351" t="s">
        <v>5981</v>
      </c>
      <c r="AH2388" s="351" t="s">
        <v>1674</v>
      </c>
      <c r="AI2388" s="355">
        <v>650</v>
      </c>
      <c r="AJ2388" s="355">
        <v>917</v>
      </c>
      <c r="AK2388" s="351">
        <v>775527</v>
      </c>
      <c r="AL2388" s="351">
        <v>980474</v>
      </c>
      <c r="AM2388" s="355" t="s">
        <v>425</v>
      </c>
      <c r="AN2388" s="357" t="s">
        <v>276</v>
      </c>
      <c r="AO2388" s="356">
        <f t="shared" si="628"/>
        <v>0.8381397423945266</v>
      </c>
      <c r="AP2388" s="357" t="s">
        <v>276</v>
      </c>
      <c r="AQ2388" s="357" t="s">
        <v>276</v>
      </c>
      <c r="AR2388" s="357" t="s">
        <v>276</v>
      </c>
      <c r="AS2388" s="356">
        <f t="shared" si="629"/>
        <v>0.93526192433455657</v>
      </c>
      <c r="AT2388" s="357" t="s">
        <v>276</v>
      </c>
      <c r="AU2388" s="357" t="s">
        <v>276</v>
      </c>
      <c r="AV2388" s="357" t="s">
        <v>269</v>
      </c>
      <c r="AW2388" s="357" t="s">
        <v>276</v>
      </c>
      <c r="AX2388" s="369">
        <f t="shared" si="630"/>
        <v>0.89615509900166967</v>
      </c>
      <c r="AY2388" s="357" t="s">
        <v>276</v>
      </c>
      <c r="AZ2388" s="357" t="s">
        <v>276</v>
      </c>
      <c r="BA2388" s="357" t="s">
        <v>276</v>
      </c>
      <c r="BB2388" s="357" t="s">
        <v>282</v>
      </c>
      <c r="BC2388" s="357" t="s">
        <v>98</v>
      </c>
      <c r="BD2388" s="357" t="s">
        <v>98</v>
      </c>
      <c r="BE2388" s="357" t="s">
        <v>98</v>
      </c>
      <c r="BF2388" s="351" t="s">
        <v>1168</v>
      </c>
      <c r="BG2388" s="351"/>
      <c r="BH2388" s="9" t="s">
        <v>100</v>
      </c>
      <c r="BI2388" s="9" t="s">
        <v>100</v>
      </c>
      <c r="BJ2388" s="373"/>
      <c r="BN2388" s="373"/>
      <c r="BO2388" s="373"/>
    </row>
    <row r="2389" spans="1:68" s="374" customFormat="1" ht="91" hidden="1" x14ac:dyDescent="0.35">
      <c r="A2389" s="357">
        <v>10213</v>
      </c>
      <c r="B2389" s="357" t="s">
        <v>5971</v>
      </c>
      <c r="C2389" s="357" t="s">
        <v>88</v>
      </c>
      <c r="D2389" s="351" t="s">
        <v>5982</v>
      </c>
      <c r="E2389" s="357" t="s">
        <v>43</v>
      </c>
      <c r="F2389" s="351" t="s">
        <v>4987</v>
      </c>
      <c r="G2389" s="357" t="s">
        <v>225</v>
      </c>
      <c r="H2389" s="357" t="s">
        <v>125</v>
      </c>
      <c r="I2389" s="357" t="s">
        <v>114</v>
      </c>
      <c r="J2389" s="351" t="s">
        <v>1116</v>
      </c>
      <c r="K2389" s="351" t="s">
        <v>5930</v>
      </c>
      <c r="L2389" s="351" t="s">
        <v>5838</v>
      </c>
      <c r="M2389" s="351" t="s">
        <v>5838</v>
      </c>
      <c r="N2389" s="351" t="s">
        <v>5973</v>
      </c>
      <c r="O2389" s="351" t="s">
        <v>276</v>
      </c>
      <c r="P2389" s="351" t="s">
        <v>239</v>
      </c>
      <c r="Q2389" s="383" t="s">
        <v>5263</v>
      </c>
      <c r="R2389" s="351" t="s">
        <v>1252</v>
      </c>
      <c r="S2389" s="380" t="s">
        <v>5974</v>
      </c>
      <c r="T2389" s="380" t="s">
        <v>5975</v>
      </c>
      <c r="U2389" s="351" t="s">
        <v>276</v>
      </c>
      <c r="V2389" s="357" t="s">
        <v>259</v>
      </c>
      <c r="W2389" s="351" t="s">
        <v>5033</v>
      </c>
      <c r="X2389" s="351" t="s">
        <v>207</v>
      </c>
      <c r="Y2389" s="354">
        <v>72890</v>
      </c>
      <c r="Z2389" s="355">
        <v>89351</v>
      </c>
      <c r="AA2389" s="351" t="s">
        <v>276</v>
      </c>
      <c r="AB2389" s="351" t="s">
        <v>276</v>
      </c>
      <c r="AC2389" s="357">
        <v>801</v>
      </c>
      <c r="AD2389" s="351" t="s">
        <v>5976</v>
      </c>
      <c r="AE2389" s="357">
        <v>858</v>
      </c>
      <c r="AF2389" s="351" t="s">
        <v>5976</v>
      </c>
      <c r="AG2389" s="351" t="s">
        <v>5983</v>
      </c>
      <c r="AH2389" s="351" t="s">
        <v>1674</v>
      </c>
      <c r="AI2389" s="355">
        <v>340</v>
      </c>
      <c r="AJ2389" s="355">
        <v>739</v>
      </c>
      <c r="AK2389" s="351">
        <v>775527</v>
      </c>
      <c r="AL2389" s="351">
        <v>980474</v>
      </c>
      <c r="AM2389" s="355" t="s">
        <v>425</v>
      </c>
      <c r="AN2389" s="357" t="s">
        <v>276</v>
      </c>
      <c r="AO2389" s="356">
        <f t="shared" si="628"/>
        <v>0.43841155756021388</v>
      </c>
      <c r="AP2389" s="357" t="s">
        <v>276</v>
      </c>
      <c r="AQ2389" s="357" t="s">
        <v>276</v>
      </c>
      <c r="AR2389" s="357" t="s">
        <v>276</v>
      </c>
      <c r="AS2389" s="356">
        <f t="shared" si="629"/>
        <v>0.7537170796981868</v>
      </c>
      <c r="AT2389" s="357" t="s">
        <v>276</v>
      </c>
      <c r="AU2389" s="357" t="s">
        <v>276</v>
      </c>
      <c r="AV2389" s="357" t="s">
        <v>269</v>
      </c>
      <c r="AW2389" s="357" t="s">
        <v>276</v>
      </c>
      <c r="AX2389" s="369">
        <f t="shared" si="630"/>
        <v>0.58166594517901649</v>
      </c>
      <c r="AY2389" s="357" t="s">
        <v>276</v>
      </c>
      <c r="AZ2389" s="357" t="s">
        <v>276</v>
      </c>
      <c r="BA2389" s="357" t="s">
        <v>276</v>
      </c>
      <c r="BB2389" s="357" t="s">
        <v>282</v>
      </c>
      <c r="BC2389" s="357" t="s">
        <v>98</v>
      </c>
      <c r="BD2389" s="357" t="s">
        <v>98</v>
      </c>
      <c r="BE2389" s="357" t="s">
        <v>98</v>
      </c>
      <c r="BF2389" s="351" t="s">
        <v>1168</v>
      </c>
      <c r="BG2389" s="351"/>
      <c r="BH2389" s="9" t="s">
        <v>100</v>
      </c>
      <c r="BI2389" s="9" t="s">
        <v>100</v>
      </c>
      <c r="BJ2389" s="373"/>
      <c r="BN2389" s="373"/>
      <c r="BO2389" s="373"/>
    </row>
    <row r="2390" spans="1:68" s="394" customFormat="1" ht="78" hidden="1" x14ac:dyDescent="0.35">
      <c r="A2390" s="357">
        <v>10432</v>
      </c>
      <c r="B2390" s="357" t="s">
        <v>5984</v>
      </c>
      <c r="C2390" s="357" t="s">
        <v>88</v>
      </c>
      <c r="D2390" s="351" t="s">
        <v>5985</v>
      </c>
      <c r="E2390" s="357" t="s">
        <v>43</v>
      </c>
      <c r="F2390" s="351" t="s">
        <v>4987</v>
      </c>
      <c r="G2390" s="357" t="s">
        <v>225</v>
      </c>
      <c r="H2390" s="357" t="s">
        <v>125</v>
      </c>
      <c r="I2390" s="357" t="s">
        <v>114</v>
      </c>
      <c r="J2390" s="351" t="s">
        <v>33</v>
      </c>
      <c r="K2390" s="357" t="s">
        <v>5846</v>
      </c>
      <c r="L2390" s="351" t="s">
        <v>5986</v>
      </c>
      <c r="M2390" s="351" t="s">
        <v>5838</v>
      </c>
      <c r="N2390" s="351" t="s">
        <v>5987</v>
      </c>
      <c r="O2390" s="351" t="s">
        <v>5988</v>
      </c>
      <c r="P2390" s="351" t="s">
        <v>239</v>
      </c>
      <c r="Q2390" s="383" t="s">
        <v>5989</v>
      </c>
      <c r="R2390" s="357" t="s">
        <v>276</v>
      </c>
      <c r="S2390" s="357" t="s">
        <v>276</v>
      </c>
      <c r="T2390" s="357" t="s">
        <v>276</v>
      </c>
      <c r="U2390" s="357">
        <v>3</v>
      </c>
      <c r="V2390" s="357" t="s">
        <v>261</v>
      </c>
      <c r="W2390" s="351" t="s">
        <v>5153</v>
      </c>
      <c r="X2390" s="351" t="s">
        <v>207</v>
      </c>
      <c r="Y2390" s="354">
        <v>21210</v>
      </c>
      <c r="Z2390" s="351">
        <v>21166</v>
      </c>
      <c r="AA2390" s="392" t="s">
        <v>276</v>
      </c>
      <c r="AB2390" s="392" t="s">
        <v>276</v>
      </c>
      <c r="AC2390" s="351">
        <v>149</v>
      </c>
      <c r="AD2390" s="351" t="s">
        <v>5990</v>
      </c>
      <c r="AE2390" s="351">
        <f>88+29</f>
        <v>117</v>
      </c>
      <c r="AF2390" s="351" t="s">
        <v>5991</v>
      </c>
      <c r="AG2390" s="351" t="s">
        <v>5992</v>
      </c>
      <c r="AH2390" s="351" t="s">
        <v>5993</v>
      </c>
      <c r="AI2390" s="355">
        <v>685</v>
      </c>
      <c r="AJ2390" s="355">
        <v>117</v>
      </c>
      <c r="AK2390" s="354">
        <v>21210</v>
      </c>
      <c r="AL2390" s="351">
        <v>21166</v>
      </c>
      <c r="AM2390" s="392" t="s">
        <v>292</v>
      </c>
      <c r="AN2390" s="357" t="s">
        <v>276</v>
      </c>
      <c r="AO2390" s="369">
        <f>(AI2390/AK2390)*100</f>
        <v>3.2296086751532296</v>
      </c>
      <c r="AP2390" s="357" t="s">
        <v>276</v>
      </c>
      <c r="AQ2390" s="357" t="s">
        <v>276</v>
      </c>
      <c r="AR2390" s="357" t="s">
        <v>276</v>
      </c>
      <c r="AS2390" s="356">
        <f>(AJ2390/AL2390)*100</f>
        <v>0.55277331569498256</v>
      </c>
      <c r="AT2390" s="357" t="s">
        <v>276</v>
      </c>
      <c r="AU2390" s="357" t="s">
        <v>276</v>
      </c>
      <c r="AV2390" s="357" t="s">
        <v>268</v>
      </c>
      <c r="AW2390" s="357" t="s">
        <v>276</v>
      </c>
      <c r="AX2390" s="369">
        <f t="shared" si="630"/>
        <v>5.8425553178028418</v>
      </c>
      <c r="AY2390" s="357" t="s">
        <v>276</v>
      </c>
      <c r="AZ2390" s="357" t="s">
        <v>276</v>
      </c>
      <c r="BA2390" s="357" t="s">
        <v>276</v>
      </c>
      <c r="BB2390" s="357" t="s">
        <v>276</v>
      </c>
      <c r="BC2390" s="357" t="s">
        <v>276</v>
      </c>
      <c r="BD2390" s="357" t="s">
        <v>276</v>
      </c>
      <c r="BE2390" s="357" t="s">
        <v>276</v>
      </c>
      <c r="BF2390" s="392" t="s">
        <v>1358</v>
      </c>
      <c r="BG2390" s="393"/>
      <c r="BH2390" s="9" t="s">
        <v>100</v>
      </c>
      <c r="BI2390" s="9" t="s">
        <v>100</v>
      </c>
    </row>
    <row r="2391" spans="1:68" s="394" customFormat="1" ht="78" hidden="1" x14ac:dyDescent="0.35">
      <c r="A2391" s="357">
        <v>10432</v>
      </c>
      <c r="B2391" s="357" t="s">
        <v>5984</v>
      </c>
      <c r="C2391" s="357" t="s">
        <v>88</v>
      </c>
      <c r="D2391" s="351" t="s">
        <v>5994</v>
      </c>
      <c r="E2391" s="357" t="s">
        <v>43</v>
      </c>
      <c r="F2391" s="351" t="s">
        <v>4987</v>
      </c>
      <c r="G2391" s="357" t="s">
        <v>225</v>
      </c>
      <c r="H2391" s="357" t="s">
        <v>125</v>
      </c>
      <c r="I2391" s="357" t="s">
        <v>114</v>
      </c>
      <c r="J2391" s="351" t="s">
        <v>33</v>
      </c>
      <c r="K2391" s="357" t="s">
        <v>2739</v>
      </c>
      <c r="L2391" s="351" t="s">
        <v>5986</v>
      </c>
      <c r="M2391" s="351" t="s">
        <v>5838</v>
      </c>
      <c r="N2391" s="351" t="s">
        <v>5987</v>
      </c>
      <c r="O2391" s="351" t="s">
        <v>5988</v>
      </c>
      <c r="P2391" s="351" t="s">
        <v>239</v>
      </c>
      <c r="Q2391" s="383" t="s">
        <v>5989</v>
      </c>
      <c r="R2391" s="357" t="s">
        <v>276</v>
      </c>
      <c r="S2391" s="357" t="s">
        <v>276</v>
      </c>
      <c r="T2391" s="357" t="s">
        <v>276</v>
      </c>
      <c r="U2391" s="357">
        <v>3</v>
      </c>
      <c r="V2391" s="357" t="s">
        <v>261</v>
      </c>
      <c r="W2391" s="351" t="s">
        <v>5153</v>
      </c>
      <c r="X2391" s="351" t="s">
        <v>207</v>
      </c>
      <c r="Y2391" s="354">
        <v>21210</v>
      </c>
      <c r="Z2391" s="351">
        <v>21166</v>
      </c>
      <c r="AA2391" s="392" t="s">
        <v>276</v>
      </c>
      <c r="AB2391" s="392" t="s">
        <v>276</v>
      </c>
      <c r="AC2391" s="351">
        <v>149</v>
      </c>
      <c r="AD2391" s="351" t="s">
        <v>5990</v>
      </c>
      <c r="AE2391" s="351">
        <f t="shared" ref="AE2391:AE2392" si="631">88+29</f>
        <v>117</v>
      </c>
      <c r="AF2391" s="351" t="s">
        <v>5991</v>
      </c>
      <c r="AG2391" s="351" t="s">
        <v>5995</v>
      </c>
      <c r="AH2391" s="351" t="s">
        <v>5993</v>
      </c>
      <c r="AI2391" s="355">
        <v>530</v>
      </c>
      <c r="AJ2391" s="355">
        <v>112</v>
      </c>
      <c r="AK2391" s="354">
        <v>21210</v>
      </c>
      <c r="AL2391" s="351">
        <v>21166</v>
      </c>
      <c r="AM2391" s="392" t="s">
        <v>292</v>
      </c>
      <c r="AN2391" s="357" t="s">
        <v>276</v>
      </c>
      <c r="AO2391" s="369">
        <f t="shared" ref="AO2391:AO2393" si="632">(AI2391/AK2391)*100</f>
        <v>2.4988213107024988</v>
      </c>
      <c r="AP2391" s="357" t="s">
        <v>276</v>
      </c>
      <c r="AQ2391" s="357" t="s">
        <v>276</v>
      </c>
      <c r="AR2391" s="357" t="s">
        <v>276</v>
      </c>
      <c r="AS2391" s="356">
        <f t="shared" ref="AS2391:AS2393" si="633">(AJ2391/AL2391)*100</f>
        <v>0.52915052442596622</v>
      </c>
      <c r="AT2391" s="357" t="s">
        <v>276</v>
      </c>
      <c r="AU2391" s="357" t="s">
        <v>276</v>
      </c>
      <c r="AV2391" s="357" t="s">
        <v>268</v>
      </c>
      <c r="AW2391" s="357" t="s">
        <v>276</v>
      </c>
      <c r="AX2391" s="369">
        <f t="shared" si="630"/>
        <v>4.7223260591365257</v>
      </c>
      <c r="AY2391" s="357" t="s">
        <v>276</v>
      </c>
      <c r="AZ2391" s="357" t="s">
        <v>276</v>
      </c>
      <c r="BA2391" s="357" t="s">
        <v>276</v>
      </c>
      <c r="BB2391" s="357" t="s">
        <v>276</v>
      </c>
      <c r="BC2391" s="357" t="s">
        <v>276</v>
      </c>
      <c r="BD2391" s="357" t="s">
        <v>276</v>
      </c>
      <c r="BE2391" s="357" t="s">
        <v>276</v>
      </c>
      <c r="BF2391" s="392" t="s">
        <v>1358</v>
      </c>
      <c r="BG2391" s="393"/>
      <c r="BH2391" s="9" t="s">
        <v>100</v>
      </c>
      <c r="BI2391" s="9" t="s">
        <v>100</v>
      </c>
    </row>
    <row r="2392" spans="1:68" s="394" customFormat="1" ht="78" hidden="1" x14ac:dyDescent="0.35">
      <c r="A2392" s="357">
        <v>10432</v>
      </c>
      <c r="B2392" s="357" t="s">
        <v>5984</v>
      </c>
      <c r="C2392" s="357" t="s">
        <v>88</v>
      </c>
      <c r="D2392" s="351" t="s">
        <v>5996</v>
      </c>
      <c r="E2392" s="357" t="s">
        <v>43</v>
      </c>
      <c r="F2392" s="351" t="s">
        <v>4987</v>
      </c>
      <c r="G2392" s="357" t="s">
        <v>225</v>
      </c>
      <c r="H2392" s="357" t="s">
        <v>125</v>
      </c>
      <c r="I2392" s="357" t="s">
        <v>114</v>
      </c>
      <c r="J2392" s="351" t="s">
        <v>33</v>
      </c>
      <c r="K2392" s="357" t="s">
        <v>2649</v>
      </c>
      <c r="L2392" s="351" t="s">
        <v>5986</v>
      </c>
      <c r="M2392" s="351" t="s">
        <v>5838</v>
      </c>
      <c r="N2392" s="351" t="s">
        <v>5987</v>
      </c>
      <c r="O2392" s="351" t="s">
        <v>5988</v>
      </c>
      <c r="P2392" s="351" t="s">
        <v>239</v>
      </c>
      <c r="Q2392" s="383" t="s">
        <v>5989</v>
      </c>
      <c r="R2392" s="357" t="s">
        <v>276</v>
      </c>
      <c r="S2392" s="357" t="s">
        <v>276</v>
      </c>
      <c r="T2392" s="357" t="s">
        <v>276</v>
      </c>
      <c r="U2392" s="357">
        <v>3</v>
      </c>
      <c r="V2392" s="357" t="s">
        <v>261</v>
      </c>
      <c r="W2392" s="351" t="s">
        <v>5153</v>
      </c>
      <c r="X2392" s="351" t="s">
        <v>207</v>
      </c>
      <c r="Y2392" s="354">
        <v>21210</v>
      </c>
      <c r="Z2392" s="351">
        <v>21166</v>
      </c>
      <c r="AA2392" s="392" t="s">
        <v>276</v>
      </c>
      <c r="AB2392" s="392" t="s">
        <v>276</v>
      </c>
      <c r="AC2392" s="351">
        <v>149</v>
      </c>
      <c r="AD2392" s="351" t="s">
        <v>5990</v>
      </c>
      <c r="AE2392" s="351">
        <f t="shared" si="631"/>
        <v>117</v>
      </c>
      <c r="AF2392" s="351" t="s">
        <v>5991</v>
      </c>
      <c r="AG2392" s="351" t="s">
        <v>5997</v>
      </c>
      <c r="AH2392" s="351" t="s">
        <v>5993</v>
      </c>
      <c r="AI2392" s="355">
        <v>196</v>
      </c>
      <c r="AJ2392" s="355">
        <v>71</v>
      </c>
      <c r="AK2392" s="354">
        <v>21210</v>
      </c>
      <c r="AL2392" s="351">
        <v>21166</v>
      </c>
      <c r="AM2392" s="392" t="s">
        <v>292</v>
      </c>
      <c r="AN2392" s="357" t="s">
        <v>276</v>
      </c>
      <c r="AO2392" s="369">
        <f t="shared" si="632"/>
        <v>0.92409240924092406</v>
      </c>
      <c r="AP2392" s="357" t="s">
        <v>276</v>
      </c>
      <c r="AQ2392" s="357" t="s">
        <v>276</v>
      </c>
      <c r="AR2392" s="357" t="s">
        <v>276</v>
      </c>
      <c r="AS2392" s="356">
        <f t="shared" si="633"/>
        <v>0.33544363602003213</v>
      </c>
      <c r="AT2392" s="357" t="s">
        <v>276</v>
      </c>
      <c r="AU2392" s="357" t="s">
        <v>276</v>
      </c>
      <c r="AV2392" s="357" t="s">
        <v>268</v>
      </c>
      <c r="AW2392" s="357" t="s">
        <v>276</v>
      </c>
      <c r="AX2392" s="369">
        <f t="shared" si="630"/>
        <v>2.7548366104216053</v>
      </c>
      <c r="AY2392" s="357" t="s">
        <v>276</v>
      </c>
      <c r="AZ2392" s="357" t="s">
        <v>276</v>
      </c>
      <c r="BA2392" s="357" t="s">
        <v>276</v>
      </c>
      <c r="BB2392" s="357" t="s">
        <v>276</v>
      </c>
      <c r="BC2392" s="357" t="s">
        <v>276</v>
      </c>
      <c r="BD2392" s="357" t="s">
        <v>276</v>
      </c>
      <c r="BE2392" s="357" t="s">
        <v>276</v>
      </c>
      <c r="BF2392" s="392" t="s">
        <v>1358</v>
      </c>
      <c r="BG2392" s="393"/>
      <c r="BH2392" s="9" t="s">
        <v>100</v>
      </c>
      <c r="BI2392" s="9" t="s">
        <v>100</v>
      </c>
    </row>
    <row r="2393" spans="1:68" s="394" customFormat="1" ht="78" hidden="1" x14ac:dyDescent="0.35">
      <c r="A2393" s="357">
        <v>10432</v>
      </c>
      <c r="B2393" s="357" t="s">
        <v>5984</v>
      </c>
      <c r="C2393" s="357" t="s">
        <v>88</v>
      </c>
      <c r="D2393" s="351" t="s">
        <v>5998</v>
      </c>
      <c r="E2393" s="357" t="s">
        <v>43</v>
      </c>
      <c r="F2393" s="351" t="s">
        <v>4987</v>
      </c>
      <c r="G2393" s="357" t="s">
        <v>225</v>
      </c>
      <c r="H2393" s="357" t="s">
        <v>125</v>
      </c>
      <c r="I2393" s="357" t="s">
        <v>114</v>
      </c>
      <c r="J2393" s="351" t="s">
        <v>33</v>
      </c>
      <c r="K2393" s="357" t="s">
        <v>5999</v>
      </c>
      <c r="L2393" s="351" t="s">
        <v>5986</v>
      </c>
      <c r="M2393" s="351" t="s">
        <v>5838</v>
      </c>
      <c r="N2393" s="351" t="s">
        <v>5987</v>
      </c>
      <c r="O2393" s="351" t="s">
        <v>5988</v>
      </c>
      <c r="P2393" s="351" t="s">
        <v>239</v>
      </c>
      <c r="Q2393" s="383" t="s">
        <v>5989</v>
      </c>
      <c r="R2393" s="357" t="s">
        <v>276</v>
      </c>
      <c r="S2393" s="357" t="s">
        <v>276</v>
      </c>
      <c r="T2393" s="357" t="s">
        <v>276</v>
      </c>
      <c r="U2393" s="357">
        <v>3</v>
      </c>
      <c r="V2393" s="357" t="s">
        <v>261</v>
      </c>
      <c r="W2393" s="351" t="s">
        <v>5153</v>
      </c>
      <c r="X2393" s="351" t="s">
        <v>207</v>
      </c>
      <c r="Y2393" s="354">
        <v>21210</v>
      </c>
      <c r="Z2393" s="351">
        <v>21166</v>
      </c>
      <c r="AA2393" s="392" t="s">
        <v>276</v>
      </c>
      <c r="AB2393" s="392" t="s">
        <v>276</v>
      </c>
      <c r="AC2393" s="351">
        <v>149</v>
      </c>
      <c r="AD2393" s="351" t="s">
        <v>5990</v>
      </c>
      <c r="AE2393" s="351">
        <f>88+29</f>
        <v>117</v>
      </c>
      <c r="AF2393" s="351" t="s">
        <v>5991</v>
      </c>
      <c r="AG2393" s="351" t="s">
        <v>6000</v>
      </c>
      <c r="AH2393" s="351" t="s">
        <v>5993</v>
      </c>
      <c r="AI2393" s="355">
        <v>36</v>
      </c>
      <c r="AJ2393" s="355">
        <v>47</v>
      </c>
      <c r="AK2393" s="354">
        <v>21210</v>
      </c>
      <c r="AL2393" s="351">
        <v>21166</v>
      </c>
      <c r="AM2393" s="392" t="s">
        <v>292</v>
      </c>
      <c r="AN2393" s="357" t="s">
        <v>276</v>
      </c>
      <c r="AO2393" s="369">
        <f t="shared" si="632"/>
        <v>0.16973125884016974</v>
      </c>
      <c r="AP2393" s="357" t="s">
        <v>276</v>
      </c>
      <c r="AQ2393" s="357" t="s">
        <v>276</v>
      </c>
      <c r="AR2393" s="357" t="s">
        <v>276</v>
      </c>
      <c r="AS2393" s="356">
        <f t="shared" si="633"/>
        <v>0.22205423792875364</v>
      </c>
      <c r="AT2393" s="357" t="s">
        <v>276</v>
      </c>
      <c r="AU2393" s="357" t="s">
        <v>276</v>
      </c>
      <c r="AV2393" s="357" t="s">
        <v>268</v>
      </c>
      <c r="AW2393" s="357" t="s">
        <v>276</v>
      </c>
      <c r="AX2393" s="369">
        <f t="shared" si="630"/>
        <v>0.76436847332149638</v>
      </c>
      <c r="AY2393" s="357" t="s">
        <v>276</v>
      </c>
      <c r="AZ2393" s="357" t="s">
        <v>276</v>
      </c>
      <c r="BA2393" s="357" t="s">
        <v>276</v>
      </c>
      <c r="BB2393" s="357" t="s">
        <v>276</v>
      </c>
      <c r="BC2393" s="357" t="s">
        <v>276</v>
      </c>
      <c r="BD2393" s="357" t="s">
        <v>276</v>
      </c>
      <c r="BE2393" s="357" t="s">
        <v>276</v>
      </c>
      <c r="BF2393" s="396" t="s">
        <v>6001</v>
      </c>
      <c r="BG2393" s="393"/>
      <c r="BH2393" s="9" t="s">
        <v>100</v>
      </c>
      <c r="BI2393" s="9" t="s">
        <v>100</v>
      </c>
    </row>
    <row r="2394" spans="1:68" s="394" customFormat="1" ht="116" hidden="1" x14ac:dyDescent="0.35">
      <c r="A2394" s="357">
        <v>10432</v>
      </c>
      <c r="B2394" s="357" t="s">
        <v>5984</v>
      </c>
      <c r="C2394" s="357" t="s">
        <v>88</v>
      </c>
      <c r="D2394" s="351" t="s">
        <v>6002</v>
      </c>
      <c r="E2394" s="357" t="s">
        <v>43</v>
      </c>
      <c r="F2394" s="351" t="s">
        <v>4987</v>
      </c>
      <c r="G2394" s="357" t="s">
        <v>225</v>
      </c>
      <c r="H2394" s="357" t="s">
        <v>125</v>
      </c>
      <c r="I2394" s="357" t="s">
        <v>114</v>
      </c>
      <c r="J2394" s="351" t="s">
        <v>33</v>
      </c>
      <c r="K2394" s="357" t="s">
        <v>5999</v>
      </c>
      <c r="L2394" s="351" t="s">
        <v>5986</v>
      </c>
      <c r="M2394" s="351" t="s">
        <v>5838</v>
      </c>
      <c r="N2394" s="351" t="s">
        <v>5987</v>
      </c>
      <c r="O2394" s="351" t="s">
        <v>5988</v>
      </c>
      <c r="P2394" s="351" t="s">
        <v>239</v>
      </c>
      <c r="Q2394" s="383" t="s">
        <v>5989</v>
      </c>
      <c r="R2394" s="357" t="s">
        <v>276</v>
      </c>
      <c r="S2394" s="357" t="s">
        <v>276</v>
      </c>
      <c r="T2394" s="357" t="s">
        <v>276</v>
      </c>
      <c r="U2394" s="357">
        <v>3</v>
      </c>
      <c r="V2394" s="357" t="s">
        <v>261</v>
      </c>
      <c r="W2394" s="351" t="s">
        <v>5153</v>
      </c>
      <c r="X2394" s="351" t="s">
        <v>207</v>
      </c>
      <c r="Y2394" s="354">
        <v>21210</v>
      </c>
      <c r="Z2394" s="351">
        <v>21166</v>
      </c>
      <c r="AA2394" s="392" t="s">
        <v>276</v>
      </c>
      <c r="AB2394" s="392" t="s">
        <v>276</v>
      </c>
      <c r="AC2394" s="351">
        <v>149</v>
      </c>
      <c r="AD2394" s="351" t="s">
        <v>5990</v>
      </c>
      <c r="AE2394" s="351">
        <f>88+29</f>
        <v>117</v>
      </c>
      <c r="AF2394" s="351" t="s">
        <v>5991</v>
      </c>
      <c r="AG2394" s="351" t="s">
        <v>1674</v>
      </c>
      <c r="AH2394" s="351" t="s">
        <v>5993</v>
      </c>
      <c r="AI2394" s="355">
        <v>36</v>
      </c>
      <c r="AJ2394" s="355">
        <v>47</v>
      </c>
      <c r="AK2394" s="354" t="s">
        <v>276</v>
      </c>
      <c r="AL2394" s="351" t="s">
        <v>276</v>
      </c>
      <c r="AM2394" s="396" t="s">
        <v>1019</v>
      </c>
      <c r="AN2394" s="368">
        <v>6</v>
      </c>
      <c r="AO2394" s="369" t="s">
        <v>98</v>
      </c>
      <c r="AP2394" s="357" t="s">
        <v>276</v>
      </c>
      <c r="AQ2394" s="357" t="s">
        <v>276</v>
      </c>
      <c r="AR2394" s="357">
        <v>4.5999999999999996</v>
      </c>
      <c r="AS2394" s="356" t="s">
        <v>98</v>
      </c>
      <c r="AT2394" s="357" t="s">
        <v>276</v>
      </c>
      <c r="AU2394" s="357" t="s">
        <v>276</v>
      </c>
      <c r="AV2394" s="357" t="s">
        <v>269</v>
      </c>
      <c r="AW2394" s="357" t="s">
        <v>276</v>
      </c>
      <c r="AX2394" s="369">
        <f>AN2394/AR2394</f>
        <v>1.3043478260869565</v>
      </c>
      <c r="AY2394" s="357" t="s">
        <v>276</v>
      </c>
      <c r="AZ2394" s="357" t="s">
        <v>276</v>
      </c>
      <c r="BA2394" s="357" t="s">
        <v>276</v>
      </c>
      <c r="BB2394" s="357" t="s">
        <v>276</v>
      </c>
      <c r="BC2394" s="357" t="s">
        <v>276</v>
      </c>
      <c r="BD2394" s="357" t="s">
        <v>276</v>
      </c>
      <c r="BE2394" s="357" t="s">
        <v>276</v>
      </c>
      <c r="BF2394" s="396" t="s">
        <v>6003</v>
      </c>
      <c r="BG2394" s="393"/>
      <c r="BH2394" s="9" t="s">
        <v>100</v>
      </c>
      <c r="BI2394" s="9" t="s">
        <v>100</v>
      </c>
    </row>
    <row r="2395" spans="1:68" s="394" customFormat="1" ht="78" hidden="1" x14ac:dyDescent="0.35">
      <c r="A2395" s="357">
        <v>10432</v>
      </c>
      <c r="B2395" s="357" t="s">
        <v>5984</v>
      </c>
      <c r="C2395" s="357" t="s">
        <v>88</v>
      </c>
      <c r="D2395" s="351" t="s">
        <v>6004</v>
      </c>
      <c r="E2395" s="357" t="s">
        <v>43</v>
      </c>
      <c r="F2395" s="351" t="s">
        <v>4987</v>
      </c>
      <c r="G2395" s="357" t="s">
        <v>225</v>
      </c>
      <c r="H2395" s="357" t="s">
        <v>125</v>
      </c>
      <c r="I2395" s="357" t="s">
        <v>114</v>
      </c>
      <c r="J2395" s="351" t="s">
        <v>33</v>
      </c>
      <c r="K2395" s="357" t="s">
        <v>5999</v>
      </c>
      <c r="L2395" s="351" t="s">
        <v>5986</v>
      </c>
      <c r="M2395" s="351" t="s">
        <v>5838</v>
      </c>
      <c r="N2395" s="351" t="s">
        <v>5987</v>
      </c>
      <c r="O2395" s="351" t="s">
        <v>5988</v>
      </c>
      <c r="P2395" s="351" t="s">
        <v>235</v>
      </c>
      <c r="Q2395" s="383" t="s">
        <v>5989</v>
      </c>
      <c r="R2395" s="357" t="s">
        <v>276</v>
      </c>
      <c r="S2395" s="357" t="s">
        <v>276</v>
      </c>
      <c r="T2395" s="357" t="s">
        <v>276</v>
      </c>
      <c r="U2395" s="357">
        <v>3</v>
      </c>
      <c r="V2395" s="357" t="s">
        <v>261</v>
      </c>
      <c r="W2395" s="351" t="s">
        <v>5153</v>
      </c>
      <c r="X2395" s="351" t="s">
        <v>207</v>
      </c>
      <c r="Y2395" s="354" t="s">
        <v>98</v>
      </c>
      <c r="Z2395" s="351" t="s">
        <v>98</v>
      </c>
      <c r="AA2395" s="392" t="s">
        <v>276</v>
      </c>
      <c r="AB2395" s="392" t="s">
        <v>276</v>
      </c>
      <c r="AC2395" s="351">
        <v>149</v>
      </c>
      <c r="AD2395" s="351" t="s">
        <v>5990</v>
      </c>
      <c r="AE2395" s="351">
        <f>88+29</f>
        <v>117</v>
      </c>
      <c r="AF2395" s="351" t="s">
        <v>5991</v>
      </c>
      <c r="AG2395" s="351" t="s">
        <v>6000</v>
      </c>
      <c r="AH2395" s="351" t="s">
        <v>6005</v>
      </c>
      <c r="AI2395" s="355">
        <v>36</v>
      </c>
      <c r="AJ2395" s="355">
        <v>47</v>
      </c>
      <c r="AK2395" s="354">
        <v>1596</v>
      </c>
      <c r="AL2395" s="351">
        <v>464</v>
      </c>
      <c r="AM2395" s="392" t="s">
        <v>292</v>
      </c>
      <c r="AN2395" s="357">
        <v>2.2999999999999998</v>
      </c>
      <c r="AO2395" s="369">
        <f t="shared" ref="AO2395" si="634">(AI2395/AK2395)*100</f>
        <v>2.2556390977443606</v>
      </c>
      <c r="AP2395" s="357" t="s">
        <v>276</v>
      </c>
      <c r="AQ2395" s="357" t="s">
        <v>276</v>
      </c>
      <c r="AR2395" s="357">
        <v>10.1</v>
      </c>
      <c r="AS2395" s="356">
        <f t="shared" ref="AS2395" si="635">(AJ2395/AL2395)*100</f>
        <v>10.129310344827585</v>
      </c>
      <c r="AT2395" s="357" t="s">
        <v>276</v>
      </c>
      <c r="AU2395" s="357" t="s">
        <v>276</v>
      </c>
      <c r="AV2395" s="357" t="s">
        <v>268</v>
      </c>
      <c r="AW2395" s="357" t="s">
        <v>276</v>
      </c>
      <c r="AX2395" s="369">
        <f t="shared" si="630"/>
        <v>0.22268437050071987</v>
      </c>
      <c r="AY2395" s="357" t="s">
        <v>276</v>
      </c>
      <c r="AZ2395" s="357" t="s">
        <v>276</v>
      </c>
      <c r="BA2395" s="357" t="s">
        <v>276</v>
      </c>
      <c r="BB2395" s="357" t="s">
        <v>276</v>
      </c>
      <c r="BC2395" s="357" t="s">
        <v>276</v>
      </c>
      <c r="BD2395" s="357" t="s">
        <v>276</v>
      </c>
      <c r="BE2395" s="357" t="s">
        <v>276</v>
      </c>
      <c r="BF2395" s="392" t="s">
        <v>1358</v>
      </c>
      <c r="BG2395" s="393"/>
      <c r="BH2395" s="9" t="s">
        <v>100</v>
      </c>
      <c r="BI2395" s="9" t="s">
        <v>100</v>
      </c>
    </row>
    <row r="2396" spans="1:68" s="6" customFormat="1" ht="65" hidden="1" x14ac:dyDescent="0.35">
      <c r="A2396" s="357">
        <v>10483</v>
      </c>
      <c r="B2396" s="357" t="s">
        <v>6006</v>
      </c>
      <c r="C2396" s="357" t="s">
        <v>88</v>
      </c>
      <c r="D2396" s="351" t="s">
        <v>6007</v>
      </c>
      <c r="E2396" s="357" t="s">
        <v>43</v>
      </c>
      <c r="F2396" s="351" t="s">
        <v>4987</v>
      </c>
      <c r="G2396" s="357" t="s">
        <v>225</v>
      </c>
      <c r="H2396" s="357" t="s">
        <v>125</v>
      </c>
      <c r="I2396" s="357" t="s">
        <v>114</v>
      </c>
      <c r="J2396" s="351" t="s">
        <v>33</v>
      </c>
      <c r="K2396" s="357" t="s">
        <v>6008</v>
      </c>
      <c r="L2396" s="351" t="s">
        <v>6009</v>
      </c>
      <c r="M2396" s="351" t="s">
        <v>5838</v>
      </c>
      <c r="N2396" s="351" t="s">
        <v>6010</v>
      </c>
      <c r="O2396" s="351" t="s">
        <v>276</v>
      </c>
      <c r="P2396" s="351" t="s">
        <v>239</v>
      </c>
      <c r="Q2396" s="397" t="s">
        <v>5201</v>
      </c>
      <c r="R2396" s="351" t="s">
        <v>98</v>
      </c>
      <c r="S2396" s="806" t="s">
        <v>5387</v>
      </c>
      <c r="T2396" s="806"/>
      <c r="U2396" s="351">
        <v>4</v>
      </c>
      <c r="V2396" s="357" t="s">
        <v>259</v>
      </c>
      <c r="W2396" s="351" t="s">
        <v>5386</v>
      </c>
      <c r="X2396" s="351" t="s">
        <v>207</v>
      </c>
      <c r="Y2396" s="354">
        <v>20985</v>
      </c>
      <c r="Z2396" s="351">
        <v>20917</v>
      </c>
      <c r="AA2396" s="351" t="s">
        <v>276</v>
      </c>
      <c r="AB2396" s="351" t="s">
        <v>276</v>
      </c>
      <c r="AC2396" s="357">
        <v>16</v>
      </c>
      <c r="AD2396" s="351" t="s">
        <v>6011</v>
      </c>
      <c r="AE2396" s="357">
        <v>45</v>
      </c>
      <c r="AF2396" s="351" t="s">
        <v>6011</v>
      </c>
      <c r="AG2396" s="351" t="s">
        <v>6012</v>
      </c>
      <c r="AH2396" s="351" t="s">
        <v>5993</v>
      </c>
      <c r="AI2396" s="355">
        <v>94</v>
      </c>
      <c r="AJ2396" s="355">
        <v>128</v>
      </c>
      <c r="AK2396" s="354">
        <v>20985</v>
      </c>
      <c r="AL2396" s="351">
        <v>20917</v>
      </c>
      <c r="AM2396" s="396" t="s">
        <v>690</v>
      </c>
      <c r="AN2396" s="357" t="s">
        <v>276</v>
      </c>
      <c r="AO2396" s="356">
        <f>(AI2396/AK2396)*1000</f>
        <v>4.4793900405051224</v>
      </c>
      <c r="AP2396" s="357" t="s">
        <v>276</v>
      </c>
      <c r="AQ2396" s="357" t="s">
        <v>276</v>
      </c>
      <c r="AR2396" s="357" t="s">
        <v>276</v>
      </c>
      <c r="AS2396" s="356">
        <f>(AJ2396/AL2396)*1000</f>
        <v>6.119424391643161</v>
      </c>
      <c r="AT2396" s="357" t="s">
        <v>276</v>
      </c>
      <c r="AU2396" s="357" t="s">
        <v>276</v>
      </c>
      <c r="AV2396" s="357" t="s">
        <v>268</v>
      </c>
      <c r="AW2396" s="357" t="s">
        <v>276</v>
      </c>
      <c r="AX2396" s="369">
        <f>AO2396/AS2396</f>
        <v>0.73199532404098155</v>
      </c>
      <c r="AY2396" s="357" t="s">
        <v>276</v>
      </c>
      <c r="AZ2396" s="357" t="s">
        <v>276</v>
      </c>
      <c r="BA2396" s="357" t="s">
        <v>276</v>
      </c>
      <c r="BB2396" s="357" t="s">
        <v>282</v>
      </c>
      <c r="BC2396" s="357" t="s">
        <v>98</v>
      </c>
      <c r="BD2396" s="357" t="s">
        <v>98</v>
      </c>
      <c r="BE2396" s="357" t="s">
        <v>98</v>
      </c>
      <c r="BF2396" s="351" t="s">
        <v>298</v>
      </c>
      <c r="BG2396" s="9"/>
      <c r="BH2396" s="9" t="s">
        <v>100</v>
      </c>
      <c r="BI2396" s="9" t="s">
        <v>100</v>
      </c>
      <c r="BJ2396" s="32"/>
      <c r="BK2396" s="33"/>
      <c r="BL2396" s="33"/>
      <c r="BM2396" s="33"/>
      <c r="BN2396" s="32"/>
      <c r="BO2396" s="32"/>
      <c r="BP2396" s="33"/>
    </row>
    <row r="2397" spans="1:68" s="6" customFormat="1" ht="65" hidden="1" x14ac:dyDescent="0.35">
      <c r="A2397" s="357">
        <v>10483</v>
      </c>
      <c r="B2397" s="357" t="s">
        <v>6006</v>
      </c>
      <c r="C2397" s="357" t="s">
        <v>88</v>
      </c>
      <c r="D2397" s="351" t="s">
        <v>6013</v>
      </c>
      <c r="E2397" s="357" t="s">
        <v>43</v>
      </c>
      <c r="F2397" s="351" t="s">
        <v>4987</v>
      </c>
      <c r="G2397" s="357" t="s">
        <v>225</v>
      </c>
      <c r="H2397" s="357" t="s">
        <v>125</v>
      </c>
      <c r="I2397" s="357" t="s">
        <v>114</v>
      </c>
      <c r="J2397" s="351" t="s">
        <v>33</v>
      </c>
      <c r="K2397" s="357" t="s">
        <v>6014</v>
      </c>
      <c r="L2397" s="351" t="s">
        <v>6009</v>
      </c>
      <c r="M2397" s="351" t="s">
        <v>5838</v>
      </c>
      <c r="N2397" s="351" t="s">
        <v>6010</v>
      </c>
      <c r="O2397" s="351" t="s">
        <v>276</v>
      </c>
      <c r="P2397" s="351" t="s">
        <v>239</v>
      </c>
      <c r="Q2397" s="397" t="s">
        <v>5201</v>
      </c>
      <c r="R2397" s="351" t="s">
        <v>98</v>
      </c>
      <c r="S2397" s="806" t="s">
        <v>5387</v>
      </c>
      <c r="T2397" s="806"/>
      <c r="U2397" s="351">
        <v>4</v>
      </c>
      <c r="V2397" s="357" t="s">
        <v>259</v>
      </c>
      <c r="W2397" s="351" t="s">
        <v>5386</v>
      </c>
      <c r="X2397" s="351" t="s">
        <v>207</v>
      </c>
      <c r="Y2397" s="354">
        <v>20985</v>
      </c>
      <c r="Z2397" s="351">
        <v>20917</v>
      </c>
      <c r="AA2397" s="351" t="s">
        <v>276</v>
      </c>
      <c r="AB2397" s="351" t="s">
        <v>276</v>
      </c>
      <c r="AC2397" s="357">
        <v>16</v>
      </c>
      <c r="AD2397" s="351" t="s">
        <v>6011</v>
      </c>
      <c r="AE2397" s="357">
        <v>45</v>
      </c>
      <c r="AF2397" s="351" t="s">
        <v>6011</v>
      </c>
      <c r="AG2397" s="351" t="s">
        <v>6015</v>
      </c>
      <c r="AH2397" s="351" t="s">
        <v>5993</v>
      </c>
      <c r="AI2397" s="355">
        <v>1394</v>
      </c>
      <c r="AJ2397" s="355">
        <v>556</v>
      </c>
      <c r="AK2397" s="354">
        <v>20985</v>
      </c>
      <c r="AL2397" s="351">
        <v>20917</v>
      </c>
      <c r="AM2397" s="396" t="s">
        <v>690</v>
      </c>
      <c r="AN2397" s="357" t="s">
        <v>276</v>
      </c>
      <c r="AO2397" s="356">
        <f t="shared" ref="AO2397:AO2400" si="636">(AI2397/AK2397)*1000</f>
        <v>66.428401238980229</v>
      </c>
      <c r="AP2397" s="357" t="s">
        <v>276</v>
      </c>
      <c r="AQ2397" s="357" t="s">
        <v>276</v>
      </c>
      <c r="AR2397" s="357" t="s">
        <v>276</v>
      </c>
      <c r="AS2397" s="356">
        <f t="shared" ref="AS2397:AS2400" si="637">(AJ2397/AL2397)*1000</f>
        <v>26.58124970119998</v>
      </c>
      <c r="AT2397" s="357" t="s">
        <v>276</v>
      </c>
      <c r="AU2397" s="357" t="s">
        <v>276</v>
      </c>
      <c r="AV2397" s="357" t="s">
        <v>268</v>
      </c>
      <c r="AW2397" s="357" t="s">
        <v>276</v>
      </c>
      <c r="AX2397" s="369">
        <f t="shared" ref="AX2397:AX2425" si="638">AO2397/AS2397</f>
        <v>2.4990699077621392</v>
      </c>
      <c r="AY2397" s="357" t="s">
        <v>276</v>
      </c>
      <c r="AZ2397" s="357" t="s">
        <v>276</v>
      </c>
      <c r="BA2397" s="357" t="s">
        <v>276</v>
      </c>
      <c r="BB2397" s="357" t="s">
        <v>282</v>
      </c>
      <c r="BC2397" s="357" t="s">
        <v>98</v>
      </c>
      <c r="BD2397" s="357" t="s">
        <v>98</v>
      </c>
      <c r="BE2397" s="357" t="s">
        <v>98</v>
      </c>
      <c r="BF2397" s="351" t="s">
        <v>298</v>
      </c>
      <c r="BG2397" s="9"/>
      <c r="BH2397" s="9" t="s">
        <v>100</v>
      </c>
      <c r="BI2397" s="9" t="s">
        <v>100</v>
      </c>
      <c r="BJ2397" s="32"/>
      <c r="BK2397" s="33"/>
      <c r="BL2397" s="33"/>
      <c r="BM2397" s="33"/>
      <c r="BN2397" s="32"/>
      <c r="BO2397" s="32"/>
      <c r="BP2397" s="33"/>
    </row>
    <row r="2398" spans="1:68" s="6" customFormat="1" ht="65" hidden="1" x14ac:dyDescent="0.35">
      <c r="A2398" s="357">
        <v>10483</v>
      </c>
      <c r="B2398" s="357" t="s">
        <v>6006</v>
      </c>
      <c r="C2398" s="357" t="s">
        <v>88</v>
      </c>
      <c r="D2398" s="351" t="s">
        <v>6016</v>
      </c>
      <c r="E2398" s="357" t="s">
        <v>43</v>
      </c>
      <c r="F2398" s="351" t="s">
        <v>4987</v>
      </c>
      <c r="G2398" s="357" t="s">
        <v>225</v>
      </c>
      <c r="H2398" s="357" t="s">
        <v>125</v>
      </c>
      <c r="I2398" s="357" t="s">
        <v>114</v>
      </c>
      <c r="J2398" s="351" t="s">
        <v>33</v>
      </c>
      <c r="K2398" s="357" t="s">
        <v>2739</v>
      </c>
      <c r="L2398" s="351" t="s">
        <v>6009</v>
      </c>
      <c r="M2398" s="351" t="s">
        <v>5838</v>
      </c>
      <c r="N2398" s="351" t="s">
        <v>6010</v>
      </c>
      <c r="O2398" s="351" t="s">
        <v>276</v>
      </c>
      <c r="P2398" s="351" t="s">
        <v>239</v>
      </c>
      <c r="Q2398" s="397" t="s">
        <v>5201</v>
      </c>
      <c r="R2398" s="351" t="s">
        <v>98</v>
      </c>
      <c r="S2398" s="806" t="s">
        <v>5387</v>
      </c>
      <c r="T2398" s="806"/>
      <c r="U2398" s="351">
        <v>4</v>
      </c>
      <c r="V2398" s="357" t="s">
        <v>259</v>
      </c>
      <c r="W2398" s="351" t="s">
        <v>5386</v>
      </c>
      <c r="X2398" s="351" t="s">
        <v>207</v>
      </c>
      <c r="Y2398" s="354">
        <v>20985</v>
      </c>
      <c r="Z2398" s="351">
        <v>20917</v>
      </c>
      <c r="AA2398" s="351" t="s">
        <v>276</v>
      </c>
      <c r="AB2398" s="351" t="s">
        <v>276</v>
      </c>
      <c r="AC2398" s="357">
        <v>16</v>
      </c>
      <c r="AD2398" s="351" t="s">
        <v>6011</v>
      </c>
      <c r="AE2398" s="357">
        <v>45</v>
      </c>
      <c r="AF2398" s="351" t="s">
        <v>6011</v>
      </c>
      <c r="AG2398" s="351" t="s">
        <v>6017</v>
      </c>
      <c r="AH2398" s="351" t="s">
        <v>5993</v>
      </c>
      <c r="AI2398" s="355">
        <v>829</v>
      </c>
      <c r="AJ2398" s="355">
        <v>367</v>
      </c>
      <c r="AK2398" s="354">
        <v>20985</v>
      </c>
      <c r="AL2398" s="351">
        <v>20917</v>
      </c>
      <c r="AM2398" s="396" t="s">
        <v>690</v>
      </c>
      <c r="AN2398" s="357" t="s">
        <v>276</v>
      </c>
      <c r="AO2398" s="356">
        <f t="shared" si="636"/>
        <v>39.504407910412205</v>
      </c>
      <c r="AP2398" s="357" t="s">
        <v>276</v>
      </c>
      <c r="AQ2398" s="357" t="s">
        <v>276</v>
      </c>
      <c r="AR2398" s="357" t="s">
        <v>276</v>
      </c>
      <c r="AS2398" s="356">
        <f t="shared" si="637"/>
        <v>17.545537122914375</v>
      </c>
      <c r="AT2398" s="357" t="s">
        <v>276</v>
      </c>
      <c r="AU2398" s="357" t="s">
        <v>276</v>
      </c>
      <c r="AV2398" s="357" t="s">
        <v>268</v>
      </c>
      <c r="AW2398" s="357" t="s">
        <v>276</v>
      </c>
      <c r="AX2398" s="369">
        <f t="shared" si="638"/>
        <v>2.2515359680165998</v>
      </c>
      <c r="AY2398" s="357" t="s">
        <v>276</v>
      </c>
      <c r="AZ2398" s="357" t="s">
        <v>276</v>
      </c>
      <c r="BA2398" s="357" t="s">
        <v>276</v>
      </c>
      <c r="BB2398" s="357" t="s">
        <v>282</v>
      </c>
      <c r="BC2398" s="357" t="s">
        <v>98</v>
      </c>
      <c r="BD2398" s="357" t="s">
        <v>98</v>
      </c>
      <c r="BE2398" s="357" t="s">
        <v>98</v>
      </c>
      <c r="BF2398" s="351" t="s">
        <v>298</v>
      </c>
      <c r="BG2398" s="9"/>
      <c r="BH2398" s="9" t="s">
        <v>100</v>
      </c>
      <c r="BI2398" s="9" t="s">
        <v>100</v>
      </c>
      <c r="BJ2398" s="32"/>
      <c r="BK2398" s="33"/>
      <c r="BL2398" s="33"/>
      <c r="BM2398" s="33"/>
      <c r="BN2398" s="32"/>
      <c r="BO2398" s="32"/>
      <c r="BP2398" s="33"/>
    </row>
    <row r="2399" spans="1:68" s="6" customFormat="1" ht="65" hidden="1" x14ac:dyDescent="0.35">
      <c r="A2399" s="357">
        <v>10483</v>
      </c>
      <c r="B2399" s="357" t="s">
        <v>6006</v>
      </c>
      <c r="C2399" s="357" t="s">
        <v>88</v>
      </c>
      <c r="D2399" s="351" t="s">
        <v>6018</v>
      </c>
      <c r="E2399" s="357" t="s">
        <v>43</v>
      </c>
      <c r="F2399" s="351" t="s">
        <v>4987</v>
      </c>
      <c r="G2399" s="357" t="s">
        <v>225</v>
      </c>
      <c r="H2399" s="357" t="s">
        <v>125</v>
      </c>
      <c r="I2399" s="357" t="s">
        <v>114</v>
      </c>
      <c r="J2399" s="351" t="s">
        <v>33</v>
      </c>
      <c r="K2399" s="357" t="s">
        <v>2649</v>
      </c>
      <c r="L2399" s="351" t="s">
        <v>6009</v>
      </c>
      <c r="M2399" s="351" t="s">
        <v>5838</v>
      </c>
      <c r="N2399" s="351" t="s">
        <v>6010</v>
      </c>
      <c r="O2399" s="351" t="s">
        <v>276</v>
      </c>
      <c r="P2399" s="351" t="s">
        <v>239</v>
      </c>
      <c r="Q2399" s="397" t="s">
        <v>5201</v>
      </c>
      <c r="R2399" s="351" t="s">
        <v>98</v>
      </c>
      <c r="S2399" s="806" t="s">
        <v>5387</v>
      </c>
      <c r="T2399" s="806"/>
      <c r="U2399" s="351">
        <v>4</v>
      </c>
      <c r="V2399" s="357" t="s">
        <v>259</v>
      </c>
      <c r="W2399" s="351" t="s">
        <v>5386</v>
      </c>
      <c r="X2399" s="351" t="s">
        <v>207</v>
      </c>
      <c r="Y2399" s="354">
        <v>20985</v>
      </c>
      <c r="Z2399" s="351">
        <v>20917</v>
      </c>
      <c r="AA2399" s="351" t="s">
        <v>276</v>
      </c>
      <c r="AB2399" s="351" t="s">
        <v>276</v>
      </c>
      <c r="AC2399" s="357">
        <v>16</v>
      </c>
      <c r="AD2399" s="351" t="s">
        <v>6011</v>
      </c>
      <c r="AE2399" s="357">
        <v>45</v>
      </c>
      <c r="AF2399" s="351" t="s">
        <v>6011</v>
      </c>
      <c r="AG2399" s="351" t="s">
        <v>6019</v>
      </c>
      <c r="AH2399" s="351" t="s">
        <v>5993</v>
      </c>
      <c r="AI2399" s="355">
        <v>313</v>
      </c>
      <c r="AJ2399" s="355">
        <v>269</v>
      </c>
      <c r="AK2399" s="354">
        <v>20985</v>
      </c>
      <c r="AL2399" s="351">
        <v>20917</v>
      </c>
      <c r="AM2399" s="396" t="s">
        <v>690</v>
      </c>
      <c r="AN2399" s="357" t="s">
        <v>276</v>
      </c>
      <c r="AO2399" s="356">
        <f t="shared" si="636"/>
        <v>14.915415773171313</v>
      </c>
      <c r="AP2399" s="357" t="s">
        <v>276</v>
      </c>
      <c r="AQ2399" s="357" t="s">
        <v>276</v>
      </c>
      <c r="AR2399" s="357" t="s">
        <v>276</v>
      </c>
      <c r="AS2399" s="356">
        <f t="shared" si="637"/>
        <v>12.860352823062581</v>
      </c>
      <c r="AT2399" s="357" t="s">
        <v>276</v>
      </c>
      <c r="AU2399" s="357" t="s">
        <v>276</v>
      </c>
      <c r="AV2399" s="357" t="s">
        <v>268</v>
      </c>
      <c r="AW2399" s="357" t="s">
        <v>276</v>
      </c>
      <c r="AX2399" s="369">
        <f t="shared" si="638"/>
        <v>1.1597983335591984</v>
      </c>
      <c r="AY2399" s="357" t="s">
        <v>276</v>
      </c>
      <c r="AZ2399" s="357" t="s">
        <v>276</v>
      </c>
      <c r="BA2399" s="357" t="s">
        <v>276</v>
      </c>
      <c r="BB2399" s="357" t="s">
        <v>282</v>
      </c>
      <c r="BC2399" s="357" t="s">
        <v>98</v>
      </c>
      <c r="BD2399" s="357" t="s">
        <v>98</v>
      </c>
      <c r="BE2399" s="357" t="s">
        <v>98</v>
      </c>
      <c r="BF2399" s="351" t="s">
        <v>298</v>
      </c>
      <c r="BG2399" s="9"/>
      <c r="BH2399" s="9" t="s">
        <v>100</v>
      </c>
      <c r="BI2399" s="9" t="s">
        <v>100</v>
      </c>
      <c r="BJ2399" s="32"/>
      <c r="BK2399" s="33"/>
      <c r="BL2399" s="33"/>
      <c r="BM2399" s="33"/>
      <c r="BN2399" s="32"/>
      <c r="BO2399" s="32"/>
      <c r="BP2399" s="33"/>
    </row>
    <row r="2400" spans="1:68" s="6" customFormat="1" ht="65" hidden="1" x14ac:dyDescent="0.35">
      <c r="A2400" s="357">
        <v>10483</v>
      </c>
      <c r="B2400" s="357" t="s">
        <v>6006</v>
      </c>
      <c r="C2400" s="357" t="s">
        <v>88</v>
      </c>
      <c r="D2400" s="351" t="s">
        <v>6020</v>
      </c>
      <c r="E2400" s="357" t="s">
        <v>43</v>
      </c>
      <c r="F2400" s="351" t="s">
        <v>4987</v>
      </c>
      <c r="G2400" s="357" t="s">
        <v>225</v>
      </c>
      <c r="H2400" s="357" t="s">
        <v>125</v>
      </c>
      <c r="I2400" s="357" t="s">
        <v>114</v>
      </c>
      <c r="J2400" s="351" t="s">
        <v>33</v>
      </c>
      <c r="K2400" s="357" t="s">
        <v>1108</v>
      </c>
      <c r="L2400" s="351" t="s">
        <v>6009</v>
      </c>
      <c r="M2400" s="351" t="s">
        <v>5838</v>
      </c>
      <c r="N2400" s="351" t="s">
        <v>6010</v>
      </c>
      <c r="O2400" s="351" t="s">
        <v>276</v>
      </c>
      <c r="P2400" s="351" t="s">
        <v>239</v>
      </c>
      <c r="Q2400" s="397" t="s">
        <v>5201</v>
      </c>
      <c r="R2400" s="351" t="s">
        <v>98</v>
      </c>
      <c r="S2400" s="806" t="s">
        <v>5387</v>
      </c>
      <c r="T2400" s="806"/>
      <c r="U2400" s="351">
        <v>4</v>
      </c>
      <c r="V2400" s="357" t="s">
        <v>259</v>
      </c>
      <c r="W2400" s="351" t="s">
        <v>5386</v>
      </c>
      <c r="X2400" s="351" t="s">
        <v>207</v>
      </c>
      <c r="Y2400" s="354">
        <v>20985</v>
      </c>
      <c r="Z2400" s="351">
        <v>20917</v>
      </c>
      <c r="AA2400" s="351" t="s">
        <v>276</v>
      </c>
      <c r="AB2400" s="351" t="s">
        <v>276</v>
      </c>
      <c r="AC2400" s="357">
        <v>16</v>
      </c>
      <c r="AD2400" s="351" t="s">
        <v>6011</v>
      </c>
      <c r="AE2400" s="357">
        <v>45</v>
      </c>
      <c r="AF2400" s="351" t="s">
        <v>6011</v>
      </c>
      <c r="AG2400" s="351" t="s">
        <v>6021</v>
      </c>
      <c r="AH2400" s="351" t="s">
        <v>5993</v>
      </c>
      <c r="AI2400" s="355">
        <v>28</v>
      </c>
      <c r="AJ2400" s="355">
        <v>65</v>
      </c>
      <c r="AK2400" s="354">
        <v>20985</v>
      </c>
      <c r="AL2400" s="351">
        <v>20917</v>
      </c>
      <c r="AM2400" s="396" t="s">
        <v>690</v>
      </c>
      <c r="AN2400" s="357" t="s">
        <v>276</v>
      </c>
      <c r="AO2400" s="356">
        <f t="shared" si="636"/>
        <v>1.3342863950440791</v>
      </c>
      <c r="AP2400" s="357" t="s">
        <v>276</v>
      </c>
      <c r="AQ2400" s="357" t="s">
        <v>276</v>
      </c>
      <c r="AR2400" s="357" t="s">
        <v>276</v>
      </c>
      <c r="AS2400" s="356">
        <f t="shared" si="637"/>
        <v>3.1075201988812928</v>
      </c>
      <c r="AT2400" s="357" t="s">
        <v>276</v>
      </c>
      <c r="AU2400" s="357" t="s">
        <v>276</v>
      </c>
      <c r="AV2400" s="357" t="s">
        <v>268</v>
      </c>
      <c r="AW2400" s="357" t="s">
        <v>276</v>
      </c>
      <c r="AX2400" s="369">
        <f t="shared" si="638"/>
        <v>0.42937336192518466</v>
      </c>
      <c r="AY2400" s="357" t="s">
        <v>276</v>
      </c>
      <c r="AZ2400" s="357" t="s">
        <v>276</v>
      </c>
      <c r="BA2400" s="357" t="s">
        <v>276</v>
      </c>
      <c r="BB2400" s="357" t="s">
        <v>282</v>
      </c>
      <c r="BC2400" s="357" t="s">
        <v>98</v>
      </c>
      <c r="BD2400" s="357" t="s">
        <v>98</v>
      </c>
      <c r="BE2400" s="357" t="s">
        <v>98</v>
      </c>
      <c r="BF2400" s="351" t="s">
        <v>298</v>
      </c>
      <c r="BG2400" s="9"/>
      <c r="BH2400" s="9" t="s">
        <v>100</v>
      </c>
      <c r="BI2400" s="9" t="s">
        <v>100</v>
      </c>
      <c r="BJ2400" s="32"/>
      <c r="BK2400" s="33"/>
      <c r="BL2400" s="33"/>
      <c r="BM2400" s="33"/>
      <c r="BN2400" s="32"/>
      <c r="BO2400" s="32"/>
      <c r="BP2400" s="33"/>
    </row>
    <row r="2401" spans="1:67" s="374" customFormat="1" ht="65" hidden="1" x14ac:dyDescent="0.35">
      <c r="A2401" s="357">
        <v>10483</v>
      </c>
      <c r="B2401" s="357" t="s">
        <v>6006</v>
      </c>
      <c r="C2401" s="357" t="s">
        <v>88</v>
      </c>
      <c r="D2401" s="351" t="s">
        <v>6022</v>
      </c>
      <c r="E2401" s="357" t="s">
        <v>43</v>
      </c>
      <c r="F2401" s="351" t="s">
        <v>4987</v>
      </c>
      <c r="G2401" s="357" t="s">
        <v>225</v>
      </c>
      <c r="H2401" s="357" t="s">
        <v>125</v>
      </c>
      <c r="I2401" s="357" t="s">
        <v>114</v>
      </c>
      <c r="J2401" s="351" t="s">
        <v>30</v>
      </c>
      <c r="K2401" s="351" t="s">
        <v>5938</v>
      </c>
      <c r="L2401" s="351" t="s">
        <v>6023</v>
      </c>
      <c r="M2401" s="351" t="s">
        <v>5838</v>
      </c>
      <c r="N2401" s="351" t="s">
        <v>6010</v>
      </c>
      <c r="O2401" s="351" t="s">
        <v>276</v>
      </c>
      <c r="P2401" s="351" t="s">
        <v>239</v>
      </c>
      <c r="Q2401" s="383" t="s">
        <v>5201</v>
      </c>
      <c r="R2401" s="351" t="s">
        <v>276</v>
      </c>
      <c r="S2401" s="806" t="s">
        <v>5387</v>
      </c>
      <c r="T2401" s="806"/>
      <c r="U2401" s="351">
        <v>4</v>
      </c>
      <c r="V2401" s="357" t="s">
        <v>259</v>
      </c>
      <c r="W2401" s="351" t="s">
        <v>5386</v>
      </c>
      <c r="X2401" s="351" t="s">
        <v>207</v>
      </c>
      <c r="Y2401" s="354">
        <v>20985</v>
      </c>
      <c r="Z2401" s="351">
        <v>20917</v>
      </c>
      <c r="AA2401" s="351" t="s">
        <v>276</v>
      </c>
      <c r="AB2401" s="351" t="s">
        <v>276</v>
      </c>
      <c r="AC2401" s="357">
        <v>133</v>
      </c>
      <c r="AD2401" s="351" t="s">
        <v>5920</v>
      </c>
      <c r="AE2401" s="357">
        <v>57</v>
      </c>
      <c r="AF2401" s="351" t="s">
        <v>5920</v>
      </c>
      <c r="AG2401" s="351" t="s">
        <v>6024</v>
      </c>
      <c r="AH2401" s="351" t="s">
        <v>5993</v>
      </c>
      <c r="AI2401" s="355">
        <v>1656</v>
      </c>
      <c r="AJ2401" s="355">
        <v>605</v>
      </c>
      <c r="AK2401" s="354">
        <v>20985</v>
      </c>
      <c r="AL2401" s="351">
        <v>20917</v>
      </c>
      <c r="AM2401" s="355" t="s">
        <v>690</v>
      </c>
      <c r="AN2401" s="357" t="s">
        <v>276</v>
      </c>
      <c r="AO2401" s="356">
        <f t="shared" ref="AO2401:AO2425" si="639">AI2401*1000/AK2401</f>
        <v>78.913509649749827</v>
      </c>
      <c r="AP2401" s="357" t="s">
        <v>276</v>
      </c>
      <c r="AQ2401" s="357" t="s">
        <v>276</v>
      </c>
      <c r="AR2401" s="357" t="s">
        <v>276</v>
      </c>
      <c r="AS2401" s="356">
        <f t="shared" ref="AS2401:AS2425" si="640">AJ2401*1000/AL2401</f>
        <v>28.923841851125879</v>
      </c>
      <c r="AT2401" s="357" t="s">
        <v>276</v>
      </c>
      <c r="AU2401" s="357" t="s">
        <v>276</v>
      </c>
      <c r="AV2401" s="357" t="s">
        <v>269</v>
      </c>
      <c r="AW2401" s="357" t="s">
        <v>276</v>
      </c>
      <c r="AX2401" s="369">
        <f t="shared" si="638"/>
        <v>2.7283204650311026</v>
      </c>
      <c r="AY2401" s="357" t="s">
        <v>276</v>
      </c>
      <c r="AZ2401" s="357" t="s">
        <v>276</v>
      </c>
      <c r="BA2401" s="357" t="s">
        <v>276</v>
      </c>
      <c r="BB2401" s="357" t="s">
        <v>282</v>
      </c>
      <c r="BC2401" s="357" t="s">
        <v>98</v>
      </c>
      <c r="BD2401" s="357" t="s">
        <v>98</v>
      </c>
      <c r="BE2401" s="357" t="s">
        <v>98</v>
      </c>
      <c r="BF2401" s="351" t="s">
        <v>426</v>
      </c>
      <c r="BG2401" s="351"/>
      <c r="BH2401" s="9" t="s">
        <v>100</v>
      </c>
      <c r="BI2401" s="9" t="s">
        <v>100</v>
      </c>
      <c r="BJ2401" s="373"/>
      <c r="BN2401" s="373"/>
      <c r="BO2401" s="373"/>
    </row>
    <row r="2402" spans="1:67" s="374" customFormat="1" ht="78" hidden="1" x14ac:dyDescent="0.35">
      <c r="A2402" s="357">
        <v>10483</v>
      </c>
      <c r="B2402" s="357" t="s">
        <v>6006</v>
      </c>
      <c r="C2402" s="357" t="s">
        <v>88</v>
      </c>
      <c r="D2402" s="351" t="s">
        <v>6025</v>
      </c>
      <c r="E2402" s="357" t="s">
        <v>43</v>
      </c>
      <c r="F2402" s="351" t="s">
        <v>4987</v>
      </c>
      <c r="G2402" s="357" t="s">
        <v>225</v>
      </c>
      <c r="H2402" s="357" t="s">
        <v>125</v>
      </c>
      <c r="I2402" s="357" t="s">
        <v>114</v>
      </c>
      <c r="J2402" s="351" t="s">
        <v>30</v>
      </c>
      <c r="K2402" s="351" t="s">
        <v>5941</v>
      </c>
      <c r="L2402" s="351" t="s">
        <v>6023</v>
      </c>
      <c r="M2402" s="351" t="s">
        <v>5838</v>
      </c>
      <c r="N2402" s="351" t="s">
        <v>6010</v>
      </c>
      <c r="O2402" s="351" t="s">
        <v>276</v>
      </c>
      <c r="P2402" s="351" t="s">
        <v>239</v>
      </c>
      <c r="Q2402" s="383" t="s">
        <v>5201</v>
      </c>
      <c r="R2402" s="351" t="s">
        <v>276</v>
      </c>
      <c r="S2402" s="806" t="s">
        <v>5387</v>
      </c>
      <c r="T2402" s="806"/>
      <c r="U2402" s="351">
        <v>4</v>
      </c>
      <c r="V2402" s="357" t="s">
        <v>259</v>
      </c>
      <c r="W2402" s="351" t="s">
        <v>5386</v>
      </c>
      <c r="X2402" s="351" t="s">
        <v>207</v>
      </c>
      <c r="Y2402" s="354">
        <v>20985</v>
      </c>
      <c r="Z2402" s="351">
        <v>20917</v>
      </c>
      <c r="AA2402" s="351" t="s">
        <v>276</v>
      </c>
      <c r="AB2402" s="351" t="s">
        <v>276</v>
      </c>
      <c r="AC2402" s="357">
        <v>133</v>
      </c>
      <c r="AD2402" s="351" t="s">
        <v>5920</v>
      </c>
      <c r="AE2402" s="357">
        <v>57</v>
      </c>
      <c r="AF2402" s="351" t="s">
        <v>5920</v>
      </c>
      <c r="AG2402" s="351" t="s">
        <v>6026</v>
      </c>
      <c r="AH2402" s="351" t="s">
        <v>5993</v>
      </c>
      <c r="AI2402" s="355">
        <v>637</v>
      </c>
      <c r="AJ2402" s="355">
        <v>399</v>
      </c>
      <c r="AK2402" s="354">
        <v>20985</v>
      </c>
      <c r="AL2402" s="351">
        <v>20917</v>
      </c>
      <c r="AM2402" s="355" t="s">
        <v>690</v>
      </c>
      <c r="AN2402" s="357" t="s">
        <v>276</v>
      </c>
      <c r="AO2402" s="356">
        <f t="shared" si="639"/>
        <v>30.3550154872528</v>
      </c>
      <c r="AP2402" s="357" t="s">
        <v>276</v>
      </c>
      <c r="AQ2402" s="357" t="s">
        <v>276</v>
      </c>
      <c r="AR2402" s="357" t="s">
        <v>276</v>
      </c>
      <c r="AS2402" s="356">
        <f t="shared" si="640"/>
        <v>19.075393220825166</v>
      </c>
      <c r="AT2402" s="357" t="s">
        <v>276</v>
      </c>
      <c r="AU2402" s="357" t="s">
        <v>276</v>
      </c>
      <c r="AV2402" s="357" t="s">
        <v>269</v>
      </c>
      <c r="AW2402" s="357" t="s">
        <v>276</v>
      </c>
      <c r="AX2402" s="369">
        <f t="shared" si="638"/>
        <v>1.5913179422227239</v>
      </c>
      <c r="AY2402" s="357" t="s">
        <v>276</v>
      </c>
      <c r="AZ2402" s="357" t="s">
        <v>276</v>
      </c>
      <c r="BA2402" s="357" t="s">
        <v>276</v>
      </c>
      <c r="BB2402" s="357" t="s">
        <v>282</v>
      </c>
      <c r="BC2402" s="357" t="s">
        <v>98</v>
      </c>
      <c r="BD2402" s="357" t="s">
        <v>98</v>
      </c>
      <c r="BE2402" s="357" t="s">
        <v>98</v>
      </c>
      <c r="BF2402" s="351" t="s">
        <v>426</v>
      </c>
      <c r="BG2402" s="351"/>
      <c r="BH2402" s="9" t="s">
        <v>100</v>
      </c>
      <c r="BI2402" s="9" t="s">
        <v>100</v>
      </c>
      <c r="BJ2402" s="373"/>
      <c r="BN2402" s="373"/>
      <c r="BO2402" s="373"/>
    </row>
    <row r="2403" spans="1:67" s="374" customFormat="1" ht="65" hidden="1" x14ac:dyDescent="0.35">
      <c r="A2403" s="357">
        <v>10483</v>
      </c>
      <c r="B2403" s="357" t="s">
        <v>6006</v>
      </c>
      <c r="C2403" s="357" t="s">
        <v>88</v>
      </c>
      <c r="D2403" s="351" t="s">
        <v>6027</v>
      </c>
      <c r="E2403" s="357" t="s">
        <v>43</v>
      </c>
      <c r="F2403" s="351" t="s">
        <v>4987</v>
      </c>
      <c r="G2403" s="357" t="s">
        <v>225</v>
      </c>
      <c r="H2403" s="357" t="s">
        <v>125</v>
      </c>
      <c r="I2403" s="357" t="s">
        <v>114</v>
      </c>
      <c r="J2403" s="351" t="s">
        <v>30</v>
      </c>
      <c r="K2403" s="351" t="s">
        <v>5927</v>
      </c>
      <c r="L2403" s="351" t="s">
        <v>6023</v>
      </c>
      <c r="M2403" s="351" t="s">
        <v>5838</v>
      </c>
      <c r="N2403" s="351" t="s">
        <v>6010</v>
      </c>
      <c r="O2403" s="351" t="s">
        <v>276</v>
      </c>
      <c r="P2403" s="351" t="s">
        <v>239</v>
      </c>
      <c r="Q2403" s="383" t="s">
        <v>5201</v>
      </c>
      <c r="R2403" s="351" t="s">
        <v>276</v>
      </c>
      <c r="S2403" s="806" t="s">
        <v>5387</v>
      </c>
      <c r="T2403" s="806"/>
      <c r="U2403" s="351">
        <v>4</v>
      </c>
      <c r="V2403" s="357" t="s">
        <v>259</v>
      </c>
      <c r="W2403" s="351" t="s">
        <v>5386</v>
      </c>
      <c r="X2403" s="351" t="s">
        <v>207</v>
      </c>
      <c r="Y2403" s="354">
        <v>20985</v>
      </c>
      <c r="Z2403" s="351">
        <v>20917</v>
      </c>
      <c r="AA2403" s="351" t="s">
        <v>276</v>
      </c>
      <c r="AB2403" s="351" t="s">
        <v>276</v>
      </c>
      <c r="AC2403" s="357">
        <v>133</v>
      </c>
      <c r="AD2403" s="351" t="s">
        <v>5920</v>
      </c>
      <c r="AE2403" s="357">
        <v>57</v>
      </c>
      <c r="AF2403" s="351" t="s">
        <v>5920</v>
      </c>
      <c r="AG2403" s="351" t="s">
        <v>6028</v>
      </c>
      <c r="AH2403" s="351" t="s">
        <v>5993</v>
      </c>
      <c r="AI2403" s="355">
        <v>180</v>
      </c>
      <c r="AJ2403" s="355">
        <v>186</v>
      </c>
      <c r="AK2403" s="354">
        <v>20985</v>
      </c>
      <c r="AL2403" s="351">
        <v>20917</v>
      </c>
      <c r="AM2403" s="355" t="s">
        <v>690</v>
      </c>
      <c r="AN2403" s="357" t="s">
        <v>276</v>
      </c>
      <c r="AO2403" s="356">
        <f t="shared" si="639"/>
        <v>8.5775553967119365</v>
      </c>
      <c r="AP2403" s="357" t="s">
        <v>276</v>
      </c>
      <c r="AQ2403" s="357" t="s">
        <v>276</v>
      </c>
      <c r="AR2403" s="357" t="s">
        <v>276</v>
      </c>
      <c r="AS2403" s="356">
        <f t="shared" si="640"/>
        <v>8.8922885691064693</v>
      </c>
      <c r="AT2403" s="357" t="s">
        <v>276</v>
      </c>
      <c r="AU2403" s="357" t="s">
        <v>276</v>
      </c>
      <c r="AV2403" s="357" t="s">
        <v>269</v>
      </c>
      <c r="AW2403" s="357" t="s">
        <v>276</v>
      </c>
      <c r="AX2403" s="369">
        <f t="shared" si="638"/>
        <v>0.96460605501625574</v>
      </c>
      <c r="AY2403" s="357" t="s">
        <v>276</v>
      </c>
      <c r="AZ2403" s="357" t="s">
        <v>276</v>
      </c>
      <c r="BA2403" s="357" t="s">
        <v>276</v>
      </c>
      <c r="BB2403" s="357" t="s">
        <v>282</v>
      </c>
      <c r="BC2403" s="357" t="s">
        <v>98</v>
      </c>
      <c r="BD2403" s="357" t="s">
        <v>98</v>
      </c>
      <c r="BE2403" s="357" t="s">
        <v>98</v>
      </c>
      <c r="BF2403" s="351" t="s">
        <v>426</v>
      </c>
      <c r="BG2403" s="351"/>
      <c r="BH2403" s="9" t="s">
        <v>100</v>
      </c>
      <c r="BI2403" s="9" t="s">
        <v>100</v>
      </c>
      <c r="BJ2403" s="373"/>
      <c r="BN2403" s="373"/>
      <c r="BO2403" s="373"/>
    </row>
    <row r="2404" spans="1:67" s="374" customFormat="1" ht="104" hidden="1" x14ac:dyDescent="0.35">
      <c r="A2404" s="357">
        <v>10483</v>
      </c>
      <c r="B2404" s="357" t="s">
        <v>6006</v>
      </c>
      <c r="C2404" s="357" t="s">
        <v>88</v>
      </c>
      <c r="D2404" s="351" t="s">
        <v>6029</v>
      </c>
      <c r="E2404" s="357" t="s">
        <v>43</v>
      </c>
      <c r="F2404" s="351" t="s">
        <v>4987</v>
      </c>
      <c r="G2404" s="357" t="s">
        <v>225</v>
      </c>
      <c r="H2404" s="357" t="s">
        <v>125</v>
      </c>
      <c r="I2404" s="357" t="s">
        <v>114</v>
      </c>
      <c r="J2404" s="351" t="s">
        <v>1116</v>
      </c>
      <c r="K2404" s="351" t="s">
        <v>5930</v>
      </c>
      <c r="L2404" s="351" t="s">
        <v>6023</v>
      </c>
      <c r="M2404" s="351" t="s">
        <v>5838</v>
      </c>
      <c r="N2404" s="351" t="s">
        <v>6010</v>
      </c>
      <c r="O2404" s="351" t="s">
        <v>276</v>
      </c>
      <c r="P2404" s="351" t="s">
        <v>239</v>
      </c>
      <c r="Q2404" s="383" t="s">
        <v>5201</v>
      </c>
      <c r="R2404" s="351" t="s">
        <v>276</v>
      </c>
      <c r="S2404" s="806" t="s">
        <v>5387</v>
      </c>
      <c r="T2404" s="806"/>
      <c r="U2404" s="351">
        <v>4</v>
      </c>
      <c r="V2404" s="357" t="s">
        <v>259</v>
      </c>
      <c r="W2404" s="351" t="s">
        <v>5386</v>
      </c>
      <c r="X2404" s="351" t="s">
        <v>207</v>
      </c>
      <c r="Y2404" s="354">
        <v>20985</v>
      </c>
      <c r="Z2404" s="351">
        <v>20917</v>
      </c>
      <c r="AA2404" s="351" t="s">
        <v>276</v>
      </c>
      <c r="AB2404" s="351" t="s">
        <v>276</v>
      </c>
      <c r="AC2404" s="357">
        <v>133</v>
      </c>
      <c r="AD2404" s="351" t="s">
        <v>5920</v>
      </c>
      <c r="AE2404" s="357">
        <v>57</v>
      </c>
      <c r="AF2404" s="351" t="s">
        <v>5920</v>
      </c>
      <c r="AG2404" s="351" t="s">
        <v>6030</v>
      </c>
      <c r="AH2404" s="351" t="s">
        <v>5993</v>
      </c>
      <c r="AI2404" s="355">
        <v>69</v>
      </c>
      <c r="AJ2404" s="355">
        <v>183</v>
      </c>
      <c r="AK2404" s="354">
        <v>20985</v>
      </c>
      <c r="AL2404" s="351">
        <v>20917</v>
      </c>
      <c r="AM2404" s="355" t="s">
        <v>690</v>
      </c>
      <c r="AN2404" s="357" t="s">
        <v>276</v>
      </c>
      <c r="AO2404" s="356">
        <f t="shared" si="639"/>
        <v>3.2880629020729093</v>
      </c>
      <c r="AP2404" s="357" t="s">
        <v>276</v>
      </c>
      <c r="AQ2404" s="357" t="s">
        <v>276</v>
      </c>
      <c r="AR2404" s="357" t="s">
        <v>276</v>
      </c>
      <c r="AS2404" s="356">
        <f t="shared" si="640"/>
        <v>8.7488645599273323</v>
      </c>
      <c r="AT2404" s="357" t="s">
        <v>276</v>
      </c>
      <c r="AU2404" s="357" t="s">
        <v>276</v>
      </c>
      <c r="AV2404" s="357" t="s">
        <v>269</v>
      </c>
      <c r="AW2404" s="357" t="s">
        <v>276</v>
      </c>
      <c r="AX2404" s="369">
        <f t="shared" si="638"/>
        <v>0.37582738646261771</v>
      </c>
      <c r="AY2404" s="357" t="s">
        <v>276</v>
      </c>
      <c r="AZ2404" s="357" t="s">
        <v>276</v>
      </c>
      <c r="BA2404" s="357" t="s">
        <v>276</v>
      </c>
      <c r="BB2404" s="357" t="s">
        <v>282</v>
      </c>
      <c r="BC2404" s="357" t="s">
        <v>98</v>
      </c>
      <c r="BD2404" s="357" t="s">
        <v>98</v>
      </c>
      <c r="BE2404" s="357" t="s">
        <v>98</v>
      </c>
      <c r="BF2404" s="351" t="s">
        <v>426</v>
      </c>
      <c r="BG2404" s="351"/>
      <c r="BH2404" s="9" t="s">
        <v>100</v>
      </c>
      <c r="BI2404" s="9" t="s">
        <v>100</v>
      </c>
      <c r="BJ2404" s="373"/>
      <c r="BN2404" s="373"/>
      <c r="BO2404" s="373"/>
    </row>
    <row r="2405" spans="1:67" s="374" customFormat="1" ht="65" hidden="1" x14ac:dyDescent="0.35">
      <c r="A2405" s="357">
        <v>9995</v>
      </c>
      <c r="B2405" s="357" t="s">
        <v>5359</v>
      </c>
      <c r="C2405" s="357" t="s">
        <v>88</v>
      </c>
      <c r="D2405" s="351" t="s">
        <v>6031</v>
      </c>
      <c r="E2405" s="357" t="s">
        <v>43</v>
      </c>
      <c r="F2405" s="351" t="s">
        <v>4987</v>
      </c>
      <c r="G2405" s="357" t="s">
        <v>225</v>
      </c>
      <c r="H2405" s="357" t="s">
        <v>125</v>
      </c>
      <c r="I2405" s="357" t="s">
        <v>114</v>
      </c>
      <c r="J2405" s="351" t="s">
        <v>33</v>
      </c>
      <c r="K2405" s="357" t="s">
        <v>6032</v>
      </c>
      <c r="L2405" s="351" t="s">
        <v>5838</v>
      </c>
      <c r="M2405" s="351" t="s">
        <v>5838</v>
      </c>
      <c r="N2405" s="351" t="s">
        <v>276</v>
      </c>
      <c r="O2405" s="351" t="s">
        <v>276</v>
      </c>
      <c r="P2405" s="351" t="s">
        <v>239</v>
      </c>
      <c r="Q2405" s="375" t="s">
        <v>5362</v>
      </c>
      <c r="R2405" s="351" t="s">
        <v>3010</v>
      </c>
      <c r="S2405" s="373" t="s">
        <v>276</v>
      </c>
      <c r="T2405" s="373" t="s">
        <v>276</v>
      </c>
      <c r="U2405" s="351">
        <v>2</v>
      </c>
      <c r="V2405" s="357" t="s">
        <v>261</v>
      </c>
      <c r="W2405" s="351" t="s">
        <v>5168</v>
      </c>
      <c r="X2405" s="351" t="s">
        <v>207</v>
      </c>
      <c r="Y2405" s="354">
        <v>2416</v>
      </c>
      <c r="Z2405" s="351">
        <v>1862</v>
      </c>
      <c r="AA2405" s="351" t="s">
        <v>276</v>
      </c>
      <c r="AB2405" s="351" t="s">
        <v>276</v>
      </c>
      <c r="AC2405" s="357">
        <v>0</v>
      </c>
      <c r="AD2405" s="351" t="s">
        <v>6011</v>
      </c>
      <c r="AE2405" s="357">
        <v>0</v>
      </c>
      <c r="AF2405" s="351" t="s">
        <v>6011</v>
      </c>
      <c r="AG2405" s="351" t="s">
        <v>6033</v>
      </c>
      <c r="AH2405" s="351" t="s">
        <v>5993</v>
      </c>
      <c r="AI2405" s="355">
        <v>0</v>
      </c>
      <c r="AJ2405" s="355">
        <v>1</v>
      </c>
      <c r="AK2405" s="354">
        <v>2416</v>
      </c>
      <c r="AL2405" s="351">
        <v>1862</v>
      </c>
      <c r="AM2405" s="396" t="s">
        <v>690</v>
      </c>
      <c r="AN2405" s="357" t="s">
        <v>276</v>
      </c>
      <c r="AO2405" s="356">
        <f>(AI2405/AK2405)*1000</f>
        <v>0</v>
      </c>
      <c r="AP2405" s="357" t="s">
        <v>276</v>
      </c>
      <c r="AQ2405" s="357" t="s">
        <v>276</v>
      </c>
      <c r="AR2405" s="357" t="s">
        <v>276</v>
      </c>
      <c r="AS2405" s="356">
        <f>(AJ2405/AL2405)*1000</f>
        <v>0.53705692803437166</v>
      </c>
      <c r="AT2405" s="357" t="s">
        <v>276</v>
      </c>
      <c r="AU2405" s="357" t="s">
        <v>276</v>
      </c>
      <c r="AV2405" s="357" t="s">
        <v>268</v>
      </c>
      <c r="AW2405" s="357" t="s">
        <v>276</v>
      </c>
      <c r="AX2405" s="369">
        <f t="shared" si="638"/>
        <v>0</v>
      </c>
      <c r="AY2405" s="357" t="s">
        <v>276</v>
      </c>
      <c r="AZ2405" s="357" t="s">
        <v>276</v>
      </c>
      <c r="BA2405" s="357" t="s">
        <v>276</v>
      </c>
      <c r="BB2405" s="357" t="s">
        <v>282</v>
      </c>
      <c r="BC2405" s="357" t="s">
        <v>98</v>
      </c>
      <c r="BD2405" s="357" t="s">
        <v>98</v>
      </c>
      <c r="BE2405" s="357" t="s">
        <v>98</v>
      </c>
      <c r="BF2405" s="351" t="s">
        <v>1020</v>
      </c>
      <c r="BG2405" s="351"/>
      <c r="BH2405" s="9" t="s">
        <v>100</v>
      </c>
      <c r="BI2405" s="9" t="s">
        <v>100</v>
      </c>
      <c r="BJ2405" s="373"/>
      <c r="BN2405" s="373"/>
      <c r="BO2405" s="373"/>
    </row>
    <row r="2406" spans="1:67" s="374" customFormat="1" ht="65" hidden="1" x14ac:dyDescent="0.35">
      <c r="A2406" s="357">
        <v>9995</v>
      </c>
      <c r="B2406" s="357" t="s">
        <v>5359</v>
      </c>
      <c r="C2406" s="357" t="s">
        <v>88</v>
      </c>
      <c r="D2406" s="351" t="s">
        <v>6034</v>
      </c>
      <c r="E2406" s="357" t="s">
        <v>43</v>
      </c>
      <c r="F2406" s="351" t="s">
        <v>4987</v>
      </c>
      <c r="G2406" s="357" t="s">
        <v>225</v>
      </c>
      <c r="H2406" s="357" t="s">
        <v>125</v>
      </c>
      <c r="I2406" s="357" t="s">
        <v>114</v>
      </c>
      <c r="J2406" s="351" t="s">
        <v>33</v>
      </c>
      <c r="K2406" s="357" t="s">
        <v>6014</v>
      </c>
      <c r="L2406" s="351" t="s">
        <v>6035</v>
      </c>
      <c r="M2406" s="351" t="s">
        <v>6036</v>
      </c>
      <c r="N2406" s="351" t="s">
        <v>276</v>
      </c>
      <c r="O2406" s="351" t="s">
        <v>276</v>
      </c>
      <c r="P2406" s="351" t="s">
        <v>239</v>
      </c>
      <c r="Q2406" s="375" t="s">
        <v>5362</v>
      </c>
      <c r="R2406" s="351" t="s">
        <v>3010</v>
      </c>
      <c r="S2406" s="373" t="s">
        <v>276</v>
      </c>
      <c r="T2406" s="373" t="s">
        <v>276</v>
      </c>
      <c r="U2406" s="351">
        <v>2</v>
      </c>
      <c r="V2406" s="357" t="s">
        <v>261</v>
      </c>
      <c r="W2406" s="351" t="s">
        <v>5168</v>
      </c>
      <c r="X2406" s="351" t="s">
        <v>207</v>
      </c>
      <c r="Y2406" s="354">
        <v>2416</v>
      </c>
      <c r="Z2406" s="351">
        <v>1862</v>
      </c>
      <c r="AA2406" s="351" t="s">
        <v>276</v>
      </c>
      <c r="AB2406" s="351" t="s">
        <v>276</v>
      </c>
      <c r="AC2406" s="357">
        <v>0</v>
      </c>
      <c r="AD2406" s="351" t="s">
        <v>6011</v>
      </c>
      <c r="AE2406" s="357">
        <v>0</v>
      </c>
      <c r="AF2406" s="351" t="s">
        <v>6011</v>
      </c>
      <c r="AG2406" s="351" t="s">
        <v>6037</v>
      </c>
      <c r="AH2406" s="351" t="s">
        <v>5993</v>
      </c>
      <c r="AI2406" s="355">
        <f>44+2</f>
        <v>46</v>
      </c>
      <c r="AJ2406" s="355">
        <v>5</v>
      </c>
      <c r="AK2406" s="354">
        <v>2416</v>
      </c>
      <c r="AL2406" s="351">
        <v>1862</v>
      </c>
      <c r="AM2406" s="396" t="s">
        <v>690</v>
      </c>
      <c r="AN2406" s="357" t="s">
        <v>276</v>
      </c>
      <c r="AO2406" s="356">
        <f>(AI2406/AK2406)*1000</f>
        <v>19.039735099337747</v>
      </c>
      <c r="AP2406" s="357" t="s">
        <v>276</v>
      </c>
      <c r="AQ2406" s="357" t="s">
        <v>276</v>
      </c>
      <c r="AR2406" s="357" t="s">
        <v>276</v>
      </c>
      <c r="AS2406" s="356">
        <f>(AJ2406/AL2406)*1000</f>
        <v>2.6852846401718584</v>
      </c>
      <c r="AT2406" s="357" t="s">
        <v>276</v>
      </c>
      <c r="AU2406" s="357" t="s">
        <v>276</v>
      </c>
      <c r="AV2406" s="357" t="s">
        <v>268</v>
      </c>
      <c r="AW2406" s="357" t="s">
        <v>276</v>
      </c>
      <c r="AX2406" s="369">
        <f t="shared" si="638"/>
        <v>7.0903973509933769</v>
      </c>
      <c r="AY2406" s="357" t="s">
        <v>276</v>
      </c>
      <c r="AZ2406" s="357" t="s">
        <v>276</v>
      </c>
      <c r="BA2406" s="357" t="s">
        <v>276</v>
      </c>
      <c r="BB2406" s="357" t="s">
        <v>282</v>
      </c>
      <c r="BC2406" s="357" t="s">
        <v>98</v>
      </c>
      <c r="BD2406" s="357" t="s">
        <v>98</v>
      </c>
      <c r="BE2406" s="357" t="s">
        <v>98</v>
      </c>
      <c r="BF2406" s="351" t="s">
        <v>1020</v>
      </c>
      <c r="BG2406" s="351"/>
      <c r="BH2406" s="9" t="s">
        <v>100</v>
      </c>
      <c r="BI2406" s="9" t="s">
        <v>100</v>
      </c>
      <c r="BJ2406" s="373"/>
      <c r="BN2406" s="373"/>
      <c r="BO2406" s="373"/>
    </row>
    <row r="2407" spans="1:67" s="374" customFormat="1" ht="65" hidden="1" x14ac:dyDescent="0.35">
      <c r="A2407" s="357">
        <v>9995</v>
      </c>
      <c r="B2407" s="357" t="s">
        <v>5359</v>
      </c>
      <c r="C2407" s="357" t="s">
        <v>88</v>
      </c>
      <c r="D2407" s="351" t="s">
        <v>6038</v>
      </c>
      <c r="E2407" s="357" t="s">
        <v>43</v>
      </c>
      <c r="F2407" s="351" t="s">
        <v>4987</v>
      </c>
      <c r="G2407" s="357" t="s">
        <v>225</v>
      </c>
      <c r="H2407" s="357" t="s">
        <v>125</v>
      </c>
      <c r="I2407" s="357" t="s">
        <v>114</v>
      </c>
      <c r="J2407" s="351" t="s">
        <v>33</v>
      </c>
      <c r="K2407" s="357" t="s">
        <v>2739</v>
      </c>
      <c r="L2407" s="351" t="s">
        <v>6035</v>
      </c>
      <c r="M2407" s="351" t="s">
        <v>6036</v>
      </c>
      <c r="N2407" s="351" t="s">
        <v>276</v>
      </c>
      <c r="O2407" s="351" t="s">
        <v>276</v>
      </c>
      <c r="P2407" s="351" t="s">
        <v>239</v>
      </c>
      <c r="Q2407" s="375" t="s">
        <v>5362</v>
      </c>
      <c r="R2407" s="351" t="s">
        <v>3010</v>
      </c>
      <c r="S2407" s="373" t="s">
        <v>276</v>
      </c>
      <c r="T2407" s="373" t="s">
        <v>276</v>
      </c>
      <c r="U2407" s="351">
        <v>2</v>
      </c>
      <c r="V2407" s="357" t="s">
        <v>261</v>
      </c>
      <c r="W2407" s="351" t="s">
        <v>5168</v>
      </c>
      <c r="X2407" s="351" t="s">
        <v>207</v>
      </c>
      <c r="Y2407" s="354">
        <v>2416</v>
      </c>
      <c r="Z2407" s="351">
        <v>1862</v>
      </c>
      <c r="AA2407" s="351" t="s">
        <v>276</v>
      </c>
      <c r="AB2407" s="351" t="s">
        <v>276</v>
      </c>
      <c r="AC2407" s="357">
        <v>0</v>
      </c>
      <c r="AD2407" s="351" t="s">
        <v>6011</v>
      </c>
      <c r="AE2407" s="357">
        <v>0</v>
      </c>
      <c r="AF2407" s="351" t="s">
        <v>6011</v>
      </c>
      <c r="AG2407" s="351" t="s">
        <v>6039</v>
      </c>
      <c r="AH2407" s="351" t="s">
        <v>5993</v>
      </c>
      <c r="AI2407" s="355">
        <f>20+2</f>
        <v>22</v>
      </c>
      <c r="AJ2407" s="355">
        <v>4</v>
      </c>
      <c r="AK2407" s="354">
        <v>2416</v>
      </c>
      <c r="AL2407" s="351">
        <v>1862</v>
      </c>
      <c r="AM2407" s="396" t="s">
        <v>690</v>
      </c>
      <c r="AN2407" s="357" t="s">
        <v>276</v>
      </c>
      <c r="AO2407" s="356">
        <f>(AI2407/AK2407)*1000</f>
        <v>9.1059602649006628</v>
      </c>
      <c r="AP2407" s="357" t="s">
        <v>276</v>
      </c>
      <c r="AQ2407" s="357" t="s">
        <v>276</v>
      </c>
      <c r="AR2407" s="357" t="s">
        <v>276</v>
      </c>
      <c r="AS2407" s="356">
        <f>(AJ2407/AL2407)*1000</f>
        <v>2.1482277121374866</v>
      </c>
      <c r="AT2407" s="357" t="s">
        <v>276</v>
      </c>
      <c r="AU2407" s="357" t="s">
        <v>276</v>
      </c>
      <c r="AV2407" s="357" t="s">
        <v>268</v>
      </c>
      <c r="AW2407" s="357" t="s">
        <v>276</v>
      </c>
      <c r="AX2407" s="369">
        <f t="shared" si="638"/>
        <v>4.2388245033112586</v>
      </c>
      <c r="AY2407" s="357" t="s">
        <v>276</v>
      </c>
      <c r="AZ2407" s="357" t="s">
        <v>276</v>
      </c>
      <c r="BA2407" s="357" t="s">
        <v>276</v>
      </c>
      <c r="BB2407" s="357" t="s">
        <v>282</v>
      </c>
      <c r="BC2407" s="357" t="s">
        <v>98</v>
      </c>
      <c r="BD2407" s="357" t="s">
        <v>98</v>
      </c>
      <c r="BE2407" s="357" t="s">
        <v>98</v>
      </c>
      <c r="BF2407" s="351" t="s">
        <v>1020</v>
      </c>
      <c r="BG2407" s="351"/>
      <c r="BH2407" s="9" t="s">
        <v>100</v>
      </c>
      <c r="BI2407" s="9" t="s">
        <v>100</v>
      </c>
      <c r="BJ2407" s="373"/>
      <c r="BN2407" s="373"/>
      <c r="BO2407" s="373"/>
    </row>
    <row r="2408" spans="1:67" s="374" customFormat="1" ht="65" hidden="1" x14ac:dyDescent="0.35">
      <c r="A2408" s="357">
        <v>9995</v>
      </c>
      <c r="B2408" s="357" t="s">
        <v>5359</v>
      </c>
      <c r="C2408" s="357" t="s">
        <v>88</v>
      </c>
      <c r="D2408" s="351" t="s">
        <v>6040</v>
      </c>
      <c r="E2408" s="357" t="s">
        <v>43</v>
      </c>
      <c r="F2408" s="351" t="s">
        <v>4987</v>
      </c>
      <c r="G2408" s="357" t="s">
        <v>225</v>
      </c>
      <c r="H2408" s="357" t="s">
        <v>125</v>
      </c>
      <c r="I2408" s="357" t="s">
        <v>114</v>
      </c>
      <c r="J2408" s="351" t="s">
        <v>33</v>
      </c>
      <c r="K2408" s="357" t="s">
        <v>6041</v>
      </c>
      <c r="L2408" s="351" t="s">
        <v>6035</v>
      </c>
      <c r="M2408" s="351" t="s">
        <v>6036</v>
      </c>
      <c r="N2408" s="351" t="s">
        <v>276</v>
      </c>
      <c r="O2408" s="351" t="s">
        <v>276</v>
      </c>
      <c r="P2408" s="351" t="s">
        <v>239</v>
      </c>
      <c r="Q2408" s="375" t="s">
        <v>5362</v>
      </c>
      <c r="R2408" s="351" t="s">
        <v>3010</v>
      </c>
      <c r="S2408" s="373" t="s">
        <v>276</v>
      </c>
      <c r="T2408" s="373" t="s">
        <v>276</v>
      </c>
      <c r="U2408" s="351">
        <v>2</v>
      </c>
      <c r="V2408" s="357" t="s">
        <v>261</v>
      </c>
      <c r="W2408" s="351" t="s">
        <v>5168</v>
      </c>
      <c r="X2408" s="351" t="s">
        <v>207</v>
      </c>
      <c r="Y2408" s="354">
        <v>2416</v>
      </c>
      <c r="Z2408" s="351">
        <v>1862</v>
      </c>
      <c r="AA2408" s="351" t="s">
        <v>276</v>
      </c>
      <c r="AB2408" s="351" t="s">
        <v>276</v>
      </c>
      <c r="AC2408" s="357">
        <v>0</v>
      </c>
      <c r="AD2408" s="351" t="s">
        <v>6011</v>
      </c>
      <c r="AE2408" s="357">
        <v>0</v>
      </c>
      <c r="AF2408" s="351" t="s">
        <v>6011</v>
      </c>
      <c r="AG2408" s="351" t="s">
        <v>6042</v>
      </c>
      <c r="AH2408" s="351" t="s">
        <v>5993</v>
      </c>
      <c r="AI2408" s="355">
        <f>6+2</f>
        <v>8</v>
      </c>
      <c r="AJ2408" s="355">
        <v>0</v>
      </c>
      <c r="AK2408" s="354">
        <v>2416</v>
      </c>
      <c r="AL2408" s="351">
        <v>1862</v>
      </c>
      <c r="AM2408" s="396" t="s">
        <v>690</v>
      </c>
      <c r="AN2408" s="357" t="s">
        <v>276</v>
      </c>
      <c r="AO2408" s="356">
        <f>(AI2408/AK2408)*1000</f>
        <v>3.3112582781456954</v>
      </c>
      <c r="AP2408" s="357" t="s">
        <v>276</v>
      </c>
      <c r="AQ2408" s="357" t="s">
        <v>276</v>
      </c>
      <c r="AR2408" s="357" t="s">
        <v>276</v>
      </c>
      <c r="AS2408" s="356">
        <f>(AJ2408/AL2408)*1000</f>
        <v>0</v>
      </c>
      <c r="AT2408" s="357" t="s">
        <v>276</v>
      </c>
      <c r="AU2408" s="357" t="s">
        <v>276</v>
      </c>
      <c r="AV2408" s="357" t="s">
        <v>268</v>
      </c>
      <c r="AW2408" s="357" t="s">
        <v>276</v>
      </c>
      <c r="AX2408" s="369" t="e">
        <f>AO2408/AS2408</f>
        <v>#DIV/0!</v>
      </c>
      <c r="AY2408" s="357" t="s">
        <v>276</v>
      </c>
      <c r="AZ2408" s="357" t="s">
        <v>276</v>
      </c>
      <c r="BA2408" s="357" t="s">
        <v>276</v>
      </c>
      <c r="BB2408" s="357" t="s">
        <v>282</v>
      </c>
      <c r="BC2408" s="357" t="s">
        <v>98</v>
      </c>
      <c r="BD2408" s="357" t="s">
        <v>98</v>
      </c>
      <c r="BE2408" s="357" t="s">
        <v>98</v>
      </c>
      <c r="BF2408" s="351" t="s">
        <v>1020</v>
      </c>
      <c r="BG2408" s="351"/>
      <c r="BH2408" s="9" t="s">
        <v>100</v>
      </c>
      <c r="BI2408" s="9" t="s">
        <v>100</v>
      </c>
      <c r="BJ2408" s="373"/>
      <c r="BN2408" s="373"/>
      <c r="BO2408" s="373"/>
    </row>
    <row r="2409" spans="1:67" s="374" customFormat="1" ht="65" hidden="1" x14ac:dyDescent="0.35">
      <c r="A2409" s="357">
        <v>9995</v>
      </c>
      <c r="B2409" s="357" t="s">
        <v>5359</v>
      </c>
      <c r="C2409" s="357" t="s">
        <v>88</v>
      </c>
      <c r="D2409" s="351" t="s">
        <v>6043</v>
      </c>
      <c r="E2409" s="357" t="s">
        <v>43</v>
      </c>
      <c r="F2409" s="351" t="s">
        <v>4987</v>
      </c>
      <c r="G2409" s="357" t="s">
        <v>225</v>
      </c>
      <c r="H2409" s="357" t="s">
        <v>125</v>
      </c>
      <c r="I2409" s="357" t="s">
        <v>114</v>
      </c>
      <c r="J2409" s="351" t="s">
        <v>1116</v>
      </c>
      <c r="K2409" s="357" t="s">
        <v>1117</v>
      </c>
      <c r="L2409" s="351" t="s">
        <v>6035</v>
      </c>
      <c r="M2409" s="351" t="s">
        <v>6036</v>
      </c>
      <c r="N2409" s="351" t="s">
        <v>276</v>
      </c>
      <c r="O2409" s="351" t="s">
        <v>276</v>
      </c>
      <c r="P2409" s="351" t="s">
        <v>239</v>
      </c>
      <c r="Q2409" s="375" t="s">
        <v>5362</v>
      </c>
      <c r="R2409" s="351" t="s">
        <v>3010</v>
      </c>
      <c r="S2409" s="373" t="s">
        <v>276</v>
      </c>
      <c r="T2409" s="373" t="s">
        <v>276</v>
      </c>
      <c r="U2409" s="351">
        <v>2</v>
      </c>
      <c r="V2409" s="357" t="s">
        <v>261</v>
      </c>
      <c r="W2409" s="351" t="s">
        <v>5168</v>
      </c>
      <c r="X2409" s="351" t="s">
        <v>207</v>
      </c>
      <c r="Y2409" s="354">
        <v>2416</v>
      </c>
      <c r="Z2409" s="351">
        <v>1862</v>
      </c>
      <c r="AA2409" s="351" t="s">
        <v>276</v>
      </c>
      <c r="AB2409" s="351" t="s">
        <v>276</v>
      </c>
      <c r="AC2409" s="357">
        <v>0</v>
      </c>
      <c r="AD2409" s="351" t="s">
        <v>6011</v>
      </c>
      <c r="AE2409" s="357">
        <v>0</v>
      </c>
      <c r="AF2409" s="351" t="s">
        <v>6011</v>
      </c>
      <c r="AG2409" s="351" t="s">
        <v>6044</v>
      </c>
      <c r="AH2409" s="351" t="s">
        <v>5993</v>
      </c>
      <c r="AI2409" s="355">
        <f>1+1</f>
        <v>2</v>
      </c>
      <c r="AJ2409" s="355">
        <v>0</v>
      </c>
      <c r="AK2409" s="354">
        <v>2416</v>
      </c>
      <c r="AL2409" s="351">
        <v>1862</v>
      </c>
      <c r="AM2409" s="396" t="s">
        <v>690</v>
      </c>
      <c r="AN2409" s="357" t="s">
        <v>276</v>
      </c>
      <c r="AO2409" s="356">
        <f>(AI2409/AK2409)*1000</f>
        <v>0.82781456953642385</v>
      </c>
      <c r="AP2409" s="357" t="s">
        <v>276</v>
      </c>
      <c r="AQ2409" s="357" t="s">
        <v>276</v>
      </c>
      <c r="AR2409" s="357" t="s">
        <v>276</v>
      </c>
      <c r="AS2409" s="356">
        <f>(AJ2409/AL2409)*1000</f>
        <v>0</v>
      </c>
      <c r="AT2409" s="357" t="s">
        <v>276</v>
      </c>
      <c r="AU2409" s="357" t="s">
        <v>276</v>
      </c>
      <c r="AV2409" s="357" t="s">
        <v>268</v>
      </c>
      <c r="AW2409" s="357" t="s">
        <v>276</v>
      </c>
      <c r="AX2409" s="369" t="e">
        <f t="shared" si="638"/>
        <v>#DIV/0!</v>
      </c>
      <c r="AY2409" s="357" t="s">
        <v>276</v>
      </c>
      <c r="AZ2409" s="357" t="s">
        <v>276</v>
      </c>
      <c r="BA2409" s="357" t="s">
        <v>276</v>
      </c>
      <c r="BB2409" s="357" t="s">
        <v>282</v>
      </c>
      <c r="BC2409" s="357" t="s">
        <v>98</v>
      </c>
      <c r="BD2409" s="357" t="s">
        <v>98</v>
      </c>
      <c r="BE2409" s="357" t="s">
        <v>98</v>
      </c>
      <c r="BF2409" s="351" t="s">
        <v>1020</v>
      </c>
      <c r="BG2409" s="351"/>
      <c r="BH2409" s="9" t="s">
        <v>100</v>
      </c>
      <c r="BI2409" s="9" t="s">
        <v>100</v>
      </c>
      <c r="BJ2409" s="373"/>
      <c r="BN2409" s="373"/>
      <c r="BO2409" s="373"/>
    </row>
    <row r="2410" spans="1:67" s="374" customFormat="1" ht="52" hidden="1" x14ac:dyDescent="0.35">
      <c r="A2410" s="357">
        <v>9995</v>
      </c>
      <c r="B2410" s="357" t="s">
        <v>5359</v>
      </c>
      <c r="C2410" s="357" t="s">
        <v>88</v>
      </c>
      <c r="D2410" s="351" t="s">
        <v>6045</v>
      </c>
      <c r="E2410" s="357" t="s">
        <v>43</v>
      </c>
      <c r="F2410" s="351" t="s">
        <v>4987</v>
      </c>
      <c r="G2410" s="357" t="s">
        <v>225</v>
      </c>
      <c r="H2410" s="357" t="s">
        <v>125</v>
      </c>
      <c r="I2410" s="357" t="s">
        <v>114</v>
      </c>
      <c r="J2410" s="351" t="s">
        <v>103</v>
      </c>
      <c r="K2410" s="357" t="s">
        <v>6046</v>
      </c>
      <c r="L2410" s="351" t="s">
        <v>6035</v>
      </c>
      <c r="M2410" s="351" t="s">
        <v>6036</v>
      </c>
      <c r="N2410" s="351" t="s">
        <v>276</v>
      </c>
      <c r="O2410" s="351" t="s">
        <v>276</v>
      </c>
      <c r="P2410" s="351" t="s">
        <v>235</v>
      </c>
      <c r="Q2410" s="375" t="s">
        <v>5362</v>
      </c>
      <c r="R2410" s="351" t="s">
        <v>3010</v>
      </c>
      <c r="S2410" s="373" t="s">
        <v>276</v>
      </c>
      <c r="T2410" s="373" t="s">
        <v>276</v>
      </c>
      <c r="U2410" s="351">
        <v>2</v>
      </c>
      <c r="V2410" s="357" t="s">
        <v>261</v>
      </c>
      <c r="W2410" s="351" t="s">
        <v>5168</v>
      </c>
      <c r="X2410" s="351" t="s">
        <v>207</v>
      </c>
      <c r="Y2410" s="354" t="s">
        <v>98</v>
      </c>
      <c r="Z2410" s="351" t="s">
        <v>98</v>
      </c>
      <c r="AA2410" s="351" t="s">
        <v>276</v>
      </c>
      <c r="AB2410" s="351" t="s">
        <v>276</v>
      </c>
      <c r="AC2410" s="357">
        <v>0</v>
      </c>
      <c r="AD2410" s="351" t="s">
        <v>6011</v>
      </c>
      <c r="AE2410" s="357">
        <v>0</v>
      </c>
      <c r="AF2410" s="351" t="s">
        <v>6011</v>
      </c>
      <c r="AG2410" s="351" t="s">
        <v>6047</v>
      </c>
      <c r="AH2410" s="351" t="s">
        <v>6048</v>
      </c>
      <c r="AI2410" s="355">
        <f>2+8</f>
        <v>10</v>
      </c>
      <c r="AJ2410" s="355">
        <v>0</v>
      </c>
      <c r="AK2410" s="354">
        <f>71+7</f>
        <v>78</v>
      </c>
      <c r="AL2410" s="351">
        <v>10</v>
      </c>
      <c r="AM2410" s="396" t="s">
        <v>292</v>
      </c>
      <c r="AN2410" s="357" t="s">
        <v>276</v>
      </c>
      <c r="AO2410" s="356">
        <f>(AI2410/AK2410)*100</f>
        <v>12.820512820512819</v>
      </c>
      <c r="AP2410" s="357" t="s">
        <v>276</v>
      </c>
      <c r="AQ2410" s="357" t="s">
        <v>276</v>
      </c>
      <c r="AR2410" s="357" t="s">
        <v>276</v>
      </c>
      <c r="AS2410" s="356">
        <f>(AJ2410/AL2410)*100</f>
        <v>0</v>
      </c>
      <c r="AT2410" s="357" t="s">
        <v>276</v>
      </c>
      <c r="AU2410" s="357" t="s">
        <v>276</v>
      </c>
      <c r="AV2410" s="357" t="s">
        <v>268</v>
      </c>
      <c r="AW2410" s="357" t="s">
        <v>276</v>
      </c>
      <c r="AX2410" s="369" t="e">
        <f t="shared" si="638"/>
        <v>#DIV/0!</v>
      </c>
      <c r="AY2410" s="357" t="s">
        <v>276</v>
      </c>
      <c r="AZ2410" s="357" t="s">
        <v>276</v>
      </c>
      <c r="BA2410" s="357" t="s">
        <v>276</v>
      </c>
      <c r="BB2410" s="357" t="s">
        <v>282</v>
      </c>
      <c r="BC2410" s="357" t="s">
        <v>98</v>
      </c>
      <c r="BD2410" s="357" t="s">
        <v>98</v>
      </c>
      <c r="BE2410" s="357" t="s">
        <v>98</v>
      </c>
      <c r="BF2410" s="351" t="s">
        <v>6049</v>
      </c>
      <c r="BG2410" s="351"/>
      <c r="BH2410" s="9" t="s">
        <v>100</v>
      </c>
      <c r="BI2410" s="9" t="s">
        <v>100</v>
      </c>
      <c r="BJ2410" s="373"/>
      <c r="BN2410" s="373"/>
      <c r="BO2410" s="373"/>
    </row>
    <row r="2411" spans="1:67" s="374" customFormat="1" ht="65" hidden="1" x14ac:dyDescent="0.35">
      <c r="A2411" s="357">
        <v>10326</v>
      </c>
      <c r="B2411" s="357" t="s">
        <v>5335</v>
      </c>
      <c r="C2411" s="357" t="s">
        <v>88</v>
      </c>
      <c r="D2411" s="351" t="s">
        <v>6050</v>
      </c>
      <c r="E2411" s="357" t="s">
        <v>43</v>
      </c>
      <c r="F2411" s="351" t="s">
        <v>4987</v>
      </c>
      <c r="G2411" s="357" t="s">
        <v>225</v>
      </c>
      <c r="H2411" s="357" t="s">
        <v>125</v>
      </c>
      <c r="I2411" s="357" t="s">
        <v>114</v>
      </c>
      <c r="J2411" s="351" t="s">
        <v>6051</v>
      </c>
      <c r="K2411" s="357" t="s">
        <v>6052</v>
      </c>
      <c r="L2411" s="351" t="s">
        <v>5838</v>
      </c>
      <c r="M2411" s="351" t="s">
        <v>6053</v>
      </c>
      <c r="N2411" s="351" t="s">
        <v>6054</v>
      </c>
      <c r="O2411" s="351" t="s">
        <v>276</v>
      </c>
      <c r="P2411" s="351" t="s">
        <v>239</v>
      </c>
      <c r="Q2411" s="375" t="s">
        <v>6055</v>
      </c>
      <c r="R2411" s="351" t="s">
        <v>5339</v>
      </c>
      <c r="S2411" s="373" t="s">
        <v>5340</v>
      </c>
      <c r="T2411" s="373" t="s">
        <v>5341</v>
      </c>
      <c r="U2411" s="351">
        <v>3</v>
      </c>
      <c r="V2411" s="357" t="s">
        <v>261</v>
      </c>
      <c r="W2411" s="351" t="s">
        <v>5168</v>
      </c>
      <c r="X2411" s="351" t="s">
        <v>207</v>
      </c>
      <c r="Y2411" s="354">
        <v>2415</v>
      </c>
      <c r="Z2411" s="351">
        <v>1861</v>
      </c>
      <c r="AA2411" s="351" t="s">
        <v>276</v>
      </c>
      <c r="AB2411" s="351" t="s">
        <v>276</v>
      </c>
      <c r="AC2411" s="357">
        <v>0</v>
      </c>
      <c r="AD2411" s="351" t="s">
        <v>6011</v>
      </c>
      <c r="AE2411" s="357">
        <v>2</v>
      </c>
      <c r="AF2411" s="351" t="s">
        <v>6011</v>
      </c>
      <c r="AG2411" s="351" t="s">
        <v>6056</v>
      </c>
      <c r="AH2411" s="351" t="s">
        <v>5993</v>
      </c>
      <c r="AI2411" s="355">
        <v>148</v>
      </c>
      <c r="AJ2411" s="355">
        <v>66</v>
      </c>
      <c r="AK2411" s="354">
        <v>2415</v>
      </c>
      <c r="AL2411" s="351">
        <v>1861</v>
      </c>
      <c r="AM2411" s="396" t="s">
        <v>690</v>
      </c>
      <c r="AN2411" s="357" t="s">
        <v>276</v>
      </c>
      <c r="AO2411" s="356">
        <f t="shared" ref="AO2411:AO2420" si="641">(AI2411/AK2411)*1000</f>
        <v>61.283643892339541</v>
      </c>
      <c r="AP2411" s="357" t="s">
        <v>276</v>
      </c>
      <c r="AQ2411" s="357" t="s">
        <v>276</v>
      </c>
      <c r="AR2411" s="357" t="s">
        <v>276</v>
      </c>
      <c r="AS2411" s="356">
        <f t="shared" ref="AS2411:AS2420" si="642">(AJ2411/AL2411)*1000</f>
        <v>35.464803868887692</v>
      </c>
      <c r="AT2411" s="357" t="s">
        <v>276</v>
      </c>
      <c r="AU2411" s="357" t="s">
        <v>276</v>
      </c>
      <c r="AV2411" s="357" t="s">
        <v>268</v>
      </c>
      <c r="AW2411" s="357" t="s">
        <v>276</v>
      </c>
      <c r="AX2411" s="369">
        <f t="shared" si="638"/>
        <v>1.7280130497521802</v>
      </c>
      <c r="AY2411" s="357" t="s">
        <v>276</v>
      </c>
      <c r="AZ2411" s="357" t="s">
        <v>276</v>
      </c>
      <c r="BA2411" s="357" t="s">
        <v>276</v>
      </c>
      <c r="BB2411" s="357" t="s">
        <v>282</v>
      </c>
      <c r="BC2411" s="357" t="s">
        <v>98</v>
      </c>
      <c r="BD2411" s="357" t="s">
        <v>98</v>
      </c>
      <c r="BE2411" s="357" t="s">
        <v>98</v>
      </c>
      <c r="BF2411" s="351" t="s">
        <v>298</v>
      </c>
      <c r="BG2411" s="351"/>
      <c r="BH2411" s="9" t="s">
        <v>100</v>
      </c>
      <c r="BI2411" s="9" t="s">
        <v>100</v>
      </c>
      <c r="BJ2411" s="373"/>
      <c r="BN2411" s="373"/>
      <c r="BO2411" s="373"/>
    </row>
    <row r="2412" spans="1:67" s="374" customFormat="1" ht="52" hidden="1" x14ac:dyDescent="0.35">
      <c r="A2412" s="357">
        <v>10326</v>
      </c>
      <c r="B2412" s="357" t="s">
        <v>5335</v>
      </c>
      <c r="C2412" s="357" t="s">
        <v>88</v>
      </c>
      <c r="D2412" s="351" t="s">
        <v>6057</v>
      </c>
      <c r="E2412" s="357" t="s">
        <v>43</v>
      </c>
      <c r="F2412" s="351" t="s">
        <v>4987</v>
      </c>
      <c r="G2412" s="357" t="s">
        <v>225</v>
      </c>
      <c r="H2412" s="357" t="s">
        <v>125</v>
      </c>
      <c r="I2412" s="357" t="s">
        <v>114</v>
      </c>
      <c r="J2412" s="351" t="s">
        <v>6051</v>
      </c>
      <c r="K2412" s="357" t="s">
        <v>6058</v>
      </c>
      <c r="L2412" s="351" t="s">
        <v>5838</v>
      </c>
      <c r="M2412" s="351" t="s">
        <v>6053</v>
      </c>
      <c r="N2412" s="351" t="s">
        <v>6054</v>
      </c>
      <c r="O2412" s="351" t="s">
        <v>276</v>
      </c>
      <c r="P2412" s="351" t="s">
        <v>239</v>
      </c>
      <c r="Q2412" s="375" t="s">
        <v>6055</v>
      </c>
      <c r="R2412" s="351" t="s">
        <v>5339</v>
      </c>
      <c r="S2412" s="373" t="s">
        <v>5340</v>
      </c>
      <c r="T2412" s="373" t="s">
        <v>5341</v>
      </c>
      <c r="U2412" s="351">
        <v>3</v>
      </c>
      <c r="V2412" s="357" t="s">
        <v>261</v>
      </c>
      <c r="W2412" s="351" t="s">
        <v>5168</v>
      </c>
      <c r="X2412" s="351" t="s">
        <v>207</v>
      </c>
      <c r="Y2412" s="354">
        <v>2415</v>
      </c>
      <c r="Z2412" s="351">
        <v>1861</v>
      </c>
      <c r="AA2412" s="351" t="s">
        <v>276</v>
      </c>
      <c r="AB2412" s="351" t="s">
        <v>276</v>
      </c>
      <c r="AC2412" s="357">
        <v>0</v>
      </c>
      <c r="AD2412" s="351" t="s">
        <v>6011</v>
      </c>
      <c r="AE2412" s="357">
        <v>2</v>
      </c>
      <c r="AF2412" s="351" t="s">
        <v>6011</v>
      </c>
      <c r="AG2412" s="351" t="s">
        <v>6059</v>
      </c>
      <c r="AH2412" s="351" t="s">
        <v>5993</v>
      </c>
      <c r="AI2412" s="355">
        <v>6</v>
      </c>
      <c r="AJ2412" s="355">
        <v>8</v>
      </c>
      <c r="AK2412" s="354">
        <v>2415</v>
      </c>
      <c r="AL2412" s="351">
        <v>1861</v>
      </c>
      <c r="AM2412" s="396" t="s">
        <v>690</v>
      </c>
      <c r="AN2412" s="357" t="s">
        <v>276</v>
      </c>
      <c r="AO2412" s="356">
        <f t="shared" si="641"/>
        <v>2.4844720496894412</v>
      </c>
      <c r="AP2412" s="357" t="s">
        <v>276</v>
      </c>
      <c r="AQ2412" s="357" t="s">
        <v>276</v>
      </c>
      <c r="AR2412" s="357" t="s">
        <v>276</v>
      </c>
      <c r="AS2412" s="356">
        <f t="shared" si="642"/>
        <v>4.2987641053197212</v>
      </c>
      <c r="AT2412" s="357" t="s">
        <v>276</v>
      </c>
      <c r="AU2412" s="357" t="s">
        <v>276</v>
      </c>
      <c r="AV2412" s="357" t="s">
        <v>268</v>
      </c>
      <c r="AW2412" s="357" t="s">
        <v>276</v>
      </c>
      <c r="AX2412" s="369">
        <f t="shared" si="638"/>
        <v>0.57795031055900614</v>
      </c>
      <c r="AY2412" s="357" t="s">
        <v>276</v>
      </c>
      <c r="AZ2412" s="357" t="s">
        <v>276</v>
      </c>
      <c r="BA2412" s="357" t="s">
        <v>276</v>
      </c>
      <c r="BB2412" s="357" t="s">
        <v>282</v>
      </c>
      <c r="BC2412" s="357" t="s">
        <v>98</v>
      </c>
      <c r="BD2412" s="357" t="s">
        <v>98</v>
      </c>
      <c r="BE2412" s="357" t="s">
        <v>98</v>
      </c>
      <c r="BF2412" s="351" t="s">
        <v>298</v>
      </c>
      <c r="BG2412" s="351"/>
      <c r="BH2412" s="9" t="s">
        <v>100</v>
      </c>
      <c r="BI2412" s="9" t="s">
        <v>100</v>
      </c>
      <c r="BJ2412" s="373"/>
      <c r="BN2412" s="373"/>
      <c r="BO2412" s="373"/>
    </row>
    <row r="2413" spans="1:67" s="374" customFormat="1" ht="52" hidden="1" x14ac:dyDescent="0.35">
      <c r="A2413" s="357">
        <v>10326</v>
      </c>
      <c r="B2413" s="357" t="s">
        <v>5335</v>
      </c>
      <c r="C2413" s="357" t="s">
        <v>88</v>
      </c>
      <c r="D2413" s="351" t="s">
        <v>6060</v>
      </c>
      <c r="E2413" s="357" t="s">
        <v>43</v>
      </c>
      <c r="F2413" s="351" t="s">
        <v>4987</v>
      </c>
      <c r="G2413" s="357" t="s">
        <v>225</v>
      </c>
      <c r="H2413" s="357" t="s">
        <v>125</v>
      </c>
      <c r="I2413" s="357" t="s">
        <v>114</v>
      </c>
      <c r="J2413" s="351" t="s">
        <v>117</v>
      </c>
      <c r="K2413" s="357" t="s">
        <v>3836</v>
      </c>
      <c r="L2413" s="351" t="s">
        <v>5838</v>
      </c>
      <c r="M2413" s="351" t="s">
        <v>6053</v>
      </c>
      <c r="N2413" s="351" t="s">
        <v>6054</v>
      </c>
      <c r="O2413" s="351" t="s">
        <v>276</v>
      </c>
      <c r="P2413" s="351" t="s">
        <v>239</v>
      </c>
      <c r="Q2413" s="375" t="s">
        <v>6055</v>
      </c>
      <c r="R2413" s="351" t="s">
        <v>5339</v>
      </c>
      <c r="S2413" s="373" t="s">
        <v>5340</v>
      </c>
      <c r="T2413" s="373" t="s">
        <v>5341</v>
      </c>
      <c r="U2413" s="351">
        <v>3</v>
      </c>
      <c r="V2413" s="357" t="s">
        <v>261</v>
      </c>
      <c r="W2413" s="351" t="s">
        <v>5168</v>
      </c>
      <c r="X2413" s="351" t="s">
        <v>207</v>
      </c>
      <c r="Y2413" s="354">
        <v>2415</v>
      </c>
      <c r="Z2413" s="351">
        <v>1861</v>
      </c>
      <c r="AA2413" s="351" t="s">
        <v>276</v>
      </c>
      <c r="AB2413" s="351" t="s">
        <v>276</v>
      </c>
      <c r="AC2413" s="357">
        <v>0</v>
      </c>
      <c r="AD2413" s="351" t="s">
        <v>6011</v>
      </c>
      <c r="AE2413" s="357">
        <v>2</v>
      </c>
      <c r="AF2413" s="351" t="s">
        <v>6011</v>
      </c>
      <c r="AG2413" s="351" t="s">
        <v>6061</v>
      </c>
      <c r="AH2413" s="351" t="s">
        <v>5993</v>
      </c>
      <c r="AI2413" s="355">
        <v>4</v>
      </c>
      <c r="AJ2413" s="355">
        <v>0</v>
      </c>
      <c r="AK2413" s="354">
        <v>2415</v>
      </c>
      <c r="AL2413" s="351">
        <v>1861</v>
      </c>
      <c r="AM2413" s="396" t="s">
        <v>690</v>
      </c>
      <c r="AN2413" s="357" t="s">
        <v>276</v>
      </c>
      <c r="AO2413" s="356">
        <f t="shared" si="641"/>
        <v>1.6563146997929608</v>
      </c>
      <c r="AP2413" s="357" t="s">
        <v>276</v>
      </c>
      <c r="AQ2413" s="357" t="s">
        <v>276</v>
      </c>
      <c r="AR2413" s="357" t="s">
        <v>276</v>
      </c>
      <c r="AS2413" s="356">
        <f t="shared" si="642"/>
        <v>0</v>
      </c>
      <c r="AT2413" s="357" t="s">
        <v>276</v>
      </c>
      <c r="AU2413" s="357" t="s">
        <v>276</v>
      </c>
      <c r="AV2413" s="357" t="s">
        <v>268</v>
      </c>
      <c r="AW2413" s="357" t="s">
        <v>276</v>
      </c>
      <c r="AX2413" s="369" t="e">
        <f t="shared" si="638"/>
        <v>#DIV/0!</v>
      </c>
      <c r="AY2413" s="357" t="s">
        <v>276</v>
      </c>
      <c r="AZ2413" s="357" t="s">
        <v>276</v>
      </c>
      <c r="BA2413" s="357" t="s">
        <v>276</v>
      </c>
      <c r="BB2413" s="357" t="s">
        <v>282</v>
      </c>
      <c r="BC2413" s="357" t="s">
        <v>98</v>
      </c>
      <c r="BD2413" s="357" t="s">
        <v>98</v>
      </c>
      <c r="BE2413" s="357" t="s">
        <v>98</v>
      </c>
      <c r="BF2413" s="351" t="s">
        <v>298</v>
      </c>
      <c r="BG2413" s="351"/>
      <c r="BH2413" s="9" t="s">
        <v>100</v>
      </c>
      <c r="BI2413" s="9" t="s">
        <v>100</v>
      </c>
      <c r="BJ2413" s="373"/>
      <c r="BN2413" s="373"/>
      <c r="BO2413" s="373"/>
    </row>
    <row r="2414" spans="1:67" s="374" customFormat="1" ht="52" hidden="1" x14ac:dyDescent="0.35">
      <c r="A2414" s="357">
        <v>10326</v>
      </c>
      <c r="B2414" s="357" t="s">
        <v>5335</v>
      </c>
      <c r="C2414" s="357" t="s">
        <v>88</v>
      </c>
      <c r="D2414" s="351" t="s">
        <v>6062</v>
      </c>
      <c r="E2414" s="357" t="s">
        <v>43</v>
      </c>
      <c r="F2414" s="351" t="s">
        <v>4987</v>
      </c>
      <c r="G2414" s="357" t="s">
        <v>225</v>
      </c>
      <c r="H2414" s="357" t="s">
        <v>125</v>
      </c>
      <c r="I2414" s="357" t="s">
        <v>114</v>
      </c>
      <c r="J2414" s="351" t="s">
        <v>1116</v>
      </c>
      <c r="K2414" s="357" t="s">
        <v>6063</v>
      </c>
      <c r="L2414" s="351" t="s">
        <v>5838</v>
      </c>
      <c r="M2414" s="351" t="s">
        <v>6053</v>
      </c>
      <c r="N2414" s="351" t="s">
        <v>6054</v>
      </c>
      <c r="O2414" s="351" t="s">
        <v>276</v>
      </c>
      <c r="P2414" s="351" t="s">
        <v>239</v>
      </c>
      <c r="Q2414" s="375" t="s">
        <v>6055</v>
      </c>
      <c r="R2414" s="351" t="s">
        <v>5339</v>
      </c>
      <c r="S2414" s="373" t="s">
        <v>5340</v>
      </c>
      <c r="T2414" s="373" t="s">
        <v>5341</v>
      </c>
      <c r="U2414" s="351">
        <v>3</v>
      </c>
      <c r="V2414" s="357" t="s">
        <v>261</v>
      </c>
      <c r="W2414" s="351" t="s">
        <v>5168</v>
      </c>
      <c r="X2414" s="351" t="s">
        <v>207</v>
      </c>
      <c r="Y2414" s="354">
        <v>2415</v>
      </c>
      <c r="Z2414" s="351">
        <v>1861</v>
      </c>
      <c r="AA2414" s="351" t="s">
        <v>276</v>
      </c>
      <c r="AB2414" s="351" t="s">
        <v>276</v>
      </c>
      <c r="AC2414" s="357">
        <v>0</v>
      </c>
      <c r="AD2414" s="351" t="s">
        <v>6011</v>
      </c>
      <c r="AE2414" s="357">
        <v>2</v>
      </c>
      <c r="AF2414" s="351" t="s">
        <v>6011</v>
      </c>
      <c r="AG2414" s="351" t="s">
        <v>6064</v>
      </c>
      <c r="AH2414" s="351" t="s">
        <v>5993</v>
      </c>
      <c r="AI2414" s="355">
        <v>4</v>
      </c>
      <c r="AJ2414" s="355">
        <v>4</v>
      </c>
      <c r="AK2414" s="354">
        <v>2415</v>
      </c>
      <c r="AL2414" s="351">
        <v>1861</v>
      </c>
      <c r="AM2414" s="396" t="s">
        <v>690</v>
      </c>
      <c r="AN2414" s="357" t="s">
        <v>276</v>
      </c>
      <c r="AO2414" s="356">
        <f t="shared" si="641"/>
        <v>1.6563146997929608</v>
      </c>
      <c r="AP2414" s="357" t="s">
        <v>276</v>
      </c>
      <c r="AQ2414" s="357" t="s">
        <v>276</v>
      </c>
      <c r="AR2414" s="357" t="s">
        <v>276</v>
      </c>
      <c r="AS2414" s="356">
        <f t="shared" si="642"/>
        <v>2.1493820526598606</v>
      </c>
      <c r="AT2414" s="357" t="s">
        <v>276</v>
      </c>
      <c r="AU2414" s="357" t="s">
        <v>276</v>
      </c>
      <c r="AV2414" s="357" t="s">
        <v>268</v>
      </c>
      <c r="AW2414" s="357" t="s">
        <v>276</v>
      </c>
      <c r="AX2414" s="369">
        <f t="shared" si="638"/>
        <v>0.77060041407867486</v>
      </c>
      <c r="AY2414" s="357" t="s">
        <v>276</v>
      </c>
      <c r="AZ2414" s="357" t="s">
        <v>276</v>
      </c>
      <c r="BA2414" s="357" t="s">
        <v>276</v>
      </c>
      <c r="BB2414" s="357" t="s">
        <v>282</v>
      </c>
      <c r="BC2414" s="357" t="s">
        <v>98</v>
      </c>
      <c r="BD2414" s="357" t="s">
        <v>98</v>
      </c>
      <c r="BE2414" s="357" t="s">
        <v>98</v>
      </c>
      <c r="BF2414" s="351" t="s">
        <v>298</v>
      </c>
      <c r="BG2414" s="351"/>
      <c r="BH2414" s="9" t="s">
        <v>100</v>
      </c>
      <c r="BI2414" s="9" t="s">
        <v>100</v>
      </c>
      <c r="BJ2414" s="373"/>
      <c r="BN2414" s="373"/>
      <c r="BO2414" s="373"/>
    </row>
    <row r="2415" spans="1:67" s="374" customFormat="1" ht="91" hidden="1" x14ac:dyDescent="0.35">
      <c r="A2415" s="357">
        <v>10326</v>
      </c>
      <c r="B2415" s="357" t="s">
        <v>5335</v>
      </c>
      <c r="C2415" s="357" t="s">
        <v>88</v>
      </c>
      <c r="D2415" s="351" t="s">
        <v>6065</v>
      </c>
      <c r="E2415" s="357" t="s">
        <v>43</v>
      </c>
      <c r="F2415" s="351" t="s">
        <v>4987</v>
      </c>
      <c r="G2415" s="357" t="s">
        <v>225</v>
      </c>
      <c r="H2415" s="357" t="s">
        <v>125</v>
      </c>
      <c r="I2415" s="357" t="s">
        <v>114</v>
      </c>
      <c r="J2415" s="351" t="s">
        <v>30</v>
      </c>
      <c r="K2415" s="351" t="s">
        <v>6066</v>
      </c>
      <c r="L2415" s="351" t="s">
        <v>5838</v>
      </c>
      <c r="M2415" s="351" t="s">
        <v>5838</v>
      </c>
      <c r="N2415" s="351" t="s">
        <v>6067</v>
      </c>
      <c r="O2415" s="351" t="s">
        <v>276</v>
      </c>
      <c r="P2415" s="351" t="s">
        <v>239</v>
      </c>
      <c r="Q2415" s="375" t="s">
        <v>6055</v>
      </c>
      <c r="R2415" s="351" t="s">
        <v>5339</v>
      </c>
      <c r="S2415" s="373" t="s">
        <v>5340</v>
      </c>
      <c r="T2415" s="373" t="s">
        <v>5341</v>
      </c>
      <c r="U2415" s="351">
        <v>3</v>
      </c>
      <c r="V2415" s="357" t="s">
        <v>261</v>
      </c>
      <c r="W2415" s="351" t="s">
        <v>5168</v>
      </c>
      <c r="X2415" s="351" t="s">
        <v>207</v>
      </c>
      <c r="Y2415" s="354">
        <v>2415</v>
      </c>
      <c r="Z2415" s="351">
        <v>1861</v>
      </c>
      <c r="AA2415" s="351" t="s">
        <v>276</v>
      </c>
      <c r="AB2415" s="351" t="s">
        <v>276</v>
      </c>
      <c r="AC2415" s="357">
        <v>11</v>
      </c>
      <c r="AD2415" s="351" t="s">
        <v>6068</v>
      </c>
      <c r="AE2415" s="357">
        <v>3</v>
      </c>
      <c r="AF2415" s="351" t="s">
        <v>6068</v>
      </c>
      <c r="AG2415" s="351" t="s">
        <v>6069</v>
      </c>
      <c r="AH2415" s="351" t="s">
        <v>5993</v>
      </c>
      <c r="AI2415" s="355">
        <v>79</v>
      </c>
      <c r="AJ2415" s="355">
        <v>19</v>
      </c>
      <c r="AK2415" s="354">
        <v>2415</v>
      </c>
      <c r="AL2415" s="351">
        <v>1861</v>
      </c>
      <c r="AM2415" s="396" t="s">
        <v>690</v>
      </c>
      <c r="AN2415" s="357" t="s">
        <v>276</v>
      </c>
      <c r="AO2415" s="356">
        <f t="shared" si="641"/>
        <v>32.712215320910971</v>
      </c>
      <c r="AP2415" s="357" t="s">
        <v>276</v>
      </c>
      <c r="AQ2415" s="357" t="s">
        <v>276</v>
      </c>
      <c r="AR2415" s="357" t="s">
        <v>276</v>
      </c>
      <c r="AS2415" s="356">
        <f t="shared" si="642"/>
        <v>10.209564750134335</v>
      </c>
      <c r="AT2415" s="357" t="s">
        <v>276</v>
      </c>
      <c r="AU2415" s="357" t="s">
        <v>276</v>
      </c>
      <c r="AV2415" s="357" t="s">
        <v>268</v>
      </c>
      <c r="AW2415" s="357" t="s">
        <v>276</v>
      </c>
      <c r="AX2415" s="369">
        <f t="shared" si="638"/>
        <v>3.2040754059060697</v>
      </c>
      <c r="AY2415" s="357" t="s">
        <v>276</v>
      </c>
      <c r="AZ2415" s="357" t="s">
        <v>276</v>
      </c>
      <c r="BA2415" s="357" t="s">
        <v>276</v>
      </c>
      <c r="BB2415" s="357" t="s">
        <v>282</v>
      </c>
      <c r="BC2415" s="357" t="s">
        <v>98</v>
      </c>
      <c r="BD2415" s="357" t="s">
        <v>98</v>
      </c>
      <c r="BE2415" s="357" t="s">
        <v>98</v>
      </c>
      <c r="BF2415" s="351" t="s">
        <v>2447</v>
      </c>
      <c r="BG2415" s="351"/>
      <c r="BH2415" s="9" t="s">
        <v>100</v>
      </c>
      <c r="BI2415" s="9" t="s">
        <v>100</v>
      </c>
      <c r="BJ2415" s="373"/>
      <c r="BN2415" s="373"/>
      <c r="BO2415" s="373"/>
    </row>
    <row r="2416" spans="1:67" s="374" customFormat="1" ht="104" hidden="1" x14ac:dyDescent="0.35">
      <c r="A2416" s="357">
        <v>10326</v>
      </c>
      <c r="B2416" s="357" t="s">
        <v>5335</v>
      </c>
      <c r="C2416" s="357" t="s">
        <v>88</v>
      </c>
      <c r="D2416" s="351" t="s">
        <v>6070</v>
      </c>
      <c r="E2416" s="357" t="s">
        <v>43</v>
      </c>
      <c r="F2416" s="351" t="s">
        <v>4987</v>
      </c>
      <c r="G2416" s="357" t="s">
        <v>225</v>
      </c>
      <c r="H2416" s="357" t="s">
        <v>125</v>
      </c>
      <c r="I2416" s="357" t="s">
        <v>114</v>
      </c>
      <c r="J2416" s="351" t="s">
        <v>30</v>
      </c>
      <c r="K2416" s="351" t="s">
        <v>6071</v>
      </c>
      <c r="L2416" s="351" t="s">
        <v>5838</v>
      </c>
      <c r="M2416" s="351" t="s">
        <v>5838</v>
      </c>
      <c r="N2416" s="351" t="s">
        <v>6067</v>
      </c>
      <c r="O2416" s="351" t="s">
        <v>276</v>
      </c>
      <c r="P2416" s="351" t="s">
        <v>239</v>
      </c>
      <c r="Q2416" s="375" t="s">
        <v>6055</v>
      </c>
      <c r="R2416" s="351" t="s">
        <v>5339</v>
      </c>
      <c r="S2416" s="373" t="s">
        <v>5340</v>
      </c>
      <c r="T2416" s="373" t="s">
        <v>5341</v>
      </c>
      <c r="U2416" s="351">
        <v>3</v>
      </c>
      <c r="V2416" s="357" t="s">
        <v>261</v>
      </c>
      <c r="W2416" s="351" t="s">
        <v>5168</v>
      </c>
      <c r="X2416" s="351" t="s">
        <v>207</v>
      </c>
      <c r="Y2416" s="354">
        <v>2415</v>
      </c>
      <c r="Z2416" s="351">
        <v>1861</v>
      </c>
      <c r="AA2416" s="351" t="s">
        <v>276</v>
      </c>
      <c r="AB2416" s="351" t="s">
        <v>276</v>
      </c>
      <c r="AC2416" s="357">
        <v>11</v>
      </c>
      <c r="AD2416" s="351" t="s">
        <v>6068</v>
      </c>
      <c r="AE2416" s="357">
        <v>3</v>
      </c>
      <c r="AF2416" s="351" t="s">
        <v>6068</v>
      </c>
      <c r="AG2416" s="351" t="s">
        <v>6072</v>
      </c>
      <c r="AH2416" s="351" t="s">
        <v>5993</v>
      </c>
      <c r="AI2416" s="355">
        <v>37</v>
      </c>
      <c r="AJ2416" s="355">
        <v>23</v>
      </c>
      <c r="AK2416" s="354">
        <v>2415</v>
      </c>
      <c r="AL2416" s="351">
        <v>1861</v>
      </c>
      <c r="AM2416" s="396" t="s">
        <v>690</v>
      </c>
      <c r="AN2416" s="357" t="s">
        <v>276</v>
      </c>
      <c r="AO2416" s="356">
        <f t="shared" si="641"/>
        <v>15.320910973084885</v>
      </c>
      <c r="AP2416" s="357" t="s">
        <v>276</v>
      </c>
      <c r="AQ2416" s="357" t="s">
        <v>276</v>
      </c>
      <c r="AR2416" s="357" t="s">
        <v>276</v>
      </c>
      <c r="AS2416" s="356">
        <f t="shared" si="642"/>
        <v>12.358946802794197</v>
      </c>
      <c r="AT2416" s="357" t="s">
        <v>276</v>
      </c>
      <c r="AU2416" s="357" t="s">
        <v>276</v>
      </c>
      <c r="AV2416" s="357" t="s">
        <v>268</v>
      </c>
      <c r="AW2416" s="357" t="s">
        <v>276</v>
      </c>
      <c r="AX2416" s="369">
        <f t="shared" si="638"/>
        <v>1.2396615356917813</v>
      </c>
      <c r="AY2416" s="357" t="s">
        <v>276</v>
      </c>
      <c r="AZ2416" s="357" t="s">
        <v>276</v>
      </c>
      <c r="BA2416" s="357" t="s">
        <v>276</v>
      </c>
      <c r="BB2416" s="357" t="s">
        <v>282</v>
      </c>
      <c r="BC2416" s="357" t="s">
        <v>98</v>
      </c>
      <c r="BD2416" s="357" t="s">
        <v>98</v>
      </c>
      <c r="BE2416" s="357" t="s">
        <v>98</v>
      </c>
      <c r="BF2416" s="351" t="s">
        <v>2447</v>
      </c>
      <c r="BG2416" s="351"/>
      <c r="BH2416" s="9" t="s">
        <v>100</v>
      </c>
      <c r="BI2416" s="9" t="s">
        <v>100</v>
      </c>
      <c r="BJ2416" s="373"/>
      <c r="BN2416" s="373"/>
      <c r="BO2416" s="373"/>
    </row>
    <row r="2417" spans="1:68" s="374" customFormat="1" ht="195" hidden="1" x14ac:dyDescent="0.35">
      <c r="A2417" s="357">
        <v>10326</v>
      </c>
      <c r="B2417" s="357" t="s">
        <v>5335</v>
      </c>
      <c r="C2417" s="357" t="s">
        <v>88</v>
      </c>
      <c r="D2417" s="351" t="s">
        <v>6073</v>
      </c>
      <c r="E2417" s="357" t="s">
        <v>43</v>
      </c>
      <c r="F2417" s="351" t="s">
        <v>4987</v>
      </c>
      <c r="G2417" s="357" t="s">
        <v>225</v>
      </c>
      <c r="H2417" s="357" t="s">
        <v>125</v>
      </c>
      <c r="I2417" s="357" t="s">
        <v>114</v>
      </c>
      <c r="J2417" s="351" t="s">
        <v>30</v>
      </c>
      <c r="K2417" s="351" t="s">
        <v>6074</v>
      </c>
      <c r="L2417" s="351" t="s">
        <v>5838</v>
      </c>
      <c r="M2417" s="351" t="s">
        <v>5838</v>
      </c>
      <c r="N2417" s="351" t="s">
        <v>6067</v>
      </c>
      <c r="O2417" s="351" t="s">
        <v>276</v>
      </c>
      <c r="P2417" s="351" t="s">
        <v>239</v>
      </c>
      <c r="Q2417" s="375" t="s">
        <v>6055</v>
      </c>
      <c r="R2417" s="351" t="s">
        <v>5339</v>
      </c>
      <c r="S2417" s="373" t="s">
        <v>5340</v>
      </c>
      <c r="T2417" s="373" t="s">
        <v>5341</v>
      </c>
      <c r="U2417" s="351">
        <v>3</v>
      </c>
      <c r="V2417" s="357" t="s">
        <v>261</v>
      </c>
      <c r="W2417" s="351" t="s">
        <v>5168</v>
      </c>
      <c r="X2417" s="351" t="s">
        <v>207</v>
      </c>
      <c r="Y2417" s="354">
        <v>2415</v>
      </c>
      <c r="Z2417" s="351">
        <v>1861</v>
      </c>
      <c r="AA2417" s="351" t="s">
        <v>276</v>
      </c>
      <c r="AB2417" s="351" t="s">
        <v>276</v>
      </c>
      <c r="AC2417" s="357">
        <v>11</v>
      </c>
      <c r="AD2417" s="351" t="s">
        <v>6068</v>
      </c>
      <c r="AE2417" s="357">
        <v>3</v>
      </c>
      <c r="AF2417" s="351" t="s">
        <v>6068</v>
      </c>
      <c r="AG2417" s="351" t="s">
        <v>6075</v>
      </c>
      <c r="AH2417" s="351" t="s">
        <v>5993</v>
      </c>
      <c r="AI2417" s="355">
        <v>27</v>
      </c>
      <c r="AJ2417" s="355">
        <v>30</v>
      </c>
      <c r="AK2417" s="354">
        <v>2415</v>
      </c>
      <c r="AL2417" s="351">
        <v>1861</v>
      </c>
      <c r="AM2417" s="396" t="s">
        <v>690</v>
      </c>
      <c r="AN2417" s="357" t="s">
        <v>276</v>
      </c>
      <c r="AO2417" s="356">
        <f t="shared" si="641"/>
        <v>11.180124223602485</v>
      </c>
      <c r="AP2417" s="357" t="s">
        <v>276</v>
      </c>
      <c r="AQ2417" s="357" t="s">
        <v>276</v>
      </c>
      <c r="AR2417" s="357" t="s">
        <v>276</v>
      </c>
      <c r="AS2417" s="356">
        <f t="shared" si="642"/>
        <v>16.120365394948951</v>
      </c>
      <c r="AT2417" s="357" t="s">
        <v>276</v>
      </c>
      <c r="AU2417" s="357" t="s">
        <v>276</v>
      </c>
      <c r="AV2417" s="357" t="s">
        <v>268</v>
      </c>
      <c r="AW2417" s="357" t="s">
        <v>276</v>
      </c>
      <c r="AX2417" s="369">
        <f t="shared" si="638"/>
        <v>0.69354037267080748</v>
      </c>
      <c r="AY2417" s="357" t="s">
        <v>276</v>
      </c>
      <c r="AZ2417" s="357" t="s">
        <v>276</v>
      </c>
      <c r="BA2417" s="357" t="s">
        <v>276</v>
      </c>
      <c r="BB2417" s="357" t="s">
        <v>282</v>
      </c>
      <c r="BC2417" s="357" t="s">
        <v>98</v>
      </c>
      <c r="BD2417" s="357" t="s">
        <v>98</v>
      </c>
      <c r="BE2417" s="357" t="s">
        <v>98</v>
      </c>
      <c r="BF2417" s="351" t="s">
        <v>2447</v>
      </c>
      <c r="BG2417" s="351"/>
      <c r="BH2417" s="9" t="s">
        <v>100</v>
      </c>
      <c r="BI2417" s="9" t="s">
        <v>100</v>
      </c>
      <c r="BJ2417" s="373"/>
      <c r="BN2417" s="373"/>
      <c r="BO2417" s="373"/>
    </row>
    <row r="2418" spans="1:68" s="374" customFormat="1" ht="91" hidden="1" x14ac:dyDescent="0.35">
      <c r="A2418" s="357">
        <v>10326</v>
      </c>
      <c r="B2418" s="357" t="s">
        <v>5335</v>
      </c>
      <c r="C2418" s="357" t="s">
        <v>88</v>
      </c>
      <c r="D2418" s="351" t="s">
        <v>6076</v>
      </c>
      <c r="E2418" s="357" t="s">
        <v>43</v>
      </c>
      <c r="F2418" s="351" t="s">
        <v>4987</v>
      </c>
      <c r="G2418" s="357" t="s">
        <v>225</v>
      </c>
      <c r="H2418" s="357" t="s">
        <v>125</v>
      </c>
      <c r="I2418" s="357" t="s">
        <v>114</v>
      </c>
      <c r="J2418" s="351" t="s">
        <v>30</v>
      </c>
      <c r="K2418" s="351" t="s">
        <v>6077</v>
      </c>
      <c r="L2418" s="351" t="s">
        <v>5838</v>
      </c>
      <c r="M2418" s="351" t="s">
        <v>5838</v>
      </c>
      <c r="N2418" s="351" t="s">
        <v>6067</v>
      </c>
      <c r="O2418" s="351" t="s">
        <v>276</v>
      </c>
      <c r="P2418" s="351" t="s">
        <v>239</v>
      </c>
      <c r="Q2418" s="375" t="s">
        <v>6055</v>
      </c>
      <c r="R2418" s="351" t="s">
        <v>5339</v>
      </c>
      <c r="S2418" s="373" t="s">
        <v>5340</v>
      </c>
      <c r="T2418" s="373" t="s">
        <v>5341</v>
      </c>
      <c r="U2418" s="351">
        <v>3</v>
      </c>
      <c r="V2418" s="357" t="s">
        <v>261</v>
      </c>
      <c r="W2418" s="351" t="s">
        <v>5168</v>
      </c>
      <c r="X2418" s="351" t="s">
        <v>207</v>
      </c>
      <c r="Y2418" s="354">
        <v>2415</v>
      </c>
      <c r="Z2418" s="351">
        <v>1861</v>
      </c>
      <c r="AA2418" s="351" t="s">
        <v>276</v>
      </c>
      <c r="AB2418" s="351" t="s">
        <v>276</v>
      </c>
      <c r="AC2418" s="357">
        <v>11</v>
      </c>
      <c r="AD2418" s="351" t="s">
        <v>6068</v>
      </c>
      <c r="AE2418" s="357">
        <v>3</v>
      </c>
      <c r="AF2418" s="351" t="s">
        <v>6068</v>
      </c>
      <c r="AG2418" s="351" t="s">
        <v>6078</v>
      </c>
      <c r="AH2418" s="351" t="s">
        <v>5993</v>
      </c>
      <c r="AI2418" s="355">
        <v>8</v>
      </c>
      <c r="AJ2418" s="355">
        <v>5</v>
      </c>
      <c r="AK2418" s="354">
        <v>2415</v>
      </c>
      <c r="AL2418" s="351">
        <v>1861</v>
      </c>
      <c r="AM2418" s="396" t="s">
        <v>690</v>
      </c>
      <c r="AN2418" s="357" t="s">
        <v>276</v>
      </c>
      <c r="AO2418" s="356">
        <f t="shared" si="641"/>
        <v>3.3126293995859215</v>
      </c>
      <c r="AP2418" s="357" t="s">
        <v>276</v>
      </c>
      <c r="AQ2418" s="357" t="s">
        <v>276</v>
      </c>
      <c r="AR2418" s="357" t="s">
        <v>276</v>
      </c>
      <c r="AS2418" s="356">
        <f t="shared" si="642"/>
        <v>2.6867275658248251</v>
      </c>
      <c r="AT2418" s="357" t="s">
        <v>276</v>
      </c>
      <c r="AU2418" s="357" t="s">
        <v>276</v>
      </c>
      <c r="AV2418" s="357" t="s">
        <v>268</v>
      </c>
      <c r="AW2418" s="357" t="s">
        <v>276</v>
      </c>
      <c r="AX2418" s="369">
        <f t="shared" si="638"/>
        <v>1.2329606625258802</v>
      </c>
      <c r="AY2418" s="357" t="s">
        <v>276</v>
      </c>
      <c r="AZ2418" s="357" t="s">
        <v>276</v>
      </c>
      <c r="BA2418" s="357" t="s">
        <v>276</v>
      </c>
      <c r="BB2418" s="357" t="s">
        <v>282</v>
      </c>
      <c r="BC2418" s="357" t="s">
        <v>98</v>
      </c>
      <c r="BD2418" s="357" t="s">
        <v>98</v>
      </c>
      <c r="BE2418" s="357" t="s">
        <v>98</v>
      </c>
      <c r="BF2418" s="351" t="s">
        <v>2447</v>
      </c>
      <c r="BG2418" s="351"/>
      <c r="BH2418" s="9" t="s">
        <v>100</v>
      </c>
      <c r="BI2418" s="9" t="s">
        <v>100</v>
      </c>
      <c r="BJ2418" s="373"/>
      <c r="BN2418" s="373"/>
      <c r="BO2418" s="373"/>
    </row>
    <row r="2419" spans="1:68" s="374" customFormat="1" ht="65" hidden="1" x14ac:dyDescent="0.35">
      <c r="A2419" s="357">
        <v>10323</v>
      </c>
      <c r="B2419" s="357" t="s">
        <v>5347</v>
      </c>
      <c r="C2419" s="357" t="s">
        <v>88</v>
      </c>
      <c r="D2419" s="351" t="s">
        <v>6079</v>
      </c>
      <c r="E2419" s="357" t="s">
        <v>43</v>
      </c>
      <c r="F2419" s="351" t="s">
        <v>4987</v>
      </c>
      <c r="G2419" s="357" t="s">
        <v>225</v>
      </c>
      <c r="H2419" s="357" t="s">
        <v>125</v>
      </c>
      <c r="I2419" s="357" t="s">
        <v>114</v>
      </c>
      <c r="J2419" s="351" t="s">
        <v>6051</v>
      </c>
      <c r="K2419" s="357" t="s">
        <v>6052</v>
      </c>
      <c r="L2419" s="351" t="s">
        <v>5838</v>
      </c>
      <c r="M2419" s="351" t="s">
        <v>6053</v>
      </c>
      <c r="N2419" s="351" t="s">
        <v>6054</v>
      </c>
      <c r="O2419" s="351" t="s">
        <v>276</v>
      </c>
      <c r="P2419" s="351" t="s">
        <v>239</v>
      </c>
      <c r="Q2419" s="375" t="s">
        <v>6080</v>
      </c>
      <c r="R2419" s="351" t="s">
        <v>5351</v>
      </c>
      <c r="S2419" s="373" t="s">
        <v>5352</v>
      </c>
      <c r="T2419" s="373" t="s">
        <v>5353</v>
      </c>
      <c r="U2419" s="351" t="s">
        <v>276</v>
      </c>
      <c r="V2419" s="357" t="s">
        <v>261</v>
      </c>
      <c r="W2419" s="351" t="s">
        <v>5168</v>
      </c>
      <c r="X2419" s="351" t="s">
        <v>207</v>
      </c>
      <c r="Y2419" s="354">
        <v>2415</v>
      </c>
      <c r="Z2419" s="351">
        <v>1861</v>
      </c>
      <c r="AA2419" s="351" t="s">
        <v>276</v>
      </c>
      <c r="AB2419" s="351" t="s">
        <v>276</v>
      </c>
      <c r="AC2419" s="357" t="s">
        <v>276</v>
      </c>
      <c r="AD2419" s="351" t="s">
        <v>6011</v>
      </c>
      <c r="AE2419" s="357" t="s">
        <v>276</v>
      </c>
      <c r="AF2419" s="351" t="s">
        <v>6011</v>
      </c>
      <c r="AG2419" s="351" t="s">
        <v>6081</v>
      </c>
      <c r="AH2419" s="351" t="s">
        <v>5993</v>
      </c>
      <c r="AI2419" s="355">
        <v>149</v>
      </c>
      <c r="AJ2419" s="355">
        <v>67</v>
      </c>
      <c r="AK2419" s="354">
        <v>2415</v>
      </c>
      <c r="AL2419" s="351">
        <v>1861</v>
      </c>
      <c r="AM2419" s="396" t="s">
        <v>690</v>
      </c>
      <c r="AN2419" s="357" t="s">
        <v>276</v>
      </c>
      <c r="AO2419" s="356">
        <f t="shared" si="641"/>
        <v>61.697722567287784</v>
      </c>
      <c r="AP2419" s="357" t="s">
        <v>276</v>
      </c>
      <c r="AQ2419" s="357" t="s">
        <v>276</v>
      </c>
      <c r="AR2419" s="357" t="s">
        <v>276</v>
      </c>
      <c r="AS2419" s="356">
        <f t="shared" si="642"/>
        <v>36.002149382052657</v>
      </c>
      <c r="AT2419" s="357" t="s">
        <v>276</v>
      </c>
      <c r="AU2419" s="357" t="s">
        <v>276</v>
      </c>
      <c r="AV2419" s="357" t="s">
        <v>268</v>
      </c>
      <c r="AW2419" s="357" t="s">
        <v>276</v>
      </c>
      <c r="AX2419" s="369">
        <f t="shared" si="638"/>
        <v>1.7137233089212325</v>
      </c>
      <c r="AY2419" s="357" t="s">
        <v>276</v>
      </c>
      <c r="AZ2419" s="357" t="s">
        <v>276</v>
      </c>
      <c r="BA2419" s="357" t="s">
        <v>276</v>
      </c>
      <c r="BB2419" s="357" t="s">
        <v>282</v>
      </c>
      <c r="BC2419" s="357" t="s">
        <v>98</v>
      </c>
      <c r="BD2419" s="357" t="s">
        <v>98</v>
      </c>
      <c r="BE2419" s="357" t="s">
        <v>98</v>
      </c>
      <c r="BF2419" s="351" t="s">
        <v>6082</v>
      </c>
      <c r="BG2419" s="351"/>
      <c r="BH2419" s="9" t="s">
        <v>100</v>
      </c>
      <c r="BI2419" s="9" t="s">
        <v>100</v>
      </c>
      <c r="BJ2419" s="373"/>
      <c r="BN2419" s="373"/>
      <c r="BO2419" s="373"/>
    </row>
    <row r="2420" spans="1:68" s="388" customFormat="1" ht="65" hidden="1" x14ac:dyDescent="0.35">
      <c r="A2420" s="357">
        <v>10323</v>
      </c>
      <c r="B2420" s="357" t="s">
        <v>5347</v>
      </c>
      <c r="C2420" s="357" t="s">
        <v>88</v>
      </c>
      <c r="D2420" s="351" t="s">
        <v>6083</v>
      </c>
      <c r="E2420" s="357" t="s">
        <v>43</v>
      </c>
      <c r="F2420" s="351" t="s">
        <v>4987</v>
      </c>
      <c r="G2420" s="357" t="s">
        <v>225</v>
      </c>
      <c r="H2420" s="357" t="s">
        <v>125</v>
      </c>
      <c r="I2420" s="357" t="s">
        <v>114</v>
      </c>
      <c r="J2420" s="351" t="s">
        <v>1116</v>
      </c>
      <c r="K2420" s="357" t="s">
        <v>6063</v>
      </c>
      <c r="L2420" s="351" t="s">
        <v>5838</v>
      </c>
      <c r="M2420" s="351" t="s">
        <v>6053</v>
      </c>
      <c r="N2420" s="351" t="s">
        <v>6054</v>
      </c>
      <c r="O2420" s="351" t="s">
        <v>276</v>
      </c>
      <c r="P2420" s="351" t="s">
        <v>239</v>
      </c>
      <c r="Q2420" s="375" t="s">
        <v>6080</v>
      </c>
      <c r="R2420" s="351" t="s">
        <v>5351</v>
      </c>
      <c r="S2420" s="373" t="s">
        <v>5352</v>
      </c>
      <c r="T2420" s="373" t="s">
        <v>5353</v>
      </c>
      <c r="U2420" s="351" t="s">
        <v>276</v>
      </c>
      <c r="V2420" s="357" t="s">
        <v>261</v>
      </c>
      <c r="W2420" s="351" t="s">
        <v>5168</v>
      </c>
      <c r="X2420" s="351" t="s">
        <v>207</v>
      </c>
      <c r="Y2420" s="354">
        <v>2415</v>
      </c>
      <c r="Z2420" s="351">
        <v>1861</v>
      </c>
      <c r="AA2420" s="351" t="s">
        <v>276</v>
      </c>
      <c r="AB2420" s="351" t="s">
        <v>276</v>
      </c>
      <c r="AC2420" s="357" t="s">
        <v>276</v>
      </c>
      <c r="AD2420" s="351" t="s">
        <v>6011</v>
      </c>
      <c r="AE2420" s="357" t="s">
        <v>276</v>
      </c>
      <c r="AF2420" s="351" t="s">
        <v>6011</v>
      </c>
      <c r="AG2420" s="351" t="s">
        <v>6084</v>
      </c>
      <c r="AH2420" s="351" t="s">
        <v>5993</v>
      </c>
      <c r="AI2420" s="355">
        <v>7</v>
      </c>
      <c r="AJ2420" s="355">
        <v>5</v>
      </c>
      <c r="AK2420" s="354">
        <v>2415</v>
      </c>
      <c r="AL2420" s="351">
        <v>1861</v>
      </c>
      <c r="AM2420" s="396" t="s">
        <v>690</v>
      </c>
      <c r="AN2420" s="357" t="s">
        <v>276</v>
      </c>
      <c r="AO2420" s="356">
        <f t="shared" si="641"/>
        <v>2.8985507246376812</v>
      </c>
      <c r="AP2420" s="357" t="s">
        <v>276</v>
      </c>
      <c r="AQ2420" s="357" t="s">
        <v>276</v>
      </c>
      <c r="AR2420" s="357" t="s">
        <v>276</v>
      </c>
      <c r="AS2420" s="356">
        <f t="shared" si="642"/>
        <v>2.6867275658248251</v>
      </c>
      <c r="AT2420" s="357" t="s">
        <v>276</v>
      </c>
      <c r="AU2420" s="357" t="s">
        <v>276</v>
      </c>
      <c r="AV2420" s="357" t="s">
        <v>268</v>
      </c>
      <c r="AW2420" s="357" t="s">
        <v>276</v>
      </c>
      <c r="AX2420" s="369">
        <f t="shared" si="638"/>
        <v>1.078840579710145</v>
      </c>
      <c r="AY2420" s="357" t="s">
        <v>276</v>
      </c>
      <c r="AZ2420" s="357" t="s">
        <v>276</v>
      </c>
      <c r="BA2420" s="357" t="s">
        <v>276</v>
      </c>
      <c r="BB2420" s="357" t="s">
        <v>282</v>
      </c>
      <c r="BC2420" s="357" t="s">
        <v>98</v>
      </c>
      <c r="BD2420" s="357" t="s">
        <v>98</v>
      </c>
      <c r="BE2420" s="357" t="s">
        <v>98</v>
      </c>
      <c r="BF2420" s="351" t="s">
        <v>6085</v>
      </c>
      <c r="BG2420" s="364"/>
      <c r="BH2420" s="9" t="s">
        <v>100</v>
      </c>
      <c r="BI2420" s="9" t="s">
        <v>100</v>
      </c>
      <c r="BJ2420" s="387"/>
      <c r="BN2420" s="387"/>
      <c r="BO2420" s="387"/>
    </row>
    <row r="2421" spans="1:68" s="374" customFormat="1" ht="52" hidden="1" x14ac:dyDescent="0.35">
      <c r="A2421" s="357">
        <v>10323</v>
      </c>
      <c r="B2421" s="357" t="s">
        <v>5347</v>
      </c>
      <c r="C2421" s="357" t="s">
        <v>88</v>
      </c>
      <c r="D2421" s="351" t="s">
        <v>6086</v>
      </c>
      <c r="E2421" s="357" t="s">
        <v>43</v>
      </c>
      <c r="F2421" s="351" t="s">
        <v>4987</v>
      </c>
      <c r="G2421" s="357" t="s">
        <v>225</v>
      </c>
      <c r="H2421" s="357" t="s">
        <v>125</v>
      </c>
      <c r="I2421" s="357" t="s">
        <v>114</v>
      </c>
      <c r="J2421" s="351" t="s">
        <v>103</v>
      </c>
      <c r="K2421" s="357" t="s">
        <v>2969</v>
      </c>
      <c r="L2421" s="351" t="s">
        <v>5838</v>
      </c>
      <c r="M2421" s="351" t="s">
        <v>6053</v>
      </c>
      <c r="N2421" s="351" t="s">
        <v>6054</v>
      </c>
      <c r="O2421" s="351" t="s">
        <v>276</v>
      </c>
      <c r="P2421" s="351" t="s">
        <v>239</v>
      </c>
      <c r="Q2421" s="375" t="s">
        <v>6080</v>
      </c>
      <c r="R2421" s="351" t="s">
        <v>5351</v>
      </c>
      <c r="S2421" s="373" t="s">
        <v>5352</v>
      </c>
      <c r="T2421" s="373" t="s">
        <v>5353</v>
      </c>
      <c r="U2421" s="351" t="s">
        <v>276</v>
      </c>
      <c r="V2421" s="357" t="s">
        <v>261</v>
      </c>
      <c r="W2421" s="351" t="s">
        <v>5168</v>
      </c>
      <c r="X2421" s="351" t="s">
        <v>207</v>
      </c>
      <c r="Y2421" s="354">
        <v>2415</v>
      </c>
      <c r="Z2421" s="351">
        <v>1861</v>
      </c>
      <c r="AA2421" s="351" t="s">
        <v>276</v>
      </c>
      <c r="AB2421" s="351" t="s">
        <v>276</v>
      </c>
      <c r="AC2421" s="357" t="s">
        <v>276</v>
      </c>
      <c r="AD2421" s="351" t="s">
        <v>6011</v>
      </c>
      <c r="AE2421" s="357" t="s">
        <v>276</v>
      </c>
      <c r="AF2421" s="351" t="s">
        <v>6011</v>
      </c>
      <c r="AG2421" s="351" t="s">
        <v>6087</v>
      </c>
      <c r="AH2421" s="351" t="s">
        <v>5993</v>
      </c>
      <c r="AI2421" s="355">
        <v>7</v>
      </c>
      <c r="AJ2421" s="355">
        <v>8</v>
      </c>
      <c r="AK2421" s="354">
        <v>2415</v>
      </c>
      <c r="AL2421" s="351">
        <v>1861</v>
      </c>
      <c r="AM2421" s="396" t="s">
        <v>292</v>
      </c>
      <c r="AN2421" s="357">
        <v>0.3</v>
      </c>
      <c r="AO2421" s="356">
        <f>(AI2421/AK2421)*100</f>
        <v>0.28985507246376813</v>
      </c>
      <c r="AP2421" s="357" t="s">
        <v>276</v>
      </c>
      <c r="AQ2421" s="357" t="s">
        <v>276</v>
      </c>
      <c r="AR2421" s="357">
        <v>0.4</v>
      </c>
      <c r="AS2421" s="356">
        <f>(AJ2421/AL2421)*100</f>
        <v>0.42987641053197206</v>
      </c>
      <c r="AT2421" s="357" t="s">
        <v>276</v>
      </c>
      <c r="AU2421" s="357" t="s">
        <v>276</v>
      </c>
      <c r="AV2421" s="357" t="s">
        <v>268</v>
      </c>
      <c r="AW2421" s="357" t="s">
        <v>276</v>
      </c>
      <c r="AX2421" s="369">
        <f t="shared" si="638"/>
        <v>0.67427536231884055</v>
      </c>
      <c r="AY2421" s="357" t="s">
        <v>276</v>
      </c>
      <c r="AZ2421" s="357" t="s">
        <v>276</v>
      </c>
      <c r="BA2421" s="357" t="s">
        <v>276</v>
      </c>
      <c r="BB2421" s="357" t="s">
        <v>282</v>
      </c>
      <c r="BC2421" s="357" t="s">
        <v>98</v>
      </c>
      <c r="BD2421" s="357" t="s">
        <v>98</v>
      </c>
      <c r="BE2421" s="357" t="s">
        <v>98</v>
      </c>
      <c r="BF2421" s="351" t="s">
        <v>6088</v>
      </c>
      <c r="BG2421" s="351"/>
      <c r="BH2421" s="9" t="s">
        <v>100</v>
      </c>
      <c r="BI2421" s="9" t="s">
        <v>100</v>
      </c>
      <c r="BJ2421" s="373"/>
      <c r="BN2421" s="373"/>
      <c r="BO2421" s="373"/>
    </row>
    <row r="2422" spans="1:68" s="374" customFormat="1" ht="65" hidden="1" x14ac:dyDescent="0.35">
      <c r="A2422" s="357">
        <v>10213</v>
      </c>
      <c r="B2422" s="357" t="s">
        <v>5971</v>
      </c>
      <c r="C2422" s="357" t="s">
        <v>88</v>
      </c>
      <c r="D2422" s="351" t="s">
        <v>5972</v>
      </c>
      <c r="E2422" s="357" t="s">
        <v>43</v>
      </c>
      <c r="F2422" s="351" t="s">
        <v>4987</v>
      </c>
      <c r="G2422" s="357" t="s">
        <v>225</v>
      </c>
      <c r="H2422" s="357" t="s">
        <v>125</v>
      </c>
      <c r="I2422" s="357" t="s">
        <v>114</v>
      </c>
      <c r="J2422" s="351" t="s">
        <v>30</v>
      </c>
      <c r="K2422" s="351" t="s">
        <v>5938</v>
      </c>
      <c r="L2422" s="351" t="s">
        <v>5838</v>
      </c>
      <c r="M2422" s="351" t="s">
        <v>5838</v>
      </c>
      <c r="N2422" s="351" t="s">
        <v>5973</v>
      </c>
      <c r="O2422" s="351" t="s">
        <v>276</v>
      </c>
      <c r="P2422" s="351" t="s">
        <v>239</v>
      </c>
      <c r="Q2422" s="383" t="s">
        <v>5263</v>
      </c>
      <c r="R2422" s="351" t="s">
        <v>1252</v>
      </c>
      <c r="S2422" s="380" t="s">
        <v>5974</v>
      </c>
      <c r="T2422" s="380" t="s">
        <v>5975</v>
      </c>
      <c r="U2422" s="351" t="s">
        <v>276</v>
      </c>
      <c r="V2422" s="357" t="s">
        <v>259</v>
      </c>
      <c r="W2422" s="351" t="s">
        <v>5033</v>
      </c>
      <c r="X2422" s="351" t="s">
        <v>207</v>
      </c>
      <c r="Y2422" s="354">
        <v>72890</v>
      </c>
      <c r="Z2422" s="355">
        <v>89351</v>
      </c>
      <c r="AA2422" s="351" t="s">
        <v>276</v>
      </c>
      <c r="AB2422" s="351" t="s">
        <v>276</v>
      </c>
      <c r="AC2422" s="357">
        <v>801</v>
      </c>
      <c r="AD2422" s="351" t="s">
        <v>5976</v>
      </c>
      <c r="AE2422" s="357">
        <v>858</v>
      </c>
      <c r="AF2422" s="351" t="s">
        <v>5976</v>
      </c>
      <c r="AG2422" s="351" t="s">
        <v>5977</v>
      </c>
      <c r="AH2422" s="351" t="s">
        <v>1674</v>
      </c>
      <c r="AI2422" s="355">
        <v>4761</v>
      </c>
      <c r="AJ2422" s="355">
        <v>3021</v>
      </c>
      <c r="AK2422" s="351">
        <v>775527</v>
      </c>
      <c r="AL2422" s="351">
        <v>980474</v>
      </c>
      <c r="AM2422" s="355" t="s">
        <v>425</v>
      </c>
      <c r="AN2422" s="357" t="s">
        <v>276</v>
      </c>
      <c r="AO2422" s="356">
        <f t="shared" si="639"/>
        <v>6.1390512516005247</v>
      </c>
      <c r="AP2422" s="357" t="s">
        <v>276</v>
      </c>
      <c r="AQ2422" s="357" t="s">
        <v>276</v>
      </c>
      <c r="AR2422" s="357" t="s">
        <v>276</v>
      </c>
      <c r="AS2422" s="356">
        <f t="shared" si="640"/>
        <v>3.0811627845307474</v>
      </c>
      <c r="AT2422" s="357" t="s">
        <v>276</v>
      </c>
      <c r="AU2422" s="357" t="s">
        <v>276</v>
      </c>
      <c r="AV2422" s="357" t="s">
        <v>269</v>
      </c>
      <c r="AW2422" s="357" t="s">
        <v>276</v>
      </c>
      <c r="AX2422" s="369">
        <f t="shared" si="638"/>
        <v>1.99244625516775</v>
      </c>
      <c r="AY2422" s="357" t="s">
        <v>276</v>
      </c>
      <c r="AZ2422" s="357" t="s">
        <v>276</v>
      </c>
      <c r="BA2422" s="357" t="s">
        <v>276</v>
      </c>
      <c r="BB2422" s="357" t="s">
        <v>282</v>
      </c>
      <c r="BC2422" s="357" t="s">
        <v>98</v>
      </c>
      <c r="BD2422" s="357" t="s">
        <v>98</v>
      </c>
      <c r="BE2422" s="357" t="s">
        <v>98</v>
      </c>
      <c r="BF2422" s="351" t="s">
        <v>1168</v>
      </c>
      <c r="BG2422" s="351"/>
      <c r="BH2422" s="9" t="s">
        <v>100</v>
      </c>
      <c r="BI2422" s="9" t="s">
        <v>100</v>
      </c>
      <c r="BJ2422" s="373"/>
      <c r="BN2422" s="373"/>
      <c r="BO2422" s="373"/>
    </row>
    <row r="2423" spans="1:68" s="374" customFormat="1" ht="78" hidden="1" x14ac:dyDescent="0.35">
      <c r="A2423" s="357">
        <v>10213</v>
      </c>
      <c r="B2423" s="357" t="s">
        <v>5971</v>
      </c>
      <c r="C2423" s="357" t="s">
        <v>88</v>
      </c>
      <c r="D2423" s="351" t="s">
        <v>5978</v>
      </c>
      <c r="E2423" s="357" t="s">
        <v>43</v>
      </c>
      <c r="F2423" s="351" t="s">
        <v>4987</v>
      </c>
      <c r="G2423" s="357" t="s">
        <v>225</v>
      </c>
      <c r="H2423" s="357" t="s">
        <v>125</v>
      </c>
      <c r="I2423" s="357" t="s">
        <v>114</v>
      </c>
      <c r="J2423" s="351" t="s">
        <v>30</v>
      </c>
      <c r="K2423" s="351" t="s">
        <v>5941</v>
      </c>
      <c r="L2423" s="351" t="s">
        <v>5838</v>
      </c>
      <c r="M2423" s="351" t="s">
        <v>5838</v>
      </c>
      <c r="N2423" s="351" t="s">
        <v>5973</v>
      </c>
      <c r="O2423" s="351" t="s">
        <v>276</v>
      </c>
      <c r="P2423" s="351" t="s">
        <v>239</v>
      </c>
      <c r="Q2423" s="383" t="s">
        <v>5263</v>
      </c>
      <c r="R2423" s="351" t="s">
        <v>1252</v>
      </c>
      <c r="S2423" s="380" t="s">
        <v>5974</v>
      </c>
      <c r="T2423" s="380" t="s">
        <v>5975</v>
      </c>
      <c r="U2423" s="351" t="s">
        <v>276</v>
      </c>
      <c r="V2423" s="357" t="s">
        <v>259</v>
      </c>
      <c r="W2423" s="351" t="s">
        <v>5033</v>
      </c>
      <c r="X2423" s="351" t="s">
        <v>207</v>
      </c>
      <c r="Y2423" s="354">
        <v>72890</v>
      </c>
      <c r="Z2423" s="355">
        <v>89351</v>
      </c>
      <c r="AA2423" s="351" t="s">
        <v>276</v>
      </c>
      <c r="AB2423" s="351" t="s">
        <v>276</v>
      </c>
      <c r="AC2423" s="357">
        <v>801</v>
      </c>
      <c r="AD2423" s="351" t="s">
        <v>5976</v>
      </c>
      <c r="AE2423" s="357">
        <v>858</v>
      </c>
      <c r="AF2423" s="351" t="s">
        <v>5976</v>
      </c>
      <c r="AG2423" s="351" t="s">
        <v>5979</v>
      </c>
      <c r="AH2423" s="351" t="s">
        <v>1674</v>
      </c>
      <c r="AI2423" s="355">
        <v>1892</v>
      </c>
      <c r="AJ2423" s="355">
        <v>2197</v>
      </c>
      <c r="AK2423" s="351">
        <v>775527</v>
      </c>
      <c r="AL2423" s="351">
        <v>980474</v>
      </c>
      <c r="AM2423" s="355" t="s">
        <v>425</v>
      </c>
      <c r="AN2423" s="357" t="s">
        <v>276</v>
      </c>
      <c r="AO2423" s="356">
        <f t="shared" si="639"/>
        <v>2.4396313732468373</v>
      </c>
      <c r="AP2423" s="357" t="s">
        <v>276</v>
      </c>
      <c r="AQ2423" s="357" t="s">
        <v>276</v>
      </c>
      <c r="AR2423" s="357" t="s">
        <v>276</v>
      </c>
      <c r="AS2423" s="356">
        <f t="shared" si="640"/>
        <v>2.2407529419444066</v>
      </c>
      <c r="AT2423" s="357" t="s">
        <v>276</v>
      </c>
      <c r="AU2423" s="357" t="s">
        <v>276</v>
      </c>
      <c r="AV2423" s="357" t="s">
        <v>269</v>
      </c>
      <c r="AW2423" s="357" t="s">
        <v>276</v>
      </c>
      <c r="AX2423" s="369">
        <f t="shared" si="638"/>
        <v>1.0887551802698314</v>
      </c>
      <c r="AY2423" s="357" t="s">
        <v>276</v>
      </c>
      <c r="AZ2423" s="357" t="s">
        <v>276</v>
      </c>
      <c r="BA2423" s="357" t="s">
        <v>276</v>
      </c>
      <c r="BB2423" s="357" t="s">
        <v>282</v>
      </c>
      <c r="BC2423" s="357" t="s">
        <v>98</v>
      </c>
      <c r="BD2423" s="357" t="s">
        <v>98</v>
      </c>
      <c r="BE2423" s="357" t="s">
        <v>98</v>
      </c>
      <c r="BF2423" s="351" t="s">
        <v>1168</v>
      </c>
      <c r="BG2423" s="351"/>
      <c r="BH2423" s="9" t="s">
        <v>100</v>
      </c>
      <c r="BI2423" s="9" t="s">
        <v>100</v>
      </c>
      <c r="BJ2423" s="373"/>
      <c r="BN2423" s="373"/>
      <c r="BO2423" s="373"/>
    </row>
    <row r="2424" spans="1:68" s="374" customFormat="1" ht="65" hidden="1" x14ac:dyDescent="0.35">
      <c r="A2424" s="357">
        <v>10213</v>
      </c>
      <c r="B2424" s="357" t="s">
        <v>5971</v>
      </c>
      <c r="C2424" s="357" t="s">
        <v>88</v>
      </c>
      <c r="D2424" s="351" t="s">
        <v>5980</v>
      </c>
      <c r="E2424" s="357" t="s">
        <v>43</v>
      </c>
      <c r="F2424" s="351" t="s">
        <v>4987</v>
      </c>
      <c r="G2424" s="357" t="s">
        <v>225</v>
      </c>
      <c r="H2424" s="357" t="s">
        <v>125</v>
      </c>
      <c r="I2424" s="357" t="s">
        <v>114</v>
      </c>
      <c r="J2424" s="351" t="s">
        <v>30</v>
      </c>
      <c r="K2424" s="351" t="s">
        <v>5927</v>
      </c>
      <c r="L2424" s="351" t="s">
        <v>5838</v>
      </c>
      <c r="M2424" s="351" t="s">
        <v>5838</v>
      </c>
      <c r="N2424" s="351" t="s">
        <v>5973</v>
      </c>
      <c r="O2424" s="351" t="s">
        <v>276</v>
      </c>
      <c r="P2424" s="351" t="s">
        <v>239</v>
      </c>
      <c r="Q2424" s="383" t="s">
        <v>5263</v>
      </c>
      <c r="R2424" s="351" t="s">
        <v>1252</v>
      </c>
      <c r="S2424" s="380" t="s">
        <v>5974</v>
      </c>
      <c r="T2424" s="380" t="s">
        <v>5975</v>
      </c>
      <c r="U2424" s="351" t="s">
        <v>276</v>
      </c>
      <c r="V2424" s="357" t="s">
        <v>259</v>
      </c>
      <c r="W2424" s="351" t="s">
        <v>5033</v>
      </c>
      <c r="X2424" s="351" t="s">
        <v>207</v>
      </c>
      <c r="Y2424" s="354">
        <v>72890</v>
      </c>
      <c r="Z2424" s="355">
        <v>89351</v>
      </c>
      <c r="AA2424" s="351" t="s">
        <v>276</v>
      </c>
      <c r="AB2424" s="351" t="s">
        <v>276</v>
      </c>
      <c r="AC2424" s="357">
        <v>801</v>
      </c>
      <c r="AD2424" s="351" t="s">
        <v>5976</v>
      </c>
      <c r="AE2424" s="357">
        <v>858</v>
      </c>
      <c r="AF2424" s="351" t="s">
        <v>5976</v>
      </c>
      <c r="AG2424" s="351" t="s">
        <v>5981</v>
      </c>
      <c r="AH2424" s="351" t="s">
        <v>1674</v>
      </c>
      <c r="AI2424" s="355">
        <v>650</v>
      </c>
      <c r="AJ2424" s="355">
        <v>917</v>
      </c>
      <c r="AK2424" s="351">
        <v>775527</v>
      </c>
      <c r="AL2424" s="351">
        <v>980474</v>
      </c>
      <c r="AM2424" s="355" t="s">
        <v>425</v>
      </c>
      <c r="AN2424" s="357" t="s">
        <v>276</v>
      </c>
      <c r="AO2424" s="356">
        <f t="shared" si="639"/>
        <v>0.8381397423945266</v>
      </c>
      <c r="AP2424" s="357" t="s">
        <v>276</v>
      </c>
      <c r="AQ2424" s="357" t="s">
        <v>276</v>
      </c>
      <c r="AR2424" s="357" t="s">
        <v>276</v>
      </c>
      <c r="AS2424" s="356">
        <f t="shared" si="640"/>
        <v>0.93526192433455657</v>
      </c>
      <c r="AT2424" s="357" t="s">
        <v>276</v>
      </c>
      <c r="AU2424" s="357" t="s">
        <v>276</v>
      </c>
      <c r="AV2424" s="357" t="s">
        <v>269</v>
      </c>
      <c r="AW2424" s="357" t="s">
        <v>276</v>
      </c>
      <c r="AX2424" s="369">
        <f t="shared" si="638"/>
        <v>0.89615509900166967</v>
      </c>
      <c r="AY2424" s="357" t="s">
        <v>276</v>
      </c>
      <c r="AZ2424" s="357" t="s">
        <v>276</v>
      </c>
      <c r="BA2424" s="357" t="s">
        <v>276</v>
      </c>
      <c r="BB2424" s="357" t="s">
        <v>282</v>
      </c>
      <c r="BC2424" s="357" t="s">
        <v>98</v>
      </c>
      <c r="BD2424" s="357" t="s">
        <v>98</v>
      </c>
      <c r="BE2424" s="357" t="s">
        <v>98</v>
      </c>
      <c r="BF2424" s="351" t="s">
        <v>1168</v>
      </c>
      <c r="BG2424" s="351"/>
      <c r="BH2424" s="9" t="s">
        <v>100</v>
      </c>
      <c r="BI2424" s="9" t="s">
        <v>100</v>
      </c>
      <c r="BJ2424" s="373"/>
      <c r="BN2424" s="373"/>
      <c r="BO2424" s="373"/>
    </row>
    <row r="2425" spans="1:68" s="374" customFormat="1" ht="91" hidden="1" x14ac:dyDescent="0.35">
      <c r="A2425" s="357">
        <v>10213</v>
      </c>
      <c r="B2425" s="357" t="s">
        <v>5971</v>
      </c>
      <c r="C2425" s="357" t="s">
        <v>88</v>
      </c>
      <c r="D2425" s="351" t="s">
        <v>5982</v>
      </c>
      <c r="E2425" s="357" t="s">
        <v>43</v>
      </c>
      <c r="F2425" s="351" t="s">
        <v>4987</v>
      </c>
      <c r="G2425" s="357" t="s">
        <v>225</v>
      </c>
      <c r="H2425" s="357" t="s">
        <v>125</v>
      </c>
      <c r="I2425" s="357" t="s">
        <v>114</v>
      </c>
      <c r="J2425" s="351" t="s">
        <v>1116</v>
      </c>
      <c r="K2425" s="351" t="s">
        <v>5930</v>
      </c>
      <c r="L2425" s="351" t="s">
        <v>5838</v>
      </c>
      <c r="M2425" s="351" t="s">
        <v>5838</v>
      </c>
      <c r="N2425" s="351" t="s">
        <v>5973</v>
      </c>
      <c r="O2425" s="351" t="s">
        <v>276</v>
      </c>
      <c r="P2425" s="351" t="s">
        <v>239</v>
      </c>
      <c r="Q2425" s="383" t="s">
        <v>5263</v>
      </c>
      <c r="R2425" s="351" t="s">
        <v>1252</v>
      </c>
      <c r="S2425" s="380" t="s">
        <v>5974</v>
      </c>
      <c r="T2425" s="380" t="s">
        <v>5975</v>
      </c>
      <c r="U2425" s="351" t="s">
        <v>276</v>
      </c>
      <c r="V2425" s="357" t="s">
        <v>259</v>
      </c>
      <c r="W2425" s="351" t="s">
        <v>5033</v>
      </c>
      <c r="X2425" s="351" t="s">
        <v>207</v>
      </c>
      <c r="Y2425" s="354">
        <v>72890</v>
      </c>
      <c r="Z2425" s="355">
        <v>89351</v>
      </c>
      <c r="AA2425" s="351" t="s">
        <v>276</v>
      </c>
      <c r="AB2425" s="351" t="s">
        <v>276</v>
      </c>
      <c r="AC2425" s="357">
        <v>801</v>
      </c>
      <c r="AD2425" s="351" t="s">
        <v>5976</v>
      </c>
      <c r="AE2425" s="357">
        <v>858</v>
      </c>
      <c r="AF2425" s="351" t="s">
        <v>5976</v>
      </c>
      <c r="AG2425" s="351" t="s">
        <v>5983</v>
      </c>
      <c r="AH2425" s="351" t="s">
        <v>1674</v>
      </c>
      <c r="AI2425" s="355">
        <v>340</v>
      </c>
      <c r="AJ2425" s="355">
        <v>739</v>
      </c>
      <c r="AK2425" s="351">
        <v>775527</v>
      </c>
      <c r="AL2425" s="351">
        <v>980474</v>
      </c>
      <c r="AM2425" s="355" t="s">
        <v>425</v>
      </c>
      <c r="AN2425" s="357" t="s">
        <v>276</v>
      </c>
      <c r="AO2425" s="356">
        <f t="shared" si="639"/>
        <v>0.43841155756021388</v>
      </c>
      <c r="AP2425" s="357" t="s">
        <v>276</v>
      </c>
      <c r="AQ2425" s="357" t="s">
        <v>276</v>
      </c>
      <c r="AR2425" s="357" t="s">
        <v>276</v>
      </c>
      <c r="AS2425" s="356">
        <f t="shared" si="640"/>
        <v>0.7537170796981868</v>
      </c>
      <c r="AT2425" s="357" t="s">
        <v>276</v>
      </c>
      <c r="AU2425" s="357" t="s">
        <v>276</v>
      </c>
      <c r="AV2425" s="357" t="s">
        <v>269</v>
      </c>
      <c r="AW2425" s="357" t="s">
        <v>276</v>
      </c>
      <c r="AX2425" s="369">
        <f t="shared" si="638"/>
        <v>0.58166594517901649</v>
      </c>
      <c r="AY2425" s="357" t="s">
        <v>276</v>
      </c>
      <c r="AZ2425" s="357" t="s">
        <v>276</v>
      </c>
      <c r="BA2425" s="357" t="s">
        <v>276</v>
      </c>
      <c r="BB2425" s="357" t="s">
        <v>282</v>
      </c>
      <c r="BC2425" s="357" t="s">
        <v>98</v>
      </c>
      <c r="BD2425" s="357" t="s">
        <v>98</v>
      </c>
      <c r="BE2425" s="357" t="s">
        <v>98</v>
      </c>
      <c r="BF2425" s="351" t="s">
        <v>1168</v>
      </c>
      <c r="BG2425" s="351"/>
      <c r="BH2425" s="9" t="s">
        <v>100</v>
      </c>
      <c r="BI2425" s="9" t="s">
        <v>100</v>
      </c>
      <c r="BJ2425" s="373"/>
      <c r="BN2425" s="373"/>
      <c r="BO2425" s="373"/>
    </row>
    <row r="2426" spans="1:68" s="6" customFormat="1" ht="78" hidden="1" x14ac:dyDescent="0.35">
      <c r="A2426" s="357">
        <v>10624</v>
      </c>
      <c r="B2426" s="357" t="s">
        <v>6089</v>
      </c>
      <c r="C2426" s="357" t="s">
        <v>88</v>
      </c>
      <c r="D2426" s="351" t="s">
        <v>6090</v>
      </c>
      <c r="E2426" s="357" t="s">
        <v>43</v>
      </c>
      <c r="F2426" s="351" t="s">
        <v>4987</v>
      </c>
      <c r="G2426" s="357" t="s">
        <v>225</v>
      </c>
      <c r="H2426" s="357" t="s">
        <v>125</v>
      </c>
      <c r="I2426" s="357" t="s">
        <v>114</v>
      </c>
      <c r="J2426" s="351" t="s">
        <v>33</v>
      </c>
      <c r="K2426" s="357" t="s">
        <v>6032</v>
      </c>
      <c r="L2426" s="351" t="s">
        <v>6091</v>
      </c>
      <c r="M2426" s="351" t="s">
        <v>6092</v>
      </c>
      <c r="N2426" s="351" t="s">
        <v>6093</v>
      </c>
      <c r="O2426" s="351" t="s">
        <v>276</v>
      </c>
      <c r="P2426" s="351" t="s">
        <v>239</v>
      </c>
      <c r="Q2426" s="383" t="s">
        <v>6094</v>
      </c>
      <c r="R2426" s="351" t="s">
        <v>276</v>
      </c>
      <c r="S2426" s="351" t="s">
        <v>276</v>
      </c>
      <c r="T2426" s="351" t="s">
        <v>276</v>
      </c>
      <c r="U2426" s="351">
        <v>3</v>
      </c>
      <c r="V2426" s="357" t="s">
        <v>261</v>
      </c>
      <c r="W2426" s="357" t="s">
        <v>5153</v>
      </c>
      <c r="X2426" s="351" t="s">
        <v>207</v>
      </c>
      <c r="Y2426" s="354">
        <v>17635</v>
      </c>
      <c r="Z2426" s="351">
        <v>17513</v>
      </c>
      <c r="AA2426" s="351" t="s">
        <v>276</v>
      </c>
      <c r="AB2426" s="351" t="s">
        <v>276</v>
      </c>
      <c r="AC2426" s="357">
        <v>4</v>
      </c>
      <c r="AD2426" s="357" t="s">
        <v>5841</v>
      </c>
      <c r="AE2426" s="357">
        <v>61</v>
      </c>
      <c r="AF2426" s="357" t="s">
        <v>5841</v>
      </c>
      <c r="AG2426" s="351" t="s">
        <v>6095</v>
      </c>
      <c r="AH2426" s="351" t="s">
        <v>5993</v>
      </c>
      <c r="AI2426" s="355">
        <v>10</v>
      </c>
      <c r="AJ2426" s="355">
        <v>24</v>
      </c>
      <c r="AK2426" s="354">
        <v>17635</v>
      </c>
      <c r="AL2426" s="351">
        <v>17513</v>
      </c>
      <c r="AM2426" s="355" t="s">
        <v>292</v>
      </c>
      <c r="AN2426" s="357">
        <v>0.06</v>
      </c>
      <c r="AO2426" s="369">
        <f>(AI2426/AK2426)*100</f>
        <v>5.6705415367167562E-2</v>
      </c>
      <c r="AP2426" s="357" t="s">
        <v>276</v>
      </c>
      <c r="AQ2426" s="357" t="s">
        <v>276</v>
      </c>
      <c r="AR2426" s="357">
        <v>0.1</v>
      </c>
      <c r="AS2426" s="369">
        <f>(AJ2426/AL2426)*100</f>
        <v>0.13704105521612517</v>
      </c>
      <c r="AT2426" s="357" t="s">
        <v>276</v>
      </c>
      <c r="AU2426" s="357" t="s">
        <v>276</v>
      </c>
      <c r="AV2426" s="357" t="s">
        <v>268</v>
      </c>
      <c r="AW2426" s="357" t="s">
        <v>276</v>
      </c>
      <c r="AX2426" s="369">
        <f>AO2426/AS2426</f>
        <v>0.41378414138550229</v>
      </c>
      <c r="AY2426" s="357" t="s">
        <v>276</v>
      </c>
      <c r="AZ2426" s="357" t="s">
        <v>276</v>
      </c>
      <c r="BA2426" s="357" t="s">
        <v>276</v>
      </c>
      <c r="BB2426" s="357" t="s">
        <v>276</v>
      </c>
      <c r="BC2426" s="357" t="s">
        <v>276</v>
      </c>
      <c r="BD2426" s="357" t="s">
        <v>276</v>
      </c>
      <c r="BE2426" s="357" t="s">
        <v>276</v>
      </c>
      <c r="BF2426" s="351" t="s">
        <v>1029</v>
      </c>
      <c r="BG2426" s="9"/>
      <c r="BH2426" s="9" t="s">
        <v>100</v>
      </c>
      <c r="BI2426" s="9" t="s">
        <v>100</v>
      </c>
      <c r="BJ2426" s="32"/>
      <c r="BK2426" s="33"/>
      <c r="BL2426" s="33"/>
      <c r="BM2426" s="33"/>
      <c r="BN2426" s="32"/>
      <c r="BO2426" s="32"/>
      <c r="BP2426" s="33"/>
    </row>
    <row r="2427" spans="1:68" s="6" customFormat="1" ht="78" hidden="1" x14ac:dyDescent="0.35">
      <c r="A2427" s="357">
        <v>10624</v>
      </c>
      <c r="B2427" s="357" t="s">
        <v>6089</v>
      </c>
      <c r="C2427" s="357" t="s">
        <v>88</v>
      </c>
      <c r="D2427" s="351" t="s">
        <v>6096</v>
      </c>
      <c r="E2427" s="357" t="s">
        <v>43</v>
      </c>
      <c r="F2427" s="351" t="s">
        <v>4987</v>
      </c>
      <c r="G2427" s="357" t="s">
        <v>225</v>
      </c>
      <c r="H2427" s="357" t="s">
        <v>125</v>
      </c>
      <c r="I2427" s="357" t="s">
        <v>114</v>
      </c>
      <c r="J2427" s="351" t="s">
        <v>33</v>
      </c>
      <c r="K2427" s="357" t="s">
        <v>6014</v>
      </c>
      <c r="L2427" s="351" t="s">
        <v>6091</v>
      </c>
      <c r="M2427" s="351" t="s">
        <v>6092</v>
      </c>
      <c r="N2427" s="351" t="s">
        <v>6097</v>
      </c>
      <c r="O2427" s="351" t="s">
        <v>276</v>
      </c>
      <c r="P2427" s="351" t="s">
        <v>239</v>
      </c>
      <c r="Q2427" s="383" t="s">
        <v>6094</v>
      </c>
      <c r="R2427" s="351" t="s">
        <v>276</v>
      </c>
      <c r="S2427" s="351" t="s">
        <v>276</v>
      </c>
      <c r="T2427" s="351" t="s">
        <v>276</v>
      </c>
      <c r="U2427" s="357">
        <v>3</v>
      </c>
      <c r="V2427" s="357" t="s">
        <v>261</v>
      </c>
      <c r="W2427" s="357" t="s">
        <v>5153</v>
      </c>
      <c r="X2427" s="351" t="s">
        <v>207</v>
      </c>
      <c r="Y2427" s="354">
        <v>17635</v>
      </c>
      <c r="Z2427" s="351">
        <v>17513</v>
      </c>
      <c r="AA2427" s="351" t="s">
        <v>276</v>
      </c>
      <c r="AB2427" s="351" t="s">
        <v>276</v>
      </c>
      <c r="AC2427" s="357">
        <v>4</v>
      </c>
      <c r="AD2427" s="357" t="s">
        <v>5841</v>
      </c>
      <c r="AE2427" s="357">
        <v>61</v>
      </c>
      <c r="AF2427" s="357" t="s">
        <v>5841</v>
      </c>
      <c r="AG2427" s="351" t="s">
        <v>6098</v>
      </c>
      <c r="AH2427" s="351" t="s">
        <v>5993</v>
      </c>
      <c r="AI2427" s="355">
        <v>505</v>
      </c>
      <c r="AJ2427" s="355">
        <v>90</v>
      </c>
      <c r="AK2427" s="354">
        <v>17635</v>
      </c>
      <c r="AL2427" s="351">
        <v>17513</v>
      </c>
      <c r="AM2427" s="355" t="s">
        <v>292</v>
      </c>
      <c r="AN2427" s="357">
        <v>2.9</v>
      </c>
      <c r="AO2427" s="369">
        <f t="shared" ref="AO2427:AO2433" si="643">(AI2427/AK2427)*100</f>
        <v>2.8636234760419619</v>
      </c>
      <c r="AP2427" s="357" t="s">
        <v>276</v>
      </c>
      <c r="AQ2427" s="357" t="s">
        <v>276</v>
      </c>
      <c r="AR2427" s="357">
        <v>0.5</v>
      </c>
      <c r="AS2427" s="369">
        <f t="shared" ref="AS2427:AS2433" si="644">(AJ2427/AL2427)*100</f>
        <v>0.51390395706046932</v>
      </c>
      <c r="AT2427" s="357" t="s">
        <v>276</v>
      </c>
      <c r="AU2427" s="357" t="s">
        <v>276</v>
      </c>
      <c r="AV2427" s="357" t="s">
        <v>268</v>
      </c>
      <c r="AW2427" s="357">
        <v>5.8</v>
      </c>
      <c r="AX2427" s="369">
        <f t="shared" ref="AX2427:AX2440" si="645">AO2427/AS2427</f>
        <v>5.5722931039914316</v>
      </c>
      <c r="AY2427" s="357" t="s">
        <v>276</v>
      </c>
      <c r="AZ2427" s="357" t="s">
        <v>276</v>
      </c>
      <c r="BA2427" s="357" t="s">
        <v>276</v>
      </c>
      <c r="BB2427" s="357" t="s">
        <v>276</v>
      </c>
      <c r="BC2427" s="357" t="s">
        <v>276</v>
      </c>
      <c r="BD2427" s="357" t="s">
        <v>276</v>
      </c>
      <c r="BE2427" s="357" t="s">
        <v>276</v>
      </c>
      <c r="BF2427" s="351" t="s">
        <v>6099</v>
      </c>
      <c r="BG2427" s="9"/>
      <c r="BH2427" s="9" t="s">
        <v>100</v>
      </c>
      <c r="BI2427" s="9" t="s">
        <v>100</v>
      </c>
      <c r="BJ2427" s="32"/>
      <c r="BK2427" s="33"/>
      <c r="BL2427" s="33"/>
      <c r="BM2427" s="33"/>
      <c r="BN2427" s="32"/>
      <c r="BO2427" s="32"/>
      <c r="BP2427" s="33"/>
    </row>
    <row r="2428" spans="1:68" s="6" customFormat="1" ht="78" hidden="1" x14ac:dyDescent="0.35">
      <c r="A2428" s="357">
        <v>10624</v>
      </c>
      <c r="B2428" s="357" t="s">
        <v>6089</v>
      </c>
      <c r="C2428" s="357" t="s">
        <v>88</v>
      </c>
      <c r="D2428" s="351" t="s">
        <v>6100</v>
      </c>
      <c r="E2428" s="357" t="s">
        <v>43</v>
      </c>
      <c r="F2428" s="351" t="s">
        <v>4987</v>
      </c>
      <c r="G2428" s="357" t="s">
        <v>225</v>
      </c>
      <c r="H2428" s="357" t="s">
        <v>125</v>
      </c>
      <c r="I2428" s="357" t="s">
        <v>114</v>
      </c>
      <c r="J2428" s="351" t="s">
        <v>33</v>
      </c>
      <c r="K2428" s="357" t="s">
        <v>6101</v>
      </c>
      <c r="L2428" s="351" t="s">
        <v>6091</v>
      </c>
      <c r="M2428" s="351" t="s">
        <v>6092</v>
      </c>
      <c r="N2428" s="351" t="s">
        <v>6097</v>
      </c>
      <c r="O2428" s="351" t="s">
        <v>276</v>
      </c>
      <c r="P2428" s="351" t="s">
        <v>239</v>
      </c>
      <c r="Q2428" s="383" t="s">
        <v>6094</v>
      </c>
      <c r="R2428" s="351" t="s">
        <v>276</v>
      </c>
      <c r="S2428" s="351" t="s">
        <v>276</v>
      </c>
      <c r="T2428" s="351" t="s">
        <v>276</v>
      </c>
      <c r="U2428" s="357">
        <v>3</v>
      </c>
      <c r="V2428" s="357" t="s">
        <v>261</v>
      </c>
      <c r="W2428" s="357" t="s">
        <v>5153</v>
      </c>
      <c r="X2428" s="351" t="s">
        <v>207</v>
      </c>
      <c r="Y2428" s="354">
        <v>17635</v>
      </c>
      <c r="Z2428" s="351">
        <v>17513</v>
      </c>
      <c r="AA2428" s="351" t="s">
        <v>276</v>
      </c>
      <c r="AB2428" s="351" t="s">
        <v>276</v>
      </c>
      <c r="AC2428" s="357">
        <v>4</v>
      </c>
      <c r="AD2428" s="357" t="s">
        <v>5841</v>
      </c>
      <c r="AE2428" s="357">
        <v>61</v>
      </c>
      <c r="AF2428" s="357" t="s">
        <v>5841</v>
      </c>
      <c r="AG2428" s="351" t="s">
        <v>6102</v>
      </c>
      <c r="AH2428" s="351" t="s">
        <v>5993</v>
      </c>
      <c r="AI2428" s="355">
        <v>553</v>
      </c>
      <c r="AJ2428" s="355">
        <v>84</v>
      </c>
      <c r="AK2428" s="354">
        <v>17635</v>
      </c>
      <c r="AL2428" s="351">
        <v>17513</v>
      </c>
      <c r="AM2428" s="355" t="s">
        <v>292</v>
      </c>
      <c r="AN2428" s="357">
        <v>3.1</v>
      </c>
      <c r="AO2428" s="369">
        <f t="shared" si="643"/>
        <v>3.1358094698043661</v>
      </c>
      <c r="AP2428" s="357" t="s">
        <v>276</v>
      </c>
      <c r="AQ2428" s="357" t="s">
        <v>276</v>
      </c>
      <c r="AR2428" s="357">
        <v>0.5</v>
      </c>
      <c r="AS2428" s="369">
        <f t="shared" si="644"/>
        <v>0.47964369325643808</v>
      </c>
      <c r="AT2428" s="357" t="s">
        <v>276</v>
      </c>
      <c r="AU2428" s="357" t="s">
        <v>276</v>
      </c>
      <c r="AV2428" s="357" t="s">
        <v>268</v>
      </c>
      <c r="AW2428" s="357" t="s">
        <v>276</v>
      </c>
      <c r="AX2428" s="369">
        <f t="shared" si="645"/>
        <v>6.5377894338909366</v>
      </c>
      <c r="AY2428" s="357" t="s">
        <v>276</v>
      </c>
      <c r="AZ2428" s="357" t="s">
        <v>276</v>
      </c>
      <c r="BA2428" s="357" t="s">
        <v>276</v>
      </c>
      <c r="BB2428" s="357" t="s">
        <v>276</v>
      </c>
      <c r="BC2428" s="357" t="s">
        <v>276</v>
      </c>
      <c r="BD2428" s="357" t="s">
        <v>276</v>
      </c>
      <c r="BE2428" s="357" t="s">
        <v>276</v>
      </c>
      <c r="BF2428" s="351" t="s">
        <v>1029</v>
      </c>
      <c r="BG2428" s="9"/>
      <c r="BH2428" s="9" t="s">
        <v>100</v>
      </c>
      <c r="BI2428" s="9" t="s">
        <v>100</v>
      </c>
      <c r="BJ2428" s="32"/>
      <c r="BK2428" s="33"/>
      <c r="BL2428" s="33"/>
      <c r="BM2428" s="33"/>
      <c r="BN2428" s="32"/>
      <c r="BO2428" s="32"/>
      <c r="BP2428" s="33"/>
    </row>
    <row r="2429" spans="1:68" s="6" customFormat="1" ht="78" hidden="1" x14ac:dyDescent="0.35">
      <c r="A2429" s="357">
        <v>10624</v>
      </c>
      <c r="B2429" s="357" t="s">
        <v>5769</v>
      </c>
      <c r="C2429" s="357" t="s">
        <v>88</v>
      </c>
      <c r="D2429" s="351" t="s">
        <v>6103</v>
      </c>
      <c r="E2429" s="357" t="s">
        <v>43</v>
      </c>
      <c r="F2429" s="351" t="s">
        <v>4987</v>
      </c>
      <c r="G2429" s="357" t="s">
        <v>225</v>
      </c>
      <c r="H2429" s="357" t="s">
        <v>125</v>
      </c>
      <c r="I2429" s="357" t="s">
        <v>114</v>
      </c>
      <c r="J2429" s="351" t="s">
        <v>33</v>
      </c>
      <c r="K2429" s="357" t="s">
        <v>6104</v>
      </c>
      <c r="L2429" s="351" t="s">
        <v>6091</v>
      </c>
      <c r="M2429" s="351" t="s">
        <v>6092</v>
      </c>
      <c r="N2429" s="351" t="s">
        <v>6097</v>
      </c>
      <c r="O2429" s="351" t="s">
        <v>276</v>
      </c>
      <c r="P2429" s="351" t="s">
        <v>239</v>
      </c>
      <c r="Q2429" s="383" t="s">
        <v>6094</v>
      </c>
      <c r="R2429" s="351" t="s">
        <v>276</v>
      </c>
      <c r="S2429" s="351" t="s">
        <v>276</v>
      </c>
      <c r="T2429" s="351" t="s">
        <v>276</v>
      </c>
      <c r="U2429" s="357">
        <v>3</v>
      </c>
      <c r="V2429" s="357" t="s">
        <v>261</v>
      </c>
      <c r="W2429" s="357" t="s">
        <v>5153</v>
      </c>
      <c r="X2429" s="351" t="s">
        <v>207</v>
      </c>
      <c r="Y2429" s="354">
        <v>17635</v>
      </c>
      <c r="Z2429" s="351">
        <v>17513</v>
      </c>
      <c r="AA2429" s="351" t="s">
        <v>276</v>
      </c>
      <c r="AB2429" s="351" t="s">
        <v>276</v>
      </c>
      <c r="AC2429" s="357">
        <v>4</v>
      </c>
      <c r="AD2429" s="357" t="s">
        <v>5841</v>
      </c>
      <c r="AE2429" s="357">
        <v>61</v>
      </c>
      <c r="AF2429" s="357" t="s">
        <v>5841</v>
      </c>
      <c r="AG2429" s="351" t="s">
        <v>6105</v>
      </c>
      <c r="AH2429" s="351" t="s">
        <v>5993</v>
      </c>
      <c r="AI2429" s="355">
        <v>148</v>
      </c>
      <c r="AJ2429" s="355">
        <v>57</v>
      </c>
      <c r="AK2429" s="354">
        <v>17635</v>
      </c>
      <c r="AL2429" s="351">
        <v>17513</v>
      </c>
      <c r="AM2429" s="355" t="s">
        <v>292</v>
      </c>
      <c r="AN2429" s="357">
        <v>0.8</v>
      </c>
      <c r="AO2429" s="369">
        <f t="shared" si="643"/>
        <v>0.83924014743408004</v>
      </c>
      <c r="AP2429" s="357" t="s">
        <v>276</v>
      </c>
      <c r="AQ2429" s="357" t="s">
        <v>276</v>
      </c>
      <c r="AR2429" s="357">
        <v>0.3</v>
      </c>
      <c r="AS2429" s="369">
        <f t="shared" si="644"/>
        <v>0.32547250613829726</v>
      </c>
      <c r="AT2429" s="357" t="s">
        <v>276</v>
      </c>
      <c r="AU2429" s="357" t="s">
        <v>276</v>
      </c>
      <c r="AV2429" s="357" t="s">
        <v>268</v>
      </c>
      <c r="AW2429" s="357" t="s">
        <v>276</v>
      </c>
      <c r="AX2429" s="369">
        <f t="shared" si="645"/>
        <v>2.5785285442128147</v>
      </c>
      <c r="AY2429" s="357" t="s">
        <v>276</v>
      </c>
      <c r="AZ2429" s="357" t="s">
        <v>276</v>
      </c>
      <c r="BA2429" s="357" t="s">
        <v>276</v>
      </c>
      <c r="BB2429" s="357" t="s">
        <v>276</v>
      </c>
      <c r="BC2429" s="357" t="s">
        <v>276</v>
      </c>
      <c r="BD2429" s="357" t="s">
        <v>276</v>
      </c>
      <c r="BE2429" s="357" t="s">
        <v>276</v>
      </c>
      <c r="BF2429" s="351" t="s">
        <v>1029</v>
      </c>
      <c r="BG2429" s="9"/>
      <c r="BH2429" s="9" t="s">
        <v>100</v>
      </c>
      <c r="BI2429" s="9" t="s">
        <v>100</v>
      </c>
      <c r="BJ2429" s="32"/>
      <c r="BK2429" s="33"/>
      <c r="BL2429" s="33"/>
      <c r="BM2429" s="33"/>
      <c r="BN2429" s="32"/>
      <c r="BO2429" s="32"/>
      <c r="BP2429" s="33"/>
    </row>
    <row r="2430" spans="1:68" s="6" customFormat="1" ht="78" hidden="1" x14ac:dyDescent="0.35">
      <c r="A2430" s="357">
        <v>10624</v>
      </c>
      <c r="B2430" s="357" t="s">
        <v>5769</v>
      </c>
      <c r="C2430" s="357" t="s">
        <v>88</v>
      </c>
      <c r="D2430" s="351" t="s">
        <v>6106</v>
      </c>
      <c r="E2430" s="357" t="s">
        <v>43</v>
      </c>
      <c r="F2430" s="351" t="s">
        <v>4987</v>
      </c>
      <c r="G2430" s="357" t="s">
        <v>225</v>
      </c>
      <c r="H2430" s="357" t="s">
        <v>125</v>
      </c>
      <c r="I2430" s="357" t="s">
        <v>114</v>
      </c>
      <c r="J2430" s="351" t="s">
        <v>33</v>
      </c>
      <c r="K2430" s="357" t="s">
        <v>6107</v>
      </c>
      <c r="L2430" s="351" t="s">
        <v>6091</v>
      </c>
      <c r="M2430" s="351" t="s">
        <v>6092</v>
      </c>
      <c r="N2430" s="351" t="s">
        <v>6097</v>
      </c>
      <c r="O2430" s="351" t="s">
        <v>276</v>
      </c>
      <c r="P2430" s="351" t="s">
        <v>239</v>
      </c>
      <c r="Q2430" s="383" t="s">
        <v>6094</v>
      </c>
      <c r="R2430" s="351" t="s">
        <v>276</v>
      </c>
      <c r="S2430" s="351" t="s">
        <v>276</v>
      </c>
      <c r="T2430" s="351" t="s">
        <v>276</v>
      </c>
      <c r="U2430" s="357">
        <v>3</v>
      </c>
      <c r="V2430" s="357" t="s">
        <v>261</v>
      </c>
      <c r="W2430" s="357" t="s">
        <v>5153</v>
      </c>
      <c r="X2430" s="351" t="s">
        <v>207</v>
      </c>
      <c r="Y2430" s="354">
        <v>17635</v>
      </c>
      <c r="Z2430" s="351">
        <v>17513</v>
      </c>
      <c r="AA2430" s="351" t="s">
        <v>276</v>
      </c>
      <c r="AB2430" s="351" t="s">
        <v>276</v>
      </c>
      <c r="AC2430" s="357">
        <v>4</v>
      </c>
      <c r="AD2430" s="357" t="s">
        <v>5841</v>
      </c>
      <c r="AE2430" s="357">
        <v>61</v>
      </c>
      <c r="AF2430" s="357" t="s">
        <v>5841</v>
      </c>
      <c r="AG2430" s="351" t="s">
        <v>6108</v>
      </c>
      <c r="AH2430" s="351" t="s">
        <v>5993</v>
      </c>
      <c r="AI2430" s="355">
        <v>36</v>
      </c>
      <c r="AJ2430" s="355">
        <v>7</v>
      </c>
      <c r="AK2430" s="354">
        <v>17635</v>
      </c>
      <c r="AL2430" s="351">
        <v>17513</v>
      </c>
      <c r="AM2430" s="355" t="s">
        <v>292</v>
      </c>
      <c r="AN2430" s="357">
        <v>0.2</v>
      </c>
      <c r="AO2430" s="369">
        <f t="shared" si="643"/>
        <v>0.20413949532180325</v>
      </c>
      <c r="AP2430" s="357" t="s">
        <v>276</v>
      </c>
      <c r="AQ2430" s="357" t="s">
        <v>276</v>
      </c>
      <c r="AR2430" s="357">
        <v>0.04</v>
      </c>
      <c r="AS2430" s="369">
        <f t="shared" si="644"/>
        <v>3.997030777136984E-2</v>
      </c>
      <c r="AT2430" s="357" t="s">
        <v>276</v>
      </c>
      <c r="AU2430" s="357" t="s">
        <v>276</v>
      </c>
      <c r="AV2430" s="357" t="s">
        <v>268</v>
      </c>
      <c r="AW2430" s="357" t="s">
        <v>276</v>
      </c>
      <c r="AX2430" s="369">
        <f t="shared" si="645"/>
        <v>5.1072785451010576</v>
      </c>
      <c r="AY2430" s="357" t="s">
        <v>276</v>
      </c>
      <c r="AZ2430" s="357" t="s">
        <v>276</v>
      </c>
      <c r="BA2430" s="357" t="s">
        <v>276</v>
      </c>
      <c r="BB2430" s="357" t="s">
        <v>276</v>
      </c>
      <c r="BC2430" s="357" t="s">
        <v>276</v>
      </c>
      <c r="BD2430" s="357" t="s">
        <v>276</v>
      </c>
      <c r="BE2430" s="357" t="s">
        <v>276</v>
      </c>
      <c r="BF2430" s="351" t="s">
        <v>1029</v>
      </c>
      <c r="BG2430" s="9"/>
      <c r="BH2430" s="9" t="s">
        <v>100</v>
      </c>
      <c r="BI2430" s="9" t="s">
        <v>100</v>
      </c>
      <c r="BJ2430" s="32"/>
      <c r="BK2430" s="33"/>
      <c r="BL2430" s="33"/>
      <c r="BM2430" s="33"/>
      <c r="BN2430" s="32"/>
      <c r="BO2430" s="32"/>
      <c r="BP2430" s="33"/>
    </row>
    <row r="2431" spans="1:68" s="6" customFormat="1" ht="78" hidden="1" x14ac:dyDescent="0.35">
      <c r="A2431" s="357">
        <v>10624</v>
      </c>
      <c r="B2431" s="357" t="s">
        <v>5769</v>
      </c>
      <c r="C2431" s="357" t="s">
        <v>88</v>
      </c>
      <c r="D2431" s="351" t="s">
        <v>6109</v>
      </c>
      <c r="E2431" s="357" t="s">
        <v>43</v>
      </c>
      <c r="F2431" s="351" t="s">
        <v>4987</v>
      </c>
      <c r="G2431" s="357" t="s">
        <v>225</v>
      </c>
      <c r="H2431" s="357" t="s">
        <v>125</v>
      </c>
      <c r="I2431" s="357" t="s">
        <v>114</v>
      </c>
      <c r="J2431" s="351" t="s">
        <v>33</v>
      </c>
      <c r="K2431" s="357" t="s">
        <v>6110</v>
      </c>
      <c r="L2431" s="351" t="s">
        <v>6091</v>
      </c>
      <c r="M2431" s="351" t="s">
        <v>6092</v>
      </c>
      <c r="N2431" s="351" t="s">
        <v>6097</v>
      </c>
      <c r="O2431" s="351" t="s">
        <v>276</v>
      </c>
      <c r="P2431" s="351" t="s">
        <v>239</v>
      </c>
      <c r="Q2431" s="383" t="s">
        <v>6094</v>
      </c>
      <c r="R2431" s="351" t="s">
        <v>276</v>
      </c>
      <c r="S2431" s="351" t="s">
        <v>276</v>
      </c>
      <c r="T2431" s="351" t="s">
        <v>276</v>
      </c>
      <c r="U2431" s="357">
        <v>3</v>
      </c>
      <c r="V2431" s="357" t="s">
        <v>261</v>
      </c>
      <c r="W2431" s="357" t="s">
        <v>5153</v>
      </c>
      <c r="X2431" s="351" t="s">
        <v>207</v>
      </c>
      <c r="Y2431" s="354">
        <v>17635</v>
      </c>
      <c r="Z2431" s="351">
        <v>17513</v>
      </c>
      <c r="AA2431" s="351" t="s">
        <v>276</v>
      </c>
      <c r="AB2431" s="351" t="s">
        <v>276</v>
      </c>
      <c r="AC2431" s="357">
        <v>4</v>
      </c>
      <c r="AD2431" s="357" t="s">
        <v>5841</v>
      </c>
      <c r="AE2431" s="357">
        <v>61</v>
      </c>
      <c r="AF2431" s="357" t="s">
        <v>5841</v>
      </c>
      <c r="AG2431" s="351" t="s">
        <v>6111</v>
      </c>
      <c r="AH2431" s="351" t="s">
        <v>5993</v>
      </c>
      <c r="AI2431" s="355">
        <v>13</v>
      </c>
      <c r="AJ2431" s="355">
        <v>13</v>
      </c>
      <c r="AK2431" s="354">
        <v>17635</v>
      </c>
      <c r="AL2431" s="351">
        <v>17513</v>
      </c>
      <c r="AM2431" s="355" t="s">
        <v>292</v>
      </c>
      <c r="AN2431" s="357">
        <v>7.0000000000000007E-2</v>
      </c>
      <c r="AO2431" s="369">
        <f t="shared" si="643"/>
        <v>7.3717039977317836E-2</v>
      </c>
      <c r="AP2431" s="357" t="s">
        <v>276</v>
      </c>
      <c r="AQ2431" s="357" t="s">
        <v>276</v>
      </c>
      <c r="AR2431" s="357">
        <v>7.0000000000000007E-2</v>
      </c>
      <c r="AS2431" s="369">
        <f t="shared" si="644"/>
        <v>7.4230571575401139E-2</v>
      </c>
      <c r="AT2431" s="357" t="s">
        <v>276</v>
      </c>
      <c r="AU2431" s="357" t="s">
        <v>276</v>
      </c>
      <c r="AV2431" s="357" t="s">
        <v>268</v>
      </c>
      <c r="AW2431" s="357" t="s">
        <v>276</v>
      </c>
      <c r="AX2431" s="369">
        <f t="shared" si="645"/>
        <v>0.9930819393252055</v>
      </c>
      <c r="AY2431" s="357" t="s">
        <v>276</v>
      </c>
      <c r="AZ2431" s="357" t="s">
        <v>276</v>
      </c>
      <c r="BA2431" s="357" t="s">
        <v>276</v>
      </c>
      <c r="BB2431" s="357" t="s">
        <v>276</v>
      </c>
      <c r="BC2431" s="357" t="s">
        <v>276</v>
      </c>
      <c r="BD2431" s="357" t="s">
        <v>276</v>
      </c>
      <c r="BE2431" s="357" t="s">
        <v>276</v>
      </c>
      <c r="BF2431" s="351" t="s">
        <v>1029</v>
      </c>
      <c r="BG2431" s="9"/>
      <c r="BH2431" s="9" t="s">
        <v>100</v>
      </c>
      <c r="BI2431" s="9" t="s">
        <v>100</v>
      </c>
      <c r="BJ2431" s="32"/>
      <c r="BK2431" s="33"/>
      <c r="BL2431" s="33"/>
      <c r="BM2431" s="33"/>
      <c r="BN2431" s="32"/>
      <c r="BO2431" s="32"/>
      <c r="BP2431" s="33"/>
    </row>
    <row r="2432" spans="1:68" s="374" customFormat="1" ht="78" hidden="1" x14ac:dyDescent="0.35">
      <c r="A2432" s="357">
        <v>10624</v>
      </c>
      <c r="B2432" s="357" t="s">
        <v>5769</v>
      </c>
      <c r="C2432" s="357" t="s">
        <v>88</v>
      </c>
      <c r="D2432" s="351" t="s">
        <v>6112</v>
      </c>
      <c r="E2432" s="357" t="s">
        <v>43</v>
      </c>
      <c r="F2432" s="351" t="s">
        <v>4987</v>
      </c>
      <c r="G2432" s="357" t="s">
        <v>225</v>
      </c>
      <c r="H2432" s="357" t="s">
        <v>125</v>
      </c>
      <c r="I2432" s="357" t="s">
        <v>114</v>
      </c>
      <c r="J2432" s="351" t="s">
        <v>117</v>
      </c>
      <c r="K2432" s="357" t="s">
        <v>3836</v>
      </c>
      <c r="L2432" s="351" t="s">
        <v>6091</v>
      </c>
      <c r="M2432" s="351" t="s">
        <v>6092</v>
      </c>
      <c r="N2432" s="351" t="s">
        <v>6097</v>
      </c>
      <c r="O2432" s="351" t="s">
        <v>276</v>
      </c>
      <c r="P2432" s="351" t="s">
        <v>239</v>
      </c>
      <c r="Q2432" s="383" t="s">
        <v>6094</v>
      </c>
      <c r="R2432" s="351" t="s">
        <v>276</v>
      </c>
      <c r="S2432" s="351" t="s">
        <v>276</v>
      </c>
      <c r="T2432" s="351" t="s">
        <v>276</v>
      </c>
      <c r="U2432" s="357">
        <v>3</v>
      </c>
      <c r="V2432" s="357" t="s">
        <v>261</v>
      </c>
      <c r="W2432" s="357" t="s">
        <v>5153</v>
      </c>
      <c r="X2432" s="351" t="s">
        <v>207</v>
      </c>
      <c r="Y2432" s="354">
        <v>17635</v>
      </c>
      <c r="Z2432" s="351">
        <v>17513</v>
      </c>
      <c r="AA2432" s="351" t="s">
        <v>276</v>
      </c>
      <c r="AB2432" s="351" t="s">
        <v>276</v>
      </c>
      <c r="AC2432" s="357" t="s">
        <v>276</v>
      </c>
      <c r="AD2432" s="357" t="s">
        <v>6113</v>
      </c>
      <c r="AE2432" s="357" t="s">
        <v>276</v>
      </c>
      <c r="AF2432" s="357" t="s">
        <v>6113</v>
      </c>
      <c r="AG2432" s="351" t="s">
        <v>6114</v>
      </c>
      <c r="AH2432" s="351" t="s">
        <v>5993</v>
      </c>
      <c r="AI2432" s="355">
        <v>9</v>
      </c>
      <c r="AJ2432" s="355">
        <v>12</v>
      </c>
      <c r="AK2432" s="354">
        <v>17635</v>
      </c>
      <c r="AL2432" s="351">
        <v>17513</v>
      </c>
      <c r="AM2432" s="355" t="s">
        <v>292</v>
      </c>
      <c r="AN2432" s="357">
        <v>0.05</v>
      </c>
      <c r="AO2432" s="369">
        <f t="shared" si="643"/>
        <v>5.1034873830450814E-2</v>
      </c>
      <c r="AP2432" s="357" t="s">
        <v>276</v>
      </c>
      <c r="AQ2432" s="357" t="s">
        <v>276</v>
      </c>
      <c r="AR2432" s="357">
        <v>7.0000000000000007E-2</v>
      </c>
      <c r="AS2432" s="369">
        <f t="shared" si="644"/>
        <v>6.8520527608062584E-2</v>
      </c>
      <c r="AT2432" s="357" t="s">
        <v>276</v>
      </c>
      <c r="AU2432" s="357" t="s">
        <v>276</v>
      </c>
      <c r="AV2432" s="357" t="s">
        <v>268</v>
      </c>
      <c r="AW2432" s="357" t="s">
        <v>276</v>
      </c>
      <c r="AX2432" s="369">
        <f t="shared" si="645"/>
        <v>0.74481145449390418</v>
      </c>
      <c r="AY2432" s="357" t="s">
        <v>276</v>
      </c>
      <c r="AZ2432" s="357" t="s">
        <v>276</v>
      </c>
      <c r="BA2432" s="357" t="s">
        <v>276</v>
      </c>
      <c r="BB2432" s="357" t="s">
        <v>276</v>
      </c>
      <c r="BC2432" s="357" t="s">
        <v>276</v>
      </c>
      <c r="BD2432" s="357" t="s">
        <v>276</v>
      </c>
      <c r="BE2432" s="357" t="s">
        <v>276</v>
      </c>
      <c r="BF2432" s="351" t="s">
        <v>1029</v>
      </c>
      <c r="BG2432" s="351"/>
      <c r="BH2432" s="9" t="s">
        <v>100</v>
      </c>
      <c r="BI2432" s="9" t="s">
        <v>100</v>
      </c>
      <c r="BJ2432" s="373"/>
      <c r="BN2432" s="373"/>
      <c r="BO2432" s="373"/>
    </row>
    <row r="2433" spans="1:68" s="374" customFormat="1" ht="78" hidden="1" x14ac:dyDescent="0.35">
      <c r="A2433" s="357">
        <v>10624</v>
      </c>
      <c r="B2433" s="357" t="s">
        <v>5769</v>
      </c>
      <c r="C2433" s="357" t="s">
        <v>88</v>
      </c>
      <c r="D2433" s="351" t="s">
        <v>6115</v>
      </c>
      <c r="E2433" s="357" t="s">
        <v>43</v>
      </c>
      <c r="F2433" s="351" t="s">
        <v>4987</v>
      </c>
      <c r="G2433" s="357" t="s">
        <v>225</v>
      </c>
      <c r="H2433" s="357" t="s">
        <v>125</v>
      </c>
      <c r="I2433" s="357" t="s">
        <v>114</v>
      </c>
      <c r="J2433" s="351" t="s">
        <v>1116</v>
      </c>
      <c r="K2433" s="351" t="s">
        <v>6116</v>
      </c>
      <c r="L2433" s="351" t="s">
        <v>6091</v>
      </c>
      <c r="M2433" s="351" t="s">
        <v>6092</v>
      </c>
      <c r="N2433" s="351" t="s">
        <v>6097</v>
      </c>
      <c r="O2433" s="351" t="s">
        <v>276</v>
      </c>
      <c r="P2433" s="351" t="s">
        <v>239</v>
      </c>
      <c r="Q2433" s="383" t="s">
        <v>6094</v>
      </c>
      <c r="R2433" s="351" t="s">
        <v>276</v>
      </c>
      <c r="S2433" s="351" t="s">
        <v>276</v>
      </c>
      <c r="T2433" s="351" t="s">
        <v>276</v>
      </c>
      <c r="U2433" s="357">
        <v>3</v>
      </c>
      <c r="V2433" s="357" t="s">
        <v>261</v>
      </c>
      <c r="W2433" s="357" t="s">
        <v>5153</v>
      </c>
      <c r="X2433" s="351" t="s">
        <v>207</v>
      </c>
      <c r="Y2433" s="354">
        <v>17635</v>
      </c>
      <c r="Z2433" s="351">
        <v>17513</v>
      </c>
      <c r="AA2433" s="351" t="s">
        <v>276</v>
      </c>
      <c r="AB2433" s="351" t="s">
        <v>276</v>
      </c>
      <c r="AC2433" s="357" t="s">
        <v>276</v>
      </c>
      <c r="AD2433" s="351" t="s">
        <v>6117</v>
      </c>
      <c r="AE2433" s="357" t="s">
        <v>276</v>
      </c>
      <c r="AF2433" s="351" t="s">
        <v>6117</v>
      </c>
      <c r="AG2433" s="351" t="s">
        <v>6118</v>
      </c>
      <c r="AH2433" s="351" t="s">
        <v>5993</v>
      </c>
      <c r="AI2433" s="355">
        <v>7</v>
      </c>
      <c r="AJ2433" s="355">
        <v>27</v>
      </c>
      <c r="AK2433" s="354">
        <v>17635</v>
      </c>
      <c r="AL2433" s="351">
        <v>17513</v>
      </c>
      <c r="AM2433" s="355" t="s">
        <v>292</v>
      </c>
      <c r="AN2433" s="357">
        <v>0.04</v>
      </c>
      <c r="AO2433" s="369">
        <f t="shared" si="643"/>
        <v>3.9693790757017296E-2</v>
      </c>
      <c r="AP2433" s="357" t="s">
        <v>276</v>
      </c>
      <c r="AQ2433" s="357" t="s">
        <v>276</v>
      </c>
      <c r="AR2433" s="357">
        <v>0.2</v>
      </c>
      <c r="AS2433" s="369">
        <f t="shared" si="644"/>
        <v>0.15417118711814082</v>
      </c>
      <c r="AT2433" s="357" t="s">
        <v>276</v>
      </c>
      <c r="AU2433" s="357" t="s">
        <v>276</v>
      </c>
      <c r="AV2433" s="357" t="s">
        <v>268</v>
      </c>
      <c r="AW2433" s="357" t="s">
        <v>276</v>
      </c>
      <c r="AX2433" s="369">
        <f t="shared" si="645"/>
        <v>0.25746568797320141</v>
      </c>
      <c r="AY2433" s="357" t="s">
        <v>276</v>
      </c>
      <c r="AZ2433" s="357" t="s">
        <v>276</v>
      </c>
      <c r="BA2433" s="357" t="s">
        <v>276</v>
      </c>
      <c r="BB2433" s="357" t="s">
        <v>431</v>
      </c>
      <c r="BC2433" s="357" t="s">
        <v>276</v>
      </c>
      <c r="BD2433" s="357" t="s">
        <v>276</v>
      </c>
      <c r="BE2433" s="357" t="s">
        <v>276</v>
      </c>
      <c r="BF2433" s="351" t="s">
        <v>6119</v>
      </c>
      <c r="BG2433" s="351"/>
      <c r="BH2433" s="9" t="s">
        <v>100</v>
      </c>
      <c r="BI2433" s="9" t="s">
        <v>100</v>
      </c>
      <c r="BJ2433" s="373"/>
      <c r="BN2433" s="373"/>
      <c r="BO2433" s="373"/>
    </row>
    <row r="2434" spans="1:68" s="399" customFormat="1" ht="78" hidden="1" x14ac:dyDescent="0.35">
      <c r="A2434" s="357">
        <v>10337</v>
      </c>
      <c r="B2434" s="357" t="s">
        <v>6120</v>
      </c>
      <c r="C2434" s="357" t="s">
        <v>88</v>
      </c>
      <c r="D2434" s="351" t="s">
        <v>6121</v>
      </c>
      <c r="E2434" s="357" t="s">
        <v>43</v>
      </c>
      <c r="F2434" s="351" t="s">
        <v>4987</v>
      </c>
      <c r="G2434" s="357" t="s">
        <v>225</v>
      </c>
      <c r="H2434" s="357" t="s">
        <v>125</v>
      </c>
      <c r="I2434" s="357" t="s">
        <v>114</v>
      </c>
      <c r="J2434" s="351" t="s">
        <v>26</v>
      </c>
      <c r="K2434" s="357" t="s">
        <v>6122</v>
      </c>
      <c r="L2434" s="351" t="s">
        <v>6123</v>
      </c>
      <c r="M2434" s="351" t="s">
        <v>6053</v>
      </c>
      <c r="N2434" s="351" t="s">
        <v>6124</v>
      </c>
      <c r="O2434" s="357" t="s">
        <v>276</v>
      </c>
      <c r="P2434" s="351" t="s">
        <v>239</v>
      </c>
      <c r="Q2434" s="383" t="s">
        <v>276</v>
      </c>
      <c r="R2434" s="351" t="s">
        <v>705</v>
      </c>
      <c r="S2434" s="351" t="s">
        <v>276</v>
      </c>
      <c r="T2434" s="351" t="s">
        <v>276</v>
      </c>
      <c r="U2434" s="351">
        <v>1</v>
      </c>
      <c r="V2434" s="357" t="s">
        <v>261</v>
      </c>
      <c r="W2434" s="357" t="s">
        <v>5162</v>
      </c>
      <c r="X2434" s="351" t="s">
        <v>207</v>
      </c>
      <c r="Y2434" s="352">
        <v>24000</v>
      </c>
      <c r="Z2434" s="352">
        <v>35973</v>
      </c>
      <c r="AA2434" s="354" t="s">
        <v>276</v>
      </c>
      <c r="AB2434" s="354" t="s">
        <v>276</v>
      </c>
      <c r="AC2434" s="357">
        <v>0</v>
      </c>
      <c r="AD2434" s="357" t="s">
        <v>6125</v>
      </c>
      <c r="AE2434" s="357">
        <v>2</v>
      </c>
      <c r="AF2434" s="357" t="s">
        <v>6125</v>
      </c>
      <c r="AG2434" s="351" t="s">
        <v>6126</v>
      </c>
      <c r="AH2434" s="351" t="s">
        <v>5993</v>
      </c>
      <c r="AI2434" s="352">
        <f>176+12</f>
        <v>188</v>
      </c>
      <c r="AJ2434" s="352">
        <v>35</v>
      </c>
      <c r="AK2434" s="354">
        <v>24000</v>
      </c>
      <c r="AL2434" s="354">
        <v>35973</v>
      </c>
      <c r="AM2434" s="13" t="s">
        <v>292</v>
      </c>
      <c r="AN2434" s="359" t="s">
        <v>276</v>
      </c>
      <c r="AO2434" s="371">
        <f>(AI2434/AK2434)*100</f>
        <v>0.78333333333333333</v>
      </c>
      <c r="AP2434" s="359" t="s">
        <v>276</v>
      </c>
      <c r="AQ2434" s="359" t="s">
        <v>276</v>
      </c>
      <c r="AR2434" s="357" t="s">
        <v>276</v>
      </c>
      <c r="AS2434" s="371">
        <f>(AJ2434/AL2434)*100</f>
        <v>9.7295193617435299E-2</v>
      </c>
      <c r="AT2434" s="359" t="s">
        <v>276</v>
      </c>
      <c r="AU2434" s="359" t="s">
        <v>276</v>
      </c>
      <c r="AV2434" s="357" t="s">
        <v>268</v>
      </c>
      <c r="AW2434" s="356" t="s">
        <v>276</v>
      </c>
      <c r="AX2434" s="369">
        <f t="shared" si="645"/>
        <v>8.0510999999999999</v>
      </c>
      <c r="AY2434" s="359" t="s">
        <v>276</v>
      </c>
      <c r="AZ2434" s="359" t="s">
        <v>276</v>
      </c>
      <c r="BA2434" s="359" t="s">
        <v>276</v>
      </c>
      <c r="BB2434" s="359" t="s">
        <v>276</v>
      </c>
      <c r="BC2434" s="359" t="s">
        <v>276</v>
      </c>
      <c r="BD2434" s="359" t="s">
        <v>276</v>
      </c>
      <c r="BE2434" s="359" t="s">
        <v>276</v>
      </c>
      <c r="BF2434" s="351" t="s">
        <v>298</v>
      </c>
      <c r="BG2434" s="351" t="s">
        <v>6127</v>
      </c>
      <c r="BH2434" s="9" t="s">
        <v>100</v>
      </c>
      <c r="BI2434" s="9" t="s">
        <v>100</v>
      </c>
      <c r="BJ2434" s="398"/>
      <c r="BN2434" s="398"/>
      <c r="BO2434" s="398"/>
    </row>
    <row r="2435" spans="1:68" s="399" customFormat="1" ht="78" hidden="1" x14ac:dyDescent="0.35">
      <c r="A2435" s="357">
        <v>10337</v>
      </c>
      <c r="B2435" s="357" t="s">
        <v>6120</v>
      </c>
      <c r="C2435" s="357" t="s">
        <v>88</v>
      </c>
      <c r="D2435" s="351" t="s">
        <v>6128</v>
      </c>
      <c r="E2435" s="357" t="s">
        <v>43</v>
      </c>
      <c r="F2435" s="351" t="s">
        <v>4987</v>
      </c>
      <c r="G2435" s="357" t="s">
        <v>225</v>
      </c>
      <c r="H2435" s="357" t="s">
        <v>125</v>
      </c>
      <c r="I2435" s="357" t="s">
        <v>114</v>
      </c>
      <c r="J2435" s="351" t="s">
        <v>26</v>
      </c>
      <c r="K2435" s="357" t="s">
        <v>6129</v>
      </c>
      <c r="L2435" s="351" t="s">
        <v>6123</v>
      </c>
      <c r="M2435" s="351" t="s">
        <v>6053</v>
      </c>
      <c r="N2435" s="351" t="s">
        <v>6124</v>
      </c>
      <c r="O2435" s="357" t="s">
        <v>276</v>
      </c>
      <c r="P2435" s="351" t="s">
        <v>239</v>
      </c>
      <c r="Q2435" s="383" t="s">
        <v>276</v>
      </c>
      <c r="R2435" s="351" t="s">
        <v>705</v>
      </c>
      <c r="S2435" s="351" t="s">
        <v>276</v>
      </c>
      <c r="T2435" s="351" t="s">
        <v>276</v>
      </c>
      <c r="U2435" s="351">
        <v>1</v>
      </c>
      <c r="V2435" s="357" t="s">
        <v>261</v>
      </c>
      <c r="W2435" s="357" t="s">
        <v>5162</v>
      </c>
      <c r="X2435" s="351" t="s">
        <v>207</v>
      </c>
      <c r="Y2435" s="352">
        <v>24000</v>
      </c>
      <c r="Z2435" s="352">
        <v>35973</v>
      </c>
      <c r="AA2435" s="354" t="s">
        <v>276</v>
      </c>
      <c r="AB2435" s="354" t="s">
        <v>276</v>
      </c>
      <c r="AC2435" s="357">
        <v>0</v>
      </c>
      <c r="AD2435" s="357" t="s">
        <v>6125</v>
      </c>
      <c r="AE2435" s="357">
        <v>2</v>
      </c>
      <c r="AF2435" s="357" t="s">
        <v>6125</v>
      </c>
      <c r="AG2435" s="351" t="s">
        <v>6130</v>
      </c>
      <c r="AH2435" s="351" t="s">
        <v>5993</v>
      </c>
      <c r="AI2435" s="348">
        <f>143+11</f>
        <v>154</v>
      </c>
      <c r="AJ2435" s="348">
        <v>37</v>
      </c>
      <c r="AK2435" s="354">
        <v>24000</v>
      </c>
      <c r="AL2435" s="354">
        <v>35973</v>
      </c>
      <c r="AM2435" s="38" t="s">
        <v>292</v>
      </c>
      <c r="AN2435" s="359" t="s">
        <v>276</v>
      </c>
      <c r="AO2435" s="371">
        <f t="shared" ref="AO2435:AO2437" si="646">(AI2435/AK2435)*100</f>
        <v>0.64166666666666672</v>
      </c>
      <c r="AP2435" s="359" t="s">
        <v>276</v>
      </c>
      <c r="AQ2435" s="359" t="s">
        <v>276</v>
      </c>
      <c r="AR2435" s="357" t="s">
        <v>276</v>
      </c>
      <c r="AS2435" s="371">
        <f t="shared" ref="AS2435:AS2437" si="647">(AJ2435/AL2435)*100</f>
        <v>0.10285491896700302</v>
      </c>
      <c r="AT2435" s="359" t="s">
        <v>276</v>
      </c>
      <c r="AU2435" s="359" t="s">
        <v>276</v>
      </c>
      <c r="AV2435" s="357" t="s">
        <v>268</v>
      </c>
      <c r="AW2435" s="356" t="s">
        <v>276</v>
      </c>
      <c r="AX2435" s="369">
        <f t="shared" si="645"/>
        <v>6.2385608108108119</v>
      </c>
      <c r="AY2435" s="359" t="s">
        <v>276</v>
      </c>
      <c r="AZ2435" s="359" t="s">
        <v>276</v>
      </c>
      <c r="BA2435" s="359" t="s">
        <v>276</v>
      </c>
      <c r="BB2435" s="359" t="s">
        <v>276</v>
      </c>
      <c r="BC2435" s="359" t="s">
        <v>276</v>
      </c>
      <c r="BD2435" s="359" t="s">
        <v>276</v>
      </c>
      <c r="BE2435" s="359" t="s">
        <v>276</v>
      </c>
      <c r="BF2435" s="351" t="s">
        <v>298</v>
      </c>
      <c r="BG2435" s="351" t="s">
        <v>6127</v>
      </c>
      <c r="BH2435" s="9" t="s">
        <v>100</v>
      </c>
      <c r="BI2435" s="9" t="s">
        <v>100</v>
      </c>
      <c r="BJ2435" s="398"/>
      <c r="BN2435" s="398"/>
      <c r="BO2435" s="398"/>
    </row>
    <row r="2436" spans="1:68" s="399" customFormat="1" ht="78" hidden="1" x14ac:dyDescent="0.35">
      <c r="A2436" s="357">
        <v>10337</v>
      </c>
      <c r="B2436" s="357" t="s">
        <v>6120</v>
      </c>
      <c r="C2436" s="357" t="s">
        <v>88</v>
      </c>
      <c r="D2436" s="351" t="s">
        <v>6131</v>
      </c>
      <c r="E2436" s="357" t="s">
        <v>43</v>
      </c>
      <c r="F2436" s="351" t="s">
        <v>4987</v>
      </c>
      <c r="G2436" s="357" t="s">
        <v>225</v>
      </c>
      <c r="H2436" s="357" t="s">
        <v>125</v>
      </c>
      <c r="I2436" s="357" t="s">
        <v>114</v>
      </c>
      <c r="J2436" s="351" t="s">
        <v>26</v>
      </c>
      <c r="K2436" s="357" t="s">
        <v>6132</v>
      </c>
      <c r="L2436" s="351" t="s">
        <v>6123</v>
      </c>
      <c r="M2436" s="351" t="s">
        <v>6053</v>
      </c>
      <c r="N2436" s="351" t="s">
        <v>6124</v>
      </c>
      <c r="O2436" s="357" t="s">
        <v>276</v>
      </c>
      <c r="P2436" s="351" t="s">
        <v>239</v>
      </c>
      <c r="Q2436" s="383" t="s">
        <v>276</v>
      </c>
      <c r="R2436" s="351" t="s">
        <v>705</v>
      </c>
      <c r="S2436" s="351" t="s">
        <v>276</v>
      </c>
      <c r="T2436" s="351" t="s">
        <v>276</v>
      </c>
      <c r="U2436" s="351">
        <v>1</v>
      </c>
      <c r="V2436" s="357" t="s">
        <v>261</v>
      </c>
      <c r="W2436" s="357" t="s">
        <v>5162</v>
      </c>
      <c r="X2436" s="351" t="s">
        <v>207</v>
      </c>
      <c r="Y2436" s="352">
        <v>24000</v>
      </c>
      <c r="Z2436" s="352">
        <v>35973</v>
      </c>
      <c r="AA2436" s="354" t="s">
        <v>276</v>
      </c>
      <c r="AB2436" s="354" t="s">
        <v>276</v>
      </c>
      <c r="AC2436" s="357">
        <v>0</v>
      </c>
      <c r="AD2436" s="357" t="s">
        <v>6125</v>
      </c>
      <c r="AE2436" s="357">
        <v>2</v>
      </c>
      <c r="AF2436" s="357" t="s">
        <v>6125</v>
      </c>
      <c r="AG2436" s="351" t="s">
        <v>6133</v>
      </c>
      <c r="AH2436" s="351" t="s">
        <v>5993</v>
      </c>
      <c r="AI2436" s="354">
        <f>58+17</f>
        <v>75</v>
      </c>
      <c r="AJ2436" s="354">
        <v>38</v>
      </c>
      <c r="AK2436" s="354">
        <v>24000</v>
      </c>
      <c r="AL2436" s="354">
        <v>35973</v>
      </c>
      <c r="AM2436" s="355" t="s">
        <v>292</v>
      </c>
      <c r="AN2436" s="368">
        <v>0.3</v>
      </c>
      <c r="AO2436" s="369">
        <f t="shared" si="646"/>
        <v>0.3125</v>
      </c>
      <c r="AP2436" s="356" t="s">
        <v>276</v>
      </c>
      <c r="AQ2436" s="356" t="s">
        <v>276</v>
      </c>
      <c r="AR2436" s="368">
        <v>0.1</v>
      </c>
      <c r="AS2436" s="369">
        <f t="shared" si="647"/>
        <v>0.10563478164178688</v>
      </c>
      <c r="AT2436" s="356" t="s">
        <v>276</v>
      </c>
      <c r="AU2436" s="356" t="s">
        <v>276</v>
      </c>
      <c r="AV2436" s="357" t="s">
        <v>268</v>
      </c>
      <c r="AW2436" s="356" t="s">
        <v>276</v>
      </c>
      <c r="AX2436" s="369">
        <f t="shared" si="645"/>
        <v>2.9583059210526317</v>
      </c>
      <c r="AY2436" s="356" t="s">
        <v>276</v>
      </c>
      <c r="AZ2436" s="356" t="s">
        <v>276</v>
      </c>
      <c r="BA2436" s="356" t="s">
        <v>276</v>
      </c>
      <c r="BB2436" s="356" t="s">
        <v>276</v>
      </c>
      <c r="BC2436" s="356" t="s">
        <v>276</v>
      </c>
      <c r="BD2436" s="356" t="s">
        <v>276</v>
      </c>
      <c r="BE2436" s="356" t="s">
        <v>276</v>
      </c>
      <c r="BF2436" s="351" t="s">
        <v>6134</v>
      </c>
      <c r="BG2436" s="351" t="s">
        <v>6127</v>
      </c>
      <c r="BH2436" s="9" t="s">
        <v>100</v>
      </c>
      <c r="BI2436" s="9" t="s">
        <v>100</v>
      </c>
      <c r="BJ2436" s="398"/>
      <c r="BN2436" s="398"/>
      <c r="BO2436" s="398"/>
    </row>
    <row r="2437" spans="1:68" s="388" customFormat="1" ht="78" hidden="1" x14ac:dyDescent="0.35">
      <c r="A2437" s="357">
        <v>10337</v>
      </c>
      <c r="B2437" s="357" t="s">
        <v>6120</v>
      </c>
      <c r="C2437" s="357" t="s">
        <v>88</v>
      </c>
      <c r="D2437" s="351" t="s">
        <v>6135</v>
      </c>
      <c r="E2437" s="357" t="s">
        <v>43</v>
      </c>
      <c r="F2437" s="351" t="s">
        <v>4987</v>
      </c>
      <c r="G2437" s="357" t="s">
        <v>225</v>
      </c>
      <c r="H2437" s="357" t="s">
        <v>125</v>
      </c>
      <c r="I2437" s="357" t="s">
        <v>114</v>
      </c>
      <c r="J2437" s="351" t="s">
        <v>26</v>
      </c>
      <c r="K2437" s="357" t="s">
        <v>6132</v>
      </c>
      <c r="L2437" s="351" t="s">
        <v>6123</v>
      </c>
      <c r="M2437" s="351" t="s">
        <v>6053</v>
      </c>
      <c r="N2437" s="351" t="s">
        <v>6136</v>
      </c>
      <c r="O2437" s="357" t="s">
        <v>276</v>
      </c>
      <c r="P2437" s="351" t="s">
        <v>235</v>
      </c>
      <c r="Q2437" s="383" t="s">
        <v>276</v>
      </c>
      <c r="R2437" s="351" t="s">
        <v>705</v>
      </c>
      <c r="S2437" s="351" t="s">
        <v>276</v>
      </c>
      <c r="T2437" s="351" t="s">
        <v>276</v>
      </c>
      <c r="U2437" s="351">
        <v>1</v>
      </c>
      <c r="V2437" s="357" t="s">
        <v>261</v>
      </c>
      <c r="W2437" s="357" t="s">
        <v>5162</v>
      </c>
      <c r="X2437" s="351" t="s">
        <v>207</v>
      </c>
      <c r="Y2437" s="354" t="s">
        <v>98</v>
      </c>
      <c r="Z2437" s="354" t="s">
        <v>98</v>
      </c>
      <c r="AA2437" s="354" t="s">
        <v>276</v>
      </c>
      <c r="AB2437" s="354" t="s">
        <v>276</v>
      </c>
      <c r="AC2437" s="357">
        <v>0</v>
      </c>
      <c r="AD2437" s="357" t="s">
        <v>6125</v>
      </c>
      <c r="AE2437" s="357">
        <v>2</v>
      </c>
      <c r="AF2437" s="357" t="s">
        <v>6125</v>
      </c>
      <c r="AG2437" s="351" t="s">
        <v>6137</v>
      </c>
      <c r="AH2437" s="351" t="s">
        <v>6138</v>
      </c>
      <c r="AI2437" s="354">
        <f>58+17</f>
        <v>75</v>
      </c>
      <c r="AJ2437" s="354">
        <v>38</v>
      </c>
      <c r="AK2437" s="354">
        <f>377+40</f>
        <v>417</v>
      </c>
      <c r="AL2437" s="354">
        <v>112</v>
      </c>
      <c r="AM2437" s="355" t="s">
        <v>292</v>
      </c>
      <c r="AN2437" s="381">
        <v>18</v>
      </c>
      <c r="AO2437" s="369">
        <f t="shared" si="646"/>
        <v>17.985611510791365</v>
      </c>
      <c r="AP2437" s="356" t="s">
        <v>276</v>
      </c>
      <c r="AQ2437" s="356" t="s">
        <v>276</v>
      </c>
      <c r="AR2437" s="381">
        <v>35</v>
      </c>
      <c r="AS2437" s="369">
        <f t="shared" si="647"/>
        <v>33.928571428571431</v>
      </c>
      <c r="AT2437" s="356" t="s">
        <v>276</v>
      </c>
      <c r="AU2437" s="356" t="s">
        <v>276</v>
      </c>
      <c r="AV2437" s="357" t="s">
        <v>268</v>
      </c>
      <c r="AW2437" s="356" t="s">
        <v>276</v>
      </c>
      <c r="AX2437" s="369">
        <f t="shared" si="645"/>
        <v>0.53010223400227174</v>
      </c>
      <c r="AY2437" s="356" t="s">
        <v>276</v>
      </c>
      <c r="AZ2437" s="356" t="s">
        <v>276</v>
      </c>
      <c r="BA2437" s="356" t="s">
        <v>276</v>
      </c>
      <c r="BB2437" s="356" t="s">
        <v>276</v>
      </c>
      <c r="BC2437" s="356" t="s">
        <v>276</v>
      </c>
      <c r="BD2437" s="356" t="s">
        <v>276</v>
      </c>
      <c r="BE2437" s="356" t="s">
        <v>276</v>
      </c>
      <c r="BF2437" s="351" t="s">
        <v>6139</v>
      </c>
      <c r="BG2437" s="351" t="s">
        <v>6127</v>
      </c>
      <c r="BH2437" s="9" t="s">
        <v>100</v>
      </c>
      <c r="BI2437" s="9" t="s">
        <v>100</v>
      </c>
      <c r="BJ2437" s="387"/>
      <c r="BN2437" s="387"/>
      <c r="BO2437" s="387"/>
    </row>
    <row r="2438" spans="1:68" s="6" customFormat="1" ht="65" hidden="1" x14ac:dyDescent="0.35">
      <c r="A2438" s="357">
        <v>10250</v>
      </c>
      <c r="B2438" s="357" t="s">
        <v>5797</v>
      </c>
      <c r="C2438" s="357" t="s">
        <v>88</v>
      </c>
      <c r="D2438" s="351" t="s">
        <v>6140</v>
      </c>
      <c r="E2438" s="357" t="s">
        <v>43</v>
      </c>
      <c r="F2438" s="351" t="s">
        <v>4987</v>
      </c>
      <c r="G2438" s="357" t="s">
        <v>225</v>
      </c>
      <c r="H2438" s="357" t="s">
        <v>125</v>
      </c>
      <c r="I2438" s="357" t="s">
        <v>114</v>
      </c>
      <c r="J2438" s="351" t="s">
        <v>26</v>
      </c>
      <c r="K2438" s="357" t="s">
        <v>6141</v>
      </c>
      <c r="L2438" s="357" t="s">
        <v>6142</v>
      </c>
      <c r="M2438" s="357" t="s">
        <v>6143</v>
      </c>
      <c r="N2438" s="351" t="s">
        <v>6144</v>
      </c>
      <c r="O2438" s="357" t="s">
        <v>276</v>
      </c>
      <c r="P2438" s="351" t="s">
        <v>239</v>
      </c>
      <c r="Q2438" s="351" t="s">
        <v>5800</v>
      </c>
      <c r="R2438" s="351" t="s">
        <v>276</v>
      </c>
      <c r="S2438" s="351" t="s">
        <v>5801</v>
      </c>
      <c r="T2438" s="351" t="s">
        <v>6145</v>
      </c>
      <c r="U2438" s="351">
        <v>3</v>
      </c>
      <c r="V2438" s="357" t="s">
        <v>261</v>
      </c>
      <c r="W2438" s="357" t="s">
        <v>5162</v>
      </c>
      <c r="X2438" s="351" t="s">
        <v>207</v>
      </c>
      <c r="Y2438" s="354">
        <v>31866</v>
      </c>
      <c r="Z2438" s="355">
        <v>48278</v>
      </c>
      <c r="AA2438" s="354" t="s">
        <v>276</v>
      </c>
      <c r="AB2438" s="354" t="s">
        <v>276</v>
      </c>
      <c r="AC2438" s="357">
        <f>1+3+1+51+36+54</f>
        <v>146</v>
      </c>
      <c r="AD2438" s="357" t="s">
        <v>6146</v>
      </c>
      <c r="AE2438" s="357">
        <f>2+18+15</f>
        <v>35</v>
      </c>
      <c r="AF2438" s="357" t="s">
        <v>6146</v>
      </c>
      <c r="AG2438" s="351" t="s">
        <v>6147</v>
      </c>
      <c r="AH2438" s="351" t="s">
        <v>1674</v>
      </c>
      <c r="AI2438" s="355">
        <f>469+577+425+44+75+16+105+105+25+80+138+141</f>
        <v>2200</v>
      </c>
      <c r="AJ2438" s="355">
        <f>536+936+605</f>
        <v>2077</v>
      </c>
      <c r="AK2438" s="355">
        <v>292474</v>
      </c>
      <c r="AL2438" s="355">
        <v>449885</v>
      </c>
      <c r="AM2438" s="355" t="s">
        <v>6148</v>
      </c>
      <c r="AN2438" s="368">
        <v>7.5</v>
      </c>
      <c r="AO2438" s="356">
        <f>AI2438*1000/AK2438</f>
        <v>7.522036146802793</v>
      </c>
      <c r="AP2438" s="356" t="s">
        <v>276</v>
      </c>
      <c r="AQ2438" s="356" t="s">
        <v>276</v>
      </c>
      <c r="AR2438" s="368">
        <v>4.5999999999999996</v>
      </c>
      <c r="AS2438" s="356">
        <f>AJ2438*1000/AL2438</f>
        <v>4.6167353879324713</v>
      </c>
      <c r="AT2438" s="356" t="s">
        <v>276</v>
      </c>
      <c r="AU2438" s="356" t="s">
        <v>276</v>
      </c>
      <c r="AV2438" s="357" t="s">
        <v>269</v>
      </c>
      <c r="AW2438" s="357">
        <v>1.63</v>
      </c>
      <c r="AX2438" s="369">
        <f t="shared" si="645"/>
        <v>1.6292976561889141</v>
      </c>
      <c r="AY2438" s="357">
        <v>1.5</v>
      </c>
      <c r="AZ2438" s="357">
        <v>1.7</v>
      </c>
      <c r="BA2438" s="357" t="s">
        <v>431</v>
      </c>
      <c r="BB2438" s="357" t="s">
        <v>282</v>
      </c>
      <c r="BC2438" s="357" t="s">
        <v>98</v>
      </c>
      <c r="BD2438" s="357" t="s">
        <v>98</v>
      </c>
      <c r="BE2438" s="357" t="s">
        <v>98</v>
      </c>
      <c r="BF2438" s="351" t="s">
        <v>6149</v>
      </c>
      <c r="BG2438" s="9"/>
      <c r="BH2438" s="9" t="s">
        <v>100</v>
      </c>
      <c r="BI2438" s="9" t="s">
        <v>100</v>
      </c>
      <c r="BJ2438" s="32"/>
      <c r="BK2438" s="33"/>
      <c r="BL2438" s="33"/>
      <c r="BM2438" s="33"/>
      <c r="BN2438" s="32"/>
      <c r="BO2438" s="32"/>
      <c r="BP2438" s="33"/>
    </row>
    <row r="2439" spans="1:68" s="33" customFormat="1" ht="65" hidden="1" x14ac:dyDescent="0.35">
      <c r="A2439" s="357">
        <v>10250</v>
      </c>
      <c r="B2439" s="357" t="s">
        <v>5797</v>
      </c>
      <c r="C2439" s="357" t="s">
        <v>88</v>
      </c>
      <c r="D2439" s="351" t="s">
        <v>6150</v>
      </c>
      <c r="E2439" s="357" t="s">
        <v>43</v>
      </c>
      <c r="F2439" s="351" t="s">
        <v>4987</v>
      </c>
      <c r="G2439" s="357" t="s">
        <v>225</v>
      </c>
      <c r="H2439" s="357" t="s">
        <v>125</v>
      </c>
      <c r="I2439" s="357" t="s">
        <v>114</v>
      </c>
      <c r="J2439" s="351" t="s">
        <v>26</v>
      </c>
      <c r="K2439" s="357" t="s">
        <v>6151</v>
      </c>
      <c r="L2439" s="357" t="s">
        <v>6142</v>
      </c>
      <c r="M2439" s="357" t="s">
        <v>6143</v>
      </c>
      <c r="N2439" s="351" t="s">
        <v>6144</v>
      </c>
      <c r="O2439" s="357" t="s">
        <v>276</v>
      </c>
      <c r="P2439" s="351" t="s">
        <v>239</v>
      </c>
      <c r="Q2439" s="351" t="s">
        <v>5800</v>
      </c>
      <c r="R2439" s="351" t="s">
        <v>276</v>
      </c>
      <c r="S2439" s="351" t="s">
        <v>5801</v>
      </c>
      <c r="T2439" s="351" t="s">
        <v>6145</v>
      </c>
      <c r="U2439" s="351">
        <v>3</v>
      </c>
      <c r="V2439" s="357" t="s">
        <v>261</v>
      </c>
      <c r="W2439" s="357" t="s">
        <v>5162</v>
      </c>
      <c r="X2439" s="351" t="s">
        <v>207</v>
      </c>
      <c r="Y2439" s="354">
        <v>31866</v>
      </c>
      <c r="Z2439" s="355">
        <v>48278</v>
      </c>
      <c r="AA2439" s="354" t="s">
        <v>276</v>
      </c>
      <c r="AB2439" s="354" t="s">
        <v>276</v>
      </c>
      <c r="AC2439" s="357">
        <f>1+3+1+51+36+54</f>
        <v>146</v>
      </c>
      <c r="AD2439" s="357" t="s">
        <v>6146</v>
      </c>
      <c r="AE2439" s="357">
        <f>2+18+15</f>
        <v>35</v>
      </c>
      <c r="AF2439" s="357" t="s">
        <v>6146</v>
      </c>
      <c r="AG2439" s="351" t="s">
        <v>6152</v>
      </c>
      <c r="AH2439" s="351" t="s">
        <v>1674</v>
      </c>
      <c r="AI2439" s="354">
        <f>74+36+29+6+11+6+7+8+1+45+46+40</f>
        <v>309</v>
      </c>
      <c r="AJ2439" s="354">
        <f>219+295+170</f>
        <v>684</v>
      </c>
      <c r="AK2439" s="355">
        <v>292474</v>
      </c>
      <c r="AL2439" s="355">
        <v>449885</v>
      </c>
      <c r="AM2439" s="355" t="s">
        <v>6148</v>
      </c>
      <c r="AN2439" s="368">
        <v>1.1000000000000001</v>
      </c>
      <c r="AO2439" s="356">
        <f>AI2439*1000/AK2439</f>
        <v>1.0565041678918468</v>
      </c>
      <c r="AP2439" s="356" t="s">
        <v>276</v>
      </c>
      <c r="AQ2439" s="356" t="s">
        <v>276</v>
      </c>
      <c r="AR2439" s="368">
        <v>1.5</v>
      </c>
      <c r="AS2439" s="356">
        <f>AJ2439*1000/AL2439</f>
        <v>1.5203885437389555</v>
      </c>
      <c r="AT2439" s="356" t="s">
        <v>276</v>
      </c>
      <c r="AU2439" s="356" t="s">
        <v>276</v>
      </c>
      <c r="AV2439" s="357" t="s">
        <v>269</v>
      </c>
      <c r="AW2439" s="357">
        <v>0.69</v>
      </c>
      <c r="AX2439" s="369">
        <f t="shared" si="645"/>
        <v>0.69489090288307531</v>
      </c>
      <c r="AY2439" s="357">
        <v>0.6</v>
      </c>
      <c r="AZ2439" s="357">
        <v>0.8</v>
      </c>
      <c r="BA2439" s="357" t="s">
        <v>431</v>
      </c>
      <c r="BB2439" s="357" t="s">
        <v>282</v>
      </c>
      <c r="BC2439" s="357" t="s">
        <v>98</v>
      </c>
      <c r="BD2439" s="357" t="s">
        <v>98</v>
      </c>
      <c r="BE2439" s="357" t="s">
        <v>98</v>
      </c>
      <c r="BF2439" s="351" t="s">
        <v>6153</v>
      </c>
      <c r="BG2439" s="9"/>
      <c r="BH2439" s="9" t="s">
        <v>100</v>
      </c>
      <c r="BI2439" s="9" t="s">
        <v>100</v>
      </c>
    </row>
    <row r="2440" spans="1:68" s="388" customFormat="1" ht="52" hidden="1" x14ac:dyDescent="0.35">
      <c r="A2440" s="357">
        <v>10250</v>
      </c>
      <c r="B2440" s="357" t="s">
        <v>5797</v>
      </c>
      <c r="C2440" s="357" t="s">
        <v>88</v>
      </c>
      <c r="D2440" s="351" t="s">
        <v>6154</v>
      </c>
      <c r="E2440" s="357" t="s">
        <v>43</v>
      </c>
      <c r="F2440" s="351" t="s">
        <v>4987</v>
      </c>
      <c r="G2440" s="357" t="s">
        <v>225</v>
      </c>
      <c r="H2440" s="357" t="s">
        <v>125</v>
      </c>
      <c r="I2440" s="357" t="s">
        <v>114</v>
      </c>
      <c r="J2440" s="351" t="s">
        <v>26</v>
      </c>
      <c r="K2440" s="357" t="s">
        <v>6151</v>
      </c>
      <c r="L2440" s="357" t="s">
        <v>6142</v>
      </c>
      <c r="M2440" s="357" t="s">
        <v>6143</v>
      </c>
      <c r="N2440" s="351" t="s">
        <v>6144</v>
      </c>
      <c r="O2440" s="357" t="s">
        <v>276</v>
      </c>
      <c r="P2440" s="351" t="s">
        <v>235</v>
      </c>
      <c r="Q2440" s="351" t="s">
        <v>5800</v>
      </c>
      <c r="R2440" s="351" t="s">
        <v>276</v>
      </c>
      <c r="S2440" s="351" t="s">
        <v>5801</v>
      </c>
      <c r="T2440" s="351" t="s">
        <v>6145</v>
      </c>
      <c r="U2440" s="351">
        <v>3</v>
      </c>
      <c r="V2440" s="357" t="s">
        <v>261</v>
      </c>
      <c r="W2440" s="357" t="s">
        <v>5162</v>
      </c>
      <c r="X2440" s="351" t="s">
        <v>207</v>
      </c>
      <c r="Y2440" s="354" t="s">
        <v>98</v>
      </c>
      <c r="Z2440" s="355" t="s">
        <v>98</v>
      </c>
      <c r="AA2440" s="354" t="s">
        <v>276</v>
      </c>
      <c r="AB2440" s="354" t="s">
        <v>276</v>
      </c>
      <c r="AC2440" s="357">
        <f>1+3+1+51+36+54</f>
        <v>146</v>
      </c>
      <c r="AD2440" s="357" t="s">
        <v>6146</v>
      </c>
      <c r="AE2440" s="357">
        <f>2+18+15</f>
        <v>35</v>
      </c>
      <c r="AF2440" s="357" t="s">
        <v>6146</v>
      </c>
      <c r="AG2440" s="351" t="s">
        <v>6152</v>
      </c>
      <c r="AH2440" s="351" t="s">
        <v>6155</v>
      </c>
      <c r="AI2440" s="354">
        <f>74+36+29+6+11+6+7+8+1+45+46+40</f>
        <v>309</v>
      </c>
      <c r="AJ2440" s="354">
        <f>219+295+170</f>
        <v>684</v>
      </c>
      <c r="AK2440" s="355">
        <v>2655</v>
      </c>
      <c r="AL2440" s="355">
        <v>2796</v>
      </c>
      <c r="AM2440" s="355" t="s">
        <v>292</v>
      </c>
      <c r="AN2440" s="368"/>
      <c r="AO2440" s="356">
        <f>AI2440*100/AK2440</f>
        <v>11.638418079096045</v>
      </c>
      <c r="AP2440" s="356" t="s">
        <v>276</v>
      </c>
      <c r="AQ2440" s="356" t="s">
        <v>276</v>
      </c>
      <c r="AR2440" s="368"/>
      <c r="AS2440" s="356">
        <f>AJ2440*100/AL2440</f>
        <v>24.463519313304722</v>
      </c>
      <c r="AT2440" s="356" t="s">
        <v>276</v>
      </c>
      <c r="AU2440" s="356" t="s">
        <v>276</v>
      </c>
      <c r="AV2440" s="357" t="s">
        <v>268</v>
      </c>
      <c r="AW2440" s="357" t="s">
        <v>276</v>
      </c>
      <c r="AX2440" s="369">
        <f t="shared" si="645"/>
        <v>0.47574586182971551</v>
      </c>
      <c r="AY2440" s="357" t="s">
        <v>276</v>
      </c>
      <c r="AZ2440" s="357" t="s">
        <v>276</v>
      </c>
      <c r="BA2440" s="357" t="s">
        <v>276</v>
      </c>
      <c r="BB2440" s="357" t="s">
        <v>282</v>
      </c>
      <c r="BC2440" s="357" t="s">
        <v>98</v>
      </c>
      <c r="BD2440" s="357" t="s">
        <v>98</v>
      </c>
      <c r="BE2440" s="357" t="s">
        <v>98</v>
      </c>
      <c r="BF2440" s="351" t="s">
        <v>426</v>
      </c>
      <c r="BG2440" s="364"/>
      <c r="BH2440" s="9" t="s">
        <v>100</v>
      </c>
      <c r="BI2440" s="9" t="s">
        <v>100</v>
      </c>
    </row>
    <row r="2441" spans="1:68" s="388" customFormat="1" ht="78" hidden="1" x14ac:dyDescent="0.35">
      <c r="A2441" s="357">
        <v>10250</v>
      </c>
      <c r="B2441" s="357" t="s">
        <v>5797</v>
      </c>
      <c r="C2441" s="357" t="s">
        <v>88</v>
      </c>
      <c r="D2441" s="351" t="s">
        <v>6156</v>
      </c>
      <c r="E2441" s="357" t="s">
        <v>43</v>
      </c>
      <c r="F2441" s="351" t="s">
        <v>4987</v>
      </c>
      <c r="G2441" s="357" t="s">
        <v>225</v>
      </c>
      <c r="H2441" s="357" t="s">
        <v>125</v>
      </c>
      <c r="I2441" s="357" t="s">
        <v>114</v>
      </c>
      <c r="J2441" s="351" t="s">
        <v>26</v>
      </c>
      <c r="K2441" s="357" t="s">
        <v>6151</v>
      </c>
      <c r="L2441" s="357" t="s">
        <v>6142</v>
      </c>
      <c r="M2441" s="357" t="s">
        <v>6143</v>
      </c>
      <c r="N2441" s="351" t="s">
        <v>6144</v>
      </c>
      <c r="O2441" s="357" t="s">
        <v>276</v>
      </c>
      <c r="P2441" s="351" t="s">
        <v>239</v>
      </c>
      <c r="Q2441" s="351" t="s">
        <v>5800</v>
      </c>
      <c r="R2441" s="351" t="s">
        <v>276</v>
      </c>
      <c r="S2441" s="351" t="s">
        <v>276</v>
      </c>
      <c r="T2441" s="351" t="s">
        <v>276</v>
      </c>
      <c r="U2441" s="351">
        <v>3</v>
      </c>
      <c r="V2441" s="357" t="s">
        <v>259</v>
      </c>
      <c r="W2441" s="351" t="s">
        <v>6157</v>
      </c>
      <c r="X2441" s="351" t="s">
        <v>207</v>
      </c>
      <c r="Y2441" s="354" t="s">
        <v>276</v>
      </c>
      <c r="Z2441" s="355" t="s">
        <v>276</v>
      </c>
      <c r="AA2441" s="354" t="s">
        <v>276</v>
      </c>
      <c r="AB2441" s="354" t="s">
        <v>276</v>
      </c>
      <c r="AC2441" s="357" t="s">
        <v>276</v>
      </c>
      <c r="AD2441" s="357" t="s">
        <v>6146</v>
      </c>
      <c r="AE2441" s="357" t="s">
        <v>276</v>
      </c>
      <c r="AF2441" s="357" t="s">
        <v>6146</v>
      </c>
      <c r="AG2441" s="351" t="s">
        <v>6158</v>
      </c>
      <c r="AH2441" s="351" t="s">
        <v>1674</v>
      </c>
      <c r="AI2441" s="354" t="s">
        <v>276</v>
      </c>
      <c r="AJ2441" s="354" t="s">
        <v>276</v>
      </c>
      <c r="AK2441" s="355" t="s">
        <v>276</v>
      </c>
      <c r="AL2441" s="355" t="s">
        <v>276</v>
      </c>
      <c r="AM2441" s="355" t="s">
        <v>6148</v>
      </c>
      <c r="AN2441" s="368" t="s">
        <v>276</v>
      </c>
      <c r="AO2441" s="356" t="s">
        <v>98</v>
      </c>
      <c r="AP2441" s="356" t="s">
        <v>276</v>
      </c>
      <c r="AQ2441" s="356" t="s">
        <v>276</v>
      </c>
      <c r="AR2441" s="368" t="s">
        <v>276</v>
      </c>
      <c r="AS2441" s="356" t="s">
        <v>98</v>
      </c>
      <c r="AT2441" s="356" t="s">
        <v>276</v>
      </c>
      <c r="AU2441" s="356" t="s">
        <v>276</v>
      </c>
      <c r="AV2441" s="357" t="s">
        <v>269</v>
      </c>
      <c r="AW2441" s="357">
        <v>0.84</v>
      </c>
      <c r="AX2441" s="369" t="s">
        <v>98</v>
      </c>
      <c r="AY2441" s="357">
        <v>0.6</v>
      </c>
      <c r="AZ2441" s="357">
        <v>1.2</v>
      </c>
      <c r="BA2441" s="357">
        <v>0.33</v>
      </c>
      <c r="BB2441" s="357" t="s">
        <v>282</v>
      </c>
      <c r="BC2441" s="357" t="s">
        <v>98</v>
      </c>
      <c r="BD2441" s="357" t="s">
        <v>98</v>
      </c>
      <c r="BE2441" s="357" t="s">
        <v>98</v>
      </c>
      <c r="BF2441" s="351" t="s">
        <v>6159</v>
      </c>
      <c r="BG2441" s="364"/>
      <c r="BH2441" s="9" t="s">
        <v>100</v>
      </c>
      <c r="BI2441" s="9" t="s">
        <v>100</v>
      </c>
    </row>
    <row r="2442" spans="1:68" s="388" customFormat="1" ht="78" hidden="1" x14ac:dyDescent="0.35">
      <c r="A2442" s="357">
        <v>10250</v>
      </c>
      <c r="B2442" s="357" t="s">
        <v>5797</v>
      </c>
      <c r="C2442" s="357" t="s">
        <v>88</v>
      </c>
      <c r="D2442" s="351" t="s">
        <v>6160</v>
      </c>
      <c r="E2442" s="357" t="s">
        <v>43</v>
      </c>
      <c r="F2442" s="351" t="s">
        <v>4987</v>
      </c>
      <c r="G2442" s="357" t="s">
        <v>225</v>
      </c>
      <c r="H2442" s="357" t="s">
        <v>125</v>
      </c>
      <c r="I2442" s="357" t="s">
        <v>114</v>
      </c>
      <c r="J2442" s="351" t="s">
        <v>26</v>
      </c>
      <c r="K2442" s="357" t="s">
        <v>6151</v>
      </c>
      <c r="L2442" s="357" t="s">
        <v>6142</v>
      </c>
      <c r="M2442" s="357" t="s">
        <v>6143</v>
      </c>
      <c r="N2442" s="351" t="s">
        <v>6144</v>
      </c>
      <c r="O2442" s="357" t="s">
        <v>276</v>
      </c>
      <c r="P2442" s="351" t="s">
        <v>239</v>
      </c>
      <c r="Q2442" s="351" t="s">
        <v>5800</v>
      </c>
      <c r="R2442" s="351" t="s">
        <v>276</v>
      </c>
      <c r="S2442" s="351" t="s">
        <v>276</v>
      </c>
      <c r="T2442" s="351" t="s">
        <v>276</v>
      </c>
      <c r="U2442" s="351">
        <v>3</v>
      </c>
      <c r="V2442" s="357" t="s">
        <v>259</v>
      </c>
      <c r="W2442" s="351" t="s">
        <v>6161</v>
      </c>
      <c r="X2442" s="351" t="s">
        <v>207</v>
      </c>
      <c r="Y2442" s="354" t="s">
        <v>276</v>
      </c>
      <c r="Z2442" s="355" t="s">
        <v>276</v>
      </c>
      <c r="AA2442" s="354" t="s">
        <v>276</v>
      </c>
      <c r="AB2442" s="354" t="s">
        <v>276</v>
      </c>
      <c r="AC2442" s="357" t="s">
        <v>276</v>
      </c>
      <c r="AD2442" s="357" t="s">
        <v>6146</v>
      </c>
      <c r="AE2442" s="357" t="s">
        <v>276</v>
      </c>
      <c r="AF2442" s="357" t="s">
        <v>6146</v>
      </c>
      <c r="AG2442" s="351" t="s">
        <v>6162</v>
      </c>
      <c r="AH2442" s="351" t="s">
        <v>1674</v>
      </c>
      <c r="AI2442" s="354" t="s">
        <v>276</v>
      </c>
      <c r="AJ2442" s="354" t="s">
        <v>276</v>
      </c>
      <c r="AK2442" s="355" t="s">
        <v>276</v>
      </c>
      <c r="AL2442" s="355" t="s">
        <v>276</v>
      </c>
      <c r="AM2442" s="355" t="s">
        <v>6148</v>
      </c>
      <c r="AN2442" s="368" t="s">
        <v>276</v>
      </c>
      <c r="AO2442" s="356" t="s">
        <v>98</v>
      </c>
      <c r="AP2442" s="356" t="s">
        <v>276</v>
      </c>
      <c r="AQ2442" s="356" t="s">
        <v>276</v>
      </c>
      <c r="AR2442" s="368" t="s">
        <v>276</v>
      </c>
      <c r="AS2442" s="356" t="s">
        <v>98</v>
      </c>
      <c r="AT2442" s="356" t="s">
        <v>276</v>
      </c>
      <c r="AU2442" s="356" t="s">
        <v>276</v>
      </c>
      <c r="AV2442" s="357" t="s">
        <v>269</v>
      </c>
      <c r="AW2442" s="357">
        <v>0.79</v>
      </c>
      <c r="AX2442" s="369" t="s">
        <v>98</v>
      </c>
      <c r="AY2442" s="357">
        <v>0.6</v>
      </c>
      <c r="AZ2442" s="368">
        <v>1</v>
      </c>
      <c r="BA2442" s="357">
        <v>0.09</v>
      </c>
      <c r="BB2442" s="357" t="s">
        <v>282</v>
      </c>
      <c r="BC2442" s="357" t="s">
        <v>98</v>
      </c>
      <c r="BD2442" s="357" t="s">
        <v>98</v>
      </c>
      <c r="BE2442" s="357" t="s">
        <v>98</v>
      </c>
      <c r="BF2442" s="351" t="s">
        <v>6163</v>
      </c>
      <c r="BG2442" s="364"/>
      <c r="BH2442" s="9" t="s">
        <v>100</v>
      </c>
      <c r="BI2442" s="9" t="s">
        <v>100</v>
      </c>
    </row>
    <row r="2443" spans="1:68" s="388" customFormat="1" ht="78" hidden="1" x14ac:dyDescent="0.35">
      <c r="A2443" s="357">
        <v>10250</v>
      </c>
      <c r="B2443" s="357" t="s">
        <v>5797</v>
      </c>
      <c r="C2443" s="357" t="s">
        <v>88</v>
      </c>
      <c r="D2443" s="351" t="s">
        <v>6164</v>
      </c>
      <c r="E2443" s="357" t="s">
        <v>43</v>
      </c>
      <c r="F2443" s="351" t="s">
        <v>4987</v>
      </c>
      <c r="G2443" s="357" t="s">
        <v>225</v>
      </c>
      <c r="H2443" s="357" t="s">
        <v>125</v>
      </c>
      <c r="I2443" s="357" t="s">
        <v>114</v>
      </c>
      <c r="J2443" s="351" t="s">
        <v>26</v>
      </c>
      <c r="K2443" s="357" t="s">
        <v>6151</v>
      </c>
      <c r="L2443" s="357" t="s">
        <v>6142</v>
      </c>
      <c r="M2443" s="357" t="s">
        <v>6143</v>
      </c>
      <c r="N2443" s="351" t="s">
        <v>6144</v>
      </c>
      <c r="O2443" s="357" t="s">
        <v>276</v>
      </c>
      <c r="P2443" s="351" t="s">
        <v>239</v>
      </c>
      <c r="Q2443" s="351" t="s">
        <v>5800</v>
      </c>
      <c r="R2443" s="351" t="s">
        <v>276</v>
      </c>
      <c r="S2443" s="351" t="s">
        <v>276</v>
      </c>
      <c r="T2443" s="351" t="s">
        <v>276</v>
      </c>
      <c r="U2443" s="351">
        <v>3</v>
      </c>
      <c r="V2443" s="357" t="s">
        <v>259</v>
      </c>
      <c r="W2443" s="351" t="s">
        <v>6165</v>
      </c>
      <c r="X2443" s="351" t="s">
        <v>207</v>
      </c>
      <c r="Y2443" s="354" t="s">
        <v>276</v>
      </c>
      <c r="Z2443" s="355" t="s">
        <v>276</v>
      </c>
      <c r="AA2443" s="354" t="s">
        <v>276</v>
      </c>
      <c r="AB2443" s="354" t="s">
        <v>276</v>
      </c>
      <c r="AC2443" s="357" t="s">
        <v>276</v>
      </c>
      <c r="AD2443" s="357" t="s">
        <v>6146</v>
      </c>
      <c r="AE2443" s="357" t="s">
        <v>276</v>
      </c>
      <c r="AF2443" s="357" t="s">
        <v>6146</v>
      </c>
      <c r="AG2443" s="351" t="s">
        <v>6166</v>
      </c>
      <c r="AH2443" s="351" t="s">
        <v>1674</v>
      </c>
      <c r="AI2443" s="354" t="s">
        <v>276</v>
      </c>
      <c r="AJ2443" s="354" t="s">
        <v>276</v>
      </c>
      <c r="AK2443" s="355" t="s">
        <v>276</v>
      </c>
      <c r="AL2443" s="355" t="s">
        <v>276</v>
      </c>
      <c r="AM2443" s="355" t="s">
        <v>6148</v>
      </c>
      <c r="AN2443" s="368" t="s">
        <v>276</v>
      </c>
      <c r="AO2443" s="356" t="s">
        <v>98</v>
      </c>
      <c r="AP2443" s="356" t="s">
        <v>276</v>
      </c>
      <c r="AQ2443" s="356" t="s">
        <v>276</v>
      </c>
      <c r="AR2443" s="368" t="s">
        <v>276</v>
      </c>
      <c r="AS2443" s="356" t="s">
        <v>98</v>
      </c>
      <c r="AT2443" s="356" t="s">
        <v>276</v>
      </c>
      <c r="AU2443" s="356" t="s">
        <v>276</v>
      </c>
      <c r="AV2443" s="357" t="s">
        <v>269</v>
      </c>
      <c r="AW2443" s="357">
        <v>0.83</v>
      </c>
      <c r="AX2443" s="369" t="s">
        <v>98</v>
      </c>
      <c r="AY2443" s="357">
        <v>0.6</v>
      </c>
      <c r="AZ2443" s="368">
        <v>1.1000000000000001</v>
      </c>
      <c r="BA2443" s="357">
        <v>0.14000000000000001</v>
      </c>
      <c r="BB2443" s="357" t="s">
        <v>282</v>
      </c>
      <c r="BC2443" s="357" t="s">
        <v>98</v>
      </c>
      <c r="BD2443" s="357" t="s">
        <v>98</v>
      </c>
      <c r="BE2443" s="357" t="s">
        <v>98</v>
      </c>
      <c r="BF2443" s="351" t="s">
        <v>6167</v>
      </c>
      <c r="BG2443" s="364"/>
      <c r="BH2443" s="9" t="s">
        <v>100</v>
      </c>
      <c r="BI2443" s="9" t="s">
        <v>100</v>
      </c>
    </row>
    <row r="2444" spans="1:68" s="388" customFormat="1" ht="78" hidden="1" x14ac:dyDescent="0.35">
      <c r="A2444" s="357">
        <v>10250</v>
      </c>
      <c r="B2444" s="357" t="s">
        <v>5797</v>
      </c>
      <c r="C2444" s="357" t="s">
        <v>88</v>
      </c>
      <c r="D2444" s="351" t="s">
        <v>6168</v>
      </c>
      <c r="E2444" s="357" t="s">
        <v>43</v>
      </c>
      <c r="F2444" s="351" t="s">
        <v>4987</v>
      </c>
      <c r="G2444" s="357" t="s">
        <v>225</v>
      </c>
      <c r="H2444" s="357" t="s">
        <v>125</v>
      </c>
      <c r="I2444" s="357" t="s">
        <v>114</v>
      </c>
      <c r="J2444" s="351" t="s">
        <v>26</v>
      </c>
      <c r="K2444" s="357" t="s">
        <v>6151</v>
      </c>
      <c r="L2444" s="357" t="s">
        <v>6142</v>
      </c>
      <c r="M2444" s="357" t="s">
        <v>6143</v>
      </c>
      <c r="N2444" s="351" t="s">
        <v>6144</v>
      </c>
      <c r="O2444" s="357" t="s">
        <v>276</v>
      </c>
      <c r="P2444" s="351" t="s">
        <v>239</v>
      </c>
      <c r="Q2444" s="351" t="s">
        <v>5800</v>
      </c>
      <c r="R2444" s="351" t="s">
        <v>276</v>
      </c>
      <c r="S2444" s="351" t="s">
        <v>276</v>
      </c>
      <c r="T2444" s="351" t="s">
        <v>276</v>
      </c>
      <c r="U2444" s="351">
        <v>3</v>
      </c>
      <c r="V2444" s="357" t="s">
        <v>259</v>
      </c>
      <c r="W2444" s="351" t="s">
        <v>6169</v>
      </c>
      <c r="X2444" s="351" t="s">
        <v>207</v>
      </c>
      <c r="Y2444" s="354" t="s">
        <v>276</v>
      </c>
      <c r="Z2444" s="355" t="s">
        <v>276</v>
      </c>
      <c r="AA2444" s="354" t="s">
        <v>276</v>
      </c>
      <c r="AB2444" s="354" t="s">
        <v>276</v>
      </c>
      <c r="AC2444" s="357" t="s">
        <v>276</v>
      </c>
      <c r="AD2444" s="357" t="s">
        <v>6146</v>
      </c>
      <c r="AE2444" s="357" t="s">
        <v>276</v>
      </c>
      <c r="AF2444" s="357" t="s">
        <v>6146</v>
      </c>
      <c r="AG2444" s="351" t="s">
        <v>6170</v>
      </c>
      <c r="AH2444" s="351" t="s">
        <v>1674</v>
      </c>
      <c r="AI2444" s="354" t="s">
        <v>276</v>
      </c>
      <c r="AJ2444" s="354" t="s">
        <v>276</v>
      </c>
      <c r="AK2444" s="355" t="s">
        <v>276</v>
      </c>
      <c r="AL2444" s="355" t="s">
        <v>276</v>
      </c>
      <c r="AM2444" s="355" t="s">
        <v>6148</v>
      </c>
      <c r="AN2444" s="368" t="s">
        <v>276</v>
      </c>
      <c r="AO2444" s="356" t="s">
        <v>98</v>
      </c>
      <c r="AP2444" s="356" t="s">
        <v>276</v>
      </c>
      <c r="AQ2444" s="356" t="s">
        <v>276</v>
      </c>
      <c r="AR2444" s="368" t="s">
        <v>276</v>
      </c>
      <c r="AS2444" s="356" t="s">
        <v>98</v>
      </c>
      <c r="AT2444" s="356" t="s">
        <v>276</v>
      </c>
      <c r="AU2444" s="356" t="s">
        <v>276</v>
      </c>
      <c r="AV2444" s="357" t="s">
        <v>269</v>
      </c>
      <c r="AW2444" s="357">
        <v>0.56999999999999995</v>
      </c>
      <c r="AX2444" s="369" t="s">
        <v>98</v>
      </c>
      <c r="AY2444" s="357">
        <v>0.5</v>
      </c>
      <c r="AZ2444" s="368">
        <v>0.7</v>
      </c>
      <c r="BA2444" s="357" t="s">
        <v>431</v>
      </c>
      <c r="BB2444" s="357" t="s">
        <v>282</v>
      </c>
      <c r="BC2444" s="357" t="s">
        <v>98</v>
      </c>
      <c r="BD2444" s="357" t="s">
        <v>98</v>
      </c>
      <c r="BE2444" s="357" t="s">
        <v>98</v>
      </c>
      <c r="BF2444" s="351" t="s">
        <v>6171</v>
      </c>
      <c r="BG2444" s="364"/>
      <c r="BH2444" s="9" t="s">
        <v>100</v>
      </c>
      <c r="BI2444" s="9" t="s">
        <v>100</v>
      </c>
    </row>
    <row r="2445" spans="1:68" s="33" customFormat="1" ht="52" hidden="1" x14ac:dyDescent="0.35">
      <c r="A2445" s="357">
        <v>10256</v>
      </c>
      <c r="B2445" s="357" t="s">
        <v>6172</v>
      </c>
      <c r="C2445" s="357" t="s">
        <v>88</v>
      </c>
      <c r="D2445" s="351" t="s">
        <v>6173</v>
      </c>
      <c r="E2445" s="357" t="s">
        <v>43</v>
      </c>
      <c r="F2445" s="351" t="s">
        <v>4987</v>
      </c>
      <c r="G2445" s="357" t="s">
        <v>225</v>
      </c>
      <c r="H2445" s="357" t="s">
        <v>125</v>
      </c>
      <c r="I2445" s="357" t="s">
        <v>114</v>
      </c>
      <c r="J2445" s="351" t="s">
        <v>30</v>
      </c>
      <c r="K2445" s="351" t="s">
        <v>6174</v>
      </c>
      <c r="L2445" s="351" t="s">
        <v>6175</v>
      </c>
      <c r="M2445" s="351" t="s">
        <v>5838</v>
      </c>
      <c r="N2445" s="357" t="s">
        <v>6176</v>
      </c>
      <c r="O2445" s="351" t="s">
        <v>5399</v>
      </c>
      <c r="P2445" s="351" t="s">
        <v>239</v>
      </c>
      <c r="Q2445" s="351" t="s">
        <v>5201</v>
      </c>
      <c r="R2445" s="351" t="s">
        <v>773</v>
      </c>
      <c r="S2445" s="351" t="s">
        <v>5400</v>
      </c>
      <c r="T2445" s="351" t="s">
        <v>5400</v>
      </c>
      <c r="U2445" s="375" t="s">
        <v>5401</v>
      </c>
      <c r="V2445" s="357" t="s">
        <v>261</v>
      </c>
      <c r="W2445" s="357" t="s">
        <v>5162</v>
      </c>
      <c r="X2445" s="351" t="s">
        <v>207</v>
      </c>
      <c r="Y2445" s="354">
        <v>31866</v>
      </c>
      <c r="Z2445" s="355">
        <v>48278</v>
      </c>
      <c r="AA2445" s="354" t="s">
        <v>276</v>
      </c>
      <c r="AB2445" s="354" t="s">
        <v>276</v>
      </c>
      <c r="AC2445" s="357">
        <v>10</v>
      </c>
      <c r="AD2445" s="357" t="s">
        <v>6177</v>
      </c>
      <c r="AE2445" s="357">
        <v>12</v>
      </c>
      <c r="AF2445" s="357" t="s">
        <v>6177</v>
      </c>
      <c r="AG2445" s="351" t="s">
        <v>6178</v>
      </c>
      <c r="AH2445" s="357" t="s">
        <v>6179</v>
      </c>
      <c r="AI2445" s="354">
        <v>1774</v>
      </c>
      <c r="AJ2445" s="354">
        <v>1565</v>
      </c>
      <c r="AK2445" s="354">
        <v>31866</v>
      </c>
      <c r="AL2445" s="354">
        <v>48278</v>
      </c>
      <c r="AM2445" s="354" t="s">
        <v>292</v>
      </c>
      <c r="AN2445" s="368">
        <v>5.6</v>
      </c>
      <c r="AO2445" s="356">
        <f>(AI2445/AK2445)*100</f>
        <v>5.5670620724282935</v>
      </c>
      <c r="AP2445" s="356" t="s">
        <v>276</v>
      </c>
      <c r="AQ2445" s="356" t="s">
        <v>276</v>
      </c>
      <c r="AR2445" s="368">
        <v>3.2</v>
      </c>
      <c r="AS2445" s="356">
        <f>(AJ2445/AL2445)*100</f>
        <v>3.2416421558473836</v>
      </c>
      <c r="AT2445" s="356" t="s">
        <v>276</v>
      </c>
      <c r="AU2445" s="356" t="s">
        <v>276</v>
      </c>
      <c r="AV2445" s="357" t="s">
        <v>268</v>
      </c>
      <c r="AW2445" s="357" t="s">
        <v>276</v>
      </c>
      <c r="AX2445" s="369">
        <f>AO2445/AS2445</f>
        <v>1.7173586117104995</v>
      </c>
      <c r="AY2445" s="357" t="s">
        <v>276</v>
      </c>
      <c r="AZ2445" s="357" t="s">
        <v>276</v>
      </c>
      <c r="BA2445" s="357" t="s">
        <v>276</v>
      </c>
      <c r="BB2445" s="357" t="s">
        <v>282</v>
      </c>
      <c r="BC2445" s="357" t="s">
        <v>98</v>
      </c>
      <c r="BD2445" s="357" t="s">
        <v>98</v>
      </c>
      <c r="BE2445" s="357" t="s">
        <v>98</v>
      </c>
      <c r="BF2445" s="351" t="s">
        <v>1358</v>
      </c>
      <c r="BG2445" s="9"/>
      <c r="BH2445" s="9" t="s">
        <v>100</v>
      </c>
      <c r="BI2445" s="9" t="s">
        <v>100</v>
      </c>
    </row>
    <row r="2446" spans="1:68" s="33" customFormat="1" ht="78" hidden="1" x14ac:dyDescent="0.35">
      <c r="A2446" s="357">
        <v>10256</v>
      </c>
      <c r="B2446" s="357" t="s">
        <v>6172</v>
      </c>
      <c r="C2446" s="357" t="s">
        <v>88</v>
      </c>
      <c r="D2446" s="351" t="s">
        <v>6180</v>
      </c>
      <c r="E2446" s="357" t="s">
        <v>43</v>
      </c>
      <c r="F2446" s="351" t="s">
        <v>4987</v>
      </c>
      <c r="G2446" s="357" t="s">
        <v>225</v>
      </c>
      <c r="H2446" s="357" t="s">
        <v>125</v>
      </c>
      <c r="I2446" s="357" t="s">
        <v>114</v>
      </c>
      <c r="J2446" s="351" t="s">
        <v>30</v>
      </c>
      <c r="K2446" s="351" t="s">
        <v>6181</v>
      </c>
      <c r="L2446" s="351" t="s">
        <v>6175</v>
      </c>
      <c r="M2446" s="351" t="s">
        <v>5838</v>
      </c>
      <c r="N2446" s="357" t="s">
        <v>6176</v>
      </c>
      <c r="O2446" s="351" t="s">
        <v>5399</v>
      </c>
      <c r="P2446" s="351" t="s">
        <v>239</v>
      </c>
      <c r="Q2446" s="351" t="s">
        <v>5201</v>
      </c>
      <c r="R2446" s="351" t="s">
        <v>773</v>
      </c>
      <c r="S2446" s="351" t="s">
        <v>5400</v>
      </c>
      <c r="T2446" s="351" t="s">
        <v>5400</v>
      </c>
      <c r="U2446" s="375" t="s">
        <v>5401</v>
      </c>
      <c r="V2446" s="357" t="s">
        <v>261</v>
      </c>
      <c r="W2446" s="357" t="s">
        <v>5162</v>
      </c>
      <c r="X2446" s="351" t="s">
        <v>207</v>
      </c>
      <c r="Y2446" s="354">
        <v>31866</v>
      </c>
      <c r="Z2446" s="355">
        <v>48278</v>
      </c>
      <c r="AA2446" s="354" t="s">
        <v>276</v>
      </c>
      <c r="AB2446" s="354" t="s">
        <v>276</v>
      </c>
      <c r="AC2446" s="357">
        <v>10</v>
      </c>
      <c r="AD2446" s="357" t="s">
        <v>6177</v>
      </c>
      <c r="AE2446" s="357">
        <v>12</v>
      </c>
      <c r="AF2446" s="357" t="s">
        <v>6177</v>
      </c>
      <c r="AG2446" s="351" t="s">
        <v>6182</v>
      </c>
      <c r="AH2446" s="357" t="s">
        <v>6179</v>
      </c>
      <c r="AI2446" s="354">
        <v>719</v>
      </c>
      <c r="AJ2446" s="354">
        <v>1076</v>
      </c>
      <c r="AK2446" s="354">
        <v>31866</v>
      </c>
      <c r="AL2446" s="354">
        <v>48278</v>
      </c>
      <c r="AM2446" s="354" t="s">
        <v>292</v>
      </c>
      <c r="AN2446" s="368">
        <v>2.2999999999999998</v>
      </c>
      <c r="AO2446" s="356">
        <f t="shared" ref="AO2446:AO2447" si="648">(AI2446/AK2446)*100</f>
        <v>2.2563233540450636</v>
      </c>
      <c r="AP2446" s="356" t="s">
        <v>276</v>
      </c>
      <c r="AQ2446" s="356" t="s">
        <v>276</v>
      </c>
      <c r="AR2446" s="368">
        <v>2.2000000000000002</v>
      </c>
      <c r="AS2446" s="356">
        <f t="shared" ref="AS2446:AS2447" si="649">(AJ2446/AL2446)*100</f>
        <v>2.228758440697626</v>
      </c>
      <c r="AT2446" s="356" t="s">
        <v>276</v>
      </c>
      <c r="AU2446" s="356" t="s">
        <v>276</v>
      </c>
      <c r="AV2446" s="357" t="s">
        <v>268</v>
      </c>
      <c r="AW2446" s="357" t="s">
        <v>276</v>
      </c>
      <c r="AX2446" s="369">
        <f t="shared" ref="AX2446:AX2447" si="650">AO2446/AS2446</f>
        <v>1.012367833518472</v>
      </c>
      <c r="AY2446" s="357" t="s">
        <v>276</v>
      </c>
      <c r="AZ2446" s="357" t="s">
        <v>276</v>
      </c>
      <c r="BA2446" s="357" t="s">
        <v>276</v>
      </c>
      <c r="BB2446" s="357" t="s">
        <v>282</v>
      </c>
      <c r="BC2446" s="357" t="s">
        <v>98</v>
      </c>
      <c r="BD2446" s="357" t="s">
        <v>98</v>
      </c>
      <c r="BE2446" s="357" t="s">
        <v>98</v>
      </c>
      <c r="BF2446" s="351" t="s">
        <v>1358</v>
      </c>
      <c r="BG2446" s="9"/>
      <c r="BH2446" s="9" t="s">
        <v>100</v>
      </c>
      <c r="BI2446" s="9" t="s">
        <v>100</v>
      </c>
    </row>
    <row r="2447" spans="1:68" s="33" customFormat="1" ht="78" hidden="1" x14ac:dyDescent="0.35">
      <c r="A2447" s="357">
        <v>10256</v>
      </c>
      <c r="B2447" s="357" t="s">
        <v>6172</v>
      </c>
      <c r="C2447" s="357" t="s">
        <v>88</v>
      </c>
      <c r="D2447" s="351" t="s">
        <v>6183</v>
      </c>
      <c r="E2447" s="357" t="s">
        <v>43</v>
      </c>
      <c r="F2447" s="351" t="s">
        <v>4987</v>
      </c>
      <c r="G2447" s="357" t="s">
        <v>225</v>
      </c>
      <c r="H2447" s="357" t="s">
        <v>125</v>
      </c>
      <c r="I2447" s="357" t="s">
        <v>114</v>
      </c>
      <c r="J2447" s="351" t="s">
        <v>30</v>
      </c>
      <c r="K2447" s="351" t="s">
        <v>6184</v>
      </c>
      <c r="L2447" s="351" t="s">
        <v>6175</v>
      </c>
      <c r="M2447" s="351" t="s">
        <v>5838</v>
      </c>
      <c r="N2447" s="357" t="s">
        <v>6176</v>
      </c>
      <c r="O2447" s="351" t="s">
        <v>5399</v>
      </c>
      <c r="P2447" s="351" t="s">
        <v>239</v>
      </c>
      <c r="Q2447" s="351" t="s">
        <v>5201</v>
      </c>
      <c r="R2447" s="351" t="s">
        <v>773</v>
      </c>
      <c r="S2447" s="351" t="s">
        <v>5400</v>
      </c>
      <c r="T2447" s="351" t="s">
        <v>5400</v>
      </c>
      <c r="U2447" s="375" t="s">
        <v>5401</v>
      </c>
      <c r="V2447" s="357" t="s">
        <v>261</v>
      </c>
      <c r="W2447" s="357" t="s">
        <v>5162</v>
      </c>
      <c r="X2447" s="351" t="s">
        <v>207</v>
      </c>
      <c r="Y2447" s="354">
        <v>31866</v>
      </c>
      <c r="Z2447" s="355">
        <v>48278</v>
      </c>
      <c r="AA2447" s="354" t="s">
        <v>276</v>
      </c>
      <c r="AB2447" s="354" t="s">
        <v>276</v>
      </c>
      <c r="AC2447" s="357">
        <v>10</v>
      </c>
      <c r="AD2447" s="357" t="s">
        <v>6177</v>
      </c>
      <c r="AE2447" s="357">
        <v>12</v>
      </c>
      <c r="AF2447" s="357" t="s">
        <v>6177</v>
      </c>
      <c r="AG2447" s="351" t="s">
        <v>6185</v>
      </c>
      <c r="AH2447" s="357" t="s">
        <v>6179</v>
      </c>
      <c r="AI2447" s="354">
        <v>380</v>
      </c>
      <c r="AJ2447" s="354">
        <v>684</v>
      </c>
      <c r="AK2447" s="354">
        <v>31866</v>
      </c>
      <c r="AL2447" s="354">
        <v>48278</v>
      </c>
      <c r="AM2447" s="354" t="s">
        <v>292</v>
      </c>
      <c r="AN2447" s="368">
        <v>1.2</v>
      </c>
      <c r="AO2447" s="356">
        <f t="shared" si="648"/>
        <v>1.1924935668110213</v>
      </c>
      <c r="AP2447" s="356" t="s">
        <v>276</v>
      </c>
      <c r="AQ2447" s="356" t="s">
        <v>276</v>
      </c>
      <c r="AR2447" s="368">
        <v>1.4</v>
      </c>
      <c r="AS2447" s="356">
        <f t="shared" si="649"/>
        <v>1.4167943991051823</v>
      </c>
      <c r="AT2447" s="356" t="s">
        <v>276</v>
      </c>
      <c r="AU2447" s="356" t="s">
        <v>276</v>
      </c>
      <c r="AV2447" s="357" t="s">
        <v>268</v>
      </c>
      <c r="AW2447" s="357" t="s">
        <v>276</v>
      </c>
      <c r="AX2447" s="369">
        <f t="shared" si="650"/>
        <v>0.84168427512430544</v>
      </c>
      <c r="AY2447" s="357" t="s">
        <v>276</v>
      </c>
      <c r="AZ2447" s="357" t="s">
        <v>276</v>
      </c>
      <c r="BA2447" s="357" t="s">
        <v>276</v>
      </c>
      <c r="BB2447" s="357" t="s">
        <v>282</v>
      </c>
      <c r="BC2447" s="357" t="s">
        <v>98</v>
      </c>
      <c r="BD2447" s="357" t="s">
        <v>98</v>
      </c>
      <c r="BE2447" s="357" t="s">
        <v>98</v>
      </c>
      <c r="BF2447" s="351" t="s">
        <v>1358</v>
      </c>
      <c r="BG2447" s="8"/>
      <c r="BH2447" s="9" t="s">
        <v>100</v>
      </c>
      <c r="BI2447" s="9" t="s">
        <v>100</v>
      </c>
    </row>
    <row r="2448" spans="1:68" s="33" customFormat="1" ht="65" hidden="1" x14ac:dyDescent="0.35">
      <c r="A2448" s="357">
        <v>10256</v>
      </c>
      <c r="B2448" s="357" t="s">
        <v>6172</v>
      </c>
      <c r="C2448" s="357" t="s">
        <v>88</v>
      </c>
      <c r="D2448" s="351" t="s">
        <v>6186</v>
      </c>
      <c r="E2448" s="357" t="s">
        <v>43</v>
      </c>
      <c r="F2448" s="351" t="s">
        <v>4987</v>
      </c>
      <c r="G2448" s="357" t="s">
        <v>225</v>
      </c>
      <c r="H2448" s="357" t="s">
        <v>125</v>
      </c>
      <c r="I2448" s="357" t="s">
        <v>114</v>
      </c>
      <c r="J2448" s="351" t="s">
        <v>30</v>
      </c>
      <c r="K2448" s="351" t="s">
        <v>6174</v>
      </c>
      <c r="L2448" s="351" t="s">
        <v>6175</v>
      </c>
      <c r="M2448" s="351" t="s">
        <v>5838</v>
      </c>
      <c r="N2448" s="357" t="s">
        <v>6176</v>
      </c>
      <c r="O2448" s="351" t="s">
        <v>5399</v>
      </c>
      <c r="P2448" s="351" t="s">
        <v>239</v>
      </c>
      <c r="Q2448" s="351" t="s">
        <v>5201</v>
      </c>
      <c r="R2448" s="351" t="s">
        <v>773</v>
      </c>
      <c r="S2448" s="351" t="s">
        <v>5400</v>
      </c>
      <c r="T2448" s="351" t="s">
        <v>5400</v>
      </c>
      <c r="U2448" s="375" t="s">
        <v>5401</v>
      </c>
      <c r="V2448" s="357" t="s">
        <v>261</v>
      </c>
      <c r="W2448" s="357" t="s">
        <v>5162</v>
      </c>
      <c r="X2448" s="351" t="s">
        <v>207</v>
      </c>
      <c r="Y2448" s="354">
        <v>31866</v>
      </c>
      <c r="Z2448" s="355">
        <v>48278</v>
      </c>
      <c r="AA2448" s="354" t="s">
        <v>276</v>
      </c>
      <c r="AB2448" s="354" t="s">
        <v>276</v>
      </c>
      <c r="AC2448" s="357">
        <v>10</v>
      </c>
      <c r="AD2448" s="357" t="s">
        <v>6177</v>
      </c>
      <c r="AE2448" s="357">
        <v>12</v>
      </c>
      <c r="AF2448" s="357" t="s">
        <v>6177</v>
      </c>
      <c r="AG2448" s="351" t="s">
        <v>6178</v>
      </c>
      <c r="AH2448" s="357" t="s">
        <v>1674</v>
      </c>
      <c r="AI2448" s="354">
        <v>1774</v>
      </c>
      <c r="AJ2448" s="354">
        <v>1565</v>
      </c>
      <c r="AK2448" s="354" t="s">
        <v>276</v>
      </c>
      <c r="AL2448" s="354" t="s">
        <v>276</v>
      </c>
      <c r="AM2448" s="354" t="s">
        <v>6148</v>
      </c>
      <c r="AN2448" s="357">
        <v>5.4</v>
      </c>
      <c r="AO2448" s="357" t="s">
        <v>98</v>
      </c>
      <c r="AP2448" s="356" t="s">
        <v>276</v>
      </c>
      <c r="AQ2448" s="356" t="s">
        <v>276</v>
      </c>
      <c r="AR2448" s="357">
        <v>3.1</v>
      </c>
      <c r="AS2448" s="357" t="s">
        <v>98</v>
      </c>
      <c r="AT2448" s="356" t="s">
        <v>276</v>
      </c>
      <c r="AU2448" s="356" t="s">
        <v>276</v>
      </c>
      <c r="AV2448" s="357" t="s">
        <v>270</v>
      </c>
      <c r="AW2448" s="357">
        <v>1.75</v>
      </c>
      <c r="AX2448" s="357" t="s">
        <v>98</v>
      </c>
      <c r="AY2448" s="357">
        <v>1.64</v>
      </c>
      <c r="AZ2448" s="357">
        <v>1.87</v>
      </c>
      <c r="BA2448" s="357" t="s">
        <v>431</v>
      </c>
      <c r="BB2448" s="357" t="s">
        <v>282</v>
      </c>
      <c r="BC2448" s="357" t="s">
        <v>98</v>
      </c>
      <c r="BD2448" s="357" t="s">
        <v>98</v>
      </c>
      <c r="BE2448" s="357" t="s">
        <v>98</v>
      </c>
      <c r="BF2448" s="351" t="s">
        <v>6187</v>
      </c>
      <c r="BG2448" s="8"/>
      <c r="BH2448" s="9" t="s">
        <v>100</v>
      </c>
      <c r="BI2448" s="9" t="s">
        <v>100</v>
      </c>
    </row>
    <row r="2449" spans="1:61" s="33" customFormat="1" ht="78" hidden="1" x14ac:dyDescent="0.35">
      <c r="A2449" s="357">
        <v>10256</v>
      </c>
      <c r="B2449" s="357" t="s">
        <v>6172</v>
      </c>
      <c r="C2449" s="357" t="s">
        <v>88</v>
      </c>
      <c r="D2449" s="351" t="s">
        <v>6188</v>
      </c>
      <c r="E2449" s="357" t="s">
        <v>43</v>
      </c>
      <c r="F2449" s="351" t="s">
        <v>4987</v>
      </c>
      <c r="G2449" s="357" t="s">
        <v>225</v>
      </c>
      <c r="H2449" s="357" t="s">
        <v>125</v>
      </c>
      <c r="I2449" s="357" t="s">
        <v>114</v>
      </c>
      <c r="J2449" s="351" t="s">
        <v>30</v>
      </c>
      <c r="K2449" s="351" t="s">
        <v>6181</v>
      </c>
      <c r="L2449" s="351" t="s">
        <v>6175</v>
      </c>
      <c r="M2449" s="351" t="s">
        <v>5838</v>
      </c>
      <c r="N2449" s="357" t="s">
        <v>6176</v>
      </c>
      <c r="O2449" s="351" t="s">
        <v>5399</v>
      </c>
      <c r="P2449" s="351" t="s">
        <v>239</v>
      </c>
      <c r="Q2449" s="351" t="s">
        <v>5201</v>
      </c>
      <c r="R2449" s="351" t="s">
        <v>773</v>
      </c>
      <c r="S2449" s="351" t="s">
        <v>5400</v>
      </c>
      <c r="T2449" s="351" t="s">
        <v>5400</v>
      </c>
      <c r="U2449" s="375" t="s">
        <v>5401</v>
      </c>
      <c r="V2449" s="357" t="s">
        <v>261</v>
      </c>
      <c r="W2449" s="357" t="s">
        <v>5162</v>
      </c>
      <c r="X2449" s="351" t="s">
        <v>207</v>
      </c>
      <c r="Y2449" s="354">
        <v>31866</v>
      </c>
      <c r="Z2449" s="355">
        <v>48278</v>
      </c>
      <c r="AA2449" s="354" t="s">
        <v>276</v>
      </c>
      <c r="AB2449" s="354" t="s">
        <v>276</v>
      </c>
      <c r="AC2449" s="357">
        <v>10</v>
      </c>
      <c r="AD2449" s="357" t="s">
        <v>6177</v>
      </c>
      <c r="AE2449" s="357">
        <v>12</v>
      </c>
      <c r="AF2449" s="357" t="s">
        <v>6177</v>
      </c>
      <c r="AG2449" s="351" t="s">
        <v>6182</v>
      </c>
      <c r="AH2449" s="357" t="s">
        <v>1674</v>
      </c>
      <c r="AI2449" s="354">
        <v>719</v>
      </c>
      <c r="AJ2449" s="354">
        <v>1076</v>
      </c>
      <c r="AK2449" s="354" t="s">
        <v>276</v>
      </c>
      <c r="AL2449" s="354" t="s">
        <v>276</v>
      </c>
      <c r="AM2449" s="354" t="s">
        <v>6148</v>
      </c>
      <c r="AN2449" s="357">
        <v>2.2000000000000002</v>
      </c>
      <c r="AO2449" s="357" t="s">
        <v>98</v>
      </c>
      <c r="AP2449" s="356" t="s">
        <v>276</v>
      </c>
      <c r="AQ2449" s="356" t="s">
        <v>276</v>
      </c>
      <c r="AR2449" s="357">
        <v>2.1</v>
      </c>
      <c r="AS2449" s="357" t="s">
        <v>98</v>
      </c>
      <c r="AT2449" s="356" t="s">
        <v>276</v>
      </c>
      <c r="AU2449" s="356" t="s">
        <v>276</v>
      </c>
      <c r="AV2449" s="357" t="s">
        <v>270</v>
      </c>
      <c r="AW2449" s="357">
        <v>1.03</v>
      </c>
      <c r="AX2449" s="357" t="s">
        <v>98</v>
      </c>
      <c r="AY2449" s="357">
        <v>0.94</v>
      </c>
      <c r="AZ2449" s="357">
        <v>1.1399999999999999</v>
      </c>
      <c r="BA2449" s="357">
        <v>0.48</v>
      </c>
      <c r="BB2449" s="357" t="s">
        <v>282</v>
      </c>
      <c r="BC2449" s="357" t="s">
        <v>98</v>
      </c>
      <c r="BD2449" s="357" t="s">
        <v>98</v>
      </c>
      <c r="BE2449" s="357" t="s">
        <v>98</v>
      </c>
      <c r="BF2449" s="351" t="s">
        <v>6189</v>
      </c>
      <c r="BG2449" s="8"/>
      <c r="BH2449" s="9" t="s">
        <v>100</v>
      </c>
      <c r="BI2449" s="9" t="s">
        <v>100</v>
      </c>
    </row>
    <row r="2450" spans="1:61" s="33" customFormat="1" ht="78" hidden="1" x14ac:dyDescent="0.35">
      <c r="A2450" s="357">
        <v>10256</v>
      </c>
      <c r="B2450" s="357" t="s">
        <v>6172</v>
      </c>
      <c r="C2450" s="357" t="s">
        <v>88</v>
      </c>
      <c r="D2450" s="351" t="s">
        <v>6190</v>
      </c>
      <c r="E2450" s="357" t="s">
        <v>43</v>
      </c>
      <c r="F2450" s="351" t="s">
        <v>4987</v>
      </c>
      <c r="G2450" s="357" t="s">
        <v>225</v>
      </c>
      <c r="H2450" s="357" t="s">
        <v>125</v>
      </c>
      <c r="I2450" s="357" t="s">
        <v>114</v>
      </c>
      <c r="J2450" s="351" t="s">
        <v>30</v>
      </c>
      <c r="K2450" s="351" t="s">
        <v>6184</v>
      </c>
      <c r="L2450" s="351" t="s">
        <v>6175</v>
      </c>
      <c r="M2450" s="351" t="s">
        <v>5838</v>
      </c>
      <c r="N2450" s="357" t="s">
        <v>6176</v>
      </c>
      <c r="O2450" s="351" t="s">
        <v>5399</v>
      </c>
      <c r="P2450" s="351" t="s">
        <v>239</v>
      </c>
      <c r="Q2450" s="351" t="s">
        <v>5201</v>
      </c>
      <c r="R2450" s="351" t="s">
        <v>773</v>
      </c>
      <c r="S2450" s="351" t="s">
        <v>5400</v>
      </c>
      <c r="T2450" s="351" t="s">
        <v>5400</v>
      </c>
      <c r="U2450" s="375" t="s">
        <v>5401</v>
      </c>
      <c r="V2450" s="357" t="s">
        <v>261</v>
      </c>
      <c r="W2450" s="357" t="s">
        <v>5162</v>
      </c>
      <c r="X2450" s="351" t="s">
        <v>207</v>
      </c>
      <c r="Y2450" s="354">
        <v>31866</v>
      </c>
      <c r="Z2450" s="355">
        <v>48278</v>
      </c>
      <c r="AA2450" s="354" t="s">
        <v>276</v>
      </c>
      <c r="AB2450" s="354" t="s">
        <v>276</v>
      </c>
      <c r="AC2450" s="357">
        <v>10</v>
      </c>
      <c r="AD2450" s="357" t="s">
        <v>6177</v>
      </c>
      <c r="AE2450" s="357">
        <v>12</v>
      </c>
      <c r="AF2450" s="357" t="s">
        <v>6177</v>
      </c>
      <c r="AG2450" s="351" t="s">
        <v>6185</v>
      </c>
      <c r="AH2450" s="357" t="s">
        <v>1674</v>
      </c>
      <c r="AI2450" s="354">
        <v>380</v>
      </c>
      <c r="AJ2450" s="354">
        <v>684</v>
      </c>
      <c r="AK2450" s="354" t="s">
        <v>276</v>
      </c>
      <c r="AL2450" s="354" t="s">
        <v>276</v>
      </c>
      <c r="AM2450" s="354" t="s">
        <v>6148</v>
      </c>
      <c r="AN2450" s="357">
        <v>1.2</v>
      </c>
      <c r="AO2450" s="357" t="s">
        <v>98</v>
      </c>
      <c r="AP2450" s="356" t="s">
        <v>276</v>
      </c>
      <c r="AQ2450" s="356" t="s">
        <v>276</v>
      </c>
      <c r="AR2450" s="357">
        <v>1.4</v>
      </c>
      <c r="AS2450" s="357" t="s">
        <v>98</v>
      </c>
      <c r="AT2450" s="356" t="s">
        <v>276</v>
      </c>
      <c r="AU2450" s="356" t="s">
        <v>276</v>
      </c>
      <c r="AV2450" s="357" t="s">
        <v>270</v>
      </c>
      <c r="AW2450" s="357">
        <v>0.86</v>
      </c>
      <c r="AX2450" s="357" t="s">
        <v>98</v>
      </c>
      <c r="AY2450" s="357">
        <v>0.76</v>
      </c>
      <c r="AZ2450" s="357">
        <v>0.97</v>
      </c>
      <c r="BA2450" s="357">
        <v>0.02</v>
      </c>
      <c r="BB2450" s="357" t="s">
        <v>282</v>
      </c>
      <c r="BC2450" s="357" t="s">
        <v>98</v>
      </c>
      <c r="BD2450" s="357" t="s">
        <v>98</v>
      </c>
      <c r="BE2450" s="357" t="s">
        <v>98</v>
      </c>
      <c r="BF2450" s="351" t="s">
        <v>6191</v>
      </c>
      <c r="BG2450" s="8"/>
      <c r="BH2450" s="9" t="s">
        <v>100</v>
      </c>
      <c r="BI2450" s="9" t="s">
        <v>100</v>
      </c>
    </row>
    <row r="2451" spans="1:61" s="388" customFormat="1" ht="65" hidden="1" x14ac:dyDescent="0.35">
      <c r="A2451" s="357">
        <v>10256</v>
      </c>
      <c r="B2451" s="357" t="s">
        <v>6172</v>
      </c>
      <c r="C2451" s="357" t="s">
        <v>88</v>
      </c>
      <c r="D2451" s="351" t="s">
        <v>6192</v>
      </c>
      <c r="E2451" s="357" t="s">
        <v>43</v>
      </c>
      <c r="F2451" s="351" t="s">
        <v>4987</v>
      </c>
      <c r="G2451" s="357" t="s">
        <v>225</v>
      </c>
      <c r="H2451" s="357" t="s">
        <v>125</v>
      </c>
      <c r="I2451" s="357" t="s">
        <v>114</v>
      </c>
      <c r="J2451" s="351" t="s">
        <v>103</v>
      </c>
      <c r="K2451" s="351" t="s">
        <v>6175</v>
      </c>
      <c r="L2451" s="351" t="s">
        <v>6175</v>
      </c>
      <c r="M2451" s="351" t="s">
        <v>5838</v>
      </c>
      <c r="N2451" s="357" t="s">
        <v>6176</v>
      </c>
      <c r="O2451" s="351" t="s">
        <v>5399</v>
      </c>
      <c r="P2451" s="351" t="s">
        <v>239</v>
      </c>
      <c r="Q2451" s="351" t="s">
        <v>5201</v>
      </c>
      <c r="R2451" s="351" t="s">
        <v>773</v>
      </c>
      <c r="S2451" s="351" t="s">
        <v>5400</v>
      </c>
      <c r="T2451" s="351" t="s">
        <v>5400</v>
      </c>
      <c r="U2451" s="375" t="s">
        <v>5401</v>
      </c>
      <c r="V2451" s="357" t="s">
        <v>261</v>
      </c>
      <c r="W2451" s="357" t="s">
        <v>5162</v>
      </c>
      <c r="X2451" s="351" t="s">
        <v>207</v>
      </c>
      <c r="Y2451" s="354">
        <v>31866</v>
      </c>
      <c r="Z2451" s="355">
        <v>48278</v>
      </c>
      <c r="AA2451" s="354" t="s">
        <v>276</v>
      </c>
      <c r="AB2451" s="354" t="s">
        <v>276</v>
      </c>
      <c r="AC2451" s="357">
        <v>10</v>
      </c>
      <c r="AD2451" s="357" t="s">
        <v>6177</v>
      </c>
      <c r="AE2451" s="357">
        <v>12</v>
      </c>
      <c r="AF2451" s="357" t="s">
        <v>6177</v>
      </c>
      <c r="AG2451" s="351" t="s">
        <v>6193</v>
      </c>
      <c r="AH2451" s="357" t="s">
        <v>1674</v>
      </c>
      <c r="AI2451" s="354" t="s">
        <v>276</v>
      </c>
      <c r="AJ2451" s="354" t="s">
        <v>276</v>
      </c>
      <c r="AK2451" s="354" t="s">
        <v>276</v>
      </c>
      <c r="AL2451" s="354" t="s">
        <v>276</v>
      </c>
      <c r="AM2451" s="354" t="s">
        <v>6148</v>
      </c>
      <c r="AN2451" s="357">
        <v>1.2</v>
      </c>
      <c r="AO2451" s="357" t="s">
        <v>98</v>
      </c>
      <c r="AP2451" s="356" t="s">
        <v>276</v>
      </c>
      <c r="AQ2451" s="356" t="s">
        <v>276</v>
      </c>
      <c r="AR2451" s="357">
        <v>1.6</v>
      </c>
      <c r="AS2451" s="357" t="s">
        <v>98</v>
      </c>
      <c r="AT2451" s="356" t="s">
        <v>276</v>
      </c>
      <c r="AU2451" s="356" t="s">
        <v>276</v>
      </c>
      <c r="AV2451" s="357" t="s">
        <v>270</v>
      </c>
      <c r="AW2451" s="357">
        <v>0.73</v>
      </c>
      <c r="AX2451" s="357" t="s">
        <v>98</v>
      </c>
      <c r="AY2451" s="357">
        <v>0.64</v>
      </c>
      <c r="AZ2451" s="357">
        <v>0.82</v>
      </c>
      <c r="BA2451" s="357" t="s">
        <v>431</v>
      </c>
      <c r="BB2451" s="357" t="s">
        <v>282</v>
      </c>
      <c r="BC2451" s="357" t="s">
        <v>98</v>
      </c>
      <c r="BD2451" s="357" t="s">
        <v>98</v>
      </c>
      <c r="BE2451" s="357" t="s">
        <v>98</v>
      </c>
      <c r="BF2451" s="351" t="s">
        <v>6194</v>
      </c>
      <c r="BG2451" s="384"/>
      <c r="BH2451" s="9" t="s">
        <v>100</v>
      </c>
      <c r="BI2451" s="9" t="s">
        <v>100</v>
      </c>
    </row>
    <row r="2452" spans="1:61" s="6" customFormat="1" ht="65" hidden="1" x14ac:dyDescent="0.35">
      <c r="A2452" s="357">
        <v>2814</v>
      </c>
      <c r="B2452" s="357" t="s">
        <v>5805</v>
      </c>
      <c r="C2452" s="357" t="s">
        <v>88</v>
      </c>
      <c r="D2452" s="351" t="s">
        <v>6195</v>
      </c>
      <c r="E2452" s="357" t="s">
        <v>43</v>
      </c>
      <c r="F2452" s="351" t="s">
        <v>4987</v>
      </c>
      <c r="G2452" s="357" t="s">
        <v>225</v>
      </c>
      <c r="H2452" s="357" t="s">
        <v>125</v>
      </c>
      <c r="I2452" s="357" t="s">
        <v>114</v>
      </c>
      <c r="J2452" s="351" t="s">
        <v>26</v>
      </c>
      <c r="K2452" s="351" t="s">
        <v>6032</v>
      </c>
      <c r="L2452" s="351" t="s">
        <v>6196</v>
      </c>
      <c r="M2452" s="351" t="s">
        <v>5838</v>
      </c>
      <c r="N2452" s="360" t="s">
        <v>6197</v>
      </c>
      <c r="O2452" s="351" t="s">
        <v>276</v>
      </c>
      <c r="P2452" s="351" t="s">
        <v>239</v>
      </c>
      <c r="Q2452" s="383" t="s">
        <v>5808</v>
      </c>
      <c r="R2452" s="351" t="s">
        <v>746</v>
      </c>
      <c r="S2452" s="351" t="s">
        <v>276</v>
      </c>
      <c r="T2452" s="351" t="s">
        <v>276</v>
      </c>
      <c r="U2452" s="351">
        <v>4</v>
      </c>
      <c r="V2452" s="357" t="s">
        <v>261</v>
      </c>
      <c r="W2452" s="357" t="s">
        <v>5159</v>
      </c>
      <c r="X2452" s="351" t="s">
        <v>207</v>
      </c>
      <c r="Y2452" s="354">
        <v>9972</v>
      </c>
      <c r="Z2452" s="354">
        <v>9973</v>
      </c>
      <c r="AA2452" s="351" t="s">
        <v>276</v>
      </c>
      <c r="AB2452" s="351" t="s">
        <v>276</v>
      </c>
      <c r="AC2452" s="351">
        <v>7</v>
      </c>
      <c r="AD2452" s="357" t="s">
        <v>6198</v>
      </c>
      <c r="AE2452" s="351">
        <v>7</v>
      </c>
      <c r="AF2452" s="357" t="s">
        <v>6198</v>
      </c>
      <c r="AG2452" s="351" t="s">
        <v>6199</v>
      </c>
      <c r="AH2452" s="351" t="s">
        <v>6200</v>
      </c>
      <c r="AI2452" s="357">
        <v>11</v>
      </c>
      <c r="AJ2452" s="357">
        <v>11</v>
      </c>
      <c r="AK2452" s="354">
        <v>9972</v>
      </c>
      <c r="AL2452" s="354">
        <v>9973</v>
      </c>
      <c r="AM2452" s="357" t="s">
        <v>292</v>
      </c>
      <c r="AN2452" s="357" t="s">
        <v>276</v>
      </c>
      <c r="AO2452" s="369">
        <f>AI2452*100/AK2452</f>
        <v>0.11030886482150019</v>
      </c>
      <c r="AP2452" s="357" t="s">
        <v>276</v>
      </c>
      <c r="AQ2452" s="357" t="s">
        <v>276</v>
      </c>
      <c r="AR2452" s="357" t="s">
        <v>276</v>
      </c>
      <c r="AS2452" s="369">
        <f>AJ2452*100/AL2452</f>
        <v>0.11029780407099168</v>
      </c>
      <c r="AT2452" s="357" t="s">
        <v>276</v>
      </c>
      <c r="AU2452" s="357" t="s">
        <v>276</v>
      </c>
      <c r="AV2452" s="357" t="s">
        <v>268</v>
      </c>
      <c r="AW2452" s="357" t="s">
        <v>276</v>
      </c>
      <c r="AX2452" s="369">
        <f t="shared" ref="AX2452:AX2456" si="651">AO2452/AS2452</f>
        <v>1.0001002807862012</v>
      </c>
      <c r="AY2452" s="357" t="s">
        <v>276</v>
      </c>
      <c r="AZ2452" s="357" t="s">
        <v>276</v>
      </c>
      <c r="BA2452" s="357" t="s">
        <v>276</v>
      </c>
      <c r="BB2452" s="357" t="s">
        <v>282</v>
      </c>
      <c r="BC2452" s="357" t="s">
        <v>98</v>
      </c>
      <c r="BD2452" s="357" t="s">
        <v>98</v>
      </c>
      <c r="BE2452" s="357" t="s">
        <v>98</v>
      </c>
      <c r="BF2452" s="357" t="s">
        <v>426</v>
      </c>
      <c r="BG2452" s="2"/>
      <c r="BH2452" s="9" t="s">
        <v>100</v>
      </c>
      <c r="BI2452" s="9" t="s">
        <v>100</v>
      </c>
    </row>
    <row r="2453" spans="1:61" ht="65" hidden="1" x14ac:dyDescent="0.35">
      <c r="A2453" s="357">
        <v>2814</v>
      </c>
      <c r="B2453" s="357" t="s">
        <v>5805</v>
      </c>
      <c r="C2453" s="357" t="s">
        <v>88</v>
      </c>
      <c r="D2453" s="351" t="s">
        <v>6201</v>
      </c>
      <c r="E2453" s="357" t="s">
        <v>43</v>
      </c>
      <c r="F2453" s="351" t="s">
        <v>4987</v>
      </c>
      <c r="G2453" s="357" t="s">
        <v>225</v>
      </c>
      <c r="H2453" s="357" t="s">
        <v>125</v>
      </c>
      <c r="I2453" s="357" t="s">
        <v>114</v>
      </c>
      <c r="J2453" s="351" t="s">
        <v>26</v>
      </c>
      <c r="K2453" s="392" t="s">
        <v>6014</v>
      </c>
      <c r="L2453" s="351" t="s">
        <v>6196</v>
      </c>
      <c r="M2453" s="351" t="s">
        <v>5838</v>
      </c>
      <c r="N2453" s="360" t="s">
        <v>6197</v>
      </c>
      <c r="O2453" s="351" t="s">
        <v>276</v>
      </c>
      <c r="P2453" s="351" t="s">
        <v>239</v>
      </c>
      <c r="Q2453" s="383" t="s">
        <v>5808</v>
      </c>
      <c r="R2453" s="351" t="s">
        <v>746</v>
      </c>
      <c r="S2453" s="351" t="s">
        <v>276</v>
      </c>
      <c r="T2453" s="351" t="s">
        <v>276</v>
      </c>
      <c r="U2453" s="351">
        <v>4</v>
      </c>
      <c r="V2453" s="357" t="s">
        <v>261</v>
      </c>
      <c r="W2453" s="357" t="s">
        <v>5159</v>
      </c>
      <c r="X2453" s="351" t="s">
        <v>207</v>
      </c>
      <c r="Y2453" s="354">
        <v>9972</v>
      </c>
      <c r="Z2453" s="354">
        <v>9973</v>
      </c>
      <c r="AA2453" s="351" t="s">
        <v>276</v>
      </c>
      <c r="AB2453" s="351" t="s">
        <v>276</v>
      </c>
      <c r="AC2453" s="351">
        <v>7</v>
      </c>
      <c r="AD2453" s="357" t="s">
        <v>6198</v>
      </c>
      <c r="AE2453" s="351">
        <v>7</v>
      </c>
      <c r="AF2453" s="357" t="s">
        <v>6198</v>
      </c>
      <c r="AG2453" s="351" t="s">
        <v>6202</v>
      </c>
      <c r="AH2453" s="351" t="s">
        <v>6200</v>
      </c>
      <c r="AI2453" s="392">
        <v>433</v>
      </c>
      <c r="AJ2453" s="392">
        <v>90</v>
      </c>
      <c r="AK2453" s="354">
        <v>9972</v>
      </c>
      <c r="AL2453" s="354">
        <v>9973</v>
      </c>
      <c r="AM2453" s="357" t="s">
        <v>292</v>
      </c>
      <c r="AN2453" s="357" t="s">
        <v>276</v>
      </c>
      <c r="AO2453" s="369">
        <f t="shared" ref="AO2453:AO2459" si="652">AI2453*100/AK2453</f>
        <v>4.3421580425190536</v>
      </c>
      <c r="AP2453" s="357" t="s">
        <v>276</v>
      </c>
      <c r="AQ2453" s="357" t="s">
        <v>276</v>
      </c>
      <c r="AR2453" s="357" t="s">
        <v>276</v>
      </c>
      <c r="AS2453" s="369">
        <f t="shared" ref="AS2453:AS2468" si="653">AJ2453*100/AL2453</f>
        <v>0.90243657876265915</v>
      </c>
      <c r="AT2453" s="357" t="s">
        <v>276</v>
      </c>
      <c r="AU2453" s="357" t="s">
        <v>276</v>
      </c>
      <c r="AV2453" s="357" t="s">
        <v>268</v>
      </c>
      <c r="AW2453" s="357" t="s">
        <v>276</v>
      </c>
      <c r="AX2453" s="369">
        <f t="shared" si="651"/>
        <v>4.8115935731158359</v>
      </c>
      <c r="AY2453" s="357" t="s">
        <v>276</v>
      </c>
      <c r="AZ2453" s="357" t="s">
        <v>276</v>
      </c>
      <c r="BA2453" s="357" t="s">
        <v>276</v>
      </c>
      <c r="BB2453" s="357" t="s">
        <v>282</v>
      </c>
      <c r="BC2453" s="357" t="s">
        <v>98</v>
      </c>
      <c r="BD2453" s="357" t="s">
        <v>98</v>
      </c>
      <c r="BE2453" s="357" t="s">
        <v>98</v>
      </c>
      <c r="BF2453" s="357" t="s">
        <v>426</v>
      </c>
      <c r="BH2453" s="9" t="s">
        <v>100</v>
      </c>
      <c r="BI2453" s="9" t="s">
        <v>100</v>
      </c>
    </row>
    <row r="2454" spans="1:61" ht="65" hidden="1" x14ac:dyDescent="0.35">
      <c r="A2454" s="357">
        <v>2814</v>
      </c>
      <c r="B2454" s="357" t="s">
        <v>5805</v>
      </c>
      <c r="C2454" s="357" t="s">
        <v>88</v>
      </c>
      <c r="D2454" s="351" t="s">
        <v>6203</v>
      </c>
      <c r="E2454" s="357" t="s">
        <v>43</v>
      </c>
      <c r="F2454" s="351" t="s">
        <v>4987</v>
      </c>
      <c r="G2454" s="357" t="s">
        <v>225</v>
      </c>
      <c r="H2454" s="357" t="s">
        <v>125</v>
      </c>
      <c r="I2454" s="357" t="s">
        <v>114</v>
      </c>
      <c r="J2454" s="351" t="s">
        <v>26</v>
      </c>
      <c r="K2454" s="392" t="s">
        <v>2739</v>
      </c>
      <c r="L2454" s="351" t="s">
        <v>6196</v>
      </c>
      <c r="M2454" s="351" t="s">
        <v>5838</v>
      </c>
      <c r="N2454" s="360" t="s">
        <v>6197</v>
      </c>
      <c r="O2454" s="351" t="s">
        <v>276</v>
      </c>
      <c r="P2454" s="351" t="s">
        <v>239</v>
      </c>
      <c r="Q2454" s="383" t="s">
        <v>5808</v>
      </c>
      <c r="R2454" s="351" t="s">
        <v>746</v>
      </c>
      <c r="S2454" s="351" t="s">
        <v>276</v>
      </c>
      <c r="T2454" s="351" t="s">
        <v>276</v>
      </c>
      <c r="U2454" s="351">
        <v>4</v>
      </c>
      <c r="V2454" s="357" t="s">
        <v>261</v>
      </c>
      <c r="W2454" s="357" t="s">
        <v>5159</v>
      </c>
      <c r="X2454" s="351" t="s">
        <v>207</v>
      </c>
      <c r="Y2454" s="354">
        <v>9972</v>
      </c>
      <c r="Z2454" s="354">
        <v>9973</v>
      </c>
      <c r="AA2454" s="351" t="s">
        <v>276</v>
      </c>
      <c r="AB2454" s="351" t="s">
        <v>276</v>
      </c>
      <c r="AC2454" s="351">
        <v>7</v>
      </c>
      <c r="AD2454" s="357" t="s">
        <v>6198</v>
      </c>
      <c r="AE2454" s="351">
        <v>7</v>
      </c>
      <c r="AF2454" s="357" t="s">
        <v>6198</v>
      </c>
      <c r="AG2454" s="351" t="s">
        <v>6204</v>
      </c>
      <c r="AH2454" s="351" t="s">
        <v>6200</v>
      </c>
      <c r="AI2454" s="392">
        <v>148</v>
      </c>
      <c r="AJ2454" s="392">
        <v>80</v>
      </c>
      <c r="AK2454" s="354">
        <v>9972</v>
      </c>
      <c r="AL2454" s="354">
        <v>9973</v>
      </c>
      <c r="AM2454" s="357" t="s">
        <v>292</v>
      </c>
      <c r="AN2454" s="357" t="s">
        <v>276</v>
      </c>
      <c r="AO2454" s="369">
        <f t="shared" si="652"/>
        <v>1.4841556357801846</v>
      </c>
      <c r="AP2454" s="357" t="s">
        <v>276</v>
      </c>
      <c r="AQ2454" s="357" t="s">
        <v>276</v>
      </c>
      <c r="AR2454" s="357" t="s">
        <v>276</v>
      </c>
      <c r="AS2454" s="369">
        <f t="shared" si="653"/>
        <v>0.80216584778903033</v>
      </c>
      <c r="AT2454" s="357" t="s">
        <v>276</v>
      </c>
      <c r="AU2454" s="357" t="s">
        <v>276</v>
      </c>
      <c r="AV2454" s="357" t="s">
        <v>268</v>
      </c>
      <c r="AW2454" s="357" t="s">
        <v>276</v>
      </c>
      <c r="AX2454" s="369">
        <f t="shared" si="651"/>
        <v>1.8501855194544727</v>
      </c>
      <c r="AY2454" s="357" t="s">
        <v>276</v>
      </c>
      <c r="AZ2454" s="357" t="s">
        <v>276</v>
      </c>
      <c r="BA2454" s="357" t="s">
        <v>276</v>
      </c>
      <c r="BB2454" s="357" t="s">
        <v>282</v>
      </c>
      <c r="BC2454" s="357" t="s">
        <v>98</v>
      </c>
      <c r="BD2454" s="357" t="s">
        <v>98</v>
      </c>
      <c r="BE2454" s="357" t="s">
        <v>98</v>
      </c>
      <c r="BF2454" s="357" t="s">
        <v>426</v>
      </c>
      <c r="BH2454" s="9" t="s">
        <v>100</v>
      </c>
      <c r="BI2454" s="9" t="s">
        <v>100</v>
      </c>
    </row>
    <row r="2455" spans="1:61" ht="65" hidden="1" x14ac:dyDescent="0.35">
      <c r="A2455" s="357">
        <v>2814</v>
      </c>
      <c r="B2455" s="357" t="s">
        <v>5805</v>
      </c>
      <c r="C2455" s="357" t="s">
        <v>88</v>
      </c>
      <c r="D2455" s="351" t="s">
        <v>6205</v>
      </c>
      <c r="E2455" s="357" t="s">
        <v>43</v>
      </c>
      <c r="F2455" s="351" t="s">
        <v>4987</v>
      </c>
      <c r="G2455" s="357" t="s">
        <v>225</v>
      </c>
      <c r="H2455" s="357" t="s">
        <v>125</v>
      </c>
      <c r="I2455" s="357" t="s">
        <v>114</v>
      </c>
      <c r="J2455" s="351" t="s">
        <v>26</v>
      </c>
      <c r="K2455" s="392" t="s">
        <v>2649</v>
      </c>
      <c r="L2455" s="351" t="s">
        <v>6196</v>
      </c>
      <c r="M2455" s="351" t="s">
        <v>5838</v>
      </c>
      <c r="N2455" s="360" t="s">
        <v>6197</v>
      </c>
      <c r="O2455" s="351" t="s">
        <v>276</v>
      </c>
      <c r="P2455" s="351" t="s">
        <v>239</v>
      </c>
      <c r="Q2455" s="383" t="s">
        <v>5808</v>
      </c>
      <c r="R2455" s="351" t="s">
        <v>746</v>
      </c>
      <c r="S2455" s="351" t="s">
        <v>276</v>
      </c>
      <c r="T2455" s="351" t="s">
        <v>276</v>
      </c>
      <c r="U2455" s="351">
        <v>4</v>
      </c>
      <c r="V2455" s="357" t="s">
        <v>261</v>
      </c>
      <c r="W2455" s="357" t="s">
        <v>5159</v>
      </c>
      <c r="X2455" s="351" t="s">
        <v>207</v>
      </c>
      <c r="Y2455" s="354">
        <v>9972</v>
      </c>
      <c r="Z2455" s="354">
        <v>9973</v>
      </c>
      <c r="AA2455" s="351" t="s">
        <v>276</v>
      </c>
      <c r="AB2455" s="351" t="s">
        <v>276</v>
      </c>
      <c r="AC2455" s="351">
        <v>7</v>
      </c>
      <c r="AD2455" s="357" t="s">
        <v>6198</v>
      </c>
      <c r="AE2455" s="351">
        <v>7</v>
      </c>
      <c r="AF2455" s="357" t="s">
        <v>6198</v>
      </c>
      <c r="AG2455" s="351" t="s">
        <v>6206</v>
      </c>
      <c r="AH2455" s="351" t="s">
        <v>6200</v>
      </c>
      <c r="AI2455" s="392">
        <v>14</v>
      </c>
      <c r="AJ2455" s="392">
        <v>19</v>
      </c>
      <c r="AK2455" s="354">
        <v>9972</v>
      </c>
      <c r="AL2455" s="354">
        <v>9973</v>
      </c>
      <c r="AM2455" s="357" t="s">
        <v>292</v>
      </c>
      <c r="AN2455" s="357" t="s">
        <v>276</v>
      </c>
      <c r="AO2455" s="369">
        <f t="shared" si="652"/>
        <v>0.14039310068190936</v>
      </c>
      <c r="AP2455" s="357" t="s">
        <v>276</v>
      </c>
      <c r="AQ2455" s="357" t="s">
        <v>276</v>
      </c>
      <c r="AR2455" s="357" t="s">
        <v>276</v>
      </c>
      <c r="AS2455" s="369">
        <f t="shared" si="653"/>
        <v>0.19051438884989472</v>
      </c>
      <c r="AT2455" s="357" t="s">
        <v>276</v>
      </c>
      <c r="AU2455" s="357" t="s">
        <v>276</v>
      </c>
      <c r="AV2455" s="357" t="s">
        <v>268</v>
      </c>
      <c r="AW2455" s="357" t="s">
        <v>276</v>
      </c>
      <c r="AX2455" s="369">
        <f t="shared" si="651"/>
        <v>0.73691599636878002</v>
      </c>
      <c r="AY2455" s="357" t="s">
        <v>276</v>
      </c>
      <c r="AZ2455" s="357" t="s">
        <v>276</v>
      </c>
      <c r="BA2455" s="357" t="s">
        <v>276</v>
      </c>
      <c r="BB2455" s="357" t="s">
        <v>282</v>
      </c>
      <c r="BC2455" s="357" t="s">
        <v>98</v>
      </c>
      <c r="BD2455" s="357" t="s">
        <v>98</v>
      </c>
      <c r="BE2455" s="357" t="s">
        <v>98</v>
      </c>
      <c r="BF2455" s="357" t="s">
        <v>426</v>
      </c>
      <c r="BH2455" s="9" t="s">
        <v>100</v>
      </c>
      <c r="BI2455" s="9" t="s">
        <v>100</v>
      </c>
    </row>
    <row r="2456" spans="1:61" ht="65" hidden="1" x14ac:dyDescent="0.35">
      <c r="A2456" s="357">
        <v>2814</v>
      </c>
      <c r="B2456" s="357" t="s">
        <v>5805</v>
      </c>
      <c r="C2456" s="357" t="s">
        <v>88</v>
      </c>
      <c r="D2456" s="351" t="s">
        <v>6207</v>
      </c>
      <c r="E2456" s="357" t="s">
        <v>43</v>
      </c>
      <c r="F2456" s="351" t="s">
        <v>4987</v>
      </c>
      <c r="G2456" s="357" t="s">
        <v>225</v>
      </c>
      <c r="H2456" s="357" t="s">
        <v>125</v>
      </c>
      <c r="I2456" s="357" t="s">
        <v>114</v>
      </c>
      <c r="J2456" s="351" t="s">
        <v>26</v>
      </c>
      <c r="K2456" s="392" t="s">
        <v>1108</v>
      </c>
      <c r="L2456" s="351" t="s">
        <v>6196</v>
      </c>
      <c r="M2456" s="351" t="s">
        <v>5838</v>
      </c>
      <c r="N2456" s="360" t="s">
        <v>6197</v>
      </c>
      <c r="O2456" s="351" t="s">
        <v>276</v>
      </c>
      <c r="P2456" s="351" t="s">
        <v>239</v>
      </c>
      <c r="Q2456" s="383" t="s">
        <v>5808</v>
      </c>
      <c r="R2456" s="351" t="s">
        <v>746</v>
      </c>
      <c r="S2456" s="351" t="s">
        <v>276</v>
      </c>
      <c r="T2456" s="351" t="s">
        <v>276</v>
      </c>
      <c r="U2456" s="351">
        <v>4</v>
      </c>
      <c r="V2456" s="357" t="s">
        <v>261</v>
      </c>
      <c r="W2456" s="357" t="s">
        <v>5159</v>
      </c>
      <c r="X2456" s="351" t="s">
        <v>207</v>
      </c>
      <c r="Y2456" s="354">
        <v>9972</v>
      </c>
      <c r="Z2456" s="354">
        <v>9973</v>
      </c>
      <c r="AA2456" s="351" t="s">
        <v>276</v>
      </c>
      <c r="AB2456" s="351" t="s">
        <v>276</v>
      </c>
      <c r="AC2456" s="351">
        <v>7</v>
      </c>
      <c r="AD2456" s="357" t="s">
        <v>6198</v>
      </c>
      <c r="AE2456" s="351">
        <v>7</v>
      </c>
      <c r="AF2456" s="357" t="s">
        <v>6198</v>
      </c>
      <c r="AG2456" s="351" t="s">
        <v>6208</v>
      </c>
      <c r="AH2456" s="351" t="s">
        <v>6200</v>
      </c>
      <c r="AI2456" s="392">
        <v>4</v>
      </c>
      <c r="AJ2456" s="392">
        <v>5</v>
      </c>
      <c r="AK2456" s="354">
        <v>9972</v>
      </c>
      <c r="AL2456" s="354">
        <v>9973</v>
      </c>
      <c r="AM2456" s="357" t="s">
        <v>292</v>
      </c>
      <c r="AN2456" s="357" t="s">
        <v>276</v>
      </c>
      <c r="AO2456" s="369">
        <f t="shared" si="652"/>
        <v>4.011231448054553E-2</v>
      </c>
      <c r="AP2456" s="357" t="s">
        <v>276</v>
      </c>
      <c r="AQ2456" s="357" t="s">
        <v>276</v>
      </c>
      <c r="AR2456" s="357" t="s">
        <v>276</v>
      </c>
      <c r="AS2456" s="369">
        <f t="shared" si="653"/>
        <v>5.0135365486814396E-2</v>
      </c>
      <c r="AT2456" s="357" t="s">
        <v>276</v>
      </c>
      <c r="AU2456" s="357" t="s">
        <v>276</v>
      </c>
      <c r="AV2456" s="357" t="s">
        <v>268</v>
      </c>
      <c r="AW2456" s="357" t="s">
        <v>276</v>
      </c>
      <c r="AX2456" s="369">
        <f t="shared" si="651"/>
        <v>0.80008022462896122</v>
      </c>
      <c r="AY2456" s="357" t="s">
        <v>276</v>
      </c>
      <c r="AZ2456" s="357" t="s">
        <v>276</v>
      </c>
      <c r="BA2456" s="357" t="s">
        <v>276</v>
      </c>
      <c r="BB2456" s="357" t="s">
        <v>282</v>
      </c>
      <c r="BC2456" s="357" t="s">
        <v>98</v>
      </c>
      <c r="BD2456" s="357" t="s">
        <v>98</v>
      </c>
      <c r="BE2456" s="357" t="s">
        <v>98</v>
      </c>
      <c r="BF2456" s="357" t="s">
        <v>426</v>
      </c>
      <c r="BH2456" s="9" t="s">
        <v>100</v>
      </c>
      <c r="BI2456" s="9" t="s">
        <v>100</v>
      </c>
    </row>
    <row r="2457" spans="1:61" ht="65" hidden="1" x14ac:dyDescent="0.35">
      <c r="A2457" s="357">
        <v>2814</v>
      </c>
      <c r="B2457" s="357" t="s">
        <v>5805</v>
      </c>
      <c r="C2457" s="357" t="s">
        <v>88</v>
      </c>
      <c r="D2457" s="351" t="s">
        <v>6209</v>
      </c>
      <c r="E2457" s="357" t="s">
        <v>43</v>
      </c>
      <c r="F2457" s="351" t="s">
        <v>4987</v>
      </c>
      <c r="G2457" s="357" t="s">
        <v>225</v>
      </c>
      <c r="H2457" s="357" t="s">
        <v>125</v>
      </c>
      <c r="I2457" s="357" t="s">
        <v>114</v>
      </c>
      <c r="J2457" s="351" t="s">
        <v>26</v>
      </c>
      <c r="K2457" s="392" t="s">
        <v>6210</v>
      </c>
      <c r="L2457" s="351" t="s">
        <v>6196</v>
      </c>
      <c r="M2457" s="351" t="s">
        <v>5838</v>
      </c>
      <c r="N2457" s="360" t="s">
        <v>6197</v>
      </c>
      <c r="O2457" s="351" t="s">
        <v>276</v>
      </c>
      <c r="P2457" s="351" t="s">
        <v>239</v>
      </c>
      <c r="Q2457" s="383" t="s">
        <v>5808</v>
      </c>
      <c r="R2457" s="351" t="s">
        <v>746</v>
      </c>
      <c r="S2457" s="351" t="s">
        <v>276</v>
      </c>
      <c r="T2457" s="351" t="s">
        <v>276</v>
      </c>
      <c r="U2457" s="351">
        <v>4</v>
      </c>
      <c r="V2457" s="357" t="s">
        <v>261</v>
      </c>
      <c r="W2457" s="357" t="s">
        <v>5159</v>
      </c>
      <c r="X2457" s="351" t="s">
        <v>207</v>
      </c>
      <c r="Y2457" s="354">
        <v>9972</v>
      </c>
      <c r="Z2457" s="354">
        <v>9973</v>
      </c>
      <c r="AA2457" s="351" t="s">
        <v>276</v>
      </c>
      <c r="AB2457" s="351" t="s">
        <v>276</v>
      </c>
      <c r="AC2457" s="351">
        <v>7</v>
      </c>
      <c r="AD2457" s="357" t="s">
        <v>6198</v>
      </c>
      <c r="AE2457" s="351">
        <v>7</v>
      </c>
      <c r="AF2457" s="357" t="s">
        <v>6198</v>
      </c>
      <c r="AG2457" s="351" t="s">
        <v>6211</v>
      </c>
      <c r="AH2457" s="351" t="s">
        <v>6200</v>
      </c>
      <c r="AI2457" s="392">
        <v>6</v>
      </c>
      <c r="AJ2457" s="392">
        <v>7</v>
      </c>
      <c r="AK2457" s="354">
        <v>9972</v>
      </c>
      <c r="AL2457" s="354">
        <v>9973</v>
      </c>
      <c r="AM2457" s="357" t="s">
        <v>292</v>
      </c>
      <c r="AN2457" s="357" t="s">
        <v>276</v>
      </c>
      <c r="AO2457" s="369">
        <f t="shared" si="652"/>
        <v>6.0168471720818288E-2</v>
      </c>
      <c r="AP2457" s="357" t="s">
        <v>276</v>
      </c>
      <c r="AQ2457" s="357" t="s">
        <v>276</v>
      </c>
      <c r="AR2457" s="357" t="s">
        <v>276</v>
      </c>
      <c r="AS2457" s="369">
        <f t="shared" si="653"/>
        <v>7.0189511681540154E-2</v>
      </c>
      <c r="AT2457" s="357" t="s">
        <v>276</v>
      </c>
      <c r="AU2457" s="357" t="s">
        <v>276</v>
      </c>
      <c r="AV2457" s="357" t="s">
        <v>268</v>
      </c>
      <c r="AW2457" s="357" t="s">
        <v>276</v>
      </c>
      <c r="AX2457" s="369">
        <f>AO2457/AS2457</f>
        <v>0.85722881210245827</v>
      </c>
      <c r="AY2457" s="357" t="s">
        <v>276</v>
      </c>
      <c r="AZ2457" s="357" t="s">
        <v>276</v>
      </c>
      <c r="BA2457" s="357" t="s">
        <v>276</v>
      </c>
      <c r="BB2457" s="357" t="s">
        <v>282</v>
      </c>
      <c r="BC2457" s="357" t="s">
        <v>98</v>
      </c>
      <c r="BD2457" s="357" t="s">
        <v>98</v>
      </c>
      <c r="BE2457" s="357" t="s">
        <v>98</v>
      </c>
      <c r="BF2457" s="357" t="s">
        <v>426</v>
      </c>
      <c r="BH2457" s="9" t="s">
        <v>100</v>
      </c>
      <c r="BI2457" s="9" t="s">
        <v>100</v>
      </c>
    </row>
    <row r="2458" spans="1:61" ht="65" hidden="1" x14ac:dyDescent="0.35">
      <c r="A2458" s="357">
        <v>2814</v>
      </c>
      <c r="B2458" s="357" t="s">
        <v>5805</v>
      </c>
      <c r="C2458" s="357" t="s">
        <v>88</v>
      </c>
      <c r="D2458" s="351" t="s">
        <v>6212</v>
      </c>
      <c r="E2458" s="357" t="s">
        <v>43</v>
      </c>
      <c r="F2458" s="351" t="s">
        <v>4987</v>
      </c>
      <c r="G2458" s="357" t="s">
        <v>225</v>
      </c>
      <c r="H2458" s="357" t="s">
        <v>125</v>
      </c>
      <c r="I2458" s="357" t="s">
        <v>114</v>
      </c>
      <c r="J2458" s="351" t="s">
        <v>26</v>
      </c>
      <c r="K2458" s="392" t="s">
        <v>6213</v>
      </c>
      <c r="L2458" s="351" t="s">
        <v>6196</v>
      </c>
      <c r="M2458" s="351" t="s">
        <v>5838</v>
      </c>
      <c r="N2458" s="360" t="s">
        <v>6197</v>
      </c>
      <c r="O2458" s="351" t="s">
        <v>276</v>
      </c>
      <c r="P2458" s="351" t="s">
        <v>239</v>
      </c>
      <c r="Q2458" s="383" t="s">
        <v>5808</v>
      </c>
      <c r="R2458" s="351" t="s">
        <v>746</v>
      </c>
      <c r="S2458" s="351" t="s">
        <v>276</v>
      </c>
      <c r="T2458" s="351" t="s">
        <v>276</v>
      </c>
      <c r="U2458" s="351">
        <v>4</v>
      </c>
      <c r="V2458" s="357" t="s">
        <v>261</v>
      </c>
      <c r="W2458" s="357" t="s">
        <v>5159</v>
      </c>
      <c r="X2458" s="351" t="s">
        <v>207</v>
      </c>
      <c r="Y2458" s="354">
        <v>9972</v>
      </c>
      <c r="Z2458" s="354">
        <v>9973</v>
      </c>
      <c r="AA2458" s="351" t="s">
        <v>276</v>
      </c>
      <c r="AB2458" s="351" t="s">
        <v>276</v>
      </c>
      <c r="AC2458" s="351">
        <v>7</v>
      </c>
      <c r="AD2458" s="357" t="s">
        <v>6198</v>
      </c>
      <c r="AE2458" s="351">
        <v>7</v>
      </c>
      <c r="AF2458" s="357" t="s">
        <v>6198</v>
      </c>
      <c r="AG2458" s="351" t="s">
        <v>6214</v>
      </c>
      <c r="AH2458" s="351" t="s">
        <v>6200</v>
      </c>
      <c r="AI2458" s="392">
        <v>17</v>
      </c>
      <c r="AJ2458" s="392">
        <v>25</v>
      </c>
      <c r="AK2458" s="354">
        <v>9972</v>
      </c>
      <c r="AL2458" s="354">
        <v>9973</v>
      </c>
      <c r="AM2458" s="357" t="s">
        <v>292</v>
      </c>
      <c r="AN2458" s="357" t="s">
        <v>276</v>
      </c>
      <c r="AO2458" s="369">
        <f t="shared" si="652"/>
        <v>0.1704773365423185</v>
      </c>
      <c r="AP2458" s="357" t="s">
        <v>276</v>
      </c>
      <c r="AQ2458" s="357" t="s">
        <v>276</v>
      </c>
      <c r="AR2458" s="357" t="s">
        <v>276</v>
      </c>
      <c r="AS2458" s="369">
        <f t="shared" si="653"/>
        <v>0.25067682743407199</v>
      </c>
      <c r="AT2458" s="357" t="s">
        <v>276</v>
      </c>
      <c r="AU2458" s="357" t="s">
        <v>276</v>
      </c>
      <c r="AV2458" s="357" t="s">
        <v>268</v>
      </c>
      <c r="AW2458" s="357" t="s">
        <v>276</v>
      </c>
      <c r="AX2458" s="369">
        <f>AO2458/AS2458</f>
        <v>0.68006819093461701</v>
      </c>
      <c r="AY2458" s="357" t="s">
        <v>276</v>
      </c>
      <c r="AZ2458" s="357" t="s">
        <v>276</v>
      </c>
      <c r="BA2458" s="357" t="s">
        <v>276</v>
      </c>
      <c r="BB2458" s="357" t="s">
        <v>282</v>
      </c>
      <c r="BC2458" s="357" t="s">
        <v>98</v>
      </c>
      <c r="BD2458" s="357" t="s">
        <v>98</v>
      </c>
      <c r="BE2458" s="357" t="s">
        <v>98</v>
      </c>
      <c r="BF2458" s="357" t="s">
        <v>426</v>
      </c>
      <c r="BH2458" s="9" t="s">
        <v>100</v>
      </c>
      <c r="BI2458" s="9" t="s">
        <v>100</v>
      </c>
    </row>
    <row r="2459" spans="1:61" s="391" customFormat="1" ht="78" hidden="1" x14ac:dyDescent="0.35">
      <c r="A2459" s="357">
        <v>2814</v>
      </c>
      <c r="B2459" s="357" t="s">
        <v>5805</v>
      </c>
      <c r="C2459" s="357" t="s">
        <v>88</v>
      </c>
      <c r="D2459" s="351" t="s">
        <v>6215</v>
      </c>
      <c r="E2459" s="357" t="s">
        <v>43</v>
      </c>
      <c r="F2459" s="351" t="s">
        <v>4987</v>
      </c>
      <c r="G2459" s="357" t="s">
        <v>225</v>
      </c>
      <c r="H2459" s="357" t="s">
        <v>125</v>
      </c>
      <c r="I2459" s="357" t="s">
        <v>114</v>
      </c>
      <c r="J2459" s="351" t="s">
        <v>103</v>
      </c>
      <c r="K2459" s="351" t="s">
        <v>6216</v>
      </c>
      <c r="L2459" s="351" t="s">
        <v>6196</v>
      </c>
      <c r="M2459" s="351" t="s">
        <v>5838</v>
      </c>
      <c r="N2459" s="360" t="s">
        <v>6197</v>
      </c>
      <c r="O2459" s="351" t="s">
        <v>276</v>
      </c>
      <c r="P2459" s="351" t="s">
        <v>239</v>
      </c>
      <c r="Q2459" s="383" t="s">
        <v>5808</v>
      </c>
      <c r="R2459" s="351" t="s">
        <v>746</v>
      </c>
      <c r="S2459" s="351" t="s">
        <v>276</v>
      </c>
      <c r="T2459" s="351" t="s">
        <v>276</v>
      </c>
      <c r="U2459" s="351">
        <v>4</v>
      </c>
      <c r="V2459" s="357" t="s">
        <v>261</v>
      </c>
      <c r="W2459" s="357" t="s">
        <v>5159</v>
      </c>
      <c r="X2459" s="351" t="s">
        <v>207</v>
      </c>
      <c r="Y2459" s="354">
        <v>9972</v>
      </c>
      <c r="Z2459" s="354">
        <v>9973</v>
      </c>
      <c r="AA2459" s="351" t="s">
        <v>276</v>
      </c>
      <c r="AB2459" s="351" t="s">
        <v>276</v>
      </c>
      <c r="AC2459" s="351">
        <v>7</v>
      </c>
      <c r="AD2459" s="357" t="s">
        <v>6198</v>
      </c>
      <c r="AE2459" s="351">
        <v>7</v>
      </c>
      <c r="AF2459" s="357" t="s">
        <v>6198</v>
      </c>
      <c r="AG2459" s="351" t="s">
        <v>6217</v>
      </c>
      <c r="AH2459" s="351" t="s">
        <v>6200</v>
      </c>
      <c r="AI2459" s="392">
        <f>17+6+4+14</f>
        <v>41</v>
      </c>
      <c r="AJ2459" s="392">
        <f>25+7+5+19</f>
        <v>56</v>
      </c>
      <c r="AK2459" s="354">
        <v>9972</v>
      </c>
      <c r="AL2459" s="354">
        <v>9973</v>
      </c>
      <c r="AM2459" s="357" t="s">
        <v>292</v>
      </c>
      <c r="AN2459" s="357" t="s">
        <v>276</v>
      </c>
      <c r="AO2459" s="369">
        <f t="shared" si="652"/>
        <v>0.41115122342559168</v>
      </c>
      <c r="AP2459" s="357" t="s">
        <v>276</v>
      </c>
      <c r="AQ2459" s="357" t="s">
        <v>276</v>
      </c>
      <c r="AR2459" s="357" t="s">
        <v>276</v>
      </c>
      <c r="AS2459" s="369">
        <f t="shared" si="653"/>
        <v>0.56151609345232123</v>
      </c>
      <c r="AT2459" s="357" t="s">
        <v>276</v>
      </c>
      <c r="AU2459" s="357" t="s">
        <v>276</v>
      </c>
      <c r="AV2459" s="357" t="s">
        <v>268</v>
      </c>
      <c r="AW2459" s="357" t="s">
        <v>276</v>
      </c>
      <c r="AX2459" s="369">
        <f>AO2459/AS2459</f>
        <v>0.73221627700418324</v>
      </c>
      <c r="AY2459" s="357" t="s">
        <v>276</v>
      </c>
      <c r="AZ2459" s="357" t="s">
        <v>276</v>
      </c>
      <c r="BA2459" s="357" t="s">
        <v>276</v>
      </c>
      <c r="BB2459" s="357" t="s">
        <v>282</v>
      </c>
      <c r="BC2459" s="357" t="s">
        <v>98</v>
      </c>
      <c r="BD2459" s="357" t="s">
        <v>98</v>
      </c>
      <c r="BE2459" s="357" t="s">
        <v>98</v>
      </c>
      <c r="BF2459" s="357" t="s">
        <v>426</v>
      </c>
      <c r="BG2459" s="390"/>
      <c r="BH2459" s="9" t="s">
        <v>100</v>
      </c>
      <c r="BI2459" s="9" t="s">
        <v>100</v>
      </c>
    </row>
    <row r="2460" spans="1:61" ht="52" hidden="1" x14ac:dyDescent="0.35">
      <c r="A2460" s="357">
        <v>2832</v>
      </c>
      <c r="B2460" s="357" t="s">
        <v>6218</v>
      </c>
      <c r="C2460" s="357" t="s">
        <v>88</v>
      </c>
      <c r="D2460" s="351" t="s">
        <v>6219</v>
      </c>
      <c r="E2460" s="357" t="s">
        <v>43</v>
      </c>
      <c r="F2460" s="351" t="s">
        <v>4987</v>
      </c>
      <c r="G2460" s="357" t="s">
        <v>225</v>
      </c>
      <c r="H2460" s="357" t="s">
        <v>125</v>
      </c>
      <c r="I2460" s="357" t="s">
        <v>114</v>
      </c>
      <c r="J2460" s="351" t="s">
        <v>33</v>
      </c>
      <c r="K2460" s="392" t="s">
        <v>2735</v>
      </c>
      <c r="L2460" s="351" t="s">
        <v>6220</v>
      </c>
      <c r="M2460" s="351" t="s">
        <v>5838</v>
      </c>
      <c r="N2460" s="357" t="s">
        <v>6221</v>
      </c>
      <c r="O2460" s="357" t="s">
        <v>276</v>
      </c>
      <c r="P2460" s="351" t="s">
        <v>239</v>
      </c>
      <c r="Q2460" s="383" t="s">
        <v>6222</v>
      </c>
      <c r="R2460" s="351" t="s">
        <v>766</v>
      </c>
      <c r="S2460" s="360" t="s">
        <v>276</v>
      </c>
      <c r="T2460" s="360" t="s">
        <v>276</v>
      </c>
      <c r="U2460" s="351">
        <v>5</v>
      </c>
      <c r="V2460" s="357" t="s">
        <v>261</v>
      </c>
      <c r="W2460" s="357" t="s">
        <v>5159</v>
      </c>
      <c r="X2460" s="351" t="s">
        <v>207</v>
      </c>
      <c r="Y2460" s="354">
        <v>9972</v>
      </c>
      <c r="Z2460" s="354">
        <v>9973</v>
      </c>
      <c r="AA2460" s="351" t="s">
        <v>276</v>
      </c>
      <c r="AB2460" s="351" t="s">
        <v>276</v>
      </c>
      <c r="AC2460" s="357">
        <v>10</v>
      </c>
      <c r="AD2460" s="357" t="s">
        <v>6198</v>
      </c>
      <c r="AE2460" s="357">
        <v>12</v>
      </c>
      <c r="AF2460" s="357" t="s">
        <v>6198</v>
      </c>
      <c r="AG2460" s="351" t="s">
        <v>6223</v>
      </c>
      <c r="AH2460" s="351" t="s">
        <v>6200</v>
      </c>
      <c r="AI2460" s="357">
        <v>567</v>
      </c>
      <c r="AJ2460" s="357">
        <v>210</v>
      </c>
      <c r="AK2460" s="354">
        <v>9972</v>
      </c>
      <c r="AL2460" s="354">
        <v>9973</v>
      </c>
      <c r="AM2460" s="392" t="s">
        <v>276</v>
      </c>
      <c r="AN2460" s="392" t="s">
        <v>276</v>
      </c>
      <c r="AO2460" s="400">
        <f>AI2460*100/AK2460</f>
        <v>5.6859205776173285</v>
      </c>
      <c r="AP2460" s="392" t="s">
        <v>276</v>
      </c>
      <c r="AQ2460" s="392" t="s">
        <v>276</v>
      </c>
      <c r="AR2460" s="393" t="s">
        <v>276</v>
      </c>
      <c r="AS2460" s="369">
        <f t="shared" si="653"/>
        <v>2.1056853504462048</v>
      </c>
      <c r="AT2460" s="357" t="s">
        <v>276</v>
      </c>
      <c r="AU2460" s="357" t="s">
        <v>276</v>
      </c>
      <c r="AV2460" s="357" t="s">
        <v>268</v>
      </c>
      <c r="AW2460" s="357" t="s">
        <v>276</v>
      </c>
      <c r="AX2460" s="369">
        <f t="shared" ref="AX2460:AX2495" si="654">AO2460/AS2460</f>
        <v>2.7002707581227439</v>
      </c>
      <c r="AY2460" s="357" t="s">
        <v>276</v>
      </c>
      <c r="AZ2460" s="357" t="s">
        <v>276</v>
      </c>
      <c r="BA2460" s="357" t="s">
        <v>276</v>
      </c>
      <c r="BB2460" s="357" t="s">
        <v>276</v>
      </c>
      <c r="BC2460" s="357" t="s">
        <v>276</v>
      </c>
      <c r="BD2460" s="357" t="s">
        <v>276</v>
      </c>
      <c r="BE2460" s="357" t="s">
        <v>276</v>
      </c>
      <c r="BF2460" s="392" t="s">
        <v>1358</v>
      </c>
      <c r="BG2460" s="393"/>
      <c r="BH2460" s="9" t="s">
        <v>100</v>
      </c>
      <c r="BI2460" s="9" t="s">
        <v>100</v>
      </c>
    </row>
    <row r="2461" spans="1:61" ht="52" hidden="1" x14ac:dyDescent="0.35">
      <c r="A2461" s="357">
        <v>2832</v>
      </c>
      <c r="B2461" s="357" t="s">
        <v>6218</v>
      </c>
      <c r="C2461" s="357" t="s">
        <v>88</v>
      </c>
      <c r="D2461" s="351" t="s">
        <v>6224</v>
      </c>
      <c r="E2461" s="357" t="s">
        <v>43</v>
      </c>
      <c r="F2461" s="351" t="s">
        <v>4987</v>
      </c>
      <c r="G2461" s="357" t="s">
        <v>225</v>
      </c>
      <c r="H2461" s="357" t="s">
        <v>125</v>
      </c>
      <c r="I2461" s="357" t="s">
        <v>114</v>
      </c>
      <c r="J2461" s="351" t="s">
        <v>33</v>
      </c>
      <c r="K2461" s="392" t="s">
        <v>2739</v>
      </c>
      <c r="L2461" s="351" t="s">
        <v>6220</v>
      </c>
      <c r="M2461" s="351" t="s">
        <v>5838</v>
      </c>
      <c r="N2461" s="357" t="s">
        <v>6221</v>
      </c>
      <c r="O2461" s="357" t="s">
        <v>276</v>
      </c>
      <c r="P2461" s="351" t="s">
        <v>239</v>
      </c>
      <c r="Q2461" s="383" t="s">
        <v>6222</v>
      </c>
      <c r="R2461" s="351" t="s">
        <v>766</v>
      </c>
      <c r="S2461" s="360" t="s">
        <v>276</v>
      </c>
      <c r="T2461" s="360" t="s">
        <v>276</v>
      </c>
      <c r="U2461" s="357">
        <v>5</v>
      </c>
      <c r="V2461" s="357" t="s">
        <v>261</v>
      </c>
      <c r="W2461" s="357" t="s">
        <v>5159</v>
      </c>
      <c r="X2461" s="351" t="s">
        <v>207</v>
      </c>
      <c r="Y2461" s="354">
        <v>9972</v>
      </c>
      <c r="Z2461" s="354">
        <v>9973</v>
      </c>
      <c r="AA2461" s="351" t="s">
        <v>276</v>
      </c>
      <c r="AB2461" s="351" t="s">
        <v>276</v>
      </c>
      <c r="AC2461" s="357">
        <v>10</v>
      </c>
      <c r="AD2461" s="357" t="s">
        <v>6198</v>
      </c>
      <c r="AE2461" s="357">
        <v>12</v>
      </c>
      <c r="AF2461" s="357" t="s">
        <v>6198</v>
      </c>
      <c r="AG2461" s="351" t="s">
        <v>6225</v>
      </c>
      <c r="AH2461" s="351" t="s">
        <v>6200</v>
      </c>
      <c r="AI2461" s="357">
        <v>197</v>
      </c>
      <c r="AJ2461" s="357">
        <v>160</v>
      </c>
      <c r="AK2461" s="354">
        <v>9972</v>
      </c>
      <c r="AL2461" s="354">
        <v>9973</v>
      </c>
      <c r="AM2461" s="392" t="s">
        <v>276</v>
      </c>
      <c r="AN2461" s="392" t="s">
        <v>276</v>
      </c>
      <c r="AO2461" s="400">
        <f t="shared" ref="AO2461:AO2468" si="655">AI2461*100/AK2461</f>
        <v>1.9755314881668673</v>
      </c>
      <c r="AP2461" s="392" t="s">
        <v>276</v>
      </c>
      <c r="AQ2461" s="392" t="s">
        <v>276</v>
      </c>
      <c r="AR2461" s="393" t="s">
        <v>276</v>
      </c>
      <c r="AS2461" s="369">
        <f t="shared" si="653"/>
        <v>1.6043316955780607</v>
      </c>
      <c r="AT2461" s="357" t="s">
        <v>276</v>
      </c>
      <c r="AU2461" s="357" t="s">
        <v>276</v>
      </c>
      <c r="AV2461" s="357" t="s">
        <v>268</v>
      </c>
      <c r="AW2461" s="357" t="s">
        <v>276</v>
      </c>
      <c r="AX2461" s="369">
        <f t="shared" si="654"/>
        <v>1.2313734707180106</v>
      </c>
      <c r="AY2461" s="357" t="s">
        <v>276</v>
      </c>
      <c r="AZ2461" s="357" t="s">
        <v>276</v>
      </c>
      <c r="BA2461" s="357" t="s">
        <v>276</v>
      </c>
      <c r="BB2461" s="357" t="s">
        <v>276</v>
      </c>
      <c r="BC2461" s="357" t="s">
        <v>276</v>
      </c>
      <c r="BD2461" s="357" t="s">
        <v>276</v>
      </c>
      <c r="BE2461" s="357" t="s">
        <v>276</v>
      </c>
      <c r="BF2461" s="392" t="s">
        <v>1358</v>
      </c>
      <c r="BG2461" s="393"/>
      <c r="BH2461" s="9" t="s">
        <v>100</v>
      </c>
      <c r="BI2461" s="9" t="s">
        <v>100</v>
      </c>
    </row>
    <row r="2462" spans="1:61" ht="52" hidden="1" x14ac:dyDescent="0.35">
      <c r="A2462" s="357">
        <v>2832</v>
      </c>
      <c r="B2462" s="357" t="s">
        <v>6218</v>
      </c>
      <c r="C2462" s="357" t="s">
        <v>88</v>
      </c>
      <c r="D2462" s="351" t="s">
        <v>6226</v>
      </c>
      <c r="E2462" s="357" t="s">
        <v>43</v>
      </c>
      <c r="F2462" s="351" t="s">
        <v>4987</v>
      </c>
      <c r="G2462" s="357" t="s">
        <v>225</v>
      </c>
      <c r="H2462" s="357" t="s">
        <v>125</v>
      </c>
      <c r="I2462" s="357" t="s">
        <v>114</v>
      </c>
      <c r="J2462" s="351" t="s">
        <v>33</v>
      </c>
      <c r="K2462" s="392" t="s">
        <v>2649</v>
      </c>
      <c r="L2462" s="351" t="s">
        <v>6220</v>
      </c>
      <c r="M2462" s="351" t="s">
        <v>5838</v>
      </c>
      <c r="N2462" s="357" t="s">
        <v>6221</v>
      </c>
      <c r="O2462" s="357" t="s">
        <v>276</v>
      </c>
      <c r="P2462" s="351" t="s">
        <v>239</v>
      </c>
      <c r="Q2462" s="383" t="s">
        <v>6222</v>
      </c>
      <c r="R2462" s="351" t="s">
        <v>766</v>
      </c>
      <c r="S2462" s="360" t="s">
        <v>276</v>
      </c>
      <c r="T2462" s="360" t="s">
        <v>276</v>
      </c>
      <c r="U2462" s="351">
        <v>5</v>
      </c>
      <c r="V2462" s="357" t="s">
        <v>261</v>
      </c>
      <c r="W2462" s="357" t="s">
        <v>5159</v>
      </c>
      <c r="X2462" s="351" t="s">
        <v>207</v>
      </c>
      <c r="Y2462" s="354">
        <v>9972</v>
      </c>
      <c r="Z2462" s="354">
        <v>9973</v>
      </c>
      <c r="AA2462" s="351" t="s">
        <v>276</v>
      </c>
      <c r="AB2462" s="351" t="s">
        <v>276</v>
      </c>
      <c r="AC2462" s="357">
        <v>10</v>
      </c>
      <c r="AD2462" s="357" t="s">
        <v>6198</v>
      </c>
      <c r="AE2462" s="357">
        <v>12</v>
      </c>
      <c r="AF2462" s="357" t="s">
        <v>6198</v>
      </c>
      <c r="AG2462" s="351" t="s">
        <v>6227</v>
      </c>
      <c r="AH2462" s="351" t="s">
        <v>6200</v>
      </c>
      <c r="AI2462" s="357">
        <v>27</v>
      </c>
      <c r="AJ2462" s="357">
        <v>45</v>
      </c>
      <c r="AK2462" s="354">
        <v>9972</v>
      </c>
      <c r="AL2462" s="354">
        <v>9973</v>
      </c>
      <c r="AM2462" s="392" t="s">
        <v>276</v>
      </c>
      <c r="AN2462" s="392" t="s">
        <v>276</v>
      </c>
      <c r="AO2462" s="400">
        <f t="shared" si="655"/>
        <v>0.27075812274368233</v>
      </c>
      <c r="AP2462" s="392" t="s">
        <v>276</v>
      </c>
      <c r="AQ2462" s="392" t="s">
        <v>276</v>
      </c>
      <c r="AR2462" s="393" t="s">
        <v>276</v>
      </c>
      <c r="AS2462" s="369">
        <f t="shared" si="653"/>
        <v>0.45121828938132957</v>
      </c>
      <c r="AT2462" s="357" t="s">
        <v>276</v>
      </c>
      <c r="AU2462" s="357" t="s">
        <v>276</v>
      </c>
      <c r="AV2462" s="357" t="s">
        <v>268</v>
      </c>
      <c r="AW2462" s="357" t="s">
        <v>276</v>
      </c>
      <c r="AX2462" s="369">
        <f t="shared" si="654"/>
        <v>0.60006016847172083</v>
      </c>
      <c r="AY2462" s="357" t="s">
        <v>276</v>
      </c>
      <c r="AZ2462" s="357" t="s">
        <v>276</v>
      </c>
      <c r="BA2462" s="357" t="s">
        <v>276</v>
      </c>
      <c r="BB2462" s="357" t="s">
        <v>276</v>
      </c>
      <c r="BC2462" s="357" t="s">
        <v>276</v>
      </c>
      <c r="BD2462" s="357" t="s">
        <v>276</v>
      </c>
      <c r="BE2462" s="357" t="s">
        <v>276</v>
      </c>
      <c r="BF2462" s="392" t="s">
        <v>1358</v>
      </c>
      <c r="BG2462" s="393"/>
      <c r="BH2462" s="9" t="s">
        <v>100</v>
      </c>
      <c r="BI2462" s="9" t="s">
        <v>100</v>
      </c>
    </row>
    <row r="2463" spans="1:61" ht="52" hidden="1" x14ac:dyDescent="0.35">
      <c r="A2463" s="357">
        <v>2832</v>
      </c>
      <c r="B2463" s="357" t="s">
        <v>6218</v>
      </c>
      <c r="C2463" s="357" t="s">
        <v>88</v>
      </c>
      <c r="D2463" s="351" t="s">
        <v>6228</v>
      </c>
      <c r="E2463" s="357" t="s">
        <v>43</v>
      </c>
      <c r="F2463" s="351" t="s">
        <v>4987</v>
      </c>
      <c r="G2463" s="357" t="s">
        <v>225</v>
      </c>
      <c r="H2463" s="357" t="s">
        <v>125</v>
      </c>
      <c r="I2463" s="357" t="s">
        <v>114</v>
      </c>
      <c r="J2463" s="351" t="s">
        <v>33</v>
      </c>
      <c r="K2463" s="392" t="s">
        <v>1108</v>
      </c>
      <c r="L2463" s="351" t="s">
        <v>6220</v>
      </c>
      <c r="M2463" s="351" t="s">
        <v>5838</v>
      </c>
      <c r="N2463" s="357" t="s">
        <v>6221</v>
      </c>
      <c r="O2463" s="357" t="s">
        <v>276</v>
      </c>
      <c r="P2463" s="351" t="s">
        <v>239</v>
      </c>
      <c r="Q2463" s="383" t="s">
        <v>6222</v>
      </c>
      <c r="R2463" s="351" t="s">
        <v>766</v>
      </c>
      <c r="S2463" s="360" t="s">
        <v>276</v>
      </c>
      <c r="T2463" s="360" t="s">
        <v>276</v>
      </c>
      <c r="U2463" s="357">
        <v>5</v>
      </c>
      <c r="V2463" s="357" t="s">
        <v>261</v>
      </c>
      <c r="W2463" s="357" t="s">
        <v>5159</v>
      </c>
      <c r="X2463" s="351" t="s">
        <v>207</v>
      </c>
      <c r="Y2463" s="354">
        <v>9972</v>
      </c>
      <c r="Z2463" s="354">
        <v>9973</v>
      </c>
      <c r="AA2463" s="351" t="s">
        <v>276</v>
      </c>
      <c r="AB2463" s="351" t="s">
        <v>276</v>
      </c>
      <c r="AC2463" s="357">
        <v>10</v>
      </c>
      <c r="AD2463" s="357" t="s">
        <v>6198</v>
      </c>
      <c r="AE2463" s="357">
        <v>12</v>
      </c>
      <c r="AF2463" s="357" t="s">
        <v>6198</v>
      </c>
      <c r="AG2463" s="351" t="s">
        <v>6229</v>
      </c>
      <c r="AH2463" s="351" t="s">
        <v>6200</v>
      </c>
      <c r="AI2463" s="357">
        <v>9</v>
      </c>
      <c r="AJ2463" s="357">
        <v>15</v>
      </c>
      <c r="AK2463" s="354">
        <v>9972</v>
      </c>
      <c r="AL2463" s="354">
        <v>9973</v>
      </c>
      <c r="AM2463" s="392" t="s">
        <v>276</v>
      </c>
      <c r="AN2463" s="392" t="s">
        <v>276</v>
      </c>
      <c r="AO2463" s="400">
        <f t="shared" si="655"/>
        <v>9.0252707581227443E-2</v>
      </c>
      <c r="AP2463" s="392" t="s">
        <v>276</v>
      </c>
      <c r="AQ2463" s="392" t="s">
        <v>276</v>
      </c>
      <c r="AR2463" s="393" t="s">
        <v>276</v>
      </c>
      <c r="AS2463" s="369">
        <f t="shared" si="653"/>
        <v>0.1504060964604432</v>
      </c>
      <c r="AT2463" s="357" t="s">
        <v>276</v>
      </c>
      <c r="AU2463" s="357" t="s">
        <v>276</v>
      </c>
      <c r="AV2463" s="357" t="s">
        <v>268</v>
      </c>
      <c r="AW2463" s="357" t="s">
        <v>276</v>
      </c>
      <c r="AX2463" s="369">
        <f t="shared" si="654"/>
        <v>0.60006016847172083</v>
      </c>
      <c r="AY2463" s="357" t="s">
        <v>276</v>
      </c>
      <c r="AZ2463" s="357" t="s">
        <v>276</v>
      </c>
      <c r="BA2463" s="357" t="s">
        <v>276</v>
      </c>
      <c r="BB2463" s="357" t="s">
        <v>276</v>
      </c>
      <c r="BC2463" s="357" t="s">
        <v>276</v>
      </c>
      <c r="BD2463" s="357" t="s">
        <v>276</v>
      </c>
      <c r="BE2463" s="357" t="s">
        <v>276</v>
      </c>
      <c r="BF2463" s="392" t="s">
        <v>1358</v>
      </c>
      <c r="BG2463" s="393"/>
      <c r="BH2463" s="9" t="s">
        <v>100</v>
      </c>
      <c r="BI2463" s="9" t="s">
        <v>100</v>
      </c>
    </row>
    <row r="2464" spans="1:61" ht="65" hidden="1" x14ac:dyDescent="0.35">
      <c r="A2464" s="357">
        <v>2832</v>
      </c>
      <c r="B2464" s="357" t="s">
        <v>6218</v>
      </c>
      <c r="C2464" s="357" t="s">
        <v>88</v>
      </c>
      <c r="D2464" s="351" t="s">
        <v>6230</v>
      </c>
      <c r="E2464" s="357" t="s">
        <v>43</v>
      </c>
      <c r="F2464" s="351" t="s">
        <v>4987</v>
      </c>
      <c r="G2464" s="357" t="s">
        <v>225</v>
      </c>
      <c r="H2464" s="357" t="s">
        <v>125</v>
      </c>
      <c r="I2464" s="357" t="s">
        <v>114</v>
      </c>
      <c r="J2464" s="351" t="s">
        <v>117</v>
      </c>
      <c r="K2464" s="392" t="s">
        <v>2746</v>
      </c>
      <c r="L2464" s="351" t="s">
        <v>6220</v>
      </c>
      <c r="M2464" s="351" t="s">
        <v>5838</v>
      </c>
      <c r="N2464" s="357" t="s">
        <v>6221</v>
      </c>
      <c r="O2464" s="357" t="s">
        <v>276</v>
      </c>
      <c r="P2464" s="351" t="s">
        <v>239</v>
      </c>
      <c r="Q2464" s="383" t="s">
        <v>6222</v>
      </c>
      <c r="R2464" s="351" t="s">
        <v>766</v>
      </c>
      <c r="S2464" s="360" t="s">
        <v>276</v>
      </c>
      <c r="T2464" s="360" t="s">
        <v>276</v>
      </c>
      <c r="U2464" s="357">
        <v>5</v>
      </c>
      <c r="V2464" s="357" t="s">
        <v>261</v>
      </c>
      <c r="W2464" s="357" t="s">
        <v>5159</v>
      </c>
      <c r="X2464" s="351" t="s">
        <v>207</v>
      </c>
      <c r="Y2464" s="354">
        <v>9972</v>
      </c>
      <c r="Z2464" s="354">
        <v>9973</v>
      </c>
      <c r="AA2464" s="351" t="s">
        <v>276</v>
      </c>
      <c r="AB2464" s="351" t="s">
        <v>276</v>
      </c>
      <c r="AC2464" s="357">
        <v>491</v>
      </c>
      <c r="AD2464" s="357" t="s">
        <v>6231</v>
      </c>
      <c r="AE2464" s="357">
        <v>278</v>
      </c>
      <c r="AF2464" s="357" t="s">
        <v>6231</v>
      </c>
      <c r="AG2464" s="351" t="s">
        <v>6232</v>
      </c>
      <c r="AH2464" s="351" t="s">
        <v>6200</v>
      </c>
      <c r="AI2464" s="357">
        <v>309</v>
      </c>
      <c r="AJ2464" s="357">
        <v>150</v>
      </c>
      <c r="AK2464" s="354">
        <v>9972</v>
      </c>
      <c r="AL2464" s="354">
        <v>9973</v>
      </c>
      <c r="AM2464" s="357" t="s">
        <v>276</v>
      </c>
      <c r="AN2464" s="357" t="s">
        <v>276</v>
      </c>
      <c r="AO2464" s="400">
        <f t="shared" si="655"/>
        <v>3.0986762936221419</v>
      </c>
      <c r="AP2464" s="357" t="s">
        <v>276</v>
      </c>
      <c r="AQ2464" s="357" t="s">
        <v>276</v>
      </c>
      <c r="AR2464" s="357" t="s">
        <v>276</v>
      </c>
      <c r="AS2464" s="369">
        <f t="shared" si="653"/>
        <v>1.5040609646044321</v>
      </c>
      <c r="AT2464" s="357" t="s">
        <v>276</v>
      </c>
      <c r="AU2464" s="357" t="s">
        <v>276</v>
      </c>
      <c r="AV2464" s="357" t="s">
        <v>268</v>
      </c>
      <c r="AW2464" s="357" t="s">
        <v>276</v>
      </c>
      <c r="AX2464" s="369">
        <f t="shared" si="654"/>
        <v>2.0602065784195744</v>
      </c>
      <c r="AY2464" s="357" t="s">
        <v>276</v>
      </c>
      <c r="AZ2464" s="357" t="s">
        <v>276</v>
      </c>
      <c r="BA2464" s="357" t="s">
        <v>276</v>
      </c>
      <c r="BB2464" s="357" t="s">
        <v>276</v>
      </c>
      <c r="BC2464" s="357" t="s">
        <v>276</v>
      </c>
      <c r="BD2464" s="357" t="s">
        <v>276</v>
      </c>
      <c r="BE2464" s="357" t="s">
        <v>276</v>
      </c>
      <c r="BF2464" s="357" t="s">
        <v>1358</v>
      </c>
      <c r="BG2464" s="351" t="s">
        <v>6233</v>
      </c>
      <c r="BH2464" s="9" t="s">
        <v>100</v>
      </c>
      <c r="BI2464" s="9" t="s">
        <v>100</v>
      </c>
    </row>
    <row r="2465" spans="1:61" ht="65" hidden="1" x14ac:dyDescent="0.35">
      <c r="A2465" s="357">
        <v>2832</v>
      </c>
      <c r="B2465" s="357" t="s">
        <v>6218</v>
      </c>
      <c r="C2465" s="357" t="s">
        <v>88</v>
      </c>
      <c r="D2465" s="351" t="s">
        <v>6234</v>
      </c>
      <c r="E2465" s="357" t="s">
        <v>43</v>
      </c>
      <c r="F2465" s="351" t="s">
        <v>4987</v>
      </c>
      <c r="G2465" s="357" t="s">
        <v>225</v>
      </c>
      <c r="H2465" s="357" t="s">
        <v>125</v>
      </c>
      <c r="I2465" s="357" t="s">
        <v>114</v>
      </c>
      <c r="J2465" s="351" t="s">
        <v>117</v>
      </c>
      <c r="K2465" s="392" t="s">
        <v>2749</v>
      </c>
      <c r="L2465" s="351" t="s">
        <v>6220</v>
      </c>
      <c r="M2465" s="351" t="s">
        <v>5838</v>
      </c>
      <c r="N2465" s="357" t="s">
        <v>6221</v>
      </c>
      <c r="O2465" s="357" t="s">
        <v>276</v>
      </c>
      <c r="P2465" s="351" t="s">
        <v>239</v>
      </c>
      <c r="Q2465" s="383" t="s">
        <v>6222</v>
      </c>
      <c r="R2465" s="351" t="s">
        <v>766</v>
      </c>
      <c r="S2465" s="360" t="s">
        <v>276</v>
      </c>
      <c r="T2465" s="360" t="s">
        <v>276</v>
      </c>
      <c r="U2465" s="351">
        <v>5</v>
      </c>
      <c r="V2465" s="357" t="s">
        <v>261</v>
      </c>
      <c r="W2465" s="357" t="s">
        <v>5159</v>
      </c>
      <c r="X2465" s="351" t="s">
        <v>207</v>
      </c>
      <c r="Y2465" s="354">
        <v>9972</v>
      </c>
      <c r="Z2465" s="354">
        <v>9973</v>
      </c>
      <c r="AA2465" s="351" t="s">
        <v>276</v>
      </c>
      <c r="AB2465" s="351" t="s">
        <v>276</v>
      </c>
      <c r="AC2465" s="357">
        <v>491</v>
      </c>
      <c r="AD2465" s="357" t="s">
        <v>6231</v>
      </c>
      <c r="AE2465" s="357">
        <v>278</v>
      </c>
      <c r="AF2465" s="357" t="s">
        <v>6231</v>
      </c>
      <c r="AG2465" s="351" t="s">
        <v>6235</v>
      </c>
      <c r="AH2465" s="351" t="s">
        <v>6200</v>
      </c>
      <c r="AI2465" s="357">
        <v>10</v>
      </c>
      <c r="AJ2465" s="357">
        <v>14</v>
      </c>
      <c r="AK2465" s="354">
        <v>9972</v>
      </c>
      <c r="AL2465" s="354">
        <v>9973</v>
      </c>
      <c r="AM2465" s="357" t="s">
        <v>276</v>
      </c>
      <c r="AN2465" s="357" t="s">
        <v>276</v>
      </c>
      <c r="AO2465" s="400">
        <f t="shared" si="655"/>
        <v>0.10028078620136383</v>
      </c>
      <c r="AP2465" s="357" t="s">
        <v>276</v>
      </c>
      <c r="AQ2465" s="357" t="s">
        <v>276</v>
      </c>
      <c r="AR2465" s="357" t="s">
        <v>276</v>
      </c>
      <c r="AS2465" s="369">
        <f t="shared" si="653"/>
        <v>0.14037902336308031</v>
      </c>
      <c r="AT2465" s="357" t="s">
        <v>276</v>
      </c>
      <c r="AU2465" s="357" t="s">
        <v>276</v>
      </c>
      <c r="AV2465" s="357" t="s">
        <v>268</v>
      </c>
      <c r="AW2465" s="357" t="s">
        <v>276</v>
      </c>
      <c r="AX2465" s="369">
        <f t="shared" si="654"/>
        <v>0.71435734341871537</v>
      </c>
      <c r="AY2465" s="357" t="s">
        <v>276</v>
      </c>
      <c r="AZ2465" s="357" t="s">
        <v>276</v>
      </c>
      <c r="BA2465" s="357" t="s">
        <v>276</v>
      </c>
      <c r="BB2465" s="357" t="s">
        <v>276</v>
      </c>
      <c r="BC2465" s="357" t="s">
        <v>276</v>
      </c>
      <c r="BD2465" s="357" t="s">
        <v>276</v>
      </c>
      <c r="BE2465" s="357" t="s">
        <v>276</v>
      </c>
      <c r="BF2465" s="357" t="s">
        <v>1358</v>
      </c>
      <c r="BG2465" s="351" t="s">
        <v>6233</v>
      </c>
      <c r="BH2465" s="9" t="s">
        <v>100</v>
      </c>
      <c r="BI2465" s="9" t="s">
        <v>100</v>
      </c>
    </row>
    <row r="2466" spans="1:61" ht="65" hidden="1" x14ac:dyDescent="0.35">
      <c r="A2466" s="357">
        <v>2832</v>
      </c>
      <c r="B2466" s="357" t="s">
        <v>6218</v>
      </c>
      <c r="C2466" s="357" t="s">
        <v>88</v>
      </c>
      <c r="D2466" s="351" t="s">
        <v>6236</v>
      </c>
      <c r="E2466" s="357" t="s">
        <v>43</v>
      </c>
      <c r="F2466" s="351" t="s">
        <v>4987</v>
      </c>
      <c r="G2466" s="357" t="s">
        <v>225</v>
      </c>
      <c r="H2466" s="357" t="s">
        <v>125</v>
      </c>
      <c r="I2466" s="357" t="s">
        <v>114</v>
      </c>
      <c r="J2466" s="351" t="s">
        <v>1116</v>
      </c>
      <c r="K2466" s="392" t="s">
        <v>2764</v>
      </c>
      <c r="L2466" s="351" t="s">
        <v>6220</v>
      </c>
      <c r="M2466" s="351" t="s">
        <v>5838</v>
      </c>
      <c r="N2466" s="357" t="s">
        <v>6221</v>
      </c>
      <c r="O2466" s="357" t="s">
        <v>276</v>
      </c>
      <c r="P2466" s="351" t="s">
        <v>239</v>
      </c>
      <c r="Q2466" s="383" t="s">
        <v>6222</v>
      </c>
      <c r="R2466" s="351" t="s">
        <v>766</v>
      </c>
      <c r="S2466" s="360" t="s">
        <v>276</v>
      </c>
      <c r="T2466" s="360" t="s">
        <v>276</v>
      </c>
      <c r="U2466" s="351">
        <v>5</v>
      </c>
      <c r="V2466" s="357" t="s">
        <v>261</v>
      </c>
      <c r="W2466" s="357" t="s">
        <v>5159</v>
      </c>
      <c r="X2466" s="351" t="s">
        <v>207</v>
      </c>
      <c r="Y2466" s="354">
        <v>9972</v>
      </c>
      <c r="Z2466" s="354">
        <v>9973</v>
      </c>
      <c r="AA2466" s="351" t="s">
        <v>276</v>
      </c>
      <c r="AB2466" s="351" t="s">
        <v>276</v>
      </c>
      <c r="AC2466" s="357">
        <v>555</v>
      </c>
      <c r="AD2466" s="357" t="s">
        <v>6237</v>
      </c>
      <c r="AE2466" s="357">
        <v>239</v>
      </c>
      <c r="AF2466" s="357" t="s">
        <v>6237</v>
      </c>
      <c r="AG2466" s="351" t="s">
        <v>6238</v>
      </c>
      <c r="AH2466" s="351" t="s">
        <v>6200</v>
      </c>
      <c r="AI2466" s="357">
        <v>235</v>
      </c>
      <c r="AJ2466" s="357">
        <v>166</v>
      </c>
      <c r="AK2466" s="354">
        <v>9972</v>
      </c>
      <c r="AL2466" s="354">
        <v>9973</v>
      </c>
      <c r="AM2466" s="357" t="s">
        <v>276</v>
      </c>
      <c r="AN2466" s="357" t="s">
        <v>276</v>
      </c>
      <c r="AO2466" s="400">
        <f t="shared" si="655"/>
        <v>2.3565984757320497</v>
      </c>
      <c r="AP2466" s="357" t="s">
        <v>276</v>
      </c>
      <c r="AQ2466" s="357" t="s">
        <v>276</v>
      </c>
      <c r="AR2466" s="357" t="s">
        <v>276</v>
      </c>
      <c r="AS2466" s="369">
        <f t="shared" si="653"/>
        <v>1.6644941341622381</v>
      </c>
      <c r="AT2466" s="357" t="s">
        <v>276</v>
      </c>
      <c r="AU2466" s="357" t="s">
        <v>276</v>
      </c>
      <c r="AV2466" s="357" t="s">
        <v>268</v>
      </c>
      <c r="AW2466" s="357" t="s">
        <v>276</v>
      </c>
      <c r="AX2466" s="369">
        <f t="shared" si="654"/>
        <v>1.4158046143660079</v>
      </c>
      <c r="AY2466" s="357" t="s">
        <v>276</v>
      </c>
      <c r="AZ2466" s="357" t="s">
        <v>276</v>
      </c>
      <c r="BA2466" s="357" t="s">
        <v>276</v>
      </c>
      <c r="BB2466" s="357" t="s">
        <v>276</v>
      </c>
      <c r="BC2466" s="357" t="s">
        <v>276</v>
      </c>
      <c r="BD2466" s="357" t="s">
        <v>276</v>
      </c>
      <c r="BE2466" s="357" t="s">
        <v>276</v>
      </c>
      <c r="BF2466" s="357" t="s">
        <v>1358</v>
      </c>
      <c r="BG2466" s="393"/>
      <c r="BH2466" s="9" t="s">
        <v>100</v>
      </c>
      <c r="BI2466" s="9" t="s">
        <v>100</v>
      </c>
    </row>
    <row r="2467" spans="1:61" ht="65" hidden="1" x14ac:dyDescent="0.35">
      <c r="A2467" s="357">
        <v>2832</v>
      </c>
      <c r="B2467" s="357" t="s">
        <v>6218</v>
      </c>
      <c r="C2467" s="357" t="s">
        <v>88</v>
      </c>
      <c r="D2467" s="351" t="s">
        <v>6239</v>
      </c>
      <c r="E2467" s="357" t="s">
        <v>43</v>
      </c>
      <c r="F2467" s="351" t="s">
        <v>4987</v>
      </c>
      <c r="G2467" s="357" t="s">
        <v>225</v>
      </c>
      <c r="H2467" s="357" t="s">
        <v>125</v>
      </c>
      <c r="I2467" s="357" t="s">
        <v>114</v>
      </c>
      <c r="J2467" s="351" t="s">
        <v>1116</v>
      </c>
      <c r="K2467" s="392" t="s">
        <v>1117</v>
      </c>
      <c r="L2467" s="351" t="s">
        <v>6220</v>
      </c>
      <c r="M2467" s="351" t="s">
        <v>5838</v>
      </c>
      <c r="N2467" s="357" t="s">
        <v>6221</v>
      </c>
      <c r="O2467" s="357" t="s">
        <v>276</v>
      </c>
      <c r="P2467" s="351" t="s">
        <v>239</v>
      </c>
      <c r="Q2467" s="383" t="s">
        <v>6222</v>
      </c>
      <c r="R2467" s="351" t="s">
        <v>766</v>
      </c>
      <c r="S2467" s="360" t="s">
        <v>276</v>
      </c>
      <c r="T2467" s="360" t="s">
        <v>276</v>
      </c>
      <c r="U2467" s="357">
        <v>5</v>
      </c>
      <c r="V2467" s="357" t="s">
        <v>261</v>
      </c>
      <c r="W2467" s="357" t="s">
        <v>5159</v>
      </c>
      <c r="X2467" s="351" t="s">
        <v>207</v>
      </c>
      <c r="Y2467" s="354">
        <v>9972</v>
      </c>
      <c r="Z2467" s="354">
        <v>9973</v>
      </c>
      <c r="AA2467" s="351" t="s">
        <v>276</v>
      </c>
      <c r="AB2467" s="351" t="s">
        <v>276</v>
      </c>
      <c r="AC2467" s="357">
        <v>555</v>
      </c>
      <c r="AD2467" s="357" t="s">
        <v>6237</v>
      </c>
      <c r="AE2467" s="357">
        <v>239</v>
      </c>
      <c r="AF2467" s="357" t="s">
        <v>6237</v>
      </c>
      <c r="AG2467" s="351" t="s">
        <v>6240</v>
      </c>
      <c r="AH2467" s="351" t="s">
        <v>6200</v>
      </c>
      <c r="AI2467" s="357">
        <v>20</v>
      </c>
      <c r="AJ2467" s="357">
        <v>37</v>
      </c>
      <c r="AK2467" s="354">
        <v>9972</v>
      </c>
      <c r="AL2467" s="354">
        <v>9973</v>
      </c>
      <c r="AM2467" s="357" t="s">
        <v>276</v>
      </c>
      <c r="AN2467" s="357" t="s">
        <v>276</v>
      </c>
      <c r="AO2467" s="400">
        <f t="shared" si="655"/>
        <v>0.20056157240272765</v>
      </c>
      <c r="AP2467" s="357" t="s">
        <v>276</v>
      </c>
      <c r="AQ2467" s="357" t="s">
        <v>276</v>
      </c>
      <c r="AR2467" s="357" t="s">
        <v>276</v>
      </c>
      <c r="AS2467" s="369">
        <f t="shared" si="653"/>
        <v>0.37100170460242654</v>
      </c>
      <c r="AT2467" s="357" t="s">
        <v>276</v>
      </c>
      <c r="AU2467" s="357" t="s">
        <v>276</v>
      </c>
      <c r="AV2467" s="357" t="s">
        <v>268</v>
      </c>
      <c r="AW2467" s="357" t="s">
        <v>276</v>
      </c>
      <c r="AX2467" s="369">
        <f t="shared" si="654"/>
        <v>0.54059474637091975</v>
      </c>
      <c r="AY2467" s="357" t="s">
        <v>276</v>
      </c>
      <c r="AZ2467" s="357" t="s">
        <v>276</v>
      </c>
      <c r="BA2467" s="357" t="s">
        <v>276</v>
      </c>
      <c r="BB2467" s="357" t="s">
        <v>276</v>
      </c>
      <c r="BC2467" s="357" t="s">
        <v>276</v>
      </c>
      <c r="BD2467" s="357" t="s">
        <v>276</v>
      </c>
      <c r="BE2467" s="357" t="s">
        <v>276</v>
      </c>
      <c r="BF2467" s="357" t="s">
        <v>1358</v>
      </c>
      <c r="BG2467" s="393"/>
      <c r="BH2467" s="9" t="s">
        <v>100</v>
      </c>
      <c r="BI2467" s="9" t="s">
        <v>100</v>
      </c>
    </row>
    <row r="2468" spans="1:61" s="391" customFormat="1" ht="104" hidden="1" x14ac:dyDescent="0.35">
      <c r="A2468" s="357">
        <v>2832</v>
      </c>
      <c r="B2468" s="357" t="s">
        <v>6218</v>
      </c>
      <c r="C2468" s="357" t="s">
        <v>88</v>
      </c>
      <c r="D2468" s="351" t="s">
        <v>6241</v>
      </c>
      <c r="E2468" s="357" t="s">
        <v>43</v>
      </c>
      <c r="F2468" s="351" t="s">
        <v>4987</v>
      </c>
      <c r="G2468" s="357" t="s">
        <v>225</v>
      </c>
      <c r="H2468" s="357" t="s">
        <v>125</v>
      </c>
      <c r="I2468" s="357" t="s">
        <v>114</v>
      </c>
      <c r="J2468" s="351" t="s">
        <v>1116</v>
      </c>
      <c r="K2468" s="392" t="s">
        <v>5930</v>
      </c>
      <c r="L2468" s="351" t="s">
        <v>6220</v>
      </c>
      <c r="M2468" s="351" t="s">
        <v>5838</v>
      </c>
      <c r="N2468" s="357" t="s">
        <v>6221</v>
      </c>
      <c r="O2468" s="357" t="s">
        <v>276</v>
      </c>
      <c r="P2468" s="351" t="s">
        <v>239</v>
      </c>
      <c r="Q2468" s="383" t="s">
        <v>6222</v>
      </c>
      <c r="R2468" s="351" t="s">
        <v>766</v>
      </c>
      <c r="S2468" s="360" t="s">
        <v>276</v>
      </c>
      <c r="T2468" s="360" t="s">
        <v>276</v>
      </c>
      <c r="U2468" s="357">
        <v>5</v>
      </c>
      <c r="V2468" s="357" t="s">
        <v>261</v>
      </c>
      <c r="W2468" s="357" t="s">
        <v>5159</v>
      </c>
      <c r="X2468" s="351" t="s">
        <v>207</v>
      </c>
      <c r="Y2468" s="354">
        <v>9972</v>
      </c>
      <c r="Z2468" s="354">
        <v>9973</v>
      </c>
      <c r="AA2468" s="351" t="s">
        <v>276</v>
      </c>
      <c r="AB2468" s="351" t="s">
        <v>276</v>
      </c>
      <c r="AC2468" s="357">
        <v>555</v>
      </c>
      <c r="AD2468" s="357" t="s">
        <v>6237</v>
      </c>
      <c r="AE2468" s="357">
        <v>239</v>
      </c>
      <c r="AF2468" s="357" t="s">
        <v>6237</v>
      </c>
      <c r="AG2468" s="351" t="s">
        <v>6242</v>
      </c>
      <c r="AH2468" s="351" t="s">
        <v>6200</v>
      </c>
      <c r="AI2468" s="357">
        <v>24</v>
      </c>
      <c r="AJ2468" s="357">
        <v>47</v>
      </c>
      <c r="AK2468" s="354">
        <v>9972</v>
      </c>
      <c r="AL2468" s="354">
        <v>9973</v>
      </c>
      <c r="AM2468" s="357" t="s">
        <v>276</v>
      </c>
      <c r="AN2468" s="357">
        <v>0.24</v>
      </c>
      <c r="AO2468" s="400">
        <f t="shared" si="655"/>
        <v>0.24067388688327315</v>
      </c>
      <c r="AP2468" s="357" t="s">
        <v>276</v>
      </c>
      <c r="AQ2468" s="357" t="s">
        <v>276</v>
      </c>
      <c r="AR2468" s="357">
        <v>0.47</v>
      </c>
      <c r="AS2468" s="369">
        <f t="shared" si="653"/>
        <v>0.47127243557605536</v>
      </c>
      <c r="AT2468" s="357" t="s">
        <v>276</v>
      </c>
      <c r="AU2468" s="357" t="s">
        <v>276</v>
      </c>
      <c r="AV2468" s="357" t="s">
        <v>268</v>
      </c>
      <c r="AW2468" s="357">
        <f>1-0.489</f>
        <v>0.51100000000000001</v>
      </c>
      <c r="AX2468" s="369">
        <f t="shared" si="654"/>
        <v>0.51068950508231559</v>
      </c>
      <c r="AY2468" s="357" t="s">
        <v>276</v>
      </c>
      <c r="AZ2468" s="357" t="s">
        <v>276</v>
      </c>
      <c r="BA2468" s="357">
        <v>8.3999999999999995E-3</v>
      </c>
      <c r="BB2468" s="357" t="s">
        <v>276</v>
      </c>
      <c r="BC2468" s="357" t="s">
        <v>276</v>
      </c>
      <c r="BD2468" s="357" t="s">
        <v>276</v>
      </c>
      <c r="BE2468" s="357" t="s">
        <v>276</v>
      </c>
      <c r="BF2468" s="351" t="s">
        <v>6243</v>
      </c>
      <c r="BG2468" s="390"/>
      <c r="BH2468" s="9" t="s">
        <v>100</v>
      </c>
      <c r="BI2468" s="9" t="s">
        <v>100</v>
      </c>
    </row>
    <row r="2469" spans="1:61" s="10" customFormat="1" ht="65" hidden="1" x14ac:dyDescent="0.35">
      <c r="A2469" s="351">
        <v>2813</v>
      </c>
      <c r="B2469" s="351" t="s">
        <v>5421</v>
      </c>
      <c r="C2469" s="351" t="s">
        <v>88</v>
      </c>
      <c r="D2469" s="351" t="s">
        <v>6244</v>
      </c>
      <c r="E2469" s="351" t="s">
        <v>43</v>
      </c>
      <c r="F2469" s="351" t="s">
        <v>4987</v>
      </c>
      <c r="G2469" s="357" t="s">
        <v>225</v>
      </c>
      <c r="H2469" s="357" t="s">
        <v>125</v>
      </c>
      <c r="I2469" s="357" t="s">
        <v>114</v>
      </c>
      <c r="J2469" s="351" t="s">
        <v>30</v>
      </c>
      <c r="K2469" s="351" t="s">
        <v>6245</v>
      </c>
      <c r="L2469" s="351" t="s">
        <v>6246</v>
      </c>
      <c r="M2469" s="351" t="s">
        <v>6247</v>
      </c>
      <c r="N2469" s="351" t="s">
        <v>5814</v>
      </c>
      <c r="O2469" s="351" t="s">
        <v>6248</v>
      </c>
      <c r="P2469" s="351" t="s">
        <v>239</v>
      </c>
      <c r="Q2469" s="351" t="s">
        <v>5425</v>
      </c>
      <c r="R2469" s="351" t="s">
        <v>779</v>
      </c>
      <c r="S2469" s="351" t="s">
        <v>5426</v>
      </c>
      <c r="T2469" s="351" t="s">
        <v>5426</v>
      </c>
      <c r="U2469" s="351">
        <v>7</v>
      </c>
      <c r="V2469" s="351" t="s">
        <v>261</v>
      </c>
      <c r="W2469" s="351" t="s">
        <v>5159</v>
      </c>
      <c r="X2469" s="351" t="s">
        <v>207</v>
      </c>
      <c r="Y2469" s="351">
        <v>9952</v>
      </c>
      <c r="Z2469" s="351">
        <v>9952</v>
      </c>
      <c r="AA2469" s="351" t="s">
        <v>276</v>
      </c>
      <c r="AB2469" s="351" t="s">
        <v>276</v>
      </c>
      <c r="AC2469" s="351">
        <v>29</v>
      </c>
      <c r="AD2469" s="351" t="s">
        <v>6177</v>
      </c>
      <c r="AE2469" s="351">
        <v>57</v>
      </c>
      <c r="AF2469" s="351" t="s">
        <v>6177</v>
      </c>
      <c r="AG2469" s="351" t="s">
        <v>6249</v>
      </c>
      <c r="AH2469" s="351" t="s">
        <v>6200</v>
      </c>
      <c r="AI2469" s="351">
        <v>604</v>
      </c>
      <c r="AJ2469" s="351">
        <v>199</v>
      </c>
      <c r="AK2469" s="351">
        <v>9952</v>
      </c>
      <c r="AL2469" s="351">
        <v>9952</v>
      </c>
      <c r="AM2469" s="351" t="s">
        <v>292</v>
      </c>
      <c r="AN2469" s="401">
        <v>6.07</v>
      </c>
      <c r="AO2469" s="402">
        <f>(AI2469/AK2469)*100</f>
        <v>6.0691318327974271</v>
      </c>
      <c r="AP2469" s="351" t="s">
        <v>276</v>
      </c>
      <c r="AQ2469" s="351" t="s">
        <v>276</v>
      </c>
      <c r="AR2469" s="403">
        <v>2</v>
      </c>
      <c r="AS2469" s="402">
        <f>(AJ2469/AL2469)*100</f>
        <v>1.99959807073955</v>
      </c>
      <c r="AT2469" s="351" t="s">
        <v>276</v>
      </c>
      <c r="AU2469" s="351" t="s">
        <v>276</v>
      </c>
      <c r="AV2469" s="357" t="s">
        <v>268</v>
      </c>
      <c r="AW2469" s="351" t="s">
        <v>276</v>
      </c>
      <c r="AX2469" s="369">
        <f t="shared" si="654"/>
        <v>3.0351758793969843</v>
      </c>
      <c r="AY2469" s="351" t="s">
        <v>276</v>
      </c>
      <c r="AZ2469" s="351" t="s">
        <v>276</v>
      </c>
      <c r="BA2469" s="351" t="s">
        <v>276</v>
      </c>
      <c r="BB2469" s="351" t="s">
        <v>276</v>
      </c>
      <c r="BC2469" s="351" t="s">
        <v>276</v>
      </c>
      <c r="BD2469" s="351" t="s">
        <v>276</v>
      </c>
      <c r="BE2469" s="351" t="s">
        <v>276</v>
      </c>
      <c r="BF2469" s="351" t="s">
        <v>298</v>
      </c>
      <c r="BH2469" s="9" t="s">
        <v>100</v>
      </c>
      <c r="BI2469" s="9" t="s">
        <v>100</v>
      </c>
    </row>
    <row r="2470" spans="1:61" s="2" customFormat="1" ht="117" hidden="1" x14ac:dyDescent="0.35">
      <c r="A2470" s="357">
        <v>2813</v>
      </c>
      <c r="B2470" s="357" t="s">
        <v>5421</v>
      </c>
      <c r="C2470" s="357" t="s">
        <v>88</v>
      </c>
      <c r="D2470" s="351" t="s">
        <v>6250</v>
      </c>
      <c r="E2470" s="357" t="s">
        <v>43</v>
      </c>
      <c r="F2470" s="351" t="s">
        <v>4987</v>
      </c>
      <c r="G2470" s="357" t="s">
        <v>225</v>
      </c>
      <c r="H2470" s="357" t="s">
        <v>125</v>
      </c>
      <c r="I2470" s="357" t="s">
        <v>114</v>
      </c>
      <c r="J2470" s="351" t="s">
        <v>30</v>
      </c>
      <c r="K2470" s="351" t="s">
        <v>6251</v>
      </c>
      <c r="L2470" s="351" t="s">
        <v>6246</v>
      </c>
      <c r="M2470" s="351" t="s">
        <v>6247</v>
      </c>
      <c r="N2470" s="351" t="s">
        <v>5814</v>
      </c>
      <c r="O2470" s="351" t="s">
        <v>6252</v>
      </c>
      <c r="P2470" s="351" t="s">
        <v>239</v>
      </c>
      <c r="Q2470" s="351" t="s">
        <v>5425</v>
      </c>
      <c r="R2470" s="357" t="s">
        <v>779</v>
      </c>
      <c r="S2470" s="351" t="s">
        <v>5426</v>
      </c>
      <c r="T2470" s="351" t="s">
        <v>5426</v>
      </c>
      <c r="U2470" s="351">
        <v>7</v>
      </c>
      <c r="V2470" s="357" t="s">
        <v>261</v>
      </c>
      <c r="W2470" s="357" t="s">
        <v>5159</v>
      </c>
      <c r="X2470" s="351" t="s">
        <v>207</v>
      </c>
      <c r="Y2470" s="351">
        <v>9952</v>
      </c>
      <c r="Z2470" s="351">
        <v>9952</v>
      </c>
      <c r="AA2470" s="351" t="s">
        <v>276</v>
      </c>
      <c r="AB2470" s="351" t="s">
        <v>276</v>
      </c>
      <c r="AC2470" s="357">
        <v>29</v>
      </c>
      <c r="AD2470" s="351" t="s">
        <v>6177</v>
      </c>
      <c r="AE2470" s="351">
        <v>57</v>
      </c>
      <c r="AF2470" s="351" t="s">
        <v>6177</v>
      </c>
      <c r="AG2470" s="351" t="s">
        <v>6253</v>
      </c>
      <c r="AH2470" s="351" t="s">
        <v>6200</v>
      </c>
      <c r="AI2470" s="357">
        <v>363</v>
      </c>
      <c r="AJ2470" s="357">
        <v>249</v>
      </c>
      <c r="AK2470" s="351">
        <v>9952</v>
      </c>
      <c r="AL2470" s="351">
        <v>9952</v>
      </c>
      <c r="AM2470" s="357" t="s">
        <v>292</v>
      </c>
      <c r="AN2470" s="357">
        <v>3.65</v>
      </c>
      <c r="AO2470" s="377">
        <f t="shared" ref="AO2470:AO2480" si="656">(AI2470/AK2470)*100</f>
        <v>3.6475080385852094</v>
      </c>
      <c r="AP2470" s="357" t="s">
        <v>276</v>
      </c>
      <c r="AQ2470" s="357" t="s">
        <v>276</v>
      </c>
      <c r="AR2470" s="356">
        <v>2.5</v>
      </c>
      <c r="AS2470" s="377">
        <f t="shared" ref="AS2470:AS2481" si="657">(AJ2470/AL2470)*100</f>
        <v>2.502009646302251</v>
      </c>
      <c r="AT2470" s="357" t="s">
        <v>276</v>
      </c>
      <c r="AU2470" s="357" t="s">
        <v>276</v>
      </c>
      <c r="AV2470" s="357" t="s">
        <v>268</v>
      </c>
      <c r="AW2470" s="357" t="s">
        <v>276</v>
      </c>
      <c r="AX2470" s="369">
        <f t="shared" si="654"/>
        <v>1.457831325301205</v>
      </c>
      <c r="AY2470" s="357" t="s">
        <v>276</v>
      </c>
      <c r="AZ2470" s="357" t="s">
        <v>276</v>
      </c>
      <c r="BA2470" s="357" t="s">
        <v>276</v>
      </c>
      <c r="BB2470" s="357" t="s">
        <v>276</v>
      </c>
      <c r="BC2470" s="357" t="s">
        <v>276</v>
      </c>
      <c r="BD2470" s="357" t="s">
        <v>276</v>
      </c>
      <c r="BE2470" s="357" t="s">
        <v>276</v>
      </c>
      <c r="BF2470" s="357" t="s">
        <v>298</v>
      </c>
      <c r="BH2470" s="9" t="s">
        <v>100</v>
      </c>
      <c r="BI2470" s="9" t="s">
        <v>100</v>
      </c>
    </row>
    <row r="2471" spans="1:61" s="2" customFormat="1" ht="130" hidden="1" x14ac:dyDescent="0.35">
      <c r="A2471" s="357">
        <v>2813</v>
      </c>
      <c r="B2471" s="357" t="s">
        <v>5421</v>
      </c>
      <c r="C2471" s="357" t="s">
        <v>88</v>
      </c>
      <c r="D2471" s="351" t="s">
        <v>6254</v>
      </c>
      <c r="E2471" s="357" t="s">
        <v>43</v>
      </c>
      <c r="F2471" s="351" t="s">
        <v>4987</v>
      </c>
      <c r="G2471" s="357" t="s">
        <v>225</v>
      </c>
      <c r="H2471" s="357" t="s">
        <v>125</v>
      </c>
      <c r="I2471" s="357" t="s">
        <v>114</v>
      </c>
      <c r="J2471" s="351" t="s">
        <v>30</v>
      </c>
      <c r="K2471" s="351" t="s">
        <v>6255</v>
      </c>
      <c r="L2471" s="351" t="s">
        <v>6246</v>
      </c>
      <c r="M2471" s="351" t="s">
        <v>6247</v>
      </c>
      <c r="N2471" s="351" t="s">
        <v>5814</v>
      </c>
      <c r="O2471" s="351" t="s">
        <v>6252</v>
      </c>
      <c r="P2471" s="351" t="s">
        <v>239</v>
      </c>
      <c r="Q2471" s="351" t="s">
        <v>5425</v>
      </c>
      <c r="R2471" s="357" t="s">
        <v>779</v>
      </c>
      <c r="S2471" s="351" t="s">
        <v>5426</v>
      </c>
      <c r="T2471" s="351" t="s">
        <v>5426</v>
      </c>
      <c r="U2471" s="357">
        <v>7</v>
      </c>
      <c r="V2471" s="357" t="s">
        <v>261</v>
      </c>
      <c r="W2471" s="357" t="s">
        <v>5159</v>
      </c>
      <c r="X2471" s="351" t="s">
        <v>207</v>
      </c>
      <c r="Y2471" s="351">
        <v>9952</v>
      </c>
      <c r="Z2471" s="351">
        <v>9952</v>
      </c>
      <c r="AA2471" s="351" t="s">
        <v>276</v>
      </c>
      <c r="AB2471" s="351" t="s">
        <v>276</v>
      </c>
      <c r="AC2471" s="357">
        <v>29</v>
      </c>
      <c r="AD2471" s="351" t="s">
        <v>6177</v>
      </c>
      <c r="AE2471" s="351">
        <v>57</v>
      </c>
      <c r="AF2471" s="351" t="s">
        <v>6177</v>
      </c>
      <c r="AG2471" s="351" t="s">
        <v>6256</v>
      </c>
      <c r="AH2471" s="351" t="s">
        <v>6200</v>
      </c>
      <c r="AI2471" s="357">
        <v>96</v>
      </c>
      <c r="AJ2471" s="357">
        <v>126</v>
      </c>
      <c r="AK2471" s="351">
        <v>9952</v>
      </c>
      <c r="AL2471" s="351">
        <v>9952</v>
      </c>
      <c r="AM2471" s="357" t="s">
        <v>292</v>
      </c>
      <c r="AN2471" s="357">
        <v>0.96</v>
      </c>
      <c r="AO2471" s="377">
        <f t="shared" si="656"/>
        <v>0.96463022508038598</v>
      </c>
      <c r="AP2471" s="357" t="s">
        <v>276</v>
      </c>
      <c r="AQ2471" s="357" t="s">
        <v>276</v>
      </c>
      <c r="AR2471" s="356">
        <v>1.27</v>
      </c>
      <c r="AS2471" s="377">
        <f t="shared" si="657"/>
        <v>1.2660771704180065</v>
      </c>
      <c r="AT2471" s="357" t="s">
        <v>276</v>
      </c>
      <c r="AU2471" s="357" t="s">
        <v>276</v>
      </c>
      <c r="AV2471" s="357" t="s">
        <v>268</v>
      </c>
      <c r="AW2471" s="357" t="s">
        <v>276</v>
      </c>
      <c r="AX2471" s="369">
        <f t="shared" si="654"/>
        <v>0.76190476190476197</v>
      </c>
      <c r="AY2471" s="357" t="s">
        <v>276</v>
      </c>
      <c r="AZ2471" s="357" t="s">
        <v>276</v>
      </c>
      <c r="BA2471" s="357" t="s">
        <v>276</v>
      </c>
      <c r="BB2471" s="357" t="s">
        <v>276</v>
      </c>
      <c r="BC2471" s="357" t="s">
        <v>276</v>
      </c>
      <c r="BD2471" s="357" t="s">
        <v>276</v>
      </c>
      <c r="BE2471" s="357" t="s">
        <v>276</v>
      </c>
      <c r="BF2471" s="357" t="s">
        <v>298</v>
      </c>
      <c r="BH2471" s="9" t="s">
        <v>100</v>
      </c>
      <c r="BI2471" s="9" t="s">
        <v>100</v>
      </c>
    </row>
    <row r="2472" spans="1:61" s="2" customFormat="1" ht="65" hidden="1" x14ac:dyDescent="0.35">
      <c r="A2472" s="357">
        <v>2813</v>
      </c>
      <c r="B2472" s="357" t="s">
        <v>5421</v>
      </c>
      <c r="C2472" s="357" t="s">
        <v>88</v>
      </c>
      <c r="D2472" s="351" t="s">
        <v>6257</v>
      </c>
      <c r="E2472" s="357" t="s">
        <v>43</v>
      </c>
      <c r="F2472" s="351" t="s">
        <v>4987</v>
      </c>
      <c r="G2472" s="357" t="s">
        <v>225</v>
      </c>
      <c r="H2472" s="357" t="s">
        <v>125</v>
      </c>
      <c r="I2472" s="357" t="s">
        <v>114</v>
      </c>
      <c r="J2472" s="351" t="s">
        <v>30</v>
      </c>
      <c r="K2472" s="357" t="s">
        <v>6258</v>
      </c>
      <c r="L2472" s="351" t="s">
        <v>6246</v>
      </c>
      <c r="M2472" s="351" t="s">
        <v>6247</v>
      </c>
      <c r="N2472" s="351" t="s">
        <v>5814</v>
      </c>
      <c r="O2472" s="351" t="s">
        <v>6252</v>
      </c>
      <c r="P2472" s="351" t="s">
        <v>239</v>
      </c>
      <c r="Q2472" s="351" t="s">
        <v>5425</v>
      </c>
      <c r="R2472" s="357" t="s">
        <v>779</v>
      </c>
      <c r="S2472" s="351" t="s">
        <v>5426</v>
      </c>
      <c r="T2472" s="351" t="s">
        <v>5426</v>
      </c>
      <c r="U2472" s="351">
        <v>7</v>
      </c>
      <c r="V2472" s="357" t="s">
        <v>261</v>
      </c>
      <c r="W2472" s="357" t="s">
        <v>5159</v>
      </c>
      <c r="X2472" s="351" t="s">
        <v>207</v>
      </c>
      <c r="Y2472" s="351">
        <v>9952</v>
      </c>
      <c r="Z2472" s="351">
        <v>9952</v>
      </c>
      <c r="AA2472" s="351" t="s">
        <v>276</v>
      </c>
      <c r="AB2472" s="351" t="s">
        <v>276</v>
      </c>
      <c r="AC2472" s="357">
        <v>29</v>
      </c>
      <c r="AD2472" s="351" t="s">
        <v>6177</v>
      </c>
      <c r="AE2472" s="351">
        <v>57</v>
      </c>
      <c r="AF2472" s="351" t="s">
        <v>6177</v>
      </c>
      <c r="AG2472" s="351" t="s">
        <v>6259</v>
      </c>
      <c r="AH2472" s="351" t="s">
        <v>6200</v>
      </c>
      <c r="AI2472" s="357">
        <v>46</v>
      </c>
      <c r="AJ2472" s="357">
        <v>87</v>
      </c>
      <c r="AK2472" s="351">
        <v>9952</v>
      </c>
      <c r="AL2472" s="351">
        <v>9952</v>
      </c>
      <c r="AM2472" s="357" t="s">
        <v>292</v>
      </c>
      <c r="AN2472" s="357">
        <v>0.46</v>
      </c>
      <c r="AO2472" s="377">
        <f t="shared" si="656"/>
        <v>0.46221864951768488</v>
      </c>
      <c r="AP2472" s="357" t="s">
        <v>276</v>
      </c>
      <c r="AQ2472" s="357" t="s">
        <v>276</v>
      </c>
      <c r="AR2472" s="356">
        <v>0.87</v>
      </c>
      <c r="AS2472" s="377">
        <f t="shared" si="657"/>
        <v>0.87419614147909963</v>
      </c>
      <c r="AT2472" s="357" t="s">
        <v>276</v>
      </c>
      <c r="AU2472" s="357" t="s">
        <v>276</v>
      </c>
      <c r="AV2472" s="357" t="s">
        <v>268</v>
      </c>
      <c r="AW2472" s="357" t="s">
        <v>276</v>
      </c>
      <c r="AX2472" s="369">
        <f t="shared" si="654"/>
        <v>0.52873563218390807</v>
      </c>
      <c r="AY2472" s="357" t="s">
        <v>276</v>
      </c>
      <c r="AZ2472" s="357" t="s">
        <v>276</v>
      </c>
      <c r="BA2472" s="357">
        <v>2.9999999999999997E-4</v>
      </c>
      <c r="BB2472" s="357" t="s">
        <v>276</v>
      </c>
      <c r="BC2472" s="357" t="s">
        <v>276</v>
      </c>
      <c r="BD2472" s="357" t="s">
        <v>276</v>
      </c>
      <c r="BE2472" s="357" t="s">
        <v>276</v>
      </c>
      <c r="BF2472" s="351" t="s">
        <v>6260</v>
      </c>
      <c r="BH2472" s="9" t="s">
        <v>100</v>
      </c>
      <c r="BI2472" s="9" t="s">
        <v>100</v>
      </c>
    </row>
    <row r="2473" spans="1:61" s="2" customFormat="1" ht="65" hidden="1" x14ac:dyDescent="0.35">
      <c r="A2473" s="357">
        <v>2812</v>
      </c>
      <c r="B2473" s="357" t="s">
        <v>5432</v>
      </c>
      <c r="C2473" s="357" t="s">
        <v>88</v>
      </c>
      <c r="D2473" s="351" t="s">
        <v>6261</v>
      </c>
      <c r="E2473" s="357" t="s">
        <v>43</v>
      </c>
      <c r="F2473" s="351" t="s">
        <v>4987</v>
      </c>
      <c r="G2473" s="357" t="s">
        <v>225</v>
      </c>
      <c r="H2473" s="357" t="s">
        <v>125</v>
      </c>
      <c r="I2473" s="357" t="s">
        <v>114</v>
      </c>
      <c r="J2473" s="351" t="s">
        <v>30</v>
      </c>
      <c r="K2473" s="351" t="s">
        <v>6245</v>
      </c>
      <c r="L2473" s="351" t="s">
        <v>5838</v>
      </c>
      <c r="M2473" s="351" t="s">
        <v>5838</v>
      </c>
      <c r="N2473" s="357" t="s">
        <v>276</v>
      </c>
      <c r="O2473" s="351" t="s">
        <v>5454</v>
      </c>
      <c r="P2473" s="351" t="s">
        <v>239</v>
      </c>
      <c r="Q2473" s="383" t="s">
        <v>5436</v>
      </c>
      <c r="R2473" s="351" t="s">
        <v>1258</v>
      </c>
      <c r="S2473" s="355" t="s">
        <v>6262</v>
      </c>
      <c r="T2473" s="355" t="s">
        <v>6263</v>
      </c>
      <c r="U2473" s="351">
        <v>9</v>
      </c>
      <c r="V2473" s="357" t="s">
        <v>261</v>
      </c>
      <c r="W2473" s="357" t="s">
        <v>5159</v>
      </c>
      <c r="X2473" s="351" t="s">
        <v>207</v>
      </c>
      <c r="Y2473" s="357">
        <v>9950</v>
      </c>
      <c r="Z2473" s="357">
        <v>9949</v>
      </c>
      <c r="AA2473" s="351" t="s">
        <v>276</v>
      </c>
      <c r="AB2473" s="351" t="s">
        <v>276</v>
      </c>
      <c r="AC2473" s="357">
        <v>25</v>
      </c>
      <c r="AD2473" s="351" t="s">
        <v>6177</v>
      </c>
      <c r="AE2473" s="357">
        <v>61</v>
      </c>
      <c r="AF2473" s="351" t="s">
        <v>6177</v>
      </c>
      <c r="AG2473" s="351" t="s">
        <v>6264</v>
      </c>
      <c r="AH2473" s="351" t="s">
        <v>6200</v>
      </c>
      <c r="AI2473" s="357">
        <v>699</v>
      </c>
      <c r="AJ2473" s="357">
        <v>254</v>
      </c>
      <c r="AK2473" s="357">
        <v>9950</v>
      </c>
      <c r="AL2473" s="357">
        <v>9949</v>
      </c>
      <c r="AM2473" s="357" t="s">
        <v>292</v>
      </c>
      <c r="AN2473" s="368">
        <v>7</v>
      </c>
      <c r="AO2473" s="377">
        <f t="shared" si="656"/>
        <v>7.0251256281407031</v>
      </c>
      <c r="AP2473" s="357" t="s">
        <v>276</v>
      </c>
      <c r="AQ2473" s="357" t="s">
        <v>276</v>
      </c>
      <c r="AR2473" s="368">
        <v>2.6</v>
      </c>
      <c r="AS2473" s="377">
        <f t="shared" si="657"/>
        <v>2.5530204040607094</v>
      </c>
      <c r="AT2473" s="357" t="s">
        <v>276</v>
      </c>
      <c r="AU2473" s="357" t="s">
        <v>276</v>
      </c>
      <c r="AV2473" s="357" t="s">
        <v>268</v>
      </c>
      <c r="AW2473" s="357" t="s">
        <v>276</v>
      </c>
      <c r="AX2473" s="369">
        <f t="shared" si="654"/>
        <v>2.7516919241878686</v>
      </c>
      <c r="AY2473" s="357" t="s">
        <v>276</v>
      </c>
      <c r="AZ2473" s="357" t="s">
        <v>276</v>
      </c>
      <c r="BA2473" s="357" t="s">
        <v>276</v>
      </c>
      <c r="BB2473" s="357" t="s">
        <v>276</v>
      </c>
      <c r="BC2473" s="357" t="s">
        <v>276</v>
      </c>
      <c r="BD2473" s="357" t="s">
        <v>276</v>
      </c>
      <c r="BE2473" s="357" t="s">
        <v>276</v>
      </c>
      <c r="BF2473" s="357" t="s">
        <v>1358</v>
      </c>
      <c r="BH2473" s="9" t="s">
        <v>100</v>
      </c>
      <c r="BI2473" s="9" t="s">
        <v>100</v>
      </c>
    </row>
    <row r="2474" spans="1:61" s="2" customFormat="1" ht="117" hidden="1" x14ac:dyDescent="0.35">
      <c r="A2474" s="357">
        <v>2812</v>
      </c>
      <c r="B2474" s="357" t="s">
        <v>5432</v>
      </c>
      <c r="C2474" s="357" t="s">
        <v>88</v>
      </c>
      <c r="D2474" s="351" t="s">
        <v>6265</v>
      </c>
      <c r="E2474" s="357" t="s">
        <v>43</v>
      </c>
      <c r="F2474" s="351" t="s">
        <v>4987</v>
      </c>
      <c r="G2474" s="357" t="s">
        <v>225</v>
      </c>
      <c r="H2474" s="357" t="s">
        <v>125</v>
      </c>
      <c r="I2474" s="357" t="s">
        <v>114</v>
      </c>
      <c r="J2474" s="351" t="s">
        <v>30</v>
      </c>
      <c r="K2474" s="351" t="s">
        <v>6251</v>
      </c>
      <c r="L2474" s="351" t="s">
        <v>5838</v>
      </c>
      <c r="M2474" s="351" t="s">
        <v>5838</v>
      </c>
      <c r="N2474" s="357" t="s">
        <v>276</v>
      </c>
      <c r="O2474" s="351" t="s">
        <v>5454</v>
      </c>
      <c r="P2474" s="351" t="s">
        <v>239</v>
      </c>
      <c r="Q2474" s="383" t="s">
        <v>5436</v>
      </c>
      <c r="R2474" s="351" t="s">
        <v>1258</v>
      </c>
      <c r="S2474" s="355" t="s">
        <v>6262</v>
      </c>
      <c r="T2474" s="355" t="s">
        <v>6263</v>
      </c>
      <c r="U2474" s="351">
        <v>9</v>
      </c>
      <c r="V2474" s="357" t="s">
        <v>261</v>
      </c>
      <c r="W2474" s="357" t="s">
        <v>5159</v>
      </c>
      <c r="X2474" s="351" t="s">
        <v>207</v>
      </c>
      <c r="Y2474" s="357">
        <v>9950</v>
      </c>
      <c r="Z2474" s="357">
        <v>9949</v>
      </c>
      <c r="AA2474" s="351" t="s">
        <v>276</v>
      </c>
      <c r="AB2474" s="351" t="s">
        <v>276</v>
      </c>
      <c r="AC2474" s="357">
        <v>25</v>
      </c>
      <c r="AD2474" s="351" t="s">
        <v>6177</v>
      </c>
      <c r="AE2474" s="357">
        <v>61</v>
      </c>
      <c r="AF2474" s="351" t="s">
        <v>6177</v>
      </c>
      <c r="AG2474" s="351" t="s">
        <v>6266</v>
      </c>
      <c r="AH2474" s="351" t="s">
        <v>6200</v>
      </c>
      <c r="AI2474" s="357">
        <v>470</v>
      </c>
      <c r="AJ2474" s="357">
        <v>359</v>
      </c>
      <c r="AK2474" s="357">
        <v>9950</v>
      </c>
      <c r="AL2474" s="357">
        <v>9949</v>
      </c>
      <c r="AM2474" s="357" t="s">
        <v>292</v>
      </c>
      <c r="AN2474" s="368">
        <v>4.7</v>
      </c>
      <c r="AO2474" s="377">
        <f t="shared" si="656"/>
        <v>4.7236180904522609</v>
      </c>
      <c r="AP2474" s="357" t="s">
        <v>276</v>
      </c>
      <c r="AQ2474" s="357" t="s">
        <v>276</v>
      </c>
      <c r="AR2474" s="368">
        <v>3.6</v>
      </c>
      <c r="AS2474" s="377">
        <f t="shared" si="657"/>
        <v>3.6084028545582472</v>
      </c>
      <c r="AT2474" s="357" t="s">
        <v>276</v>
      </c>
      <c r="AU2474" s="357" t="s">
        <v>276</v>
      </c>
      <c r="AV2474" s="357" t="s">
        <v>268</v>
      </c>
      <c r="AW2474" s="357" t="s">
        <v>276</v>
      </c>
      <c r="AX2474" s="369">
        <f t="shared" si="654"/>
        <v>1.3090606234515192</v>
      </c>
      <c r="AY2474" s="357" t="s">
        <v>276</v>
      </c>
      <c r="AZ2474" s="357" t="s">
        <v>276</v>
      </c>
      <c r="BA2474" s="357" t="s">
        <v>276</v>
      </c>
      <c r="BB2474" s="357" t="s">
        <v>276</v>
      </c>
      <c r="BC2474" s="357" t="s">
        <v>276</v>
      </c>
      <c r="BD2474" s="357" t="s">
        <v>276</v>
      </c>
      <c r="BE2474" s="357" t="s">
        <v>276</v>
      </c>
      <c r="BF2474" s="357" t="s">
        <v>1358</v>
      </c>
      <c r="BH2474" s="9" t="s">
        <v>100</v>
      </c>
      <c r="BI2474" s="9" t="s">
        <v>100</v>
      </c>
    </row>
    <row r="2475" spans="1:61" s="2" customFormat="1" ht="130" hidden="1" x14ac:dyDescent="0.35">
      <c r="A2475" s="357">
        <v>2812</v>
      </c>
      <c r="B2475" s="357" t="s">
        <v>5432</v>
      </c>
      <c r="C2475" s="357" t="s">
        <v>88</v>
      </c>
      <c r="D2475" s="351" t="s">
        <v>6267</v>
      </c>
      <c r="E2475" s="357" t="s">
        <v>43</v>
      </c>
      <c r="F2475" s="351" t="s">
        <v>4987</v>
      </c>
      <c r="G2475" s="357" t="s">
        <v>225</v>
      </c>
      <c r="H2475" s="357" t="s">
        <v>125</v>
      </c>
      <c r="I2475" s="357" t="s">
        <v>114</v>
      </c>
      <c r="J2475" s="351" t="s">
        <v>30</v>
      </c>
      <c r="K2475" s="351" t="s">
        <v>6255</v>
      </c>
      <c r="L2475" s="351" t="s">
        <v>5838</v>
      </c>
      <c r="M2475" s="351" t="s">
        <v>5838</v>
      </c>
      <c r="N2475" s="357" t="s">
        <v>276</v>
      </c>
      <c r="O2475" s="351" t="s">
        <v>5454</v>
      </c>
      <c r="P2475" s="351" t="s">
        <v>239</v>
      </c>
      <c r="Q2475" s="383" t="s">
        <v>5436</v>
      </c>
      <c r="R2475" s="351" t="s">
        <v>1258</v>
      </c>
      <c r="S2475" s="355" t="s">
        <v>6262</v>
      </c>
      <c r="T2475" s="355" t="s">
        <v>6263</v>
      </c>
      <c r="U2475" s="351">
        <v>9</v>
      </c>
      <c r="V2475" s="357" t="s">
        <v>261</v>
      </c>
      <c r="W2475" s="357" t="s">
        <v>5159</v>
      </c>
      <c r="X2475" s="351" t="s">
        <v>207</v>
      </c>
      <c r="Y2475" s="357">
        <v>9950</v>
      </c>
      <c r="Z2475" s="357">
        <v>9949</v>
      </c>
      <c r="AA2475" s="351" t="s">
        <v>276</v>
      </c>
      <c r="AB2475" s="351" t="s">
        <v>276</v>
      </c>
      <c r="AC2475" s="357">
        <v>25</v>
      </c>
      <c r="AD2475" s="351" t="s">
        <v>6177</v>
      </c>
      <c r="AE2475" s="357">
        <v>61</v>
      </c>
      <c r="AF2475" s="351" t="s">
        <v>6177</v>
      </c>
      <c r="AG2475" s="351" t="s">
        <v>6268</v>
      </c>
      <c r="AH2475" s="351" t="s">
        <v>6200</v>
      </c>
      <c r="AI2475" s="357">
        <v>135</v>
      </c>
      <c r="AJ2475" s="357">
        <v>170</v>
      </c>
      <c r="AK2475" s="357">
        <v>9950</v>
      </c>
      <c r="AL2475" s="357">
        <v>9949</v>
      </c>
      <c r="AM2475" s="357" t="s">
        <v>292</v>
      </c>
      <c r="AN2475" s="368">
        <v>1.4</v>
      </c>
      <c r="AO2475" s="377">
        <f t="shared" si="656"/>
        <v>1.3567839195979898</v>
      </c>
      <c r="AP2475" s="357" t="s">
        <v>276</v>
      </c>
      <c r="AQ2475" s="357" t="s">
        <v>276</v>
      </c>
      <c r="AR2475" s="368">
        <v>1.7</v>
      </c>
      <c r="AS2475" s="377">
        <f t="shared" si="657"/>
        <v>1.7087144436626795</v>
      </c>
      <c r="AT2475" s="357" t="s">
        <v>276</v>
      </c>
      <c r="AU2475" s="357" t="s">
        <v>276</v>
      </c>
      <c r="AV2475" s="357" t="s">
        <v>268</v>
      </c>
      <c r="AW2475" s="357" t="s">
        <v>276</v>
      </c>
      <c r="AX2475" s="369">
        <f t="shared" si="654"/>
        <v>0.79403783624002366</v>
      </c>
      <c r="AY2475" s="357" t="s">
        <v>276</v>
      </c>
      <c r="AZ2475" s="357" t="s">
        <v>276</v>
      </c>
      <c r="BA2475" s="357" t="s">
        <v>276</v>
      </c>
      <c r="BB2475" s="357" t="s">
        <v>276</v>
      </c>
      <c r="BC2475" s="357" t="s">
        <v>276</v>
      </c>
      <c r="BD2475" s="357" t="s">
        <v>276</v>
      </c>
      <c r="BE2475" s="357" t="s">
        <v>276</v>
      </c>
      <c r="BF2475" s="357" t="s">
        <v>1358</v>
      </c>
      <c r="BH2475" s="9" t="s">
        <v>100</v>
      </c>
      <c r="BI2475" s="9" t="s">
        <v>100</v>
      </c>
    </row>
    <row r="2476" spans="1:61" s="2" customFormat="1" ht="65" hidden="1" x14ac:dyDescent="0.35">
      <c r="A2476" s="357">
        <v>2812</v>
      </c>
      <c r="B2476" s="357" t="s">
        <v>5432</v>
      </c>
      <c r="C2476" s="357" t="s">
        <v>88</v>
      </c>
      <c r="D2476" s="351" t="s">
        <v>6269</v>
      </c>
      <c r="E2476" s="357" t="s">
        <v>43</v>
      </c>
      <c r="F2476" s="351" t="s">
        <v>4987</v>
      </c>
      <c r="G2476" s="357" t="s">
        <v>225</v>
      </c>
      <c r="H2476" s="357" t="s">
        <v>125</v>
      </c>
      <c r="I2476" s="357" t="s">
        <v>114</v>
      </c>
      <c r="J2476" s="351" t="s">
        <v>30</v>
      </c>
      <c r="K2476" s="357" t="s">
        <v>6258</v>
      </c>
      <c r="L2476" s="351" t="s">
        <v>5838</v>
      </c>
      <c r="M2476" s="351" t="s">
        <v>5838</v>
      </c>
      <c r="N2476" s="357" t="s">
        <v>276</v>
      </c>
      <c r="O2476" s="351" t="s">
        <v>5454</v>
      </c>
      <c r="P2476" s="351" t="s">
        <v>239</v>
      </c>
      <c r="Q2476" s="383" t="s">
        <v>5436</v>
      </c>
      <c r="R2476" s="351" t="s">
        <v>1258</v>
      </c>
      <c r="S2476" s="355" t="s">
        <v>6262</v>
      </c>
      <c r="T2476" s="355" t="s">
        <v>6263</v>
      </c>
      <c r="U2476" s="351">
        <v>9</v>
      </c>
      <c r="V2476" s="357" t="s">
        <v>261</v>
      </c>
      <c r="W2476" s="357" t="s">
        <v>5159</v>
      </c>
      <c r="X2476" s="351" t="s">
        <v>207</v>
      </c>
      <c r="Y2476" s="357">
        <v>9950</v>
      </c>
      <c r="Z2476" s="357">
        <v>9949</v>
      </c>
      <c r="AA2476" s="351" t="s">
        <v>276</v>
      </c>
      <c r="AB2476" s="351" t="s">
        <v>276</v>
      </c>
      <c r="AC2476" s="357">
        <v>25</v>
      </c>
      <c r="AD2476" s="351" t="s">
        <v>6177</v>
      </c>
      <c r="AE2476" s="357">
        <v>61</v>
      </c>
      <c r="AF2476" s="351" t="s">
        <v>6177</v>
      </c>
      <c r="AG2476" s="351" t="s">
        <v>6270</v>
      </c>
      <c r="AH2476" s="351" t="s">
        <v>6200</v>
      </c>
      <c r="AI2476" s="357">
        <v>67</v>
      </c>
      <c r="AJ2476" s="357">
        <v>118</v>
      </c>
      <c r="AK2476" s="357">
        <v>9950</v>
      </c>
      <c r="AL2476" s="357">
        <v>9949</v>
      </c>
      <c r="AM2476" s="357" t="s">
        <v>292</v>
      </c>
      <c r="AN2476" s="356">
        <v>0.67</v>
      </c>
      <c r="AO2476" s="377">
        <f t="shared" si="656"/>
        <v>0.6733668341708543</v>
      </c>
      <c r="AP2476" s="357" t="s">
        <v>276</v>
      </c>
      <c r="AQ2476" s="357" t="s">
        <v>276</v>
      </c>
      <c r="AR2476" s="368">
        <v>1.2</v>
      </c>
      <c r="AS2476" s="377">
        <f t="shared" si="657"/>
        <v>1.1860488491305659</v>
      </c>
      <c r="AT2476" s="357" t="s">
        <v>276</v>
      </c>
      <c r="AU2476" s="357" t="s">
        <v>276</v>
      </c>
      <c r="AV2476" s="357" t="s">
        <v>268</v>
      </c>
      <c r="AW2476" s="357" t="s">
        <v>276</v>
      </c>
      <c r="AX2476" s="369">
        <f t="shared" si="654"/>
        <v>0.56773954518354486</v>
      </c>
      <c r="AY2476" s="357" t="s">
        <v>276</v>
      </c>
      <c r="AZ2476" s="357" t="s">
        <v>276</v>
      </c>
      <c r="BA2476" s="357" t="s">
        <v>276</v>
      </c>
      <c r="BB2476" s="357" t="s">
        <v>276</v>
      </c>
      <c r="BC2476" s="357" t="s">
        <v>276</v>
      </c>
      <c r="BD2476" s="357" t="s">
        <v>276</v>
      </c>
      <c r="BE2476" s="357" t="s">
        <v>276</v>
      </c>
      <c r="BF2476" s="357" t="s">
        <v>1358</v>
      </c>
      <c r="BH2476" s="9" t="s">
        <v>100</v>
      </c>
      <c r="BI2476" s="9" t="s">
        <v>100</v>
      </c>
    </row>
    <row r="2477" spans="1:61" s="384" customFormat="1" ht="65" hidden="1" x14ac:dyDescent="0.35">
      <c r="A2477" s="357">
        <v>2812</v>
      </c>
      <c r="B2477" s="357" t="s">
        <v>5432</v>
      </c>
      <c r="C2477" s="357" t="s">
        <v>88</v>
      </c>
      <c r="D2477" s="351" t="s">
        <v>6271</v>
      </c>
      <c r="E2477" s="357" t="s">
        <v>43</v>
      </c>
      <c r="F2477" s="351" t="s">
        <v>4987</v>
      </c>
      <c r="G2477" s="357" t="s">
        <v>225</v>
      </c>
      <c r="H2477" s="357" t="s">
        <v>125</v>
      </c>
      <c r="I2477" s="357" t="s">
        <v>114</v>
      </c>
      <c r="J2477" s="351" t="s">
        <v>1116</v>
      </c>
      <c r="K2477" s="357" t="s">
        <v>6272</v>
      </c>
      <c r="L2477" s="351" t="s">
        <v>5838</v>
      </c>
      <c r="M2477" s="351" t="s">
        <v>5838</v>
      </c>
      <c r="N2477" s="357" t="s">
        <v>276</v>
      </c>
      <c r="O2477" s="351" t="s">
        <v>5435</v>
      </c>
      <c r="P2477" s="351" t="s">
        <v>239</v>
      </c>
      <c r="Q2477" s="383" t="s">
        <v>5436</v>
      </c>
      <c r="R2477" s="351" t="s">
        <v>1258</v>
      </c>
      <c r="S2477" s="372"/>
      <c r="T2477" s="372"/>
      <c r="U2477" s="351">
        <v>9</v>
      </c>
      <c r="V2477" s="357" t="s">
        <v>261</v>
      </c>
      <c r="W2477" s="357" t="s">
        <v>5159</v>
      </c>
      <c r="X2477" s="351" t="s">
        <v>207</v>
      </c>
      <c r="Y2477" s="357">
        <v>9950</v>
      </c>
      <c r="Z2477" s="357">
        <v>9949</v>
      </c>
      <c r="AA2477" s="351" t="s">
        <v>276</v>
      </c>
      <c r="AB2477" s="351" t="s">
        <v>276</v>
      </c>
      <c r="AC2477" s="357" t="s">
        <v>276</v>
      </c>
      <c r="AD2477" s="351" t="s">
        <v>6273</v>
      </c>
      <c r="AE2477" s="357" t="s">
        <v>276</v>
      </c>
      <c r="AF2477" s="351" t="s">
        <v>6273</v>
      </c>
      <c r="AG2477" s="351" t="s">
        <v>6274</v>
      </c>
      <c r="AH2477" s="351" t="s">
        <v>6200</v>
      </c>
      <c r="AI2477" s="357">
        <v>116</v>
      </c>
      <c r="AJ2477" s="357">
        <v>179</v>
      </c>
      <c r="AK2477" s="357">
        <v>9950</v>
      </c>
      <c r="AL2477" s="357">
        <v>9949</v>
      </c>
      <c r="AM2477" s="357" t="s">
        <v>292</v>
      </c>
      <c r="AN2477" s="368">
        <v>1.2</v>
      </c>
      <c r="AO2477" s="377">
        <f t="shared" si="656"/>
        <v>1.1658291457286432</v>
      </c>
      <c r="AP2477" s="357" t="s">
        <v>276</v>
      </c>
      <c r="AQ2477" s="357" t="s">
        <v>276</v>
      </c>
      <c r="AR2477" s="368">
        <v>1.8</v>
      </c>
      <c r="AS2477" s="377">
        <f t="shared" si="657"/>
        <v>1.7991757965624684</v>
      </c>
      <c r="AT2477" s="357" t="s">
        <v>276</v>
      </c>
      <c r="AU2477" s="357" t="s">
        <v>276</v>
      </c>
      <c r="AV2477" s="357" t="s">
        <v>268</v>
      </c>
      <c r="AW2477" s="357" t="s">
        <v>276</v>
      </c>
      <c r="AX2477" s="369">
        <f t="shared" si="654"/>
        <v>0.64797956261755707</v>
      </c>
      <c r="AY2477" s="357" t="s">
        <v>276</v>
      </c>
      <c r="AZ2477" s="357" t="s">
        <v>276</v>
      </c>
      <c r="BA2477" s="357" t="s">
        <v>276</v>
      </c>
      <c r="BB2477" s="357" t="s">
        <v>276</v>
      </c>
      <c r="BC2477" s="357" t="s">
        <v>276</v>
      </c>
      <c r="BD2477" s="357" t="s">
        <v>276</v>
      </c>
      <c r="BE2477" s="357" t="s">
        <v>276</v>
      </c>
      <c r="BF2477" s="357" t="s">
        <v>1358</v>
      </c>
      <c r="BH2477" s="9" t="s">
        <v>100</v>
      </c>
      <c r="BI2477" s="9" t="s">
        <v>100</v>
      </c>
    </row>
    <row r="2478" spans="1:61" s="161" customFormat="1" ht="65" hidden="1" x14ac:dyDescent="0.35">
      <c r="A2478" s="357">
        <v>6325</v>
      </c>
      <c r="B2478" s="357" t="s">
        <v>5476</v>
      </c>
      <c r="C2478" s="357" t="s">
        <v>88</v>
      </c>
      <c r="D2478" s="351" t="s">
        <v>6275</v>
      </c>
      <c r="E2478" s="357" t="s">
        <v>43</v>
      </c>
      <c r="F2478" s="351" t="s">
        <v>4987</v>
      </c>
      <c r="G2478" s="357" t="s">
        <v>225</v>
      </c>
      <c r="H2478" s="357" t="s">
        <v>125</v>
      </c>
      <c r="I2478" s="357" t="s">
        <v>114</v>
      </c>
      <c r="J2478" s="351" t="s">
        <v>30</v>
      </c>
      <c r="K2478" s="351" t="s">
        <v>6245</v>
      </c>
      <c r="L2478" s="351" t="s">
        <v>5838</v>
      </c>
      <c r="M2478" s="351" t="s">
        <v>5838</v>
      </c>
      <c r="N2478" s="351" t="s">
        <v>6276</v>
      </c>
      <c r="O2478" s="351" t="s">
        <v>5479</v>
      </c>
      <c r="P2478" s="351" t="s">
        <v>239</v>
      </c>
      <c r="Q2478" s="383" t="s">
        <v>5480</v>
      </c>
      <c r="R2478" s="351" t="s">
        <v>5481</v>
      </c>
      <c r="S2478" s="354" t="s">
        <v>6277</v>
      </c>
      <c r="T2478" s="354" t="s">
        <v>6278</v>
      </c>
      <c r="U2478" s="357" t="s">
        <v>5484</v>
      </c>
      <c r="V2478" s="357" t="s">
        <v>261</v>
      </c>
      <c r="W2478" s="392" t="s">
        <v>5159</v>
      </c>
      <c r="X2478" s="351" t="s">
        <v>207</v>
      </c>
      <c r="Y2478" s="354">
        <v>9945</v>
      </c>
      <c r="Z2478" s="354">
        <v>9949</v>
      </c>
      <c r="AA2478" s="354" t="s">
        <v>276</v>
      </c>
      <c r="AB2478" s="354" t="s">
        <v>276</v>
      </c>
      <c r="AC2478" s="357">
        <v>32</v>
      </c>
      <c r="AD2478" s="357" t="s">
        <v>6279</v>
      </c>
      <c r="AE2478" s="357">
        <v>79</v>
      </c>
      <c r="AF2478" s="351" t="s">
        <v>6280</v>
      </c>
      <c r="AG2478" s="351" t="s">
        <v>6281</v>
      </c>
      <c r="AH2478" s="351" t="s">
        <v>6200</v>
      </c>
      <c r="AI2478" s="392">
        <v>723</v>
      </c>
      <c r="AJ2478" s="392">
        <v>269</v>
      </c>
      <c r="AK2478" s="354">
        <v>9945</v>
      </c>
      <c r="AL2478" s="354">
        <v>9949</v>
      </c>
      <c r="AM2478" s="392" t="s">
        <v>276</v>
      </c>
      <c r="AN2478" s="392" t="s">
        <v>276</v>
      </c>
      <c r="AO2478" s="377">
        <f t="shared" si="656"/>
        <v>7.2699849170437414</v>
      </c>
      <c r="AP2478" s="392" t="s">
        <v>276</v>
      </c>
      <c r="AQ2478" s="392" t="s">
        <v>276</v>
      </c>
      <c r="AR2478" s="392" t="s">
        <v>276</v>
      </c>
      <c r="AS2478" s="377">
        <f t="shared" si="657"/>
        <v>2.7037893255603578</v>
      </c>
      <c r="AT2478" s="392" t="s">
        <v>276</v>
      </c>
      <c r="AU2478" s="392" t="s">
        <v>276</v>
      </c>
      <c r="AV2478" s="357" t="s">
        <v>268</v>
      </c>
      <c r="AW2478" s="392" t="s">
        <v>276</v>
      </c>
      <c r="AX2478" s="369">
        <f t="shared" si="654"/>
        <v>2.6888133806568097</v>
      </c>
      <c r="AY2478" s="392" t="s">
        <v>276</v>
      </c>
      <c r="AZ2478" s="392" t="s">
        <v>276</v>
      </c>
      <c r="BA2478" s="392" t="s">
        <v>276</v>
      </c>
      <c r="BB2478" s="392" t="s">
        <v>276</v>
      </c>
      <c r="BC2478" s="392" t="s">
        <v>276</v>
      </c>
      <c r="BD2478" s="392" t="s">
        <v>276</v>
      </c>
      <c r="BE2478" s="392" t="s">
        <v>276</v>
      </c>
      <c r="BF2478" s="392" t="s">
        <v>298</v>
      </c>
      <c r="BH2478" s="9" t="s">
        <v>100</v>
      </c>
      <c r="BI2478" s="9" t="s">
        <v>100</v>
      </c>
    </row>
    <row r="2479" spans="1:61" s="161" customFormat="1" ht="117" hidden="1" x14ac:dyDescent="0.35">
      <c r="A2479" s="357">
        <v>6325</v>
      </c>
      <c r="B2479" s="357" t="s">
        <v>5476</v>
      </c>
      <c r="C2479" s="357" t="s">
        <v>88</v>
      </c>
      <c r="D2479" s="351" t="s">
        <v>6282</v>
      </c>
      <c r="E2479" s="357" t="s">
        <v>43</v>
      </c>
      <c r="F2479" s="351" t="s">
        <v>4987</v>
      </c>
      <c r="G2479" s="357" t="s">
        <v>225</v>
      </c>
      <c r="H2479" s="357" t="s">
        <v>125</v>
      </c>
      <c r="I2479" s="357" t="s">
        <v>114</v>
      </c>
      <c r="J2479" s="351" t="s">
        <v>30</v>
      </c>
      <c r="K2479" s="351" t="s">
        <v>6283</v>
      </c>
      <c r="L2479" s="351" t="s">
        <v>5838</v>
      </c>
      <c r="M2479" s="351" t="s">
        <v>5838</v>
      </c>
      <c r="N2479" s="351" t="s">
        <v>6276</v>
      </c>
      <c r="O2479" s="351" t="s">
        <v>5479</v>
      </c>
      <c r="P2479" s="351" t="s">
        <v>239</v>
      </c>
      <c r="Q2479" s="383" t="s">
        <v>5480</v>
      </c>
      <c r="R2479" s="351" t="s">
        <v>5481</v>
      </c>
      <c r="S2479" s="354" t="s">
        <v>6277</v>
      </c>
      <c r="T2479" s="354" t="s">
        <v>6278</v>
      </c>
      <c r="U2479" s="357" t="s">
        <v>5484</v>
      </c>
      <c r="V2479" s="357" t="s">
        <v>261</v>
      </c>
      <c r="W2479" s="392" t="s">
        <v>5159</v>
      </c>
      <c r="X2479" s="351" t="s">
        <v>207</v>
      </c>
      <c r="Y2479" s="354">
        <v>9945</v>
      </c>
      <c r="Z2479" s="354">
        <v>9949</v>
      </c>
      <c r="AA2479" s="354" t="s">
        <v>276</v>
      </c>
      <c r="AB2479" s="354" t="s">
        <v>276</v>
      </c>
      <c r="AC2479" s="357">
        <v>32</v>
      </c>
      <c r="AD2479" s="357" t="s">
        <v>6279</v>
      </c>
      <c r="AE2479" s="357">
        <v>79</v>
      </c>
      <c r="AF2479" s="351" t="s">
        <v>6280</v>
      </c>
      <c r="AG2479" s="351" t="s">
        <v>6284</v>
      </c>
      <c r="AH2479" s="351" t="s">
        <v>6200</v>
      </c>
      <c r="AI2479" s="392">
        <v>510</v>
      </c>
      <c r="AJ2479" s="392">
        <v>434</v>
      </c>
      <c r="AK2479" s="354">
        <v>9945</v>
      </c>
      <c r="AL2479" s="354">
        <v>9949</v>
      </c>
      <c r="AM2479" s="392" t="s">
        <v>276</v>
      </c>
      <c r="AN2479" s="392" t="s">
        <v>276</v>
      </c>
      <c r="AO2479" s="377">
        <f t="shared" si="656"/>
        <v>5.1282051282051277</v>
      </c>
      <c r="AP2479" s="392" t="s">
        <v>276</v>
      </c>
      <c r="AQ2479" s="392" t="s">
        <v>276</v>
      </c>
      <c r="AR2479" s="392" t="s">
        <v>276</v>
      </c>
      <c r="AS2479" s="377">
        <f t="shared" si="657"/>
        <v>4.3622474620564882</v>
      </c>
      <c r="AT2479" s="392" t="s">
        <v>276</v>
      </c>
      <c r="AU2479" s="392" t="s">
        <v>276</v>
      </c>
      <c r="AV2479" s="357" t="s">
        <v>268</v>
      </c>
      <c r="AW2479" s="392" t="s">
        <v>276</v>
      </c>
      <c r="AX2479" s="369">
        <f t="shared" si="654"/>
        <v>1.1755878530072077</v>
      </c>
      <c r="AY2479" s="392" t="s">
        <v>276</v>
      </c>
      <c r="AZ2479" s="392" t="s">
        <v>276</v>
      </c>
      <c r="BA2479" s="392" t="s">
        <v>276</v>
      </c>
      <c r="BB2479" s="392" t="s">
        <v>276</v>
      </c>
      <c r="BC2479" s="392" t="s">
        <v>276</v>
      </c>
      <c r="BD2479" s="392" t="s">
        <v>276</v>
      </c>
      <c r="BE2479" s="392" t="s">
        <v>276</v>
      </c>
      <c r="BF2479" s="392" t="s">
        <v>298</v>
      </c>
      <c r="BH2479" s="9" t="s">
        <v>100</v>
      </c>
      <c r="BI2479" s="9" t="s">
        <v>100</v>
      </c>
    </row>
    <row r="2480" spans="1:61" s="161" customFormat="1" ht="130" hidden="1" x14ac:dyDescent="0.35">
      <c r="A2480" s="357">
        <v>6325</v>
      </c>
      <c r="B2480" s="357" t="s">
        <v>5476</v>
      </c>
      <c r="C2480" s="357" t="s">
        <v>88</v>
      </c>
      <c r="D2480" s="351" t="s">
        <v>6285</v>
      </c>
      <c r="E2480" s="357" t="s">
        <v>43</v>
      </c>
      <c r="F2480" s="351" t="s">
        <v>4987</v>
      </c>
      <c r="G2480" s="357" t="s">
        <v>225</v>
      </c>
      <c r="H2480" s="357" t="s">
        <v>125</v>
      </c>
      <c r="I2480" s="357" t="s">
        <v>114</v>
      </c>
      <c r="J2480" s="351" t="s">
        <v>30</v>
      </c>
      <c r="K2480" s="351" t="s">
        <v>6255</v>
      </c>
      <c r="L2480" s="351" t="s">
        <v>5838</v>
      </c>
      <c r="M2480" s="351" t="s">
        <v>5838</v>
      </c>
      <c r="N2480" s="351" t="s">
        <v>6276</v>
      </c>
      <c r="O2480" s="351" t="s">
        <v>5479</v>
      </c>
      <c r="P2480" s="351" t="s">
        <v>239</v>
      </c>
      <c r="Q2480" s="383" t="s">
        <v>5480</v>
      </c>
      <c r="R2480" s="351" t="s">
        <v>5481</v>
      </c>
      <c r="S2480" s="354" t="s">
        <v>6277</v>
      </c>
      <c r="T2480" s="354" t="s">
        <v>6278</v>
      </c>
      <c r="U2480" s="357" t="s">
        <v>5484</v>
      </c>
      <c r="V2480" s="357" t="s">
        <v>261</v>
      </c>
      <c r="W2480" s="392" t="s">
        <v>5159</v>
      </c>
      <c r="X2480" s="351" t="s">
        <v>207</v>
      </c>
      <c r="Y2480" s="354">
        <v>9945</v>
      </c>
      <c r="Z2480" s="354">
        <v>9949</v>
      </c>
      <c r="AA2480" s="354" t="s">
        <v>276</v>
      </c>
      <c r="AB2480" s="354" t="s">
        <v>276</v>
      </c>
      <c r="AC2480" s="357">
        <v>32</v>
      </c>
      <c r="AD2480" s="357" t="s">
        <v>6279</v>
      </c>
      <c r="AE2480" s="357">
        <v>79</v>
      </c>
      <c r="AF2480" s="351" t="s">
        <v>6280</v>
      </c>
      <c r="AG2480" s="351" t="s">
        <v>6286</v>
      </c>
      <c r="AH2480" s="351" t="s">
        <v>6200</v>
      </c>
      <c r="AI2480" s="392">
        <v>174</v>
      </c>
      <c r="AJ2480" s="392">
        <v>206</v>
      </c>
      <c r="AK2480" s="354">
        <v>9945</v>
      </c>
      <c r="AL2480" s="354">
        <v>9949</v>
      </c>
      <c r="AM2480" s="392" t="s">
        <v>276</v>
      </c>
      <c r="AN2480" s="392" t="s">
        <v>276</v>
      </c>
      <c r="AO2480" s="377">
        <f t="shared" si="656"/>
        <v>1.7496229260935143</v>
      </c>
      <c r="AP2480" s="392" t="s">
        <v>276</v>
      </c>
      <c r="AQ2480" s="392" t="s">
        <v>276</v>
      </c>
      <c r="AR2480" s="392" t="s">
        <v>276</v>
      </c>
      <c r="AS2480" s="377">
        <f t="shared" si="657"/>
        <v>2.0705598552618354</v>
      </c>
      <c r="AT2480" s="392" t="s">
        <v>276</v>
      </c>
      <c r="AU2480" s="392" t="s">
        <v>276</v>
      </c>
      <c r="AV2480" s="357" t="s">
        <v>268</v>
      </c>
      <c r="AW2480" s="392" t="s">
        <v>276</v>
      </c>
      <c r="AX2480" s="369">
        <f t="shared" si="654"/>
        <v>0.84499992678176572</v>
      </c>
      <c r="AY2480" s="392" t="s">
        <v>276</v>
      </c>
      <c r="AZ2480" s="392" t="s">
        <v>276</v>
      </c>
      <c r="BA2480" s="392" t="s">
        <v>276</v>
      </c>
      <c r="BB2480" s="392" t="s">
        <v>276</v>
      </c>
      <c r="BC2480" s="392" t="s">
        <v>276</v>
      </c>
      <c r="BD2480" s="392" t="s">
        <v>276</v>
      </c>
      <c r="BE2480" s="392" t="s">
        <v>276</v>
      </c>
      <c r="BF2480" s="392" t="s">
        <v>298</v>
      </c>
      <c r="BH2480" s="9" t="s">
        <v>100</v>
      </c>
      <c r="BI2480" s="9" t="s">
        <v>100</v>
      </c>
    </row>
    <row r="2481" spans="1:90" s="161" customFormat="1" ht="65" hidden="1" x14ac:dyDescent="0.35">
      <c r="A2481" s="357">
        <v>6325</v>
      </c>
      <c r="B2481" s="357" t="s">
        <v>5476</v>
      </c>
      <c r="C2481" s="357" t="s">
        <v>88</v>
      </c>
      <c r="D2481" s="351" t="s">
        <v>6287</v>
      </c>
      <c r="E2481" s="357" t="s">
        <v>43</v>
      </c>
      <c r="F2481" s="351" t="s">
        <v>4987</v>
      </c>
      <c r="G2481" s="357" t="s">
        <v>225</v>
      </c>
      <c r="H2481" s="357" t="s">
        <v>125</v>
      </c>
      <c r="I2481" s="357" t="s">
        <v>114</v>
      </c>
      <c r="J2481" s="351" t="s">
        <v>30</v>
      </c>
      <c r="K2481" s="357" t="s">
        <v>6258</v>
      </c>
      <c r="L2481" s="351" t="s">
        <v>5838</v>
      </c>
      <c r="M2481" s="351" t="s">
        <v>5838</v>
      </c>
      <c r="N2481" s="351" t="s">
        <v>6276</v>
      </c>
      <c r="O2481" s="351" t="s">
        <v>5479</v>
      </c>
      <c r="P2481" s="351" t="s">
        <v>239</v>
      </c>
      <c r="Q2481" s="383" t="s">
        <v>5480</v>
      </c>
      <c r="R2481" s="351" t="s">
        <v>5481</v>
      </c>
      <c r="S2481" s="354" t="s">
        <v>6277</v>
      </c>
      <c r="T2481" s="354" t="s">
        <v>6278</v>
      </c>
      <c r="U2481" s="357" t="s">
        <v>5484</v>
      </c>
      <c r="V2481" s="357" t="s">
        <v>261</v>
      </c>
      <c r="W2481" s="392" t="s">
        <v>5159</v>
      </c>
      <c r="X2481" s="351" t="s">
        <v>207</v>
      </c>
      <c r="Y2481" s="354">
        <v>9945</v>
      </c>
      <c r="Z2481" s="354">
        <v>9949</v>
      </c>
      <c r="AA2481" s="354" t="s">
        <v>276</v>
      </c>
      <c r="AB2481" s="354" t="s">
        <v>276</v>
      </c>
      <c r="AC2481" s="357">
        <v>32</v>
      </c>
      <c r="AD2481" s="357" t="s">
        <v>6279</v>
      </c>
      <c r="AE2481" s="357">
        <v>79</v>
      </c>
      <c r="AF2481" s="351" t="s">
        <v>6280</v>
      </c>
      <c r="AG2481" s="351" t="s">
        <v>6288</v>
      </c>
      <c r="AH2481" s="351" t="s">
        <v>6200</v>
      </c>
      <c r="AI2481" s="392">
        <v>89</v>
      </c>
      <c r="AJ2481" s="392">
        <v>136</v>
      </c>
      <c r="AK2481" s="354">
        <v>9945</v>
      </c>
      <c r="AL2481" s="354">
        <v>9949</v>
      </c>
      <c r="AM2481" s="392" t="s">
        <v>276</v>
      </c>
      <c r="AN2481" s="392" t="s">
        <v>276</v>
      </c>
      <c r="AO2481" s="377">
        <f>(AI2481/AK2481)*100</f>
        <v>0.89492207139265956</v>
      </c>
      <c r="AP2481" s="392" t="s">
        <v>276</v>
      </c>
      <c r="AQ2481" s="392" t="s">
        <v>276</v>
      </c>
      <c r="AR2481" s="392" t="s">
        <v>276</v>
      </c>
      <c r="AS2481" s="377">
        <f t="shared" si="657"/>
        <v>1.3669715549301436</v>
      </c>
      <c r="AT2481" s="392" t="s">
        <v>276</v>
      </c>
      <c r="AU2481" s="392" t="s">
        <v>276</v>
      </c>
      <c r="AV2481" s="357" t="s">
        <v>268</v>
      </c>
      <c r="AW2481" s="392" t="s">
        <v>276</v>
      </c>
      <c r="AX2481" s="369">
        <f t="shared" si="654"/>
        <v>0.65467497707982136</v>
      </c>
      <c r="AY2481" s="392" t="s">
        <v>276</v>
      </c>
      <c r="AZ2481" s="392" t="s">
        <v>276</v>
      </c>
      <c r="BA2481" s="392" t="s">
        <v>276</v>
      </c>
      <c r="BB2481" s="392" t="s">
        <v>276</v>
      </c>
      <c r="BC2481" s="392" t="s">
        <v>276</v>
      </c>
      <c r="BD2481" s="392" t="s">
        <v>276</v>
      </c>
      <c r="BE2481" s="392" t="s">
        <v>276</v>
      </c>
      <c r="BF2481" s="392" t="s">
        <v>298</v>
      </c>
      <c r="BH2481" s="9" t="s">
        <v>100</v>
      </c>
      <c r="BI2481" s="9" t="s">
        <v>100</v>
      </c>
    </row>
    <row r="2482" spans="1:90" s="404" customFormat="1" ht="78" hidden="1" x14ac:dyDescent="0.35">
      <c r="A2482" s="357">
        <v>10679</v>
      </c>
      <c r="B2482" s="357" t="s">
        <v>6289</v>
      </c>
      <c r="C2482" s="357" t="s">
        <v>88</v>
      </c>
      <c r="D2482" s="351" t="s">
        <v>6290</v>
      </c>
      <c r="E2482" s="357" t="s">
        <v>43</v>
      </c>
      <c r="F2482" s="351" t="s">
        <v>4987</v>
      </c>
      <c r="G2482" s="357" t="s">
        <v>225</v>
      </c>
      <c r="H2482" s="357" t="s">
        <v>125</v>
      </c>
      <c r="I2482" s="357" t="s">
        <v>114</v>
      </c>
      <c r="J2482" s="351" t="s">
        <v>30</v>
      </c>
      <c r="K2482" s="351" t="s">
        <v>6291</v>
      </c>
      <c r="L2482" s="351" t="s">
        <v>5838</v>
      </c>
      <c r="M2482" s="351" t="s">
        <v>5838</v>
      </c>
      <c r="N2482" s="351" t="s">
        <v>6292</v>
      </c>
      <c r="O2482" s="357" t="s">
        <v>276</v>
      </c>
      <c r="P2482" s="351" t="s">
        <v>239</v>
      </c>
      <c r="Q2482" s="383" t="s">
        <v>5829</v>
      </c>
      <c r="R2482" s="351" t="s">
        <v>1702</v>
      </c>
      <c r="S2482" s="351" t="s">
        <v>5505</v>
      </c>
      <c r="T2482" s="351" t="s">
        <v>5505</v>
      </c>
      <c r="U2482" s="351">
        <v>2</v>
      </c>
      <c r="V2482" s="357" t="s">
        <v>261</v>
      </c>
      <c r="W2482" s="392" t="s">
        <v>5504</v>
      </c>
      <c r="X2482" s="351" t="s">
        <v>207</v>
      </c>
      <c r="Y2482" s="392">
        <v>38474</v>
      </c>
      <c r="Z2482" s="392">
        <v>38161</v>
      </c>
      <c r="AA2482" s="392" t="s">
        <v>276</v>
      </c>
      <c r="AB2482" s="392" t="s">
        <v>276</v>
      </c>
      <c r="AC2482" s="357">
        <f>63+118</f>
        <v>181</v>
      </c>
      <c r="AD2482" s="351" t="s">
        <v>6293</v>
      </c>
      <c r="AE2482" s="357">
        <v>133</v>
      </c>
      <c r="AF2482" s="351" t="s">
        <v>6293</v>
      </c>
      <c r="AG2482" s="351" t="s">
        <v>6294</v>
      </c>
      <c r="AH2482" s="351" t="s">
        <v>1674</v>
      </c>
      <c r="AI2482" s="392">
        <f>400+485</f>
        <v>885</v>
      </c>
      <c r="AJ2482" s="392">
        <v>741</v>
      </c>
      <c r="AK2482" s="392">
        <v>337262</v>
      </c>
      <c r="AL2482" s="392">
        <v>337262</v>
      </c>
      <c r="AM2482" s="392" t="s">
        <v>276</v>
      </c>
      <c r="AN2482" s="392" t="s">
        <v>276</v>
      </c>
      <c r="AO2482" s="377">
        <f>(AI2482/AK2482)*1000</f>
        <v>2.6240726794005846</v>
      </c>
      <c r="AP2482" s="392" t="s">
        <v>276</v>
      </c>
      <c r="AQ2482" s="392" t="s">
        <v>276</v>
      </c>
      <c r="AR2482" s="392" t="s">
        <v>276</v>
      </c>
      <c r="AS2482" s="377">
        <f>(AJ2482/AL2482)*1000</f>
        <v>2.1971049213964218</v>
      </c>
      <c r="AT2482" s="392" t="s">
        <v>276</v>
      </c>
      <c r="AU2482" s="392" t="s">
        <v>276</v>
      </c>
      <c r="AV2482" s="357" t="s">
        <v>269</v>
      </c>
      <c r="AW2482" s="392" t="s">
        <v>276</v>
      </c>
      <c r="AX2482" s="369">
        <f t="shared" si="654"/>
        <v>1.1943319838056681</v>
      </c>
      <c r="AY2482" s="392" t="s">
        <v>276</v>
      </c>
      <c r="AZ2482" s="392" t="s">
        <v>276</v>
      </c>
      <c r="BA2482" s="392" t="s">
        <v>276</v>
      </c>
      <c r="BB2482" s="392" t="s">
        <v>276</v>
      </c>
      <c r="BC2482" s="392" t="s">
        <v>276</v>
      </c>
      <c r="BD2482" s="392" t="s">
        <v>276</v>
      </c>
      <c r="BE2482" s="392" t="s">
        <v>276</v>
      </c>
      <c r="BF2482" s="392" t="s">
        <v>426</v>
      </c>
      <c r="BG2482" s="161"/>
      <c r="BH2482" s="9" t="s">
        <v>100</v>
      </c>
      <c r="BI2482" s="9" t="s">
        <v>100</v>
      </c>
    </row>
    <row r="2483" spans="1:90" s="404" customFormat="1" ht="117" hidden="1" x14ac:dyDescent="0.35">
      <c r="A2483" s="357">
        <v>10679</v>
      </c>
      <c r="B2483" s="357" t="s">
        <v>6289</v>
      </c>
      <c r="C2483" s="357" t="s">
        <v>88</v>
      </c>
      <c r="D2483" s="351" t="s">
        <v>6295</v>
      </c>
      <c r="E2483" s="357" t="s">
        <v>43</v>
      </c>
      <c r="F2483" s="351" t="s">
        <v>4987</v>
      </c>
      <c r="G2483" s="357" t="s">
        <v>225</v>
      </c>
      <c r="H2483" s="357" t="s">
        <v>125</v>
      </c>
      <c r="I2483" s="357" t="s">
        <v>114</v>
      </c>
      <c r="J2483" s="351" t="s">
        <v>30</v>
      </c>
      <c r="K2483" s="351" t="s">
        <v>6296</v>
      </c>
      <c r="L2483" s="351" t="s">
        <v>5838</v>
      </c>
      <c r="M2483" s="351" t="s">
        <v>5838</v>
      </c>
      <c r="N2483" s="351" t="s">
        <v>6292</v>
      </c>
      <c r="O2483" s="357" t="s">
        <v>276</v>
      </c>
      <c r="P2483" s="351" t="s">
        <v>239</v>
      </c>
      <c r="Q2483" s="383" t="s">
        <v>5829</v>
      </c>
      <c r="R2483" s="351" t="s">
        <v>1702</v>
      </c>
      <c r="S2483" s="351" t="s">
        <v>5505</v>
      </c>
      <c r="T2483" s="351" t="s">
        <v>5505</v>
      </c>
      <c r="U2483" s="351">
        <v>2</v>
      </c>
      <c r="V2483" s="357" t="s">
        <v>261</v>
      </c>
      <c r="W2483" s="392" t="s">
        <v>5504</v>
      </c>
      <c r="X2483" s="351" t="s">
        <v>207</v>
      </c>
      <c r="Y2483" s="392">
        <v>38474</v>
      </c>
      <c r="Z2483" s="392">
        <v>38161</v>
      </c>
      <c r="AA2483" s="392" t="s">
        <v>276</v>
      </c>
      <c r="AB2483" s="392" t="s">
        <v>276</v>
      </c>
      <c r="AC2483" s="357">
        <f>63+118</f>
        <v>181</v>
      </c>
      <c r="AD2483" s="351" t="s">
        <v>6293</v>
      </c>
      <c r="AE2483" s="357">
        <v>133</v>
      </c>
      <c r="AF2483" s="351" t="s">
        <v>6293</v>
      </c>
      <c r="AG2483" s="351" t="s">
        <v>6297</v>
      </c>
      <c r="AH2483" s="351" t="s">
        <v>1674</v>
      </c>
      <c r="AI2483" s="392">
        <f>328+590</f>
        <v>918</v>
      </c>
      <c r="AJ2483" s="392">
        <v>891</v>
      </c>
      <c r="AK2483" s="392">
        <v>337262</v>
      </c>
      <c r="AL2483" s="392">
        <v>337262</v>
      </c>
      <c r="AM2483" s="392" t="s">
        <v>276</v>
      </c>
      <c r="AN2483" s="392" t="s">
        <v>276</v>
      </c>
      <c r="AO2483" s="377">
        <f t="shared" ref="AO2483:AO2485" si="658">(AI2483/AK2483)*1000</f>
        <v>2.7219194572765391</v>
      </c>
      <c r="AP2483" s="392" t="s">
        <v>276</v>
      </c>
      <c r="AQ2483" s="392" t="s">
        <v>276</v>
      </c>
      <c r="AR2483" s="392" t="s">
        <v>276</v>
      </c>
      <c r="AS2483" s="377">
        <f t="shared" ref="AS2483:AS2485" si="659">(AJ2483/AL2483)*1000</f>
        <v>2.6418630026507581</v>
      </c>
      <c r="AT2483" s="392" t="s">
        <v>276</v>
      </c>
      <c r="AU2483" s="392" t="s">
        <v>276</v>
      </c>
      <c r="AV2483" s="357" t="s">
        <v>269</v>
      </c>
      <c r="AW2483" s="392" t="s">
        <v>276</v>
      </c>
      <c r="AX2483" s="369">
        <f t="shared" si="654"/>
        <v>1.0303030303030305</v>
      </c>
      <c r="AY2483" s="392" t="s">
        <v>276</v>
      </c>
      <c r="AZ2483" s="392" t="s">
        <v>276</v>
      </c>
      <c r="BA2483" s="392" t="s">
        <v>276</v>
      </c>
      <c r="BB2483" s="392" t="s">
        <v>276</v>
      </c>
      <c r="BC2483" s="392" t="s">
        <v>276</v>
      </c>
      <c r="BD2483" s="392" t="s">
        <v>276</v>
      </c>
      <c r="BE2483" s="392" t="s">
        <v>276</v>
      </c>
      <c r="BF2483" s="392" t="s">
        <v>426</v>
      </c>
      <c r="BG2483" s="161"/>
      <c r="BH2483" s="9" t="s">
        <v>100</v>
      </c>
      <c r="BI2483" s="9" t="s">
        <v>100</v>
      </c>
    </row>
    <row r="2484" spans="1:90" s="404" customFormat="1" ht="130" hidden="1" x14ac:dyDescent="0.35">
      <c r="A2484" s="357">
        <v>10679</v>
      </c>
      <c r="B2484" s="357" t="s">
        <v>6289</v>
      </c>
      <c r="C2484" s="357" t="s">
        <v>88</v>
      </c>
      <c r="D2484" s="351" t="s">
        <v>6298</v>
      </c>
      <c r="E2484" s="357" t="s">
        <v>43</v>
      </c>
      <c r="F2484" s="351" t="s">
        <v>4987</v>
      </c>
      <c r="G2484" s="357" t="s">
        <v>225</v>
      </c>
      <c r="H2484" s="357" t="s">
        <v>125</v>
      </c>
      <c r="I2484" s="357" t="s">
        <v>114</v>
      </c>
      <c r="J2484" s="351" t="s">
        <v>30</v>
      </c>
      <c r="K2484" s="351" t="s">
        <v>6299</v>
      </c>
      <c r="L2484" s="351" t="s">
        <v>5838</v>
      </c>
      <c r="M2484" s="351" t="s">
        <v>5838</v>
      </c>
      <c r="N2484" s="351" t="s">
        <v>6292</v>
      </c>
      <c r="O2484" s="357" t="s">
        <v>276</v>
      </c>
      <c r="P2484" s="351" t="s">
        <v>239</v>
      </c>
      <c r="Q2484" s="383" t="s">
        <v>5829</v>
      </c>
      <c r="R2484" s="351" t="s">
        <v>1702</v>
      </c>
      <c r="S2484" s="351" t="s">
        <v>5505</v>
      </c>
      <c r="T2484" s="351" t="s">
        <v>5505</v>
      </c>
      <c r="U2484" s="351">
        <v>2</v>
      </c>
      <c r="V2484" s="357" t="s">
        <v>261</v>
      </c>
      <c r="W2484" s="392" t="s">
        <v>5504</v>
      </c>
      <c r="X2484" s="351" t="s">
        <v>207</v>
      </c>
      <c r="Y2484" s="392">
        <v>38474</v>
      </c>
      <c r="Z2484" s="392">
        <v>38161</v>
      </c>
      <c r="AA2484" s="392" t="s">
        <v>276</v>
      </c>
      <c r="AB2484" s="392" t="s">
        <v>276</v>
      </c>
      <c r="AC2484" s="357">
        <f>63+118</f>
        <v>181</v>
      </c>
      <c r="AD2484" s="351" t="s">
        <v>6293</v>
      </c>
      <c r="AE2484" s="357">
        <v>133</v>
      </c>
      <c r="AF2484" s="351" t="s">
        <v>6293</v>
      </c>
      <c r="AG2484" s="351" t="s">
        <v>6300</v>
      </c>
      <c r="AH2484" s="351" t="s">
        <v>1674</v>
      </c>
      <c r="AI2484" s="392">
        <f>115+237</f>
        <v>352</v>
      </c>
      <c r="AJ2484" s="392">
        <v>327</v>
      </c>
      <c r="AK2484" s="392">
        <v>337262</v>
      </c>
      <c r="AL2484" s="392">
        <v>337262</v>
      </c>
      <c r="AM2484" s="392" t="s">
        <v>276</v>
      </c>
      <c r="AN2484" s="392" t="s">
        <v>276</v>
      </c>
      <c r="AO2484" s="377">
        <f t="shared" si="658"/>
        <v>1.0436989640101759</v>
      </c>
      <c r="AP2484" s="392" t="s">
        <v>276</v>
      </c>
      <c r="AQ2484" s="392" t="s">
        <v>276</v>
      </c>
      <c r="AR2484" s="392" t="s">
        <v>276</v>
      </c>
      <c r="AS2484" s="377">
        <f t="shared" si="659"/>
        <v>0.96957261713445342</v>
      </c>
      <c r="AT2484" s="392" t="s">
        <v>276</v>
      </c>
      <c r="AU2484" s="392" t="s">
        <v>276</v>
      </c>
      <c r="AV2484" s="357" t="s">
        <v>269</v>
      </c>
      <c r="AW2484" s="392" t="s">
        <v>276</v>
      </c>
      <c r="AX2484" s="369">
        <f t="shared" si="654"/>
        <v>1.0764525993883789</v>
      </c>
      <c r="AY2484" s="392" t="s">
        <v>276</v>
      </c>
      <c r="AZ2484" s="392" t="s">
        <v>276</v>
      </c>
      <c r="BA2484" s="392" t="s">
        <v>276</v>
      </c>
      <c r="BB2484" s="392" t="s">
        <v>276</v>
      </c>
      <c r="BC2484" s="392" t="s">
        <v>276</v>
      </c>
      <c r="BD2484" s="392" t="s">
        <v>276</v>
      </c>
      <c r="BE2484" s="392" t="s">
        <v>276</v>
      </c>
      <c r="BF2484" s="392" t="s">
        <v>426</v>
      </c>
      <c r="BG2484" s="161"/>
      <c r="BH2484" s="9" t="s">
        <v>100</v>
      </c>
      <c r="BI2484" s="9" t="s">
        <v>100</v>
      </c>
    </row>
    <row r="2485" spans="1:90" s="404" customFormat="1" ht="65" hidden="1" x14ac:dyDescent="0.35">
      <c r="A2485" s="357">
        <v>10679</v>
      </c>
      <c r="B2485" s="357" t="s">
        <v>6289</v>
      </c>
      <c r="C2485" s="357" t="s">
        <v>88</v>
      </c>
      <c r="D2485" s="351" t="s">
        <v>6301</v>
      </c>
      <c r="E2485" s="357" t="s">
        <v>43</v>
      </c>
      <c r="F2485" s="351" t="s">
        <v>4987</v>
      </c>
      <c r="G2485" s="357" t="s">
        <v>225</v>
      </c>
      <c r="H2485" s="357" t="s">
        <v>125</v>
      </c>
      <c r="I2485" s="357" t="s">
        <v>114</v>
      </c>
      <c r="J2485" s="351" t="s">
        <v>30</v>
      </c>
      <c r="K2485" s="351" t="s">
        <v>6302</v>
      </c>
      <c r="L2485" s="351" t="s">
        <v>5838</v>
      </c>
      <c r="M2485" s="351" t="s">
        <v>5838</v>
      </c>
      <c r="N2485" s="351" t="s">
        <v>6292</v>
      </c>
      <c r="O2485" s="357" t="s">
        <v>276</v>
      </c>
      <c r="P2485" s="351" t="s">
        <v>239</v>
      </c>
      <c r="Q2485" s="383" t="s">
        <v>5829</v>
      </c>
      <c r="R2485" s="351" t="s">
        <v>1702</v>
      </c>
      <c r="S2485" s="351" t="s">
        <v>5505</v>
      </c>
      <c r="T2485" s="351" t="s">
        <v>5505</v>
      </c>
      <c r="U2485" s="351">
        <v>2</v>
      </c>
      <c r="V2485" s="357" t="s">
        <v>261</v>
      </c>
      <c r="W2485" s="392" t="s">
        <v>5504</v>
      </c>
      <c r="X2485" s="351" t="s">
        <v>207</v>
      </c>
      <c r="Y2485" s="392">
        <v>38474</v>
      </c>
      <c r="Z2485" s="392">
        <v>38161</v>
      </c>
      <c r="AA2485" s="392" t="s">
        <v>276</v>
      </c>
      <c r="AB2485" s="392" t="s">
        <v>276</v>
      </c>
      <c r="AC2485" s="357">
        <f>63+118</f>
        <v>181</v>
      </c>
      <c r="AD2485" s="351" t="s">
        <v>6293</v>
      </c>
      <c r="AE2485" s="357">
        <v>133</v>
      </c>
      <c r="AF2485" s="351" t="s">
        <v>6293</v>
      </c>
      <c r="AG2485" s="351" t="s">
        <v>6303</v>
      </c>
      <c r="AH2485" s="351" t="s">
        <v>1674</v>
      </c>
      <c r="AI2485" s="392">
        <f>32+111</f>
        <v>143</v>
      </c>
      <c r="AJ2485" s="392">
        <v>148</v>
      </c>
      <c r="AK2485" s="392">
        <v>337262</v>
      </c>
      <c r="AL2485" s="392">
        <v>337262</v>
      </c>
      <c r="AM2485" s="392" t="s">
        <v>276</v>
      </c>
      <c r="AN2485" s="392" t="s">
        <v>276</v>
      </c>
      <c r="AO2485" s="377">
        <f t="shared" si="658"/>
        <v>0.42400270412913404</v>
      </c>
      <c r="AP2485" s="392" t="s">
        <v>276</v>
      </c>
      <c r="AQ2485" s="392" t="s">
        <v>276</v>
      </c>
      <c r="AR2485" s="392" t="s">
        <v>276</v>
      </c>
      <c r="AS2485" s="377">
        <f t="shared" si="659"/>
        <v>0.4388279735042786</v>
      </c>
      <c r="AT2485" s="392" t="s">
        <v>276</v>
      </c>
      <c r="AU2485" s="392" t="s">
        <v>276</v>
      </c>
      <c r="AV2485" s="357" t="s">
        <v>269</v>
      </c>
      <c r="AW2485" s="392" t="s">
        <v>276</v>
      </c>
      <c r="AX2485" s="369">
        <f t="shared" si="654"/>
        <v>0.96621621621621623</v>
      </c>
      <c r="AY2485" s="392" t="s">
        <v>276</v>
      </c>
      <c r="AZ2485" s="392" t="s">
        <v>276</v>
      </c>
      <c r="BA2485" s="392" t="s">
        <v>276</v>
      </c>
      <c r="BB2485" s="392" t="s">
        <v>276</v>
      </c>
      <c r="BC2485" s="392" t="s">
        <v>276</v>
      </c>
      <c r="BD2485" s="392" t="s">
        <v>276</v>
      </c>
      <c r="BE2485" s="392" t="s">
        <v>276</v>
      </c>
      <c r="BF2485" s="392" t="s">
        <v>426</v>
      </c>
      <c r="BG2485" s="161"/>
      <c r="BH2485" s="9" t="s">
        <v>100</v>
      </c>
      <c r="BI2485" s="9" t="s">
        <v>100</v>
      </c>
    </row>
    <row r="2486" spans="1:90" s="161" customFormat="1" ht="78" hidden="1" x14ac:dyDescent="0.35">
      <c r="A2486" s="357">
        <v>10008</v>
      </c>
      <c r="B2486" s="357" t="s">
        <v>6304</v>
      </c>
      <c r="C2486" s="357" t="s">
        <v>88</v>
      </c>
      <c r="D2486" s="351" t="s">
        <v>6305</v>
      </c>
      <c r="E2486" s="357" t="s">
        <v>43</v>
      </c>
      <c r="F2486" s="351" t="s">
        <v>4987</v>
      </c>
      <c r="G2486" s="357" t="s">
        <v>225</v>
      </c>
      <c r="H2486" s="357" t="s">
        <v>125</v>
      </c>
      <c r="I2486" s="357" t="s">
        <v>114</v>
      </c>
      <c r="J2486" s="351" t="s">
        <v>33</v>
      </c>
      <c r="K2486" s="396" t="s">
        <v>6306</v>
      </c>
      <c r="L2486" s="351" t="s">
        <v>6307</v>
      </c>
      <c r="M2486" s="351" t="s">
        <v>6308</v>
      </c>
      <c r="N2486" s="351" t="s">
        <v>6309</v>
      </c>
      <c r="O2486" s="351" t="s">
        <v>6310</v>
      </c>
      <c r="P2486" s="351" t="s">
        <v>239</v>
      </c>
      <c r="Q2486" s="405" t="s">
        <v>6311</v>
      </c>
      <c r="R2486" s="351" t="s">
        <v>276</v>
      </c>
      <c r="S2486" s="351" t="s">
        <v>6312</v>
      </c>
      <c r="T2486" s="351" t="s">
        <v>6312</v>
      </c>
      <c r="U2486" s="357" t="s">
        <v>6313</v>
      </c>
      <c r="V2486" s="357" t="s">
        <v>261</v>
      </c>
      <c r="W2486" s="396" t="s">
        <v>6314</v>
      </c>
      <c r="X2486" s="351" t="s">
        <v>207</v>
      </c>
      <c r="Y2486" s="392">
        <v>82816</v>
      </c>
      <c r="Z2486" s="392">
        <v>99184</v>
      </c>
      <c r="AA2486" s="392" t="s">
        <v>276</v>
      </c>
      <c r="AB2486" s="392" t="s">
        <v>276</v>
      </c>
      <c r="AC2486" s="392">
        <v>0</v>
      </c>
      <c r="AD2486" s="357" t="s">
        <v>6315</v>
      </c>
      <c r="AE2486" s="392">
        <v>0</v>
      </c>
      <c r="AF2486" s="357" t="s">
        <v>6315</v>
      </c>
      <c r="AG2486" s="351" t="s">
        <v>6316</v>
      </c>
      <c r="AH2486" s="351" t="s">
        <v>6200</v>
      </c>
      <c r="AI2486" s="392">
        <v>178</v>
      </c>
      <c r="AJ2486" s="392">
        <v>322</v>
      </c>
      <c r="AK2486" s="392">
        <v>82816</v>
      </c>
      <c r="AL2486" s="392">
        <v>99184</v>
      </c>
      <c r="AM2486" s="396" t="s">
        <v>6317</v>
      </c>
      <c r="AN2486" s="392" t="s">
        <v>276</v>
      </c>
      <c r="AO2486" s="377">
        <f>(AI2486/AK2486)*10000</f>
        <v>21.493431221020092</v>
      </c>
      <c r="AP2486" s="392" t="s">
        <v>276</v>
      </c>
      <c r="AQ2486" s="392" t="s">
        <v>276</v>
      </c>
      <c r="AR2486" s="392" t="s">
        <v>276</v>
      </c>
      <c r="AS2486" s="377">
        <f>(AJ2486/AL2486)*10000</f>
        <v>32.464913695757382</v>
      </c>
      <c r="AT2486" s="392" t="s">
        <v>276</v>
      </c>
      <c r="AU2486" s="392" t="s">
        <v>276</v>
      </c>
      <c r="AV2486" s="357" t="s">
        <v>268</v>
      </c>
      <c r="AW2486" s="392" t="s">
        <v>276</v>
      </c>
      <c r="AX2486" s="369">
        <f t="shared" si="654"/>
        <v>0.66205108143653935</v>
      </c>
      <c r="AY2486" s="392" t="s">
        <v>276</v>
      </c>
      <c r="AZ2486" s="392" t="s">
        <v>276</v>
      </c>
      <c r="BA2486" s="392" t="s">
        <v>276</v>
      </c>
      <c r="BB2486" s="392" t="s">
        <v>276</v>
      </c>
      <c r="BC2486" s="392" t="s">
        <v>276</v>
      </c>
      <c r="BD2486" s="392" t="s">
        <v>276</v>
      </c>
      <c r="BE2486" s="392" t="s">
        <v>276</v>
      </c>
      <c r="BF2486" s="392" t="s">
        <v>1358</v>
      </c>
      <c r="BG2486" s="396" t="s">
        <v>6318</v>
      </c>
      <c r="BH2486" s="9" t="s">
        <v>100</v>
      </c>
      <c r="BI2486" s="9" t="s">
        <v>100</v>
      </c>
    </row>
    <row r="2487" spans="1:90" s="161" customFormat="1" ht="78" hidden="1" x14ac:dyDescent="0.35">
      <c r="A2487" s="357">
        <v>10008</v>
      </c>
      <c r="B2487" s="357" t="s">
        <v>6304</v>
      </c>
      <c r="C2487" s="357" t="s">
        <v>88</v>
      </c>
      <c r="D2487" s="351" t="s">
        <v>6319</v>
      </c>
      <c r="E2487" s="357" t="s">
        <v>43</v>
      </c>
      <c r="F2487" s="351" t="s">
        <v>4987</v>
      </c>
      <c r="G2487" s="357" t="s">
        <v>225</v>
      </c>
      <c r="H2487" s="357" t="s">
        <v>125</v>
      </c>
      <c r="I2487" s="357" t="s">
        <v>114</v>
      </c>
      <c r="J2487" s="351" t="s">
        <v>33</v>
      </c>
      <c r="K2487" s="396" t="s">
        <v>6014</v>
      </c>
      <c r="L2487" s="351" t="s">
        <v>6307</v>
      </c>
      <c r="M2487" s="351" t="s">
        <v>6308</v>
      </c>
      <c r="N2487" s="351" t="s">
        <v>6309</v>
      </c>
      <c r="O2487" s="351" t="s">
        <v>6310</v>
      </c>
      <c r="P2487" s="351" t="s">
        <v>239</v>
      </c>
      <c r="Q2487" s="405" t="s">
        <v>6311</v>
      </c>
      <c r="R2487" s="351" t="s">
        <v>276</v>
      </c>
      <c r="S2487" s="351" t="s">
        <v>6312</v>
      </c>
      <c r="T2487" s="351" t="s">
        <v>6312</v>
      </c>
      <c r="U2487" s="357" t="s">
        <v>6313</v>
      </c>
      <c r="V2487" s="357" t="s">
        <v>261</v>
      </c>
      <c r="W2487" s="396" t="s">
        <v>6314</v>
      </c>
      <c r="X2487" s="351" t="s">
        <v>207</v>
      </c>
      <c r="Y2487" s="392">
        <v>82816</v>
      </c>
      <c r="Z2487" s="392">
        <v>99184</v>
      </c>
      <c r="AA2487" s="392" t="s">
        <v>276</v>
      </c>
      <c r="AB2487" s="392" t="s">
        <v>276</v>
      </c>
      <c r="AC2487" s="392">
        <v>0</v>
      </c>
      <c r="AD2487" s="357" t="s">
        <v>6315</v>
      </c>
      <c r="AE2487" s="392">
        <v>0</v>
      </c>
      <c r="AF2487" s="357" t="s">
        <v>6315</v>
      </c>
      <c r="AG2487" s="351" t="s">
        <v>6320</v>
      </c>
      <c r="AH2487" s="351" t="s">
        <v>6200</v>
      </c>
      <c r="AI2487" s="392">
        <v>3968</v>
      </c>
      <c r="AJ2487" s="392">
        <v>2044</v>
      </c>
      <c r="AK2487" s="392">
        <v>82816</v>
      </c>
      <c r="AL2487" s="392">
        <v>99184</v>
      </c>
      <c r="AM2487" s="396" t="s">
        <v>6317</v>
      </c>
      <c r="AN2487" s="392" t="s">
        <v>276</v>
      </c>
      <c r="AO2487" s="377">
        <f t="shared" ref="AO2487:AO2495" si="660">(AI2487/AK2487)*10000</f>
        <v>479.13446676970631</v>
      </c>
      <c r="AP2487" s="392" t="s">
        <v>276</v>
      </c>
      <c r="AQ2487" s="392" t="s">
        <v>276</v>
      </c>
      <c r="AR2487" s="392" t="s">
        <v>276</v>
      </c>
      <c r="AS2487" s="377">
        <f t="shared" ref="AS2487:AS2495" si="661">(AJ2487/AL2487)*10000</f>
        <v>206.08162606872077</v>
      </c>
      <c r="AT2487" s="392" t="s">
        <v>276</v>
      </c>
      <c r="AU2487" s="392" t="s">
        <v>276</v>
      </c>
      <c r="AV2487" s="357" t="s">
        <v>268</v>
      </c>
      <c r="AW2487" s="392" t="s">
        <v>276</v>
      </c>
      <c r="AX2487" s="369">
        <f t="shared" si="654"/>
        <v>2.3249742148770327</v>
      </c>
      <c r="AY2487" s="392" t="s">
        <v>276</v>
      </c>
      <c r="AZ2487" s="392" t="s">
        <v>276</v>
      </c>
      <c r="BA2487" s="392" t="s">
        <v>276</v>
      </c>
      <c r="BB2487" s="392" t="s">
        <v>276</v>
      </c>
      <c r="BC2487" s="392" t="s">
        <v>276</v>
      </c>
      <c r="BD2487" s="392" t="s">
        <v>276</v>
      </c>
      <c r="BE2487" s="392" t="s">
        <v>276</v>
      </c>
      <c r="BF2487" s="392" t="s">
        <v>1358</v>
      </c>
      <c r="BG2487" s="396" t="s">
        <v>6318</v>
      </c>
      <c r="BH2487" s="9" t="s">
        <v>100</v>
      </c>
      <c r="BI2487" s="9" t="s">
        <v>100</v>
      </c>
    </row>
    <row r="2488" spans="1:90" s="161" customFormat="1" ht="78" hidden="1" x14ac:dyDescent="0.35">
      <c r="A2488" s="357">
        <v>10008</v>
      </c>
      <c r="B2488" s="357" t="s">
        <v>6304</v>
      </c>
      <c r="C2488" s="357" t="s">
        <v>88</v>
      </c>
      <c r="D2488" s="351" t="s">
        <v>6321</v>
      </c>
      <c r="E2488" s="357" t="s">
        <v>43</v>
      </c>
      <c r="F2488" s="351" t="s">
        <v>4987</v>
      </c>
      <c r="G2488" s="357" t="s">
        <v>225</v>
      </c>
      <c r="H2488" s="357" t="s">
        <v>125</v>
      </c>
      <c r="I2488" s="357" t="s">
        <v>114</v>
      </c>
      <c r="J2488" s="351" t="s">
        <v>33</v>
      </c>
      <c r="K2488" s="396" t="s">
        <v>2739</v>
      </c>
      <c r="L2488" s="351" t="s">
        <v>6307</v>
      </c>
      <c r="M2488" s="351" t="s">
        <v>6308</v>
      </c>
      <c r="N2488" s="351" t="s">
        <v>6309</v>
      </c>
      <c r="O2488" s="351" t="s">
        <v>6310</v>
      </c>
      <c r="P2488" s="351" t="s">
        <v>239</v>
      </c>
      <c r="Q2488" s="405" t="s">
        <v>6311</v>
      </c>
      <c r="R2488" s="351" t="s">
        <v>276</v>
      </c>
      <c r="S2488" s="351" t="s">
        <v>6312</v>
      </c>
      <c r="T2488" s="351" t="s">
        <v>6312</v>
      </c>
      <c r="U2488" s="357" t="s">
        <v>6313</v>
      </c>
      <c r="V2488" s="357" t="s">
        <v>261</v>
      </c>
      <c r="W2488" s="396" t="s">
        <v>6314</v>
      </c>
      <c r="X2488" s="351" t="s">
        <v>207</v>
      </c>
      <c r="Y2488" s="392">
        <v>82816</v>
      </c>
      <c r="Z2488" s="392">
        <v>99184</v>
      </c>
      <c r="AA2488" s="392" t="s">
        <v>276</v>
      </c>
      <c r="AB2488" s="392" t="s">
        <v>276</v>
      </c>
      <c r="AC2488" s="392">
        <v>0</v>
      </c>
      <c r="AD2488" s="357" t="s">
        <v>6315</v>
      </c>
      <c r="AE2488" s="392">
        <v>0</v>
      </c>
      <c r="AF2488" s="357" t="s">
        <v>6315</v>
      </c>
      <c r="AG2488" s="351" t="s">
        <v>6322</v>
      </c>
      <c r="AH2488" s="351" t="s">
        <v>6200</v>
      </c>
      <c r="AI2488" s="392">
        <v>1867</v>
      </c>
      <c r="AJ2488" s="392">
        <v>1468</v>
      </c>
      <c r="AK2488" s="392">
        <v>82816</v>
      </c>
      <c r="AL2488" s="392">
        <v>99184</v>
      </c>
      <c r="AM2488" s="396" t="s">
        <v>6317</v>
      </c>
      <c r="AN2488" s="392" t="s">
        <v>276</v>
      </c>
      <c r="AO2488" s="377">
        <f t="shared" si="660"/>
        <v>225.4395285935085</v>
      </c>
      <c r="AP2488" s="392" t="s">
        <v>276</v>
      </c>
      <c r="AQ2488" s="392" t="s">
        <v>276</v>
      </c>
      <c r="AR2488" s="392" t="s">
        <v>276</v>
      </c>
      <c r="AS2488" s="377">
        <f t="shared" si="661"/>
        <v>148.00774318438457</v>
      </c>
      <c r="AT2488" s="392" t="s">
        <v>276</v>
      </c>
      <c r="AU2488" s="392" t="s">
        <v>276</v>
      </c>
      <c r="AV2488" s="357" t="s">
        <v>268</v>
      </c>
      <c r="AW2488" s="392" t="s">
        <v>276</v>
      </c>
      <c r="AX2488" s="369">
        <f t="shared" si="654"/>
        <v>1.5231603681211545</v>
      </c>
      <c r="AY2488" s="392" t="s">
        <v>276</v>
      </c>
      <c r="AZ2488" s="392" t="s">
        <v>276</v>
      </c>
      <c r="BA2488" s="392" t="s">
        <v>276</v>
      </c>
      <c r="BB2488" s="392" t="s">
        <v>276</v>
      </c>
      <c r="BC2488" s="392" t="s">
        <v>276</v>
      </c>
      <c r="BD2488" s="392" t="s">
        <v>276</v>
      </c>
      <c r="BE2488" s="392" t="s">
        <v>276</v>
      </c>
      <c r="BF2488" s="392" t="s">
        <v>1358</v>
      </c>
      <c r="BG2488" s="396" t="s">
        <v>6318</v>
      </c>
      <c r="BH2488" s="9" t="s">
        <v>100</v>
      </c>
      <c r="BI2488" s="9" t="s">
        <v>100</v>
      </c>
    </row>
    <row r="2489" spans="1:90" s="161" customFormat="1" ht="78" hidden="1" x14ac:dyDescent="0.35">
      <c r="A2489" s="357">
        <v>10008</v>
      </c>
      <c r="B2489" s="357" t="s">
        <v>6304</v>
      </c>
      <c r="C2489" s="357" t="s">
        <v>88</v>
      </c>
      <c r="D2489" s="351" t="s">
        <v>6323</v>
      </c>
      <c r="E2489" s="357" t="s">
        <v>43</v>
      </c>
      <c r="F2489" s="351" t="s">
        <v>4987</v>
      </c>
      <c r="G2489" s="357" t="s">
        <v>225</v>
      </c>
      <c r="H2489" s="357" t="s">
        <v>125</v>
      </c>
      <c r="I2489" s="357" t="s">
        <v>114</v>
      </c>
      <c r="J2489" s="351" t="s">
        <v>33</v>
      </c>
      <c r="K2489" s="396" t="s">
        <v>2649</v>
      </c>
      <c r="L2489" s="351" t="s">
        <v>6307</v>
      </c>
      <c r="M2489" s="351" t="s">
        <v>6308</v>
      </c>
      <c r="N2489" s="351" t="s">
        <v>6309</v>
      </c>
      <c r="O2489" s="351" t="s">
        <v>6310</v>
      </c>
      <c r="P2489" s="351" t="s">
        <v>239</v>
      </c>
      <c r="Q2489" s="405" t="s">
        <v>6311</v>
      </c>
      <c r="R2489" s="351" t="s">
        <v>276</v>
      </c>
      <c r="S2489" s="351" t="s">
        <v>6312</v>
      </c>
      <c r="T2489" s="351" t="s">
        <v>6312</v>
      </c>
      <c r="U2489" s="357" t="s">
        <v>6313</v>
      </c>
      <c r="V2489" s="357" t="s">
        <v>261</v>
      </c>
      <c r="W2489" s="396" t="s">
        <v>6314</v>
      </c>
      <c r="X2489" s="351" t="s">
        <v>207</v>
      </c>
      <c r="Y2489" s="392">
        <v>82816</v>
      </c>
      <c r="Z2489" s="392">
        <v>99184</v>
      </c>
      <c r="AA2489" s="392" t="s">
        <v>276</v>
      </c>
      <c r="AB2489" s="392" t="s">
        <v>276</v>
      </c>
      <c r="AC2489" s="392">
        <v>0</v>
      </c>
      <c r="AD2489" s="357" t="s">
        <v>6315</v>
      </c>
      <c r="AE2489" s="392">
        <v>0</v>
      </c>
      <c r="AF2489" s="357" t="s">
        <v>6315</v>
      </c>
      <c r="AG2489" s="351" t="s">
        <v>6324</v>
      </c>
      <c r="AH2489" s="351" t="s">
        <v>6200</v>
      </c>
      <c r="AI2489" s="392">
        <v>530</v>
      </c>
      <c r="AJ2489" s="392">
        <v>783</v>
      </c>
      <c r="AK2489" s="392">
        <v>82816</v>
      </c>
      <c r="AL2489" s="392">
        <v>99184</v>
      </c>
      <c r="AM2489" s="396" t="s">
        <v>6317</v>
      </c>
      <c r="AN2489" s="392" t="s">
        <v>276</v>
      </c>
      <c r="AO2489" s="377">
        <f t="shared" si="660"/>
        <v>63.997295208655331</v>
      </c>
      <c r="AP2489" s="392" t="s">
        <v>276</v>
      </c>
      <c r="AQ2489" s="392" t="s">
        <v>276</v>
      </c>
      <c r="AR2489" s="392" t="s">
        <v>276</v>
      </c>
      <c r="AS2489" s="377">
        <f t="shared" si="661"/>
        <v>78.944184545894501</v>
      </c>
      <c r="AT2489" s="392" t="s">
        <v>276</v>
      </c>
      <c r="AU2489" s="392" t="s">
        <v>276</v>
      </c>
      <c r="AV2489" s="357" t="s">
        <v>268</v>
      </c>
      <c r="AW2489" s="392" t="s">
        <v>276</v>
      </c>
      <c r="AX2489" s="369">
        <f t="shared" si="654"/>
        <v>0.81066509935827202</v>
      </c>
      <c r="AY2489" s="392" t="s">
        <v>276</v>
      </c>
      <c r="AZ2489" s="392" t="s">
        <v>276</v>
      </c>
      <c r="BA2489" s="392" t="s">
        <v>276</v>
      </c>
      <c r="BB2489" s="392" t="s">
        <v>276</v>
      </c>
      <c r="BC2489" s="392" t="s">
        <v>276</v>
      </c>
      <c r="BD2489" s="392" t="s">
        <v>276</v>
      </c>
      <c r="BE2489" s="392" t="s">
        <v>276</v>
      </c>
      <c r="BF2489" s="392" t="s">
        <v>1358</v>
      </c>
      <c r="BG2489" s="396" t="s">
        <v>6318</v>
      </c>
      <c r="BH2489" s="9" t="s">
        <v>100</v>
      </c>
      <c r="BI2489" s="9" t="s">
        <v>100</v>
      </c>
    </row>
    <row r="2490" spans="1:90" s="161" customFormat="1" ht="78" hidden="1" x14ac:dyDescent="0.35">
      <c r="A2490" s="357">
        <v>10008</v>
      </c>
      <c r="B2490" s="357" t="s">
        <v>6304</v>
      </c>
      <c r="C2490" s="357" t="s">
        <v>88</v>
      </c>
      <c r="D2490" s="351" t="s">
        <v>6325</v>
      </c>
      <c r="E2490" s="357" t="s">
        <v>43</v>
      </c>
      <c r="F2490" s="351" t="s">
        <v>4987</v>
      </c>
      <c r="G2490" s="357" t="s">
        <v>225</v>
      </c>
      <c r="H2490" s="357" t="s">
        <v>125</v>
      </c>
      <c r="I2490" s="357" t="s">
        <v>114</v>
      </c>
      <c r="J2490" s="351" t="s">
        <v>33</v>
      </c>
      <c r="K2490" s="396" t="s">
        <v>1108</v>
      </c>
      <c r="L2490" s="351" t="s">
        <v>6307</v>
      </c>
      <c r="M2490" s="351" t="s">
        <v>6308</v>
      </c>
      <c r="N2490" s="351" t="s">
        <v>6309</v>
      </c>
      <c r="O2490" s="351" t="s">
        <v>6310</v>
      </c>
      <c r="P2490" s="351" t="s">
        <v>239</v>
      </c>
      <c r="Q2490" s="405" t="s">
        <v>6311</v>
      </c>
      <c r="R2490" s="351" t="s">
        <v>276</v>
      </c>
      <c r="S2490" s="351" t="s">
        <v>6312</v>
      </c>
      <c r="T2490" s="351" t="s">
        <v>6312</v>
      </c>
      <c r="U2490" s="357" t="s">
        <v>6313</v>
      </c>
      <c r="V2490" s="357" t="s">
        <v>261</v>
      </c>
      <c r="W2490" s="396" t="s">
        <v>6314</v>
      </c>
      <c r="X2490" s="351" t="s">
        <v>207</v>
      </c>
      <c r="Y2490" s="392">
        <v>82816</v>
      </c>
      <c r="Z2490" s="392">
        <v>99184</v>
      </c>
      <c r="AA2490" s="392" t="s">
        <v>276</v>
      </c>
      <c r="AB2490" s="392" t="s">
        <v>276</v>
      </c>
      <c r="AC2490" s="392">
        <v>0</v>
      </c>
      <c r="AD2490" s="357" t="s">
        <v>6315</v>
      </c>
      <c r="AE2490" s="392">
        <v>0</v>
      </c>
      <c r="AF2490" s="357" t="s">
        <v>6315</v>
      </c>
      <c r="AG2490" s="351" t="s">
        <v>6326</v>
      </c>
      <c r="AH2490" s="351" t="s">
        <v>6200</v>
      </c>
      <c r="AI2490" s="392">
        <v>24</v>
      </c>
      <c r="AJ2490" s="392">
        <v>165</v>
      </c>
      <c r="AK2490" s="392">
        <v>82816</v>
      </c>
      <c r="AL2490" s="392">
        <v>99184</v>
      </c>
      <c r="AM2490" s="396" t="s">
        <v>6317</v>
      </c>
      <c r="AN2490" s="392" t="s">
        <v>276</v>
      </c>
      <c r="AO2490" s="377">
        <f t="shared" si="660"/>
        <v>2.8979907264296751</v>
      </c>
      <c r="AP2490" s="392" t="s">
        <v>276</v>
      </c>
      <c r="AQ2490" s="392" t="s">
        <v>276</v>
      </c>
      <c r="AR2490" s="392" t="s">
        <v>276</v>
      </c>
      <c r="AS2490" s="377">
        <f t="shared" si="661"/>
        <v>16.635747701242135</v>
      </c>
      <c r="AT2490" s="392" t="s">
        <v>276</v>
      </c>
      <c r="AU2490" s="392" t="s">
        <v>276</v>
      </c>
      <c r="AV2490" s="357" t="s">
        <v>268</v>
      </c>
      <c r="AW2490" s="392" t="s">
        <v>276</v>
      </c>
      <c r="AX2490" s="369">
        <f t="shared" si="654"/>
        <v>0.17420261346072782</v>
      </c>
      <c r="AY2490" s="392" t="s">
        <v>276</v>
      </c>
      <c r="AZ2490" s="392" t="s">
        <v>276</v>
      </c>
      <c r="BA2490" s="392" t="s">
        <v>276</v>
      </c>
      <c r="BB2490" s="392" t="s">
        <v>276</v>
      </c>
      <c r="BC2490" s="392" t="s">
        <v>276</v>
      </c>
      <c r="BD2490" s="392" t="s">
        <v>276</v>
      </c>
      <c r="BE2490" s="392" t="s">
        <v>276</v>
      </c>
      <c r="BF2490" s="392" t="s">
        <v>1358</v>
      </c>
      <c r="BG2490" s="396" t="s">
        <v>6318</v>
      </c>
      <c r="BH2490" s="9" t="s">
        <v>100</v>
      </c>
      <c r="BI2490" s="9" t="s">
        <v>100</v>
      </c>
    </row>
    <row r="2491" spans="1:90" s="384" customFormat="1" ht="91" hidden="1" x14ac:dyDescent="0.35">
      <c r="A2491" s="357">
        <v>10008</v>
      </c>
      <c r="B2491" s="357" t="s">
        <v>6304</v>
      </c>
      <c r="C2491" s="357" t="s">
        <v>88</v>
      </c>
      <c r="D2491" s="351" t="s">
        <v>6327</v>
      </c>
      <c r="E2491" s="357" t="s">
        <v>43</v>
      </c>
      <c r="F2491" s="351" t="s">
        <v>4987</v>
      </c>
      <c r="G2491" s="357" t="s">
        <v>225</v>
      </c>
      <c r="H2491" s="357" t="s">
        <v>125</v>
      </c>
      <c r="I2491" s="357" t="s">
        <v>114</v>
      </c>
      <c r="J2491" s="351" t="s">
        <v>117</v>
      </c>
      <c r="K2491" s="351" t="s">
        <v>3836</v>
      </c>
      <c r="L2491" s="351" t="s">
        <v>6307</v>
      </c>
      <c r="M2491" s="351" t="s">
        <v>6308</v>
      </c>
      <c r="N2491" s="351" t="s">
        <v>6309</v>
      </c>
      <c r="O2491" s="351" t="s">
        <v>6328</v>
      </c>
      <c r="P2491" s="351" t="s">
        <v>239</v>
      </c>
      <c r="Q2491" s="406" t="s">
        <v>6311</v>
      </c>
      <c r="R2491" s="351" t="s">
        <v>276</v>
      </c>
      <c r="S2491" s="351" t="s">
        <v>6312</v>
      </c>
      <c r="T2491" s="351" t="s">
        <v>6312</v>
      </c>
      <c r="U2491" s="357" t="s">
        <v>6313</v>
      </c>
      <c r="V2491" s="357" t="s">
        <v>261</v>
      </c>
      <c r="W2491" s="351" t="s">
        <v>6314</v>
      </c>
      <c r="X2491" s="351" t="s">
        <v>207</v>
      </c>
      <c r="Y2491" s="357">
        <v>82816</v>
      </c>
      <c r="Z2491" s="357">
        <v>99184</v>
      </c>
      <c r="AA2491" s="357" t="s">
        <v>276</v>
      </c>
      <c r="AB2491" s="357" t="s">
        <v>276</v>
      </c>
      <c r="AC2491" s="357">
        <v>0</v>
      </c>
      <c r="AD2491" s="357" t="s">
        <v>6315</v>
      </c>
      <c r="AE2491" s="357">
        <v>0</v>
      </c>
      <c r="AF2491" s="357" t="s">
        <v>6315</v>
      </c>
      <c r="AG2491" s="351" t="s">
        <v>6329</v>
      </c>
      <c r="AH2491" s="351" t="s">
        <v>6200</v>
      </c>
      <c r="AI2491" s="357">
        <v>72</v>
      </c>
      <c r="AJ2491" s="357">
        <v>105</v>
      </c>
      <c r="AK2491" s="357">
        <v>82816</v>
      </c>
      <c r="AL2491" s="357">
        <v>99184</v>
      </c>
      <c r="AM2491" s="351" t="s">
        <v>6317</v>
      </c>
      <c r="AN2491" s="357" t="s">
        <v>276</v>
      </c>
      <c r="AO2491" s="377">
        <f t="shared" si="660"/>
        <v>8.6939721792890268</v>
      </c>
      <c r="AP2491" s="357" t="s">
        <v>276</v>
      </c>
      <c r="AQ2491" s="357" t="s">
        <v>276</v>
      </c>
      <c r="AR2491" s="357" t="s">
        <v>276</v>
      </c>
      <c r="AS2491" s="377">
        <f t="shared" si="661"/>
        <v>10.586384900790451</v>
      </c>
      <c r="AT2491" s="357" t="s">
        <v>276</v>
      </c>
      <c r="AU2491" s="357" t="s">
        <v>276</v>
      </c>
      <c r="AV2491" s="357" t="s">
        <v>268</v>
      </c>
      <c r="AW2491" s="357" t="s">
        <v>276</v>
      </c>
      <c r="AX2491" s="369">
        <f t="shared" si="654"/>
        <v>0.82124089202914552</v>
      </c>
      <c r="AY2491" s="357" t="s">
        <v>276</v>
      </c>
      <c r="AZ2491" s="357" t="s">
        <v>276</v>
      </c>
      <c r="BA2491" s="357" t="s">
        <v>276</v>
      </c>
      <c r="BB2491" s="357" t="s">
        <v>276</v>
      </c>
      <c r="BC2491" s="357" t="s">
        <v>276</v>
      </c>
      <c r="BD2491" s="357" t="s">
        <v>276</v>
      </c>
      <c r="BE2491" s="357" t="s">
        <v>276</v>
      </c>
      <c r="BF2491" s="357" t="s">
        <v>1358</v>
      </c>
      <c r="BG2491" s="396" t="s">
        <v>6318</v>
      </c>
      <c r="BH2491" s="9" t="s">
        <v>100</v>
      </c>
      <c r="BI2491" s="9" t="s">
        <v>100</v>
      </c>
    </row>
    <row r="2492" spans="1:90" s="384" customFormat="1" ht="91" hidden="1" x14ac:dyDescent="0.35">
      <c r="A2492" s="357">
        <v>10008</v>
      </c>
      <c r="B2492" s="357" t="s">
        <v>6304</v>
      </c>
      <c r="C2492" s="357" t="s">
        <v>88</v>
      </c>
      <c r="D2492" s="351" t="s">
        <v>6330</v>
      </c>
      <c r="E2492" s="357" t="s">
        <v>43</v>
      </c>
      <c r="F2492" s="351" t="s">
        <v>4987</v>
      </c>
      <c r="G2492" s="357" t="s">
        <v>225</v>
      </c>
      <c r="H2492" s="357" t="s">
        <v>125</v>
      </c>
      <c r="I2492" s="357" t="s">
        <v>114</v>
      </c>
      <c r="J2492" s="351" t="s">
        <v>1116</v>
      </c>
      <c r="K2492" s="351" t="s">
        <v>6116</v>
      </c>
      <c r="L2492" s="351" t="s">
        <v>6307</v>
      </c>
      <c r="M2492" s="351" t="s">
        <v>6308</v>
      </c>
      <c r="N2492" s="351" t="s">
        <v>6309</v>
      </c>
      <c r="O2492" s="351" t="s">
        <v>6328</v>
      </c>
      <c r="P2492" s="351" t="s">
        <v>239</v>
      </c>
      <c r="Q2492" s="406" t="s">
        <v>6311</v>
      </c>
      <c r="R2492" s="351" t="s">
        <v>276</v>
      </c>
      <c r="S2492" s="351" t="s">
        <v>6312</v>
      </c>
      <c r="T2492" s="351" t="s">
        <v>6312</v>
      </c>
      <c r="U2492" s="357" t="s">
        <v>6313</v>
      </c>
      <c r="V2492" s="357" t="s">
        <v>261</v>
      </c>
      <c r="W2492" s="351" t="s">
        <v>6314</v>
      </c>
      <c r="X2492" s="351" t="s">
        <v>207</v>
      </c>
      <c r="Y2492" s="357">
        <v>82816</v>
      </c>
      <c r="Z2492" s="357">
        <v>99184</v>
      </c>
      <c r="AA2492" s="357" t="s">
        <v>276</v>
      </c>
      <c r="AB2492" s="357" t="s">
        <v>276</v>
      </c>
      <c r="AC2492" s="357">
        <v>0</v>
      </c>
      <c r="AD2492" s="357" t="s">
        <v>6315</v>
      </c>
      <c r="AE2492" s="357">
        <v>0</v>
      </c>
      <c r="AF2492" s="357" t="s">
        <v>6315</v>
      </c>
      <c r="AG2492" s="351" t="s">
        <v>6331</v>
      </c>
      <c r="AH2492" s="351" t="s">
        <v>6200</v>
      </c>
      <c r="AI2492" s="357">
        <v>149</v>
      </c>
      <c r="AJ2492" s="357">
        <v>288</v>
      </c>
      <c r="AK2492" s="357">
        <v>82816</v>
      </c>
      <c r="AL2492" s="357">
        <v>99184</v>
      </c>
      <c r="AM2492" s="351" t="s">
        <v>6317</v>
      </c>
      <c r="AN2492" s="357" t="s">
        <v>276</v>
      </c>
      <c r="AO2492" s="377">
        <f t="shared" si="660"/>
        <v>17.991692426584233</v>
      </c>
      <c r="AP2492" s="357" t="s">
        <v>276</v>
      </c>
      <c r="AQ2492" s="357" t="s">
        <v>276</v>
      </c>
      <c r="AR2492" s="357" t="s">
        <v>276</v>
      </c>
      <c r="AS2492" s="377">
        <f t="shared" si="661"/>
        <v>29.036941442168093</v>
      </c>
      <c r="AT2492" s="357" t="s">
        <v>276</v>
      </c>
      <c r="AU2492" s="357" t="s">
        <v>276</v>
      </c>
      <c r="AV2492" s="357" t="s">
        <v>268</v>
      </c>
      <c r="AW2492" s="357" t="s">
        <v>276</v>
      </c>
      <c r="AX2492" s="369">
        <f t="shared" si="654"/>
        <v>0.61961389640219811</v>
      </c>
      <c r="AY2492" s="357" t="s">
        <v>276</v>
      </c>
      <c r="AZ2492" s="357" t="s">
        <v>276</v>
      </c>
      <c r="BA2492" s="357" t="s">
        <v>276</v>
      </c>
      <c r="BB2492" s="357" t="s">
        <v>276</v>
      </c>
      <c r="BC2492" s="357" t="s">
        <v>276</v>
      </c>
      <c r="BD2492" s="357" t="s">
        <v>276</v>
      </c>
      <c r="BE2492" s="357" t="s">
        <v>276</v>
      </c>
      <c r="BF2492" s="357" t="s">
        <v>1358</v>
      </c>
      <c r="BG2492" s="396" t="s">
        <v>6318</v>
      </c>
      <c r="BH2492" s="9" t="s">
        <v>100</v>
      </c>
      <c r="BI2492" s="9" t="s">
        <v>100</v>
      </c>
    </row>
    <row r="2493" spans="1:90" s="384" customFormat="1" ht="91" hidden="1" x14ac:dyDescent="0.35">
      <c r="A2493" s="357">
        <v>10008</v>
      </c>
      <c r="B2493" s="357" t="s">
        <v>6304</v>
      </c>
      <c r="C2493" s="357" t="s">
        <v>88</v>
      </c>
      <c r="D2493" s="351" t="s">
        <v>6332</v>
      </c>
      <c r="E2493" s="357" t="s">
        <v>43</v>
      </c>
      <c r="F2493" s="351" t="s">
        <v>4987</v>
      </c>
      <c r="G2493" s="357" t="s">
        <v>225</v>
      </c>
      <c r="H2493" s="357" t="s">
        <v>125</v>
      </c>
      <c r="I2493" s="357" t="s">
        <v>114</v>
      </c>
      <c r="J2493" s="351" t="s">
        <v>26</v>
      </c>
      <c r="K2493" s="351" t="s">
        <v>6333</v>
      </c>
      <c r="L2493" s="351" t="s">
        <v>6307</v>
      </c>
      <c r="M2493" s="351" t="s">
        <v>6308</v>
      </c>
      <c r="N2493" s="351" t="s">
        <v>6309</v>
      </c>
      <c r="O2493" s="351" t="s">
        <v>6328</v>
      </c>
      <c r="P2493" s="351" t="s">
        <v>239</v>
      </c>
      <c r="Q2493" s="406" t="s">
        <v>6311</v>
      </c>
      <c r="R2493" s="351" t="s">
        <v>276</v>
      </c>
      <c r="S2493" s="351" t="s">
        <v>6312</v>
      </c>
      <c r="T2493" s="351" t="s">
        <v>6312</v>
      </c>
      <c r="U2493" s="357" t="s">
        <v>6313</v>
      </c>
      <c r="V2493" s="357" t="s">
        <v>261</v>
      </c>
      <c r="W2493" s="351" t="s">
        <v>6314</v>
      </c>
      <c r="X2493" s="351" t="s">
        <v>207</v>
      </c>
      <c r="Y2493" s="357">
        <v>82816</v>
      </c>
      <c r="Z2493" s="357">
        <v>99184</v>
      </c>
      <c r="AA2493" s="357" t="s">
        <v>276</v>
      </c>
      <c r="AB2493" s="357" t="s">
        <v>276</v>
      </c>
      <c r="AC2493" s="357">
        <f t="shared" ref="AC2493:AC2494" si="662">6567-5830</f>
        <v>737</v>
      </c>
      <c r="AD2493" s="351" t="s">
        <v>6334</v>
      </c>
      <c r="AE2493" s="357">
        <f t="shared" ref="AE2493:AE2494" si="663">4782-4003</f>
        <v>779</v>
      </c>
      <c r="AF2493" s="351" t="s">
        <v>6334</v>
      </c>
      <c r="AG2493" s="351" t="s">
        <v>6335</v>
      </c>
      <c r="AH2493" s="351" t="s">
        <v>6200</v>
      </c>
      <c r="AI2493" s="357">
        <v>5138</v>
      </c>
      <c r="AJ2493" s="357">
        <v>2904</v>
      </c>
      <c r="AK2493" s="357">
        <v>82816</v>
      </c>
      <c r="AL2493" s="357">
        <v>99184</v>
      </c>
      <c r="AM2493" s="351" t="s">
        <v>6317</v>
      </c>
      <c r="AN2493" s="357" t="s">
        <v>276</v>
      </c>
      <c r="AO2493" s="377">
        <f t="shared" si="660"/>
        <v>620.41151468315297</v>
      </c>
      <c r="AP2493" s="357" t="s">
        <v>276</v>
      </c>
      <c r="AQ2493" s="357" t="s">
        <v>276</v>
      </c>
      <c r="AR2493" s="357" t="s">
        <v>276</v>
      </c>
      <c r="AS2493" s="377">
        <f t="shared" si="661"/>
        <v>292.78915954186158</v>
      </c>
      <c r="AT2493" s="357" t="s">
        <v>276</v>
      </c>
      <c r="AU2493" s="357" t="s">
        <v>276</v>
      </c>
      <c r="AV2493" s="357" t="s">
        <v>268</v>
      </c>
      <c r="AW2493" s="357" t="s">
        <v>276</v>
      </c>
      <c r="AX2493" s="369">
        <f t="shared" si="654"/>
        <v>2.1189702366506147</v>
      </c>
      <c r="AY2493" s="357" t="s">
        <v>276</v>
      </c>
      <c r="AZ2493" s="357" t="s">
        <v>276</v>
      </c>
      <c r="BA2493" s="357" t="s">
        <v>276</v>
      </c>
      <c r="BB2493" s="357" t="s">
        <v>276</v>
      </c>
      <c r="BC2493" s="357" t="s">
        <v>276</v>
      </c>
      <c r="BD2493" s="357" t="s">
        <v>276</v>
      </c>
      <c r="BE2493" s="357" t="s">
        <v>276</v>
      </c>
      <c r="BF2493" s="357" t="s">
        <v>6336</v>
      </c>
      <c r="BG2493" s="396" t="s">
        <v>6318</v>
      </c>
      <c r="BH2493" s="9" t="s">
        <v>100</v>
      </c>
      <c r="BI2493" s="9" t="s">
        <v>100</v>
      </c>
    </row>
    <row r="2494" spans="1:90" s="384" customFormat="1" ht="91" hidden="1" x14ac:dyDescent="0.35">
      <c r="A2494" s="357">
        <v>10008</v>
      </c>
      <c r="B2494" s="357" t="s">
        <v>6304</v>
      </c>
      <c r="C2494" s="357" t="s">
        <v>88</v>
      </c>
      <c r="D2494" s="351" t="s">
        <v>6337</v>
      </c>
      <c r="E2494" s="357" t="s">
        <v>43</v>
      </c>
      <c r="F2494" s="351" t="s">
        <v>4987</v>
      </c>
      <c r="G2494" s="357" t="s">
        <v>225</v>
      </c>
      <c r="H2494" s="357" t="s">
        <v>125</v>
      </c>
      <c r="I2494" s="357" t="s">
        <v>114</v>
      </c>
      <c r="J2494" s="351" t="s">
        <v>26</v>
      </c>
      <c r="K2494" s="351" t="s">
        <v>6338</v>
      </c>
      <c r="L2494" s="351" t="s">
        <v>6307</v>
      </c>
      <c r="M2494" s="351" t="s">
        <v>6308</v>
      </c>
      <c r="N2494" s="351" t="s">
        <v>6309</v>
      </c>
      <c r="O2494" s="351" t="s">
        <v>6328</v>
      </c>
      <c r="P2494" s="351" t="s">
        <v>239</v>
      </c>
      <c r="Q2494" s="406" t="s">
        <v>6311</v>
      </c>
      <c r="R2494" s="351" t="s">
        <v>276</v>
      </c>
      <c r="S2494" s="351" t="s">
        <v>6312</v>
      </c>
      <c r="T2494" s="351" t="s">
        <v>6312</v>
      </c>
      <c r="U2494" s="357" t="s">
        <v>6313</v>
      </c>
      <c r="V2494" s="357" t="s">
        <v>261</v>
      </c>
      <c r="W2494" s="351" t="s">
        <v>6314</v>
      </c>
      <c r="X2494" s="351" t="s">
        <v>207</v>
      </c>
      <c r="Y2494" s="357">
        <v>82816</v>
      </c>
      <c r="Z2494" s="357">
        <v>99184</v>
      </c>
      <c r="AA2494" s="357" t="s">
        <v>276</v>
      </c>
      <c r="AB2494" s="357" t="s">
        <v>276</v>
      </c>
      <c r="AC2494" s="357">
        <f t="shared" si="662"/>
        <v>737</v>
      </c>
      <c r="AD2494" s="351" t="s">
        <v>6334</v>
      </c>
      <c r="AE2494" s="357">
        <f t="shared" si="663"/>
        <v>779</v>
      </c>
      <c r="AF2494" s="351" t="s">
        <v>6334</v>
      </c>
      <c r="AG2494" s="351" t="s">
        <v>6339</v>
      </c>
      <c r="AH2494" s="351" t="s">
        <v>6200</v>
      </c>
      <c r="AI2494" s="357">
        <v>484</v>
      </c>
      <c r="AJ2494" s="357">
        <v>744</v>
      </c>
      <c r="AK2494" s="357">
        <v>82816</v>
      </c>
      <c r="AL2494" s="357">
        <v>99184</v>
      </c>
      <c r="AM2494" s="351" t="s">
        <v>6317</v>
      </c>
      <c r="AN2494" s="357" t="s">
        <v>276</v>
      </c>
      <c r="AO2494" s="377">
        <f t="shared" si="660"/>
        <v>58.442812982998454</v>
      </c>
      <c r="AP2494" s="357" t="s">
        <v>276</v>
      </c>
      <c r="AQ2494" s="357" t="s">
        <v>276</v>
      </c>
      <c r="AR2494" s="357" t="s">
        <v>276</v>
      </c>
      <c r="AS2494" s="377">
        <f t="shared" si="661"/>
        <v>75.012098725600907</v>
      </c>
      <c r="AT2494" s="357" t="s">
        <v>276</v>
      </c>
      <c r="AU2494" s="357" t="s">
        <v>276</v>
      </c>
      <c r="AV2494" s="357" t="s">
        <v>268</v>
      </c>
      <c r="AW2494" s="357" t="s">
        <v>276</v>
      </c>
      <c r="AX2494" s="369">
        <f t="shared" si="654"/>
        <v>0.77911182297119874</v>
      </c>
      <c r="AY2494" s="357" t="s">
        <v>276</v>
      </c>
      <c r="AZ2494" s="357" t="s">
        <v>276</v>
      </c>
      <c r="BA2494" s="357" t="s">
        <v>276</v>
      </c>
      <c r="BB2494" s="357" t="s">
        <v>276</v>
      </c>
      <c r="BC2494" s="357" t="s">
        <v>276</v>
      </c>
      <c r="BD2494" s="357" t="s">
        <v>276</v>
      </c>
      <c r="BE2494" s="357" t="s">
        <v>276</v>
      </c>
      <c r="BF2494" s="357" t="s">
        <v>6336</v>
      </c>
      <c r="BG2494" s="396" t="s">
        <v>6318</v>
      </c>
      <c r="BH2494" s="9" t="s">
        <v>100</v>
      </c>
      <c r="BI2494" s="9" t="s">
        <v>100</v>
      </c>
    </row>
    <row r="2495" spans="1:90" s="384" customFormat="1" ht="91" hidden="1" x14ac:dyDescent="0.35">
      <c r="A2495" s="357">
        <v>10008</v>
      </c>
      <c r="B2495" s="357" t="s">
        <v>6304</v>
      </c>
      <c r="C2495" s="357" t="s">
        <v>88</v>
      </c>
      <c r="D2495" s="351" t="s">
        <v>6340</v>
      </c>
      <c r="E2495" s="357" t="s">
        <v>43</v>
      </c>
      <c r="F2495" s="351" t="s">
        <v>4987</v>
      </c>
      <c r="G2495" s="357" t="s">
        <v>225</v>
      </c>
      <c r="H2495" s="357" t="s">
        <v>125</v>
      </c>
      <c r="I2495" s="357" t="s">
        <v>114</v>
      </c>
      <c r="J2495" s="351" t="s">
        <v>26</v>
      </c>
      <c r="K2495" s="351" t="s">
        <v>6341</v>
      </c>
      <c r="L2495" s="351" t="s">
        <v>6307</v>
      </c>
      <c r="M2495" s="351" t="s">
        <v>6308</v>
      </c>
      <c r="N2495" s="351" t="s">
        <v>6309</v>
      </c>
      <c r="O2495" s="351" t="s">
        <v>6328</v>
      </c>
      <c r="P2495" s="351" t="s">
        <v>239</v>
      </c>
      <c r="Q2495" s="406" t="s">
        <v>6311</v>
      </c>
      <c r="R2495" s="351" t="s">
        <v>276</v>
      </c>
      <c r="S2495" s="351" t="s">
        <v>6312</v>
      </c>
      <c r="T2495" s="351" t="s">
        <v>6312</v>
      </c>
      <c r="U2495" s="357" t="s">
        <v>6313</v>
      </c>
      <c r="V2495" s="357" t="s">
        <v>261</v>
      </c>
      <c r="W2495" s="351" t="s">
        <v>6314</v>
      </c>
      <c r="X2495" s="351" t="s">
        <v>207</v>
      </c>
      <c r="Y2495" s="357">
        <v>82816</v>
      </c>
      <c r="Z2495" s="357">
        <v>99184</v>
      </c>
      <c r="AA2495" s="357" t="s">
        <v>276</v>
      </c>
      <c r="AB2495" s="357" t="s">
        <v>276</v>
      </c>
      <c r="AC2495" s="357">
        <f>6567-5830</f>
        <v>737</v>
      </c>
      <c r="AD2495" s="351" t="s">
        <v>6334</v>
      </c>
      <c r="AE2495" s="357">
        <f>4782-4003</f>
        <v>779</v>
      </c>
      <c r="AF2495" s="351" t="s">
        <v>6334</v>
      </c>
      <c r="AG2495" s="351" t="s">
        <v>6342</v>
      </c>
      <c r="AH2495" s="351" t="s">
        <v>6200</v>
      </c>
      <c r="AI2495" s="357">
        <v>208</v>
      </c>
      <c r="AJ2495" s="357">
        <v>355</v>
      </c>
      <c r="AK2495" s="357">
        <v>82816</v>
      </c>
      <c r="AL2495" s="357">
        <v>99184</v>
      </c>
      <c r="AM2495" s="351" t="s">
        <v>6317</v>
      </c>
      <c r="AN2495" s="357" t="s">
        <v>276</v>
      </c>
      <c r="AO2495" s="377">
        <f t="shared" si="660"/>
        <v>25.115919629057188</v>
      </c>
      <c r="AP2495" s="357" t="s">
        <v>276</v>
      </c>
      <c r="AQ2495" s="357" t="s">
        <v>276</v>
      </c>
      <c r="AR2495" s="357" t="s">
        <v>276</v>
      </c>
      <c r="AS2495" s="377">
        <f t="shared" si="661"/>
        <v>35.792063236005809</v>
      </c>
      <c r="AT2495" s="357" t="s">
        <v>276</v>
      </c>
      <c r="AU2495" s="357" t="s">
        <v>276</v>
      </c>
      <c r="AV2495" s="357" t="s">
        <v>268</v>
      </c>
      <c r="AW2495" s="357" t="s">
        <v>276</v>
      </c>
      <c r="AX2495" s="369">
        <f t="shared" si="654"/>
        <v>0.70171756971504451</v>
      </c>
      <c r="AY2495" s="357" t="s">
        <v>276</v>
      </c>
      <c r="AZ2495" s="357" t="s">
        <v>276</v>
      </c>
      <c r="BA2495" s="357" t="s">
        <v>276</v>
      </c>
      <c r="BB2495" s="357" t="s">
        <v>276</v>
      </c>
      <c r="BC2495" s="357" t="s">
        <v>276</v>
      </c>
      <c r="BD2495" s="357" t="s">
        <v>276</v>
      </c>
      <c r="BE2495" s="357" t="s">
        <v>276</v>
      </c>
      <c r="BF2495" s="357" t="s">
        <v>6336</v>
      </c>
      <c r="BG2495" s="396" t="s">
        <v>6318</v>
      </c>
      <c r="BH2495" s="9" t="s">
        <v>100</v>
      </c>
      <c r="BI2495" s="9" t="s">
        <v>100</v>
      </c>
    </row>
    <row r="2496" spans="1:90" s="411" customFormat="1" ht="65" hidden="1" x14ac:dyDescent="0.35">
      <c r="A2496" s="357">
        <v>10547</v>
      </c>
      <c r="B2496" s="357" t="s">
        <v>4985</v>
      </c>
      <c r="C2496" s="357" t="s">
        <v>88</v>
      </c>
      <c r="D2496" s="351" t="s">
        <v>6343</v>
      </c>
      <c r="E2496" s="357" t="s">
        <v>43</v>
      </c>
      <c r="F2496" s="351" t="s">
        <v>4987</v>
      </c>
      <c r="G2496" s="357" t="s">
        <v>225</v>
      </c>
      <c r="H2496" s="357" t="s">
        <v>125</v>
      </c>
      <c r="I2496" s="357" t="s">
        <v>114</v>
      </c>
      <c r="J2496" s="351" t="s">
        <v>29</v>
      </c>
      <c r="K2496" s="395" t="s">
        <v>1772</v>
      </c>
      <c r="L2496" s="351" t="s">
        <v>5838</v>
      </c>
      <c r="M2496" s="351" t="s">
        <v>5838</v>
      </c>
      <c r="N2496" s="351" t="s">
        <v>5571</v>
      </c>
      <c r="O2496" s="351" t="s">
        <v>4989</v>
      </c>
      <c r="P2496" s="351" t="s">
        <v>239</v>
      </c>
      <c r="Q2496" s="383" t="s">
        <v>4991</v>
      </c>
      <c r="R2496" s="351" t="s">
        <v>98</v>
      </c>
      <c r="S2496" s="380" t="s">
        <v>5839</v>
      </c>
      <c r="T2496" s="380" t="s">
        <v>5840</v>
      </c>
      <c r="U2496" s="351" t="s">
        <v>276</v>
      </c>
      <c r="V2496" s="357" t="s">
        <v>259</v>
      </c>
      <c r="W2496" s="351" t="s">
        <v>6344</v>
      </c>
      <c r="X2496" s="351" t="s">
        <v>207</v>
      </c>
      <c r="Y2496" s="354">
        <v>72890</v>
      </c>
      <c r="Z2496" s="355">
        <v>89353</v>
      </c>
      <c r="AA2496" s="351" t="s">
        <v>276</v>
      </c>
      <c r="AB2496" s="351" t="s">
        <v>276</v>
      </c>
      <c r="AC2496" s="354">
        <v>1126</v>
      </c>
      <c r="AD2496" s="351" t="s">
        <v>6345</v>
      </c>
      <c r="AE2496" s="354">
        <v>1538</v>
      </c>
      <c r="AF2496" s="351" t="s">
        <v>6345</v>
      </c>
      <c r="AG2496" s="351" t="s">
        <v>6346</v>
      </c>
      <c r="AH2496" s="351" t="s">
        <v>5843</v>
      </c>
      <c r="AI2496" s="355">
        <v>3520</v>
      </c>
      <c r="AJ2496" s="355">
        <v>1518</v>
      </c>
      <c r="AK2496" s="354">
        <v>72890</v>
      </c>
      <c r="AL2496" s="355">
        <v>89353</v>
      </c>
      <c r="AM2496" s="355" t="s">
        <v>690</v>
      </c>
      <c r="AN2496" s="357" t="s">
        <v>276</v>
      </c>
      <c r="AO2496" s="356">
        <f>AI2496*1000/AK2496</f>
        <v>48.291946769104129</v>
      </c>
      <c r="AP2496" s="357" t="s">
        <v>276</v>
      </c>
      <c r="AQ2496" s="357" t="s">
        <v>276</v>
      </c>
      <c r="AR2496" s="357" t="s">
        <v>276</v>
      </c>
      <c r="AS2496" s="356">
        <f>AJ2496*1000/AL2496</f>
        <v>16.988797242398128</v>
      </c>
      <c r="AT2496" s="357" t="s">
        <v>276</v>
      </c>
      <c r="AU2496" s="357" t="s">
        <v>276</v>
      </c>
      <c r="AV2496" s="357" t="s">
        <v>268</v>
      </c>
      <c r="AW2496" s="357" t="s">
        <v>276</v>
      </c>
      <c r="AX2496" s="369">
        <f>AO2496/AS2496</f>
        <v>2.8425759681553107</v>
      </c>
      <c r="AY2496" s="357" t="s">
        <v>276</v>
      </c>
      <c r="AZ2496" s="357" t="s">
        <v>276</v>
      </c>
      <c r="BA2496" s="357" t="s">
        <v>276</v>
      </c>
      <c r="BB2496" s="357" t="s">
        <v>282</v>
      </c>
      <c r="BC2496" s="357" t="s">
        <v>98</v>
      </c>
      <c r="BD2496" s="357" t="s">
        <v>98</v>
      </c>
      <c r="BE2496" s="357" t="s">
        <v>98</v>
      </c>
      <c r="BF2496" s="351" t="s">
        <v>6347</v>
      </c>
      <c r="BG2496" s="407"/>
      <c r="BH2496" s="9" t="s">
        <v>100</v>
      </c>
      <c r="BI2496" s="9" t="s">
        <v>100</v>
      </c>
      <c r="BJ2496" s="408"/>
      <c r="BK2496" s="409"/>
      <c r="BL2496" s="409"/>
      <c r="BM2496" s="409"/>
      <c r="BN2496" s="408"/>
      <c r="BO2496" s="408"/>
      <c r="BP2496" s="409"/>
      <c r="BQ2496" s="410"/>
      <c r="BR2496" s="410"/>
      <c r="BS2496" s="410"/>
      <c r="BT2496" s="410"/>
      <c r="BU2496" s="410"/>
      <c r="BV2496" s="410"/>
      <c r="BW2496" s="410"/>
      <c r="BX2496" s="410"/>
      <c r="BY2496" s="410"/>
      <c r="BZ2496" s="410"/>
      <c r="CA2496" s="410"/>
      <c r="CB2496" s="410"/>
      <c r="CC2496" s="410"/>
      <c r="CD2496" s="410"/>
      <c r="CE2496" s="410"/>
      <c r="CF2496" s="410"/>
      <c r="CG2496" s="410"/>
      <c r="CH2496" s="410"/>
      <c r="CI2496" s="410"/>
      <c r="CJ2496" s="410"/>
      <c r="CK2496" s="410"/>
      <c r="CL2496" s="410"/>
    </row>
    <row r="2497" spans="1:90" s="411" customFormat="1" ht="52" hidden="1" x14ac:dyDescent="0.35">
      <c r="A2497" s="357">
        <v>10547</v>
      </c>
      <c r="B2497" s="357" t="s">
        <v>4985</v>
      </c>
      <c r="C2497" s="357" t="s">
        <v>88</v>
      </c>
      <c r="D2497" s="351" t="s">
        <v>6348</v>
      </c>
      <c r="E2497" s="357" t="s">
        <v>43</v>
      </c>
      <c r="F2497" s="351" t="s">
        <v>4987</v>
      </c>
      <c r="G2497" s="357" t="s">
        <v>225</v>
      </c>
      <c r="H2497" s="357" t="s">
        <v>125</v>
      </c>
      <c r="I2497" s="357" t="s">
        <v>114</v>
      </c>
      <c r="J2497" s="351" t="s">
        <v>29</v>
      </c>
      <c r="K2497" s="395">
        <v>7</v>
      </c>
      <c r="L2497" s="351" t="s">
        <v>5838</v>
      </c>
      <c r="M2497" s="351" t="s">
        <v>5838</v>
      </c>
      <c r="N2497" s="351" t="s">
        <v>5571</v>
      </c>
      <c r="O2497" s="351" t="s">
        <v>4989</v>
      </c>
      <c r="P2497" s="351" t="s">
        <v>239</v>
      </c>
      <c r="Q2497" s="383" t="s">
        <v>4991</v>
      </c>
      <c r="R2497" s="351" t="s">
        <v>98</v>
      </c>
      <c r="S2497" s="380" t="s">
        <v>5839</v>
      </c>
      <c r="T2497" s="380" t="s">
        <v>5840</v>
      </c>
      <c r="U2497" s="351" t="s">
        <v>276</v>
      </c>
      <c r="V2497" s="357" t="s">
        <v>259</v>
      </c>
      <c r="W2497" s="351" t="s">
        <v>6344</v>
      </c>
      <c r="X2497" s="351" t="s">
        <v>207</v>
      </c>
      <c r="Y2497" s="354">
        <v>72890</v>
      </c>
      <c r="Z2497" s="355">
        <v>89353</v>
      </c>
      <c r="AA2497" s="351" t="s">
        <v>276</v>
      </c>
      <c r="AB2497" s="351" t="s">
        <v>276</v>
      </c>
      <c r="AC2497" s="354">
        <v>1126</v>
      </c>
      <c r="AD2497" s="351" t="s">
        <v>6345</v>
      </c>
      <c r="AE2497" s="354">
        <v>1538</v>
      </c>
      <c r="AF2497" s="351" t="s">
        <v>6345</v>
      </c>
      <c r="AG2497" s="351" t="s">
        <v>6346</v>
      </c>
      <c r="AH2497" s="351" t="s">
        <v>5843</v>
      </c>
      <c r="AI2497" s="355">
        <v>990</v>
      </c>
      <c r="AJ2497" s="355">
        <v>799</v>
      </c>
      <c r="AK2497" s="354">
        <v>72890</v>
      </c>
      <c r="AL2497" s="355">
        <v>89353</v>
      </c>
      <c r="AM2497" s="355" t="s">
        <v>690</v>
      </c>
      <c r="AN2497" s="357" t="s">
        <v>276</v>
      </c>
      <c r="AO2497" s="356">
        <f t="shared" ref="AO2497:AO2498" si="664">AI2497*1000/AK2497</f>
        <v>13.582110028810536</v>
      </c>
      <c r="AP2497" s="357" t="s">
        <v>276</v>
      </c>
      <c r="AQ2497" s="357" t="s">
        <v>276</v>
      </c>
      <c r="AR2497" s="357" t="s">
        <v>276</v>
      </c>
      <c r="AS2497" s="356">
        <f t="shared" ref="AS2497:AS2498" si="665">AJ2497*1000/AL2497</f>
        <v>8.94206126263248</v>
      </c>
      <c r="AT2497" s="357" t="s">
        <v>276</v>
      </c>
      <c r="AU2497" s="357" t="s">
        <v>276</v>
      </c>
      <c r="AV2497" s="357" t="s">
        <v>268</v>
      </c>
      <c r="AW2497" s="357" t="s">
        <v>276</v>
      </c>
      <c r="AX2497" s="369">
        <f t="shared" ref="AX2497:AX2546" si="666">AO2497/AS2497</f>
        <v>1.5189014735973816</v>
      </c>
      <c r="AY2497" s="357" t="s">
        <v>276</v>
      </c>
      <c r="AZ2497" s="357" t="s">
        <v>276</v>
      </c>
      <c r="BA2497" s="357" t="s">
        <v>276</v>
      </c>
      <c r="BB2497" s="357" t="s">
        <v>282</v>
      </c>
      <c r="BC2497" s="357" t="s">
        <v>98</v>
      </c>
      <c r="BD2497" s="357" t="s">
        <v>98</v>
      </c>
      <c r="BE2497" s="357" t="s">
        <v>98</v>
      </c>
      <c r="BF2497" s="351" t="s">
        <v>6347</v>
      </c>
      <c r="BG2497" s="407"/>
      <c r="BH2497" s="9" t="s">
        <v>100</v>
      </c>
      <c r="BI2497" s="9" t="s">
        <v>100</v>
      </c>
      <c r="BJ2497" s="408"/>
      <c r="BK2497" s="409"/>
      <c r="BL2497" s="409"/>
      <c r="BM2497" s="409"/>
      <c r="BN2497" s="408"/>
      <c r="BO2497" s="408"/>
      <c r="BP2497" s="409"/>
      <c r="BQ2497" s="410"/>
      <c r="BR2497" s="410"/>
      <c r="BS2497" s="410"/>
      <c r="BT2497" s="410"/>
      <c r="BU2497" s="410"/>
      <c r="BV2497" s="410"/>
      <c r="BW2497" s="410"/>
      <c r="BX2497" s="410"/>
      <c r="BY2497" s="410"/>
      <c r="BZ2497" s="410"/>
      <c r="CA2497" s="410"/>
      <c r="CB2497" s="410"/>
      <c r="CC2497" s="410"/>
      <c r="CD2497" s="410"/>
      <c r="CE2497" s="410"/>
      <c r="CF2497" s="410"/>
      <c r="CG2497" s="410"/>
      <c r="CH2497" s="410"/>
      <c r="CI2497" s="410"/>
      <c r="CJ2497" s="410"/>
      <c r="CK2497" s="410"/>
      <c r="CL2497" s="410"/>
    </row>
    <row r="2498" spans="1:90" s="411" customFormat="1" ht="65" hidden="1" x14ac:dyDescent="0.35">
      <c r="A2498" s="357">
        <v>10547</v>
      </c>
      <c r="B2498" s="357" t="s">
        <v>4985</v>
      </c>
      <c r="C2498" s="357" t="s">
        <v>88</v>
      </c>
      <c r="D2498" s="351" t="s">
        <v>6349</v>
      </c>
      <c r="E2498" s="357" t="s">
        <v>43</v>
      </c>
      <c r="F2498" s="351" t="s">
        <v>4987</v>
      </c>
      <c r="G2498" s="357" t="s">
        <v>225</v>
      </c>
      <c r="H2498" s="357" t="s">
        <v>125</v>
      </c>
      <c r="I2498" s="357" t="s">
        <v>114</v>
      </c>
      <c r="J2498" s="351" t="s">
        <v>29</v>
      </c>
      <c r="K2498" s="395" t="s">
        <v>1709</v>
      </c>
      <c r="L2498" s="351" t="s">
        <v>5838</v>
      </c>
      <c r="M2498" s="351" t="s">
        <v>5838</v>
      </c>
      <c r="N2498" s="351" t="s">
        <v>5571</v>
      </c>
      <c r="O2498" s="351" t="s">
        <v>4989</v>
      </c>
      <c r="P2498" s="351" t="s">
        <v>239</v>
      </c>
      <c r="Q2498" s="383" t="s">
        <v>4991</v>
      </c>
      <c r="R2498" s="351" t="s">
        <v>98</v>
      </c>
      <c r="S2498" s="380" t="s">
        <v>5839</v>
      </c>
      <c r="T2498" s="380" t="s">
        <v>5840</v>
      </c>
      <c r="U2498" s="351" t="s">
        <v>276</v>
      </c>
      <c r="V2498" s="357" t="s">
        <v>259</v>
      </c>
      <c r="W2498" s="351" t="s">
        <v>6344</v>
      </c>
      <c r="X2498" s="351" t="s">
        <v>207</v>
      </c>
      <c r="Y2498" s="354">
        <v>72890</v>
      </c>
      <c r="Z2498" s="355">
        <v>89353</v>
      </c>
      <c r="AA2498" s="351" t="s">
        <v>276</v>
      </c>
      <c r="AB2498" s="351" t="s">
        <v>276</v>
      </c>
      <c r="AC2498" s="354">
        <v>1126</v>
      </c>
      <c r="AD2498" s="351" t="s">
        <v>6345</v>
      </c>
      <c r="AE2498" s="354">
        <v>1538</v>
      </c>
      <c r="AF2498" s="351" t="s">
        <v>6345</v>
      </c>
      <c r="AG2498" s="351" t="s">
        <v>6346</v>
      </c>
      <c r="AH2498" s="351" t="s">
        <v>5843</v>
      </c>
      <c r="AI2498" s="355">
        <v>363</v>
      </c>
      <c r="AJ2498" s="355">
        <v>455</v>
      </c>
      <c r="AK2498" s="354">
        <v>72890</v>
      </c>
      <c r="AL2498" s="355">
        <v>89353</v>
      </c>
      <c r="AM2498" s="355" t="s">
        <v>690</v>
      </c>
      <c r="AN2498" s="357" t="s">
        <v>276</v>
      </c>
      <c r="AO2498" s="356">
        <f t="shared" si="664"/>
        <v>4.980107010563863</v>
      </c>
      <c r="AP2498" s="357" t="s">
        <v>276</v>
      </c>
      <c r="AQ2498" s="357" t="s">
        <v>276</v>
      </c>
      <c r="AR2498" s="357" t="s">
        <v>276</v>
      </c>
      <c r="AS2498" s="356">
        <f t="shared" si="665"/>
        <v>5.0921625463051043</v>
      </c>
      <c r="AT2498" s="357" t="s">
        <v>276</v>
      </c>
      <c r="AU2498" s="357" t="s">
        <v>276</v>
      </c>
      <c r="AV2498" s="357" t="s">
        <v>268</v>
      </c>
      <c r="AW2498" s="357" t="s">
        <v>276</v>
      </c>
      <c r="AX2498" s="369">
        <f t="shared" si="666"/>
        <v>0.9779945092635447</v>
      </c>
      <c r="AY2498" s="357" t="s">
        <v>276</v>
      </c>
      <c r="AZ2498" s="357" t="s">
        <v>276</v>
      </c>
      <c r="BA2498" s="357" t="s">
        <v>276</v>
      </c>
      <c r="BB2498" s="357" t="s">
        <v>282</v>
      </c>
      <c r="BC2498" s="357" t="s">
        <v>98</v>
      </c>
      <c r="BD2498" s="357" t="s">
        <v>98</v>
      </c>
      <c r="BE2498" s="357" t="s">
        <v>98</v>
      </c>
      <c r="BF2498" s="351" t="s">
        <v>6347</v>
      </c>
      <c r="BG2498" s="407"/>
      <c r="BH2498" s="9" t="s">
        <v>100</v>
      </c>
      <c r="BI2498" s="9" t="s">
        <v>100</v>
      </c>
      <c r="BJ2498" s="408"/>
      <c r="BK2498" s="409"/>
      <c r="BL2498" s="409"/>
      <c r="BM2498" s="409"/>
      <c r="BN2498" s="408"/>
      <c r="BO2498" s="408"/>
      <c r="BP2498" s="409"/>
      <c r="BQ2498" s="410"/>
      <c r="BR2498" s="410"/>
      <c r="BS2498" s="410"/>
      <c r="BT2498" s="410"/>
      <c r="BU2498" s="410"/>
      <c r="BV2498" s="410"/>
      <c r="BW2498" s="410"/>
      <c r="BX2498" s="410"/>
      <c r="BY2498" s="410"/>
      <c r="BZ2498" s="410"/>
      <c r="CA2498" s="410"/>
      <c r="CB2498" s="410"/>
      <c r="CC2498" s="410"/>
      <c r="CD2498" s="410"/>
      <c r="CE2498" s="410"/>
      <c r="CF2498" s="410"/>
      <c r="CG2498" s="410"/>
      <c r="CH2498" s="410"/>
      <c r="CI2498" s="410"/>
      <c r="CJ2498" s="410"/>
      <c r="CK2498" s="410"/>
      <c r="CL2498" s="410"/>
    </row>
    <row r="2499" spans="1:90" s="413" customFormat="1" ht="52" hidden="1" x14ac:dyDescent="0.35">
      <c r="A2499" s="357">
        <v>10547</v>
      </c>
      <c r="B2499" s="357" t="s">
        <v>4985</v>
      </c>
      <c r="C2499" s="357" t="s">
        <v>88</v>
      </c>
      <c r="D2499" s="351" t="s">
        <v>6350</v>
      </c>
      <c r="E2499" s="357" t="s">
        <v>43</v>
      </c>
      <c r="F2499" s="351" t="s">
        <v>4987</v>
      </c>
      <c r="G2499" s="357" t="s">
        <v>225</v>
      </c>
      <c r="H2499" s="357" t="s">
        <v>125</v>
      </c>
      <c r="I2499" s="357" t="s">
        <v>114</v>
      </c>
      <c r="J2499" s="351" t="s">
        <v>29</v>
      </c>
      <c r="K2499" s="395" t="s">
        <v>6351</v>
      </c>
      <c r="L2499" s="351" t="s">
        <v>5838</v>
      </c>
      <c r="M2499" s="351" t="s">
        <v>5838</v>
      </c>
      <c r="N2499" s="351" t="s">
        <v>5571</v>
      </c>
      <c r="O2499" s="351" t="s">
        <v>4989</v>
      </c>
      <c r="P2499" s="351" t="s">
        <v>239</v>
      </c>
      <c r="Q2499" s="383" t="s">
        <v>4991</v>
      </c>
      <c r="R2499" s="351" t="s">
        <v>98</v>
      </c>
      <c r="S2499" s="380" t="s">
        <v>5839</v>
      </c>
      <c r="T2499" s="380" t="s">
        <v>5840</v>
      </c>
      <c r="U2499" s="351" t="s">
        <v>276</v>
      </c>
      <c r="V2499" s="357" t="s">
        <v>259</v>
      </c>
      <c r="W2499" s="351" t="s">
        <v>6344</v>
      </c>
      <c r="X2499" s="351" t="s">
        <v>207</v>
      </c>
      <c r="Y2499" s="354" t="s">
        <v>98</v>
      </c>
      <c r="Z2499" s="355" t="s">
        <v>98</v>
      </c>
      <c r="AA2499" s="351" t="s">
        <v>276</v>
      </c>
      <c r="AB2499" s="351" t="s">
        <v>276</v>
      </c>
      <c r="AC2499" s="354">
        <v>1126</v>
      </c>
      <c r="AD2499" s="351" t="s">
        <v>6345</v>
      </c>
      <c r="AE2499" s="354">
        <v>1538</v>
      </c>
      <c r="AF2499" s="351" t="s">
        <v>6345</v>
      </c>
      <c r="AG2499" s="351" t="s">
        <v>6346</v>
      </c>
      <c r="AH2499" s="351" t="s">
        <v>6352</v>
      </c>
      <c r="AI2499" s="355">
        <f>990+363</f>
        <v>1353</v>
      </c>
      <c r="AJ2499" s="355">
        <f>799+455</f>
        <v>1254</v>
      </c>
      <c r="AK2499" s="354">
        <v>5990</v>
      </c>
      <c r="AL2499" s="355">
        <v>4307</v>
      </c>
      <c r="AM2499" s="355" t="s">
        <v>292</v>
      </c>
      <c r="AN2499" s="357" t="s">
        <v>276</v>
      </c>
      <c r="AO2499" s="356">
        <f>AI2499*100/AK2499</f>
        <v>22.587646076794659</v>
      </c>
      <c r="AP2499" s="357" t="s">
        <v>276</v>
      </c>
      <c r="AQ2499" s="357" t="s">
        <v>276</v>
      </c>
      <c r="AR2499" s="357" t="s">
        <v>276</v>
      </c>
      <c r="AS2499" s="356">
        <f>AJ2499*100/AL2499</f>
        <v>29.115393545391225</v>
      </c>
      <c r="AT2499" s="357" t="s">
        <v>276</v>
      </c>
      <c r="AU2499" s="357" t="s">
        <v>276</v>
      </c>
      <c r="AV2499" s="357" t="s">
        <v>268</v>
      </c>
      <c r="AW2499" s="357" t="s">
        <v>276</v>
      </c>
      <c r="AX2499" s="369">
        <f t="shared" si="666"/>
        <v>0.77579738160091383</v>
      </c>
      <c r="AY2499" s="357" t="s">
        <v>276</v>
      </c>
      <c r="AZ2499" s="357" t="s">
        <v>276</v>
      </c>
      <c r="BA2499" s="357" t="s">
        <v>276</v>
      </c>
      <c r="BB2499" s="357" t="s">
        <v>282</v>
      </c>
      <c r="BC2499" s="357" t="s">
        <v>98</v>
      </c>
      <c r="BD2499" s="357" t="s">
        <v>98</v>
      </c>
      <c r="BE2499" s="357" t="s">
        <v>98</v>
      </c>
      <c r="BF2499" s="351" t="s">
        <v>6353</v>
      </c>
      <c r="BG2499" s="351" t="s">
        <v>6354</v>
      </c>
      <c r="BH2499" s="9" t="s">
        <v>100</v>
      </c>
      <c r="BI2499" s="9" t="s">
        <v>100</v>
      </c>
      <c r="BJ2499" s="412"/>
      <c r="BN2499" s="412"/>
      <c r="BO2499" s="412"/>
    </row>
    <row r="2500" spans="1:90" s="6" customFormat="1" ht="65" hidden="1" x14ac:dyDescent="0.35">
      <c r="A2500" s="357">
        <v>10548</v>
      </c>
      <c r="B2500" s="357" t="s">
        <v>5029</v>
      </c>
      <c r="C2500" s="357" t="s">
        <v>88</v>
      </c>
      <c r="D2500" s="351" t="s">
        <v>6355</v>
      </c>
      <c r="E2500" s="357" t="s">
        <v>43</v>
      </c>
      <c r="F2500" s="351" t="s">
        <v>4987</v>
      </c>
      <c r="G2500" s="357" t="s">
        <v>225</v>
      </c>
      <c r="H2500" s="357" t="s">
        <v>125</v>
      </c>
      <c r="I2500" s="357" t="s">
        <v>114</v>
      </c>
      <c r="J2500" s="351" t="s">
        <v>29</v>
      </c>
      <c r="K2500" s="395" t="s">
        <v>1772</v>
      </c>
      <c r="L2500" s="351" t="s">
        <v>6356</v>
      </c>
      <c r="M2500" s="351" t="s">
        <v>5838</v>
      </c>
      <c r="N2500" s="357" t="s">
        <v>276</v>
      </c>
      <c r="O2500" s="357" t="s">
        <v>276</v>
      </c>
      <c r="P2500" s="351" t="s">
        <v>239</v>
      </c>
      <c r="Q2500" s="383" t="s">
        <v>5034</v>
      </c>
      <c r="R2500" s="351" t="s">
        <v>98</v>
      </c>
      <c r="S2500" s="351" t="s">
        <v>5643</v>
      </c>
      <c r="T2500" s="351" t="s">
        <v>5643</v>
      </c>
      <c r="U2500" s="351" t="s">
        <v>276</v>
      </c>
      <c r="V2500" s="357" t="s">
        <v>259</v>
      </c>
      <c r="W2500" s="351" t="s">
        <v>5072</v>
      </c>
      <c r="X2500" s="351" t="s">
        <v>207</v>
      </c>
      <c r="Y2500" s="354">
        <v>17443</v>
      </c>
      <c r="Z2500" s="355">
        <v>17390</v>
      </c>
      <c r="AA2500" s="351" t="s">
        <v>276</v>
      </c>
      <c r="AB2500" s="351" t="s">
        <v>276</v>
      </c>
      <c r="AC2500" s="357">
        <v>97</v>
      </c>
      <c r="AD2500" s="351" t="s">
        <v>1759</v>
      </c>
      <c r="AE2500" s="357">
        <v>24</v>
      </c>
      <c r="AF2500" s="351" t="s">
        <v>1759</v>
      </c>
      <c r="AG2500" s="351" t="s">
        <v>6357</v>
      </c>
      <c r="AH2500" s="351" t="s">
        <v>5843</v>
      </c>
      <c r="AI2500" s="355">
        <v>1422</v>
      </c>
      <c r="AJ2500" s="355">
        <v>444</v>
      </c>
      <c r="AK2500" s="354">
        <v>17443</v>
      </c>
      <c r="AL2500" s="355">
        <v>17390</v>
      </c>
      <c r="AM2500" s="355" t="s">
        <v>690</v>
      </c>
      <c r="AN2500" s="357" t="s">
        <v>276</v>
      </c>
      <c r="AO2500" s="356">
        <f>AI2500*1000/AK2500</f>
        <v>81.522673851975</v>
      </c>
      <c r="AP2500" s="357" t="s">
        <v>276</v>
      </c>
      <c r="AQ2500" s="357" t="s">
        <v>276</v>
      </c>
      <c r="AR2500" s="357" t="s">
        <v>276</v>
      </c>
      <c r="AS2500" s="356">
        <f>AJ2500*1000/AL2500</f>
        <v>25.531914893617021</v>
      </c>
      <c r="AT2500" s="357" t="s">
        <v>276</v>
      </c>
      <c r="AU2500" s="357" t="s">
        <v>276</v>
      </c>
      <c r="AV2500" s="357" t="s">
        <v>268</v>
      </c>
      <c r="AW2500" s="357" t="s">
        <v>276</v>
      </c>
      <c r="AX2500" s="369">
        <f t="shared" si="666"/>
        <v>3.1929713925356875</v>
      </c>
      <c r="AY2500" s="357" t="s">
        <v>276</v>
      </c>
      <c r="AZ2500" s="357" t="s">
        <v>276</v>
      </c>
      <c r="BA2500" s="357" t="s">
        <v>276</v>
      </c>
      <c r="BB2500" s="357" t="s">
        <v>282</v>
      </c>
      <c r="BC2500" s="357" t="s">
        <v>98</v>
      </c>
      <c r="BD2500" s="357" t="s">
        <v>98</v>
      </c>
      <c r="BE2500" s="357" t="s">
        <v>98</v>
      </c>
      <c r="BF2500" s="351" t="s">
        <v>6358</v>
      </c>
      <c r="BG2500" s="9"/>
      <c r="BH2500" s="9" t="s">
        <v>100</v>
      </c>
      <c r="BI2500" s="9" t="s">
        <v>100</v>
      </c>
      <c r="BJ2500" s="32"/>
      <c r="BK2500" s="33"/>
      <c r="BL2500" s="33"/>
      <c r="BM2500" s="33"/>
      <c r="BN2500" s="32"/>
      <c r="BO2500" s="32"/>
      <c r="BP2500" s="33"/>
    </row>
    <row r="2501" spans="1:90" s="6" customFormat="1" ht="65" hidden="1" x14ac:dyDescent="0.35">
      <c r="A2501" s="357">
        <v>10548</v>
      </c>
      <c r="B2501" s="357" t="s">
        <v>5029</v>
      </c>
      <c r="C2501" s="357" t="s">
        <v>88</v>
      </c>
      <c r="D2501" s="351" t="s">
        <v>6359</v>
      </c>
      <c r="E2501" s="357" t="s">
        <v>43</v>
      </c>
      <c r="F2501" s="351" t="s">
        <v>4987</v>
      </c>
      <c r="G2501" s="357" t="s">
        <v>225</v>
      </c>
      <c r="H2501" s="357" t="s">
        <v>125</v>
      </c>
      <c r="I2501" s="357" t="s">
        <v>114</v>
      </c>
      <c r="J2501" s="351" t="s">
        <v>29</v>
      </c>
      <c r="K2501" s="395">
        <v>7</v>
      </c>
      <c r="L2501" s="351" t="s">
        <v>6356</v>
      </c>
      <c r="M2501" s="351" t="s">
        <v>5838</v>
      </c>
      <c r="N2501" s="357" t="s">
        <v>276</v>
      </c>
      <c r="O2501" s="357" t="s">
        <v>276</v>
      </c>
      <c r="P2501" s="351" t="s">
        <v>239</v>
      </c>
      <c r="Q2501" s="383" t="s">
        <v>5034</v>
      </c>
      <c r="R2501" s="351" t="s">
        <v>98</v>
      </c>
      <c r="S2501" s="351" t="s">
        <v>5643</v>
      </c>
      <c r="T2501" s="351" t="s">
        <v>5643</v>
      </c>
      <c r="U2501" s="351" t="s">
        <v>276</v>
      </c>
      <c r="V2501" s="357" t="s">
        <v>259</v>
      </c>
      <c r="W2501" s="351" t="s">
        <v>5072</v>
      </c>
      <c r="X2501" s="351" t="s">
        <v>207</v>
      </c>
      <c r="Y2501" s="354">
        <v>17443</v>
      </c>
      <c r="Z2501" s="355">
        <v>17390</v>
      </c>
      <c r="AA2501" s="351" t="s">
        <v>276</v>
      </c>
      <c r="AB2501" s="351" t="s">
        <v>276</v>
      </c>
      <c r="AC2501" s="357">
        <v>97</v>
      </c>
      <c r="AD2501" s="351" t="s">
        <v>1759</v>
      </c>
      <c r="AE2501" s="357">
        <v>24</v>
      </c>
      <c r="AF2501" s="351" t="s">
        <v>1759</v>
      </c>
      <c r="AG2501" s="351" t="s">
        <v>6360</v>
      </c>
      <c r="AH2501" s="351" t="s">
        <v>5843</v>
      </c>
      <c r="AI2501" s="355">
        <v>393</v>
      </c>
      <c r="AJ2501" s="355">
        <v>265</v>
      </c>
      <c r="AK2501" s="354">
        <v>17443</v>
      </c>
      <c r="AL2501" s="355">
        <v>17390</v>
      </c>
      <c r="AM2501" s="355" t="s">
        <v>690</v>
      </c>
      <c r="AN2501" s="357" t="s">
        <v>276</v>
      </c>
      <c r="AO2501" s="356">
        <f t="shared" ref="AO2501:AO2526" si="667">AI2501*1000/AK2501</f>
        <v>22.530528005503641</v>
      </c>
      <c r="AP2501" s="357" t="s">
        <v>276</v>
      </c>
      <c r="AQ2501" s="357" t="s">
        <v>276</v>
      </c>
      <c r="AR2501" s="357" t="s">
        <v>276</v>
      </c>
      <c r="AS2501" s="356">
        <f t="shared" ref="AS2501:AS2526" si="668">AJ2501*1000/AL2501</f>
        <v>15.238642898217366</v>
      </c>
      <c r="AT2501" s="357" t="s">
        <v>276</v>
      </c>
      <c r="AU2501" s="357" t="s">
        <v>276</v>
      </c>
      <c r="AV2501" s="357" t="s">
        <v>268</v>
      </c>
      <c r="AW2501" s="357" t="s">
        <v>276</v>
      </c>
      <c r="AX2501" s="369">
        <f t="shared" si="666"/>
        <v>1.4785127623234275</v>
      </c>
      <c r="AY2501" s="357" t="s">
        <v>276</v>
      </c>
      <c r="AZ2501" s="357" t="s">
        <v>276</v>
      </c>
      <c r="BA2501" s="357" t="s">
        <v>276</v>
      </c>
      <c r="BB2501" s="357" t="s">
        <v>282</v>
      </c>
      <c r="BC2501" s="357" t="s">
        <v>98</v>
      </c>
      <c r="BD2501" s="357" t="s">
        <v>98</v>
      </c>
      <c r="BE2501" s="357" t="s">
        <v>98</v>
      </c>
      <c r="BF2501" s="351" t="s">
        <v>6358</v>
      </c>
      <c r="BG2501" s="9"/>
      <c r="BH2501" s="9" t="s">
        <v>100</v>
      </c>
      <c r="BI2501" s="9" t="s">
        <v>100</v>
      </c>
      <c r="BJ2501" s="32"/>
      <c r="BK2501" s="33"/>
      <c r="BL2501" s="33"/>
      <c r="BM2501" s="33"/>
      <c r="BN2501" s="32"/>
      <c r="BO2501" s="32"/>
      <c r="BP2501" s="33"/>
    </row>
    <row r="2502" spans="1:90" s="6" customFormat="1" ht="78" hidden="1" x14ac:dyDescent="0.35">
      <c r="A2502" s="357">
        <v>10548</v>
      </c>
      <c r="B2502" s="357" t="s">
        <v>5029</v>
      </c>
      <c r="C2502" s="357" t="s">
        <v>88</v>
      </c>
      <c r="D2502" s="351" t="s">
        <v>6361</v>
      </c>
      <c r="E2502" s="357" t="s">
        <v>43</v>
      </c>
      <c r="F2502" s="351" t="s">
        <v>4987</v>
      </c>
      <c r="G2502" s="357" t="s">
        <v>225</v>
      </c>
      <c r="H2502" s="357" t="s">
        <v>125</v>
      </c>
      <c r="I2502" s="357" t="s">
        <v>114</v>
      </c>
      <c r="J2502" s="351" t="s">
        <v>29</v>
      </c>
      <c r="K2502" s="395" t="s">
        <v>1709</v>
      </c>
      <c r="L2502" s="351" t="s">
        <v>6356</v>
      </c>
      <c r="M2502" s="351" t="s">
        <v>5838</v>
      </c>
      <c r="N2502" s="357" t="s">
        <v>276</v>
      </c>
      <c r="O2502" s="357" t="s">
        <v>276</v>
      </c>
      <c r="P2502" s="351" t="s">
        <v>239</v>
      </c>
      <c r="Q2502" s="383" t="s">
        <v>5034</v>
      </c>
      <c r="R2502" s="351" t="s">
        <v>98</v>
      </c>
      <c r="S2502" s="351" t="s">
        <v>5643</v>
      </c>
      <c r="T2502" s="351" t="s">
        <v>5643</v>
      </c>
      <c r="U2502" s="351" t="s">
        <v>276</v>
      </c>
      <c r="V2502" s="357" t="s">
        <v>259</v>
      </c>
      <c r="W2502" s="351" t="s">
        <v>5072</v>
      </c>
      <c r="X2502" s="351" t="s">
        <v>207</v>
      </c>
      <c r="Y2502" s="354">
        <v>17443</v>
      </c>
      <c r="Z2502" s="355">
        <v>17390</v>
      </c>
      <c r="AA2502" s="351" t="s">
        <v>276</v>
      </c>
      <c r="AB2502" s="351" t="s">
        <v>276</v>
      </c>
      <c r="AC2502" s="357">
        <v>97</v>
      </c>
      <c r="AD2502" s="351" t="s">
        <v>1759</v>
      </c>
      <c r="AE2502" s="357">
        <v>24</v>
      </c>
      <c r="AF2502" s="351" t="s">
        <v>1759</v>
      </c>
      <c r="AG2502" s="351" t="s">
        <v>6362</v>
      </c>
      <c r="AH2502" s="351" t="s">
        <v>5843</v>
      </c>
      <c r="AI2502" s="355">
        <v>116</v>
      </c>
      <c r="AJ2502" s="355">
        <v>163</v>
      </c>
      <c r="AK2502" s="354">
        <v>17443</v>
      </c>
      <c r="AL2502" s="355">
        <v>17390</v>
      </c>
      <c r="AM2502" s="355" t="s">
        <v>690</v>
      </c>
      <c r="AN2502" s="357" t="s">
        <v>276</v>
      </c>
      <c r="AO2502" s="356">
        <f t="shared" si="667"/>
        <v>6.6502321848305908</v>
      </c>
      <c r="AP2502" s="357" t="s">
        <v>276</v>
      </c>
      <c r="AQ2502" s="357" t="s">
        <v>276</v>
      </c>
      <c r="AR2502" s="357" t="s">
        <v>276</v>
      </c>
      <c r="AS2502" s="356">
        <f t="shared" si="668"/>
        <v>9.3732029902242662</v>
      </c>
      <c r="AT2502" s="357" t="s">
        <v>276</v>
      </c>
      <c r="AU2502" s="357" t="s">
        <v>276</v>
      </c>
      <c r="AV2502" s="357" t="s">
        <v>268</v>
      </c>
      <c r="AW2502" s="357" t="s">
        <v>276</v>
      </c>
      <c r="AX2502" s="369">
        <f t="shared" si="666"/>
        <v>0.70949409628346005</v>
      </c>
      <c r="AY2502" s="357" t="s">
        <v>276</v>
      </c>
      <c r="AZ2502" s="357" t="s">
        <v>276</v>
      </c>
      <c r="BA2502" s="357" t="s">
        <v>276</v>
      </c>
      <c r="BB2502" s="357" t="s">
        <v>282</v>
      </c>
      <c r="BC2502" s="357" t="s">
        <v>98</v>
      </c>
      <c r="BD2502" s="357" t="s">
        <v>98</v>
      </c>
      <c r="BE2502" s="357" t="s">
        <v>98</v>
      </c>
      <c r="BF2502" s="351" t="s">
        <v>6358</v>
      </c>
      <c r="BG2502" s="9"/>
      <c r="BH2502" s="9" t="s">
        <v>100</v>
      </c>
      <c r="BI2502" s="9" t="s">
        <v>100</v>
      </c>
      <c r="BJ2502" s="32"/>
      <c r="BK2502" s="33"/>
      <c r="BL2502" s="33"/>
      <c r="BM2502" s="33"/>
      <c r="BN2502" s="32"/>
      <c r="BO2502" s="32"/>
      <c r="BP2502" s="33"/>
    </row>
    <row r="2503" spans="1:90" s="6" customFormat="1" ht="65" hidden="1" x14ac:dyDescent="0.35">
      <c r="A2503" s="357">
        <v>10548</v>
      </c>
      <c r="B2503" s="357" t="s">
        <v>5029</v>
      </c>
      <c r="C2503" s="357" t="s">
        <v>88</v>
      </c>
      <c r="D2503" s="351" t="s">
        <v>6363</v>
      </c>
      <c r="E2503" s="357" t="s">
        <v>43</v>
      </c>
      <c r="F2503" s="351" t="s">
        <v>4987</v>
      </c>
      <c r="G2503" s="357" t="s">
        <v>225</v>
      </c>
      <c r="H2503" s="357" t="s">
        <v>125</v>
      </c>
      <c r="I2503" s="357" t="s">
        <v>114</v>
      </c>
      <c r="J2503" s="351" t="s">
        <v>29</v>
      </c>
      <c r="K2503" s="395" t="s">
        <v>1772</v>
      </c>
      <c r="L2503" s="351" t="s">
        <v>6356</v>
      </c>
      <c r="M2503" s="351" t="s">
        <v>5838</v>
      </c>
      <c r="N2503" s="357" t="s">
        <v>276</v>
      </c>
      <c r="O2503" s="357" t="s">
        <v>276</v>
      </c>
      <c r="P2503" s="351" t="s">
        <v>239</v>
      </c>
      <c r="Q2503" s="383" t="s">
        <v>5034</v>
      </c>
      <c r="R2503" s="351" t="s">
        <v>98</v>
      </c>
      <c r="S2503" s="380" t="s">
        <v>5622</v>
      </c>
      <c r="T2503" s="380" t="s">
        <v>5622</v>
      </c>
      <c r="U2503" s="351" t="s">
        <v>276</v>
      </c>
      <c r="V2503" s="357" t="s">
        <v>259</v>
      </c>
      <c r="W2503" s="351" t="s">
        <v>5130</v>
      </c>
      <c r="X2503" s="351" t="s">
        <v>207</v>
      </c>
      <c r="Y2503" s="354">
        <v>4307</v>
      </c>
      <c r="Z2503" s="351">
        <v>4255</v>
      </c>
      <c r="AA2503" s="351" t="s">
        <v>276</v>
      </c>
      <c r="AB2503" s="351" t="s">
        <v>276</v>
      </c>
      <c r="AC2503" s="357">
        <v>230</v>
      </c>
      <c r="AD2503" s="351" t="s">
        <v>1759</v>
      </c>
      <c r="AE2503" s="357">
        <v>281</v>
      </c>
      <c r="AF2503" s="351" t="s">
        <v>1759</v>
      </c>
      <c r="AG2503" s="351" t="s">
        <v>6357</v>
      </c>
      <c r="AH2503" s="351" t="s">
        <v>5843</v>
      </c>
      <c r="AI2503" s="355">
        <v>144</v>
      </c>
      <c r="AJ2503" s="355">
        <v>22</v>
      </c>
      <c r="AK2503" s="354">
        <v>4307</v>
      </c>
      <c r="AL2503" s="351">
        <v>4255</v>
      </c>
      <c r="AM2503" s="355" t="s">
        <v>690</v>
      </c>
      <c r="AN2503" s="357" t="s">
        <v>276</v>
      </c>
      <c r="AO2503" s="356">
        <f t="shared" si="667"/>
        <v>33.433944741119106</v>
      </c>
      <c r="AP2503" s="357" t="s">
        <v>276</v>
      </c>
      <c r="AQ2503" s="357" t="s">
        <v>276</v>
      </c>
      <c r="AR2503" s="357" t="s">
        <v>276</v>
      </c>
      <c r="AS2503" s="356">
        <f t="shared" si="668"/>
        <v>5.1703877790834314</v>
      </c>
      <c r="AT2503" s="357" t="s">
        <v>276</v>
      </c>
      <c r="AU2503" s="357" t="s">
        <v>276</v>
      </c>
      <c r="AV2503" s="357" t="s">
        <v>268</v>
      </c>
      <c r="AW2503" s="357" t="s">
        <v>276</v>
      </c>
      <c r="AX2503" s="369">
        <f t="shared" si="666"/>
        <v>6.466428857884627</v>
      </c>
      <c r="AY2503" s="357" t="s">
        <v>276</v>
      </c>
      <c r="AZ2503" s="357" t="s">
        <v>276</v>
      </c>
      <c r="BA2503" s="357" t="s">
        <v>276</v>
      </c>
      <c r="BB2503" s="357" t="s">
        <v>276</v>
      </c>
      <c r="BC2503" s="357" t="s">
        <v>276</v>
      </c>
      <c r="BD2503" s="357" t="s">
        <v>276</v>
      </c>
      <c r="BE2503" s="357" t="s">
        <v>276</v>
      </c>
      <c r="BF2503" s="351" t="s">
        <v>6358</v>
      </c>
      <c r="BG2503" s="9"/>
      <c r="BH2503" s="9" t="s">
        <v>100</v>
      </c>
      <c r="BI2503" s="9" t="s">
        <v>100</v>
      </c>
      <c r="BJ2503" s="32"/>
      <c r="BK2503" s="33"/>
      <c r="BL2503" s="33"/>
      <c r="BM2503" s="33"/>
      <c r="BN2503" s="32"/>
      <c r="BO2503" s="32"/>
      <c r="BP2503" s="33"/>
    </row>
    <row r="2504" spans="1:90" s="6" customFormat="1" ht="65" hidden="1" x14ac:dyDescent="0.35">
      <c r="A2504" s="357">
        <v>10548</v>
      </c>
      <c r="B2504" s="357" t="s">
        <v>5029</v>
      </c>
      <c r="C2504" s="357" t="s">
        <v>88</v>
      </c>
      <c r="D2504" s="351" t="s">
        <v>6364</v>
      </c>
      <c r="E2504" s="357" t="s">
        <v>43</v>
      </c>
      <c r="F2504" s="351" t="s">
        <v>4987</v>
      </c>
      <c r="G2504" s="357" t="s">
        <v>225</v>
      </c>
      <c r="H2504" s="357" t="s">
        <v>125</v>
      </c>
      <c r="I2504" s="357" t="s">
        <v>114</v>
      </c>
      <c r="J2504" s="351" t="s">
        <v>29</v>
      </c>
      <c r="K2504" s="395">
        <v>7</v>
      </c>
      <c r="L2504" s="351" t="s">
        <v>6356</v>
      </c>
      <c r="M2504" s="351" t="s">
        <v>5838</v>
      </c>
      <c r="N2504" s="357" t="s">
        <v>276</v>
      </c>
      <c r="O2504" s="357" t="s">
        <v>276</v>
      </c>
      <c r="P2504" s="351" t="s">
        <v>239</v>
      </c>
      <c r="Q2504" s="383" t="s">
        <v>5034</v>
      </c>
      <c r="R2504" s="351" t="s">
        <v>98</v>
      </c>
      <c r="S2504" s="380" t="s">
        <v>5622</v>
      </c>
      <c r="T2504" s="380" t="s">
        <v>5622</v>
      </c>
      <c r="U2504" s="351" t="s">
        <v>276</v>
      </c>
      <c r="V2504" s="357" t="s">
        <v>259</v>
      </c>
      <c r="W2504" s="351" t="s">
        <v>5130</v>
      </c>
      <c r="X2504" s="351" t="s">
        <v>207</v>
      </c>
      <c r="Y2504" s="354">
        <v>4307</v>
      </c>
      <c r="Z2504" s="351">
        <v>4255</v>
      </c>
      <c r="AA2504" s="351" t="s">
        <v>276</v>
      </c>
      <c r="AB2504" s="351" t="s">
        <v>276</v>
      </c>
      <c r="AC2504" s="357">
        <v>230</v>
      </c>
      <c r="AD2504" s="351" t="s">
        <v>1759</v>
      </c>
      <c r="AE2504" s="357">
        <v>281</v>
      </c>
      <c r="AF2504" s="351" t="s">
        <v>1759</v>
      </c>
      <c r="AG2504" s="351" t="s">
        <v>6360</v>
      </c>
      <c r="AH2504" s="351" t="s">
        <v>5843</v>
      </c>
      <c r="AI2504" s="355">
        <v>29</v>
      </c>
      <c r="AJ2504" s="355">
        <v>4</v>
      </c>
      <c r="AK2504" s="354">
        <v>4307</v>
      </c>
      <c r="AL2504" s="351">
        <v>4255</v>
      </c>
      <c r="AM2504" s="355" t="s">
        <v>690</v>
      </c>
      <c r="AN2504" s="357" t="s">
        <v>276</v>
      </c>
      <c r="AO2504" s="356">
        <f t="shared" si="667"/>
        <v>6.7332249825864867</v>
      </c>
      <c r="AP2504" s="357" t="s">
        <v>276</v>
      </c>
      <c r="AQ2504" s="357" t="s">
        <v>276</v>
      </c>
      <c r="AR2504" s="357" t="s">
        <v>276</v>
      </c>
      <c r="AS2504" s="356">
        <f t="shared" si="668"/>
        <v>0.9400705052878966</v>
      </c>
      <c r="AT2504" s="357" t="s">
        <v>276</v>
      </c>
      <c r="AU2504" s="357" t="s">
        <v>276</v>
      </c>
      <c r="AV2504" s="357" t="s">
        <v>268</v>
      </c>
      <c r="AW2504" s="357" t="s">
        <v>276</v>
      </c>
      <c r="AX2504" s="369">
        <f t="shared" si="666"/>
        <v>7.162468075226375</v>
      </c>
      <c r="AY2504" s="357" t="s">
        <v>276</v>
      </c>
      <c r="AZ2504" s="357" t="s">
        <v>276</v>
      </c>
      <c r="BA2504" s="357" t="s">
        <v>276</v>
      </c>
      <c r="BB2504" s="357" t="s">
        <v>276</v>
      </c>
      <c r="BC2504" s="357" t="s">
        <v>276</v>
      </c>
      <c r="BD2504" s="357" t="s">
        <v>276</v>
      </c>
      <c r="BE2504" s="357" t="s">
        <v>276</v>
      </c>
      <c r="BF2504" s="351" t="s">
        <v>6358</v>
      </c>
      <c r="BG2504" s="9"/>
      <c r="BH2504" s="9" t="s">
        <v>100</v>
      </c>
      <c r="BI2504" s="9" t="s">
        <v>100</v>
      </c>
      <c r="BJ2504" s="32"/>
      <c r="BK2504" s="33"/>
      <c r="BL2504" s="33"/>
      <c r="BM2504" s="33"/>
      <c r="BN2504" s="32"/>
      <c r="BO2504" s="32"/>
      <c r="BP2504" s="33"/>
    </row>
    <row r="2505" spans="1:90" s="6" customFormat="1" ht="78" hidden="1" x14ac:dyDescent="0.35">
      <c r="A2505" s="357">
        <v>10548</v>
      </c>
      <c r="B2505" s="357" t="s">
        <v>5029</v>
      </c>
      <c r="C2505" s="357" t="s">
        <v>88</v>
      </c>
      <c r="D2505" s="351" t="s">
        <v>6365</v>
      </c>
      <c r="E2505" s="357" t="s">
        <v>43</v>
      </c>
      <c r="F2505" s="351" t="s">
        <v>4987</v>
      </c>
      <c r="G2505" s="357" t="s">
        <v>225</v>
      </c>
      <c r="H2505" s="357" t="s">
        <v>125</v>
      </c>
      <c r="I2505" s="357" t="s">
        <v>114</v>
      </c>
      <c r="J2505" s="351" t="s">
        <v>29</v>
      </c>
      <c r="K2505" s="395" t="s">
        <v>1709</v>
      </c>
      <c r="L2505" s="351" t="s">
        <v>6356</v>
      </c>
      <c r="M2505" s="351" t="s">
        <v>5838</v>
      </c>
      <c r="N2505" s="357" t="s">
        <v>276</v>
      </c>
      <c r="O2505" s="357" t="s">
        <v>276</v>
      </c>
      <c r="P2505" s="351" t="s">
        <v>239</v>
      </c>
      <c r="Q2505" s="383" t="s">
        <v>5034</v>
      </c>
      <c r="R2505" s="351" t="s">
        <v>98</v>
      </c>
      <c r="S2505" s="380" t="s">
        <v>5622</v>
      </c>
      <c r="T2505" s="380" t="s">
        <v>5622</v>
      </c>
      <c r="U2505" s="351" t="s">
        <v>276</v>
      </c>
      <c r="V2505" s="357" t="s">
        <v>259</v>
      </c>
      <c r="W2505" s="351" t="s">
        <v>5130</v>
      </c>
      <c r="X2505" s="351" t="s">
        <v>207</v>
      </c>
      <c r="Y2505" s="354">
        <v>4307</v>
      </c>
      <c r="Z2505" s="351">
        <v>4255</v>
      </c>
      <c r="AA2505" s="351" t="s">
        <v>276</v>
      </c>
      <c r="AB2505" s="351" t="s">
        <v>276</v>
      </c>
      <c r="AC2505" s="357">
        <v>230</v>
      </c>
      <c r="AD2505" s="351" t="s">
        <v>1759</v>
      </c>
      <c r="AE2505" s="357">
        <v>281</v>
      </c>
      <c r="AF2505" s="351" t="s">
        <v>1759</v>
      </c>
      <c r="AG2505" s="351" t="s">
        <v>6362</v>
      </c>
      <c r="AH2505" s="351" t="s">
        <v>5843</v>
      </c>
      <c r="AI2505" s="355">
        <v>17</v>
      </c>
      <c r="AJ2505" s="355">
        <v>4</v>
      </c>
      <c r="AK2505" s="354">
        <v>4307</v>
      </c>
      <c r="AL2505" s="351">
        <v>4255</v>
      </c>
      <c r="AM2505" s="355" t="s">
        <v>690</v>
      </c>
      <c r="AN2505" s="357" t="s">
        <v>276</v>
      </c>
      <c r="AO2505" s="356">
        <f t="shared" si="667"/>
        <v>3.9470629208265615</v>
      </c>
      <c r="AP2505" s="357" t="s">
        <v>276</v>
      </c>
      <c r="AQ2505" s="357" t="s">
        <v>276</v>
      </c>
      <c r="AR2505" s="357" t="s">
        <v>276</v>
      </c>
      <c r="AS2505" s="356">
        <f t="shared" si="668"/>
        <v>0.9400705052878966</v>
      </c>
      <c r="AT2505" s="357" t="s">
        <v>276</v>
      </c>
      <c r="AU2505" s="357" t="s">
        <v>276</v>
      </c>
      <c r="AV2505" s="357" t="s">
        <v>268</v>
      </c>
      <c r="AW2505" s="357" t="s">
        <v>276</v>
      </c>
      <c r="AX2505" s="369">
        <f t="shared" si="666"/>
        <v>4.1986881820292545</v>
      </c>
      <c r="AY2505" s="357" t="s">
        <v>276</v>
      </c>
      <c r="AZ2505" s="357" t="s">
        <v>276</v>
      </c>
      <c r="BA2505" s="357" t="s">
        <v>276</v>
      </c>
      <c r="BB2505" s="357" t="s">
        <v>276</v>
      </c>
      <c r="BC2505" s="357" t="s">
        <v>276</v>
      </c>
      <c r="BD2505" s="357" t="s">
        <v>276</v>
      </c>
      <c r="BE2505" s="357" t="s">
        <v>276</v>
      </c>
      <c r="BF2505" s="351" t="s">
        <v>6358</v>
      </c>
      <c r="BG2505" s="9"/>
      <c r="BH2505" s="9" t="s">
        <v>100</v>
      </c>
      <c r="BI2505" s="9" t="s">
        <v>100</v>
      </c>
      <c r="BJ2505" s="32"/>
      <c r="BK2505" s="33"/>
      <c r="BL2505" s="33"/>
      <c r="BM2505" s="33"/>
      <c r="BN2505" s="32"/>
      <c r="BO2505" s="32"/>
      <c r="BP2505" s="33"/>
    </row>
    <row r="2506" spans="1:90" s="6" customFormat="1" ht="65" hidden="1" x14ac:dyDescent="0.35">
      <c r="A2506" s="357">
        <v>10548</v>
      </c>
      <c r="B2506" s="357" t="s">
        <v>5029</v>
      </c>
      <c r="C2506" s="357" t="s">
        <v>88</v>
      </c>
      <c r="D2506" s="351" t="s">
        <v>6366</v>
      </c>
      <c r="E2506" s="357" t="s">
        <v>43</v>
      </c>
      <c r="F2506" s="351" t="s">
        <v>4987</v>
      </c>
      <c r="G2506" s="357" t="s">
        <v>225</v>
      </c>
      <c r="H2506" s="357" t="s">
        <v>125</v>
      </c>
      <c r="I2506" s="357" t="s">
        <v>114</v>
      </c>
      <c r="J2506" s="351" t="s">
        <v>29</v>
      </c>
      <c r="K2506" s="395" t="s">
        <v>1772</v>
      </c>
      <c r="L2506" s="351" t="s">
        <v>6356</v>
      </c>
      <c r="M2506" s="351" t="s">
        <v>5838</v>
      </c>
      <c r="N2506" s="357" t="s">
        <v>276</v>
      </c>
      <c r="O2506" s="357" t="s">
        <v>276</v>
      </c>
      <c r="P2506" s="351" t="s">
        <v>239</v>
      </c>
      <c r="Q2506" s="383" t="s">
        <v>5034</v>
      </c>
      <c r="R2506" s="351" t="s">
        <v>98</v>
      </c>
      <c r="S2506" s="380" t="s">
        <v>5624</v>
      </c>
      <c r="T2506" s="380" t="s">
        <v>5624</v>
      </c>
      <c r="U2506" s="351" t="s">
        <v>276</v>
      </c>
      <c r="V2506" s="357" t="s">
        <v>259</v>
      </c>
      <c r="W2506" s="351" t="s">
        <v>5133</v>
      </c>
      <c r="X2506" s="351" t="s">
        <v>207</v>
      </c>
      <c r="Y2506" s="354">
        <v>5901</v>
      </c>
      <c r="Z2506" s="351">
        <v>5951</v>
      </c>
      <c r="AA2506" s="351" t="s">
        <v>276</v>
      </c>
      <c r="AB2506" s="351" t="s">
        <v>276</v>
      </c>
      <c r="AC2506" s="357">
        <v>7</v>
      </c>
      <c r="AD2506" s="351" t="s">
        <v>1759</v>
      </c>
      <c r="AE2506" s="357">
        <v>9</v>
      </c>
      <c r="AF2506" s="351" t="s">
        <v>1759</v>
      </c>
      <c r="AG2506" s="351" t="s">
        <v>6357</v>
      </c>
      <c r="AH2506" s="351" t="s">
        <v>5843</v>
      </c>
      <c r="AI2506" s="355">
        <v>548</v>
      </c>
      <c r="AJ2506" s="355">
        <v>244</v>
      </c>
      <c r="AK2506" s="354">
        <v>5901</v>
      </c>
      <c r="AL2506" s="351">
        <v>5951</v>
      </c>
      <c r="AM2506" s="355" t="s">
        <v>690</v>
      </c>
      <c r="AN2506" s="357" t="s">
        <v>276</v>
      </c>
      <c r="AO2506" s="356">
        <f t="shared" si="667"/>
        <v>92.8656159972886</v>
      </c>
      <c r="AP2506" s="357" t="s">
        <v>276</v>
      </c>
      <c r="AQ2506" s="357" t="s">
        <v>276</v>
      </c>
      <c r="AR2506" s="357" t="s">
        <v>276</v>
      </c>
      <c r="AS2506" s="356">
        <f t="shared" si="668"/>
        <v>41.001512350865404</v>
      </c>
      <c r="AT2506" s="357" t="s">
        <v>276</v>
      </c>
      <c r="AU2506" s="357" t="s">
        <v>276</v>
      </c>
      <c r="AV2506" s="357" t="s">
        <v>268</v>
      </c>
      <c r="AW2506" s="357" t="s">
        <v>276</v>
      </c>
      <c r="AX2506" s="369">
        <f t="shared" si="666"/>
        <v>2.2649314786879691</v>
      </c>
      <c r="AY2506" s="357" t="s">
        <v>276</v>
      </c>
      <c r="AZ2506" s="357" t="s">
        <v>276</v>
      </c>
      <c r="BA2506" s="357" t="s">
        <v>276</v>
      </c>
      <c r="BB2506" s="357" t="s">
        <v>276</v>
      </c>
      <c r="BC2506" s="357" t="s">
        <v>276</v>
      </c>
      <c r="BD2506" s="357" t="s">
        <v>276</v>
      </c>
      <c r="BE2506" s="357" t="s">
        <v>276</v>
      </c>
      <c r="BF2506" s="351" t="s">
        <v>6358</v>
      </c>
      <c r="BG2506" s="9"/>
      <c r="BH2506" s="9" t="s">
        <v>100</v>
      </c>
      <c r="BI2506" s="9" t="s">
        <v>100</v>
      </c>
      <c r="BJ2506" s="32"/>
      <c r="BK2506" s="33"/>
      <c r="BL2506" s="33"/>
      <c r="BM2506" s="33"/>
      <c r="BN2506" s="32"/>
      <c r="BO2506" s="32"/>
      <c r="BP2506" s="33"/>
    </row>
    <row r="2507" spans="1:90" s="6" customFormat="1" ht="65" hidden="1" x14ac:dyDescent="0.35">
      <c r="A2507" s="357">
        <v>10548</v>
      </c>
      <c r="B2507" s="357" t="s">
        <v>5029</v>
      </c>
      <c r="C2507" s="357" t="s">
        <v>88</v>
      </c>
      <c r="D2507" s="351" t="s">
        <v>6367</v>
      </c>
      <c r="E2507" s="357" t="s">
        <v>43</v>
      </c>
      <c r="F2507" s="351" t="s">
        <v>4987</v>
      </c>
      <c r="G2507" s="357" t="s">
        <v>225</v>
      </c>
      <c r="H2507" s="357" t="s">
        <v>125</v>
      </c>
      <c r="I2507" s="357" t="s">
        <v>114</v>
      </c>
      <c r="J2507" s="351" t="s">
        <v>29</v>
      </c>
      <c r="K2507" s="395">
        <v>7</v>
      </c>
      <c r="L2507" s="351" t="s">
        <v>6356</v>
      </c>
      <c r="M2507" s="351" t="s">
        <v>5838</v>
      </c>
      <c r="N2507" s="357" t="s">
        <v>276</v>
      </c>
      <c r="O2507" s="357" t="s">
        <v>276</v>
      </c>
      <c r="P2507" s="351" t="s">
        <v>239</v>
      </c>
      <c r="Q2507" s="383" t="s">
        <v>5034</v>
      </c>
      <c r="R2507" s="351" t="s">
        <v>98</v>
      </c>
      <c r="S2507" s="380" t="s">
        <v>5624</v>
      </c>
      <c r="T2507" s="380" t="s">
        <v>5624</v>
      </c>
      <c r="U2507" s="351" t="s">
        <v>276</v>
      </c>
      <c r="V2507" s="357" t="s">
        <v>259</v>
      </c>
      <c r="W2507" s="351" t="s">
        <v>5133</v>
      </c>
      <c r="X2507" s="351" t="s">
        <v>207</v>
      </c>
      <c r="Y2507" s="354">
        <v>5901</v>
      </c>
      <c r="Z2507" s="351">
        <v>5951</v>
      </c>
      <c r="AA2507" s="351" t="s">
        <v>276</v>
      </c>
      <c r="AB2507" s="351" t="s">
        <v>276</v>
      </c>
      <c r="AC2507" s="357">
        <v>7</v>
      </c>
      <c r="AD2507" s="351" t="s">
        <v>1759</v>
      </c>
      <c r="AE2507" s="357">
        <v>9</v>
      </c>
      <c r="AF2507" s="351" t="s">
        <v>1759</v>
      </c>
      <c r="AG2507" s="351" t="s">
        <v>6360</v>
      </c>
      <c r="AH2507" s="351" t="s">
        <v>5843</v>
      </c>
      <c r="AI2507" s="355">
        <v>157</v>
      </c>
      <c r="AJ2507" s="355">
        <v>158</v>
      </c>
      <c r="AK2507" s="354">
        <v>5901</v>
      </c>
      <c r="AL2507" s="351">
        <v>5951</v>
      </c>
      <c r="AM2507" s="355" t="s">
        <v>690</v>
      </c>
      <c r="AN2507" s="357" t="s">
        <v>276</v>
      </c>
      <c r="AO2507" s="356">
        <f t="shared" si="667"/>
        <v>26.605660057617353</v>
      </c>
      <c r="AP2507" s="357" t="s">
        <v>276</v>
      </c>
      <c r="AQ2507" s="357" t="s">
        <v>276</v>
      </c>
      <c r="AR2507" s="357" t="s">
        <v>276</v>
      </c>
      <c r="AS2507" s="356">
        <f t="shared" si="668"/>
        <v>26.550159637035794</v>
      </c>
      <c r="AT2507" s="357" t="s">
        <v>276</v>
      </c>
      <c r="AU2507" s="357" t="s">
        <v>276</v>
      </c>
      <c r="AV2507" s="357" t="s">
        <v>268</v>
      </c>
      <c r="AW2507" s="357" t="s">
        <v>276</v>
      </c>
      <c r="AX2507" s="369">
        <f t="shared" si="666"/>
        <v>1.0020903987524106</v>
      </c>
      <c r="AY2507" s="357" t="s">
        <v>276</v>
      </c>
      <c r="AZ2507" s="357" t="s">
        <v>276</v>
      </c>
      <c r="BA2507" s="357" t="s">
        <v>276</v>
      </c>
      <c r="BB2507" s="357" t="s">
        <v>276</v>
      </c>
      <c r="BC2507" s="357" t="s">
        <v>276</v>
      </c>
      <c r="BD2507" s="357" t="s">
        <v>276</v>
      </c>
      <c r="BE2507" s="357" t="s">
        <v>276</v>
      </c>
      <c r="BF2507" s="351" t="s">
        <v>6358</v>
      </c>
      <c r="BG2507" s="9"/>
      <c r="BH2507" s="9" t="s">
        <v>100</v>
      </c>
      <c r="BI2507" s="9" t="s">
        <v>100</v>
      </c>
      <c r="BJ2507" s="32"/>
      <c r="BK2507" s="33"/>
      <c r="BL2507" s="33"/>
      <c r="BM2507" s="33"/>
      <c r="BN2507" s="32"/>
      <c r="BO2507" s="32"/>
      <c r="BP2507" s="33"/>
    </row>
    <row r="2508" spans="1:90" s="6" customFormat="1" ht="78" hidden="1" x14ac:dyDescent="0.35">
      <c r="A2508" s="357">
        <v>10548</v>
      </c>
      <c r="B2508" s="357" t="s">
        <v>5029</v>
      </c>
      <c r="C2508" s="357" t="s">
        <v>88</v>
      </c>
      <c r="D2508" s="351" t="s">
        <v>6368</v>
      </c>
      <c r="E2508" s="357" t="s">
        <v>43</v>
      </c>
      <c r="F2508" s="351" t="s">
        <v>4987</v>
      </c>
      <c r="G2508" s="357" t="s">
        <v>225</v>
      </c>
      <c r="H2508" s="357" t="s">
        <v>125</v>
      </c>
      <c r="I2508" s="357" t="s">
        <v>114</v>
      </c>
      <c r="J2508" s="351" t="s">
        <v>29</v>
      </c>
      <c r="K2508" s="395" t="s">
        <v>1709</v>
      </c>
      <c r="L2508" s="351" t="s">
        <v>6356</v>
      </c>
      <c r="M2508" s="351" t="s">
        <v>5838</v>
      </c>
      <c r="N2508" s="357" t="s">
        <v>276</v>
      </c>
      <c r="O2508" s="357" t="s">
        <v>276</v>
      </c>
      <c r="P2508" s="351" t="s">
        <v>239</v>
      </c>
      <c r="Q2508" s="383" t="s">
        <v>5034</v>
      </c>
      <c r="R2508" s="351" t="s">
        <v>98</v>
      </c>
      <c r="S2508" s="380" t="s">
        <v>5624</v>
      </c>
      <c r="T2508" s="380" t="s">
        <v>5624</v>
      </c>
      <c r="U2508" s="351" t="s">
        <v>276</v>
      </c>
      <c r="V2508" s="357" t="s">
        <v>259</v>
      </c>
      <c r="W2508" s="351" t="s">
        <v>5133</v>
      </c>
      <c r="X2508" s="351" t="s">
        <v>207</v>
      </c>
      <c r="Y2508" s="354">
        <v>5901</v>
      </c>
      <c r="Z2508" s="351">
        <v>5951</v>
      </c>
      <c r="AA2508" s="351" t="s">
        <v>276</v>
      </c>
      <c r="AB2508" s="351" t="s">
        <v>276</v>
      </c>
      <c r="AC2508" s="357">
        <v>7</v>
      </c>
      <c r="AD2508" s="351" t="s">
        <v>1759</v>
      </c>
      <c r="AE2508" s="357">
        <v>9</v>
      </c>
      <c r="AF2508" s="351" t="s">
        <v>1759</v>
      </c>
      <c r="AG2508" s="351" t="s">
        <v>6362</v>
      </c>
      <c r="AH2508" s="351" t="s">
        <v>5843</v>
      </c>
      <c r="AI2508" s="355">
        <v>47</v>
      </c>
      <c r="AJ2508" s="355">
        <v>96</v>
      </c>
      <c r="AK2508" s="354">
        <v>5901</v>
      </c>
      <c r="AL2508" s="351">
        <v>5951</v>
      </c>
      <c r="AM2508" s="355" t="s">
        <v>690</v>
      </c>
      <c r="AN2508" s="357" t="s">
        <v>276</v>
      </c>
      <c r="AO2508" s="356">
        <f t="shared" si="667"/>
        <v>7.9647517369937297</v>
      </c>
      <c r="AP2508" s="357" t="s">
        <v>276</v>
      </c>
      <c r="AQ2508" s="357" t="s">
        <v>276</v>
      </c>
      <c r="AR2508" s="357" t="s">
        <v>276</v>
      </c>
      <c r="AS2508" s="356">
        <f t="shared" si="668"/>
        <v>16.131742564274912</v>
      </c>
      <c r="AT2508" s="357" t="s">
        <v>276</v>
      </c>
      <c r="AU2508" s="357" t="s">
        <v>276</v>
      </c>
      <c r="AV2508" s="357" t="s">
        <v>268</v>
      </c>
      <c r="AW2508" s="357" t="s">
        <v>276</v>
      </c>
      <c r="AX2508" s="369">
        <f t="shared" si="666"/>
        <v>0.49373164152968424</v>
      </c>
      <c r="AY2508" s="357" t="s">
        <v>276</v>
      </c>
      <c r="AZ2508" s="357" t="s">
        <v>276</v>
      </c>
      <c r="BA2508" s="357" t="s">
        <v>276</v>
      </c>
      <c r="BB2508" s="357" t="s">
        <v>276</v>
      </c>
      <c r="BC2508" s="357" t="s">
        <v>276</v>
      </c>
      <c r="BD2508" s="357" t="s">
        <v>276</v>
      </c>
      <c r="BE2508" s="357" t="s">
        <v>276</v>
      </c>
      <c r="BF2508" s="351" t="s">
        <v>6358</v>
      </c>
      <c r="BG2508" s="9"/>
      <c r="BH2508" s="9" t="s">
        <v>100</v>
      </c>
      <c r="BI2508" s="9" t="s">
        <v>100</v>
      </c>
      <c r="BJ2508" s="32"/>
      <c r="BK2508" s="33"/>
      <c r="BL2508" s="33"/>
      <c r="BM2508" s="33"/>
      <c r="BN2508" s="32"/>
      <c r="BO2508" s="32"/>
      <c r="BP2508" s="33"/>
    </row>
    <row r="2509" spans="1:90" s="6" customFormat="1" ht="65" hidden="1" x14ac:dyDescent="0.35">
      <c r="A2509" s="357">
        <v>10548</v>
      </c>
      <c r="B2509" s="357" t="s">
        <v>5029</v>
      </c>
      <c r="C2509" s="357" t="s">
        <v>88</v>
      </c>
      <c r="D2509" s="351" t="s">
        <v>6369</v>
      </c>
      <c r="E2509" s="357" t="s">
        <v>43</v>
      </c>
      <c r="F2509" s="351" t="s">
        <v>4987</v>
      </c>
      <c r="G2509" s="357" t="s">
        <v>225</v>
      </c>
      <c r="H2509" s="357" t="s">
        <v>125</v>
      </c>
      <c r="I2509" s="357" t="s">
        <v>114</v>
      </c>
      <c r="J2509" s="351" t="s">
        <v>29</v>
      </c>
      <c r="K2509" s="395" t="s">
        <v>1772</v>
      </c>
      <c r="L2509" s="351" t="s">
        <v>6356</v>
      </c>
      <c r="M2509" s="351" t="s">
        <v>5838</v>
      </c>
      <c r="N2509" s="357" t="s">
        <v>276</v>
      </c>
      <c r="O2509" s="357" t="s">
        <v>276</v>
      </c>
      <c r="P2509" s="351" t="s">
        <v>239</v>
      </c>
      <c r="Q2509" s="383" t="s">
        <v>5034</v>
      </c>
      <c r="R2509" s="351" t="s">
        <v>98</v>
      </c>
      <c r="S2509" s="380" t="s">
        <v>5619</v>
      </c>
      <c r="T2509" s="380" t="s">
        <v>5619</v>
      </c>
      <c r="U2509" s="351" t="s">
        <v>276</v>
      </c>
      <c r="V2509" s="357" t="s">
        <v>259</v>
      </c>
      <c r="W2509" s="351" t="s">
        <v>5136</v>
      </c>
      <c r="X2509" s="351" t="s">
        <v>207</v>
      </c>
      <c r="Y2509" s="354">
        <v>31970</v>
      </c>
      <c r="Z2509" s="355">
        <v>48409</v>
      </c>
      <c r="AA2509" s="351" t="s">
        <v>276</v>
      </c>
      <c r="AB2509" s="351" t="s">
        <v>276</v>
      </c>
      <c r="AC2509" s="357">
        <v>58</v>
      </c>
      <c r="AD2509" s="351" t="s">
        <v>1759</v>
      </c>
      <c r="AE2509" s="357">
        <v>133</v>
      </c>
      <c r="AF2509" s="351" t="s">
        <v>1759</v>
      </c>
      <c r="AG2509" s="351" t="s">
        <v>6357</v>
      </c>
      <c r="AH2509" s="351" t="s">
        <v>5843</v>
      </c>
      <c r="AI2509" s="355">
        <v>1842</v>
      </c>
      <c r="AJ2509" s="355">
        <v>1610</v>
      </c>
      <c r="AK2509" s="354">
        <v>31970</v>
      </c>
      <c r="AL2509" s="355">
        <v>48409</v>
      </c>
      <c r="AM2509" s="355" t="s">
        <v>690</v>
      </c>
      <c r="AN2509" s="357" t="s">
        <v>276</v>
      </c>
      <c r="AO2509" s="356">
        <f t="shared" si="667"/>
        <v>57.616515483265559</v>
      </c>
      <c r="AP2509" s="357" t="s">
        <v>276</v>
      </c>
      <c r="AQ2509" s="357" t="s">
        <v>276</v>
      </c>
      <c r="AR2509" s="357" t="s">
        <v>276</v>
      </c>
      <c r="AS2509" s="356">
        <f t="shared" si="668"/>
        <v>33.258278419302194</v>
      </c>
      <c r="AT2509" s="357" t="s">
        <v>276</v>
      </c>
      <c r="AU2509" s="357" t="s">
        <v>276</v>
      </c>
      <c r="AV2509" s="357" t="s">
        <v>268</v>
      </c>
      <c r="AW2509" s="357" t="s">
        <v>276</v>
      </c>
      <c r="AX2509" s="369">
        <f t="shared" si="666"/>
        <v>1.7323962099561507</v>
      </c>
      <c r="AY2509" s="357" t="s">
        <v>276</v>
      </c>
      <c r="AZ2509" s="357" t="s">
        <v>276</v>
      </c>
      <c r="BA2509" s="357" t="s">
        <v>276</v>
      </c>
      <c r="BB2509" s="357" t="s">
        <v>276</v>
      </c>
      <c r="BC2509" s="357" t="s">
        <v>276</v>
      </c>
      <c r="BD2509" s="357" t="s">
        <v>276</v>
      </c>
      <c r="BE2509" s="357" t="s">
        <v>276</v>
      </c>
      <c r="BF2509" s="351" t="s">
        <v>6358</v>
      </c>
      <c r="BG2509" s="9"/>
      <c r="BH2509" s="9" t="s">
        <v>100</v>
      </c>
      <c r="BI2509" s="9" t="s">
        <v>100</v>
      </c>
      <c r="BJ2509" s="32"/>
      <c r="BK2509" s="33"/>
      <c r="BL2509" s="33"/>
      <c r="BM2509" s="33"/>
      <c r="BN2509" s="32"/>
      <c r="BO2509" s="32"/>
      <c r="BP2509" s="33"/>
    </row>
    <row r="2510" spans="1:90" s="6" customFormat="1" ht="65" hidden="1" x14ac:dyDescent="0.35">
      <c r="A2510" s="357">
        <v>10548</v>
      </c>
      <c r="B2510" s="357" t="s">
        <v>5029</v>
      </c>
      <c r="C2510" s="357" t="s">
        <v>88</v>
      </c>
      <c r="D2510" s="351" t="s">
        <v>6370</v>
      </c>
      <c r="E2510" s="357" t="s">
        <v>43</v>
      </c>
      <c r="F2510" s="351" t="s">
        <v>4987</v>
      </c>
      <c r="G2510" s="357" t="s">
        <v>225</v>
      </c>
      <c r="H2510" s="357" t="s">
        <v>125</v>
      </c>
      <c r="I2510" s="357" t="s">
        <v>114</v>
      </c>
      <c r="J2510" s="351" t="s">
        <v>29</v>
      </c>
      <c r="K2510" s="395">
        <v>7</v>
      </c>
      <c r="L2510" s="351" t="s">
        <v>6356</v>
      </c>
      <c r="M2510" s="351" t="s">
        <v>5838</v>
      </c>
      <c r="N2510" s="357" t="s">
        <v>276</v>
      </c>
      <c r="O2510" s="357" t="s">
        <v>276</v>
      </c>
      <c r="P2510" s="351" t="s">
        <v>239</v>
      </c>
      <c r="Q2510" s="383" t="s">
        <v>5034</v>
      </c>
      <c r="R2510" s="351" t="s">
        <v>98</v>
      </c>
      <c r="S2510" s="380" t="s">
        <v>5619</v>
      </c>
      <c r="T2510" s="380" t="s">
        <v>5619</v>
      </c>
      <c r="U2510" s="351" t="s">
        <v>276</v>
      </c>
      <c r="V2510" s="357" t="s">
        <v>259</v>
      </c>
      <c r="W2510" s="351" t="s">
        <v>5136</v>
      </c>
      <c r="X2510" s="351" t="s">
        <v>207</v>
      </c>
      <c r="Y2510" s="354">
        <v>31970</v>
      </c>
      <c r="Z2510" s="355">
        <v>48409</v>
      </c>
      <c r="AA2510" s="351" t="s">
        <v>276</v>
      </c>
      <c r="AB2510" s="351" t="s">
        <v>276</v>
      </c>
      <c r="AC2510" s="357">
        <v>58</v>
      </c>
      <c r="AD2510" s="351" t="s">
        <v>1759</v>
      </c>
      <c r="AE2510" s="357">
        <v>133</v>
      </c>
      <c r="AF2510" s="351" t="s">
        <v>1759</v>
      </c>
      <c r="AG2510" s="351" t="s">
        <v>6360</v>
      </c>
      <c r="AH2510" s="351" t="s">
        <v>5843</v>
      </c>
      <c r="AI2510" s="355">
        <v>645</v>
      </c>
      <c r="AJ2510" s="355">
        <v>945</v>
      </c>
      <c r="AK2510" s="354">
        <v>31970</v>
      </c>
      <c r="AL2510" s="355">
        <v>48409</v>
      </c>
      <c r="AM2510" s="355" t="s">
        <v>690</v>
      </c>
      <c r="AN2510" s="357" t="s">
        <v>276</v>
      </c>
      <c r="AO2510" s="356">
        <f t="shared" si="667"/>
        <v>20.175164216452924</v>
      </c>
      <c r="AP2510" s="357" t="s">
        <v>276</v>
      </c>
      <c r="AQ2510" s="357" t="s">
        <v>276</v>
      </c>
      <c r="AR2510" s="357" t="s">
        <v>276</v>
      </c>
      <c r="AS2510" s="356">
        <f t="shared" si="668"/>
        <v>19.521163420025204</v>
      </c>
      <c r="AT2510" s="357" t="s">
        <v>276</v>
      </c>
      <c r="AU2510" s="357" t="s">
        <v>276</v>
      </c>
      <c r="AV2510" s="357" t="s">
        <v>268</v>
      </c>
      <c r="AW2510" s="357" t="s">
        <v>276</v>
      </c>
      <c r="AX2510" s="369">
        <f t="shared" si="666"/>
        <v>1.0335021423854704</v>
      </c>
      <c r="AY2510" s="357" t="s">
        <v>276</v>
      </c>
      <c r="AZ2510" s="357" t="s">
        <v>276</v>
      </c>
      <c r="BA2510" s="357" t="s">
        <v>276</v>
      </c>
      <c r="BB2510" s="357" t="s">
        <v>276</v>
      </c>
      <c r="BC2510" s="357" t="s">
        <v>276</v>
      </c>
      <c r="BD2510" s="357" t="s">
        <v>276</v>
      </c>
      <c r="BE2510" s="357" t="s">
        <v>276</v>
      </c>
      <c r="BF2510" s="351" t="s">
        <v>6358</v>
      </c>
      <c r="BG2510" s="9"/>
      <c r="BH2510" s="9" t="s">
        <v>100</v>
      </c>
      <c r="BI2510" s="9" t="s">
        <v>100</v>
      </c>
      <c r="BJ2510" s="32"/>
      <c r="BK2510" s="33"/>
      <c r="BL2510" s="33"/>
      <c r="BM2510" s="33"/>
      <c r="BN2510" s="32"/>
      <c r="BO2510" s="32"/>
      <c r="BP2510" s="33"/>
    </row>
    <row r="2511" spans="1:90" s="6" customFormat="1" ht="78" hidden="1" x14ac:dyDescent="0.35">
      <c r="A2511" s="357">
        <v>10548</v>
      </c>
      <c r="B2511" s="357" t="s">
        <v>5029</v>
      </c>
      <c r="C2511" s="357" t="s">
        <v>88</v>
      </c>
      <c r="D2511" s="351" t="s">
        <v>6371</v>
      </c>
      <c r="E2511" s="357" t="s">
        <v>43</v>
      </c>
      <c r="F2511" s="351" t="s">
        <v>4987</v>
      </c>
      <c r="G2511" s="357" t="s">
        <v>225</v>
      </c>
      <c r="H2511" s="357" t="s">
        <v>125</v>
      </c>
      <c r="I2511" s="357" t="s">
        <v>114</v>
      </c>
      <c r="J2511" s="351" t="s">
        <v>29</v>
      </c>
      <c r="K2511" s="395" t="s">
        <v>1709</v>
      </c>
      <c r="L2511" s="351" t="s">
        <v>6356</v>
      </c>
      <c r="M2511" s="351" t="s">
        <v>5838</v>
      </c>
      <c r="N2511" s="357" t="s">
        <v>276</v>
      </c>
      <c r="O2511" s="357" t="s">
        <v>276</v>
      </c>
      <c r="P2511" s="351" t="s">
        <v>239</v>
      </c>
      <c r="Q2511" s="383" t="s">
        <v>5034</v>
      </c>
      <c r="R2511" s="351" t="s">
        <v>98</v>
      </c>
      <c r="S2511" s="380" t="s">
        <v>5619</v>
      </c>
      <c r="T2511" s="380" t="s">
        <v>5619</v>
      </c>
      <c r="U2511" s="351" t="s">
        <v>276</v>
      </c>
      <c r="V2511" s="357" t="s">
        <v>259</v>
      </c>
      <c r="W2511" s="351" t="s">
        <v>5136</v>
      </c>
      <c r="X2511" s="351" t="s">
        <v>207</v>
      </c>
      <c r="Y2511" s="354">
        <v>31970</v>
      </c>
      <c r="Z2511" s="355">
        <v>48409</v>
      </c>
      <c r="AA2511" s="351" t="s">
        <v>276</v>
      </c>
      <c r="AB2511" s="351" t="s">
        <v>276</v>
      </c>
      <c r="AC2511" s="357">
        <v>58</v>
      </c>
      <c r="AD2511" s="351" t="s">
        <v>1759</v>
      </c>
      <c r="AE2511" s="357">
        <v>133</v>
      </c>
      <c r="AF2511" s="351" t="s">
        <v>1759</v>
      </c>
      <c r="AG2511" s="351" t="s">
        <v>6362</v>
      </c>
      <c r="AH2511" s="351" t="s">
        <v>5843</v>
      </c>
      <c r="AI2511" s="355">
        <v>293</v>
      </c>
      <c r="AJ2511" s="355">
        <v>487</v>
      </c>
      <c r="AK2511" s="354">
        <v>31970</v>
      </c>
      <c r="AL2511" s="355">
        <v>48409</v>
      </c>
      <c r="AM2511" s="355" t="s">
        <v>690</v>
      </c>
      <c r="AN2511" s="357" t="s">
        <v>276</v>
      </c>
      <c r="AO2511" s="356">
        <f t="shared" si="667"/>
        <v>9.1648420394119494</v>
      </c>
      <c r="AP2511" s="357" t="s">
        <v>276</v>
      </c>
      <c r="AQ2511" s="357" t="s">
        <v>276</v>
      </c>
      <c r="AR2511" s="357" t="s">
        <v>276</v>
      </c>
      <c r="AS2511" s="356">
        <f t="shared" si="668"/>
        <v>10.060112788944204</v>
      </c>
      <c r="AT2511" s="357" t="s">
        <v>276</v>
      </c>
      <c r="AU2511" s="357" t="s">
        <v>276</v>
      </c>
      <c r="AV2511" s="357" t="s">
        <v>268</v>
      </c>
      <c r="AW2511" s="357" t="s">
        <v>276</v>
      </c>
      <c r="AX2511" s="369">
        <f t="shared" si="666"/>
        <v>0.91100788149054024</v>
      </c>
      <c r="AY2511" s="357" t="s">
        <v>276</v>
      </c>
      <c r="AZ2511" s="357" t="s">
        <v>276</v>
      </c>
      <c r="BA2511" s="357" t="s">
        <v>276</v>
      </c>
      <c r="BB2511" s="357" t="s">
        <v>276</v>
      </c>
      <c r="BC2511" s="357" t="s">
        <v>276</v>
      </c>
      <c r="BD2511" s="357" t="s">
        <v>276</v>
      </c>
      <c r="BE2511" s="357" t="s">
        <v>276</v>
      </c>
      <c r="BF2511" s="351" t="s">
        <v>6358</v>
      </c>
      <c r="BG2511" s="9"/>
      <c r="BH2511" s="9" t="s">
        <v>100</v>
      </c>
      <c r="BI2511" s="9" t="s">
        <v>100</v>
      </c>
      <c r="BJ2511" s="32"/>
      <c r="BK2511" s="33"/>
      <c r="BL2511" s="33"/>
      <c r="BM2511" s="33"/>
      <c r="BN2511" s="32"/>
      <c r="BO2511" s="32"/>
      <c r="BP2511" s="33"/>
    </row>
    <row r="2512" spans="1:90" s="6" customFormat="1" ht="65" hidden="1" x14ac:dyDescent="0.35">
      <c r="A2512" s="357">
        <v>10548</v>
      </c>
      <c r="B2512" s="357" t="s">
        <v>5029</v>
      </c>
      <c r="C2512" s="357" t="s">
        <v>88</v>
      </c>
      <c r="D2512" s="351" t="s">
        <v>6372</v>
      </c>
      <c r="E2512" s="357" t="s">
        <v>43</v>
      </c>
      <c r="F2512" s="351" t="s">
        <v>4987</v>
      </c>
      <c r="G2512" s="357" t="s">
        <v>225</v>
      </c>
      <c r="H2512" s="357" t="s">
        <v>125</v>
      </c>
      <c r="I2512" s="357" t="s">
        <v>114</v>
      </c>
      <c r="J2512" s="351" t="s">
        <v>29</v>
      </c>
      <c r="K2512" s="395" t="s">
        <v>1772</v>
      </c>
      <c r="L2512" s="351" t="s">
        <v>6356</v>
      </c>
      <c r="M2512" s="351" t="s">
        <v>5838</v>
      </c>
      <c r="N2512" s="357" t="s">
        <v>276</v>
      </c>
      <c r="O2512" s="357" t="s">
        <v>276</v>
      </c>
      <c r="P2512" s="351" t="s">
        <v>239</v>
      </c>
      <c r="Q2512" s="383" t="s">
        <v>5034</v>
      </c>
      <c r="R2512" s="351" t="s">
        <v>98</v>
      </c>
      <c r="S2512" s="380" t="s">
        <v>5627</v>
      </c>
      <c r="T2512" s="380" t="s">
        <v>5627</v>
      </c>
      <c r="U2512" s="351" t="s">
        <v>276</v>
      </c>
      <c r="V2512" s="357" t="s">
        <v>259</v>
      </c>
      <c r="W2512" s="351" t="s">
        <v>5139</v>
      </c>
      <c r="X2512" s="351" t="s">
        <v>207</v>
      </c>
      <c r="Y2512" s="354">
        <v>7266</v>
      </c>
      <c r="Z2512" s="355">
        <v>7251</v>
      </c>
      <c r="AA2512" s="351" t="s">
        <v>276</v>
      </c>
      <c r="AB2512" s="351" t="s">
        <v>276</v>
      </c>
      <c r="AC2512" s="357">
        <v>21</v>
      </c>
      <c r="AD2512" s="351" t="s">
        <v>1759</v>
      </c>
      <c r="AE2512" s="357">
        <v>22</v>
      </c>
      <c r="AF2512" s="351" t="s">
        <v>1759</v>
      </c>
      <c r="AG2512" s="351" t="s">
        <v>6357</v>
      </c>
      <c r="AH2512" s="351" t="s">
        <v>5843</v>
      </c>
      <c r="AI2512" s="355">
        <v>198</v>
      </c>
      <c r="AJ2512" s="355">
        <v>108</v>
      </c>
      <c r="AK2512" s="354">
        <v>7266</v>
      </c>
      <c r="AL2512" s="355">
        <v>7251</v>
      </c>
      <c r="AM2512" s="355" t="s">
        <v>690</v>
      </c>
      <c r="AN2512" s="357" t="s">
        <v>276</v>
      </c>
      <c r="AO2512" s="356">
        <f t="shared" si="667"/>
        <v>27.250206440957886</v>
      </c>
      <c r="AP2512" s="357" t="s">
        <v>276</v>
      </c>
      <c r="AQ2512" s="357" t="s">
        <v>276</v>
      </c>
      <c r="AR2512" s="357" t="s">
        <v>276</v>
      </c>
      <c r="AS2512" s="356">
        <f t="shared" si="668"/>
        <v>14.894497310715764</v>
      </c>
      <c r="AT2512" s="357" t="s">
        <v>276</v>
      </c>
      <c r="AU2512" s="357" t="s">
        <v>276</v>
      </c>
      <c r="AV2512" s="357" t="s">
        <v>268</v>
      </c>
      <c r="AW2512" s="357" t="s">
        <v>276</v>
      </c>
      <c r="AX2512" s="369">
        <f t="shared" si="666"/>
        <v>1.8295485824387558</v>
      </c>
      <c r="AY2512" s="357" t="s">
        <v>276</v>
      </c>
      <c r="AZ2512" s="357" t="s">
        <v>276</v>
      </c>
      <c r="BA2512" s="357" t="s">
        <v>276</v>
      </c>
      <c r="BB2512" s="357" t="s">
        <v>276</v>
      </c>
      <c r="BC2512" s="357" t="s">
        <v>276</v>
      </c>
      <c r="BD2512" s="357" t="s">
        <v>276</v>
      </c>
      <c r="BE2512" s="357" t="s">
        <v>276</v>
      </c>
      <c r="BF2512" s="351" t="s">
        <v>6358</v>
      </c>
      <c r="BG2512" s="9"/>
      <c r="BH2512" s="9" t="s">
        <v>100</v>
      </c>
      <c r="BI2512" s="9" t="s">
        <v>100</v>
      </c>
      <c r="BJ2512" s="32"/>
      <c r="BK2512" s="33"/>
      <c r="BL2512" s="33"/>
      <c r="BM2512" s="33"/>
      <c r="BN2512" s="32"/>
      <c r="BO2512" s="32"/>
      <c r="BP2512" s="33"/>
    </row>
    <row r="2513" spans="1:68" s="6" customFormat="1" ht="65" hidden="1" x14ac:dyDescent="0.35">
      <c r="A2513" s="357">
        <v>10548</v>
      </c>
      <c r="B2513" s="357" t="s">
        <v>5029</v>
      </c>
      <c r="C2513" s="357" t="s">
        <v>88</v>
      </c>
      <c r="D2513" s="351" t="s">
        <v>6373</v>
      </c>
      <c r="E2513" s="357" t="s">
        <v>43</v>
      </c>
      <c r="F2513" s="351" t="s">
        <v>4987</v>
      </c>
      <c r="G2513" s="357" t="s">
        <v>225</v>
      </c>
      <c r="H2513" s="357" t="s">
        <v>125</v>
      </c>
      <c r="I2513" s="357" t="s">
        <v>114</v>
      </c>
      <c r="J2513" s="351" t="s">
        <v>29</v>
      </c>
      <c r="K2513" s="395">
        <v>7</v>
      </c>
      <c r="L2513" s="351" t="s">
        <v>6356</v>
      </c>
      <c r="M2513" s="351" t="s">
        <v>5838</v>
      </c>
      <c r="N2513" s="357" t="s">
        <v>276</v>
      </c>
      <c r="O2513" s="357" t="s">
        <v>276</v>
      </c>
      <c r="P2513" s="351" t="s">
        <v>239</v>
      </c>
      <c r="Q2513" s="383" t="s">
        <v>5034</v>
      </c>
      <c r="R2513" s="351" t="s">
        <v>98</v>
      </c>
      <c r="S2513" s="380" t="s">
        <v>5627</v>
      </c>
      <c r="T2513" s="380" t="s">
        <v>5627</v>
      </c>
      <c r="U2513" s="351" t="s">
        <v>276</v>
      </c>
      <c r="V2513" s="357" t="s">
        <v>259</v>
      </c>
      <c r="W2513" s="351" t="s">
        <v>5139</v>
      </c>
      <c r="X2513" s="351" t="s">
        <v>207</v>
      </c>
      <c r="Y2513" s="354">
        <v>7266</v>
      </c>
      <c r="Z2513" s="355">
        <v>7251</v>
      </c>
      <c r="AA2513" s="351" t="s">
        <v>276</v>
      </c>
      <c r="AB2513" s="351" t="s">
        <v>276</v>
      </c>
      <c r="AC2513" s="357">
        <v>21</v>
      </c>
      <c r="AD2513" s="351" t="s">
        <v>1759</v>
      </c>
      <c r="AE2513" s="357">
        <v>22</v>
      </c>
      <c r="AF2513" s="351" t="s">
        <v>1759</v>
      </c>
      <c r="AG2513" s="351" t="s">
        <v>6360</v>
      </c>
      <c r="AH2513" s="351" t="s">
        <v>5843</v>
      </c>
      <c r="AI2513" s="355">
        <v>96</v>
      </c>
      <c r="AJ2513" s="355">
        <v>55</v>
      </c>
      <c r="AK2513" s="354">
        <v>7266</v>
      </c>
      <c r="AL2513" s="355">
        <v>7251</v>
      </c>
      <c r="AM2513" s="355" t="s">
        <v>690</v>
      </c>
      <c r="AN2513" s="357" t="s">
        <v>276</v>
      </c>
      <c r="AO2513" s="356">
        <f t="shared" si="667"/>
        <v>13.212221304706853</v>
      </c>
      <c r="AP2513" s="357" t="s">
        <v>276</v>
      </c>
      <c r="AQ2513" s="357" t="s">
        <v>276</v>
      </c>
      <c r="AR2513" s="357" t="s">
        <v>276</v>
      </c>
      <c r="AS2513" s="356">
        <f t="shared" si="668"/>
        <v>7.5851606674941383</v>
      </c>
      <c r="AT2513" s="357" t="s">
        <v>276</v>
      </c>
      <c r="AU2513" s="357" t="s">
        <v>276</v>
      </c>
      <c r="AV2513" s="357" t="s">
        <v>268</v>
      </c>
      <c r="AW2513" s="357" t="s">
        <v>276</v>
      </c>
      <c r="AX2513" s="369">
        <f t="shared" si="666"/>
        <v>1.7418512123714436</v>
      </c>
      <c r="AY2513" s="357" t="s">
        <v>276</v>
      </c>
      <c r="AZ2513" s="357" t="s">
        <v>276</v>
      </c>
      <c r="BA2513" s="357" t="s">
        <v>276</v>
      </c>
      <c r="BB2513" s="357" t="s">
        <v>276</v>
      </c>
      <c r="BC2513" s="357" t="s">
        <v>276</v>
      </c>
      <c r="BD2513" s="357" t="s">
        <v>276</v>
      </c>
      <c r="BE2513" s="357" t="s">
        <v>276</v>
      </c>
      <c r="BF2513" s="351" t="s">
        <v>6358</v>
      </c>
      <c r="BG2513" s="9"/>
      <c r="BH2513" s="9" t="s">
        <v>100</v>
      </c>
      <c r="BI2513" s="9" t="s">
        <v>100</v>
      </c>
      <c r="BJ2513" s="32"/>
      <c r="BK2513" s="33"/>
      <c r="BL2513" s="33"/>
      <c r="BM2513" s="33"/>
      <c r="BN2513" s="32"/>
      <c r="BO2513" s="32"/>
      <c r="BP2513" s="33"/>
    </row>
    <row r="2514" spans="1:68" s="6" customFormat="1" ht="78" hidden="1" x14ac:dyDescent="0.35">
      <c r="A2514" s="357">
        <v>10548</v>
      </c>
      <c r="B2514" s="357" t="s">
        <v>5029</v>
      </c>
      <c r="C2514" s="357" t="s">
        <v>88</v>
      </c>
      <c r="D2514" s="351" t="s">
        <v>6374</v>
      </c>
      <c r="E2514" s="357" t="s">
        <v>43</v>
      </c>
      <c r="F2514" s="351" t="s">
        <v>4987</v>
      </c>
      <c r="G2514" s="357" t="s">
        <v>225</v>
      </c>
      <c r="H2514" s="357" t="s">
        <v>125</v>
      </c>
      <c r="I2514" s="357" t="s">
        <v>114</v>
      </c>
      <c r="J2514" s="351" t="s">
        <v>29</v>
      </c>
      <c r="K2514" s="395" t="s">
        <v>1709</v>
      </c>
      <c r="L2514" s="351" t="s">
        <v>6356</v>
      </c>
      <c r="M2514" s="351" t="s">
        <v>5838</v>
      </c>
      <c r="N2514" s="357" t="s">
        <v>276</v>
      </c>
      <c r="O2514" s="357" t="s">
        <v>276</v>
      </c>
      <c r="P2514" s="351" t="s">
        <v>239</v>
      </c>
      <c r="Q2514" s="383" t="s">
        <v>5034</v>
      </c>
      <c r="R2514" s="351" t="s">
        <v>98</v>
      </c>
      <c r="S2514" s="380" t="s">
        <v>5627</v>
      </c>
      <c r="T2514" s="380" t="s">
        <v>5627</v>
      </c>
      <c r="U2514" s="351" t="s">
        <v>276</v>
      </c>
      <c r="V2514" s="357" t="s">
        <v>259</v>
      </c>
      <c r="W2514" s="351" t="s">
        <v>5139</v>
      </c>
      <c r="X2514" s="351" t="s">
        <v>207</v>
      </c>
      <c r="Y2514" s="354">
        <v>7266</v>
      </c>
      <c r="Z2514" s="355">
        <v>7251</v>
      </c>
      <c r="AA2514" s="351" t="s">
        <v>276</v>
      </c>
      <c r="AB2514" s="351" t="s">
        <v>276</v>
      </c>
      <c r="AC2514" s="357">
        <v>21</v>
      </c>
      <c r="AD2514" s="351" t="s">
        <v>1759</v>
      </c>
      <c r="AE2514" s="357">
        <v>22</v>
      </c>
      <c r="AF2514" s="351" t="s">
        <v>1759</v>
      </c>
      <c r="AG2514" s="351" t="s">
        <v>6362</v>
      </c>
      <c r="AH2514" s="351" t="s">
        <v>5843</v>
      </c>
      <c r="AI2514" s="355">
        <v>59</v>
      </c>
      <c r="AJ2514" s="355">
        <v>72</v>
      </c>
      <c r="AK2514" s="354">
        <v>7266</v>
      </c>
      <c r="AL2514" s="355">
        <v>7251</v>
      </c>
      <c r="AM2514" s="355" t="s">
        <v>690</v>
      </c>
      <c r="AN2514" s="357" t="s">
        <v>276</v>
      </c>
      <c r="AO2514" s="356">
        <f t="shared" si="667"/>
        <v>8.1200110101844203</v>
      </c>
      <c r="AP2514" s="357" t="s">
        <v>276</v>
      </c>
      <c r="AQ2514" s="357" t="s">
        <v>276</v>
      </c>
      <c r="AR2514" s="357" t="s">
        <v>276</v>
      </c>
      <c r="AS2514" s="356">
        <f t="shared" si="668"/>
        <v>9.9296648738105091</v>
      </c>
      <c r="AT2514" s="357" t="s">
        <v>276</v>
      </c>
      <c r="AU2514" s="357" t="s">
        <v>276</v>
      </c>
      <c r="AV2514" s="357" t="s">
        <v>268</v>
      </c>
      <c r="AW2514" s="357" t="s">
        <v>276</v>
      </c>
      <c r="AX2514" s="369">
        <f t="shared" si="666"/>
        <v>0.81775277548398928</v>
      </c>
      <c r="AY2514" s="357" t="s">
        <v>276</v>
      </c>
      <c r="AZ2514" s="357" t="s">
        <v>276</v>
      </c>
      <c r="BA2514" s="357" t="s">
        <v>276</v>
      </c>
      <c r="BB2514" s="357" t="s">
        <v>276</v>
      </c>
      <c r="BC2514" s="357" t="s">
        <v>276</v>
      </c>
      <c r="BD2514" s="357" t="s">
        <v>276</v>
      </c>
      <c r="BE2514" s="357" t="s">
        <v>276</v>
      </c>
      <c r="BF2514" s="351" t="s">
        <v>6358</v>
      </c>
      <c r="BG2514" s="9"/>
      <c r="BH2514" s="9" t="s">
        <v>100</v>
      </c>
      <c r="BI2514" s="9" t="s">
        <v>100</v>
      </c>
      <c r="BJ2514" s="32"/>
      <c r="BK2514" s="33"/>
      <c r="BL2514" s="33"/>
      <c r="BM2514" s="33"/>
      <c r="BN2514" s="32"/>
      <c r="BO2514" s="32"/>
      <c r="BP2514" s="33"/>
    </row>
    <row r="2515" spans="1:68" s="6" customFormat="1" ht="65" hidden="1" x14ac:dyDescent="0.35">
      <c r="A2515" s="357">
        <v>10548</v>
      </c>
      <c r="B2515" s="357" t="s">
        <v>5029</v>
      </c>
      <c r="C2515" s="357" t="s">
        <v>88</v>
      </c>
      <c r="D2515" s="351" t="s">
        <v>6375</v>
      </c>
      <c r="E2515" s="357" t="s">
        <v>43</v>
      </c>
      <c r="F2515" s="351" t="s">
        <v>4987</v>
      </c>
      <c r="G2515" s="357" t="s">
        <v>225</v>
      </c>
      <c r="H2515" s="357" t="s">
        <v>125</v>
      </c>
      <c r="I2515" s="357" t="s">
        <v>114</v>
      </c>
      <c r="J2515" s="351" t="s">
        <v>29</v>
      </c>
      <c r="K2515" s="395" t="s">
        <v>1772</v>
      </c>
      <c r="L2515" s="351" t="s">
        <v>6356</v>
      </c>
      <c r="M2515" s="351" t="s">
        <v>5838</v>
      </c>
      <c r="N2515" s="357" t="s">
        <v>276</v>
      </c>
      <c r="O2515" s="357" t="s">
        <v>276</v>
      </c>
      <c r="P2515" s="351" t="s">
        <v>239</v>
      </c>
      <c r="Q2515" s="383" t="s">
        <v>5034</v>
      </c>
      <c r="R2515" s="351" t="s">
        <v>98</v>
      </c>
      <c r="S2515" s="380" t="s">
        <v>5627</v>
      </c>
      <c r="T2515" s="380" t="s">
        <v>5627</v>
      </c>
      <c r="U2515" s="351" t="s">
        <v>276</v>
      </c>
      <c r="V2515" s="357" t="s">
        <v>259</v>
      </c>
      <c r="W2515" s="351" t="s">
        <v>5142</v>
      </c>
      <c r="X2515" s="351" t="s">
        <v>207</v>
      </c>
      <c r="Y2515" s="354">
        <v>1056</v>
      </c>
      <c r="Z2515" s="355">
        <v>1141</v>
      </c>
      <c r="AA2515" s="351" t="s">
        <v>276</v>
      </c>
      <c r="AB2515" s="351" t="s">
        <v>276</v>
      </c>
      <c r="AC2515" s="357">
        <v>8</v>
      </c>
      <c r="AD2515" s="351" t="s">
        <v>1759</v>
      </c>
      <c r="AE2515" s="357">
        <v>1</v>
      </c>
      <c r="AF2515" s="351" t="s">
        <v>1759</v>
      </c>
      <c r="AG2515" s="351" t="s">
        <v>6357</v>
      </c>
      <c r="AH2515" s="351" t="s">
        <v>5843</v>
      </c>
      <c r="AI2515" s="355">
        <v>41</v>
      </c>
      <c r="AJ2515" s="355">
        <v>10</v>
      </c>
      <c r="AK2515" s="354">
        <v>1056</v>
      </c>
      <c r="AL2515" s="355">
        <v>1141</v>
      </c>
      <c r="AM2515" s="355" t="s">
        <v>690</v>
      </c>
      <c r="AN2515" s="357" t="s">
        <v>276</v>
      </c>
      <c r="AO2515" s="356">
        <f t="shared" si="667"/>
        <v>38.825757575757578</v>
      </c>
      <c r="AP2515" s="357" t="s">
        <v>276</v>
      </c>
      <c r="AQ2515" s="357" t="s">
        <v>276</v>
      </c>
      <c r="AR2515" s="357" t="s">
        <v>276</v>
      </c>
      <c r="AS2515" s="356">
        <f t="shared" si="668"/>
        <v>8.7642418930762496</v>
      </c>
      <c r="AT2515" s="357" t="s">
        <v>276</v>
      </c>
      <c r="AU2515" s="357" t="s">
        <v>276</v>
      </c>
      <c r="AV2515" s="357" t="s">
        <v>268</v>
      </c>
      <c r="AW2515" s="357" t="s">
        <v>276</v>
      </c>
      <c r="AX2515" s="369">
        <f t="shared" si="666"/>
        <v>4.4300189393939391</v>
      </c>
      <c r="AY2515" s="357" t="s">
        <v>276</v>
      </c>
      <c r="AZ2515" s="357" t="s">
        <v>276</v>
      </c>
      <c r="BA2515" s="357" t="s">
        <v>276</v>
      </c>
      <c r="BB2515" s="357" t="s">
        <v>276</v>
      </c>
      <c r="BC2515" s="357" t="s">
        <v>276</v>
      </c>
      <c r="BD2515" s="357" t="s">
        <v>276</v>
      </c>
      <c r="BE2515" s="357" t="s">
        <v>276</v>
      </c>
      <c r="BF2515" s="351" t="s">
        <v>6358</v>
      </c>
      <c r="BG2515" s="9"/>
      <c r="BH2515" s="9" t="s">
        <v>100</v>
      </c>
      <c r="BI2515" s="9" t="s">
        <v>100</v>
      </c>
      <c r="BJ2515" s="32"/>
      <c r="BK2515" s="33"/>
      <c r="BL2515" s="33"/>
      <c r="BM2515" s="33"/>
      <c r="BN2515" s="32"/>
      <c r="BO2515" s="32"/>
      <c r="BP2515" s="33"/>
    </row>
    <row r="2516" spans="1:68" s="6" customFormat="1" ht="65" hidden="1" x14ac:dyDescent="0.35">
      <c r="A2516" s="357">
        <v>10548</v>
      </c>
      <c r="B2516" s="357" t="s">
        <v>5029</v>
      </c>
      <c r="C2516" s="357" t="s">
        <v>88</v>
      </c>
      <c r="D2516" s="351" t="s">
        <v>6376</v>
      </c>
      <c r="E2516" s="357" t="s">
        <v>43</v>
      </c>
      <c r="F2516" s="351" t="s">
        <v>4987</v>
      </c>
      <c r="G2516" s="357" t="s">
        <v>225</v>
      </c>
      <c r="H2516" s="357" t="s">
        <v>125</v>
      </c>
      <c r="I2516" s="357" t="s">
        <v>114</v>
      </c>
      <c r="J2516" s="351" t="s">
        <v>29</v>
      </c>
      <c r="K2516" s="395">
        <v>7</v>
      </c>
      <c r="L2516" s="351" t="s">
        <v>6356</v>
      </c>
      <c r="M2516" s="351" t="s">
        <v>5838</v>
      </c>
      <c r="N2516" s="357" t="s">
        <v>276</v>
      </c>
      <c r="O2516" s="357" t="s">
        <v>276</v>
      </c>
      <c r="P2516" s="351" t="s">
        <v>239</v>
      </c>
      <c r="Q2516" s="383" t="s">
        <v>5034</v>
      </c>
      <c r="R2516" s="351" t="s">
        <v>98</v>
      </c>
      <c r="S2516" s="380" t="s">
        <v>5627</v>
      </c>
      <c r="T2516" s="380" t="s">
        <v>5627</v>
      </c>
      <c r="U2516" s="351" t="s">
        <v>276</v>
      </c>
      <c r="V2516" s="357" t="s">
        <v>259</v>
      </c>
      <c r="W2516" s="351" t="s">
        <v>5142</v>
      </c>
      <c r="X2516" s="351" t="s">
        <v>207</v>
      </c>
      <c r="Y2516" s="354">
        <v>1056</v>
      </c>
      <c r="Z2516" s="355">
        <v>1141</v>
      </c>
      <c r="AA2516" s="351" t="s">
        <v>276</v>
      </c>
      <c r="AB2516" s="351" t="s">
        <v>276</v>
      </c>
      <c r="AC2516" s="357">
        <v>8</v>
      </c>
      <c r="AD2516" s="351" t="s">
        <v>1759</v>
      </c>
      <c r="AE2516" s="357">
        <v>1</v>
      </c>
      <c r="AF2516" s="351" t="s">
        <v>1759</v>
      </c>
      <c r="AG2516" s="351" t="s">
        <v>6360</v>
      </c>
      <c r="AH2516" s="351" t="s">
        <v>5843</v>
      </c>
      <c r="AI2516" s="355">
        <v>14</v>
      </c>
      <c r="AJ2516" s="355">
        <v>8</v>
      </c>
      <c r="AK2516" s="354">
        <v>1056</v>
      </c>
      <c r="AL2516" s="355">
        <v>1141</v>
      </c>
      <c r="AM2516" s="355" t="s">
        <v>690</v>
      </c>
      <c r="AN2516" s="357" t="s">
        <v>276</v>
      </c>
      <c r="AO2516" s="356">
        <f t="shared" si="667"/>
        <v>13.257575757575758</v>
      </c>
      <c r="AP2516" s="357" t="s">
        <v>276</v>
      </c>
      <c r="AQ2516" s="357" t="s">
        <v>276</v>
      </c>
      <c r="AR2516" s="357" t="s">
        <v>276</v>
      </c>
      <c r="AS2516" s="356">
        <f t="shared" si="668"/>
        <v>7.0113935144609991</v>
      </c>
      <c r="AT2516" s="357" t="s">
        <v>276</v>
      </c>
      <c r="AU2516" s="357" t="s">
        <v>276</v>
      </c>
      <c r="AV2516" s="357" t="s">
        <v>268</v>
      </c>
      <c r="AW2516" s="357" t="s">
        <v>276</v>
      </c>
      <c r="AX2516" s="369">
        <f t="shared" si="666"/>
        <v>1.8908617424242424</v>
      </c>
      <c r="AY2516" s="357" t="s">
        <v>276</v>
      </c>
      <c r="AZ2516" s="357" t="s">
        <v>276</v>
      </c>
      <c r="BA2516" s="357" t="s">
        <v>276</v>
      </c>
      <c r="BB2516" s="357" t="s">
        <v>276</v>
      </c>
      <c r="BC2516" s="357" t="s">
        <v>276</v>
      </c>
      <c r="BD2516" s="357" t="s">
        <v>276</v>
      </c>
      <c r="BE2516" s="357" t="s">
        <v>276</v>
      </c>
      <c r="BF2516" s="351" t="s">
        <v>6358</v>
      </c>
      <c r="BG2516" s="9"/>
      <c r="BH2516" s="9" t="s">
        <v>100</v>
      </c>
      <c r="BI2516" s="9" t="s">
        <v>100</v>
      </c>
      <c r="BJ2516" s="32"/>
      <c r="BK2516" s="33"/>
      <c r="BL2516" s="33"/>
      <c r="BM2516" s="33"/>
      <c r="BN2516" s="32"/>
      <c r="BO2516" s="32"/>
      <c r="BP2516" s="33"/>
    </row>
    <row r="2517" spans="1:68" s="6" customFormat="1" ht="78" hidden="1" x14ac:dyDescent="0.35">
      <c r="A2517" s="357">
        <v>10548</v>
      </c>
      <c r="B2517" s="357" t="s">
        <v>5029</v>
      </c>
      <c r="C2517" s="357" t="s">
        <v>88</v>
      </c>
      <c r="D2517" s="351" t="s">
        <v>6377</v>
      </c>
      <c r="E2517" s="357" t="s">
        <v>43</v>
      </c>
      <c r="F2517" s="351" t="s">
        <v>4987</v>
      </c>
      <c r="G2517" s="357" t="s">
        <v>225</v>
      </c>
      <c r="H2517" s="357" t="s">
        <v>125</v>
      </c>
      <c r="I2517" s="357" t="s">
        <v>114</v>
      </c>
      <c r="J2517" s="351" t="s">
        <v>29</v>
      </c>
      <c r="K2517" s="395" t="s">
        <v>1709</v>
      </c>
      <c r="L2517" s="351" t="s">
        <v>6356</v>
      </c>
      <c r="M2517" s="351" t="s">
        <v>5838</v>
      </c>
      <c r="N2517" s="357" t="s">
        <v>276</v>
      </c>
      <c r="O2517" s="357" t="s">
        <v>276</v>
      </c>
      <c r="P2517" s="351" t="s">
        <v>239</v>
      </c>
      <c r="Q2517" s="383" t="s">
        <v>5034</v>
      </c>
      <c r="R2517" s="351" t="s">
        <v>98</v>
      </c>
      <c r="S2517" s="380" t="s">
        <v>5627</v>
      </c>
      <c r="T2517" s="380" t="s">
        <v>5627</v>
      </c>
      <c r="U2517" s="351" t="s">
        <v>276</v>
      </c>
      <c r="V2517" s="357" t="s">
        <v>259</v>
      </c>
      <c r="W2517" s="351" t="s">
        <v>5142</v>
      </c>
      <c r="X2517" s="351" t="s">
        <v>207</v>
      </c>
      <c r="Y2517" s="354">
        <v>1056</v>
      </c>
      <c r="Z2517" s="355">
        <v>1141</v>
      </c>
      <c r="AA2517" s="351" t="s">
        <v>276</v>
      </c>
      <c r="AB2517" s="351" t="s">
        <v>276</v>
      </c>
      <c r="AC2517" s="357">
        <v>8</v>
      </c>
      <c r="AD2517" s="351" t="s">
        <v>1759</v>
      </c>
      <c r="AE2517" s="357">
        <v>1</v>
      </c>
      <c r="AF2517" s="351" t="s">
        <v>1759</v>
      </c>
      <c r="AG2517" s="351" t="s">
        <v>6362</v>
      </c>
      <c r="AH2517" s="351" t="s">
        <v>5843</v>
      </c>
      <c r="AI2517" s="355">
        <v>6</v>
      </c>
      <c r="AJ2517" s="355">
        <v>5</v>
      </c>
      <c r="AK2517" s="354">
        <v>1056</v>
      </c>
      <c r="AL2517" s="355">
        <v>1141</v>
      </c>
      <c r="AM2517" s="355" t="s">
        <v>690</v>
      </c>
      <c r="AN2517" s="357" t="s">
        <v>276</v>
      </c>
      <c r="AO2517" s="356">
        <f t="shared" si="667"/>
        <v>5.6818181818181817</v>
      </c>
      <c r="AP2517" s="357" t="s">
        <v>276</v>
      </c>
      <c r="AQ2517" s="357" t="s">
        <v>276</v>
      </c>
      <c r="AR2517" s="357" t="s">
        <v>276</v>
      </c>
      <c r="AS2517" s="356">
        <f t="shared" si="668"/>
        <v>4.3821209465381248</v>
      </c>
      <c r="AT2517" s="357" t="s">
        <v>276</v>
      </c>
      <c r="AU2517" s="357" t="s">
        <v>276</v>
      </c>
      <c r="AV2517" s="357" t="s">
        <v>268</v>
      </c>
      <c r="AW2517" s="357" t="s">
        <v>276</v>
      </c>
      <c r="AX2517" s="369">
        <f t="shared" si="666"/>
        <v>1.2965909090909089</v>
      </c>
      <c r="AY2517" s="357" t="s">
        <v>276</v>
      </c>
      <c r="AZ2517" s="357" t="s">
        <v>276</v>
      </c>
      <c r="BA2517" s="357" t="s">
        <v>276</v>
      </c>
      <c r="BB2517" s="357" t="s">
        <v>276</v>
      </c>
      <c r="BC2517" s="357" t="s">
        <v>276</v>
      </c>
      <c r="BD2517" s="357" t="s">
        <v>276</v>
      </c>
      <c r="BE2517" s="357" t="s">
        <v>276</v>
      </c>
      <c r="BF2517" s="351" t="s">
        <v>6358</v>
      </c>
      <c r="BG2517" s="9"/>
      <c r="BH2517" s="9" t="s">
        <v>100</v>
      </c>
      <c r="BI2517" s="9" t="s">
        <v>100</v>
      </c>
      <c r="BJ2517" s="32"/>
      <c r="BK2517" s="33"/>
      <c r="BL2517" s="33"/>
      <c r="BM2517" s="33"/>
      <c r="BN2517" s="32"/>
      <c r="BO2517" s="32"/>
      <c r="BP2517" s="33"/>
    </row>
    <row r="2518" spans="1:68" s="6" customFormat="1" ht="65" hidden="1" x14ac:dyDescent="0.35">
      <c r="A2518" s="357">
        <v>10548</v>
      </c>
      <c r="B2518" s="357" t="s">
        <v>5029</v>
      </c>
      <c r="C2518" s="357" t="s">
        <v>88</v>
      </c>
      <c r="D2518" s="351" t="s">
        <v>6378</v>
      </c>
      <c r="E2518" s="357" t="s">
        <v>43</v>
      </c>
      <c r="F2518" s="351" t="s">
        <v>4987</v>
      </c>
      <c r="G2518" s="357" t="s">
        <v>225</v>
      </c>
      <c r="H2518" s="357" t="s">
        <v>125</v>
      </c>
      <c r="I2518" s="357" t="s">
        <v>114</v>
      </c>
      <c r="J2518" s="351" t="s">
        <v>29</v>
      </c>
      <c r="K2518" s="395" t="s">
        <v>1772</v>
      </c>
      <c r="L2518" s="351" t="s">
        <v>6356</v>
      </c>
      <c r="M2518" s="351" t="s">
        <v>5838</v>
      </c>
      <c r="N2518" s="357" t="s">
        <v>276</v>
      </c>
      <c r="O2518" s="357" t="s">
        <v>276</v>
      </c>
      <c r="P2518" s="351" t="s">
        <v>239</v>
      </c>
      <c r="Q2518" s="383" t="s">
        <v>5034</v>
      </c>
      <c r="R2518" s="351" t="s">
        <v>98</v>
      </c>
      <c r="S2518" s="380" t="s">
        <v>5627</v>
      </c>
      <c r="T2518" s="380" t="s">
        <v>5627</v>
      </c>
      <c r="U2518" s="351" t="s">
        <v>276</v>
      </c>
      <c r="V2518" s="357" t="s">
        <v>259</v>
      </c>
      <c r="W2518" s="351" t="s">
        <v>5145</v>
      </c>
      <c r="X2518" s="351" t="s">
        <v>207</v>
      </c>
      <c r="Y2518" s="354">
        <v>4948</v>
      </c>
      <c r="Z2518" s="355">
        <v>4955</v>
      </c>
      <c r="AA2518" s="351" t="s">
        <v>276</v>
      </c>
      <c r="AB2518" s="351" t="s">
        <v>276</v>
      </c>
      <c r="AC2518" s="357">
        <v>7</v>
      </c>
      <c r="AD2518" s="351" t="s">
        <v>1759</v>
      </c>
      <c r="AE2518" s="357">
        <v>17</v>
      </c>
      <c r="AF2518" s="351" t="s">
        <v>1759</v>
      </c>
      <c r="AG2518" s="351" t="s">
        <v>6357</v>
      </c>
      <c r="AH2518" s="351" t="s">
        <v>5843</v>
      </c>
      <c r="AI2518" s="355">
        <v>333</v>
      </c>
      <c r="AJ2518" s="355">
        <v>126</v>
      </c>
      <c r="AK2518" s="354">
        <v>4948</v>
      </c>
      <c r="AL2518" s="355">
        <v>4955</v>
      </c>
      <c r="AM2518" s="355" t="s">
        <v>690</v>
      </c>
      <c r="AN2518" s="357" t="s">
        <v>276</v>
      </c>
      <c r="AO2518" s="356">
        <f t="shared" si="667"/>
        <v>67.299919159256262</v>
      </c>
      <c r="AP2518" s="357" t="s">
        <v>276</v>
      </c>
      <c r="AQ2518" s="357" t="s">
        <v>276</v>
      </c>
      <c r="AR2518" s="357" t="s">
        <v>276</v>
      </c>
      <c r="AS2518" s="356">
        <f t="shared" si="668"/>
        <v>25.428859737638749</v>
      </c>
      <c r="AT2518" s="357" t="s">
        <v>276</v>
      </c>
      <c r="AU2518" s="357" t="s">
        <v>276</v>
      </c>
      <c r="AV2518" s="357" t="s">
        <v>268</v>
      </c>
      <c r="AW2518" s="357" t="s">
        <v>276</v>
      </c>
      <c r="AX2518" s="369">
        <f t="shared" si="666"/>
        <v>2.646596027254879</v>
      </c>
      <c r="AY2518" s="357" t="s">
        <v>276</v>
      </c>
      <c r="AZ2518" s="357" t="s">
        <v>276</v>
      </c>
      <c r="BA2518" s="357" t="s">
        <v>276</v>
      </c>
      <c r="BB2518" s="357" t="s">
        <v>276</v>
      </c>
      <c r="BC2518" s="357" t="s">
        <v>276</v>
      </c>
      <c r="BD2518" s="357" t="s">
        <v>276</v>
      </c>
      <c r="BE2518" s="357" t="s">
        <v>276</v>
      </c>
      <c r="BF2518" s="351" t="s">
        <v>6358</v>
      </c>
      <c r="BG2518" s="9"/>
      <c r="BH2518" s="9" t="s">
        <v>100</v>
      </c>
      <c r="BI2518" s="9" t="s">
        <v>100</v>
      </c>
      <c r="BJ2518" s="32"/>
      <c r="BK2518" s="33"/>
      <c r="BL2518" s="33"/>
      <c r="BM2518" s="33"/>
      <c r="BN2518" s="32"/>
      <c r="BO2518" s="32"/>
      <c r="BP2518" s="33"/>
    </row>
    <row r="2519" spans="1:68" s="6" customFormat="1" ht="65" hidden="1" x14ac:dyDescent="0.35">
      <c r="A2519" s="357">
        <v>10548</v>
      </c>
      <c r="B2519" s="357" t="s">
        <v>5029</v>
      </c>
      <c r="C2519" s="357" t="s">
        <v>88</v>
      </c>
      <c r="D2519" s="351" t="s">
        <v>6379</v>
      </c>
      <c r="E2519" s="357" t="s">
        <v>43</v>
      </c>
      <c r="F2519" s="351" t="s">
        <v>4987</v>
      </c>
      <c r="G2519" s="357" t="s">
        <v>225</v>
      </c>
      <c r="H2519" s="357" t="s">
        <v>125</v>
      </c>
      <c r="I2519" s="357" t="s">
        <v>114</v>
      </c>
      <c r="J2519" s="351" t="s">
        <v>29</v>
      </c>
      <c r="K2519" s="395">
        <v>7</v>
      </c>
      <c r="L2519" s="351" t="s">
        <v>6356</v>
      </c>
      <c r="M2519" s="351" t="s">
        <v>5838</v>
      </c>
      <c r="N2519" s="357" t="s">
        <v>276</v>
      </c>
      <c r="O2519" s="357" t="s">
        <v>276</v>
      </c>
      <c r="P2519" s="351" t="s">
        <v>239</v>
      </c>
      <c r="Q2519" s="383" t="s">
        <v>5034</v>
      </c>
      <c r="R2519" s="351" t="s">
        <v>98</v>
      </c>
      <c r="S2519" s="380" t="s">
        <v>5627</v>
      </c>
      <c r="T2519" s="380" t="s">
        <v>5627</v>
      </c>
      <c r="U2519" s="351" t="s">
        <v>276</v>
      </c>
      <c r="V2519" s="357" t="s">
        <v>259</v>
      </c>
      <c r="W2519" s="351" t="s">
        <v>5145</v>
      </c>
      <c r="X2519" s="351" t="s">
        <v>207</v>
      </c>
      <c r="Y2519" s="354">
        <v>4948</v>
      </c>
      <c r="Z2519" s="355">
        <v>4955</v>
      </c>
      <c r="AA2519" s="351" t="s">
        <v>276</v>
      </c>
      <c r="AB2519" s="351" t="s">
        <v>276</v>
      </c>
      <c r="AC2519" s="357">
        <v>7</v>
      </c>
      <c r="AD2519" s="351" t="s">
        <v>1759</v>
      </c>
      <c r="AE2519" s="357">
        <v>17</v>
      </c>
      <c r="AF2519" s="351" t="s">
        <v>1759</v>
      </c>
      <c r="AG2519" s="351" t="s">
        <v>6360</v>
      </c>
      <c r="AH2519" s="351" t="s">
        <v>5843</v>
      </c>
      <c r="AI2519" s="355">
        <v>99</v>
      </c>
      <c r="AJ2519" s="355">
        <v>53</v>
      </c>
      <c r="AK2519" s="354">
        <v>4948</v>
      </c>
      <c r="AL2519" s="355">
        <v>4955</v>
      </c>
      <c r="AM2519" s="355" t="s">
        <v>690</v>
      </c>
      <c r="AN2519" s="357" t="s">
        <v>276</v>
      </c>
      <c r="AO2519" s="356">
        <f t="shared" si="667"/>
        <v>20.008084074373485</v>
      </c>
      <c r="AP2519" s="357" t="s">
        <v>276</v>
      </c>
      <c r="AQ2519" s="357" t="s">
        <v>276</v>
      </c>
      <c r="AR2519" s="357" t="s">
        <v>276</v>
      </c>
      <c r="AS2519" s="356">
        <f t="shared" si="668"/>
        <v>10.696266397578205</v>
      </c>
      <c r="AT2519" s="357" t="s">
        <v>276</v>
      </c>
      <c r="AU2519" s="357" t="s">
        <v>276</v>
      </c>
      <c r="AV2519" s="357" t="s">
        <v>268</v>
      </c>
      <c r="AW2519" s="357" t="s">
        <v>276</v>
      </c>
      <c r="AX2519" s="369">
        <f t="shared" si="666"/>
        <v>1.8705671054437851</v>
      </c>
      <c r="AY2519" s="357" t="s">
        <v>276</v>
      </c>
      <c r="AZ2519" s="357" t="s">
        <v>276</v>
      </c>
      <c r="BA2519" s="357" t="s">
        <v>276</v>
      </c>
      <c r="BB2519" s="357" t="s">
        <v>276</v>
      </c>
      <c r="BC2519" s="357" t="s">
        <v>276</v>
      </c>
      <c r="BD2519" s="357" t="s">
        <v>276</v>
      </c>
      <c r="BE2519" s="357" t="s">
        <v>276</v>
      </c>
      <c r="BF2519" s="351" t="s">
        <v>6358</v>
      </c>
      <c r="BG2519" s="9"/>
      <c r="BH2519" s="9" t="s">
        <v>100</v>
      </c>
      <c r="BI2519" s="9" t="s">
        <v>100</v>
      </c>
      <c r="BJ2519" s="32"/>
      <c r="BK2519" s="33"/>
      <c r="BL2519" s="33"/>
      <c r="BM2519" s="33"/>
      <c r="BN2519" s="32"/>
      <c r="BO2519" s="32"/>
      <c r="BP2519" s="33"/>
    </row>
    <row r="2520" spans="1:68" s="6" customFormat="1" ht="78" hidden="1" x14ac:dyDescent="0.35">
      <c r="A2520" s="357">
        <v>10548</v>
      </c>
      <c r="B2520" s="357" t="s">
        <v>5029</v>
      </c>
      <c r="C2520" s="357" t="s">
        <v>88</v>
      </c>
      <c r="D2520" s="351" t="s">
        <v>6380</v>
      </c>
      <c r="E2520" s="357" t="s">
        <v>43</v>
      </c>
      <c r="F2520" s="351" t="s">
        <v>4987</v>
      </c>
      <c r="G2520" s="357" t="s">
        <v>225</v>
      </c>
      <c r="H2520" s="357" t="s">
        <v>125</v>
      </c>
      <c r="I2520" s="357" t="s">
        <v>114</v>
      </c>
      <c r="J2520" s="351" t="s">
        <v>29</v>
      </c>
      <c r="K2520" s="395" t="s">
        <v>1709</v>
      </c>
      <c r="L2520" s="351" t="s">
        <v>6356</v>
      </c>
      <c r="M2520" s="351" t="s">
        <v>5838</v>
      </c>
      <c r="N2520" s="357" t="s">
        <v>276</v>
      </c>
      <c r="O2520" s="357" t="s">
        <v>276</v>
      </c>
      <c r="P2520" s="351" t="s">
        <v>239</v>
      </c>
      <c r="Q2520" s="383" t="s">
        <v>5034</v>
      </c>
      <c r="R2520" s="351" t="s">
        <v>98</v>
      </c>
      <c r="S2520" s="380" t="s">
        <v>5627</v>
      </c>
      <c r="T2520" s="380" t="s">
        <v>5627</v>
      </c>
      <c r="U2520" s="351" t="s">
        <v>276</v>
      </c>
      <c r="V2520" s="357" t="s">
        <v>259</v>
      </c>
      <c r="W2520" s="351" t="s">
        <v>5145</v>
      </c>
      <c r="X2520" s="351" t="s">
        <v>207</v>
      </c>
      <c r="Y2520" s="354">
        <v>4948</v>
      </c>
      <c r="Z2520" s="355">
        <v>4955</v>
      </c>
      <c r="AA2520" s="351" t="s">
        <v>276</v>
      </c>
      <c r="AB2520" s="351" t="s">
        <v>276</v>
      </c>
      <c r="AC2520" s="357">
        <v>7</v>
      </c>
      <c r="AD2520" s="351" t="s">
        <v>1759</v>
      </c>
      <c r="AE2520" s="357">
        <v>17</v>
      </c>
      <c r="AF2520" s="351" t="s">
        <v>1759</v>
      </c>
      <c r="AG2520" s="351" t="s">
        <v>6362</v>
      </c>
      <c r="AH2520" s="351" t="s">
        <v>5843</v>
      </c>
      <c r="AI2520" s="355">
        <v>36</v>
      </c>
      <c r="AJ2520" s="355">
        <v>30</v>
      </c>
      <c r="AK2520" s="354">
        <v>4948</v>
      </c>
      <c r="AL2520" s="355">
        <v>4955</v>
      </c>
      <c r="AM2520" s="355" t="s">
        <v>690</v>
      </c>
      <c r="AN2520" s="357" t="s">
        <v>276</v>
      </c>
      <c r="AO2520" s="356">
        <f t="shared" si="667"/>
        <v>7.2756669361358126</v>
      </c>
      <c r="AP2520" s="357" t="s">
        <v>276</v>
      </c>
      <c r="AQ2520" s="357" t="s">
        <v>276</v>
      </c>
      <c r="AR2520" s="357" t="s">
        <v>276</v>
      </c>
      <c r="AS2520" s="356">
        <f t="shared" si="668"/>
        <v>6.0544904137235118</v>
      </c>
      <c r="AT2520" s="357" t="s">
        <v>276</v>
      </c>
      <c r="AU2520" s="357" t="s">
        <v>276</v>
      </c>
      <c r="AV2520" s="357" t="s">
        <v>268</v>
      </c>
      <c r="AW2520" s="357" t="s">
        <v>276</v>
      </c>
      <c r="AX2520" s="369">
        <f t="shared" si="666"/>
        <v>1.2016976556184318</v>
      </c>
      <c r="AY2520" s="357" t="s">
        <v>276</v>
      </c>
      <c r="AZ2520" s="357" t="s">
        <v>276</v>
      </c>
      <c r="BA2520" s="357" t="s">
        <v>276</v>
      </c>
      <c r="BB2520" s="357" t="s">
        <v>276</v>
      </c>
      <c r="BC2520" s="357" t="s">
        <v>276</v>
      </c>
      <c r="BD2520" s="357" t="s">
        <v>276</v>
      </c>
      <c r="BE2520" s="357" t="s">
        <v>276</v>
      </c>
      <c r="BF2520" s="351" t="s">
        <v>6358</v>
      </c>
      <c r="BG2520" s="9"/>
      <c r="BH2520" s="9" t="s">
        <v>100</v>
      </c>
      <c r="BI2520" s="9" t="s">
        <v>100</v>
      </c>
      <c r="BJ2520" s="32"/>
      <c r="BK2520" s="33"/>
      <c r="BL2520" s="33"/>
      <c r="BM2520" s="33"/>
      <c r="BN2520" s="32"/>
      <c r="BO2520" s="32"/>
      <c r="BP2520" s="33"/>
    </row>
    <row r="2521" spans="1:68" s="6" customFormat="1" ht="65" hidden="1" x14ac:dyDescent="0.35">
      <c r="A2521" s="357">
        <v>10548</v>
      </c>
      <c r="B2521" s="357" t="s">
        <v>5029</v>
      </c>
      <c r="C2521" s="357" t="s">
        <v>88</v>
      </c>
      <c r="D2521" s="351" t="s">
        <v>6381</v>
      </c>
      <c r="E2521" s="357" t="s">
        <v>43</v>
      </c>
      <c r="F2521" s="351" t="s">
        <v>4987</v>
      </c>
      <c r="G2521" s="357" t="s">
        <v>225</v>
      </c>
      <c r="H2521" s="357" t="s">
        <v>125</v>
      </c>
      <c r="I2521" s="357" t="s">
        <v>114</v>
      </c>
      <c r="J2521" s="351" t="s">
        <v>29</v>
      </c>
      <c r="K2521" s="395" t="s">
        <v>1772</v>
      </c>
      <c r="L2521" s="351" t="s">
        <v>6356</v>
      </c>
      <c r="M2521" s="351" t="s">
        <v>5838</v>
      </c>
      <c r="N2521" s="357" t="s">
        <v>276</v>
      </c>
      <c r="O2521" s="357" t="s">
        <v>276</v>
      </c>
      <c r="P2521" s="351" t="s">
        <v>239</v>
      </c>
      <c r="Q2521" s="383" t="s">
        <v>5034</v>
      </c>
      <c r="R2521" s="351" t="s">
        <v>98</v>
      </c>
      <c r="S2521" s="380" t="s">
        <v>5633</v>
      </c>
      <c r="T2521" s="380" t="s">
        <v>5633</v>
      </c>
      <c r="U2521" s="351" t="s">
        <v>276</v>
      </c>
      <c r="V2521" s="357" t="s">
        <v>259</v>
      </c>
      <c r="W2521" s="351" t="s">
        <v>6382</v>
      </c>
      <c r="X2521" s="351" t="s">
        <v>207</v>
      </c>
      <c r="Y2521" s="354">
        <v>28792</v>
      </c>
      <c r="Z2521" s="355">
        <v>28866</v>
      </c>
      <c r="AA2521" s="351" t="s">
        <v>276</v>
      </c>
      <c r="AB2521" s="351" t="s">
        <v>276</v>
      </c>
      <c r="AC2521" s="357">
        <v>30</v>
      </c>
      <c r="AD2521" s="351" t="s">
        <v>1759</v>
      </c>
      <c r="AE2521" s="357">
        <v>23</v>
      </c>
      <c r="AF2521" s="351" t="s">
        <v>1759</v>
      </c>
      <c r="AG2521" s="351" t="s">
        <v>6357</v>
      </c>
      <c r="AH2521" s="351" t="s">
        <v>5843</v>
      </c>
      <c r="AI2521" s="355">
        <v>500</v>
      </c>
      <c r="AJ2521" s="355">
        <v>418</v>
      </c>
      <c r="AK2521" s="354">
        <v>28792</v>
      </c>
      <c r="AL2521" s="355">
        <v>28866</v>
      </c>
      <c r="AM2521" s="355" t="s">
        <v>690</v>
      </c>
      <c r="AN2521" s="357" t="s">
        <v>276</v>
      </c>
      <c r="AO2521" s="356">
        <f t="shared" si="667"/>
        <v>17.365934981939429</v>
      </c>
      <c r="AP2521" s="357" t="s">
        <v>276</v>
      </c>
      <c r="AQ2521" s="357" t="s">
        <v>276</v>
      </c>
      <c r="AR2521" s="357" t="s">
        <v>276</v>
      </c>
      <c r="AS2521" s="356">
        <f t="shared" si="668"/>
        <v>14.480703942354326</v>
      </c>
      <c r="AT2521" s="357" t="s">
        <v>276</v>
      </c>
      <c r="AU2521" s="357" t="s">
        <v>276</v>
      </c>
      <c r="AV2521" s="357" t="s">
        <v>268</v>
      </c>
      <c r="AW2521" s="357" t="s">
        <v>276</v>
      </c>
      <c r="AX2521" s="369">
        <f t="shared" si="666"/>
        <v>1.1992466009298171</v>
      </c>
      <c r="AY2521" s="357" t="s">
        <v>276</v>
      </c>
      <c r="AZ2521" s="357" t="s">
        <v>276</v>
      </c>
      <c r="BA2521" s="357" t="s">
        <v>276</v>
      </c>
      <c r="BB2521" s="357" t="s">
        <v>276</v>
      </c>
      <c r="BC2521" s="357" t="s">
        <v>276</v>
      </c>
      <c r="BD2521" s="357" t="s">
        <v>276</v>
      </c>
      <c r="BE2521" s="357" t="s">
        <v>276</v>
      </c>
      <c r="BF2521" s="351" t="s">
        <v>6358</v>
      </c>
      <c r="BG2521" s="9"/>
      <c r="BH2521" s="9" t="s">
        <v>100</v>
      </c>
      <c r="BI2521" s="9" t="s">
        <v>100</v>
      </c>
      <c r="BJ2521" s="32"/>
      <c r="BK2521" s="33"/>
      <c r="BL2521" s="33"/>
      <c r="BM2521" s="33"/>
      <c r="BN2521" s="32"/>
      <c r="BO2521" s="32"/>
      <c r="BP2521" s="33"/>
    </row>
    <row r="2522" spans="1:68" s="6" customFormat="1" ht="65" hidden="1" x14ac:dyDescent="0.35">
      <c r="A2522" s="357">
        <v>10548</v>
      </c>
      <c r="B2522" s="357" t="s">
        <v>5029</v>
      </c>
      <c r="C2522" s="357" t="s">
        <v>88</v>
      </c>
      <c r="D2522" s="351" t="s">
        <v>6383</v>
      </c>
      <c r="E2522" s="357" t="s">
        <v>43</v>
      </c>
      <c r="F2522" s="351" t="s">
        <v>4987</v>
      </c>
      <c r="G2522" s="357" t="s">
        <v>225</v>
      </c>
      <c r="H2522" s="357" t="s">
        <v>125</v>
      </c>
      <c r="I2522" s="357" t="s">
        <v>114</v>
      </c>
      <c r="J2522" s="351" t="s">
        <v>29</v>
      </c>
      <c r="K2522" s="395">
        <v>7</v>
      </c>
      <c r="L2522" s="351" t="s">
        <v>6356</v>
      </c>
      <c r="M2522" s="351" t="s">
        <v>5838</v>
      </c>
      <c r="N2522" s="357" t="s">
        <v>276</v>
      </c>
      <c r="O2522" s="357" t="s">
        <v>276</v>
      </c>
      <c r="P2522" s="351" t="s">
        <v>239</v>
      </c>
      <c r="Q2522" s="383" t="s">
        <v>5034</v>
      </c>
      <c r="R2522" s="351" t="s">
        <v>98</v>
      </c>
      <c r="S2522" s="380" t="s">
        <v>5633</v>
      </c>
      <c r="T2522" s="380" t="s">
        <v>5633</v>
      </c>
      <c r="U2522" s="351" t="s">
        <v>276</v>
      </c>
      <c r="V2522" s="357" t="s">
        <v>259</v>
      </c>
      <c r="W2522" s="351" t="s">
        <v>6382</v>
      </c>
      <c r="X2522" s="351" t="s">
        <v>207</v>
      </c>
      <c r="Y2522" s="354">
        <v>28792</v>
      </c>
      <c r="Z2522" s="355">
        <v>28866</v>
      </c>
      <c r="AA2522" s="351" t="s">
        <v>276</v>
      </c>
      <c r="AB2522" s="351" t="s">
        <v>276</v>
      </c>
      <c r="AC2522" s="357">
        <v>30</v>
      </c>
      <c r="AD2522" s="351" t="s">
        <v>1759</v>
      </c>
      <c r="AE2522" s="357">
        <v>23</v>
      </c>
      <c r="AF2522" s="351" t="s">
        <v>1759</v>
      </c>
      <c r="AG2522" s="351" t="s">
        <v>6360</v>
      </c>
      <c r="AH2522" s="351" t="s">
        <v>5843</v>
      </c>
      <c r="AI2522" s="355">
        <v>297</v>
      </c>
      <c r="AJ2522" s="355">
        <v>298</v>
      </c>
      <c r="AK2522" s="354">
        <v>28792</v>
      </c>
      <c r="AL2522" s="355">
        <v>28866</v>
      </c>
      <c r="AM2522" s="355" t="s">
        <v>690</v>
      </c>
      <c r="AN2522" s="357" t="s">
        <v>276</v>
      </c>
      <c r="AO2522" s="356">
        <f t="shared" si="667"/>
        <v>10.31536537927202</v>
      </c>
      <c r="AP2522" s="357" t="s">
        <v>276</v>
      </c>
      <c r="AQ2522" s="357" t="s">
        <v>276</v>
      </c>
      <c r="AR2522" s="357" t="s">
        <v>276</v>
      </c>
      <c r="AS2522" s="356">
        <f t="shared" si="668"/>
        <v>10.323564054597103</v>
      </c>
      <c r="AT2522" s="357" t="s">
        <v>276</v>
      </c>
      <c r="AU2522" s="357" t="s">
        <v>276</v>
      </c>
      <c r="AV2522" s="357" t="s">
        <v>268</v>
      </c>
      <c r="AW2522" s="357" t="s">
        <v>276</v>
      </c>
      <c r="AX2522" s="369">
        <f t="shared" si="666"/>
        <v>0.99920582898679922</v>
      </c>
      <c r="AY2522" s="357" t="s">
        <v>276</v>
      </c>
      <c r="AZ2522" s="357" t="s">
        <v>276</v>
      </c>
      <c r="BA2522" s="357" t="s">
        <v>276</v>
      </c>
      <c r="BB2522" s="357" t="s">
        <v>276</v>
      </c>
      <c r="BC2522" s="357" t="s">
        <v>276</v>
      </c>
      <c r="BD2522" s="357" t="s">
        <v>276</v>
      </c>
      <c r="BE2522" s="357" t="s">
        <v>276</v>
      </c>
      <c r="BF2522" s="351" t="s">
        <v>6358</v>
      </c>
      <c r="BG2522" s="9"/>
      <c r="BH2522" s="9" t="s">
        <v>100</v>
      </c>
      <c r="BI2522" s="9" t="s">
        <v>100</v>
      </c>
      <c r="BJ2522" s="32"/>
      <c r="BK2522" s="33"/>
      <c r="BL2522" s="33"/>
      <c r="BM2522" s="33"/>
      <c r="BN2522" s="32"/>
      <c r="BO2522" s="32"/>
      <c r="BP2522" s="33"/>
    </row>
    <row r="2523" spans="1:68" s="6" customFormat="1" ht="78" hidden="1" x14ac:dyDescent="0.35">
      <c r="A2523" s="357">
        <v>10548</v>
      </c>
      <c r="B2523" s="357" t="s">
        <v>5029</v>
      </c>
      <c r="C2523" s="357" t="s">
        <v>88</v>
      </c>
      <c r="D2523" s="351" t="s">
        <v>6384</v>
      </c>
      <c r="E2523" s="357" t="s">
        <v>43</v>
      </c>
      <c r="F2523" s="351" t="s">
        <v>4987</v>
      </c>
      <c r="G2523" s="357" t="s">
        <v>225</v>
      </c>
      <c r="H2523" s="357" t="s">
        <v>125</v>
      </c>
      <c r="I2523" s="357" t="s">
        <v>114</v>
      </c>
      <c r="J2523" s="351" t="s">
        <v>29</v>
      </c>
      <c r="K2523" s="395" t="s">
        <v>1709</v>
      </c>
      <c r="L2523" s="351" t="s">
        <v>6356</v>
      </c>
      <c r="M2523" s="351" t="s">
        <v>5838</v>
      </c>
      <c r="N2523" s="357" t="s">
        <v>276</v>
      </c>
      <c r="O2523" s="357" t="s">
        <v>276</v>
      </c>
      <c r="P2523" s="351" t="s">
        <v>239</v>
      </c>
      <c r="Q2523" s="383" t="s">
        <v>5034</v>
      </c>
      <c r="R2523" s="351" t="s">
        <v>98</v>
      </c>
      <c r="S2523" s="380" t="s">
        <v>5633</v>
      </c>
      <c r="T2523" s="380" t="s">
        <v>5633</v>
      </c>
      <c r="U2523" s="351" t="s">
        <v>276</v>
      </c>
      <c r="V2523" s="357" t="s">
        <v>259</v>
      </c>
      <c r="W2523" s="351" t="s">
        <v>6382</v>
      </c>
      <c r="X2523" s="351" t="s">
        <v>207</v>
      </c>
      <c r="Y2523" s="354">
        <v>28792</v>
      </c>
      <c r="Z2523" s="355">
        <v>28866</v>
      </c>
      <c r="AA2523" s="351" t="s">
        <v>276</v>
      </c>
      <c r="AB2523" s="351" t="s">
        <v>276</v>
      </c>
      <c r="AC2523" s="357">
        <v>30</v>
      </c>
      <c r="AD2523" s="351" t="s">
        <v>1759</v>
      </c>
      <c r="AE2523" s="357">
        <v>23</v>
      </c>
      <c r="AF2523" s="351" t="s">
        <v>1759</v>
      </c>
      <c r="AG2523" s="351" t="s">
        <v>6362</v>
      </c>
      <c r="AH2523" s="351" t="s">
        <v>5843</v>
      </c>
      <c r="AI2523" s="355">
        <v>58</v>
      </c>
      <c r="AJ2523" s="355">
        <v>43</v>
      </c>
      <c r="AK2523" s="354">
        <v>28792</v>
      </c>
      <c r="AL2523" s="355">
        <v>28866</v>
      </c>
      <c r="AM2523" s="355" t="s">
        <v>690</v>
      </c>
      <c r="AN2523" s="357" t="s">
        <v>276</v>
      </c>
      <c r="AO2523" s="356">
        <f t="shared" si="667"/>
        <v>2.0144484579049737</v>
      </c>
      <c r="AP2523" s="357" t="s">
        <v>276</v>
      </c>
      <c r="AQ2523" s="357" t="s">
        <v>276</v>
      </c>
      <c r="AR2523" s="357" t="s">
        <v>276</v>
      </c>
      <c r="AS2523" s="356">
        <f t="shared" si="668"/>
        <v>1.4896417931130048</v>
      </c>
      <c r="AT2523" s="357" t="s">
        <v>276</v>
      </c>
      <c r="AU2523" s="357" t="s">
        <v>276</v>
      </c>
      <c r="AV2523" s="357" t="s">
        <v>268</v>
      </c>
      <c r="AW2523" s="357" t="s">
        <v>276</v>
      </c>
      <c r="AX2523" s="369">
        <f t="shared" si="666"/>
        <v>1.3523039345554646</v>
      </c>
      <c r="AY2523" s="357" t="s">
        <v>276</v>
      </c>
      <c r="AZ2523" s="357" t="s">
        <v>276</v>
      </c>
      <c r="BA2523" s="357" t="s">
        <v>276</v>
      </c>
      <c r="BB2523" s="357" t="s">
        <v>276</v>
      </c>
      <c r="BC2523" s="357" t="s">
        <v>276</v>
      </c>
      <c r="BD2523" s="357" t="s">
        <v>276</v>
      </c>
      <c r="BE2523" s="357" t="s">
        <v>276</v>
      </c>
      <c r="BF2523" s="351" t="s">
        <v>6358</v>
      </c>
      <c r="BG2523" s="9"/>
      <c r="BH2523" s="9" t="s">
        <v>100</v>
      </c>
      <c r="BI2523" s="9" t="s">
        <v>100</v>
      </c>
      <c r="BJ2523" s="32"/>
      <c r="BK2523" s="33"/>
      <c r="BL2523" s="33"/>
      <c r="BM2523" s="33"/>
      <c r="BN2523" s="32"/>
      <c r="BO2523" s="32"/>
      <c r="BP2523" s="33"/>
    </row>
    <row r="2524" spans="1:68" s="6" customFormat="1" ht="65" hidden="1" x14ac:dyDescent="0.35">
      <c r="A2524" s="357">
        <v>10548</v>
      </c>
      <c r="B2524" s="357" t="s">
        <v>5029</v>
      </c>
      <c r="C2524" s="357" t="s">
        <v>88</v>
      </c>
      <c r="D2524" s="351" t="s">
        <v>6385</v>
      </c>
      <c r="E2524" s="357" t="s">
        <v>43</v>
      </c>
      <c r="F2524" s="351" t="s">
        <v>4987</v>
      </c>
      <c r="G2524" s="357" t="s">
        <v>225</v>
      </c>
      <c r="H2524" s="357" t="s">
        <v>125</v>
      </c>
      <c r="I2524" s="357" t="s">
        <v>114</v>
      </c>
      <c r="J2524" s="351" t="s">
        <v>29</v>
      </c>
      <c r="K2524" s="395" t="s">
        <v>1772</v>
      </c>
      <c r="L2524" s="351" t="s">
        <v>6356</v>
      </c>
      <c r="M2524" s="351" t="s">
        <v>5838</v>
      </c>
      <c r="N2524" s="351" t="s">
        <v>5613</v>
      </c>
      <c r="O2524" s="357" t="s">
        <v>276</v>
      </c>
      <c r="P2524" s="351" t="s">
        <v>239</v>
      </c>
      <c r="Q2524" s="383" t="s">
        <v>5034</v>
      </c>
      <c r="R2524" s="351" t="s">
        <v>98</v>
      </c>
      <c r="S2524" s="380" t="s">
        <v>5636</v>
      </c>
      <c r="T2524" s="380" t="s">
        <v>5636</v>
      </c>
      <c r="U2524" s="351" t="s">
        <v>276</v>
      </c>
      <c r="V2524" s="357" t="s">
        <v>259</v>
      </c>
      <c r="W2524" s="351" t="s">
        <v>6386</v>
      </c>
      <c r="X2524" s="351" t="s">
        <v>207</v>
      </c>
      <c r="Y2524" s="354">
        <v>10886</v>
      </c>
      <c r="Z2524" s="355">
        <v>10470</v>
      </c>
      <c r="AA2524" s="351" t="s">
        <v>276</v>
      </c>
      <c r="AB2524" s="351" t="s">
        <v>276</v>
      </c>
      <c r="AC2524" s="357">
        <v>235</v>
      </c>
      <c r="AD2524" s="351" t="s">
        <v>1759</v>
      </c>
      <c r="AE2524" s="357">
        <v>254</v>
      </c>
      <c r="AF2524" s="351" t="s">
        <v>1759</v>
      </c>
      <c r="AG2524" s="351" t="s">
        <v>6357</v>
      </c>
      <c r="AH2524" s="351" t="s">
        <v>5843</v>
      </c>
      <c r="AI2524" s="355">
        <v>123</v>
      </c>
      <c r="AJ2524" s="355">
        <v>87</v>
      </c>
      <c r="AK2524" s="354">
        <v>10886</v>
      </c>
      <c r="AL2524" s="355">
        <v>10470</v>
      </c>
      <c r="AM2524" s="355" t="s">
        <v>690</v>
      </c>
      <c r="AN2524" s="357" t="s">
        <v>276</v>
      </c>
      <c r="AO2524" s="356">
        <f t="shared" si="667"/>
        <v>11.298916038949109</v>
      </c>
      <c r="AP2524" s="357" t="s">
        <v>276</v>
      </c>
      <c r="AQ2524" s="357" t="s">
        <v>276</v>
      </c>
      <c r="AR2524" s="357" t="s">
        <v>276</v>
      </c>
      <c r="AS2524" s="356">
        <f t="shared" si="668"/>
        <v>8.3094555873925504</v>
      </c>
      <c r="AT2524" s="357" t="s">
        <v>276</v>
      </c>
      <c r="AU2524" s="357" t="s">
        <v>276</v>
      </c>
      <c r="AV2524" s="357" t="s">
        <v>268</v>
      </c>
      <c r="AW2524" s="357" t="s">
        <v>276</v>
      </c>
      <c r="AX2524" s="369">
        <f t="shared" si="666"/>
        <v>1.3597661026183583</v>
      </c>
      <c r="AY2524" s="357" t="s">
        <v>276</v>
      </c>
      <c r="AZ2524" s="357" t="s">
        <v>276</v>
      </c>
      <c r="BA2524" s="357" t="s">
        <v>276</v>
      </c>
      <c r="BB2524" s="357" t="s">
        <v>276</v>
      </c>
      <c r="BC2524" s="357" t="s">
        <v>276</v>
      </c>
      <c r="BD2524" s="357" t="s">
        <v>276</v>
      </c>
      <c r="BE2524" s="357" t="s">
        <v>276</v>
      </c>
      <c r="BF2524" s="351" t="s">
        <v>6358</v>
      </c>
      <c r="BG2524" s="9"/>
      <c r="BH2524" s="9" t="s">
        <v>100</v>
      </c>
      <c r="BI2524" s="9" t="s">
        <v>100</v>
      </c>
      <c r="BJ2524" s="32"/>
      <c r="BK2524" s="33"/>
      <c r="BL2524" s="33"/>
      <c r="BM2524" s="33"/>
      <c r="BN2524" s="32"/>
      <c r="BO2524" s="32"/>
      <c r="BP2524" s="33"/>
    </row>
    <row r="2525" spans="1:68" s="6" customFormat="1" ht="65" hidden="1" x14ac:dyDescent="0.35">
      <c r="A2525" s="357">
        <v>10548</v>
      </c>
      <c r="B2525" s="357" t="s">
        <v>5029</v>
      </c>
      <c r="C2525" s="357" t="s">
        <v>88</v>
      </c>
      <c r="D2525" s="351" t="s">
        <v>6387</v>
      </c>
      <c r="E2525" s="357" t="s">
        <v>43</v>
      </c>
      <c r="F2525" s="351" t="s">
        <v>4987</v>
      </c>
      <c r="G2525" s="357" t="s">
        <v>225</v>
      </c>
      <c r="H2525" s="357" t="s">
        <v>125</v>
      </c>
      <c r="I2525" s="357" t="s">
        <v>114</v>
      </c>
      <c r="J2525" s="351" t="s">
        <v>29</v>
      </c>
      <c r="K2525" s="395">
        <v>7</v>
      </c>
      <c r="L2525" s="351" t="s">
        <v>6356</v>
      </c>
      <c r="M2525" s="351" t="s">
        <v>5838</v>
      </c>
      <c r="N2525" s="351" t="s">
        <v>5613</v>
      </c>
      <c r="O2525" s="357" t="s">
        <v>276</v>
      </c>
      <c r="P2525" s="351" t="s">
        <v>239</v>
      </c>
      <c r="Q2525" s="383" t="s">
        <v>5034</v>
      </c>
      <c r="R2525" s="351" t="s">
        <v>98</v>
      </c>
      <c r="S2525" s="380" t="s">
        <v>5636</v>
      </c>
      <c r="T2525" s="380" t="s">
        <v>5636</v>
      </c>
      <c r="U2525" s="351" t="s">
        <v>276</v>
      </c>
      <c r="V2525" s="357" t="s">
        <v>259</v>
      </c>
      <c r="W2525" s="351" t="s">
        <v>6386</v>
      </c>
      <c r="X2525" s="351" t="s">
        <v>207</v>
      </c>
      <c r="Y2525" s="354">
        <v>10886</v>
      </c>
      <c r="Z2525" s="355">
        <v>10470</v>
      </c>
      <c r="AA2525" s="351" t="s">
        <v>276</v>
      </c>
      <c r="AB2525" s="351" t="s">
        <v>276</v>
      </c>
      <c r="AC2525" s="357">
        <v>235</v>
      </c>
      <c r="AD2525" s="351" t="s">
        <v>1759</v>
      </c>
      <c r="AE2525" s="357">
        <v>254</v>
      </c>
      <c r="AF2525" s="351" t="s">
        <v>1759</v>
      </c>
      <c r="AG2525" s="351" t="s">
        <v>6360</v>
      </c>
      <c r="AH2525" s="351" t="s">
        <v>5843</v>
      </c>
      <c r="AI2525" s="355">
        <v>97</v>
      </c>
      <c r="AJ2525" s="355">
        <v>77</v>
      </c>
      <c r="AK2525" s="354">
        <v>10886</v>
      </c>
      <c r="AL2525" s="355">
        <v>10470</v>
      </c>
      <c r="AM2525" s="355" t="s">
        <v>690</v>
      </c>
      <c r="AN2525" s="357" t="s">
        <v>276</v>
      </c>
      <c r="AO2525" s="356">
        <f t="shared" si="667"/>
        <v>8.9105272827484843</v>
      </c>
      <c r="AP2525" s="357" t="s">
        <v>276</v>
      </c>
      <c r="AQ2525" s="357" t="s">
        <v>276</v>
      </c>
      <c r="AR2525" s="357" t="s">
        <v>276</v>
      </c>
      <c r="AS2525" s="356">
        <f t="shared" si="668"/>
        <v>7.3543457497612224</v>
      </c>
      <c r="AT2525" s="357" t="s">
        <v>276</v>
      </c>
      <c r="AU2525" s="357" t="s">
        <v>276</v>
      </c>
      <c r="AV2525" s="357" t="s">
        <v>268</v>
      </c>
      <c r="AW2525" s="357" t="s">
        <v>276</v>
      </c>
      <c r="AX2525" s="369">
        <f t="shared" si="666"/>
        <v>1.2116002681867095</v>
      </c>
      <c r="AY2525" s="357" t="s">
        <v>276</v>
      </c>
      <c r="AZ2525" s="357" t="s">
        <v>276</v>
      </c>
      <c r="BA2525" s="357" t="s">
        <v>276</v>
      </c>
      <c r="BB2525" s="357" t="s">
        <v>276</v>
      </c>
      <c r="BC2525" s="357" t="s">
        <v>276</v>
      </c>
      <c r="BD2525" s="357" t="s">
        <v>276</v>
      </c>
      <c r="BE2525" s="357" t="s">
        <v>276</v>
      </c>
      <c r="BF2525" s="351" t="s">
        <v>6358</v>
      </c>
      <c r="BG2525" s="9"/>
      <c r="BH2525" s="9" t="s">
        <v>100</v>
      </c>
      <c r="BI2525" s="9" t="s">
        <v>100</v>
      </c>
      <c r="BJ2525" s="32"/>
      <c r="BK2525" s="33"/>
      <c r="BL2525" s="33"/>
      <c r="BM2525" s="33"/>
      <c r="BN2525" s="32"/>
      <c r="BO2525" s="32"/>
      <c r="BP2525" s="33"/>
    </row>
    <row r="2526" spans="1:68" s="6" customFormat="1" ht="78" hidden="1" x14ac:dyDescent="0.35">
      <c r="A2526" s="357">
        <v>10548</v>
      </c>
      <c r="B2526" s="357" t="s">
        <v>5029</v>
      </c>
      <c r="C2526" s="357" t="s">
        <v>88</v>
      </c>
      <c r="D2526" s="351" t="s">
        <v>6388</v>
      </c>
      <c r="E2526" s="357" t="s">
        <v>43</v>
      </c>
      <c r="F2526" s="351" t="s">
        <v>4987</v>
      </c>
      <c r="G2526" s="357" t="s">
        <v>225</v>
      </c>
      <c r="H2526" s="357" t="s">
        <v>125</v>
      </c>
      <c r="I2526" s="357" t="s">
        <v>114</v>
      </c>
      <c r="J2526" s="351" t="s">
        <v>29</v>
      </c>
      <c r="K2526" s="395" t="s">
        <v>1709</v>
      </c>
      <c r="L2526" s="351" t="s">
        <v>6356</v>
      </c>
      <c r="M2526" s="351" t="s">
        <v>5838</v>
      </c>
      <c r="N2526" s="351" t="s">
        <v>5613</v>
      </c>
      <c r="O2526" s="357" t="s">
        <v>276</v>
      </c>
      <c r="P2526" s="351" t="s">
        <v>239</v>
      </c>
      <c r="Q2526" s="383" t="s">
        <v>5034</v>
      </c>
      <c r="R2526" s="351" t="s">
        <v>98</v>
      </c>
      <c r="S2526" s="380" t="s">
        <v>5636</v>
      </c>
      <c r="T2526" s="380" t="s">
        <v>5636</v>
      </c>
      <c r="U2526" s="351" t="s">
        <v>276</v>
      </c>
      <c r="V2526" s="357" t="s">
        <v>259</v>
      </c>
      <c r="W2526" s="351" t="s">
        <v>6386</v>
      </c>
      <c r="X2526" s="351" t="s">
        <v>207</v>
      </c>
      <c r="Y2526" s="354">
        <v>10886</v>
      </c>
      <c r="Z2526" s="355">
        <v>10470</v>
      </c>
      <c r="AA2526" s="351" t="s">
        <v>276</v>
      </c>
      <c r="AB2526" s="351" t="s">
        <v>276</v>
      </c>
      <c r="AC2526" s="357">
        <v>235</v>
      </c>
      <c r="AD2526" s="351" t="s">
        <v>1759</v>
      </c>
      <c r="AE2526" s="357">
        <v>254</v>
      </c>
      <c r="AF2526" s="351" t="s">
        <v>1759</v>
      </c>
      <c r="AG2526" s="351" t="s">
        <v>6362</v>
      </c>
      <c r="AH2526" s="351" t="s">
        <v>5843</v>
      </c>
      <c r="AI2526" s="355">
        <v>42</v>
      </c>
      <c r="AJ2526" s="355">
        <v>25</v>
      </c>
      <c r="AK2526" s="354">
        <v>10886</v>
      </c>
      <c r="AL2526" s="355">
        <v>10470</v>
      </c>
      <c r="AM2526" s="355" t="s">
        <v>690</v>
      </c>
      <c r="AN2526" s="357" t="s">
        <v>276</v>
      </c>
      <c r="AO2526" s="356">
        <f t="shared" si="667"/>
        <v>3.8581664523240859</v>
      </c>
      <c r="AP2526" s="357" t="s">
        <v>276</v>
      </c>
      <c r="AQ2526" s="357" t="s">
        <v>276</v>
      </c>
      <c r="AR2526" s="357" t="s">
        <v>276</v>
      </c>
      <c r="AS2526" s="356">
        <f t="shared" si="668"/>
        <v>2.3877745940783188</v>
      </c>
      <c r="AT2526" s="357" t="s">
        <v>276</v>
      </c>
      <c r="AU2526" s="357" t="s">
        <v>276</v>
      </c>
      <c r="AV2526" s="357" t="s">
        <v>268</v>
      </c>
      <c r="AW2526" s="357" t="s">
        <v>276</v>
      </c>
      <c r="AX2526" s="369">
        <f t="shared" si="666"/>
        <v>1.6158001102333273</v>
      </c>
      <c r="AY2526" s="357" t="s">
        <v>276</v>
      </c>
      <c r="AZ2526" s="357" t="s">
        <v>276</v>
      </c>
      <c r="BA2526" s="357" t="s">
        <v>276</v>
      </c>
      <c r="BB2526" s="357" t="s">
        <v>276</v>
      </c>
      <c r="BC2526" s="357" t="s">
        <v>276</v>
      </c>
      <c r="BD2526" s="357" t="s">
        <v>276</v>
      </c>
      <c r="BE2526" s="357" t="s">
        <v>276</v>
      </c>
      <c r="BF2526" s="351" t="s">
        <v>6358</v>
      </c>
      <c r="BG2526" s="9"/>
      <c r="BH2526" s="9" t="s">
        <v>100</v>
      </c>
      <c r="BI2526" s="9" t="s">
        <v>100</v>
      </c>
      <c r="BJ2526" s="32"/>
      <c r="BK2526" s="33"/>
      <c r="BL2526" s="33"/>
      <c r="BM2526" s="33"/>
      <c r="BN2526" s="32"/>
      <c r="BO2526" s="32"/>
      <c r="BP2526" s="33"/>
    </row>
    <row r="2527" spans="1:68" s="6" customFormat="1" ht="78" hidden="1" x14ac:dyDescent="0.35">
      <c r="A2527" s="357">
        <v>10548</v>
      </c>
      <c r="B2527" s="357" t="s">
        <v>5029</v>
      </c>
      <c r="C2527" s="357" t="s">
        <v>88</v>
      </c>
      <c r="D2527" s="351" t="s">
        <v>6389</v>
      </c>
      <c r="E2527" s="357" t="s">
        <v>43</v>
      </c>
      <c r="F2527" s="351" t="s">
        <v>4987</v>
      </c>
      <c r="G2527" s="357" t="s">
        <v>225</v>
      </c>
      <c r="H2527" s="357" t="s">
        <v>125</v>
      </c>
      <c r="I2527" s="357" t="s">
        <v>114</v>
      </c>
      <c r="J2527" s="351" t="s">
        <v>29</v>
      </c>
      <c r="K2527" s="395" t="s">
        <v>1772</v>
      </c>
      <c r="L2527" s="351" t="s">
        <v>6356</v>
      </c>
      <c r="M2527" s="351" t="s">
        <v>5838</v>
      </c>
      <c r="N2527" s="351" t="s">
        <v>5613</v>
      </c>
      <c r="O2527" s="357" t="s">
        <v>276</v>
      </c>
      <c r="P2527" s="351" t="s">
        <v>239</v>
      </c>
      <c r="Q2527" s="383" t="s">
        <v>5034</v>
      </c>
      <c r="R2527" s="351" t="s">
        <v>98</v>
      </c>
      <c r="S2527" s="380" t="s">
        <v>5913</v>
      </c>
      <c r="T2527" s="380" t="s">
        <v>5913</v>
      </c>
      <c r="U2527" s="351" t="s">
        <v>276</v>
      </c>
      <c r="V2527" s="357" t="s">
        <v>15</v>
      </c>
      <c r="W2527" s="351" t="s">
        <v>5640</v>
      </c>
      <c r="X2527" s="351" t="s">
        <v>207</v>
      </c>
      <c r="Y2527" s="354">
        <v>112569</v>
      </c>
      <c r="Z2527" s="355">
        <v>128688</v>
      </c>
      <c r="AA2527" s="351" t="s">
        <v>276</v>
      </c>
      <c r="AB2527" s="351" t="s">
        <v>276</v>
      </c>
      <c r="AC2527" s="357">
        <v>693</v>
      </c>
      <c r="AD2527" s="351" t="s">
        <v>1759</v>
      </c>
      <c r="AE2527" s="357">
        <v>764</v>
      </c>
      <c r="AF2527" s="351" t="s">
        <v>1759</v>
      </c>
      <c r="AG2527" s="351" t="s">
        <v>6357</v>
      </c>
      <c r="AH2527" s="351" t="s">
        <v>5843</v>
      </c>
      <c r="AI2527" s="355">
        <v>5151</v>
      </c>
      <c r="AJ2527" s="355">
        <v>3069</v>
      </c>
      <c r="AK2527" s="354">
        <v>112569</v>
      </c>
      <c r="AL2527" s="355">
        <v>128688</v>
      </c>
      <c r="AM2527" s="355" t="s">
        <v>690</v>
      </c>
      <c r="AN2527" s="357" t="s">
        <v>276</v>
      </c>
      <c r="AO2527" s="356">
        <f>AI2527*1000/AK2527</f>
        <v>45.758601391146762</v>
      </c>
      <c r="AP2527" s="357" t="s">
        <v>276</v>
      </c>
      <c r="AQ2527" s="357" t="s">
        <v>276</v>
      </c>
      <c r="AR2527" s="357" t="s">
        <v>276</v>
      </c>
      <c r="AS2527" s="356">
        <f>AJ2527*1000/AL2527</f>
        <v>23.848377471092874</v>
      </c>
      <c r="AT2527" s="357" t="s">
        <v>276</v>
      </c>
      <c r="AU2527" s="357" t="s">
        <v>276</v>
      </c>
      <c r="AV2527" s="357" t="s">
        <v>268</v>
      </c>
      <c r="AW2527" s="357" t="s">
        <v>276</v>
      </c>
      <c r="AX2527" s="369">
        <f t="shared" si="666"/>
        <v>1.9187301713339509</v>
      </c>
      <c r="AY2527" s="357" t="s">
        <v>276</v>
      </c>
      <c r="AZ2527" s="357" t="s">
        <v>276</v>
      </c>
      <c r="BA2527" s="357" t="s">
        <v>276</v>
      </c>
      <c r="BB2527" s="357" t="s">
        <v>276</v>
      </c>
      <c r="BC2527" s="357" t="s">
        <v>276</v>
      </c>
      <c r="BD2527" s="357" t="s">
        <v>276</v>
      </c>
      <c r="BE2527" s="357" t="s">
        <v>276</v>
      </c>
      <c r="BF2527" s="351" t="s">
        <v>6358</v>
      </c>
      <c r="BG2527" s="9"/>
      <c r="BH2527" s="9" t="s">
        <v>100</v>
      </c>
      <c r="BI2527" s="9" t="s">
        <v>100</v>
      </c>
      <c r="BJ2527" s="32"/>
      <c r="BK2527" s="33"/>
      <c r="BL2527" s="33"/>
      <c r="BM2527" s="33"/>
      <c r="BN2527" s="32"/>
      <c r="BO2527" s="32"/>
      <c r="BP2527" s="33"/>
    </row>
    <row r="2528" spans="1:68" s="6" customFormat="1" ht="65" hidden="1" x14ac:dyDescent="0.35">
      <c r="A2528" s="357">
        <v>10548</v>
      </c>
      <c r="B2528" s="357" t="s">
        <v>5029</v>
      </c>
      <c r="C2528" s="357" t="s">
        <v>88</v>
      </c>
      <c r="D2528" s="351" t="s">
        <v>6390</v>
      </c>
      <c r="E2528" s="357" t="s">
        <v>43</v>
      </c>
      <c r="F2528" s="351" t="s">
        <v>4987</v>
      </c>
      <c r="G2528" s="357" t="s">
        <v>225</v>
      </c>
      <c r="H2528" s="357" t="s">
        <v>125</v>
      </c>
      <c r="I2528" s="357" t="s">
        <v>114</v>
      </c>
      <c r="J2528" s="351" t="s">
        <v>29</v>
      </c>
      <c r="K2528" s="395">
        <v>7</v>
      </c>
      <c r="L2528" s="351" t="s">
        <v>6356</v>
      </c>
      <c r="M2528" s="351" t="s">
        <v>5838</v>
      </c>
      <c r="N2528" s="351" t="s">
        <v>5613</v>
      </c>
      <c r="O2528" s="357" t="s">
        <v>276</v>
      </c>
      <c r="P2528" s="351" t="s">
        <v>239</v>
      </c>
      <c r="Q2528" s="383" t="s">
        <v>5034</v>
      </c>
      <c r="R2528" s="351" t="s">
        <v>98</v>
      </c>
      <c r="S2528" s="380" t="s">
        <v>5913</v>
      </c>
      <c r="T2528" s="380" t="s">
        <v>5913</v>
      </c>
      <c r="U2528" s="351" t="s">
        <v>276</v>
      </c>
      <c r="V2528" s="357" t="s">
        <v>15</v>
      </c>
      <c r="W2528" s="351" t="s">
        <v>5640</v>
      </c>
      <c r="X2528" s="351" t="s">
        <v>207</v>
      </c>
      <c r="Y2528" s="354">
        <v>112569</v>
      </c>
      <c r="Z2528" s="355">
        <v>128688</v>
      </c>
      <c r="AA2528" s="351" t="s">
        <v>276</v>
      </c>
      <c r="AB2528" s="351" t="s">
        <v>276</v>
      </c>
      <c r="AC2528" s="357">
        <v>693</v>
      </c>
      <c r="AD2528" s="351" t="s">
        <v>1759</v>
      </c>
      <c r="AE2528" s="357">
        <v>764</v>
      </c>
      <c r="AF2528" s="351" t="s">
        <v>1759</v>
      </c>
      <c r="AG2528" s="351" t="s">
        <v>6360</v>
      </c>
      <c r="AH2528" s="351" t="s">
        <v>5843</v>
      </c>
      <c r="AI2528" s="355">
        <v>1827</v>
      </c>
      <c r="AJ2528" s="355">
        <v>1863</v>
      </c>
      <c r="AK2528" s="354">
        <v>112569</v>
      </c>
      <c r="AL2528" s="355">
        <v>128688</v>
      </c>
      <c r="AM2528" s="355" t="s">
        <v>690</v>
      </c>
      <c r="AN2528" s="357" t="s">
        <v>276</v>
      </c>
      <c r="AO2528" s="356">
        <f t="shared" ref="AO2528:AO2529" si="669">AI2528*1000/AK2528</f>
        <v>16.230045572049143</v>
      </c>
      <c r="AP2528" s="357" t="s">
        <v>276</v>
      </c>
      <c r="AQ2528" s="357" t="s">
        <v>276</v>
      </c>
      <c r="AR2528" s="357" t="s">
        <v>276</v>
      </c>
      <c r="AS2528" s="356">
        <f t="shared" ref="AS2528:AS2529" si="670">AJ2528*1000/AL2528</f>
        <v>14.476874300634092</v>
      </c>
      <c r="AT2528" s="357" t="s">
        <v>276</v>
      </c>
      <c r="AU2528" s="357" t="s">
        <v>276</v>
      </c>
      <c r="AV2528" s="357" t="s">
        <v>268</v>
      </c>
      <c r="AW2528" s="357" t="s">
        <v>276</v>
      </c>
      <c r="AX2528" s="369">
        <f t="shared" si="666"/>
        <v>1.1211015054084057</v>
      </c>
      <c r="AY2528" s="357" t="s">
        <v>276</v>
      </c>
      <c r="AZ2528" s="357" t="s">
        <v>276</v>
      </c>
      <c r="BA2528" s="357" t="s">
        <v>276</v>
      </c>
      <c r="BB2528" s="357" t="s">
        <v>276</v>
      </c>
      <c r="BC2528" s="357" t="s">
        <v>276</v>
      </c>
      <c r="BD2528" s="357" t="s">
        <v>276</v>
      </c>
      <c r="BE2528" s="357" t="s">
        <v>276</v>
      </c>
      <c r="BF2528" s="351" t="s">
        <v>6358</v>
      </c>
      <c r="BG2528" s="9"/>
      <c r="BH2528" s="9" t="s">
        <v>100</v>
      </c>
      <c r="BI2528" s="9" t="s">
        <v>100</v>
      </c>
      <c r="BJ2528" s="32"/>
      <c r="BK2528" s="33"/>
      <c r="BL2528" s="33"/>
      <c r="BM2528" s="33"/>
      <c r="BN2528" s="32"/>
      <c r="BO2528" s="32"/>
      <c r="BP2528" s="33"/>
    </row>
    <row r="2529" spans="1:68" s="6" customFormat="1" ht="78" hidden="1" x14ac:dyDescent="0.35">
      <c r="A2529" s="357">
        <v>10548</v>
      </c>
      <c r="B2529" s="357" t="s">
        <v>5029</v>
      </c>
      <c r="C2529" s="357" t="s">
        <v>88</v>
      </c>
      <c r="D2529" s="351" t="s">
        <v>6391</v>
      </c>
      <c r="E2529" s="357" t="s">
        <v>43</v>
      </c>
      <c r="F2529" s="351" t="s">
        <v>4987</v>
      </c>
      <c r="G2529" s="357" t="s">
        <v>225</v>
      </c>
      <c r="H2529" s="357" t="s">
        <v>125</v>
      </c>
      <c r="I2529" s="357" t="s">
        <v>114</v>
      </c>
      <c r="J2529" s="351" t="s">
        <v>29</v>
      </c>
      <c r="K2529" s="395" t="s">
        <v>1709</v>
      </c>
      <c r="L2529" s="351" t="s">
        <v>6356</v>
      </c>
      <c r="M2529" s="351" t="s">
        <v>5838</v>
      </c>
      <c r="N2529" s="351" t="s">
        <v>5613</v>
      </c>
      <c r="O2529" s="357" t="s">
        <v>276</v>
      </c>
      <c r="P2529" s="351" t="s">
        <v>239</v>
      </c>
      <c r="Q2529" s="383" t="s">
        <v>5034</v>
      </c>
      <c r="R2529" s="351" t="s">
        <v>98</v>
      </c>
      <c r="S2529" s="380" t="s">
        <v>5913</v>
      </c>
      <c r="T2529" s="380" t="s">
        <v>5913</v>
      </c>
      <c r="U2529" s="351" t="s">
        <v>276</v>
      </c>
      <c r="V2529" s="357" t="s">
        <v>15</v>
      </c>
      <c r="W2529" s="351" t="s">
        <v>5640</v>
      </c>
      <c r="X2529" s="351" t="s">
        <v>207</v>
      </c>
      <c r="Y2529" s="354">
        <v>112569</v>
      </c>
      <c r="Z2529" s="355">
        <v>128688</v>
      </c>
      <c r="AA2529" s="351" t="s">
        <v>276</v>
      </c>
      <c r="AB2529" s="351" t="s">
        <v>276</v>
      </c>
      <c r="AC2529" s="357">
        <v>693</v>
      </c>
      <c r="AD2529" s="351" t="s">
        <v>1759</v>
      </c>
      <c r="AE2529" s="357">
        <v>764</v>
      </c>
      <c r="AF2529" s="351" t="s">
        <v>1759</v>
      </c>
      <c r="AG2529" s="351" t="s">
        <v>6362</v>
      </c>
      <c r="AH2529" s="351" t="s">
        <v>5843</v>
      </c>
      <c r="AI2529" s="355">
        <v>674</v>
      </c>
      <c r="AJ2529" s="355">
        <v>925</v>
      </c>
      <c r="AK2529" s="354">
        <v>112569</v>
      </c>
      <c r="AL2529" s="355">
        <v>128688</v>
      </c>
      <c r="AM2529" s="355" t="s">
        <v>690</v>
      </c>
      <c r="AN2529" s="357" t="s">
        <v>276</v>
      </c>
      <c r="AO2529" s="356">
        <f t="shared" si="669"/>
        <v>5.9874388153043911</v>
      </c>
      <c r="AP2529" s="357" t="s">
        <v>276</v>
      </c>
      <c r="AQ2529" s="357" t="s">
        <v>276</v>
      </c>
      <c r="AR2529" s="357" t="s">
        <v>276</v>
      </c>
      <c r="AS2529" s="356">
        <f t="shared" si="670"/>
        <v>7.1879273902772596</v>
      </c>
      <c r="AT2529" s="357" t="s">
        <v>276</v>
      </c>
      <c r="AU2529" s="357" t="s">
        <v>276</v>
      </c>
      <c r="AV2529" s="357" t="s">
        <v>268</v>
      </c>
      <c r="AW2529" s="357" t="s">
        <v>276</v>
      </c>
      <c r="AX2529" s="369">
        <f t="shared" si="666"/>
        <v>0.83298543379880163</v>
      </c>
      <c r="AY2529" s="357" t="s">
        <v>276</v>
      </c>
      <c r="AZ2529" s="357" t="s">
        <v>276</v>
      </c>
      <c r="BA2529" s="357" t="s">
        <v>276</v>
      </c>
      <c r="BB2529" s="357" t="s">
        <v>276</v>
      </c>
      <c r="BC2529" s="357" t="s">
        <v>276</v>
      </c>
      <c r="BD2529" s="357" t="s">
        <v>276</v>
      </c>
      <c r="BE2529" s="357" t="s">
        <v>276</v>
      </c>
      <c r="BF2529" s="351" t="s">
        <v>6358</v>
      </c>
      <c r="BG2529" s="9"/>
      <c r="BH2529" s="9" t="s">
        <v>100</v>
      </c>
      <c r="BI2529" s="9" t="s">
        <v>100</v>
      </c>
      <c r="BJ2529" s="32"/>
      <c r="BK2529" s="33"/>
      <c r="BL2529" s="33"/>
      <c r="BM2529" s="33"/>
      <c r="BN2529" s="32"/>
      <c r="BO2529" s="32"/>
      <c r="BP2529" s="33"/>
    </row>
    <row r="2530" spans="1:68" s="374" customFormat="1" ht="78" hidden="1" x14ac:dyDescent="0.35">
      <c r="A2530" s="357">
        <v>10548</v>
      </c>
      <c r="B2530" s="357" t="s">
        <v>5029</v>
      </c>
      <c r="C2530" s="357" t="s">
        <v>88</v>
      </c>
      <c r="D2530" s="351" t="s">
        <v>6392</v>
      </c>
      <c r="E2530" s="357" t="s">
        <v>43</v>
      </c>
      <c r="F2530" s="351" t="s">
        <v>4987</v>
      </c>
      <c r="G2530" s="357" t="s">
        <v>225</v>
      </c>
      <c r="H2530" s="357" t="s">
        <v>125</v>
      </c>
      <c r="I2530" s="357" t="s">
        <v>114</v>
      </c>
      <c r="J2530" s="351" t="s">
        <v>29</v>
      </c>
      <c r="K2530" s="395" t="s">
        <v>1772</v>
      </c>
      <c r="L2530" s="351" t="s">
        <v>6356</v>
      </c>
      <c r="M2530" s="351" t="s">
        <v>5838</v>
      </c>
      <c r="N2530" s="351" t="s">
        <v>5613</v>
      </c>
      <c r="O2530" s="357" t="s">
        <v>276</v>
      </c>
      <c r="P2530" s="351" t="s">
        <v>239</v>
      </c>
      <c r="Q2530" s="383" t="s">
        <v>5034</v>
      </c>
      <c r="R2530" s="351" t="s">
        <v>98</v>
      </c>
      <c r="S2530" s="380" t="s">
        <v>5619</v>
      </c>
      <c r="T2530" s="380" t="s">
        <v>5619</v>
      </c>
      <c r="U2530" s="351" t="s">
        <v>276</v>
      </c>
      <c r="V2530" s="357" t="s">
        <v>259</v>
      </c>
      <c r="W2530" s="351" t="s">
        <v>5033</v>
      </c>
      <c r="X2530" s="351" t="s">
        <v>207</v>
      </c>
      <c r="Y2530" s="354">
        <v>72891</v>
      </c>
      <c r="Z2530" s="355">
        <v>89352</v>
      </c>
      <c r="AA2530" s="351" t="s">
        <v>276</v>
      </c>
      <c r="AB2530" s="351" t="s">
        <v>276</v>
      </c>
      <c r="AC2530" s="357">
        <v>428</v>
      </c>
      <c r="AD2530" s="351" t="s">
        <v>1759</v>
      </c>
      <c r="AE2530" s="357">
        <v>487</v>
      </c>
      <c r="AF2530" s="351" t="s">
        <v>1759</v>
      </c>
      <c r="AG2530" s="351" t="s">
        <v>6357</v>
      </c>
      <c r="AH2530" s="351" t="s">
        <v>5843</v>
      </c>
      <c r="AI2530" s="355">
        <v>4528</v>
      </c>
      <c r="AJ2530" s="355">
        <v>2564</v>
      </c>
      <c r="AK2530" s="354">
        <v>72891</v>
      </c>
      <c r="AL2530" s="355">
        <v>89352</v>
      </c>
      <c r="AM2530" s="355" t="s">
        <v>690</v>
      </c>
      <c r="AN2530" s="357" t="s">
        <v>276</v>
      </c>
      <c r="AO2530" s="356">
        <f>AI2530*1000/AK2530</f>
        <v>62.120152007792456</v>
      </c>
      <c r="AP2530" s="357" t="s">
        <v>276</v>
      </c>
      <c r="AQ2530" s="357" t="s">
        <v>276</v>
      </c>
      <c r="AR2530" s="357" t="s">
        <v>276</v>
      </c>
      <c r="AS2530" s="356">
        <f>AJ2530*1000/AL2530</f>
        <v>28.695496463425552</v>
      </c>
      <c r="AT2530" s="357" t="s">
        <v>276</v>
      </c>
      <c r="AU2530" s="357" t="s">
        <v>276</v>
      </c>
      <c r="AV2530" s="357" t="s">
        <v>268</v>
      </c>
      <c r="AW2530" s="357" t="s">
        <v>276</v>
      </c>
      <c r="AX2530" s="799">
        <f t="shared" si="666"/>
        <v>2.1648049228550201</v>
      </c>
      <c r="AY2530" s="357" t="s">
        <v>276</v>
      </c>
      <c r="AZ2530" s="357" t="s">
        <v>276</v>
      </c>
      <c r="BA2530" s="357" t="s">
        <v>276</v>
      </c>
      <c r="BB2530" s="357" t="s">
        <v>276</v>
      </c>
      <c r="BC2530" s="357" t="s">
        <v>276</v>
      </c>
      <c r="BD2530" s="357" t="s">
        <v>276</v>
      </c>
      <c r="BE2530" s="357" t="s">
        <v>276</v>
      </c>
      <c r="BF2530" s="351" t="s">
        <v>6358</v>
      </c>
      <c r="BG2530" s="351"/>
      <c r="BH2530" s="9" t="s">
        <v>100</v>
      </c>
      <c r="BI2530" s="9" t="s">
        <v>100</v>
      </c>
      <c r="BJ2530" s="373"/>
      <c r="BN2530" s="373"/>
      <c r="BO2530" s="373"/>
    </row>
    <row r="2531" spans="1:68" s="374" customFormat="1" ht="65" hidden="1" x14ac:dyDescent="0.35">
      <c r="A2531" s="357">
        <v>10548</v>
      </c>
      <c r="B2531" s="357" t="s">
        <v>5029</v>
      </c>
      <c r="C2531" s="357" t="s">
        <v>88</v>
      </c>
      <c r="D2531" s="351" t="s">
        <v>6393</v>
      </c>
      <c r="E2531" s="357" t="s">
        <v>43</v>
      </c>
      <c r="F2531" s="351" t="s">
        <v>4987</v>
      </c>
      <c r="G2531" s="357" t="s">
        <v>225</v>
      </c>
      <c r="H2531" s="357" t="s">
        <v>125</v>
      </c>
      <c r="I2531" s="357" t="s">
        <v>114</v>
      </c>
      <c r="J2531" s="351" t="s">
        <v>29</v>
      </c>
      <c r="K2531" s="395">
        <v>7</v>
      </c>
      <c r="L2531" s="351" t="s">
        <v>6356</v>
      </c>
      <c r="M2531" s="351" t="s">
        <v>5838</v>
      </c>
      <c r="N2531" s="351" t="s">
        <v>5613</v>
      </c>
      <c r="O2531" s="357" t="s">
        <v>276</v>
      </c>
      <c r="P2531" s="351" t="s">
        <v>239</v>
      </c>
      <c r="Q2531" s="383" t="s">
        <v>5034</v>
      </c>
      <c r="R2531" s="351" t="s">
        <v>98</v>
      </c>
      <c r="S2531" s="380" t="s">
        <v>5619</v>
      </c>
      <c r="T2531" s="380" t="s">
        <v>5619</v>
      </c>
      <c r="U2531" s="351" t="s">
        <v>276</v>
      </c>
      <c r="V2531" s="357" t="s">
        <v>259</v>
      </c>
      <c r="W2531" s="351" t="s">
        <v>5033</v>
      </c>
      <c r="X2531" s="351" t="s">
        <v>207</v>
      </c>
      <c r="Y2531" s="354">
        <v>72891</v>
      </c>
      <c r="Z2531" s="355">
        <v>89352</v>
      </c>
      <c r="AA2531" s="351" t="s">
        <v>276</v>
      </c>
      <c r="AB2531" s="351" t="s">
        <v>276</v>
      </c>
      <c r="AC2531" s="357">
        <v>428</v>
      </c>
      <c r="AD2531" s="351" t="s">
        <v>1759</v>
      </c>
      <c r="AE2531" s="357">
        <v>487</v>
      </c>
      <c r="AF2531" s="351" t="s">
        <v>1759</v>
      </c>
      <c r="AG2531" s="351" t="s">
        <v>6360</v>
      </c>
      <c r="AH2531" s="351" t="s">
        <v>5843</v>
      </c>
      <c r="AI2531" s="355">
        <v>1433</v>
      </c>
      <c r="AJ2531" s="355">
        <v>1488</v>
      </c>
      <c r="AK2531" s="354">
        <v>72891</v>
      </c>
      <c r="AL2531" s="355">
        <v>89352</v>
      </c>
      <c r="AM2531" s="355" t="s">
        <v>690</v>
      </c>
      <c r="AN2531" s="357" t="s">
        <v>276</v>
      </c>
      <c r="AO2531" s="356">
        <f t="shared" ref="AO2531" si="671">AI2531*1000/AK2531</f>
        <v>19.659491569603929</v>
      </c>
      <c r="AP2531" s="357" t="s">
        <v>276</v>
      </c>
      <c r="AQ2531" s="357" t="s">
        <v>276</v>
      </c>
      <c r="AR2531" s="357" t="s">
        <v>276</v>
      </c>
      <c r="AS2531" s="356">
        <f t="shared" ref="AS2531" si="672">AJ2531*1000/AL2531</f>
        <v>16.653236637120603</v>
      </c>
      <c r="AT2531" s="357" t="s">
        <v>276</v>
      </c>
      <c r="AU2531" s="357" t="s">
        <v>276</v>
      </c>
      <c r="AV2531" s="357" t="s">
        <v>268</v>
      </c>
      <c r="AW2531" s="357" t="s">
        <v>276</v>
      </c>
      <c r="AX2531" s="369">
        <f t="shared" ref="AX2531" si="673">AO2531/AS2531</f>
        <v>1.1805207598973455</v>
      </c>
      <c r="AY2531" s="357" t="s">
        <v>276</v>
      </c>
      <c r="AZ2531" s="357" t="s">
        <v>276</v>
      </c>
      <c r="BA2531" s="357" t="s">
        <v>276</v>
      </c>
      <c r="BB2531" s="357" t="s">
        <v>276</v>
      </c>
      <c r="BC2531" s="357" t="s">
        <v>276</v>
      </c>
      <c r="BD2531" s="357" t="s">
        <v>276</v>
      </c>
      <c r="BE2531" s="357" t="s">
        <v>276</v>
      </c>
      <c r="BF2531" s="351" t="s">
        <v>6358</v>
      </c>
      <c r="BG2531" s="351"/>
      <c r="BH2531" s="9" t="s">
        <v>100</v>
      </c>
      <c r="BI2531" s="9" t="s">
        <v>100</v>
      </c>
      <c r="BJ2531" s="373"/>
      <c r="BN2531" s="373"/>
      <c r="BO2531" s="373"/>
    </row>
    <row r="2532" spans="1:68" s="374" customFormat="1" ht="78" hidden="1" x14ac:dyDescent="0.35">
      <c r="A2532" s="357">
        <v>10548</v>
      </c>
      <c r="B2532" s="357" t="s">
        <v>5029</v>
      </c>
      <c r="C2532" s="357" t="s">
        <v>88</v>
      </c>
      <c r="D2532" s="351" t="s">
        <v>11700</v>
      </c>
      <c r="E2532" s="357" t="s">
        <v>43</v>
      </c>
      <c r="F2532" s="351" t="s">
        <v>4987</v>
      </c>
      <c r="G2532" s="357" t="s">
        <v>225</v>
      </c>
      <c r="H2532" s="357" t="s">
        <v>125</v>
      </c>
      <c r="I2532" s="357" t="s">
        <v>114</v>
      </c>
      <c r="J2532" s="351" t="s">
        <v>29</v>
      </c>
      <c r="K2532" s="395" t="s">
        <v>11701</v>
      </c>
      <c r="L2532" s="351" t="s">
        <v>6356</v>
      </c>
      <c r="M2532" s="351" t="s">
        <v>5838</v>
      </c>
      <c r="N2532" s="351" t="s">
        <v>5613</v>
      </c>
      <c r="O2532" s="357" t="s">
        <v>276</v>
      </c>
      <c r="P2532" s="351" t="s">
        <v>239</v>
      </c>
      <c r="Q2532" s="383" t="s">
        <v>5034</v>
      </c>
      <c r="R2532" s="351" t="s">
        <v>98</v>
      </c>
      <c r="S2532" s="380" t="s">
        <v>5619</v>
      </c>
      <c r="T2532" s="380" t="s">
        <v>5619</v>
      </c>
      <c r="U2532" s="351" t="s">
        <v>276</v>
      </c>
      <c r="V2532" s="357" t="s">
        <v>259</v>
      </c>
      <c r="W2532" s="351" t="s">
        <v>5033</v>
      </c>
      <c r="X2532" s="351" t="s">
        <v>207</v>
      </c>
      <c r="Y2532" s="354">
        <v>72891</v>
      </c>
      <c r="Z2532" s="355">
        <v>89352</v>
      </c>
      <c r="AA2532" s="351" t="s">
        <v>276</v>
      </c>
      <c r="AB2532" s="351" t="s">
        <v>276</v>
      </c>
      <c r="AC2532" s="357">
        <v>428</v>
      </c>
      <c r="AD2532" s="351" t="s">
        <v>1759</v>
      </c>
      <c r="AE2532" s="357">
        <v>487</v>
      </c>
      <c r="AF2532" s="351" t="s">
        <v>1759</v>
      </c>
      <c r="AG2532" s="351" t="s">
        <v>11702</v>
      </c>
      <c r="AH2532" s="351" t="s">
        <v>5843</v>
      </c>
      <c r="AI2532" s="355">
        <f>AI2531+AI2530</f>
        <v>5961</v>
      </c>
      <c r="AJ2532" s="355">
        <f>+AJ2531+AJ2530</f>
        <v>4052</v>
      </c>
      <c r="AK2532" s="354">
        <v>72891</v>
      </c>
      <c r="AL2532" s="355">
        <v>89352</v>
      </c>
      <c r="AM2532" s="355" t="s">
        <v>690</v>
      </c>
      <c r="AN2532" s="357" t="s">
        <v>276</v>
      </c>
      <c r="AO2532" s="356">
        <f t="shared" ref="AO2532:AO2533" si="674">AI2532*1000/AK2532</f>
        <v>81.779643577396385</v>
      </c>
      <c r="AP2532" s="357" t="s">
        <v>276</v>
      </c>
      <c r="AQ2532" s="357" t="s">
        <v>276</v>
      </c>
      <c r="AR2532" s="357" t="s">
        <v>276</v>
      </c>
      <c r="AS2532" s="356">
        <f t="shared" ref="AS2532:AS2533" si="675">AJ2532*1000/AL2532</f>
        <v>45.348733100546156</v>
      </c>
      <c r="AT2532" s="357" t="s">
        <v>276</v>
      </c>
      <c r="AU2532" s="357" t="s">
        <v>276</v>
      </c>
      <c r="AV2532" s="357" t="s">
        <v>268</v>
      </c>
      <c r="AW2532" s="357" t="s">
        <v>276</v>
      </c>
      <c r="AX2532" s="369">
        <f t="shared" si="666"/>
        <v>1.803350126586259</v>
      </c>
      <c r="AY2532" s="357" t="s">
        <v>276</v>
      </c>
      <c r="AZ2532" s="357" t="s">
        <v>276</v>
      </c>
      <c r="BA2532" s="357" t="s">
        <v>276</v>
      </c>
      <c r="BB2532" s="357" t="s">
        <v>276</v>
      </c>
      <c r="BC2532" s="357" t="s">
        <v>276</v>
      </c>
      <c r="BD2532" s="357" t="s">
        <v>276</v>
      </c>
      <c r="BE2532" s="357" t="s">
        <v>276</v>
      </c>
      <c r="BF2532" s="351" t="s">
        <v>6358</v>
      </c>
      <c r="BG2532" s="351"/>
      <c r="BH2532" s="9" t="s">
        <v>100</v>
      </c>
      <c r="BI2532" s="9" t="s">
        <v>100</v>
      </c>
      <c r="BJ2532" s="373"/>
      <c r="BN2532" s="373"/>
      <c r="BO2532" s="373"/>
    </row>
    <row r="2533" spans="1:68" s="374" customFormat="1" ht="78" hidden="1" x14ac:dyDescent="0.35">
      <c r="A2533" s="357">
        <v>10548</v>
      </c>
      <c r="B2533" s="357" t="s">
        <v>5029</v>
      </c>
      <c r="C2533" s="357" t="s">
        <v>88</v>
      </c>
      <c r="D2533" s="351" t="s">
        <v>6394</v>
      </c>
      <c r="E2533" s="357" t="s">
        <v>43</v>
      </c>
      <c r="F2533" s="351" t="s">
        <v>4987</v>
      </c>
      <c r="G2533" s="357" t="s">
        <v>225</v>
      </c>
      <c r="H2533" s="357" t="s">
        <v>125</v>
      </c>
      <c r="I2533" s="357" t="s">
        <v>114</v>
      </c>
      <c r="J2533" s="351" t="s">
        <v>29</v>
      </c>
      <c r="K2533" s="395" t="s">
        <v>1709</v>
      </c>
      <c r="L2533" s="351" t="s">
        <v>6356</v>
      </c>
      <c r="M2533" s="351" t="s">
        <v>5838</v>
      </c>
      <c r="N2533" s="351" t="s">
        <v>5613</v>
      </c>
      <c r="O2533" s="357" t="s">
        <v>276</v>
      </c>
      <c r="P2533" s="351" t="s">
        <v>239</v>
      </c>
      <c r="Q2533" s="383" t="s">
        <v>5034</v>
      </c>
      <c r="R2533" s="351" t="s">
        <v>98</v>
      </c>
      <c r="S2533" s="380" t="s">
        <v>5619</v>
      </c>
      <c r="T2533" s="380" t="s">
        <v>5619</v>
      </c>
      <c r="U2533" s="351" t="s">
        <v>276</v>
      </c>
      <c r="V2533" s="357" t="s">
        <v>259</v>
      </c>
      <c r="W2533" s="351" t="s">
        <v>5033</v>
      </c>
      <c r="X2533" s="351" t="s">
        <v>207</v>
      </c>
      <c r="Y2533" s="354">
        <v>72891</v>
      </c>
      <c r="Z2533" s="355">
        <v>89352</v>
      </c>
      <c r="AA2533" s="351" t="s">
        <v>276</v>
      </c>
      <c r="AB2533" s="351" t="s">
        <v>276</v>
      </c>
      <c r="AC2533" s="357">
        <v>428</v>
      </c>
      <c r="AD2533" s="351" t="s">
        <v>1759</v>
      </c>
      <c r="AE2533" s="357">
        <v>487</v>
      </c>
      <c r="AF2533" s="351" t="s">
        <v>1759</v>
      </c>
      <c r="AG2533" s="351" t="s">
        <v>6362</v>
      </c>
      <c r="AH2533" s="351" t="s">
        <v>5843</v>
      </c>
      <c r="AI2533" s="355">
        <v>574</v>
      </c>
      <c r="AJ2533" s="355">
        <v>857</v>
      </c>
      <c r="AK2533" s="354">
        <v>72891</v>
      </c>
      <c r="AL2533" s="355">
        <v>89352</v>
      </c>
      <c r="AM2533" s="355" t="s">
        <v>690</v>
      </c>
      <c r="AN2533" s="357" t="s">
        <v>276</v>
      </c>
      <c r="AO2533" s="356">
        <f t="shared" si="674"/>
        <v>7.87477191971574</v>
      </c>
      <c r="AP2533" s="357" t="s">
        <v>276</v>
      </c>
      <c r="AQ2533" s="357" t="s">
        <v>276</v>
      </c>
      <c r="AR2533" s="357" t="s">
        <v>276</v>
      </c>
      <c r="AS2533" s="356">
        <f t="shared" si="675"/>
        <v>9.5912794341480883</v>
      </c>
      <c r="AT2533" s="357" t="s">
        <v>276</v>
      </c>
      <c r="AU2533" s="357" t="s">
        <v>276</v>
      </c>
      <c r="AV2533" s="357" t="s">
        <v>268</v>
      </c>
      <c r="AW2533" s="357" t="s">
        <v>276</v>
      </c>
      <c r="AX2533" s="369">
        <f t="shared" si="666"/>
        <v>0.8210345630926964</v>
      </c>
      <c r="AY2533" s="357" t="s">
        <v>276</v>
      </c>
      <c r="AZ2533" s="357" t="s">
        <v>276</v>
      </c>
      <c r="BA2533" s="357" t="s">
        <v>276</v>
      </c>
      <c r="BB2533" s="357" t="s">
        <v>276</v>
      </c>
      <c r="BC2533" s="357" t="s">
        <v>276</v>
      </c>
      <c r="BD2533" s="357" t="s">
        <v>276</v>
      </c>
      <c r="BE2533" s="357" t="s">
        <v>276</v>
      </c>
      <c r="BF2533" s="351" t="s">
        <v>6358</v>
      </c>
      <c r="BG2533" s="351"/>
      <c r="BH2533" s="9" t="s">
        <v>100</v>
      </c>
      <c r="BI2533" s="9" t="s">
        <v>100</v>
      </c>
      <c r="BJ2533" s="373"/>
      <c r="BN2533" s="373"/>
      <c r="BO2533" s="373"/>
    </row>
    <row r="2534" spans="1:68" s="6" customFormat="1" ht="78" hidden="1" x14ac:dyDescent="0.35">
      <c r="A2534" s="357">
        <v>10432</v>
      </c>
      <c r="B2534" s="347" t="s">
        <v>5984</v>
      </c>
      <c r="C2534" s="347" t="s">
        <v>88</v>
      </c>
      <c r="D2534" s="351" t="s">
        <v>11477</v>
      </c>
      <c r="E2534" s="357" t="s">
        <v>43</v>
      </c>
      <c r="F2534" s="351" t="s">
        <v>4987</v>
      </c>
      <c r="G2534" s="357" t="s">
        <v>225</v>
      </c>
      <c r="H2534" s="357" t="s">
        <v>125</v>
      </c>
      <c r="I2534" s="357" t="s">
        <v>114</v>
      </c>
      <c r="J2534" s="351" t="s">
        <v>29</v>
      </c>
      <c r="K2534" s="357" t="s">
        <v>6395</v>
      </c>
      <c r="L2534" s="351" t="s">
        <v>6396</v>
      </c>
      <c r="M2534" s="351" t="s">
        <v>5838</v>
      </c>
      <c r="N2534" s="351" t="s">
        <v>5987</v>
      </c>
      <c r="O2534" s="351" t="s">
        <v>5988</v>
      </c>
      <c r="P2534" s="351" t="s">
        <v>239</v>
      </c>
      <c r="Q2534" s="383" t="s">
        <v>5989</v>
      </c>
      <c r="R2534" s="351" t="s">
        <v>276</v>
      </c>
      <c r="S2534" s="357" t="s">
        <v>276</v>
      </c>
      <c r="T2534" s="357" t="s">
        <v>276</v>
      </c>
      <c r="U2534" s="357">
        <v>3</v>
      </c>
      <c r="V2534" s="357" t="s">
        <v>261</v>
      </c>
      <c r="W2534" s="351" t="s">
        <v>5153</v>
      </c>
      <c r="X2534" s="351" t="s">
        <v>207</v>
      </c>
      <c r="Y2534" s="354">
        <v>21210</v>
      </c>
      <c r="Z2534" s="351">
        <v>21166</v>
      </c>
      <c r="AA2534" s="392" t="s">
        <v>276</v>
      </c>
      <c r="AB2534" s="392" t="s">
        <v>276</v>
      </c>
      <c r="AC2534" s="357">
        <v>5</v>
      </c>
      <c r="AD2534" s="351" t="s">
        <v>6397</v>
      </c>
      <c r="AE2534" s="357">
        <f>45+54</f>
        <v>99</v>
      </c>
      <c r="AF2534" s="351" t="s">
        <v>6398</v>
      </c>
      <c r="AG2534" s="351" t="s">
        <v>11478</v>
      </c>
      <c r="AH2534" s="351" t="s">
        <v>5993</v>
      </c>
      <c r="AI2534" s="34">
        <v>1111</v>
      </c>
      <c r="AJ2534" s="34">
        <v>153</v>
      </c>
      <c r="AK2534" s="354">
        <v>21210</v>
      </c>
      <c r="AL2534" s="351">
        <v>21166</v>
      </c>
      <c r="AM2534" s="38" t="s">
        <v>292</v>
      </c>
      <c r="AN2534" s="357" t="s">
        <v>276</v>
      </c>
      <c r="AO2534" s="356">
        <f>AI2534*100/AK2534</f>
        <v>5.2380952380952381</v>
      </c>
      <c r="AP2534" s="357" t="s">
        <v>276</v>
      </c>
      <c r="AQ2534" s="357" t="s">
        <v>276</v>
      </c>
      <c r="AR2534" s="357" t="s">
        <v>276</v>
      </c>
      <c r="AS2534" s="356">
        <f>AJ2534*100/AL2534</f>
        <v>0.72285741283190019</v>
      </c>
      <c r="AT2534" s="357" t="s">
        <v>276</v>
      </c>
      <c r="AU2534" s="357" t="s">
        <v>276</v>
      </c>
      <c r="AV2534" s="357" t="s">
        <v>268</v>
      </c>
      <c r="AW2534" s="357" t="s">
        <v>276</v>
      </c>
      <c r="AX2534" s="356">
        <f t="shared" si="666"/>
        <v>7.2463741051976349</v>
      </c>
      <c r="AY2534" s="357" t="s">
        <v>276</v>
      </c>
      <c r="AZ2534" s="357" t="s">
        <v>276</v>
      </c>
      <c r="BA2534" s="357" t="s">
        <v>276</v>
      </c>
      <c r="BB2534" s="357" t="s">
        <v>276</v>
      </c>
      <c r="BC2534" s="357" t="s">
        <v>276</v>
      </c>
      <c r="BD2534" s="357" t="s">
        <v>276</v>
      </c>
      <c r="BE2534" s="357" t="s">
        <v>276</v>
      </c>
      <c r="BF2534" s="351" t="s">
        <v>1358</v>
      </c>
      <c r="BG2534" s="9"/>
      <c r="BH2534" s="9" t="s">
        <v>100</v>
      </c>
      <c r="BI2534" s="9" t="s">
        <v>100</v>
      </c>
      <c r="BJ2534" s="32"/>
      <c r="BK2534" s="33"/>
      <c r="BL2534" s="33"/>
      <c r="BM2534" s="33"/>
      <c r="BN2534" s="32"/>
      <c r="BO2534" s="32"/>
      <c r="BP2534" s="33"/>
    </row>
    <row r="2535" spans="1:68" s="6" customFormat="1" ht="78" hidden="1" x14ac:dyDescent="0.35">
      <c r="A2535" s="357">
        <v>10432</v>
      </c>
      <c r="B2535" s="347" t="s">
        <v>5984</v>
      </c>
      <c r="C2535" s="347" t="s">
        <v>88</v>
      </c>
      <c r="D2535" s="351" t="s">
        <v>11479</v>
      </c>
      <c r="E2535" s="357" t="s">
        <v>43</v>
      </c>
      <c r="F2535" s="351" t="s">
        <v>4987</v>
      </c>
      <c r="G2535" s="357" t="s">
        <v>225</v>
      </c>
      <c r="H2535" s="357" t="s">
        <v>125</v>
      </c>
      <c r="I2535" s="357" t="s">
        <v>114</v>
      </c>
      <c r="J2535" s="351" t="s">
        <v>29</v>
      </c>
      <c r="K2535" s="357">
        <f>7</f>
        <v>7</v>
      </c>
      <c r="L2535" s="351" t="s">
        <v>6396</v>
      </c>
      <c r="M2535" s="351" t="s">
        <v>5838</v>
      </c>
      <c r="N2535" s="351" t="s">
        <v>5987</v>
      </c>
      <c r="O2535" s="351" t="s">
        <v>5988</v>
      </c>
      <c r="P2535" s="351" t="s">
        <v>239</v>
      </c>
      <c r="Q2535" s="383" t="s">
        <v>5989</v>
      </c>
      <c r="R2535" s="351" t="s">
        <v>276</v>
      </c>
      <c r="S2535" s="357" t="s">
        <v>276</v>
      </c>
      <c r="T2535" s="357" t="s">
        <v>276</v>
      </c>
      <c r="U2535" s="357">
        <v>3</v>
      </c>
      <c r="V2535" s="357" t="s">
        <v>261</v>
      </c>
      <c r="W2535" s="351" t="s">
        <v>5153</v>
      </c>
      <c r="X2535" s="351" t="s">
        <v>207</v>
      </c>
      <c r="Y2535" s="354">
        <v>21210</v>
      </c>
      <c r="Z2535" s="351">
        <v>21166</v>
      </c>
      <c r="AA2535" s="392" t="s">
        <v>276</v>
      </c>
      <c r="AB2535" s="392" t="s">
        <v>276</v>
      </c>
      <c r="AC2535" s="357">
        <v>5</v>
      </c>
      <c r="AD2535" s="351" t="s">
        <v>1710</v>
      </c>
      <c r="AE2535" s="357">
        <f t="shared" ref="AE2535:AE2537" si="676">45+54</f>
        <v>99</v>
      </c>
      <c r="AF2535" s="351" t="s">
        <v>6398</v>
      </c>
      <c r="AG2535" s="351" t="s">
        <v>11480</v>
      </c>
      <c r="AH2535" s="351" t="s">
        <v>5993</v>
      </c>
      <c r="AI2535" s="34">
        <v>378</v>
      </c>
      <c r="AJ2535" s="34">
        <v>126</v>
      </c>
      <c r="AK2535" s="354">
        <v>21210</v>
      </c>
      <c r="AL2535" s="351">
        <v>21166</v>
      </c>
      <c r="AM2535" s="38" t="s">
        <v>292</v>
      </c>
      <c r="AN2535" s="357" t="s">
        <v>276</v>
      </c>
      <c r="AO2535" s="356">
        <f t="shared" ref="AO2535:AO2537" si="677">AI2535*100/AK2535</f>
        <v>1.7821782178217822</v>
      </c>
      <c r="AP2535" s="357" t="s">
        <v>276</v>
      </c>
      <c r="AQ2535" s="357" t="s">
        <v>276</v>
      </c>
      <c r="AR2535" s="357" t="s">
        <v>276</v>
      </c>
      <c r="AS2535" s="356">
        <f t="shared" ref="AS2535:AS2537" si="678">AJ2535*100/AL2535</f>
        <v>0.59529433997921199</v>
      </c>
      <c r="AT2535" s="357" t="s">
        <v>276</v>
      </c>
      <c r="AU2535" s="357" t="s">
        <v>276</v>
      </c>
      <c r="AV2535" s="357" t="s">
        <v>268</v>
      </c>
      <c r="AW2535" s="357" t="s">
        <v>276</v>
      </c>
      <c r="AX2535" s="356">
        <f t="shared" si="666"/>
        <v>2.9937765205091935</v>
      </c>
      <c r="AY2535" s="357" t="s">
        <v>276</v>
      </c>
      <c r="AZ2535" s="357" t="s">
        <v>276</v>
      </c>
      <c r="BA2535" s="357" t="s">
        <v>276</v>
      </c>
      <c r="BB2535" s="357" t="s">
        <v>276</v>
      </c>
      <c r="BC2535" s="357" t="s">
        <v>276</v>
      </c>
      <c r="BD2535" s="357" t="s">
        <v>276</v>
      </c>
      <c r="BE2535" s="357" t="s">
        <v>276</v>
      </c>
      <c r="BF2535" s="351" t="s">
        <v>1358</v>
      </c>
      <c r="BG2535" s="9"/>
      <c r="BH2535" s="9" t="s">
        <v>100</v>
      </c>
      <c r="BI2535" s="9" t="s">
        <v>100</v>
      </c>
      <c r="BJ2535" s="32"/>
      <c r="BK2535" s="33"/>
      <c r="BL2535" s="33"/>
      <c r="BM2535" s="33"/>
      <c r="BN2535" s="32"/>
      <c r="BO2535" s="32"/>
      <c r="BP2535" s="33"/>
    </row>
    <row r="2536" spans="1:68" s="6" customFormat="1" ht="78" hidden="1" x14ac:dyDescent="0.35">
      <c r="A2536" s="357">
        <v>10432</v>
      </c>
      <c r="B2536" s="347" t="s">
        <v>5984</v>
      </c>
      <c r="C2536" s="347" t="s">
        <v>88</v>
      </c>
      <c r="D2536" s="351" t="s">
        <v>11481</v>
      </c>
      <c r="E2536" s="357" t="s">
        <v>43</v>
      </c>
      <c r="F2536" s="351" t="s">
        <v>4987</v>
      </c>
      <c r="G2536" s="357" t="s">
        <v>225</v>
      </c>
      <c r="H2536" s="357" t="s">
        <v>125</v>
      </c>
      <c r="I2536" s="357" t="s">
        <v>114</v>
      </c>
      <c r="J2536" s="351" t="s">
        <v>29</v>
      </c>
      <c r="K2536" s="395" t="s">
        <v>1709</v>
      </c>
      <c r="L2536" s="351" t="s">
        <v>6396</v>
      </c>
      <c r="M2536" s="351" t="s">
        <v>5838</v>
      </c>
      <c r="N2536" s="351" t="s">
        <v>5987</v>
      </c>
      <c r="O2536" s="351" t="s">
        <v>5988</v>
      </c>
      <c r="P2536" s="351" t="s">
        <v>239</v>
      </c>
      <c r="Q2536" s="383" t="s">
        <v>5989</v>
      </c>
      <c r="R2536" s="351" t="s">
        <v>276</v>
      </c>
      <c r="S2536" s="357" t="s">
        <v>276</v>
      </c>
      <c r="T2536" s="357" t="s">
        <v>276</v>
      </c>
      <c r="U2536" s="357">
        <v>3</v>
      </c>
      <c r="V2536" s="357" t="s">
        <v>261</v>
      </c>
      <c r="W2536" s="351" t="s">
        <v>5153</v>
      </c>
      <c r="X2536" s="351" t="s">
        <v>207</v>
      </c>
      <c r="Y2536" s="354">
        <v>21210</v>
      </c>
      <c r="Z2536" s="351">
        <v>21166</v>
      </c>
      <c r="AA2536" s="392" t="s">
        <v>276</v>
      </c>
      <c r="AB2536" s="392" t="s">
        <v>276</v>
      </c>
      <c r="AC2536" s="357">
        <v>5</v>
      </c>
      <c r="AD2536" s="351" t="s">
        <v>1710</v>
      </c>
      <c r="AE2536" s="357">
        <f t="shared" si="676"/>
        <v>99</v>
      </c>
      <c r="AF2536" s="351" t="s">
        <v>6398</v>
      </c>
      <c r="AG2536" s="351" t="s">
        <v>11482</v>
      </c>
      <c r="AH2536" s="351" t="s">
        <v>5993</v>
      </c>
      <c r="AI2536" s="34">
        <v>102</v>
      </c>
      <c r="AJ2536" s="34">
        <v>93</v>
      </c>
      <c r="AK2536" s="354">
        <v>21210</v>
      </c>
      <c r="AL2536" s="351">
        <v>21166</v>
      </c>
      <c r="AM2536" s="38" t="s">
        <v>292</v>
      </c>
      <c r="AN2536" s="357" t="s">
        <v>276</v>
      </c>
      <c r="AO2536" s="356">
        <f t="shared" si="677"/>
        <v>0.48090523338048091</v>
      </c>
      <c r="AP2536" s="357" t="s">
        <v>276</v>
      </c>
      <c r="AQ2536" s="357" t="s">
        <v>276</v>
      </c>
      <c r="AR2536" s="357" t="s">
        <v>276</v>
      </c>
      <c r="AS2536" s="356">
        <f t="shared" si="678"/>
        <v>0.43938391760370404</v>
      </c>
      <c r="AT2536" s="357" t="s">
        <v>276</v>
      </c>
      <c r="AU2536" s="357" t="s">
        <v>276</v>
      </c>
      <c r="AV2536" s="357" t="s">
        <v>268</v>
      </c>
      <c r="AW2536" s="357" t="s">
        <v>276</v>
      </c>
      <c r="AX2536" s="356">
        <f t="shared" si="666"/>
        <v>1.0944989429818559</v>
      </c>
      <c r="AY2536" s="357" t="s">
        <v>276</v>
      </c>
      <c r="AZ2536" s="357" t="s">
        <v>276</v>
      </c>
      <c r="BA2536" s="357" t="s">
        <v>276</v>
      </c>
      <c r="BB2536" s="357" t="s">
        <v>276</v>
      </c>
      <c r="BC2536" s="357" t="s">
        <v>276</v>
      </c>
      <c r="BD2536" s="357" t="s">
        <v>276</v>
      </c>
      <c r="BE2536" s="357" t="s">
        <v>276</v>
      </c>
      <c r="BF2536" s="351" t="s">
        <v>1358</v>
      </c>
      <c r="BG2536" s="9"/>
      <c r="BH2536" s="9" t="s">
        <v>100</v>
      </c>
      <c r="BI2536" s="9" t="s">
        <v>100</v>
      </c>
      <c r="BJ2536" s="32"/>
      <c r="BK2536" s="33"/>
      <c r="BL2536" s="33"/>
      <c r="BM2536" s="33"/>
      <c r="BN2536" s="32"/>
      <c r="BO2536" s="32"/>
      <c r="BP2536" s="33"/>
    </row>
    <row r="2537" spans="1:68" s="374" customFormat="1" ht="78" hidden="1" x14ac:dyDescent="0.35">
      <c r="A2537" s="357">
        <v>10432</v>
      </c>
      <c r="B2537" s="357" t="s">
        <v>5984</v>
      </c>
      <c r="C2537" s="357" t="s">
        <v>88</v>
      </c>
      <c r="D2537" s="351" t="s">
        <v>11483</v>
      </c>
      <c r="E2537" s="357" t="s">
        <v>43</v>
      </c>
      <c r="F2537" s="351" t="s">
        <v>4987</v>
      </c>
      <c r="G2537" s="357" t="s">
        <v>225</v>
      </c>
      <c r="H2537" s="357" t="s">
        <v>125</v>
      </c>
      <c r="I2537" s="357" t="s">
        <v>114</v>
      </c>
      <c r="J2537" s="351" t="s">
        <v>29</v>
      </c>
      <c r="K2537" s="395" t="s">
        <v>1237</v>
      </c>
      <c r="L2537" s="351" t="s">
        <v>6396</v>
      </c>
      <c r="M2537" s="351" t="s">
        <v>5838</v>
      </c>
      <c r="N2537" s="351" t="s">
        <v>5987</v>
      </c>
      <c r="O2537" s="351" t="s">
        <v>5988</v>
      </c>
      <c r="P2537" s="351" t="s">
        <v>235</v>
      </c>
      <c r="Q2537" s="383" t="s">
        <v>5989</v>
      </c>
      <c r="R2537" s="351" t="s">
        <v>276</v>
      </c>
      <c r="S2537" s="357" t="s">
        <v>276</v>
      </c>
      <c r="T2537" s="357" t="s">
        <v>276</v>
      </c>
      <c r="U2537" s="357">
        <v>3</v>
      </c>
      <c r="V2537" s="357" t="s">
        <v>261</v>
      </c>
      <c r="W2537" s="351" t="s">
        <v>5153</v>
      </c>
      <c r="X2537" s="351" t="s">
        <v>207</v>
      </c>
      <c r="Y2537" s="354" t="s">
        <v>98</v>
      </c>
      <c r="Z2537" s="351" t="s">
        <v>98</v>
      </c>
      <c r="AA2537" s="392" t="s">
        <v>276</v>
      </c>
      <c r="AB2537" s="392" t="s">
        <v>276</v>
      </c>
      <c r="AC2537" s="357">
        <v>5</v>
      </c>
      <c r="AD2537" s="351" t="s">
        <v>1710</v>
      </c>
      <c r="AE2537" s="357">
        <f t="shared" si="676"/>
        <v>99</v>
      </c>
      <c r="AF2537" s="351" t="s">
        <v>6398</v>
      </c>
      <c r="AG2537" s="351" t="s">
        <v>6399</v>
      </c>
      <c r="AH2537" s="351" t="s">
        <v>6400</v>
      </c>
      <c r="AI2537" s="355">
        <f>102+378</f>
        <v>480</v>
      </c>
      <c r="AJ2537" s="355">
        <f>93+126</f>
        <v>219</v>
      </c>
      <c r="AK2537" s="354">
        <v>1596</v>
      </c>
      <c r="AL2537" s="351">
        <v>464</v>
      </c>
      <c r="AM2537" s="355" t="s">
        <v>292</v>
      </c>
      <c r="AN2537" s="357" t="s">
        <v>276</v>
      </c>
      <c r="AO2537" s="356">
        <f t="shared" si="677"/>
        <v>30.075187969924812</v>
      </c>
      <c r="AP2537" s="357" t="s">
        <v>276</v>
      </c>
      <c r="AQ2537" s="357" t="s">
        <v>276</v>
      </c>
      <c r="AR2537" s="357" t="s">
        <v>276</v>
      </c>
      <c r="AS2537" s="356">
        <f t="shared" si="678"/>
        <v>47.198275862068968</v>
      </c>
      <c r="AT2537" s="357" t="s">
        <v>276</v>
      </c>
      <c r="AU2537" s="357" t="s">
        <v>276</v>
      </c>
      <c r="AV2537" s="357" t="s">
        <v>268</v>
      </c>
      <c r="AW2537" s="357" t="s">
        <v>276</v>
      </c>
      <c r="AX2537" s="356">
        <f t="shared" si="666"/>
        <v>0.63720946201119233</v>
      </c>
      <c r="AY2537" s="357" t="s">
        <v>276</v>
      </c>
      <c r="AZ2537" s="357" t="s">
        <v>276</v>
      </c>
      <c r="BA2537" s="357" t="s">
        <v>276</v>
      </c>
      <c r="BB2537" s="357" t="s">
        <v>276</v>
      </c>
      <c r="BC2537" s="357" t="s">
        <v>276</v>
      </c>
      <c r="BD2537" s="357" t="s">
        <v>276</v>
      </c>
      <c r="BE2537" s="357" t="s">
        <v>276</v>
      </c>
      <c r="BF2537" s="351" t="s">
        <v>1358</v>
      </c>
      <c r="BG2537" s="351"/>
      <c r="BH2537" s="9" t="s">
        <v>100</v>
      </c>
      <c r="BI2537" s="9" t="s">
        <v>100</v>
      </c>
      <c r="BJ2537" s="373"/>
      <c r="BN2537" s="373"/>
      <c r="BO2537" s="373"/>
    </row>
    <row r="2538" spans="1:68" s="6" customFormat="1" ht="78" hidden="1" x14ac:dyDescent="0.35">
      <c r="A2538" s="357">
        <v>10483</v>
      </c>
      <c r="B2538" s="357" t="s">
        <v>6006</v>
      </c>
      <c r="C2538" s="357" t="s">
        <v>88</v>
      </c>
      <c r="D2538" s="351" t="s">
        <v>11484</v>
      </c>
      <c r="E2538" s="357" t="s">
        <v>43</v>
      </c>
      <c r="F2538" s="351" t="s">
        <v>4987</v>
      </c>
      <c r="G2538" s="357" t="s">
        <v>225</v>
      </c>
      <c r="H2538" s="357" t="s">
        <v>125</v>
      </c>
      <c r="I2538" s="357" t="s">
        <v>114</v>
      </c>
      <c r="J2538" s="351" t="s">
        <v>29</v>
      </c>
      <c r="K2538" s="357" t="s">
        <v>6401</v>
      </c>
      <c r="L2538" s="351" t="s">
        <v>6356</v>
      </c>
      <c r="M2538" s="351" t="s">
        <v>5838</v>
      </c>
      <c r="N2538" s="351" t="s">
        <v>5385</v>
      </c>
      <c r="O2538" s="351" t="s">
        <v>276</v>
      </c>
      <c r="P2538" s="351" t="s">
        <v>239</v>
      </c>
      <c r="Q2538" s="397" t="s">
        <v>5201</v>
      </c>
      <c r="R2538" s="351" t="s">
        <v>98</v>
      </c>
      <c r="S2538" s="806" t="s">
        <v>5387</v>
      </c>
      <c r="T2538" s="806"/>
      <c r="U2538" s="351">
        <v>4</v>
      </c>
      <c r="V2538" s="357" t="s">
        <v>259</v>
      </c>
      <c r="W2538" s="351" t="s">
        <v>5386</v>
      </c>
      <c r="X2538" s="351" t="s">
        <v>207</v>
      </c>
      <c r="Y2538" s="354">
        <v>20985</v>
      </c>
      <c r="Z2538" s="354">
        <v>20917</v>
      </c>
      <c r="AA2538" s="351" t="s">
        <v>276</v>
      </c>
      <c r="AB2538" s="351" t="s">
        <v>276</v>
      </c>
      <c r="AC2538" s="357">
        <v>160</v>
      </c>
      <c r="AD2538" s="351" t="s">
        <v>1710</v>
      </c>
      <c r="AE2538" s="357">
        <v>58</v>
      </c>
      <c r="AF2538" s="351" t="s">
        <v>1710</v>
      </c>
      <c r="AG2538" s="351" t="s">
        <v>11485</v>
      </c>
      <c r="AH2538" s="351" t="s">
        <v>5993</v>
      </c>
      <c r="AI2538" s="355">
        <v>1770</v>
      </c>
      <c r="AJ2538" s="34">
        <v>674</v>
      </c>
      <c r="AK2538" s="354">
        <v>20985</v>
      </c>
      <c r="AL2538" s="351">
        <v>20917</v>
      </c>
      <c r="AM2538" s="355" t="s">
        <v>690</v>
      </c>
      <c r="AN2538" s="357" t="s">
        <v>276</v>
      </c>
      <c r="AO2538" s="356">
        <f>(AI2538/AK2538)*1000</f>
        <v>84.345961401000721</v>
      </c>
      <c r="AP2538" s="357" t="s">
        <v>276</v>
      </c>
      <c r="AQ2538" s="357" t="s">
        <v>276</v>
      </c>
      <c r="AR2538" s="357" t="s">
        <v>276</v>
      </c>
      <c r="AS2538" s="356">
        <f>(AJ2538/AL2538)*1000</f>
        <v>32.222594062246024</v>
      </c>
      <c r="AT2538" s="357" t="s">
        <v>276</v>
      </c>
      <c r="AU2538" s="357" t="s">
        <v>276</v>
      </c>
      <c r="AV2538" s="357" t="s">
        <v>268</v>
      </c>
      <c r="AW2538" s="357" t="s">
        <v>276</v>
      </c>
      <c r="AX2538" s="356">
        <f t="shared" si="666"/>
        <v>2.6176030780782371</v>
      </c>
      <c r="AY2538" s="357" t="s">
        <v>276</v>
      </c>
      <c r="AZ2538" s="357" t="s">
        <v>276</v>
      </c>
      <c r="BA2538" s="357" t="s">
        <v>276</v>
      </c>
      <c r="BB2538" s="357" t="s">
        <v>282</v>
      </c>
      <c r="BC2538" s="357" t="s">
        <v>98</v>
      </c>
      <c r="BD2538" s="357" t="s">
        <v>98</v>
      </c>
      <c r="BE2538" s="357" t="s">
        <v>98</v>
      </c>
      <c r="BF2538" s="351" t="s">
        <v>298</v>
      </c>
      <c r="BG2538" s="9"/>
      <c r="BH2538" s="9" t="s">
        <v>100</v>
      </c>
      <c r="BI2538" s="9" t="s">
        <v>100</v>
      </c>
      <c r="BJ2538" s="32"/>
      <c r="BK2538" s="33"/>
      <c r="BL2538" s="33"/>
      <c r="BM2538" s="33"/>
      <c r="BN2538" s="32"/>
      <c r="BO2538" s="32"/>
      <c r="BP2538" s="33"/>
    </row>
    <row r="2539" spans="1:68" s="6" customFormat="1" ht="78" hidden="1" x14ac:dyDescent="0.35">
      <c r="A2539" s="357">
        <v>10483</v>
      </c>
      <c r="B2539" s="357" t="s">
        <v>6006</v>
      </c>
      <c r="C2539" s="357" t="s">
        <v>88</v>
      </c>
      <c r="D2539" s="351" t="s">
        <v>11486</v>
      </c>
      <c r="E2539" s="357" t="s">
        <v>43</v>
      </c>
      <c r="F2539" s="351" t="s">
        <v>4987</v>
      </c>
      <c r="G2539" s="357" t="s">
        <v>225</v>
      </c>
      <c r="H2539" s="357" t="s">
        <v>125</v>
      </c>
      <c r="I2539" s="357" t="s">
        <v>114</v>
      </c>
      <c r="J2539" s="351" t="s">
        <v>29</v>
      </c>
      <c r="K2539" s="357" t="s">
        <v>6402</v>
      </c>
      <c r="L2539" s="351" t="s">
        <v>6356</v>
      </c>
      <c r="M2539" s="351" t="s">
        <v>5838</v>
      </c>
      <c r="N2539" s="351" t="s">
        <v>5385</v>
      </c>
      <c r="O2539" s="351" t="s">
        <v>276</v>
      </c>
      <c r="P2539" s="351" t="s">
        <v>239</v>
      </c>
      <c r="Q2539" s="397" t="s">
        <v>5201</v>
      </c>
      <c r="R2539" s="351" t="s">
        <v>98</v>
      </c>
      <c r="S2539" s="806" t="s">
        <v>5387</v>
      </c>
      <c r="T2539" s="806"/>
      <c r="U2539" s="351">
        <v>4</v>
      </c>
      <c r="V2539" s="357" t="s">
        <v>259</v>
      </c>
      <c r="W2539" s="351" t="s">
        <v>5386</v>
      </c>
      <c r="X2539" s="351" t="s">
        <v>207</v>
      </c>
      <c r="Y2539" s="354">
        <v>20985</v>
      </c>
      <c r="Z2539" s="354">
        <v>20917</v>
      </c>
      <c r="AA2539" s="351" t="s">
        <v>276</v>
      </c>
      <c r="AB2539" s="351" t="s">
        <v>276</v>
      </c>
      <c r="AC2539" s="357">
        <v>160</v>
      </c>
      <c r="AD2539" s="351" t="s">
        <v>1710</v>
      </c>
      <c r="AE2539" s="357">
        <v>58</v>
      </c>
      <c r="AF2539" s="351" t="s">
        <v>1710</v>
      </c>
      <c r="AG2539" s="351" t="s">
        <v>11487</v>
      </c>
      <c r="AH2539" s="351" t="s">
        <v>5993</v>
      </c>
      <c r="AI2539" s="355">
        <v>468</v>
      </c>
      <c r="AJ2539" s="34">
        <v>297</v>
      </c>
      <c r="AK2539" s="354">
        <v>20985</v>
      </c>
      <c r="AL2539" s="351">
        <v>20917</v>
      </c>
      <c r="AM2539" s="355" t="s">
        <v>690</v>
      </c>
      <c r="AN2539" s="357" t="s">
        <v>276</v>
      </c>
      <c r="AO2539" s="356">
        <f t="shared" ref="AO2539:AO2540" si="679">(AI2539/AK2539)*1000</f>
        <v>22.301644031451037</v>
      </c>
      <c r="AP2539" s="357" t="s">
        <v>276</v>
      </c>
      <c r="AQ2539" s="357" t="s">
        <v>276</v>
      </c>
      <c r="AR2539" s="357" t="s">
        <v>276</v>
      </c>
      <c r="AS2539" s="356">
        <f t="shared" ref="AS2539:AS2541" si="680">(AJ2539/AL2539)*1000</f>
        <v>14.198976908734522</v>
      </c>
      <c r="AT2539" s="357" t="s">
        <v>276</v>
      </c>
      <c r="AU2539" s="357" t="s">
        <v>276</v>
      </c>
      <c r="AV2539" s="357" t="s">
        <v>268</v>
      </c>
      <c r="AW2539" s="357" t="s">
        <v>276</v>
      </c>
      <c r="AX2539" s="356">
        <f t="shared" si="666"/>
        <v>1.5706514754406105</v>
      </c>
      <c r="AY2539" s="357" t="s">
        <v>276</v>
      </c>
      <c r="AZ2539" s="357" t="s">
        <v>276</v>
      </c>
      <c r="BA2539" s="357" t="s">
        <v>276</v>
      </c>
      <c r="BB2539" s="357" t="s">
        <v>282</v>
      </c>
      <c r="BC2539" s="357" t="s">
        <v>98</v>
      </c>
      <c r="BD2539" s="357" t="s">
        <v>98</v>
      </c>
      <c r="BE2539" s="357" t="s">
        <v>98</v>
      </c>
      <c r="BF2539" s="351" t="s">
        <v>298</v>
      </c>
      <c r="BG2539" s="9"/>
      <c r="BH2539" s="9" t="s">
        <v>100</v>
      </c>
      <c r="BI2539" s="9" t="s">
        <v>100</v>
      </c>
      <c r="BJ2539" s="32"/>
      <c r="BK2539" s="33"/>
      <c r="BL2539" s="33"/>
      <c r="BM2539" s="33"/>
      <c r="BN2539" s="32"/>
      <c r="BO2539" s="32"/>
      <c r="BP2539" s="33"/>
    </row>
    <row r="2540" spans="1:68" s="6" customFormat="1" ht="78" hidden="1" x14ac:dyDescent="0.35">
      <c r="A2540" s="357">
        <v>10483</v>
      </c>
      <c r="B2540" s="357" t="s">
        <v>6006</v>
      </c>
      <c r="C2540" s="357" t="s">
        <v>88</v>
      </c>
      <c r="D2540" s="351" t="s">
        <v>11488</v>
      </c>
      <c r="E2540" s="357" t="s">
        <v>43</v>
      </c>
      <c r="F2540" s="351" t="s">
        <v>4987</v>
      </c>
      <c r="G2540" s="357" t="s">
        <v>225</v>
      </c>
      <c r="H2540" s="357" t="s">
        <v>125</v>
      </c>
      <c r="I2540" s="357" t="s">
        <v>114</v>
      </c>
      <c r="J2540" s="351" t="s">
        <v>29</v>
      </c>
      <c r="K2540" s="357" t="s">
        <v>6403</v>
      </c>
      <c r="L2540" s="351" t="s">
        <v>6356</v>
      </c>
      <c r="M2540" s="351" t="s">
        <v>5838</v>
      </c>
      <c r="N2540" s="351" t="s">
        <v>5385</v>
      </c>
      <c r="O2540" s="351" t="s">
        <v>276</v>
      </c>
      <c r="P2540" s="351" t="s">
        <v>239</v>
      </c>
      <c r="Q2540" s="397" t="s">
        <v>5201</v>
      </c>
      <c r="R2540" s="351" t="s">
        <v>98</v>
      </c>
      <c r="S2540" s="806" t="s">
        <v>5387</v>
      </c>
      <c r="T2540" s="806"/>
      <c r="U2540" s="351">
        <v>4</v>
      </c>
      <c r="V2540" s="357" t="s">
        <v>259</v>
      </c>
      <c r="W2540" s="351" t="s">
        <v>5386</v>
      </c>
      <c r="X2540" s="351" t="s">
        <v>207</v>
      </c>
      <c r="Y2540" s="354">
        <v>20985</v>
      </c>
      <c r="Z2540" s="354">
        <v>20917</v>
      </c>
      <c r="AA2540" s="351" t="s">
        <v>276</v>
      </c>
      <c r="AB2540" s="351" t="s">
        <v>276</v>
      </c>
      <c r="AC2540" s="357">
        <v>160</v>
      </c>
      <c r="AD2540" s="351" t="s">
        <v>1710</v>
      </c>
      <c r="AE2540" s="357">
        <v>58</v>
      </c>
      <c r="AF2540" s="351" t="s">
        <v>1710</v>
      </c>
      <c r="AG2540" s="351" t="s">
        <v>11489</v>
      </c>
      <c r="AH2540" s="351" t="s">
        <v>5993</v>
      </c>
      <c r="AI2540" s="355">
        <v>71</v>
      </c>
      <c r="AJ2540" s="34">
        <v>116</v>
      </c>
      <c r="AK2540" s="354">
        <v>20985</v>
      </c>
      <c r="AL2540" s="351">
        <v>20917</v>
      </c>
      <c r="AM2540" s="355" t="s">
        <v>690</v>
      </c>
      <c r="AN2540" s="357" t="s">
        <v>276</v>
      </c>
      <c r="AO2540" s="356">
        <f t="shared" si="679"/>
        <v>3.3833690731474859</v>
      </c>
      <c r="AP2540" s="357" t="s">
        <v>276</v>
      </c>
      <c r="AQ2540" s="357" t="s">
        <v>276</v>
      </c>
      <c r="AR2540" s="357" t="s">
        <v>276</v>
      </c>
      <c r="AS2540" s="356">
        <f t="shared" si="680"/>
        <v>5.5457283549266148</v>
      </c>
      <c r="AT2540" s="357" t="s">
        <v>276</v>
      </c>
      <c r="AU2540" s="357" t="s">
        <v>276</v>
      </c>
      <c r="AV2540" s="357" t="s">
        <v>268</v>
      </c>
      <c r="AW2540" s="357" t="s">
        <v>276</v>
      </c>
      <c r="AX2540" s="356">
        <f t="shared" si="666"/>
        <v>0.61008561123298244</v>
      </c>
      <c r="AY2540" s="357" t="s">
        <v>276</v>
      </c>
      <c r="AZ2540" s="357" t="s">
        <v>276</v>
      </c>
      <c r="BA2540" s="357" t="s">
        <v>276</v>
      </c>
      <c r="BB2540" s="357" t="s">
        <v>282</v>
      </c>
      <c r="BC2540" s="357" t="s">
        <v>98</v>
      </c>
      <c r="BD2540" s="357" t="s">
        <v>98</v>
      </c>
      <c r="BE2540" s="357" t="s">
        <v>98</v>
      </c>
      <c r="BF2540" s="351" t="s">
        <v>298</v>
      </c>
      <c r="BG2540" s="9"/>
      <c r="BH2540" s="9" t="s">
        <v>100</v>
      </c>
      <c r="BI2540" s="9" t="s">
        <v>100</v>
      </c>
      <c r="BJ2540" s="32"/>
      <c r="BK2540" s="33"/>
      <c r="BL2540" s="33"/>
      <c r="BM2540" s="33"/>
      <c r="BN2540" s="32"/>
      <c r="BO2540" s="32"/>
      <c r="BP2540" s="33"/>
    </row>
    <row r="2541" spans="1:68" s="6" customFormat="1" ht="78" hidden="1" x14ac:dyDescent="0.35">
      <c r="A2541" s="357">
        <v>10483</v>
      </c>
      <c r="B2541" s="357" t="s">
        <v>6006</v>
      </c>
      <c r="C2541" s="357" t="s">
        <v>88</v>
      </c>
      <c r="D2541" s="351" t="s">
        <v>11490</v>
      </c>
      <c r="E2541" s="357" t="s">
        <v>43</v>
      </c>
      <c r="F2541" s="351" t="s">
        <v>4987</v>
      </c>
      <c r="G2541" s="357" t="s">
        <v>225</v>
      </c>
      <c r="H2541" s="357" t="s">
        <v>125</v>
      </c>
      <c r="I2541" s="357" t="s">
        <v>114</v>
      </c>
      <c r="J2541" s="351" t="s">
        <v>29</v>
      </c>
      <c r="K2541" s="395" t="s">
        <v>1709</v>
      </c>
      <c r="L2541" s="351" t="s">
        <v>6356</v>
      </c>
      <c r="M2541" s="351" t="s">
        <v>5838</v>
      </c>
      <c r="N2541" s="351" t="s">
        <v>5385</v>
      </c>
      <c r="O2541" s="351" t="s">
        <v>276</v>
      </c>
      <c r="P2541" s="351" t="s">
        <v>239</v>
      </c>
      <c r="Q2541" s="397" t="s">
        <v>5201</v>
      </c>
      <c r="R2541" s="351" t="s">
        <v>98</v>
      </c>
      <c r="S2541" s="806" t="s">
        <v>5387</v>
      </c>
      <c r="T2541" s="806"/>
      <c r="U2541" s="351">
        <v>4</v>
      </c>
      <c r="V2541" s="357" t="s">
        <v>259</v>
      </c>
      <c r="W2541" s="351" t="s">
        <v>5386</v>
      </c>
      <c r="X2541" s="351" t="s">
        <v>207</v>
      </c>
      <c r="Y2541" s="354">
        <v>20985</v>
      </c>
      <c r="Z2541" s="354">
        <v>20917</v>
      </c>
      <c r="AA2541" s="351" t="s">
        <v>276</v>
      </c>
      <c r="AB2541" s="351" t="s">
        <v>276</v>
      </c>
      <c r="AC2541" s="357">
        <v>160</v>
      </c>
      <c r="AD2541" s="351" t="s">
        <v>1710</v>
      </c>
      <c r="AE2541" s="357">
        <v>58</v>
      </c>
      <c r="AF2541" s="351" t="s">
        <v>1710</v>
      </c>
      <c r="AG2541" s="351" t="s">
        <v>11491</v>
      </c>
      <c r="AH2541" s="351" t="s">
        <v>5993</v>
      </c>
      <c r="AI2541" s="355">
        <v>205</v>
      </c>
      <c r="AJ2541" s="34">
        <v>285</v>
      </c>
      <c r="AK2541" s="354">
        <v>20985</v>
      </c>
      <c r="AL2541" s="351">
        <v>20917</v>
      </c>
      <c r="AM2541" s="355" t="s">
        <v>690</v>
      </c>
      <c r="AN2541" s="357" t="s">
        <v>276</v>
      </c>
      <c r="AO2541" s="356">
        <f>(AI2541/AK2541)*1000</f>
        <v>9.7688825351441508</v>
      </c>
      <c r="AP2541" s="357" t="s">
        <v>276</v>
      </c>
      <c r="AQ2541" s="357" t="s">
        <v>276</v>
      </c>
      <c r="AR2541" s="357" t="s">
        <v>276</v>
      </c>
      <c r="AS2541" s="356">
        <f t="shared" si="680"/>
        <v>13.625280872017974</v>
      </c>
      <c r="AT2541" s="357" t="s">
        <v>276</v>
      </c>
      <c r="AU2541" s="357" t="s">
        <v>276</v>
      </c>
      <c r="AV2541" s="357" t="s">
        <v>268</v>
      </c>
      <c r="AW2541" s="357" t="s">
        <v>276</v>
      </c>
      <c r="AX2541" s="356">
        <f t="shared" si="666"/>
        <v>0.71696742451793061</v>
      </c>
      <c r="AY2541" s="357" t="s">
        <v>276</v>
      </c>
      <c r="AZ2541" s="357" t="s">
        <v>276</v>
      </c>
      <c r="BA2541" s="357" t="s">
        <v>276</v>
      </c>
      <c r="BB2541" s="357" t="s">
        <v>282</v>
      </c>
      <c r="BC2541" s="357" t="s">
        <v>98</v>
      </c>
      <c r="BD2541" s="357" t="s">
        <v>98</v>
      </c>
      <c r="BE2541" s="357" t="s">
        <v>98</v>
      </c>
      <c r="BF2541" s="351" t="s">
        <v>298</v>
      </c>
      <c r="BG2541" s="9"/>
      <c r="BH2541" s="9" t="s">
        <v>100</v>
      </c>
      <c r="BI2541" s="9" t="s">
        <v>100</v>
      </c>
      <c r="BJ2541" s="32"/>
      <c r="BK2541" s="33"/>
      <c r="BL2541" s="33"/>
      <c r="BM2541" s="33"/>
      <c r="BN2541" s="32"/>
      <c r="BO2541" s="32"/>
      <c r="BP2541" s="33"/>
    </row>
    <row r="2542" spans="1:68" s="374" customFormat="1" ht="78" hidden="1" x14ac:dyDescent="0.35">
      <c r="A2542" s="357">
        <v>10624</v>
      </c>
      <c r="B2542" s="357" t="s">
        <v>6089</v>
      </c>
      <c r="C2542" s="357" t="s">
        <v>88</v>
      </c>
      <c r="D2542" s="351" t="s">
        <v>11492</v>
      </c>
      <c r="E2542" s="357" t="s">
        <v>43</v>
      </c>
      <c r="F2542" s="351" t="s">
        <v>4987</v>
      </c>
      <c r="G2542" s="357" t="s">
        <v>225</v>
      </c>
      <c r="H2542" s="357" t="s">
        <v>125</v>
      </c>
      <c r="I2542" s="357" t="s">
        <v>114</v>
      </c>
      <c r="J2542" s="351" t="s">
        <v>29</v>
      </c>
      <c r="K2542" s="395" t="s">
        <v>1719</v>
      </c>
      <c r="L2542" s="351" t="s">
        <v>6404</v>
      </c>
      <c r="M2542" s="351" t="s">
        <v>276</v>
      </c>
      <c r="N2542" s="351" t="s">
        <v>6097</v>
      </c>
      <c r="O2542" s="351" t="s">
        <v>276</v>
      </c>
      <c r="P2542" s="351" t="s">
        <v>239</v>
      </c>
      <c r="Q2542" s="383" t="s">
        <v>6094</v>
      </c>
      <c r="R2542" s="351" t="s">
        <v>276</v>
      </c>
      <c r="S2542" s="351" t="s">
        <v>276</v>
      </c>
      <c r="T2542" s="351" t="s">
        <v>276</v>
      </c>
      <c r="U2542" s="351">
        <v>3</v>
      </c>
      <c r="V2542" s="357" t="s">
        <v>261</v>
      </c>
      <c r="W2542" s="357" t="s">
        <v>5153</v>
      </c>
      <c r="X2542" s="351" t="s">
        <v>207</v>
      </c>
      <c r="Y2542" s="354">
        <v>17635</v>
      </c>
      <c r="Z2542" s="351">
        <v>17513</v>
      </c>
      <c r="AA2542" s="351" t="s">
        <v>276</v>
      </c>
      <c r="AB2542" s="351" t="s">
        <v>276</v>
      </c>
      <c r="AC2542" s="357">
        <v>47</v>
      </c>
      <c r="AD2542" s="351" t="s">
        <v>1759</v>
      </c>
      <c r="AE2542" s="357">
        <v>34</v>
      </c>
      <c r="AF2542" s="351" t="s">
        <v>1759</v>
      </c>
      <c r="AG2542" s="351" t="s">
        <v>11493</v>
      </c>
      <c r="AH2542" s="351" t="s">
        <v>5993</v>
      </c>
      <c r="AI2542" s="355">
        <v>51</v>
      </c>
      <c r="AJ2542" s="355">
        <v>9</v>
      </c>
      <c r="AK2542" s="354">
        <v>17635</v>
      </c>
      <c r="AL2542" s="351">
        <v>17513</v>
      </c>
      <c r="AM2542" s="355" t="s">
        <v>292</v>
      </c>
      <c r="AN2542" s="357" t="s">
        <v>276</v>
      </c>
      <c r="AO2542" s="369">
        <f>(AI2542/AK2542)*100</f>
        <v>0.28919761837255459</v>
      </c>
      <c r="AP2542" s="357" t="s">
        <v>276</v>
      </c>
      <c r="AQ2542" s="357" t="s">
        <v>276</v>
      </c>
      <c r="AR2542" s="357" t="s">
        <v>276</v>
      </c>
      <c r="AS2542" s="369">
        <f>(AJ2542/AL2542)*100</f>
        <v>5.1390395706046942E-2</v>
      </c>
      <c r="AT2542" s="357" t="s">
        <v>276</v>
      </c>
      <c r="AU2542" s="357" t="s">
        <v>276</v>
      </c>
      <c r="AV2542" s="357" t="s">
        <v>268</v>
      </c>
      <c r="AW2542" s="357" t="s">
        <v>276</v>
      </c>
      <c r="AX2542" s="369">
        <f t="shared" si="666"/>
        <v>5.6274643228428314</v>
      </c>
      <c r="AY2542" s="357" t="s">
        <v>276</v>
      </c>
      <c r="AZ2542" s="357" t="s">
        <v>276</v>
      </c>
      <c r="BA2542" s="357" t="s">
        <v>276</v>
      </c>
      <c r="BB2542" s="357" t="s">
        <v>276</v>
      </c>
      <c r="BC2542" s="357" t="s">
        <v>276</v>
      </c>
      <c r="BD2542" s="357" t="s">
        <v>276</v>
      </c>
      <c r="BE2542" s="357" t="s">
        <v>276</v>
      </c>
      <c r="BF2542" s="351" t="s">
        <v>1020</v>
      </c>
      <c r="BG2542" s="351"/>
      <c r="BH2542" s="9" t="s">
        <v>100</v>
      </c>
      <c r="BI2542" s="9" t="s">
        <v>100</v>
      </c>
      <c r="BJ2542" s="373"/>
      <c r="BN2542" s="373"/>
      <c r="BO2542" s="373"/>
    </row>
    <row r="2543" spans="1:68" s="374" customFormat="1" ht="78" hidden="1" x14ac:dyDescent="0.35">
      <c r="A2543" s="357">
        <v>10624</v>
      </c>
      <c r="B2543" s="357" t="s">
        <v>6089</v>
      </c>
      <c r="C2543" s="357" t="s">
        <v>88</v>
      </c>
      <c r="D2543" s="351" t="s">
        <v>11494</v>
      </c>
      <c r="E2543" s="357" t="s">
        <v>43</v>
      </c>
      <c r="F2543" s="351" t="s">
        <v>4987</v>
      </c>
      <c r="G2543" s="357" t="s">
        <v>225</v>
      </c>
      <c r="H2543" s="357" t="s">
        <v>125</v>
      </c>
      <c r="I2543" s="357" t="s">
        <v>114</v>
      </c>
      <c r="J2543" s="351" t="s">
        <v>29</v>
      </c>
      <c r="K2543" s="395" t="s">
        <v>1716</v>
      </c>
      <c r="L2543" s="351" t="s">
        <v>6404</v>
      </c>
      <c r="M2543" s="351" t="s">
        <v>276</v>
      </c>
      <c r="N2543" s="351" t="s">
        <v>6097</v>
      </c>
      <c r="O2543" s="351" t="s">
        <v>276</v>
      </c>
      <c r="P2543" s="351" t="s">
        <v>239</v>
      </c>
      <c r="Q2543" s="383" t="s">
        <v>6094</v>
      </c>
      <c r="R2543" s="351" t="s">
        <v>276</v>
      </c>
      <c r="S2543" s="351" t="s">
        <v>276</v>
      </c>
      <c r="T2543" s="351" t="s">
        <v>276</v>
      </c>
      <c r="U2543" s="351">
        <v>3</v>
      </c>
      <c r="V2543" s="357" t="s">
        <v>261</v>
      </c>
      <c r="W2543" s="357" t="s">
        <v>5153</v>
      </c>
      <c r="X2543" s="351" t="s">
        <v>207</v>
      </c>
      <c r="Y2543" s="354">
        <v>17635</v>
      </c>
      <c r="Z2543" s="351">
        <v>17513</v>
      </c>
      <c r="AA2543" s="351" t="s">
        <v>276</v>
      </c>
      <c r="AB2543" s="351" t="s">
        <v>276</v>
      </c>
      <c r="AC2543" s="357">
        <v>47</v>
      </c>
      <c r="AD2543" s="351" t="s">
        <v>1759</v>
      </c>
      <c r="AE2543" s="357">
        <v>34</v>
      </c>
      <c r="AF2543" s="351" t="s">
        <v>1759</v>
      </c>
      <c r="AG2543" s="351" t="s">
        <v>11495</v>
      </c>
      <c r="AH2543" s="351" t="s">
        <v>5993</v>
      </c>
      <c r="AI2543" s="355">
        <v>786</v>
      </c>
      <c r="AJ2543" s="355">
        <v>126</v>
      </c>
      <c r="AK2543" s="354">
        <v>17635</v>
      </c>
      <c r="AL2543" s="351">
        <v>17513</v>
      </c>
      <c r="AM2543" s="355" t="s">
        <v>292</v>
      </c>
      <c r="AN2543" s="357" t="s">
        <v>276</v>
      </c>
      <c r="AO2543" s="369">
        <f>(AI2543/AK2543)*100</f>
        <v>4.4570456478593705</v>
      </c>
      <c r="AP2543" s="357" t="s">
        <v>276</v>
      </c>
      <c r="AQ2543" s="357" t="s">
        <v>276</v>
      </c>
      <c r="AR2543" s="357" t="s">
        <v>276</v>
      </c>
      <c r="AS2543" s="369">
        <f>(AJ2543/AL2543)*100</f>
        <v>0.71946553988465711</v>
      </c>
      <c r="AT2543" s="357" t="s">
        <v>276</v>
      </c>
      <c r="AU2543" s="357" t="s">
        <v>276</v>
      </c>
      <c r="AV2543" s="357" t="s">
        <v>268</v>
      </c>
      <c r="AW2543" s="357" t="s">
        <v>276</v>
      </c>
      <c r="AX2543" s="369">
        <f t="shared" si="666"/>
        <v>6.1949397167429492</v>
      </c>
      <c r="AY2543" s="357" t="s">
        <v>276</v>
      </c>
      <c r="AZ2543" s="357" t="s">
        <v>276</v>
      </c>
      <c r="BA2543" s="357" t="s">
        <v>276</v>
      </c>
      <c r="BB2543" s="357" t="s">
        <v>276</v>
      </c>
      <c r="BC2543" s="357" t="s">
        <v>276</v>
      </c>
      <c r="BD2543" s="357" t="s">
        <v>276</v>
      </c>
      <c r="BE2543" s="357" t="s">
        <v>276</v>
      </c>
      <c r="BF2543" s="351" t="s">
        <v>1020</v>
      </c>
      <c r="BG2543" s="351"/>
      <c r="BH2543" s="9" t="s">
        <v>100</v>
      </c>
      <c r="BI2543" s="9" t="s">
        <v>100</v>
      </c>
      <c r="BJ2543" s="373"/>
      <c r="BN2543" s="373"/>
      <c r="BO2543" s="373"/>
    </row>
    <row r="2544" spans="1:68" s="374" customFormat="1" ht="78" hidden="1" x14ac:dyDescent="0.35">
      <c r="A2544" s="357">
        <v>10624</v>
      </c>
      <c r="B2544" s="357" t="s">
        <v>6089</v>
      </c>
      <c r="C2544" s="357" t="s">
        <v>88</v>
      </c>
      <c r="D2544" s="351" t="s">
        <v>11496</v>
      </c>
      <c r="E2544" s="357" t="s">
        <v>43</v>
      </c>
      <c r="F2544" s="351" t="s">
        <v>4987</v>
      </c>
      <c r="G2544" s="357" t="s">
        <v>225</v>
      </c>
      <c r="H2544" s="357" t="s">
        <v>125</v>
      </c>
      <c r="I2544" s="357" t="s">
        <v>114</v>
      </c>
      <c r="J2544" s="351" t="s">
        <v>29</v>
      </c>
      <c r="K2544" s="395" t="s">
        <v>1183</v>
      </c>
      <c r="L2544" s="351" t="s">
        <v>6404</v>
      </c>
      <c r="M2544" s="351" t="s">
        <v>276</v>
      </c>
      <c r="N2544" s="351" t="s">
        <v>6097</v>
      </c>
      <c r="O2544" s="351" t="s">
        <v>276</v>
      </c>
      <c r="P2544" s="351" t="s">
        <v>239</v>
      </c>
      <c r="Q2544" s="383" t="s">
        <v>6094</v>
      </c>
      <c r="R2544" s="351" t="s">
        <v>276</v>
      </c>
      <c r="S2544" s="351" t="s">
        <v>276</v>
      </c>
      <c r="T2544" s="351" t="s">
        <v>276</v>
      </c>
      <c r="U2544" s="351">
        <v>3</v>
      </c>
      <c r="V2544" s="357" t="s">
        <v>261</v>
      </c>
      <c r="W2544" s="357" t="s">
        <v>5153</v>
      </c>
      <c r="X2544" s="351" t="s">
        <v>207</v>
      </c>
      <c r="Y2544" s="354">
        <v>17635</v>
      </c>
      <c r="Z2544" s="351">
        <v>17513</v>
      </c>
      <c r="AA2544" s="351" t="s">
        <v>276</v>
      </c>
      <c r="AB2544" s="351" t="s">
        <v>276</v>
      </c>
      <c r="AC2544" s="357">
        <v>47</v>
      </c>
      <c r="AD2544" s="351" t="s">
        <v>1759</v>
      </c>
      <c r="AE2544" s="357">
        <v>34</v>
      </c>
      <c r="AF2544" s="351" t="s">
        <v>1759</v>
      </c>
      <c r="AG2544" s="351" t="s">
        <v>11497</v>
      </c>
      <c r="AH2544" s="351" t="s">
        <v>5993</v>
      </c>
      <c r="AI2544" s="355">
        <v>294</v>
      </c>
      <c r="AJ2544" s="355">
        <v>92</v>
      </c>
      <c r="AK2544" s="354">
        <v>17635</v>
      </c>
      <c r="AL2544" s="351">
        <v>17513</v>
      </c>
      <c r="AM2544" s="355" t="s">
        <v>292</v>
      </c>
      <c r="AN2544" s="357" t="s">
        <v>276</v>
      </c>
      <c r="AO2544" s="369">
        <f>(AI2544/AK2544)*100</f>
        <v>1.6671392117947264</v>
      </c>
      <c r="AP2544" s="357" t="s">
        <v>276</v>
      </c>
      <c r="AQ2544" s="357" t="s">
        <v>276</v>
      </c>
      <c r="AR2544" s="357" t="s">
        <v>276</v>
      </c>
      <c r="AS2544" s="369">
        <f>(AJ2544/AL2544)*100</f>
        <v>0.5253240449951464</v>
      </c>
      <c r="AT2544" s="357" t="s">
        <v>276</v>
      </c>
      <c r="AU2544" s="357" t="s">
        <v>276</v>
      </c>
      <c r="AV2544" s="357" t="s">
        <v>268</v>
      </c>
      <c r="AW2544" s="357" t="s">
        <v>276</v>
      </c>
      <c r="AX2544" s="369">
        <f t="shared" si="666"/>
        <v>3.1735444582783745</v>
      </c>
      <c r="AY2544" s="357" t="s">
        <v>276</v>
      </c>
      <c r="AZ2544" s="357" t="s">
        <v>276</v>
      </c>
      <c r="BA2544" s="357" t="s">
        <v>276</v>
      </c>
      <c r="BB2544" s="357" t="s">
        <v>276</v>
      </c>
      <c r="BC2544" s="357" t="s">
        <v>276</v>
      </c>
      <c r="BD2544" s="357" t="s">
        <v>276</v>
      </c>
      <c r="BE2544" s="357" t="s">
        <v>276</v>
      </c>
      <c r="BF2544" s="351" t="s">
        <v>1020</v>
      </c>
      <c r="BG2544" s="351"/>
      <c r="BH2544" s="9" t="s">
        <v>100</v>
      </c>
      <c r="BI2544" s="9" t="s">
        <v>100</v>
      </c>
      <c r="BJ2544" s="373"/>
      <c r="BN2544" s="373"/>
      <c r="BO2544" s="373"/>
    </row>
    <row r="2545" spans="1:67" s="374" customFormat="1" ht="78" hidden="1" x14ac:dyDescent="0.35">
      <c r="A2545" s="357">
        <v>10624</v>
      </c>
      <c r="B2545" s="357" t="s">
        <v>5769</v>
      </c>
      <c r="C2545" s="357" t="s">
        <v>88</v>
      </c>
      <c r="D2545" s="351" t="s">
        <v>11498</v>
      </c>
      <c r="E2545" s="357" t="s">
        <v>43</v>
      </c>
      <c r="F2545" s="351" t="s">
        <v>4987</v>
      </c>
      <c r="G2545" s="357" t="s">
        <v>225</v>
      </c>
      <c r="H2545" s="357" t="s">
        <v>125</v>
      </c>
      <c r="I2545" s="357" t="s">
        <v>114</v>
      </c>
      <c r="J2545" s="351" t="s">
        <v>29</v>
      </c>
      <c r="K2545" s="395" t="s">
        <v>1709</v>
      </c>
      <c r="L2545" s="351" t="s">
        <v>6404</v>
      </c>
      <c r="M2545" s="351" t="s">
        <v>276</v>
      </c>
      <c r="N2545" s="351" t="s">
        <v>6097</v>
      </c>
      <c r="O2545" s="351" t="s">
        <v>276</v>
      </c>
      <c r="P2545" s="351" t="s">
        <v>239</v>
      </c>
      <c r="Q2545" s="383" t="s">
        <v>6094</v>
      </c>
      <c r="R2545" s="351" t="s">
        <v>276</v>
      </c>
      <c r="S2545" s="351" t="s">
        <v>276</v>
      </c>
      <c r="T2545" s="351" t="s">
        <v>276</v>
      </c>
      <c r="U2545" s="351">
        <v>3</v>
      </c>
      <c r="V2545" s="357" t="s">
        <v>261</v>
      </c>
      <c r="W2545" s="357" t="s">
        <v>5153</v>
      </c>
      <c r="X2545" s="351" t="s">
        <v>207</v>
      </c>
      <c r="Y2545" s="354">
        <v>17635</v>
      </c>
      <c r="Z2545" s="351">
        <v>17513</v>
      </c>
      <c r="AA2545" s="351" t="s">
        <v>276</v>
      </c>
      <c r="AB2545" s="351" t="s">
        <v>276</v>
      </c>
      <c r="AC2545" s="357">
        <v>47</v>
      </c>
      <c r="AD2545" s="351" t="s">
        <v>1759</v>
      </c>
      <c r="AE2545" s="357">
        <v>34</v>
      </c>
      <c r="AF2545" s="351" t="s">
        <v>1759</v>
      </c>
      <c r="AG2545" s="351" t="s">
        <v>11499</v>
      </c>
      <c r="AH2545" s="351" t="s">
        <v>5993</v>
      </c>
      <c r="AI2545" s="355">
        <v>91</v>
      </c>
      <c r="AJ2545" s="355">
        <v>75</v>
      </c>
      <c r="AK2545" s="354">
        <v>17635</v>
      </c>
      <c r="AL2545" s="351">
        <v>17513</v>
      </c>
      <c r="AM2545" s="355" t="s">
        <v>292</v>
      </c>
      <c r="AN2545" s="357" t="s">
        <v>276</v>
      </c>
      <c r="AO2545" s="369">
        <f>(AI2545/AK2545)*100</f>
        <v>0.51601927984122486</v>
      </c>
      <c r="AP2545" s="357" t="s">
        <v>276</v>
      </c>
      <c r="AQ2545" s="357" t="s">
        <v>276</v>
      </c>
      <c r="AR2545" s="357" t="s">
        <v>276</v>
      </c>
      <c r="AS2545" s="369">
        <f>(AJ2545/AL2545)*100</f>
        <v>0.42825329755039115</v>
      </c>
      <c r="AT2545" s="357" t="s">
        <v>276</v>
      </c>
      <c r="AU2545" s="357" t="s">
        <v>276</v>
      </c>
      <c r="AV2545" s="357" t="s">
        <v>268</v>
      </c>
      <c r="AW2545" s="357" t="s">
        <v>276</v>
      </c>
      <c r="AX2545" s="369">
        <f t="shared" si="666"/>
        <v>1.2049394197145828</v>
      </c>
      <c r="AY2545" s="357" t="s">
        <v>276</v>
      </c>
      <c r="AZ2545" s="357" t="s">
        <v>276</v>
      </c>
      <c r="BA2545" s="357" t="s">
        <v>276</v>
      </c>
      <c r="BB2545" s="357" t="s">
        <v>276</v>
      </c>
      <c r="BC2545" s="357" t="s">
        <v>276</v>
      </c>
      <c r="BD2545" s="357" t="s">
        <v>276</v>
      </c>
      <c r="BE2545" s="357" t="s">
        <v>276</v>
      </c>
      <c r="BF2545" s="351" t="s">
        <v>1020</v>
      </c>
      <c r="BG2545" s="351"/>
      <c r="BH2545" s="9" t="s">
        <v>100</v>
      </c>
      <c r="BI2545" s="9" t="s">
        <v>100</v>
      </c>
      <c r="BJ2545" s="373"/>
      <c r="BN2545" s="373"/>
      <c r="BO2545" s="373"/>
    </row>
    <row r="2546" spans="1:67" s="374" customFormat="1" ht="65" hidden="1" x14ac:dyDescent="0.35">
      <c r="A2546" s="357">
        <v>10624</v>
      </c>
      <c r="B2546" s="357" t="s">
        <v>5769</v>
      </c>
      <c r="C2546" s="357" t="s">
        <v>88</v>
      </c>
      <c r="D2546" s="351" t="s">
        <v>11500</v>
      </c>
      <c r="E2546" s="357" t="s">
        <v>43</v>
      </c>
      <c r="F2546" s="351" t="s">
        <v>4987</v>
      </c>
      <c r="G2546" s="357" t="s">
        <v>225</v>
      </c>
      <c r="H2546" s="357" t="s">
        <v>125</v>
      </c>
      <c r="I2546" s="357" t="s">
        <v>114</v>
      </c>
      <c r="J2546" s="351" t="s">
        <v>29</v>
      </c>
      <c r="K2546" s="395" t="s">
        <v>1237</v>
      </c>
      <c r="L2546" s="351" t="s">
        <v>6404</v>
      </c>
      <c r="M2546" s="351" t="s">
        <v>276</v>
      </c>
      <c r="N2546" s="351" t="s">
        <v>6097</v>
      </c>
      <c r="O2546" s="351" t="s">
        <v>276</v>
      </c>
      <c r="P2546" s="351" t="s">
        <v>235</v>
      </c>
      <c r="Q2546" s="383" t="s">
        <v>6094</v>
      </c>
      <c r="R2546" s="351" t="s">
        <v>276</v>
      </c>
      <c r="S2546" s="351" t="s">
        <v>276</v>
      </c>
      <c r="T2546" s="351" t="s">
        <v>276</v>
      </c>
      <c r="U2546" s="351">
        <v>3</v>
      </c>
      <c r="V2546" s="357" t="s">
        <v>261</v>
      </c>
      <c r="W2546" s="357" t="s">
        <v>5153</v>
      </c>
      <c r="X2546" s="351" t="s">
        <v>207</v>
      </c>
      <c r="Y2546" s="354" t="s">
        <v>98</v>
      </c>
      <c r="Z2546" s="351" t="s">
        <v>98</v>
      </c>
      <c r="AA2546" s="351" t="s">
        <v>276</v>
      </c>
      <c r="AB2546" s="351" t="s">
        <v>276</v>
      </c>
      <c r="AC2546" s="357">
        <v>47</v>
      </c>
      <c r="AD2546" s="351" t="s">
        <v>1759</v>
      </c>
      <c r="AE2546" s="357">
        <v>34</v>
      </c>
      <c r="AF2546" s="351" t="s">
        <v>1759</v>
      </c>
      <c r="AG2546" s="351" t="s">
        <v>6405</v>
      </c>
      <c r="AH2546" s="351" t="s">
        <v>6406</v>
      </c>
      <c r="AI2546" s="355">
        <f>91+294</f>
        <v>385</v>
      </c>
      <c r="AJ2546" s="355">
        <f>75+92</f>
        <v>167</v>
      </c>
      <c r="AK2546" s="354">
        <v>1269</v>
      </c>
      <c r="AL2546" s="351">
        <v>336</v>
      </c>
      <c r="AM2546" s="355" t="s">
        <v>292</v>
      </c>
      <c r="AN2546" s="357" t="s">
        <v>276</v>
      </c>
      <c r="AO2546" s="369">
        <f>(AI2546/AK2546)*100</f>
        <v>30.338849487785659</v>
      </c>
      <c r="AP2546" s="357" t="s">
        <v>276</v>
      </c>
      <c r="AQ2546" s="357" t="s">
        <v>276</v>
      </c>
      <c r="AR2546" s="357" t="s">
        <v>276</v>
      </c>
      <c r="AS2546" s="369">
        <f>(AJ2546/AL2546)*100</f>
        <v>49.702380952380956</v>
      </c>
      <c r="AT2546" s="357" t="s">
        <v>276</v>
      </c>
      <c r="AU2546" s="357" t="s">
        <v>276</v>
      </c>
      <c r="AV2546" s="357" t="s">
        <v>268</v>
      </c>
      <c r="AW2546" s="357" t="s">
        <v>276</v>
      </c>
      <c r="AX2546" s="369">
        <f t="shared" si="666"/>
        <v>0.61041038490395094</v>
      </c>
      <c r="AY2546" s="357" t="s">
        <v>276</v>
      </c>
      <c r="AZ2546" s="357" t="s">
        <v>276</v>
      </c>
      <c r="BA2546" s="357" t="s">
        <v>276</v>
      </c>
      <c r="BB2546" s="357" t="s">
        <v>276</v>
      </c>
      <c r="BC2546" s="357" t="s">
        <v>276</v>
      </c>
      <c r="BD2546" s="357" t="s">
        <v>276</v>
      </c>
      <c r="BE2546" s="357" t="s">
        <v>276</v>
      </c>
      <c r="BF2546" s="351" t="s">
        <v>6407</v>
      </c>
      <c r="BG2546" s="351"/>
      <c r="BH2546" s="9" t="s">
        <v>100</v>
      </c>
      <c r="BI2546" s="9" t="s">
        <v>100</v>
      </c>
      <c r="BJ2546" s="373"/>
      <c r="BN2546" s="373"/>
      <c r="BO2546" s="373"/>
    </row>
    <row r="2547" spans="1:67" s="374" customFormat="1" ht="65" hidden="1" x14ac:dyDescent="0.35">
      <c r="A2547" s="357">
        <v>10250</v>
      </c>
      <c r="B2547" s="357" t="s">
        <v>5797</v>
      </c>
      <c r="C2547" s="357" t="s">
        <v>88</v>
      </c>
      <c r="D2547" s="351" t="s">
        <v>11501</v>
      </c>
      <c r="E2547" s="357" t="s">
        <v>43</v>
      </c>
      <c r="F2547" s="351" t="s">
        <v>4987</v>
      </c>
      <c r="G2547" s="357" t="s">
        <v>225</v>
      </c>
      <c r="H2547" s="357" t="s">
        <v>125</v>
      </c>
      <c r="I2547" s="357" t="s">
        <v>114</v>
      </c>
      <c r="J2547" s="351" t="s">
        <v>29</v>
      </c>
      <c r="K2547" s="395" t="s">
        <v>1772</v>
      </c>
      <c r="L2547" s="351" t="s">
        <v>6408</v>
      </c>
      <c r="M2547" s="351" t="s">
        <v>5838</v>
      </c>
      <c r="N2547" s="351" t="s">
        <v>6144</v>
      </c>
      <c r="O2547" s="357" t="s">
        <v>276</v>
      </c>
      <c r="P2547" s="351" t="s">
        <v>239</v>
      </c>
      <c r="Q2547" s="351" t="s">
        <v>5800</v>
      </c>
      <c r="R2547" s="351" t="s">
        <v>276</v>
      </c>
      <c r="S2547" s="351" t="s">
        <v>5801</v>
      </c>
      <c r="T2547" s="351" t="s">
        <v>6145</v>
      </c>
      <c r="U2547" s="351">
        <v>3</v>
      </c>
      <c r="V2547" s="357" t="s">
        <v>261</v>
      </c>
      <c r="W2547" s="357" t="s">
        <v>5162</v>
      </c>
      <c r="X2547" s="351" t="s">
        <v>207</v>
      </c>
      <c r="Y2547" s="354">
        <v>31866</v>
      </c>
      <c r="Z2547" s="355">
        <v>48278</v>
      </c>
      <c r="AA2547" s="357" t="s">
        <v>276</v>
      </c>
      <c r="AB2547" s="357" t="s">
        <v>276</v>
      </c>
      <c r="AC2547" s="357" t="s">
        <v>276</v>
      </c>
      <c r="AD2547" s="357" t="s">
        <v>1710</v>
      </c>
      <c r="AE2547" s="357" t="s">
        <v>276</v>
      </c>
      <c r="AF2547" s="357" t="s">
        <v>1710</v>
      </c>
      <c r="AG2547" s="351" t="s">
        <v>11502</v>
      </c>
      <c r="AH2547" s="351" t="s">
        <v>1674</v>
      </c>
      <c r="AI2547" s="355" t="s">
        <v>276</v>
      </c>
      <c r="AJ2547" s="355" t="s">
        <v>276</v>
      </c>
      <c r="AK2547" s="355">
        <v>292474</v>
      </c>
      <c r="AL2547" s="355">
        <v>449885</v>
      </c>
      <c r="AM2547" s="355" t="s">
        <v>6148</v>
      </c>
      <c r="AN2547" s="357">
        <v>5.8</v>
      </c>
      <c r="AO2547" s="369" t="s">
        <v>98</v>
      </c>
      <c r="AP2547" s="355" t="s">
        <v>276</v>
      </c>
      <c r="AQ2547" s="355" t="s">
        <v>276</v>
      </c>
      <c r="AR2547" s="357">
        <v>3.2</v>
      </c>
      <c r="AS2547" s="369" t="s">
        <v>98</v>
      </c>
      <c r="AT2547" s="355" t="s">
        <v>276</v>
      </c>
      <c r="AU2547" s="355" t="s">
        <v>276</v>
      </c>
      <c r="AV2547" s="357" t="s">
        <v>269</v>
      </c>
      <c r="AW2547" s="357">
        <v>1.82</v>
      </c>
      <c r="AX2547" s="356">
        <f>AN2547/AR2547</f>
        <v>1.8124999999999998</v>
      </c>
      <c r="AY2547" s="357">
        <v>1.7</v>
      </c>
      <c r="AZ2547" s="357">
        <v>1.9</v>
      </c>
      <c r="BA2547" s="357" t="s">
        <v>431</v>
      </c>
      <c r="BB2547" s="357" t="s">
        <v>276</v>
      </c>
      <c r="BC2547" s="357" t="s">
        <v>276</v>
      </c>
      <c r="BD2547" s="357" t="s">
        <v>276</v>
      </c>
      <c r="BE2547" s="357" t="s">
        <v>276</v>
      </c>
      <c r="BF2547" s="351" t="s">
        <v>11503</v>
      </c>
      <c r="BG2547" s="351"/>
      <c r="BH2547" s="9" t="s">
        <v>100</v>
      </c>
      <c r="BI2547" s="9" t="s">
        <v>100</v>
      </c>
      <c r="BJ2547" s="373"/>
      <c r="BN2547" s="373"/>
      <c r="BO2547" s="373"/>
    </row>
    <row r="2548" spans="1:67" s="374" customFormat="1" ht="65" hidden="1" x14ac:dyDescent="0.35">
      <c r="A2548" s="357">
        <v>10250</v>
      </c>
      <c r="B2548" s="357" t="s">
        <v>5797</v>
      </c>
      <c r="C2548" s="357" t="s">
        <v>88</v>
      </c>
      <c r="D2548" s="351" t="s">
        <v>11504</v>
      </c>
      <c r="E2548" s="357" t="s">
        <v>43</v>
      </c>
      <c r="F2548" s="351" t="s">
        <v>4987</v>
      </c>
      <c r="G2548" s="357" t="s">
        <v>225</v>
      </c>
      <c r="H2548" s="357" t="s">
        <v>125</v>
      </c>
      <c r="I2548" s="357" t="s">
        <v>114</v>
      </c>
      <c r="J2548" s="351" t="s">
        <v>29</v>
      </c>
      <c r="K2548" s="357">
        <v>7</v>
      </c>
      <c r="L2548" s="351" t="s">
        <v>6408</v>
      </c>
      <c r="M2548" s="351" t="s">
        <v>5838</v>
      </c>
      <c r="N2548" s="351" t="s">
        <v>6144</v>
      </c>
      <c r="O2548" s="357" t="s">
        <v>276</v>
      </c>
      <c r="P2548" s="351" t="s">
        <v>239</v>
      </c>
      <c r="Q2548" s="351" t="s">
        <v>5800</v>
      </c>
      <c r="R2548" s="351" t="s">
        <v>276</v>
      </c>
      <c r="S2548" s="351" t="s">
        <v>5801</v>
      </c>
      <c r="T2548" s="351" t="s">
        <v>6145</v>
      </c>
      <c r="U2548" s="351">
        <v>3</v>
      </c>
      <c r="V2548" s="357" t="s">
        <v>261</v>
      </c>
      <c r="W2548" s="357" t="s">
        <v>5162</v>
      </c>
      <c r="X2548" s="351" t="s">
        <v>207</v>
      </c>
      <c r="Y2548" s="354">
        <v>31866</v>
      </c>
      <c r="Z2548" s="355">
        <v>48278</v>
      </c>
      <c r="AA2548" s="357" t="s">
        <v>276</v>
      </c>
      <c r="AB2548" s="357" t="s">
        <v>276</v>
      </c>
      <c r="AC2548" s="357" t="s">
        <v>276</v>
      </c>
      <c r="AD2548" s="357" t="s">
        <v>1710</v>
      </c>
      <c r="AE2548" s="357" t="s">
        <v>276</v>
      </c>
      <c r="AF2548" s="357" t="s">
        <v>1710</v>
      </c>
      <c r="AG2548" s="351" t="s">
        <v>11505</v>
      </c>
      <c r="AH2548" s="351" t="s">
        <v>1674</v>
      </c>
      <c r="AI2548" s="355" t="s">
        <v>276</v>
      </c>
      <c r="AJ2548" s="355" t="s">
        <v>276</v>
      </c>
      <c r="AK2548" s="355">
        <v>292474</v>
      </c>
      <c r="AL2548" s="355">
        <v>449885</v>
      </c>
      <c r="AM2548" s="355" t="s">
        <v>6148</v>
      </c>
      <c r="AN2548" s="357">
        <v>1.9</v>
      </c>
      <c r="AO2548" s="369" t="s">
        <v>98</v>
      </c>
      <c r="AP2548" s="355" t="s">
        <v>276</v>
      </c>
      <c r="AQ2548" s="355" t="s">
        <v>276</v>
      </c>
      <c r="AR2548" s="357">
        <v>1.8</v>
      </c>
      <c r="AS2548" s="369" t="s">
        <v>98</v>
      </c>
      <c r="AT2548" s="355" t="s">
        <v>276</v>
      </c>
      <c r="AU2548" s="355" t="s">
        <v>276</v>
      </c>
      <c r="AV2548" s="357" t="s">
        <v>269</v>
      </c>
      <c r="AW2548" s="357">
        <v>1.02</v>
      </c>
      <c r="AX2548" s="356">
        <f>AN2548/AR2548</f>
        <v>1.0555555555555556</v>
      </c>
      <c r="AY2548" s="357">
        <v>0.9</v>
      </c>
      <c r="AZ2548" s="357">
        <v>1.1000000000000001</v>
      </c>
      <c r="BA2548" s="357">
        <v>0.72</v>
      </c>
      <c r="BB2548" s="357" t="s">
        <v>276</v>
      </c>
      <c r="BC2548" s="357" t="s">
        <v>276</v>
      </c>
      <c r="BD2548" s="357" t="s">
        <v>276</v>
      </c>
      <c r="BE2548" s="357" t="s">
        <v>276</v>
      </c>
      <c r="BF2548" s="351" t="s">
        <v>11506</v>
      </c>
      <c r="BG2548" s="351"/>
      <c r="BH2548" s="9" t="s">
        <v>100</v>
      </c>
      <c r="BI2548" s="9" t="s">
        <v>100</v>
      </c>
      <c r="BJ2548" s="373"/>
      <c r="BN2548" s="373"/>
      <c r="BO2548" s="373"/>
    </row>
    <row r="2549" spans="1:67" s="374" customFormat="1" ht="65" hidden="1" x14ac:dyDescent="0.35">
      <c r="A2549" s="357">
        <v>10250</v>
      </c>
      <c r="B2549" s="357" t="s">
        <v>5797</v>
      </c>
      <c r="C2549" s="357" t="s">
        <v>88</v>
      </c>
      <c r="D2549" s="351" t="s">
        <v>11507</v>
      </c>
      <c r="E2549" s="357" t="s">
        <v>43</v>
      </c>
      <c r="F2549" s="351" t="s">
        <v>4987</v>
      </c>
      <c r="G2549" s="357" t="s">
        <v>225</v>
      </c>
      <c r="H2549" s="357" t="s">
        <v>125</v>
      </c>
      <c r="I2549" s="357" t="s">
        <v>114</v>
      </c>
      <c r="J2549" s="351" t="s">
        <v>29</v>
      </c>
      <c r="K2549" s="395" t="s">
        <v>1709</v>
      </c>
      <c r="L2549" s="351" t="s">
        <v>6408</v>
      </c>
      <c r="M2549" s="351" t="s">
        <v>5838</v>
      </c>
      <c r="N2549" s="351" t="s">
        <v>6144</v>
      </c>
      <c r="O2549" s="357" t="s">
        <v>276</v>
      </c>
      <c r="P2549" s="351" t="s">
        <v>239</v>
      </c>
      <c r="Q2549" s="351" t="s">
        <v>5800</v>
      </c>
      <c r="R2549" s="351" t="s">
        <v>276</v>
      </c>
      <c r="S2549" s="351" t="s">
        <v>5801</v>
      </c>
      <c r="T2549" s="351" t="s">
        <v>6145</v>
      </c>
      <c r="U2549" s="351">
        <v>3</v>
      </c>
      <c r="V2549" s="357" t="s">
        <v>261</v>
      </c>
      <c r="W2549" s="357" t="s">
        <v>5162</v>
      </c>
      <c r="X2549" s="351" t="s">
        <v>207</v>
      </c>
      <c r="Y2549" s="354">
        <v>31866</v>
      </c>
      <c r="Z2549" s="355">
        <v>48278</v>
      </c>
      <c r="AA2549" s="357" t="s">
        <v>276</v>
      </c>
      <c r="AB2549" s="357" t="s">
        <v>276</v>
      </c>
      <c r="AC2549" s="357" t="s">
        <v>276</v>
      </c>
      <c r="AD2549" s="357" t="s">
        <v>1710</v>
      </c>
      <c r="AE2549" s="357" t="s">
        <v>276</v>
      </c>
      <c r="AF2549" s="357" t="s">
        <v>1710</v>
      </c>
      <c r="AG2549" s="351" t="s">
        <v>11508</v>
      </c>
      <c r="AH2549" s="351" t="s">
        <v>1674</v>
      </c>
      <c r="AI2549" s="355" t="s">
        <v>276</v>
      </c>
      <c r="AJ2549" s="355" t="s">
        <v>276</v>
      </c>
      <c r="AK2549" s="355">
        <v>292474</v>
      </c>
      <c r="AL2549" s="355">
        <v>449885</v>
      </c>
      <c r="AM2549" s="355" t="s">
        <v>6148</v>
      </c>
      <c r="AN2549" s="356">
        <v>0.8</v>
      </c>
      <c r="AO2549" s="369" t="s">
        <v>98</v>
      </c>
      <c r="AP2549" s="355" t="s">
        <v>276</v>
      </c>
      <c r="AQ2549" s="355" t="s">
        <v>276</v>
      </c>
      <c r="AR2549" s="356">
        <v>0.9</v>
      </c>
      <c r="AS2549" s="369" t="s">
        <v>98</v>
      </c>
      <c r="AT2549" s="355" t="s">
        <v>276</v>
      </c>
      <c r="AU2549" s="355" t="s">
        <v>276</v>
      </c>
      <c r="AV2549" s="357" t="s">
        <v>269</v>
      </c>
      <c r="AW2549" s="357">
        <v>0.89</v>
      </c>
      <c r="AX2549" s="356">
        <f>AN2549/AR2549</f>
        <v>0.88888888888888895</v>
      </c>
      <c r="AY2549" s="357">
        <v>0.8</v>
      </c>
      <c r="AZ2549" s="368">
        <v>1</v>
      </c>
      <c r="BA2549" s="357">
        <v>0.16</v>
      </c>
      <c r="BB2549" s="357" t="s">
        <v>276</v>
      </c>
      <c r="BC2549" s="357" t="s">
        <v>276</v>
      </c>
      <c r="BD2549" s="357" t="s">
        <v>276</v>
      </c>
      <c r="BE2549" s="357" t="s">
        <v>276</v>
      </c>
      <c r="BF2549" s="351" t="s">
        <v>11509</v>
      </c>
      <c r="BG2549" s="351"/>
      <c r="BH2549" s="9" t="s">
        <v>100</v>
      </c>
      <c r="BI2549" s="9" t="s">
        <v>100</v>
      </c>
      <c r="BJ2549" s="373"/>
      <c r="BN2549" s="373"/>
      <c r="BO2549" s="373"/>
    </row>
    <row r="2550" spans="1:67" s="374" customFormat="1" ht="65" hidden="1" x14ac:dyDescent="0.35">
      <c r="A2550" s="357">
        <v>2814</v>
      </c>
      <c r="B2550" s="357" t="s">
        <v>5805</v>
      </c>
      <c r="C2550" s="357" t="s">
        <v>88</v>
      </c>
      <c r="D2550" s="351" t="s">
        <v>11510</v>
      </c>
      <c r="E2550" s="357" t="s">
        <v>43</v>
      </c>
      <c r="F2550" s="351" t="s">
        <v>4987</v>
      </c>
      <c r="G2550" s="357" t="s">
        <v>225</v>
      </c>
      <c r="H2550" s="357" t="s">
        <v>125</v>
      </c>
      <c r="I2550" s="357" t="s">
        <v>114</v>
      </c>
      <c r="J2550" s="351" t="s">
        <v>29</v>
      </c>
      <c r="K2550" s="395" t="s">
        <v>1719</v>
      </c>
      <c r="L2550" s="357" t="s">
        <v>276</v>
      </c>
      <c r="M2550" s="357" t="s">
        <v>276</v>
      </c>
      <c r="N2550" s="360" t="s">
        <v>6409</v>
      </c>
      <c r="O2550" s="357" t="s">
        <v>276</v>
      </c>
      <c r="P2550" s="351" t="s">
        <v>239</v>
      </c>
      <c r="Q2550" s="383" t="s">
        <v>5808</v>
      </c>
      <c r="R2550" s="351" t="s">
        <v>746</v>
      </c>
      <c r="S2550" s="357" t="s">
        <v>276</v>
      </c>
      <c r="T2550" s="357" t="s">
        <v>276</v>
      </c>
      <c r="U2550" s="351">
        <v>4</v>
      </c>
      <c r="V2550" s="357" t="s">
        <v>261</v>
      </c>
      <c r="W2550" s="357" t="s">
        <v>5159</v>
      </c>
      <c r="X2550" s="351" t="s">
        <v>207</v>
      </c>
      <c r="Y2550" s="354">
        <v>9972</v>
      </c>
      <c r="Z2550" s="354">
        <v>9973</v>
      </c>
      <c r="AA2550" s="357" t="s">
        <v>276</v>
      </c>
      <c r="AB2550" s="357" t="s">
        <v>276</v>
      </c>
      <c r="AC2550" s="357">
        <v>15</v>
      </c>
      <c r="AD2550" s="351" t="s">
        <v>6410</v>
      </c>
      <c r="AE2550" s="357">
        <v>36</v>
      </c>
      <c r="AF2550" s="351" t="s">
        <v>6410</v>
      </c>
      <c r="AG2550" s="351" t="s">
        <v>11511</v>
      </c>
      <c r="AH2550" s="351" t="s">
        <v>6200</v>
      </c>
      <c r="AI2550" s="354">
        <v>8</v>
      </c>
      <c r="AJ2550" s="354">
        <v>9</v>
      </c>
      <c r="AK2550" s="354">
        <v>9972</v>
      </c>
      <c r="AL2550" s="354">
        <v>9973</v>
      </c>
      <c r="AM2550" s="355" t="s">
        <v>292</v>
      </c>
      <c r="AN2550" s="355" t="s">
        <v>276</v>
      </c>
      <c r="AO2550" s="402">
        <f>AI2550*100/AK2550</f>
        <v>8.022462896109106E-2</v>
      </c>
      <c r="AP2550" s="355" t="s">
        <v>276</v>
      </c>
      <c r="AQ2550" s="355" t="s">
        <v>276</v>
      </c>
      <c r="AR2550" s="355" t="s">
        <v>276</v>
      </c>
      <c r="AS2550" s="402">
        <f>AJ2550*100/AL2550</f>
        <v>9.0243657876265912E-2</v>
      </c>
      <c r="AT2550" s="355" t="s">
        <v>276</v>
      </c>
      <c r="AU2550" s="355" t="s">
        <v>276</v>
      </c>
      <c r="AV2550" s="357" t="s">
        <v>268</v>
      </c>
      <c r="AW2550" s="355" t="s">
        <v>276</v>
      </c>
      <c r="AX2550" s="402">
        <f>AO2550/AS2550</f>
        <v>0.88897802736551246</v>
      </c>
      <c r="AY2550" s="355" t="s">
        <v>276</v>
      </c>
      <c r="AZ2550" s="355" t="s">
        <v>276</v>
      </c>
      <c r="BA2550" s="355" t="s">
        <v>276</v>
      </c>
      <c r="BB2550" s="355" t="s">
        <v>276</v>
      </c>
      <c r="BC2550" s="355" t="s">
        <v>276</v>
      </c>
      <c r="BD2550" s="355" t="s">
        <v>276</v>
      </c>
      <c r="BE2550" s="355" t="s">
        <v>276</v>
      </c>
      <c r="BF2550" s="351" t="s">
        <v>1029</v>
      </c>
      <c r="BG2550" s="351"/>
      <c r="BH2550" s="9" t="s">
        <v>100</v>
      </c>
      <c r="BI2550" s="9" t="s">
        <v>100</v>
      </c>
      <c r="BJ2550" s="373"/>
      <c r="BN2550" s="373"/>
      <c r="BO2550" s="373"/>
    </row>
    <row r="2551" spans="1:67" s="374" customFormat="1" ht="65" hidden="1" x14ac:dyDescent="0.35">
      <c r="A2551" s="357">
        <v>2814</v>
      </c>
      <c r="B2551" s="357" t="s">
        <v>5805</v>
      </c>
      <c r="C2551" s="357" t="s">
        <v>88</v>
      </c>
      <c r="D2551" s="351" t="s">
        <v>11512</v>
      </c>
      <c r="E2551" s="357" t="s">
        <v>43</v>
      </c>
      <c r="F2551" s="351" t="s">
        <v>4987</v>
      </c>
      <c r="G2551" s="357" t="s">
        <v>225</v>
      </c>
      <c r="H2551" s="357" t="s">
        <v>125</v>
      </c>
      <c r="I2551" s="357" t="s">
        <v>114</v>
      </c>
      <c r="J2551" s="351" t="s">
        <v>29</v>
      </c>
      <c r="K2551" s="395" t="s">
        <v>1716</v>
      </c>
      <c r="L2551" s="357" t="s">
        <v>276</v>
      </c>
      <c r="M2551" s="357" t="s">
        <v>276</v>
      </c>
      <c r="N2551" s="360" t="s">
        <v>6409</v>
      </c>
      <c r="O2551" s="357" t="s">
        <v>276</v>
      </c>
      <c r="P2551" s="351" t="s">
        <v>239</v>
      </c>
      <c r="Q2551" s="383" t="s">
        <v>5808</v>
      </c>
      <c r="R2551" s="351" t="s">
        <v>746</v>
      </c>
      <c r="S2551" s="357" t="s">
        <v>276</v>
      </c>
      <c r="T2551" s="357" t="s">
        <v>276</v>
      </c>
      <c r="U2551" s="351">
        <v>4</v>
      </c>
      <c r="V2551" s="357" t="s">
        <v>261</v>
      </c>
      <c r="W2551" s="357" t="s">
        <v>5159</v>
      </c>
      <c r="X2551" s="351" t="s">
        <v>207</v>
      </c>
      <c r="Y2551" s="354">
        <v>9972</v>
      </c>
      <c r="Z2551" s="354">
        <v>9973</v>
      </c>
      <c r="AA2551" s="357" t="s">
        <v>276</v>
      </c>
      <c r="AB2551" s="357" t="s">
        <v>276</v>
      </c>
      <c r="AC2551" s="357">
        <v>15</v>
      </c>
      <c r="AD2551" s="351" t="s">
        <v>6410</v>
      </c>
      <c r="AE2551" s="357">
        <v>36</v>
      </c>
      <c r="AF2551" s="351" t="s">
        <v>6410</v>
      </c>
      <c r="AG2551" s="351" t="s">
        <v>11513</v>
      </c>
      <c r="AH2551" s="351" t="s">
        <v>6200</v>
      </c>
      <c r="AI2551" s="355">
        <v>513</v>
      </c>
      <c r="AJ2551" s="355">
        <v>121</v>
      </c>
      <c r="AK2551" s="354">
        <v>9972</v>
      </c>
      <c r="AL2551" s="354">
        <v>9973</v>
      </c>
      <c r="AM2551" s="355" t="s">
        <v>292</v>
      </c>
      <c r="AN2551" s="355" t="s">
        <v>276</v>
      </c>
      <c r="AO2551" s="402">
        <f>AI2551*100/AK2551</f>
        <v>5.1444043321299642</v>
      </c>
      <c r="AP2551" s="355" t="s">
        <v>276</v>
      </c>
      <c r="AQ2551" s="355" t="s">
        <v>276</v>
      </c>
      <c r="AR2551" s="355" t="s">
        <v>276</v>
      </c>
      <c r="AS2551" s="402">
        <f>AJ2551*100/AL2551</f>
        <v>1.2132758447809084</v>
      </c>
      <c r="AT2551" s="355" t="s">
        <v>276</v>
      </c>
      <c r="AU2551" s="355" t="s">
        <v>276</v>
      </c>
      <c r="AV2551" s="357" t="s">
        <v>268</v>
      </c>
      <c r="AW2551" s="355" t="s">
        <v>276</v>
      </c>
      <c r="AX2551" s="402">
        <f t="shared" ref="AX2551:AX2563" si="681">AO2551/AS2551</f>
        <v>4.2400945788704245</v>
      </c>
      <c r="AY2551" s="355" t="s">
        <v>276</v>
      </c>
      <c r="AZ2551" s="355" t="s">
        <v>276</v>
      </c>
      <c r="BA2551" s="355" t="s">
        <v>276</v>
      </c>
      <c r="BB2551" s="355" t="s">
        <v>276</v>
      </c>
      <c r="BC2551" s="355" t="s">
        <v>276</v>
      </c>
      <c r="BD2551" s="355" t="s">
        <v>276</v>
      </c>
      <c r="BE2551" s="355" t="s">
        <v>276</v>
      </c>
      <c r="BF2551" s="351" t="s">
        <v>1029</v>
      </c>
      <c r="BG2551" s="351"/>
      <c r="BH2551" s="9" t="s">
        <v>100</v>
      </c>
      <c r="BI2551" s="9" t="s">
        <v>100</v>
      </c>
      <c r="BJ2551" s="373"/>
      <c r="BN2551" s="373"/>
      <c r="BO2551" s="373"/>
    </row>
    <row r="2552" spans="1:67" s="374" customFormat="1" ht="65" hidden="1" x14ac:dyDescent="0.35">
      <c r="A2552" s="357">
        <v>2814</v>
      </c>
      <c r="B2552" s="357" t="s">
        <v>5805</v>
      </c>
      <c r="C2552" s="357" t="s">
        <v>88</v>
      </c>
      <c r="D2552" s="351" t="s">
        <v>11514</v>
      </c>
      <c r="E2552" s="357" t="s">
        <v>43</v>
      </c>
      <c r="F2552" s="351" t="s">
        <v>4987</v>
      </c>
      <c r="G2552" s="357" t="s">
        <v>225</v>
      </c>
      <c r="H2552" s="357" t="s">
        <v>125</v>
      </c>
      <c r="I2552" s="357" t="s">
        <v>114</v>
      </c>
      <c r="J2552" s="351" t="s">
        <v>29</v>
      </c>
      <c r="K2552" s="395">
        <v>7</v>
      </c>
      <c r="L2552" s="357" t="s">
        <v>276</v>
      </c>
      <c r="M2552" s="357" t="s">
        <v>276</v>
      </c>
      <c r="N2552" s="360" t="s">
        <v>6409</v>
      </c>
      <c r="O2552" s="357" t="s">
        <v>276</v>
      </c>
      <c r="P2552" s="351" t="s">
        <v>239</v>
      </c>
      <c r="Q2552" s="383" t="s">
        <v>5808</v>
      </c>
      <c r="R2552" s="351" t="s">
        <v>746</v>
      </c>
      <c r="S2552" s="357" t="s">
        <v>276</v>
      </c>
      <c r="T2552" s="357" t="s">
        <v>276</v>
      </c>
      <c r="U2552" s="351">
        <v>4</v>
      </c>
      <c r="V2552" s="357" t="s">
        <v>261</v>
      </c>
      <c r="W2552" s="357" t="s">
        <v>5159</v>
      </c>
      <c r="X2552" s="351" t="s">
        <v>207</v>
      </c>
      <c r="Y2552" s="354">
        <v>9972</v>
      </c>
      <c r="Z2552" s="354">
        <v>9973</v>
      </c>
      <c r="AA2552" s="357" t="s">
        <v>276</v>
      </c>
      <c r="AB2552" s="357" t="s">
        <v>276</v>
      </c>
      <c r="AC2552" s="357">
        <v>15</v>
      </c>
      <c r="AD2552" s="351" t="s">
        <v>6410</v>
      </c>
      <c r="AE2552" s="357">
        <v>36</v>
      </c>
      <c r="AF2552" s="351" t="s">
        <v>6410</v>
      </c>
      <c r="AG2552" s="351" t="s">
        <v>11515</v>
      </c>
      <c r="AH2552" s="351" t="s">
        <v>6200</v>
      </c>
      <c r="AI2552" s="355">
        <v>83</v>
      </c>
      <c r="AJ2552" s="355">
        <v>53</v>
      </c>
      <c r="AK2552" s="354">
        <v>9972</v>
      </c>
      <c r="AL2552" s="354">
        <v>9973</v>
      </c>
      <c r="AM2552" s="355" t="s">
        <v>292</v>
      </c>
      <c r="AN2552" s="355" t="s">
        <v>276</v>
      </c>
      <c r="AO2552" s="402">
        <f>AI2552*100/AK2552</f>
        <v>0.83233052547131969</v>
      </c>
      <c r="AP2552" s="355" t="s">
        <v>276</v>
      </c>
      <c r="AQ2552" s="355" t="s">
        <v>276</v>
      </c>
      <c r="AR2552" s="355" t="s">
        <v>276</v>
      </c>
      <c r="AS2552" s="402">
        <f>AJ2552*100/AL2552</f>
        <v>0.53143487416023261</v>
      </c>
      <c r="AT2552" s="355" t="s">
        <v>276</v>
      </c>
      <c r="AU2552" s="355" t="s">
        <v>276</v>
      </c>
      <c r="AV2552" s="357" t="s">
        <v>268</v>
      </c>
      <c r="AW2552" s="355" t="s">
        <v>276</v>
      </c>
      <c r="AX2552" s="402">
        <f t="shared" si="681"/>
        <v>1.5661947793444286</v>
      </c>
      <c r="AY2552" s="355" t="s">
        <v>276</v>
      </c>
      <c r="AZ2552" s="355" t="s">
        <v>276</v>
      </c>
      <c r="BA2552" s="355" t="s">
        <v>276</v>
      </c>
      <c r="BB2552" s="355" t="s">
        <v>276</v>
      </c>
      <c r="BC2552" s="355" t="s">
        <v>276</v>
      </c>
      <c r="BD2552" s="355" t="s">
        <v>276</v>
      </c>
      <c r="BE2552" s="355" t="s">
        <v>276</v>
      </c>
      <c r="BF2552" s="351" t="s">
        <v>1029</v>
      </c>
      <c r="BG2552" s="351"/>
      <c r="BH2552" s="9" t="s">
        <v>100</v>
      </c>
      <c r="BI2552" s="9" t="s">
        <v>100</v>
      </c>
      <c r="BJ2552" s="373"/>
      <c r="BN2552" s="373"/>
      <c r="BO2552" s="373"/>
    </row>
    <row r="2553" spans="1:67" s="374" customFormat="1" ht="65" hidden="1" x14ac:dyDescent="0.35">
      <c r="A2553" s="357">
        <v>2814</v>
      </c>
      <c r="B2553" s="357" t="s">
        <v>5805</v>
      </c>
      <c r="C2553" s="357" t="s">
        <v>88</v>
      </c>
      <c r="D2553" s="351" t="s">
        <v>11516</v>
      </c>
      <c r="E2553" s="357" t="s">
        <v>43</v>
      </c>
      <c r="F2553" s="351" t="s">
        <v>4987</v>
      </c>
      <c r="G2553" s="357" t="s">
        <v>225</v>
      </c>
      <c r="H2553" s="357" t="s">
        <v>125</v>
      </c>
      <c r="I2553" s="357" t="s">
        <v>114</v>
      </c>
      <c r="J2553" s="351" t="s">
        <v>29</v>
      </c>
      <c r="K2553" s="395" t="s">
        <v>1709</v>
      </c>
      <c r="L2553" s="357" t="s">
        <v>276</v>
      </c>
      <c r="M2553" s="357" t="s">
        <v>276</v>
      </c>
      <c r="N2553" s="360" t="s">
        <v>6409</v>
      </c>
      <c r="O2553" s="357" t="s">
        <v>276</v>
      </c>
      <c r="P2553" s="351" t="s">
        <v>239</v>
      </c>
      <c r="Q2553" s="383" t="s">
        <v>5808</v>
      </c>
      <c r="R2553" s="351" t="s">
        <v>746</v>
      </c>
      <c r="S2553" s="357" t="s">
        <v>276</v>
      </c>
      <c r="T2553" s="357" t="s">
        <v>276</v>
      </c>
      <c r="U2553" s="351">
        <v>4</v>
      </c>
      <c r="V2553" s="357" t="s">
        <v>261</v>
      </c>
      <c r="W2553" s="357" t="s">
        <v>5159</v>
      </c>
      <c r="X2553" s="351" t="s">
        <v>207</v>
      </c>
      <c r="Y2553" s="354">
        <v>9972</v>
      </c>
      <c r="Z2553" s="354">
        <v>9973</v>
      </c>
      <c r="AA2553" s="357" t="s">
        <v>276</v>
      </c>
      <c r="AB2553" s="357" t="s">
        <v>276</v>
      </c>
      <c r="AC2553" s="357">
        <v>15</v>
      </c>
      <c r="AD2553" s="351" t="s">
        <v>6410</v>
      </c>
      <c r="AE2553" s="357">
        <v>36</v>
      </c>
      <c r="AF2553" s="351" t="s">
        <v>6410</v>
      </c>
      <c r="AG2553" s="351" t="s">
        <v>11517</v>
      </c>
      <c r="AH2553" s="351" t="s">
        <v>6200</v>
      </c>
      <c r="AI2553" s="354">
        <v>21</v>
      </c>
      <c r="AJ2553" s="354">
        <v>25</v>
      </c>
      <c r="AK2553" s="354">
        <v>9972</v>
      </c>
      <c r="AL2553" s="354">
        <v>9973</v>
      </c>
      <c r="AM2553" s="355" t="s">
        <v>292</v>
      </c>
      <c r="AN2553" s="355" t="s">
        <v>276</v>
      </c>
      <c r="AO2553" s="402">
        <f>AI2553*100/AK2553</f>
        <v>0.21058965102286403</v>
      </c>
      <c r="AP2553" s="355" t="s">
        <v>276</v>
      </c>
      <c r="AQ2553" s="355" t="s">
        <v>276</v>
      </c>
      <c r="AR2553" s="355" t="s">
        <v>276</v>
      </c>
      <c r="AS2553" s="402">
        <f>AJ2553*100/AL2553</f>
        <v>0.25067682743407199</v>
      </c>
      <c r="AT2553" s="355" t="s">
        <v>276</v>
      </c>
      <c r="AU2553" s="355" t="s">
        <v>276</v>
      </c>
      <c r="AV2553" s="357" t="s">
        <v>268</v>
      </c>
      <c r="AW2553" s="355" t="s">
        <v>276</v>
      </c>
      <c r="AX2553" s="402">
        <f t="shared" si="681"/>
        <v>0.84008423586040926</v>
      </c>
      <c r="AY2553" s="355" t="s">
        <v>276</v>
      </c>
      <c r="AZ2553" s="355" t="s">
        <v>276</v>
      </c>
      <c r="BA2553" s="355" t="s">
        <v>276</v>
      </c>
      <c r="BB2553" s="355" t="s">
        <v>276</v>
      </c>
      <c r="BC2553" s="355" t="s">
        <v>276</v>
      </c>
      <c r="BD2553" s="355" t="s">
        <v>276</v>
      </c>
      <c r="BE2553" s="355" t="s">
        <v>276</v>
      </c>
      <c r="BF2553" s="351" t="s">
        <v>1029</v>
      </c>
      <c r="BG2553" s="351"/>
      <c r="BH2553" s="9" t="s">
        <v>100</v>
      </c>
      <c r="BI2553" s="9" t="s">
        <v>100</v>
      </c>
    </row>
    <row r="2554" spans="1:67" s="374" customFormat="1" ht="65" hidden="1" x14ac:dyDescent="0.35">
      <c r="A2554" s="357">
        <v>2832</v>
      </c>
      <c r="B2554" s="357" t="s">
        <v>6218</v>
      </c>
      <c r="C2554" s="357" t="s">
        <v>88</v>
      </c>
      <c r="D2554" s="351" t="s">
        <v>11518</v>
      </c>
      <c r="E2554" s="357" t="s">
        <v>43</v>
      </c>
      <c r="F2554" s="351" t="s">
        <v>4987</v>
      </c>
      <c r="G2554" s="357" t="s">
        <v>225</v>
      </c>
      <c r="H2554" s="357" t="s">
        <v>125</v>
      </c>
      <c r="I2554" s="357" t="s">
        <v>114</v>
      </c>
      <c r="J2554" s="351" t="s">
        <v>29</v>
      </c>
      <c r="K2554" s="395" t="s">
        <v>6411</v>
      </c>
      <c r="L2554" s="351" t="s">
        <v>5838</v>
      </c>
      <c r="M2554" s="351" t="s">
        <v>5838</v>
      </c>
      <c r="N2554" s="357" t="s">
        <v>6221</v>
      </c>
      <c r="O2554" s="357" t="s">
        <v>276</v>
      </c>
      <c r="P2554" s="351" t="s">
        <v>239</v>
      </c>
      <c r="Q2554" s="383" t="s">
        <v>6222</v>
      </c>
      <c r="R2554" s="351" t="s">
        <v>766</v>
      </c>
      <c r="S2554" s="360" t="s">
        <v>276</v>
      </c>
      <c r="T2554" s="360" t="s">
        <v>276</v>
      </c>
      <c r="U2554" s="351">
        <v>5</v>
      </c>
      <c r="V2554" s="357" t="s">
        <v>261</v>
      </c>
      <c r="W2554" s="357" t="s">
        <v>5159</v>
      </c>
      <c r="X2554" s="351" t="s">
        <v>207</v>
      </c>
      <c r="Y2554" s="354">
        <v>9972</v>
      </c>
      <c r="Z2554" s="354">
        <v>9973</v>
      </c>
      <c r="AA2554" s="351" t="s">
        <v>276</v>
      </c>
      <c r="AB2554" s="351" t="s">
        <v>276</v>
      </c>
      <c r="AC2554" s="357">
        <v>18</v>
      </c>
      <c r="AD2554" s="357" t="s">
        <v>6412</v>
      </c>
      <c r="AE2554" s="357">
        <v>42</v>
      </c>
      <c r="AF2554" s="357" t="s">
        <v>6412</v>
      </c>
      <c r="AG2554" s="351" t="s">
        <v>11519</v>
      </c>
      <c r="AH2554" s="351" t="s">
        <v>6200</v>
      </c>
      <c r="AI2554" s="354">
        <v>7</v>
      </c>
      <c r="AJ2554" s="354">
        <v>10</v>
      </c>
      <c r="AK2554" s="354">
        <v>9972</v>
      </c>
      <c r="AL2554" s="354">
        <v>9973</v>
      </c>
      <c r="AM2554" s="355" t="s">
        <v>292</v>
      </c>
      <c r="AN2554" s="354" t="s">
        <v>276</v>
      </c>
      <c r="AO2554" s="402">
        <f t="shared" ref="AO2554:AO2557" si="682">AI2554*100/AK2554</f>
        <v>7.0196550340954678E-2</v>
      </c>
      <c r="AP2554" s="354" t="s">
        <v>276</v>
      </c>
      <c r="AQ2554" s="354" t="s">
        <v>276</v>
      </c>
      <c r="AR2554" s="354" t="s">
        <v>276</v>
      </c>
      <c r="AS2554" s="402">
        <f t="shared" ref="AS2554:AS2557" si="683">AJ2554*100/AL2554</f>
        <v>0.10027073097362879</v>
      </c>
      <c r="AT2554" s="354" t="s">
        <v>276</v>
      </c>
      <c r="AU2554" s="354" t="s">
        <v>276</v>
      </c>
      <c r="AV2554" s="357" t="s">
        <v>268</v>
      </c>
      <c r="AW2554" s="355" t="s">
        <v>276</v>
      </c>
      <c r="AX2554" s="402">
        <f t="shared" si="681"/>
        <v>0.70007019655034108</v>
      </c>
      <c r="AY2554" s="354" t="s">
        <v>276</v>
      </c>
      <c r="AZ2554" s="354" t="s">
        <v>276</v>
      </c>
      <c r="BA2554" s="354" t="s">
        <v>276</v>
      </c>
      <c r="BB2554" s="354" t="s">
        <v>276</v>
      </c>
      <c r="BC2554" s="354" t="s">
        <v>276</v>
      </c>
      <c r="BD2554" s="354" t="s">
        <v>276</v>
      </c>
      <c r="BE2554" s="354" t="s">
        <v>276</v>
      </c>
      <c r="BF2554" s="357" t="s">
        <v>1358</v>
      </c>
      <c r="BG2554" s="357"/>
      <c r="BH2554" s="9" t="s">
        <v>100</v>
      </c>
      <c r="BI2554" s="9" t="s">
        <v>100</v>
      </c>
    </row>
    <row r="2555" spans="1:67" s="374" customFormat="1" ht="65" hidden="1" x14ac:dyDescent="0.35">
      <c r="A2555" s="357">
        <v>2832</v>
      </c>
      <c r="B2555" s="357" t="s">
        <v>6218</v>
      </c>
      <c r="C2555" s="357" t="s">
        <v>88</v>
      </c>
      <c r="D2555" s="351" t="s">
        <v>11520</v>
      </c>
      <c r="E2555" s="357" t="s">
        <v>43</v>
      </c>
      <c r="F2555" s="351" t="s">
        <v>4987</v>
      </c>
      <c r="G2555" s="357" t="s">
        <v>225</v>
      </c>
      <c r="H2555" s="357" t="s">
        <v>125</v>
      </c>
      <c r="I2555" s="357" t="s">
        <v>114</v>
      </c>
      <c r="J2555" s="351" t="s">
        <v>29</v>
      </c>
      <c r="K2555" s="395" t="s">
        <v>1716</v>
      </c>
      <c r="L2555" s="351" t="s">
        <v>5838</v>
      </c>
      <c r="M2555" s="351" t="s">
        <v>5838</v>
      </c>
      <c r="N2555" s="357" t="s">
        <v>6221</v>
      </c>
      <c r="O2555" s="357" t="s">
        <v>276</v>
      </c>
      <c r="P2555" s="351" t="s">
        <v>239</v>
      </c>
      <c r="Q2555" s="383" t="s">
        <v>6222</v>
      </c>
      <c r="R2555" s="351" t="s">
        <v>766</v>
      </c>
      <c r="S2555" s="360" t="s">
        <v>276</v>
      </c>
      <c r="T2555" s="360" t="s">
        <v>276</v>
      </c>
      <c r="U2555" s="357">
        <v>5</v>
      </c>
      <c r="V2555" s="357" t="s">
        <v>261</v>
      </c>
      <c r="W2555" s="357" t="s">
        <v>5159</v>
      </c>
      <c r="X2555" s="351" t="s">
        <v>207</v>
      </c>
      <c r="Y2555" s="354">
        <v>9972</v>
      </c>
      <c r="Z2555" s="354">
        <v>9973</v>
      </c>
      <c r="AA2555" s="351" t="s">
        <v>276</v>
      </c>
      <c r="AB2555" s="351" t="s">
        <v>276</v>
      </c>
      <c r="AC2555" s="357">
        <v>18</v>
      </c>
      <c r="AD2555" s="357" t="s">
        <v>6412</v>
      </c>
      <c r="AE2555" s="357">
        <v>42</v>
      </c>
      <c r="AF2555" s="357" t="s">
        <v>6412</v>
      </c>
      <c r="AG2555" s="351" t="s">
        <v>11521</v>
      </c>
      <c r="AH2555" s="351" t="s">
        <v>6200</v>
      </c>
      <c r="AI2555" s="354">
        <v>635</v>
      </c>
      <c r="AJ2555" s="354">
        <v>223</v>
      </c>
      <c r="AK2555" s="354">
        <v>9972</v>
      </c>
      <c r="AL2555" s="354">
        <v>9973</v>
      </c>
      <c r="AM2555" s="355" t="s">
        <v>292</v>
      </c>
      <c r="AN2555" s="354" t="s">
        <v>276</v>
      </c>
      <c r="AO2555" s="402">
        <f t="shared" si="682"/>
        <v>6.3678299237866023</v>
      </c>
      <c r="AP2555" s="354" t="s">
        <v>276</v>
      </c>
      <c r="AQ2555" s="354" t="s">
        <v>276</v>
      </c>
      <c r="AR2555" s="354" t="s">
        <v>276</v>
      </c>
      <c r="AS2555" s="402">
        <f t="shared" si="683"/>
        <v>2.2360373007119221</v>
      </c>
      <c r="AT2555" s="354" t="s">
        <v>276</v>
      </c>
      <c r="AU2555" s="354" t="s">
        <v>276</v>
      </c>
      <c r="AV2555" s="357" t="s">
        <v>268</v>
      </c>
      <c r="AW2555" s="355" t="s">
        <v>276</v>
      </c>
      <c r="AX2555" s="402">
        <f t="shared" si="681"/>
        <v>2.8478191851983761</v>
      </c>
      <c r="AY2555" s="354" t="s">
        <v>276</v>
      </c>
      <c r="AZ2555" s="354" t="s">
        <v>276</v>
      </c>
      <c r="BA2555" s="354" t="s">
        <v>276</v>
      </c>
      <c r="BB2555" s="354" t="s">
        <v>276</v>
      </c>
      <c r="BC2555" s="354" t="s">
        <v>276</v>
      </c>
      <c r="BD2555" s="354" t="s">
        <v>276</v>
      </c>
      <c r="BE2555" s="354" t="s">
        <v>276</v>
      </c>
      <c r="BF2555" s="357" t="s">
        <v>1358</v>
      </c>
      <c r="BG2555" s="357"/>
      <c r="BH2555" s="9" t="s">
        <v>100</v>
      </c>
      <c r="BI2555" s="9" t="s">
        <v>100</v>
      </c>
    </row>
    <row r="2556" spans="1:67" s="374" customFormat="1" ht="65" hidden="1" x14ac:dyDescent="0.35">
      <c r="A2556" s="357">
        <v>2832</v>
      </c>
      <c r="B2556" s="357" t="s">
        <v>6218</v>
      </c>
      <c r="C2556" s="357" t="s">
        <v>88</v>
      </c>
      <c r="D2556" s="351" t="s">
        <v>11522</v>
      </c>
      <c r="E2556" s="357" t="s">
        <v>43</v>
      </c>
      <c r="F2556" s="351" t="s">
        <v>4987</v>
      </c>
      <c r="G2556" s="357" t="s">
        <v>225</v>
      </c>
      <c r="H2556" s="357" t="s">
        <v>125</v>
      </c>
      <c r="I2556" s="357" t="s">
        <v>114</v>
      </c>
      <c r="J2556" s="351" t="s">
        <v>29</v>
      </c>
      <c r="K2556" s="395" t="s">
        <v>1183</v>
      </c>
      <c r="L2556" s="351" t="s">
        <v>5838</v>
      </c>
      <c r="M2556" s="351" t="s">
        <v>5838</v>
      </c>
      <c r="N2556" s="357" t="s">
        <v>6221</v>
      </c>
      <c r="O2556" s="357" t="s">
        <v>276</v>
      </c>
      <c r="P2556" s="351" t="s">
        <v>239</v>
      </c>
      <c r="Q2556" s="383" t="s">
        <v>6222</v>
      </c>
      <c r="R2556" s="351" t="s">
        <v>766</v>
      </c>
      <c r="S2556" s="360" t="s">
        <v>276</v>
      </c>
      <c r="T2556" s="360" t="s">
        <v>276</v>
      </c>
      <c r="U2556" s="351">
        <v>5</v>
      </c>
      <c r="V2556" s="357" t="s">
        <v>261</v>
      </c>
      <c r="W2556" s="357" t="s">
        <v>5159</v>
      </c>
      <c r="X2556" s="351" t="s">
        <v>207</v>
      </c>
      <c r="Y2556" s="354">
        <v>9972</v>
      </c>
      <c r="Z2556" s="354">
        <v>9973</v>
      </c>
      <c r="AA2556" s="351" t="s">
        <v>276</v>
      </c>
      <c r="AB2556" s="351" t="s">
        <v>276</v>
      </c>
      <c r="AC2556" s="357">
        <v>18</v>
      </c>
      <c r="AD2556" s="357" t="s">
        <v>6412</v>
      </c>
      <c r="AE2556" s="357">
        <v>42</v>
      </c>
      <c r="AF2556" s="357" t="s">
        <v>6412</v>
      </c>
      <c r="AG2556" s="351" t="s">
        <v>11523</v>
      </c>
      <c r="AH2556" s="351" t="s">
        <v>6200</v>
      </c>
      <c r="AI2556" s="354">
        <v>121</v>
      </c>
      <c r="AJ2556" s="354">
        <v>124</v>
      </c>
      <c r="AK2556" s="354">
        <v>9972</v>
      </c>
      <c r="AL2556" s="354">
        <v>9973</v>
      </c>
      <c r="AM2556" s="355" t="s">
        <v>292</v>
      </c>
      <c r="AN2556" s="354" t="s">
        <v>276</v>
      </c>
      <c r="AO2556" s="402">
        <f t="shared" si="682"/>
        <v>1.2133975130365022</v>
      </c>
      <c r="AP2556" s="354" t="s">
        <v>276</v>
      </c>
      <c r="AQ2556" s="354" t="s">
        <v>276</v>
      </c>
      <c r="AR2556" s="354" t="s">
        <v>276</v>
      </c>
      <c r="AS2556" s="402">
        <f t="shared" si="683"/>
        <v>1.2433570640729972</v>
      </c>
      <c r="AT2556" s="354" t="s">
        <v>276</v>
      </c>
      <c r="AU2556" s="354" t="s">
        <v>276</v>
      </c>
      <c r="AV2556" s="357" t="s">
        <v>268</v>
      </c>
      <c r="AW2556" s="355" t="s">
        <v>276</v>
      </c>
      <c r="AX2556" s="402">
        <f t="shared" si="681"/>
        <v>0.97590430625105129</v>
      </c>
      <c r="AY2556" s="354" t="s">
        <v>276</v>
      </c>
      <c r="AZ2556" s="354" t="s">
        <v>276</v>
      </c>
      <c r="BA2556" s="354" t="s">
        <v>276</v>
      </c>
      <c r="BB2556" s="354" t="s">
        <v>276</v>
      </c>
      <c r="BC2556" s="354" t="s">
        <v>276</v>
      </c>
      <c r="BD2556" s="354" t="s">
        <v>276</v>
      </c>
      <c r="BE2556" s="354" t="s">
        <v>276</v>
      </c>
      <c r="BF2556" s="357" t="s">
        <v>1358</v>
      </c>
      <c r="BG2556" s="357"/>
      <c r="BH2556" s="9" t="s">
        <v>100</v>
      </c>
      <c r="BI2556" s="9" t="s">
        <v>100</v>
      </c>
    </row>
    <row r="2557" spans="1:67" s="374" customFormat="1" ht="65" hidden="1" x14ac:dyDescent="0.35">
      <c r="A2557" s="357">
        <v>2832</v>
      </c>
      <c r="B2557" s="357" t="s">
        <v>6218</v>
      </c>
      <c r="C2557" s="357" t="s">
        <v>88</v>
      </c>
      <c r="D2557" s="351" t="s">
        <v>11524</v>
      </c>
      <c r="E2557" s="357" t="s">
        <v>43</v>
      </c>
      <c r="F2557" s="351" t="s">
        <v>4987</v>
      </c>
      <c r="G2557" s="357" t="s">
        <v>225</v>
      </c>
      <c r="H2557" s="357" t="s">
        <v>125</v>
      </c>
      <c r="I2557" s="357" t="s">
        <v>114</v>
      </c>
      <c r="J2557" s="351" t="s">
        <v>29</v>
      </c>
      <c r="K2557" s="395" t="s">
        <v>1709</v>
      </c>
      <c r="L2557" s="351" t="s">
        <v>5838</v>
      </c>
      <c r="M2557" s="351" t="s">
        <v>5838</v>
      </c>
      <c r="N2557" s="357" t="s">
        <v>6221</v>
      </c>
      <c r="O2557" s="357" t="s">
        <v>276</v>
      </c>
      <c r="P2557" s="351" t="s">
        <v>239</v>
      </c>
      <c r="Q2557" s="383" t="s">
        <v>6222</v>
      </c>
      <c r="R2557" s="351" t="s">
        <v>766</v>
      </c>
      <c r="S2557" s="360" t="s">
        <v>276</v>
      </c>
      <c r="T2557" s="360" t="s">
        <v>276</v>
      </c>
      <c r="U2557" s="357">
        <v>5</v>
      </c>
      <c r="V2557" s="357" t="s">
        <v>261</v>
      </c>
      <c r="W2557" s="357" t="s">
        <v>5159</v>
      </c>
      <c r="X2557" s="351" t="s">
        <v>207</v>
      </c>
      <c r="Y2557" s="354">
        <v>9972</v>
      </c>
      <c r="Z2557" s="354">
        <v>9973</v>
      </c>
      <c r="AA2557" s="351" t="s">
        <v>276</v>
      </c>
      <c r="AB2557" s="351" t="s">
        <v>276</v>
      </c>
      <c r="AC2557" s="357">
        <v>18</v>
      </c>
      <c r="AD2557" s="357" t="s">
        <v>6412</v>
      </c>
      <c r="AE2557" s="357">
        <v>42</v>
      </c>
      <c r="AF2557" s="357" t="s">
        <v>6412</v>
      </c>
      <c r="AG2557" s="351" t="s">
        <v>11525</v>
      </c>
      <c r="AH2557" s="351" t="s">
        <v>6200</v>
      </c>
      <c r="AI2557" s="354">
        <v>29</v>
      </c>
      <c r="AJ2557" s="354">
        <v>43</v>
      </c>
      <c r="AK2557" s="354">
        <v>9972</v>
      </c>
      <c r="AL2557" s="354">
        <v>9973</v>
      </c>
      <c r="AM2557" s="355" t="s">
        <v>292</v>
      </c>
      <c r="AN2557" s="354" t="s">
        <v>276</v>
      </c>
      <c r="AO2557" s="402">
        <f t="shared" si="682"/>
        <v>0.29081427998395509</v>
      </c>
      <c r="AP2557" s="354" t="s">
        <v>276</v>
      </c>
      <c r="AQ2557" s="354" t="s">
        <v>276</v>
      </c>
      <c r="AR2557" s="354" t="s">
        <v>276</v>
      </c>
      <c r="AS2557" s="402">
        <f t="shared" si="683"/>
        <v>0.43116414318660384</v>
      </c>
      <c r="AT2557" s="354" t="s">
        <v>276</v>
      </c>
      <c r="AU2557" s="354" t="s">
        <v>276</v>
      </c>
      <c r="AV2557" s="357" t="s">
        <v>268</v>
      </c>
      <c r="AW2557" s="355" t="s">
        <v>276</v>
      </c>
      <c r="AX2557" s="402">
        <f t="shared" si="681"/>
        <v>0.67448623587906609</v>
      </c>
      <c r="AY2557" s="354" t="s">
        <v>276</v>
      </c>
      <c r="AZ2557" s="354" t="s">
        <v>276</v>
      </c>
      <c r="BA2557" s="354" t="s">
        <v>276</v>
      </c>
      <c r="BB2557" s="354" t="s">
        <v>276</v>
      </c>
      <c r="BC2557" s="354" t="s">
        <v>276</v>
      </c>
      <c r="BD2557" s="354" t="s">
        <v>276</v>
      </c>
      <c r="BE2557" s="354" t="s">
        <v>276</v>
      </c>
      <c r="BF2557" s="357" t="s">
        <v>1358</v>
      </c>
      <c r="BG2557" s="357"/>
      <c r="BH2557" s="9" t="s">
        <v>100</v>
      </c>
      <c r="BI2557" s="9" t="s">
        <v>100</v>
      </c>
    </row>
    <row r="2558" spans="1:67" s="357" customFormat="1" ht="78" hidden="1" x14ac:dyDescent="0.35">
      <c r="A2558" s="357">
        <v>10008</v>
      </c>
      <c r="B2558" s="357" t="s">
        <v>6304</v>
      </c>
      <c r="C2558" s="357" t="s">
        <v>88</v>
      </c>
      <c r="D2558" s="351" t="s">
        <v>11526</v>
      </c>
      <c r="E2558" s="357" t="s">
        <v>43</v>
      </c>
      <c r="F2558" s="351" t="s">
        <v>4987</v>
      </c>
      <c r="G2558" s="357" t="s">
        <v>225</v>
      </c>
      <c r="H2558" s="357" t="s">
        <v>125</v>
      </c>
      <c r="I2558" s="357" t="s">
        <v>114</v>
      </c>
      <c r="J2558" s="351" t="s">
        <v>29</v>
      </c>
      <c r="K2558" s="375" t="s">
        <v>1772</v>
      </c>
      <c r="L2558" s="351" t="s">
        <v>6307</v>
      </c>
      <c r="M2558" s="351" t="s">
        <v>6308</v>
      </c>
      <c r="N2558" s="351" t="s">
        <v>6413</v>
      </c>
      <c r="O2558" s="351" t="s">
        <v>6310</v>
      </c>
      <c r="P2558" s="351" t="s">
        <v>239</v>
      </c>
      <c r="Q2558" s="406" t="s">
        <v>6311</v>
      </c>
      <c r="R2558" s="351" t="s">
        <v>276</v>
      </c>
      <c r="S2558" s="351" t="s">
        <v>6312</v>
      </c>
      <c r="T2558" s="351" t="s">
        <v>6312</v>
      </c>
      <c r="U2558" s="357" t="s">
        <v>6313</v>
      </c>
      <c r="V2558" s="357" t="s">
        <v>261</v>
      </c>
      <c r="W2558" s="351" t="s">
        <v>6314</v>
      </c>
      <c r="X2558" s="351" t="s">
        <v>207</v>
      </c>
      <c r="Y2558" s="357">
        <v>82816</v>
      </c>
      <c r="Z2558" s="357">
        <v>99184</v>
      </c>
      <c r="AA2558" s="357" t="s">
        <v>276</v>
      </c>
      <c r="AB2558" s="357" t="s">
        <v>276</v>
      </c>
      <c r="AC2558" s="357">
        <v>0</v>
      </c>
      <c r="AD2558" s="351" t="s">
        <v>1710</v>
      </c>
      <c r="AE2558" s="357">
        <v>0</v>
      </c>
      <c r="AF2558" s="351" t="s">
        <v>1710</v>
      </c>
      <c r="AG2558" s="351" t="s">
        <v>11527</v>
      </c>
      <c r="AH2558" s="351" t="s">
        <v>6200</v>
      </c>
      <c r="AI2558" s="357">
        <v>4726</v>
      </c>
      <c r="AJ2558" s="357">
        <v>2583</v>
      </c>
      <c r="AK2558" s="357">
        <v>82816</v>
      </c>
      <c r="AL2558" s="357">
        <v>99184</v>
      </c>
      <c r="AM2558" s="351" t="s">
        <v>6317</v>
      </c>
      <c r="AN2558" s="357" t="s">
        <v>276</v>
      </c>
      <c r="AO2558" s="402">
        <f>AI2558*10000/AK2558</f>
        <v>570.66267387944356</v>
      </c>
      <c r="AP2558" s="357" t="s">
        <v>276</v>
      </c>
      <c r="AQ2558" s="357" t="s">
        <v>276</v>
      </c>
      <c r="AR2558" s="357" t="s">
        <v>276</v>
      </c>
      <c r="AS2558" s="402">
        <f>AJ2558*10000/AL2558</f>
        <v>260.42506855944509</v>
      </c>
      <c r="AT2558" s="357" t="s">
        <v>276</v>
      </c>
      <c r="AU2558" s="357" t="s">
        <v>276</v>
      </c>
      <c r="AV2558" s="357" t="s">
        <v>268</v>
      </c>
      <c r="AW2558" s="357" t="s">
        <v>276</v>
      </c>
      <c r="AX2558" s="402">
        <f t="shared" si="681"/>
        <v>2.1912739700371167</v>
      </c>
      <c r="AY2558" s="357" t="s">
        <v>276</v>
      </c>
      <c r="AZ2558" s="357" t="s">
        <v>276</v>
      </c>
      <c r="BA2558" s="357" t="s">
        <v>276</v>
      </c>
      <c r="BB2558" s="357" t="s">
        <v>276</v>
      </c>
      <c r="BC2558" s="357" t="s">
        <v>276</v>
      </c>
      <c r="BD2558" s="357" t="s">
        <v>276</v>
      </c>
      <c r="BE2558" s="357" t="s">
        <v>276</v>
      </c>
      <c r="BF2558" s="357" t="s">
        <v>1358</v>
      </c>
      <c r="BG2558" s="351" t="s">
        <v>6318</v>
      </c>
      <c r="BH2558" s="9" t="s">
        <v>100</v>
      </c>
      <c r="BI2558" s="9" t="s">
        <v>100</v>
      </c>
    </row>
    <row r="2559" spans="1:67" s="357" customFormat="1" ht="78" hidden="1" x14ac:dyDescent="0.35">
      <c r="A2559" s="357">
        <v>10008</v>
      </c>
      <c r="B2559" s="357" t="s">
        <v>6304</v>
      </c>
      <c r="C2559" s="357" t="s">
        <v>88</v>
      </c>
      <c r="D2559" s="351" t="s">
        <v>11528</v>
      </c>
      <c r="E2559" s="357" t="s">
        <v>43</v>
      </c>
      <c r="F2559" s="351" t="s">
        <v>4987</v>
      </c>
      <c r="G2559" s="357" t="s">
        <v>225</v>
      </c>
      <c r="H2559" s="357" t="s">
        <v>125</v>
      </c>
      <c r="I2559" s="357" t="s">
        <v>114</v>
      </c>
      <c r="J2559" s="351" t="s">
        <v>29</v>
      </c>
      <c r="K2559" s="351">
        <v>7</v>
      </c>
      <c r="L2559" s="351" t="s">
        <v>6307</v>
      </c>
      <c r="M2559" s="351" t="s">
        <v>6308</v>
      </c>
      <c r="N2559" s="351" t="s">
        <v>6413</v>
      </c>
      <c r="O2559" s="351" t="s">
        <v>6310</v>
      </c>
      <c r="P2559" s="351" t="s">
        <v>239</v>
      </c>
      <c r="Q2559" s="406" t="s">
        <v>6311</v>
      </c>
      <c r="R2559" s="351" t="s">
        <v>276</v>
      </c>
      <c r="S2559" s="351" t="s">
        <v>6312</v>
      </c>
      <c r="T2559" s="351" t="s">
        <v>6312</v>
      </c>
      <c r="U2559" s="357" t="s">
        <v>6313</v>
      </c>
      <c r="V2559" s="357" t="s">
        <v>261</v>
      </c>
      <c r="W2559" s="351" t="s">
        <v>6314</v>
      </c>
      <c r="X2559" s="351" t="s">
        <v>207</v>
      </c>
      <c r="Y2559" s="357">
        <v>82816</v>
      </c>
      <c r="Z2559" s="357">
        <v>99184</v>
      </c>
      <c r="AA2559" s="357" t="s">
        <v>276</v>
      </c>
      <c r="AB2559" s="357" t="s">
        <v>276</v>
      </c>
      <c r="AC2559" s="357" t="s">
        <v>276</v>
      </c>
      <c r="AD2559" s="351" t="s">
        <v>1710</v>
      </c>
      <c r="AE2559" s="357">
        <v>0</v>
      </c>
      <c r="AF2559" s="351" t="s">
        <v>1710</v>
      </c>
      <c r="AG2559" s="351" t="s">
        <v>11529</v>
      </c>
      <c r="AH2559" s="351" t="s">
        <v>6200</v>
      </c>
      <c r="AI2559" s="357">
        <v>1326</v>
      </c>
      <c r="AJ2559" s="357">
        <v>1404</v>
      </c>
      <c r="AK2559" s="357">
        <v>82816</v>
      </c>
      <c r="AL2559" s="357">
        <v>99184</v>
      </c>
      <c r="AM2559" s="351" t="s">
        <v>6317</v>
      </c>
      <c r="AN2559" s="357" t="s">
        <v>276</v>
      </c>
      <c r="AO2559" s="402">
        <f t="shared" ref="AO2559:AO2560" si="684">AI2559*10000/AK2559</f>
        <v>160.11398763523957</v>
      </c>
      <c r="AP2559" s="357" t="s">
        <v>276</v>
      </c>
      <c r="AQ2559" s="357" t="s">
        <v>276</v>
      </c>
      <c r="AR2559" s="357" t="s">
        <v>276</v>
      </c>
      <c r="AS2559" s="402">
        <f>AJ2559*10000/AL2559</f>
        <v>141.55508953056943</v>
      </c>
      <c r="AT2559" s="357" t="s">
        <v>276</v>
      </c>
      <c r="AU2559" s="357" t="s">
        <v>276</v>
      </c>
      <c r="AV2559" s="357" t="s">
        <v>268</v>
      </c>
      <c r="AW2559" s="357" t="s">
        <v>276</v>
      </c>
      <c r="AX2559" s="402">
        <f t="shared" si="681"/>
        <v>1.131107247123476</v>
      </c>
      <c r="AY2559" s="357" t="s">
        <v>276</v>
      </c>
      <c r="AZ2559" s="357" t="s">
        <v>276</v>
      </c>
      <c r="BA2559" s="357" t="s">
        <v>276</v>
      </c>
      <c r="BB2559" s="357" t="s">
        <v>276</v>
      </c>
      <c r="BC2559" s="357" t="s">
        <v>276</v>
      </c>
      <c r="BD2559" s="357" t="s">
        <v>276</v>
      </c>
      <c r="BE2559" s="357" t="s">
        <v>276</v>
      </c>
      <c r="BF2559" s="357" t="s">
        <v>1358</v>
      </c>
      <c r="BG2559" s="351" t="s">
        <v>6318</v>
      </c>
      <c r="BH2559" s="9" t="s">
        <v>100</v>
      </c>
      <c r="BI2559" s="9" t="s">
        <v>100</v>
      </c>
    </row>
    <row r="2560" spans="1:67" s="357" customFormat="1" ht="78" hidden="1" x14ac:dyDescent="0.35">
      <c r="A2560" s="357">
        <v>10008</v>
      </c>
      <c r="B2560" s="357" t="s">
        <v>6304</v>
      </c>
      <c r="C2560" s="357" t="s">
        <v>88</v>
      </c>
      <c r="D2560" s="351" t="s">
        <v>11530</v>
      </c>
      <c r="E2560" s="357" t="s">
        <v>43</v>
      </c>
      <c r="F2560" s="351" t="s">
        <v>4987</v>
      </c>
      <c r="G2560" s="357" t="s">
        <v>225</v>
      </c>
      <c r="H2560" s="357" t="s">
        <v>125</v>
      </c>
      <c r="I2560" s="357" t="s">
        <v>114</v>
      </c>
      <c r="J2560" s="351" t="s">
        <v>29</v>
      </c>
      <c r="K2560" s="395" t="s">
        <v>1709</v>
      </c>
      <c r="L2560" s="351" t="s">
        <v>6307</v>
      </c>
      <c r="M2560" s="351" t="s">
        <v>6308</v>
      </c>
      <c r="N2560" s="351" t="s">
        <v>6413</v>
      </c>
      <c r="O2560" s="351" t="s">
        <v>6310</v>
      </c>
      <c r="P2560" s="351" t="s">
        <v>239</v>
      </c>
      <c r="Q2560" s="406" t="s">
        <v>6311</v>
      </c>
      <c r="R2560" s="351" t="s">
        <v>276</v>
      </c>
      <c r="S2560" s="351" t="s">
        <v>6312</v>
      </c>
      <c r="T2560" s="351" t="s">
        <v>6312</v>
      </c>
      <c r="U2560" s="357" t="s">
        <v>6313</v>
      </c>
      <c r="V2560" s="357" t="s">
        <v>261</v>
      </c>
      <c r="W2560" s="351" t="s">
        <v>6314</v>
      </c>
      <c r="X2560" s="351" t="s">
        <v>207</v>
      </c>
      <c r="Y2560" s="357">
        <v>82816</v>
      </c>
      <c r="Z2560" s="357">
        <v>99184</v>
      </c>
      <c r="AA2560" s="357" t="s">
        <v>276</v>
      </c>
      <c r="AB2560" s="357" t="s">
        <v>276</v>
      </c>
      <c r="AC2560" s="357" t="s">
        <v>276</v>
      </c>
      <c r="AD2560" s="351" t="s">
        <v>1710</v>
      </c>
      <c r="AE2560" s="357">
        <v>0</v>
      </c>
      <c r="AF2560" s="351" t="s">
        <v>1710</v>
      </c>
      <c r="AG2560" s="351" t="s">
        <v>11531</v>
      </c>
      <c r="AH2560" s="351" t="s">
        <v>6200</v>
      </c>
      <c r="AI2560" s="357">
        <v>515</v>
      </c>
      <c r="AJ2560" s="357">
        <v>795</v>
      </c>
      <c r="AK2560" s="357">
        <v>82816</v>
      </c>
      <c r="AL2560" s="357">
        <v>99184</v>
      </c>
      <c r="AM2560" s="351" t="s">
        <v>6317</v>
      </c>
      <c r="AN2560" s="357" t="s">
        <v>276</v>
      </c>
      <c r="AO2560" s="402">
        <f t="shared" si="684"/>
        <v>62.186051004636788</v>
      </c>
      <c r="AP2560" s="357" t="s">
        <v>276</v>
      </c>
      <c r="AQ2560" s="357" t="s">
        <v>276</v>
      </c>
      <c r="AR2560" s="357" t="s">
        <v>276</v>
      </c>
      <c r="AS2560" s="402">
        <f>AJ2560*10000/AL2560</f>
        <v>80.154057105984833</v>
      </c>
      <c r="AT2560" s="357" t="s">
        <v>276</v>
      </c>
      <c r="AU2560" s="357" t="s">
        <v>276</v>
      </c>
      <c r="AV2560" s="357" t="s">
        <v>268</v>
      </c>
      <c r="AW2560" s="357" t="s">
        <v>276</v>
      </c>
      <c r="AX2560" s="402">
        <f t="shared" si="681"/>
        <v>0.77583160790489247</v>
      </c>
      <c r="AY2560" s="357" t="s">
        <v>276</v>
      </c>
      <c r="AZ2560" s="357" t="s">
        <v>276</v>
      </c>
      <c r="BA2560" s="357" t="s">
        <v>276</v>
      </c>
      <c r="BB2560" s="357" t="s">
        <v>276</v>
      </c>
      <c r="BC2560" s="357" t="s">
        <v>276</v>
      </c>
      <c r="BD2560" s="357" t="s">
        <v>276</v>
      </c>
      <c r="BE2560" s="357" t="s">
        <v>276</v>
      </c>
      <c r="BF2560" s="357" t="s">
        <v>1358</v>
      </c>
      <c r="BG2560" s="351" t="s">
        <v>6318</v>
      </c>
      <c r="BH2560" s="9" t="s">
        <v>100</v>
      </c>
      <c r="BI2560" s="9" t="s">
        <v>100</v>
      </c>
    </row>
    <row r="2561" spans="1:68" s="161" customFormat="1" ht="65" hidden="1" x14ac:dyDescent="0.35">
      <c r="A2561" s="347">
        <v>10337</v>
      </c>
      <c r="B2561" s="347" t="s">
        <v>6120</v>
      </c>
      <c r="C2561" s="347" t="s">
        <v>88</v>
      </c>
      <c r="D2561" s="351" t="s">
        <v>6414</v>
      </c>
      <c r="E2561" s="357" t="s">
        <v>43</v>
      </c>
      <c r="F2561" s="357" t="s">
        <v>4987</v>
      </c>
      <c r="G2561" s="357" t="s">
        <v>225</v>
      </c>
      <c r="H2561" s="357" t="s">
        <v>125</v>
      </c>
      <c r="I2561" s="357" t="s">
        <v>114</v>
      </c>
      <c r="J2561" s="351" t="s">
        <v>27</v>
      </c>
      <c r="K2561" s="357" t="s">
        <v>1499</v>
      </c>
      <c r="L2561" s="351" t="s">
        <v>5838</v>
      </c>
      <c r="M2561" s="351" t="s">
        <v>5838</v>
      </c>
      <c r="N2561" s="351" t="s">
        <v>6415</v>
      </c>
      <c r="O2561" s="357" t="s">
        <v>276</v>
      </c>
      <c r="P2561" s="351" t="s">
        <v>239</v>
      </c>
      <c r="Q2561" s="383" t="s">
        <v>276</v>
      </c>
      <c r="R2561" s="351" t="s">
        <v>705</v>
      </c>
      <c r="S2561" s="351" t="s">
        <v>276</v>
      </c>
      <c r="T2561" s="351" t="s">
        <v>276</v>
      </c>
      <c r="U2561" s="351">
        <v>1</v>
      </c>
      <c r="V2561" s="357" t="s">
        <v>261</v>
      </c>
      <c r="W2561" s="357" t="s">
        <v>5162</v>
      </c>
      <c r="X2561" s="351" t="s">
        <v>207</v>
      </c>
      <c r="Y2561" s="354">
        <v>24000</v>
      </c>
      <c r="Z2561" s="354">
        <v>35973</v>
      </c>
      <c r="AA2561" s="354" t="s">
        <v>276</v>
      </c>
      <c r="AB2561" s="354" t="s">
        <v>276</v>
      </c>
      <c r="AC2561" s="357">
        <v>1</v>
      </c>
      <c r="AD2561" s="357" t="s">
        <v>3850</v>
      </c>
      <c r="AE2561" s="357">
        <v>3</v>
      </c>
      <c r="AF2561" s="357" t="s">
        <v>3850</v>
      </c>
      <c r="AG2561" s="351" t="s">
        <v>6416</v>
      </c>
      <c r="AH2561" s="351" t="s">
        <v>5993</v>
      </c>
      <c r="AI2561" s="392">
        <f>139+20</f>
        <v>159</v>
      </c>
      <c r="AJ2561" s="392">
        <v>45</v>
      </c>
      <c r="AK2561" s="354">
        <v>24000</v>
      </c>
      <c r="AL2561" s="354">
        <v>35973</v>
      </c>
      <c r="AM2561" s="392" t="s">
        <v>292</v>
      </c>
      <c r="AN2561" s="357" t="s">
        <v>276</v>
      </c>
      <c r="AO2561" s="369">
        <f>(AI2561/AK2561)*100</f>
        <v>0.66249999999999998</v>
      </c>
      <c r="AP2561" s="357" t="s">
        <v>276</v>
      </c>
      <c r="AQ2561" s="357" t="s">
        <v>276</v>
      </c>
      <c r="AR2561" s="357" t="s">
        <v>276</v>
      </c>
      <c r="AS2561" s="369">
        <f>(AJ2561/AL2561)*100</f>
        <v>0.12509382036527394</v>
      </c>
      <c r="AT2561" s="357" t="s">
        <v>276</v>
      </c>
      <c r="AU2561" s="357" t="s">
        <v>276</v>
      </c>
      <c r="AV2561" s="357" t="s">
        <v>268</v>
      </c>
      <c r="AW2561" s="356" t="s">
        <v>276</v>
      </c>
      <c r="AX2561" s="369">
        <f t="shared" si="681"/>
        <v>5.2960250000000002</v>
      </c>
      <c r="AY2561" s="357" t="s">
        <v>276</v>
      </c>
      <c r="AZ2561" s="357" t="s">
        <v>276</v>
      </c>
      <c r="BA2561" s="357" t="s">
        <v>276</v>
      </c>
      <c r="BB2561" s="357" t="s">
        <v>276</v>
      </c>
      <c r="BC2561" s="357" t="s">
        <v>276</v>
      </c>
      <c r="BD2561" s="357" t="s">
        <v>276</v>
      </c>
      <c r="BE2561" s="357" t="s">
        <v>276</v>
      </c>
      <c r="BF2561" s="357" t="s">
        <v>298</v>
      </c>
      <c r="BG2561" s="351" t="s">
        <v>6127</v>
      </c>
      <c r="BH2561" s="9" t="s">
        <v>100</v>
      </c>
      <c r="BI2561" s="9" t="s">
        <v>100</v>
      </c>
      <c r="BJ2561" s="404"/>
      <c r="BK2561" s="404"/>
      <c r="BL2561" s="404"/>
      <c r="BM2561" s="404"/>
      <c r="BN2561" s="404"/>
      <c r="BO2561" s="404"/>
      <c r="BP2561" s="404"/>
    </row>
    <row r="2562" spans="1:68" s="161" customFormat="1" ht="65" hidden="1" x14ac:dyDescent="0.35">
      <c r="A2562" s="347">
        <v>10337</v>
      </c>
      <c r="B2562" s="347" t="s">
        <v>6120</v>
      </c>
      <c r="C2562" s="347" t="s">
        <v>88</v>
      </c>
      <c r="D2562" s="351" t="s">
        <v>6417</v>
      </c>
      <c r="E2562" s="357" t="s">
        <v>43</v>
      </c>
      <c r="F2562" s="357" t="s">
        <v>4987</v>
      </c>
      <c r="G2562" s="357" t="s">
        <v>225</v>
      </c>
      <c r="H2562" s="357" t="s">
        <v>125</v>
      </c>
      <c r="I2562" s="357" t="s">
        <v>114</v>
      </c>
      <c r="J2562" s="351" t="s">
        <v>27</v>
      </c>
      <c r="K2562" s="357" t="s">
        <v>1510</v>
      </c>
      <c r="L2562" s="351" t="s">
        <v>5838</v>
      </c>
      <c r="M2562" s="351" t="s">
        <v>5838</v>
      </c>
      <c r="N2562" s="351" t="s">
        <v>6415</v>
      </c>
      <c r="O2562" s="357" t="s">
        <v>276</v>
      </c>
      <c r="P2562" s="351" t="s">
        <v>239</v>
      </c>
      <c r="Q2562" s="383" t="s">
        <v>276</v>
      </c>
      <c r="R2562" s="351" t="s">
        <v>705</v>
      </c>
      <c r="S2562" s="351" t="s">
        <v>276</v>
      </c>
      <c r="T2562" s="351" t="s">
        <v>276</v>
      </c>
      <c r="U2562" s="351">
        <v>1</v>
      </c>
      <c r="V2562" s="357" t="s">
        <v>261</v>
      </c>
      <c r="W2562" s="357" t="s">
        <v>5162</v>
      </c>
      <c r="X2562" s="351" t="s">
        <v>207</v>
      </c>
      <c r="Y2562" s="354">
        <v>24000</v>
      </c>
      <c r="Z2562" s="354">
        <v>35973</v>
      </c>
      <c r="AA2562" s="354" t="s">
        <v>276</v>
      </c>
      <c r="AB2562" s="354" t="s">
        <v>276</v>
      </c>
      <c r="AC2562" s="357">
        <v>1</v>
      </c>
      <c r="AD2562" s="357" t="s">
        <v>3850</v>
      </c>
      <c r="AE2562" s="357">
        <v>3</v>
      </c>
      <c r="AF2562" s="357" t="s">
        <v>3850</v>
      </c>
      <c r="AG2562" s="351" t="s">
        <v>6418</v>
      </c>
      <c r="AH2562" s="351" t="s">
        <v>5993</v>
      </c>
      <c r="AI2562" s="392">
        <f>209+16</f>
        <v>225</v>
      </c>
      <c r="AJ2562" s="392">
        <v>56</v>
      </c>
      <c r="AK2562" s="354">
        <v>24000</v>
      </c>
      <c r="AL2562" s="354">
        <v>35973</v>
      </c>
      <c r="AM2562" s="392" t="s">
        <v>292</v>
      </c>
      <c r="AN2562" s="357" t="s">
        <v>276</v>
      </c>
      <c r="AO2562" s="369">
        <f t="shared" ref="AO2562:AO2563" si="685">(AI2562/AK2562)*100</f>
        <v>0.9375</v>
      </c>
      <c r="AP2562" s="357" t="s">
        <v>276</v>
      </c>
      <c r="AQ2562" s="357" t="s">
        <v>276</v>
      </c>
      <c r="AR2562" s="357" t="s">
        <v>276</v>
      </c>
      <c r="AS2562" s="369">
        <f t="shared" ref="AS2562:AS2563" si="686">(AJ2562/AL2562)*100</f>
        <v>0.15567230978789648</v>
      </c>
      <c r="AT2562" s="357" t="s">
        <v>276</v>
      </c>
      <c r="AU2562" s="357" t="s">
        <v>276</v>
      </c>
      <c r="AV2562" s="357" t="s">
        <v>268</v>
      </c>
      <c r="AW2562" s="356" t="s">
        <v>276</v>
      </c>
      <c r="AX2562" s="369">
        <f t="shared" si="681"/>
        <v>6.0222656250000002</v>
      </c>
      <c r="AY2562" s="357" t="s">
        <v>276</v>
      </c>
      <c r="AZ2562" s="357" t="s">
        <v>276</v>
      </c>
      <c r="BA2562" s="357" t="s">
        <v>276</v>
      </c>
      <c r="BB2562" s="357" t="s">
        <v>276</v>
      </c>
      <c r="BC2562" s="357" t="s">
        <v>276</v>
      </c>
      <c r="BD2562" s="357" t="s">
        <v>276</v>
      </c>
      <c r="BE2562" s="357" t="s">
        <v>276</v>
      </c>
      <c r="BF2562" s="357" t="s">
        <v>298</v>
      </c>
      <c r="BG2562" s="351" t="s">
        <v>6127</v>
      </c>
      <c r="BH2562" s="9" t="s">
        <v>100</v>
      </c>
      <c r="BI2562" s="9" t="s">
        <v>100</v>
      </c>
      <c r="BJ2562" s="404"/>
      <c r="BK2562" s="404"/>
      <c r="BL2562" s="404"/>
      <c r="BM2562" s="404"/>
      <c r="BN2562" s="404"/>
      <c r="BO2562" s="404"/>
      <c r="BP2562" s="404"/>
    </row>
    <row r="2563" spans="1:68" s="161" customFormat="1" ht="65" hidden="1" x14ac:dyDescent="0.35">
      <c r="A2563" s="347">
        <v>10337</v>
      </c>
      <c r="B2563" s="347" t="s">
        <v>6120</v>
      </c>
      <c r="C2563" s="347" t="s">
        <v>88</v>
      </c>
      <c r="D2563" s="351" t="s">
        <v>6419</v>
      </c>
      <c r="E2563" s="357" t="s">
        <v>43</v>
      </c>
      <c r="F2563" s="357" t="s">
        <v>4987</v>
      </c>
      <c r="G2563" s="357" t="s">
        <v>225</v>
      </c>
      <c r="H2563" s="357" t="s">
        <v>125</v>
      </c>
      <c r="I2563" s="357" t="s">
        <v>114</v>
      </c>
      <c r="J2563" s="351" t="s">
        <v>27</v>
      </c>
      <c r="K2563" s="357" t="s">
        <v>1513</v>
      </c>
      <c r="L2563" s="351" t="s">
        <v>5838</v>
      </c>
      <c r="M2563" s="351" t="s">
        <v>5838</v>
      </c>
      <c r="N2563" s="351" t="s">
        <v>6415</v>
      </c>
      <c r="O2563" s="357" t="s">
        <v>276</v>
      </c>
      <c r="P2563" s="351" t="s">
        <v>239</v>
      </c>
      <c r="Q2563" s="383" t="s">
        <v>276</v>
      </c>
      <c r="R2563" s="351" t="s">
        <v>705</v>
      </c>
      <c r="S2563" s="351" t="s">
        <v>276</v>
      </c>
      <c r="T2563" s="351" t="s">
        <v>276</v>
      </c>
      <c r="U2563" s="351">
        <v>1</v>
      </c>
      <c r="V2563" s="357" t="s">
        <v>261</v>
      </c>
      <c r="W2563" s="357" t="s">
        <v>5162</v>
      </c>
      <c r="X2563" s="351" t="s">
        <v>207</v>
      </c>
      <c r="Y2563" s="354">
        <v>24000</v>
      </c>
      <c r="Z2563" s="354">
        <v>35973</v>
      </c>
      <c r="AA2563" s="354" t="s">
        <v>276</v>
      </c>
      <c r="AB2563" s="354" t="s">
        <v>276</v>
      </c>
      <c r="AC2563" s="357">
        <v>1</v>
      </c>
      <c r="AD2563" s="357" t="s">
        <v>3850</v>
      </c>
      <c r="AE2563" s="357">
        <v>3</v>
      </c>
      <c r="AF2563" s="357" t="s">
        <v>3850</v>
      </c>
      <c r="AG2563" s="351" t="s">
        <v>6420</v>
      </c>
      <c r="AH2563" s="351" t="s">
        <v>5993</v>
      </c>
      <c r="AI2563" s="392">
        <f>28+4</f>
        <v>32</v>
      </c>
      <c r="AJ2563" s="392">
        <v>8</v>
      </c>
      <c r="AK2563" s="354">
        <v>24000</v>
      </c>
      <c r="AL2563" s="354">
        <v>35973</v>
      </c>
      <c r="AM2563" s="392" t="s">
        <v>292</v>
      </c>
      <c r="AN2563" s="357">
        <v>0.1</v>
      </c>
      <c r="AO2563" s="369">
        <f t="shared" si="685"/>
        <v>0.13333333333333333</v>
      </c>
      <c r="AP2563" s="357" t="s">
        <v>276</v>
      </c>
      <c r="AQ2563" s="357" t="s">
        <v>276</v>
      </c>
      <c r="AR2563" s="357">
        <v>0.02</v>
      </c>
      <c r="AS2563" s="369">
        <f t="shared" si="686"/>
        <v>2.2238901398270925E-2</v>
      </c>
      <c r="AT2563" s="357" t="s">
        <v>276</v>
      </c>
      <c r="AU2563" s="357" t="s">
        <v>276</v>
      </c>
      <c r="AV2563" s="357" t="s">
        <v>268</v>
      </c>
      <c r="AW2563" s="356" t="s">
        <v>276</v>
      </c>
      <c r="AX2563" s="369">
        <f t="shared" si="681"/>
        <v>5.9954999999999998</v>
      </c>
      <c r="AY2563" s="357" t="s">
        <v>276</v>
      </c>
      <c r="AZ2563" s="357" t="s">
        <v>276</v>
      </c>
      <c r="BA2563" s="357" t="s">
        <v>276</v>
      </c>
      <c r="BB2563" s="357" t="s">
        <v>276</v>
      </c>
      <c r="BC2563" s="357" t="s">
        <v>276</v>
      </c>
      <c r="BD2563" s="357" t="s">
        <v>276</v>
      </c>
      <c r="BE2563" s="357" t="s">
        <v>276</v>
      </c>
      <c r="BF2563" s="351" t="s">
        <v>6421</v>
      </c>
      <c r="BG2563" s="351" t="s">
        <v>6127</v>
      </c>
      <c r="BH2563" s="9" t="s">
        <v>100</v>
      </c>
      <c r="BI2563" s="9" t="s">
        <v>100</v>
      </c>
      <c r="BJ2563" s="404"/>
      <c r="BK2563" s="404"/>
      <c r="BL2563" s="404"/>
      <c r="BM2563" s="404"/>
      <c r="BN2563" s="404"/>
      <c r="BO2563" s="404"/>
      <c r="BP2563" s="404"/>
    </row>
  </sheetData>
  <autoFilter ref="A1:CL2563" xr:uid="{2F4DDA39-4635-4C2C-9660-F4F6D5C79339}">
    <filterColumn colId="15">
      <filters>
        <filter val="5. % of target cancers that are screen-detected"/>
      </filters>
    </filterColumn>
    <filterColumn colId="59">
      <filters>
        <filter val="yes"/>
      </filters>
    </filterColumn>
  </autoFilter>
  <mergeCells count="83">
    <mergeCell ref="S2539:T2539"/>
    <mergeCell ref="S2540:T2540"/>
    <mergeCell ref="S2541:T2541"/>
    <mergeCell ref="S2401:T2401"/>
    <mergeCell ref="S2402:T2402"/>
    <mergeCell ref="S2403:T2403"/>
    <mergeCell ref="S2404:T2404"/>
    <mergeCell ref="S2538:T2538"/>
    <mergeCell ref="S2396:T2396"/>
    <mergeCell ref="S2397:T2397"/>
    <mergeCell ref="S2398:T2398"/>
    <mergeCell ref="S2399:T2399"/>
    <mergeCell ref="S2400:T2400"/>
    <mergeCell ref="S2287:T2287"/>
    <mergeCell ref="S2292:T2292"/>
    <mergeCell ref="S2293:T2293"/>
    <mergeCell ref="S2294:T2294"/>
    <mergeCell ref="S2295:T2295"/>
    <mergeCell ref="S2282:T2282"/>
    <mergeCell ref="S2283:T2283"/>
    <mergeCell ref="S2284:T2284"/>
    <mergeCell ref="S2285:T2285"/>
    <mergeCell ref="S2286:T2286"/>
    <mergeCell ref="S2277:T2277"/>
    <mergeCell ref="S2278:T2278"/>
    <mergeCell ref="S2279:T2279"/>
    <mergeCell ref="S2280:T2280"/>
    <mergeCell ref="S2281:T2281"/>
    <mergeCell ref="S2272:T2272"/>
    <mergeCell ref="S2273:T2273"/>
    <mergeCell ref="S2274:T2274"/>
    <mergeCell ref="S2275:T2275"/>
    <mergeCell ref="S2276:T2276"/>
    <mergeCell ref="S2267:T2267"/>
    <mergeCell ref="S2268:T2268"/>
    <mergeCell ref="S2269:T2269"/>
    <mergeCell ref="S2270:T2270"/>
    <mergeCell ref="S2271:T2271"/>
    <mergeCell ref="S2262:T2262"/>
    <mergeCell ref="S2263:T2263"/>
    <mergeCell ref="S2264:T2264"/>
    <mergeCell ref="S2265:T2265"/>
    <mergeCell ref="S2266:T2266"/>
    <mergeCell ref="S2257:T2257"/>
    <mergeCell ref="S2258:T2258"/>
    <mergeCell ref="S2259:T2259"/>
    <mergeCell ref="S2260:T2260"/>
    <mergeCell ref="S2261:T2261"/>
    <mergeCell ref="S2252:T2252"/>
    <mergeCell ref="S2253:T2253"/>
    <mergeCell ref="S2254:T2254"/>
    <mergeCell ref="S2255:T2255"/>
    <mergeCell ref="S2256:T2256"/>
    <mergeCell ref="S2247:T2247"/>
    <mergeCell ref="S2248:T2248"/>
    <mergeCell ref="S2249:T2249"/>
    <mergeCell ref="S2250:T2250"/>
    <mergeCell ref="S2251:T2251"/>
    <mergeCell ref="S2242:T2242"/>
    <mergeCell ref="S2243:T2243"/>
    <mergeCell ref="S2244:T2244"/>
    <mergeCell ref="S2245:T2245"/>
    <mergeCell ref="S2246:T2246"/>
    <mergeCell ref="S2237:T2237"/>
    <mergeCell ref="S2238:T2238"/>
    <mergeCell ref="S2239:T2239"/>
    <mergeCell ref="S2240:T2240"/>
    <mergeCell ref="S2241:T2241"/>
    <mergeCell ref="S2232:T2232"/>
    <mergeCell ref="S2233:T2233"/>
    <mergeCell ref="S2234:T2234"/>
    <mergeCell ref="S2235:T2235"/>
    <mergeCell ref="S2236:T2236"/>
    <mergeCell ref="S2227:T2227"/>
    <mergeCell ref="S2228:T2228"/>
    <mergeCell ref="S2229:T2229"/>
    <mergeCell ref="S2230:T2230"/>
    <mergeCell ref="S2231:T2231"/>
    <mergeCell ref="S2222:T2222"/>
    <mergeCell ref="S2223:T2223"/>
    <mergeCell ref="S2224:T2224"/>
    <mergeCell ref="S2225:T2225"/>
    <mergeCell ref="S2226:T2226"/>
  </mergeCells>
  <pageMargins left="0.7" right="0.7" top="0.75" bottom="0.75" header="0.3" footer="0.3"/>
  <pageSetup paperSize="9" orientation="portrait" horizontalDpi="360" verticalDpi="360" r:id="rId1"/>
  <legacyDrawing r:id="rId2"/>
  <extLst>
    <ext xmlns:x14="http://schemas.microsoft.com/office/spreadsheetml/2009/9/main" uri="{CCE6A557-97BC-4b89-ADB6-D9C93CAAB3DF}">
      <x14:dataValidations xmlns:xm="http://schemas.microsoft.com/office/excel/2006/main" count="2">
        <x14:dataValidation type="list" allowBlank="1" showInputMessage="1" showErrorMessage="1" xr:uid="{F7F67D46-EFCE-41F5-8DAD-648781B84A3D}">
          <x14:formula1>
            <xm:f>'Dropdown lists'!$U$2:$U$7</xm:f>
          </x14:formula1>
          <xm:sqref>P913</xm:sqref>
        </x14:dataValidation>
        <x14:dataValidation type="list" allowBlank="1" showInputMessage="1" showErrorMessage="1" xr:uid="{2164488A-AD86-48B3-B0F3-F81900C40149}">
          <x14:formula1>
            <xm:f>'Dropdown lists'!$P$2:$P$3</xm:f>
          </x14:formula1>
          <xm:sqref>BH3:BI2563</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3EA49-1E58-4148-9D50-87FEAFC357B2}">
  <dimension ref="A1:EQ1457"/>
  <sheetViews>
    <sheetView zoomScale="72" zoomScaleNormal="72" workbookViewId="0">
      <pane xSplit="4" ySplit="2" topLeftCell="M167" activePane="bottomRight" state="frozen"/>
      <selection pane="topRight" activeCell="G1" sqref="G1"/>
      <selection pane="bottomLeft" activeCell="A3" sqref="A3"/>
      <selection pane="bottomRight" activeCell="D1" sqref="D1"/>
    </sheetView>
  </sheetViews>
  <sheetFormatPr defaultRowHeight="14.5" x14ac:dyDescent="0.35"/>
  <cols>
    <col min="1" max="1" width="7.54296875" style="2" customWidth="1"/>
    <col min="2" max="2" width="12.1796875" style="2" customWidth="1"/>
    <col min="3" max="3" width="13" style="2" customWidth="1"/>
    <col min="4" max="4" width="33.54296875" style="2" customWidth="1"/>
    <col min="5" max="5" width="10.54296875" style="2" customWidth="1"/>
    <col min="6" max="6" width="15.81640625" style="2" customWidth="1"/>
    <col min="7" max="7" width="16.453125" style="2" customWidth="1"/>
    <col min="8" max="8" width="18.1796875" style="2" customWidth="1"/>
    <col min="9" max="9" width="12.453125" style="2" customWidth="1"/>
    <col min="10" max="10" width="11.453125" style="10" customWidth="1"/>
    <col min="11" max="11" width="56.1796875" style="2" customWidth="1"/>
    <col min="12" max="12" width="33.1796875" style="2" customWidth="1"/>
    <col min="13" max="13" width="14.81640625" style="2" customWidth="1"/>
    <col min="14" max="14" width="16.7265625" style="2" customWidth="1"/>
    <col min="15" max="15" width="14" style="10" customWidth="1"/>
    <col min="16" max="16" width="12.453125" style="2" customWidth="1"/>
    <col min="17" max="17" width="14.54296875" style="2" customWidth="1"/>
    <col min="18" max="18" width="15.54296875" style="2" customWidth="1"/>
    <col min="19" max="19" width="16.1796875" style="2" customWidth="1"/>
    <col min="20" max="20" width="14.81640625" style="2" customWidth="1"/>
    <col min="21" max="21" width="11.54296875" style="2" customWidth="1"/>
    <col min="22" max="22" width="12" style="2" customWidth="1"/>
    <col min="23" max="23" width="9.453125" style="2" customWidth="1"/>
    <col min="24" max="24" width="10.1796875" style="2" customWidth="1"/>
    <col min="25" max="25" width="14.453125" style="2" customWidth="1"/>
    <col min="26" max="26" width="16.54296875" style="2" customWidth="1"/>
    <col min="27" max="27" width="16.453125" style="2" customWidth="1"/>
    <col min="28" max="28" width="16.81640625" style="2" customWidth="1"/>
    <col min="29" max="29" width="30.7265625" style="2" customWidth="1"/>
    <col min="30" max="30" width="30.54296875" style="2" customWidth="1"/>
    <col min="31" max="31" width="11" style="2" customWidth="1"/>
    <col min="32" max="32" width="12" style="2" customWidth="1"/>
    <col min="33" max="33" width="17" style="2" customWidth="1"/>
    <col min="34" max="34" width="17.81640625" style="2" customWidth="1"/>
    <col min="35" max="35" width="10.81640625" style="8" customWidth="1"/>
    <col min="36" max="43" width="13.54296875" style="2" customWidth="1"/>
    <col min="44" max="44" width="12.81640625" style="2" customWidth="1"/>
    <col min="45" max="45" width="9.81640625" style="2" customWidth="1"/>
    <col min="46" max="46" width="12.1796875" style="2" customWidth="1"/>
    <col min="47" max="47" width="10.1796875" style="2" customWidth="1"/>
    <col min="48" max="48" width="10.81640625" style="2" customWidth="1"/>
    <col min="49" max="49" width="10.1796875" style="2" customWidth="1"/>
    <col min="50" max="50" width="33.54296875" style="2" customWidth="1"/>
    <col min="51" max="54" width="8.81640625" style="2"/>
    <col min="55" max="55" width="48" style="2" customWidth="1"/>
    <col min="56" max="56" width="39.54296875" style="2" customWidth="1"/>
    <col min="57" max="57" width="20.453125" style="161" customWidth="1"/>
    <col min="58" max="58" width="25.453125" style="404" customWidth="1"/>
  </cols>
  <sheetData>
    <row r="1" spans="1:64" s="23" customFormat="1" ht="52" x14ac:dyDescent="0.35">
      <c r="A1" s="19" t="s">
        <v>1</v>
      </c>
      <c r="B1" s="18" t="s">
        <v>8</v>
      </c>
      <c r="C1" s="19" t="s">
        <v>3</v>
      </c>
      <c r="D1" s="19" t="s">
        <v>253</v>
      </c>
      <c r="E1" s="19" t="s">
        <v>2</v>
      </c>
      <c r="F1" s="19" t="s">
        <v>4</v>
      </c>
      <c r="G1" s="19" t="s">
        <v>213</v>
      </c>
      <c r="H1" s="19" t="s">
        <v>223</v>
      </c>
      <c r="I1" s="20" t="s">
        <v>7</v>
      </c>
      <c r="J1" s="19" t="s">
        <v>220</v>
      </c>
      <c r="K1" s="19" t="s">
        <v>204</v>
      </c>
      <c r="L1" s="19" t="s">
        <v>205</v>
      </c>
      <c r="M1" s="19" t="s">
        <v>109</v>
      </c>
      <c r="N1" s="19" t="s">
        <v>116</v>
      </c>
      <c r="O1" s="19" t="s">
        <v>9</v>
      </c>
      <c r="P1" s="20" t="s">
        <v>186</v>
      </c>
      <c r="Q1" s="20" t="s">
        <v>187</v>
      </c>
      <c r="R1" s="20" t="s">
        <v>254</v>
      </c>
      <c r="S1" s="20" t="s">
        <v>255</v>
      </c>
      <c r="T1" s="20" t="s">
        <v>206</v>
      </c>
      <c r="U1" s="20" t="s">
        <v>18</v>
      </c>
      <c r="V1" s="20" t="s">
        <v>115</v>
      </c>
      <c r="W1" s="20" t="s">
        <v>224</v>
      </c>
      <c r="X1" s="20" t="s">
        <v>188</v>
      </c>
      <c r="Y1" s="20" t="s">
        <v>189</v>
      </c>
      <c r="Z1" s="20" t="s">
        <v>266</v>
      </c>
      <c r="AA1" s="20" t="s">
        <v>190</v>
      </c>
      <c r="AB1" s="20" t="s">
        <v>267</v>
      </c>
      <c r="AC1" s="20" t="s">
        <v>185</v>
      </c>
      <c r="AD1" s="20" t="s">
        <v>110</v>
      </c>
      <c r="AE1" s="20" t="s">
        <v>191</v>
      </c>
      <c r="AF1" s="20" t="s">
        <v>192</v>
      </c>
      <c r="AG1" s="20" t="s">
        <v>226</v>
      </c>
      <c r="AH1" s="20" t="s">
        <v>232</v>
      </c>
      <c r="AI1" s="20" t="s">
        <v>233</v>
      </c>
      <c r="AJ1" s="20" t="s">
        <v>194</v>
      </c>
      <c r="AK1" s="20" t="s">
        <v>196</v>
      </c>
      <c r="AL1" s="20" t="s">
        <v>195</v>
      </c>
      <c r="AM1" s="20" t="s">
        <v>198</v>
      </c>
      <c r="AN1" s="20" t="s">
        <v>193</v>
      </c>
      <c r="AO1" s="20" t="s">
        <v>218</v>
      </c>
      <c r="AP1" s="20" t="s">
        <v>199</v>
      </c>
      <c r="AQ1" s="20" t="s">
        <v>200</v>
      </c>
      <c r="AR1" s="20" t="s">
        <v>222</v>
      </c>
      <c r="AS1" s="20" t="s">
        <v>203</v>
      </c>
      <c r="AT1" s="20" t="s">
        <v>228</v>
      </c>
      <c r="AU1" s="20" t="s">
        <v>201</v>
      </c>
      <c r="AV1" s="20" t="s">
        <v>202</v>
      </c>
      <c r="AW1" s="20" t="s">
        <v>102</v>
      </c>
      <c r="AX1" s="20" t="s">
        <v>256</v>
      </c>
      <c r="AY1" s="20" t="s">
        <v>20</v>
      </c>
      <c r="AZ1" s="20" t="s">
        <v>21</v>
      </c>
      <c r="BA1" s="20" t="s">
        <v>22</v>
      </c>
      <c r="BB1" s="20" t="s">
        <v>101</v>
      </c>
      <c r="BC1" s="20" t="s">
        <v>240</v>
      </c>
      <c r="BD1" s="20" t="s">
        <v>241</v>
      </c>
      <c r="BE1" s="20" t="s">
        <v>2936</v>
      </c>
      <c r="BF1" s="21" t="s">
        <v>11087</v>
      </c>
      <c r="BG1" s="22"/>
      <c r="BH1" s="22"/>
      <c r="BI1" s="22"/>
      <c r="BJ1" s="21"/>
      <c r="BK1" s="21"/>
      <c r="BL1" s="22"/>
    </row>
    <row r="2" spans="1:64" s="29" customFormat="1" ht="26.5" thickBot="1" x14ac:dyDescent="0.4">
      <c r="A2" s="24" t="s">
        <v>12</v>
      </c>
      <c r="B2" s="24" t="s">
        <v>12</v>
      </c>
      <c r="C2" s="24" t="s">
        <v>0</v>
      </c>
      <c r="D2" s="24" t="s">
        <v>12</v>
      </c>
      <c r="E2" s="24" t="s">
        <v>0</v>
      </c>
      <c r="F2" s="24" t="s">
        <v>0</v>
      </c>
      <c r="G2" s="24" t="s">
        <v>0</v>
      </c>
      <c r="H2" s="24" t="s">
        <v>0</v>
      </c>
      <c r="I2" s="25" t="s">
        <v>0</v>
      </c>
      <c r="J2" s="25" t="s">
        <v>0</v>
      </c>
      <c r="K2" s="24" t="s">
        <v>12</v>
      </c>
      <c r="L2" s="24" t="s">
        <v>12</v>
      </c>
      <c r="M2" s="24" t="s">
        <v>0</v>
      </c>
      <c r="N2" s="24" t="s">
        <v>12</v>
      </c>
      <c r="O2" s="25" t="s">
        <v>0</v>
      </c>
      <c r="P2" s="25" t="s">
        <v>12</v>
      </c>
      <c r="Q2" s="25" t="s">
        <v>12</v>
      </c>
      <c r="R2" s="25" t="s">
        <v>12</v>
      </c>
      <c r="S2" s="25" t="s">
        <v>12</v>
      </c>
      <c r="T2" s="25" t="s">
        <v>12</v>
      </c>
      <c r="U2" s="25" t="s">
        <v>12</v>
      </c>
      <c r="V2" s="25" t="s">
        <v>12</v>
      </c>
      <c r="W2" s="25" t="s">
        <v>12</v>
      </c>
      <c r="X2" s="25" t="s">
        <v>12</v>
      </c>
      <c r="Y2" s="25" t="s">
        <v>12</v>
      </c>
      <c r="Z2" s="25" t="s">
        <v>12</v>
      </c>
      <c r="AA2" s="25" t="s">
        <v>12</v>
      </c>
      <c r="AB2" s="25" t="s">
        <v>12</v>
      </c>
      <c r="AC2" s="25" t="s">
        <v>12</v>
      </c>
      <c r="AD2" s="25" t="s">
        <v>12</v>
      </c>
      <c r="AE2" s="25" t="s">
        <v>12</v>
      </c>
      <c r="AF2" s="25" t="s">
        <v>12</v>
      </c>
      <c r="AG2" s="25" t="s">
        <v>12</v>
      </c>
      <c r="AH2" s="25" t="s">
        <v>12</v>
      </c>
      <c r="AI2" s="26" t="s">
        <v>12</v>
      </c>
      <c r="AJ2" s="25" t="s">
        <v>12</v>
      </c>
      <c r="AK2" s="25" t="s">
        <v>243</v>
      </c>
      <c r="AL2" s="25" t="s">
        <v>12</v>
      </c>
      <c r="AM2" s="25" t="s">
        <v>12</v>
      </c>
      <c r="AN2" s="25" t="s">
        <v>12</v>
      </c>
      <c r="AO2" s="25" t="s">
        <v>243</v>
      </c>
      <c r="AP2" s="25" t="s">
        <v>12</v>
      </c>
      <c r="AQ2" s="25" t="s">
        <v>12</v>
      </c>
      <c r="AR2" s="26" t="s">
        <v>0</v>
      </c>
      <c r="AS2" s="25" t="s">
        <v>12</v>
      </c>
      <c r="AT2" s="25" t="s">
        <v>243</v>
      </c>
      <c r="AU2" s="25" t="s">
        <v>12</v>
      </c>
      <c r="AV2" s="25" t="s">
        <v>12</v>
      </c>
      <c r="AW2" s="25" t="s">
        <v>12</v>
      </c>
      <c r="AX2" s="25" t="s">
        <v>12</v>
      </c>
      <c r="AY2" s="25" t="s">
        <v>12</v>
      </c>
      <c r="AZ2" s="25" t="s">
        <v>12</v>
      </c>
      <c r="BA2" s="25" t="s">
        <v>12</v>
      </c>
      <c r="BB2" s="25" t="s">
        <v>12</v>
      </c>
      <c r="BC2" s="25" t="s">
        <v>12</v>
      </c>
      <c r="BD2" s="26" t="s">
        <v>12</v>
      </c>
      <c r="BE2" s="26" t="s">
        <v>0</v>
      </c>
      <c r="BF2" s="526"/>
      <c r="BG2" s="28"/>
      <c r="BH2" s="28"/>
      <c r="BI2" s="28"/>
      <c r="BJ2" s="27"/>
      <c r="BK2" s="27"/>
      <c r="BL2" s="28"/>
    </row>
    <row r="3" spans="1:64" s="7" customFormat="1" ht="104" x14ac:dyDescent="0.3">
      <c r="A3" s="8">
        <v>2736</v>
      </c>
      <c r="B3" s="8" t="s">
        <v>272</v>
      </c>
      <c r="C3" s="9" t="s">
        <v>2036</v>
      </c>
      <c r="D3" s="9" t="s">
        <v>273</v>
      </c>
      <c r="E3" s="8" t="s">
        <v>42</v>
      </c>
      <c r="F3" s="9" t="s">
        <v>274</v>
      </c>
      <c r="G3" s="8" t="s">
        <v>225</v>
      </c>
      <c r="H3" s="8" t="s">
        <v>125</v>
      </c>
      <c r="I3" s="8" t="s">
        <v>114</v>
      </c>
      <c r="J3" s="9" t="s">
        <v>24</v>
      </c>
      <c r="K3" s="9" t="s">
        <v>275</v>
      </c>
      <c r="L3" s="9" t="s">
        <v>276</v>
      </c>
      <c r="M3" s="8" t="s">
        <v>14</v>
      </c>
      <c r="N3" s="11" t="s">
        <v>98</v>
      </c>
      <c r="O3" s="12" t="s">
        <v>207</v>
      </c>
      <c r="P3" s="42" t="s">
        <v>277</v>
      </c>
      <c r="Q3" s="9" t="s">
        <v>278</v>
      </c>
      <c r="R3" s="9" t="s">
        <v>276</v>
      </c>
      <c r="S3" s="9" t="s">
        <v>276</v>
      </c>
      <c r="T3" s="9">
        <v>3</v>
      </c>
      <c r="U3" s="13">
        <v>10958</v>
      </c>
      <c r="V3" s="38">
        <v>10977</v>
      </c>
      <c r="W3" s="8" t="s">
        <v>276</v>
      </c>
      <c r="X3" s="8" t="s">
        <v>276</v>
      </c>
      <c r="Y3" s="8">
        <v>0</v>
      </c>
      <c r="Z3" s="8" t="s">
        <v>98</v>
      </c>
      <c r="AA3" s="8">
        <v>0</v>
      </c>
      <c r="AB3" s="8" t="s">
        <v>98</v>
      </c>
      <c r="AC3" s="9" t="s">
        <v>279</v>
      </c>
      <c r="AD3" s="9" t="s">
        <v>280</v>
      </c>
      <c r="AE3" s="8">
        <v>9</v>
      </c>
      <c r="AF3" s="8">
        <v>18</v>
      </c>
      <c r="AG3" s="13">
        <v>10958</v>
      </c>
      <c r="AH3" s="38">
        <v>10977</v>
      </c>
      <c r="AI3" s="38" t="s">
        <v>281</v>
      </c>
      <c r="AJ3" s="14" t="s">
        <v>276</v>
      </c>
      <c r="AK3" s="31">
        <f>AE3*1000/AG3</f>
        <v>0.82131775871509405</v>
      </c>
      <c r="AL3" s="14" t="s">
        <v>276</v>
      </c>
      <c r="AM3" s="14" t="s">
        <v>276</v>
      </c>
      <c r="AN3" s="14" t="s">
        <v>276</v>
      </c>
      <c r="AO3" s="31">
        <f>AF3*1000/AH3</f>
        <v>1.639792292976223</v>
      </c>
      <c r="AP3" s="14" t="s">
        <v>276</v>
      </c>
      <c r="AQ3" s="14" t="s">
        <v>276</v>
      </c>
      <c r="AR3" s="8" t="s">
        <v>268</v>
      </c>
      <c r="AS3" s="43">
        <f>1/2</f>
        <v>0.5</v>
      </c>
      <c r="AT3" s="14">
        <f>AK3/AO3</f>
        <v>0.50086694652308816</v>
      </c>
      <c r="AU3" s="14">
        <f>1/5.13</f>
        <v>0.19493177387914232</v>
      </c>
      <c r="AV3" s="14">
        <f>1/0.78</f>
        <v>1.2820512820512819</v>
      </c>
      <c r="AW3" s="8">
        <v>8.3000000000000004E-2</v>
      </c>
      <c r="AX3" s="8" t="s">
        <v>282</v>
      </c>
      <c r="AY3" s="8" t="s">
        <v>276</v>
      </c>
      <c r="AZ3" s="8" t="s">
        <v>276</v>
      </c>
      <c r="BA3" s="8" t="s">
        <v>276</v>
      </c>
      <c r="BB3" s="8" t="s">
        <v>276</v>
      </c>
      <c r="BC3" s="9" t="s">
        <v>283</v>
      </c>
      <c r="BD3" s="9" t="s">
        <v>284</v>
      </c>
      <c r="BE3" s="9" t="s">
        <v>99</v>
      </c>
      <c r="BF3" s="33" t="s">
        <v>11162</v>
      </c>
    </row>
    <row r="4" spans="1:64" s="7" customFormat="1" ht="78" x14ac:dyDescent="0.3">
      <c r="A4" s="8">
        <v>3713</v>
      </c>
      <c r="B4" s="8" t="s">
        <v>319</v>
      </c>
      <c r="C4" s="8" t="s">
        <v>92</v>
      </c>
      <c r="D4" s="9" t="s">
        <v>320</v>
      </c>
      <c r="E4" s="8" t="s">
        <v>43</v>
      </c>
      <c r="F4" s="8" t="s">
        <v>138</v>
      </c>
      <c r="G4" s="8" t="s">
        <v>225</v>
      </c>
      <c r="H4" s="8" t="s">
        <v>125</v>
      </c>
      <c r="I4" s="8" t="s">
        <v>114</v>
      </c>
      <c r="J4" s="9" t="s">
        <v>24</v>
      </c>
      <c r="K4" s="9" t="s">
        <v>321</v>
      </c>
      <c r="L4" s="9" t="s">
        <v>322</v>
      </c>
      <c r="M4" s="8" t="s">
        <v>14</v>
      </c>
      <c r="N4" s="11" t="s">
        <v>98</v>
      </c>
      <c r="O4" s="12" t="s">
        <v>207</v>
      </c>
      <c r="P4" s="41" t="s">
        <v>323</v>
      </c>
      <c r="Q4" s="9" t="s">
        <v>324</v>
      </c>
      <c r="R4" s="9" t="s">
        <v>325</v>
      </c>
      <c r="S4" s="9" t="s">
        <v>326</v>
      </c>
      <c r="T4" s="9">
        <v>1</v>
      </c>
      <c r="U4" s="13">
        <v>189386</v>
      </c>
      <c r="V4" s="38">
        <v>219439</v>
      </c>
      <c r="W4" s="13" t="s">
        <v>276</v>
      </c>
      <c r="X4" s="13" t="s">
        <v>276</v>
      </c>
      <c r="Y4" s="8" t="s">
        <v>276</v>
      </c>
      <c r="Z4" s="9" t="s">
        <v>276</v>
      </c>
      <c r="AA4" s="8" t="s">
        <v>276</v>
      </c>
      <c r="AB4" s="9" t="s">
        <v>276</v>
      </c>
      <c r="AC4" s="9" t="s">
        <v>327</v>
      </c>
      <c r="AD4" s="9" t="s">
        <v>328</v>
      </c>
      <c r="AE4" s="8">
        <v>549</v>
      </c>
      <c r="AF4" s="8">
        <v>647</v>
      </c>
      <c r="AG4" s="13">
        <v>1853167</v>
      </c>
      <c r="AH4" s="13">
        <v>2095405</v>
      </c>
      <c r="AI4" s="13" t="s">
        <v>329</v>
      </c>
      <c r="AJ4" s="14">
        <v>0.3</v>
      </c>
      <c r="AK4" s="14">
        <f>AE4*1000/AG4</f>
        <v>0.29624960945235912</v>
      </c>
      <c r="AL4" s="14">
        <v>0.27</v>
      </c>
      <c r="AM4" s="14">
        <v>0.32</v>
      </c>
      <c r="AN4" s="14">
        <v>0.31</v>
      </c>
      <c r="AO4" s="14">
        <f>AF4*1000/AH4</f>
        <v>0.30877085813959593</v>
      </c>
      <c r="AP4" s="14">
        <v>0.28999999999999998</v>
      </c>
      <c r="AQ4" s="14">
        <v>0.33</v>
      </c>
      <c r="AR4" s="8" t="s">
        <v>269</v>
      </c>
      <c r="AS4" s="14" t="s">
        <v>276</v>
      </c>
      <c r="AT4" s="14">
        <f t="shared" ref="AT4:AT34" si="0">AK4/AO4</f>
        <v>0.95944808793588954</v>
      </c>
      <c r="AU4" s="14" t="s">
        <v>276</v>
      </c>
      <c r="AV4" s="14" t="s">
        <v>276</v>
      </c>
      <c r="AW4" s="14" t="s">
        <v>276</v>
      </c>
      <c r="AX4" s="9" t="s">
        <v>330</v>
      </c>
      <c r="AY4" s="8">
        <v>0.96</v>
      </c>
      <c r="AZ4" s="8">
        <v>0.85</v>
      </c>
      <c r="BA4" s="8">
        <v>1.08</v>
      </c>
      <c r="BB4" s="14">
        <v>0.5</v>
      </c>
      <c r="BC4" s="9" t="s">
        <v>331</v>
      </c>
      <c r="BD4" s="9" t="s">
        <v>332</v>
      </c>
      <c r="BE4" s="9" t="s">
        <v>99</v>
      </c>
      <c r="BF4" s="33" t="s">
        <v>11163</v>
      </c>
    </row>
    <row r="5" spans="1:64" s="7" customFormat="1" ht="65" x14ac:dyDescent="0.3">
      <c r="A5" s="8">
        <v>3713</v>
      </c>
      <c r="B5" s="8" t="s">
        <v>319</v>
      </c>
      <c r="C5" s="8" t="s">
        <v>92</v>
      </c>
      <c r="D5" s="9" t="s">
        <v>333</v>
      </c>
      <c r="E5" s="8" t="s">
        <v>43</v>
      </c>
      <c r="F5" s="8" t="s">
        <v>138</v>
      </c>
      <c r="G5" s="8" t="s">
        <v>225</v>
      </c>
      <c r="H5" s="8" t="s">
        <v>125</v>
      </c>
      <c r="I5" s="8" t="s">
        <v>114</v>
      </c>
      <c r="J5" s="9" t="s">
        <v>24</v>
      </c>
      <c r="K5" s="9" t="s">
        <v>321</v>
      </c>
      <c r="L5" s="9" t="s">
        <v>322</v>
      </c>
      <c r="M5" s="8" t="s">
        <v>14</v>
      </c>
      <c r="N5" s="11" t="s">
        <v>98</v>
      </c>
      <c r="O5" s="12" t="s">
        <v>207</v>
      </c>
      <c r="P5" s="41" t="s">
        <v>323</v>
      </c>
      <c r="Q5" s="9" t="s">
        <v>324</v>
      </c>
      <c r="R5" s="9" t="s">
        <v>325</v>
      </c>
      <c r="S5" s="9" t="s">
        <v>326</v>
      </c>
      <c r="T5" s="9">
        <v>1</v>
      </c>
      <c r="U5" s="13">
        <v>189386</v>
      </c>
      <c r="V5" s="38">
        <v>219439</v>
      </c>
      <c r="W5" s="13" t="s">
        <v>276</v>
      </c>
      <c r="X5" s="13" t="s">
        <v>276</v>
      </c>
      <c r="Y5" s="9" t="s">
        <v>276</v>
      </c>
      <c r="Z5" s="8" t="s">
        <v>276</v>
      </c>
      <c r="AA5" s="9" t="s">
        <v>276</v>
      </c>
      <c r="AB5" s="9" t="s">
        <v>276</v>
      </c>
      <c r="AC5" s="9" t="s">
        <v>327</v>
      </c>
      <c r="AD5" s="9" t="s">
        <v>334</v>
      </c>
      <c r="AE5" s="8">
        <v>549</v>
      </c>
      <c r="AF5" s="8">
        <v>647</v>
      </c>
      <c r="AG5" s="13">
        <v>189386</v>
      </c>
      <c r="AH5" s="13">
        <v>219439</v>
      </c>
      <c r="AI5" s="38" t="s">
        <v>335</v>
      </c>
      <c r="AJ5" s="14" t="s">
        <v>276</v>
      </c>
      <c r="AK5" s="14">
        <f t="shared" ref="AK5:AK12" si="1">AE5*100/AG5</f>
        <v>0.28988415194364947</v>
      </c>
      <c r="AL5" s="14" t="s">
        <v>276</v>
      </c>
      <c r="AM5" s="14" t="s">
        <v>276</v>
      </c>
      <c r="AN5" s="14" t="s">
        <v>276</v>
      </c>
      <c r="AO5" s="14">
        <f t="shared" ref="AO5:AO12" si="2">AF5*100/AH5</f>
        <v>0.29484275812412564</v>
      </c>
      <c r="AP5" s="14" t="s">
        <v>276</v>
      </c>
      <c r="AQ5" s="14" t="s">
        <v>276</v>
      </c>
      <c r="AR5" s="8" t="s">
        <v>268</v>
      </c>
      <c r="AS5" s="14" t="s">
        <v>276</v>
      </c>
      <c r="AT5" s="14">
        <f t="shared" si="0"/>
        <v>0.98318220121116673</v>
      </c>
      <c r="AU5" s="14" t="s">
        <v>276</v>
      </c>
      <c r="AV5" s="14" t="s">
        <v>276</v>
      </c>
      <c r="AW5" s="14" t="s">
        <v>276</v>
      </c>
      <c r="AX5" s="8" t="s">
        <v>282</v>
      </c>
      <c r="AY5" s="8" t="s">
        <v>98</v>
      </c>
      <c r="AZ5" s="8" t="s">
        <v>98</v>
      </c>
      <c r="BA5" s="8" t="s">
        <v>98</v>
      </c>
      <c r="BB5" s="8" t="s">
        <v>98</v>
      </c>
      <c r="BC5" s="9" t="s">
        <v>336</v>
      </c>
      <c r="BD5" s="9" t="s">
        <v>337</v>
      </c>
      <c r="BE5" s="9" t="s">
        <v>99</v>
      </c>
      <c r="BF5" s="33" t="s">
        <v>11163</v>
      </c>
    </row>
    <row r="6" spans="1:64" s="7" customFormat="1" ht="65" x14ac:dyDescent="0.3">
      <c r="A6" s="8">
        <v>3713</v>
      </c>
      <c r="B6" s="8" t="s">
        <v>319</v>
      </c>
      <c r="C6" s="8" t="s">
        <v>92</v>
      </c>
      <c r="D6" s="9" t="s">
        <v>338</v>
      </c>
      <c r="E6" s="8" t="s">
        <v>43</v>
      </c>
      <c r="F6" s="8" t="s">
        <v>138</v>
      </c>
      <c r="G6" s="8" t="s">
        <v>225</v>
      </c>
      <c r="H6" s="8" t="s">
        <v>125</v>
      </c>
      <c r="I6" s="8" t="s">
        <v>114</v>
      </c>
      <c r="J6" s="9" t="s">
        <v>24</v>
      </c>
      <c r="K6" s="9" t="s">
        <v>321</v>
      </c>
      <c r="L6" s="9" t="s">
        <v>322</v>
      </c>
      <c r="M6" s="8" t="s">
        <v>14</v>
      </c>
      <c r="N6" s="11" t="s">
        <v>98</v>
      </c>
      <c r="O6" s="12" t="s">
        <v>207</v>
      </c>
      <c r="P6" s="41" t="s">
        <v>98</v>
      </c>
      <c r="Q6" s="9" t="s">
        <v>339</v>
      </c>
      <c r="R6" s="9" t="s">
        <v>276</v>
      </c>
      <c r="S6" s="9" t="s">
        <v>276</v>
      </c>
      <c r="T6" s="9">
        <v>1</v>
      </c>
      <c r="U6" s="13">
        <v>189386</v>
      </c>
      <c r="V6" s="38">
        <v>219439</v>
      </c>
      <c r="W6" s="13">
        <f>U6-184370</f>
        <v>5016</v>
      </c>
      <c r="X6" s="13">
        <f>V6-213705</f>
        <v>5734</v>
      </c>
      <c r="Y6" s="8" t="s">
        <v>276</v>
      </c>
      <c r="Z6" s="8" t="s">
        <v>276</v>
      </c>
      <c r="AA6" s="8" t="s">
        <v>276</v>
      </c>
      <c r="AB6" s="8" t="s">
        <v>276</v>
      </c>
      <c r="AC6" s="9" t="s">
        <v>340</v>
      </c>
      <c r="AD6" s="9" t="s">
        <v>334</v>
      </c>
      <c r="AE6" s="8">
        <v>23</v>
      </c>
      <c r="AF6" s="8">
        <v>27</v>
      </c>
      <c r="AG6" s="13">
        <v>189386</v>
      </c>
      <c r="AH6" s="13">
        <v>219439</v>
      </c>
      <c r="AI6" s="38" t="s">
        <v>335</v>
      </c>
      <c r="AJ6" s="14" t="s">
        <v>276</v>
      </c>
      <c r="AK6" s="14">
        <f t="shared" si="1"/>
        <v>1.2144509097821381E-2</v>
      </c>
      <c r="AL6" s="14" t="s">
        <v>276</v>
      </c>
      <c r="AM6" s="14" t="s">
        <v>276</v>
      </c>
      <c r="AN6" s="14" t="s">
        <v>276</v>
      </c>
      <c r="AO6" s="14">
        <f t="shared" si="2"/>
        <v>1.2304102734700759E-2</v>
      </c>
      <c r="AP6" s="14" t="s">
        <v>276</v>
      </c>
      <c r="AQ6" s="14" t="s">
        <v>276</v>
      </c>
      <c r="AR6" s="8" t="s">
        <v>268</v>
      </c>
      <c r="AS6" s="14" t="s">
        <v>276</v>
      </c>
      <c r="AT6" s="14">
        <f t="shared" si="0"/>
        <v>0.98702923404326892</v>
      </c>
      <c r="AU6" s="14" t="s">
        <v>276</v>
      </c>
      <c r="AV6" s="14" t="s">
        <v>276</v>
      </c>
      <c r="AW6" s="14" t="s">
        <v>276</v>
      </c>
      <c r="AX6" s="8" t="s">
        <v>282</v>
      </c>
      <c r="AY6" s="8" t="s">
        <v>98</v>
      </c>
      <c r="AZ6" s="8" t="s">
        <v>98</v>
      </c>
      <c r="BA6" s="8" t="s">
        <v>98</v>
      </c>
      <c r="BB6" s="8" t="s">
        <v>98</v>
      </c>
      <c r="BC6" s="9" t="s">
        <v>341</v>
      </c>
      <c r="BD6" s="9" t="s">
        <v>337</v>
      </c>
      <c r="BE6" s="9" t="s">
        <v>100</v>
      </c>
      <c r="BF6" s="33" t="s">
        <v>98</v>
      </c>
    </row>
    <row r="7" spans="1:64" s="7" customFormat="1" ht="65" x14ac:dyDescent="0.3">
      <c r="A7" s="8">
        <v>3713</v>
      </c>
      <c r="B7" s="8" t="s">
        <v>319</v>
      </c>
      <c r="C7" s="8" t="s">
        <v>92</v>
      </c>
      <c r="D7" s="9" t="s">
        <v>342</v>
      </c>
      <c r="E7" s="8" t="s">
        <v>43</v>
      </c>
      <c r="F7" s="8" t="s">
        <v>138</v>
      </c>
      <c r="G7" s="8" t="s">
        <v>225</v>
      </c>
      <c r="H7" s="8" t="s">
        <v>125</v>
      </c>
      <c r="I7" s="8" t="s">
        <v>114</v>
      </c>
      <c r="J7" s="9" t="s">
        <v>24</v>
      </c>
      <c r="K7" s="9" t="s">
        <v>321</v>
      </c>
      <c r="L7" s="9" t="s">
        <v>322</v>
      </c>
      <c r="M7" s="8" t="s">
        <v>14</v>
      </c>
      <c r="N7" s="11" t="s">
        <v>98</v>
      </c>
      <c r="O7" s="12" t="s">
        <v>207</v>
      </c>
      <c r="P7" s="41" t="s">
        <v>98</v>
      </c>
      <c r="Q7" s="9" t="s">
        <v>343</v>
      </c>
      <c r="R7" s="9" t="s">
        <v>276</v>
      </c>
      <c r="S7" s="9" t="s">
        <v>276</v>
      </c>
      <c r="T7" s="9">
        <v>1</v>
      </c>
      <c r="U7" s="13">
        <v>189386</v>
      </c>
      <c r="V7" s="38">
        <v>219439</v>
      </c>
      <c r="W7" s="13">
        <f>U7-178777</f>
        <v>10609</v>
      </c>
      <c r="X7" s="13">
        <f>V7-207112</f>
        <v>12327</v>
      </c>
      <c r="Y7" s="8" t="s">
        <v>276</v>
      </c>
      <c r="Z7" s="8" t="s">
        <v>276</v>
      </c>
      <c r="AA7" s="8" t="s">
        <v>276</v>
      </c>
      <c r="AB7" s="8" t="s">
        <v>276</v>
      </c>
      <c r="AC7" s="9" t="s">
        <v>344</v>
      </c>
      <c r="AD7" s="9" t="s">
        <v>334</v>
      </c>
      <c r="AE7" s="8">
        <f>23+60</f>
        <v>83</v>
      </c>
      <c r="AF7" s="8">
        <f>27+68</f>
        <v>95</v>
      </c>
      <c r="AG7" s="13">
        <v>189386</v>
      </c>
      <c r="AH7" s="13">
        <v>219439</v>
      </c>
      <c r="AI7" s="38" t="s">
        <v>335</v>
      </c>
      <c r="AJ7" s="14" t="s">
        <v>276</v>
      </c>
      <c r="AK7" s="14">
        <f t="shared" si="1"/>
        <v>4.3825837179094544E-2</v>
      </c>
      <c r="AL7" s="14" t="s">
        <v>276</v>
      </c>
      <c r="AM7" s="14" t="s">
        <v>276</v>
      </c>
      <c r="AN7" s="14" t="s">
        <v>276</v>
      </c>
      <c r="AO7" s="14">
        <f t="shared" si="2"/>
        <v>4.3292213325798967E-2</v>
      </c>
      <c r="AP7" s="14" t="s">
        <v>276</v>
      </c>
      <c r="AQ7" s="14" t="s">
        <v>276</v>
      </c>
      <c r="AR7" s="8" t="s">
        <v>268</v>
      </c>
      <c r="AS7" s="14" t="s">
        <v>276</v>
      </c>
      <c r="AT7" s="14">
        <f t="shared" si="0"/>
        <v>1.0123260931308766</v>
      </c>
      <c r="AU7" s="14" t="s">
        <v>276</v>
      </c>
      <c r="AV7" s="14" t="s">
        <v>276</v>
      </c>
      <c r="AW7" s="14" t="s">
        <v>276</v>
      </c>
      <c r="AX7" s="8" t="s">
        <v>282</v>
      </c>
      <c r="AY7" s="8" t="s">
        <v>98</v>
      </c>
      <c r="AZ7" s="8" t="s">
        <v>98</v>
      </c>
      <c r="BA7" s="8" t="s">
        <v>98</v>
      </c>
      <c r="BB7" s="8" t="s">
        <v>98</v>
      </c>
      <c r="BC7" s="9" t="s">
        <v>341</v>
      </c>
      <c r="BD7" s="9" t="s">
        <v>337</v>
      </c>
      <c r="BE7" s="9" t="s">
        <v>100</v>
      </c>
      <c r="BF7" s="33" t="s">
        <v>98</v>
      </c>
    </row>
    <row r="8" spans="1:64" s="7" customFormat="1" ht="65" x14ac:dyDescent="0.3">
      <c r="A8" s="8">
        <v>3713</v>
      </c>
      <c r="B8" s="8" t="s">
        <v>319</v>
      </c>
      <c r="C8" s="8" t="s">
        <v>92</v>
      </c>
      <c r="D8" s="9" t="s">
        <v>345</v>
      </c>
      <c r="E8" s="8" t="s">
        <v>43</v>
      </c>
      <c r="F8" s="8" t="s">
        <v>138</v>
      </c>
      <c r="G8" s="8" t="s">
        <v>225</v>
      </c>
      <c r="H8" s="8" t="s">
        <v>125</v>
      </c>
      <c r="I8" s="8" t="s">
        <v>114</v>
      </c>
      <c r="J8" s="9" t="s">
        <v>24</v>
      </c>
      <c r="K8" s="9" t="s">
        <v>321</v>
      </c>
      <c r="L8" s="9" t="s">
        <v>322</v>
      </c>
      <c r="M8" s="8" t="s">
        <v>14</v>
      </c>
      <c r="N8" s="11" t="s">
        <v>98</v>
      </c>
      <c r="O8" s="12" t="s">
        <v>207</v>
      </c>
      <c r="P8" s="41" t="s">
        <v>98</v>
      </c>
      <c r="Q8" s="9" t="s">
        <v>346</v>
      </c>
      <c r="R8" s="9" t="s">
        <v>276</v>
      </c>
      <c r="S8" s="9" t="s">
        <v>276</v>
      </c>
      <c r="T8" s="9">
        <v>1</v>
      </c>
      <c r="U8" s="13">
        <v>189386</v>
      </c>
      <c r="V8" s="38">
        <v>219439</v>
      </c>
      <c r="W8" s="13">
        <f>U8-172702</f>
        <v>16684</v>
      </c>
      <c r="X8" s="13">
        <f>V8-199382</f>
        <v>20057</v>
      </c>
      <c r="Y8" s="8" t="s">
        <v>276</v>
      </c>
      <c r="Z8" s="8" t="s">
        <v>276</v>
      </c>
      <c r="AA8" s="8" t="s">
        <v>276</v>
      </c>
      <c r="AB8" s="8" t="s">
        <v>276</v>
      </c>
      <c r="AC8" s="9" t="s">
        <v>347</v>
      </c>
      <c r="AD8" s="9" t="s">
        <v>334</v>
      </c>
      <c r="AE8" s="8">
        <f>23+60+98</f>
        <v>181</v>
      </c>
      <c r="AF8" s="8">
        <f>27+68+135</f>
        <v>230</v>
      </c>
      <c r="AG8" s="13">
        <v>189386</v>
      </c>
      <c r="AH8" s="13">
        <v>219439</v>
      </c>
      <c r="AI8" s="38" t="s">
        <v>335</v>
      </c>
      <c r="AJ8" s="14" t="s">
        <v>276</v>
      </c>
      <c r="AK8" s="14">
        <f t="shared" si="1"/>
        <v>9.5572006378507393E-2</v>
      </c>
      <c r="AL8" s="14" t="s">
        <v>276</v>
      </c>
      <c r="AM8" s="14" t="s">
        <v>276</v>
      </c>
      <c r="AN8" s="14" t="s">
        <v>276</v>
      </c>
      <c r="AO8" s="14">
        <f t="shared" si="2"/>
        <v>0.10481272699930277</v>
      </c>
      <c r="AP8" s="14" t="s">
        <v>276</v>
      </c>
      <c r="AQ8" s="14" t="s">
        <v>276</v>
      </c>
      <c r="AR8" s="8" t="s">
        <v>268</v>
      </c>
      <c r="AS8" s="14" t="s">
        <v>276</v>
      </c>
      <c r="AT8" s="14">
        <f t="shared" si="0"/>
        <v>0.91183589163883838</v>
      </c>
      <c r="AU8" s="14" t="s">
        <v>276</v>
      </c>
      <c r="AV8" s="14" t="s">
        <v>276</v>
      </c>
      <c r="AW8" s="14" t="s">
        <v>276</v>
      </c>
      <c r="AX8" s="8" t="s">
        <v>282</v>
      </c>
      <c r="AY8" s="8" t="s">
        <v>98</v>
      </c>
      <c r="AZ8" s="8" t="s">
        <v>98</v>
      </c>
      <c r="BA8" s="8" t="s">
        <v>98</v>
      </c>
      <c r="BB8" s="8" t="s">
        <v>98</v>
      </c>
      <c r="BC8" s="9" t="s">
        <v>341</v>
      </c>
      <c r="BD8" s="9" t="s">
        <v>337</v>
      </c>
      <c r="BE8" s="9" t="s">
        <v>100</v>
      </c>
      <c r="BF8" s="33" t="s">
        <v>98</v>
      </c>
    </row>
    <row r="9" spans="1:64" s="7" customFormat="1" ht="65" x14ac:dyDescent="0.3">
      <c r="A9" s="8">
        <v>3713</v>
      </c>
      <c r="B9" s="8" t="s">
        <v>319</v>
      </c>
      <c r="C9" s="8" t="s">
        <v>92</v>
      </c>
      <c r="D9" s="9" t="s">
        <v>348</v>
      </c>
      <c r="E9" s="8" t="s">
        <v>43</v>
      </c>
      <c r="F9" s="8" t="s">
        <v>138</v>
      </c>
      <c r="G9" s="8" t="s">
        <v>225</v>
      </c>
      <c r="H9" s="8" t="s">
        <v>125</v>
      </c>
      <c r="I9" s="8" t="s">
        <v>114</v>
      </c>
      <c r="J9" s="9" t="s">
        <v>24</v>
      </c>
      <c r="K9" s="9" t="s">
        <v>321</v>
      </c>
      <c r="L9" s="9" t="s">
        <v>322</v>
      </c>
      <c r="M9" s="8" t="s">
        <v>14</v>
      </c>
      <c r="N9" s="11" t="s">
        <v>98</v>
      </c>
      <c r="O9" s="12" t="s">
        <v>207</v>
      </c>
      <c r="P9" s="41" t="s">
        <v>98</v>
      </c>
      <c r="Q9" s="9" t="s">
        <v>349</v>
      </c>
      <c r="R9" s="9" t="s">
        <v>276</v>
      </c>
      <c r="S9" s="9" t="s">
        <v>276</v>
      </c>
      <c r="T9" s="9">
        <v>1</v>
      </c>
      <c r="U9" s="13">
        <v>189386</v>
      </c>
      <c r="V9" s="38">
        <v>219439</v>
      </c>
      <c r="W9" s="13">
        <f>U9-165313</f>
        <v>24073</v>
      </c>
      <c r="X9" s="13">
        <f>V9-190408</f>
        <v>29031</v>
      </c>
      <c r="Y9" s="8" t="s">
        <v>276</v>
      </c>
      <c r="Z9" s="8" t="s">
        <v>276</v>
      </c>
      <c r="AA9" s="8" t="s">
        <v>276</v>
      </c>
      <c r="AB9" s="8" t="s">
        <v>276</v>
      </c>
      <c r="AC9" s="9" t="s">
        <v>350</v>
      </c>
      <c r="AD9" s="9" t="s">
        <v>334</v>
      </c>
      <c r="AE9" s="8">
        <f>23+60+98+118</f>
        <v>299</v>
      </c>
      <c r="AF9" s="8">
        <f>27+68+135+134</f>
        <v>364</v>
      </c>
      <c r="AG9" s="13">
        <v>189386</v>
      </c>
      <c r="AH9" s="13">
        <v>219439</v>
      </c>
      <c r="AI9" s="38" t="s">
        <v>335</v>
      </c>
      <c r="AJ9" s="14" t="s">
        <v>276</v>
      </c>
      <c r="AK9" s="14">
        <f t="shared" si="1"/>
        <v>0.15787861827167796</v>
      </c>
      <c r="AL9" s="14" t="s">
        <v>276</v>
      </c>
      <c r="AM9" s="14" t="s">
        <v>276</v>
      </c>
      <c r="AN9" s="14" t="s">
        <v>276</v>
      </c>
      <c r="AO9" s="14">
        <f t="shared" si="2"/>
        <v>0.16587753316411394</v>
      </c>
      <c r="AP9" s="14" t="s">
        <v>276</v>
      </c>
      <c r="AQ9" s="14" t="s">
        <v>276</v>
      </c>
      <c r="AR9" s="8" t="s">
        <v>268</v>
      </c>
      <c r="AS9" s="14" t="s">
        <v>276</v>
      </c>
      <c r="AT9" s="14">
        <f t="shared" si="0"/>
        <v>0.95177818997029506</v>
      </c>
      <c r="AU9" s="14" t="s">
        <v>276</v>
      </c>
      <c r="AV9" s="14" t="s">
        <v>276</v>
      </c>
      <c r="AW9" s="14" t="s">
        <v>276</v>
      </c>
      <c r="AX9" s="8" t="s">
        <v>282</v>
      </c>
      <c r="AY9" s="8" t="s">
        <v>98</v>
      </c>
      <c r="AZ9" s="8" t="s">
        <v>98</v>
      </c>
      <c r="BA9" s="8" t="s">
        <v>98</v>
      </c>
      <c r="BB9" s="8" t="s">
        <v>98</v>
      </c>
      <c r="BC9" s="9" t="s">
        <v>341</v>
      </c>
      <c r="BD9" s="9" t="s">
        <v>337</v>
      </c>
      <c r="BE9" s="9" t="s">
        <v>100</v>
      </c>
      <c r="BF9" s="33" t="s">
        <v>98</v>
      </c>
    </row>
    <row r="10" spans="1:64" s="7" customFormat="1" ht="65" x14ac:dyDescent="0.3">
      <c r="A10" s="8">
        <v>3713</v>
      </c>
      <c r="B10" s="8" t="s">
        <v>319</v>
      </c>
      <c r="C10" s="8" t="s">
        <v>92</v>
      </c>
      <c r="D10" s="9" t="s">
        <v>351</v>
      </c>
      <c r="E10" s="8" t="s">
        <v>43</v>
      </c>
      <c r="F10" s="8" t="s">
        <v>138</v>
      </c>
      <c r="G10" s="8" t="s">
        <v>225</v>
      </c>
      <c r="H10" s="8" t="s">
        <v>125</v>
      </c>
      <c r="I10" s="8" t="s">
        <v>114</v>
      </c>
      <c r="J10" s="9" t="s">
        <v>24</v>
      </c>
      <c r="K10" s="9" t="s">
        <v>321</v>
      </c>
      <c r="L10" s="9" t="s">
        <v>322</v>
      </c>
      <c r="M10" s="8" t="s">
        <v>14</v>
      </c>
      <c r="N10" s="11" t="s">
        <v>98</v>
      </c>
      <c r="O10" s="12" t="s">
        <v>207</v>
      </c>
      <c r="P10" s="41" t="s">
        <v>98</v>
      </c>
      <c r="Q10" s="9" t="s">
        <v>352</v>
      </c>
      <c r="R10" s="9" t="s">
        <v>276</v>
      </c>
      <c r="S10" s="9" t="s">
        <v>276</v>
      </c>
      <c r="T10" s="9">
        <v>1</v>
      </c>
      <c r="U10" s="13">
        <v>189386</v>
      </c>
      <c r="V10" s="38">
        <v>219439</v>
      </c>
      <c r="W10" s="13">
        <f>U10-95089</f>
        <v>94297</v>
      </c>
      <c r="X10" s="13">
        <f>V10-107186</f>
        <v>112253</v>
      </c>
      <c r="Y10" s="8" t="s">
        <v>276</v>
      </c>
      <c r="Z10" s="8" t="s">
        <v>276</v>
      </c>
      <c r="AA10" s="8" t="s">
        <v>276</v>
      </c>
      <c r="AB10" s="8" t="s">
        <v>276</v>
      </c>
      <c r="AC10" s="9" t="s">
        <v>353</v>
      </c>
      <c r="AD10" s="9" t="s">
        <v>334</v>
      </c>
      <c r="AE10" s="8">
        <f>23+60+98+118+136</f>
        <v>435</v>
      </c>
      <c r="AF10" s="8">
        <f>27+68+135+134+170</f>
        <v>534</v>
      </c>
      <c r="AG10" s="13">
        <v>189386</v>
      </c>
      <c r="AH10" s="13">
        <v>219439</v>
      </c>
      <c r="AI10" s="38" t="s">
        <v>335</v>
      </c>
      <c r="AJ10" s="14" t="s">
        <v>276</v>
      </c>
      <c r="AK10" s="14">
        <f t="shared" si="1"/>
        <v>0.22968962858923045</v>
      </c>
      <c r="AL10" s="14" t="s">
        <v>276</v>
      </c>
      <c r="AM10" s="14" t="s">
        <v>276</v>
      </c>
      <c r="AN10" s="14" t="s">
        <v>276</v>
      </c>
      <c r="AO10" s="14">
        <f t="shared" si="2"/>
        <v>0.24334780964185948</v>
      </c>
      <c r="AP10" s="14" t="s">
        <v>276</v>
      </c>
      <c r="AQ10" s="14" t="s">
        <v>276</v>
      </c>
      <c r="AR10" s="8" t="s">
        <v>268</v>
      </c>
      <c r="AS10" s="14" t="s">
        <v>276</v>
      </c>
      <c r="AT10" s="14">
        <f t="shared" si="0"/>
        <v>0.94387382786502128</v>
      </c>
      <c r="AU10" s="14" t="s">
        <v>276</v>
      </c>
      <c r="AV10" s="14" t="s">
        <v>276</v>
      </c>
      <c r="AW10" s="14" t="s">
        <v>276</v>
      </c>
      <c r="AX10" s="8" t="s">
        <v>282</v>
      </c>
      <c r="AY10" s="8" t="s">
        <v>98</v>
      </c>
      <c r="AZ10" s="8" t="s">
        <v>98</v>
      </c>
      <c r="BA10" s="8" t="s">
        <v>98</v>
      </c>
      <c r="BB10" s="8" t="s">
        <v>98</v>
      </c>
      <c r="BC10" s="9" t="s">
        <v>341</v>
      </c>
      <c r="BD10" s="9" t="s">
        <v>337</v>
      </c>
      <c r="BE10" s="9" t="s">
        <v>100</v>
      </c>
      <c r="BF10" s="33" t="s">
        <v>98</v>
      </c>
    </row>
    <row r="11" spans="1:64" s="7" customFormat="1" ht="65" x14ac:dyDescent="0.3">
      <c r="A11" s="8">
        <v>3713</v>
      </c>
      <c r="B11" s="8" t="s">
        <v>319</v>
      </c>
      <c r="C11" s="8" t="s">
        <v>92</v>
      </c>
      <c r="D11" s="9" t="s">
        <v>354</v>
      </c>
      <c r="E11" s="8" t="s">
        <v>43</v>
      </c>
      <c r="F11" s="8" t="s">
        <v>138</v>
      </c>
      <c r="G11" s="8" t="s">
        <v>225</v>
      </c>
      <c r="H11" s="8" t="s">
        <v>125</v>
      </c>
      <c r="I11" s="8" t="s">
        <v>114</v>
      </c>
      <c r="J11" s="9" t="s">
        <v>24</v>
      </c>
      <c r="K11" s="9" t="s">
        <v>321</v>
      </c>
      <c r="L11" s="9" t="s">
        <v>322</v>
      </c>
      <c r="M11" s="8" t="s">
        <v>14</v>
      </c>
      <c r="N11" s="11" t="s">
        <v>98</v>
      </c>
      <c r="O11" s="12" t="s">
        <v>207</v>
      </c>
      <c r="P11" s="41" t="s">
        <v>98</v>
      </c>
      <c r="Q11" s="9" t="s">
        <v>355</v>
      </c>
      <c r="R11" s="9" t="s">
        <v>276</v>
      </c>
      <c r="S11" s="9" t="s">
        <v>276</v>
      </c>
      <c r="T11" s="9">
        <v>1</v>
      </c>
      <c r="U11" s="13">
        <v>189386</v>
      </c>
      <c r="V11" s="38">
        <v>219439</v>
      </c>
      <c r="W11" s="13">
        <f>U11-38003</f>
        <v>151383</v>
      </c>
      <c r="X11" s="13">
        <f>V11-23811</f>
        <v>195628</v>
      </c>
      <c r="Y11" s="8" t="s">
        <v>276</v>
      </c>
      <c r="Z11" s="8" t="s">
        <v>276</v>
      </c>
      <c r="AA11" s="8" t="s">
        <v>276</v>
      </c>
      <c r="AB11" s="8" t="s">
        <v>276</v>
      </c>
      <c r="AC11" s="9" t="s">
        <v>356</v>
      </c>
      <c r="AD11" s="9" t="s">
        <v>334</v>
      </c>
      <c r="AE11" s="8">
        <f>23+60+98+118+136+81</f>
        <v>516</v>
      </c>
      <c r="AF11" s="8">
        <f>27+68+135+134+170+75</f>
        <v>609</v>
      </c>
      <c r="AG11" s="13">
        <v>189386</v>
      </c>
      <c r="AH11" s="13">
        <v>219439</v>
      </c>
      <c r="AI11" s="38" t="s">
        <v>335</v>
      </c>
      <c r="AJ11" s="14" t="s">
        <v>276</v>
      </c>
      <c r="AK11" s="14">
        <f t="shared" si="1"/>
        <v>0.27245942149894925</v>
      </c>
      <c r="AL11" s="14" t="s">
        <v>276</v>
      </c>
      <c r="AM11" s="14" t="s">
        <v>276</v>
      </c>
      <c r="AN11" s="14" t="s">
        <v>276</v>
      </c>
      <c r="AO11" s="14">
        <f t="shared" si="2"/>
        <v>0.27752587279380603</v>
      </c>
      <c r="AP11" s="14" t="s">
        <v>276</v>
      </c>
      <c r="AQ11" s="14" t="s">
        <v>276</v>
      </c>
      <c r="AR11" s="8" t="s">
        <v>268</v>
      </c>
      <c r="AS11" s="14" t="s">
        <v>276</v>
      </c>
      <c r="AT11" s="14">
        <f t="shared" si="0"/>
        <v>0.98174421993937477</v>
      </c>
      <c r="AU11" s="14" t="s">
        <v>276</v>
      </c>
      <c r="AV11" s="14" t="s">
        <v>276</v>
      </c>
      <c r="AW11" s="14" t="s">
        <v>276</v>
      </c>
      <c r="AX11" s="8" t="s">
        <v>282</v>
      </c>
      <c r="AY11" s="8" t="s">
        <v>98</v>
      </c>
      <c r="AZ11" s="8" t="s">
        <v>98</v>
      </c>
      <c r="BA11" s="8" t="s">
        <v>98</v>
      </c>
      <c r="BB11" s="8" t="s">
        <v>98</v>
      </c>
      <c r="BC11" s="9" t="s">
        <v>341</v>
      </c>
      <c r="BD11" s="9" t="s">
        <v>337</v>
      </c>
      <c r="BE11" s="9" t="s">
        <v>100</v>
      </c>
      <c r="BF11" s="33" t="s">
        <v>98</v>
      </c>
    </row>
    <row r="12" spans="1:64" s="7" customFormat="1" ht="65" x14ac:dyDescent="0.3">
      <c r="A12" s="8">
        <v>3713</v>
      </c>
      <c r="B12" s="8" t="s">
        <v>319</v>
      </c>
      <c r="C12" s="8" t="s">
        <v>92</v>
      </c>
      <c r="D12" s="9" t="s">
        <v>357</v>
      </c>
      <c r="E12" s="8" t="s">
        <v>43</v>
      </c>
      <c r="F12" s="8" t="s">
        <v>138</v>
      </c>
      <c r="G12" s="8" t="s">
        <v>225</v>
      </c>
      <c r="H12" s="8" t="s">
        <v>125</v>
      </c>
      <c r="I12" s="8" t="s">
        <v>114</v>
      </c>
      <c r="J12" s="9" t="s">
        <v>24</v>
      </c>
      <c r="K12" s="9" t="s">
        <v>321</v>
      </c>
      <c r="L12" s="9" t="s">
        <v>322</v>
      </c>
      <c r="M12" s="8" t="s">
        <v>14</v>
      </c>
      <c r="N12" s="11" t="s">
        <v>98</v>
      </c>
      <c r="O12" s="12" t="s">
        <v>207</v>
      </c>
      <c r="P12" s="41" t="s">
        <v>98</v>
      </c>
      <c r="Q12" s="9" t="s">
        <v>358</v>
      </c>
      <c r="R12" s="9" t="s">
        <v>276</v>
      </c>
      <c r="S12" s="9" t="s">
        <v>276</v>
      </c>
      <c r="T12" s="9">
        <v>1</v>
      </c>
      <c r="U12" s="13">
        <v>189386</v>
      </c>
      <c r="V12" s="38">
        <v>219439</v>
      </c>
      <c r="W12" s="13">
        <f t="shared" ref="W12" si="3">U12-1649</f>
        <v>187737</v>
      </c>
      <c r="X12" s="13">
        <f t="shared" ref="X12" si="4">V12-1816</f>
        <v>217623</v>
      </c>
      <c r="Y12" s="8" t="s">
        <v>276</v>
      </c>
      <c r="Z12" s="8" t="s">
        <v>276</v>
      </c>
      <c r="AA12" s="8" t="s">
        <v>276</v>
      </c>
      <c r="AB12" s="8" t="s">
        <v>276</v>
      </c>
      <c r="AC12" s="9" t="s">
        <v>359</v>
      </c>
      <c r="AD12" s="9" t="s">
        <v>334</v>
      </c>
      <c r="AE12" s="8">
        <f>23+60+98+118+136+81+33</f>
        <v>549</v>
      </c>
      <c r="AF12" s="8">
        <f>27+68+135+134+170+75+38</f>
        <v>647</v>
      </c>
      <c r="AG12" s="13">
        <v>189386</v>
      </c>
      <c r="AH12" s="13">
        <v>219439</v>
      </c>
      <c r="AI12" s="38" t="s">
        <v>335</v>
      </c>
      <c r="AJ12" s="14" t="s">
        <v>276</v>
      </c>
      <c r="AK12" s="14">
        <f t="shared" si="1"/>
        <v>0.28988415194364947</v>
      </c>
      <c r="AL12" s="14" t="s">
        <v>276</v>
      </c>
      <c r="AM12" s="14" t="s">
        <v>276</v>
      </c>
      <c r="AN12" s="14" t="s">
        <v>276</v>
      </c>
      <c r="AO12" s="14">
        <f t="shared" si="2"/>
        <v>0.29484275812412564</v>
      </c>
      <c r="AP12" s="14" t="s">
        <v>276</v>
      </c>
      <c r="AQ12" s="14" t="s">
        <v>276</v>
      </c>
      <c r="AR12" s="8" t="s">
        <v>268</v>
      </c>
      <c r="AS12" s="14" t="s">
        <v>276</v>
      </c>
      <c r="AT12" s="14">
        <f t="shared" si="0"/>
        <v>0.98318220121116673</v>
      </c>
      <c r="AU12" s="14" t="s">
        <v>276</v>
      </c>
      <c r="AV12" s="14" t="s">
        <v>276</v>
      </c>
      <c r="AW12" s="14" t="s">
        <v>276</v>
      </c>
      <c r="AX12" s="8" t="s">
        <v>282</v>
      </c>
      <c r="AY12" s="8" t="s">
        <v>98</v>
      </c>
      <c r="AZ12" s="8" t="s">
        <v>98</v>
      </c>
      <c r="BA12" s="8" t="s">
        <v>98</v>
      </c>
      <c r="BB12" s="8" t="s">
        <v>98</v>
      </c>
      <c r="BC12" s="9" t="s">
        <v>341</v>
      </c>
      <c r="BD12" s="9" t="s">
        <v>337</v>
      </c>
      <c r="BE12" s="9" t="s">
        <v>100</v>
      </c>
      <c r="BF12" s="33" t="s">
        <v>98</v>
      </c>
    </row>
    <row r="13" spans="1:64" s="7" customFormat="1" ht="65" x14ac:dyDescent="0.3">
      <c r="A13" s="8">
        <v>3713</v>
      </c>
      <c r="B13" s="8" t="s">
        <v>319</v>
      </c>
      <c r="C13" s="8" t="s">
        <v>92</v>
      </c>
      <c r="D13" s="9" t="s">
        <v>360</v>
      </c>
      <c r="E13" s="8" t="s">
        <v>43</v>
      </c>
      <c r="F13" s="8" t="s">
        <v>138</v>
      </c>
      <c r="G13" s="8" t="s">
        <v>225</v>
      </c>
      <c r="H13" s="8" t="s">
        <v>125</v>
      </c>
      <c r="I13" s="8" t="s">
        <v>114</v>
      </c>
      <c r="J13" s="9" t="s">
        <v>24</v>
      </c>
      <c r="K13" s="9" t="s">
        <v>321</v>
      </c>
      <c r="L13" s="9" t="s">
        <v>322</v>
      </c>
      <c r="M13" s="8" t="s">
        <v>14</v>
      </c>
      <c r="N13" s="11" t="s">
        <v>98</v>
      </c>
      <c r="O13" s="12" t="s">
        <v>207</v>
      </c>
      <c r="P13" s="41" t="s">
        <v>323</v>
      </c>
      <c r="Q13" s="9" t="s">
        <v>324</v>
      </c>
      <c r="R13" s="9" t="s">
        <v>325</v>
      </c>
      <c r="S13" s="9" t="s">
        <v>326</v>
      </c>
      <c r="T13" s="9">
        <v>1</v>
      </c>
      <c r="U13" s="13">
        <v>189386</v>
      </c>
      <c r="V13" s="38">
        <v>219439</v>
      </c>
      <c r="W13" s="13" t="s">
        <v>276</v>
      </c>
      <c r="X13" s="13" t="s">
        <v>276</v>
      </c>
      <c r="Y13" s="8" t="s">
        <v>276</v>
      </c>
      <c r="Z13" s="8" t="s">
        <v>276</v>
      </c>
      <c r="AA13" s="8" t="s">
        <v>276</v>
      </c>
      <c r="AB13" s="8" t="s">
        <v>276</v>
      </c>
      <c r="AC13" s="9" t="s">
        <v>361</v>
      </c>
      <c r="AD13" s="9" t="s">
        <v>328</v>
      </c>
      <c r="AE13" s="8">
        <v>560</v>
      </c>
      <c r="AF13" s="8">
        <v>655</v>
      </c>
      <c r="AG13" s="13">
        <v>1853167</v>
      </c>
      <c r="AH13" s="13">
        <v>2095405</v>
      </c>
      <c r="AI13" s="13" t="s">
        <v>329</v>
      </c>
      <c r="AJ13" s="14">
        <v>0.3</v>
      </c>
      <c r="AK13" s="14">
        <f>AE13*1000/AG13</f>
        <v>0.30218539397690547</v>
      </c>
      <c r="AL13" s="14">
        <v>0.28000000000000003</v>
      </c>
      <c r="AM13" s="14">
        <v>0.33</v>
      </c>
      <c r="AN13" s="14">
        <v>0.32</v>
      </c>
      <c r="AO13" s="14">
        <f>AF13*1000/AH13</f>
        <v>0.31258873582911179</v>
      </c>
      <c r="AP13" s="14">
        <v>0.28999999999999998</v>
      </c>
      <c r="AQ13" s="14">
        <v>0.34</v>
      </c>
      <c r="AR13" s="8" t="s">
        <v>269</v>
      </c>
      <c r="AS13" s="14" t="s">
        <v>276</v>
      </c>
      <c r="AT13" s="14">
        <f t="shared" si="0"/>
        <v>0.96671875643691241</v>
      </c>
      <c r="AU13" s="14" t="s">
        <v>276</v>
      </c>
      <c r="AV13" s="14" t="s">
        <v>276</v>
      </c>
      <c r="AW13" s="14" t="s">
        <v>276</v>
      </c>
      <c r="AX13" s="9" t="s">
        <v>362</v>
      </c>
      <c r="AY13" s="8">
        <v>0.95</v>
      </c>
      <c r="AZ13" s="8">
        <v>0.84</v>
      </c>
      <c r="BA13" s="8">
        <v>1.08</v>
      </c>
      <c r="BB13" s="14">
        <v>0.42</v>
      </c>
      <c r="BC13" s="9" t="s">
        <v>363</v>
      </c>
      <c r="BD13" s="9" t="s">
        <v>276</v>
      </c>
      <c r="BE13" s="9" t="s">
        <v>100</v>
      </c>
      <c r="BF13" s="33" t="s">
        <v>98</v>
      </c>
    </row>
    <row r="14" spans="1:64" s="7" customFormat="1" ht="65" x14ac:dyDescent="0.3">
      <c r="A14" s="8">
        <v>3713</v>
      </c>
      <c r="B14" s="8" t="s">
        <v>319</v>
      </c>
      <c r="C14" s="8" t="s">
        <v>92</v>
      </c>
      <c r="D14" s="9" t="s">
        <v>364</v>
      </c>
      <c r="E14" s="8" t="s">
        <v>43</v>
      </c>
      <c r="F14" s="8" t="s">
        <v>138</v>
      </c>
      <c r="G14" s="8" t="s">
        <v>225</v>
      </c>
      <c r="H14" s="8" t="s">
        <v>125</v>
      </c>
      <c r="I14" s="8" t="s">
        <v>114</v>
      </c>
      <c r="J14" s="9" t="s">
        <v>24</v>
      </c>
      <c r="K14" s="9" t="s">
        <v>321</v>
      </c>
      <c r="L14" s="9" t="s">
        <v>322</v>
      </c>
      <c r="M14" s="8" t="s">
        <v>14</v>
      </c>
      <c r="N14" s="11" t="s">
        <v>98</v>
      </c>
      <c r="O14" s="12" t="s">
        <v>207</v>
      </c>
      <c r="P14" s="41" t="s">
        <v>323</v>
      </c>
      <c r="Q14" s="9" t="s">
        <v>324</v>
      </c>
      <c r="R14" s="9" t="s">
        <v>325</v>
      </c>
      <c r="S14" s="9" t="s">
        <v>326</v>
      </c>
      <c r="T14" s="9">
        <v>1</v>
      </c>
      <c r="U14" s="13">
        <v>189386</v>
      </c>
      <c r="V14" s="38">
        <v>219439</v>
      </c>
      <c r="W14" s="13" t="s">
        <v>276</v>
      </c>
      <c r="X14" s="13" t="s">
        <v>276</v>
      </c>
      <c r="Y14" s="8" t="s">
        <v>276</v>
      </c>
      <c r="Z14" s="8" t="s">
        <v>276</v>
      </c>
      <c r="AA14" s="8" t="s">
        <v>276</v>
      </c>
      <c r="AB14" s="8" t="s">
        <v>276</v>
      </c>
      <c r="AC14" s="9" t="s">
        <v>361</v>
      </c>
      <c r="AD14" s="9" t="s">
        <v>334</v>
      </c>
      <c r="AE14" s="8">
        <v>560</v>
      </c>
      <c r="AF14" s="8">
        <v>655</v>
      </c>
      <c r="AG14" s="13">
        <v>189386</v>
      </c>
      <c r="AH14" s="13">
        <v>219439</v>
      </c>
      <c r="AI14" s="38" t="s">
        <v>335</v>
      </c>
      <c r="AJ14" s="14" t="s">
        <v>276</v>
      </c>
      <c r="AK14" s="14">
        <f>AE14*100/AG14</f>
        <v>0.29569239542521625</v>
      </c>
      <c r="AL14" s="14" t="s">
        <v>276</v>
      </c>
      <c r="AM14" s="14" t="s">
        <v>276</v>
      </c>
      <c r="AN14" s="14" t="s">
        <v>276</v>
      </c>
      <c r="AO14" s="14">
        <f>AF14*100/AH14</f>
        <v>0.29848841819366656</v>
      </c>
      <c r="AP14" s="14" t="s">
        <v>276</v>
      </c>
      <c r="AQ14" s="14" t="s">
        <v>276</v>
      </c>
      <c r="AR14" s="8" t="s">
        <v>268</v>
      </c>
      <c r="AS14" s="14" t="s">
        <v>276</v>
      </c>
      <c r="AT14" s="14">
        <f t="shared" si="0"/>
        <v>0.9906327261025043</v>
      </c>
      <c r="AU14" s="14" t="s">
        <v>276</v>
      </c>
      <c r="AV14" s="14" t="s">
        <v>276</v>
      </c>
      <c r="AW14" s="14" t="s">
        <v>276</v>
      </c>
      <c r="AX14" s="8" t="s">
        <v>282</v>
      </c>
      <c r="AY14" s="8" t="s">
        <v>98</v>
      </c>
      <c r="AZ14" s="8" t="s">
        <v>98</v>
      </c>
      <c r="BA14" s="8" t="s">
        <v>98</v>
      </c>
      <c r="BB14" s="8" t="s">
        <v>98</v>
      </c>
      <c r="BC14" s="9" t="s">
        <v>363</v>
      </c>
      <c r="BD14" s="9" t="s">
        <v>337</v>
      </c>
      <c r="BE14" s="9" t="s">
        <v>100</v>
      </c>
      <c r="BF14" s="33" t="s">
        <v>98</v>
      </c>
    </row>
    <row r="15" spans="1:64" s="7" customFormat="1" ht="52" x14ac:dyDescent="0.3">
      <c r="A15" s="8">
        <v>3713</v>
      </c>
      <c r="B15" s="8" t="s">
        <v>319</v>
      </c>
      <c r="C15" s="8" t="s">
        <v>92</v>
      </c>
      <c r="D15" s="9" t="s">
        <v>365</v>
      </c>
      <c r="E15" s="8" t="s">
        <v>43</v>
      </c>
      <c r="F15" s="8" t="s">
        <v>138</v>
      </c>
      <c r="G15" s="8" t="s">
        <v>225</v>
      </c>
      <c r="H15" s="8" t="s">
        <v>125</v>
      </c>
      <c r="I15" s="8" t="s">
        <v>114</v>
      </c>
      <c r="J15" s="9" t="s">
        <v>24</v>
      </c>
      <c r="K15" s="9" t="s">
        <v>321</v>
      </c>
      <c r="L15" s="9" t="s">
        <v>322</v>
      </c>
      <c r="M15" s="8" t="s">
        <v>14</v>
      </c>
      <c r="N15" s="11" t="s">
        <v>98</v>
      </c>
      <c r="O15" s="12" t="s">
        <v>207</v>
      </c>
      <c r="P15" s="41" t="s">
        <v>323</v>
      </c>
      <c r="Q15" s="9" t="s">
        <v>324</v>
      </c>
      <c r="R15" s="9" t="s">
        <v>325</v>
      </c>
      <c r="S15" s="9" t="s">
        <v>326</v>
      </c>
      <c r="T15" s="9">
        <v>1</v>
      </c>
      <c r="U15" s="13">
        <v>189386</v>
      </c>
      <c r="V15" s="38">
        <v>219439</v>
      </c>
      <c r="W15" s="13" t="s">
        <v>276</v>
      </c>
      <c r="X15" s="13" t="s">
        <v>276</v>
      </c>
      <c r="Y15" s="8" t="s">
        <v>276</v>
      </c>
      <c r="Z15" s="8" t="s">
        <v>276</v>
      </c>
      <c r="AA15" s="8" t="s">
        <v>276</v>
      </c>
      <c r="AB15" s="8" t="s">
        <v>276</v>
      </c>
      <c r="AC15" s="9" t="s">
        <v>366</v>
      </c>
      <c r="AD15" s="9" t="s">
        <v>328</v>
      </c>
      <c r="AE15" s="8">
        <v>436</v>
      </c>
      <c r="AF15" s="8">
        <v>510</v>
      </c>
      <c r="AG15" s="13">
        <v>1853167</v>
      </c>
      <c r="AH15" s="13">
        <v>2095405</v>
      </c>
      <c r="AI15" s="13" t="s">
        <v>329</v>
      </c>
      <c r="AJ15" s="14">
        <v>0.24</v>
      </c>
      <c r="AK15" s="14">
        <f>AE15*1000/AG15</f>
        <v>0.23527291388201926</v>
      </c>
      <c r="AL15" s="14">
        <v>0.21</v>
      </c>
      <c r="AM15" s="14">
        <v>0.26</v>
      </c>
      <c r="AN15" s="14">
        <v>0.24</v>
      </c>
      <c r="AO15" s="14">
        <f>AF15*1000/AH15</f>
        <v>0.24338970270663665</v>
      </c>
      <c r="AP15" s="14">
        <v>0.22</v>
      </c>
      <c r="AQ15" s="14">
        <v>0.27</v>
      </c>
      <c r="AR15" s="8" t="s">
        <v>269</v>
      </c>
      <c r="AS15" s="14" t="s">
        <v>276</v>
      </c>
      <c r="AT15" s="14">
        <f t="shared" si="0"/>
        <v>0.96665105904500515</v>
      </c>
      <c r="AU15" s="14" t="s">
        <v>276</v>
      </c>
      <c r="AV15" s="14" t="s">
        <v>276</v>
      </c>
      <c r="AW15" s="14" t="s">
        <v>276</v>
      </c>
      <c r="AX15" s="9" t="s">
        <v>362</v>
      </c>
      <c r="AY15" s="8">
        <v>0.97</v>
      </c>
      <c r="AZ15" s="8">
        <v>0.85</v>
      </c>
      <c r="BA15" s="8">
        <v>1.1200000000000001</v>
      </c>
      <c r="BB15" s="14">
        <v>0.69</v>
      </c>
      <c r="BC15" s="9" t="s">
        <v>363</v>
      </c>
      <c r="BD15" s="9" t="s">
        <v>276</v>
      </c>
      <c r="BE15" s="9" t="s">
        <v>100</v>
      </c>
      <c r="BF15" s="33" t="s">
        <v>98</v>
      </c>
    </row>
    <row r="16" spans="1:64" s="7" customFormat="1" ht="52" x14ac:dyDescent="0.3">
      <c r="A16" s="8">
        <v>3713</v>
      </c>
      <c r="B16" s="8" t="s">
        <v>319</v>
      </c>
      <c r="C16" s="8" t="s">
        <v>92</v>
      </c>
      <c r="D16" s="9" t="s">
        <v>367</v>
      </c>
      <c r="E16" s="8" t="s">
        <v>43</v>
      </c>
      <c r="F16" s="8" t="s">
        <v>138</v>
      </c>
      <c r="G16" s="8" t="s">
        <v>225</v>
      </c>
      <c r="H16" s="8" t="s">
        <v>125</v>
      </c>
      <c r="I16" s="8" t="s">
        <v>114</v>
      </c>
      <c r="J16" s="9" t="s">
        <v>24</v>
      </c>
      <c r="K16" s="9" t="s">
        <v>321</v>
      </c>
      <c r="L16" s="9" t="s">
        <v>322</v>
      </c>
      <c r="M16" s="8" t="s">
        <v>14</v>
      </c>
      <c r="N16" s="11" t="s">
        <v>98</v>
      </c>
      <c r="O16" s="12" t="s">
        <v>207</v>
      </c>
      <c r="P16" s="41" t="s">
        <v>323</v>
      </c>
      <c r="Q16" s="9" t="s">
        <v>324</v>
      </c>
      <c r="R16" s="9" t="s">
        <v>325</v>
      </c>
      <c r="S16" s="9" t="s">
        <v>326</v>
      </c>
      <c r="T16" s="9">
        <v>1</v>
      </c>
      <c r="U16" s="13">
        <v>189386</v>
      </c>
      <c r="V16" s="38">
        <v>219439</v>
      </c>
      <c r="W16" s="13" t="s">
        <v>276</v>
      </c>
      <c r="X16" s="13" t="s">
        <v>276</v>
      </c>
      <c r="Y16" s="8" t="s">
        <v>276</v>
      </c>
      <c r="Z16" s="8" t="s">
        <v>276</v>
      </c>
      <c r="AA16" s="8" t="s">
        <v>276</v>
      </c>
      <c r="AB16" s="8" t="s">
        <v>276</v>
      </c>
      <c r="AC16" s="9" t="s">
        <v>366</v>
      </c>
      <c r="AD16" s="9" t="s">
        <v>334</v>
      </c>
      <c r="AE16" s="8">
        <v>436</v>
      </c>
      <c r="AF16" s="8">
        <v>510</v>
      </c>
      <c r="AG16" s="13">
        <v>189386</v>
      </c>
      <c r="AH16" s="13">
        <v>219439</v>
      </c>
      <c r="AI16" s="38" t="s">
        <v>335</v>
      </c>
      <c r="AJ16" s="14" t="s">
        <v>276</v>
      </c>
      <c r="AK16" s="14">
        <f>AE16*100/AG16</f>
        <v>0.23021765072391834</v>
      </c>
      <c r="AL16" s="14" t="s">
        <v>276</v>
      </c>
      <c r="AM16" s="14" t="s">
        <v>276</v>
      </c>
      <c r="AN16" s="14" t="s">
        <v>276</v>
      </c>
      <c r="AO16" s="14">
        <f>AF16*100/AH16</f>
        <v>0.23241082943323657</v>
      </c>
      <c r="AP16" s="14" t="s">
        <v>276</v>
      </c>
      <c r="AQ16" s="14" t="s">
        <v>276</v>
      </c>
      <c r="AR16" s="8" t="s">
        <v>268</v>
      </c>
      <c r="AS16" s="14" t="s">
        <v>276</v>
      </c>
      <c r="AT16" s="14">
        <f t="shared" si="0"/>
        <v>0.99056335406286111</v>
      </c>
      <c r="AU16" s="14" t="s">
        <v>276</v>
      </c>
      <c r="AV16" s="14" t="s">
        <v>276</v>
      </c>
      <c r="AW16" s="14" t="s">
        <v>276</v>
      </c>
      <c r="AX16" s="8" t="s">
        <v>282</v>
      </c>
      <c r="AY16" s="8" t="s">
        <v>98</v>
      </c>
      <c r="AZ16" s="8" t="s">
        <v>98</v>
      </c>
      <c r="BA16" s="8" t="s">
        <v>98</v>
      </c>
      <c r="BB16" s="8" t="s">
        <v>98</v>
      </c>
      <c r="BC16" s="9" t="s">
        <v>363</v>
      </c>
      <c r="BD16" s="9" t="s">
        <v>337</v>
      </c>
      <c r="BE16" s="9" t="s">
        <v>100</v>
      </c>
      <c r="BF16" s="33" t="s">
        <v>98</v>
      </c>
    </row>
    <row r="17" spans="1:58" s="7" customFormat="1" ht="104" x14ac:dyDescent="0.3">
      <c r="A17" s="8">
        <v>3713</v>
      </c>
      <c r="B17" s="8" t="s">
        <v>319</v>
      </c>
      <c r="C17" s="8" t="s">
        <v>92</v>
      </c>
      <c r="D17" s="9" t="s">
        <v>368</v>
      </c>
      <c r="E17" s="8" t="s">
        <v>43</v>
      </c>
      <c r="F17" s="8" t="s">
        <v>138</v>
      </c>
      <c r="G17" s="8" t="s">
        <v>225</v>
      </c>
      <c r="H17" s="8" t="s">
        <v>125</v>
      </c>
      <c r="I17" s="8" t="s">
        <v>114</v>
      </c>
      <c r="J17" s="9" t="s">
        <v>24</v>
      </c>
      <c r="K17" s="9" t="s">
        <v>321</v>
      </c>
      <c r="L17" s="9" t="s">
        <v>322</v>
      </c>
      <c r="M17" s="8" t="s">
        <v>14</v>
      </c>
      <c r="N17" s="11" t="s">
        <v>98</v>
      </c>
      <c r="O17" s="12" t="s">
        <v>207</v>
      </c>
      <c r="P17" s="41" t="s">
        <v>323</v>
      </c>
      <c r="Q17" s="9" t="s">
        <v>324</v>
      </c>
      <c r="R17" s="9" t="s">
        <v>325</v>
      </c>
      <c r="S17" s="9" t="s">
        <v>326</v>
      </c>
      <c r="T17" s="9">
        <v>1</v>
      </c>
      <c r="U17" s="13">
        <v>189386</v>
      </c>
      <c r="V17" s="38">
        <v>219439</v>
      </c>
      <c r="W17" s="13" t="s">
        <v>276</v>
      </c>
      <c r="X17" s="13" t="s">
        <v>276</v>
      </c>
      <c r="Y17" s="8" t="s">
        <v>276</v>
      </c>
      <c r="Z17" s="8" t="s">
        <v>276</v>
      </c>
      <c r="AA17" s="8" t="s">
        <v>276</v>
      </c>
      <c r="AB17" s="8" t="s">
        <v>276</v>
      </c>
      <c r="AC17" s="9" t="s">
        <v>369</v>
      </c>
      <c r="AD17" s="9" t="s">
        <v>328</v>
      </c>
      <c r="AE17" s="8">
        <v>593</v>
      </c>
      <c r="AF17" s="8">
        <v>699</v>
      </c>
      <c r="AG17" s="13">
        <v>1853167</v>
      </c>
      <c r="AH17" s="13">
        <v>2095405</v>
      </c>
      <c r="AI17" s="13" t="s">
        <v>329</v>
      </c>
      <c r="AJ17" s="14">
        <v>0.32</v>
      </c>
      <c r="AK17" s="14">
        <f>AE17*1000/AG17</f>
        <v>0.31999274755054458</v>
      </c>
      <c r="AL17" s="14">
        <v>0.3</v>
      </c>
      <c r="AM17" s="14">
        <v>0.35</v>
      </c>
      <c r="AN17" s="14">
        <v>0.33</v>
      </c>
      <c r="AO17" s="14">
        <f>AF17*1000/AH17</f>
        <v>0.33358706312144909</v>
      </c>
      <c r="AP17" s="14">
        <v>0.31</v>
      </c>
      <c r="AQ17" s="14">
        <v>0.36</v>
      </c>
      <c r="AR17" s="8" t="s">
        <v>269</v>
      </c>
      <c r="AS17" s="14" t="s">
        <v>276</v>
      </c>
      <c r="AT17" s="14">
        <f t="shared" si="0"/>
        <v>0.95924807322052763</v>
      </c>
      <c r="AU17" s="14" t="s">
        <v>276</v>
      </c>
      <c r="AV17" s="14" t="s">
        <v>276</v>
      </c>
      <c r="AW17" s="14" t="s">
        <v>276</v>
      </c>
      <c r="AX17" s="9" t="s">
        <v>362</v>
      </c>
      <c r="AY17" s="8">
        <v>0.96</v>
      </c>
      <c r="AZ17" s="8">
        <v>0.86</v>
      </c>
      <c r="BA17" s="8">
        <v>1.08</v>
      </c>
      <c r="BB17" s="31">
        <v>0.497</v>
      </c>
      <c r="BC17" s="9" t="s">
        <v>363</v>
      </c>
      <c r="BD17" s="9" t="s">
        <v>276</v>
      </c>
      <c r="BE17" s="9" t="s">
        <v>100</v>
      </c>
      <c r="BF17" s="33" t="s">
        <v>98</v>
      </c>
    </row>
    <row r="18" spans="1:58" s="7" customFormat="1" ht="104" x14ac:dyDescent="0.3">
      <c r="A18" s="8">
        <v>3713</v>
      </c>
      <c r="B18" s="8" t="s">
        <v>319</v>
      </c>
      <c r="C18" s="8" t="s">
        <v>92</v>
      </c>
      <c r="D18" s="9" t="s">
        <v>370</v>
      </c>
      <c r="E18" s="8" t="s">
        <v>43</v>
      </c>
      <c r="F18" s="8" t="s">
        <v>138</v>
      </c>
      <c r="G18" s="8" t="s">
        <v>225</v>
      </c>
      <c r="H18" s="8" t="s">
        <v>125</v>
      </c>
      <c r="I18" s="8" t="s">
        <v>114</v>
      </c>
      <c r="J18" s="9" t="s">
        <v>24</v>
      </c>
      <c r="K18" s="9" t="s">
        <v>321</v>
      </c>
      <c r="L18" s="9" t="s">
        <v>322</v>
      </c>
      <c r="M18" s="8" t="s">
        <v>14</v>
      </c>
      <c r="N18" s="11" t="s">
        <v>98</v>
      </c>
      <c r="O18" s="12" t="s">
        <v>207</v>
      </c>
      <c r="P18" s="41" t="s">
        <v>323</v>
      </c>
      <c r="Q18" s="9" t="s">
        <v>324</v>
      </c>
      <c r="R18" s="9" t="s">
        <v>325</v>
      </c>
      <c r="S18" s="9" t="s">
        <v>326</v>
      </c>
      <c r="T18" s="9">
        <v>1</v>
      </c>
      <c r="U18" s="13">
        <v>189386</v>
      </c>
      <c r="V18" s="38">
        <v>219439</v>
      </c>
      <c r="W18" s="13" t="s">
        <v>276</v>
      </c>
      <c r="X18" s="13" t="s">
        <v>276</v>
      </c>
      <c r="Y18" s="8" t="s">
        <v>276</v>
      </c>
      <c r="Z18" s="8" t="s">
        <v>276</v>
      </c>
      <c r="AA18" s="8" t="s">
        <v>276</v>
      </c>
      <c r="AB18" s="8" t="s">
        <v>276</v>
      </c>
      <c r="AC18" s="9" t="s">
        <v>369</v>
      </c>
      <c r="AD18" s="9" t="s">
        <v>334</v>
      </c>
      <c r="AE18" s="8">
        <v>593</v>
      </c>
      <c r="AF18" s="8">
        <v>699</v>
      </c>
      <c r="AG18" s="13">
        <v>189386</v>
      </c>
      <c r="AH18" s="13">
        <v>219439</v>
      </c>
      <c r="AI18" s="38" t="s">
        <v>335</v>
      </c>
      <c r="AJ18" s="14" t="s">
        <v>276</v>
      </c>
      <c r="AK18" s="14">
        <f>AE18*100/AG18</f>
        <v>0.31311712586991647</v>
      </c>
      <c r="AL18" s="14" t="s">
        <v>276</v>
      </c>
      <c r="AM18" s="14" t="s">
        <v>276</v>
      </c>
      <c r="AN18" s="14" t="s">
        <v>276</v>
      </c>
      <c r="AO18" s="14">
        <f>AF18*100/AH18</f>
        <v>0.31853954857614186</v>
      </c>
      <c r="AP18" s="14" t="s">
        <v>276</v>
      </c>
      <c r="AQ18" s="14" t="s">
        <v>276</v>
      </c>
      <c r="AR18" s="8" t="s">
        <v>268</v>
      </c>
      <c r="AS18" s="14" t="s">
        <v>276</v>
      </c>
      <c r="AT18" s="14">
        <f t="shared" si="0"/>
        <v>0.98297723868052367</v>
      </c>
      <c r="AU18" s="14" t="s">
        <v>276</v>
      </c>
      <c r="AV18" s="14" t="s">
        <v>276</v>
      </c>
      <c r="AW18" s="14" t="s">
        <v>276</v>
      </c>
      <c r="AX18" s="8" t="s">
        <v>282</v>
      </c>
      <c r="AY18" s="8" t="s">
        <v>98</v>
      </c>
      <c r="AZ18" s="8" t="s">
        <v>98</v>
      </c>
      <c r="BA18" s="8" t="s">
        <v>98</v>
      </c>
      <c r="BB18" s="8" t="s">
        <v>98</v>
      </c>
      <c r="BC18" s="9" t="s">
        <v>363</v>
      </c>
      <c r="BD18" s="9" t="s">
        <v>337</v>
      </c>
      <c r="BE18" s="9" t="s">
        <v>100</v>
      </c>
      <c r="BF18" s="33" t="s">
        <v>98</v>
      </c>
    </row>
    <row r="19" spans="1:58" s="7" customFormat="1" ht="65" x14ac:dyDescent="0.3">
      <c r="A19" s="8">
        <v>3713</v>
      </c>
      <c r="B19" s="8" t="s">
        <v>319</v>
      </c>
      <c r="C19" s="8" t="s">
        <v>92</v>
      </c>
      <c r="D19" s="9" t="s">
        <v>371</v>
      </c>
      <c r="E19" s="8" t="s">
        <v>43</v>
      </c>
      <c r="F19" s="8" t="s">
        <v>138</v>
      </c>
      <c r="G19" s="8" t="s">
        <v>225</v>
      </c>
      <c r="H19" s="8" t="s">
        <v>125</v>
      </c>
      <c r="I19" s="8" t="s">
        <v>114</v>
      </c>
      <c r="J19" s="9" t="s">
        <v>23</v>
      </c>
      <c r="K19" s="9" t="s">
        <v>372</v>
      </c>
      <c r="L19" s="9" t="s">
        <v>322</v>
      </c>
      <c r="M19" s="8" t="s">
        <v>14</v>
      </c>
      <c r="N19" s="11" t="s">
        <v>98</v>
      </c>
      <c r="O19" s="12" t="s">
        <v>207</v>
      </c>
      <c r="P19" s="41" t="s">
        <v>323</v>
      </c>
      <c r="Q19" s="9" t="s">
        <v>324</v>
      </c>
      <c r="R19" s="9" t="s">
        <v>325</v>
      </c>
      <c r="S19" s="9" t="s">
        <v>326</v>
      </c>
      <c r="T19" s="9">
        <v>1</v>
      </c>
      <c r="U19" s="13">
        <v>189386</v>
      </c>
      <c r="V19" s="38">
        <v>219439</v>
      </c>
      <c r="W19" s="13" t="s">
        <v>276</v>
      </c>
      <c r="X19" s="13" t="s">
        <v>276</v>
      </c>
      <c r="Y19" s="8" t="s">
        <v>276</v>
      </c>
      <c r="Z19" s="8" t="s">
        <v>276</v>
      </c>
      <c r="AA19" s="8" t="s">
        <v>276</v>
      </c>
      <c r="AB19" s="8" t="s">
        <v>276</v>
      </c>
      <c r="AC19" s="9" t="s">
        <v>373</v>
      </c>
      <c r="AD19" s="9" t="s">
        <v>328</v>
      </c>
      <c r="AE19" s="13">
        <v>25459</v>
      </c>
      <c r="AF19" s="13">
        <v>28306</v>
      </c>
      <c r="AG19" s="13">
        <v>1853167</v>
      </c>
      <c r="AH19" s="13">
        <v>2095405</v>
      </c>
      <c r="AI19" s="13" t="s">
        <v>329</v>
      </c>
      <c r="AJ19" s="14">
        <v>13.74</v>
      </c>
      <c r="AK19" s="14">
        <f>AE19*1000/AG19</f>
        <v>13.738103473675066</v>
      </c>
      <c r="AL19" s="14">
        <v>13.57</v>
      </c>
      <c r="AM19" s="14">
        <v>13.91</v>
      </c>
      <c r="AN19" s="14">
        <v>13.51</v>
      </c>
      <c r="AO19" s="14">
        <f>AF19*1000/AH19</f>
        <v>13.508605734929525</v>
      </c>
      <c r="AP19" s="14">
        <v>13.35</v>
      </c>
      <c r="AQ19" s="14">
        <v>13.67</v>
      </c>
      <c r="AR19" s="8" t="s">
        <v>269</v>
      </c>
      <c r="AS19" s="14" t="s">
        <v>276</v>
      </c>
      <c r="AT19" s="14">
        <f t="shared" si="0"/>
        <v>1.0169890026586625</v>
      </c>
      <c r="AU19" s="14" t="s">
        <v>276</v>
      </c>
      <c r="AV19" s="14" t="s">
        <v>276</v>
      </c>
      <c r="AW19" s="14" t="s">
        <v>276</v>
      </c>
      <c r="AX19" s="9" t="s">
        <v>362</v>
      </c>
      <c r="AY19" s="8">
        <v>0.99</v>
      </c>
      <c r="AZ19" s="8">
        <v>0.94</v>
      </c>
      <c r="BA19" s="8">
        <v>1.03</v>
      </c>
      <c r="BB19" s="8">
        <v>0.49</v>
      </c>
      <c r="BC19" s="9" t="s">
        <v>374</v>
      </c>
      <c r="BD19" s="9" t="s">
        <v>276</v>
      </c>
      <c r="BE19" s="9" t="s">
        <v>100</v>
      </c>
      <c r="BF19" s="33" t="s">
        <v>98</v>
      </c>
    </row>
    <row r="20" spans="1:58" s="7" customFormat="1" ht="39" x14ac:dyDescent="0.3">
      <c r="A20" s="8">
        <v>3713</v>
      </c>
      <c r="B20" s="8" t="s">
        <v>319</v>
      </c>
      <c r="C20" s="8" t="s">
        <v>92</v>
      </c>
      <c r="D20" s="9" t="s">
        <v>375</v>
      </c>
      <c r="E20" s="8" t="s">
        <v>43</v>
      </c>
      <c r="F20" s="8" t="s">
        <v>138</v>
      </c>
      <c r="G20" s="8" t="s">
        <v>225</v>
      </c>
      <c r="H20" s="8" t="s">
        <v>125</v>
      </c>
      <c r="I20" s="8" t="s">
        <v>114</v>
      </c>
      <c r="J20" s="9" t="s">
        <v>23</v>
      </c>
      <c r="K20" s="9" t="s">
        <v>372</v>
      </c>
      <c r="L20" s="9" t="s">
        <v>322</v>
      </c>
      <c r="M20" s="8" t="s">
        <v>14</v>
      </c>
      <c r="N20" s="11" t="s">
        <v>98</v>
      </c>
      <c r="O20" s="12" t="s">
        <v>207</v>
      </c>
      <c r="P20" s="41" t="s">
        <v>323</v>
      </c>
      <c r="Q20" s="9" t="s">
        <v>324</v>
      </c>
      <c r="R20" s="9" t="s">
        <v>325</v>
      </c>
      <c r="S20" s="9" t="s">
        <v>326</v>
      </c>
      <c r="T20" s="9">
        <v>1</v>
      </c>
      <c r="U20" s="13">
        <v>189386</v>
      </c>
      <c r="V20" s="38">
        <v>219439</v>
      </c>
      <c r="W20" s="13" t="s">
        <v>276</v>
      </c>
      <c r="X20" s="13" t="s">
        <v>276</v>
      </c>
      <c r="Y20" s="8" t="s">
        <v>276</v>
      </c>
      <c r="Z20" s="8" t="s">
        <v>276</v>
      </c>
      <c r="AA20" s="8" t="s">
        <v>276</v>
      </c>
      <c r="AB20" s="8" t="s">
        <v>276</v>
      </c>
      <c r="AC20" s="9" t="s">
        <v>373</v>
      </c>
      <c r="AD20" s="9" t="s">
        <v>334</v>
      </c>
      <c r="AE20" s="13">
        <v>25459</v>
      </c>
      <c r="AF20" s="13">
        <v>28306</v>
      </c>
      <c r="AG20" s="13">
        <v>189386</v>
      </c>
      <c r="AH20" s="13">
        <v>219439</v>
      </c>
      <c r="AI20" s="38" t="s">
        <v>376</v>
      </c>
      <c r="AJ20" s="14" t="s">
        <v>276</v>
      </c>
      <c r="AK20" s="14">
        <f t="shared" ref="AK20:AK34" si="5">AE20*100/AG20</f>
        <v>13.442915527018892</v>
      </c>
      <c r="AL20" s="14" t="s">
        <v>276</v>
      </c>
      <c r="AM20" s="14" t="s">
        <v>276</v>
      </c>
      <c r="AN20" s="14" t="s">
        <v>276</v>
      </c>
      <c r="AO20" s="14">
        <f t="shared" ref="AO20:AO34" si="6">AF20*100/AH20</f>
        <v>12.899256741053323</v>
      </c>
      <c r="AP20" s="14" t="s">
        <v>276</v>
      </c>
      <c r="AQ20" s="14" t="s">
        <v>276</v>
      </c>
      <c r="AR20" s="8" t="s">
        <v>268</v>
      </c>
      <c r="AS20" s="14" t="s">
        <v>276</v>
      </c>
      <c r="AT20" s="14">
        <f t="shared" si="0"/>
        <v>1.0421465202902207</v>
      </c>
      <c r="AU20" s="14" t="s">
        <v>276</v>
      </c>
      <c r="AV20" s="14" t="s">
        <v>276</v>
      </c>
      <c r="AW20" s="14" t="s">
        <v>276</v>
      </c>
      <c r="AX20" s="9" t="s">
        <v>282</v>
      </c>
      <c r="AY20" s="8" t="s">
        <v>98</v>
      </c>
      <c r="AZ20" s="8" t="s">
        <v>98</v>
      </c>
      <c r="BA20" s="8" t="s">
        <v>98</v>
      </c>
      <c r="BB20" s="8" t="s">
        <v>98</v>
      </c>
      <c r="BC20" s="9" t="s">
        <v>377</v>
      </c>
      <c r="BD20" s="9" t="s">
        <v>337</v>
      </c>
      <c r="BE20" s="9" t="s">
        <v>100</v>
      </c>
      <c r="BF20" s="33" t="s">
        <v>98</v>
      </c>
    </row>
    <row r="21" spans="1:58" s="7" customFormat="1" ht="41.15" customHeight="1" x14ac:dyDescent="0.3">
      <c r="A21" s="8">
        <v>3713</v>
      </c>
      <c r="B21" s="8" t="s">
        <v>319</v>
      </c>
      <c r="C21" s="8" t="s">
        <v>92</v>
      </c>
      <c r="D21" s="9" t="s">
        <v>378</v>
      </c>
      <c r="E21" s="8" t="s">
        <v>43</v>
      </c>
      <c r="F21" s="8" t="s">
        <v>138</v>
      </c>
      <c r="G21" s="8" t="s">
        <v>225</v>
      </c>
      <c r="H21" s="8" t="s">
        <v>125</v>
      </c>
      <c r="I21" s="8" t="s">
        <v>114</v>
      </c>
      <c r="J21" s="9" t="s">
        <v>23</v>
      </c>
      <c r="K21" s="9" t="s">
        <v>372</v>
      </c>
      <c r="L21" s="9" t="s">
        <v>322</v>
      </c>
      <c r="M21" s="8" t="s">
        <v>14</v>
      </c>
      <c r="N21" s="11" t="s">
        <v>98</v>
      </c>
      <c r="O21" s="12" t="s">
        <v>207</v>
      </c>
      <c r="P21" s="41" t="s">
        <v>98</v>
      </c>
      <c r="Q21" s="9" t="s">
        <v>379</v>
      </c>
      <c r="R21" s="9" t="s">
        <v>276</v>
      </c>
      <c r="S21" s="9" t="s">
        <v>276</v>
      </c>
      <c r="T21" s="9">
        <v>1</v>
      </c>
      <c r="U21" s="13">
        <v>189386</v>
      </c>
      <c r="V21" s="38">
        <v>219439</v>
      </c>
      <c r="W21" s="13">
        <f>U21-186989</f>
        <v>2397</v>
      </c>
      <c r="X21" s="13">
        <f>V21-216504</f>
        <v>2935</v>
      </c>
      <c r="Y21" s="8" t="s">
        <v>276</v>
      </c>
      <c r="Z21" s="8" t="s">
        <v>276</v>
      </c>
      <c r="AA21" s="8" t="s">
        <v>276</v>
      </c>
      <c r="AB21" s="8" t="s">
        <v>276</v>
      </c>
      <c r="AC21" s="9" t="s">
        <v>380</v>
      </c>
      <c r="AD21" s="9" t="s">
        <v>334</v>
      </c>
      <c r="AE21" s="13">
        <v>1772</v>
      </c>
      <c r="AF21" s="13">
        <v>1941</v>
      </c>
      <c r="AG21" s="13">
        <v>189386</v>
      </c>
      <c r="AH21" s="13">
        <v>219439</v>
      </c>
      <c r="AI21" s="38" t="s">
        <v>376</v>
      </c>
      <c r="AJ21" s="14" t="s">
        <v>276</v>
      </c>
      <c r="AK21" s="14">
        <f t="shared" si="5"/>
        <v>0.93565522266693424</v>
      </c>
      <c r="AL21" s="14" t="s">
        <v>276</v>
      </c>
      <c r="AM21" s="14" t="s">
        <v>276</v>
      </c>
      <c r="AN21" s="14" t="s">
        <v>276</v>
      </c>
      <c r="AO21" s="14">
        <f t="shared" si="6"/>
        <v>0.8845282743723768</v>
      </c>
      <c r="AP21" s="14" t="s">
        <v>276</v>
      </c>
      <c r="AQ21" s="14" t="s">
        <v>276</v>
      </c>
      <c r="AR21" s="8" t="s">
        <v>268</v>
      </c>
      <c r="AS21" s="14" t="s">
        <v>276</v>
      </c>
      <c r="AT21" s="14">
        <f t="shared" si="0"/>
        <v>1.0578013725234898</v>
      </c>
      <c r="AU21" s="14" t="s">
        <v>276</v>
      </c>
      <c r="AV21" s="14" t="s">
        <v>276</v>
      </c>
      <c r="AW21" s="14" t="s">
        <v>276</v>
      </c>
      <c r="AX21" s="9" t="s">
        <v>282</v>
      </c>
      <c r="AY21" s="8" t="s">
        <v>98</v>
      </c>
      <c r="AZ21" s="8" t="s">
        <v>98</v>
      </c>
      <c r="BA21" s="8" t="s">
        <v>98</v>
      </c>
      <c r="BB21" s="8" t="s">
        <v>98</v>
      </c>
      <c r="BC21" s="9" t="s">
        <v>381</v>
      </c>
      <c r="BD21" s="9" t="s">
        <v>337</v>
      </c>
      <c r="BE21" s="9" t="s">
        <v>100</v>
      </c>
      <c r="BF21" s="33" t="s">
        <v>98</v>
      </c>
    </row>
    <row r="22" spans="1:58" s="7" customFormat="1" ht="41.15" customHeight="1" x14ac:dyDescent="0.3">
      <c r="A22" s="8">
        <v>3713</v>
      </c>
      <c r="B22" s="8" t="s">
        <v>319</v>
      </c>
      <c r="C22" s="8" t="s">
        <v>92</v>
      </c>
      <c r="D22" s="9" t="s">
        <v>382</v>
      </c>
      <c r="E22" s="8" t="s">
        <v>43</v>
      </c>
      <c r="F22" s="8" t="s">
        <v>138</v>
      </c>
      <c r="G22" s="8" t="s">
        <v>225</v>
      </c>
      <c r="H22" s="8" t="s">
        <v>125</v>
      </c>
      <c r="I22" s="8" t="s">
        <v>114</v>
      </c>
      <c r="J22" s="9" t="s">
        <v>23</v>
      </c>
      <c r="K22" s="9" t="s">
        <v>372</v>
      </c>
      <c r="L22" s="9" t="s">
        <v>322</v>
      </c>
      <c r="M22" s="8" t="s">
        <v>14</v>
      </c>
      <c r="N22" s="11" t="s">
        <v>98</v>
      </c>
      <c r="O22" s="12" t="s">
        <v>207</v>
      </c>
      <c r="P22" s="41" t="s">
        <v>98</v>
      </c>
      <c r="Q22" s="9" t="s">
        <v>339</v>
      </c>
      <c r="R22" s="9" t="s">
        <v>276</v>
      </c>
      <c r="S22" s="9" t="s">
        <v>276</v>
      </c>
      <c r="T22" s="9">
        <v>1</v>
      </c>
      <c r="U22" s="13">
        <v>189386</v>
      </c>
      <c r="V22" s="38">
        <v>219439</v>
      </c>
      <c r="W22" s="13">
        <f>U22-184370</f>
        <v>5016</v>
      </c>
      <c r="X22" s="13">
        <f>V22-213705</f>
        <v>5734</v>
      </c>
      <c r="Y22" s="8" t="s">
        <v>276</v>
      </c>
      <c r="Z22" s="8" t="s">
        <v>276</v>
      </c>
      <c r="AA22" s="8" t="s">
        <v>276</v>
      </c>
      <c r="AB22" s="8" t="s">
        <v>276</v>
      </c>
      <c r="AC22" s="9" t="s">
        <v>383</v>
      </c>
      <c r="AD22" s="9" t="s">
        <v>334</v>
      </c>
      <c r="AE22" s="13">
        <f>1772+1888</f>
        <v>3660</v>
      </c>
      <c r="AF22" s="13">
        <f>1941+2089</f>
        <v>4030</v>
      </c>
      <c r="AG22" s="13">
        <v>189386</v>
      </c>
      <c r="AH22" s="13">
        <v>219439</v>
      </c>
      <c r="AI22" s="38" t="s">
        <v>376</v>
      </c>
      <c r="AJ22" s="14" t="s">
        <v>276</v>
      </c>
      <c r="AK22" s="14">
        <f t="shared" si="5"/>
        <v>1.9325610129576631</v>
      </c>
      <c r="AL22" s="14" t="s">
        <v>276</v>
      </c>
      <c r="AM22" s="14" t="s">
        <v>276</v>
      </c>
      <c r="AN22" s="14" t="s">
        <v>276</v>
      </c>
      <c r="AO22" s="14">
        <f t="shared" si="6"/>
        <v>1.8365012600312616</v>
      </c>
      <c r="AP22" s="14" t="s">
        <v>276</v>
      </c>
      <c r="AQ22" s="14" t="s">
        <v>276</v>
      </c>
      <c r="AR22" s="8" t="s">
        <v>268</v>
      </c>
      <c r="AS22" s="14" t="s">
        <v>276</v>
      </c>
      <c r="AT22" s="14">
        <f t="shared" si="0"/>
        <v>1.0523058464576096</v>
      </c>
      <c r="AU22" s="14" t="s">
        <v>276</v>
      </c>
      <c r="AV22" s="14" t="s">
        <v>276</v>
      </c>
      <c r="AW22" s="14" t="s">
        <v>276</v>
      </c>
      <c r="AX22" s="9" t="s">
        <v>282</v>
      </c>
      <c r="AY22" s="8" t="s">
        <v>98</v>
      </c>
      <c r="AZ22" s="8" t="s">
        <v>98</v>
      </c>
      <c r="BA22" s="8" t="s">
        <v>98</v>
      </c>
      <c r="BB22" s="8" t="s">
        <v>98</v>
      </c>
      <c r="BC22" s="9" t="s">
        <v>381</v>
      </c>
      <c r="BD22" s="9" t="s">
        <v>337</v>
      </c>
      <c r="BE22" s="9" t="s">
        <v>100</v>
      </c>
      <c r="BF22" s="33" t="s">
        <v>98</v>
      </c>
    </row>
    <row r="23" spans="1:58" s="7" customFormat="1" ht="41.15" customHeight="1" x14ac:dyDescent="0.3">
      <c r="A23" s="8">
        <v>3713</v>
      </c>
      <c r="B23" s="8" t="s">
        <v>319</v>
      </c>
      <c r="C23" s="8" t="s">
        <v>92</v>
      </c>
      <c r="D23" s="9" t="s">
        <v>384</v>
      </c>
      <c r="E23" s="8" t="s">
        <v>43</v>
      </c>
      <c r="F23" s="8" t="s">
        <v>138</v>
      </c>
      <c r="G23" s="8" t="s">
        <v>225</v>
      </c>
      <c r="H23" s="8" t="s">
        <v>125</v>
      </c>
      <c r="I23" s="8" t="s">
        <v>114</v>
      </c>
      <c r="J23" s="9" t="s">
        <v>23</v>
      </c>
      <c r="K23" s="9" t="s">
        <v>372</v>
      </c>
      <c r="L23" s="9" t="s">
        <v>322</v>
      </c>
      <c r="M23" s="8" t="s">
        <v>14</v>
      </c>
      <c r="N23" s="11" t="s">
        <v>98</v>
      </c>
      <c r="O23" s="12" t="s">
        <v>207</v>
      </c>
      <c r="P23" s="41" t="s">
        <v>98</v>
      </c>
      <c r="Q23" s="9" t="s">
        <v>385</v>
      </c>
      <c r="R23" s="9" t="s">
        <v>276</v>
      </c>
      <c r="S23" s="9" t="s">
        <v>276</v>
      </c>
      <c r="T23" s="9">
        <v>1</v>
      </c>
      <c r="U23" s="13">
        <v>189386</v>
      </c>
      <c r="V23" s="38">
        <v>219439</v>
      </c>
      <c r="W23" s="13">
        <f>U23-181778</f>
        <v>7608</v>
      </c>
      <c r="X23" s="13">
        <f>V23-210530</f>
        <v>8909</v>
      </c>
      <c r="Y23" s="8" t="s">
        <v>276</v>
      </c>
      <c r="Z23" s="8" t="s">
        <v>276</v>
      </c>
      <c r="AA23" s="8" t="s">
        <v>276</v>
      </c>
      <c r="AB23" s="8" t="s">
        <v>276</v>
      </c>
      <c r="AC23" s="9" t="s">
        <v>386</v>
      </c>
      <c r="AD23" s="9" t="s">
        <v>334</v>
      </c>
      <c r="AE23" s="13">
        <f>1772+1888+1900</f>
        <v>5560</v>
      </c>
      <c r="AF23" s="13">
        <f>1941+2089+2290</f>
        <v>6320</v>
      </c>
      <c r="AG23" s="13">
        <v>189386</v>
      </c>
      <c r="AH23" s="13">
        <v>219439</v>
      </c>
      <c r="AI23" s="38" t="s">
        <v>376</v>
      </c>
      <c r="AJ23" s="14" t="s">
        <v>276</v>
      </c>
      <c r="AK23" s="14">
        <f t="shared" si="5"/>
        <v>2.9358030688646468</v>
      </c>
      <c r="AL23" s="14" t="s">
        <v>276</v>
      </c>
      <c r="AM23" s="14" t="s">
        <v>276</v>
      </c>
      <c r="AN23" s="14" t="s">
        <v>276</v>
      </c>
      <c r="AO23" s="14">
        <f t="shared" si="6"/>
        <v>2.8800714549373629</v>
      </c>
      <c r="AP23" s="14" t="s">
        <v>276</v>
      </c>
      <c r="AQ23" s="14" t="s">
        <v>276</v>
      </c>
      <c r="AR23" s="8" t="s">
        <v>268</v>
      </c>
      <c r="AS23" s="14" t="s">
        <v>276</v>
      </c>
      <c r="AT23" s="14">
        <f t="shared" si="0"/>
        <v>1.0193507747287804</v>
      </c>
      <c r="AU23" s="14" t="s">
        <v>276</v>
      </c>
      <c r="AV23" s="14" t="s">
        <v>276</v>
      </c>
      <c r="AW23" s="14" t="s">
        <v>276</v>
      </c>
      <c r="AX23" s="9" t="s">
        <v>282</v>
      </c>
      <c r="AY23" s="8" t="s">
        <v>98</v>
      </c>
      <c r="AZ23" s="8" t="s">
        <v>98</v>
      </c>
      <c r="BA23" s="8" t="s">
        <v>98</v>
      </c>
      <c r="BB23" s="8" t="s">
        <v>98</v>
      </c>
      <c r="BC23" s="9" t="s">
        <v>381</v>
      </c>
      <c r="BD23" s="9" t="s">
        <v>337</v>
      </c>
      <c r="BE23" s="9" t="s">
        <v>100</v>
      </c>
      <c r="BF23" s="33" t="s">
        <v>98</v>
      </c>
    </row>
    <row r="24" spans="1:58" s="7" customFormat="1" ht="41.15" customHeight="1" x14ac:dyDescent="0.3">
      <c r="A24" s="8">
        <v>3713</v>
      </c>
      <c r="B24" s="8" t="s">
        <v>319</v>
      </c>
      <c r="C24" s="8" t="s">
        <v>92</v>
      </c>
      <c r="D24" s="9" t="s">
        <v>387</v>
      </c>
      <c r="E24" s="8" t="s">
        <v>43</v>
      </c>
      <c r="F24" s="8" t="s">
        <v>138</v>
      </c>
      <c r="G24" s="8" t="s">
        <v>225</v>
      </c>
      <c r="H24" s="8" t="s">
        <v>125</v>
      </c>
      <c r="I24" s="8" t="s">
        <v>114</v>
      </c>
      <c r="J24" s="9" t="s">
        <v>23</v>
      </c>
      <c r="K24" s="9" t="s">
        <v>372</v>
      </c>
      <c r="L24" s="9" t="s">
        <v>322</v>
      </c>
      <c r="M24" s="8" t="s">
        <v>14</v>
      </c>
      <c r="N24" s="11" t="s">
        <v>98</v>
      </c>
      <c r="O24" s="12" t="s">
        <v>207</v>
      </c>
      <c r="P24" s="41" t="s">
        <v>98</v>
      </c>
      <c r="Q24" s="9" t="s">
        <v>343</v>
      </c>
      <c r="R24" s="9" t="s">
        <v>276</v>
      </c>
      <c r="S24" s="9" t="s">
        <v>276</v>
      </c>
      <c r="T24" s="9">
        <v>1</v>
      </c>
      <c r="U24" s="13">
        <v>189386</v>
      </c>
      <c r="V24" s="38">
        <v>219439</v>
      </c>
      <c r="W24" s="13">
        <f>U24-178777</f>
        <v>10609</v>
      </c>
      <c r="X24" s="13">
        <f>V24-207112</f>
        <v>12327</v>
      </c>
      <c r="Y24" s="8" t="s">
        <v>276</v>
      </c>
      <c r="Z24" s="8" t="s">
        <v>276</v>
      </c>
      <c r="AA24" s="8" t="s">
        <v>276</v>
      </c>
      <c r="AB24" s="8" t="s">
        <v>276</v>
      </c>
      <c r="AC24" s="9" t="s">
        <v>388</v>
      </c>
      <c r="AD24" s="9" t="s">
        <v>334</v>
      </c>
      <c r="AE24" s="13">
        <f>1772+1888+1900+2212</f>
        <v>7772</v>
      </c>
      <c r="AF24" s="13">
        <f>1941+2089+2290+2404</f>
        <v>8724</v>
      </c>
      <c r="AG24" s="13">
        <v>189386</v>
      </c>
      <c r="AH24" s="13">
        <v>219439</v>
      </c>
      <c r="AI24" s="38" t="s">
        <v>376</v>
      </c>
      <c r="AJ24" s="14" t="s">
        <v>276</v>
      </c>
      <c r="AK24" s="14">
        <f t="shared" si="5"/>
        <v>4.1037880307942505</v>
      </c>
      <c r="AL24" s="14" t="s">
        <v>276</v>
      </c>
      <c r="AM24" s="14" t="s">
        <v>276</v>
      </c>
      <c r="AN24" s="14" t="s">
        <v>276</v>
      </c>
      <c r="AO24" s="14">
        <f t="shared" si="6"/>
        <v>3.9755923058344234</v>
      </c>
      <c r="AP24" s="14" t="s">
        <v>276</v>
      </c>
      <c r="AQ24" s="14" t="s">
        <v>276</v>
      </c>
      <c r="AR24" s="8" t="s">
        <v>268</v>
      </c>
      <c r="AS24" s="14" t="s">
        <v>276</v>
      </c>
      <c r="AT24" s="14">
        <f t="shared" si="0"/>
        <v>1.0322456919870009</v>
      </c>
      <c r="AU24" s="14" t="s">
        <v>276</v>
      </c>
      <c r="AV24" s="14" t="s">
        <v>276</v>
      </c>
      <c r="AW24" s="14" t="s">
        <v>276</v>
      </c>
      <c r="AX24" s="9" t="s">
        <v>282</v>
      </c>
      <c r="AY24" s="8" t="s">
        <v>98</v>
      </c>
      <c r="AZ24" s="8" t="s">
        <v>98</v>
      </c>
      <c r="BA24" s="8" t="s">
        <v>98</v>
      </c>
      <c r="BB24" s="8" t="s">
        <v>98</v>
      </c>
      <c r="BC24" s="9" t="s">
        <v>381</v>
      </c>
      <c r="BD24" s="9" t="s">
        <v>337</v>
      </c>
      <c r="BE24" s="9" t="s">
        <v>100</v>
      </c>
      <c r="BF24" s="33" t="s">
        <v>98</v>
      </c>
    </row>
    <row r="25" spans="1:58" s="7" customFormat="1" ht="41.15" customHeight="1" x14ac:dyDescent="0.3">
      <c r="A25" s="8">
        <v>3713</v>
      </c>
      <c r="B25" s="8" t="s">
        <v>319</v>
      </c>
      <c r="C25" s="8" t="s">
        <v>92</v>
      </c>
      <c r="D25" s="9" t="s">
        <v>389</v>
      </c>
      <c r="E25" s="8" t="s">
        <v>43</v>
      </c>
      <c r="F25" s="8" t="s">
        <v>138</v>
      </c>
      <c r="G25" s="8" t="s">
        <v>225</v>
      </c>
      <c r="H25" s="8" t="s">
        <v>125</v>
      </c>
      <c r="I25" s="8" t="s">
        <v>114</v>
      </c>
      <c r="J25" s="9" t="s">
        <v>23</v>
      </c>
      <c r="K25" s="9" t="s">
        <v>372</v>
      </c>
      <c r="L25" s="9" t="s">
        <v>322</v>
      </c>
      <c r="M25" s="8" t="s">
        <v>14</v>
      </c>
      <c r="N25" s="11" t="s">
        <v>98</v>
      </c>
      <c r="O25" s="12" t="s">
        <v>207</v>
      </c>
      <c r="P25" s="41" t="s">
        <v>98</v>
      </c>
      <c r="Q25" s="9" t="s">
        <v>390</v>
      </c>
      <c r="R25" s="9" t="s">
        <v>276</v>
      </c>
      <c r="S25" s="9" t="s">
        <v>276</v>
      </c>
      <c r="T25" s="9">
        <v>1</v>
      </c>
      <c r="U25" s="13">
        <v>189386</v>
      </c>
      <c r="V25" s="38">
        <v>219439</v>
      </c>
      <c r="W25" s="13">
        <f>U25-175750</f>
        <v>13636</v>
      </c>
      <c r="X25" s="13">
        <f>V25-203235</f>
        <v>16204</v>
      </c>
      <c r="Y25" s="8" t="s">
        <v>276</v>
      </c>
      <c r="Z25" s="8" t="s">
        <v>276</v>
      </c>
      <c r="AA25" s="8" t="s">
        <v>276</v>
      </c>
      <c r="AB25" s="8" t="s">
        <v>276</v>
      </c>
      <c r="AC25" s="9" t="s">
        <v>391</v>
      </c>
      <c r="AD25" s="9" t="s">
        <v>334</v>
      </c>
      <c r="AE25" s="13">
        <f>1772+1888+1900+2212+2215</f>
        <v>9987</v>
      </c>
      <c r="AF25" s="13">
        <f>1941+2089+2290+2404+2547</f>
        <v>11271</v>
      </c>
      <c r="AG25" s="13">
        <v>189386</v>
      </c>
      <c r="AH25" s="13">
        <v>219439</v>
      </c>
      <c r="AI25" s="38" t="s">
        <v>376</v>
      </c>
      <c r="AJ25" s="14" t="s">
        <v>276</v>
      </c>
      <c r="AK25" s="14">
        <f t="shared" si="5"/>
        <v>5.2733570591279184</v>
      </c>
      <c r="AL25" s="14" t="s">
        <v>276</v>
      </c>
      <c r="AM25" s="14" t="s">
        <v>276</v>
      </c>
      <c r="AN25" s="14" t="s">
        <v>276</v>
      </c>
      <c r="AO25" s="14">
        <f t="shared" si="6"/>
        <v>5.1362793304745287</v>
      </c>
      <c r="AP25" s="14" t="s">
        <v>276</v>
      </c>
      <c r="AQ25" s="14" t="s">
        <v>276</v>
      </c>
      <c r="AR25" s="8" t="s">
        <v>268</v>
      </c>
      <c r="AS25" s="14" t="s">
        <v>276</v>
      </c>
      <c r="AT25" s="14">
        <f t="shared" si="0"/>
        <v>1.0266881374305485</v>
      </c>
      <c r="AU25" s="14" t="s">
        <v>276</v>
      </c>
      <c r="AV25" s="14" t="s">
        <v>276</v>
      </c>
      <c r="AW25" s="14" t="s">
        <v>276</v>
      </c>
      <c r="AX25" s="9" t="s">
        <v>282</v>
      </c>
      <c r="AY25" s="8" t="s">
        <v>98</v>
      </c>
      <c r="AZ25" s="8" t="s">
        <v>98</v>
      </c>
      <c r="BA25" s="8" t="s">
        <v>98</v>
      </c>
      <c r="BB25" s="8" t="s">
        <v>98</v>
      </c>
      <c r="BC25" s="9" t="s">
        <v>381</v>
      </c>
      <c r="BD25" s="9" t="s">
        <v>337</v>
      </c>
      <c r="BE25" s="9" t="s">
        <v>100</v>
      </c>
      <c r="BF25" s="33" t="s">
        <v>98</v>
      </c>
    </row>
    <row r="26" spans="1:58" s="7" customFormat="1" ht="41.15" customHeight="1" x14ac:dyDescent="0.3">
      <c r="A26" s="8">
        <v>3713</v>
      </c>
      <c r="B26" s="8" t="s">
        <v>319</v>
      </c>
      <c r="C26" s="8" t="s">
        <v>92</v>
      </c>
      <c r="D26" s="9" t="s">
        <v>392</v>
      </c>
      <c r="E26" s="8" t="s">
        <v>43</v>
      </c>
      <c r="F26" s="8" t="s">
        <v>138</v>
      </c>
      <c r="G26" s="8" t="s">
        <v>225</v>
      </c>
      <c r="H26" s="8" t="s">
        <v>125</v>
      </c>
      <c r="I26" s="8" t="s">
        <v>114</v>
      </c>
      <c r="J26" s="9" t="s">
        <v>23</v>
      </c>
      <c r="K26" s="9" t="s">
        <v>372</v>
      </c>
      <c r="L26" s="9" t="s">
        <v>322</v>
      </c>
      <c r="M26" s="8" t="s">
        <v>14</v>
      </c>
      <c r="N26" s="11" t="s">
        <v>98</v>
      </c>
      <c r="O26" s="12" t="s">
        <v>207</v>
      </c>
      <c r="P26" s="41" t="s">
        <v>98</v>
      </c>
      <c r="Q26" s="9" t="s">
        <v>346</v>
      </c>
      <c r="R26" s="9" t="s">
        <v>276</v>
      </c>
      <c r="S26" s="9" t="s">
        <v>276</v>
      </c>
      <c r="T26" s="9">
        <v>1</v>
      </c>
      <c r="U26" s="13">
        <v>189386</v>
      </c>
      <c r="V26" s="38">
        <v>219439</v>
      </c>
      <c r="W26" s="13">
        <f>U26-172702</f>
        <v>16684</v>
      </c>
      <c r="X26" s="13">
        <f>V26-199382</f>
        <v>20057</v>
      </c>
      <c r="Y26" s="8" t="s">
        <v>276</v>
      </c>
      <c r="Z26" s="8" t="s">
        <v>276</v>
      </c>
      <c r="AA26" s="8" t="s">
        <v>276</v>
      </c>
      <c r="AB26" s="8" t="s">
        <v>276</v>
      </c>
      <c r="AC26" s="9" t="s">
        <v>393</v>
      </c>
      <c r="AD26" s="9" t="s">
        <v>334</v>
      </c>
      <c r="AE26" s="13">
        <f>1772+1888+1900+2212+2215+2302</f>
        <v>12289</v>
      </c>
      <c r="AF26" s="13">
        <f>1941+2089+2290+2404+2547+2723</f>
        <v>13994</v>
      </c>
      <c r="AG26" s="13">
        <v>189386</v>
      </c>
      <c r="AH26" s="13">
        <v>219439</v>
      </c>
      <c r="AI26" s="38" t="s">
        <v>376</v>
      </c>
      <c r="AJ26" s="14" t="s">
        <v>276</v>
      </c>
      <c r="AK26" s="14">
        <f t="shared" si="5"/>
        <v>6.4888640131794322</v>
      </c>
      <c r="AL26" s="14" t="s">
        <v>276</v>
      </c>
      <c r="AM26" s="14" t="s">
        <v>276</v>
      </c>
      <c r="AN26" s="14" t="s">
        <v>276</v>
      </c>
      <c r="AO26" s="14">
        <f t="shared" si="6"/>
        <v>6.3771708766445343</v>
      </c>
      <c r="AP26" s="14" t="s">
        <v>276</v>
      </c>
      <c r="AQ26" s="14" t="s">
        <v>276</v>
      </c>
      <c r="AR26" s="8" t="s">
        <v>268</v>
      </c>
      <c r="AS26" s="14" t="s">
        <v>276</v>
      </c>
      <c r="AT26" s="14">
        <f t="shared" si="0"/>
        <v>1.0175145277891107</v>
      </c>
      <c r="AU26" s="14" t="s">
        <v>276</v>
      </c>
      <c r="AV26" s="14" t="s">
        <v>276</v>
      </c>
      <c r="AW26" s="14" t="s">
        <v>276</v>
      </c>
      <c r="AX26" s="9" t="s">
        <v>282</v>
      </c>
      <c r="AY26" s="8" t="s">
        <v>98</v>
      </c>
      <c r="AZ26" s="8" t="s">
        <v>98</v>
      </c>
      <c r="BA26" s="8" t="s">
        <v>98</v>
      </c>
      <c r="BB26" s="8" t="s">
        <v>98</v>
      </c>
      <c r="BC26" s="9" t="s">
        <v>381</v>
      </c>
      <c r="BD26" s="9" t="s">
        <v>337</v>
      </c>
      <c r="BE26" s="9" t="s">
        <v>100</v>
      </c>
      <c r="BF26" s="33" t="s">
        <v>98</v>
      </c>
    </row>
    <row r="27" spans="1:58" s="7" customFormat="1" ht="41.15" customHeight="1" x14ac:dyDescent="0.3">
      <c r="A27" s="8">
        <v>3713</v>
      </c>
      <c r="B27" s="8" t="s">
        <v>319</v>
      </c>
      <c r="C27" s="8" t="s">
        <v>92</v>
      </c>
      <c r="D27" s="9" t="s">
        <v>394</v>
      </c>
      <c r="E27" s="8" t="s">
        <v>43</v>
      </c>
      <c r="F27" s="8" t="s">
        <v>138</v>
      </c>
      <c r="G27" s="8" t="s">
        <v>225</v>
      </c>
      <c r="H27" s="8" t="s">
        <v>125</v>
      </c>
      <c r="I27" s="8" t="s">
        <v>114</v>
      </c>
      <c r="J27" s="9" t="s">
        <v>23</v>
      </c>
      <c r="K27" s="9" t="s">
        <v>372</v>
      </c>
      <c r="L27" s="9" t="s">
        <v>322</v>
      </c>
      <c r="M27" s="8" t="s">
        <v>14</v>
      </c>
      <c r="N27" s="11" t="s">
        <v>98</v>
      </c>
      <c r="O27" s="12" t="s">
        <v>207</v>
      </c>
      <c r="P27" s="41" t="s">
        <v>98</v>
      </c>
      <c r="Q27" s="9" t="s">
        <v>395</v>
      </c>
      <c r="R27" s="9" t="s">
        <v>276</v>
      </c>
      <c r="S27" s="9" t="s">
        <v>276</v>
      </c>
      <c r="T27" s="9">
        <v>1</v>
      </c>
      <c r="U27" s="13">
        <v>189386</v>
      </c>
      <c r="V27" s="38">
        <v>219439</v>
      </c>
      <c r="W27" s="13">
        <f>U27-169353</f>
        <v>20033</v>
      </c>
      <c r="X27" s="13">
        <f>V27-195578</f>
        <v>23861</v>
      </c>
      <c r="Y27" s="8" t="s">
        <v>276</v>
      </c>
      <c r="Z27" s="8" t="s">
        <v>276</v>
      </c>
      <c r="AA27" s="8" t="s">
        <v>276</v>
      </c>
      <c r="AB27" s="8" t="s">
        <v>276</v>
      </c>
      <c r="AC27" s="9" t="s">
        <v>396</v>
      </c>
      <c r="AD27" s="9" t="s">
        <v>334</v>
      </c>
      <c r="AE27" s="13">
        <f>1772+1888+1900+2212+2215+2302+2479</f>
        <v>14768</v>
      </c>
      <c r="AF27" s="13">
        <f>1941+2089+2290+2404+2547+2723+2849</f>
        <v>16843</v>
      </c>
      <c r="AG27" s="13">
        <v>189386</v>
      </c>
      <c r="AH27" s="13">
        <v>219439</v>
      </c>
      <c r="AI27" s="38" t="s">
        <v>376</v>
      </c>
      <c r="AJ27" s="14" t="s">
        <v>276</v>
      </c>
      <c r="AK27" s="14">
        <f t="shared" si="5"/>
        <v>7.7978308850707023</v>
      </c>
      <c r="AL27" s="14" t="s">
        <v>276</v>
      </c>
      <c r="AM27" s="14" t="s">
        <v>276</v>
      </c>
      <c r="AN27" s="14" t="s">
        <v>276</v>
      </c>
      <c r="AO27" s="14">
        <f t="shared" si="6"/>
        <v>7.6754815689098113</v>
      </c>
      <c r="AP27" s="14" t="s">
        <v>276</v>
      </c>
      <c r="AQ27" s="14" t="s">
        <v>276</v>
      </c>
      <c r="AR27" s="8" t="s">
        <v>268</v>
      </c>
      <c r="AS27" s="14" t="s">
        <v>276</v>
      </c>
      <c r="AT27" s="14">
        <f t="shared" si="0"/>
        <v>1.0159402788036749</v>
      </c>
      <c r="AU27" s="14" t="s">
        <v>276</v>
      </c>
      <c r="AV27" s="14" t="s">
        <v>276</v>
      </c>
      <c r="AW27" s="14" t="s">
        <v>276</v>
      </c>
      <c r="AX27" s="9" t="s">
        <v>282</v>
      </c>
      <c r="AY27" s="8" t="s">
        <v>98</v>
      </c>
      <c r="AZ27" s="8" t="s">
        <v>98</v>
      </c>
      <c r="BA27" s="8" t="s">
        <v>98</v>
      </c>
      <c r="BB27" s="8" t="s">
        <v>98</v>
      </c>
      <c r="BC27" s="9" t="s">
        <v>381</v>
      </c>
      <c r="BD27" s="9" t="s">
        <v>337</v>
      </c>
      <c r="BE27" s="9" t="s">
        <v>100</v>
      </c>
      <c r="BF27" s="33" t="s">
        <v>98</v>
      </c>
    </row>
    <row r="28" spans="1:58" s="7" customFormat="1" ht="41.15" customHeight="1" x14ac:dyDescent="0.3">
      <c r="A28" s="8">
        <v>3713</v>
      </c>
      <c r="B28" s="8" t="s">
        <v>319</v>
      </c>
      <c r="C28" s="8" t="s">
        <v>92</v>
      </c>
      <c r="D28" s="9" t="s">
        <v>397</v>
      </c>
      <c r="E28" s="8" t="s">
        <v>43</v>
      </c>
      <c r="F28" s="8" t="s">
        <v>138</v>
      </c>
      <c r="G28" s="8" t="s">
        <v>225</v>
      </c>
      <c r="H28" s="8" t="s">
        <v>125</v>
      </c>
      <c r="I28" s="8" t="s">
        <v>114</v>
      </c>
      <c r="J28" s="9" t="s">
        <v>23</v>
      </c>
      <c r="K28" s="9" t="s">
        <v>372</v>
      </c>
      <c r="L28" s="9" t="s">
        <v>322</v>
      </c>
      <c r="M28" s="8" t="s">
        <v>14</v>
      </c>
      <c r="N28" s="11" t="s">
        <v>98</v>
      </c>
      <c r="O28" s="12" t="s">
        <v>207</v>
      </c>
      <c r="P28" s="41" t="s">
        <v>98</v>
      </c>
      <c r="Q28" s="9" t="s">
        <v>349</v>
      </c>
      <c r="R28" s="9" t="s">
        <v>276</v>
      </c>
      <c r="S28" s="9" t="s">
        <v>276</v>
      </c>
      <c r="T28" s="9">
        <v>1</v>
      </c>
      <c r="U28" s="13">
        <v>189386</v>
      </c>
      <c r="V28" s="38">
        <v>219439</v>
      </c>
      <c r="W28" s="13">
        <f>U28-165313</f>
        <v>24073</v>
      </c>
      <c r="X28" s="13">
        <f>V28-190408</f>
        <v>29031</v>
      </c>
      <c r="Y28" s="8" t="s">
        <v>276</v>
      </c>
      <c r="Z28" s="8" t="s">
        <v>276</v>
      </c>
      <c r="AA28" s="8" t="s">
        <v>276</v>
      </c>
      <c r="AB28" s="8" t="s">
        <v>276</v>
      </c>
      <c r="AC28" s="9" t="s">
        <v>398</v>
      </c>
      <c r="AD28" s="9" t="s">
        <v>334</v>
      </c>
      <c r="AE28" s="13">
        <f>1772+1888+1900+2212+2215+2302+2479+2581</f>
        <v>17349</v>
      </c>
      <c r="AF28" s="13">
        <f>1941+2089+2290+2404+2547+2723+2849+3003</f>
        <v>19846</v>
      </c>
      <c r="AG28" s="13">
        <v>189386</v>
      </c>
      <c r="AH28" s="13">
        <v>219439</v>
      </c>
      <c r="AI28" s="38" t="s">
        <v>376</v>
      </c>
      <c r="AJ28" s="14" t="s">
        <v>276</v>
      </c>
      <c r="AK28" s="14">
        <f t="shared" si="5"/>
        <v>9.1606560147001357</v>
      </c>
      <c r="AL28" s="14" t="s">
        <v>276</v>
      </c>
      <c r="AM28" s="14" t="s">
        <v>276</v>
      </c>
      <c r="AN28" s="14" t="s">
        <v>276</v>
      </c>
      <c r="AO28" s="14">
        <f t="shared" si="6"/>
        <v>9.0439712175137501</v>
      </c>
      <c r="AP28" s="14" t="s">
        <v>276</v>
      </c>
      <c r="AQ28" s="14" t="s">
        <v>276</v>
      </c>
      <c r="AR28" s="8" t="s">
        <v>268</v>
      </c>
      <c r="AS28" s="14" t="s">
        <v>276</v>
      </c>
      <c r="AT28" s="14">
        <f t="shared" si="0"/>
        <v>1.0129019425626238</v>
      </c>
      <c r="AU28" s="14" t="s">
        <v>276</v>
      </c>
      <c r="AV28" s="14" t="s">
        <v>276</v>
      </c>
      <c r="AW28" s="14" t="s">
        <v>276</v>
      </c>
      <c r="AX28" s="9" t="s">
        <v>282</v>
      </c>
      <c r="AY28" s="8" t="s">
        <v>98</v>
      </c>
      <c r="AZ28" s="8" t="s">
        <v>98</v>
      </c>
      <c r="BA28" s="8" t="s">
        <v>98</v>
      </c>
      <c r="BB28" s="8" t="s">
        <v>98</v>
      </c>
      <c r="BC28" s="9" t="s">
        <v>381</v>
      </c>
      <c r="BD28" s="9" t="s">
        <v>337</v>
      </c>
      <c r="BE28" s="9" t="s">
        <v>100</v>
      </c>
      <c r="BF28" s="33" t="s">
        <v>98</v>
      </c>
    </row>
    <row r="29" spans="1:58" s="7" customFormat="1" ht="41.15" customHeight="1" x14ac:dyDescent="0.3">
      <c r="A29" s="8">
        <v>3713</v>
      </c>
      <c r="B29" s="8" t="s">
        <v>319</v>
      </c>
      <c r="C29" s="8" t="s">
        <v>92</v>
      </c>
      <c r="D29" s="9" t="s">
        <v>399</v>
      </c>
      <c r="E29" s="8" t="s">
        <v>43</v>
      </c>
      <c r="F29" s="8" t="s">
        <v>138</v>
      </c>
      <c r="G29" s="8" t="s">
        <v>225</v>
      </c>
      <c r="H29" s="8" t="s">
        <v>125</v>
      </c>
      <c r="I29" s="8" t="s">
        <v>114</v>
      </c>
      <c r="J29" s="9" t="s">
        <v>23</v>
      </c>
      <c r="K29" s="9" t="s">
        <v>372</v>
      </c>
      <c r="L29" s="9" t="s">
        <v>322</v>
      </c>
      <c r="M29" s="8" t="s">
        <v>14</v>
      </c>
      <c r="N29" s="11" t="s">
        <v>98</v>
      </c>
      <c r="O29" s="12" t="s">
        <v>207</v>
      </c>
      <c r="P29" s="41" t="s">
        <v>98</v>
      </c>
      <c r="Q29" s="9" t="s">
        <v>400</v>
      </c>
      <c r="R29" s="9" t="s">
        <v>276</v>
      </c>
      <c r="S29" s="9" t="s">
        <v>276</v>
      </c>
      <c r="T29" s="9">
        <v>1</v>
      </c>
      <c r="U29" s="13">
        <v>189386</v>
      </c>
      <c r="V29" s="38">
        <v>219439</v>
      </c>
      <c r="W29" s="13">
        <f>U29-129718</f>
        <v>59668</v>
      </c>
      <c r="X29" s="13">
        <f>V29-152725</f>
        <v>66714</v>
      </c>
      <c r="Y29" s="8" t="s">
        <v>276</v>
      </c>
      <c r="Z29" s="8" t="s">
        <v>276</v>
      </c>
      <c r="AA29" s="8" t="s">
        <v>276</v>
      </c>
      <c r="AB29" s="8" t="s">
        <v>276</v>
      </c>
      <c r="AC29" s="9" t="s">
        <v>401</v>
      </c>
      <c r="AD29" s="9" t="s">
        <v>334</v>
      </c>
      <c r="AE29" s="13">
        <f>1772+1888+1900+2212+2215+2302+2479+2581+2500</f>
        <v>19849</v>
      </c>
      <c r="AF29" s="13">
        <f>1941+2089+2290+2404+2547+2723+2849+3003+2963</f>
        <v>22809</v>
      </c>
      <c r="AG29" s="13">
        <v>189386</v>
      </c>
      <c r="AH29" s="13">
        <v>219439</v>
      </c>
      <c r="AI29" s="38" t="s">
        <v>376</v>
      </c>
      <c r="AJ29" s="14" t="s">
        <v>276</v>
      </c>
      <c r="AK29" s="14">
        <f t="shared" si="5"/>
        <v>10.480711351419851</v>
      </c>
      <c r="AL29" s="14" t="s">
        <v>276</v>
      </c>
      <c r="AM29" s="14" t="s">
        <v>276</v>
      </c>
      <c r="AN29" s="14" t="s">
        <v>276</v>
      </c>
      <c r="AO29" s="14">
        <f t="shared" si="6"/>
        <v>10.394232565769986</v>
      </c>
      <c r="AP29" s="14" t="s">
        <v>276</v>
      </c>
      <c r="AQ29" s="14" t="s">
        <v>276</v>
      </c>
      <c r="AR29" s="8" t="s">
        <v>268</v>
      </c>
      <c r="AS29" s="14" t="s">
        <v>276</v>
      </c>
      <c r="AT29" s="14">
        <f t="shared" si="0"/>
        <v>1.0083198817327461</v>
      </c>
      <c r="AU29" s="14" t="s">
        <v>276</v>
      </c>
      <c r="AV29" s="14" t="s">
        <v>276</v>
      </c>
      <c r="AW29" s="14" t="s">
        <v>276</v>
      </c>
      <c r="AX29" s="9" t="s">
        <v>282</v>
      </c>
      <c r="AY29" s="8" t="s">
        <v>98</v>
      </c>
      <c r="AZ29" s="8" t="s">
        <v>98</v>
      </c>
      <c r="BA29" s="8" t="s">
        <v>98</v>
      </c>
      <c r="BB29" s="8" t="s">
        <v>98</v>
      </c>
      <c r="BC29" s="9" t="s">
        <v>381</v>
      </c>
      <c r="BD29" s="9" t="s">
        <v>337</v>
      </c>
      <c r="BE29" s="9" t="s">
        <v>100</v>
      </c>
      <c r="BF29" s="33" t="s">
        <v>98</v>
      </c>
    </row>
    <row r="30" spans="1:58" s="7" customFormat="1" ht="41.15" customHeight="1" x14ac:dyDescent="0.3">
      <c r="A30" s="8">
        <v>3713</v>
      </c>
      <c r="B30" s="8" t="s">
        <v>319</v>
      </c>
      <c r="C30" s="8" t="s">
        <v>92</v>
      </c>
      <c r="D30" s="9" t="s">
        <v>402</v>
      </c>
      <c r="E30" s="8" t="s">
        <v>43</v>
      </c>
      <c r="F30" s="8" t="s">
        <v>138</v>
      </c>
      <c r="G30" s="8" t="s">
        <v>225</v>
      </c>
      <c r="H30" s="8" t="s">
        <v>125</v>
      </c>
      <c r="I30" s="8" t="s">
        <v>114</v>
      </c>
      <c r="J30" s="9" t="s">
        <v>23</v>
      </c>
      <c r="K30" s="9" t="s">
        <v>372</v>
      </c>
      <c r="L30" s="9" t="s">
        <v>322</v>
      </c>
      <c r="M30" s="8" t="s">
        <v>14</v>
      </c>
      <c r="N30" s="11" t="s">
        <v>98</v>
      </c>
      <c r="O30" s="12" t="s">
        <v>207</v>
      </c>
      <c r="P30" s="41" t="s">
        <v>98</v>
      </c>
      <c r="Q30" s="9" t="s">
        <v>352</v>
      </c>
      <c r="R30" s="9" t="s">
        <v>276</v>
      </c>
      <c r="S30" s="9" t="s">
        <v>276</v>
      </c>
      <c r="T30" s="9">
        <v>1</v>
      </c>
      <c r="U30" s="13">
        <v>189386</v>
      </c>
      <c r="V30" s="38">
        <v>219439</v>
      </c>
      <c r="W30" s="13">
        <f>U30-95089</f>
        <v>94297</v>
      </c>
      <c r="X30" s="13">
        <f>V30-107186</f>
        <v>112253</v>
      </c>
      <c r="Y30" s="8" t="s">
        <v>276</v>
      </c>
      <c r="Z30" s="8" t="s">
        <v>276</v>
      </c>
      <c r="AA30" s="8" t="s">
        <v>276</v>
      </c>
      <c r="AB30" s="8" t="s">
        <v>276</v>
      </c>
      <c r="AC30" s="9" t="s">
        <v>403</v>
      </c>
      <c r="AD30" s="9" t="s">
        <v>334</v>
      </c>
      <c r="AE30" s="13">
        <f>1772+1888+1900+2212+2215+2302+2479+2581+2500+2028</f>
        <v>21877</v>
      </c>
      <c r="AF30" s="13">
        <f>1941+2089+2290+2404+2547+2723+2849+3003+2963+2435</f>
        <v>25244</v>
      </c>
      <c r="AG30" s="13">
        <v>189386</v>
      </c>
      <c r="AH30" s="13">
        <v>219439</v>
      </c>
      <c r="AI30" s="38" t="s">
        <v>376</v>
      </c>
      <c r="AJ30" s="14" t="s">
        <v>276</v>
      </c>
      <c r="AK30" s="14">
        <f t="shared" si="5"/>
        <v>11.551540240566885</v>
      </c>
      <c r="AL30" s="14" t="s">
        <v>276</v>
      </c>
      <c r="AM30" s="14" t="s">
        <v>276</v>
      </c>
      <c r="AN30" s="14" t="s">
        <v>276</v>
      </c>
      <c r="AO30" s="14">
        <f t="shared" si="6"/>
        <v>11.503880349436518</v>
      </c>
      <c r="AP30" s="14" t="s">
        <v>276</v>
      </c>
      <c r="AQ30" s="14" t="s">
        <v>276</v>
      </c>
      <c r="AR30" s="8" t="s">
        <v>268</v>
      </c>
      <c r="AS30" s="14" t="s">
        <v>276</v>
      </c>
      <c r="AT30" s="14">
        <f t="shared" si="0"/>
        <v>1.0041429404411966</v>
      </c>
      <c r="AU30" s="14" t="s">
        <v>276</v>
      </c>
      <c r="AV30" s="14" t="s">
        <v>276</v>
      </c>
      <c r="AW30" s="14" t="s">
        <v>276</v>
      </c>
      <c r="AX30" s="9" t="s">
        <v>282</v>
      </c>
      <c r="AY30" s="8" t="s">
        <v>98</v>
      </c>
      <c r="AZ30" s="8" t="s">
        <v>98</v>
      </c>
      <c r="BA30" s="8" t="s">
        <v>98</v>
      </c>
      <c r="BB30" s="8" t="s">
        <v>98</v>
      </c>
      <c r="BC30" s="9" t="s">
        <v>381</v>
      </c>
      <c r="BD30" s="9" t="s">
        <v>337</v>
      </c>
      <c r="BE30" s="9" t="s">
        <v>100</v>
      </c>
      <c r="BF30" s="33" t="s">
        <v>98</v>
      </c>
    </row>
    <row r="31" spans="1:58" s="7" customFormat="1" ht="41.15" customHeight="1" x14ac:dyDescent="0.3">
      <c r="A31" s="8">
        <v>3713</v>
      </c>
      <c r="B31" s="8" t="s">
        <v>319</v>
      </c>
      <c r="C31" s="8" t="s">
        <v>92</v>
      </c>
      <c r="D31" s="9" t="s">
        <v>404</v>
      </c>
      <c r="E31" s="8" t="s">
        <v>43</v>
      </c>
      <c r="F31" s="8" t="s">
        <v>138</v>
      </c>
      <c r="G31" s="8" t="s">
        <v>225</v>
      </c>
      <c r="H31" s="8" t="s">
        <v>125</v>
      </c>
      <c r="I31" s="8" t="s">
        <v>114</v>
      </c>
      <c r="J31" s="9" t="s">
        <v>23</v>
      </c>
      <c r="K31" s="9" t="s">
        <v>372</v>
      </c>
      <c r="L31" s="9" t="s">
        <v>322</v>
      </c>
      <c r="M31" s="8" t="s">
        <v>14</v>
      </c>
      <c r="N31" s="11" t="s">
        <v>98</v>
      </c>
      <c r="O31" s="12" t="s">
        <v>207</v>
      </c>
      <c r="P31" s="41" t="s">
        <v>98</v>
      </c>
      <c r="Q31" s="9" t="s">
        <v>405</v>
      </c>
      <c r="R31" s="9" t="s">
        <v>276</v>
      </c>
      <c r="S31" s="9" t="s">
        <v>276</v>
      </c>
      <c r="T31" s="9">
        <v>1</v>
      </c>
      <c r="U31" s="13">
        <v>189386</v>
      </c>
      <c r="V31" s="38">
        <v>219439</v>
      </c>
      <c r="W31" s="13">
        <f>U31-62558</f>
        <v>126828</v>
      </c>
      <c r="X31" s="13">
        <f>V31-50531</f>
        <v>168908</v>
      </c>
      <c r="Y31" s="8" t="s">
        <v>276</v>
      </c>
      <c r="Z31" s="8" t="s">
        <v>276</v>
      </c>
      <c r="AA31" s="8" t="s">
        <v>276</v>
      </c>
      <c r="AB31" s="8" t="s">
        <v>276</v>
      </c>
      <c r="AC31" s="9" t="s">
        <v>406</v>
      </c>
      <c r="AD31" s="9" t="s">
        <v>334</v>
      </c>
      <c r="AE31" s="13">
        <f>1772+1888+1900+2212+2215+2302+2479+2581+2500+2028+1629</f>
        <v>23506</v>
      </c>
      <c r="AF31" s="13">
        <f>1941+2089+2290+2404+2547+2723+2849+3003+2963+2435+1748</f>
        <v>26992</v>
      </c>
      <c r="AG31" s="13">
        <v>189386</v>
      </c>
      <c r="AH31" s="13">
        <v>219439</v>
      </c>
      <c r="AI31" s="38" t="s">
        <v>376</v>
      </c>
      <c r="AJ31" s="14" t="s">
        <v>276</v>
      </c>
      <c r="AK31" s="14">
        <f t="shared" si="5"/>
        <v>12.41168829797345</v>
      </c>
      <c r="AL31" s="14" t="s">
        <v>276</v>
      </c>
      <c r="AM31" s="14" t="s">
        <v>276</v>
      </c>
      <c r="AN31" s="14" t="s">
        <v>276</v>
      </c>
      <c r="AO31" s="14">
        <f t="shared" si="6"/>
        <v>12.300457074631218</v>
      </c>
      <c r="AP31" s="14" t="s">
        <v>276</v>
      </c>
      <c r="AQ31" s="14" t="s">
        <v>276</v>
      </c>
      <c r="AR31" s="8" t="s">
        <v>268</v>
      </c>
      <c r="AS31" s="14" t="s">
        <v>276</v>
      </c>
      <c r="AT31" s="14">
        <f t="shared" si="0"/>
        <v>1.0090428528523252</v>
      </c>
      <c r="AU31" s="14" t="s">
        <v>276</v>
      </c>
      <c r="AV31" s="14" t="s">
        <v>276</v>
      </c>
      <c r="AW31" s="14" t="s">
        <v>276</v>
      </c>
      <c r="AX31" s="9" t="s">
        <v>282</v>
      </c>
      <c r="AY31" s="8" t="s">
        <v>98</v>
      </c>
      <c r="AZ31" s="8" t="s">
        <v>98</v>
      </c>
      <c r="BA31" s="8" t="s">
        <v>98</v>
      </c>
      <c r="BB31" s="8" t="s">
        <v>98</v>
      </c>
      <c r="BC31" s="9" t="s">
        <v>381</v>
      </c>
      <c r="BD31" s="9" t="s">
        <v>337</v>
      </c>
      <c r="BE31" s="9" t="s">
        <v>100</v>
      </c>
      <c r="BF31" s="33" t="s">
        <v>98</v>
      </c>
    </row>
    <row r="32" spans="1:58" s="7" customFormat="1" ht="41.15" customHeight="1" x14ac:dyDescent="0.3">
      <c r="A32" s="8">
        <v>3713</v>
      </c>
      <c r="B32" s="8" t="s">
        <v>319</v>
      </c>
      <c r="C32" s="8" t="s">
        <v>92</v>
      </c>
      <c r="D32" s="9" t="s">
        <v>407</v>
      </c>
      <c r="E32" s="8" t="s">
        <v>43</v>
      </c>
      <c r="F32" s="8" t="s">
        <v>138</v>
      </c>
      <c r="G32" s="8" t="s">
        <v>225</v>
      </c>
      <c r="H32" s="8" t="s">
        <v>125</v>
      </c>
      <c r="I32" s="8" t="s">
        <v>114</v>
      </c>
      <c r="J32" s="9" t="s">
        <v>23</v>
      </c>
      <c r="K32" s="9" t="s">
        <v>372</v>
      </c>
      <c r="L32" s="9" t="s">
        <v>322</v>
      </c>
      <c r="M32" s="8" t="s">
        <v>14</v>
      </c>
      <c r="N32" s="11" t="s">
        <v>98</v>
      </c>
      <c r="O32" s="12" t="s">
        <v>207</v>
      </c>
      <c r="P32" s="41" t="s">
        <v>98</v>
      </c>
      <c r="Q32" s="9" t="s">
        <v>355</v>
      </c>
      <c r="R32" s="9" t="s">
        <v>276</v>
      </c>
      <c r="S32" s="9" t="s">
        <v>276</v>
      </c>
      <c r="T32" s="9">
        <v>1</v>
      </c>
      <c r="U32" s="13">
        <v>189386</v>
      </c>
      <c r="V32" s="38">
        <v>219439</v>
      </c>
      <c r="W32" s="13">
        <f>U32-38003</f>
        <v>151383</v>
      </c>
      <c r="X32" s="13">
        <f>V32-23811</f>
        <v>195628</v>
      </c>
      <c r="Y32" s="8" t="s">
        <v>276</v>
      </c>
      <c r="Z32" s="8" t="s">
        <v>276</v>
      </c>
      <c r="AA32" s="8" t="s">
        <v>276</v>
      </c>
      <c r="AB32" s="8" t="s">
        <v>276</v>
      </c>
      <c r="AC32" s="9" t="s">
        <v>408</v>
      </c>
      <c r="AD32" s="9" t="s">
        <v>334</v>
      </c>
      <c r="AE32" s="13">
        <f>1772+1888+1900+2212+2215+2302+2479+2581+2500+2028+1629+1085</f>
        <v>24591</v>
      </c>
      <c r="AF32" s="13">
        <f>1941+2089+2290+2404+2547+2723+2849+3003+2963+2435+1748+747</f>
        <v>27739</v>
      </c>
      <c r="AG32" s="13">
        <v>189386</v>
      </c>
      <c r="AH32" s="13">
        <v>219439</v>
      </c>
      <c r="AI32" s="38" t="s">
        <v>376</v>
      </c>
      <c r="AJ32" s="14" t="s">
        <v>276</v>
      </c>
      <c r="AK32" s="14">
        <f t="shared" si="5"/>
        <v>12.984592314109808</v>
      </c>
      <c r="AL32" s="14" t="s">
        <v>276</v>
      </c>
      <c r="AM32" s="14" t="s">
        <v>276</v>
      </c>
      <c r="AN32" s="14" t="s">
        <v>276</v>
      </c>
      <c r="AO32" s="14">
        <f t="shared" si="6"/>
        <v>12.640870583624606</v>
      </c>
      <c r="AP32" s="14" t="s">
        <v>276</v>
      </c>
      <c r="AQ32" s="14" t="s">
        <v>276</v>
      </c>
      <c r="AR32" s="8" t="s">
        <v>268</v>
      </c>
      <c r="AS32" s="14" t="s">
        <v>276</v>
      </c>
      <c r="AT32" s="14">
        <f t="shared" si="0"/>
        <v>1.0271913020714309</v>
      </c>
      <c r="AU32" s="14" t="s">
        <v>276</v>
      </c>
      <c r="AV32" s="14" t="s">
        <v>276</v>
      </c>
      <c r="AW32" s="14" t="s">
        <v>276</v>
      </c>
      <c r="AX32" s="9" t="s">
        <v>282</v>
      </c>
      <c r="AY32" s="8" t="s">
        <v>98</v>
      </c>
      <c r="AZ32" s="8" t="s">
        <v>98</v>
      </c>
      <c r="BA32" s="8" t="s">
        <v>98</v>
      </c>
      <c r="BB32" s="8" t="s">
        <v>98</v>
      </c>
      <c r="BC32" s="9" t="s">
        <v>381</v>
      </c>
      <c r="BD32" s="9" t="s">
        <v>337</v>
      </c>
      <c r="BE32" s="9" t="s">
        <v>100</v>
      </c>
      <c r="BF32" s="33" t="s">
        <v>98</v>
      </c>
    </row>
    <row r="33" spans="1:58" s="7" customFormat="1" ht="41.15" customHeight="1" x14ac:dyDescent="0.3">
      <c r="A33" s="8">
        <v>3713</v>
      </c>
      <c r="B33" s="8" t="s">
        <v>319</v>
      </c>
      <c r="C33" s="8" t="s">
        <v>92</v>
      </c>
      <c r="D33" s="9" t="s">
        <v>409</v>
      </c>
      <c r="E33" s="8" t="s">
        <v>43</v>
      </c>
      <c r="F33" s="8" t="s">
        <v>138</v>
      </c>
      <c r="G33" s="8" t="s">
        <v>225</v>
      </c>
      <c r="H33" s="8" t="s">
        <v>125</v>
      </c>
      <c r="I33" s="8" t="s">
        <v>114</v>
      </c>
      <c r="J33" s="9" t="s">
        <v>23</v>
      </c>
      <c r="K33" s="9" t="s">
        <v>372</v>
      </c>
      <c r="L33" s="9" t="s">
        <v>322</v>
      </c>
      <c r="M33" s="8" t="s">
        <v>14</v>
      </c>
      <c r="N33" s="11" t="s">
        <v>98</v>
      </c>
      <c r="O33" s="12" t="s">
        <v>207</v>
      </c>
      <c r="P33" s="41" t="s">
        <v>98</v>
      </c>
      <c r="Q33" s="9" t="s">
        <v>410</v>
      </c>
      <c r="R33" s="9" t="s">
        <v>276</v>
      </c>
      <c r="S33" s="9" t="s">
        <v>276</v>
      </c>
      <c r="T33" s="9">
        <v>1</v>
      </c>
      <c r="U33" s="13">
        <v>189386</v>
      </c>
      <c r="V33" s="38">
        <v>219439</v>
      </c>
      <c r="W33" s="13">
        <f>U33-17273</f>
        <v>172113</v>
      </c>
      <c r="X33" s="13">
        <f>V33-13468</f>
        <v>205971</v>
      </c>
      <c r="Y33" s="8" t="s">
        <v>276</v>
      </c>
      <c r="Z33" s="8" t="s">
        <v>276</v>
      </c>
      <c r="AA33" s="8" t="s">
        <v>276</v>
      </c>
      <c r="AB33" s="8" t="s">
        <v>276</v>
      </c>
      <c r="AC33" s="9" t="s">
        <v>411</v>
      </c>
      <c r="AD33" s="9" t="s">
        <v>334</v>
      </c>
      <c r="AE33" s="13">
        <f>1772+1888+1900+2212+2215+2302+2479+2581+2500+2028+1629+1085+620</f>
        <v>25211</v>
      </c>
      <c r="AF33" s="13">
        <f>1941+2089+2290+2404+2547+2723+2849+3003+2963+2435+1748+747+471</f>
        <v>28210</v>
      </c>
      <c r="AG33" s="13">
        <v>189386</v>
      </c>
      <c r="AH33" s="13">
        <v>219439</v>
      </c>
      <c r="AI33" s="38" t="s">
        <v>376</v>
      </c>
      <c r="AJ33" s="14" t="s">
        <v>276</v>
      </c>
      <c r="AK33" s="14">
        <f t="shared" si="5"/>
        <v>13.311966037616298</v>
      </c>
      <c r="AL33" s="14" t="s">
        <v>276</v>
      </c>
      <c r="AM33" s="14" t="s">
        <v>276</v>
      </c>
      <c r="AN33" s="14" t="s">
        <v>276</v>
      </c>
      <c r="AO33" s="14">
        <f t="shared" si="6"/>
        <v>12.85550882021883</v>
      </c>
      <c r="AP33" s="14" t="s">
        <v>276</v>
      </c>
      <c r="AQ33" s="14" t="s">
        <v>276</v>
      </c>
      <c r="AR33" s="8" t="s">
        <v>268</v>
      </c>
      <c r="AS33" s="14" t="s">
        <v>276</v>
      </c>
      <c r="AT33" s="14">
        <f t="shared" si="0"/>
        <v>1.0355067406339891</v>
      </c>
      <c r="AU33" s="14" t="s">
        <v>276</v>
      </c>
      <c r="AV33" s="14" t="s">
        <v>276</v>
      </c>
      <c r="AW33" s="14" t="s">
        <v>276</v>
      </c>
      <c r="AX33" s="9" t="s">
        <v>282</v>
      </c>
      <c r="AY33" s="8" t="s">
        <v>98</v>
      </c>
      <c r="AZ33" s="8" t="s">
        <v>98</v>
      </c>
      <c r="BA33" s="8" t="s">
        <v>98</v>
      </c>
      <c r="BB33" s="8" t="s">
        <v>98</v>
      </c>
      <c r="BC33" s="9" t="s">
        <v>381</v>
      </c>
      <c r="BD33" s="9" t="s">
        <v>337</v>
      </c>
      <c r="BE33" s="9" t="s">
        <v>100</v>
      </c>
      <c r="BF33" s="33" t="s">
        <v>98</v>
      </c>
    </row>
    <row r="34" spans="1:58" s="7" customFormat="1" ht="41.15" customHeight="1" x14ac:dyDescent="0.3">
      <c r="A34" s="8">
        <v>3713</v>
      </c>
      <c r="B34" s="8" t="s">
        <v>319</v>
      </c>
      <c r="C34" s="8" t="s">
        <v>92</v>
      </c>
      <c r="D34" s="9" t="s">
        <v>412</v>
      </c>
      <c r="E34" s="8" t="s">
        <v>43</v>
      </c>
      <c r="F34" s="8" t="s">
        <v>138</v>
      </c>
      <c r="G34" s="8" t="s">
        <v>225</v>
      </c>
      <c r="H34" s="8" t="s">
        <v>125</v>
      </c>
      <c r="I34" s="8" t="s">
        <v>114</v>
      </c>
      <c r="J34" s="9" t="s">
        <v>23</v>
      </c>
      <c r="K34" s="9" t="s">
        <v>372</v>
      </c>
      <c r="L34" s="9" t="s">
        <v>322</v>
      </c>
      <c r="M34" s="8" t="s">
        <v>14</v>
      </c>
      <c r="N34" s="11" t="s">
        <v>98</v>
      </c>
      <c r="O34" s="12" t="s">
        <v>207</v>
      </c>
      <c r="P34" s="41" t="s">
        <v>98</v>
      </c>
      <c r="Q34" s="9" t="s">
        <v>358</v>
      </c>
      <c r="R34" s="9" t="s">
        <v>276</v>
      </c>
      <c r="S34" s="9" t="s">
        <v>276</v>
      </c>
      <c r="T34" s="9">
        <v>1</v>
      </c>
      <c r="U34" s="13">
        <v>189386</v>
      </c>
      <c r="V34" s="38">
        <v>219439</v>
      </c>
      <c r="W34" s="13">
        <f>U34-1649</f>
        <v>187737</v>
      </c>
      <c r="X34" s="13">
        <f>V34-1816</f>
        <v>217623</v>
      </c>
      <c r="Y34" s="8" t="s">
        <v>276</v>
      </c>
      <c r="Z34" s="8" t="s">
        <v>276</v>
      </c>
      <c r="AA34" s="8" t="s">
        <v>276</v>
      </c>
      <c r="AB34" s="8" t="s">
        <v>276</v>
      </c>
      <c r="AC34" s="9" t="s">
        <v>413</v>
      </c>
      <c r="AD34" s="9" t="s">
        <v>334</v>
      </c>
      <c r="AE34" s="13">
        <f>1772+1888+1900+2212+2215+2302+2479+2581+2500+2028+1629+1085+620+238</f>
        <v>25449</v>
      </c>
      <c r="AF34" s="13">
        <f>1941+2089+2290+2404+2547+2723+2849+3003+2963+2435+1748+747+471+187</f>
        <v>28397</v>
      </c>
      <c r="AG34" s="13">
        <v>189386</v>
      </c>
      <c r="AH34" s="13">
        <v>219439</v>
      </c>
      <c r="AI34" s="38" t="s">
        <v>376</v>
      </c>
      <c r="AJ34" s="14" t="s">
        <v>276</v>
      </c>
      <c r="AK34" s="14">
        <f t="shared" si="5"/>
        <v>13.437635305672014</v>
      </c>
      <c r="AL34" s="14" t="s">
        <v>276</v>
      </c>
      <c r="AM34" s="14" t="s">
        <v>276</v>
      </c>
      <c r="AN34" s="14" t="s">
        <v>276</v>
      </c>
      <c r="AO34" s="14">
        <f t="shared" si="6"/>
        <v>12.940726124344351</v>
      </c>
      <c r="AP34" s="14" t="s">
        <v>276</v>
      </c>
      <c r="AQ34" s="14" t="s">
        <v>276</v>
      </c>
      <c r="AR34" s="8" t="s">
        <v>268</v>
      </c>
      <c r="AS34" s="14" t="s">
        <v>276</v>
      </c>
      <c r="AT34" s="14">
        <f t="shared" si="0"/>
        <v>1.0383988639086386</v>
      </c>
      <c r="AU34" s="14" t="s">
        <v>276</v>
      </c>
      <c r="AV34" s="14" t="s">
        <v>276</v>
      </c>
      <c r="AW34" s="14" t="s">
        <v>276</v>
      </c>
      <c r="AX34" s="9" t="s">
        <v>282</v>
      </c>
      <c r="AY34" s="8" t="s">
        <v>98</v>
      </c>
      <c r="AZ34" s="8" t="s">
        <v>98</v>
      </c>
      <c r="BA34" s="8" t="s">
        <v>98</v>
      </c>
      <c r="BB34" s="8" t="s">
        <v>98</v>
      </c>
      <c r="BC34" s="9" t="s">
        <v>381</v>
      </c>
      <c r="BD34" s="9" t="s">
        <v>414</v>
      </c>
      <c r="BE34" s="9" t="s">
        <v>100</v>
      </c>
      <c r="BF34" s="33" t="s">
        <v>98</v>
      </c>
    </row>
    <row r="35" spans="1:58" s="7" customFormat="1" ht="52" x14ac:dyDescent="0.3">
      <c r="A35" s="8">
        <v>656</v>
      </c>
      <c r="B35" s="8" t="s">
        <v>681</v>
      </c>
      <c r="C35" s="8" t="s">
        <v>72</v>
      </c>
      <c r="D35" s="9" t="s">
        <v>682</v>
      </c>
      <c r="E35" s="8" t="s">
        <v>39</v>
      </c>
      <c r="F35" s="9" t="s">
        <v>683</v>
      </c>
      <c r="G35" s="9" t="s">
        <v>684</v>
      </c>
      <c r="H35" s="9" t="s">
        <v>225</v>
      </c>
      <c r="I35" s="8" t="s">
        <v>98</v>
      </c>
      <c r="J35" s="9" t="s">
        <v>23</v>
      </c>
      <c r="K35" s="9" t="s">
        <v>685</v>
      </c>
      <c r="L35" s="9" t="s">
        <v>276</v>
      </c>
      <c r="M35" s="8" t="s">
        <v>14</v>
      </c>
      <c r="N35" s="11" t="s">
        <v>98</v>
      </c>
      <c r="O35" s="12" t="s">
        <v>208</v>
      </c>
      <c r="P35" s="41" t="s">
        <v>276</v>
      </c>
      <c r="Q35" s="9" t="s">
        <v>686</v>
      </c>
      <c r="R35" s="9" t="s">
        <v>276</v>
      </c>
      <c r="S35" s="9" t="s">
        <v>276</v>
      </c>
      <c r="T35" s="9" t="s">
        <v>687</v>
      </c>
      <c r="U35" s="13">
        <v>3172</v>
      </c>
      <c r="V35" s="38">
        <v>3174</v>
      </c>
      <c r="W35" s="8" t="s">
        <v>276</v>
      </c>
      <c r="X35" s="8" t="s">
        <v>276</v>
      </c>
      <c r="Y35" s="8">
        <v>0</v>
      </c>
      <c r="Z35" s="8" t="s">
        <v>98</v>
      </c>
      <c r="AA35" s="8">
        <v>0</v>
      </c>
      <c r="AB35" s="8" t="s">
        <v>98</v>
      </c>
      <c r="AC35" s="9" t="s">
        <v>688</v>
      </c>
      <c r="AD35" s="9" t="s">
        <v>689</v>
      </c>
      <c r="AE35" s="8">
        <v>126</v>
      </c>
      <c r="AF35" s="8">
        <v>109</v>
      </c>
      <c r="AG35" s="13">
        <f>U35</f>
        <v>3172</v>
      </c>
      <c r="AH35" s="13">
        <f>V35</f>
        <v>3174</v>
      </c>
      <c r="AI35" s="38" t="s">
        <v>690</v>
      </c>
      <c r="AJ35" s="14" t="s">
        <v>276</v>
      </c>
      <c r="AK35" s="14">
        <f>AE35*1000/AG35</f>
        <v>39.722572509457756</v>
      </c>
      <c r="AL35" s="14" t="s">
        <v>276</v>
      </c>
      <c r="AM35" s="14" t="s">
        <v>276</v>
      </c>
      <c r="AN35" s="14" t="s">
        <v>276</v>
      </c>
      <c r="AO35" s="14">
        <f>AF35*1000/AH35</f>
        <v>34.341524889729051</v>
      </c>
      <c r="AP35" s="14" t="s">
        <v>276</v>
      </c>
      <c r="AQ35" s="14" t="s">
        <v>276</v>
      </c>
      <c r="AR35" s="8" t="s">
        <v>268</v>
      </c>
      <c r="AS35" s="14" t="s">
        <v>276</v>
      </c>
      <c r="AT35" s="14">
        <f>AK35/AO35</f>
        <v>1.1566921572937514</v>
      </c>
      <c r="AU35" s="14" t="s">
        <v>276</v>
      </c>
      <c r="AV35" s="14" t="s">
        <v>276</v>
      </c>
      <c r="AW35" s="8" t="s">
        <v>691</v>
      </c>
      <c r="AX35" s="8" t="s">
        <v>98</v>
      </c>
      <c r="AY35" s="8" t="s">
        <v>276</v>
      </c>
      <c r="AZ35" s="8" t="s">
        <v>276</v>
      </c>
      <c r="BA35" s="8" t="s">
        <v>276</v>
      </c>
      <c r="BB35" s="8" t="s">
        <v>276</v>
      </c>
      <c r="BC35" s="9" t="s">
        <v>692</v>
      </c>
      <c r="BD35" s="9"/>
      <c r="BE35" s="9" t="s">
        <v>100</v>
      </c>
      <c r="BF35" s="33" t="s">
        <v>98</v>
      </c>
    </row>
    <row r="36" spans="1:58" s="7" customFormat="1" ht="39" x14ac:dyDescent="0.3">
      <c r="A36" s="8">
        <v>656</v>
      </c>
      <c r="B36" s="8" t="s">
        <v>681</v>
      </c>
      <c r="C36" s="8" t="s">
        <v>72</v>
      </c>
      <c r="D36" s="9" t="s">
        <v>693</v>
      </c>
      <c r="E36" s="8" t="s">
        <v>39</v>
      </c>
      <c r="F36" s="9" t="s">
        <v>683</v>
      </c>
      <c r="G36" s="9" t="s">
        <v>684</v>
      </c>
      <c r="H36" s="9" t="s">
        <v>225</v>
      </c>
      <c r="I36" s="8" t="s">
        <v>98</v>
      </c>
      <c r="J36" s="9" t="s">
        <v>24</v>
      </c>
      <c r="K36" s="9" t="s">
        <v>694</v>
      </c>
      <c r="L36" s="9" t="s">
        <v>276</v>
      </c>
      <c r="M36" s="8" t="s">
        <v>14</v>
      </c>
      <c r="N36" s="11" t="s">
        <v>98</v>
      </c>
      <c r="O36" s="12" t="s">
        <v>208</v>
      </c>
      <c r="P36" s="41" t="s">
        <v>276</v>
      </c>
      <c r="Q36" s="9" t="s">
        <v>686</v>
      </c>
      <c r="R36" s="9" t="s">
        <v>276</v>
      </c>
      <c r="S36" s="9" t="s">
        <v>276</v>
      </c>
      <c r="T36" s="9" t="s">
        <v>687</v>
      </c>
      <c r="U36" s="13">
        <v>3172</v>
      </c>
      <c r="V36" s="38">
        <v>3174</v>
      </c>
      <c r="W36" s="8" t="s">
        <v>276</v>
      </c>
      <c r="X36" s="8" t="s">
        <v>276</v>
      </c>
      <c r="Y36" s="8">
        <v>0</v>
      </c>
      <c r="Z36" s="8" t="s">
        <v>98</v>
      </c>
      <c r="AA36" s="8">
        <v>0</v>
      </c>
      <c r="AB36" s="8" t="s">
        <v>98</v>
      </c>
      <c r="AC36" s="9" t="s">
        <v>695</v>
      </c>
      <c r="AD36" s="9" t="s">
        <v>689</v>
      </c>
      <c r="AE36" s="8">
        <v>19</v>
      </c>
      <c r="AF36" s="8">
        <v>13</v>
      </c>
      <c r="AG36" s="13">
        <f>U36</f>
        <v>3172</v>
      </c>
      <c r="AH36" s="13">
        <f>V36</f>
        <v>3174</v>
      </c>
      <c r="AI36" s="38" t="s">
        <v>690</v>
      </c>
      <c r="AJ36" s="14" t="s">
        <v>276</v>
      </c>
      <c r="AK36" s="14">
        <f>AE36*1000/AG36</f>
        <v>5.9899117276166454</v>
      </c>
      <c r="AL36" s="14" t="s">
        <v>276</v>
      </c>
      <c r="AM36" s="14" t="s">
        <v>276</v>
      </c>
      <c r="AN36" s="14" t="s">
        <v>276</v>
      </c>
      <c r="AO36" s="14">
        <f>AF36*1000/AH36</f>
        <v>4.0957781978575927</v>
      </c>
      <c r="AP36" s="14" t="s">
        <v>276</v>
      </c>
      <c r="AQ36" s="14" t="s">
        <v>276</v>
      </c>
      <c r="AR36" s="8" t="s">
        <v>268</v>
      </c>
      <c r="AS36" s="14" t="s">
        <v>276</v>
      </c>
      <c r="AT36" s="14">
        <f>AK36/AO36</f>
        <v>1.4624599864196333</v>
      </c>
      <c r="AU36" s="14" t="s">
        <v>276</v>
      </c>
      <c r="AV36" s="14" t="s">
        <v>276</v>
      </c>
      <c r="AW36" s="8" t="s">
        <v>276</v>
      </c>
      <c r="AX36" s="8" t="s">
        <v>98</v>
      </c>
      <c r="AY36" s="8" t="s">
        <v>276</v>
      </c>
      <c r="AZ36" s="8" t="s">
        <v>276</v>
      </c>
      <c r="BA36" s="8" t="s">
        <v>276</v>
      </c>
      <c r="BB36" s="8" t="s">
        <v>276</v>
      </c>
      <c r="BC36" s="9" t="s">
        <v>696</v>
      </c>
      <c r="BD36" s="9"/>
      <c r="BE36" s="9" t="s">
        <v>100</v>
      </c>
      <c r="BF36" s="33" t="s">
        <v>98</v>
      </c>
    </row>
    <row r="37" spans="1:58" s="7" customFormat="1" ht="39" x14ac:dyDescent="0.3">
      <c r="A37" s="8">
        <v>655</v>
      </c>
      <c r="B37" s="8" t="s">
        <v>697</v>
      </c>
      <c r="C37" s="8" t="s">
        <v>72</v>
      </c>
      <c r="D37" s="9" t="s">
        <v>698</v>
      </c>
      <c r="E37" s="8" t="s">
        <v>39</v>
      </c>
      <c r="F37" s="9" t="s">
        <v>683</v>
      </c>
      <c r="G37" s="9" t="s">
        <v>684</v>
      </c>
      <c r="H37" s="9" t="s">
        <v>225</v>
      </c>
      <c r="I37" s="8" t="s">
        <v>98</v>
      </c>
      <c r="J37" s="9" t="s">
        <v>24</v>
      </c>
      <c r="K37" s="9" t="s">
        <v>694</v>
      </c>
      <c r="L37" s="9" t="s">
        <v>699</v>
      </c>
      <c r="M37" s="8" t="s">
        <v>14</v>
      </c>
      <c r="N37" s="11" t="s">
        <v>98</v>
      </c>
      <c r="O37" s="12" t="s">
        <v>208</v>
      </c>
      <c r="P37" s="42" t="s">
        <v>276</v>
      </c>
      <c r="Q37" s="9" t="s">
        <v>686</v>
      </c>
      <c r="R37" s="9" t="s">
        <v>276</v>
      </c>
      <c r="S37" s="9" t="s">
        <v>276</v>
      </c>
      <c r="T37" s="9" t="s">
        <v>687</v>
      </c>
      <c r="U37" s="13">
        <v>3172</v>
      </c>
      <c r="V37" s="34">
        <v>3174</v>
      </c>
      <c r="W37" s="8" t="s">
        <v>276</v>
      </c>
      <c r="X37" s="8" t="s">
        <v>276</v>
      </c>
      <c r="Y37" s="8" t="s">
        <v>276</v>
      </c>
      <c r="Z37" s="8" t="s">
        <v>276</v>
      </c>
      <c r="AA37" s="8" t="s">
        <v>276</v>
      </c>
      <c r="AB37" s="8" t="s">
        <v>276</v>
      </c>
      <c r="AC37" s="9" t="s">
        <v>700</v>
      </c>
      <c r="AD37" s="9" t="s">
        <v>701</v>
      </c>
      <c r="AE37" s="8">
        <v>19</v>
      </c>
      <c r="AF37" s="8">
        <v>13</v>
      </c>
      <c r="AG37" s="13" t="s">
        <v>276</v>
      </c>
      <c r="AH37" s="13" t="s">
        <v>276</v>
      </c>
      <c r="AI37" s="13" t="s">
        <v>425</v>
      </c>
      <c r="AJ37" s="43">
        <v>2</v>
      </c>
      <c r="AK37" s="31" t="s">
        <v>276</v>
      </c>
      <c r="AL37" s="14" t="s">
        <v>276</v>
      </c>
      <c r="AM37" s="14" t="s">
        <v>276</v>
      </c>
      <c r="AN37" s="43">
        <v>1.4</v>
      </c>
      <c r="AO37" s="31" t="s">
        <v>276</v>
      </c>
      <c r="AP37" s="14" t="s">
        <v>276</v>
      </c>
      <c r="AQ37" s="14" t="s">
        <v>276</v>
      </c>
      <c r="AR37" s="8" t="s">
        <v>269</v>
      </c>
      <c r="AS37" s="14" t="s">
        <v>276</v>
      </c>
      <c r="AT37" s="14">
        <f>AJ37/AN37</f>
        <v>1.4285714285714286</v>
      </c>
      <c r="AU37" s="14" t="s">
        <v>276</v>
      </c>
      <c r="AV37" s="14" t="s">
        <v>276</v>
      </c>
      <c r="AW37" s="8" t="s">
        <v>702</v>
      </c>
      <c r="AX37" s="8" t="s">
        <v>98</v>
      </c>
      <c r="AY37" s="8" t="s">
        <v>276</v>
      </c>
      <c r="AZ37" s="8" t="s">
        <v>276</v>
      </c>
      <c r="BA37" s="8" t="s">
        <v>276</v>
      </c>
      <c r="BB37" s="8" t="s">
        <v>276</v>
      </c>
      <c r="BC37" s="9" t="s">
        <v>298</v>
      </c>
      <c r="BE37" s="9" t="s">
        <v>100</v>
      </c>
      <c r="BF37" s="33" t="s">
        <v>98</v>
      </c>
    </row>
    <row r="38" spans="1:58" s="7" customFormat="1" ht="39" x14ac:dyDescent="0.3">
      <c r="A38" s="8">
        <v>654</v>
      </c>
      <c r="B38" s="8" t="s">
        <v>697</v>
      </c>
      <c r="C38" s="8" t="s">
        <v>72</v>
      </c>
      <c r="D38" s="9" t="s">
        <v>703</v>
      </c>
      <c r="E38" s="8" t="s">
        <v>39</v>
      </c>
      <c r="F38" s="9" t="s">
        <v>683</v>
      </c>
      <c r="G38" s="9" t="s">
        <v>684</v>
      </c>
      <c r="H38" s="9" t="s">
        <v>225</v>
      </c>
      <c r="I38" s="8" t="s">
        <v>98</v>
      </c>
      <c r="J38" s="9" t="s">
        <v>24</v>
      </c>
      <c r="K38" s="9" t="s">
        <v>704</v>
      </c>
      <c r="L38" s="9" t="s">
        <v>699</v>
      </c>
      <c r="M38" s="8" t="s">
        <v>14</v>
      </c>
      <c r="N38" s="11" t="s">
        <v>98</v>
      </c>
      <c r="O38" s="12" t="s">
        <v>208</v>
      </c>
      <c r="P38" s="42" t="s">
        <v>276</v>
      </c>
      <c r="Q38" s="46" t="s">
        <v>705</v>
      </c>
      <c r="R38" s="46" t="s">
        <v>276</v>
      </c>
      <c r="S38" s="46" t="s">
        <v>276</v>
      </c>
      <c r="T38" s="9" t="s">
        <v>706</v>
      </c>
      <c r="U38" s="13">
        <v>3171</v>
      </c>
      <c r="V38" s="34">
        <v>3174</v>
      </c>
      <c r="W38" s="8" t="s">
        <v>276</v>
      </c>
      <c r="X38" s="8" t="s">
        <v>276</v>
      </c>
      <c r="Y38" s="8">
        <v>0</v>
      </c>
      <c r="Z38" s="8" t="s">
        <v>98</v>
      </c>
      <c r="AA38" s="8">
        <v>0</v>
      </c>
      <c r="AB38" s="8" t="s">
        <v>98</v>
      </c>
      <c r="AC38" s="9" t="s">
        <v>707</v>
      </c>
      <c r="AD38" s="9" t="s">
        <v>689</v>
      </c>
      <c r="AE38" s="8">
        <v>2</v>
      </c>
      <c r="AF38" s="8">
        <v>3</v>
      </c>
      <c r="AG38" s="13">
        <f t="shared" ref="AG38:AH39" si="7">U38</f>
        <v>3171</v>
      </c>
      <c r="AH38" s="13">
        <f t="shared" si="7"/>
        <v>3174</v>
      </c>
      <c r="AI38" s="38" t="s">
        <v>690</v>
      </c>
      <c r="AJ38" s="43" t="s">
        <v>276</v>
      </c>
      <c r="AK38" s="14">
        <f>AE38*1000/AG38</f>
        <v>0.63071586250394196</v>
      </c>
      <c r="AL38" s="14" t="s">
        <v>276</v>
      </c>
      <c r="AM38" s="14" t="s">
        <v>276</v>
      </c>
      <c r="AN38" s="43" t="s">
        <v>276</v>
      </c>
      <c r="AO38" s="14">
        <f>AF38*1000/AH38</f>
        <v>0.94517958412098302</v>
      </c>
      <c r="AP38" s="14" t="s">
        <v>276</v>
      </c>
      <c r="AQ38" s="14" t="s">
        <v>276</v>
      </c>
      <c r="AR38" s="8" t="s">
        <v>268</v>
      </c>
      <c r="AS38" s="14" t="s">
        <v>276</v>
      </c>
      <c r="AT38" s="14">
        <f>AK38/AO38</f>
        <v>0.66729738252917059</v>
      </c>
      <c r="AU38" s="14" t="s">
        <v>276</v>
      </c>
      <c r="AV38" s="14" t="s">
        <v>276</v>
      </c>
      <c r="AW38" s="8" t="s">
        <v>276</v>
      </c>
      <c r="AX38" s="8" t="s">
        <v>98</v>
      </c>
      <c r="AY38" s="8" t="s">
        <v>276</v>
      </c>
      <c r="AZ38" s="8" t="s">
        <v>276</v>
      </c>
      <c r="BA38" s="8" t="s">
        <v>276</v>
      </c>
      <c r="BB38" s="8" t="s">
        <v>276</v>
      </c>
      <c r="BC38" s="9" t="s">
        <v>708</v>
      </c>
      <c r="BD38" s="9"/>
      <c r="BE38" s="9" t="s">
        <v>100</v>
      </c>
      <c r="BF38" s="33" t="s">
        <v>98</v>
      </c>
    </row>
    <row r="39" spans="1:58" s="7" customFormat="1" ht="39" x14ac:dyDescent="0.3">
      <c r="A39" s="8">
        <v>654</v>
      </c>
      <c r="B39" s="8" t="s">
        <v>697</v>
      </c>
      <c r="C39" s="8" t="s">
        <v>72</v>
      </c>
      <c r="D39" s="9" t="s">
        <v>709</v>
      </c>
      <c r="E39" s="8" t="s">
        <v>39</v>
      </c>
      <c r="F39" s="9" t="s">
        <v>683</v>
      </c>
      <c r="G39" s="9" t="s">
        <v>684</v>
      </c>
      <c r="H39" s="9" t="s">
        <v>225</v>
      </c>
      <c r="I39" s="8" t="s">
        <v>98</v>
      </c>
      <c r="J39" s="9" t="s">
        <v>24</v>
      </c>
      <c r="K39" s="9" t="s">
        <v>704</v>
      </c>
      <c r="L39" s="9" t="s">
        <v>699</v>
      </c>
      <c r="M39" s="8" t="s">
        <v>14</v>
      </c>
      <c r="N39" s="11" t="s">
        <v>98</v>
      </c>
      <c r="O39" s="12" t="s">
        <v>208</v>
      </c>
      <c r="P39" s="42" t="s">
        <v>276</v>
      </c>
      <c r="Q39" s="46" t="s">
        <v>710</v>
      </c>
      <c r="R39" s="46" t="s">
        <v>276</v>
      </c>
      <c r="S39" s="46" t="s">
        <v>276</v>
      </c>
      <c r="T39" s="9" t="s">
        <v>711</v>
      </c>
      <c r="U39" s="13">
        <v>3171</v>
      </c>
      <c r="V39" s="34">
        <v>3174</v>
      </c>
      <c r="W39" s="8" t="s">
        <v>276</v>
      </c>
      <c r="X39" s="8" t="s">
        <v>276</v>
      </c>
      <c r="Y39" s="8">
        <v>0</v>
      </c>
      <c r="Z39" s="8" t="s">
        <v>98</v>
      </c>
      <c r="AA39" s="8">
        <v>0</v>
      </c>
      <c r="AB39" s="8" t="s">
        <v>98</v>
      </c>
      <c r="AC39" s="9" t="s">
        <v>712</v>
      </c>
      <c r="AD39" s="9" t="s">
        <v>689</v>
      </c>
      <c r="AE39" s="8">
        <v>9</v>
      </c>
      <c r="AF39" s="8">
        <v>5</v>
      </c>
      <c r="AG39" s="13">
        <f t="shared" si="7"/>
        <v>3171</v>
      </c>
      <c r="AH39" s="13">
        <f t="shared" si="7"/>
        <v>3174</v>
      </c>
      <c r="AI39" s="38" t="s">
        <v>690</v>
      </c>
      <c r="AJ39" s="43" t="s">
        <v>276</v>
      </c>
      <c r="AK39" s="14">
        <f>AE39*1000/AG39</f>
        <v>2.838221381267739</v>
      </c>
      <c r="AL39" s="14" t="s">
        <v>276</v>
      </c>
      <c r="AM39" s="14" t="s">
        <v>276</v>
      </c>
      <c r="AN39" s="43" t="s">
        <v>276</v>
      </c>
      <c r="AO39" s="14">
        <f>AF39*1000/AH39</f>
        <v>1.575299306868305</v>
      </c>
      <c r="AP39" s="14" t="s">
        <v>276</v>
      </c>
      <c r="AQ39" s="14" t="s">
        <v>276</v>
      </c>
      <c r="AR39" s="8" t="s">
        <v>268</v>
      </c>
      <c r="AS39" s="14" t="s">
        <v>276</v>
      </c>
      <c r="AT39" s="14">
        <f>AK39/AO39</f>
        <v>1.8017029328287608</v>
      </c>
      <c r="AU39" s="14" t="s">
        <v>276</v>
      </c>
      <c r="AV39" s="14" t="s">
        <v>276</v>
      </c>
      <c r="AW39" s="8" t="s">
        <v>276</v>
      </c>
      <c r="AX39" s="8" t="s">
        <v>98</v>
      </c>
      <c r="AY39" s="8" t="s">
        <v>276</v>
      </c>
      <c r="AZ39" s="8" t="s">
        <v>276</v>
      </c>
      <c r="BA39" s="8" t="s">
        <v>276</v>
      </c>
      <c r="BB39" s="8" t="s">
        <v>276</v>
      </c>
      <c r="BC39" s="9" t="s">
        <v>708</v>
      </c>
      <c r="BD39" s="9"/>
      <c r="BE39" s="9" t="s">
        <v>100</v>
      </c>
      <c r="BF39" s="33" t="s">
        <v>98</v>
      </c>
    </row>
    <row r="40" spans="1:58" s="7" customFormat="1" ht="52" x14ac:dyDescent="0.3">
      <c r="A40" s="8">
        <v>654</v>
      </c>
      <c r="B40" s="8" t="s">
        <v>697</v>
      </c>
      <c r="C40" s="8" t="s">
        <v>72</v>
      </c>
      <c r="D40" s="9" t="s">
        <v>713</v>
      </c>
      <c r="E40" s="8" t="s">
        <v>39</v>
      </c>
      <c r="F40" s="9" t="s">
        <v>683</v>
      </c>
      <c r="G40" s="9" t="s">
        <v>684</v>
      </c>
      <c r="H40" s="9" t="s">
        <v>225</v>
      </c>
      <c r="I40" s="8" t="s">
        <v>98</v>
      </c>
      <c r="J40" s="9" t="s">
        <v>24</v>
      </c>
      <c r="K40" s="9" t="s">
        <v>704</v>
      </c>
      <c r="L40" s="9" t="s">
        <v>699</v>
      </c>
      <c r="M40" s="8" t="s">
        <v>14</v>
      </c>
      <c r="N40" s="11" t="s">
        <v>98</v>
      </c>
      <c r="O40" s="12" t="s">
        <v>208</v>
      </c>
      <c r="P40" s="42" t="s">
        <v>276</v>
      </c>
      <c r="Q40" s="9" t="s">
        <v>385</v>
      </c>
      <c r="R40" s="9" t="s">
        <v>276</v>
      </c>
      <c r="S40" s="9" t="s">
        <v>276</v>
      </c>
      <c r="T40" s="9" t="s">
        <v>714</v>
      </c>
      <c r="U40" s="13">
        <v>3171</v>
      </c>
      <c r="V40" s="34">
        <v>3174</v>
      </c>
      <c r="W40" s="8" t="s">
        <v>276</v>
      </c>
      <c r="X40" s="8" t="s">
        <v>276</v>
      </c>
      <c r="Y40" s="8">
        <v>0</v>
      </c>
      <c r="Z40" s="8" t="s">
        <v>98</v>
      </c>
      <c r="AA40" s="8">
        <v>0</v>
      </c>
      <c r="AB40" s="8" t="s">
        <v>98</v>
      </c>
      <c r="AC40" s="9" t="s">
        <v>715</v>
      </c>
      <c r="AD40" s="9" t="s">
        <v>716</v>
      </c>
      <c r="AE40" s="8">
        <v>16</v>
      </c>
      <c r="AF40" s="8">
        <v>14</v>
      </c>
      <c r="AG40" s="13" t="s">
        <v>276</v>
      </c>
      <c r="AH40" s="13" t="s">
        <v>276</v>
      </c>
      <c r="AI40" s="13" t="s">
        <v>425</v>
      </c>
      <c r="AJ40" s="43">
        <v>1.7</v>
      </c>
      <c r="AK40" s="31" t="s">
        <v>276</v>
      </c>
      <c r="AL40" s="14" t="s">
        <v>276</v>
      </c>
      <c r="AM40" s="14" t="s">
        <v>276</v>
      </c>
      <c r="AN40" s="43">
        <v>1.5</v>
      </c>
      <c r="AO40" s="31" t="s">
        <v>276</v>
      </c>
      <c r="AP40" s="14" t="s">
        <v>276</v>
      </c>
      <c r="AQ40" s="14" t="s">
        <v>276</v>
      </c>
      <c r="AR40" s="8" t="s">
        <v>269</v>
      </c>
      <c r="AS40" s="14" t="s">
        <v>276</v>
      </c>
      <c r="AT40" s="14">
        <f>AJ40/AN40</f>
        <v>1.1333333333333333</v>
      </c>
      <c r="AU40" s="14" t="s">
        <v>276</v>
      </c>
      <c r="AV40" s="14" t="s">
        <v>276</v>
      </c>
      <c r="AW40" s="8" t="s">
        <v>702</v>
      </c>
      <c r="AX40" s="8" t="s">
        <v>98</v>
      </c>
      <c r="AY40" s="8" t="s">
        <v>276</v>
      </c>
      <c r="AZ40" s="8" t="s">
        <v>276</v>
      </c>
      <c r="BA40" s="8" t="s">
        <v>276</v>
      </c>
      <c r="BB40" s="8" t="s">
        <v>276</v>
      </c>
      <c r="BC40" s="9" t="s">
        <v>717</v>
      </c>
      <c r="BD40" s="9"/>
      <c r="BE40" s="9" t="s">
        <v>100</v>
      </c>
      <c r="BF40" s="33" t="s">
        <v>98</v>
      </c>
    </row>
    <row r="41" spans="1:58" s="7" customFormat="1" ht="52" x14ac:dyDescent="0.3">
      <c r="A41" s="8">
        <v>654</v>
      </c>
      <c r="B41" s="8" t="s">
        <v>697</v>
      </c>
      <c r="C41" s="8" t="s">
        <v>72</v>
      </c>
      <c r="D41" s="9" t="s">
        <v>718</v>
      </c>
      <c r="E41" s="8" t="s">
        <v>39</v>
      </c>
      <c r="F41" s="9" t="s">
        <v>683</v>
      </c>
      <c r="G41" s="9" t="s">
        <v>684</v>
      </c>
      <c r="H41" s="9" t="s">
        <v>225</v>
      </c>
      <c r="I41" s="8" t="s">
        <v>98</v>
      </c>
      <c r="J41" s="9" t="s">
        <v>24</v>
      </c>
      <c r="K41" s="9" t="s">
        <v>704</v>
      </c>
      <c r="L41" s="9" t="s">
        <v>699</v>
      </c>
      <c r="M41" s="8" t="s">
        <v>14</v>
      </c>
      <c r="N41" s="11" t="s">
        <v>98</v>
      </c>
      <c r="O41" s="12" t="s">
        <v>208</v>
      </c>
      <c r="P41" s="42" t="s">
        <v>276</v>
      </c>
      <c r="Q41" s="9" t="s">
        <v>385</v>
      </c>
      <c r="R41" s="9" t="s">
        <v>276</v>
      </c>
      <c r="S41" s="9" t="s">
        <v>276</v>
      </c>
      <c r="T41" s="9" t="s">
        <v>714</v>
      </c>
      <c r="U41" s="13">
        <v>3171</v>
      </c>
      <c r="V41" s="34">
        <v>3174</v>
      </c>
      <c r="W41" s="8" t="s">
        <v>276</v>
      </c>
      <c r="X41" s="8" t="s">
        <v>276</v>
      </c>
      <c r="Y41" s="8">
        <v>0</v>
      </c>
      <c r="Z41" s="8" t="s">
        <v>98</v>
      </c>
      <c r="AA41" s="8">
        <v>0</v>
      </c>
      <c r="AB41" s="8" t="s">
        <v>98</v>
      </c>
      <c r="AC41" s="9" t="s">
        <v>715</v>
      </c>
      <c r="AD41" s="9" t="s">
        <v>689</v>
      </c>
      <c r="AE41" s="8">
        <v>16</v>
      </c>
      <c r="AF41" s="8">
        <v>14</v>
      </c>
      <c r="AG41" s="13">
        <f t="shared" ref="AG41:AH46" si="8">U41</f>
        <v>3171</v>
      </c>
      <c r="AH41" s="13">
        <f t="shared" si="8"/>
        <v>3174</v>
      </c>
      <c r="AI41" s="38" t="s">
        <v>690</v>
      </c>
      <c r="AJ41" s="43" t="s">
        <v>276</v>
      </c>
      <c r="AK41" s="14">
        <f t="shared" ref="AK41:AK46" si="9">AE41*1000/AG41</f>
        <v>5.0457269000315357</v>
      </c>
      <c r="AL41" s="14" t="s">
        <v>276</v>
      </c>
      <c r="AM41" s="14" t="s">
        <v>276</v>
      </c>
      <c r="AN41" s="43" t="s">
        <v>276</v>
      </c>
      <c r="AO41" s="14">
        <f t="shared" ref="AO41:AO46" si="10">AF41*1000/AH41</f>
        <v>4.4108380592312537</v>
      </c>
      <c r="AP41" s="14" t="s">
        <v>276</v>
      </c>
      <c r="AQ41" s="14" t="s">
        <v>276</v>
      </c>
      <c r="AR41" s="8" t="s">
        <v>268</v>
      </c>
      <c r="AS41" s="14" t="s">
        <v>276</v>
      </c>
      <c r="AT41" s="14">
        <f t="shared" ref="AT41:AT46" si="11">AK41/AO41</f>
        <v>1.1439383700500068</v>
      </c>
      <c r="AU41" s="14" t="s">
        <v>276</v>
      </c>
      <c r="AV41" s="14" t="s">
        <v>276</v>
      </c>
      <c r="AW41" s="8" t="s">
        <v>276</v>
      </c>
      <c r="AX41" s="8" t="s">
        <v>98</v>
      </c>
      <c r="AY41" s="8" t="s">
        <v>276</v>
      </c>
      <c r="AZ41" s="8" t="s">
        <v>276</v>
      </c>
      <c r="BA41" s="8" t="s">
        <v>276</v>
      </c>
      <c r="BB41" s="8" t="s">
        <v>276</v>
      </c>
      <c r="BC41" s="9" t="s">
        <v>719</v>
      </c>
      <c r="BD41" s="9"/>
      <c r="BE41" s="9" t="s">
        <v>100</v>
      </c>
      <c r="BF41" s="33" t="s">
        <v>98</v>
      </c>
    </row>
    <row r="42" spans="1:58" s="7" customFormat="1" ht="65" x14ac:dyDescent="0.3">
      <c r="A42" s="8">
        <v>654</v>
      </c>
      <c r="B42" s="8" t="s">
        <v>697</v>
      </c>
      <c r="C42" s="8" t="s">
        <v>72</v>
      </c>
      <c r="D42" s="9" t="s">
        <v>720</v>
      </c>
      <c r="E42" s="8" t="s">
        <v>39</v>
      </c>
      <c r="F42" s="9" t="s">
        <v>683</v>
      </c>
      <c r="G42" s="9" t="s">
        <v>684</v>
      </c>
      <c r="H42" s="9" t="s">
        <v>225</v>
      </c>
      <c r="I42" s="8" t="s">
        <v>98</v>
      </c>
      <c r="J42" s="9" t="s">
        <v>24</v>
      </c>
      <c r="K42" s="9" t="s">
        <v>704</v>
      </c>
      <c r="L42" s="9" t="s">
        <v>699</v>
      </c>
      <c r="M42" s="8" t="s">
        <v>14</v>
      </c>
      <c r="N42" s="11" t="s">
        <v>98</v>
      </c>
      <c r="O42" s="12" t="s">
        <v>208</v>
      </c>
      <c r="P42" s="42" t="s">
        <v>276</v>
      </c>
      <c r="Q42" s="46" t="s">
        <v>721</v>
      </c>
      <c r="R42" s="46" t="s">
        <v>276</v>
      </c>
      <c r="S42" s="46" t="s">
        <v>276</v>
      </c>
      <c r="T42" s="9" t="s">
        <v>722</v>
      </c>
      <c r="U42" s="13">
        <v>3171</v>
      </c>
      <c r="V42" s="34">
        <v>3174</v>
      </c>
      <c r="W42" s="8" t="s">
        <v>276</v>
      </c>
      <c r="X42" s="8" t="s">
        <v>276</v>
      </c>
      <c r="Y42" s="8">
        <v>0</v>
      </c>
      <c r="Z42" s="8" t="s">
        <v>98</v>
      </c>
      <c r="AA42" s="8">
        <v>0</v>
      </c>
      <c r="AB42" s="8" t="s">
        <v>98</v>
      </c>
      <c r="AC42" s="9" t="s">
        <v>723</v>
      </c>
      <c r="AD42" s="9" t="s">
        <v>689</v>
      </c>
      <c r="AE42" s="8">
        <v>21</v>
      </c>
      <c r="AF42" s="8">
        <v>17</v>
      </c>
      <c r="AG42" s="13">
        <f t="shared" si="8"/>
        <v>3171</v>
      </c>
      <c r="AH42" s="13">
        <f t="shared" si="8"/>
        <v>3174</v>
      </c>
      <c r="AI42" s="38" t="s">
        <v>690</v>
      </c>
      <c r="AJ42" s="43" t="s">
        <v>276</v>
      </c>
      <c r="AK42" s="14">
        <f t="shared" si="9"/>
        <v>6.6225165562913908</v>
      </c>
      <c r="AL42" s="14" t="s">
        <v>276</v>
      </c>
      <c r="AM42" s="14" t="s">
        <v>276</v>
      </c>
      <c r="AN42" s="43" t="s">
        <v>276</v>
      </c>
      <c r="AO42" s="14">
        <f t="shared" si="10"/>
        <v>5.3560176433522368</v>
      </c>
      <c r="AP42" s="14" t="s">
        <v>276</v>
      </c>
      <c r="AQ42" s="14" t="s">
        <v>276</v>
      </c>
      <c r="AR42" s="8" t="s">
        <v>268</v>
      </c>
      <c r="AS42" s="14" t="s">
        <v>276</v>
      </c>
      <c r="AT42" s="14">
        <f t="shared" si="11"/>
        <v>1.2364627970393456</v>
      </c>
      <c r="AU42" s="14" t="s">
        <v>276</v>
      </c>
      <c r="AV42" s="14" t="s">
        <v>276</v>
      </c>
      <c r="AW42" s="8" t="s">
        <v>276</v>
      </c>
      <c r="AX42" s="8" t="s">
        <v>98</v>
      </c>
      <c r="AY42" s="8" t="s">
        <v>276</v>
      </c>
      <c r="AZ42" s="8" t="s">
        <v>276</v>
      </c>
      <c r="BA42" s="8" t="s">
        <v>276</v>
      </c>
      <c r="BB42" s="8" t="s">
        <v>276</v>
      </c>
      <c r="BC42" s="9" t="s">
        <v>708</v>
      </c>
      <c r="BD42" s="9"/>
      <c r="BE42" s="9" t="s">
        <v>100</v>
      </c>
      <c r="BF42" s="33" t="s">
        <v>98</v>
      </c>
    </row>
    <row r="43" spans="1:58" s="7" customFormat="1" ht="65" x14ac:dyDescent="0.3">
      <c r="A43" s="8">
        <v>654</v>
      </c>
      <c r="B43" s="8" t="s">
        <v>697</v>
      </c>
      <c r="C43" s="8" t="s">
        <v>72</v>
      </c>
      <c r="D43" s="9" t="s">
        <v>724</v>
      </c>
      <c r="E43" s="8" t="s">
        <v>39</v>
      </c>
      <c r="F43" s="9" t="s">
        <v>683</v>
      </c>
      <c r="G43" s="9" t="s">
        <v>684</v>
      </c>
      <c r="H43" s="9" t="s">
        <v>225</v>
      </c>
      <c r="I43" s="8" t="s">
        <v>98</v>
      </c>
      <c r="J43" s="9" t="s">
        <v>24</v>
      </c>
      <c r="K43" s="9" t="s">
        <v>704</v>
      </c>
      <c r="L43" s="9" t="s">
        <v>699</v>
      </c>
      <c r="M43" s="8" t="s">
        <v>14</v>
      </c>
      <c r="N43" s="11" t="s">
        <v>98</v>
      </c>
      <c r="O43" s="12" t="s">
        <v>208</v>
      </c>
      <c r="P43" s="42" t="s">
        <v>276</v>
      </c>
      <c r="Q43" s="46" t="s">
        <v>721</v>
      </c>
      <c r="R43" s="46" t="s">
        <v>276</v>
      </c>
      <c r="S43" s="46" t="s">
        <v>276</v>
      </c>
      <c r="T43" s="9" t="s">
        <v>725</v>
      </c>
      <c r="U43" s="13">
        <v>3171</v>
      </c>
      <c r="V43" s="34">
        <v>3174</v>
      </c>
      <c r="W43" s="8" t="s">
        <v>276</v>
      </c>
      <c r="X43" s="8" t="s">
        <v>276</v>
      </c>
      <c r="Y43" s="8">
        <v>0</v>
      </c>
      <c r="Z43" s="8" t="s">
        <v>98</v>
      </c>
      <c r="AA43" s="8">
        <v>0</v>
      </c>
      <c r="AB43" s="8" t="s">
        <v>98</v>
      </c>
      <c r="AC43" s="9" t="s">
        <v>726</v>
      </c>
      <c r="AD43" s="9" t="s">
        <v>689</v>
      </c>
      <c r="AE43" s="8">
        <v>26</v>
      </c>
      <c r="AF43" s="8">
        <v>18</v>
      </c>
      <c r="AG43" s="13">
        <f t="shared" si="8"/>
        <v>3171</v>
      </c>
      <c r="AH43" s="13">
        <f t="shared" si="8"/>
        <v>3174</v>
      </c>
      <c r="AI43" s="38" t="s">
        <v>690</v>
      </c>
      <c r="AJ43" s="43" t="s">
        <v>276</v>
      </c>
      <c r="AK43" s="14">
        <f t="shared" si="9"/>
        <v>8.1993062125512459</v>
      </c>
      <c r="AL43" s="14" t="s">
        <v>276</v>
      </c>
      <c r="AM43" s="14" t="s">
        <v>276</v>
      </c>
      <c r="AN43" s="43" t="s">
        <v>276</v>
      </c>
      <c r="AO43" s="14">
        <f t="shared" si="10"/>
        <v>5.6710775047258979</v>
      </c>
      <c r="AP43" s="14" t="s">
        <v>276</v>
      </c>
      <c r="AQ43" s="14" t="s">
        <v>276</v>
      </c>
      <c r="AR43" s="8" t="s">
        <v>268</v>
      </c>
      <c r="AS43" s="14" t="s">
        <v>276</v>
      </c>
      <c r="AT43" s="14">
        <f t="shared" si="11"/>
        <v>1.4458109954798697</v>
      </c>
      <c r="AU43" s="14" t="s">
        <v>276</v>
      </c>
      <c r="AV43" s="14" t="s">
        <v>276</v>
      </c>
      <c r="AW43" s="8" t="s">
        <v>702</v>
      </c>
      <c r="AX43" s="8" t="s">
        <v>98</v>
      </c>
      <c r="AY43" s="8" t="s">
        <v>276</v>
      </c>
      <c r="AZ43" s="8" t="s">
        <v>276</v>
      </c>
      <c r="BA43" s="8" t="s">
        <v>276</v>
      </c>
      <c r="BB43" s="8" t="s">
        <v>276</v>
      </c>
      <c r="BC43" s="9" t="s">
        <v>708</v>
      </c>
      <c r="BD43" s="9"/>
      <c r="BE43" s="9" t="s">
        <v>100</v>
      </c>
      <c r="BF43" s="33" t="s">
        <v>98</v>
      </c>
    </row>
    <row r="44" spans="1:58" s="7" customFormat="1" ht="65" x14ac:dyDescent="0.3">
      <c r="A44" s="8">
        <v>654</v>
      </c>
      <c r="B44" s="8" t="s">
        <v>697</v>
      </c>
      <c r="C44" s="8" t="s">
        <v>72</v>
      </c>
      <c r="D44" s="9" t="s">
        <v>727</v>
      </c>
      <c r="E44" s="8" t="s">
        <v>39</v>
      </c>
      <c r="F44" s="9" t="s">
        <v>683</v>
      </c>
      <c r="G44" s="9" t="s">
        <v>684</v>
      </c>
      <c r="H44" s="9" t="s">
        <v>225</v>
      </c>
      <c r="I44" s="8" t="s">
        <v>98</v>
      </c>
      <c r="J44" s="9" t="s">
        <v>24</v>
      </c>
      <c r="K44" s="9" t="s">
        <v>704</v>
      </c>
      <c r="L44" s="9" t="s">
        <v>699</v>
      </c>
      <c r="M44" s="8" t="s">
        <v>14</v>
      </c>
      <c r="N44" s="11" t="s">
        <v>98</v>
      </c>
      <c r="O44" s="12" t="s">
        <v>208</v>
      </c>
      <c r="P44" s="42" t="s">
        <v>276</v>
      </c>
      <c r="Q44" s="46" t="s">
        <v>728</v>
      </c>
      <c r="R44" s="46" t="s">
        <v>276</v>
      </c>
      <c r="S44" s="46" t="s">
        <v>276</v>
      </c>
      <c r="T44" s="9" t="s">
        <v>722</v>
      </c>
      <c r="U44" s="13">
        <v>3171</v>
      </c>
      <c r="V44" s="34">
        <v>3174</v>
      </c>
      <c r="W44" s="8" t="s">
        <v>276</v>
      </c>
      <c r="X44" s="8" t="s">
        <v>276</v>
      </c>
      <c r="Y44" s="8">
        <v>0</v>
      </c>
      <c r="Z44" s="8" t="s">
        <v>98</v>
      </c>
      <c r="AA44" s="8">
        <v>0</v>
      </c>
      <c r="AB44" s="8" t="s">
        <v>98</v>
      </c>
      <c r="AC44" s="9" t="s">
        <v>729</v>
      </c>
      <c r="AD44" s="9" t="s">
        <v>689</v>
      </c>
      <c r="AE44" s="8">
        <v>26</v>
      </c>
      <c r="AF44" s="8">
        <v>18</v>
      </c>
      <c r="AG44" s="13">
        <f t="shared" si="8"/>
        <v>3171</v>
      </c>
      <c r="AH44" s="13">
        <f t="shared" si="8"/>
        <v>3174</v>
      </c>
      <c r="AI44" s="38" t="s">
        <v>690</v>
      </c>
      <c r="AJ44" s="43" t="s">
        <v>276</v>
      </c>
      <c r="AK44" s="14">
        <f t="shared" si="9"/>
        <v>8.1993062125512459</v>
      </c>
      <c r="AL44" s="14" t="s">
        <v>276</v>
      </c>
      <c r="AM44" s="14" t="s">
        <v>276</v>
      </c>
      <c r="AN44" s="43" t="s">
        <v>276</v>
      </c>
      <c r="AO44" s="14">
        <f t="shared" si="10"/>
        <v>5.6710775047258979</v>
      </c>
      <c r="AP44" s="14" t="s">
        <v>276</v>
      </c>
      <c r="AQ44" s="14" t="s">
        <v>276</v>
      </c>
      <c r="AR44" s="8" t="s">
        <v>268</v>
      </c>
      <c r="AS44" s="14" t="s">
        <v>276</v>
      </c>
      <c r="AT44" s="14">
        <f t="shared" si="11"/>
        <v>1.4458109954798697</v>
      </c>
      <c r="AU44" s="14" t="s">
        <v>276</v>
      </c>
      <c r="AV44" s="14" t="s">
        <v>276</v>
      </c>
      <c r="AW44" s="8" t="s">
        <v>276</v>
      </c>
      <c r="AX44" s="8" t="s">
        <v>98</v>
      </c>
      <c r="AY44" s="8" t="s">
        <v>276</v>
      </c>
      <c r="AZ44" s="8" t="s">
        <v>276</v>
      </c>
      <c r="BA44" s="8" t="s">
        <v>276</v>
      </c>
      <c r="BB44" s="8" t="s">
        <v>276</v>
      </c>
      <c r="BC44" s="9" t="s">
        <v>708</v>
      </c>
      <c r="BD44" s="9"/>
      <c r="BE44" s="9" t="s">
        <v>100</v>
      </c>
      <c r="BF44" s="33" t="s">
        <v>98</v>
      </c>
    </row>
    <row r="45" spans="1:58" s="7" customFormat="1" ht="65" x14ac:dyDescent="0.3">
      <c r="A45" s="8">
        <v>654</v>
      </c>
      <c r="B45" s="8" t="s">
        <v>697</v>
      </c>
      <c r="C45" s="8" t="s">
        <v>72</v>
      </c>
      <c r="D45" s="9" t="s">
        <v>730</v>
      </c>
      <c r="E45" s="8" t="s">
        <v>39</v>
      </c>
      <c r="F45" s="9" t="s">
        <v>683</v>
      </c>
      <c r="G45" s="9" t="s">
        <v>684</v>
      </c>
      <c r="H45" s="9" t="s">
        <v>225</v>
      </c>
      <c r="I45" s="8" t="s">
        <v>98</v>
      </c>
      <c r="J45" s="9" t="s">
        <v>24</v>
      </c>
      <c r="K45" s="9" t="s">
        <v>704</v>
      </c>
      <c r="L45" s="9" t="s">
        <v>699</v>
      </c>
      <c r="M45" s="8" t="s">
        <v>14</v>
      </c>
      <c r="N45" s="11" t="s">
        <v>98</v>
      </c>
      <c r="O45" s="12" t="s">
        <v>208</v>
      </c>
      <c r="P45" s="42" t="s">
        <v>276</v>
      </c>
      <c r="Q45" s="46" t="s">
        <v>728</v>
      </c>
      <c r="R45" s="46" t="s">
        <v>276</v>
      </c>
      <c r="S45" s="46" t="s">
        <v>276</v>
      </c>
      <c r="T45" s="9" t="s">
        <v>725</v>
      </c>
      <c r="U45" s="13">
        <v>3171</v>
      </c>
      <c r="V45" s="34">
        <v>3174</v>
      </c>
      <c r="W45" s="8" t="s">
        <v>276</v>
      </c>
      <c r="X45" s="8" t="s">
        <v>276</v>
      </c>
      <c r="Y45" s="8">
        <v>0</v>
      </c>
      <c r="Z45" s="8" t="s">
        <v>98</v>
      </c>
      <c r="AA45" s="8">
        <v>0</v>
      </c>
      <c r="AB45" s="8" t="s">
        <v>98</v>
      </c>
      <c r="AC45" s="9" t="s">
        <v>731</v>
      </c>
      <c r="AD45" s="9" t="s">
        <v>689</v>
      </c>
      <c r="AE45" s="8">
        <v>49</v>
      </c>
      <c r="AF45" s="8">
        <v>30</v>
      </c>
      <c r="AG45" s="13">
        <f t="shared" si="8"/>
        <v>3171</v>
      </c>
      <c r="AH45" s="13">
        <f t="shared" si="8"/>
        <v>3174</v>
      </c>
      <c r="AI45" s="38" t="s">
        <v>690</v>
      </c>
      <c r="AJ45" s="43" t="s">
        <v>276</v>
      </c>
      <c r="AK45" s="14">
        <f t="shared" si="9"/>
        <v>15.452538631346579</v>
      </c>
      <c r="AL45" s="14" t="s">
        <v>276</v>
      </c>
      <c r="AM45" s="14" t="s">
        <v>276</v>
      </c>
      <c r="AN45" s="43" t="s">
        <v>276</v>
      </c>
      <c r="AO45" s="14">
        <f t="shared" si="10"/>
        <v>9.4517958412098295</v>
      </c>
      <c r="AP45" s="14" t="s">
        <v>276</v>
      </c>
      <c r="AQ45" s="14" t="s">
        <v>276</v>
      </c>
      <c r="AR45" s="8" t="s">
        <v>268</v>
      </c>
      <c r="AS45" s="14" t="s">
        <v>276</v>
      </c>
      <c r="AT45" s="14">
        <f t="shared" si="11"/>
        <v>1.6348785871964682</v>
      </c>
      <c r="AU45" s="14" t="s">
        <v>276</v>
      </c>
      <c r="AV45" s="14" t="s">
        <v>276</v>
      </c>
      <c r="AW45" s="8" t="s">
        <v>702</v>
      </c>
      <c r="AX45" s="8" t="s">
        <v>98</v>
      </c>
      <c r="AY45" s="8" t="s">
        <v>276</v>
      </c>
      <c r="AZ45" s="8" t="s">
        <v>276</v>
      </c>
      <c r="BA45" s="8" t="s">
        <v>276</v>
      </c>
      <c r="BB45" s="8" t="s">
        <v>276</v>
      </c>
      <c r="BC45" s="9" t="s">
        <v>708</v>
      </c>
      <c r="BD45" s="9"/>
      <c r="BE45" s="9" t="s">
        <v>100</v>
      </c>
      <c r="BF45" s="33" t="s">
        <v>98</v>
      </c>
    </row>
    <row r="46" spans="1:58" s="7" customFormat="1" ht="65" x14ac:dyDescent="0.3">
      <c r="A46" s="8">
        <v>654</v>
      </c>
      <c r="B46" s="8" t="s">
        <v>697</v>
      </c>
      <c r="C46" s="8" t="s">
        <v>72</v>
      </c>
      <c r="D46" s="9" t="s">
        <v>732</v>
      </c>
      <c r="E46" s="8" t="s">
        <v>39</v>
      </c>
      <c r="F46" s="9" t="s">
        <v>683</v>
      </c>
      <c r="G46" s="9" t="s">
        <v>684</v>
      </c>
      <c r="H46" s="9" t="s">
        <v>225</v>
      </c>
      <c r="I46" s="8" t="s">
        <v>98</v>
      </c>
      <c r="J46" s="9" t="s">
        <v>24</v>
      </c>
      <c r="K46" s="9" t="s">
        <v>704</v>
      </c>
      <c r="L46" s="9" t="s">
        <v>699</v>
      </c>
      <c r="M46" s="8" t="s">
        <v>14</v>
      </c>
      <c r="N46" s="11" t="s">
        <v>98</v>
      </c>
      <c r="O46" s="12" t="s">
        <v>208</v>
      </c>
      <c r="P46" s="42" t="s">
        <v>276</v>
      </c>
      <c r="Q46" s="46" t="s">
        <v>733</v>
      </c>
      <c r="R46" s="46" t="s">
        <v>276</v>
      </c>
      <c r="S46" s="46" t="s">
        <v>276</v>
      </c>
      <c r="T46" s="9" t="s">
        <v>722</v>
      </c>
      <c r="U46" s="13">
        <v>3171</v>
      </c>
      <c r="V46" s="34">
        <v>3174</v>
      </c>
      <c r="W46" s="8" t="s">
        <v>276</v>
      </c>
      <c r="X46" s="8" t="s">
        <v>276</v>
      </c>
      <c r="Y46" s="8">
        <v>0</v>
      </c>
      <c r="Z46" s="8" t="s">
        <v>98</v>
      </c>
      <c r="AA46" s="8">
        <v>0</v>
      </c>
      <c r="AB46" s="8" t="s">
        <v>98</v>
      </c>
      <c r="AC46" s="9" t="s">
        <v>734</v>
      </c>
      <c r="AD46" s="9" t="s">
        <v>689</v>
      </c>
      <c r="AE46" s="8">
        <v>27</v>
      </c>
      <c r="AF46" s="8">
        <v>18</v>
      </c>
      <c r="AG46" s="13">
        <f t="shared" si="8"/>
        <v>3171</v>
      </c>
      <c r="AH46" s="13">
        <f t="shared" si="8"/>
        <v>3174</v>
      </c>
      <c r="AI46" s="38" t="s">
        <v>690</v>
      </c>
      <c r="AJ46" s="43" t="s">
        <v>276</v>
      </c>
      <c r="AK46" s="14">
        <f t="shared" si="9"/>
        <v>8.5146641438032162</v>
      </c>
      <c r="AL46" s="14" t="s">
        <v>276</v>
      </c>
      <c r="AM46" s="14" t="s">
        <v>276</v>
      </c>
      <c r="AN46" s="43" t="s">
        <v>276</v>
      </c>
      <c r="AO46" s="14">
        <f t="shared" si="10"/>
        <v>5.6710775047258979</v>
      </c>
      <c r="AP46" s="14" t="s">
        <v>276</v>
      </c>
      <c r="AQ46" s="14" t="s">
        <v>276</v>
      </c>
      <c r="AR46" s="8" t="s">
        <v>268</v>
      </c>
      <c r="AS46" s="14" t="s">
        <v>276</v>
      </c>
      <c r="AT46" s="14">
        <f t="shared" si="11"/>
        <v>1.5014191106906338</v>
      </c>
      <c r="AU46" s="14" t="s">
        <v>276</v>
      </c>
      <c r="AV46" s="14" t="s">
        <v>276</v>
      </c>
      <c r="AW46" s="8" t="s">
        <v>276</v>
      </c>
      <c r="AX46" s="8" t="s">
        <v>98</v>
      </c>
      <c r="AY46" s="8" t="s">
        <v>276</v>
      </c>
      <c r="AZ46" s="8" t="s">
        <v>276</v>
      </c>
      <c r="BA46" s="8" t="s">
        <v>276</v>
      </c>
      <c r="BB46" s="8" t="s">
        <v>276</v>
      </c>
      <c r="BC46" s="9" t="s">
        <v>708</v>
      </c>
      <c r="BD46" s="9"/>
      <c r="BE46" s="9" t="s">
        <v>100</v>
      </c>
      <c r="BF46" s="33" t="s">
        <v>98</v>
      </c>
    </row>
    <row r="47" spans="1:58" s="7" customFormat="1" ht="65" x14ac:dyDescent="0.3">
      <c r="A47" s="8">
        <v>654</v>
      </c>
      <c r="B47" s="8" t="s">
        <v>697</v>
      </c>
      <c r="C47" s="8" t="s">
        <v>72</v>
      </c>
      <c r="D47" s="9" t="s">
        <v>735</v>
      </c>
      <c r="E47" s="8" t="s">
        <v>39</v>
      </c>
      <c r="F47" s="9" t="s">
        <v>683</v>
      </c>
      <c r="G47" s="9" t="s">
        <v>684</v>
      </c>
      <c r="H47" s="9" t="s">
        <v>225</v>
      </c>
      <c r="I47" s="8" t="s">
        <v>98</v>
      </c>
      <c r="J47" s="9" t="s">
        <v>24</v>
      </c>
      <c r="K47" s="9" t="s">
        <v>704</v>
      </c>
      <c r="L47" s="9" t="s">
        <v>699</v>
      </c>
      <c r="M47" s="8" t="s">
        <v>14</v>
      </c>
      <c r="N47" s="11" t="s">
        <v>98</v>
      </c>
      <c r="O47" s="12" t="s">
        <v>208</v>
      </c>
      <c r="P47" s="42" t="s">
        <v>276</v>
      </c>
      <c r="Q47" s="9" t="s">
        <v>733</v>
      </c>
      <c r="R47" s="9" t="s">
        <v>276</v>
      </c>
      <c r="S47" s="9" t="s">
        <v>276</v>
      </c>
      <c r="T47" s="9" t="s">
        <v>725</v>
      </c>
      <c r="U47" s="13">
        <v>3171</v>
      </c>
      <c r="V47" s="34">
        <v>3174</v>
      </c>
      <c r="W47" s="8" t="s">
        <v>276</v>
      </c>
      <c r="X47" s="8" t="s">
        <v>276</v>
      </c>
      <c r="Y47" s="8">
        <v>0</v>
      </c>
      <c r="Z47" s="8" t="s">
        <v>98</v>
      </c>
      <c r="AA47" s="8">
        <v>0</v>
      </c>
      <c r="AB47" s="8" t="s">
        <v>98</v>
      </c>
      <c r="AC47" s="9" t="s">
        <v>736</v>
      </c>
      <c r="AD47" s="9" t="s">
        <v>737</v>
      </c>
      <c r="AE47" s="8">
        <v>64</v>
      </c>
      <c r="AF47" s="8">
        <v>47</v>
      </c>
      <c r="AG47" s="13" t="s">
        <v>276</v>
      </c>
      <c r="AH47" s="13" t="s">
        <v>276</v>
      </c>
      <c r="AI47" s="13" t="s">
        <v>425</v>
      </c>
      <c r="AJ47" s="43">
        <v>3.6</v>
      </c>
      <c r="AK47" s="31" t="s">
        <v>276</v>
      </c>
      <c r="AL47" s="14" t="s">
        <v>276</v>
      </c>
      <c r="AM47" s="14" t="s">
        <v>276</v>
      </c>
      <c r="AN47" s="43">
        <v>2.6</v>
      </c>
      <c r="AO47" s="31" t="s">
        <v>276</v>
      </c>
      <c r="AP47" s="14" t="s">
        <v>276</v>
      </c>
      <c r="AQ47" s="14" t="s">
        <v>276</v>
      </c>
      <c r="AR47" s="8" t="s">
        <v>269</v>
      </c>
      <c r="AS47" s="14">
        <v>1.38</v>
      </c>
      <c r="AT47" s="14">
        <f>AJ47/AN47</f>
        <v>1.3846153846153846</v>
      </c>
      <c r="AU47" s="14">
        <v>0.95</v>
      </c>
      <c r="AV47" s="14">
        <v>2.02</v>
      </c>
      <c r="AW47" s="8" t="s">
        <v>702</v>
      </c>
      <c r="AX47" s="8" t="s">
        <v>98</v>
      </c>
      <c r="AY47" s="8" t="s">
        <v>276</v>
      </c>
      <c r="AZ47" s="8" t="s">
        <v>276</v>
      </c>
      <c r="BA47" s="8" t="s">
        <v>276</v>
      </c>
      <c r="BB47" s="8" t="s">
        <v>276</v>
      </c>
      <c r="BC47" s="9" t="s">
        <v>738</v>
      </c>
      <c r="BD47" s="9"/>
      <c r="BE47" s="9" t="s">
        <v>100</v>
      </c>
      <c r="BF47" s="33" t="s">
        <v>98</v>
      </c>
    </row>
    <row r="48" spans="1:58" s="7" customFormat="1" ht="65" x14ac:dyDescent="0.3">
      <c r="A48" s="8">
        <v>654</v>
      </c>
      <c r="B48" s="8" t="s">
        <v>697</v>
      </c>
      <c r="C48" s="8" t="s">
        <v>72</v>
      </c>
      <c r="D48" s="9" t="s">
        <v>739</v>
      </c>
      <c r="E48" s="8" t="s">
        <v>39</v>
      </c>
      <c r="F48" s="9" t="s">
        <v>683</v>
      </c>
      <c r="G48" s="9" t="s">
        <v>684</v>
      </c>
      <c r="H48" s="9" t="s">
        <v>225</v>
      </c>
      <c r="I48" s="8" t="s">
        <v>98</v>
      </c>
      <c r="J48" s="9" t="s">
        <v>24</v>
      </c>
      <c r="K48" s="9" t="s">
        <v>704</v>
      </c>
      <c r="L48" s="9" t="s">
        <v>699</v>
      </c>
      <c r="M48" s="8" t="s">
        <v>14</v>
      </c>
      <c r="N48" s="11" t="s">
        <v>98</v>
      </c>
      <c r="O48" s="12" t="s">
        <v>208</v>
      </c>
      <c r="P48" s="42" t="s">
        <v>276</v>
      </c>
      <c r="Q48" s="9" t="s">
        <v>733</v>
      </c>
      <c r="R48" s="9" t="s">
        <v>276</v>
      </c>
      <c r="S48" s="9" t="s">
        <v>276</v>
      </c>
      <c r="T48" s="9" t="s">
        <v>725</v>
      </c>
      <c r="U48" s="13">
        <v>3171</v>
      </c>
      <c r="V48" s="34">
        <v>3174</v>
      </c>
      <c r="W48" s="8" t="s">
        <v>276</v>
      </c>
      <c r="X48" s="8" t="s">
        <v>276</v>
      </c>
      <c r="Y48" s="8">
        <v>0</v>
      </c>
      <c r="Z48" s="8" t="s">
        <v>98</v>
      </c>
      <c r="AA48" s="8">
        <v>0</v>
      </c>
      <c r="AB48" s="8" t="s">
        <v>98</v>
      </c>
      <c r="AC48" s="9" t="s">
        <v>736</v>
      </c>
      <c r="AD48" s="9" t="s">
        <v>689</v>
      </c>
      <c r="AE48" s="8">
        <v>64</v>
      </c>
      <c r="AF48" s="8">
        <v>47</v>
      </c>
      <c r="AG48" s="13">
        <f t="shared" ref="AG48:AH54" si="12">U48</f>
        <v>3171</v>
      </c>
      <c r="AH48" s="13">
        <f t="shared" si="12"/>
        <v>3174</v>
      </c>
      <c r="AI48" s="38" t="s">
        <v>690</v>
      </c>
      <c r="AJ48" s="43" t="s">
        <v>276</v>
      </c>
      <c r="AK48" s="14">
        <f t="shared" ref="AK48:AK54" si="13">AE48*1000/AG48</f>
        <v>20.182907600126143</v>
      </c>
      <c r="AL48" s="14" t="s">
        <v>276</v>
      </c>
      <c r="AM48" s="14" t="s">
        <v>276</v>
      </c>
      <c r="AN48" s="43" t="s">
        <v>276</v>
      </c>
      <c r="AO48" s="14">
        <f t="shared" ref="AO48:AO54" si="14">AF48*1000/AH48</f>
        <v>14.807813484562066</v>
      </c>
      <c r="AP48" s="14" t="s">
        <v>276</v>
      </c>
      <c r="AQ48" s="14" t="s">
        <v>276</v>
      </c>
      <c r="AR48" s="8" t="s">
        <v>268</v>
      </c>
      <c r="AS48" s="14" t="s">
        <v>276</v>
      </c>
      <c r="AT48" s="14">
        <f t="shared" ref="AT48:AT54" si="15">AK48/AO48</f>
        <v>1.3629903983574549</v>
      </c>
      <c r="AU48" s="14" t="s">
        <v>276</v>
      </c>
      <c r="AV48" s="14" t="s">
        <v>276</v>
      </c>
      <c r="AW48" s="8" t="s">
        <v>276</v>
      </c>
      <c r="AX48" s="8" t="s">
        <v>98</v>
      </c>
      <c r="AY48" s="8" t="s">
        <v>276</v>
      </c>
      <c r="AZ48" s="8" t="s">
        <v>276</v>
      </c>
      <c r="BA48" s="8" t="s">
        <v>276</v>
      </c>
      <c r="BB48" s="8" t="s">
        <v>276</v>
      </c>
      <c r="BC48" s="9" t="s">
        <v>719</v>
      </c>
      <c r="BD48" s="9"/>
      <c r="BE48" s="9" t="s">
        <v>100</v>
      </c>
      <c r="BF48" s="33" t="s">
        <v>98</v>
      </c>
    </row>
    <row r="49" spans="1:58" s="7" customFormat="1" ht="65" x14ac:dyDescent="0.3">
      <c r="A49" s="8">
        <v>654</v>
      </c>
      <c r="B49" s="8" t="s">
        <v>697</v>
      </c>
      <c r="C49" s="8" t="s">
        <v>72</v>
      </c>
      <c r="D49" s="9" t="s">
        <v>740</v>
      </c>
      <c r="E49" s="8" t="s">
        <v>39</v>
      </c>
      <c r="F49" s="9" t="s">
        <v>683</v>
      </c>
      <c r="G49" s="9" t="s">
        <v>684</v>
      </c>
      <c r="H49" s="9" t="s">
        <v>225</v>
      </c>
      <c r="I49" s="8" t="s">
        <v>98</v>
      </c>
      <c r="J49" s="9" t="s">
        <v>24</v>
      </c>
      <c r="K49" s="9" t="s">
        <v>704</v>
      </c>
      <c r="L49" s="9" t="s">
        <v>699</v>
      </c>
      <c r="M49" s="8" t="s">
        <v>14</v>
      </c>
      <c r="N49" s="11" t="s">
        <v>98</v>
      </c>
      <c r="O49" s="12" t="s">
        <v>208</v>
      </c>
      <c r="P49" s="42" t="s">
        <v>276</v>
      </c>
      <c r="Q49" s="46" t="s">
        <v>741</v>
      </c>
      <c r="R49" s="46" t="s">
        <v>276</v>
      </c>
      <c r="S49" s="46" t="s">
        <v>276</v>
      </c>
      <c r="T49" s="9" t="s">
        <v>722</v>
      </c>
      <c r="U49" s="13">
        <v>3171</v>
      </c>
      <c r="V49" s="34">
        <v>3174</v>
      </c>
      <c r="W49" s="8" t="s">
        <v>276</v>
      </c>
      <c r="X49" s="8" t="s">
        <v>276</v>
      </c>
      <c r="Y49" s="8" t="s">
        <v>276</v>
      </c>
      <c r="Z49" s="8" t="s">
        <v>276</v>
      </c>
      <c r="AA49" s="8" t="s">
        <v>276</v>
      </c>
      <c r="AB49" s="8" t="s">
        <v>276</v>
      </c>
      <c r="AC49" s="9" t="s">
        <v>742</v>
      </c>
      <c r="AD49" s="9" t="s">
        <v>689</v>
      </c>
      <c r="AE49" s="8">
        <v>27</v>
      </c>
      <c r="AF49" s="8">
        <v>18</v>
      </c>
      <c r="AG49" s="13">
        <f t="shared" si="12"/>
        <v>3171</v>
      </c>
      <c r="AH49" s="13">
        <f t="shared" si="12"/>
        <v>3174</v>
      </c>
      <c r="AI49" s="38" t="s">
        <v>690</v>
      </c>
      <c r="AJ49" s="43" t="s">
        <v>276</v>
      </c>
      <c r="AK49" s="14">
        <f t="shared" si="13"/>
        <v>8.5146641438032162</v>
      </c>
      <c r="AL49" s="14" t="s">
        <v>276</v>
      </c>
      <c r="AM49" s="14" t="s">
        <v>276</v>
      </c>
      <c r="AN49" s="43" t="s">
        <v>276</v>
      </c>
      <c r="AO49" s="14">
        <f t="shared" si="14"/>
        <v>5.6710775047258979</v>
      </c>
      <c r="AP49" s="14" t="s">
        <v>276</v>
      </c>
      <c r="AQ49" s="14" t="s">
        <v>276</v>
      </c>
      <c r="AR49" s="8" t="s">
        <v>268</v>
      </c>
      <c r="AS49" s="14" t="s">
        <v>276</v>
      </c>
      <c r="AT49" s="14">
        <f t="shared" si="15"/>
        <v>1.5014191106906338</v>
      </c>
      <c r="AU49" s="14" t="s">
        <v>276</v>
      </c>
      <c r="AV49" s="14" t="s">
        <v>276</v>
      </c>
      <c r="AW49" s="8" t="s">
        <v>276</v>
      </c>
      <c r="AX49" s="8" t="s">
        <v>98</v>
      </c>
      <c r="AY49" s="8" t="s">
        <v>276</v>
      </c>
      <c r="AZ49" s="8" t="s">
        <v>276</v>
      </c>
      <c r="BA49" s="8" t="s">
        <v>276</v>
      </c>
      <c r="BB49" s="8" t="s">
        <v>276</v>
      </c>
      <c r="BC49" s="9" t="s">
        <v>708</v>
      </c>
      <c r="BD49" s="9"/>
      <c r="BE49" s="9" t="s">
        <v>100</v>
      </c>
      <c r="BF49" s="33" t="s">
        <v>98</v>
      </c>
    </row>
    <row r="50" spans="1:58" s="7" customFormat="1" ht="65" x14ac:dyDescent="0.3">
      <c r="A50" s="8">
        <v>654</v>
      </c>
      <c r="B50" s="8" t="s">
        <v>697</v>
      </c>
      <c r="C50" s="8" t="s">
        <v>72</v>
      </c>
      <c r="D50" s="9" t="s">
        <v>743</v>
      </c>
      <c r="E50" s="8" t="s">
        <v>39</v>
      </c>
      <c r="F50" s="9" t="s">
        <v>683</v>
      </c>
      <c r="G50" s="9" t="s">
        <v>684</v>
      </c>
      <c r="H50" s="9" t="s">
        <v>225</v>
      </c>
      <c r="I50" s="8" t="s">
        <v>98</v>
      </c>
      <c r="J50" s="9" t="s">
        <v>24</v>
      </c>
      <c r="K50" s="9" t="s">
        <v>704</v>
      </c>
      <c r="L50" s="9" t="s">
        <v>699</v>
      </c>
      <c r="M50" s="8" t="s">
        <v>14</v>
      </c>
      <c r="N50" s="11" t="s">
        <v>98</v>
      </c>
      <c r="O50" s="12" t="s">
        <v>208</v>
      </c>
      <c r="P50" s="42" t="s">
        <v>276</v>
      </c>
      <c r="Q50" s="46" t="s">
        <v>741</v>
      </c>
      <c r="R50" s="46" t="s">
        <v>276</v>
      </c>
      <c r="S50" s="46" t="s">
        <v>276</v>
      </c>
      <c r="T50" s="9" t="s">
        <v>725</v>
      </c>
      <c r="U50" s="13">
        <v>3171</v>
      </c>
      <c r="V50" s="34">
        <v>3174</v>
      </c>
      <c r="W50" s="8" t="s">
        <v>276</v>
      </c>
      <c r="X50" s="8" t="s">
        <v>276</v>
      </c>
      <c r="Y50" s="8" t="s">
        <v>276</v>
      </c>
      <c r="Z50" s="8" t="s">
        <v>276</v>
      </c>
      <c r="AA50" s="8" t="s">
        <v>276</v>
      </c>
      <c r="AB50" s="8" t="s">
        <v>276</v>
      </c>
      <c r="AC50" s="9" t="s">
        <v>744</v>
      </c>
      <c r="AD50" s="9" t="s">
        <v>689</v>
      </c>
      <c r="AE50" s="8">
        <v>79</v>
      </c>
      <c r="AF50" s="8">
        <v>61</v>
      </c>
      <c r="AG50" s="13">
        <f t="shared" si="12"/>
        <v>3171</v>
      </c>
      <c r="AH50" s="13">
        <f t="shared" si="12"/>
        <v>3174</v>
      </c>
      <c r="AI50" s="38" t="s">
        <v>690</v>
      </c>
      <c r="AJ50" s="43" t="s">
        <v>276</v>
      </c>
      <c r="AK50" s="14">
        <f t="shared" si="13"/>
        <v>24.913276568905708</v>
      </c>
      <c r="AL50" s="14" t="s">
        <v>276</v>
      </c>
      <c r="AM50" s="14" t="s">
        <v>276</v>
      </c>
      <c r="AN50" s="43" t="s">
        <v>276</v>
      </c>
      <c r="AO50" s="14">
        <f t="shared" si="14"/>
        <v>19.218651543793321</v>
      </c>
      <c r="AP50" s="14" t="s">
        <v>276</v>
      </c>
      <c r="AQ50" s="14" t="s">
        <v>276</v>
      </c>
      <c r="AR50" s="8" t="s">
        <v>268</v>
      </c>
      <c r="AS50" s="14" t="s">
        <v>276</v>
      </c>
      <c r="AT50" s="14">
        <f t="shared" si="15"/>
        <v>1.2963072103230608</v>
      </c>
      <c r="AU50" s="14" t="s">
        <v>276</v>
      </c>
      <c r="AV50" s="14" t="s">
        <v>276</v>
      </c>
      <c r="AW50" s="8" t="s">
        <v>702</v>
      </c>
      <c r="AX50" s="8" t="s">
        <v>98</v>
      </c>
      <c r="AY50" s="8" t="s">
        <v>276</v>
      </c>
      <c r="AZ50" s="8" t="s">
        <v>276</v>
      </c>
      <c r="BA50" s="8" t="s">
        <v>276</v>
      </c>
      <c r="BB50" s="8" t="s">
        <v>276</v>
      </c>
      <c r="BC50" s="9" t="s">
        <v>708</v>
      </c>
      <c r="BD50" s="9"/>
      <c r="BE50" s="9" t="s">
        <v>100</v>
      </c>
      <c r="BF50" s="33" t="s">
        <v>98</v>
      </c>
    </row>
    <row r="51" spans="1:58" s="7" customFormat="1" ht="65" x14ac:dyDescent="0.3">
      <c r="A51" s="8">
        <v>654</v>
      </c>
      <c r="B51" s="8" t="s">
        <v>697</v>
      </c>
      <c r="C51" s="8" t="s">
        <v>72</v>
      </c>
      <c r="D51" s="9" t="s">
        <v>745</v>
      </c>
      <c r="E51" s="8" t="s">
        <v>39</v>
      </c>
      <c r="F51" s="9" t="s">
        <v>683</v>
      </c>
      <c r="G51" s="9" t="s">
        <v>684</v>
      </c>
      <c r="H51" s="9" t="s">
        <v>225</v>
      </c>
      <c r="I51" s="8" t="s">
        <v>98</v>
      </c>
      <c r="J51" s="9" t="s">
        <v>24</v>
      </c>
      <c r="K51" s="9" t="s">
        <v>704</v>
      </c>
      <c r="L51" s="9" t="s">
        <v>699</v>
      </c>
      <c r="M51" s="8" t="s">
        <v>14</v>
      </c>
      <c r="N51" s="11" t="s">
        <v>98</v>
      </c>
      <c r="O51" s="12" t="s">
        <v>208</v>
      </c>
      <c r="P51" s="42" t="s">
        <v>276</v>
      </c>
      <c r="Q51" s="46" t="s">
        <v>746</v>
      </c>
      <c r="R51" s="46" t="s">
        <v>276</v>
      </c>
      <c r="S51" s="46" t="s">
        <v>276</v>
      </c>
      <c r="T51" s="9" t="s">
        <v>722</v>
      </c>
      <c r="U51" s="13">
        <v>3171</v>
      </c>
      <c r="V51" s="34">
        <v>3174</v>
      </c>
      <c r="W51" s="8" t="s">
        <v>276</v>
      </c>
      <c r="X51" s="8" t="s">
        <v>276</v>
      </c>
      <c r="Y51" s="8" t="s">
        <v>276</v>
      </c>
      <c r="Z51" s="8" t="s">
        <v>276</v>
      </c>
      <c r="AA51" s="8" t="s">
        <v>276</v>
      </c>
      <c r="AB51" s="8" t="s">
        <v>276</v>
      </c>
      <c r="AC51" s="9" t="s">
        <v>747</v>
      </c>
      <c r="AD51" s="9" t="s">
        <v>689</v>
      </c>
      <c r="AE51" s="8">
        <v>27</v>
      </c>
      <c r="AF51" s="8">
        <v>18</v>
      </c>
      <c r="AG51" s="13">
        <f t="shared" si="12"/>
        <v>3171</v>
      </c>
      <c r="AH51" s="13">
        <f t="shared" si="12"/>
        <v>3174</v>
      </c>
      <c r="AI51" s="38" t="s">
        <v>690</v>
      </c>
      <c r="AJ51" s="43" t="s">
        <v>276</v>
      </c>
      <c r="AK51" s="14">
        <f t="shared" si="13"/>
        <v>8.5146641438032162</v>
      </c>
      <c r="AL51" s="14" t="s">
        <v>276</v>
      </c>
      <c r="AM51" s="14" t="s">
        <v>276</v>
      </c>
      <c r="AN51" s="43" t="s">
        <v>276</v>
      </c>
      <c r="AO51" s="14">
        <f t="shared" si="14"/>
        <v>5.6710775047258979</v>
      </c>
      <c r="AP51" s="14" t="s">
        <v>276</v>
      </c>
      <c r="AQ51" s="14" t="s">
        <v>276</v>
      </c>
      <c r="AR51" s="8" t="s">
        <v>268</v>
      </c>
      <c r="AS51" s="14" t="s">
        <v>276</v>
      </c>
      <c r="AT51" s="14">
        <f t="shared" si="15"/>
        <v>1.5014191106906338</v>
      </c>
      <c r="AU51" s="14" t="s">
        <v>276</v>
      </c>
      <c r="AV51" s="14" t="s">
        <v>276</v>
      </c>
      <c r="AW51" s="8" t="s">
        <v>276</v>
      </c>
      <c r="AX51" s="8" t="s">
        <v>98</v>
      </c>
      <c r="AY51" s="8" t="s">
        <v>276</v>
      </c>
      <c r="AZ51" s="8" t="s">
        <v>276</v>
      </c>
      <c r="BA51" s="8" t="s">
        <v>276</v>
      </c>
      <c r="BB51" s="8" t="s">
        <v>276</v>
      </c>
      <c r="BC51" s="9" t="s">
        <v>708</v>
      </c>
      <c r="BD51" s="9" t="s">
        <v>748</v>
      </c>
      <c r="BE51" s="9" t="s">
        <v>100</v>
      </c>
      <c r="BF51" s="33" t="s">
        <v>98</v>
      </c>
    </row>
    <row r="52" spans="1:58" s="7" customFormat="1" ht="65" x14ac:dyDescent="0.3">
      <c r="A52" s="8">
        <v>654</v>
      </c>
      <c r="B52" s="8" t="s">
        <v>697</v>
      </c>
      <c r="C52" s="8" t="s">
        <v>72</v>
      </c>
      <c r="D52" s="9" t="s">
        <v>749</v>
      </c>
      <c r="E52" s="8" t="s">
        <v>39</v>
      </c>
      <c r="F52" s="9" t="s">
        <v>683</v>
      </c>
      <c r="G52" s="9" t="s">
        <v>684</v>
      </c>
      <c r="H52" s="9" t="s">
        <v>225</v>
      </c>
      <c r="I52" s="8" t="s">
        <v>98</v>
      </c>
      <c r="J52" s="9" t="s">
        <v>24</v>
      </c>
      <c r="K52" s="9" t="s">
        <v>704</v>
      </c>
      <c r="L52" s="9" t="s">
        <v>699</v>
      </c>
      <c r="M52" s="8" t="s">
        <v>14</v>
      </c>
      <c r="N52" s="11" t="s">
        <v>98</v>
      </c>
      <c r="O52" s="12" t="s">
        <v>208</v>
      </c>
      <c r="P52" s="42" t="s">
        <v>276</v>
      </c>
      <c r="Q52" s="46" t="s">
        <v>746</v>
      </c>
      <c r="R52" s="46" t="s">
        <v>276</v>
      </c>
      <c r="S52" s="46" t="s">
        <v>276</v>
      </c>
      <c r="T52" s="9" t="s">
        <v>725</v>
      </c>
      <c r="U52" s="13">
        <v>3171</v>
      </c>
      <c r="V52" s="34">
        <v>3174</v>
      </c>
      <c r="W52" s="8" t="s">
        <v>276</v>
      </c>
      <c r="X52" s="8" t="s">
        <v>276</v>
      </c>
      <c r="Y52" s="8" t="s">
        <v>276</v>
      </c>
      <c r="Z52" s="8" t="s">
        <v>276</v>
      </c>
      <c r="AA52" s="8" t="s">
        <v>276</v>
      </c>
      <c r="AB52" s="8" t="s">
        <v>276</v>
      </c>
      <c r="AC52" s="9" t="s">
        <v>750</v>
      </c>
      <c r="AD52" s="9" t="s">
        <v>689</v>
      </c>
      <c r="AE52" s="8">
        <v>81</v>
      </c>
      <c r="AF52" s="8">
        <v>66</v>
      </c>
      <c r="AG52" s="13">
        <f t="shared" si="12"/>
        <v>3171</v>
      </c>
      <c r="AH52" s="13">
        <f t="shared" si="12"/>
        <v>3174</v>
      </c>
      <c r="AI52" s="38" t="s">
        <v>690</v>
      </c>
      <c r="AJ52" s="43" t="s">
        <v>276</v>
      </c>
      <c r="AK52" s="14">
        <f t="shared" si="13"/>
        <v>25.543992431409649</v>
      </c>
      <c r="AL52" s="14" t="s">
        <v>276</v>
      </c>
      <c r="AM52" s="14" t="s">
        <v>276</v>
      </c>
      <c r="AN52" s="43" t="s">
        <v>276</v>
      </c>
      <c r="AO52" s="14">
        <f t="shared" si="14"/>
        <v>20.793950850661627</v>
      </c>
      <c r="AP52" s="14" t="s">
        <v>276</v>
      </c>
      <c r="AQ52" s="14" t="s">
        <v>276</v>
      </c>
      <c r="AR52" s="8" t="s">
        <v>268</v>
      </c>
      <c r="AS52" s="14" t="s">
        <v>276</v>
      </c>
      <c r="AT52" s="14">
        <f>AK52/AO52</f>
        <v>1.2284338178377912</v>
      </c>
      <c r="AU52" s="14" t="s">
        <v>276</v>
      </c>
      <c r="AV52" s="14" t="s">
        <v>276</v>
      </c>
      <c r="AW52" s="8" t="s">
        <v>702</v>
      </c>
      <c r="AX52" s="8" t="s">
        <v>98</v>
      </c>
      <c r="AY52" s="8" t="s">
        <v>276</v>
      </c>
      <c r="AZ52" s="8" t="s">
        <v>276</v>
      </c>
      <c r="BA52" s="8" t="s">
        <v>276</v>
      </c>
      <c r="BB52" s="8" t="s">
        <v>276</v>
      </c>
      <c r="BC52" s="9" t="s">
        <v>708</v>
      </c>
      <c r="BD52" s="47"/>
      <c r="BE52" s="9" t="s">
        <v>100</v>
      </c>
      <c r="BF52" s="33" t="s">
        <v>98</v>
      </c>
    </row>
    <row r="53" spans="1:58" s="7" customFormat="1" ht="65" x14ac:dyDescent="0.3">
      <c r="A53" s="8">
        <v>654</v>
      </c>
      <c r="B53" s="8" t="s">
        <v>697</v>
      </c>
      <c r="C53" s="8" t="s">
        <v>72</v>
      </c>
      <c r="D53" s="9" t="s">
        <v>751</v>
      </c>
      <c r="E53" s="8" t="s">
        <v>39</v>
      </c>
      <c r="F53" s="9" t="s">
        <v>683</v>
      </c>
      <c r="G53" s="9" t="s">
        <v>684</v>
      </c>
      <c r="H53" s="9" t="s">
        <v>225</v>
      </c>
      <c r="I53" s="8" t="s">
        <v>98</v>
      </c>
      <c r="J53" s="9" t="s">
        <v>24</v>
      </c>
      <c r="K53" s="9" t="s">
        <v>704</v>
      </c>
      <c r="L53" s="9" t="s">
        <v>699</v>
      </c>
      <c r="M53" s="8" t="s">
        <v>14</v>
      </c>
      <c r="N53" s="11" t="s">
        <v>98</v>
      </c>
      <c r="O53" s="12" t="s">
        <v>208</v>
      </c>
      <c r="P53" s="42" t="s">
        <v>276</v>
      </c>
      <c r="Q53" s="46" t="s">
        <v>752</v>
      </c>
      <c r="R53" s="46" t="s">
        <v>276</v>
      </c>
      <c r="S53" s="46" t="s">
        <v>276</v>
      </c>
      <c r="T53" s="9" t="s">
        <v>722</v>
      </c>
      <c r="U53" s="13">
        <v>3171</v>
      </c>
      <c r="V53" s="34">
        <v>3174</v>
      </c>
      <c r="W53" s="8" t="s">
        <v>276</v>
      </c>
      <c r="X53" s="8" t="s">
        <v>276</v>
      </c>
      <c r="Y53" s="8" t="s">
        <v>276</v>
      </c>
      <c r="Z53" s="8" t="s">
        <v>276</v>
      </c>
      <c r="AA53" s="8" t="s">
        <v>276</v>
      </c>
      <c r="AB53" s="8" t="s">
        <v>276</v>
      </c>
      <c r="AC53" s="9" t="s">
        <v>753</v>
      </c>
      <c r="AD53" s="9" t="s">
        <v>689</v>
      </c>
      <c r="AE53" s="8">
        <v>27</v>
      </c>
      <c r="AF53" s="8">
        <v>18</v>
      </c>
      <c r="AG53" s="13">
        <f t="shared" si="12"/>
        <v>3171</v>
      </c>
      <c r="AH53" s="13">
        <f t="shared" si="12"/>
        <v>3174</v>
      </c>
      <c r="AI53" s="38" t="s">
        <v>690</v>
      </c>
      <c r="AJ53" s="43" t="s">
        <v>276</v>
      </c>
      <c r="AK53" s="14">
        <f t="shared" si="13"/>
        <v>8.5146641438032162</v>
      </c>
      <c r="AL53" s="14" t="s">
        <v>276</v>
      </c>
      <c r="AM53" s="14" t="s">
        <v>276</v>
      </c>
      <c r="AN53" s="43" t="s">
        <v>276</v>
      </c>
      <c r="AO53" s="14">
        <f t="shared" si="14"/>
        <v>5.6710775047258979</v>
      </c>
      <c r="AP53" s="14" t="s">
        <v>276</v>
      </c>
      <c r="AQ53" s="14" t="s">
        <v>276</v>
      </c>
      <c r="AR53" s="8" t="s">
        <v>268</v>
      </c>
      <c r="AS53" s="14" t="s">
        <v>276</v>
      </c>
      <c r="AT53" s="14">
        <f t="shared" si="15"/>
        <v>1.5014191106906338</v>
      </c>
      <c r="AU53" s="14" t="s">
        <v>276</v>
      </c>
      <c r="AV53" s="14" t="s">
        <v>276</v>
      </c>
      <c r="AW53" s="8" t="s">
        <v>276</v>
      </c>
      <c r="AX53" s="8" t="s">
        <v>98</v>
      </c>
      <c r="AY53" s="8" t="s">
        <v>276</v>
      </c>
      <c r="AZ53" s="8" t="s">
        <v>276</v>
      </c>
      <c r="BA53" s="8" t="s">
        <v>276</v>
      </c>
      <c r="BB53" s="8" t="s">
        <v>276</v>
      </c>
      <c r="BC53" s="9" t="s">
        <v>754</v>
      </c>
      <c r="BD53" s="9"/>
      <c r="BE53" s="9" t="s">
        <v>100</v>
      </c>
      <c r="BF53" s="33" t="s">
        <v>98</v>
      </c>
    </row>
    <row r="54" spans="1:58" s="7" customFormat="1" ht="65" x14ac:dyDescent="0.3">
      <c r="A54" s="8">
        <v>654</v>
      </c>
      <c r="B54" s="8" t="s">
        <v>697</v>
      </c>
      <c r="C54" s="8" t="s">
        <v>72</v>
      </c>
      <c r="D54" s="9" t="s">
        <v>755</v>
      </c>
      <c r="E54" s="8" t="s">
        <v>39</v>
      </c>
      <c r="F54" s="9" t="s">
        <v>683</v>
      </c>
      <c r="G54" s="9" t="s">
        <v>684</v>
      </c>
      <c r="H54" s="9" t="s">
        <v>225</v>
      </c>
      <c r="I54" s="8" t="s">
        <v>98</v>
      </c>
      <c r="J54" s="9" t="s">
        <v>24</v>
      </c>
      <c r="K54" s="9" t="s">
        <v>704</v>
      </c>
      <c r="L54" s="9" t="s">
        <v>699</v>
      </c>
      <c r="M54" s="8" t="s">
        <v>14</v>
      </c>
      <c r="N54" s="11" t="s">
        <v>98</v>
      </c>
      <c r="O54" s="12" t="s">
        <v>208</v>
      </c>
      <c r="P54" s="42" t="s">
        <v>276</v>
      </c>
      <c r="Q54" s="46" t="s">
        <v>752</v>
      </c>
      <c r="R54" s="46" t="s">
        <v>276</v>
      </c>
      <c r="S54" s="46" t="s">
        <v>276</v>
      </c>
      <c r="T54" s="9" t="s">
        <v>725</v>
      </c>
      <c r="U54" s="13">
        <v>3171</v>
      </c>
      <c r="V54" s="34">
        <v>3174</v>
      </c>
      <c r="W54" s="8" t="s">
        <v>276</v>
      </c>
      <c r="X54" s="8" t="s">
        <v>276</v>
      </c>
      <c r="Y54" s="8" t="s">
        <v>276</v>
      </c>
      <c r="Z54" s="8" t="s">
        <v>276</v>
      </c>
      <c r="AA54" s="8" t="s">
        <v>276</v>
      </c>
      <c r="AB54" s="8" t="s">
        <v>276</v>
      </c>
      <c r="AC54" s="9" t="s">
        <v>756</v>
      </c>
      <c r="AD54" s="9" t="s">
        <v>689</v>
      </c>
      <c r="AE54" s="8">
        <v>85</v>
      </c>
      <c r="AF54" s="8">
        <v>67</v>
      </c>
      <c r="AG54" s="13">
        <f t="shared" si="12"/>
        <v>3171</v>
      </c>
      <c r="AH54" s="13">
        <f t="shared" si="12"/>
        <v>3174</v>
      </c>
      <c r="AI54" s="38" t="s">
        <v>690</v>
      </c>
      <c r="AJ54" s="43" t="s">
        <v>276</v>
      </c>
      <c r="AK54" s="14">
        <f t="shared" si="13"/>
        <v>26.805424156417534</v>
      </c>
      <c r="AL54" s="14" t="s">
        <v>276</v>
      </c>
      <c r="AM54" s="14" t="s">
        <v>276</v>
      </c>
      <c r="AN54" s="43" t="s">
        <v>276</v>
      </c>
      <c r="AO54" s="14">
        <f t="shared" si="14"/>
        <v>21.109010712035285</v>
      </c>
      <c r="AP54" s="14" t="s">
        <v>276</v>
      </c>
      <c r="AQ54" s="14" t="s">
        <v>276</v>
      </c>
      <c r="AR54" s="8" t="s">
        <v>268</v>
      </c>
      <c r="AS54" s="14" t="s">
        <v>276</v>
      </c>
      <c r="AT54" s="14">
        <f t="shared" si="15"/>
        <v>1.269856959290586</v>
      </c>
      <c r="AU54" s="14" t="s">
        <v>276</v>
      </c>
      <c r="AV54" s="14" t="s">
        <v>276</v>
      </c>
      <c r="AW54" s="8" t="s">
        <v>702</v>
      </c>
      <c r="AX54" s="8" t="s">
        <v>98</v>
      </c>
      <c r="AY54" s="8" t="s">
        <v>276</v>
      </c>
      <c r="AZ54" s="8" t="s">
        <v>276</v>
      </c>
      <c r="BA54" s="8" t="s">
        <v>276</v>
      </c>
      <c r="BB54" s="8" t="s">
        <v>276</v>
      </c>
      <c r="BC54" s="9" t="s">
        <v>757</v>
      </c>
      <c r="BD54" s="9"/>
      <c r="BE54" s="9" t="s">
        <v>100</v>
      </c>
      <c r="BF54" s="33" t="s">
        <v>98</v>
      </c>
    </row>
    <row r="55" spans="1:58" s="7" customFormat="1" ht="65" x14ac:dyDescent="0.3">
      <c r="A55" s="8">
        <v>654</v>
      </c>
      <c r="B55" s="8" t="s">
        <v>697</v>
      </c>
      <c r="C55" s="8" t="s">
        <v>72</v>
      </c>
      <c r="D55" s="9" t="s">
        <v>758</v>
      </c>
      <c r="E55" s="8" t="s">
        <v>39</v>
      </c>
      <c r="F55" s="9" t="s">
        <v>683</v>
      </c>
      <c r="G55" s="9" t="s">
        <v>684</v>
      </c>
      <c r="H55" s="9" t="s">
        <v>225</v>
      </c>
      <c r="I55" s="8" t="s">
        <v>98</v>
      </c>
      <c r="J55" s="9" t="s">
        <v>23</v>
      </c>
      <c r="K55" s="9" t="s">
        <v>759</v>
      </c>
      <c r="L55" s="9" t="s">
        <v>276</v>
      </c>
      <c r="M55" s="8" t="s">
        <v>14</v>
      </c>
      <c r="N55" s="11" t="s">
        <v>98</v>
      </c>
      <c r="O55" s="12" t="s">
        <v>208</v>
      </c>
      <c r="P55" s="42" t="s">
        <v>276</v>
      </c>
      <c r="Q55" s="9" t="s">
        <v>733</v>
      </c>
      <c r="R55" s="9" t="s">
        <v>276</v>
      </c>
      <c r="S55" s="9" t="s">
        <v>276</v>
      </c>
      <c r="T55" s="9" t="s">
        <v>725</v>
      </c>
      <c r="U55" s="13">
        <v>3171</v>
      </c>
      <c r="V55" s="34">
        <v>3174</v>
      </c>
      <c r="W55" s="8" t="s">
        <v>276</v>
      </c>
      <c r="X55" s="8" t="s">
        <v>276</v>
      </c>
      <c r="Y55" s="8">
        <v>0</v>
      </c>
      <c r="Z55" s="8" t="s">
        <v>98</v>
      </c>
      <c r="AA55" s="8">
        <v>0</v>
      </c>
      <c r="AB55" s="8" t="s">
        <v>98</v>
      </c>
      <c r="AC55" s="9" t="s">
        <v>760</v>
      </c>
      <c r="AD55" s="9" t="s">
        <v>689</v>
      </c>
      <c r="AE55" s="8">
        <f>64+277</f>
        <v>341</v>
      </c>
      <c r="AF55" s="8">
        <f>47+246</f>
        <v>293</v>
      </c>
      <c r="AG55" s="13" t="s">
        <v>276</v>
      </c>
      <c r="AH55" s="13" t="s">
        <v>276</v>
      </c>
      <c r="AI55" s="38" t="s">
        <v>425</v>
      </c>
      <c r="AJ55" s="43">
        <v>19</v>
      </c>
      <c r="AK55" s="14" t="s">
        <v>276</v>
      </c>
      <c r="AL55" s="14" t="s">
        <v>276</v>
      </c>
      <c r="AM55" s="14" t="s">
        <v>276</v>
      </c>
      <c r="AN55" s="43">
        <v>16.2</v>
      </c>
      <c r="AO55" s="14" t="s">
        <v>276</v>
      </c>
      <c r="AP55" s="14" t="s">
        <v>276</v>
      </c>
      <c r="AQ55" s="14" t="s">
        <v>276</v>
      </c>
      <c r="AR55" s="8" t="s">
        <v>269</v>
      </c>
      <c r="AS55" s="14" t="s">
        <v>276</v>
      </c>
      <c r="AT55" s="14">
        <f>AJ55/AN55</f>
        <v>1.1728395061728396</v>
      </c>
      <c r="AU55" s="14" t="s">
        <v>276</v>
      </c>
      <c r="AV55" s="14" t="s">
        <v>276</v>
      </c>
      <c r="AW55" s="8" t="s">
        <v>436</v>
      </c>
      <c r="AX55" s="8" t="s">
        <v>98</v>
      </c>
      <c r="AY55" s="8" t="s">
        <v>276</v>
      </c>
      <c r="AZ55" s="8" t="s">
        <v>276</v>
      </c>
      <c r="BA55" s="8" t="s">
        <v>276</v>
      </c>
      <c r="BB55" s="8" t="s">
        <v>276</v>
      </c>
      <c r="BC55" s="9" t="s">
        <v>761</v>
      </c>
      <c r="BD55" s="9"/>
      <c r="BE55" s="9" t="s">
        <v>100</v>
      </c>
      <c r="BF55" s="33" t="s">
        <v>98</v>
      </c>
    </row>
    <row r="56" spans="1:58" s="7" customFormat="1" ht="39" x14ac:dyDescent="0.3">
      <c r="A56" s="8">
        <v>654</v>
      </c>
      <c r="B56" s="8" t="s">
        <v>697</v>
      </c>
      <c r="C56" s="8" t="s">
        <v>72</v>
      </c>
      <c r="D56" s="9" t="s">
        <v>762</v>
      </c>
      <c r="E56" s="8" t="s">
        <v>39</v>
      </c>
      <c r="F56" s="9" t="s">
        <v>683</v>
      </c>
      <c r="G56" s="9" t="s">
        <v>684</v>
      </c>
      <c r="H56" s="9" t="s">
        <v>225</v>
      </c>
      <c r="I56" s="8" t="s">
        <v>98</v>
      </c>
      <c r="J56" s="9" t="s">
        <v>23</v>
      </c>
      <c r="K56" s="9" t="s">
        <v>759</v>
      </c>
      <c r="L56" s="9" t="s">
        <v>276</v>
      </c>
      <c r="M56" s="8" t="s">
        <v>14</v>
      </c>
      <c r="N56" s="11" t="s">
        <v>98</v>
      </c>
      <c r="O56" s="12" t="s">
        <v>208</v>
      </c>
      <c r="P56" s="42" t="s">
        <v>276</v>
      </c>
      <c r="Q56" s="9" t="s">
        <v>733</v>
      </c>
      <c r="R56" s="9" t="s">
        <v>276</v>
      </c>
      <c r="S56" s="9" t="s">
        <v>276</v>
      </c>
      <c r="T56" s="9" t="s">
        <v>725</v>
      </c>
      <c r="U56" s="13">
        <v>3171</v>
      </c>
      <c r="V56" s="34">
        <v>3174</v>
      </c>
      <c r="W56" s="8" t="s">
        <v>276</v>
      </c>
      <c r="X56" s="8" t="s">
        <v>276</v>
      </c>
      <c r="Y56" s="8">
        <v>0</v>
      </c>
      <c r="Z56" s="8" t="s">
        <v>98</v>
      </c>
      <c r="AA56" s="8">
        <v>0</v>
      </c>
      <c r="AB56" s="8" t="s">
        <v>98</v>
      </c>
      <c r="AC56" s="9" t="s">
        <v>760</v>
      </c>
      <c r="AD56" s="9" t="s">
        <v>689</v>
      </c>
      <c r="AE56" s="8">
        <f>64+277</f>
        <v>341</v>
      </c>
      <c r="AF56" s="8">
        <f>47+246</f>
        <v>293</v>
      </c>
      <c r="AG56" s="13">
        <f>U56</f>
        <v>3171</v>
      </c>
      <c r="AH56" s="13">
        <f>V56</f>
        <v>3174</v>
      </c>
      <c r="AI56" s="38" t="s">
        <v>690</v>
      </c>
      <c r="AJ56" s="43" t="s">
        <v>276</v>
      </c>
      <c r="AK56" s="14">
        <f>AE56*1000/AG56</f>
        <v>107.5370545569221</v>
      </c>
      <c r="AL56" s="14" t="s">
        <v>276</v>
      </c>
      <c r="AM56" s="14" t="s">
        <v>276</v>
      </c>
      <c r="AN56" s="43" t="s">
        <v>276</v>
      </c>
      <c r="AO56" s="14">
        <f>AF56*1000/AH56</f>
        <v>92.312539382482669</v>
      </c>
      <c r="AP56" s="14" t="s">
        <v>276</v>
      </c>
      <c r="AQ56" s="14" t="s">
        <v>276</v>
      </c>
      <c r="AR56" s="8" t="s">
        <v>268</v>
      </c>
      <c r="AS56" s="14" t="s">
        <v>276</v>
      </c>
      <c r="AT56" s="14">
        <f>AK56/AO56</f>
        <v>1.16492358758932</v>
      </c>
      <c r="AU56" s="14" t="s">
        <v>276</v>
      </c>
      <c r="AV56" s="14" t="s">
        <v>276</v>
      </c>
      <c r="AW56" s="8" t="s">
        <v>276</v>
      </c>
      <c r="AX56" s="8" t="s">
        <v>98</v>
      </c>
      <c r="AY56" s="8" t="s">
        <v>276</v>
      </c>
      <c r="AZ56" s="8" t="s">
        <v>276</v>
      </c>
      <c r="BA56" s="8" t="s">
        <v>276</v>
      </c>
      <c r="BB56" s="8" t="s">
        <v>276</v>
      </c>
      <c r="BC56" s="9" t="s">
        <v>763</v>
      </c>
      <c r="BD56" s="9"/>
      <c r="BE56" s="9" t="s">
        <v>100</v>
      </c>
      <c r="BF56" s="33" t="s">
        <v>98</v>
      </c>
    </row>
    <row r="57" spans="1:58" s="7" customFormat="1" ht="65" x14ac:dyDescent="0.3">
      <c r="A57" s="8">
        <v>653</v>
      </c>
      <c r="B57" s="8" t="s">
        <v>764</v>
      </c>
      <c r="C57" s="8" t="s">
        <v>72</v>
      </c>
      <c r="D57" s="9" t="s">
        <v>765</v>
      </c>
      <c r="E57" s="8" t="s">
        <v>39</v>
      </c>
      <c r="F57" s="9" t="s">
        <v>683</v>
      </c>
      <c r="G57" s="9" t="s">
        <v>684</v>
      </c>
      <c r="H57" s="9" t="s">
        <v>225</v>
      </c>
      <c r="I57" s="8" t="s">
        <v>98</v>
      </c>
      <c r="J57" s="9" t="s">
        <v>24</v>
      </c>
      <c r="K57" s="9" t="s">
        <v>704</v>
      </c>
      <c r="L57" s="9" t="s">
        <v>699</v>
      </c>
      <c r="M57" s="8" t="s">
        <v>14</v>
      </c>
      <c r="N57" s="11" t="s">
        <v>98</v>
      </c>
      <c r="O57" s="12" t="s">
        <v>208</v>
      </c>
      <c r="P57" s="42" t="s">
        <v>276</v>
      </c>
      <c r="Q57" s="46" t="s">
        <v>766</v>
      </c>
      <c r="R57" s="46" t="s">
        <v>276</v>
      </c>
      <c r="S57" s="46" t="s">
        <v>276</v>
      </c>
      <c r="T57" s="9" t="s">
        <v>722</v>
      </c>
      <c r="U57" s="13">
        <v>3171</v>
      </c>
      <c r="V57" s="34">
        <v>3174</v>
      </c>
      <c r="W57" s="8" t="s">
        <v>276</v>
      </c>
      <c r="X57" s="8" t="s">
        <v>276</v>
      </c>
      <c r="Y57" s="8" t="s">
        <v>276</v>
      </c>
      <c r="Z57" s="8" t="s">
        <v>276</v>
      </c>
      <c r="AA57" s="8" t="s">
        <v>276</v>
      </c>
      <c r="AB57" s="8" t="s">
        <v>276</v>
      </c>
      <c r="AC57" s="9" t="s">
        <v>767</v>
      </c>
      <c r="AD57" s="9" t="s">
        <v>689</v>
      </c>
      <c r="AE57" s="8">
        <v>27</v>
      </c>
      <c r="AF57" s="8">
        <v>18</v>
      </c>
      <c r="AG57" s="13">
        <f t="shared" ref="AG57:AH72" si="16">U57</f>
        <v>3171</v>
      </c>
      <c r="AH57" s="13">
        <f t="shared" si="16"/>
        <v>3174</v>
      </c>
      <c r="AI57" s="38" t="s">
        <v>690</v>
      </c>
      <c r="AJ57" s="43" t="s">
        <v>276</v>
      </c>
      <c r="AK57" s="14">
        <f t="shared" ref="AK57:AK77" si="17">AE57*1000/AG57</f>
        <v>8.5146641438032162</v>
      </c>
      <c r="AL57" s="14" t="s">
        <v>276</v>
      </c>
      <c r="AM57" s="14" t="s">
        <v>276</v>
      </c>
      <c r="AN57" s="43" t="s">
        <v>276</v>
      </c>
      <c r="AO57" s="14">
        <f t="shared" ref="AO57:AO77" si="18">AF57*1000/AH57</f>
        <v>5.6710775047258979</v>
      </c>
      <c r="AP57" s="14" t="s">
        <v>276</v>
      </c>
      <c r="AQ57" s="14" t="s">
        <v>276</v>
      </c>
      <c r="AR57" s="8" t="s">
        <v>268</v>
      </c>
      <c r="AS57" s="14" t="s">
        <v>276</v>
      </c>
      <c r="AT57" s="14">
        <f t="shared" ref="AT57:AT77" si="19">AK57/AO57</f>
        <v>1.5014191106906338</v>
      </c>
      <c r="AU57" s="14" t="s">
        <v>276</v>
      </c>
      <c r="AV57" s="14" t="s">
        <v>276</v>
      </c>
      <c r="AW57" s="8" t="s">
        <v>276</v>
      </c>
      <c r="AX57" s="8" t="s">
        <v>98</v>
      </c>
      <c r="AY57" s="8" t="s">
        <v>276</v>
      </c>
      <c r="AZ57" s="8" t="s">
        <v>276</v>
      </c>
      <c r="BA57" s="8" t="s">
        <v>276</v>
      </c>
      <c r="BB57" s="8" t="s">
        <v>276</v>
      </c>
      <c r="BC57" s="9" t="s">
        <v>768</v>
      </c>
      <c r="BD57" s="9"/>
      <c r="BE57" s="9" t="s">
        <v>100</v>
      </c>
      <c r="BF57" s="33" t="s">
        <v>98</v>
      </c>
    </row>
    <row r="58" spans="1:58" s="7" customFormat="1" ht="65" x14ac:dyDescent="0.3">
      <c r="A58" s="8">
        <v>653</v>
      </c>
      <c r="B58" s="8" t="s">
        <v>764</v>
      </c>
      <c r="C58" s="8" t="s">
        <v>72</v>
      </c>
      <c r="D58" s="9" t="s">
        <v>769</v>
      </c>
      <c r="E58" s="8" t="s">
        <v>39</v>
      </c>
      <c r="F58" s="9" t="s">
        <v>683</v>
      </c>
      <c r="G58" s="9" t="s">
        <v>684</v>
      </c>
      <c r="H58" s="9" t="s">
        <v>225</v>
      </c>
      <c r="I58" s="8" t="s">
        <v>98</v>
      </c>
      <c r="J58" s="9" t="s">
        <v>24</v>
      </c>
      <c r="K58" s="9" t="s">
        <v>704</v>
      </c>
      <c r="L58" s="9" t="s">
        <v>699</v>
      </c>
      <c r="M58" s="8" t="s">
        <v>14</v>
      </c>
      <c r="N58" s="11" t="s">
        <v>98</v>
      </c>
      <c r="O58" s="12" t="s">
        <v>208</v>
      </c>
      <c r="P58" s="42" t="s">
        <v>276</v>
      </c>
      <c r="Q58" s="46" t="s">
        <v>770</v>
      </c>
      <c r="R58" s="46" t="s">
        <v>276</v>
      </c>
      <c r="S58" s="46" t="s">
        <v>276</v>
      </c>
      <c r="T58" s="9" t="s">
        <v>722</v>
      </c>
      <c r="U58" s="13">
        <v>3171</v>
      </c>
      <c r="V58" s="34">
        <v>3174</v>
      </c>
      <c r="W58" s="8" t="s">
        <v>276</v>
      </c>
      <c r="X58" s="8" t="s">
        <v>276</v>
      </c>
      <c r="Y58" s="8" t="s">
        <v>276</v>
      </c>
      <c r="Z58" s="8" t="s">
        <v>276</v>
      </c>
      <c r="AA58" s="8" t="s">
        <v>276</v>
      </c>
      <c r="AB58" s="8" t="s">
        <v>276</v>
      </c>
      <c r="AC58" s="9" t="s">
        <v>771</v>
      </c>
      <c r="AD58" s="9" t="s">
        <v>689</v>
      </c>
      <c r="AE58" s="8">
        <v>27</v>
      </c>
      <c r="AF58" s="8">
        <v>18</v>
      </c>
      <c r="AG58" s="13">
        <f t="shared" si="16"/>
        <v>3171</v>
      </c>
      <c r="AH58" s="13">
        <f t="shared" si="16"/>
        <v>3174</v>
      </c>
      <c r="AI58" s="38" t="s">
        <v>690</v>
      </c>
      <c r="AJ58" s="43" t="s">
        <v>276</v>
      </c>
      <c r="AK58" s="14">
        <f t="shared" si="17"/>
        <v>8.5146641438032162</v>
      </c>
      <c r="AL58" s="14" t="s">
        <v>276</v>
      </c>
      <c r="AM58" s="14" t="s">
        <v>276</v>
      </c>
      <c r="AN58" s="43" t="s">
        <v>276</v>
      </c>
      <c r="AO58" s="14">
        <f t="shared" si="18"/>
        <v>5.6710775047258979</v>
      </c>
      <c r="AP58" s="14" t="s">
        <v>276</v>
      </c>
      <c r="AQ58" s="14" t="s">
        <v>276</v>
      </c>
      <c r="AR58" s="8" t="s">
        <v>268</v>
      </c>
      <c r="AS58" s="14" t="s">
        <v>276</v>
      </c>
      <c r="AT58" s="14">
        <f t="shared" si="19"/>
        <v>1.5014191106906338</v>
      </c>
      <c r="AU58" s="14" t="s">
        <v>276</v>
      </c>
      <c r="AV58" s="14" t="s">
        <v>276</v>
      </c>
      <c r="AW58" s="8" t="s">
        <v>276</v>
      </c>
      <c r="AX58" s="8" t="s">
        <v>98</v>
      </c>
      <c r="AY58" s="8" t="s">
        <v>276</v>
      </c>
      <c r="AZ58" s="8" t="s">
        <v>276</v>
      </c>
      <c r="BA58" s="8" t="s">
        <v>276</v>
      </c>
      <c r="BB58" s="8" t="s">
        <v>276</v>
      </c>
      <c r="BC58" s="9" t="s">
        <v>768</v>
      </c>
      <c r="BD58" s="9"/>
      <c r="BE58" s="9" t="s">
        <v>100</v>
      </c>
      <c r="BF58" s="33" t="s">
        <v>98</v>
      </c>
    </row>
    <row r="59" spans="1:58" s="7" customFormat="1" ht="65" x14ac:dyDescent="0.3">
      <c r="A59" s="8">
        <v>653</v>
      </c>
      <c r="B59" s="8" t="s">
        <v>764</v>
      </c>
      <c r="C59" s="8" t="s">
        <v>72</v>
      </c>
      <c r="D59" s="9" t="s">
        <v>772</v>
      </c>
      <c r="E59" s="8" t="s">
        <v>39</v>
      </c>
      <c r="F59" s="9" t="s">
        <v>683</v>
      </c>
      <c r="G59" s="9" t="s">
        <v>684</v>
      </c>
      <c r="H59" s="9" t="s">
        <v>225</v>
      </c>
      <c r="I59" s="8" t="s">
        <v>98</v>
      </c>
      <c r="J59" s="9" t="s">
        <v>24</v>
      </c>
      <c r="K59" s="9" t="s">
        <v>704</v>
      </c>
      <c r="L59" s="9" t="s">
        <v>699</v>
      </c>
      <c r="M59" s="8" t="s">
        <v>14</v>
      </c>
      <c r="N59" s="11" t="s">
        <v>98</v>
      </c>
      <c r="O59" s="12" t="s">
        <v>208</v>
      </c>
      <c r="P59" s="42" t="s">
        <v>276</v>
      </c>
      <c r="Q59" s="46" t="s">
        <v>773</v>
      </c>
      <c r="R59" s="46" t="s">
        <v>276</v>
      </c>
      <c r="S59" s="46" t="s">
        <v>276</v>
      </c>
      <c r="T59" s="9" t="s">
        <v>722</v>
      </c>
      <c r="U59" s="13">
        <v>3171</v>
      </c>
      <c r="V59" s="34">
        <v>3174</v>
      </c>
      <c r="W59" s="8" t="s">
        <v>276</v>
      </c>
      <c r="X59" s="8" t="s">
        <v>276</v>
      </c>
      <c r="Y59" s="8" t="s">
        <v>276</v>
      </c>
      <c r="Z59" s="8" t="s">
        <v>276</v>
      </c>
      <c r="AA59" s="8" t="s">
        <v>276</v>
      </c>
      <c r="AB59" s="8" t="s">
        <v>276</v>
      </c>
      <c r="AC59" s="9" t="s">
        <v>774</v>
      </c>
      <c r="AD59" s="9" t="s">
        <v>689</v>
      </c>
      <c r="AE59" s="8">
        <v>27</v>
      </c>
      <c r="AF59" s="8">
        <v>18</v>
      </c>
      <c r="AG59" s="13">
        <f t="shared" si="16"/>
        <v>3171</v>
      </c>
      <c r="AH59" s="13">
        <f t="shared" si="16"/>
        <v>3174</v>
      </c>
      <c r="AI59" s="38" t="s">
        <v>690</v>
      </c>
      <c r="AJ59" s="43" t="s">
        <v>276</v>
      </c>
      <c r="AK59" s="14">
        <f t="shared" si="17"/>
        <v>8.5146641438032162</v>
      </c>
      <c r="AL59" s="14" t="s">
        <v>276</v>
      </c>
      <c r="AM59" s="14" t="s">
        <v>276</v>
      </c>
      <c r="AN59" s="43" t="s">
        <v>276</v>
      </c>
      <c r="AO59" s="14">
        <f t="shared" si="18"/>
        <v>5.6710775047258979</v>
      </c>
      <c r="AP59" s="14" t="s">
        <v>276</v>
      </c>
      <c r="AQ59" s="14" t="s">
        <v>276</v>
      </c>
      <c r="AR59" s="8" t="s">
        <v>268</v>
      </c>
      <c r="AS59" s="14" t="s">
        <v>276</v>
      </c>
      <c r="AT59" s="14">
        <f t="shared" si="19"/>
        <v>1.5014191106906338</v>
      </c>
      <c r="AU59" s="14" t="s">
        <v>276</v>
      </c>
      <c r="AV59" s="14" t="s">
        <v>276</v>
      </c>
      <c r="AW59" s="8" t="s">
        <v>276</v>
      </c>
      <c r="AX59" s="8" t="s">
        <v>98</v>
      </c>
      <c r="AY59" s="8" t="s">
        <v>276</v>
      </c>
      <c r="AZ59" s="8" t="s">
        <v>276</v>
      </c>
      <c r="BA59" s="8" t="s">
        <v>276</v>
      </c>
      <c r="BB59" s="8" t="s">
        <v>276</v>
      </c>
      <c r="BC59" s="9" t="s">
        <v>768</v>
      </c>
      <c r="BD59" s="9"/>
      <c r="BE59" s="9" t="s">
        <v>100</v>
      </c>
      <c r="BF59" s="33" t="s">
        <v>98</v>
      </c>
    </row>
    <row r="60" spans="1:58" s="7" customFormat="1" ht="65" x14ac:dyDescent="0.3">
      <c r="A60" s="8">
        <v>653</v>
      </c>
      <c r="B60" s="8" t="s">
        <v>764</v>
      </c>
      <c r="C60" s="8" t="s">
        <v>72</v>
      </c>
      <c r="D60" s="9" t="s">
        <v>775</v>
      </c>
      <c r="E60" s="8" t="s">
        <v>39</v>
      </c>
      <c r="F60" s="9" t="s">
        <v>683</v>
      </c>
      <c r="G60" s="9" t="s">
        <v>684</v>
      </c>
      <c r="H60" s="9" t="s">
        <v>225</v>
      </c>
      <c r="I60" s="8" t="s">
        <v>98</v>
      </c>
      <c r="J60" s="9" t="s">
        <v>24</v>
      </c>
      <c r="K60" s="9" t="s">
        <v>704</v>
      </c>
      <c r="L60" s="9" t="s">
        <v>699</v>
      </c>
      <c r="M60" s="8" t="s">
        <v>14</v>
      </c>
      <c r="N60" s="11" t="s">
        <v>98</v>
      </c>
      <c r="O60" s="12" t="s">
        <v>208</v>
      </c>
      <c r="P60" s="42" t="s">
        <v>276</v>
      </c>
      <c r="Q60" s="46" t="s">
        <v>776</v>
      </c>
      <c r="R60" s="46" t="s">
        <v>276</v>
      </c>
      <c r="S60" s="46" t="s">
        <v>276</v>
      </c>
      <c r="T60" s="9" t="s">
        <v>722</v>
      </c>
      <c r="U60" s="13">
        <v>3171</v>
      </c>
      <c r="V60" s="34">
        <v>3174</v>
      </c>
      <c r="W60" s="8" t="s">
        <v>276</v>
      </c>
      <c r="X60" s="8" t="s">
        <v>276</v>
      </c>
      <c r="Y60" s="8" t="s">
        <v>276</v>
      </c>
      <c r="Z60" s="8" t="s">
        <v>276</v>
      </c>
      <c r="AA60" s="8" t="s">
        <v>276</v>
      </c>
      <c r="AB60" s="8" t="s">
        <v>276</v>
      </c>
      <c r="AC60" s="9" t="s">
        <v>777</v>
      </c>
      <c r="AD60" s="9" t="s">
        <v>689</v>
      </c>
      <c r="AE60" s="8">
        <v>27</v>
      </c>
      <c r="AF60" s="8">
        <v>18</v>
      </c>
      <c r="AG60" s="13">
        <f t="shared" si="16"/>
        <v>3171</v>
      </c>
      <c r="AH60" s="13">
        <f t="shared" si="16"/>
        <v>3174</v>
      </c>
      <c r="AI60" s="38" t="s">
        <v>690</v>
      </c>
      <c r="AJ60" s="43" t="s">
        <v>276</v>
      </c>
      <c r="AK60" s="14">
        <f t="shared" si="17"/>
        <v>8.5146641438032162</v>
      </c>
      <c r="AL60" s="14" t="s">
        <v>276</v>
      </c>
      <c r="AM60" s="14" t="s">
        <v>276</v>
      </c>
      <c r="AN60" s="43" t="s">
        <v>276</v>
      </c>
      <c r="AO60" s="14">
        <f t="shared" si="18"/>
        <v>5.6710775047258979</v>
      </c>
      <c r="AP60" s="14" t="s">
        <v>276</v>
      </c>
      <c r="AQ60" s="14" t="s">
        <v>276</v>
      </c>
      <c r="AR60" s="8" t="s">
        <v>268</v>
      </c>
      <c r="AS60" s="14" t="s">
        <v>276</v>
      </c>
      <c r="AT60" s="14">
        <f t="shared" si="19"/>
        <v>1.5014191106906338</v>
      </c>
      <c r="AU60" s="14" t="s">
        <v>276</v>
      </c>
      <c r="AV60" s="14" t="s">
        <v>276</v>
      </c>
      <c r="AW60" s="8" t="s">
        <v>276</v>
      </c>
      <c r="AX60" s="8" t="s">
        <v>98</v>
      </c>
      <c r="AY60" s="8" t="s">
        <v>276</v>
      </c>
      <c r="AZ60" s="8" t="s">
        <v>276</v>
      </c>
      <c r="BA60" s="8" t="s">
        <v>276</v>
      </c>
      <c r="BB60" s="8" t="s">
        <v>276</v>
      </c>
      <c r="BC60" s="9" t="s">
        <v>768</v>
      </c>
      <c r="BD60" s="9"/>
      <c r="BE60" s="9" t="s">
        <v>100</v>
      </c>
      <c r="BF60" s="33" t="s">
        <v>98</v>
      </c>
    </row>
    <row r="61" spans="1:58" s="7" customFormat="1" ht="65" x14ac:dyDescent="0.3">
      <c r="A61" s="8">
        <v>653</v>
      </c>
      <c r="B61" s="8" t="s">
        <v>764</v>
      </c>
      <c r="C61" s="8" t="s">
        <v>72</v>
      </c>
      <c r="D61" s="9" t="s">
        <v>778</v>
      </c>
      <c r="E61" s="8" t="s">
        <v>39</v>
      </c>
      <c r="F61" s="9" t="s">
        <v>683</v>
      </c>
      <c r="G61" s="9" t="s">
        <v>684</v>
      </c>
      <c r="H61" s="9" t="s">
        <v>225</v>
      </c>
      <c r="I61" s="8" t="s">
        <v>98</v>
      </c>
      <c r="J61" s="9" t="s">
        <v>24</v>
      </c>
      <c r="K61" s="9" t="s">
        <v>704</v>
      </c>
      <c r="L61" s="9" t="s">
        <v>699</v>
      </c>
      <c r="M61" s="8" t="s">
        <v>14</v>
      </c>
      <c r="N61" s="11" t="s">
        <v>98</v>
      </c>
      <c r="O61" s="12" t="s">
        <v>208</v>
      </c>
      <c r="P61" s="42" t="s">
        <v>276</v>
      </c>
      <c r="Q61" s="46" t="s">
        <v>779</v>
      </c>
      <c r="R61" s="46" t="s">
        <v>276</v>
      </c>
      <c r="S61" s="46" t="s">
        <v>276</v>
      </c>
      <c r="T61" s="9" t="s">
        <v>722</v>
      </c>
      <c r="U61" s="13">
        <v>3171</v>
      </c>
      <c r="V61" s="34">
        <v>3174</v>
      </c>
      <c r="W61" s="8" t="s">
        <v>276</v>
      </c>
      <c r="X61" s="8" t="s">
        <v>276</v>
      </c>
      <c r="Y61" s="8" t="s">
        <v>276</v>
      </c>
      <c r="Z61" s="8" t="s">
        <v>276</v>
      </c>
      <c r="AA61" s="8" t="s">
        <v>276</v>
      </c>
      <c r="AB61" s="8" t="s">
        <v>276</v>
      </c>
      <c r="AC61" s="9" t="s">
        <v>780</v>
      </c>
      <c r="AD61" s="9" t="s">
        <v>689</v>
      </c>
      <c r="AE61" s="8">
        <v>27</v>
      </c>
      <c r="AF61" s="8">
        <v>18</v>
      </c>
      <c r="AG61" s="13">
        <f t="shared" si="16"/>
        <v>3171</v>
      </c>
      <c r="AH61" s="13">
        <f t="shared" si="16"/>
        <v>3174</v>
      </c>
      <c r="AI61" s="38" t="s">
        <v>690</v>
      </c>
      <c r="AJ61" s="43" t="s">
        <v>276</v>
      </c>
      <c r="AK61" s="14">
        <f t="shared" si="17"/>
        <v>8.5146641438032162</v>
      </c>
      <c r="AL61" s="14" t="s">
        <v>276</v>
      </c>
      <c r="AM61" s="14" t="s">
        <v>276</v>
      </c>
      <c r="AN61" s="43" t="s">
        <v>276</v>
      </c>
      <c r="AO61" s="14">
        <f t="shared" si="18"/>
        <v>5.6710775047258979</v>
      </c>
      <c r="AP61" s="14" t="s">
        <v>276</v>
      </c>
      <c r="AQ61" s="14" t="s">
        <v>276</v>
      </c>
      <c r="AR61" s="8" t="s">
        <v>268</v>
      </c>
      <c r="AS61" s="14" t="s">
        <v>276</v>
      </c>
      <c r="AT61" s="14">
        <f t="shared" si="19"/>
        <v>1.5014191106906338</v>
      </c>
      <c r="AU61" s="14" t="s">
        <v>276</v>
      </c>
      <c r="AV61" s="14" t="s">
        <v>276</v>
      </c>
      <c r="AW61" s="8" t="s">
        <v>276</v>
      </c>
      <c r="AX61" s="8" t="s">
        <v>98</v>
      </c>
      <c r="AY61" s="8" t="s">
        <v>276</v>
      </c>
      <c r="AZ61" s="8" t="s">
        <v>276</v>
      </c>
      <c r="BA61" s="8" t="s">
        <v>276</v>
      </c>
      <c r="BB61" s="8" t="s">
        <v>276</v>
      </c>
      <c r="BC61" s="9" t="s">
        <v>768</v>
      </c>
      <c r="BD61" s="9"/>
      <c r="BE61" s="9" t="s">
        <v>100</v>
      </c>
      <c r="BF61" s="33" t="s">
        <v>98</v>
      </c>
    </row>
    <row r="62" spans="1:58" s="7" customFormat="1" ht="65" x14ac:dyDescent="0.3">
      <c r="A62" s="8">
        <v>653</v>
      </c>
      <c r="B62" s="8" t="s">
        <v>764</v>
      </c>
      <c r="C62" s="8" t="s">
        <v>72</v>
      </c>
      <c r="D62" s="9" t="s">
        <v>781</v>
      </c>
      <c r="E62" s="8" t="s">
        <v>39</v>
      </c>
      <c r="F62" s="9" t="s">
        <v>683</v>
      </c>
      <c r="G62" s="9" t="s">
        <v>684</v>
      </c>
      <c r="H62" s="9" t="s">
        <v>225</v>
      </c>
      <c r="I62" s="8" t="s">
        <v>98</v>
      </c>
      <c r="J62" s="9" t="s">
        <v>24</v>
      </c>
      <c r="K62" s="9" t="s">
        <v>704</v>
      </c>
      <c r="L62" s="9" t="s">
        <v>699</v>
      </c>
      <c r="M62" s="8" t="s">
        <v>14</v>
      </c>
      <c r="N62" s="11" t="s">
        <v>98</v>
      </c>
      <c r="O62" s="12" t="s">
        <v>208</v>
      </c>
      <c r="P62" s="42" t="s">
        <v>276</v>
      </c>
      <c r="Q62" s="46" t="s">
        <v>782</v>
      </c>
      <c r="R62" s="46" t="s">
        <v>276</v>
      </c>
      <c r="S62" s="46" t="s">
        <v>276</v>
      </c>
      <c r="T62" s="9" t="s">
        <v>722</v>
      </c>
      <c r="U62" s="13">
        <v>3171</v>
      </c>
      <c r="V62" s="34">
        <v>3174</v>
      </c>
      <c r="W62" s="8" t="s">
        <v>276</v>
      </c>
      <c r="X62" s="8" t="s">
        <v>276</v>
      </c>
      <c r="Y62" s="8" t="s">
        <v>276</v>
      </c>
      <c r="Z62" s="8" t="s">
        <v>276</v>
      </c>
      <c r="AA62" s="8" t="s">
        <v>276</v>
      </c>
      <c r="AB62" s="8" t="s">
        <v>276</v>
      </c>
      <c r="AC62" s="9" t="s">
        <v>783</v>
      </c>
      <c r="AD62" s="9" t="s">
        <v>689</v>
      </c>
      <c r="AE62" s="8">
        <v>27</v>
      </c>
      <c r="AF62" s="8">
        <v>18</v>
      </c>
      <c r="AG62" s="13">
        <f t="shared" si="16"/>
        <v>3171</v>
      </c>
      <c r="AH62" s="13">
        <f t="shared" si="16"/>
        <v>3174</v>
      </c>
      <c r="AI62" s="38" t="s">
        <v>690</v>
      </c>
      <c r="AJ62" s="43" t="s">
        <v>276</v>
      </c>
      <c r="AK62" s="14">
        <f t="shared" si="17"/>
        <v>8.5146641438032162</v>
      </c>
      <c r="AL62" s="14" t="s">
        <v>276</v>
      </c>
      <c r="AM62" s="14" t="s">
        <v>276</v>
      </c>
      <c r="AN62" s="43" t="s">
        <v>276</v>
      </c>
      <c r="AO62" s="14">
        <f t="shared" si="18"/>
        <v>5.6710775047258979</v>
      </c>
      <c r="AP62" s="14" t="s">
        <v>276</v>
      </c>
      <c r="AQ62" s="14" t="s">
        <v>276</v>
      </c>
      <c r="AR62" s="8" t="s">
        <v>268</v>
      </c>
      <c r="AS62" s="14" t="s">
        <v>276</v>
      </c>
      <c r="AT62" s="14">
        <f t="shared" si="19"/>
        <v>1.5014191106906338</v>
      </c>
      <c r="AU62" s="14" t="s">
        <v>276</v>
      </c>
      <c r="AV62" s="14" t="s">
        <v>276</v>
      </c>
      <c r="AW62" s="8" t="s">
        <v>276</v>
      </c>
      <c r="AX62" s="8" t="s">
        <v>98</v>
      </c>
      <c r="AY62" s="8" t="s">
        <v>276</v>
      </c>
      <c r="AZ62" s="8" t="s">
        <v>276</v>
      </c>
      <c r="BA62" s="8" t="s">
        <v>276</v>
      </c>
      <c r="BB62" s="8" t="s">
        <v>276</v>
      </c>
      <c r="BC62" s="9" t="s">
        <v>768</v>
      </c>
      <c r="BD62" s="9"/>
      <c r="BE62" s="9" t="s">
        <v>100</v>
      </c>
      <c r="BF62" s="33" t="s">
        <v>98</v>
      </c>
    </row>
    <row r="63" spans="1:58" s="7" customFormat="1" ht="130" x14ac:dyDescent="0.3">
      <c r="A63" s="8">
        <v>653</v>
      </c>
      <c r="B63" s="8" t="s">
        <v>764</v>
      </c>
      <c r="C63" s="8" t="s">
        <v>72</v>
      </c>
      <c r="D63" s="9" t="s">
        <v>784</v>
      </c>
      <c r="E63" s="8" t="s">
        <v>39</v>
      </c>
      <c r="F63" s="9" t="s">
        <v>683</v>
      </c>
      <c r="G63" s="9" t="s">
        <v>684</v>
      </c>
      <c r="H63" s="9" t="s">
        <v>225</v>
      </c>
      <c r="I63" s="8" t="s">
        <v>98</v>
      </c>
      <c r="J63" s="9" t="s">
        <v>24</v>
      </c>
      <c r="K63" s="9" t="s">
        <v>704</v>
      </c>
      <c r="L63" s="9" t="s">
        <v>699</v>
      </c>
      <c r="M63" s="8" t="s">
        <v>14</v>
      </c>
      <c r="N63" s="11" t="s">
        <v>98</v>
      </c>
      <c r="O63" s="12" t="s">
        <v>208</v>
      </c>
      <c r="P63" s="42" t="s">
        <v>276</v>
      </c>
      <c r="Q63" s="46" t="s">
        <v>766</v>
      </c>
      <c r="R63" s="46" t="s">
        <v>276</v>
      </c>
      <c r="S63" s="46" t="s">
        <v>276</v>
      </c>
      <c r="T63" s="9" t="s">
        <v>725</v>
      </c>
      <c r="U63" s="13">
        <v>3171</v>
      </c>
      <c r="V63" s="34">
        <v>3174</v>
      </c>
      <c r="W63" s="8" t="s">
        <v>276</v>
      </c>
      <c r="X63" s="8" t="s">
        <v>276</v>
      </c>
      <c r="Y63" s="8" t="s">
        <v>276</v>
      </c>
      <c r="Z63" s="8" t="s">
        <v>276</v>
      </c>
      <c r="AA63" s="8" t="s">
        <v>276</v>
      </c>
      <c r="AB63" s="8" t="s">
        <v>276</v>
      </c>
      <c r="AC63" s="9" t="s">
        <v>785</v>
      </c>
      <c r="AD63" s="9" t="s">
        <v>689</v>
      </c>
      <c r="AE63" s="8">
        <f>27+62</f>
        <v>89</v>
      </c>
      <c r="AF63" s="8">
        <f>18+50</f>
        <v>68</v>
      </c>
      <c r="AG63" s="13">
        <f t="shared" si="16"/>
        <v>3171</v>
      </c>
      <c r="AH63" s="13">
        <f t="shared" si="16"/>
        <v>3174</v>
      </c>
      <c r="AI63" s="38" t="s">
        <v>690</v>
      </c>
      <c r="AJ63" s="43" t="s">
        <v>276</v>
      </c>
      <c r="AK63" s="14">
        <f t="shared" si="17"/>
        <v>28.066855881425418</v>
      </c>
      <c r="AL63" s="14" t="s">
        <v>276</v>
      </c>
      <c r="AM63" s="14" t="s">
        <v>276</v>
      </c>
      <c r="AN63" s="43" t="s">
        <v>276</v>
      </c>
      <c r="AO63" s="14">
        <f t="shared" si="18"/>
        <v>21.424070573408947</v>
      </c>
      <c r="AP63" s="14" t="s">
        <v>276</v>
      </c>
      <c r="AQ63" s="14" t="s">
        <v>276</v>
      </c>
      <c r="AR63" s="8" t="s">
        <v>268</v>
      </c>
      <c r="AS63" s="14" t="s">
        <v>276</v>
      </c>
      <c r="AT63" s="14">
        <f t="shared" si="19"/>
        <v>1.3100617730535924</v>
      </c>
      <c r="AU63" s="14" t="s">
        <v>276</v>
      </c>
      <c r="AV63" s="14" t="s">
        <v>276</v>
      </c>
      <c r="AW63" s="8" t="s">
        <v>276</v>
      </c>
      <c r="AX63" s="8" t="s">
        <v>98</v>
      </c>
      <c r="AY63" s="8" t="s">
        <v>276</v>
      </c>
      <c r="AZ63" s="8" t="s">
        <v>276</v>
      </c>
      <c r="BA63" s="8" t="s">
        <v>276</v>
      </c>
      <c r="BB63" s="8" t="s">
        <v>276</v>
      </c>
      <c r="BC63" s="9" t="s">
        <v>786</v>
      </c>
      <c r="BD63" s="9" t="s">
        <v>787</v>
      </c>
      <c r="BE63" s="9" t="s">
        <v>100</v>
      </c>
      <c r="BF63" s="33" t="s">
        <v>98</v>
      </c>
    </row>
    <row r="64" spans="1:58" s="7" customFormat="1" ht="130" x14ac:dyDescent="0.3">
      <c r="A64" s="8">
        <v>653</v>
      </c>
      <c r="B64" s="8" t="s">
        <v>764</v>
      </c>
      <c r="C64" s="8" t="s">
        <v>72</v>
      </c>
      <c r="D64" s="9" t="s">
        <v>788</v>
      </c>
      <c r="E64" s="8" t="s">
        <v>39</v>
      </c>
      <c r="F64" s="9" t="s">
        <v>683</v>
      </c>
      <c r="G64" s="9" t="s">
        <v>684</v>
      </c>
      <c r="H64" s="9" t="s">
        <v>225</v>
      </c>
      <c r="I64" s="8" t="s">
        <v>98</v>
      </c>
      <c r="J64" s="9" t="s">
        <v>24</v>
      </c>
      <c r="K64" s="9" t="s">
        <v>704</v>
      </c>
      <c r="L64" s="9" t="s">
        <v>699</v>
      </c>
      <c r="M64" s="8" t="s">
        <v>14</v>
      </c>
      <c r="N64" s="11" t="s">
        <v>98</v>
      </c>
      <c r="O64" s="12" t="s">
        <v>208</v>
      </c>
      <c r="P64" s="42" t="s">
        <v>276</v>
      </c>
      <c r="Q64" s="46" t="s">
        <v>770</v>
      </c>
      <c r="R64" s="46" t="s">
        <v>276</v>
      </c>
      <c r="S64" s="46" t="s">
        <v>276</v>
      </c>
      <c r="T64" s="9" t="s">
        <v>725</v>
      </c>
      <c r="U64" s="13">
        <v>3171</v>
      </c>
      <c r="V64" s="34">
        <v>3174</v>
      </c>
      <c r="W64" s="8" t="s">
        <v>276</v>
      </c>
      <c r="X64" s="8" t="s">
        <v>276</v>
      </c>
      <c r="Y64" s="8" t="s">
        <v>276</v>
      </c>
      <c r="Z64" s="8" t="s">
        <v>276</v>
      </c>
      <c r="AA64" s="8" t="s">
        <v>276</v>
      </c>
      <c r="AB64" s="8" t="s">
        <v>276</v>
      </c>
      <c r="AC64" s="9" t="s">
        <v>789</v>
      </c>
      <c r="AD64" s="9" t="s">
        <v>689</v>
      </c>
      <c r="AE64" s="8">
        <f>27+64</f>
        <v>91</v>
      </c>
      <c r="AF64" s="8">
        <f>18+52</f>
        <v>70</v>
      </c>
      <c r="AG64" s="13">
        <f t="shared" si="16"/>
        <v>3171</v>
      </c>
      <c r="AH64" s="13">
        <f t="shared" si="16"/>
        <v>3174</v>
      </c>
      <c r="AI64" s="38" t="s">
        <v>690</v>
      </c>
      <c r="AJ64" s="43" t="s">
        <v>276</v>
      </c>
      <c r="AK64" s="14">
        <f t="shared" si="17"/>
        <v>28.697571743929359</v>
      </c>
      <c r="AL64" s="14" t="s">
        <v>276</v>
      </c>
      <c r="AM64" s="14" t="s">
        <v>276</v>
      </c>
      <c r="AN64" s="43" t="s">
        <v>276</v>
      </c>
      <c r="AO64" s="14">
        <f t="shared" si="18"/>
        <v>22.054190296156271</v>
      </c>
      <c r="AP64" s="14" t="s">
        <v>276</v>
      </c>
      <c r="AQ64" s="14" t="s">
        <v>276</v>
      </c>
      <c r="AR64" s="8" t="s">
        <v>268</v>
      </c>
      <c r="AS64" s="14" t="s">
        <v>276</v>
      </c>
      <c r="AT64" s="14">
        <f t="shared" si="19"/>
        <v>1.3012298959318827</v>
      </c>
      <c r="AU64" s="14" t="s">
        <v>276</v>
      </c>
      <c r="AV64" s="14" t="s">
        <v>276</v>
      </c>
      <c r="AW64" s="8" t="s">
        <v>276</v>
      </c>
      <c r="AX64" s="8" t="s">
        <v>98</v>
      </c>
      <c r="AY64" s="8" t="s">
        <v>276</v>
      </c>
      <c r="AZ64" s="8" t="s">
        <v>276</v>
      </c>
      <c r="BA64" s="8" t="s">
        <v>276</v>
      </c>
      <c r="BB64" s="8" t="s">
        <v>276</v>
      </c>
      <c r="BC64" s="9" t="s">
        <v>786</v>
      </c>
      <c r="BD64" s="9" t="s">
        <v>787</v>
      </c>
      <c r="BE64" s="9" t="s">
        <v>100</v>
      </c>
      <c r="BF64" s="33" t="s">
        <v>98</v>
      </c>
    </row>
    <row r="65" spans="1:58" s="7" customFormat="1" ht="130" x14ac:dyDescent="0.3">
      <c r="A65" s="8">
        <v>653</v>
      </c>
      <c r="B65" s="8" t="s">
        <v>764</v>
      </c>
      <c r="C65" s="8" t="s">
        <v>72</v>
      </c>
      <c r="D65" s="9" t="s">
        <v>790</v>
      </c>
      <c r="E65" s="8" t="s">
        <v>39</v>
      </c>
      <c r="F65" s="9" t="s">
        <v>683</v>
      </c>
      <c r="G65" s="9" t="s">
        <v>684</v>
      </c>
      <c r="H65" s="9" t="s">
        <v>225</v>
      </c>
      <c r="I65" s="8" t="s">
        <v>98</v>
      </c>
      <c r="J65" s="9" t="s">
        <v>24</v>
      </c>
      <c r="K65" s="9" t="s">
        <v>704</v>
      </c>
      <c r="L65" s="9" t="s">
        <v>699</v>
      </c>
      <c r="M65" s="8" t="s">
        <v>14</v>
      </c>
      <c r="N65" s="11" t="s">
        <v>98</v>
      </c>
      <c r="O65" s="12" t="s">
        <v>208</v>
      </c>
      <c r="P65" s="42" t="s">
        <v>276</v>
      </c>
      <c r="Q65" s="46" t="s">
        <v>773</v>
      </c>
      <c r="R65" s="46" t="s">
        <v>276</v>
      </c>
      <c r="S65" s="46" t="s">
        <v>276</v>
      </c>
      <c r="T65" s="9" t="s">
        <v>725</v>
      </c>
      <c r="U65" s="13">
        <v>3171</v>
      </c>
      <c r="V65" s="34">
        <v>3174</v>
      </c>
      <c r="W65" s="8" t="s">
        <v>276</v>
      </c>
      <c r="X65" s="8" t="s">
        <v>276</v>
      </c>
      <c r="Y65" s="8" t="s">
        <v>276</v>
      </c>
      <c r="Z65" s="8" t="s">
        <v>276</v>
      </c>
      <c r="AA65" s="8" t="s">
        <v>276</v>
      </c>
      <c r="AB65" s="8" t="s">
        <v>276</v>
      </c>
      <c r="AC65" s="9" t="s">
        <v>791</v>
      </c>
      <c r="AD65" s="9" t="s">
        <v>689</v>
      </c>
      <c r="AE65" s="8">
        <f>27+64</f>
        <v>91</v>
      </c>
      <c r="AF65" s="8">
        <f>18+52</f>
        <v>70</v>
      </c>
      <c r="AG65" s="13">
        <f t="shared" si="16"/>
        <v>3171</v>
      </c>
      <c r="AH65" s="13">
        <f t="shared" si="16"/>
        <v>3174</v>
      </c>
      <c r="AI65" s="38" t="s">
        <v>690</v>
      </c>
      <c r="AJ65" s="43" t="s">
        <v>276</v>
      </c>
      <c r="AK65" s="14">
        <f t="shared" si="17"/>
        <v>28.697571743929359</v>
      </c>
      <c r="AL65" s="14" t="s">
        <v>276</v>
      </c>
      <c r="AM65" s="14" t="s">
        <v>276</v>
      </c>
      <c r="AN65" s="43" t="s">
        <v>276</v>
      </c>
      <c r="AO65" s="14">
        <f t="shared" si="18"/>
        <v>22.054190296156271</v>
      </c>
      <c r="AP65" s="14" t="s">
        <v>276</v>
      </c>
      <c r="AQ65" s="14" t="s">
        <v>276</v>
      </c>
      <c r="AR65" s="8" t="s">
        <v>268</v>
      </c>
      <c r="AS65" s="14" t="s">
        <v>276</v>
      </c>
      <c r="AT65" s="14">
        <f t="shared" si="19"/>
        <v>1.3012298959318827</v>
      </c>
      <c r="AU65" s="14" t="s">
        <v>276</v>
      </c>
      <c r="AV65" s="14" t="s">
        <v>276</v>
      </c>
      <c r="AW65" s="8" t="s">
        <v>276</v>
      </c>
      <c r="AX65" s="8" t="s">
        <v>98</v>
      </c>
      <c r="AY65" s="8" t="s">
        <v>276</v>
      </c>
      <c r="AZ65" s="8" t="s">
        <v>276</v>
      </c>
      <c r="BA65" s="8" t="s">
        <v>276</v>
      </c>
      <c r="BB65" s="8" t="s">
        <v>276</v>
      </c>
      <c r="BC65" s="9" t="s">
        <v>786</v>
      </c>
      <c r="BD65" s="9" t="s">
        <v>787</v>
      </c>
      <c r="BE65" s="9" t="s">
        <v>100</v>
      </c>
      <c r="BF65" s="33" t="s">
        <v>98</v>
      </c>
    </row>
    <row r="66" spans="1:58" s="7" customFormat="1" ht="130" x14ac:dyDescent="0.3">
      <c r="A66" s="8">
        <v>653</v>
      </c>
      <c r="B66" s="8" t="s">
        <v>764</v>
      </c>
      <c r="C66" s="8" t="s">
        <v>72</v>
      </c>
      <c r="D66" s="9" t="s">
        <v>792</v>
      </c>
      <c r="E66" s="8" t="s">
        <v>39</v>
      </c>
      <c r="F66" s="9" t="s">
        <v>683</v>
      </c>
      <c r="G66" s="9" t="s">
        <v>684</v>
      </c>
      <c r="H66" s="9" t="s">
        <v>225</v>
      </c>
      <c r="I66" s="8" t="s">
        <v>98</v>
      </c>
      <c r="J66" s="9" t="s">
        <v>24</v>
      </c>
      <c r="K66" s="9" t="s">
        <v>704</v>
      </c>
      <c r="L66" s="9" t="s">
        <v>699</v>
      </c>
      <c r="M66" s="8" t="s">
        <v>14</v>
      </c>
      <c r="N66" s="11" t="s">
        <v>98</v>
      </c>
      <c r="O66" s="12" t="s">
        <v>208</v>
      </c>
      <c r="P66" s="42" t="s">
        <v>276</v>
      </c>
      <c r="Q66" s="46" t="s">
        <v>776</v>
      </c>
      <c r="R66" s="46" t="s">
        <v>276</v>
      </c>
      <c r="S66" s="46" t="s">
        <v>276</v>
      </c>
      <c r="T66" s="9" t="s">
        <v>725</v>
      </c>
      <c r="U66" s="13">
        <v>3171</v>
      </c>
      <c r="V66" s="34">
        <v>3174</v>
      </c>
      <c r="W66" s="8" t="s">
        <v>276</v>
      </c>
      <c r="X66" s="8" t="s">
        <v>276</v>
      </c>
      <c r="Y66" s="8" t="s">
        <v>276</v>
      </c>
      <c r="Z66" s="8" t="s">
        <v>276</v>
      </c>
      <c r="AA66" s="8" t="s">
        <v>276</v>
      </c>
      <c r="AB66" s="8" t="s">
        <v>276</v>
      </c>
      <c r="AC66" s="9" t="s">
        <v>793</v>
      </c>
      <c r="AD66" s="9" t="s">
        <v>689</v>
      </c>
      <c r="AE66" s="8">
        <f>27+64</f>
        <v>91</v>
      </c>
      <c r="AF66" s="8">
        <f>18+52</f>
        <v>70</v>
      </c>
      <c r="AG66" s="13">
        <f t="shared" si="16"/>
        <v>3171</v>
      </c>
      <c r="AH66" s="13">
        <f t="shared" si="16"/>
        <v>3174</v>
      </c>
      <c r="AI66" s="38" t="s">
        <v>690</v>
      </c>
      <c r="AJ66" s="43" t="s">
        <v>276</v>
      </c>
      <c r="AK66" s="14">
        <f t="shared" si="17"/>
        <v>28.697571743929359</v>
      </c>
      <c r="AL66" s="14" t="s">
        <v>276</v>
      </c>
      <c r="AM66" s="14" t="s">
        <v>276</v>
      </c>
      <c r="AN66" s="43" t="s">
        <v>276</v>
      </c>
      <c r="AO66" s="14">
        <f t="shared" si="18"/>
        <v>22.054190296156271</v>
      </c>
      <c r="AP66" s="14" t="s">
        <v>276</v>
      </c>
      <c r="AQ66" s="14" t="s">
        <v>276</v>
      </c>
      <c r="AR66" s="8" t="s">
        <v>268</v>
      </c>
      <c r="AS66" s="14" t="s">
        <v>276</v>
      </c>
      <c r="AT66" s="14">
        <f t="shared" si="19"/>
        <v>1.3012298959318827</v>
      </c>
      <c r="AU66" s="14" t="s">
        <v>276</v>
      </c>
      <c r="AV66" s="14" t="s">
        <v>276</v>
      </c>
      <c r="AW66" s="8" t="s">
        <v>276</v>
      </c>
      <c r="AX66" s="8" t="s">
        <v>98</v>
      </c>
      <c r="AY66" s="8" t="s">
        <v>276</v>
      </c>
      <c r="AZ66" s="8" t="s">
        <v>276</v>
      </c>
      <c r="BA66" s="8" t="s">
        <v>276</v>
      </c>
      <c r="BB66" s="8" t="s">
        <v>276</v>
      </c>
      <c r="BC66" s="9" t="s">
        <v>786</v>
      </c>
      <c r="BD66" s="9" t="s">
        <v>787</v>
      </c>
      <c r="BE66" s="9" t="s">
        <v>100</v>
      </c>
      <c r="BF66" s="33" t="s">
        <v>98</v>
      </c>
    </row>
    <row r="67" spans="1:58" s="7" customFormat="1" ht="130" x14ac:dyDescent="0.3">
      <c r="A67" s="8">
        <v>653</v>
      </c>
      <c r="B67" s="8" t="s">
        <v>764</v>
      </c>
      <c r="C67" s="8" t="s">
        <v>72</v>
      </c>
      <c r="D67" s="9" t="s">
        <v>794</v>
      </c>
      <c r="E67" s="8" t="s">
        <v>39</v>
      </c>
      <c r="F67" s="9" t="s">
        <v>683</v>
      </c>
      <c r="G67" s="9" t="s">
        <v>684</v>
      </c>
      <c r="H67" s="9" t="s">
        <v>225</v>
      </c>
      <c r="I67" s="8" t="s">
        <v>98</v>
      </c>
      <c r="J67" s="9" t="s">
        <v>24</v>
      </c>
      <c r="K67" s="9" t="s">
        <v>704</v>
      </c>
      <c r="L67" s="9" t="s">
        <v>699</v>
      </c>
      <c r="M67" s="8" t="s">
        <v>14</v>
      </c>
      <c r="N67" s="11" t="s">
        <v>98</v>
      </c>
      <c r="O67" s="12" t="s">
        <v>208</v>
      </c>
      <c r="P67" s="42" t="s">
        <v>276</v>
      </c>
      <c r="Q67" s="46" t="s">
        <v>779</v>
      </c>
      <c r="R67" s="46" t="s">
        <v>276</v>
      </c>
      <c r="S67" s="46" t="s">
        <v>276</v>
      </c>
      <c r="T67" s="9" t="s">
        <v>725</v>
      </c>
      <c r="U67" s="13">
        <v>3171</v>
      </c>
      <c r="V67" s="34">
        <v>3174</v>
      </c>
      <c r="W67" s="8" t="s">
        <v>276</v>
      </c>
      <c r="X67" s="8" t="s">
        <v>276</v>
      </c>
      <c r="Y67" s="8" t="s">
        <v>276</v>
      </c>
      <c r="Z67" s="8" t="s">
        <v>276</v>
      </c>
      <c r="AA67" s="8" t="s">
        <v>276</v>
      </c>
      <c r="AB67" s="8" t="s">
        <v>276</v>
      </c>
      <c r="AC67" s="9" t="s">
        <v>795</v>
      </c>
      <c r="AD67" s="9" t="s">
        <v>689</v>
      </c>
      <c r="AE67" s="8">
        <f>27+64</f>
        <v>91</v>
      </c>
      <c r="AF67" s="8">
        <f>18+53</f>
        <v>71</v>
      </c>
      <c r="AG67" s="13">
        <f t="shared" si="16"/>
        <v>3171</v>
      </c>
      <c r="AH67" s="13">
        <f t="shared" si="16"/>
        <v>3174</v>
      </c>
      <c r="AI67" s="38" t="s">
        <v>690</v>
      </c>
      <c r="AJ67" s="43" t="s">
        <v>276</v>
      </c>
      <c r="AK67" s="14">
        <f t="shared" si="17"/>
        <v>28.697571743929359</v>
      </c>
      <c r="AL67" s="14" t="s">
        <v>276</v>
      </c>
      <c r="AM67" s="14" t="s">
        <v>276</v>
      </c>
      <c r="AN67" s="43" t="s">
        <v>276</v>
      </c>
      <c r="AO67" s="14">
        <f t="shared" si="18"/>
        <v>22.36925015752993</v>
      </c>
      <c r="AP67" s="14" t="s">
        <v>276</v>
      </c>
      <c r="AQ67" s="14" t="s">
        <v>276</v>
      </c>
      <c r="AR67" s="8" t="s">
        <v>268</v>
      </c>
      <c r="AS67" s="14" t="s">
        <v>276</v>
      </c>
      <c r="AT67" s="14">
        <f t="shared" si="19"/>
        <v>1.2829027142990392</v>
      </c>
      <c r="AU67" s="14" t="s">
        <v>276</v>
      </c>
      <c r="AV67" s="14" t="s">
        <v>276</v>
      </c>
      <c r="AW67" s="8" t="s">
        <v>276</v>
      </c>
      <c r="AX67" s="8" t="s">
        <v>98</v>
      </c>
      <c r="AY67" s="8" t="s">
        <v>276</v>
      </c>
      <c r="AZ67" s="8" t="s">
        <v>276</v>
      </c>
      <c r="BA67" s="8" t="s">
        <v>276</v>
      </c>
      <c r="BB67" s="8" t="s">
        <v>276</v>
      </c>
      <c r="BC67" s="9" t="s">
        <v>786</v>
      </c>
      <c r="BD67" s="9" t="s">
        <v>787</v>
      </c>
      <c r="BE67" s="9" t="s">
        <v>100</v>
      </c>
      <c r="BF67" s="33" t="s">
        <v>98</v>
      </c>
    </row>
    <row r="68" spans="1:58" s="7" customFormat="1" ht="130" x14ac:dyDescent="0.3">
      <c r="A68" s="8">
        <v>653</v>
      </c>
      <c r="B68" s="8" t="s">
        <v>764</v>
      </c>
      <c r="C68" s="8" t="s">
        <v>72</v>
      </c>
      <c r="D68" s="9" t="s">
        <v>796</v>
      </c>
      <c r="E68" s="8" t="s">
        <v>39</v>
      </c>
      <c r="F68" s="9" t="s">
        <v>683</v>
      </c>
      <c r="G68" s="9" t="s">
        <v>684</v>
      </c>
      <c r="H68" s="9" t="s">
        <v>225</v>
      </c>
      <c r="I68" s="8" t="s">
        <v>98</v>
      </c>
      <c r="J68" s="9" t="s">
        <v>24</v>
      </c>
      <c r="K68" s="9" t="s">
        <v>704</v>
      </c>
      <c r="L68" s="9" t="s">
        <v>699</v>
      </c>
      <c r="M68" s="8" t="s">
        <v>14</v>
      </c>
      <c r="N68" s="11" t="s">
        <v>98</v>
      </c>
      <c r="O68" s="12" t="s">
        <v>208</v>
      </c>
      <c r="P68" s="42" t="s">
        <v>276</v>
      </c>
      <c r="Q68" s="46" t="s">
        <v>782</v>
      </c>
      <c r="R68" s="46" t="s">
        <v>276</v>
      </c>
      <c r="S68" s="46" t="s">
        <v>276</v>
      </c>
      <c r="T68" s="9" t="s">
        <v>725</v>
      </c>
      <c r="U68" s="13">
        <v>3171</v>
      </c>
      <c r="V68" s="34">
        <v>3174</v>
      </c>
      <c r="W68" s="8" t="s">
        <v>276</v>
      </c>
      <c r="X68" s="8" t="s">
        <v>276</v>
      </c>
      <c r="Y68" s="8" t="s">
        <v>276</v>
      </c>
      <c r="Z68" s="8" t="s">
        <v>276</v>
      </c>
      <c r="AA68" s="8" t="s">
        <v>276</v>
      </c>
      <c r="AB68" s="8" t="s">
        <v>276</v>
      </c>
      <c r="AC68" s="9" t="s">
        <v>797</v>
      </c>
      <c r="AD68" s="9" t="s">
        <v>689</v>
      </c>
      <c r="AE68" s="8">
        <f>27+64</f>
        <v>91</v>
      </c>
      <c r="AF68" s="8">
        <f>18+53</f>
        <v>71</v>
      </c>
      <c r="AG68" s="13">
        <f t="shared" si="16"/>
        <v>3171</v>
      </c>
      <c r="AH68" s="13">
        <f t="shared" si="16"/>
        <v>3174</v>
      </c>
      <c r="AI68" s="38" t="s">
        <v>690</v>
      </c>
      <c r="AJ68" s="43" t="s">
        <v>276</v>
      </c>
      <c r="AK68" s="14">
        <f t="shared" si="17"/>
        <v>28.697571743929359</v>
      </c>
      <c r="AL68" s="14" t="s">
        <v>276</v>
      </c>
      <c r="AM68" s="14" t="s">
        <v>276</v>
      </c>
      <c r="AN68" s="43" t="s">
        <v>276</v>
      </c>
      <c r="AO68" s="14">
        <f t="shared" si="18"/>
        <v>22.36925015752993</v>
      </c>
      <c r="AP68" s="14" t="s">
        <v>276</v>
      </c>
      <c r="AQ68" s="14" t="s">
        <v>276</v>
      </c>
      <c r="AR68" s="8" t="s">
        <v>268</v>
      </c>
      <c r="AS68" s="14" t="s">
        <v>276</v>
      </c>
      <c r="AT68" s="14">
        <f t="shared" si="19"/>
        <v>1.2829027142990392</v>
      </c>
      <c r="AU68" s="14" t="s">
        <v>276</v>
      </c>
      <c r="AV68" s="14" t="s">
        <v>276</v>
      </c>
      <c r="AW68" s="8" t="s">
        <v>276</v>
      </c>
      <c r="AX68" s="8" t="s">
        <v>98</v>
      </c>
      <c r="AY68" s="8" t="s">
        <v>276</v>
      </c>
      <c r="AZ68" s="8" t="s">
        <v>276</v>
      </c>
      <c r="BA68" s="8" t="s">
        <v>276</v>
      </c>
      <c r="BB68" s="8" t="s">
        <v>276</v>
      </c>
      <c r="BC68" s="9" t="s">
        <v>786</v>
      </c>
      <c r="BD68" s="9" t="s">
        <v>787</v>
      </c>
      <c r="BE68" s="9" t="s">
        <v>100</v>
      </c>
      <c r="BF68" s="33" t="s">
        <v>98</v>
      </c>
    </row>
    <row r="69" spans="1:58" s="7" customFormat="1" ht="91" x14ac:dyDescent="0.3">
      <c r="A69" s="8">
        <v>653</v>
      </c>
      <c r="B69" s="8" t="s">
        <v>764</v>
      </c>
      <c r="C69" s="8" t="s">
        <v>72</v>
      </c>
      <c r="D69" s="9" t="s">
        <v>798</v>
      </c>
      <c r="E69" s="8" t="s">
        <v>39</v>
      </c>
      <c r="F69" s="9" t="s">
        <v>683</v>
      </c>
      <c r="G69" s="9" t="s">
        <v>684</v>
      </c>
      <c r="H69" s="9" t="s">
        <v>225</v>
      </c>
      <c r="I69" s="8" t="s">
        <v>98</v>
      </c>
      <c r="J69" s="9" t="s">
        <v>24</v>
      </c>
      <c r="K69" s="9" t="s">
        <v>704</v>
      </c>
      <c r="L69" s="9" t="s">
        <v>699</v>
      </c>
      <c r="M69" s="8" t="s">
        <v>14</v>
      </c>
      <c r="N69" s="11" t="s">
        <v>98</v>
      </c>
      <c r="O69" s="12" t="s">
        <v>208</v>
      </c>
      <c r="P69" s="42" t="s">
        <v>276</v>
      </c>
      <c r="Q69" s="46" t="s">
        <v>741</v>
      </c>
      <c r="R69" s="46" t="s">
        <v>276</v>
      </c>
      <c r="S69" s="46" t="s">
        <v>276</v>
      </c>
      <c r="T69" s="9" t="s">
        <v>725</v>
      </c>
      <c r="U69" s="13">
        <v>3171</v>
      </c>
      <c r="V69" s="34">
        <v>3174</v>
      </c>
      <c r="W69" s="8" t="s">
        <v>276</v>
      </c>
      <c r="X69" s="8" t="s">
        <v>276</v>
      </c>
      <c r="Y69" s="8" t="s">
        <v>276</v>
      </c>
      <c r="Z69" s="8" t="s">
        <v>276</v>
      </c>
      <c r="AA69" s="8" t="s">
        <v>276</v>
      </c>
      <c r="AB69" s="8" t="s">
        <v>276</v>
      </c>
      <c r="AC69" s="9" t="s">
        <v>799</v>
      </c>
      <c r="AD69" s="9" t="s">
        <v>689</v>
      </c>
      <c r="AE69" s="8">
        <v>84</v>
      </c>
      <c r="AF69" s="8">
        <v>63</v>
      </c>
      <c r="AG69" s="13">
        <f t="shared" si="16"/>
        <v>3171</v>
      </c>
      <c r="AH69" s="13">
        <f t="shared" si="16"/>
        <v>3174</v>
      </c>
      <c r="AI69" s="38" t="s">
        <v>690</v>
      </c>
      <c r="AJ69" s="43" t="s">
        <v>276</v>
      </c>
      <c r="AK69" s="14">
        <f t="shared" si="17"/>
        <v>26.490066225165563</v>
      </c>
      <c r="AL69" s="14" t="s">
        <v>276</v>
      </c>
      <c r="AM69" s="14" t="s">
        <v>276</v>
      </c>
      <c r="AN69" s="43" t="s">
        <v>276</v>
      </c>
      <c r="AO69" s="14">
        <f t="shared" si="18"/>
        <v>19.848771266540641</v>
      </c>
      <c r="AP69" s="14" t="s">
        <v>276</v>
      </c>
      <c r="AQ69" s="14" t="s">
        <v>276</v>
      </c>
      <c r="AR69" s="8" t="s">
        <v>268</v>
      </c>
      <c r="AS69" s="14" t="s">
        <v>276</v>
      </c>
      <c r="AT69" s="14">
        <f t="shared" si="19"/>
        <v>1.3345947650583414</v>
      </c>
      <c r="AU69" s="14" t="s">
        <v>276</v>
      </c>
      <c r="AV69" s="14" t="s">
        <v>276</v>
      </c>
      <c r="AW69" s="8" t="s">
        <v>276</v>
      </c>
      <c r="AX69" s="8" t="s">
        <v>98</v>
      </c>
      <c r="AY69" s="8" t="s">
        <v>276</v>
      </c>
      <c r="AZ69" s="8" t="s">
        <v>276</v>
      </c>
      <c r="BA69" s="8" t="s">
        <v>276</v>
      </c>
      <c r="BB69" s="8" t="s">
        <v>276</v>
      </c>
      <c r="BC69" s="9" t="s">
        <v>800</v>
      </c>
      <c r="BD69" s="9" t="s">
        <v>801</v>
      </c>
      <c r="BE69" s="9" t="s">
        <v>100</v>
      </c>
      <c r="BF69" s="33" t="s">
        <v>98</v>
      </c>
    </row>
    <row r="70" spans="1:58" s="7" customFormat="1" ht="91" x14ac:dyDescent="0.3">
      <c r="A70" s="8">
        <v>653</v>
      </c>
      <c r="B70" s="8" t="s">
        <v>764</v>
      </c>
      <c r="C70" s="8" t="s">
        <v>72</v>
      </c>
      <c r="D70" s="9" t="s">
        <v>802</v>
      </c>
      <c r="E70" s="8" t="s">
        <v>39</v>
      </c>
      <c r="F70" s="9" t="s">
        <v>683</v>
      </c>
      <c r="G70" s="9" t="s">
        <v>684</v>
      </c>
      <c r="H70" s="9" t="s">
        <v>225</v>
      </c>
      <c r="I70" s="8" t="s">
        <v>98</v>
      </c>
      <c r="J70" s="9" t="s">
        <v>24</v>
      </c>
      <c r="K70" s="9" t="s">
        <v>704</v>
      </c>
      <c r="L70" s="9" t="s">
        <v>699</v>
      </c>
      <c r="M70" s="8" t="s">
        <v>14</v>
      </c>
      <c r="N70" s="11" t="s">
        <v>98</v>
      </c>
      <c r="O70" s="12" t="s">
        <v>208</v>
      </c>
      <c r="P70" s="42" t="s">
        <v>276</v>
      </c>
      <c r="Q70" s="46" t="s">
        <v>746</v>
      </c>
      <c r="R70" s="46" t="s">
        <v>276</v>
      </c>
      <c r="S70" s="46" t="s">
        <v>276</v>
      </c>
      <c r="T70" s="9" t="s">
        <v>725</v>
      </c>
      <c r="U70" s="13">
        <v>3171</v>
      </c>
      <c r="V70" s="34">
        <v>3174</v>
      </c>
      <c r="W70" s="8" t="s">
        <v>276</v>
      </c>
      <c r="X70" s="8" t="s">
        <v>276</v>
      </c>
      <c r="Y70" s="8" t="s">
        <v>276</v>
      </c>
      <c r="Z70" s="8" t="s">
        <v>276</v>
      </c>
      <c r="AA70" s="8" t="s">
        <v>276</v>
      </c>
      <c r="AB70" s="8" t="s">
        <v>276</v>
      </c>
      <c r="AC70" s="9" t="s">
        <v>803</v>
      </c>
      <c r="AD70" s="9" t="s">
        <v>689</v>
      </c>
      <c r="AE70" s="8">
        <v>96</v>
      </c>
      <c r="AF70" s="8">
        <v>81</v>
      </c>
      <c r="AG70" s="13">
        <f t="shared" si="16"/>
        <v>3171</v>
      </c>
      <c r="AH70" s="13">
        <f t="shared" si="16"/>
        <v>3174</v>
      </c>
      <c r="AI70" s="38" t="s">
        <v>690</v>
      </c>
      <c r="AJ70" s="43" t="s">
        <v>276</v>
      </c>
      <c r="AK70" s="14">
        <f t="shared" si="17"/>
        <v>30.274361400189214</v>
      </c>
      <c r="AL70" s="14" t="s">
        <v>276</v>
      </c>
      <c r="AM70" s="14" t="s">
        <v>276</v>
      </c>
      <c r="AN70" s="43" t="s">
        <v>276</v>
      </c>
      <c r="AO70" s="14">
        <f t="shared" si="18"/>
        <v>25.519848771266542</v>
      </c>
      <c r="AP70" s="14" t="s">
        <v>276</v>
      </c>
      <c r="AQ70" s="14" t="s">
        <v>276</v>
      </c>
      <c r="AR70" s="8" t="s">
        <v>268</v>
      </c>
      <c r="AS70" s="14" t="s">
        <v>276</v>
      </c>
      <c r="AT70" s="14">
        <f t="shared" si="19"/>
        <v>1.1863064578296365</v>
      </c>
      <c r="AU70" s="14" t="s">
        <v>276</v>
      </c>
      <c r="AV70" s="14" t="s">
        <v>276</v>
      </c>
      <c r="AW70" s="8" t="s">
        <v>276</v>
      </c>
      <c r="AX70" s="8" t="s">
        <v>98</v>
      </c>
      <c r="AY70" s="8" t="s">
        <v>276</v>
      </c>
      <c r="AZ70" s="8" t="s">
        <v>276</v>
      </c>
      <c r="BA70" s="8" t="s">
        <v>276</v>
      </c>
      <c r="BB70" s="8" t="s">
        <v>276</v>
      </c>
      <c r="BC70" s="9" t="s">
        <v>800</v>
      </c>
      <c r="BD70" s="9" t="s">
        <v>801</v>
      </c>
      <c r="BE70" s="9" t="s">
        <v>100</v>
      </c>
      <c r="BF70" s="33" t="s">
        <v>98</v>
      </c>
    </row>
    <row r="71" spans="1:58" s="7" customFormat="1" ht="91" x14ac:dyDescent="0.3">
      <c r="A71" s="8">
        <v>653</v>
      </c>
      <c r="B71" s="8" t="s">
        <v>764</v>
      </c>
      <c r="C71" s="8" t="s">
        <v>72</v>
      </c>
      <c r="D71" s="9" t="s">
        <v>804</v>
      </c>
      <c r="E71" s="8" t="s">
        <v>39</v>
      </c>
      <c r="F71" s="9" t="s">
        <v>683</v>
      </c>
      <c r="G71" s="9" t="s">
        <v>684</v>
      </c>
      <c r="H71" s="9" t="s">
        <v>225</v>
      </c>
      <c r="I71" s="8" t="s">
        <v>98</v>
      </c>
      <c r="J71" s="9" t="s">
        <v>24</v>
      </c>
      <c r="K71" s="9" t="s">
        <v>704</v>
      </c>
      <c r="L71" s="9" t="s">
        <v>699</v>
      </c>
      <c r="M71" s="8" t="s">
        <v>14</v>
      </c>
      <c r="N71" s="11" t="s">
        <v>98</v>
      </c>
      <c r="O71" s="12" t="s">
        <v>208</v>
      </c>
      <c r="P71" s="42" t="s">
        <v>276</v>
      </c>
      <c r="Q71" s="46" t="s">
        <v>752</v>
      </c>
      <c r="R71" s="46" t="s">
        <v>276</v>
      </c>
      <c r="S71" s="46" t="s">
        <v>276</v>
      </c>
      <c r="T71" s="9" t="s">
        <v>725</v>
      </c>
      <c r="U71" s="13">
        <v>3171</v>
      </c>
      <c r="V71" s="34">
        <v>3174</v>
      </c>
      <c r="W71" s="8" t="s">
        <v>276</v>
      </c>
      <c r="X71" s="8" t="s">
        <v>276</v>
      </c>
      <c r="Y71" s="8" t="s">
        <v>276</v>
      </c>
      <c r="Z71" s="8" t="s">
        <v>276</v>
      </c>
      <c r="AA71" s="8" t="s">
        <v>276</v>
      </c>
      <c r="AB71" s="8" t="s">
        <v>276</v>
      </c>
      <c r="AC71" s="9" t="s">
        <v>805</v>
      </c>
      <c r="AD71" s="9" t="s">
        <v>689</v>
      </c>
      <c r="AE71" s="8">
        <v>117</v>
      </c>
      <c r="AF71" s="8">
        <v>102</v>
      </c>
      <c r="AG71" s="13">
        <f t="shared" si="16"/>
        <v>3171</v>
      </c>
      <c r="AH71" s="13">
        <f t="shared" si="16"/>
        <v>3174</v>
      </c>
      <c r="AI71" s="38" t="s">
        <v>690</v>
      </c>
      <c r="AJ71" s="43" t="s">
        <v>276</v>
      </c>
      <c r="AK71" s="14">
        <f t="shared" si="17"/>
        <v>36.896877956480608</v>
      </c>
      <c r="AL71" s="14" t="s">
        <v>276</v>
      </c>
      <c r="AM71" s="14" t="s">
        <v>276</v>
      </c>
      <c r="AN71" s="43" t="s">
        <v>276</v>
      </c>
      <c r="AO71" s="14">
        <f t="shared" si="18"/>
        <v>32.136105860113425</v>
      </c>
      <c r="AP71" s="14" t="s">
        <v>276</v>
      </c>
      <c r="AQ71" s="14" t="s">
        <v>276</v>
      </c>
      <c r="AR71" s="8" t="s">
        <v>268</v>
      </c>
      <c r="AS71" s="14" t="s">
        <v>276</v>
      </c>
      <c r="AT71" s="14">
        <f t="shared" si="19"/>
        <v>1.1481440258222495</v>
      </c>
      <c r="AU71" s="14" t="s">
        <v>276</v>
      </c>
      <c r="AV71" s="14" t="s">
        <v>276</v>
      </c>
      <c r="AW71" s="8" t="s">
        <v>276</v>
      </c>
      <c r="AX71" s="8" t="s">
        <v>98</v>
      </c>
      <c r="AY71" s="8" t="s">
        <v>276</v>
      </c>
      <c r="AZ71" s="8" t="s">
        <v>276</v>
      </c>
      <c r="BA71" s="8" t="s">
        <v>276</v>
      </c>
      <c r="BB71" s="8" t="s">
        <v>276</v>
      </c>
      <c r="BC71" s="9" t="s">
        <v>800</v>
      </c>
      <c r="BD71" s="9" t="s">
        <v>801</v>
      </c>
      <c r="BE71" s="9" t="s">
        <v>100</v>
      </c>
      <c r="BF71" s="33" t="s">
        <v>98</v>
      </c>
    </row>
    <row r="72" spans="1:58" s="7" customFormat="1" ht="91" x14ac:dyDescent="0.3">
      <c r="A72" s="8">
        <v>653</v>
      </c>
      <c r="B72" s="8" t="s">
        <v>764</v>
      </c>
      <c r="C72" s="8" t="s">
        <v>72</v>
      </c>
      <c r="D72" s="9" t="s">
        <v>806</v>
      </c>
      <c r="E72" s="8" t="s">
        <v>39</v>
      </c>
      <c r="F72" s="9" t="s">
        <v>683</v>
      </c>
      <c r="G72" s="9" t="s">
        <v>684</v>
      </c>
      <c r="H72" s="9" t="s">
        <v>225</v>
      </c>
      <c r="I72" s="8" t="s">
        <v>98</v>
      </c>
      <c r="J72" s="9" t="s">
        <v>24</v>
      </c>
      <c r="K72" s="9" t="s">
        <v>704</v>
      </c>
      <c r="L72" s="9" t="s">
        <v>699</v>
      </c>
      <c r="M72" s="8" t="s">
        <v>14</v>
      </c>
      <c r="N72" s="11" t="s">
        <v>98</v>
      </c>
      <c r="O72" s="12" t="s">
        <v>208</v>
      </c>
      <c r="P72" s="42" t="s">
        <v>276</v>
      </c>
      <c r="Q72" s="46" t="s">
        <v>766</v>
      </c>
      <c r="R72" s="46" t="s">
        <v>276</v>
      </c>
      <c r="S72" s="46" t="s">
        <v>276</v>
      </c>
      <c r="T72" s="9" t="s">
        <v>725</v>
      </c>
      <c r="U72" s="13">
        <v>3171</v>
      </c>
      <c r="V72" s="34">
        <v>3174</v>
      </c>
      <c r="W72" s="8" t="s">
        <v>276</v>
      </c>
      <c r="X72" s="8" t="s">
        <v>276</v>
      </c>
      <c r="Y72" s="8" t="s">
        <v>276</v>
      </c>
      <c r="Z72" s="8" t="s">
        <v>276</v>
      </c>
      <c r="AA72" s="8" t="s">
        <v>276</v>
      </c>
      <c r="AB72" s="8" t="s">
        <v>276</v>
      </c>
      <c r="AC72" s="9" t="s">
        <v>807</v>
      </c>
      <c r="AD72" s="9" t="s">
        <v>689</v>
      </c>
      <c r="AE72" s="8">
        <v>136</v>
      </c>
      <c r="AF72" s="8">
        <v>120</v>
      </c>
      <c r="AG72" s="13">
        <f t="shared" si="16"/>
        <v>3171</v>
      </c>
      <c r="AH72" s="13">
        <f t="shared" si="16"/>
        <v>3174</v>
      </c>
      <c r="AI72" s="38" t="s">
        <v>690</v>
      </c>
      <c r="AJ72" s="43" t="s">
        <v>276</v>
      </c>
      <c r="AK72" s="14">
        <f t="shared" si="17"/>
        <v>42.888678650268055</v>
      </c>
      <c r="AL72" s="14" t="s">
        <v>276</v>
      </c>
      <c r="AM72" s="14" t="s">
        <v>276</v>
      </c>
      <c r="AN72" s="43" t="s">
        <v>276</v>
      </c>
      <c r="AO72" s="14">
        <f t="shared" si="18"/>
        <v>37.807183364839318</v>
      </c>
      <c r="AP72" s="14" t="s">
        <v>276</v>
      </c>
      <c r="AQ72" s="14" t="s">
        <v>276</v>
      </c>
      <c r="AR72" s="8" t="s">
        <v>268</v>
      </c>
      <c r="AS72" s="14" t="s">
        <v>276</v>
      </c>
      <c r="AT72" s="14">
        <f t="shared" si="19"/>
        <v>1.13440555029959</v>
      </c>
      <c r="AU72" s="14" t="s">
        <v>276</v>
      </c>
      <c r="AV72" s="14" t="s">
        <v>276</v>
      </c>
      <c r="AW72" s="8" t="s">
        <v>276</v>
      </c>
      <c r="AX72" s="8" t="s">
        <v>98</v>
      </c>
      <c r="AY72" s="8" t="s">
        <v>276</v>
      </c>
      <c r="AZ72" s="8" t="s">
        <v>276</v>
      </c>
      <c r="BA72" s="8" t="s">
        <v>276</v>
      </c>
      <c r="BB72" s="8" t="s">
        <v>276</v>
      </c>
      <c r="BC72" s="9" t="s">
        <v>800</v>
      </c>
      <c r="BD72" s="9" t="s">
        <v>801</v>
      </c>
      <c r="BE72" s="9" t="s">
        <v>100</v>
      </c>
      <c r="BF72" s="33" t="s">
        <v>98</v>
      </c>
    </row>
    <row r="73" spans="1:58" s="7" customFormat="1" ht="91" x14ac:dyDescent="0.3">
      <c r="A73" s="8">
        <v>653</v>
      </c>
      <c r="B73" s="8" t="s">
        <v>764</v>
      </c>
      <c r="C73" s="8" t="s">
        <v>72</v>
      </c>
      <c r="D73" s="9" t="s">
        <v>808</v>
      </c>
      <c r="E73" s="8" t="s">
        <v>39</v>
      </c>
      <c r="F73" s="9" t="s">
        <v>683</v>
      </c>
      <c r="G73" s="9" t="s">
        <v>684</v>
      </c>
      <c r="H73" s="9" t="s">
        <v>225</v>
      </c>
      <c r="I73" s="8" t="s">
        <v>98</v>
      </c>
      <c r="J73" s="9" t="s">
        <v>24</v>
      </c>
      <c r="K73" s="9" t="s">
        <v>704</v>
      </c>
      <c r="L73" s="9" t="s">
        <v>699</v>
      </c>
      <c r="M73" s="8" t="s">
        <v>14</v>
      </c>
      <c r="N73" s="11" t="s">
        <v>98</v>
      </c>
      <c r="O73" s="12" t="s">
        <v>208</v>
      </c>
      <c r="P73" s="42" t="s">
        <v>276</v>
      </c>
      <c r="Q73" s="46" t="s">
        <v>770</v>
      </c>
      <c r="R73" s="46" t="s">
        <v>276</v>
      </c>
      <c r="S73" s="46" t="s">
        <v>276</v>
      </c>
      <c r="T73" s="9" t="s">
        <v>725</v>
      </c>
      <c r="U73" s="13">
        <v>3171</v>
      </c>
      <c r="V73" s="34">
        <v>3174</v>
      </c>
      <c r="W73" s="8" t="s">
        <v>276</v>
      </c>
      <c r="X73" s="8" t="s">
        <v>276</v>
      </c>
      <c r="Y73" s="8" t="s">
        <v>276</v>
      </c>
      <c r="Z73" s="8" t="s">
        <v>276</v>
      </c>
      <c r="AA73" s="8" t="s">
        <v>276</v>
      </c>
      <c r="AB73" s="8" t="s">
        <v>276</v>
      </c>
      <c r="AC73" s="9" t="s">
        <v>809</v>
      </c>
      <c r="AD73" s="9" t="s">
        <v>689</v>
      </c>
      <c r="AE73" s="8">
        <v>158</v>
      </c>
      <c r="AF73" s="8">
        <v>141</v>
      </c>
      <c r="AG73" s="13">
        <f t="shared" ref="AG73:AH77" si="20">U73</f>
        <v>3171</v>
      </c>
      <c r="AH73" s="13">
        <f t="shared" si="20"/>
        <v>3174</v>
      </c>
      <c r="AI73" s="38" t="s">
        <v>690</v>
      </c>
      <c r="AJ73" s="43" t="s">
        <v>276</v>
      </c>
      <c r="AK73" s="14">
        <f t="shared" si="17"/>
        <v>49.826553137811416</v>
      </c>
      <c r="AL73" s="14" t="s">
        <v>276</v>
      </c>
      <c r="AM73" s="14" t="s">
        <v>276</v>
      </c>
      <c r="AN73" s="43" t="s">
        <v>276</v>
      </c>
      <c r="AO73" s="14">
        <f t="shared" si="18"/>
        <v>44.423440453686197</v>
      </c>
      <c r="AP73" s="14" t="s">
        <v>276</v>
      </c>
      <c r="AQ73" s="14" t="s">
        <v>276</v>
      </c>
      <c r="AR73" s="8" t="s">
        <v>268</v>
      </c>
      <c r="AS73" s="14" t="s">
        <v>276</v>
      </c>
      <c r="AT73" s="14">
        <f t="shared" si="19"/>
        <v>1.1216275153149891</v>
      </c>
      <c r="AU73" s="14" t="s">
        <v>276</v>
      </c>
      <c r="AV73" s="14" t="s">
        <v>276</v>
      </c>
      <c r="AW73" s="8" t="s">
        <v>276</v>
      </c>
      <c r="AX73" s="8" t="s">
        <v>98</v>
      </c>
      <c r="AY73" s="8" t="s">
        <v>276</v>
      </c>
      <c r="AZ73" s="8" t="s">
        <v>276</v>
      </c>
      <c r="BA73" s="8" t="s">
        <v>276</v>
      </c>
      <c r="BB73" s="8" t="s">
        <v>276</v>
      </c>
      <c r="BC73" s="9" t="s">
        <v>800</v>
      </c>
      <c r="BD73" s="9" t="s">
        <v>801</v>
      </c>
      <c r="BE73" s="9" t="s">
        <v>100</v>
      </c>
      <c r="BF73" s="33" t="s">
        <v>98</v>
      </c>
    </row>
    <row r="74" spans="1:58" s="7" customFormat="1" ht="91" x14ac:dyDescent="0.3">
      <c r="A74" s="8">
        <v>653</v>
      </c>
      <c r="B74" s="8" t="s">
        <v>764</v>
      </c>
      <c r="C74" s="8" t="s">
        <v>72</v>
      </c>
      <c r="D74" s="9" t="s">
        <v>810</v>
      </c>
      <c r="E74" s="8" t="s">
        <v>39</v>
      </c>
      <c r="F74" s="9" t="s">
        <v>683</v>
      </c>
      <c r="G74" s="9" t="s">
        <v>684</v>
      </c>
      <c r="H74" s="9" t="s">
        <v>225</v>
      </c>
      <c r="I74" s="8" t="s">
        <v>98</v>
      </c>
      <c r="J74" s="9" t="s">
        <v>24</v>
      </c>
      <c r="K74" s="9" t="s">
        <v>704</v>
      </c>
      <c r="L74" s="9" t="s">
        <v>699</v>
      </c>
      <c r="M74" s="8" t="s">
        <v>14</v>
      </c>
      <c r="N74" s="11" t="s">
        <v>98</v>
      </c>
      <c r="O74" s="12" t="s">
        <v>208</v>
      </c>
      <c r="P74" s="42" t="s">
        <v>276</v>
      </c>
      <c r="Q74" s="46" t="s">
        <v>773</v>
      </c>
      <c r="R74" s="46" t="s">
        <v>276</v>
      </c>
      <c r="S74" s="46" t="s">
        <v>276</v>
      </c>
      <c r="T74" s="9" t="s">
        <v>725</v>
      </c>
      <c r="U74" s="13">
        <v>3171</v>
      </c>
      <c r="V74" s="34">
        <v>3174</v>
      </c>
      <c r="W74" s="8" t="s">
        <v>276</v>
      </c>
      <c r="X74" s="8" t="s">
        <v>276</v>
      </c>
      <c r="Y74" s="8" t="s">
        <v>276</v>
      </c>
      <c r="Z74" s="8" t="s">
        <v>276</v>
      </c>
      <c r="AA74" s="8" t="s">
        <v>276</v>
      </c>
      <c r="AB74" s="8" t="s">
        <v>276</v>
      </c>
      <c r="AC74" s="9" t="s">
        <v>811</v>
      </c>
      <c r="AD74" s="9" t="s">
        <v>689</v>
      </c>
      <c r="AE74" s="8">
        <v>177</v>
      </c>
      <c r="AF74" s="8">
        <v>159</v>
      </c>
      <c r="AG74" s="13">
        <f t="shared" si="20"/>
        <v>3171</v>
      </c>
      <c r="AH74" s="13">
        <f t="shared" si="20"/>
        <v>3174</v>
      </c>
      <c r="AI74" s="38" t="s">
        <v>690</v>
      </c>
      <c r="AJ74" s="43" t="s">
        <v>276</v>
      </c>
      <c r="AK74" s="14">
        <f t="shared" si="17"/>
        <v>55.818353831598863</v>
      </c>
      <c r="AL74" s="14" t="s">
        <v>276</v>
      </c>
      <c r="AM74" s="14" t="s">
        <v>276</v>
      </c>
      <c r="AN74" s="43" t="s">
        <v>276</v>
      </c>
      <c r="AO74" s="14">
        <f t="shared" si="18"/>
        <v>50.094517958412098</v>
      </c>
      <c r="AP74" s="14" t="s">
        <v>276</v>
      </c>
      <c r="AQ74" s="14" t="s">
        <v>276</v>
      </c>
      <c r="AR74" s="8" t="s">
        <v>268</v>
      </c>
      <c r="AS74" s="14" t="s">
        <v>276</v>
      </c>
      <c r="AT74" s="14">
        <f t="shared" si="19"/>
        <v>1.1142607236572</v>
      </c>
      <c r="AU74" s="14" t="s">
        <v>276</v>
      </c>
      <c r="AV74" s="14" t="s">
        <v>276</v>
      </c>
      <c r="AW74" s="8" t="s">
        <v>276</v>
      </c>
      <c r="AX74" s="8" t="s">
        <v>98</v>
      </c>
      <c r="AY74" s="8" t="s">
        <v>276</v>
      </c>
      <c r="AZ74" s="8" t="s">
        <v>276</v>
      </c>
      <c r="BA74" s="8" t="s">
        <v>276</v>
      </c>
      <c r="BB74" s="8" t="s">
        <v>276</v>
      </c>
      <c r="BC74" s="9" t="s">
        <v>800</v>
      </c>
      <c r="BD74" s="9" t="s">
        <v>801</v>
      </c>
      <c r="BE74" s="9" t="s">
        <v>100</v>
      </c>
      <c r="BF74" s="33" t="s">
        <v>98</v>
      </c>
    </row>
    <row r="75" spans="1:58" s="7" customFormat="1" ht="91" x14ac:dyDescent="0.3">
      <c r="A75" s="8">
        <v>653</v>
      </c>
      <c r="B75" s="8" t="s">
        <v>764</v>
      </c>
      <c r="C75" s="8" t="s">
        <v>72</v>
      </c>
      <c r="D75" s="9" t="s">
        <v>812</v>
      </c>
      <c r="E75" s="8" t="s">
        <v>39</v>
      </c>
      <c r="F75" s="9" t="s">
        <v>683</v>
      </c>
      <c r="G75" s="9" t="s">
        <v>684</v>
      </c>
      <c r="H75" s="9" t="s">
        <v>225</v>
      </c>
      <c r="I75" s="8" t="s">
        <v>98</v>
      </c>
      <c r="J75" s="9" t="s">
        <v>24</v>
      </c>
      <c r="K75" s="9" t="s">
        <v>704</v>
      </c>
      <c r="L75" s="9" t="s">
        <v>699</v>
      </c>
      <c r="M75" s="8" t="s">
        <v>14</v>
      </c>
      <c r="N75" s="11" t="s">
        <v>98</v>
      </c>
      <c r="O75" s="12" t="s">
        <v>208</v>
      </c>
      <c r="P75" s="42" t="s">
        <v>276</v>
      </c>
      <c r="Q75" s="46" t="s">
        <v>776</v>
      </c>
      <c r="R75" s="46" t="s">
        <v>276</v>
      </c>
      <c r="S75" s="46" t="s">
        <v>276</v>
      </c>
      <c r="T75" s="9" t="s">
        <v>725</v>
      </c>
      <c r="U75" s="13">
        <v>3171</v>
      </c>
      <c r="V75" s="34">
        <v>3174</v>
      </c>
      <c r="W75" s="8" t="s">
        <v>276</v>
      </c>
      <c r="X75" s="8" t="s">
        <v>276</v>
      </c>
      <c r="Y75" s="8" t="s">
        <v>276</v>
      </c>
      <c r="Z75" s="8" t="s">
        <v>276</v>
      </c>
      <c r="AA75" s="8" t="s">
        <v>276</v>
      </c>
      <c r="AB75" s="8" t="s">
        <v>276</v>
      </c>
      <c r="AC75" s="9" t="s">
        <v>813</v>
      </c>
      <c r="AD75" s="9" t="s">
        <v>689</v>
      </c>
      <c r="AE75" s="8">
        <v>205</v>
      </c>
      <c r="AF75" s="8">
        <v>188</v>
      </c>
      <c r="AG75" s="13">
        <f t="shared" si="20"/>
        <v>3171</v>
      </c>
      <c r="AH75" s="13">
        <f t="shared" si="20"/>
        <v>3174</v>
      </c>
      <c r="AI75" s="38" t="s">
        <v>690</v>
      </c>
      <c r="AJ75" s="43" t="s">
        <v>276</v>
      </c>
      <c r="AK75" s="14">
        <f t="shared" si="17"/>
        <v>64.648375906654053</v>
      </c>
      <c r="AL75" s="14" t="s">
        <v>276</v>
      </c>
      <c r="AM75" s="14" t="s">
        <v>276</v>
      </c>
      <c r="AN75" s="43" t="s">
        <v>276</v>
      </c>
      <c r="AO75" s="14">
        <f t="shared" si="18"/>
        <v>59.231253938248265</v>
      </c>
      <c r="AP75" s="14" t="s">
        <v>276</v>
      </c>
      <c r="AQ75" s="14" t="s">
        <v>276</v>
      </c>
      <c r="AR75" s="8" t="s">
        <v>268</v>
      </c>
      <c r="AS75" s="14" t="s">
        <v>276</v>
      </c>
      <c r="AT75" s="14">
        <f t="shared" si="19"/>
        <v>1.0914571549346808</v>
      </c>
      <c r="AU75" s="14" t="s">
        <v>276</v>
      </c>
      <c r="AV75" s="14" t="s">
        <v>276</v>
      </c>
      <c r="AW75" s="8" t="s">
        <v>276</v>
      </c>
      <c r="AX75" s="8" t="s">
        <v>98</v>
      </c>
      <c r="AY75" s="8" t="s">
        <v>276</v>
      </c>
      <c r="AZ75" s="8" t="s">
        <v>276</v>
      </c>
      <c r="BA75" s="8" t="s">
        <v>276</v>
      </c>
      <c r="BB75" s="8" t="s">
        <v>276</v>
      </c>
      <c r="BC75" s="9" t="s">
        <v>800</v>
      </c>
      <c r="BD75" s="9" t="s">
        <v>801</v>
      </c>
      <c r="BE75" s="9" t="s">
        <v>100</v>
      </c>
      <c r="BF75" s="33" t="s">
        <v>98</v>
      </c>
    </row>
    <row r="76" spans="1:58" s="7" customFormat="1" ht="91" x14ac:dyDescent="0.3">
      <c r="A76" s="8">
        <v>653</v>
      </c>
      <c r="B76" s="8" t="s">
        <v>764</v>
      </c>
      <c r="C76" s="8" t="s">
        <v>72</v>
      </c>
      <c r="D76" s="9" t="s">
        <v>814</v>
      </c>
      <c r="E76" s="8" t="s">
        <v>39</v>
      </c>
      <c r="F76" s="9" t="s">
        <v>683</v>
      </c>
      <c r="G76" s="9" t="s">
        <v>684</v>
      </c>
      <c r="H76" s="9" t="s">
        <v>225</v>
      </c>
      <c r="I76" s="8" t="s">
        <v>98</v>
      </c>
      <c r="J76" s="9" t="s">
        <v>24</v>
      </c>
      <c r="K76" s="9" t="s">
        <v>704</v>
      </c>
      <c r="L76" s="9" t="s">
        <v>699</v>
      </c>
      <c r="M76" s="8" t="s">
        <v>14</v>
      </c>
      <c r="N76" s="11" t="s">
        <v>98</v>
      </c>
      <c r="O76" s="12" t="s">
        <v>208</v>
      </c>
      <c r="P76" s="42" t="s">
        <v>276</v>
      </c>
      <c r="Q76" s="46" t="s">
        <v>779</v>
      </c>
      <c r="R76" s="46" t="s">
        <v>276</v>
      </c>
      <c r="S76" s="46" t="s">
        <v>276</v>
      </c>
      <c r="T76" s="9" t="s">
        <v>725</v>
      </c>
      <c r="U76" s="13">
        <v>3171</v>
      </c>
      <c r="V76" s="34">
        <v>3174</v>
      </c>
      <c r="W76" s="8" t="s">
        <v>276</v>
      </c>
      <c r="X76" s="8" t="s">
        <v>276</v>
      </c>
      <c r="Y76" s="8" t="s">
        <v>276</v>
      </c>
      <c r="Z76" s="8" t="s">
        <v>276</v>
      </c>
      <c r="AA76" s="8" t="s">
        <v>276</v>
      </c>
      <c r="AB76" s="8" t="s">
        <v>276</v>
      </c>
      <c r="AC76" s="9" t="s">
        <v>815</v>
      </c>
      <c r="AD76" s="9" t="s">
        <v>689</v>
      </c>
      <c r="AE76" s="8">
        <v>233</v>
      </c>
      <c r="AF76" s="8">
        <v>207</v>
      </c>
      <c r="AG76" s="13">
        <f t="shared" si="20"/>
        <v>3171</v>
      </c>
      <c r="AH76" s="13">
        <f t="shared" si="20"/>
        <v>3174</v>
      </c>
      <c r="AI76" s="38" t="s">
        <v>690</v>
      </c>
      <c r="AJ76" s="43" t="s">
        <v>276</v>
      </c>
      <c r="AK76" s="14">
        <f t="shared" si="17"/>
        <v>73.478397981709236</v>
      </c>
      <c r="AL76" s="14" t="s">
        <v>276</v>
      </c>
      <c r="AM76" s="14" t="s">
        <v>276</v>
      </c>
      <c r="AN76" s="43" t="s">
        <v>276</v>
      </c>
      <c r="AO76" s="14">
        <f t="shared" si="18"/>
        <v>65.217391304347828</v>
      </c>
      <c r="AP76" s="14" t="s">
        <v>276</v>
      </c>
      <c r="AQ76" s="14" t="s">
        <v>276</v>
      </c>
      <c r="AR76" s="8" t="s">
        <v>268</v>
      </c>
      <c r="AS76" s="14" t="s">
        <v>276</v>
      </c>
      <c r="AT76" s="14">
        <f t="shared" si="19"/>
        <v>1.1266687690528749</v>
      </c>
      <c r="AU76" s="14" t="s">
        <v>276</v>
      </c>
      <c r="AV76" s="14" t="s">
        <v>276</v>
      </c>
      <c r="AW76" s="8" t="s">
        <v>276</v>
      </c>
      <c r="AX76" s="8" t="s">
        <v>98</v>
      </c>
      <c r="AY76" s="8" t="s">
        <v>276</v>
      </c>
      <c r="AZ76" s="8" t="s">
        <v>276</v>
      </c>
      <c r="BA76" s="8" t="s">
        <v>276</v>
      </c>
      <c r="BB76" s="8" t="s">
        <v>276</v>
      </c>
      <c r="BC76" s="9" t="s">
        <v>800</v>
      </c>
      <c r="BD76" s="9" t="s">
        <v>801</v>
      </c>
      <c r="BE76" s="9" t="s">
        <v>100</v>
      </c>
      <c r="BF76" s="33" t="s">
        <v>98</v>
      </c>
    </row>
    <row r="77" spans="1:58" s="7" customFormat="1" ht="91" x14ac:dyDescent="0.3">
      <c r="A77" s="8">
        <v>653</v>
      </c>
      <c r="B77" s="8" t="s">
        <v>764</v>
      </c>
      <c r="C77" s="8" t="s">
        <v>72</v>
      </c>
      <c r="D77" s="9" t="s">
        <v>816</v>
      </c>
      <c r="E77" s="8" t="s">
        <v>39</v>
      </c>
      <c r="F77" s="9" t="s">
        <v>683</v>
      </c>
      <c r="G77" s="9" t="s">
        <v>684</v>
      </c>
      <c r="H77" s="9" t="s">
        <v>225</v>
      </c>
      <c r="I77" s="8" t="s">
        <v>98</v>
      </c>
      <c r="J77" s="9" t="s">
        <v>24</v>
      </c>
      <c r="K77" s="9" t="s">
        <v>704</v>
      </c>
      <c r="L77" s="9" t="s">
        <v>699</v>
      </c>
      <c r="M77" s="8" t="s">
        <v>14</v>
      </c>
      <c r="N77" s="11" t="s">
        <v>98</v>
      </c>
      <c r="O77" s="12" t="s">
        <v>208</v>
      </c>
      <c r="P77" s="42" t="s">
        <v>276</v>
      </c>
      <c r="Q77" s="46" t="s">
        <v>782</v>
      </c>
      <c r="R77" s="46" t="s">
        <v>276</v>
      </c>
      <c r="S77" s="46" t="s">
        <v>276</v>
      </c>
      <c r="T77" s="9" t="s">
        <v>725</v>
      </c>
      <c r="U77" s="13">
        <v>3171</v>
      </c>
      <c r="V77" s="34">
        <v>3174</v>
      </c>
      <c r="W77" s="8" t="s">
        <v>276</v>
      </c>
      <c r="X77" s="8" t="s">
        <v>276</v>
      </c>
      <c r="Y77" s="8" t="s">
        <v>276</v>
      </c>
      <c r="Z77" s="8" t="s">
        <v>276</v>
      </c>
      <c r="AA77" s="8" t="s">
        <v>276</v>
      </c>
      <c r="AB77" s="8" t="s">
        <v>276</v>
      </c>
      <c r="AC77" s="9" t="s">
        <v>817</v>
      </c>
      <c r="AD77" s="9" t="s">
        <v>689</v>
      </c>
      <c r="AE77" s="8">
        <v>247</v>
      </c>
      <c r="AF77" s="8">
        <v>216</v>
      </c>
      <c r="AG77" s="13">
        <f t="shared" si="20"/>
        <v>3171</v>
      </c>
      <c r="AH77" s="13">
        <f t="shared" si="20"/>
        <v>3174</v>
      </c>
      <c r="AI77" s="38" t="s">
        <v>690</v>
      </c>
      <c r="AJ77" s="43" t="s">
        <v>276</v>
      </c>
      <c r="AK77" s="14">
        <f t="shared" si="17"/>
        <v>77.893409019236827</v>
      </c>
      <c r="AL77" s="14" t="s">
        <v>276</v>
      </c>
      <c r="AM77" s="14" t="s">
        <v>276</v>
      </c>
      <c r="AN77" s="43" t="s">
        <v>276</v>
      </c>
      <c r="AO77" s="14">
        <f t="shared" si="18"/>
        <v>68.052930056710778</v>
      </c>
      <c r="AP77" s="14" t="s">
        <v>276</v>
      </c>
      <c r="AQ77" s="14" t="s">
        <v>276</v>
      </c>
      <c r="AR77" s="8" t="s">
        <v>268</v>
      </c>
      <c r="AS77" s="14" t="s">
        <v>276</v>
      </c>
      <c r="AT77" s="14">
        <f t="shared" si="19"/>
        <v>1.1446003714215633</v>
      </c>
      <c r="AU77" s="14" t="s">
        <v>276</v>
      </c>
      <c r="AV77" s="14" t="s">
        <v>276</v>
      </c>
      <c r="AW77" s="8" t="s">
        <v>276</v>
      </c>
      <c r="AX77" s="8" t="s">
        <v>98</v>
      </c>
      <c r="AY77" s="8" t="s">
        <v>276</v>
      </c>
      <c r="AZ77" s="8" t="s">
        <v>276</v>
      </c>
      <c r="BA77" s="8" t="s">
        <v>276</v>
      </c>
      <c r="BB77" s="8" t="s">
        <v>276</v>
      </c>
      <c r="BC77" s="9" t="s">
        <v>818</v>
      </c>
      <c r="BD77" s="9" t="s">
        <v>801</v>
      </c>
      <c r="BE77" s="9" t="s">
        <v>99</v>
      </c>
      <c r="BF77" s="33" t="s">
        <v>11163</v>
      </c>
    </row>
    <row r="78" spans="1:58" s="7" customFormat="1" ht="52" x14ac:dyDescent="0.3">
      <c r="A78" s="8">
        <v>764</v>
      </c>
      <c r="B78" s="8" t="s">
        <v>859</v>
      </c>
      <c r="C78" s="8" t="s">
        <v>73</v>
      </c>
      <c r="D78" s="9" t="s">
        <v>860</v>
      </c>
      <c r="E78" s="8" t="s">
        <v>39</v>
      </c>
      <c r="F78" s="8" t="s">
        <v>143</v>
      </c>
      <c r="G78" s="8" t="s">
        <v>225</v>
      </c>
      <c r="H78" s="8" t="s">
        <v>125</v>
      </c>
      <c r="I78" s="8" t="s">
        <v>114</v>
      </c>
      <c r="J78" s="9" t="s">
        <v>23</v>
      </c>
      <c r="K78" s="9" t="s">
        <v>861</v>
      </c>
      <c r="L78" s="9" t="s">
        <v>862</v>
      </c>
      <c r="M78" s="8" t="s">
        <v>14</v>
      </c>
      <c r="N78" s="11" t="s">
        <v>98</v>
      </c>
      <c r="O78" s="12" t="s">
        <v>207</v>
      </c>
      <c r="P78" s="41">
        <v>40268</v>
      </c>
      <c r="Q78" s="9" t="s">
        <v>276</v>
      </c>
      <c r="R78" s="9" t="s">
        <v>863</v>
      </c>
      <c r="S78" s="9" t="s">
        <v>864</v>
      </c>
      <c r="T78" s="48">
        <v>5</v>
      </c>
      <c r="U78" s="13">
        <v>2052</v>
      </c>
      <c r="V78" s="38">
        <v>2052</v>
      </c>
      <c r="W78" s="8">
        <v>15</v>
      </c>
      <c r="X78" s="8">
        <v>14</v>
      </c>
      <c r="Y78" s="8">
        <v>0</v>
      </c>
      <c r="Z78" s="8" t="s">
        <v>98</v>
      </c>
      <c r="AA78" s="8">
        <v>0</v>
      </c>
      <c r="AB78" s="8" t="s">
        <v>98</v>
      </c>
      <c r="AC78" s="9" t="s">
        <v>865</v>
      </c>
      <c r="AD78" s="9" t="s">
        <v>866</v>
      </c>
      <c r="AE78" s="8">
        <v>61</v>
      </c>
      <c r="AF78" s="8">
        <v>42</v>
      </c>
      <c r="AG78" s="13">
        <v>2052</v>
      </c>
      <c r="AH78" s="13">
        <v>2052</v>
      </c>
      <c r="AI78" s="13" t="s">
        <v>292</v>
      </c>
      <c r="AJ78" s="14">
        <v>2.97</v>
      </c>
      <c r="AK78" s="31">
        <f>AE78*100/AG78</f>
        <v>2.9727095516569202</v>
      </c>
      <c r="AL78" s="14" t="s">
        <v>276</v>
      </c>
      <c r="AM78" s="14" t="s">
        <v>276</v>
      </c>
      <c r="AN78" s="14">
        <v>2.0499999999999998</v>
      </c>
      <c r="AO78" s="31">
        <f>AF78*100/AH78</f>
        <v>2.0467836257309941</v>
      </c>
      <c r="AP78" s="14" t="s">
        <v>276</v>
      </c>
      <c r="AQ78" s="14" t="s">
        <v>276</v>
      </c>
      <c r="AR78" s="8" t="s">
        <v>268</v>
      </c>
      <c r="AS78" s="14" t="s">
        <v>276</v>
      </c>
      <c r="AT78" s="31">
        <f>AK78/AO78</f>
        <v>1.4523809523809523</v>
      </c>
      <c r="AU78" s="14" t="s">
        <v>276</v>
      </c>
      <c r="AV78" s="14" t="s">
        <v>276</v>
      </c>
      <c r="AW78" s="8" t="s">
        <v>276</v>
      </c>
      <c r="AX78" s="8" t="s">
        <v>282</v>
      </c>
      <c r="AY78" s="8" t="s">
        <v>276</v>
      </c>
      <c r="AZ78" s="8" t="s">
        <v>276</v>
      </c>
      <c r="BA78" s="8" t="s">
        <v>276</v>
      </c>
      <c r="BB78" s="8" t="s">
        <v>276</v>
      </c>
      <c r="BC78" s="9" t="s">
        <v>867</v>
      </c>
      <c r="BD78" s="9" t="s">
        <v>868</v>
      </c>
      <c r="BE78" s="9" t="s">
        <v>100</v>
      </c>
      <c r="BF78" s="33" t="s">
        <v>98</v>
      </c>
    </row>
    <row r="79" spans="1:58" s="7" customFormat="1" ht="78" x14ac:dyDescent="0.3">
      <c r="A79" s="8">
        <v>764</v>
      </c>
      <c r="B79" s="8" t="s">
        <v>859</v>
      </c>
      <c r="C79" s="8" t="s">
        <v>73</v>
      </c>
      <c r="D79" s="9" t="s">
        <v>869</v>
      </c>
      <c r="E79" s="8" t="s">
        <v>39</v>
      </c>
      <c r="F79" s="8" t="s">
        <v>143</v>
      </c>
      <c r="G79" s="8" t="s">
        <v>225</v>
      </c>
      <c r="H79" s="8" t="s">
        <v>125</v>
      </c>
      <c r="I79" s="8" t="s">
        <v>114</v>
      </c>
      <c r="J79" s="9" t="s">
        <v>23</v>
      </c>
      <c r="K79" s="9" t="s">
        <v>861</v>
      </c>
      <c r="L79" s="9" t="s">
        <v>862</v>
      </c>
      <c r="M79" s="8" t="s">
        <v>14</v>
      </c>
      <c r="N79" s="11" t="s">
        <v>98</v>
      </c>
      <c r="O79" s="12" t="s">
        <v>207</v>
      </c>
      <c r="P79" s="41">
        <v>40268</v>
      </c>
      <c r="Q79" s="9" t="s">
        <v>276</v>
      </c>
      <c r="R79" s="9" t="s">
        <v>863</v>
      </c>
      <c r="S79" s="9" t="s">
        <v>864</v>
      </c>
      <c r="T79" s="48">
        <v>5</v>
      </c>
      <c r="U79" s="13">
        <v>2052</v>
      </c>
      <c r="V79" s="38">
        <v>2052</v>
      </c>
      <c r="W79" s="8">
        <v>15</v>
      </c>
      <c r="X79" s="8">
        <v>14</v>
      </c>
      <c r="Y79" s="8">
        <v>0</v>
      </c>
      <c r="Z79" s="8" t="s">
        <v>98</v>
      </c>
      <c r="AA79" s="8">
        <v>0</v>
      </c>
      <c r="AB79" s="8" t="s">
        <v>98</v>
      </c>
      <c r="AC79" s="9" t="s">
        <v>865</v>
      </c>
      <c r="AD79" s="9" t="s">
        <v>870</v>
      </c>
      <c r="AE79" s="8">
        <v>61</v>
      </c>
      <c r="AF79" s="8">
        <v>42</v>
      </c>
      <c r="AG79" s="13">
        <v>9769</v>
      </c>
      <c r="AH79" s="13">
        <v>9794</v>
      </c>
      <c r="AI79" s="13" t="s">
        <v>425</v>
      </c>
      <c r="AJ79" s="14" t="s">
        <v>276</v>
      </c>
      <c r="AK79" s="31">
        <f>AE79*1000/AG79</f>
        <v>6.2442419899682671</v>
      </c>
      <c r="AL79" s="14" t="s">
        <v>276</v>
      </c>
      <c r="AM79" s="14" t="s">
        <v>276</v>
      </c>
      <c r="AN79" s="14" t="s">
        <v>276</v>
      </c>
      <c r="AO79" s="31">
        <f>AF79*1000/AH79</f>
        <v>4.2883397998774759</v>
      </c>
      <c r="AP79" s="14" t="s">
        <v>276</v>
      </c>
      <c r="AQ79" s="14" t="s">
        <v>276</v>
      </c>
      <c r="AR79" s="8" t="s">
        <v>269</v>
      </c>
      <c r="AS79" s="14" t="s">
        <v>276</v>
      </c>
      <c r="AT79" s="31">
        <f>AK79/AO79</f>
        <v>1.4560977630892669</v>
      </c>
      <c r="AU79" s="14" t="s">
        <v>276</v>
      </c>
      <c r="AV79" s="14" t="s">
        <v>276</v>
      </c>
      <c r="AW79" s="8" t="s">
        <v>276</v>
      </c>
      <c r="AX79" s="8" t="s">
        <v>282</v>
      </c>
      <c r="AY79" s="8" t="s">
        <v>276</v>
      </c>
      <c r="AZ79" s="8" t="s">
        <v>276</v>
      </c>
      <c r="BA79" s="8" t="s">
        <v>276</v>
      </c>
      <c r="BB79" s="8" t="s">
        <v>276</v>
      </c>
      <c r="BC79" s="9" t="s">
        <v>871</v>
      </c>
      <c r="BD79" s="9" t="s">
        <v>868</v>
      </c>
      <c r="BE79" s="9" t="s">
        <v>100</v>
      </c>
      <c r="BF79" s="33" t="s">
        <v>98</v>
      </c>
    </row>
    <row r="80" spans="1:58" s="7" customFormat="1" ht="65" x14ac:dyDescent="0.3">
      <c r="A80" s="8">
        <v>764</v>
      </c>
      <c r="B80" s="8" t="s">
        <v>859</v>
      </c>
      <c r="C80" s="8" t="s">
        <v>73</v>
      </c>
      <c r="D80" s="9" t="s">
        <v>872</v>
      </c>
      <c r="E80" s="8" t="s">
        <v>39</v>
      </c>
      <c r="F80" s="8" t="s">
        <v>143</v>
      </c>
      <c r="G80" s="8" t="s">
        <v>225</v>
      </c>
      <c r="H80" s="8" t="s">
        <v>125</v>
      </c>
      <c r="I80" s="8" t="s">
        <v>114</v>
      </c>
      <c r="J80" s="9" t="s">
        <v>24</v>
      </c>
      <c r="K80" s="9" t="s">
        <v>873</v>
      </c>
      <c r="L80" s="9" t="s">
        <v>862</v>
      </c>
      <c r="M80" s="8" t="s">
        <v>14</v>
      </c>
      <c r="N80" s="11" t="s">
        <v>98</v>
      </c>
      <c r="O80" s="12" t="s">
        <v>207</v>
      </c>
      <c r="P80" s="41">
        <v>40268</v>
      </c>
      <c r="Q80" s="9" t="s">
        <v>276</v>
      </c>
      <c r="R80" s="9" t="s">
        <v>863</v>
      </c>
      <c r="S80" s="9" t="s">
        <v>864</v>
      </c>
      <c r="T80" s="48">
        <v>5</v>
      </c>
      <c r="U80" s="13">
        <v>2052</v>
      </c>
      <c r="V80" s="38">
        <v>2052</v>
      </c>
      <c r="W80" s="8">
        <v>15</v>
      </c>
      <c r="X80" s="8">
        <v>14</v>
      </c>
      <c r="Y80" s="8">
        <v>0</v>
      </c>
      <c r="Z80" s="8" t="s">
        <v>98</v>
      </c>
      <c r="AA80" s="8">
        <v>0</v>
      </c>
      <c r="AB80" s="8" t="s">
        <v>98</v>
      </c>
      <c r="AC80" s="9" t="s">
        <v>874</v>
      </c>
      <c r="AD80" s="9" t="s">
        <v>866</v>
      </c>
      <c r="AE80" s="8">
        <v>15</v>
      </c>
      <c r="AF80" s="8">
        <v>11</v>
      </c>
      <c r="AG80" s="13">
        <v>2052</v>
      </c>
      <c r="AH80" s="13">
        <v>2052</v>
      </c>
      <c r="AI80" s="13" t="s">
        <v>292</v>
      </c>
      <c r="AJ80" s="14">
        <v>0.73</v>
      </c>
      <c r="AK80" s="31">
        <f>AE80*100/AG80</f>
        <v>0.73099415204678364</v>
      </c>
      <c r="AL80" s="14" t="s">
        <v>276</v>
      </c>
      <c r="AM80" s="14" t="s">
        <v>276</v>
      </c>
      <c r="AN80" s="14">
        <v>0.54</v>
      </c>
      <c r="AO80" s="31">
        <f>AF80*100/AH80</f>
        <v>0.53606237816764135</v>
      </c>
      <c r="AP80" s="14" t="s">
        <v>276</v>
      </c>
      <c r="AQ80" s="14" t="s">
        <v>276</v>
      </c>
      <c r="AR80" s="8" t="s">
        <v>268</v>
      </c>
      <c r="AS80" s="14" t="s">
        <v>276</v>
      </c>
      <c r="AT80" s="31">
        <f>AK80/AO80</f>
        <v>1.3636363636363635</v>
      </c>
      <c r="AU80" s="14" t="s">
        <v>276</v>
      </c>
      <c r="AV80" s="14" t="s">
        <v>276</v>
      </c>
      <c r="AW80" s="8" t="s">
        <v>276</v>
      </c>
      <c r="AX80" s="8" t="s">
        <v>282</v>
      </c>
      <c r="AY80" s="8" t="s">
        <v>276</v>
      </c>
      <c r="AZ80" s="8" t="s">
        <v>276</v>
      </c>
      <c r="BA80" s="8" t="s">
        <v>276</v>
      </c>
      <c r="BB80" s="8" t="s">
        <v>276</v>
      </c>
      <c r="BC80" s="9" t="s">
        <v>875</v>
      </c>
      <c r="BD80" s="9" t="s">
        <v>868</v>
      </c>
      <c r="BE80" s="9" t="s">
        <v>100</v>
      </c>
      <c r="BF80" s="33" t="s">
        <v>98</v>
      </c>
    </row>
    <row r="81" spans="1:58" s="7" customFormat="1" ht="91" x14ac:dyDescent="0.3">
      <c r="A81" s="8">
        <v>764</v>
      </c>
      <c r="B81" s="8" t="s">
        <v>859</v>
      </c>
      <c r="C81" s="8" t="s">
        <v>73</v>
      </c>
      <c r="D81" s="9" t="s">
        <v>876</v>
      </c>
      <c r="E81" s="8" t="s">
        <v>39</v>
      </c>
      <c r="F81" s="8" t="s">
        <v>143</v>
      </c>
      <c r="G81" s="8" t="s">
        <v>225</v>
      </c>
      <c r="H81" s="8" t="s">
        <v>125</v>
      </c>
      <c r="I81" s="8" t="s">
        <v>114</v>
      </c>
      <c r="J81" s="9" t="s">
        <v>24</v>
      </c>
      <c r="K81" s="9" t="s">
        <v>873</v>
      </c>
      <c r="L81" s="9" t="s">
        <v>862</v>
      </c>
      <c r="M81" s="8" t="s">
        <v>14</v>
      </c>
      <c r="N81" s="11" t="s">
        <v>98</v>
      </c>
      <c r="O81" s="12" t="s">
        <v>207</v>
      </c>
      <c r="P81" s="41">
        <v>40268</v>
      </c>
      <c r="Q81" s="9" t="s">
        <v>276</v>
      </c>
      <c r="R81" s="9" t="s">
        <v>863</v>
      </c>
      <c r="S81" s="9" t="s">
        <v>864</v>
      </c>
      <c r="T81" s="48">
        <v>5</v>
      </c>
      <c r="U81" s="13">
        <v>2052</v>
      </c>
      <c r="V81" s="38">
        <v>2052</v>
      </c>
      <c r="W81" s="8">
        <v>15</v>
      </c>
      <c r="X81" s="8">
        <v>14</v>
      </c>
      <c r="Y81" s="8">
        <v>0</v>
      </c>
      <c r="Z81" s="8" t="s">
        <v>98</v>
      </c>
      <c r="AA81" s="8">
        <v>0</v>
      </c>
      <c r="AB81" s="8" t="s">
        <v>98</v>
      </c>
      <c r="AC81" s="9" t="s">
        <v>874</v>
      </c>
      <c r="AD81" s="9" t="s">
        <v>870</v>
      </c>
      <c r="AE81" s="8">
        <v>15</v>
      </c>
      <c r="AF81" s="8">
        <v>11</v>
      </c>
      <c r="AG81" s="13">
        <v>9769</v>
      </c>
      <c r="AH81" s="13">
        <v>9794</v>
      </c>
      <c r="AI81" s="13" t="s">
        <v>425</v>
      </c>
      <c r="AJ81" s="14" t="s">
        <v>276</v>
      </c>
      <c r="AK81" s="31">
        <f>AE81*1000/AG81</f>
        <v>1.5354693417954755</v>
      </c>
      <c r="AL81" s="14" t="s">
        <v>276</v>
      </c>
      <c r="AM81" s="14" t="s">
        <v>276</v>
      </c>
      <c r="AN81" s="14" t="s">
        <v>276</v>
      </c>
      <c r="AO81" s="31">
        <f>AF81*1000/AH81</f>
        <v>1.1231366142536248</v>
      </c>
      <c r="AP81" s="14" t="s">
        <v>276</v>
      </c>
      <c r="AQ81" s="14" t="s">
        <v>276</v>
      </c>
      <c r="AR81" s="8" t="s">
        <v>269</v>
      </c>
      <c r="AS81" s="14" t="s">
        <v>276</v>
      </c>
      <c r="AT81" s="31">
        <f>AK81/AO81</f>
        <v>1.3671260666858986</v>
      </c>
      <c r="AU81" s="14" t="s">
        <v>276</v>
      </c>
      <c r="AV81" s="14" t="s">
        <v>276</v>
      </c>
      <c r="AW81" s="8" t="s">
        <v>276</v>
      </c>
      <c r="AX81" s="8" t="s">
        <v>282</v>
      </c>
      <c r="AY81" s="8" t="s">
        <v>276</v>
      </c>
      <c r="AZ81" s="8" t="s">
        <v>276</v>
      </c>
      <c r="BA81" s="8" t="s">
        <v>276</v>
      </c>
      <c r="BB81" s="8" t="s">
        <v>276</v>
      </c>
      <c r="BC81" s="9" t="s">
        <v>877</v>
      </c>
      <c r="BD81" s="9" t="s">
        <v>868</v>
      </c>
      <c r="BE81" s="9" t="s">
        <v>100</v>
      </c>
      <c r="BF81" s="33" t="s">
        <v>98</v>
      </c>
    </row>
    <row r="82" spans="1:58" s="7" customFormat="1" ht="52" x14ac:dyDescent="0.3">
      <c r="A82" s="8">
        <v>748</v>
      </c>
      <c r="B82" s="8" t="s">
        <v>878</v>
      </c>
      <c r="C82" s="8" t="s">
        <v>73</v>
      </c>
      <c r="D82" s="9" t="s">
        <v>879</v>
      </c>
      <c r="E82" s="8" t="s">
        <v>39</v>
      </c>
      <c r="F82" s="8" t="s">
        <v>143</v>
      </c>
      <c r="G82" s="8" t="s">
        <v>225</v>
      </c>
      <c r="H82" s="8" t="s">
        <v>125</v>
      </c>
      <c r="I82" s="8" t="s">
        <v>114</v>
      </c>
      <c r="J82" s="9" t="s">
        <v>23</v>
      </c>
      <c r="K82" s="9" t="s">
        <v>880</v>
      </c>
      <c r="L82" s="9" t="s">
        <v>881</v>
      </c>
      <c r="M82" s="8" t="s">
        <v>14</v>
      </c>
      <c r="N82" s="11" t="s">
        <v>98</v>
      </c>
      <c r="O82" s="12" t="s">
        <v>207</v>
      </c>
      <c r="P82" s="41">
        <v>42101</v>
      </c>
      <c r="Q82" s="9" t="s">
        <v>276</v>
      </c>
      <c r="R82" s="9" t="s">
        <v>882</v>
      </c>
      <c r="S82" s="9" t="s">
        <v>883</v>
      </c>
      <c r="T82" s="48">
        <v>5</v>
      </c>
      <c r="U82" s="13">
        <v>2052</v>
      </c>
      <c r="V82" s="38">
        <v>2052</v>
      </c>
      <c r="W82" s="8">
        <v>20</v>
      </c>
      <c r="X82" s="8">
        <v>14</v>
      </c>
      <c r="Y82" s="8">
        <v>0</v>
      </c>
      <c r="Z82" s="8" t="s">
        <v>98</v>
      </c>
      <c r="AA82" s="8">
        <v>0</v>
      </c>
      <c r="AB82" s="8" t="s">
        <v>98</v>
      </c>
      <c r="AC82" s="9" t="s">
        <v>884</v>
      </c>
      <c r="AD82" s="9" t="s">
        <v>866</v>
      </c>
      <c r="AE82" s="8">
        <v>165</v>
      </c>
      <c r="AF82" s="8">
        <v>163</v>
      </c>
      <c r="AG82" s="13">
        <v>2052</v>
      </c>
      <c r="AH82" s="13">
        <v>2052</v>
      </c>
      <c r="AI82" s="38" t="s">
        <v>292</v>
      </c>
      <c r="AJ82" s="14" t="s">
        <v>276</v>
      </c>
      <c r="AK82" s="31">
        <f>AE82*100/AG82</f>
        <v>8.0409356725146193</v>
      </c>
      <c r="AL82" s="14" t="s">
        <v>276</v>
      </c>
      <c r="AM82" s="14" t="s">
        <v>276</v>
      </c>
      <c r="AN82" s="14" t="s">
        <v>276</v>
      </c>
      <c r="AO82" s="31">
        <f>AF82*100/AH82</f>
        <v>7.9434697855750489</v>
      </c>
      <c r="AP82" s="14" t="s">
        <v>276</v>
      </c>
      <c r="AQ82" s="14" t="s">
        <v>276</v>
      </c>
      <c r="AR82" s="8" t="s">
        <v>268</v>
      </c>
      <c r="AS82" s="14" t="s">
        <v>276</v>
      </c>
      <c r="AT82" s="31">
        <f>AK82/AO82</f>
        <v>1.0122699386503067</v>
      </c>
      <c r="AU82" s="14" t="s">
        <v>276</v>
      </c>
      <c r="AV82" s="14" t="s">
        <v>276</v>
      </c>
      <c r="AW82" s="8" t="s">
        <v>276</v>
      </c>
      <c r="AX82" s="8" t="s">
        <v>282</v>
      </c>
      <c r="AY82" s="8" t="s">
        <v>276</v>
      </c>
      <c r="AZ82" s="8" t="s">
        <v>276</v>
      </c>
      <c r="BA82" s="8" t="s">
        <v>276</v>
      </c>
      <c r="BB82" s="8" t="s">
        <v>276</v>
      </c>
      <c r="BC82" s="9" t="s">
        <v>885</v>
      </c>
      <c r="BD82" s="9" t="s">
        <v>886</v>
      </c>
      <c r="BE82" s="9" t="s">
        <v>100</v>
      </c>
      <c r="BF82" s="33" t="s">
        <v>98</v>
      </c>
    </row>
    <row r="83" spans="1:58" s="7" customFormat="1" ht="52" x14ac:dyDescent="0.3">
      <c r="A83" s="8">
        <v>748</v>
      </c>
      <c r="B83" s="8" t="s">
        <v>878</v>
      </c>
      <c r="C83" s="8" t="s">
        <v>73</v>
      </c>
      <c r="D83" s="9" t="s">
        <v>887</v>
      </c>
      <c r="E83" s="8" t="s">
        <v>39</v>
      </c>
      <c r="F83" s="8" t="s">
        <v>143</v>
      </c>
      <c r="G83" s="8" t="s">
        <v>225</v>
      </c>
      <c r="H83" s="8" t="s">
        <v>125</v>
      </c>
      <c r="I83" s="8" t="s">
        <v>114</v>
      </c>
      <c r="J83" s="9" t="s">
        <v>23</v>
      </c>
      <c r="K83" s="9" t="s">
        <v>880</v>
      </c>
      <c r="L83" s="9" t="s">
        <v>881</v>
      </c>
      <c r="M83" s="8" t="s">
        <v>14</v>
      </c>
      <c r="N83" s="11" t="s">
        <v>98</v>
      </c>
      <c r="O83" s="12" t="s">
        <v>207</v>
      </c>
      <c r="P83" s="41">
        <v>42101</v>
      </c>
      <c r="Q83" s="9" t="s">
        <v>276</v>
      </c>
      <c r="R83" s="9" t="s">
        <v>882</v>
      </c>
      <c r="S83" s="9" t="s">
        <v>883</v>
      </c>
      <c r="T83" s="48">
        <v>5</v>
      </c>
      <c r="U83" s="13">
        <v>2052</v>
      </c>
      <c r="V83" s="38">
        <v>2052</v>
      </c>
      <c r="W83" s="8">
        <v>20</v>
      </c>
      <c r="X83" s="8">
        <v>14</v>
      </c>
      <c r="Y83" s="8">
        <v>0</v>
      </c>
      <c r="Z83" s="8" t="s">
        <v>98</v>
      </c>
      <c r="AA83" s="8">
        <v>0</v>
      </c>
      <c r="AB83" s="8" t="s">
        <v>98</v>
      </c>
      <c r="AC83" s="9" t="s">
        <v>884</v>
      </c>
      <c r="AD83" s="9" t="s">
        <v>888</v>
      </c>
      <c r="AE83" s="8">
        <v>165</v>
      </c>
      <c r="AF83" s="8">
        <v>163</v>
      </c>
      <c r="AG83" s="13">
        <v>19439</v>
      </c>
      <c r="AH83" s="13">
        <v>19547</v>
      </c>
      <c r="AI83" s="38" t="s">
        <v>425</v>
      </c>
      <c r="AJ83" s="14" t="s">
        <v>276</v>
      </c>
      <c r="AK83" s="31">
        <f>AE83*1000/AG83</f>
        <v>8.4880909511806166</v>
      </c>
      <c r="AL83" s="14" t="s">
        <v>276</v>
      </c>
      <c r="AM83" s="14" t="s">
        <v>276</v>
      </c>
      <c r="AN83" s="14" t="s">
        <v>276</v>
      </c>
      <c r="AO83" s="31">
        <f>AF83*1000/AH83</f>
        <v>8.3388755307719862</v>
      </c>
      <c r="AP83" s="14" t="s">
        <v>276</v>
      </c>
      <c r="AQ83" s="14" t="s">
        <v>276</v>
      </c>
      <c r="AR83" s="8" t="s">
        <v>270</v>
      </c>
      <c r="AS83" s="8" t="s">
        <v>276</v>
      </c>
      <c r="AT83" s="8" t="s">
        <v>276</v>
      </c>
      <c r="AU83" s="8" t="s">
        <v>276</v>
      </c>
      <c r="AV83" s="8" t="s">
        <v>276</v>
      </c>
      <c r="AW83" s="8" t="s">
        <v>276</v>
      </c>
      <c r="AX83" s="9" t="s">
        <v>889</v>
      </c>
      <c r="AY83" s="8">
        <v>1.02</v>
      </c>
      <c r="AZ83" s="8">
        <v>0.82</v>
      </c>
      <c r="BA83" s="8">
        <v>1.27</v>
      </c>
      <c r="BB83" s="8">
        <v>0.86699999999999999</v>
      </c>
      <c r="BC83" s="9" t="s">
        <v>890</v>
      </c>
      <c r="BD83" s="9" t="s">
        <v>886</v>
      </c>
      <c r="BE83" s="9" t="s">
        <v>100</v>
      </c>
      <c r="BF83" s="33" t="s">
        <v>98</v>
      </c>
    </row>
    <row r="84" spans="1:58" s="7" customFormat="1" ht="52" x14ac:dyDescent="0.3">
      <c r="A84" s="8">
        <v>748</v>
      </c>
      <c r="B84" s="8" t="s">
        <v>878</v>
      </c>
      <c r="C84" s="8" t="s">
        <v>73</v>
      </c>
      <c r="D84" s="9" t="s">
        <v>891</v>
      </c>
      <c r="E84" s="8" t="s">
        <v>39</v>
      </c>
      <c r="F84" s="8" t="s">
        <v>143</v>
      </c>
      <c r="G84" s="8" t="s">
        <v>225</v>
      </c>
      <c r="H84" s="8" t="s">
        <v>125</v>
      </c>
      <c r="I84" s="8" t="s">
        <v>114</v>
      </c>
      <c r="J84" s="9" t="s">
        <v>23</v>
      </c>
      <c r="K84" s="9" t="s">
        <v>880</v>
      </c>
      <c r="L84" s="9" t="s">
        <v>881</v>
      </c>
      <c r="M84" s="8" t="s">
        <v>14</v>
      </c>
      <c r="N84" s="11" t="s">
        <v>98</v>
      </c>
      <c r="O84" s="12" t="s">
        <v>207</v>
      </c>
      <c r="P84" s="41">
        <v>42101</v>
      </c>
      <c r="Q84" s="9" t="s">
        <v>276</v>
      </c>
      <c r="R84" s="9" t="s">
        <v>882</v>
      </c>
      <c r="S84" s="9" t="s">
        <v>883</v>
      </c>
      <c r="T84" s="48">
        <v>5</v>
      </c>
      <c r="U84" s="13">
        <v>2052</v>
      </c>
      <c r="V84" s="38">
        <v>2052</v>
      </c>
      <c r="W84" s="8">
        <v>20</v>
      </c>
      <c r="X84" s="8">
        <v>14</v>
      </c>
      <c r="Y84" s="8">
        <v>0</v>
      </c>
      <c r="Z84" s="8" t="s">
        <v>98</v>
      </c>
      <c r="AA84" s="8">
        <v>0</v>
      </c>
      <c r="AB84" s="8" t="s">
        <v>98</v>
      </c>
      <c r="AC84" s="9" t="s">
        <v>884</v>
      </c>
      <c r="AD84" s="9" t="s">
        <v>888</v>
      </c>
      <c r="AE84" s="8">
        <v>165</v>
      </c>
      <c r="AF84" s="8">
        <v>163</v>
      </c>
      <c r="AG84" s="13">
        <v>19439</v>
      </c>
      <c r="AH84" s="13">
        <v>19547</v>
      </c>
      <c r="AI84" s="38" t="s">
        <v>425</v>
      </c>
      <c r="AJ84" s="14" t="s">
        <v>276</v>
      </c>
      <c r="AK84" s="31">
        <f>AE84*1000/AG84</f>
        <v>8.4880909511806166</v>
      </c>
      <c r="AL84" s="14" t="s">
        <v>276</v>
      </c>
      <c r="AM84" s="14" t="s">
        <v>276</v>
      </c>
      <c r="AN84" s="14" t="s">
        <v>276</v>
      </c>
      <c r="AO84" s="31">
        <f>AF84*1000/AH84</f>
        <v>8.3388755307719862</v>
      </c>
      <c r="AP84" s="14" t="s">
        <v>276</v>
      </c>
      <c r="AQ84" s="14" t="s">
        <v>276</v>
      </c>
      <c r="AR84" s="8" t="s">
        <v>269</v>
      </c>
      <c r="AS84" s="14" t="s">
        <v>276</v>
      </c>
      <c r="AT84" s="31">
        <f>AK84/AO84</f>
        <v>1.017893949832684</v>
      </c>
      <c r="AU84" s="14" t="s">
        <v>276</v>
      </c>
      <c r="AV84" s="14" t="s">
        <v>276</v>
      </c>
      <c r="AW84" s="8" t="s">
        <v>276</v>
      </c>
      <c r="AX84" s="9" t="s">
        <v>282</v>
      </c>
      <c r="AY84" s="8" t="s">
        <v>276</v>
      </c>
      <c r="AZ84" s="8" t="s">
        <v>276</v>
      </c>
      <c r="BA84" s="8" t="s">
        <v>276</v>
      </c>
      <c r="BB84" s="8" t="s">
        <v>276</v>
      </c>
      <c r="BC84" s="9" t="s">
        <v>890</v>
      </c>
      <c r="BD84" s="9" t="s">
        <v>886</v>
      </c>
      <c r="BE84" s="9" t="s">
        <v>100</v>
      </c>
      <c r="BF84" s="33" t="s">
        <v>98</v>
      </c>
    </row>
    <row r="85" spans="1:58" s="7" customFormat="1" ht="104" x14ac:dyDescent="0.3">
      <c r="A85" s="8">
        <v>748</v>
      </c>
      <c r="B85" s="8" t="s">
        <v>878</v>
      </c>
      <c r="C85" s="8" t="s">
        <v>73</v>
      </c>
      <c r="D85" s="9" t="s">
        <v>892</v>
      </c>
      <c r="E85" s="8" t="s">
        <v>39</v>
      </c>
      <c r="F85" s="8" t="s">
        <v>143</v>
      </c>
      <c r="G85" s="8" t="s">
        <v>225</v>
      </c>
      <c r="H85" s="8" t="s">
        <v>125</v>
      </c>
      <c r="I85" s="8" t="s">
        <v>114</v>
      </c>
      <c r="J85" s="9" t="s">
        <v>24</v>
      </c>
      <c r="K85" s="9" t="s">
        <v>893</v>
      </c>
      <c r="L85" s="9" t="s">
        <v>881</v>
      </c>
      <c r="M85" s="8" t="s">
        <v>14</v>
      </c>
      <c r="N85" s="11" t="s">
        <v>98</v>
      </c>
      <c r="O85" s="12" t="s">
        <v>207</v>
      </c>
      <c r="P85" s="41">
        <v>42101</v>
      </c>
      <c r="Q85" s="9" t="s">
        <v>276</v>
      </c>
      <c r="R85" s="9" t="s">
        <v>882</v>
      </c>
      <c r="S85" s="9" t="s">
        <v>883</v>
      </c>
      <c r="T85" s="48">
        <v>5</v>
      </c>
      <c r="U85" s="13">
        <v>2052</v>
      </c>
      <c r="V85" s="38">
        <v>2052</v>
      </c>
      <c r="W85" s="8">
        <v>20</v>
      </c>
      <c r="X85" s="8">
        <v>14</v>
      </c>
      <c r="Y85" s="8">
        <v>8</v>
      </c>
      <c r="Z85" s="9" t="s">
        <v>894</v>
      </c>
      <c r="AA85" s="8">
        <v>2</v>
      </c>
      <c r="AB85" s="9" t="s">
        <v>894</v>
      </c>
      <c r="AC85" s="9" t="s">
        <v>895</v>
      </c>
      <c r="AD85" s="9" t="s">
        <v>866</v>
      </c>
      <c r="AE85" s="8">
        <v>39</v>
      </c>
      <c r="AF85" s="8">
        <v>38</v>
      </c>
      <c r="AG85" s="13">
        <v>2052</v>
      </c>
      <c r="AH85" s="13">
        <v>2052</v>
      </c>
      <c r="AI85" s="13" t="s">
        <v>292</v>
      </c>
      <c r="AJ85" s="14" t="s">
        <v>276</v>
      </c>
      <c r="AK85" s="31">
        <f>AE85*100/AG85</f>
        <v>1.9005847953216375</v>
      </c>
      <c r="AL85" s="14" t="s">
        <v>276</v>
      </c>
      <c r="AM85" s="14" t="s">
        <v>276</v>
      </c>
      <c r="AN85" s="14" t="s">
        <v>276</v>
      </c>
      <c r="AO85" s="31">
        <f>AF85*100/AH85</f>
        <v>1.8518518518518519</v>
      </c>
      <c r="AP85" s="14" t="s">
        <v>276</v>
      </c>
      <c r="AQ85" s="14" t="s">
        <v>276</v>
      </c>
      <c r="AR85" s="8" t="s">
        <v>268</v>
      </c>
      <c r="AS85" s="14" t="s">
        <v>276</v>
      </c>
      <c r="AT85" s="31">
        <f>AK85/AO85</f>
        <v>1.0263157894736843</v>
      </c>
      <c r="AU85" s="14" t="s">
        <v>276</v>
      </c>
      <c r="AV85" s="14" t="s">
        <v>276</v>
      </c>
      <c r="AW85" s="8" t="s">
        <v>276</v>
      </c>
      <c r="AX85" s="8" t="s">
        <v>282</v>
      </c>
      <c r="AY85" s="8" t="s">
        <v>276</v>
      </c>
      <c r="AZ85" s="8" t="s">
        <v>276</v>
      </c>
      <c r="BA85" s="8" t="s">
        <v>276</v>
      </c>
      <c r="BB85" s="8" t="s">
        <v>276</v>
      </c>
      <c r="BC85" s="9" t="s">
        <v>896</v>
      </c>
      <c r="BD85" s="9" t="s">
        <v>886</v>
      </c>
      <c r="BE85" s="9" t="s">
        <v>99</v>
      </c>
      <c r="BF85" s="33" t="s">
        <v>11162</v>
      </c>
    </row>
    <row r="86" spans="1:58" s="7" customFormat="1" ht="104" x14ac:dyDescent="0.3">
      <c r="A86" s="8">
        <v>748</v>
      </c>
      <c r="B86" s="8" t="s">
        <v>878</v>
      </c>
      <c r="C86" s="8" t="s">
        <v>73</v>
      </c>
      <c r="D86" s="9" t="s">
        <v>897</v>
      </c>
      <c r="E86" s="8" t="s">
        <v>39</v>
      </c>
      <c r="F86" s="8" t="s">
        <v>143</v>
      </c>
      <c r="G86" s="8" t="s">
        <v>225</v>
      </c>
      <c r="H86" s="8" t="s">
        <v>125</v>
      </c>
      <c r="I86" s="8" t="s">
        <v>114</v>
      </c>
      <c r="J86" s="9" t="s">
        <v>24</v>
      </c>
      <c r="K86" s="9" t="s">
        <v>893</v>
      </c>
      <c r="L86" s="9" t="s">
        <v>881</v>
      </c>
      <c r="M86" s="8" t="s">
        <v>14</v>
      </c>
      <c r="N86" s="11" t="s">
        <v>98</v>
      </c>
      <c r="O86" s="12" t="s">
        <v>207</v>
      </c>
      <c r="P86" s="41">
        <v>42101</v>
      </c>
      <c r="Q86" s="9" t="s">
        <v>276</v>
      </c>
      <c r="R86" s="9" t="s">
        <v>882</v>
      </c>
      <c r="S86" s="9" t="s">
        <v>883</v>
      </c>
      <c r="T86" s="48">
        <v>5</v>
      </c>
      <c r="U86" s="13">
        <v>2052</v>
      </c>
      <c r="V86" s="38">
        <v>2052</v>
      </c>
      <c r="W86" s="8">
        <v>20</v>
      </c>
      <c r="X86" s="8">
        <v>14</v>
      </c>
      <c r="Y86" s="8">
        <v>8</v>
      </c>
      <c r="Z86" s="9" t="s">
        <v>894</v>
      </c>
      <c r="AA86" s="8">
        <v>2</v>
      </c>
      <c r="AB86" s="9" t="s">
        <v>894</v>
      </c>
      <c r="AC86" s="9" t="s">
        <v>895</v>
      </c>
      <c r="AD86" s="9" t="s">
        <v>888</v>
      </c>
      <c r="AE86" s="8">
        <v>39</v>
      </c>
      <c r="AF86" s="8">
        <v>38</v>
      </c>
      <c r="AG86" s="13">
        <v>19439</v>
      </c>
      <c r="AH86" s="13">
        <v>19547</v>
      </c>
      <c r="AI86" s="13" t="s">
        <v>425</v>
      </c>
      <c r="AJ86" s="43">
        <v>2</v>
      </c>
      <c r="AK86" s="31">
        <f>AE86*1000/AG86</f>
        <v>2.0062760430063276</v>
      </c>
      <c r="AL86" s="14" t="s">
        <v>276</v>
      </c>
      <c r="AM86" s="14" t="s">
        <v>276</v>
      </c>
      <c r="AN86" s="43">
        <v>1.9</v>
      </c>
      <c r="AO86" s="31">
        <f>AF86*1000/AH86</f>
        <v>1.9440323323272113</v>
      </c>
      <c r="AP86" s="14" t="s">
        <v>276</v>
      </c>
      <c r="AQ86" s="14" t="s">
        <v>276</v>
      </c>
      <c r="AR86" s="8" t="s">
        <v>270</v>
      </c>
      <c r="AS86" s="14" t="s">
        <v>276</v>
      </c>
      <c r="AT86" s="14" t="s">
        <v>276</v>
      </c>
      <c r="AU86" s="14" t="s">
        <v>276</v>
      </c>
      <c r="AV86" s="14" t="s">
        <v>276</v>
      </c>
      <c r="AW86" s="14" t="s">
        <v>276</v>
      </c>
      <c r="AX86" s="9" t="s">
        <v>889</v>
      </c>
      <c r="AY86" s="8">
        <v>1.03</v>
      </c>
      <c r="AZ86" s="8">
        <v>0.66</v>
      </c>
      <c r="BA86" s="8">
        <v>1.6</v>
      </c>
      <c r="BB86" s="8">
        <v>0.88800000000000001</v>
      </c>
      <c r="BC86" s="9" t="s">
        <v>896</v>
      </c>
      <c r="BD86" s="9" t="s">
        <v>886</v>
      </c>
      <c r="BE86" s="9" t="s">
        <v>99</v>
      </c>
      <c r="BF86" s="33" t="s">
        <v>11162</v>
      </c>
    </row>
    <row r="87" spans="1:58" s="7" customFormat="1" ht="104" x14ac:dyDescent="0.3">
      <c r="A87" s="8">
        <v>748</v>
      </c>
      <c r="B87" s="8" t="s">
        <v>878</v>
      </c>
      <c r="C87" s="8" t="s">
        <v>73</v>
      </c>
      <c r="D87" s="9" t="s">
        <v>898</v>
      </c>
      <c r="E87" s="8" t="s">
        <v>39</v>
      </c>
      <c r="F87" s="8" t="s">
        <v>143</v>
      </c>
      <c r="G87" s="8" t="s">
        <v>225</v>
      </c>
      <c r="H87" s="8" t="s">
        <v>125</v>
      </c>
      <c r="I87" s="8" t="s">
        <v>114</v>
      </c>
      <c r="J87" s="9" t="s">
        <v>24</v>
      </c>
      <c r="K87" s="9" t="s">
        <v>893</v>
      </c>
      <c r="L87" s="9" t="s">
        <v>881</v>
      </c>
      <c r="M87" s="8" t="s">
        <v>14</v>
      </c>
      <c r="N87" s="11" t="s">
        <v>98</v>
      </c>
      <c r="O87" s="12" t="s">
        <v>207</v>
      </c>
      <c r="P87" s="41">
        <v>42101</v>
      </c>
      <c r="Q87" s="9" t="s">
        <v>276</v>
      </c>
      <c r="R87" s="9" t="s">
        <v>882</v>
      </c>
      <c r="S87" s="9" t="s">
        <v>883</v>
      </c>
      <c r="T87" s="48">
        <v>5</v>
      </c>
      <c r="U87" s="13">
        <v>2052</v>
      </c>
      <c r="V87" s="38">
        <v>2052</v>
      </c>
      <c r="W87" s="8">
        <v>20</v>
      </c>
      <c r="X87" s="8">
        <v>14</v>
      </c>
      <c r="Y87" s="8">
        <v>8</v>
      </c>
      <c r="Z87" s="9" t="s">
        <v>894</v>
      </c>
      <c r="AA87" s="8">
        <v>2</v>
      </c>
      <c r="AB87" s="9" t="s">
        <v>894</v>
      </c>
      <c r="AC87" s="9" t="s">
        <v>895</v>
      </c>
      <c r="AD87" s="9" t="s">
        <v>888</v>
      </c>
      <c r="AE87" s="8">
        <v>39</v>
      </c>
      <c r="AF87" s="8">
        <v>38</v>
      </c>
      <c r="AG87" s="13">
        <v>19439</v>
      </c>
      <c r="AH87" s="13">
        <v>19547</v>
      </c>
      <c r="AI87" s="13" t="s">
        <v>425</v>
      </c>
      <c r="AJ87" s="43">
        <v>2</v>
      </c>
      <c r="AK87" s="31">
        <f>AE87*1000/AG87</f>
        <v>2.0062760430063276</v>
      </c>
      <c r="AL87" s="14" t="s">
        <v>276</v>
      </c>
      <c r="AM87" s="14" t="s">
        <v>276</v>
      </c>
      <c r="AN87" s="43">
        <v>1.9</v>
      </c>
      <c r="AO87" s="31">
        <f>AF87*1000/AH87</f>
        <v>1.9440323323272113</v>
      </c>
      <c r="AP87" s="14" t="s">
        <v>276</v>
      </c>
      <c r="AQ87" s="14" t="s">
        <v>276</v>
      </c>
      <c r="AR87" s="8" t="s">
        <v>269</v>
      </c>
      <c r="AS87" s="14" t="s">
        <v>276</v>
      </c>
      <c r="AT87" s="31">
        <f>AK87/AO87</f>
        <v>1.0320178371748601</v>
      </c>
      <c r="AU87" s="14" t="s">
        <v>276</v>
      </c>
      <c r="AV87" s="14" t="s">
        <v>276</v>
      </c>
      <c r="AW87" s="8" t="s">
        <v>276</v>
      </c>
      <c r="AX87" s="9" t="s">
        <v>282</v>
      </c>
      <c r="AY87" s="8" t="s">
        <v>276</v>
      </c>
      <c r="AZ87" s="8" t="s">
        <v>276</v>
      </c>
      <c r="BA87" s="8" t="s">
        <v>276</v>
      </c>
      <c r="BB87" s="8" t="s">
        <v>276</v>
      </c>
      <c r="BC87" s="9" t="s">
        <v>896</v>
      </c>
      <c r="BD87" s="9" t="s">
        <v>886</v>
      </c>
      <c r="BE87" s="9" t="s">
        <v>99</v>
      </c>
      <c r="BF87" s="33" t="s">
        <v>11162</v>
      </c>
    </row>
    <row r="88" spans="1:58" s="7" customFormat="1" ht="39" x14ac:dyDescent="0.3">
      <c r="A88" s="8">
        <v>10739</v>
      </c>
      <c r="B88" s="8" t="s">
        <v>1001</v>
      </c>
      <c r="C88" s="9" t="s">
        <v>79</v>
      </c>
      <c r="D88" s="9" t="s">
        <v>1002</v>
      </c>
      <c r="E88" s="8" t="s">
        <v>39</v>
      </c>
      <c r="F88" s="9" t="s">
        <v>263</v>
      </c>
      <c r="G88" s="8" t="s">
        <v>262</v>
      </c>
      <c r="H88" s="8" t="s">
        <v>225</v>
      </c>
      <c r="I88" s="8" t="s">
        <v>98</v>
      </c>
      <c r="J88" s="9" t="s">
        <v>24</v>
      </c>
      <c r="K88" s="9" t="s">
        <v>276</v>
      </c>
      <c r="L88" s="9" t="s">
        <v>276</v>
      </c>
      <c r="M88" s="8" t="s">
        <v>14</v>
      </c>
      <c r="N88" s="11" t="s">
        <v>98</v>
      </c>
      <c r="O88" s="12" t="s">
        <v>208</v>
      </c>
      <c r="P88" s="41">
        <v>29494</v>
      </c>
      <c r="Q88" s="9" t="s">
        <v>276</v>
      </c>
      <c r="R88" s="38" t="s">
        <v>1003</v>
      </c>
      <c r="S88" s="38" t="s">
        <v>1004</v>
      </c>
      <c r="T88" s="9" t="s">
        <v>1005</v>
      </c>
      <c r="U88" s="13">
        <v>5226</v>
      </c>
      <c r="V88" s="38">
        <v>5161</v>
      </c>
      <c r="W88" s="8" t="s">
        <v>276</v>
      </c>
      <c r="X88" s="8" t="s">
        <v>276</v>
      </c>
      <c r="Y88" s="8" t="s">
        <v>276</v>
      </c>
      <c r="Z88" s="8" t="s">
        <v>276</v>
      </c>
      <c r="AA88" s="8" t="s">
        <v>276</v>
      </c>
      <c r="AB88" s="8" t="s">
        <v>276</v>
      </c>
      <c r="AC88" s="9" t="s">
        <v>1006</v>
      </c>
      <c r="AD88" s="9" t="s">
        <v>1007</v>
      </c>
      <c r="AE88" s="8">
        <v>51</v>
      </c>
      <c r="AF88" s="8">
        <v>59</v>
      </c>
      <c r="AG88" s="13">
        <v>21713</v>
      </c>
      <c r="AH88" s="13">
        <v>20818</v>
      </c>
      <c r="AI88" s="13" t="s">
        <v>425</v>
      </c>
      <c r="AJ88" s="14">
        <v>2.35</v>
      </c>
      <c r="AK88" s="31">
        <f>AE88*1000/AG88</f>
        <v>2.3488232855892783</v>
      </c>
      <c r="AL88" s="14" t="s">
        <v>276</v>
      </c>
      <c r="AM88" s="14" t="s">
        <v>276</v>
      </c>
      <c r="AN88" s="14">
        <v>2.83</v>
      </c>
      <c r="AO88" s="31">
        <f>AF88*1000/AH88</f>
        <v>2.8340858872129888</v>
      </c>
      <c r="AP88" s="14" t="s">
        <v>276</v>
      </c>
      <c r="AQ88" s="14" t="s">
        <v>276</v>
      </c>
      <c r="AR88" s="8" t="s">
        <v>269</v>
      </c>
      <c r="AS88" s="14" t="s">
        <v>276</v>
      </c>
      <c r="AT88" s="31">
        <f>AK88/AO88</f>
        <v>0.82877632473555252</v>
      </c>
      <c r="AU88" s="14" t="s">
        <v>276</v>
      </c>
      <c r="AV88" s="14" t="s">
        <v>276</v>
      </c>
      <c r="AW88" s="8">
        <v>0.32</v>
      </c>
      <c r="AX88" s="8" t="s">
        <v>282</v>
      </c>
      <c r="AY88" s="8" t="s">
        <v>276</v>
      </c>
      <c r="AZ88" s="8" t="s">
        <v>276</v>
      </c>
      <c r="BA88" s="8" t="s">
        <v>276</v>
      </c>
      <c r="BB88" s="8" t="s">
        <v>276</v>
      </c>
      <c r="BC88" s="9" t="s">
        <v>1008</v>
      </c>
      <c r="BD88" s="9" t="s">
        <v>276</v>
      </c>
      <c r="BE88" s="9" t="s">
        <v>100</v>
      </c>
      <c r="BF88" s="33" t="s">
        <v>98</v>
      </c>
    </row>
    <row r="89" spans="1:58" s="7" customFormat="1" ht="39" x14ac:dyDescent="0.3">
      <c r="A89" s="8">
        <v>10739</v>
      </c>
      <c r="B89" s="8" t="s">
        <v>1001</v>
      </c>
      <c r="C89" s="9" t="s">
        <v>79</v>
      </c>
      <c r="D89" s="9" t="s">
        <v>1009</v>
      </c>
      <c r="E89" s="8" t="s">
        <v>39</v>
      </c>
      <c r="F89" s="9" t="s">
        <v>263</v>
      </c>
      <c r="G89" s="8" t="s">
        <v>262</v>
      </c>
      <c r="H89" s="8" t="s">
        <v>225</v>
      </c>
      <c r="I89" s="8" t="s">
        <v>98</v>
      </c>
      <c r="J89" s="9" t="s">
        <v>24</v>
      </c>
      <c r="K89" s="9" t="s">
        <v>276</v>
      </c>
      <c r="L89" s="9" t="s">
        <v>276</v>
      </c>
      <c r="M89" s="8" t="s">
        <v>14</v>
      </c>
      <c r="N89" s="11" t="s">
        <v>98</v>
      </c>
      <c r="O89" s="12" t="s">
        <v>208</v>
      </c>
      <c r="P89" s="41">
        <v>29494</v>
      </c>
      <c r="Q89" s="9" t="s">
        <v>276</v>
      </c>
      <c r="R89" s="38" t="s">
        <v>1003</v>
      </c>
      <c r="S89" s="38" t="s">
        <v>1004</v>
      </c>
      <c r="T89" s="9" t="s">
        <v>1005</v>
      </c>
      <c r="U89" s="13">
        <v>5226</v>
      </c>
      <c r="V89" s="38">
        <v>5161</v>
      </c>
      <c r="W89" s="8" t="s">
        <v>276</v>
      </c>
      <c r="X89" s="8" t="s">
        <v>276</v>
      </c>
      <c r="Y89" s="8" t="s">
        <v>276</v>
      </c>
      <c r="Z89" s="8" t="s">
        <v>276</v>
      </c>
      <c r="AA89" s="8" t="s">
        <v>276</v>
      </c>
      <c r="AB89" s="8" t="s">
        <v>276</v>
      </c>
      <c r="AC89" s="9" t="s">
        <v>1006</v>
      </c>
      <c r="AD89" s="9" t="s">
        <v>689</v>
      </c>
      <c r="AE89" s="8">
        <v>51</v>
      </c>
      <c r="AF89" s="8">
        <v>59</v>
      </c>
      <c r="AG89" s="13">
        <v>5226</v>
      </c>
      <c r="AH89" s="13">
        <v>5161</v>
      </c>
      <c r="AI89" s="13" t="s">
        <v>292</v>
      </c>
      <c r="AJ89" s="14" t="s">
        <v>276</v>
      </c>
      <c r="AK89" s="31">
        <f>AE89*100/AG89</f>
        <v>0.97588978185993114</v>
      </c>
      <c r="AL89" s="14" t="s">
        <v>276</v>
      </c>
      <c r="AM89" s="14" t="s">
        <v>276</v>
      </c>
      <c r="AN89" s="14" t="s">
        <v>276</v>
      </c>
      <c r="AO89" s="31">
        <f>AF89*100/AH89</f>
        <v>1.1431893043983725</v>
      </c>
      <c r="AP89" s="14" t="s">
        <v>276</v>
      </c>
      <c r="AQ89" s="14" t="s">
        <v>276</v>
      </c>
      <c r="AR89" s="8" t="s">
        <v>268</v>
      </c>
      <c r="AS89" s="14" t="s">
        <v>276</v>
      </c>
      <c r="AT89" s="31">
        <f>AK89/AO89</f>
        <v>0.85365545155578038</v>
      </c>
      <c r="AU89" s="14" t="s">
        <v>276</v>
      </c>
      <c r="AV89" s="14" t="s">
        <v>276</v>
      </c>
      <c r="AW89" s="8" t="s">
        <v>276</v>
      </c>
      <c r="AX89" s="8" t="s">
        <v>282</v>
      </c>
      <c r="AY89" s="8" t="s">
        <v>276</v>
      </c>
      <c r="AZ89" s="8" t="s">
        <v>276</v>
      </c>
      <c r="BA89" s="8" t="s">
        <v>276</v>
      </c>
      <c r="BB89" s="8" t="s">
        <v>276</v>
      </c>
      <c r="BC89" s="9" t="s">
        <v>1010</v>
      </c>
      <c r="BD89" s="9" t="s">
        <v>276</v>
      </c>
      <c r="BE89" s="9" t="s">
        <v>100</v>
      </c>
      <c r="BF89" s="33" t="s">
        <v>98</v>
      </c>
    </row>
    <row r="90" spans="1:58" s="7" customFormat="1" ht="78" x14ac:dyDescent="0.3">
      <c r="A90" s="8">
        <v>10745</v>
      </c>
      <c r="B90" s="9" t="s">
        <v>1011</v>
      </c>
      <c r="C90" s="9" t="s">
        <v>79</v>
      </c>
      <c r="D90" s="9" t="s">
        <v>1012</v>
      </c>
      <c r="E90" s="8" t="s">
        <v>39</v>
      </c>
      <c r="F90" s="9" t="s">
        <v>263</v>
      </c>
      <c r="G90" s="8" t="s">
        <v>262</v>
      </c>
      <c r="H90" s="8" t="s">
        <v>225</v>
      </c>
      <c r="I90" s="8" t="s">
        <v>98</v>
      </c>
      <c r="J90" s="9" t="s">
        <v>24</v>
      </c>
      <c r="K90" s="9" t="s">
        <v>1013</v>
      </c>
      <c r="L90" s="9" t="s">
        <v>1014</v>
      </c>
      <c r="M90" s="8" t="s">
        <v>14</v>
      </c>
      <c r="N90" s="11" t="s">
        <v>98</v>
      </c>
      <c r="O90" s="12" t="s">
        <v>208</v>
      </c>
      <c r="P90" s="41" t="s">
        <v>276</v>
      </c>
      <c r="Q90" s="9" t="s">
        <v>752</v>
      </c>
      <c r="R90" s="9" t="s">
        <v>1015</v>
      </c>
      <c r="S90" s="9" t="s">
        <v>1015</v>
      </c>
      <c r="T90" s="9" t="s">
        <v>1016</v>
      </c>
      <c r="U90" s="13">
        <v>5226</v>
      </c>
      <c r="V90" s="38">
        <v>5160</v>
      </c>
      <c r="W90" s="8">
        <v>19</v>
      </c>
      <c r="X90" s="8">
        <v>9</v>
      </c>
      <c r="Y90" s="8" t="s">
        <v>276</v>
      </c>
      <c r="Z90" s="8" t="s">
        <v>276</v>
      </c>
      <c r="AA90" s="8" t="s">
        <v>276</v>
      </c>
      <c r="AB90" s="8" t="s">
        <v>276</v>
      </c>
      <c r="AC90" s="9" t="s">
        <v>1017</v>
      </c>
      <c r="AD90" s="9" t="s">
        <v>1018</v>
      </c>
      <c r="AE90" s="8">
        <v>151</v>
      </c>
      <c r="AF90" s="8">
        <v>178</v>
      </c>
      <c r="AG90" s="13" t="s">
        <v>276</v>
      </c>
      <c r="AH90" s="13" t="s">
        <v>276</v>
      </c>
      <c r="AI90" s="38" t="s">
        <v>1019</v>
      </c>
      <c r="AJ90" s="49">
        <v>397</v>
      </c>
      <c r="AK90" s="31" t="s">
        <v>276</v>
      </c>
      <c r="AL90" s="14" t="s">
        <v>276</v>
      </c>
      <c r="AM90" s="14" t="s">
        <v>276</v>
      </c>
      <c r="AN90" s="49">
        <v>477</v>
      </c>
      <c r="AO90" s="31" t="s">
        <v>276</v>
      </c>
      <c r="AP90" s="14" t="s">
        <v>276</v>
      </c>
      <c r="AQ90" s="14" t="s">
        <v>276</v>
      </c>
      <c r="AR90" s="8" t="s">
        <v>269</v>
      </c>
      <c r="AS90" s="14">
        <v>0.83</v>
      </c>
      <c r="AT90" s="31">
        <f>AJ90/AN90</f>
        <v>0.83228511530398319</v>
      </c>
      <c r="AU90" s="14">
        <v>0.67</v>
      </c>
      <c r="AV90" s="14">
        <v>1.04</v>
      </c>
      <c r="AW90" s="8" t="s">
        <v>276</v>
      </c>
      <c r="AX90" s="8" t="s">
        <v>282</v>
      </c>
      <c r="AY90" s="8" t="s">
        <v>276</v>
      </c>
      <c r="AZ90" s="8" t="s">
        <v>276</v>
      </c>
      <c r="BA90" s="8" t="s">
        <v>276</v>
      </c>
      <c r="BB90" s="8" t="s">
        <v>276</v>
      </c>
      <c r="BC90" s="9" t="s">
        <v>1020</v>
      </c>
      <c r="BD90" s="9" t="s">
        <v>1021</v>
      </c>
      <c r="BE90" s="9" t="s">
        <v>99</v>
      </c>
      <c r="BF90" s="33" t="s">
        <v>11162</v>
      </c>
    </row>
    <row r="91" spans="1:58" s="7" customFormat="1" ht="78" x14ac:dyDescent="0.3">
      <c r="A91" s="8">
        <v>10745</v>
      </c>
      <c r="B91" s="9" t="s">
        <v>1011</v>
      </c>
      <c r="C91" s="9" t="s">
        <v>79</v>
      </c>
      <c r="D91" s="9" t="s">
        <v>1022</v>
      </c>
      <c r="E91" s="8" t="s">
        <v>39</v>
      </c>
      <c r="F91" s="9" t="s">
        <v>263</v>
      </c>
      <c r="G91" s="8" t="s">
        <v>262</v>
      </c>
      <c r="H91" s="8" t="s">
        <v>225</v>
      </c>
      <c r="I91" s="8" t="s">
        <v>98</v>
      </c>
      <c r="J91" s="9" t="s">
        <v>24</v>
      </c>
      <c r="K91" s="9" t="s">
        <v>1013</v>
      </c>
      <c r="L91" s="9" t="s">
        <v>1014</v>
      </c>
      <c r="M91" s="8" t="s">
        <v>14</v>
      </c>
      <c r="N91" s="11" t="s">
        <v>98</v>
      </c>
      <c r="O91" s="12" t="s">
        <v>208</v>
      </c>
      <c r="P91" s="41" t="s">
        <v>276</v>
      </c>
      <c r="Q91" s="9" t="s">
        <v>752</v>
      </c>
      <c r="R91" s="9" t="s">
        <v>1015</v>
      </c>
      <c r="S91" s="9" t="s">
        <v>1015</v>
      </c>
      <c r="T91" s="9" t="s">
        <v>1016</v>
      </c>
      <c r="U91" s="13">
        <v>5226</v>
      </c>
      <c r="V91" s="38">
        <v>5160</v>
      </c>
      <c r="W91" s="8">
        <v>19</v>
      </c>
      <c r="X91" s="8">
        <v>9</v>
      </c>
      <c r="Y91" s="8" t="s">
        <v>276</v>
      </c>
      <c r="Z91" s="8" t="s">
        <v>276</v>
      </c>
      <c r="AA91" s="8" t="s">
        <v>276</v>
      </c>
      <c r="AB91" s="8" t="s">
        <v>276</v>
      </c>
      <c r="AC91" s="9" t="s">
        <v>1017</v>
      </c>
      <c r="AD91" s="9" t="s">
        <v>689</v>
      </c>
      <c r="AE91" s="8">
        <v>151</v>
      </c>
      <c r="AF91" s="8">
        <v>178</v>
      </c>
      <c r="AG91" s="13">
        <v>5226</v>
      </c>
      <c r="AH91" s="13">
        <v>5160</v>
      </c>
      <c r="AI91" s="38" t="s">
        <v>292</v>
      </c>
      <c r="AJ91" s="49" t="s">
        <v>276</v>
      </c>
      <c r="AK91" s="31">
        <f>AE91*100/AG91</f>
        <v>2.8893991580558747</v>
      </c>
      <c r="AL91" s="14" t="s">
        <v>276</v>
      </c>
      <c r="AM91" s="14" t="s">
        <v>276</v>
      </c>
      <c r="AN91" s="49" t="s">
        <v>276</v>
      </c>
      <c r="AO91" s="31">
        <f>AF91*100/AH91</f>
        <v>3.4496124031007751</v>
      </c>
      <c r="AP91" s="14" t="s">
        <v>276</v>
      </c>
      <c r="AQ91" s="14" t="s">
        <v>276</v>
      </c>
      <c r="AR91" s="8" t="s">
        <v>268</v>
      </c>
      <c r="AS91" s="14" t="s">
        <v>276</v>
      </c>
      <c r="AT91" s="31">
        <f>AK91/AO91</f>
        <v>0.8376011042454109</v>
      </c>
      <c r="AU91" s="14" t="s">
        <v>276</v>
      </c>
      <c r="AV91" s="14" t="s">
        <v>276</v>
      </c>
      <c r="AW91" s="8" t="s">
        <v>276</v>
      </c>
      <c r="AX91" s="8" t="s">
        <v>282</v>
      </c>
      <c r="AY91" s="8" t="s">
        <v>276</v>
      </c>
      <c r="AZ91" s="8" t="s">
        <v>276</v>
      </c>
      <c r="BA91" s="8" t="s">
        <v>276</v>
      </c>
      <c r="BB91" s="8" t="s">
        <v>276</v>
      </c>
      <c r="BC91" s="9" t="s">
        <v>1020</v>
      </c>
      <c r="BD91" s="9" t="s">
        <v>1021</v>
      </c>
      <c r="BE91" s="9" t="s">
        <v>99</v>
      </c>
      <c r="BF91" s="33" t="s">
        <v>11162</v>
      </c>
    </row>
    <row r="92" spans="1:58" s="7" customFormat="1" ht="65" x14ac:dyDescent="0.3">
      <c r="A92" s="8">
        <v>3726</v>
      </c>
      <c r="B92" s="9" t="s">
        <v>1074</v>
      </c>
      <c r="C92" s="8" t="s">
        <v>91</v>
      </c>
      <c r="D92" s="9" t="s">
        <v>1075</v>
      </c>
      <c r="E92" s="8" t="s">
        <v>43</v>
      </c>
      <c r="F92" s="9" t="s">
        <v>1076</v>
      </c>
      <c r="G92" s="8" t="s">
        <v>225</v>
      </c>
      <c r="H92" s="8" t="s">
        <v>125</v>
      </c>
      <c r="I92" s="8" t="s">
        <v>114</v>
      </c>
      <c r="J92" s="9" t="s">
        <v>24</v>
      </c>
      <c r="K92" s="9" t="s">
        <v>1077</v>
      </c>
      <c r="L92" s="9" t="s">
        <v>1078</v>
      </c>
      <c r="M92" s="8" t="s">
        <v>14</v>
      </c>
      <c r="N92" s="11" t="s">
        <v>98</v>
      </c>
      <c r="O92" s="12" t="s">
        <v>207</v>
      </c>
      <c r="P92" s="41" t="s">
        <v>1079</v>
      </c>
      <c r="Q92" s="9" t="s">
        <v>1080</v>
      </c>
      <c r="R92" s="9" t="s">
        <v>276</v>
      </c>
      <c r="S92" s="9" t="s">
        <v>276</v>
      </c>
      <c r="T92" s="9">
        <v>4</v>
      </c>
      <c r="U92" s="13">
        <v>1494</v>
      </c>
      <c r="V92" s="38">
        <v>7532</v>
      </c>
      <c r="W92" s="9">
        <v>0</v>
      </c>
      <c r="X92" s="9">
        <v>0</v>
      </c>
      <c r="Y92" s="8">
        <v>0</v>
      </c>
      <c r="Z92" s="8" t="s">
        <v>98</v>
      </c>
      <c r="AA92" s="8">
        <v>0</v>
      </c>
      <c r="AB92" s="8" t="s">
        <v>98</v>
      </c>
      <c r="AC92" s="9" t="s">
        <v>1081</v>
      </c>
      <c r="AD92" s="9" t="s">
        <v>689</v>
      </c>
      <c r="AE92" s="8">
        <v>30</v>
      </c>
      <c r="AF92" s="8">
        <v>130</v>
      </c>
      <c r="AG92" s="13">
        <v>1494</v>
      </c>
      <c r="AH92" s="13">
        <v>7532</v>
      </c>
      <c r="AI92" s="13" t="s">
        <v>292</v>
      </c>
      <c r="AJ92" s="14" t="s">
        <v>276</v>
      </c>
      <c r="AK92" s="14">
        <f>(AE92/AG92)*100</f>
        <v>2.0080321285140563</v>
      </c>
      <c r="AL92" s="14" t="s">
        <v>276</v>
      </c>
      <c r="AM92" s="14" t="s">
        <v>276</v>
      </c>
      <c r="AN92" s="14" t="s">
        <v>276</v>
      </c>
      <c r="AO92" s="14">
        <f>(AF92/AH92)*100</f>
        <v>1.7259691980881571</v>
      </c>
      <c r="AP92" s="14" t="s">
        <v>276</v>
      </c>
      <c r="AQ92" s="14" t="s">
        <v>276</v>
      </c>
      <c r="AR92" s="8" t="s">
        <v>270</v>
      </c>
      <c r="AS92" s="14">
        <v>1.23</v>
      </c>
      <c r="AT92" s="50" t="s">
        <v>98</v>
      </c>
      <c r="AU92" s="14">
        <v>0.94</v>
      </c>
      <c r="AV92" s="14">
        <v>1.62</v>
      </c>
      <c r="AW92" s="8">
        <v>0.13</v>
      </c>
      <c r="AX92" s="8" t="s">
        <v>1082</v>
      </c>
      <c r="AY92" s="8">
        <v>1.58</v>
      </c>
      <c r="AZ92" s="8">
        <v>1.06</v>
      </c>
      <c r="BA92" s="8">
        <v>2.36</v>
      </c>
      <c r="BB92" s="8">
        <v>2.4E-2</v>
      </c>
      <c r="BC92" s="9" t="s">
        <v>1083</v>
      </c>
      <c r="BD92" s="9" t="s">
        <v>276</v>
      </c>
      <c r="BE92" s="9" t="s">
        <v>99</v>
      </c>
      <c r="BF92" s="33" t="s">
        <v>11163</v>
      </c>
    </row>
    <row r="93" spans="1:58" s="7" customFormat="1" ht="78" x14ac:dyDescent="0.3">
      <c r="A93" s="8">
        <v>3726</v>
      </c>
      <c r="B93" s="9" t="s">
        <v>1074</v>
      </c>
      <c r="C93" s="8" t="s">
        <v>91</v>
      </c>
      <c r="D93" s="9" t="s">
        <v>1084</v>
      </c>
      <c r="E93" s="8" t="s">
        <v>43</v>
      </c>
      <c r="F93" s="9" t="s">
        <v>1076</v>
      </c>
      <c r="G93" s="8" t="s">
        <v>225</v>
      </c>
      <c r="H93" s="8" t="s">
        <v>125</v>
      </c>
      <c r="I93" s="8" t="s">
        <v>114</v>
      </c>
      <c r="J93" s="9" t="s">
        <v>24</v>
      </c>
      <c r="K93" s="9" t="s">
        <v>1077</v>
      </c>
      <c r="L93" s="9" t="s">
        <v>1078</v>
      </c>
      <c r="M93" s="8" t="s">
        <v>14</v>
      </c>
      <c r="N93" s="11" t="s">
        <v>98</v>
      </c>
      <c r="O93" s="12" t="s">
        <v>207</v>
      </c>
      <c r="P93" s="41" t="s">
        <v>1079</v>
      </c>
      <c r="Q93" s="9" t="s">
        <v>1080</v>
      </c>
      <c r="R93" s="9" t="s">
        <v>276</v>
      </c>
      <c r="S93" s="9" t="s">
        <v>276</v>
      </c>
      <c r="T93" s="9">
        <v>4</v>
      </c>
      <c r="U93" s="13">
        <v>1494</v>
      </c>
      <c r="V93" s="38">
        <v>7532</v>
      </c>
      <c r="W93" s="9">
        <v>0</v>
      </c>
      <c r="X93" s="9">
        <v>0</v>
      </c>
      <c r="Y93" s="8">
        <v>0</v>
      </c>
      <c r="Z93" s="8" t="s">
        <v>98</v>
      </c>
      <c r="AA93" s="8">
        <v>0</v>
      </c>
      <c r="AB93" s="8" t="s">
        <v>98</v>
      </c>
      <c r="AC93" s="9" t="s">
        <v>1081</v>
      </c>
      <c r="AD93" s="9" t="s">
        <v>689</v>
      </c>
      <c r="AE93" s="8">
        <v>30</v>
      </c>
      <c r="AF93" s="8">
        <v>130</v>
      </c>
      <c r="AG93" s="13">
        <v>1494</v>
      </c>
      <c r="AH93" s="13">
        <v>7532</v>
      </c>
      <c r="AI93" s="13" t="s">
        <v>292</v>
      </c>
      <c r="AJ93" s="14" t="s">
        <v>276</v>
      </c>
      <c r="AK93" s="14">
        <f>(AE93/AG93)*100</f>
        <v>2.0080321285140563</v>
      </c>
      <c r="AL93" s="14" t="s">
        <v>276</v>
      </c>
      <c r="AM93" s="14" t="s">
        <v>276</v>
      </c>
      <c r="AN93" s="14" t="s">
        <v>276</v>
      </c>
      <c r="AO93" s="14">
        <f>(AF93/AH93)*100</f>
        <v>1.7259691980881571</v>
      </c>
      <c r="AP93" s="14" t="s">
        <v>276</v>
      </c>
      <c r="AQ93" s="14" t="s">
        <v>276</v>
      </c>
      <c r="AR93" s="8" t="s">
        <v>268</v>
      </c>
      <c r="AS93" s="14">
        <v>1.1599999999999999</v>
      </c>
      <c r="AT93" s="14">
        <f>AK93/AO93</f>
        <v>1.1634229224590671</v>
      </c>
      <c r="AU93" s="14">
        <v>0.78</v>
      </c>
      <c r="AV93" s="14">
        <v>1.73</v>
      </c>
      <c r="AW93" s="8" t="s">
        <v>276</v>
      </c>
      <c r="AX93" s="8" t="s">
        <v>98</v>
      </c>
      <c r="AY93" s="8" t="s">
        <v>276</v>
      </c>
      <c r="AZ93" s="8" t="s">
        <v>276</v>
      </c>
      <c r="BA93" s="8" t="s">
        <v>276</v>
      </c>
      <c r="BB93" s="8" t="s">
        <v>276</v>
      </c>
      <c r="BC93" s="9" t="s">
        <v>1085</v>
      </c>
      <c r="BD93" s="9" t="s">
        <v>276</v>
      </c>
      <c r="BE93" s="9" t="s">
        <v>99</v>
      </c>
      <c r="BF93" s="33" t="s">
        <v>11163</v>
      </c>
    </row>
    <row r="94" spans="1:58" s="7" customFormat="1" ht="91" x14ac:dyDescent="0.3">
      <c r="A94" s="9">
        <v>3727</v>
      </c>
      <c r="B94" s="9" t="s">
        <v>1086</v>
      </c>
      <c r="C94" s="8" t="s">
        <v>91</v>
      </c>
      <c r="D94" s="9" t="s">
        <v>1087</v>
      </c>
      <c r="E94" s="8" t="s">
        <v>43</v>
      </c>
      <c r="F94" s="9" t="s">
        <v>1076</v>
      </c>
      <c r="G94" s="8" t="s">
        <v>225</v>
      </c>
      <c r="H94" s="8" t="s">
        <v>125</v>
      </c>
      <c r="I94" s="8" t="s">
        <v>114</v>
      </c>
      <c r="J94" s="9" t="s">
        <v>24</v>
      </c>
      <c r="K94" s="9" t="s">
        <v>1088</v>
      </c>
      <c r="L94" s="9" t="s">
        <v>1078</v>
      </c>
      <c r="M94" s="8" t="s">
        <v>14</v>
      </c>
      <c r="N94" s="11" t="s">
        <v>98</v>
      </c>
      <c r="O94" s="12" t="s">
        <v>207</v>
      </c>
      <c r="P94" s="41" t="s">
        <v>1089</v>
      </c>
      <c r="Q94" s="9" t="s">
        <v>782</v>
      </c>
      <c r="R94" s="9" t="s">
        <v>276</v>
      </c>
      <c r="S94" s="9" t="s">
        <v>276</v>
      </c>
      <c r="T94" s="9">
        <v>4</v>
      </c>
      <c r="U94" s="13">
        <v>1494</v>
      </c>
      <c r="V94" s="38">
        <v>7532</v>
      </c>
      <c r="W94" s="9">
        <v>0</v>
      </c>
      <c r="X94" s="9">
        <v>0</v>
      </c>
      <c r="Y94" s="8">
        <v>0</v>
      </c>
      <c r="Z94" s="8" t="s">
        <v>98</v>
      </c>
      <c r="AA94" s="8">
        <v>0</v>
      </c>
      <c r="AB94" s="8" t="s">
        <v>98</v>
      </c>
      <c r="AC94" s="9" t="s">
        <v>1090</v>
      </c>
      <c r="AD94" s="9" t="s">
        <v>689</v>
      </c>
      <c r="AE94" s="8">
        <v>20</v>
      </c>
      <c r="AF94" s="8">
        <v>97</v>
      </c>
      <c r="AG94" s="13">
        <v>1494</v>
      </c>
      <c r="AH94" s="13">
        <v>7532</v>
      </c>
      <c r="AI94" s="13" t="s">
        <v>292</v>
      </c>
      <c r="AJ94" s="14" t="s">
        <v>276</v>
      </c>
      <c r="AK94" s="14">
        <f>(AE94/AG94)*100</f>
        <v>1.3386880856760375</v>
      </c>
      <c r="AL94" s="14" t="s">
        <v>276</v>
      </c>
      <c r="AM94" s="14" t="s">
        <v>276</v>
      </c>
      <c r="AN94" s="33" t="s">
        <v>276</v>
      </c>
      <c r="AO94" s="14">
        <f>(AF94/AH94)*100</f>
        <v>1.2878385554965481</v>
      </c>
      <c r="AP94" s="14" t="s">
        <v>276</v>
      </c>
      <c r="AQ94" s="14" t="s">
        <v>276</v>
      </c>
      <c r="AR94" s="8" t="s">
        <v>268</v>
      </c>
      <c r="AS94" s="14" t="s">
        <v>276</v>
      </c>
      <c r="AT94" s="14">
        <f>(AE94/AG94)/(AF94/AH94)</f>
        <v>1.0394843980733932</v>
      </c>
      <c r="AU94" s="14" t="s">
        <v>276</v>
      </c>
      <c r="AV94" s="14" t="s">
        <v>276</v>
      </c>
      <c r="AW94" s="8" t="s">
        <v>276</v>
      </c>
      <c r="AX94" s="8" t="s">
        <v>276</v>
      </c>
      <c r="AY94" s="8" t="s">
        <v>276</v>
      </c>
      <c r="AZ94" s="8" t="s">
        <v>276</v>
      </c>
      <c r="BA94" s="8" t="s">
        <v>276</v>
      </c>
      <c r="BB94" s="8" t="s">
        <v>276</v>
      </c>
      <c r="BC94" s="9" t="s">
        <v>1091</v>
      </c>
      <c r="BD94" s="9" t="s">
        <v>276</v>
      </c>
      <c r="BE94" s="9" t="s">
        <v>100</v>
      </c>
      <c r="BF94" s="33" t="s">
        <v>98</v>
      </c>
    </row>
    <row r="95" spans="1:58" s="7" customFormat="1" ht="91" x14ac:dyDescent="0.3">
      <c r="A95" s="8">
        <v>2733</v>
      </c>
      <c r="B95" s="8" t="s">
        <v>1169</v>
      </c>
      <c r="C95" s="8" t="s">
        <v>86</v>
      </c>
      <c r="D95" s="9" t="s">
        <v>1170</v>
      </c>
      <c r="E95" s="8" t="s">
        <v>42</v>
      </c>
      <c r="F95" s="9" t="s">
        <v>274</v>
      </c>
      <c r="G95" s="8" t="s">
        <v>225</v>
      </c>
      <c r="H95" s="8" t="s">
        <v>125</v>
      </c>
      <c r="I95" s="8" t="s">
        <v>114</v>
      </c>
      <c r="J95" s="9" t="s">
        <v>24</v>
      </c>
      <c r="K95" s="9" t="s">
        <v>1171</v>
      </c>
      <c r="L95" s="9" t="s">
        <v>1172</v>
      </c>
      <c r="M95" s="8" t="s">
        <v>14</v>
      </c>
      <c r="N95" s="11" t="s">
        <v>98</v>
      </c>
      <c r="O95" s="12" t="s">
        <v>207</v>
      </c>
      <c r="P95" s="41">
        <v>42004</v>
      </c>
      <c r="Q95" s="9" t="s">
        <v>276</v>
      </c>
      <c r="R95" s="9" t="s">
        <v>1173</v>
      </c>
      <c r="S95" s="9" t="s">
        <v>1173</v>
      </c>
      <c r="T95" s="51" t="s">
        <v>1174</v>
      </c>
      <c r="U95" s="13">
        <v>50624</v>
      </c>
      <c r="V95" s="38">
        <v>101299</v>
      </c>
      <c r="W95" s="8" t="s">
        <v>276</v>
      </c>
      <c r="X95" s="8" t="s">
        <v>276</v>
      </c>
      <c r="Y95" s="8" t="s">
        <v>276</v>
      </c>
      <c r="Z95" s="9" t="s">
        <v>276</v>
      </c>
      <c r="AA95" s="13" t="s">
        <v>276</v>
      </c>
      <c r="AB95" s="9" t="s">
        <v>276</v>
      </c>
      <c r="AC95" s="9" t="s">
        <v>1175</v>
      </c>
      <c r="AD95" s="9" t="s">
        <v>1176</v>
      </c>
      <c r="AE95" s="8">
        <v>148</v>
      </c>
      <c r="AF95" s="8">
        <v>347</v>
      </c>
      <c r="AG95" s="13">
        <v>50624</v>
      </c>
      <c r="AH95" s="13">
        <v>101299</v>
      </c>
      <c r="AI95" s="38" t="s">
        <v>292</v>
      </c>
      <c r="AJ95" s="14">
        <v>0.28999999999999998</v>
      </c>
      <c r="AK95" s="31">
        <v>0.29235145385587863</v>
      </c>
      <c r="AL95" s="14" t="s">
        <v>276</v>
      </c>
      <c r="AM95" s="14" t="s">
        <v>276</v>
      </c>
      <c r="AN95" s="14">
        <v>0.34</v>
      </c>
      <c r="AO95" s="31">
        <v>0.34255027196714677</v>
      </c>
      <c r="AP95" s="14" t="s">
        <v>276</v>
      </c>
      <c r="AQ95" s="14" t="s">
        <v>276</v>
      </c>
      <c r="AR95" s="8" t="s">
        <v>270</v>
      </c>
      <c r="AS95" s="14">
        <v>0.85</v>
      </c>
      <c r="AT95" s="14" t="s">
        <v>276</v>
      </c>
      <c r="AU95" s="14">
        <v>0.7</v>
      </c>
      <c r="AV95" s="14">
        <v>1.03</v>
      </c>
      <c r="AW95" s="14">
        <v>0.1</v>
      </c>
      <c r="AX95" s="8" t="s">
        <v>282</v>
      </c>
      <c r="AY95" s="8" t="s">
        <v>276</v>
      </c>
      <c r="AZ95" s="8" t="s">
        <v>276</v>
      </c>
      <c r="BA95" s="8" t="s">
        <v>276</v>
      </c>
      <c r="BB95" s="8" t="s">
        <v>276</v>
      </c>
      <c r="BC95" s="9" t="s">
        <v>1177</v>
      </c>
      <c r="BD95" s="9"/>
      <c r="BE95" s="9" t="s">
        <v>100</v>
      </c>
      <c r="BF95" s="33" t="s">
        <v>98</v>
      </c>
    </row>
    <row r="96" spans="1:58" s="7" customFormat="1" ht="78" x14ac:dyDescent="0.3">
      <c r="A96" s="8">
        <v>2733</v>
      </c>
      <c r="B96" s="8" t="s">
        <v>1169</v>
      </c>
      <c r="C96" s="8" t="s">
        <v>86</v>
      </c>
      <c r="D96" s="9" t="s">
        <v>1178</v>
      </c>
      <c r="E96" s="8" t="s">
        <v>42</v>
      </c>
      <c r="F96" s="9" t="s">
        <v>274</v>
      </c>
      <c r="G96" s="8" t="s">
        <v>225</v>
      </c>
      <c r="H96" s="8" t="s">
        <v>125</v>
      </c>
      <c r="I96" s="8" t="s">
        <v>114</v>
      </c>
      <c r="J96" s="9" t="s">
        <v>24</v>
      </c>
      <c r="K96" s="9" t="s">
        <v>1171</v>
      </c>
      <c r="L96" s="9" t="s">
        <v>1172</v>
      </c>
      <c r="M96" s="8" t="s">
        <v>14</v>
      </c>
      <c r="N96" s="11" t="s">
        <v>98</v>
      </c>
      <c r="O96" s="12" t="s">
        <v>207</v>
      </c>
      <c r="P96" s="41">
        <v>42004</v>
      </c>
      <c r="Q96" s="9" t="s">
        <v>276</v>
      </c>
      <c r="R96" s="9" t="s">
        <v>1173</v>
      </c>
      <c r="S96" s="9" t="s">
        <v>1173</v>
      </c>
      <c r="T96" s="51" t="s">
        <v>1174</v>
      </c>
      <c r="U96" s="13">
        <v>50624</v>
      </c>
      <c r="V96" s="38">
        <v>101299</v>
      </c>
      <c r="W96" s="8" t="s">
        <v>276</v>
      </c>
      <c r="X96" s="8" t="s">
        <v>276</v>
      </c>
      <c r="Y96" s="8" t="s">
        <v>276</v>
      </c>
      <c r="Z96" s="9" t="s">
        <v>276</v>
      </c>
      <c r="AA96" s="13" t="s">
        <v>276</v>
      </c>
      <c r="AB96" s="9" t="s">
        <v>276</v>
      </c>
      <c r="AC96" s="9" t="s">
        <v>1179</v>
      </c>
      <c r="AD96" s="9" t="s">
        <v>1176</v>
      </c>
      <c r="AE96" s="8">
        <v>160</v>
      </c>
      <c r="AF96" s="8">
        <v>358</v>
      </c>
      <c r="AG96" s="13">
        <v>50624</v>
      </c>
      <c r="AH96" s="13">
        <v>101299</v>
      </c>
      <c r="AI96" s="38" t="s">
        <v>292</v>
      </c>
      <c r="AJ96" s="14" t="s">
        <v>276</v>
      </c>
      <c r="AK96" s="31">
        <v>0.31605562579013907</v>
      </c>
      <c r="AL96" s="14" t="s">
        <v>276</v>
      </c>
      <c r="AM96" s="14" t="s">
        <v>276</v>
      </c>
      <c r="AN96" s="14" t="s">
        <v>276</v>
      </c>
      <c r="AO96" s="31">
        <v>0.35340921430616296</v>
      </c>
      <c r="AP96" s="14" t="s">
        <v>276</v>
      </c>
      <c r="AQ96" s="14" t="s">
        <v>276</v>
      </c>
      <c r="AR96" s="8" t="s">
        <v>270</v>
      </c>
      <c r="AS96" s="14">
        <v>0.89</v>
      </c>
      <c r="AT96" s="14" t="s">
        <v>276</v>
      </c>
      <c r="AU96" s="14">
        <v>0.74</v>
      </c>
      <c r="AV96" s="14">
        <v>1.08</v>
      </c>
      <c r="AW96" s="14">
        <v>0.23</v>
      </c>
      <c r="AX96" s="8" t="s">
        <v>282</v>
      </c>
      <c r="AY96" s="8" t="s">
        <v>276</v>
      </c>
      <c r="AZ96" s="8" t="s">
        <v>276</v>
      </c>
      <c r="BA96" s="8" t="s">
        <v>276</v>
      </c>
      <c r="BB96" s="8" t="s">
        <v>276</v>
      </c>
      <c r="BC96" s="9" t="s">
        <v>1180</v>
      </c>
      <c r="BD96" s="9"/>
      <c r="BE96" s="9" t="s">
        <v>100</v>
      </c>
      <c r="BF96" s="33" t="s">
        <v>98</v>
      </c>
    </row>
    <row r="97" spans="1:58" s="7" customFormat="1" ht="91" x14ac:dyDescent="0.3">
      <c r="A97" s="8">
        <v>2733</v>
      </c>
      <c r="B97" s="8" t="s">
        <v>1169</v>
      </c>
      <c r="C97" s="8" t="s">
        <v>86</v>
      </c>
      <c r="D97" s="9" t="s">
        <v>1184</v>
      </c>
      <c r="E97" s="8" t="s">
        <v>42</v>
      </c>
      <c r="F97" s="9" t="s">
        <v>148</v>
      </c>
      <c r="G97" s="8" t="s">
        <v>225</v>
      </c>
      <c r="H97" s="8" t="s">
        <v>125</v>
      </c>
      <c r="I97" s="8" t="s">
        <v>114</v>
      </c>
      <c r="J97" s="9" t="s">
        <v>24</v>
      </c>
      <c r="K97" s="9" t="s">
        <v>1171</v>
      </c>
      <c r="L97" s="9" t="s">
        <v>1172</v>
      </c>
      <c r="M97" s="8" t="s">
        <v>14</v>
      </c>
      <c r="N97" s="11" t="s">
        <v>98</v>
      </c>
      <c r="O97" s="12" t="s">
        <v>207</v>
      </c>
      <c r="P97" s="41">
        <v>42004</v>
      </c>
      <c r="Q97" s="9" t="s">
        <v>276</v>
      </c>
      <c r="R97" s="9" t="s">
        <v>1173</v>
      </c>
      <c r="S97" s="9" t="s">
        <v>1173</v>
      </c>
      <c r="T97" s="51" t="s">
        <v>1174</v>
      </c>
      <c r="U97" s="13">
        <v>50623</v>
      </c>
      <c r="V97" s="38">
        <v>101299</v>
      </c>
      <c r="W97" s="8" t="s">
        <v>276</v>
      </c>
      <c r="X97" s="8" t="s">
        <v>276</v>
      </c>
      <c r="Y97" s="8" t="s">
        <v>276</v>
      </c>
      <c r="Z97" s="9" t="s">
        <v>276</v>
      </c>
      <c r="AA97" s="13" t="s">
        <v>276</v>
      </c>
      <c r="AB97" s="9" t="s">
        <v>276</v>
      </c>
      <c r="AC97" s="9" t="s">
        <v>1185</v>
      </c>
      <c r="AD97" s="9" t="s">
        <v>1176</v>
      </c>
      <c r="AE97" s="8">
        <v>154</v>
      </c>
      <c r="AF97" s="8">
        <v>347</v>
      </c>
      <c r="AG97" s="13">
        <v>50623</v>
      </c>
      <c r="AH97" s="13">
        <v>101299</v>
      </c>
      <c r="AI97" s="38" t="s">
        <v>292</v>
      </c>
      <c r="AJ97" s="14">
        <v>0.3</v>
      </c>
      <c r="AK97" s="31">
        <v>0.30420954901922054</v>
      </c>
      <c r="AL97" s="14" t="s">
        <v>276</v>
      </c>
      <c r="AM97" s="14" t="s">
        <v>276</v>
      </c>
      <c r="AN97" s="14">
        <v>0.34</v>
      </c>
      <c r="AO97" s="31">
        <v>0.34255027196714677</v>
      </c>
      <c r="AP97" s="14" t="s">
        <v>276</v>
      </c>
      <c r="AQ97" s="14" t="s">
        <v>276</v>
      </c>
      <c r="AR97" s="8" t="s">
        <v>270</v>
      </c>
      <c r="AS97" s="14">
        <v>0.89</v>
      </c>
      <c r="AT97" s="14" t="s">
        <v>276</v>
      </c>
      <c r="AU97" s="14">
        <v>0.73</v>
      </c>
      <c r="AV97" s="14">
        <v>1.07</v>
      </c>
      <c r="AW97" s="14">
        <v>0.21</v>
      </c>
      <c r="AX97" s="8" t="s">
        <v>282</v>
      </c>
      <c r="AY97" s="8" t="s">
        <v>276</v>
      </c>
      <c r="AZ97" s="8" t="s">
        <v>276</v>
      </c>
      <c r="BA97" s="8" t="s">
        <v>276</v>
      </c>
      <c r="BB97" s="8" t="s">
        <v>276</v>
      </c>
      <c r="BC97" s="9" t="s">
        <v>1182</v>
      </c>
      <c r="BD97" s="9"/>
      <c r="BE97" s="9" t="s">
        <v>100</v>
      </c>
      <c r="BF97" s="33" t="s">
        <v>98</v>
      </c>
    </row>
    <row r="98" spans="1:58" s="7" customFormat="1" ht="78" x14ac:dyDescent="0.3">
      <c r="A98" s="8">
        <v>2733</v>
      </c>
      <c r="B98" s="8" t="s">
        <v>1169</v>
      </c>
      <c r="C98" s="8" t="s">
        <v>86</v>
      </c>
      <c r="D98" s="9" t="s">
        <v>1186</v>
      </c>
      <c r="E98" s="8" t="s">
        <v>42</v>
      </c>
      <c r="F98" s="9" t="s">
        <v>148</v>
      </c>
      <c r="G98" s="8" t="s">
        <v>225</v>
      </c>
      <c r="H98" s="8" t="s">
        <v>125</v>
      </c>
      <c r="I98" s="8" t="s">
        <v>114</v>
      </c>
      <c r="J98" s="9" t="s">
        <v>24</v>
      </c>
      <c r="K98" s="9" t="s">
        <v>1171</v>
      </c>
      <c r="L98" s="9" t="s">
        <v>1172</v>
      </c>
      <c r="M98" s="8" t="s">
        <v>14</v>
      </c>
      <c r="N98" s="11" t="s">
        <v>98</v>
      </c>
      <c r="O98" s="12" t="s">
        <v>207</v>
      </c>
      <c r="P98" s="41">
        <v>42004</v>
      </c>
      <c r="Q98" s="9" t="s">
        <v>276</v>
      </c>
      <c r="R98" s="9" t="s">
        <v>1173</v>
      </c>
      <c r="S98" s="9" t="s">
        <v>1173</v>
      </c>
      <c r="T98" s="51" t="s">
        <v>1174</v>
      </c>
      <c r="U98" s="13">
        <v>50623</v>
      </c>
      <c r="V98" s="38">
        <v>101299</v>
      </c>
      <c r="W98" s="8" t="s">
        <v>276</v>
      </c>
      <c r="X98" s="8" t="s">
        <v>276</v>
      </c>
      <c r="Y98" s="8" t="s">
        <v>276</v>
      </c>
      <c r="Z98" s="9" t="s">
        <v>276</v>
      </c>
      <c r="AA98" s="13" t="s">
        <v>276</v>
      </c>
      <c r="AB98" s="9" t="s">
        <v>276</v>
      </c>
      <c r="AC98" s="9" t="s">
        <v>1179</v>
      </c>
      <c r="AD98" s="9" t="s">
        <v>1176</v>
      </c>
      <c r="AE98" s="8">
        <v>163</v>
      </c>
      <c r="AF98" s="8">
        <v>358</v>
      </c>
      <c r="AG98" s="13">
        <v>50623</v>
      </c>
      <c r="AH98" s="13">
        <v>101299</v>
      </c>
      <c r="AI98" s="38" t="s">
        <v>292</v>
      </c>
      <c r="AJ98" s="14">
        <v>0.3</v>
      </c>
      <c r="AK98" s="31">
        <v>0.32198802915670743</v>
      </c>
      <c r="AL98" s="14" t="s">
        <v>276</v>
      </c>
      <c r="AM98" s="14" t="s">
        <v>276</v>
      </c>
      <c r="AN98" s="14">
        <v>0.34</v>
      </c>
      <c r="AO98" s="31">
        <v>0.35340921430616296</v>
      </c>
      <c r="AP98" s="14" t="s">
        <v>276</v>
      </c>
      <c r="AQ98" s="14" t="s">
        <v>276</v>
      </c>
      <c r="AR98" s="8" t="s">
        <v>270</v>
      </c>
      <c r="AS98" s="14">
        <v>0.91</v>
      </c>
      <c r="AT98" s="14" t="s">
        <v>276</v>
      </c>
      <c r="AU98" s="14">
        <v>0.76</v>
      </c>
      <c r="AV98" s="14">
        <v>1.0900000000000001</v>
      </c>
      <c r="AW98" s="14">
        <v>0.31</v>
      </c>
      <c r="AX98" s="8" t="s">
        <v>282</v>
      </c>
      <c r="AY98" s="8" t="s">
        <v>276</v>
      </c>
      <c r="AZ98" s="8" t="s">
        <v>276</v>
      </c>
      <c r="BA98" s="8" t="s">
        <v>276</v>
      </c>
      <c r="BB98" s="8" t="s">
        <v>276</v>
      </c>
      <c r="BC98" s="9" t="s">
        <v>1180</v>
      </c>
      <c r="BD98" s="9"/>
      <c r="BE98" s="9" t="s">
        <v>100</v>
      </c>
      <c r="BF98" s="33" t="s">
        <v>98</v>
      </c>
    </row>
    <row r="99" spans="1:58" s="7" customFormat="1" ht="78" x14ac:dyDescent="0.3">
      <c r="A99" s="8">
        <v>2733</v>
      </c>
      <c r="B99" s="8" t="s">
        <v>1169</v>
      </c>
      <c r="C99" s="8" t="s">
        <v>86</v>
      </c>
      <c r="D99" s="9" t="s">
        <v>1187</v>
      </c>
      <c r="E99" s="8" t="s">
        <v>42</v>
      </c>
      <c r="F99" s="9" t="s">
        <v>274</v>
      </c>
      <c r="G99" s="8" t="s">
        <v>225</v>
      </c>
      <c r="H99" s="8" t="s">
        <v>125</v>
      </c>
      <c r="I99" s="8" t="s">
        <v>114</v>
      </c>
      <c r="J99" s="9" t="s">
        <v>24</v>
      </c>
      <c r="K99" s="9" t="s">
        <v>1171</v>
      </c>
      <c r="L99" s="9" t="s">
        <v>1172</v>
      </c>
      <c r="M99" s="8" t="s">
        <v>14</v>
      </c>
      <c r="N99" s="11" t="s">
        <v>98</v>
      </c>
      <c r="O99" s="12" t="s">
        <v>207</v>
      </c>
      <c r="P99" s="41">
        <v>42004</v>
      </c>
      <c r="Q99" s="9" t="s">
        <v>276</v>
      </c>
      <c r="R99" s="9" t="s">
        <v>1173</v>
      </c>
      <c r="S99" s="9" t="s">
        <v>1173</v>
      </c>
      <c r="T99" s="51" t="s">
        <v>1174</v>
      </c>
      <c r="U99" s="13">
        <v>50624</v>
      </c>
      <c r="V99" s="38">
        <v>101299</v>
      </c>
      <c r="W99" s="8" t="s">
        <v>276</v>
      </c>
      <c r="X99" s="8" t="s">
        <v>276</v>
      </c>
      <c r="Y99" s="8" t="s">
        <v>276</v>
      </c>
      <c r="Z99" s="9" t="s">
        <v>276</v>
      </c>
      <c r="AA99" s="13" t="s">
        <v>276</v>
      </c>
      <c r="AB99" s="9" t="s">
        <v>276</v>
      </c>
      <c r="AC99" s="9" t="s">
        <v>1181</v>
      </c>
      <c r="AD99" s="9" t="s">
        <v>1188</v>
      </c>
      <c r="AE99" s="8">
        <v>148</v>
      </c>
      <c r="AF99" s="8">
        <v>347</v>
      </c>
      <c r="AG99" s="13">
        <v>548533</v>
      </c>
      <c r="AH99" s="13">
        <v>1097089</v>
      </c>
      <c r="AI99" s="38" t="s">
        <v>1019</v>
      </c>
      <c r="AJ99" s="14" t="s">
        <v>276</v>
      </c>
      <c r="AK99" s="31">
        <v>26.981056745902251</v>
      </c>
      <c r="AL99" s="14" t="s">
        <v>276</v>
      </c>
      <c r="AM99" s="14" t="s">
        <v>276</v>
      </c>
      <c r="AN99" s="14" t="s">
        <v>276</v>
      </c>
      <c r="AO99" s="31">
        <v>31.629156795847923</v>
      </c>
      <c r="AP99" s="14" t="s">
        <v>276</v>
      </c>
      <c r="AQ99" s="14" t="s">
        <v>276</v>
      </c>
      <c r="AR99" s="8" t="s">
        <v>269</v>
      </c>
      <c r="AS99" s="14" t="s">
        <v>276</v>
      </c>
      <c r="AT99" s="14">
        <v>0.85304382029697845</v>
      </c>
      <c r="AU99" s="14" t="s">
        <v>276</v>
      </c>
      <c r="AV99" s="14" t="s">
        <v>276</v>
      </c>
      <c r="AW99" s="8" t="s">
        <v>276</v>
      </c>
      <c r="AX99" s="8" t="s">
        <v>282</v>
      </c>
      <c r="AY99" s="8" t="s">
        <v>276</v>
      </c>
      <c r="AZ99" s="8" t="s">
        <v>276</v>
      </c>
      <c r="BA99" s="8" t="s">
        <v>276</v>
      </c>
      <c r="BB99" s="8" t="s">
        <v>276</v>
      </c>
      <c r="BC99" s="9" t="s">
        <v>1189</v>
      </c>
      <c r="BD99" s="9"/>
      <c r="BE99" s="9" t="s">
        <v>99</v>
      </c>
      <c r="BF99" s="33" t="s">
        <v>11162</v>
      </c>
    </row>
    <row r="100" spans="1:58" s="7" customFormat="1" ht="78" x14ac:dyDescent="0.3">
      <c r="A100" s="8">
        <v>2733</v>
      </c>
      <c r="B100" s="8" t="s">
        <v>1169</v>
      </c>
      <c r="C100" s="8" t="s">
        <v>86</v>
      </c>
      <c r="D100" s="9" t="s">
        <v>1190</v>
      </c>
      <c r="E100" s="8" t="s">
        <v>42</v>
      </c>
      <c r="F100" s="9" t="s">
        <v>148</v>
      </c>
      <c r="G100" s="8" t="s">
        <v>225</v>
      </c>
      <c r="H100" s="8" t="s">
        <v>125</v>
      </c>
      <c r="I100" s="8" t="s">
        <v>114</v>
      </c>
      <c r="J100" s="9" t="s">
        <v>24</v>
      </c>
      <c r="K100" s="9" t="s">
        <v>1171</v>
      </c>
      <c r="L100" s="9" t="s">
        <v>1172</v>
      </c>
      <c r="M100" s="8" t="s">
        <v>14</v>
      </c>
      <c r="N100" s="11" t="s">
        <v>98</v>
      </c>
      <c r="O100" s="12" t="s">
        <v>207</v>
      </c>
      <c r="P100" s="41">
        <v>42004</v>
      </c>
      <c r="Q100" s="9" t="s">
        <v>276</v>
      </c>
      <c r="R100" s="9" t="s">
        <v>1173</v>
      </c>
      <c r="S100" s="9" t="s">
        <v>1173</v>
      </c>
      <c r="T100" s="51" t="s">
        <v>1174</v>
      </c>
      <c r="U100" s="13">
        <v>50623</v>
      </c>
      <c r="V100" s="38">
        <v>101299</v>
      </c>
      <c r="W100" s="8" t="s">
        <v>276</v>
      </c>
      <c r="X100" s="8" t="s">
        <v>276</v>
      </c>
      <c r="Y100" s="8" t="s">
        <v>276</v>
      </c>
      <c r="Z100" s="9" t="s">
        <v>276</v>
      </c>
      <c r="AA100" s="13" t="s">
        <v>276</v>
      </c>
      <c r="AB100" s="9" t="s">
        <v>276</v>
      </c>
      <c r="AC100" s="9" t="s">
        <v>1181</v>
      </c>
      <c r="AD100" s="9" t="s">
        <v>1188</v>
      </c>
      <c r="AE100" s="8">
        <v>154</v>
      </c>
      <c r="AF100" s="8">
        <v>347</v>
      </c>
      <c r="AG100" s="13">
        <v>548825</v>
      </c>
      <c r="AH100" s="13">
        <v>1097089</v>
      </c>
      <c r="AI100" s="38" t="s">
        <v>1019</v>
      </c>
      <c r="AJ100" s="14">
        <v>0.3</v>
      </c>
      <c r="AK100" s="31">
        <v>28.059946248804263</v>
      </c>
      <c r="AL100" s="14" t="s">
        <v>276</v>
      </c>
      <c r="AM100" s="14" t="s">
        <v>276</v>
      </c>
      <c r="AN100" s="14" t="s">
        <v>276</v>
      </c>
      <c r="AO100" s="31">
        <v>31.629156795847923</v>
      </c>
      <c r="AP100" s="14" t="s">
        <v>276</v>
      </c>
      <c r="AQ100" s="14" t="s">
        <v>276</v>
      </c>
      <c r="AR100" s="8" t="s">
        <v>269</v>
      </c>
      <c r="AS100" s="14" t="s">
        <v>276</v>
      </c>
      <c r="AT100" s="14">
        <v>0.88715441988917632</v>
      </c>
      <c r="AU100" s="14" t="s">
        <v>276</v>
      </c>
      <c r="AV100" s="14" t="s">
        <v>276</v>
      </c>
      <c r="AW100" s="8" t="s">
        <v>276</v>
      </c>
      <c r="AX100" s="8" t="s">
        <v>282</v>
      </c>
      <c r="AY100" s="8" t="s">
        <v>276</v>
      </c>
      <c r="AZ100" s="8" t="s">
        <v>276</v>
      </c>
      <c r="BA100" s="8" t="s">
        <v>276</v>
      </c>
      <c r="BB100" s="8" t="s">
        <v>276</v>
      </c>
      <c r="BC100" s="9" t="s">
        <v>1189</v>
      </c>
      <c r="BD100" s="9"/>
      <c r="BE100" s="9" t="s">
        <v>99</v>
      </c>
      <c r="BF100" s="33" t="s">
        <v>11162</v>
      </c>
    </row>
    <row r="101" spans="1:58" s="7" customFormat="1" ht="78" x14ac:dyDescent="0.3">
      <c r="A101" s="8">
        <v>2733</v>
      </c>
      <c r="B101" s="8" t="s">
        <v>1169</v>
      </c>
      <c r="C101" s="8" t="s">
        <v>86</v>
      </c>
      <c r="D101" s="9" t="s">
        <v>1294</v>
      </c>
      <c r="E101" s="8" t="s">
        <v>42</v>
      </c>
      <c r="F101" s="9" t="s">
        <v>274</v>
      </c>
      <c r="G101" s="8" t="s">
        <v>225</v>
      </c>
      <c r="H101" s="8" t="s">
        <v>125</v>
      </c>
      <c r="I101" s="8" t="s">
        <v>114</v>
      </c>
      <c r="J101" s="9" t="s">
        <v>24</v>
      </c>
      <c r="K101" s="9" t="s">
        <v>1171</v>
      </c>
      <c r="L101" s="9" t="s">
        <v>1172</v>
      </c>
      <c r="M101" s="8" t="s">
        <v>14</v>
      </c>
      <c r="N101" s="11" t="s">
        <v>98</v>
      </c>
      <c r="O101" s="12" t="s">
        <v>207</v>
      </c>
      <c r="P101" s="41">
        <v>42004</v>
      </c>
      <c r="Q101" s="9" t="s">
        <v>276</v>
      </c>
      <c r="R101" s="9" t="s">
        <v>1173</v>
      </c>
      <c r="S101" s="9" t="s">
        <v>1173</v>
      </c>
      <c r="T101" s="51" t="s">
        <v>1174</v>
      </c>
      <c r="U101" s="13">
        <v>50624</v>
      </c>
      <c r="V101" s="38">
        <v>101299</v>
      </c>
      <c r="W101" s="8" t="s">
        <v>276</v>
      </c>
      <c r="X101" s="8" t="s">
        <v>276</v>
      </c>
      <c r="Y101" s="8" t="s">
        <v>276</v>
      </c>
      <c r="Z101" s="9" t="s">
        <v>276</v>
      </c>
      <c r="AA101" s="13" t="s">
        <v>276</v>
      </c>
      <c r="AB101" s="9" t="s">
        <v>276</v>
      </c>
      <c r="AC101" s="9" t="s">
        <v>1179</v>
      </c>
      <c r="AD101" s="9" t="s">
        <v>1188</v>
      </c>
      <c r="AE101" s="8">
        <v>160</v>
      </c>
      <c r="AF101" s="8">
        <v>358</v>
      </c>
      <c r="AG101" s="13">
        <v>548533</v>
      </c>
      <c r="AH101" s="13">
        <v>1097089</v>
      </c>
      <c r="AI101" s="38" t="s">
        <v>1019</v>
      </c>
      <c r="AJ101" s="14" t="s">
        <v>276</v>
      </c>
      <c r="AK101" s="31">
        <v>29.168709995570001</v>
      </c>
      <c r="AL101" s="14" t="s">
        <v>276</v>
      </c>
      <c r="AM101" s="14" t="s">
        <v>276</v>
      </c>
      <c r="AN101" s="14" t="s">
        <v>276</v>
      </c>
      <c r="AO101" s="31">
        <v>32.631810181307074</v>
      </c>
      <c r="AP101" s="14" t="s">
        <v>276</v>
      </c>
      <c r="AQ101" s="14" t="s">
        <v>276</v>
      </c>
      <c r="AR101" s="8" t="s">
        <v>269</v>
      </c>
      <c r="AS101" s="14" t="s">
        <v>276</v>
      </c>
      <c r="AT101" s="14">
        <v>0.89387348827737156</v>
      </c>
      <c r="AU101" s="14" t="s">
        <v>276</v>
      </c>
      <c r="AV101" s="14" t="s">
        <v>276</v>
      </c>
      <c r="AW101" s="8" t="s">
        <v>276</v>
      </c>
      <c r="AX101" s="8" t="s">
        <v>282</v>
      </c>
      <c r="AY101" s="8" t="s">
        <v>276</v>
      </c>
      <c r="AZ101" s="8" t="s">
        <v>276</v>
      </c>
      <c r="BA101" s="8" t="s">
        <v>276</v>
      </c>
      <c r="BB101" s="8" t="s">
        <v>276</v>
      </c>
      <c r="BC101" s="9" t="s">
        <v>1189</v>
      </c>
      <c r="BD101" s="9"/>
      <c r="BE101" s="9" t="s">
        <v>100</v>
      </c>
      <c r="BF101" s="33" t="s">
        <v>98</v>
      </c>
    </row>
    <row r="102" spans="1:58" s="7" customFormat="1" ht="78" x14ac:dyDescent="0.3">
      <c r="A102" s="8">
        <v>2733</v>
      </c>
      <c r="B102" s="8" t="s">
        <v>1169</v>
      </c>
      <c r="C102" s="8" t="s">
        <v>86</v>
      </c>
      <c r="D102" s="9" t="s">
        <v>1295</v>
      </c>
      <c r="E102" s="8" t="s">
        <v>42</v>
      </c>
      <c r="F102" s="9" t="s">
        <v>148</v>
      </c>
      <c r="G102" s="8" t="s">
        <v>225</v>
      </c>
      <c r="H102" s="8" t="s">
        <v>125</v>
      </c>
      <c r="I102" s="8" t="s">
        <v>114</v>
      </c>
      <c r="J102" s="9" t="s">
        <v>24</v>
      </c>
      <c r="K102" s="9" t="s">
        <v>1171</v>
      </c>
      <c r="L102" s="9" t="s">
        <v>1172</v>
      </c>
      <c r="M102" s="8" t="s">
        <v>14</v>
      </c>
      <c r="N102" s="11" t="s">
        <v>98</v>
      </c>
      <c r="O102" s="12" t="s">
        <v>207</v>
      </c>
      <c r="P102" s="41">
        <v>42004</v>
      </c>
      <c r="Q102" s="9" t="s">
        <v>276</v>
      </c>
      <c r="R102" s="9" t="s">
        <v>1173</v>
      </c>
      <c r="S102" s="9" t="s">
        <v>1173</v>
      </c>
      <c r="T102" s="51" t="s">
        <v>1174</v>
      </c>
      <c r="U102" s="13">
        <v>50623</v>
      </c>
      <c r="V102" s="38">
        <v>101299</v>
      </c>
      <c r="W102" s="8" t="s">
        <v>276</v>
      </c>
      <c r="X102" s="8" t="s">
        <v>276</v>
      </c>
      <c r="Y102" s="8" t="s">
        <v>276</v>
      </c>
      <c r="Z102" s="9" t="s">
        <v>276</v>
      </c>
      <c r="AA102" s="13" t="s">
        <v>276</v>
      </c>
      <c r="AB102" s="9" t="s">
        <v>276</v>
      </c>
      <c r="AC102" s="9" t="s">
        <v>1179</v>
      </c>
      <c r="AD102" s="9" t="s">
        <v>1188</v>
      </c>
      <c r="AE102" s="8">
        <v>163</v>
      </c>
      <c r="AF102" s="8">
        <v>358</v>
      </c>
      <c r="AG102" s="13">
        <v>548825</v>
      </c>
      <c r="AH102" s="13">
        <v>1097089</v>
      </c>
      <c r="AI102" s="38" t="s">
        <v>1019</v>
      </c>
      <c r="AJ102" s="14">
        <v>0.3</v>
      </c>
      <c r="AK102" s="31">
        <v>29.699813237370748</v>
      </c>
      <c r="AL102" s="14" t="s">
        <v>276</v>
      </c>
      <c r="AM102" s="14" t="s">
        <v>276</v>
      </c>
      <c r="AN102" s="14" t="s">
        <v>276</v>
      </c>
      <c r="AO102" s="31">
        <v>32.631810181307074</v>
      </c>
      <c r="AP102" s="14" t="s">
        <v>276</v>
      </c>
      <c r="AQ102" s="14" t="s">
        <v>276</v>
      </c>
      <c r="AR102" s="8" t="s">
        <v>269</v>
      </c>
      <c r="AS102" s="14" t="s">
        <v>276</v>
      </c>
      <c r="AT102" s="14">
        <v>0.91014911745178317</v>
      </c>
      <c r="AU102" s="14" t="s">
        <v>276</v>
      </c>
      <c r="AV102" s="14" t="s">
        <v>276</v>
      </c>
      <c r="AW102" s="8" t="s">
        <v>276</v>
      </c>
      <c r="AX102" s="8" t="s">
        <v>282</v>
      </c>
      <c r="AY102" s="8" t="s">
        <v>276</v>
      </c>
      <c r="AZ102" s="8" t="s">
        <v>276</v>
      </c>
      <c r="BA102" s="8" t="s">
        <v>276</v>
      </c>
      <c r="BB102" s="8" t="s">
        <v>276</v>
      </c>
      <c r="BC102" s="9" t="s">
        <v>1189</v>
      </c>
      <c r="BD102" s="9"/>
      <c r="BE102" s="9" t="s">
        <v>100</v>
      </c>
      <c r="BF102" s="33" t="s">
        <v>98</v>
      </c>
    </row>
    <row r="103" spans="1:58" s="7" customFormat="1" ht="65" x14ac:dyDescent="0.3">
      <c r="A103" s="8">
        <v>2733</v>
      </c>
      <c r="B103" s="8" t="s">
        <v>1169</v>
      </c>
      <c r="C103" s="8" t="s">
        <v>86</v>
      </c>
      <c r="D103" s="9" t="s">
        <v>1194</v>
      </c>
      <c r="E103" s="8" t="s">
        <v>42</v>
      </c>
      <c r="F103" s="9" t="s">
        <v>274</v>
      </c>
      <c r="G103" s="8" t="s">
        <v>225</v>
      </c>
      <c r="H103" s="8" t="s">
        <v>125</v>
      </c>
      <c r="I103" s="8" t="s">
        <v>114</v>
      </c>
      <c r="J103" s="9" t="s">
        <v>23</v>
      </c>
      <c r="K103" s="9" t="s">
        <v>1171</v>
      </c>
      <c r="L103" s="9" t="s">
        <v>1195</v>
      </c>
      <c r="M103" s="8" t="s">
        <v>14</v>
      </c>
      <c r="N103" s="11" t="s">
        <v>98</v>
      </c>
      <c r="O103" s="12" t="s">
        <v>207</v>
      </c>
      <c r="P103" s="41">
        <v>42004</v>
      </c>
      <c r="Q103" s="9" t="s">
        <v>276</v>
      </c>
      <c r="R103" s="9" t="s">
        <v>1173</v>
      </c>
      <c r="S103" s="9" t="s">
        <v>1173</v>
      </c>
      <c r="T103" s="51" t="s">
        <v>1174</v>
      </c>
      <c r="U103" s="13">
        <v>50624</v>
      </c>
      <c r="V103" s="38">
        <v>101299</v>
      </c>
      <c r="W103" s="8" t="s">
        <v>276</v>
      </c>
      <c r="X103" s="8" t="s">
        <v>276</v>
      </c>
      <c r="Y103" s="8">
        <v>540</v>
      </c>
      <c r="Z103" s="9" t="s">
        <v>1196</v>
      </c>
      <c r="AA103" s="13">
        <v>1150</v>
      </c>
      <c r="AB103" s="9" t="s">
        <v>1196</v>
      </c>
      <c r="AC103" s="9" t="s">
        <v>1197</v>
      </c>
      <c r="AD103" s="9" t="s">
        <v>1176</v>
      </c>
      <c r="AE103" s="8">
        <v>3536</v>
      </c>
      <c r="AF103" s="8">
        <v>7016</v>
      </c>
      <c r="AG103" s="13">
        <v>50624</v>
      </c>
      <c r="AH103" s="13">
        <v>101299</v>
      </c>
      <c r="AI103" s="38" t="s">
        <v>292</v>
      </c>
      <c r="AJ103" s="14" t="s">
        <v>276</v>
      </c>
      <c r="AK103" s="31">
        <v>6.9848293299620732</v>
      </c>
      <c r="AL103" s="14" t="s">
        <v>276</v>
      </c>
      <c r="AM103" s="14" t="s">
        <v>276</v>
      </c>
      <c r="AN103" s="14" t="s">
        <v>276</v>
      </c>
      <c r="AO103" s="31">
        <v>6.9260308591397743</v>
      </c>
      <c r="AP103" s="14" t="s">
        <v>276</v>
      </c>
      <c r="AQ103" s="14" t="s">
        <v>276</v>
      </c>
      <c r="AR103" s="8" t="s">
        <v>268</v>
      </c>
      <c r="AS103" s="14" t="s">
        <v>276</v>
      </c>
      <c r="AT103" s="14">
        <v>1.0084894901593899</v>
      </c>
      <c r="AU103" s="14" t="s">
        <v>276</v>
      </c>
      <c r="AV103" s="14" t="s">
        <v>276</v>
      </c>
      <c r="AW103" s="8" t="s">
        <v>276</v>
      </c>
      <c r="AX103" s="8" t="s">
        <v>282</v>
      </c>
      <c r="AY103" s="8" t="s">
        <v>276</v>
      </c>
      <c r="AZ103" s="8" t="s">
        <v>276</v>
      </c>
      <c r="BA103" s="8" t="s">
        <v>276</v>
      </c>
      <c r="BB103" s="8" t="s">
        <v>276</v>
      </c>
      <c r="BC103" s="9" t="s">
        <v>1198</v>
      </c>
      <c r="BD103" s="9"/>
      <c r="BE103" s="9" t="s">
        <v>100</v>
      </c>
      <c r="BF103" s="33" t="s">
        <v>98</v>
      </c>
    </row>
    <row r="104" spans="1:58" s="7" customFormat="1" ht="65" x14ac:dyDescent="0.3">
      <c r="A104" s="8">
        <v>2733</v>
      </c>
      <c r="B104" s="8" t="s">
        <v>1169</v>
      </c>
      <c r="C104" s="8" t="s">
        <v>86</v>
      </c>
      <c r="D104" s="9" t="s">
        <v>1199</v>
      </c>
      <c r="E104" s="8" t="s">
        <v>42</v>
      </c>
      <c r="F104" s="9" t="s">
        <v>148</v>
      </c>
      <c r="G104" s="8" t="s">
        <v>225</v>
      </c>
      <c r="H104" s="8" t="s">
        <v>125</v>
      </c>
      <c r="I104" s="8" t="s">
        <v>114</v>
      </c>
      <c r="J104" s="9" t="s">
        <v>23</v>
      </c>
      <c r="K104" s="9" t="s">
        <v>1171</v>
      </c>
      <c r="L104" s="9" t="s">
        <v>1195</v>
      </c>
      <c r="M104" s="8" t="s">
        <v>14</v>
      </c>
      <c r="N104" s="11" t="s">
        <v>98</v>
      </c>
      <c r="O104" s="12" t="s">
        <v>207</v>
      </c>
      <c r="P104" s="41">
        <v>42004</v>
      </c>
      <c r="Q104" s="9" t="s">
        <v>276</v>
      </c>
      <c r="R104" s="9" t="s">
        <v>1173</v>
      </c>
      <c r="S104" s="9" t="s">
        <v>1173</v>
      </c>
      <c r="T104" s="51" t="s">
        <v>1174</v>
      </c>
      <c r="U104" s="13">
        <v>50623</v>
      </c>
      <c r="V104" s="38">
        <v>101299</v>
      </c>
      <c r="W104" s="8" t="s">
        <v>276</v>
      </c>
      <c r="X104" s="8" t="s">
        <v>276</v>
      </c>
      <c r="Y104" s="8">
        <v>563</v>
      </c>
      <c r="Z104" s="9" t="s">
        <v>1196</v>
      </c>
      <c r="AA104" s="13">
        <v>1150</v>
      </c>
      <c r="AB104" s="9" t="s">
        <v>1196</v>
      </c>
      <c r="AC104" s="9" t="s">
        <v>1197</v>
      </c>
      <c r="AD104" s="9" t="s">
        <v>1176</v>
      </c>
      <c r="AE104" s="8">
        <v>3425</v>
      </c>
      <c r="AF104" s="8">
        <v>7016</v>
      </c>
      <c r="AG104" s="13">
        <v>50623</v>
      </c>
      <c r="AH104" s="13">
        <v>101299</v>
      </c>
      <c r="AI104" s="38" t="s">
        <v>292</v>
      </c>
      <c r="AJ104" s="14" t="s">
        <v>276</v>
      </c>
      <c r="AK104" s="31">
        <v>6.7656993856547416</v>
      </c>
      <c r="AL104" s="14" t="s">
        <v>276</v>
      </c>
      <c r="AM104" s="14" t="s">
        <v>276</v>
      </c>
      <c r="AN104" s="14" t="s">
        <v>276</v>
      </c>
      <c r="AO104" s="31">
        <v>6.9260308591397743</v>
      </c>
      <c r="AP104" s="14" t="s">
        <v>276</v>
      </c>
      <c r="AQ104" s="14" t="s">
        <v>276</v>
      </c>
      <c r="AR104" s="8" t="s">
        <v>268</v>
      </c>
      <c r="AS104" s="14" t="s">
        <v>276</v>
      </c>
      <c r="AT104" s="14">
        <v>0.9768508866411626</v>
      </c>
      <c r="AU104" s="14" t="s">
        <v>276</v>
      </c>
      <c r="AV104" s="14" t="s">
        <v>276</v>
      </c>
      <c r="AW104" s="8" t="s">
        <v>276</v>
      </c>
      <c r="AX104" s="8" t="s">
        <v>282</v>
      </c>
      <c r="AY104" s="8" t="s">
        <v>276</v>
      </c>
      <c r="AZ104" s="8" t="s">
        <v>276</v>
      </c>
      <c r="BA104" s="8" t="s">
        <v>276</v>
      </c>
      <c r="BB104" s="8" t="s">
        <v>276</v>
      </c>
      <c r="BC104" s="9" t="s">
        <v>1198</v>
      </c>
      <c r="BD104" s="9"/>
      <c r="BE104" s="9" t="s">
        <v>100</v>
      </c>
      <c r="BF104" s="33" t="s">
        <v>98</v>
      </c>
    </row>
    <row r="105" spans="1:58" s="7" customFormat="1" ht="65" x14ac:dyDescent="0.3">
      <c r="A105" s="8">
        <v>2733</v>
      </c>
      <c r="B105" s="8" t="s">
        <v>1169</v>
      </c>
      <c r="C105" s="8" t="s">
        <v>86</v>
      </c>
      <c r="D105" s="9" t="s">
        <v>1200</v>
      </c>
      <c r="E105" s="8" t="s">
        <v>42</v>
      </c>
      <c r="F105" s="9" t="s">
        <v>274</v>
      </c>
      <c r="G105" s="8" t="s">
        <v>225</v>
      </c>
      <c r="H105" s="8" t="s">
        <v>125</v>
      </c>
      <c r="I105" s="8" t="s">
        <v>114</v>
      </c>
      <c r="J105" s="9" t="s">
        <v>23</v>
      </c>
      <c r="K105" s="9" t="s">
        <v>1171</v>
      </c>
      <c r="L105" s="9" t="s">
        <v>1195</v>
      </c>
      <c r="M105" s="8" t="s">
        <v>14</v>
      </c>
      <c r="N105" s="11" t="s">
        <v>98</v>
      </c>
      <c r="O105" s="12" t="s">
        <v>207</v>
      </c>
      <c r="P105" s="41">
        <v>42004</v>
      </c>
      <c r="Q105" s="9" t="s">
        <v>276</v>
      </c>
      <c r="R105" s="9" t="s">
        <v>1173</v>
      </c>
      <c r="S105" s="9" t="s">
        <v>1173</v>
      </c>
      <c r="T105" s="51" t="s">
        <v>1174</v>
      </c>
      <c r="U105" s="13">
        <v>50624</v>
      </c>
      <c r="V105" s="38">
        <v>101299</v>
      </c>
      <c r="W105" s="8" t="s">
        <v>276</v>
      </c>
      <c r="X105" s="8" t="s">
        <v>276</v>
      </c>
      <c r="Y105" s="8">
        <v>540</v>
      </c>
      <c r="Z105" s="9" t="s">
        <v>1196</v>
      </c>
      <c r="AA105" s="13">
        <v>1150</v>
      </c>
      <c r="AB105" s="9" t="s">
        <v>1196</v>
      </c>
      <c r="AC105" s="9" t="s">
        <v>1197</v>
      </c>
      <c r="AD105" s="9" t="s">
        <v>1188</v>
      </c>
      <c r="AE105" s="8">
        <v>3536</v>
      </c>
      <c r="AF105" s="8">
        <v>7016</v>
      </c>
      <c r="AG105" s="13">
        <v>548533</v>
      </c>
      <c r="AH105" s="13">
        <v>1097089</v>
      </c>
      <c r="AI105" s="38" t="s">
        <v>1019</v>
      </c>
      <c r="AJ105" s="14" t="s">
        <v>276</v>
      </c>
      <c r="AK105" s="31">
        <v>644.62849090209704</v>
      </c>
      <c r="AL105" s="14" t="s">
        <v>276</v>
      </c>
      <c r="AM105" s="14" t="s">
        <v>276</v>
      </c>
      <c r="AN105" s="14" t="s">
        <v>276</v>
      </c>
      <c r="AO105" s="31">
        <v>639.51055930740347</v>
      </c>
      <c r="AP105" s="14" t="s">
        <v>276</v>
      </c>
      <c r="AQ105" s="14" t="s">
        <v>276</v>
      </c>
      <c r="AR105" s="8" t="s">
        <v>269</v>
      </c>
      <c r="AS105" s="14" t="s">
        <v>276</v>
      </c>
      <c r="AT105" s="14">
        <v>1.0080028883342229</v>
      </c>
      <c r="AU105" s="14" t="s">
        <v>276</v>
      </c>
      <c r="AV105" s="14" t="s">
        <v>276</v>
      </c>
      <c r="AW105" s="8" t="s">
        <v>276</v>
      </c>
      <c r="AX105" s="8" t="s">
        <v>282</v>
      </c>
      <c r="AY105" s="8" t="s">
        <v>276</v>
      </c>
      <c r="AZ105" s="8" t="s">
        <v>276</v>
      </c>
      <c r="BA105" s="8" t="s">
        <v>276</v>
      </c>
      <c r="BB105" s="8" t="s">
        <v>276</v>
      </c>
      <c r="BC105" s="9" t="s">
        <v>1198</v>
      </c>
      <c r="BD105" s="9"/>
      <c r="BE105" s="9" t="s">
        <v>100</v>
      </c>
      <c r="BF105" s="33" t="s">
        <v>98</v>
      </c>
    </row>
    <row r="106" spans="1:58" s="7" customFormat="1" ht="65" x14ac:dyDescent="0.3">
      <c r="A106" s="8">
        <v>2733</v>
      </c>
      <c r="B106" s="8" t="s">
        <v>1169</v>
      </c>
      <c r="C106" s="8" t="s">
        <v>86</v>
      </c>
      <c r="D106" s="9" t="s">
        <v>1201</v>
      </c>
      <c r="E106" s="8" t="s">
        <v>42</v>
      </c>
      <c r="F106" s="9" t="s">
        <v>148</v>
      </c>
      <c r="G106" s="8" t="s">
        <v>225</v>
      </c>
      <c r="H106" s="8" t="s">
        <v>125</v>
      </c>
      <c r="I106" s="8" t="s">
        <v>114</v>
      </c>
      <c r="J106" s="9" t="s">
        <v>23</v>
      </c>
      <c r="K106" s="9" t="s">
        <v>1171</v>
      </c>
      <c r="L106" s="9" t="s">
        <v>1195</v>
      </c>
      <c r="M106" s="8" t="s">
        <v>14</v>
      </c>
      <c r="N106" s="11" t="s">
        <v>98</v>
      </c>
      <c r="O106" s="12" t="s">
        <v>207</v>
      </c>
      <c r="P106" s="41">
        <v>42004</v>
      </c>
      <c r="Q106" s="9" t="s">
        <v>276</v>
      </c>
      <c r="R106" s="9" t="s">
        <v>1173</v>
      </c>
      <c r="S106" s="9" t="s">
        <v>1173</v>
      </c>
      <c r="T106" s="51" t="s">
        <v>1174</v>
      </c>
      <c r="U106" s="13">
        <v>50623</v>
      </c>
      <c r="V106" s="38">
        <v>101299</v>
      </c>
      <c r="W106" s="8" t="s">
        <v>276</v>
      </c>
      <c r="X106" s="8" t="s">
        <v>276</v>
      </c>
      <c r="Y106" s="8">
        <v>563</v>
      </c>
      <c r="Z106" s="9" t="s">
        <v>1196</v>
      </c>
      <c r="AA106" s="13">
        <v>1150</v>
      </c>
      <c r="AB106" s="9" t="s">
        <v>1196</v>
      </c>
      <c r="AC106" s="9" t="s">
        <v>1197</v>
      </c>
      <c r="AD106" s="9" t="s">
        <v>1188</v>
      </c>
      <c r="AE106" s="8">
        <v>3425</v>
      </c>
      <c r="AF106" s="8">
        <v>7016</v>
      </c>
      <c r="AG106" s="13">
        <v>548825</v>
      </c>
      <c r="AH106" s="13">
        <v>1097089</v>
      </c>
      <c r="AI106" s="38" t="s">
        <v>1019</v>
      </c>
      <c r="AJ106" s="14" t="s">
        <v>276</v>
      </c>
      <c r="AK106" s="31">
        <v>624.06049287113376</v>
      </c>
      <c r="AL106" s="14" t="s">
        <v>276</v>
      </c>
      <c r="AM106" s="14" t="s">
        <v>276</v>
      </c>
      <c r="AN106" s="14" t="s">
        <v>276</v>
      </c>
      <c r="AO106" s="31">
        <v>639.51055930740347</v>
      </c>
      <c r="AP106" s="14" t="s">
        <v>276</v>
      </c>
      <c r="AQ106" s="14" t="s">
        <v>276</v>
      </c>
      <c r="AR106" s="8" t="s">
        <v>269</v>
      </c>
      <c r="AS106" s="14" t="s">
        <v>276</v>
      </c>
      <c r="AT106" s="14">
        <v>0.97584079541547786</v>
      </c>
      <c r="AU106" s="14" t="s">
        <v>276</v>
      </c>
      <c r="AV106" s="14" t="s">
        <v>276</v>
      </c>
      <c r="AW106" s="8" t="s">
        <v>276</v>
      </c>
      <c r="AX106" s="8" t="s">
        <v>282</v>
      </c>
      <c r="AY106" s="8" t="s">
        <v>276</v>
      </c>
      <c r="AZ106" s="8" t="s">
        <v>276</v>
      </c>
      <c r="BA106" s="8" t="s">
        <v>276</v>
      </c>
      <c r="BB106" s="8" t="s">
        <v>276</v>
      </c>
      <c r="BC106" s="9" t="s">
        <v>1198</v>
      </c>
      <c r="BD106" s="9"/>
      <c r="BE106" s="9" t="s">
        <v>100</v>
      </c>
      <c r="BF106" s="33" t="s">
        <v>98</v>
      </c>
    </row>
    <row r="107" spans="1:58" s="7" customFormat="1" ht="91" x14ac:dyDescent="0.3">
      <c r="A107" s="8">
        <v>2704</v>
      </c>
      <c r="B107" s="8" t="s">
        <v>1202</v>
      </c>
      <c r="C107" s="8" t="s">
        <v>86</v>
      </c>
      <c r="D107" s="9" t="s">
        <v>1206</v>
      </c>
      <c r="E107" s="8" t="s">
        <v>42</v>
      </c>
      <c r="F107" s="9" t="s">
        <v>274</v>
      </c>
      <c r="G107" s="8" t="s">
        <v>225</v>
      </c>
      <c r="H107" s="8" t="s">
        <v>125</v>
      </c>
      <c r="I107" s="8" t="s">
        <v>114</v>
      </c>
      <c r="J107" s="9" t="s">
        <v>24</v>
      </c>
      <c r="K107" s="10" t="s">
        <v>1203</v>
      </c>
      <c r="L107" s="9" t="s">
        <v>1172</v>
      </c>
      <c r="M107" s="8" t="s">
        <v>14</v>
      </c>
      <c r="N107" s="11" t="s">
        <v>98</v>
      </c>
      <c r="O107" s="12" t="s">
        <v>207</v>
      </c>
      <c r="P107" s="41">
        <v>44012</v>
      </c>
      <c r="Q107" s="9" t="s">
        <v>276</v>
      </c>
      <c r="R107" s="9" t="s">
        <v>1204</v>
      </c>
      <c r="S107" s="9" t="s">
        <v>1204</v>
      </c>
      <c r="T107" s="51" t="s">
        <v>1174</v>
      </c>
      <c r="U107" s="13">
        <v>50625</v>
      </c>
      <c r="V107" s="38">
        <v>101314</v>
      </c>
      <c r="W107" s="8" t="s">
        <v>276</v>
      </c>
      <c r="X107" s="8" t="s">
        <v>276</v>
      </c>
      <c r="Y107" s="8" t="s">
        <v>276</v>
      </c>
      <c r="Z107" s="8" t="s">
        <v>276</v>
      </c>
      <c r="AA107" s="8" t="s">
        <v>276</v>
      </c>
      <c r="AB107" s="8" t="s">
        <v>276</v>
      </c>
      <c r="AC107" s="9" t="s">
        <v>1207</v>
      </c>
      <c r="AD107" s="9" t="s">
        <v>1176</v>
      </c>
      <c r="AE107" s="8">
        <v>296</v>
      </c>
      <c r="AF107" s="8">
        <v>619</v>
      </c>
      <c r="AG107" s="13">
        <v>50625</v>
      </c>
      <c r="AH107" s="13">
        <v>101314</v>
      </c>
      <c r="AI107" s="38" t="s">
        <v>292</v>
      </c>
      <c r="AJ107" s="43">
        <v>0.6</v>
      </c>
      <c r="AK107" s="31">
        <v>0.58469135802469141</v>
      </c>
      <c r="AL107" s="14" t="s">
        <v>276</v>
      </c>
      <c r="AM107" s="14" t="s">
        <v>276</v>
      </c>
      <c r="AN107" s="43">
        <v>0.6</v>
      </c>
      <c r="AO107" s="31">
        <v>0.61097183015180523</v>
      </c>
      <c r="AP107" s="14" t="s">
        <v>276</v>
      </c>
      <c r="AQ107" s="14" t="s">
        <v>276</v>
      </c>
      <c r="AR107" s="8" t="s">
        <v>270</v>
      </c>
      <c r="AS107" s="14">
        <v>0.96</v>
      </c>
      <c r="AT107" s="14" t="s">
        <v>276</v>
      </c>
      <c r="AU107" s="14">
        <v>0.83</v>
      </c>
      <c r="AV107" s="14">
        <v>1.1000000000000001</v>
      </c>
      <c r="AW107" s="8">
        <v>0.52</v>
      </c>
      <c r="AX107" s="8" t="s">
        <v>282</v>
      </c>
      <c r="AY107" s="8" t="s">
        <v>276</v>
      </c>
      <c r="AZ107" s="8" t="s">
        <v>276</v>
      </c>
      <c r="BA107" s="8" t="s">
        <v>276</v>
      </c>
      <c r="BB107" s="8" t="s">
        <v>276</v>
      </c>
      <c r="BC107" s="9" t="s">
        <v>1208</v>
      </c>
      <c r="BD107" s="9" t="s">
        <v>1205</v>
      </c>
      <c r="BE107" s="9" t="s">
        <v>100</v>
      </c>
      <c r="BF107" s="33" t="s">
        <v>98</v>
      </c>
    </row>
    <row r="108" spans="1:58" s="7" customFormat="1" ht="91" x14ac:dyDescent="0.3">
      <c r="A108" s="8">
        <v>2704</v>
      </c>
      <c r="B108" s="8" t="s">
        <v>1202</v>
      </c>
      <c r="C108" s="8" t="s">
        <v>86</v>
      </c>
      <c r="D108" s="9" t="s">
        <v>1209</v>
      </c>
      <c r="E108" s="8" t="s">
        <v>42</v>
      </c>
      <c r="F108" s="9" t="s">
        <v>148</v>
      </c>
      <c r="G108" s="8" t="s">
        <v>225</v>
      </c>
      <c r="H108" s="8" t="s">
        <v>125</v>
      </c>
      <c r="I108" s="8" t="s">
        <v>114</v>
      </c>
      <c r="J108" s="9" t="s">
        <v>24</v>
      </c>
      <c r="K108" s="10" t="s">
        <v>1203</v>
      </c>
      <c r="L108" s="9" t="s">
        <v>1172</v>
      </c>
      <c r="M108" s="8" t="s">
        <v>14</v>
      </c>
      <c r="N108" s="11" t="s">
        <v>98</v>
      </c>
      <c r="O108" s="12" t="s">
        <v>207</v>
      </c>
      <c r="P108" s="41">
        <v>44012</v>
      </c>
      <c r="Q108" s="9" t="s">
        <v>276</v>
      </c>
      <c r="R108" s="9" t="s">
        <v>1204</v>
      </c>
      <c r="S108" s="9" t="s">
        <v>1204</v>
      </c>
      <c r="T108" s="51" t="s">
        <v>1174</v>
      </c>
      <c r="U108" s="13">
        <v>50623</v>
      </c>
      <c r="V108" s="38">
        <v>101314</v>
      </c>
      <c r="W108" s="8" t="s">
        <v>276</v>
      </c>
      <c r="X108" s="8" t="s">
        <v>276</v>
      </c>
      <c r="Y108" s="8" t="s">
        <v>276</v>
      </c>
      <c r="Z108" s="8" t="s">
        <v>276</v>
      </c>
      <c r="AA108" s="8" t="s">
        <v>276</v>
      </c>
      <c r="AB108" s="8" t="s">
        <v>276</v>
      </c>
      <c r="AC108" s="9" t="s">
        <v>1210</v>
      </c>
      <c r="AD108" s="9" t="s">
        <v>1176</v>
      </c>
      <c r="AE108" s="8">
        <v>291</v>
      </c>
      <c r="AF108" s="8">
        <v>619</v>
      </c>
      <c r="AG108" s="13">
        <v>50622</v>
      </c>
      <c r="AH108" s="13">
        <v>101314</v>
      </c>
      <c r="AI108" s="38" t="s">
        <v>292</v>
      </c>
      <c r="AJ108" s="43">
        <v>0.6</v>
      </c>
      <c r="AK108" s="31">
        <v>0.57484887993362566</v>
      </c>
      <c r="AL108" s="14" t="s">
        <v>276</v>
      </c>
      <c r="AM108" s="14" t="s">
        <v>276</v>
      </c>
      <c r="AN108" s="43">
        <v>0.6</v>
      </c>
      <c r="AO108" s="31">
        <v>0.61097183015180523</v>
      </c>
      <c r="AP108" s="14" t="s">
        <v>276</v>
      </c>
      <c r="AQ108" s="14" t="s">
        <v>276</v>
      </c>
      <c r="AR108" s="8" t="s">
        <v>270</v>
      </c>
      <c r="AS108" s="14">
        <v>0.94</v>
      </c>
      <c r="AT108" s="14" t="s">
        <v>276</v>
      </c>
      <c r="AU108" s="14">
        <v>0.82</v>
      </c>
      <c r="AV108" s="14">
        <v>1.08</v>
      </c>
      <c r="AW108" s="8">
        <v>0.37</v>
      </c>
      <c r="AX108" s="8" t="s">
        <v>282</v>
      </c>
      <c r="AY108" s="8" t="s">
        <v>276</v>
      </c>
      <c r="AZ108" s="8" t="s">
        <v>276</v>
      </c>
      <c r="BA108" s="8" t="s">
        <v>276</v>
      </c>
      <c r="BB108" s="8" t="s">
        <v>276</v>
      </c>
      <c r="BC108" s="9" t="s">
        <v>1208</v>
      </c>
      <c r="BD108" s="9" t="s">
        <v>1205</v>
      </c>
      <c r="BE108" s="9" t="s">
        <v>100</v>
      </c>
      <c r="BF108" s="33" t="s">
        <v>98</v>
      </c>
    </row>
    <row r="109" spans="1:58" s="7" customFormat="1" ht="91" x14ac:dyDescent="0.3">
      <c r="A109" s="8">
        <v>2704</v>
      </c>
      <c r="B109" s="8" t="s">
        <v>1202</v>
      </c>
      <c r="C109" s="8" t="s">
        <v>86</v>
      </c>
      <c r="D109" s="9" t="s">
        <v>1211</v>
      </c>
      <c r="E109" s="8" t="s">
        <v>42</v>
      </c>
      <c r="F109" s="9" t="s">
        <v>274</v>
      </c>
      <c r="G109" s="8" t="s">
        <v>225</v>
      </c>
      <c r="H109" s="8" t="s">
        <v>125</v>
      </c>
      <c r="I109" s="8" t="s">
        <v>114</v>
      </c>
      <c r="J109" s="9" t="s">
        <v>24</v>
      </c>
      <c r="K109" s="10" t="s">
        <v>1203</v>
      </c>
      <c r="L109" s="9" t="s">
        <v>1172</v>
      </c>
      <c r="M109" s="8" t="s">
        <v>14</v>
      </c>
      <c r="N109" s="11" t="s">
        <v>98</v>
      </c>
      <c r="O109" s="12" t="s">
        <v>207</v>
      </c>
      <c r="P109" s="41" t="s">
        <v>276</v>
      </c>
      <c r="Q109" s="9" t="s">
        <v>705</v>
      </c>
      <c r="R109" s="9" t="s">
        <v>276</v>
      </c>
      <c r="S109" s="9" t="s">
        <v>276</v>
      </c>
      <c r="T109" s="51" t="s">
        <v>1212</v>
      </c>
      <c r="U109" s="13">
        <v>50625</v>
      </c>
      <c r="V109" s="38">
        <v>101314</v>
      </c>
      <c r="W109" s="8" t="s">
        <v>276</v>
      </c>
      <c r="X109" s="8" t="s">
        <v>276</v>
      </c>
      <c r="Y109" s="8" t="s">
        <v>276</v>
      </c>
      <c r="Z109" s="8" t="s">
        <v>276</v>
      </c>
      <c r="AA109" s="8" t="s">
        <v>276</v>
      </c>
      <c r="AB109" s="8" t="s">
        <v>276</v>
      </c>
      <c r="AC109" s="9" t="s">
        <v>1213</v>
      </c>
      <c r="AD109" s="9" t="s">
        <v>1176</v>
      </c>
      <c r="AE109" s="8">
        <v>2</v>
      </c>
      <c r="AF109" s="8">
        <v>4</v>
      </c>
      <c r="AG109" s="13">
        <v>50625</v>
      </c>
      <c r="AH109" s="13">
        <v>101314</v>
      </c>
      <c r="AI109" s="38" t="s">
        <v>292</v>
      </c>
      <c r="AJ109" s="43" t="s">
        <v>276</v>
      </c>
      <c r="AK109" s="31">
        <v>3.9506172839506174E-3</v>
      </c>
      <c r="AL109" s="14" t="s">
        <v>276</v>
      </c>
      <c r="AM109" s="14" t="s">
        <v>276</v>
      </c>
      <c r="AN109" s="43" t="s">
        <v>276</v>
      </c>
      <c r="AO109" s="31">
        <v>3.9481216811102122E-3</v>
      </c>
      <c r="AP109" s="14" t="s">
        <v>276</v>
      </c>
      <c r="AQ109" s="14" t="s">
        <v>276</v>
      </c>
      <c r="AR109" s="8" t="s">
        <v>268</v>
      </c>
      <c r="AS109" s="14" t="s">
        <v>276</v>
      </c>
      <c r="AT109" s="14">
        <v>1.000632098765432</v>
      </c>
      <c r="AU109" s="14" t="s">
        <v>276</v>
      </c>
      <c r="AV109" s="14" t="s">
        <v>276</v>
      </c>
      <c r="AW109" s="8" t="s">
        <v>276</v>
      </c>
      <c r="AX109" s="8" t="s">
        <v>282</v>
      </c>
      <c r="AY109" s="8" t="s">
        <v>276</v>
      </c>
      <c r="AZ109" s="8" t="s">
        <v>276</v>
      </c>
      <c r="BA109" s="8" t="s">
        <v>276</v>
      </c>
      <c r="BB109" s="8" t="s">
        <v>276</v>
      </c>
      <c r="BC109" s="9" t="s">
        <v>1214</v>
      </c>
      <c r="BD109" s="9" t="s">
        <v>1205</v>
      </c>
      <c r="BE109" s="9" t="s">
        <v>100</v>
      </c>
      <c r="BF109" s="33" t="s">
        <v>98</v>
      </c>
    </row>
    <row r="110" spans="1:58" s="7" customFormat="1" ht="91" x14ac:dyDescent="0.3">
      <c r="A110" s="8">
        <v>2704</v>
      </c>
      <c r="B110" s="8" t="s">
        <v>1202</v>
      </c>
      <c r="C110" s="8" t="s">
        <v>86</v>
      </c>
      <c r="D110" s="9" t="s">
        <v>1215</v>
      </c>
      <c r="E110" s="8" t="s">
        <v>42</v>
      </c>
      <c r="F110" s="9" t="s">
        <v>274</v>
      </c>
      <c r="G110" s="8" t="s">
        <v>225</v>
      </c>
      <c r="H110" s="8" t="s">
        <v>125</v>
      </c>
      <c r="I110" s="8" t="s">
        <v>114</v>
      </c>
      <c r="J110" s="9" t="s">
        <v>24</v>
      </c>
      <c r="K110" s="10" t="s">
        <v>1203</v>
      </c>
      <c r="L110" s="9" t="s">
        <v>1172</v>
      </c>
      <c r="M110" s="8" t="s">
        <v>14</v>
      </c>
      <c r="N110" s="11" t="s">
        <v>98</v>
      </c>
      <c r="O110" s="12" t="s">
        <v>207</v>
      </c>
      <c r="P110" s="41" t="s">
        <v>276</v>
      </c>
      <c r="Q110" s="9" t="s">
        <v>710</v>
      </c>
      <c r="R110" s="9" t="s">
        <v>276</v>
      </c>
      <c r="S110" s="9" t="s">
        <v>276</v>
      </c>
      <c r="T110" s="51" t="s">
        <v>1191</v>
      </c>
      <c r="U110" s="13">
        <v>50625</v>
      </c>
      <c r="V110" s="38">
        <v>101314</v>
      </c>
      <c r="W110" s="13">
        <v>266</v>
      </c>
      <c r="X110" s="13">
        <v>553</v>
      </c>
      <c r="Y110" s="8" t="s">
        <v>276</v>
      </c>
      <c r="Z110" s="8" t="s">
        <v>276</v>
      </c>
      <c r="AA110" s="8" t="s">
        <v>276</v>
      </c>
      <c r="AB110" s="8" t="s">
        <v>276</v>
      </c>
      <c r="AC110" s="9" t="s">
        <v>1216</v>
      </c>
      <c r="AD110" s="9" t="s">
        <v>1176</v>
      </c>
      <c r="AE110" s="8">
        <v>10</v>
      </c>
      <c r="AF110" s="8">
        <v>18</v>
      </c>
      <c r="AG110" s="13">
        <v>50625</v>
      </c>
      <c r="AH110" s="13">
        <v>101314</v>
      </c>
      <c r="AI110" s="38" t="s">
        <v>292</v>
      </c>
      <c r="AJ110" s="43" t="s">
        <v>276</v>
      </c>
      <c r="AK110" s="31">
        <v>1.9753086419753086E-2</v>
      </c>
      <c r="AL110" s="14" t="s">
        <v>276</v>
      </c>
      <c r="AM110" s="14" t="s">
        <v>276</v>
      </c>
      <c r="AN110" s="43" t="s">
        <v>276</v>
      </c>
      <c r="AO110" s="31">
        <v>1.7766547564995953E-2</v>
      </c>
      <c r="AP110" s="14" t="s">
        <v>276</v>
      </c>
      <c r="AQ110" s="14" t="s">
        <v>276</v>
      </c>
      <c r="AR110" s="8" t="s">
        <v>268</v>
      </c>
      <c r="AS110" s="14" t="s">
        <v>276</v>
      </c>
      <c r="AT110" s="14">
        <v>1.1118134430727022</v>
      </c>
      <c r="AU110" s="14" t="s">
        <v>276</v>
      </c>
      <c r="AV110" s="14" t="s">
        <v>276</v>
      </c>
      <c r="AW110" s="8" t="s">
        <v>276</v>
      </c>
      <c r="AX110" s="8" t="s">
        <v>282</v>
      </c>
      <c r="AY110" s="8" t="s">
        <v>276</v>
      </c>
      <c r="AZ110" s="8" t="s">
        <v>276</v>
      </c>
      <c r="BA110" s="8" t="s">
        <v>276</v>
      </c>
      <c r="BB110" s="8" t="s">
        <v>276</v>
      </c>
      <c r="BC110" s="9" t="s">
        <v>1217</v>
      </c>
      <c r="BD110" s="9" t="s">
        <v>1205</v>
      </c>
      <c r="BE110" s="9" t="s">
        <v>100</v>
      </c>
      <c r="BF110" s="33" t="s">
        <v>98</v>
      </c>
    </row>
    <row r="111" spans="1:58" s="7" customFormat="1" ht="91" x14ac:dyDescent="0.3">
      <c r="A111" s="8">
        <v>2704</v>
      </c>
      <c r="B111" s="8" t="s">
        <v>1202</v>
      </c>
      <c r="C111" s="8" t="s">
        <v>86</v>
      </c>
      <c r="D111" s="9" t="s">
        <v>1218</v>
      </c>
      <c r="E111" s="8" t="s">
        <v>42</v>
      </c>
      <c r="F111" s="9" t="s">
        <v>274</v>
      </c>
      <c r="G111" s="8" t="s">
        <v>225</v>
      </c>
      <c r="H111" s="8" t="s">
        <v>125</v>
      </c>
      <c r="I111" s="8" t="s">
        <v>114</v>
      </c>
      <c r="J111" s="9" t="s">
        <v>24</v>
      </c>
      <c r="K111" s="10" t="s">
        <v>1203</v>
      </c>
      <c r="L111" s="9" t="s">
        <v>1172</v>
      </c>
      <c r="M111" s="8" t="s">
        <v>14</v>
      </c>
      <c r="N111" s="11" t="s">
        <v>98</v>
      </c>
      <c r="O111" s="12" t="s">
        <v>207</v>
      </c>
      <c r="P111" s="41" t="s">
        <v>276</v>
      </c>
      <c r="Q111" s="9" t="s">
        <v>686</v>
      </c>
      <c r="R111" s="9" t="s">
        <v>276</v>
      </c>
      <c r="S111" s="9" t="s">
        <v>276</v>
      </c>
      <c r="T111" s="51" t="s">
        <v>1219</v>
      </c>
      <c r="U111" s="13">
        <v>50625</v>
      </c>
      <c r="V111" s="38">
        <v>101314</v>
      </c>
      <c r="W111" s="8" t="s">
        <v>276</v>
      </c>
      <c r="X111" s="8" t="s">
        <v>276</v>
      </c>
      <c r="Y111" s="8" t="s">
        <v>276</v>
      </c>
      <c r="Z111" s="8" t="s">
        <v>276</v>
      </c>
      <c r="AA111" s="8" t="s">
        <v>276</v>
      </c>
      <c r="AB111" s="8" t="s">
        <v>276</v>
      </c>
      <c r="AC111" s="9" t="s">
        <v>1220</v>
      </c>
      <c r="AD111" s="9" t="s">
        <v>1176</v>
      </c>
      <c r="AE111" s="8">
        <v>23</v>
      </c>
      <c r="AF111" s="8">
        <v>37</v>
      </c>
      <c r="AG111" s="13">
        <v>50625</v>
      </c>
      <c r="AH111" s="13">
        <v>101314</v>
      </c>
      <c r="AI111" s="38" t="s">
        <v>292</v>
      </c>
      <c r="AJ111" s="43" t="s">
        <v>276</v>
      </c>
      <c r="AK111" s="31">
        <v>4.5432098765432097E-2</v>
      </c>
      <c r="AL111" s="14" t="s">
        <v>276</v>
      </c>
      <c r="AM111" s="14" t="s">
        <v>276</v>
      </c>
      <c r="AN111" s="43" t="s">
        <v>276</v>
      </c>
      <c r="AO111" s="31">
        <v>3.6520125550269462E-2</v>
      </c>
      <c r="AP111" s="14" t="s">
        <v>276</v>
      </c>
      <c r="AQ111" s="14" t="s">
        <v>276</v>
      </c>
      <c r="AR111" s="8" t="s">
        <v>268</v>
      </c>
      <c r="AS111" s="14" t="s">
        <v>276</v>
      </c>
      <c r="AT111" s="14">
        <v>1.2440290957624289</v>
      </c>
      <c r="AU111" s="14" t="s">
        <v>276</v>
      </c>
      <c r="AV111" s="14" t="s">
        <v>276</v>
      </c>
      <c r="AW111" s="8" t="s">
        <v>276</v>
      </c>
      <c r="AX111" s="8" t="s">
        <v>282</v>
      </c>
      <c r="AY111" s="8" t="s">
        <v>276</v>
      </c>
      <c r="AZ111" s="8" t="s">
        <v>276</v>
      </c>
      <c r="BA111" s="8" t="s">
        <v>276</v>
      </c>
      <c r="BB111" s="8" t="s">
        <v>276</v>
      </c>
      <c r="BC111" s="9" t="s">
        <v>1214</v>
      </c>
      <c r="BD111" s="9" t="s">
        <v>1205</v>
      </c>
      <c r="BE111" s="9" t="s">
        <v>100</v>
      </c>
      <c r="BF111" s="33" t="s">
        <v>98</v>
      </c>
    </row>
    <row r="112" spans="1:58" s="7" customFormat="1" ht="91" x14ac:dyDescent="0.3">
      <c r="A112" s="8">
        <v>2704</v>
      </c>
      <c r="B112" s="8" t="s">
        <v>1202</v>
      </c>
      <c r="C112" s="8" t="s">
        <v>86</v>
      </c>
      <c r="D112" s="9" t="s">
        <v>1221</v>
      </c>
      <c r="E112" s="8" t="s">
        <v>42</v>
      </c>
      <c r="F112" s="9" t="s">
        <v>274</v>
      </c>
      <c r="G112" s="8" t="s">
        <v>225</v>
      </c>
      <c r="H112" s="8" t="s">
        <v>125</v>
      </c>
      <c r="I112" s="8" t="s">
        <v>114</v>
      </c>
      <c r="J112" s="9" t="s">
        <v>24</v>
      </c>
      <c r="K112" s="10" t="s">
        <v>1203</v>
      </c>
      <c r="L112" s="9" t="s">
        <v>1172</v>
      </c>
      <c r="M112" s="8" t="s">
        <v>14</v>
      </c>
      <c r="N112" s="11" t="s">
        <v>98</v>
      </c>
      <c r="O112" s="12" t="s">
        <v>207</v>
      </c>
      <c r="P112" s="41" t="s">
        <v>276</v>
      </c>
      <c r="Q112" s="9" t="s">
        <v>721</v>
      </c>
      <c r="R112" s="9" t="s">
        <v>276</v>
      </c>
      <c r="S112" s="9" t="s">
        <v>276</v>
      </c>
      <c r="T112" s="51" t="s">
        <v>1192</v>
      </c>
      <c r="U112" s="13">
        <v>50625</v>
      </c>
      <c r="V112" s="38">
        <v>101314</v>
      </c>
      <c r="W112" s="13">
        <v>742</v>
      </c>
      <c r="X112" s="13">
        <v>1563</v>
      </c>
      <c r="Y112" s="8" t="s">
        <v>276</v>
      </c>
      <c r="Z112" s="8" t="s">
        <v>276</v>
      </c>
      <c r="AA112" s="8" t="s">
        <v>276</v>
      </c>
      <c r="AB112" s="8" t="s">
        <v>276</v>
      </c>
      <c r="AC112" s="9" t="s">
        <v>1222</v>
      </c>
      <c r="AD112" s="9" t="s">
        <v>1176</v>
      </c>
      <c r="AE112" s="8">
        <v>33</v>
      </c>
      <c r="AF112" s="8">
        <v>65</v>
      </c>
      <c r="AG112" s="13">
        <v>50625</v>
      </c>
      <c r="AH112" s="13">
        <v>101314</v>
      </c>
      <c r="AI112" s="38" t="s">
        <v>292</v>
      </c>
      <c r="AJ112" s="43" t="s">
        <v>276</v>
      </c>
      <c r="AK112" s="31">
        <v>6.5185185185185179E-2</v>
      </c>
      <c r="AL112" s="14" t="s">
        <v>276</v>
      </c>
      <c r="AM112" s="14" t="s">
        <v>276</v>
      </c>
      <c r="AN112" s="43" t="s">
        <v>276</v>
      </c>
      <c r="AO112" s="31">
        <v>6.4156977318040945E-2</v>
      </c>
      <c r="AP112" s="14" t="s">
        <v>276</v>
      </c>
      <c r="AQ112" s="14" t="s">
        <v>276</v>
      </c>
      <c r="AR112" s="8" t="s">
        <v>268</v>
      </c>
      <c r="AS112" s="14" t="s">
        <v>276</v>
      </c>
      <c r="AT112" s="14">
        <v>1.0160264387464386</v>
      </c>
      <c r="AU112" s="14" t="s">
        <v>276</v>
      </c>
      <c r="AV112" s="14" t="s">
        <v>276</v>
      </c>
      <c r="AW112" s="8" t="s">
        <v>276</v>
      </c>
      <c r="AX112" s="8" t="s">
        <v>282</v>
      </c>
      <c r="AY112" s="8" t="s">
        <v>276</v>
      </c>
      <c r="AZ112" s="8" t="s">
        <v>276</v>
      </c>
      <c r="BA112" s="8" t="s">
        <v>276</v>
      </c>
      <c r="BB112" s="8" t="s">
        <v>276</v>
      </c>
      <c r="BC112" s="9" t="s">
        <v>1217</v>
      </c>
      <c r="BD112" s="9" t="s">
        <v>1205</v>
      </c>
      <c r="BE112" s="9" t="s">
        <v>100</v>
      </c>
      <c r="BF112" s="33" t="s">
        <v>98</v>
      </c>
    </row>
    <row r="113" spans="1:58" s="7" customFormat="1" ht="91" x14ac:dyDescent="0.3">
      <c r="A113" s="8">
        <v>2704</v>
      </c>
      <c r="B113" s="8" t="s">
        <v>1202</v>
      </c>
      <c r="C113" s="8" t="s">
        <v>86</v>
      </c>
      <c r="D113" s="9" t="s">
        <v>1223</v>
      </c>
      <c r="E113" s="8" t="s">
        <v>42</v>
      </c>
      <c r="F113" s="9" t="s">
        <v>274</v>
      </c>
      <c r="G113" s="8" t="s">
        <v>225</v>
      </c>
      <c r="H113" s="8" t="s">
        <v>125</v>
      </c>
      <c r="I113" s="8" t="s">
        <v>114</v>
      </c>
      <c r="J113" s="9" t="s">
        <v>24</v>
      </c>
      <c r="K113" s="10" t="s">
        <v>1203</v>
      </c>
      <c r="L113" s="9" t="s">
        <v>1172</v>
      </c>
      <c r="M113" s="8" t="s">
        <v>14</v>
      </c>
      <c r="N113" s="11" t="s">
        <v>98</v>
      </c>
      <c r="O113" s="12" t="s">
        <v>207</v>
      </c>
      <c r="P113" s="41" t="s">
        <v>276</v>
      </c>
      <c r="Q113" s="9" t="s">
        <v>728</v>
      </c>
      <c r="R113" s="9" t="s">
        <v>276</v>
      </c>
      <c r="S113" s="9" t="s">
        <v>276</v>
      </c>
      <c r="T113" s="51" t="s">
        <v>1224</v>
      </c>
      <c r="U113" s="13">
        <v>50625</v>
      </c>
      <c r="V113" s="38">
        <v>101314</v>
      </c>
      <c r="W113" s="8" t="s">
        <v>276</v>
      </c>
      <c r="X113" s="8" t="s">
        <v>276</v>
      </c>
      <c r="Y113" s="8" t="s">
        <v>276</v>
      </c>
      <c r="Z113" s="8" t="s">
        <v>276</v>
      </c>
      <c r="AA113" s="8" t="s">
        <v>276</v>
      </c>
      <c r="AB113" s="8" t="s">
        <v>276</v>
      </c>
      <c r="AC113" s="9" t="s">
        <v>1225</v>
      </c>
      <c r="AD113" s="9" t="s">
        <v>1176</v>
      </c>
      <c r="AE113" s="8">
        <v>49</v>
      </c>
      <c r="AF113" s="8">
        <v>93</v>
      </c>
      <c r="AG113" s="13">
        <v>50625</v>
      </c>
      <c r="AH113" s="13">
        <v>101314</v>
      </c>
      <c r="AI113" s="38" t="s">
        <v>292</v>
      </c>
      <c r="AJ113" s="43" t="s">
        <v>276</v>
      </c>
      <c r="AK113" s="31">
        <v>9.6790123456790125E-2</v>
      </c>
      <c r="AL113" s="14" t="s">
        <v>276</v>
      </c>
      <c r="AM113" s="14" t="s">
        <v>276</v>
      </c>
      <c r="AN113" s="43" t="s">
        <v>276</v>
      </c>
      <c r="AO113" s="31">
        <v>9.179382908581242E-2</v>
      </c>
      <c r="AP113" s="14" t="s">
        <v>276</v>
      </c>
      <c r="AQ113" s="14" t="s">
        <v>276</v>
      </c>
      <c r="AR113" s="8" t="s">
        <v>268</v>
      </c>
      <c r="AS113" s="14" t="s">
        <v>276</v>
      </c>
      <c r="AT113" s="14">
        <v>1.0544295234302403</v>
      </c>
      <c r="AU113" s="14" t="s">
        <v>276</v>
      </c>
      <c r="AV113" s="14" t="s">
        <v>276</v>
      </c>
      <c r="AW113" s="8" t="s">
        <v>276</v>
      </c>
      <c r="AX113" s="8" t="s">
        <v>282</v>
      </c>
      <c r="AY113" s="8" t="s">
        <v>276</v>
      </c>
      <c r="AZ113" s="8" t="s">
        <v>276</v>
      </c>
      <c r="BA113" s="8" t="s">
        <v>276</v>
      </c>
      <c r="BB113" s="8" t="s">
        <v>276</v>
      </c>
      <c r="BC113" s="9" t="s">
        <v>1214</v>
      </c>
      <c r="BD113" s="9" t="s">
        <v>1205</v>
      </c>
      <c r="BE113" s="9" t="s">
        <v>100</v>
      </c>
      <c r="BF113" s="33" t="s">
        <v>98</v>
      </c>
    </row>
    <row r="114" spans="1:58" s="7" customFormat="1" ht="91" x14ac:dyDescent="0.3">
      <c r="A114" s="8">
        <v>2704</v>
      </c>
      <c r="B114" s="8" t="s">
        <v>1202</v>
      </c>
      <c r="C114" s="8" t="s">
        <v>86</v>
      </c>
      <c r="D114" s="9" t="s">
        <v>1226</v>
      </c>
      <c r="E114" s="8" t="s">
        <v>42</v>
      </c>
      <c r="F114" s="9" t="s">
        <v>274</v>
      </c>
      <c r="G114" s="8" t="s">
        <v>225</v>
      </c>
      <c r="H114" s="8" t="s">
        <v>125</v>
      </c>
      <c r="I114" s="8" t="s">
        <v>114</v>
      </c>
      <c r="J114" s="9" t="s">
        <v>24</v>
      </c>
      <c r="K114" s="10" t="s">
        <v>1203</v>
      </c>
      <c r="L114" s="9" t="s">
        <v>1172</v>
      </c>
      <c r="M114" s="8" t="s">
        <v>14</v>
      </c>
      <c r="N114" s="11" t="s">
        <v>98</v>
      </c>
      <c r="O114" s="12" t="s">
        <v>207</v>
      </c>
      <c r="P114" s="41" t="s">
        <v>276</v>
      </c>
      <c r="Q114" s="9" t="s">
        <v>733</v>
      </c>
      <c r="R114" s="9" t="s">
        <v>276</v>
      </c>
      <c r="S114" s="9" t="s">
        <v>276</v>
      </c>
      <c r="T114" s="51" t="s">
        <v>1193</v>
      </c>
      <c r="U114" s="13">
        <v>50625</v>
      </c>
      <c r="V114" s="38">
        <v>101314</v>
      </c>
      <c r="W114" s="13">
        <v>1389</v>
      </c>
      <c r="X114" s="13">
        <v>2921</v>
      </c>
      <c r="Y114" s="8" t="s">
        <v>276</v>
      </c>
      <c r="Z114" s="8" t="s">
        <v>276</v>
      </c>
      <c r="AA114" s="8" t="s">
        <v>276</v>
      </c>
      <c r="AB114" s="8" t="s">
        <v>276</v>
      </c>
      <c r="AC114" s="9" t="s">
        <v>1227</v>
      </c>
      <c r="AD114" s="9" t="s">
        <v>1176</v>
      </c>
      <c r="AE114" s="8">
        <v>64</v>
      </c>
      <c r="AF114" s="8">
        <v>136</v>
      </c>
      <c r="AG114" s="13">
        <v>50625</v>
      </c>
      <c r="AH114" s="13">
        <v>101314</v>
      </c>
      <c r="AI114" s="38" t="s">
        <v>292</v>
      </c>
      <c r="AJ114" s="43" t="s">
        <v>276</v>
      </c>
      <c r="AK114" s="31">
        <v>0.12641975308641976</v>
      </c>
      <c r="AL114" s="14" t="s">
        <v>276</v>
      </c>
      <c r="AM114" s="14" t="s">
        <v>276</v>
      </c>
      <c r="AN114" s="43" t="s">
        <v>276</v>
      </c>
      <c r="AO114" s="31">
        <v>0.13423613715774721</v>
      </c>
      <c r="AP114" s="14" t="s">
        <v>276</v>
      </c>
      <c r="AQ114" s="14" t="s">
        <v>276</v>
      </c>
      <c r="AR114" s="8" t="s">
        <v>268</v>
      </c>
      <c r="AS114" s="14" t="s">
        <v>276</v>
      </c>
      <c r="AT114" s="14">
        <v>0.94177138707334784</v>
      </c>
      <c r="AU114" s="14" t="s">
        <v>276</v>
      </c>
      <c r="AV114" s="14" t="s">
        <v>276</v>
      </c>
      <c r="AW114" s="8" t="s">
        <v>276</v>
      </c>
      <c r="AX114" s="8" t="s">
        <v>282</v>
      </c>
      <c r="AY114" s="8" t="s">
        <v>276</v>
      </c>
      <c r="AZ114" s="8" t="s">
        <v>276</v>
      </c>
      <c r="BA114" s="8" t="s">
        <v>276</v>
      </c>
      <c r="BB114" s="8" t="s">
        <v>276</v>
      </c>
      <c r="BC114" s="9" t="s">
        <v>1217</v>
      </c>
      <c r="BD114" s="9" t="s">
        <v>1205</v>
      </c>
      <c r="BE114" s="9" t="s">
        <v>100</v>
      </c>
      <c r="BF114" s="33" t="s">
        <v>98</v>
      </c>
    </row>
    <row r="115" spans="1:58" s="7" customFormat="1" ht="91" x14ac:dyDescent="0.3">
      <c r="A115" s="8">
        <v>2704</v>
      </c>
      <c r="B115" s="8" t="s">
        <v>1202</v>
      </c>
      <c r="C115" s="8" t="s">
        <v>86</v>
      </c>
      <c r="D115" s="9" t="s">
        <v>1228</v>
      </c>
      <c r="E115" s="8" t="s">
        <v>42</v>
      </c>
      <c r="F115" s="9" t="s">
        <v>274</v>
      </c>
      <c r="G115" s="8" t="s">
        <v>225</v>
      </c>
      <c r="H115" s="8" t="s">
        <v>125</v>
      </c>
      <c r="I115" s="8" t="s">
        <v>114</v>
      </c>
      <c r="J115" s="9" t="s">
        <v>24</v>
      </c>
      <c r="K115" s="10" t="s">
        <v>1203</v>
      </c>
      <c r="L115" s="9" t="s">
        <v>1172</v>
      </c>
      <c r="M115" s="8" t="s">
        <v>14</v>
      </c>
      <c r="N115" s="11" t="s">
        <v>98</v>
      </c>
      <c r="O115" s="12" t="s">
        <v>207</v>
      </c>
      <c r="P115" s="41" t="s">
        <v>276</v>
      </c>
      <c r="Q115" s="9" t="s">
        <v>741</v>
      </c>
      <c r="R115" s="9" t="s">
        <v>276</v>
      </c>
      <c r="S115" s="9" t="s">
        <v>276</v>
      </c>
      <c r="T115" s="51" t="s">
        <v>1183</v>
      </c>
      <c r="U115" s="13">
        <v>50625</v>
      </c>
      <c r="V115" s="38">
        <v>101314</v>
      </c>
      <c r="W115" s="8" t="s">
        <v>276</v>
      </c>
      <c r="X115" s="8" t="s">
        <v>276</v>
      </c>
      <c r="Y115" s="8" t="s">
        <v>276</v>
      </c>
      <c r="Z115" s="8" t="s">
        <v>276</v>
      </c>
      <c r="AA115" s="8" t="s">
        <v>276</v>
      </c>
      <c r="AB115" s="8" t="s">
        <v>276</v>
      </c>
      <c r="AC115" s="9" t="s">
        <v>1229</v>
      </c>
      <c r="AD115" s="9" t="s">
        <v>1176</v>
      </c>
      <c r="AE115" s="8">
        <v>80</v>
      </c>
      <c r="AF115" s="8">
        <v>162</v>
      </c>
      <c r="AG115" s="13">
        <v>50625</v>
      </c>
      <c r="AH115" s="13">
        <v>101314</v>
      </c>
      <c r="AI115" s="38" t="s">
        <v>292</v>
      </c>
      <c r="AJ115" s="43" t="s">
        <v>276</v>
      </c>
      <c r="AK115" s="31">
        <v>0.15802469135802469</v>
      </c>
      <c r="AL115" s="14" t="s">
        <v>276</v>
      </c>
      <c r="AM115" s="14" t="s">
        <v>276</v>
      </c>
      <c r="AN115" s="43" t="s">
        <v>276</v>
      </c>
      <c r="AO115" s="31">
        <v>0.15989892808496359</v>
      </c>
      <c r="AP115" s="14" t="s">
        <v>276</v>
      </c>
      <c r="AQ115" s="14" t="s">
        <v>276</v>
      </c>
      <c r="AR115" s="8" t="s">
        <v>268</v>
      </c>
      <c r="AS115" s="14" t="s">
        <v>276</v>
      </c>
      <c r="AT115" s="14">
        <v>0.98827861606462419</v>
      </c>
      <c r="AU115" s="14" t="s">
        <v>276</v>
      </c>
      <c r="AV115" s="14" t="s">
        <v>276</v>
      </c>
      <c r="AW115" s="8" t="s">
        <v>276</v>
      </c>
      <c r="AX115" s="8" t="s">
        <v>282</v>
      </c>
      <c r="AY115" s="8" t="s">
        <v>276</v>
      </c>
      <c r="AZ115" s="8" t="s">
        <v>276</v>
      </c>
      <c r="BA115" s="8" t="s">
        <v>276</v>
      </c>
      <c r="BB115" s="8" t="s">
        <v>276</v>
      </c>
      <c r="BC115" s="9" t="s">
        <v>1214</v>
      </c>
      <c r="BD115" s="9" t="s">
        <v>1205</v>
      </c>
      <c r="BE115" s="9" t="s">
        <v>100</v>
      </c>
      <c r="BF115" s="33" t="s">
        <v>98</v>
      </c>
    </row>
    <row r="116" spans="1:58" s="7" customFormat="1" ht="91" x14ac:dyDescent="0.3">
      <c r="A116" s="8">
        <v>2704</v>
      </c>
      <c r="B116" s="8" t="s">
        <v>1202</v>
      </c>
      <c r="C116" s="8" t="s">
        <v>86</v>
      </c>
      <c r="D116" s="9" t="s">
        <v>1230</v>
      </c>
      <c r="E116" s="8" t="s">
        <v>42</v>
      </c>
      <c r="F116" s="9" t="s">
        <v>274</v>
      </c>
      <c r="G116" s="8" t="s">
        <v>225</v>
      </c>
      <c r="H116" s="8" t="s">
        <v>125</v>
      </c>
      <c r="I116" s="8" t="s">
        <v>114</v>
      </c>
      <c r="J116" s="9" t="s">
        <v>24</v>
      </c>
      <c r="K116" s="10" t="s">
        <v>1203</v>
      </c>
      <c r="L116" s="9" t="s">
        <v>1172</v>
      </c>
      <c r="M116" s="8" t="s">
        <v>14</v>
      </c>
      <c r="N116" s="11" t="s">
        <v>98</v>
      </c>
      <c r="O116" s="12" t="s">
        <v>207</v>
      </c>
      <c r="P116" s="41" t="s">
        <v>276</v>
      </c>
      <c r="Q116" s="9" t="s">
        <v>746</v>
      </c>
      <c r="R116" s="9" t="s">
        <v>276</v>
      </c>
      <c r="S116" s="9" t="s">
        <v>276</v>
      </c>
      <c r="T116" s="51" t="s">
        <v>1231</v>
      </c>
      <c r="U116" s="13">
        <v>50625</v>
      </c>
      <c r="V116" s="38">
        <v>101314</v>
      </c>
      <c r="W116" s="13">
        <v>2195</v>
      </c>
      <c r="X116" s="13">
        <v>4460</v>
      </c>
      <c r="Y116" s="8" t="s">
        <v>276</v>
      </c>
      <c r="Z116" s="8" t="s">
        <v>276</v>
      </c>
      <c r="AA116" s="8" t="s">
        <v>276</v>
      </c>
      <c r="AB116" s="8" t="s">
        <v>276</v>
      </c>
      <c r="AC116" s="9" t="s">
        <v>1232</v>
      </c>
      <c r="AD116" s="9" t="s">
        <v>1176</v>
      </c>
      <c r="AE116" s="8">
        <v>95</v>
      </c>
      <c r="AF116" s="8">
        <v>202</v>
      </c>
      <c r="AG116" s="13">
        <v>50625</v>
      </c>
      <c r="AH116" s="13">
        <v>101314</v>
      </c>
      <c r="AI116" s="38" t="s">
        <v>292</v>
      </c>
      <c r="AJ116" s="43" t="s">
        <v>276</v>
      </c>
      <c r="AK116" s="31">
        <v>0.18765432098765433</v>
      </c>
      <c r="AL116" s="14" t="s">
        <v>276</v>
      </c>
      <c r="AM116" s="14" t="s">
        <v>276</v>
      </c>
      <c r="AN116" s="43" t="s">
        <v>276</v>
      </c>
      <c r="AO116" s="31">
        <v>0.1993801448960657</v>
      </c>
      <c r="AP116" s="14" t="s">
        <v>276</v>
      </c>
      <c r="AQ116" s="14" t="s">
        <v>276</v>
      </c>
      <c r="AR116" s="8" t="s">
        <v>268</v>
      </c>
      <c r="AS116" s="14" t="s">
        <v>276</v>
      </c>
      <c r="AT116" s="14">
        <v>0.94118860774966384</v>
      </c>
      <c r="AU116" s="14" t="s">
        <v>276</v>
      </c>
      <c r="AV116" s="14" t="s">
        <v>276</v>
      </c>
      <c r="AW116" s="8" t="s">
        <v>276</v>
      </c>
      <c r="AX116" s="8" t="s">
        <v>282</v>
      </c>
      <c r="AY116" s="8" t="s">
        <v>276</v>
      </c>
      <c r="AZ116" s="8" t="s">
        <v>276</v>
      </c>
      <c r="BA116" s="8" t="s">
        <v>276</v>
      </c>
      <c r="BB116" s="8" t="s">
        <v>276</v>
      </c>
      <c r="BC116" s="9" t="s">
        <v>1217</v>
      </c>
      <c r="BD116" s="9" t="s">
        <v>1205</v>
      </c>
      <c r="BE116" s="9" t="s">
        <v>100</v>
      </c>
      <c r="BF116" s="33" t="s">
        <v>98</v>
      </c>
    </row>
    <row r="117" spans="1:58" s="7" customFormat="1" ht="91" x14ac:dyDescent="0.3">
      <c r="A117" s="8">
        <v>2704</v>
      </c>
      <c r="B117" s="8" t="s">
        <v>1202</v>
      </c>
      <c r="C117" s="8" t="s">
        <v>86</v>
      </c>
      <c r="D117" s="9" t="s">
        <v>1233</v>
      </c>
      <c r="E117" s="8" t="s">
        <v>42</v>
      </c>
      <c r="F117" s="9" t="s">
        <v>274</v>
      </c>
      <c r="G117" s="8" t="s">
        <v>225</v>
      </c>
      <c r="H117" s="8" t="s">
        <v>125</v>
      </c>
      <c r="I117" s="8" t="s">
        <v>114</v>
      </c>
      <c r="J117" s="9" t="s">
        <v>24</v>
      </c>
      <c r="K117" s="10" t="s">
        <v>1203</v>
      </c>
      <c r="L117" s="9" t="s">
        <v>1172</v>
      </c>
      <c r="M117" s="8" t="s">
        <v>14</v>
      </c>
      <c r="N117" s="11" t="s">
        <v>98</v>
      </c>
      <c r="O117" s="12" t="s">
        <v>207</v>
      </c>
      <c r="P117" s="41" t="s">
        <v>276</v>
      </c>
      <c r="Q117" s="9" t="s">
        <v>752</v>
      </c>
      <c r="R117" s="9" t="s">
        <v>276</v>
      </c>
      <c r="S117" s="9" t="s">
        <v>276</v>
      </c>
      <c r="T117" s="51" t="s">
        <v>1234</v>
      </c>
      <c r="U117" s="13">
        <v>50625</v>
      </c>
      <c r="V117" s="38">
        <v>101314</v>
      </c>
      <c r="W117" s="8" t="s">
        <v>276</v>
      </c>
      <c r="X117" s="8" t="s">
        <v>276</v>
      </c>
      <c r="Y117" s="8" t="s">
        <v>276</v>
      </c>
      <c r="Z117" s="8" t="s">
        <v>276</v>
      </c>
      <c r="AA117" s="8" t="s">
        <v>276</v>
      </c>
      <c r="AB117" s="8" t="s">
        <v>276</v>
      </c>
      <c r="AC117" s="9" t="s">
        <v>1235</v>
      </c>
      <c r="AD117" s="9" t="s">
        <v>1176</v>
      </c>
      <c r="AE117" s="8">
        <v>118</v>
      </c>
      <c r="AF117" s="8">
        <v>247</v>
      </c>
      <c r="AG117" s="13">
        <v>50625</v>
      </c>
      <c r="AH117" s="13">
        <v>101314</v>
      </c>
      <c r="AI117" s="38" t="s">
        <v>292</v>
      </c>
      <c r="AJ117" s="43" t="s">
        <v>276</v>
      </c>
      <c r="AK117" s="31">
        <v>0.23308641975308642</v>
      </c>
      <c r="AL117" s="14" t="s">
        <v>276</v>
      </c>
      <c r="AM117" s="14" t="s">
        <v>276</v>
      </c>
      <c r="AN117" s="43" t="s">
        <v>276</v>
      </c>
      <c r="AO117" s="31">
        <v>0.24379651380855558</v>
      </c>
      <c r="AP117" s="14" t="s">
        <v>276</v>
      </c>
      <c r="AQ117" s="14" t="s">
        <v>276</v>
      </c>
      <c r="AR117" s="8" t="s">
        <v>268</v>
      </c>
      <c r="AS117" s="14" t="s">
        <v>276</v>
      </c>
      <c r="AT117" s="14">
        <v>0.95606953566251807</v>
      </c>
      <c r="AU117" s="14" t="s">
        <v>276</v>
      </c>
      <c r="AV117" s="14" t="s">
        <v>276</v>
      </c>
      <c r="AW117" s="8" t="s">
        <v>276</v>
      </c>
      <c r="AX117" s="8" t="s">
        <v>282</v>
      </c>
      <c r="AY117" s="8" t="s">
        <v>276</v>
      </c>
      <c r="AZ117" s="8" t="s">
        <v>276</v>
      </c>
      <c r="BA117" s="8" t="s">
        <v>276</v>
      </c>
      <c r="BB117" s="8" t="s">
        <v>276</v>
      </c>
      <c r="BC117" s="9" t="s">
        <v>1214</v>
      </c>
      <c r="BD117" s="9" t="s">
        <v>1205</v>
      </c>
      <c r="BE117" s="9" t="s">
        <v>100</v>
      </c>
      <c r="BF117" s="33" t="s">
        <v>98</v>
      </c>
    </row>
    <row r="118" spans="1:58" s="7" customFormat="1" ht="91" x14ac:dyDescent="0.3">
      <c r="A118" s="8">
        <v>2704</v>
      </c>
      <c r="B118" s="8" t="s">
        <v>1202</v>
      </c>
      <c r="C118" s="8" t="s">
        <v>86</v>
      </c>
      <c r="D118" s="9" t="s">
        <v>1236</v>
      </c>
      <c r="E118" s="8" t="s">
        <v>42</v>
      </c>
      <c r="F118" s="9" t="s">
        <v>274</v>
      </c>
      <c r="G118" s="8" t="s">
        <v>225</v>
      </c>
      <c r="H118" s="8" t="s">
        <v>125</v>
      </c>
      <c r="I118" s="8" t="s">
        <v>114</v>
      </c>
      <c r="J118" s="9" t="s">
        <v>24</v>
      </c>
      <c r="K118" s="10" t="s">
        <v>1203</v>
      </c>
      <c r="L118" s="9" t="s">
        <v>1172</v>
      </c>
      <c r="M118" s="8" t="s">
        <v>14</v>
      </c>
      <c r="N118" s="11" t="s">
        <v>98</v>
      </c>
      <c r="O118" s="12" t="s">
        <v>207</v>
      </c>
      <c r="P118" s="41" t="s">
        <v>276</v>
      </c>
      <c r="Q118" s="9" t="s">
        <v>766</v>
      </c>
      <c r="R118" s="9" t="s">
        <v>276</v>
      </c>
      <c r="S118" s="9" t="s">
        <v>276</v>
      </c>
      <c r="T118" s="51" t="s">
        <v>1237</v>
      </c>
      <c r="U118" s="13">
        <v>50625</v>
      </c>
      <c r="V118" s="38">
        <v>101314</v>
      </c>
      <c r="W118" s="13">
        <v>3451</v>
      </c>
      <c r="X118" s="13">
        <v>7063</v>
      </c>
      <c r="Y118" s="8" t="s">
        <v>276</v>
      </c>
      <c r="Z118" s="8" t="s">
        <v>276</v>
      </c>
      <c r="AA118" s="8" t="s">
        <v>276</v>
      </c>
      <c r="AB118" s="8" t="s">
        <v>276</v>
      </c>
      <c r="AC118" s="9" t="s">
        <v>1238</v>
      </c>
      <c r="AD118" s="9" t="s">
        <v>1176</v>
      </c>
      <c r="AE118" s="8">
        <v>145</v>
      </c>
      <c r="AF118" s="8">
        <v>302</v>
      </c>
      <c r="AG118" s="13">
        <v>50625</v>
      </c>
      <c r="AH118" s="13">
        <v>101314</v>
      </c>
      <c r="AI118" s="38" t="s">
        <v>292</v>
      </c>
      <c r="AJ118" s="43" t="s">
        <v>276</v>
      </c>
      <c r="AK118" s="31">
        <v>0.28641975308641976</v>
      </c>
      <c r="AL118" s="14" t="s">
        <v>276</v>
      </c>
      <c r="AM118" s="14" t="s">
        <v>276</v>
      </c>
      <c r="AN118" s="43" t="s">
        <v>276</v>
      </c>
      <c r="AO118" s="31">
        <v>0.29808318692382102</v>
      </c>
      <c r="AP118" s="14" t="s">
        <v>276</v>
      </c>
      <c r="AQ118" s="14" t="s">
        <v>276</v>
      </c>
      <c r="AR118" s="8" t="s">
        <v>268</v>
      </c>
      <c r="AS118" s="14" t="s">
        <v>276</v>
      </c>
      <c r="AT118" s="14">
        <v>0.96087188292044801</v>
      </c>
      <c r="AU118" s="14" t="s">
        <v>276</v>
      </c>
      <c r="AV118" s="14" t="s">
        <v>276</v>
      </c>
      <c r="AW118" s="8" t="s">
        <v>276</v>
      </c>
      <c r="AX118" s="8" t="s">
        <v>282</v>
      </c>
      <c r="AY118" s="8" t="s">
        <v>276</v>
      </c>
      <c r="AZ118" s="8" t="s">
        <v>276</v>
      </c>
      <c r="BA118" s="8" t="s">
        <v>276</v>
      </c>
      <c r="BB118" s="8" t="s">
        <v>276</v>
      </c>
      <c r="BC118" s="9" t="s">
        <v>1217</v>
      </c>
      <c r="BD118" s="9" t="s">
        <v>1205</v>
      </c>
      <c r="BE118" s="9" t="s">
        <v>100</v>
      </c>
      <c r="BF118" s="33" t="s">
        <v>98</v>
      </c>
    </row>
    <row r="119" spans="1:58" s="7" customFormat="1" ht="91" x14ac:dyDescent="0.3">
      <c r="A119" s="8">
        <v>2704</v>
      </c>
      <c r="B119" s="8" t="s">
        <v>1202</v>
      </c>
      <c r="C119" s="8" t="s">
        <v>86</v>
      </c>
      <c r="D119" s="9" t="s">
        <v>1240</v>
      </c>
      <c r="E119" s="8" t="s">
        <v>42</v>
      </c>
      <c r="F119" s="9" t="s">
        <v>274</v>
      </c>
      <c r="G119" s="8" t="s">
        <v>225</v>
      </c>
      <c r="H119" s="8" t="s">
        <v>125</v>
      </c>
      <c r="I119" s="8" t="s">
        <v>114</v>
      </c>
      <c r="J119" s="9" t="s">
        <v>24</v>
      </c>
      <c r="K119" s="10" t="s">
        <v>1203</v>
      </c>
      <c r="L119" s="9" t="s">
        <v>1172</v>
      </c>
      <c r="M119" s="8" t="s">
        <v>14</v>
      </c>
      <c r="N119" s="11" t="s">
        <v>98</v>
      </c>
      <c r="O119" s="12" t="s">
        <v>207</v>
      </c>
      <c r="P119" s="41" t="s">
        <v>276</v>
      </c>
      <c r="Q119" s="9" t="s">
        <v>770</v>
      </c>
      <c r="R119" s="9" t="s">
        <v>276</v>
      </c>
      <c r="S119" s="9" t="s">
        <v>276</v>
      </c>
      <c r="T119" s="51" t="s">
        <v>1174</v>
      </c>
      <c r="U119" s="13">
        <v>50625</v>
      </c>
      <c r="V119" s="38">
        <v>101314</v>
      </c>
      <c r="W119" s="8" t="s">
        <v>276</v>
      </c>
      <c r="X119" s="8" t="s">
        <v>276</v>
      </c>
      <c r="Y119" s="8" t="s">
        <v>276</v>
      </c>
      <c r="Z119" s="8" t="s">
        <v>276</v>
      </c>
      <c r="AA119" s="8" t="s">
        <v>276</v>
      </c>
      <c r="AB119" s="8" t="s">
        <v>276</v>
      </c>
      <c r="AC119" s="9" t="s">
        <v>1241</v>
      </c>
      <c r="AD119" s="9" t="s">
        <v>1176</v>
      </c>
      <c r="AE119" s="8">
        <v>161</v>
      </c>
      <c r="AF119" s="8">
        <v>347</v>
      </c>
      <c r="AG119" s="13">
        <v>50625</v>
      </c>
      <c r="AH119" s="13">
        <v>101314</v>
      </c>
      <c r="AI119" s="38" t="s">
        <v>292</v>
      </c>
      <c r="AJ119" s="43" t="s">
        <v>276</v>
      </c>
      <c r="AK119" s="31">
        <v>0.31802469135802469</v>
      </c>
      <c r="AL119" s="14" t="s">
        <v>276</v>
      </c>
      <c r="AM119" s="14" t="s">
        <v>276</v>
      </c>
      <c r="AN119" s="43" t="s">
        <v>276</v>
      </c>
      <c r="AO119" s="31">
        <v>0.34249955583631086</v>
      </c>
      <c r="AP119" s="14" t="s">
        <v>276</v>
      </c>
      <c r="AQ119" s="14" t="s">
        <v>276</v>
      </c>
      <c r="AR119" s="8" t="s">
        <v>268</v>
      </c>
      <c r="AS119" s="14" t="s">
        <v>276</v>
      </c>
      <c r="AT119" s="14">
        <v>0.92854044899847021</v>
      </c>
      <c r="AU119" s="14" t="s">
        <v>276</v>
      </c>
      <c r="AV119" s="14" t="s">
        <v>276</v>
      </c>
      <c r="AW119" s="8" t="s">
        <v>276</v>
      </c>
      <c r="AX119" s="8" t="s">
        <v>282</v>
      </c>
      <c r="AY119" s="8" t="s">
        <v>276</v>
      </c>
      <c r="AZ119" s="8" t="s">
        <v>276</v>
      </c>
      <c r="BA119" s="8" t="s">
        <v>276</v>
      </c>
      <c r="BB119" s="8" t="s">
        <v>276</v>
      </c>
      <c r="BC119" s="9" t="s">
        <v>1214</v>
      </c>
      <c r="BD119" s="9" t="s">
        <v>1205</v>
      </c>
      <c r="BE119" s="9" t="s">
        <v>100</v>
      </c>
      <c r="BF119" s="33" t="s">
        <v>98</v>
      </c>
    </row>
    <row r="120" spans="1:58" s="7" customFormat="1" ht="91" x14ac:dyDescent="0.3">
      <c r="A120" s="8">
        <v>2704</v>
      </c>
      <c r="B120" s="8" t="s">
        <v>1202</v>
      </c>
      <c r="C120" s="8" t="s">
        <v>86</v>
      </c>
      <c r="D120" s="9" t="s">
        <v>1242</v>
      </c>
      <c r="E120" s="8" t="s">
        <v>42</v>
      </c>
      <c r="F120" s="9" t="s">
        <v>274</v>
      </c>
      <c r="G120" s="8" t="s">
        <v>225</v>
      </c>
      <c r="H120" s="8" t="s">
        <v>125</v>
      </c>
      <c r="I120" s="8" t="s">
        <v>114</v>
      </c>
      <c r="J120" s="9" t="s">
        <v>24</v>
      </c>
      <c r="K120" s="10" t="s">
        <v>1203</v>
      </c>
      <c r="L120" s="9" t="s">
        <v>1172</v>
      </c>
      <c r="M120" s="8" t="s">
        <v>14</v>
      </c>
      <c r="N120" s="11" t="s">
        <v>98</v>
      </c>
      <c r="O120" s="12" t="s">
        <v>207</v>
      </c>
      <c r="P120" s="41" t="s">
        <v>276</v>
      </c>
      <c r="Q120" s="9" t="s">
        <v>773</v>
      </c>
      <c r="R120" s="9" t="s">
        <v>276</v>
      </c>
      <c r="S120" s="9" t="s">
        <v>276</v>
      </c>
      <c r="T120" s="51" t="s">
        <v>1174</v>
      </c>
      <c r="U120" s="13">
        <v>50625</v>
      </c>
      <c r="V120" s="38">
        <v>101314</v>
      </c>
      <c r="W120" s="13">
        <v>5094</v>
      </c>
      <c r="X120" s="13">
        <v>10484</v>
      </c>
      <c r="Y120" s="8" t="s">
        <v>276</v>
      </c>
      <c r="Z120" s="8" t="s">
        <v>276</v>
      </c>
      <c r="AA120" s="8" t="s">
        <v>276</v>
      </c>
      <c r="AB120" s="8" t="s">
        <v>276</v>
      </c>
      <c r="AC120" s="9" t="s">
        <v>1243</v>
      </c>
      <c r="AD120" s="9" t="s">
        <v>1176</v>
      </c>
      <c r="AE120" s="8">
        <v>178</v>
      </c>
      <c r="AF120" s="8">
        <v>394</v>
      </c>
      <c r="AG120" s="13">
        <v>50625</v>
      </c>
      <c r="AH120" s="13">
        <v>101314</v>
      </c>
      <c r="AI120" s="38" t="s">
        <v>292</v>
      </c>
      <c r="AJ120" s="43" t="s">
        <v>276</v>
      </c>
      <c r="AK120" s="31">
        <v>0.35160493827160494</v>
      </c>
      <c r="AL120" s="14" t="s">
        <v>276</v>
      </c>
      <c r="AM120" s="14" t="s">
        <v>276</v>
      </c>
      <c r="AN120" s="43" t="s">
        <v>276</v>
      </c>
      <c r="AO120" s="31">
        <v>0.38888998558935589</v>
      </c>
      <c r="AP120" s="14" t="s">
        <v>276</v>
      </c>
      <c r="AQ120" s="14" t="s">
        <v>276</v>
      </c>
      <c r="AR120" s="8" t="s">
        <v>268</v>
      </c>
      <c r="AS120" s="14" t="s">
        <v>276</v>
      </c>
      <c r="AT120" s="14">
        <v>0.90412443441749701</v>
      </c>
      <c r="AU120" s="14" t="s">
        <v>276</v>
      </c>
      <c r="AV120" s="14" t="s">
        <v>276</v>
      </c>
      <c r="AW120" s="8" t="s">
        <v>276</v>
      </c>
      <c r="AX120" s="8" t="s">
        <v>282</v>
      </c>
      <c r="AY120" s="8" t="s">
        <v>276</v>
      </c>
      <c r="AZ120" s="8" t="s">
        <v>276</v>
      </c>
      <c r="BA120" s="8" t="s">
        <v>276</v>
      </c>
      <c r="BB120" s="8" t="s">
        <v>276</v>
      </c>
      <c r="BC120" s="9" t="s">
        <v>1217</v>
      </c>
      <c r="BD120" s="9" t="s">
        <v>1205</v>
      </c>
      <c r="BE120" s="9" t="s">
        <v>100</v>
      </c>
      <c r="BF120" s="33" t="s">
        <v>98</v>
      </c>
    </row>
    <row r="121" spans="1:58" s="7" customFormat="1" ht="91" x14ac:dyDescent="0.3">
      <c r="A121" s="8">
        <v>2704</v>
      </c>
      <c r="B121" s="8" t="s">
        <v>1202</v>
      </c>
      <c r="C121" s="8" t="s">
        <v>86</v>
      </c>
      <c r="D121" s="9" t="s">
        <v>1244</v>
      </c>
      <c r="E121" s="8" t="s">
        <v>42</v>
      </c>
      <c r="F121" s="9" t="s">
        <v>274</v>
      </c>
      <c r="G121" s="8" t="s">
        <v>225</v>
      </c>
      <c r="H121" s="8" t="s">
        <v>125</v>
      </c>
      <c r="I121" s="8" t="s">
        <v>114</v>
      </c>
      <c r="J121" s="9" t="s">
        <v>24</v>
      </c>
      <c r="K121" s="10" t="s">
        <v>1203</v>
      </c>
      <c r="L121" s="9" t="s">
        <v>1172</v>
      </c>
      <c r="M121" s="8" t="s">
        <v>14</v>
      </c>
      <c r="N121" s="11" t="s">
        <v>98</v>
      </c>
      <c r="O121" s="12" t="s">
        <v>207</v>
      </c>
      <c r="P121" s="41" t="s">
        <v>276</v>
      </c>
      <c r="Q121" s="9" t="s">
        <v>776</v>
      </c>
      <c r="R121" s="9" t="s">
        <v>276</v>
      </c>
      <c r="S121" s="9" t="s">
        <v>276</v>
      </c>
      <c r="T121" s="51" t="s">
        <v>1174</v>
      </c>
      <c r="U121" s="13">
        <v>50625</v>
      </c>
      <c r="V121" s="38">
        <v>101314</v>
      </c>
      <c r="W121" s="8" t="s">
        <v>276</v>
      </c>
      <c r="X121" s="8" t="s">
        <v>276</v>
      </c>
      <c r="Y121" s="8" t="s">
        <v>276</v>
      </c>
      <c r="Z121" s="8" t="s">
        <v>276</v>
      </c>
      <c r="AA121" s="8" t="s">
        <v>276</v>
      </c>
      <c r="AB121" s="8" t="s">
        <v>276</v>
      </c>
      <c r="AC121" s="9" t="s">
        <v>1245</v>
      </c>
      <c r="AD121" s="9" t="s">
        <v>1176</v>
      </c>
      <c r="AE121" s="8">
        <v>209</v>
      </c>
      <c r="AF121" s="8">
        <v>438</v>
      </c>
      <c r="AG121" s="13">
        <v>50625</v>
      </c>
      <c r="AH121" s="13">
        <v>101314</v>
      </c>
      <c r="AI121" s="38" t="s">
        <v>292</v>
      </c>
      <c r="AJ121" s="43" t="s">
        <v>276</v>
      </c>
      <c r="AK121" s="31">
        <v>0.41283950617283949</v>
      </c>
      <c r="AL121" s="14" t="s">
        <v>276</v>
      </c>
      <c r="AM121" s="14" t="s">
        <v>276</v>
      </c>
      <c r="AN121" s="43" t="s">
        <v>276</v>
      </c>
      <c r="AO121" s="31">
        <v>0.4323193240815682</v>
      </c>
      <c r="AP121" s="14" t="s">
        <v>276</v>
      </c>
      <c r="AQ121" s="14" t="s">
        <v>276</v>
      </c>
      <c r="AR121" s="8" t="s">
        <v>268</v>
      </c>
      <c r="AS121" s="14" t="s">
        <v>276</v>
      </c>
      <c r="AT121" s="14">
        <v>0.95494113535148539</v>
      </c>
      <c r="AU121" s="14" t="s">
        <v>276</v>
      </c>
      <c r="AV121" s="14" t="s">
        <v>276</v>
      </c>
      <c r="AW121" s="8" t="s">
        <v>276</v>
      </c>
      <c r="AX121" s="8" t="s">
        <v>282</v>
      </c>
      <c r="AY121" s="8" t="s">
        <v>276</v>
      </c>
      <c r="AZ121" s="8" t="s">
        <v>276</v>
      </c>
      <c r="BA121" s="8" t="s">
        <v>276</v>
      </c>
      <c r="BB121" s="8" t="s">
        <v>276</v>
      </c>
      <c r="BC121" s="9" t="s">
        <v>1214</v>
      </c>
      <c r="BD121" s="9" t="s">
        <v>1205</v>
      </c>
      <c r="BE121" s="9" t="s">
        <v>100</v>
      </c>
      <c r="BF121" s="33" t="s">
        <v>98</v>
      </c>
    </row>
    <row r="122" spans="1:58" s="7" customFormat="1" ht="91" x14ac:dyDescent="0.3">
      <c r="A122" s="8">
        <v>2704</v>
      </c>
      <c r="B122" s="8" t="s">
        <v>1202</v>
      </c>
      <c r="C122" s="8" t="s">
        <v>86</v>
      </c>
      <c r="D122" s="9" t="s">
        <v>1246</v>
      </c>
      <c r="E122" s="8" t="s">
        <v>42</v>
      </c>
      <c r="F122" s="9" t="s">
        <v>274</v>
      </c>
      <c r="G122" s="8" t="s">
        <v>225</v>
      </c>
      <c r="H122" s="8" t="s">
        <v>125</v>
      </c>
      <c r="I122" s="8" t="s">
        <v>114</v>
      </c>
      <c r="J122" s="9" t="s">
        <v>24</v>
      </c>
      <c r="K122" s="10" t="s">
        <v>1203</v>
      </c>
      <c r="L122" s="9" t="s">
        <v>1172</v>
      </c>
      <c r="M122" s="8" t="s">
        <v>14</v>
      </c>
      <c r="N122" s="11" t="s">
        <v>98</v>
      </c>
      <c r="O122" s="12" t="s">
        <v>207</v>
      </c>
      <c r="P122" s="41" t="s">
        <v>276</v>
      </c>
      <c r="Q122" s="9" t="s">
        <v>779</v>
      </c>
      <c r="R122" s="9" t="s">
        <v>276</v>
      </c>
      <c r="S122" s="9" t="s">
        <v>276</v>
      </c>
      <c r="T122" s="51" t="s">
        <v>1174</v>
      </c>
      <c r="U122" s="13">
        <v>50625</v>
      </c>
      <c r="V122" s="38">
        <v>101314</v>
      </c>
      <c r="W122" s="13">
        <v>6762</v>
      </c>
      <c r="X122" s="13">
        <v>13819</v>
      </c>
      <c r="Y122" s="8" t="s">
        <v>276</v>
      </c>
      <c r="Z122" s="8" t="s">
        <v>276</v>
      </c>
      <c r="AA122" s="8" t="s">
        <v>276</v>
      </c>
      <c r="AB122" s="8" t="s">
        <v>276</v>
      </c>
      <c r="AC122" s="9" t="s">
        <v>1247</v>
      </c>
      <c r="AD122" s="9" t="s">
        <v>1176</v>
      </c>
      <c r="AE122" s="8">
        <v>237</v>
      </c>
      <c r="AF122" s="8">
        <v>480</v>
      </c>
      <c r="AG122" s="13">
        <v>50625</v>
      </c>
      <c r="AH122" s="13">
        <v>101314</v>
      </c>
      <c r="AI122" s="38" t="s">
        <v>292</v>
      </c>
      <c r="AJ122" s="43" t="s">
        <v>276</v>
      </c>
      <c r="AK122" s="31">
        <v>0.46814814814814815</v>
      </c>
      <c r="AL122" s="14" t="s">
        <v>276</v>
      </c>
      <c r="AM122" s="14" t="s">
        <v>276</v>
      </c>
      <c r="AN122" s="43" t="s">
        <v>276</v>
      </c>
      <c r="AO122" s="31">
        <v>0.47377460173322544</v>
      </c>
      <c r="AP122" s="14" t="s">
        <v>276</v>
      </c>
      <c r="AQ122" s="14" t="s">
        <v>276</v>
      </c>
      <c r="AR122" s="8" t="s">
        <v>268</v>
      </c>
      <c r="AS122" s="14" t="s">
        <v>276</v>
      </c>
      <c r="AT122" s="14">
        <v>0.98812419753086411</v>
      </c>
      <c r="AU122" s="14" t="s">
        <v>276</v>
      </c>
      <c r="AV122" s="14" t="s">
        <v>276</v>
      </c>
      <c r="AW122" s="8" t="s">
        <v>276</v>
      </c>
      <c r="AX122" s="8" t="s">
        <v>282</v>
      </c>
      <c r="AY122" s="8" t="s">
        <v>276</v>
      </c>
      <c r="AZ122" s="8" t="s">
        <v>276</v>
      </c>
      <c r="BA122" s="8" t="s">
        <v>276</v>
      </c>
      <c r="BB122" s="8" t="s">
        <v>276</v>
      </c>
      <c r="BC122" s="9" t="s">
        <v>1217</v>
      </c>
      <c r="BD122" s="9" t="s">
        <v>1205</v>
      </c>
      <c r="BE122" s="9" t="s">
        <v>100</v>
      </c>
      <c r="BF122" s="33" t="s">
        <v>98</v>
      </c>
    </row>
    <row r="123" spans="1:58" s="7" customFormat="1" ht="91" x14ac:dyDescent="0.3">
      <c r="A123" s="8">
        <v>2704</v>
      </c>
      <c r="B123" s="8" t="s">
        <v>1202</v>
      </c>
      <c r="C123" s="8" t="s">
        <v>86</v>
      </c>
      <c r="D123" s="9" t="s">
        <v>1248</v>
      </c>
      <c r="E123" s="8" t="s">
        <v>42</v>
      </c>
      <c r="F123" s="9" t="s">
        <v>274</v>
      </c>
      <c r="G123" s="8" t="s">
        <v>225</v>
      </c>
      <c r="H123" s="8" t="s">
        <v>125</v>
      </c>
      <c r="I123" s="8" t="s">
        <v>114</v>
      </c>
      <c r="J123" s="9" t="s">
        <v>24</v>
      </c>
      <c r="K123" s="10" t="s">
        <v>1203</v>
      </c>
      <c r="L123" s="9" t="s">
        <v>1172</v>
      </c>
      <c r="M123" s="8" t="s">
        <v>14</v>
      </c>
      <c r="N123" s="11" t="s">
        <v>98</v>
      </c>
      <c r="O123" s="12" t="s">
        <v>207</v>
      </c>
      <c r="P123" s="41" t="s">
        <v>276</v>
      </c>
      <c r="Q123" s="9" t="s">
        <v>782</v>
      </c>
      <c r="R123" s="9" t="s">
        <v>276</v>
      </c>
      <c r="S123" s="9" t="s">
        <v>276</v>
      </c>
      <c r="T123" s="51" t="s">
        <v>1174</v>
      </c>
      <c r="U123" s="13">
        <v>50625</v>
      </c>
      <c r="V123" s="38">
        <v>101314</v>
      </c>
      <c r="W123" s="8" t="s">
        <v>276</v>
      </c>
      <c r="X123" s="8" t="s">
        <v>276</v>
      </c>
      <c r="Y123" s="8" t="s">
        <v>276</v>
      </c>
      <c r="Z123" s="8" t="s">
        <v>276</v>
      </c>
      <c r="AA123" s="8" t="s">
        <v>276</v>
      </c>
      <c r="AB123" s="8" t="s">
        <v>276</v>
      </c>
      <c r="AC123" s="9" t="s">
        <v>1249</v>
      </c>
      <c r="AD123" s="9" t="s">
        <v>1176</v>
      </c>
      <c r="AE123" s="8">
        <v>260</v>
      </c>
      <c r="AF123" s="8">
        <v>527</v>
      </c>
      <c r="AG123" s="13">
        <v>50625</v>
      </c>
      <c r="AH123" s="13">
        <v>101314</v>
      </c>
      <c r="AI123" s="38" t="s">
        <v>292</v>
      </c>
      <c r="AJ123" s="43" t="s">
        <v>276</v>
      </c>
      <c r="AK123" s="31">
        <v>0.51358024691358029</v>
      </c>
      <c r="AL123" s="14" t="s">
        <v>276</v>
      </c>
      <c r="AM123" s="14" t="s">
        <v>276</v>
      </c>
      <c r="AN123" s="43" t="s">
        <v>276</v>
      </c>
      <c r="AO123" s="31">
        <v>0.52016503148627036</v>
      </c>
      <c r="AP123" s="14" t="s">
        <v>276</v>
      </c>
      <c r="AQ123" s="14" t="s">
        <v>276</v>
      </c>
      <c r="AR123" s="8" t="s">
        <v>268</v>
      </c>
      <c r="AS123" s="14" t="s">
        <v>276</v>
      </c>
      <c r="AT123" s="14">
        <v>0.98734097031883261</v>
      </c>
      <c r="AU123" s="14" t="s">
        <v>276</v>
      </c>
      <c r="AV123" s="14" t="s">
        <v>276</v>
      </c>
      <c r="AW123" s="8" t="s">
        <v>276</v>
      </c>
      <c r="AX123" s="8" t="s">
        <v>282</v>
      </c>
      <c r="AY123" s="8" t="s">
        <v>276</v>
      </c>
      <c r="AZ123" s="8" t="s">
        <v>276</v>
      </c>
      <c r="BA123" s="8" t="s">
        <v>276</v>
      </c>
      <c r="BB123" s="8" t="s">
        <v>276</v>
      </c>
      <c r="BC123" s="9" t="s">
        <v>1214</v>
      </c>
      <c r="BD123" s="9" t="s">
        <v>1205</v>
      </c>
      <c r="BE123" s="9" t="s">
        <v>100</v>
      </c>
      <c r="BF123" s="33" t="s">
        <v>98</v>
      </c>
    </row>
    <row r="124" spans="1:58" s="7" customFormat="1" ht="91" x14ac:dyDescent="0.3">
      <c r="A124" s="8">
        <v>2704</v>
      </c>
      <c r="B124" s="8" t="s">
        <v>1202</v>
      </c>
      <c r="C124" s="8" t="s">
        <v>86</v>
      </c>
      <c r="D124" s="9" t="s">
        <v>1251</v>
      </c>
      <c r="E124" s="8" t="s">
        <v>42</v>
      </c>
      <c r="F124" s="9" t="s">
        <v>274</v>
      </c>
      <c r="G124" s="8" t="s">
        <v>225</v>
      </c>
      <c r="H124" s="8" t="s">
        <v>125</v>
      </c>
      <c r="I124" s="8" t="s">
        <v>114</v>
      </c>
      <c r="J124" s="9" t="s">
        <v>24</v>
      </c>
      <c r="K124" s="10" t="s">
        <v>1203</v>
      </c>
      <c r="L124" s="9" t="s">
        <v>1172</v>
      </c>
      <c r="M124" s="8" t="s">
        <v>14</v>
      </c>
      <c r="N124" s="11" t="s">
        <v>98</v>
      </c>
      <c r="O124" s="12" t="s">
        <v>207</v>
      </c>
      <c r="P124" s="41" t="s">
        <v>276</v>
      </c>
      <c r="Q124" s="9" t="s">
        <v>1252</v>
      </c>
      <c r="R124" s="9" t="s">
        <v>276</v>
      </c>
      <c r="S124" s="9" t="s">
        <v>276</v>
      </c>
      <c r="T124" s="51" t="s">
        <v>1174</v>
      </c>
      <c r="U124" s="13">
        <v>50625</v>
      </c>
      <c r="V124" s="38">
        <v>101314</v>
      </c>
      <c r="W124" s="13">
        <v>21611</v>
      </c>
      <c r="X124" s="13">
        <v>43221</v>
      </c>
      <c r="Y124" s="8" t="s">
        <v>276</v>
      </c>
      <c r="Z124" s="8" t="s">
        <v>276</v>
      </c>
      <c r="AA124" s="8" t="s">
        <v>276</v>
      </c>
      <c r="AB124" s="8" t="s">
        <v>276</v>
      </c>
      <c r="AC124" s="9" t="s">
        <v>1253</v>
      </c>
      <c r="AD124" s="9" t="s">
        <v>1176</v>
      </c>
      <c r="AE124" s="8">
        <v>287</v>
      </c>
      <c r="AF124" s="8">
        <v>577</v>
      </c>
      <c r="AG124" s="13">
        <v>50625</v>
      </c>
      <c r="AH124" s="13">
        <v>101314</v>
      </c>
      <c r="AI124" s="38" t="s">
        <v>292</v>
      </c>
      <c r="AJ124" s="43" t="s">
        <v>276</v>
      </c>
      <c r="AK124" s="31">
        <v>0.56691358024691363</v>
      </c>
      <c r="AL124" s="14" t="s">
        <v>276</v>
      </c>
      <c r="AM124" s="14" t="s">
        <v>276</v>
      </c>
      <c r="AN124" s="43" t="s">
        <v>276</v>
      </c>
      <c r="AO124" s="31">
        <v>0.5695165525001481</v>
      </c>
      <c r="AP124" s="14" t="s">
        <v>276</v>
      </c>
      <c r="AQ124" s="14" t="s">
        <v>276</v>
      </c>
      <c r="AR124" s="8" t="s">
        <v>268</v>
      </c>
      <c r="AS124" s="14" t="s">
        <v>276</v>
      </c>
      <c r="AT124" s="14">
        <v>0.99542950553094978</v>
      </c>
      <c r="AU124" s="14" t="s">
        <v>276</v>
      </c>
      <c r="AV124" s="14" t="s">
        <v>276</v>
      </c>
      <c r="AW124" s="8" t="s">
        <v>276</v>
      </c>
      <c r="AX124" s="8" t="s">
        <v>282</v>
      </c>
      <c r="AY124" s="8" t="s">
        <v>276</v>
      </c>
      <c r="AZ124" s="8" t="s">
        <v>276</v>
      </c>
      <c r="BA124" s="8" t="s">
        <v>276</v>
      </c>
      <c r="BB124" s="8" t="s">
        <v>276</v>
      </c>
      <c r="BC124" s="9" t="s">
        <v>1217</v>
      </c>
      <c r="BD124" s="9" t="s">
        <v>1205</v>
      </c>
      <c r="BE124" s="9" t="s">
        <v>100</v>
      </c>
      <c r="BF124" s="33" t="s">
        <v>98</v>
      </c>
    </row>
    <row r="125" spans="1:58" s="7" customFormat="1" ht="91" x14ac:dyDescent="0.3">
      <c r="A125" s="8">
        <v>2704</v>
      </c>
      <c r="B125" s="8" t="s">
        <v>1202</v>
      </c>
      <c r="C125" s="8" t="s">
        <v>86</v>
      </c>
      <c r="D125" s="9" t="s">
        <v>1254</v>
      </c>
      <c r="E125" s="8" t="s">
        <v>42</v>
      </c>
      <c r="F125" s="9" t="s">
        <v>274</v>
      </c>
      <c r="G125" s="8" t="s">
        <v>225</v>
      </c>
      <c r="H125" s="8" t="s">
        <v>125</v>
      </c>
      <c r="I125" s="8" t="s">
        <v>114</v>
      </c>
      <c r="J125" s="9" t="s">
        <v>24</v>
      </c>
      <c r="K125" s="10" t="s">
        <v>1203</v>
      </c>
      <c r="L125" s="9" t="s">
        <v>1172</v>
      </c>
      <c r="M125" s="8" t="s">
        <v>14</v>
      </c>
      <c r="N125" s="11" t="s">
        <v>98</v>
      </c>
      <c r="O125" s="12" t="s">
        <v>207</v>
      </c>
      <c r="P125" s="41" t="s">
        <v>276</v>
      </c>
      <c r="Q125" s="9" t="s">
        <v>1255</v>
      </c>
      <c r="R125" s="9" t="s">
        <v>276</v>
      </c>
      <c r="S125" s="9" t="s">
        <v>276</v>
      </c>
      <c r="T125" s="51" t="s">
        <v>1174</v>
      </c>
      <c r="U125" s="13">
        <v>50625</v>
      </c>
      <c r="V125" s="38">
        <v>101314</v>
      </c>
      <c r="W125" s="8" t="s">
        <v>276</v>
      </c>
      <c r="X125" s="8" t="s">
        <v>276</v>
      </c>
      <c r="Y125" s="8" t="s">
        <v>276</v>
      </c>
      <c r="Z125" s="8" t="s">
        <v>276</v>
      </c>
      <c r="AA125" s="8" t="s">
        <v>276</v>
      </c>
      <c r="AB125" s="8" t="s">
        <v>276</v>
      </c>
      <c r="AC125" s="9" t="s">
        <v>1256</v>
      </c>
      <c r="AD125" s="9" t="s">
        <v>1176</v>
      </c>
      <c r="AE125" s="8">
        <v>293</v>
      </c>
      <c r="AF125" s="8">
        <v>604</v>
      </c>
      <c r="AG125" s="13">
        <v>50625</v>
      </c>
      <c r="AH125" s="13">
        <v>101314</v>
      </c>
      <c r="AI125" s="38" t="s">
        <v>292</v>
      </c>
      <c r="AJ125" s="43" t="s">
        <v>276</v>
      </c>
      <c r="AK125" s="31">
        <v>0.57876543209876541</v>
      </c>
      <c r="AL125" s="14" t="s">
        <v>276</v>
      </c>
      <c r="AM125" s="14" t="s">
        <v>276</v>
      </c>
      <c r="AN125" s="43" t="s">
        <v>276</v>
      </c>
      <c r="AO125" s="31">
        <v>0.59616637384764204</v>
      </c>
      <c r="AP125" s="14" t="s">
        <v>276</v>
      </c>
      <c r="AQ125" s="14" t="s">
        <v>276</v>
      </c>
      <c r="AR125" s="8" t="s">
        <v>268</v>
      </c>
      <c r="AS125" s="14" t="s">
        <v>276</v>
      </c>
      <c r="AT125" s="14">
        <v>0.97081193688169398</v>
      </c>
      <c r="AU125" s="14" t="s">
        <v>276</v>
      </c>
      <c r="AV125" s="14" t="s">
        <v>276</v>
      </c>
      <c r="AW125" s="8" t="s">
        <v>276</v>
      </c>
      <c r="AX125" s="8" t="s">
        <v>282</v>
      </c>
      <c r="AY125" s="8" t="s">
        <v>276</v>
      </c>
      <c r="AZ125" s="8" t="s">
        <v>276</v>
      </c>
      <c r="BA125" s="8" t="s">
        <v>276</v>
      </c>
      <c r="BB125" s="8" t="s">
        <v>276</v>
      </c>
      <c r="BC125" s="9" t="s">
        <v>1214</v>
      </c>
      <c r="BD125" s="9" t="s">
        <v>1205</v>
      </c>
      <c r="BE125" s="9" t="s">
        <v>100</v>
      </c>
      <c r="BF125" s="33" t="s">
        <v>98</v>
      </c>
    </row>
    <row r="126" spans="1:58" s="7" customFormat="1" ht="91" x14ac:dyDescent="0.3">
      <c r="A126" s="8">
        <v>2704</v>
      </c>
      <c r="B126" s="8" t="s">
        <v>1202</v>
      </c>
      <c r="C126" s="8" t="s">
        <v>86</v>
      </c>
      <c r="D126" s="9" t="s">
        <v>1257</v>
      </c>
      <c r="E126" s="8" t="s">
        <v>42</v>
      </c>
      <c r="F126" s="9" t="s">
        <v>274</v>
      </c>
      <c r="G126" s="8" t="s">
        <v>225</v>
      </c>
      <c r="H126" s="8" t="s">
        <v>125</v>
      </c>
      <c r="I126" s="8" t="s">
        <v>114</v>
      </c>
      <c r="J126" s="9" t="s">
        <v>24</v>
      </c>
      <c r="K126" s="10" t="s">
        <v>1203</v>
      </c>
      <c r="L126" s="9" t="s">
        <v>1172</v>
      </c>
      <c r="M126" s="8" t="s">
        <v>14</v>
      </c>
      <c r="N126" s="11" t="s">
        <v>98</v>
      </c>
      <c r="O126" s="12" t="s">
        <v>207</v>
      </c>
      <c r="P126" s="41" t="s">
        <v>276</v>
      </c>
      <c r="Q126" s="9" t="s">
        <v>1258</v>
      </c>
      <c r="R126" s="9" t="s">
        <v>276</v>
      </c>
      <c r="S126" s="9" t="s">
        <v>276</v>
      </c>
      <c r="T126" s="51" t="s">
        <v>1174</v>
      </c>
      <c r="U126" s="13">
        <v>50625</v>
      </c>
      <c r="V126" s="38">
        <v>101314</v>
      </c>
      <c r="W126" s="13">
        <v>45431</v>
      </c>
      <c r="X126" s="13">
        <v>90981</v>
      </c>
      <c r="Y126" s="8" t="s">
        <v>276</v>
      </c>
      <c r="Z126" s="8" t="s">
        <v>276</v>
      </c>
      <c r="AA126" s="8" t="s">
        <v>276</v>
      </c>
      <c r="AB126" s="8" t="s">
        <v>276</v>
      </c>
      <c r="AC126" s="9" t="s">
        <v>1259</v>
      </c>
      <c r="AD126" s="9" t="s">
        <v>1176</v>
      </c>
      <c r="AE126" s="8">
        <v>295</v>
      </c>
      <c r="AF126" s="8">
        <v>617</v>
      </c>
      <c r="AG126" s="13">
        <v>50625</v>
      </c>
      <c r="AH126" s="13">
        <v>101314</v>
      </c>
      <c r="AI126" s="38" t="s">
        <v>292</v>
      </c>
      <c r="AJ126" s="43" t="s">
        <v>276</v>
      </c>
      <c r="AK126" s="31">
        <v>0.58271604938271604</v>
      </c>
      <c r="AL126" s="14" t="s">
        <v>276</v>
      </c>
      <c r="AM126" s="14" t="s">
        <v>276</v>
      </c>
      <c r="AN126" s="43" t="s">
        <v>276</v>
      </c>
      <c r="AO126" s="31">
        <v>0.60899776931125016</v>
      </c>
      <c r="AP126" s="14" t="s">
        <v>276</v>
      </c>
      <c r="AQ126" s="14" t="s">
        <v>276</v>
      </c>
      <c r="AR126" s="8" t="s">
        <v>268</v>
      </c>
      <c r="AS126" s="14" t="s">
        <v>276</v>
      </c>
      <c r="AT126" s="14">
        <v>0.95684430838185563</v>
      </c>
      <c r="AU126" s="14" t="s">
        <v>276</v>
      </c>
      <c r="AV126" s="14" t="s">
        <v>276</v>
      </c>
      <c r="AW126" s="8" t="s">
        <v>276</v>
      </c>
      <c r="AX126" s="8" t="s">
        <v>282</v>
      </c>
      <c r="AY126" s="8" t="s">
        <v>276</v>
      </c>
      <c r="AZ126" s="8" t="s">
        <v>276</v>
      </c>
      <c r="BA126" s="8" t="s">
        <v>276</v>
      </c>
      <c r="BB126" s="8" t="s">
        <v>276</v>
      </c>
      <c r="BC126" s="9" t="s">
        <v>1217</v>
      </c>
      <c r="BD126" s="9" t="s">
        <v>1205</v>
      </c>
      <c r="BE126" s="9" t="s">
        <v>100</v>
      </c>
      <c r="BF126" s="33" t="s">
        <v>98</v>
      </c>
    </row>
    <row r="127" spans="1:58" s="7" customFormat="1" ht="91" x14ac:dyDescent="0.3">
      <c r="A127" s="8">
        <v>2704</v>
      </c>
      <c r="B127" s="8" t="s">
        <v>1202</v>
      </c>
      <c r="C127" s="8" t="s">
        <v>86</v>
      </c>
      <c r="D127" s="9" t="s">
        <v>1260</v>
      </c>
      <c r="E127" s="8" t="s">
        <v>42</v>
      </c>
      <c r="F127" s="9" t="s">
        <v>274</v>
      </c>
      <c r="G127" s="8" t="s">
        <v>225</v>
      </c>
      <c r="H127" s="8" t="s">
        <v>125</v>
      </c>
      <c r="I127" s="8" t="s">
        <v>114</v>
      </c>
      <c r="J127" s="9" t="s">
        <v>24</v>
      </c>
      <c r="K127" s="10" t="s">
        <v>1203</v>
      </c>
      <c r="L127" s="9" t="s">
        <v>1172</v>
      </c>
      <c r="M127" s="8" t="s">
        <v>14</v>
      </c>
      <c r="N127" s="11" t="s">
        <v>98</v>
      </c>
      <c r="O127" s="12" t="s">
        <v>207</v>
      </c>
      <c r="P127" s="41" t="s">
        <v>276</v>
      </c>
      <c r="Q127" s="9" t="s">
        <v>1261</v>
      </c>
      <c r="R127" s="9" t="s">
        <v>276</v>
      </c>
      <c r="S127" s="9" t="s">
        <v>276</v>
      </c>
      <c r="T127" s="51" t="s">
        <v>1174</v>
      </c>
      <c r="U127" s="13">
        <v>50625</v>
      </c>
      <c r="V127" s="38">
        <v>101314</v>
      </c>
      <c r="W127" s="8" t="s">
        <v>276</v>
      </c>
      <c r="X127" s="8" t="s">
        <v>276</v>
      </c>
      <c r="Y127" s="8" t="s">
        <v>276</v>
      </c>
      <c r="Z127" s="8" t="s">
        <v>276</v>
      </c>
      <c r="AA127" s="8" t="s">
        <v>276</v>
      </c>
      <c r="AB127" s="8" t="s">
        <v>276</v>
      </c>
      <c r="AC127" s="9" t="s">
        <v>1262</v>
      </c>
      <c r="AD127" s="9" t="s">
        <v>1176</v>
      </c>
      <c r="AE127" s="8">
        <v>296</v>
      </c>
      <c r="AF127" s="8">
        <v>619</v>
      </c>
      <c r="AG127" s="13">
        <v>50625</v>
      </c>
      <c r="AH127" s="13">
        <v>101314</v>
      </c>
      <c r="AI127" s="38" t="s">
        <v>292</v>
      </c>
      <c r="AJ127" s="43" t="s">
        <v>276</v>
      </c>
      <c r="AK127" s="31">
        <v>0.58469135802469141</v>
      </c>
      <c r="AL127" s="14" t="s">
        <v>276</v>
      </c>
      <c r="AM127" s="14" t="s">
        <v>276</v>
      </c>
      <c r="AN127" s="43" t="s">
        <v>276</v>
      </c>
      <c r="AO127" s="31">
        <v>0.61097183015180523</v>
      </c>
      <c r="AP127" s="14" t="s">
        <v>276</v>
      </c>
      <c r="AQ127" s="14" t="s">
        <v>276</v>
      </c>
      <c r="AR127" s="8" t="s">
        <v>268</v>
      </c>
      <c r="AS127" s="14" t="s">
        <v>276</v>
      </c>
      <c r="AT127" s="14">
        <v>0.95698578751072039</v>
      </c>
      <c r="AU127" s="14" t="s">
        <v>276</v>
      </c>
      <c r="AV127" s="14" t="s">
        <v>276</v>
      </c>
      <c r="AW127" s="8" t="s">
        <v>276</v>
      </c>
      <c r="AX127" s="8" t="s">
        <v>282</v>
      </c>
      <c r="AY127" s="8" t="s">
        <v>276</v>
      </c>
      <c r="AZ127" s="8" t="s">
        <v>276</v>
      </c>
      <c r="BA127" s="8" t="s">
        <v>276</v>
      </c>
      <c r="BB127" s="8" t="s">
        <v>276</v>
      </c>
      <c r="BC127" s="9" t="s">
        <v>1214</v>
      </c>
      <c r="BD127" s="9" t="s">
        <v>1205</v>
      </c>
      <c r="BE127" s="9" t="s">
        <v>100</v>
      </c>
      <c r="BF127" s="33" t="s">
        <v>98</v>
      </c>
    </row>
    <row r="128" spans="1:58" s="7" customFormat="1" ht="91" x14ac:dyDescent="0.3">
      <c r="A128" s="8">
        <v>2704</v>
      </c>
      <c r="B128" s="8" t="s">
        <v>1202</v>
      </c>
      <c r="C128" s="8" t="s">
        <v>86</v>
      </c>
      <c r="D128" s="9" t="s">
        <v>1263</v>
      </c>
      <c r="E128" s="8" t="s">
        <v>42</v>
      </c>
      <c r="F128" s="9" t="s">
        <v>148</v>
      </c>
      <c r="G128" s="8" t="s">
        <v>225</v>
      </c>
      <c r="H128" s="8" t="s">
        <v>125</v>
      </c>
      <c r="I128" s="8" t="s">
        <v>114</v>
      </c>
      <c r="J128" s="9" t="s">
        <v>24</v>
      </c>
      <c r="K128" s="10" t="s">
        <v>1203</v>
      </c>
      <c r="L128" s="9" t="s">
        <v>1172</v>
      </c>
      <c r="M128" s="8" t="s">
        <v>14</v>
      </c>
      <c r="N128" s="11" t="s">
        <v>98</v>
      </c>
      <c r="O128" s="12" t="s">
        <v>207</v>
      </c>
      <c r="P128" s="41" t="s">
        <v>276</v>
      </c>
      <c r="Q128" s="9" t="s">
        <v>705</v>
      </c>
      <c r="R128" s="9" t="s">
        <v>276</v>
      </c>
      <c r="S128" s="9" t="s">
        <v>276</v>
      </c>
      <c r="T128" s="51" t="s">
        <v>1212</v>
      </c>
      <c r="U128" s="13">
        <v>50623</v>
      </c>
      <c r="V128" s="38">
        <v>101314</v>
      </c>
      <c r="W128" s="8" t="s">
        <v>276</v>
      </c>
      <c r="X128" s="8" t="s">
        <v>276</v>
      </c>
      <c r="Y128" s="8" t="s">
        <v>276</v>
      </c>
      <c r="Z128" s="8" t="s">
        <v>276</v>
      </c>
      <c r="AA128" s="8" t="s">
        <v>276</v>
      </c>
      <c r="AB128" s="8" t="s">
        <v>276</v>
      </c>
      <c r="AC128" s="9" t="s">
        <v>1264</v>
      </c>
      <c r="AD128" s="9" t="s">
        <v>1176</v>
      </c>
      <c r="AE128" s="8">
        <v>4</v>
      </c>
      <c r="AF128" s="8">
        <v>4</v>
      </c>
      <c r="AG128" s="13">
        <v>50625</v>
      </c>
      <c r="AH128" s="13">
        <v>101314</v>
      </c>
      <c r="AI128" s="38" t="s">
        <v>292</v>
      </c>
      <c r="AJ128" s="43" t="s">
        <v>276</v>
      </c>
      <c r="AK128" s="31">
        <v>7.9012345679012348E-3</v>
      </c>
      <c r="AL128" s="14" t="s">
        <v>276</v>
      </c>
      <c r="AM128" s="14" t="s">
        <v>276</v>
      </c>
      <c r="AN128" s="43" t="s">
        <v>276</v>
      </c>
      <c r="AO128" s="31">
        <v>3.9481216811102122E-3</v>
      </c>
      <c r="AP128" s="14" t="s">
        <v>276</v>
      </c>
      <c r="AQ128" s="14" t="s">
        <v>276</v>
      </c>
      <c r="AR128" s="8" t="s">
        <v>268</v>
      </c>
      <c r="AS128" s="14" t="s">
        <v>276</v>
      </c>
      <c r="AT128" s="14">
        <v>2.001264197530864</v>
      </c>
      <c r="AU128" s="14" t="s">
        <v>276</v>
      </c>
      <c r="AV128" s="14" t="s">
        <v>276</v>
      </c>
      <c r="AW128" s="8" t="s">
        <v>276</v>
      </c>
      <c r="AX128" s="8" t="s">
        <v>282</v>
      </c>
      <c r="AY128" s="8" t="s">
        <v>276</v>
      </c>
      <c r="AZ128" s="8" t="s">
        <v>276</v>
      </c>
      <c r="BA128" s="8" t="s">
        <v>276</v>
      </c>
      <c r="BB128" s="8" t="s">
        <v>276</v>
      </c>
      <c r="BC128" s="9" t="s">
        <v>1214</v>
      </c>
      <c r="BD128" s="9" t="s">
        <v>1205</v>
      </c>
      <c r="BE128" s="9" t="s">
        <v>100</v>
      </c>
      <c r="BF128" s="33" t="s">
        <v>98</v>
      </c>
    </row>
    <row r="129" spans="1:58" s="7" customFormat="1" ht="91" x14ac:dyDescent="0.3">
      <c r="A129" s="8">
        <v>2704</v>
      </c>
      <c r="B129" s="8" t="s">
        <v>1202</v>
      </c>
      <c r="C129" s="8" t="s">
        <v>86</v>
      </c>
      <c r="D129" s="9" t="s">
        <v>1265</v>
      </c>
      <c r="E129" s="8" t="s">
        <v>42</v>
      </c>
      <c r="F129" s="9" t="s">
        <v>148</v>
      </c>
      <c r="G129" s="8" t="s">
        <v>225</v>
      </c>
      <c r="H129" s="8" t="s">
        <v>125</v>
      </c>
      <c r="I129" s="8" t="s">
        <v>114</v>
      </c>
      <c r="J129" s="9" t="s">
        <v>24</v>
      </c>
      <c r="K129" s="10" t="s">
        <v>1203</v>
      </c>
      <c r="L129" s="9" t="s">
        <v>1172</v>
      </c>
      <c r="M129" s="8" t="s">
        <v>14</v>
      </c>
      <c r="N129" s="11" t="s">
        <v>98</v>
      </c>
      <c r="O129" s="12" t="s">
        <v>207</v>
      </c>
      <c r="P129" s="41" t="s">
        <v>276</v>
      </c>
      <c r="Q129" s="9" t="s">
        <v>710</v>
      </c>
      <c r="R129" s="9" t="s">
        <v>276</v>
      </c>
      <c r="S129" s="9" t="s">
        <v>276</v>
      </c>
      <c r="T129" s="51" t="s">
        <v>1191</v>
      </c>
      <c r="U129" s="13">
        <v>50623</v>
      </c>
      <c r="V129" s="38">
        <v>101314</v>
      </c>
      <c r="W129" s="13">
        <v>272</v>
      </c>
      <c r="X129" s="13">
        <v>553</v>
      </c>
      <c r="Y129" s="8" t="s">
        <v>276</v>
      </c>
      <c r="Z129" s="8" t="s">
        <v>276</v>
      </c>
      <c r="AA129" s="8" t="s">
        <v>276</v>
      </c>
      <c r="AB129" s="8" t="s">
        <v>276</v>
      </c>
      <c r="AC129" s="9" t="s">
        <v>1266</v>
      </c>
      <c r="AD129" s="9" t="s">
        <v>1176</v>
      </c>
      <c r="AE129" s="8">
        <v>10</v>
      </c>
      <c r="AF129" s="8">
        <v>18</v>
      </c>
      <c r="AG129" s="13">
        <v>50625</v>
      </c>
      <c r="AH129" s="13">
        <v>101314</v>
      </c>
      <c r="AI129" s="38" t="s">
        <v>292</v>
      </c>
      <c r="AJ129" s="43" t="s">
        <v>276</v>
      </c>
      <c r="AK129" s="31">
        <v>1.9753086419753086E-2</v>
      </c>
      <c r="AL129" s="14" t="s">
        <v>276</v>
      </c>
      <c r="AM129" s="14" t="s">
        <v>276</v>
      </c>
      <c r="AN129" s="43" t="s">
        <v>276</v>
      </c>
      <c r="AO129" s="31">
        <v>1.7766547564995953E-2</v>
      </c>
      <c r="AP129" s="14" t="s">
        <v>276</v>
      </c>
      <c r="AQ129" s="14" t="s">
        <v>276</v>
      </c>
      <c r="AR129" s="8" t="s">
        <v>268</v>
      </c>
      <c r="AS129" s="14" t="s">
        <v>276</v>
      </c>
      <c r="AT129" s="14">
        <v>1.1118134430727022</v>
      </c>
      <c r="AU129" s="14" t="s">
        <v>276</v>
      </c>
      <c r="AV129" s="14" t="s">
        <v>276</v>
      </c>
      <c r="AW129" s="8" t="s">
        <v>276</v>
      </c>
      <c r="AX129" s="8" t="s">
        <v>282</v>
      </c>
      <c r="AY129" s="8" t="s">
        <v>276</v>
      </c>
      <c r="AZ129" s="8" t="s">
        <v>276</v>
      </c>
      <c r="BA129" s="8" t="s">
        <v>276</v>
      </c>
      <c r="BB129" s="8" t="s">
        <v>276</v>
      </c>
      <c r="BC129" s="9" t="s">
        <v>1217</v>
      </c>
      <c r="BD129" s="9" t="s">
        <v>1205</v>
      </c>
      <c r="BE129" s="9" t="s">
        <v>100</v>
      </c>
      <c r="BF129" s="33" t="s">
        <v>98</v>
      </c>
    </row>
    <row r="130" spans="1:58" s="7" customFormat="1" ht="91" x14ac:dyDescent="0.3">
      <c r="A130" s="8">
        <v>2704</v>
      </c>
      <c r="B130" s="8" t="s">
        <v>1202</v>
      </c>
      <c r="C130" s="8" t="s">
        <v>86</v>
      </c>
      <c r="D130" s="9" t="s">
        <v>1267</v>
      </c>
      <c r="E130" s="8" t="s">
        <v>42</v>
      </c>
      <c r="F130" s="9" t="s">
        <v>148</v>
      </c>
      <c r="G130" s="8" t="s">
        <v>225</v>
      </c>
      <c r="H130" s="8" t="s">
        <v>125</v>
      </c>
      <c r="I130" s="8" t="s">
        <v>114</v>
      </c>
      <c r="J130" s="9" t="s">
        <v>24</v>
      </c>
      <c r="K130" s="10" t="s">
        <v>1203</v>
      </c>
      <c r="L130" s="9" t="s">
        <v>1172</v>
      </c>
      <c r="M130" s="8" t="s">
        <v>14</v>
      </c>
      <c r="N130" s="11" t="s">
        <v>98</v>
      </c>
      <c r="O130" s="12" t="s">
        <v>207</v>
      </c>
      <c r="P130" s="41" t="s">
        <v>276</v>
      </c>
      <c r="Q130" s="9" t="s">
        <v>686</v>
      </c>
      <c r="R130" s="9" t="s">
        <v>276</v>
      </c>
      <c r="S130" s="9" t="s">
        <v>276</v>
      </c>
      <c r="T130" s="51" t="s">
        <v>1219</v>
      </c>
      <c r="U130" s="13">
        <v>50623</v>
      </c>
      <c r="V130" s="38">
        <v>101314</v>
      </c>
      <c r="W130" s="8" t="s">
        <v>276</v>
      </c>
      <c r="X130" s="8" t="s">
        <v>276</v>
      </c>
      <c r="Y130" s="8" t="s">
        <v>276</v>
      </c>
      <c r="Z130" s="8" t="s">
        <v>276</v>
      </c>
      <c r="AA130" s="8" t="s">
        <v>276</v>
      </c>
      <c r="AB130" s="8" t="s">
        <v>276</v>
      </c>
      <c r="AC130" s="9" t="s">
        <v>1220</v>
      </c>
      <c r="AD130" s="9" t="s">
        <v>1176</v>
      </c>
      <c r="AE130" s="8">
        <v>18</v>
      </c>
      <c r="AF130" s="8">
        <v>37</v>
      </c>
      <c r="AG130" s="13">
        <v>50625</v>
      </c>
      <c r="AH130" s="13">
        <v>101314</v>
      </c>
      <c r="AI130" s="38" t="s">
        <v>292</v>
      </c>
      <c r="AJ130" s="43" t="s">
        <v>276</v>
      </c>
      <c r="AK130" s="31">
        <v>3.5555555555555556E-2</v>
      </c>
      <c r="AL130" s="14" t="s">
        <v>276</v>
      </c>
      <c r="AM130" s="14" t="s">
        <v>276</v>
      </c>
      <c r="AN130" s="43" t="s">
        <v>276</v>
      </c>
      <c r="AO130" s="31">
        <v>3.6520125550269462E-2</v>
      </c>
      <c r="AP130" s="14" t="s">
        <v>276</v>
      </c>
      <c r="AQ130" s="14" t="s">
        <v>276</v>
      </c>
      <c r="AR130" s="8" t="s">
        <v>268</v>
      </c>
      <c r="AS130" s="14" t="s">
        <v>276</v>
      </c>
      <c r="AT130" s="14">
        <v>0.97358798798798796</v>
      </c>
      <c r="AU130" s="14" t="s">
        <v>276</v>
      </c>
      <c r="AV130" s="14" t="s">
        <v>276</v>
      </c>
      <c r="AW130" s="8" t="s">
        <v>276</v>
      </c>
      <c r="AX130" s="8" t="s">
        <v>282</v>
      </c>
      <c r="AY130" s="8" t="s">
        <v>276</v>
      </c>
      <c r="AZ130" s="8" t="s">
        <v>276</v>
      </c>
      <c r="BA130" s="8" t="s">
        <v>276</v>
      </c>
      <c r="BB130" s="8" t="s">
        <v>276</v>
      </c>
      <c r="BC130" s="9" t="s">
        <v>1214</v>
      </c>
      <c r="BD130" s="9" t="s">
        <v>1205</v>
      </c>
      <c r="BE130" s="9" t="s">
        <v>100</v>
      </c>
      <c r="BF130" s="33" t="s">
        <v>98</v>
      </c>
    </row>
    <row r="131" spans="1:58" s="7" customFormat="1" ht="91" x14ac:dyDescent="0.3">
      <c r="A131" s="8">
        <v>2704</v>
      </c>
      <c r="B131" s="8" t="s">
        <v>1202</v>
      </c>
      <c r="C131" s="8" t="s">
        <v>86</v>
      </c>
      <c r="D131" s="9" t="s">
        <v>1268</v>
      </c>
      <c r="E131" s="8" t="s">
        <v>42</v>
      </c>
      <c r="F131" s="9" t="s">
        <v>148</v>
      </c>
      <c r="G131" s="8" t="s">
        <v>225</v>
      </c>
      <c r="H131" s="8" t="s">
        <v>125</v>
      </c>
      <c r="I131" s="8" t="s">
        <v>114</v>
      </c>
      <c r="J131" s="9" t="s">
        <v>24</v>
      </c>
      <c r="K131" s="10" t="s">
        <v>1203</v>
      </c>
      <c r="L131" s="9" t="s">
        <v>1172</v>
      </c>
      <c r="M131" s="8" t="s">
        <v>14</v>
      </c>
      <c r="N131" s="11" t="s">
        <v>98</v>
      </c>
      <c r="O131" s="12" t="s">
        <v>207</v>
      </c>
      <c r="P131" s="41" t="s">
        <v>276</v>
      </c>
      <c r="Q131" s="9" t="s">
        <v>721</v>
      </c>
      <c r="R131" s="9" t="s">
        <v>276</v>
      </c>
      <c r="S131" s="9" t="s">
        <v>276</v>
      </c>
      <c r="T131" s="51" t="s">
        <v>1192</v>
      </c>
      <c r="U131" s="13">
        <v>50623</v>
      </c>
      <c r="V131" s="38">
        <v>101314</v>
      </c>
      <c r="W131" s="13">
        <v>761</v>
      </c>
      <c r="X131" s="13">
        <v>1563</v>
      </c>
      <c r="Y131" s="8" t="s">
        <v>276</v>
      </c>
      <c r="Z131" s="8" t="s">
        <v>276</v>
      </c>
      <c r="AA131" s="8" t="s">
        <v>276</v>
      </c>
      <c r="AB131" s="8" t="s">
        <v>276</v>
      </c>
      <c r="AC131" s="9" t="s">
        <v>1269</v>
      </c>
      <c r="AD131" s="9" t="s">
        <v>1176</v>
      </c>
      <c r="AE131" s="8">
        <v>32</v>
      </c>
      <c r="AF131" s="8">
        <v>65</v>
      </c>
      <c r="AG131" s="13">
        <v>50625</v>
      </c>
      <c r="AH131" s="13">
        <v>101314</v>
      </c>
      <c r="AI131" s="38" t="s">
        <v>292</v>
      </c>
      <c r="AJ131" s="43" t="s">
        <v>276</v>
      </c>
      <c r="AK131" s="31">
        <v>6.3209876543209878E-2</v>
      </c>
      <c r="AL131" s="14" t="s">
        <v>276</v>
      </c>
      <c r="AM131" s="14" t="s">
        <v>276</v>
      </c>
      <c r="AN131" s="43" t="s">
        <v>276</v>
      </c>
      <c r="AO131" s="31">
        <v>6.4156977318040945E-2</v>
      </c>
      <c r="AP131" s="14" t="s">
        <v>276</v>
      </c>
      <c r="AQ131" s="14" t="s">
        <v>276</v>
      </c>
      <c r="AR131" s="8" t="s">
        <v>268</v>
      </c>
      <c r="AS131" s="14" t="s">
        <v>276</v>
      </c>
      <c r="AT131" s="14">
        <v>0.98523775878442543</v>
      </c>
      <c r="AU131" s="14" t="s">
        <v>276</v>
      </c>
      <c r="AV131" s="14" t="s">
        <v>276</v>
      </c>
      <c r="AW131" s="8" t="s">
        <v>276</v>
      </c>
      <c r="AX131" s="8" t="s">
        <v>282</v>
      </c>
      <c r="AY131" s="8" t="s">
        <v>276</v>
      </c>
      <c r="AZ131" s="8" t="s">
        <v>276</v>
      </c>
      <c r="BA131" s="8" t="s">
        <v>276</v>
      </c>
      <c r="BB131" s="8" t="s">
        <v>276</v>
      </c>
      <c r="BC131" s="9" t="s">
        <v>1217</v>
      </c>
      <c r="BD131" s="9" t="s">
        <v>1205</v>
      </c>
      <c r="BE131" s="9" t="s">
        <v>100</v>
      </c>
      <c r="BF131" s="33" t="s">
        <v>98</v>
      </c>
    </row>
    <row r="132" spans="1:58" s="7" customFormat="1" ht="91" x14ac:dyDescent="0.3">
      <c r="A132" s="8">
        <v>2704</v>
      </c>
      <c r="B132" s="8" t="s">
        <v>1202</v>
      </c>
      <c r="C132" s="8" t="s">
        <v>86</v>
      </c>
      <c r="D132" s="9" t="s">
        <v>1270</v>
      </c>
      <c r="E132" s="8" t="s">
        <v>42</v>
      </c>
      <c r="F132" s="9" t="s">
        <v>148</v>
      </c>
      <c r="G132" s="8" t="s">
        <v>225</v>
      </c>
      <c r="H132" s="8" t="s">
        <v>125</v>
      </c>
      <c r="I132" s="8" t="s">
        <v>114</v>
      </c>
      <c r="J132" s="9" t="s">
        <v>24</v>
      </c>
      <c r="K132" s="10" t="s">
        <v>1203</v>
      </c>
      <c r="L132" s="9" t="s">
        <v>1172</v>
      </c>
      <c r="M132" s="8" t="s">
        <v>14</v>
      </c>
      <c r="N132" s="11" t="s">
        <v>98</v>
      </c>
      <c r="O132" s="12" t="s">
        <v>207</v>
      </c>
      <c r="P132" s="41" t="s">
        <v>276</v>
      </c>
      <c r="Q132" s="9" t="s">
        <v>728</v>
      </c>
      <c r="R132" s="9" t="s">
        <v>276</v>
      </c>
      <c r="S132" s="9" t="s">
        <v>276</v>
      </c>
      <c r="T132" s="51" t="s">
        <v>1224</v>
      </c>
      <c r="U132" s="13">
        <v>50623</v>
      </c>
      <c r="V132" s="38">
        <v>101314</v>
      </c>
      <c r="W132" s="8" t="s">
        <v>276</v>
      </c>
      <c r="X132" s="8" t="s">
        <v>276</v>
      </c>
      <c r="Y132" s="8" t="s">
        <v>276</v>
      </c>
      <c r="Z132" s="8" t="s">
        <v>276</v>
      </c>
      <c r="AA132" s="8" t="s">
        <v>276</v>
      </c>
      <c r="AB132" s="8" t="s">
        <v>276</v>
      </c>
      <c r="AC132" s="9" t="s">
        <v>1271</v>
      </c>
      <c r="AD132" s="9" t="s">
        <v>1176</v>
      </c>
      <c r="AE132" s="8">
        <v>49</v>
      </c>
      <c r="AF132" s="8">
        <v>93</v>
      </c>
      <c r="AG132" s="13">
        <v>50625</v>
      </c>
      <c r="AH132" s="13">
        <v>101314</v>
      </c>
      <c r="AI132" s="38" t="s">
        <v>292</v>
      </c>
      <c r="AJ132" s="43" t="s">
        <v>276</v>
      </c>
      <c r="AK132" s="31">
        <v>9.6790123456790125E-2</v>
      </c>
      <c r="AL132" s="14" t="s">
        <v>276</v>
      </c>
      <c r="AM132" s="14" t="s">
        <v>276</v>
      </c>
      <c r="AN132" s="43" t="s">
        <v>276</v>
      </c>
      <c r="AO132" s="31">
        <v>9.179382908581242E-2</v>
      </c>
      <c r="AP132" s="14" t="s">
        <v>276</v>
      </c>
      <c r="AQ132" s="14" t="s">
        <v>276</v>
      </c>
      <c r="AR132" s="8" t="s">
        <v>268</v>
      </c>
      <c r="AS132" s="14" t="s">
        <v>276</v>
      </c>
      <c r="AT132" s="14">
        <v>1.0544295234302403</v>
      </c>
      <c r="AU132" s="14" t="s">
        <v>276</v>
      </c>
      <c r="AV132" s="14" t="s">
        <v>276</v>
      </c>
      <c r="AW132" s="8" t="s">
        <v>276</v>
      </c>
      <c r="AX132" s="8" t="s">
        <v>282</v>
      </c>
      <c r="AY132" s="8" t="s">
        <v>276</v>
      </c>
      <c r="AZ132" s="8" t="s">
        <v>276</v>
      </c>
      <c r="BA132" s="8" t="s">
        <v>276</v>
      </c>
      <c r="BB132" s="8" t="s">
        <v>276</v>
      </c>
      <c r="BC132" s="9" t="s">
        <v>1214</v>
      </c>
      <c r="BD132" s="9" t="s">
        <v>1205</v>
      </c>
      <c r="BE132" s="9" t="s">
        <v>100</v>
      </c>
      <c r="BF132" s="33" t="s">
        <v>98</v>
      </c>
    </row>
    <row r="133" spans="1:58" s="7" customFormat="1" ht="91" x14ac:dyDescent="0.3">
      <c r="A133" s="8">
        <v>2704</v>
      </c>
      <c r="B133" s="8" t="s">
        <v>1202</v>
      </c>
      <c r="C133" s="8" t="s">
        <v>86</v>
      </c>
      <c r="D133" s="9" t="s">
        <v>1272</v>
      </c>
      <c r="E133" s="8" t="s">
        <v>42</v>
      </c>
      <c r="F133" s="9" t="s">
        <v>148</v>
      </c>
      <c r="G133" s="8" t="s">
        <v>225</v>
      </c>
      <c r="H133" s="8" t="s">
        <v>125</v>
      </c>
      <c r="I133" s="8" t="s">
        <v>114</v>
      </c>
      <c r="J133" s="9" t="s">
        <v>24</v>
      </c>
      <c r="K133" s="10" t="s">
        <v>1203</v>
      </c>
      <c r="L133" s="9" t="s">
        <v>1172</v>
      </c>
      <c r="M133" s="8" t="s">
        <v>14</v>
      </c>
      <c r="N133" s="11" t="s">
        <v>98</v>
      </c>
      <c r="O133" s="12" t="s">
        <v>207</v>
      </c>
      <c r="P133" s="41" t="s">
        <v>276</v>
      </c>
      <c r="Q133" s="9" t="s">
        <v>733</v>
      </c>
      <c r="R133" s="9" t="s">
        <v>276</v>
      </c>
      <c r="S133" s="9" t="s">
        <v>276</v>
      </c>
      <c r="T133" s="51" t="s">
        <v>1193</v>
      </c>
      <c r="U133" s="13">
        <v>50623</v>
      </c>
      <c r="V133" s="38">
        <v>101314</v>
      </c>
      <c r="W133" s="13">
        <v>1376</v>
      </c>
      <c r="X133" s="13">
        <v>2921</v>
      </c>
      <c r="Y133" s="8" t="s">
        <v>276</v>
      </c>
      <c r="Z133" s="8" t="s">
        <v>276</v>
      </c>
      <c r="AA133" s="8" t="s">
        <v>276</v>
      </c>
      <c r="AB133" s="8" t="s">
        <v>276</v>
      </c>
      <c r="AC133" s="9" t="s">
        <v>1227</v>
      </c>
      <c r="AD133" s="9" t="s">
        <v>1176</v>
      </c>
      <c r="AE133" s="8">
        <v>62</v>
      </c>
      <c r="AF133" s="8">
        <v>136</v>
      </c>
      <c r="AG133" s="13">
        <v>50625</v>
      </c>
      <c r="AH133" s="13">
        <v>101314</v>
      </c>
      <c r="AI133" s="38" t="s">
        <v>292</v>
      </c>
      <c r="AJ133" s="43" t="s">
        <v>276</v>
      </c>
      <c r="AK133" s="31">
        <v>0.12246913580246914</v>
      </c>
      <c r="AL133" s="14" t="s">
        <v>276</v>
      </c>
      <c r="AM133" s="14" t="s">
        <v>276</v>
      </c>
      <c r="AN133" s="43" t="s">
        <v>276</v>
      </c>
      <c r="AO133" s="31">
        <v>0.13423613715774721</v>
      </c>
      <c r="AP133" s="14" t="s">
        <v>276</v>
      </c>
      <c r="AQ133" s="14" t="s">
        <v>276</v>
      </c>
      <c r="AR133" s="8" t="s">
        <v>268</v>
      </c>
      <c r="AS133" s="14" t="s">
        <v>276</v>
      </c>
      <c r="AT133" s="14">
        <v>0.9123410312273057</v>
      </c>
      <c r="AU133" s="14" t="s">
        <v>276</v>
      </c>
      <c r="AV133" s="14" t="s">
        <v>276</v>
      </c>
      <c r="AW133" s="8" t="s">
        <v>276</v>
      </c>
      <c r="AX133" s="8" t="s">
        <v>282</v>
      </c>
      <c r="AY133" s="8" t="s">
        <v>276</v>
      </c>
      <c r="AZ133" s="8" t="s">
        <v>276</v>
      </c>
      <c r="BA133" s="8" t="s">
        <v>276</v>
      </c>
      <c r="BB133" s="8" t="s">
        <v>276</v>
      </c>
      <c r="BC133" s="9" t="s">
        <v>1217</v>
      </c>
      <c r="BD133" s="9" t="s">
        <v>1205</v>
      </c>
      <c r="BE133" s="9" t="s">
        <v>100</v>
      </c>
      <c r="BF133" s="33" t="s">
        <v>98</v>
      </c>
    </row>
    <row r="134" spans="1:58" s="7" customFormat="1" ht="91" x14ac:dyDescent="0.3">
      <c r="A134" s="8">
        <v>2704</v>
      </c>
      <c r="B134" s="8" t="s">
        <v>1202</v>
      </c>
      <c r="C134" s="8" t="s">
        <v>86</v>
      </c>
      <c r="D134" s="9" t="s">
        <v>1273</v>
      </c>
      <c r="E134" s="8" t="s">
        <v>42</v>
      </c>
      <c r="F134" s="9" t="s">
        <v>148</v>
      </c>
      <c r="G134" s="8" t="s">
        <v>225</v>
      </c>
      <c r="H134" s="8" t="s">
        <v>125</v>
      </c>
      <c r="I134" s="8" t="s">
        <v>114</v>
      </c>
      <c r="J134" s="9" t="s">
        <v>24</v>
      </c>
      <c r="K134" s="10" t="s">
        <v>1203</v>
      </c>
      <c r="L134" s="9" t="s">
        <v>1172</v>
      </c>
      <c r="M134" s="8" t="s">
        <v>14</v>
      </c>
      <c r="N134" s="11" t="s">
        <v>98</v>
      </c>
      <c r="O134" s="12" t="s">
        <v>207</v>
      </c>
      <c r="P134" s="41" t="s">
        <v>276</v>
      </c>
      <c r="Q134" s="9" t="s">
        <v>741</v>
      </c>
      <c r="R134" s="9" t="s">
        <v>276</v>
      </c>
      <c r="S134" s="9" t="s">
        <v>276</v>
      </c>
      <c r="T134" s="51" t="s">
        <v>1183</v>
      </c>
      <c r="U134" s="13">
        <v>50623</v>
      </c>
      <c r="V134" s="38">
        <v>101314</v>
      </c>
      <c r="W134" s="8" t="s">
        <v>276</v>
      </c>
      <c r="X134" s="8" t="s">
        <v>276</v>
      </c>
      <c r="Y134" s="8" t="s">
        <v>276</v>
      </c>
      <c r="Z134" s="8" t="s">
        <v>276</v>
      </c>
      <c r="AA134" s="8" t="s">
        <v>276</v>
      </c>
      <c r="AB134" s="8" t="s">
        <v>276</v>
      </c>
      <c r="AC134" s="9" t="s">
        <v>1229</v>
      </c>
      <c r="AD134" s="9" t="s">
        <v>1176</v>
      </c>
      <c r="AE134" s="8">
        <v>77</v>
      </c>
      <c r="AF134" s="8">
        <v>162</v>
      </c>
      <c r="AG134" s="13">
        <v>50625</v>
      </c>
      <c r="AH134" s="13">
        <v>101314</v>
      </c>
      <c r="AI134" s="38" t="s">
        <v>292</v>
      </c>
      <c r="AJ134" s="43" t="s">
        <v>276</v>
      </c>
      <c r="AK134" s="31">
        <v>0.15209876543209877</v>
      </c>
      <c r="AL134" s="14" t="s">
        <v>276</v>
      </c>
      <c r="AM134" s="14" t="s">
        <v>276</v>
      </c>
      <c r="AN134" s="43" t="s">
        <v>276</v>
      </c>
      <c r="AO134" s="31">
        <v>0.15989892808496359</v>
      </c>
      <c r="AP134" s="14" t="s">
        <v>276</v>
      </c>
      <c r="AQ134" s="14" t="s">
        <v>276</v>
      </c>
      <c r="AR134" s="8" t="s">
        <v>268</v>
      </c>
      <c r="AS134" s="14" t="s">
        <v>276</v>
      </c>
      <c r="AT134" s="14">
        <v>0.95121816796220082</v>
      </c>
      <c r="AU134" s="14" t="s">
        <v>276</v>
      </c>
      <c r="AV134" s="14" t="s">
        <v>276</v>
      </c>
      <c r="AW134" s="8" t="s">
        <v>276</v>
      </c>
      <c r="AX134" s="8" t="s">
        <v>282</v>
      </c>
      <c r="AY134" s="8" t="s">
        <v>276</v>
      </c>
      <c r="AZ134" s="8" t="s">
        <v>276</v>
      </c>
      <c r="BA134" s="8" t="s">
        <v>276</v>
      </c>
      <c r="BB134" s="8" t="s">
        <v>276</v>
      </c>
      <c r="BC134" s="9" t="s">
        <v>1214</v>
      </c>
      <c r="BD134" s="9" t="s">
        <v>1205</v>
      </c>
      <c r="BE134" s="9" t="s">
        <v>100</v>
      </c>
      <c r="BF134" s="33" t="s">
        <v>98</v>
      </c>
    </row>
    <row r="135" spans="1:58" s="7" customFormat="1" ht="91" x14ac:dyDescent="0.3">
      <c r="A135" s="8">
        <v>2704</v>
      </c>
      <c r="B135" s="8" t="s">
        <v>1202</v>
      </c>
      <c r="C135" s="8" t="s">
        <v>86</v>
      </c>
      <c r="D135" s="9" t="s">
        <v>1274</v>
      </c>
      <c r="E135" s="8" t="s">
        <v>42</v>
      </c>
      <c r="F135" s="9" t="s">
        <v>148</v>
      </c>
      <c r="G135" s="8" t="s">
        <v>225</v>
      </c>
      <c r="H135" s="8" t="s">
        <v>125</v>
      </c>
      <c r="I135" s="8" t="s">
        <v>114</v>
      </c>
      <c r="J135" s="9" t="s">
        <v>24</v>
      </c>
      <c r="K135" s="10" t="s">
        <v>1203</v>
      </c>
      <c r="L135" s="9" t="s">
        <v>1172</v>
      </c>
      <c r="M135" s="8" t="s">
        <v>14</v>
      </c>
      <c r="N135" s="11" t="s">
        <v>98</v>
      </c>
      <c r="O135" s="12" t="s">
        <v>207</v>
      </c>
      <c r="P135" s="41" t="s">
        <v>276</v>
      </c>
      <c r="Q135" s="9" t="s">
        <v>746</v>
      </c>
      <c r="R135" s="9" t="s">
        <v>276</v>
      </c>
      <c r="S135" s="9" t="s">
        <v>276</v>
      </c>
      <c r="T135" s="51" t="s">
        <v>1231</v>
      </c>
      <c r="U135" s="13">
        <v>50623</v>
      </c>
      <c r="V135" s="38">
        <v>101314</v>
      </c>
      <c r="W135" s="13">
        <v>2172</v>
      </c>
      <c r="X135" s="13">
        <v>4460</v>
      </c>
      <c r="Y135" s="8" t="s">
        <v>276</v>
      </c>
      <c r="Z135" s="8" t="s">
        <v>276</v>
      </c>
      <c r="AA135" s="8" t="s">
        <v>276</v>
      </c>
      <c r="AB135" s="8" t="s">
        <v>276</v>
      </c>
      <c r="AC135" s="9" t="s">
        <v>1275</v>
      </c>
      <c r="AD135" s="9" t="s">
        <v>1176</v>
      </c>
      <c r="AE135" s="8">
        <v>100</v>
      </c>
      <c r="AF135" s="8">
        <v>202</v>
      </c>
      <c r="AG135" s="13">
        <v>50625</v>
      </c>
      <c r="AH135" s="13">
        <v>101314</v>
      </c>
      <c r="AI135" s="38" t="s">
        <v>292</v>
      </c>
      <c r="AJ135" s="43" t="s">
        <v>276</v>
      </c>
      <c r="AK135" s="31">
        <v>0.19753086419753085</v>
      </c>
      <c r="AL135" s="14" t="s">
        <v>276</v>
      </c>
      <c r="AM135" s="14" t="s">
        <v>276</v>
      </c>
      <c r="AN135" s="43" t="s">
        <v>276</v>
      </c>
      <c r="AO135" s="31">
        <v>0.1993801448960657</v>
      </c>
      <c r="AP135" s="14" t="s">
        <v>276</v>
      </c>
      <c r="AQ135" s="14" t="s">
        <v>276</v>
      </c>
      <c r="AR135" s="8" t="s">
        <v>268</v>
      </c>
      <c r="AS135" s="14" t="s">
        <v>276</v>
      </c>
      <c r="AT135" s="14">
        <v>0.99072485026280399</v>
      </c>
      <c r="AU135" s="14" t="s">
        <v>276</v>
      </c>
      <c r="AV135" s="14" t="s">
        <v>276</v>
      </c>
      <c r="AW135" s="8" t="s">
        <v>276</v>
      </c>
      <c r="AX135" s="8" t="s">
        <v>282</v>
      </c>
      <c r="AY135" s="8" t="s">
        <v>276</v>
      </c>
      <c r="AZ135" s="8" t="s">
        <v>276</v>
      </c>
      <c r="BA135" s="8" t="s">
        <v>276</v>
      </c>
      <c r="BB135" s="8" t="s">
        <v>276</v>
      </c>
      <c r="BC135" s="9" t="s">
        <v>1217</v>
      </c>
      <c r="BD135" s="9" t="s">
        <v>1205</v>
      </c>
      <c r="BE135" s="9" t="s">
        <v>100</v>
      </c>
      <c r="BF135" s="33" t="s">
        <v>98</v>
      </c>
    </row>
    <row r="136" spans="1:58" s="7" customFormat="1" ht="91" x14ac:dyDescent="0.3">
      <c r="A136" s="8">
        <v>2704</v>
      </c>
      <c r="B136" s="8" t="s">
        <v>1202</v>
      </c>
      <c r="C136" s="8" t="s">
        <v>86</v>
      </c>
      <c r="D136" s="9" t="s">
        <v>1276</v>
      </c>
      <c r="E136" s="8" t="s">
        <v>42</v>
      </c>
      <c r="F136" s="9" t="s">
        <v>148</v>
      </c>
      <c r="G136" s="8" t="s">
        <v>225</v>
      </c>
      <c r="H136" s="8" t="s">
        <v>125</v>
      </c>
      <c r="I136" s="8" t="s">
        <v>114</v>
      </c>
      <c r="J136" s="9" t="s">
        <v>24</v>
      </c>
      <c r="K136" s="10" t="s">
        <v>1203</v>
      </c>
      <c r="L136" s="9" t="s">
        <v>1172</v>
      </c>
      <c r="M136" s="8" t="s">
        <v>14</v>
      </c>
      <c r="N136" s="11" t="s">
        <v>98</v>
      </c>
      <c r="O136" s="12" t="s">
        <v>207</v>
      </c>
      <c r="P136" s="41" t="s">
        <v>276</v>
      </c>
      <c r="Q136" s="9" t="s">
        <v>752</v>
      </c>
      <c r="R136" s="9" t="s">
        <v>276</v>
      </c>
      <c r="S136" s="9" t="s">
        <v>276</v>
      </c>
      <c r="T136" s="51" t="s">
        <v>1234</v>
      </c>
      <c r="U136" s="13">
        <v>50623</v>
      </c>
      <c r="V136" s="38">
        <v>101314</v>
      </c>
      <c r="W136" s="8" t="s">
        <v>276</v>
      </c>
      <c r="X136" s="8" t="s">
        <v>276</v>
      </c>
      <c r="Y136" s="8" t="s">
        <v>276</v>
      </c>
      <c r="Z136" s="8" t="s">
        <v>276</v>
      </c>
      <c r="AA136" s="8" t="s">
        <v>276</v>
      </c>
      <c r="AB136" s="8" t="s">
        <v>276</v>
      </c>
      <c r="AC136" s="9" t="s">
        <v>1235</v>
      </c>
      <c r="AD136" s="9" t="s">
        <v>1176</v>
      </c>
      <c r="AE136" s="8">
        <v>124</v>
      </c>
      <c r="AF136" s="8">
        <v>247</v>
      </c>
      <c r="AG136" s="13">
        <v>50625</v>
      </c>
      <c r="AH136" s="13">
        <v>101314</v>
      </c>
      <c r="AI136" s="38" t="s">
        <v>292</v>
      </c>
      <c r="AJ136" s="43" t="s">
        <v>276</v>
      </c>
      <c r="AK136" s="31">
        <v>0.24493827160493828</v>
      </c>
      <c r="AL136" s="14" t="s">
        <v>276</v>
      </c>
      <c r="AM136" s="14" t="s">
        <v>276</v>
      </c>
      <c r="AN136" s="43" t="s">
        <v>276</v>
      </c>
      <c r="AO136" s="31">
        <v>0.24379651380855558</v>
      </c>
      <c r="AP136" s="14" t="s">
        <v>276</v>
      </c>
      <c r="AQ136" s="14" t="s">
        <v>276</v>
      </c>
      <c r="AR136" s="8" t="s">
        <v>268</v>
      </c>
      <c r="AS136" s="14" t="s">
        <v>276</v>
      </c>
      <c r="AT136" s="14">
        <v>1.0046832408656972</v>
      </c>
      <c r="AU136" s="14" t="s">
        <v>276</v>
      </c>
      <c r="AV136" s="14" t="s">
        <v>276</v>
      </c>
      <c r="AW136" s="8" t="s">
        <v>276</v>
      </c>
      <c r="AX136" s="8" t="s">
        <v>282</v>
      </c>
      <c r="AY136" s="8" t="s">
        <v>276</v>
      </c>
      <c r="AZ136" s="8" t="s">
        <v>276</v>
      </c>
      <c r="BA136" s="8" t="s">
        <v>276</v>
      </c>
      <c r="BB136" s="8" t="s">
        <v>276</v>
      </c>
      <c r="BC136" s="9" t="s">
        <v>1214</v>
      </c>
      <c r="BD136" s="9" t="s">
        <v>1205</v>
      </c>
      <c r="BE136" s="9" t="s">
        <v>100</v>
      </c>
      <c r="BF136" s="33" t="s">
        <v>98</v>
      </c>
    </row>
    <row r="137" spans="1:58" s="7" customFormat="1" ht="91" x14ac:dyDescent="0.3">
      <c r="A137" s="8">
        <v>2704</v>
      </c>
      <c r="B137" s="8" t="s">
        <v>1202</v>
      </c>
      <c r="C137" s="8" t="s">
        <v>86</v>
      </c>
      <c r="D137" s="9" t="s">
        <v>1277</v>
      </c>
      <c r="E137" s="8" t="s">
        <v>42</v>
      </c>
      <c r="F137" s="9" t="s">
        <v>148</v>
      </c>
      <c r="G137" s="8" t="s">
        <v>225</v>
      </c>
      <c r="H137" s="8" t="s">
        <v>125</v>
      </c>
      <c r="I137" s="8" t="s">
        <v>114</v>
      </c>
      <c r="J137" s="9" t="s">
        <v>24</v>
      </c>
      <c r="K137" s="10" t="s">
        <v>1203</v>
      </c>
      <c r="L137" s="9" t="s">
        <v>1172</v>
      </c>
      <c r="M137" s="8" t="s">
        <v>14</v>
      </c>
      <c r="N137" s="11" t="s">
        <v>98</v>
      </c>
      <c r="O137" s="12" t="s">
        <v>207</v>
      </c>
      <c r="P137" s="41" t="s">
        <v>276</v>
      </c>
      <c r="Q137" s="9" t="s">
        <v>766</v>
      </c>
      <c r="R137" s="9" t="s">
        <v>276</v>
      </c>
      <c r="S137" s="9" t="s">
        <v>276</v>
      </c>
      <c r="T137" s="51" t="s">
        <v>1237</v>
      </c>
      <c r="U137" s="13">
        <v>50623</v>
      </c>
      <c r="V137" s="38">
        <v>101314</v>
      </c>
      <c r="W137" s="13">
        <v>3424</v>
      </c>
      <c r="X137" s="13">
        <v>7063</v>
      </c>
      <c r="Y137" s="8" t="s">
        <v>276</v>
      </c>
      <c r="Z137" s="8" t="s">
        <v>276</v>
      </c>
      <c r="AA137" s="8" t="s">
        <v>276</v>
      </c>
      <c r="AB137" s="8" t="s">
        <v>276</v>
      </c>
      <c r="AC137" s="9" t="s">
        <v>1239</v>
      </c>
      <c r="AD137" s="9" t="s">
        <v>1176</v>
      </c>
      <c r="AE137" s="8">
        <v>148</v>
      </c>
      <c r="AF137" s="8">
        <v>302</v>
      </c>
      <c r="AG137" s="13">
        <v>50625</v>
      </c>
      <c r="AH137" s="13">
        <v>101314</v>
      </c>
      <c r="AI137" s="38" t="s">
        <v>292</v>
      </c>
      <c r="AJ137" s="43" t="s">
        <v>276</v>
      </c>
      <c r="AK137" s="31">
        <v>0.2923456790123457</v>
      </c>
      <c r="AL137" s="14" t="s">
        <v>276</v>
      </c>
      <c r="AM137" s="14" t="s">
        <v>276</v>
      </c>
      <c r="AN137" s="43" t="s">
        <v>276</v>
      </c>
      <c r="AO137" s="31">
        <v>0.29808318692382102</v>
      </c>
      <c r="AP137" s="14" t="s">
        <v>276</v>
      </c>
      <c r="AQ137" s="14" t="s">
        <v>276</v>
      </c>
      <c r="AR137" s="8" t="s">
        <v>268</v>
      </c>
      <c r="AS137" s="14" t="s">
        <v>276</v>
      </c>
      <c r="AT137" s="14">
        <v>0.98075199084294007</v>
      </c>
      <c r="AU137" s="14" t="s">
        <v>276</v>
      </c>
      <c r="AV137" s="14" t="s">
        <v>276</v>
      </c>
      <c r="AW137" s="8" t="s">
        <v>276</v>
      </c>
      <c r="AX137" s="8" t="s">
        <v>282</v>
      </c>
      <c r="AY137" s="8" t="s">
        <v>276</v>
      </c>
      <c r="AZ137" s="8" t="s">
        <v>276</v>
      </c>
      <c r="BA137" s="8" t="s">
        <v>276</v>
      </c>
      <c r="BB137" s="8" t="s">
        <v>276</v>
      </c>
      <c r="BC137" s="9" t="s">
        <v>1217</v>
      </c>
      <c r="BD137" s="9" t="s">
        <v>1205</v>
      </c>
      <c r="BE137" s="9" t="s">
        <v>100</v>
      </c>
      <c r="BF137" s="33" t="s">
        <v>98</v>
      </c>
    </row>
    <row r="138" spans="1:58" s="7" customFormat="1" ht="91" x14ac:dyDescent="0.3">
      <c r="A138" s="8">
        <v>2704</v>
      </c>
      <c r="B138" s="8" t="s">
        <v>1202</v>
      </c>
      <c r="C138" s="8" t="s">
        <v>86</v>
      </c>
      <c r="D138" s="9" t="s">
        <v>1278</v>
      </c>
      <c r="E138" s="8" t="s">
        <v>42</v>
      </c>
      <c r="F138" s="9" t="s">
        <v>148</v>
      </c>
      <c r="G138" s="8" t="s">
        <v>225</v>
      </c>
      <c r="H138" s="8" t="s">
        <v>125</v>
      </c>
      <c r="I138" s="8" t="s">
        <v>114</v>
      </c>
      <c r="J138" s="9" t="s">
        <v>24</v>
      </c>
      <c r="K138" s="10" t="s">
        <v>1203</v>
      </c>
      <c r="L138" s="9" t="s">
        <v>1172</v>
      </c>
      <c r="M138" s="8" t="s">
        <v>14</v>
      </c>
      <c r="N138" s="11" t="s">
        <v>98</v>
      </c>
      <c r="O138" s="12" t="s">
        <v>207</v>
      </c>
      <c r="P138" s="41" t="s">
        <v>276</v>
      </c>
      <c r="Q138" s="9" t="s">
        <v>770</v>
      </c>
      <c r="R138" s="9" t="s">
        <v>276</v>
      </c>
      <c r="S138" s="9" t="s">
        <v>276</v>
      </c>
      <c r="T138" s="51" t="s">
        <v>1174</v>
      </c>
      <c r="U138" s="13">
        <v>50623</v>
      </c>
      <c r="V138" s="38">
        <v>101314</v>
      </c>
      <c r="W138" s="8" t="s">
        <v>276</v>
      </c>
      <c r="X138" s="8" t="s">
        <v>276</v>
      </c>
      <c r="Y138" s="8" t="s">
        <v>276</v>
      </c>
      <c r="Z138" s="8" t="s">
        <v>276</v>
      </c>
      <c r="AA138" s="8" t="s">
        <v>276</v>
      </c>
      <c r="AB138" s="8" t="s">
        <v>276</v>
      </c>
      <c r="AC138" s="9" t="s">
        <v>1279</v>
      </c>
      <c r="AD138" s="9" t="s">
        <v>1176</v>
      </c>
      <c r="AE138" s="8">
        <v>166</v>
      </c>
      <c r="AF138" s="8">
        <v>347</v>
      </c>
      <c r="AG138" s="13">
        <v>50625</v>
      </c>
      <c r="AH138" s="13">
        <v>101314</v>
      </c>
      <c r="AI138" s="38" t="s">
        <v>292</v>
      </c>
      <c r="AJ138" s="43" t="s">
        <v>276</v>
      </c>
      <c r="AK138" s="31">
        <v>0.32790123456790121</v>
      </c>
      <c r="AL138" s="14" t="s">
        <v>276</v>
      </c>
      <c r="AM138" s="14" t="s">
        <v>276</v>
      </c>
      <c r="AN138" s="43" t="s">
        <v>276</v>
      </c>
      <c r="AO138" s="31">
        <v>0.34249955583631086</v>
      </c>
      <c r="AP138" s="14" t="s">
        <v>276</v>
      </c>
      <c r="AQ138" s="14" t="s">
        <v>276</v>
      </c>
      <c r="AR138" s="8" t="s">
        <v>268</v>
      </c>
      <c r="AS138" s="14" t="s">
        <v>276</v>
      </c>
      <c r="AT138" s="14">
        <v>0.95737710890525485</v>
      </c>
      <c r="AU138" s="14" t="s">
        <v>276</v>
      </c>
      <c r="AV138" s="14" t="s">
        <v>276</v>
      </c>
      <c r="AW138" s="8" t="s">
        <v>276</v>
      </c>
      <c r="AX138" s="8" t="s">
        <v>282</v>
      </c>
      <c r="AY138" s="8" t="s">
        <v>276</v>
      </c>
      <c r="AZ138" s="8" t="s">
        <v>276</v>
      </c>
      <c r="BA138" s="8" t="s">
        <v>276</v>
      </c>
      <c r="BB138" s="8" t="s">
        <v>276</v>
      </c>
      <c r="BC138" s="9" t="s">
        <v>1214</v>
      </c>
      <c r="BD138" s="9" t="s">
        <v>1205</v>
      </c>
      <c r="BE138" s="9" t="s">
        <v>100</v>
      </c>
      <c r="BF138" s="33" t="s">
        <v>98</v>
      </c>
    </row>
    <row r="139" spans="1:58" s="7" customFormat="1" ht="91" x14ac:dyDescent="0.3">
      <c r="A139" s="8">
        <v>2704</v>
      </c>
      <c r="B139" s="8" t="s">
        <v>1202</v>
      </c>
      <c r="C139" s="8" t="s">
        <v>86</v>
      </c>
      <c r="D139" s="9" t="s">
        <v>1280</v>
      </c>
      <c r="E139" s="8" t="s">
        <v>42</v>
      </c>
      <c r="F139" s="9" t="s">
        <v>148</v>
      </c>
      <c r="G139" s="8" t="s">
        <v>225</v>
      </c>
      <c r="H139" s="8" t="s">
        <v>125</v>
      </c>
      <c r="I139" s="8" t="s">
        <v>114</v>
      </c>
      <c r="J139" s="9" t="s">
        <v>24</v>
      </c>
      <c r="K139" s="10" t="s">
        <v>1203</v>
      </c>
      <c r="L139" s="9" t="s">
        <v>1172</v>
      </c>
      <c r="M139" s="8" t="s">
        <v>14</v>
      </c>
      <c r="N139" s="11" t="s">
        <v>98</v>
      </c>
      <c r="O139" s="12" t="s">
        <v>207</v>
      </c>
      <c r="P139" s="41" t="s">
        <v>276</v>
      </c>
      <c r="Q139" s="9" t="s">
        <v>773</v>
      </c>
      <c r="R139" s="9" t="s">
        <v>276</v>
      </c>
      <c r="S139" s="9" t="s">
        <v>276</v>
      </c>
      <c r="T139" s="51" t="s">
        <v>1174</v>
      </c>
      <c r="U139" s="13">
        <v>50623</v>
      </c>
      <c r="V139" s="38">
        <v>101314</v>
      </c>
      <c r="W139" s="13">
        <v>4988</v>
      </c>
      <c r="X139" s="13">
        <v>10484</v>
      </c>
      <c r="Y139" s="8" t="s">
        <v>276</v>
      </c>
      <c r="Z139" s="8" t="s">
        <v>276</v>
      </c>
      <c r="AA139" s="8" t="s">
        <v>276</v>
      </c>
      <c r="AB139" s="8" t="s">
        <v>276</v>
      </c>
      <c r="AC139" s="9" t="s">
        <v>1281</v>
      </c>
      <c r="AD139" s="9" t="s">
        <v>1176</v>
      </c>
      <c r="AE139" s="8">
        <v>178</v>
      </c>
      <c r="AF139" s="8">
        <v>394</v>
      </c>
      <c r="AG139" s="13">
        <v>50625</v>
      </c>
      <c r="AH139" s="13">
        <v>101314</v>
      </c>
      <c r="AI139" s="38" t="s">
        <v>292</v>
      </c>
      <c r="AJ139" s="43" t="s">
        <v>276</v>
      </c>
      <c r="AK139" s="31">
        <v>0.35160493827160494</v>
      </c>
      <c r="AL139" s="14" t="s">
        <v>276</v>
      </c>
      <c r="AM139" s="14" t="s">
        <v>276</v>
      </c>
      <c r="AN139" s="43" t="s">
        <v>276</v>
      </c>
      <c r="AO139" s="31">
        <v>0.38888998558935589</v>
      </c>
      <c r="AP139" s="14" t="s">
        <v>276</v>
      </c>
      <c r="AQ139" s="14" t="s">
        <v>276</v>
      </c>
      <c r="AR139" s="8" t="s">
        <v>268</v>
      </c>
      <c r="AS139" s="14" t="s">
        <v>276</v>
      </c>
      <c r="AT139" s="14">
        <v>0.90412443441749701</v>
      </c>
      <c r="AU139" s="14" t="s">
        <v>276</v>
      </c>
      <c r="AV139" s="14" t="s">
        <v>276</v>
      </c>
      <c r="AW139" s="8" t="s">
        <v>276</v>
      </c>
      <c r="AX139" s="8" t="s">
        <v>282</v>
      </c>
      <c r="AY139" s="8" t="s">
        <v>276</v>
      </c>
      <c r="AZ139" s="8" t="s">
        <v>276</v>
      </c>
      <c r="BA139" s="8" t="s">
        <v>276</v>
      </c>
      <c r="BB139" s="8" t="s">
        <v>276</v>
      </c>
      <c r="BC139" s="9" t="s">
        <v>1217</v>
      </c>
      <c r="BD139" s="9" t="s">
        <v>1205</v>
      </c>
      <c r="BE139" s="9" t="s">
        <v>100</v>
      </c>
      <c r="BF139" s="33" t="s">
        <v>98</v>
      </c>
    </row>
    <row r="140" spans="1:58" s="7" customFormat="1" ht="91" x14ac:dyDescent="0.3">
      <c r="A140" s="8">
        <v>2704</v>
      </c>
      <c r="B140" s="8" t="s">
        <v>1202</v>
      </c>
      <c r="C140" s="8" t="s">
        <v>86</v>
      </c>
      <c r="D140" s="9" t="s">
        <v>1282</v>
      </c>
      <c r="E140" s="8" t="s">
        <v>42</v>
      </c>
      <c r="F140" s="9" t="s">
        <v>148</v>
      </c>
      <c r="G140" s="8" t="s">
        <v>225</v>
      </c>
      <c r="H140" s="8" t="s">
        <v>125</v>
      </c>
      <c r="I140" s="8" t="s">
        <v>114</v>
      </c>
      <c r="J140" s="9" t="s">
        <v>24</v>
      </c>
      <c r="K140" s="10" t="s">
        <v>1203</v>
      </c>
      <c r="L140" s="9" t="s">
        <v>1172</v>
      </c>
      <c r="M140" s="8" t="s">
        <v>14</v>
      </c>
      <c r="N140" s="11" t="s">
        <v>98</v>
      </c>
      <c r="O140" s="12" t="s">
        <v>207</v>
      </c>
      <c r="P140" s="41" t="s">
        <v>276</v>
      </c>
      <c r="Q140" s="9" t="s">
        <v>776</v>
      </c>
      <c r="R140" s="9" t="s">
        <v>276</v>
      </c>
      <c r="S140" s="9" t="s">
        <v>276</v>
      </c>
      <c r="T140" s="51" t="s">
        <v>1174</v>
      </c>
      <c r="U140" s="13">
        <v>50623</v>
      </c>
      <c r="V140" s="38">
        <v>101314</v>
      </c>
      <c r="W140" s="8" t="s">
        <v>276</v>
      </c>
      <c r="X140" s="8" t="s">
        <v>276</v>
      </c>
      <c r="Y140" s="8" t="s">
        <v>276</v>
      </c>
      <c r="Z140" s="8" t="s">
        <v>276</v>
      </c>
      <c r="AA140" s="8" t="s">
        <v>276</v>
      </c>
      <c r="AB140" s="8" t="s">
        <v>276</v>
      </c>
      <c r="AC140" s="9" t="s">
        <v>1283</v>
      </c>
      <c r="AD140" s="9" t="s">
        <v>1176</v>
      </c>
      <c r="AE140" s="8">
        <v>214</v>
      </c>
      <c r="AF140" s="8">
        <v>438</v>
      </c>
      <c r="AG140" s="13">
        <v>50625</v>
      </c>
      <c r="AH140" s="13">
        <v>101314</v>
      </c>
      <c r="AI140" s="38" t="s">
        <v>292</v>
      </c>
      <c r="AJ140" s="43" t="s">
        <v>276</v>
      </c>
      <c r="AK140" s="31">
        <v>0.42271604938271606</v>
      </c>
      <c r="AL140" s="14" t="s">
        <v>276</v>
      </c>
      <c r="AM140" s="14" t="s">
        <v>276</v>
      </c>
      <c r="AN140" s="43" t="s">
        <v>276</v>
      </c>
      <c r="AO140" s="31">
        <v>0.4323193240815682</v>
      </c>
      <c r="AP140" s="14" t="s">
        <v>276</v>
      </c>
      <c r="AQ140" s="14" t="s">
        <v>276</v>
      </c>
      <c r="AR140" s="8" t="s">
        <v>268</v>
      </c>
      <c r="AS140" s="14" t="s">
        <v>276</v>
      </c>
      <c r="AT140" s="14">
        <v>0.97778661705845882</v>
      </c>
      <c r="AU140" s="14" t="s">
        <v>276</v>
      </c>
      <c r="AV140" s="14" t="s">
        <v>276</v>
      </c>
      <c r="AW140" s="8" t="s">
        <v>276</v>
      </c>
      <c r="AX140" s="8" t="s">
        <v>282</v>
      </c>
      <c r="AY140" s="8" t="s">
        <v>276</v>
      </c>
      <c r="AZ140" s="8" t="s">
        <v>276</v>
      </c>
      <c r="BA140" s="8" t="s">
        <v>276</v>
      </c>
      <c r="BB140" s="8" t="s">
        <v>276</v>
      </c>
      <c r="BC140" s="9" t="s">
        <v>1214</v>
      </c>
      <c r="BD140" s="9" t="s">
        <v>1205</v>
      </c>
      <c r="BE140" s="9" t="s">
        <v>100</v>
      </c>
      <c r="BF140" s="33" t="s">
        <v>98</v>
      </c>
    </row>
    <row r="141" spans="1:58" s="7" customFormat="1" ht="91" x14ac:dyDescent="0.3">
      <c r="A141" s="8">
        <v>2704</v>
      </c>
      <c r="B141" s="8" t="s">
        <v>1202</v>
      </c>
      <c r="C141" s="8" t="s">
        <v>86</v>
      </c>
      <c r="D141" s="9" t="s">
        <v>1284</v>
      </c>
      <c r="E141" s="8" t="s">
        <v>42</v>
      </c>
      <c r="F141" s="9" t="s">
        <v>148</v>
      </c>
      <c r="G141" s="8" t="s">
        <v>225</v>
      </c>
      <c r="H141" s="8" t="s">
        <v>125</v>
      </c>
      <c r="I141" s="8" t="s">
        <v>114</v>
      </c>
      <c r="J141" s="9" t="s">
        <v>24</v>
      </c>
      <c r="K141" s="10" t="s">
        <v>1203</v>
      </c>
      <c r="L141" s="9" t="s">
        <v>1172</v>
      </c>
      <c r="M141" s="8" t="s">
        <v>14</v>
      </c>
      <c r="N141" s="11" t="s">
        <v>98</v>
      </c>
      <c r="O141" s="12" t="s">
        <v>207</v>
      </c>
      <c r="P141" s="41" t="s">
        <v>276</v>
      </c>
      <c r="Q141" s="9" t="s">
        <v>779</v>
      </c>
      <c r="R141" s="9" t="s">
        <v>276</v>
      </c>
      <c r="S141" s="9" t="s">
        <v>276</v>
      </c>
      <c r="T141" s="51" t="s">
        <v>1174</v>
      </c>
      <c r="U141" s="13">
        <v>50623</v>
      </c>
      <c r="V141" s="38">
        <v>101314</v>
      </c>
      <c r="W141" s="13">
        <v>6629</v>
      </c>
      <c r="X141" s="13">
        <v>13819</v>
      </c>
      <c r="Y141" s="8" t="s">
        <v>276</v>
      </c>
      <c r="Z141" s="8" t="s">
        <v>276</v>
      </c>
      <c r="AA141" s="8" t="s">
        <v>276</v>
      </c>
      <c r="AB141" s="8" t="s">
        <v>276</v>
      </c>
      <c r="AC141" s="9" t="s">
        <v>1247</v>
      </c>
      <c r="AD141" s="9" t="s">
        <v>1176</v>
      </c>
      <c r="AE141" s="8">
        <v>227</v>
      </c>
      <c r="AF141" s="8">
        <v>480</v>
      </c>
      <c r="AG141" s="13">
        <v>50625</v>
      </c>
      <c r="AH141" s="13">
        <v>101314</v>
      </c>
      <c r="AI141" s="38" t="s">
        <v>292</v>
      </c>
      <c r="AJ141" s="43" t="s">
        <v>276</v>
      </c>
      <c r="AK141" s="31">
        <v>0.44839506172839505</v>
      </c>
      <c r="AL141" s="14" t="s">
        <v>276</v>
      </c>
      <c r="AM141" s="14" t="s">
        <v>276</v>
      </c>
      <c r="AN141" s="43" t="s">
        <v>276</v>
      </c>
      <c r="AO141" s="31">
        <v>0.47377460173322544</v>
      </c>
      <c r="AP141" s="14" t="s">
        <v>276</v>
      </c>
      <c r="AQ141" s="14" t="s">
        <v>276</v>
      </c>
      <c r="AR141" s="8" t="s">
        <v>268</v>
      </c>
      <c r="AS141" s="14" t="s">
        <v>276</v>
      </c>
      <c r="AT141" s="14">
        <v>0.94643119341563775</v>
      </c>
      <c r="AU141" s="14" t="s">
        <v>276</v>
      </c>
      <c r="AV141" s="14" t="s">
        <v>276</v>
      </c>
      <c r="AW141" s="8" t="s">
        <v>276</v>
      </c>
      <c r="AX141" s="8" t="s">
        <v>282</v>
      </c>
      <c r="AY141" s="8" t="s">
        <v>276</v>
      </c>
      <c r="AZ141" s="8" t="s">
        <v>276</v>
      </c>
      <c r="BA141" s="8" t="s">
        <v>276</v>
      </c>
      <c r="BB141" s="8" t="s">
        <v>276</v>
      </c>
      <c r="BC141" s="9" t="s">
        <v>1217</v>
      </c>
      <c r="BD141" s="9" t="s">
        <v>1205</v>
      </c>
      <c r="BE141" s="9" t="s">
        <v>100</v>
      </c>
      <c r="BF141" s="33" t="s">
        <v>98</v>
      </c>
    </row>
    <row r="142" spans="1:58" s="7" customFormat="1" ht="91" x14ac:dyDescent="0.3">
      <c r="A142" s="8">
        <v>2704</v>
      </c>
      <c r="B142" s="8" t="s">
        <v>1202</v>
      </c>
      <c r="C142" s="8" t="s">
        <v>86</v>
      </c>
      <c r="D142" s="9" t="s">
        <v>1285</v>
      </c>
      <c r="E142" s="8" t="s">
        <v>42</v>
      </c>
      <c r="F142" s="9" t="s">
        <v>148</v>
      </c>
      <c r="G142" s="8" t="s">
        <v>225</v>
      </c>
      <c r="H142" s="8" t="s">
        <v>125</v>
      </c>
      <c r="I142" s="8" t="s">
        <v>114</v>
      </c>
      <c r="J142" s="9" t="s">
        <v>24</v>
      </c>
      <c r="K142" s="10" t="s">
        <v>1203</v>
      </c>
      <c r="L142" s="9" t="s">
        <v>1172</v>
      </c>
      <c r="M142" s="8" t="s">
        <v>14</v>
      </c>
      <c r="N142" s="11" t="s">
        <v>98</v>
      </c>
      <c r="O142" s="12" t="s">
        <v>207</v>
      </c>
      <c r="P142" s="41" t="s">
        <v>276</v>
      </c>
      <c r="Q142" s="9" t="s">
        <v>782</v>
      </c>
      <c r="R142" s="9" t="s">
        <v>276</v>
      </c>
      <c r="S142" s="9" t="s">
        <v>276</v>
      </c>
      <c r="T142" s="51" t="s">
        <v>1174</v>
      </c>
      <c r="U142" s="13">
        <v>50623</v>
      </c>
      <c r="V142" s="38">
        <v>101314</v>
      </c>
      <c r="W142" s="8" t="s">
        <v>276</v>
      </c>
      <c r="X142" s="8" t="s">
        <v>276</v>
      </c>
      <c r="Y142" s="8" t="s">
        <v>276</v>
      </c>
      <c r="Z142" s="8" t="s">
        <v>276</v>
      </c>
      <c r="AA142" s="8" t="s">
        <v>276</v>
      </c>
      <c r="AB142" s="8" t="s">
        <v>276</v>
      </c>
      <c r="AC142" s="9" t="s">
        <v>1250</v>
      </c>
      <c r="AD142" s="9" t="s">
        <v>1176</v>
      </c>
      <c r="AE142" s="8">
        <v>253</v>
      </c>
      <c r="AF142" s="8">
        <v>527</v>
      </c>
      <c r="AG142" s="13">
        <v>50625</v>
      </c>
      <c r="AH142" s="13">
        <v>101314</v>
      </c>
      <c r="AI142" s="38" t="s">
        <v>292</v>
      </c>
      <c r="AJ142" s="43" t="s">
        <v>276</v>
      </c>
      <c r="AK142" s="31">
        <v>0.49975308641975308</v>
      </c>
      <c r="AL142" s="14" t="s">
        <v>276</v>
      </c>
      <c r="AM142" s="14" t="s">
        <v>276</v>
      </c>
      <c r="AN142" s="43" t="s">
        <v>276</v>
      </c>
      <c r="AO142" s="31">
        <v>0.52016503148627036</v>
      </c>
      <c r="AP142" s="14" t="s">
        <v>276</v>
      </c>
      <c r="AQ142" s="14" t="s">
        <v>276</v>
      </c>
      <c r="AR142" s="8" t="s">
        <v>268</v>
      </c>
      <c r="AS142" s="14" t="s">
        <v>276</v>
      </c>
      <c r="AT142" s="14">
        <v>0.96075871342563313</v>
      </c>
      <c r="AU142" s="14" t="s">
        <v>276</v>
      </c>
      <c r="AV142" s="14" t="s">
        <v>276</v>
      </c>
      <c r="AW142" s="8" t="s">
        <v>276</v>
      </c>
      <c r="AX142" s="8" t="s">
        <v>282</v>
      </c>
      <c r="AY142" s="8" t="s">
        <v>276</v>
      </c>
      <c r="AZ142" s="8" t="s">
        <v>276</v>
      </c>
      <c r="BA142" s="8" t="s">
        <v>276</v>
      </c>
      <c r="BB142" s="8" t="s">
        <v>276</v>
      </c>
      <c r="BC142" s="9" t="s">
        <v>1214</v>
      </c>
      <c r="BD142" s="9" t="s">
        <v>1205</v>
      </c>
      <c r="BE142" s="9" t="s">
        <v>100</v>
      </c>
      <c r="BF142" s="33" t="s">
        <v>98</v>
      </c>
    </row>
    <row r="143" spans="1:58" s="7" customFormat="1" ht="91" x14ac:dyDescent="0.3">
      <c r="A143" s="8">
        <v>2704</v>
      </c>
      <c r="B143" s="8" t="s">
        <v>1202</v>
      </c>
      <c r="C143" s="8" t="s">
        <v>86</v>
      </c>
      <c r="D143" s="9" t="s">
        <v>1286</v>
      </c>
      <c r="E143" s="8" t="s">
        <v>42</v>
      </c>
      <c r="F143" s="9" t="s">
        <v>148</v>
      </c>
      <c r="G143" s="8" t="s">
        <v>225</v>
      </c>
      <c r="H143" s="8" t="s">
        <v>125</v>
      </c>
      <c r="I143" s="8" t="s">
        <v>114</v>
      </c>
      <c r="J143" s="9" t="s">
        <v>24</v>
      </c>
      <c r="K143" s="10" t="s">
        <v>1203</v>
      </c>
      <c r="L143" s="9" t="s">
        <v>1172</v>
      </c>
      <c r="M143" s="8" t="s">
        <v>14</v>
      </c>
      <c r="N143" s="11" t="s">
        <v>98</v>
      </c>
      <c r="O143" s="12" t="s">
        <v>207</v>
      </c>
      <c r="P143" s="41" t="s">
        <v>276</v>
      </c>
      <c r="Q143" s="9" t="s">
        <v>1252</v>
      </c>
      <c r="R143" s="9" t="s">
        <v>276</v>
      </c>
      <c r="S143" s="9" t="s">
        <v>276</v>
      </c>
      <c r="T143" s="51" t="s">
        <v>1174</v>
      </c>
      <c r="U143" s="13">
        <v>50623</v>
      </c>
      <c r="V143" s="38">
        <v>101314</v>
      </c>
      <c r="W143" s="13">
        <v>21458</v>
      </c>
      <c r="X143" s="13">
        <v>43221</v>
      </c>
      <c r="Y143" s="8" t="s">
        <v>276</v>
      </c>
      <c r="Z143" s="8" t="s">
        <v>276</v>
      </c>
      <c r="AA143" s="8" t="s">
        <v>276</v>
      </c>
      <c r="AB143" s="8" t="s">
        <v>276</v>
      </c>
      <c r="AC143" s="9" t="s">
        <v>1287</v>
      </c>
      <c r="AD143" s="9" t="s">
        <v>1176</v>
      </c>
      <c r="AE143" s="8">
        <v>273</v>
      </c>
      <c r="AF143" s="8">
        <v>577</v>
      </c>
      <c r="AG143" s="13">
        <v>50625</v>
      </c>
      <c r="AH143" s="13">
        <v>101314</v>
      </c>
      <c r="AI143" s="38" t="s">
        <v>292</v>
      </c>
      <c r="AJ143" s="43" t="s">
        <v>276</v>
      </c>
      <c r="AK143" s="31">
        <v>0.53925925925925922</v>
      </c>
      <c r="AL143" s="14" t="s">
        <v>276</v>
      </c>
      <c r="AM143" s="14" t="s">
        <v>276</v>
      </c>
      <c r="AN143" s="43" t="s">
        <v>276</v>
      </c>
      <c r="AO143" s="31">
        <v>0.5695165525001481</v>
      </c>
      <c r="AP143" s="14" t="s">
        <v>276</v>
      </c>
      <c r="AQ143" s="14" t="s">
        <v>276</v>
      </c>
      <c r="AR143" s="8" t="s">
        <v>268</v>
      </c>
      <c r="AS143" s="14" t="s">
        <v>276</v>
      </c>
      <c r="AT143" s="14">
        <v>0.94687196867578138</v>
      </c>
      <c r="AU143" s="14" t="s">
        <v>276</v>
      </c>
      <c r="AV143" s="14" t="s">
        <v>276</v>
      </c>
      <c r="AW143" s="8" t="s">
        <v>276</v>
      </c>
      <c r="AX143" s="8" t="s">
        <v>282</v>
      </c>
      <c r="AY143" s="8" t="s">
        <v>276</v>
      </c>
      <c r="AZ143" s="8" t="s">
        <v>276</v>
      </c>
      <c r="BA143" s="8" t="s">
        <v>276</v>
      </c>
      <c r="BB143" s="8" t="s">
        <v>276</v>
      </c>
      <c r="BC143" s="9" t="s">
        <v>1217</v>
      </c>
      <c r="BD143" s="9" t="s">
        <v>1205</v>
      </c>
      <c r="BE143" s="9" t="s">
        <v>100</v>
      </c>
      <c r="BF143" s="33" t="s">
        <v>98</v>
      </c>
    </row>
    <row r="144" spans="1:58" s="7" customFormat="1" ht="91" x14ac:dyDescent="0.3">
      <c r="A144" s="8">
        <v>2704</v>
      </c>
      <c r="B144" s="8" t="s">
        <v>1202</v>
      </c>
      <c r="C144" s="8" t="s">
        <v>86</v>
      </c>
      <c r="D144" s="9" t="s">
        <v>1288</v>
      </c>
      <c r="E144" s="8" t="s">
        <v>42</v>
      </c>
      <c r="F144" s="9" t="s">
        <v>148</v>
      </c>
      <c r="G144" s="8" t="s">
        <v>225</v>
      </c>
      <c r="H144" s="8" t="s">
        <v>125</v>
      </c>
      <c r="I144" s="8" t="s">
        <v>114</v>
      </c>
      <c r="J144" s="9" t="s">
        <v>24</v>
      </c>
      <c r="K144" s="10" t="s">
        <v>1203</v>
      </c>
      <c r="L144" s="9" t="s">
        <v>1172</v>
      </c>
      <c r="M144" s="8" t="s">
        <v>14</v>
      </c>
      <c r="N144" s="11" t="s">
        <v>98</v>
      </c>
      <c r="O144" s="12" t="s">
        <v>207</v>
      </c>
      <c r="P144" s="41" t="s">
        <v>276</v>
      </c>
      <c r="Q144" s="9" t="s">
        <v>1255</v>
      </c>
      <c r="R144" s="9" t="s">
        <v>276</v>
      </c>
      <c r="S144" s="9" t="s">
        <v>276</v>
      </c>
      <c r="T144" s="51" t="s">
        <v>1174</v>
      </c>
      <c r="U144" s="13">
        <v>50623</v>
      </c>
      <c r="V144" s="38">
        <v>101314</v>
      </c>
      <c r="W144" s="8" t="s">
        <v>276</v>
      </c>
      <c r="X144" s="8" t="s">
        <v>276</v>
      </c>
      <c r="Y144" s="8" t="s">
        <v>276</v>
      </c>
      <c r="Z144" s="8" t="s">
        <v>276</v>
      </c>
      <c r="AA144" s="8" t="s">
        <v>276</v>
      </c>
      <c r="AB144" s="8" t="s">
        <v>276</v>
      </c>
      <c r="AC144" s="9" t="s">
        <v>1289</v>
      </c>
      <c r="AD144" s="9" t="s">
        <v>1176</v>
      </c>
      <c r="AE144" s="8">
        <v>283</v>
      </c>
      <c r="AF144" s="8">
        <v>604</v>
      </c>
      <c r="AG144" s="13">
        <v>50625</v>
      </c>
      <c r="AH144" s="13">
        <v>101314</v>
      </c>
      <c r="AI144" s="38" t="s">
        <v>292</v>
      </c>
      <c r="AJ144" s="43" t="s">
        <v>276</v>
      </c>
      <c r="AK144" s="31">
        <v>0.55901234567901237</v>
      </c>
      <c r="AL144" s="14" t="s">
        <v>276</v>
      </c>
      <c r="AM144" s="14" t="s">
        <v>276</v>
      </c>
      <c r="AN144" s="43" t="s">
        <v>276</v>
      </c>
      <c r="AO144" s="31">
        <v>0.59616637384764204</v>
      </c>
      <c r="AP144" s="14" t="s">
        <v>276</v>
      </c>
      <c r="AQ144" s="14" t="s">
        <v>276</v>
      </c>
      <c r="AR144" s="8" t="s">
        <v>268</v>
      </c>
      <c r="AS144" s="14" t="s">
        <v>276</v>
      </c>
      <c r="AT144" s="14">
        <v>0.93767842367754062</v>
      </c>
      <c r="AU144" s="14" t="s">
        <v>276</v>
      </c>
      <c r="AV144" s="14" t="s">
        <v>276</v>
      </c>
      <c r="AW144" s="8" t="s">
        <v>276</v>
      </c>
      <c r="AX144" s="8" t="s">
        <v>282</v>
      </c>
      <c r="AY144" s="8" t="s">
        <v>276</v>
      </c>
      <c r="AZ144" s="8" t="s">
        <v>276</v>
      </c>
      <c r="BA144" s="8" t="s">
        <v>276</v>
      </c>
      <c r="BB144" s="8" t="s">
        <v>276</v>
      </c>
      <c r="BC144" s="9" t="s">
        <v>1214</v>
      </c>
      <c r="BD144" s="9" t="s">
        <v>1205</v>
      </c>
      <c r="BE144" s="9" t="s">
        <v>100</v>
      </c>
      <c r="BF144" s="33" t="s">
        <v>98</v>
      </c>
    </row>
    <row r="145" spans="1:58" s="7" customFormat="1" ht="91" x14ac:dyDescent="0.3">
      <c r="A145" s="8">
        <v>2704</v>
      </c>
      <c r="B145" s="8" t="s">
        <v>1202</v>
      </c>
      <c r="C145" s="8" t="s">
        <v>86</v>
      </c>
      <c r="D145" s="9" t="s">
        <v>1290</v>
      </c>
      <c r="E145" s="8" t="s">
        <v>42</v>
      </c>
      <c r="F145" s="9" t="s">
        <v>148</v>
      </c>
      <c r="G145" s="8" t="s">
        <v>225</v>
      </c>
      <c r="H145" s="8" t="s">
        <v>125</v>
      </c>
      <c r="I145" s="8" t="s">
        <v>114</v>
      </c>
      <c r="J145" s="9" t="s">
        <v>24</v>
      </c>
      <c r="K145" s="10" t="s">
        <v>1203</v>
      </c>
      <c r="L145" s="9" t="s">
        <v>1172</v>
      </c>
      <c r="M145" s="8" t="s">
        <v>14</v>
      </c>
      <c r="N145" s="11" t="s">
        <v>98</v>
      </c>
      <c r="O145" s="12" t="s">
        <v>207</v>
      </c>
      <c r="P145" s="41" t="s">
        <v>276</v>
      </c>
      <c r="Q145" s="9" t="s">
        <v>1258</v>
      </c>
      <c r="R145" s="9" t="s">
        <v>276</v>
      </c>
      <c r="S145" s="9" t="s">
        <v>276</v>
      </c>
      <c r="T145" s="51" t="s">
        <v>1174</v>
      </c>
      <c r="U145" s="13">
        <v>50623</v>
      </c>
      <c r="V145" s="38">
        <v>101314</v>
      </c>
      <c r="W145" s="13">
        <v>45368</v>
      </c>
      <c r="X145" s="13">
        <v>90981</v>
      </c>
      <c r="Y145" s="8" t="s">
        <v>276</v>
      </c>
      <c r="Z145" s="8" t="s">
        <v>276</v>
      </c>
      <c r="AA145" s="8" t="s">
        <v>276</v>
      </c>
      <c r="AB145" s="8" t="s">
        <v>276</v>
      </c>
      <c r="AC145" s="9" t="s">
        <v>1291</v>
      </c>
      <c r="AD145" s="9" t="s">
        <v>1176</v>
      </c>
      <c r="AE145" s="8">
        <v>289</v>
      </c>
      <c r="AF145" s="8">
        <v>617</v>
      </c>
      <c r="AG145" s="13">
        <v>50625</v>
      </c>
      <c r="AH145" s="13">
        <v>101314</v>
      </c>
      <c r="AI145" s="38" t="s">
        <v>292</v>
      </c>
      <c r="AJ145" s="43" t="s">
        <v>276</v>
      </c>
      <c r="AK145" s="31">
        <v>0.57086419753086415</v>
      </c>
      <c r="AL145" s="14" t="s">
        <v>276</v>
      </c>
      <c r="AM145" s="14" t="s">
        <v>276</v>
      </c>
      <c r="AN145" s="43" t="s">
        <v>276</v>
      </c>
      <c r="AO145" s="31">
        <v>0.60899776931125016</v>
      </c>
      <c r="AP145" s="14" t="s">
        <v>276</v>
      </c>
      <c r="AQ145" s="14" t="s">
        <v>276</v>
      </c>
      <c r="AR145" s="8" t="s">
        <v>268</v>
      </c>
      <c r="AS145" s="14" t="s">
        <v>276</v>
      </c>
      <c r="AT145" s="14">
        <v>0.93738306821137718</v>
      </c>
      <c r="AU145" s="14" t="s">
        <v>276</v>
      </c>
      <c r="AV145" s="14" t="s">
        <v>276</v>
      </c>
      <c r="AW145" s="8" t="s">
        <v>276</v>
      </c>
      <c r="AX145" s="8" t="s">
        <v>282</v>
      </c>
      <c r="AY145" s="8" t="s">
        <v>276</v>
      </c>
      <c r="AZ145" s="8" t="s">
        <v>276</v>
      </c>
      <c r="BA145" s="8" t="s">
        <v>276</v>
      </c>
      <c r="BB145" s="8" t="s">
        <v>276</v>
      </c>
      <c r="BC145" s="9" t="s">
        <v>1217</v>
      </c>
      <c r="BD145" s="9" t="s">
        <v>1205</v>
      </c>
      <c r="BE145" s="9" t="s">
        <v>100</v>
      </c>
      <c r="BF145" s="33" t="s">
        <v>98</v>
      </c>
    </row>
    <row r="146" spans="1:58" s="7" customFormat="1" ht="91" x14ac:dyDescent="0.3">
      <c r="A146" s="8">
        <v>2704</v>
      </c>
      <c r="B146" s="8" t="s">
        <v>1202</v>
      </c>
      <c r="C146" s="8" t="s">
        <v>86</v>
      </c>
      <c r="D146" s="9" t="s">
        <v>1292</v>
      </c>
      <c r="E146" s="8" t="s">
        <v>42</v>
      </c>
      <c r="F146" s="9" t="s">
        <v>148</v>
      </c>
      <c r="G146" s="8" t="s">
        <v>225</v>
      </c>
      <c r="H146" s="8" t="s">
        <v>125</v>
      </c>
      <c r="I146" s="8" t="s">
        <v>114</v>
      </c>
      <c r="J146" s="9" t="s">
        <v>24</v>
      </c>
      <c r="K146" s="10" t="s">
        <v>1203</v>
      </c>
      <c r="L146" s="9" t="s">
        <v>1172</v>
      </c>
      <c r="M146" s="8" t="s">
        <v>14</v>
      </c>
      <c r="N146" s="11" t="s">
        <v>98</v>
      </c>
      <c r="O146" s="12" t="s">
        <v>207</v>
      </c>
      <c r="P146" s="41" t="s">
        <v>276</v>
      </c>
      <c r="Q146" s="9" t="s">
        <v>1261</v>
      </c>
      <c r="R146" s="9" t="s">
        <v>276</v>
      </c>
      <c r="S146" s="9" t="s">
        <v>276</v>
      </c>
      <c r="T146" s="51" t="s">
        <v>1174</v>
      </c>
      <c r="U146" s="13">
        <v>50623</v>
      </c>
      <c r="V146" s="38">
        <v>101314</v>
      </c>
      <c r="W146" s="8" t="s">
        <v>276</v>
      </c>
      <c r="X146" s="8" t="s">
        <v>276</v>
      </c>
      <c r="Y146" s="8" t="s">
        <v>276</v>
      </c>
      <c r="Z146" s="8" t="s">
        <v>276</v>
      </c>
      <c r="AA146" s="8" t="s">
        <v>276</v>
      </c>
      <c r="AB146" s="8" t="s">
        <v>276</v>
      </c>
      <c r="AC146" s="9" t="s">
        <v>1293</v>
      </c>
      <c r="AD146" s="9" t="s">
        <v>1176</v>
      </c>
      <c r="AE146" s="8">
        <v>291</v>
      </c>
      <c r="AF146" s="8">
        <v>619</v>
      </c>
      <c r="AG146" s="13">
        <v>50625</v>
      </c>
      <c r="AH146" s="13">
        <v>101314</v>
      </c>
      <c r="AI146" s="38" t="s">
        <v>292</v>
      </c>
      <c r="AJ146" s="43" t="s">
        <v>276</v>
      </c>
      <c r="AK146" s="31">
        <v>0.57481481481481478</v>
      </c>
      <c r="AL146" s="14" t="s">
        <v>276</v>
      </c>
      <c r="AM146" s="14" t="s">
        <v>276</v>
      </c>
      <c r="AN146" s="43" t="s">
        <v>276</v>
      </c>
      <c r="AO146" s="31">
        <v>0.61097183015180523</v>
      </c>
      <c r="AP146" s="14" t="s">
        <v>276</v>
      </c>
      <c r="AQ146" s="14" t="s">
        <v>276</v>
      </c>
      <c r="AR146" s="8" t="s">
        <v>268</v>
      </c>
      <c r="AS146" s="14" t="s">
        <v>276</v>
      </c>
      <c r="AT146" s="14">
        <v>0.94082048704601207</v>
      </c>
      <c r="AU146" s="14" t="s">
        <v>276</v>
      </c>
      <c r="AV146" s="14" t="s">
        <v>276</v>
      </c>
      <c r="AW146" s="8" t="s">
        <v>276</v>
      </c>
      <c r="AX146" s="8" t="s">
        <v>282</v>
      </c>
      <c r="AY146" s="8" t="s">
        <v>276</v>
      </c>
      <c r="AZ146" s="8" t="s">
        <v>276</v>
      </c>
      <c r="BA146" s="8" t="s">
        <v>276</v>
      </c>
      <c r="BB146" s="8" t="s">
        <v>276</v>
      </c>
      <c r="BC146" s="9" t="s">
        <v>1214</v>
      </c>
      <c r="BD146" s="9" t="s">
        <v>1205</v>
      </c>
      <c r="BE146" s="9" t="s">
        <v>100</v>
      </c>
      <c r="BF146" s="33" t="s">
        <v>98</v>
      </c>
    </row>
    <row r="147" spans="1:58" s="7" customFormat="1" ht="117" x14ac:dyDescent="0.3">
      <c r="A147" s="8">
        <v>1128</v>
      </c>
      <c r="B147" s="8" t="s">
        <v>1405</v>
      </c>
      <c r="C147" s="8" t="s">
        <v>1406</v>
      </c>
      <c r="D147" s="9" t="s">
        <v>1407</v>
      </c>
      <c r="E147" s="8" t="s">
        <v>39</v>
      </c>
      <c r="F147" s="8" t="s">
        <v>262</v>
      </c>
      <c r="G147" s="8" t="s">
        <v>225</v>
      </c>
      <c r="H147" s="8" t="s">
        <v>125</v>
      </c>
      <c r="I147" s="8" t="s">
        <v>114</v>
      </c>
      <c r="J147" s="9" t="s">
        <v>24</v>
      </c>
      <c r="K147" s="9" t="s">
        <v>1408</v>
      </c>
      <c r="L147" s="9" t="s">
        <v>1409</v>
      </c>
      <c r="M147" s="8" t="s">
        <v>14</v>
      </c>
      <c r="N147" s="11" t="s">
        <v>98</v>
      </c>
      <c r="O147" s="12" t="s">
        <v>207</v>
      </c>
      <c r="P147" s="52" t="s">
        <v>1410</v>
      </c>
      <c r="Q147" s="9">
        <v>13</v>
      </c>
      <c r="R147" s="9" t="s">
        <v>1411</v>
      </c>
      <c r="S147" s="9" t="s">
        <v>1411</v>
      </c>
      <c r="T147" s="9">
        <v>4</v>
      </c>
      <c r="U147" s="13">
        <v>77445</v>
      </c>
      <c r="V147" s="38">
        <v>77456</v>
      </c>
      <c r="W147" s="8" t="s">
        <v>276</v>
      </c>
      <c r="X147" s="8" t="s">
        <v>276</v>
      </c>
      <c r="Y147" s="8" t="s">
        <v>276</v>
      </c>
      <c r="Z147" s="8" t="s">
        <v>98</v>
      </c>
      <c r="AA147" s="8" t="s">
        <v>276</v>
      </c>
      <c r="AB147" s="8" t="s">
        <v>98</v>
      </c>
      <c r="AC147" s="9" t="s">
        <v>1412</v>
      </c>
      <c r="AD147" s="9" t="s">
        <v>1413</v>
      </c>
      <c r="AE147" s="8">
        <v>1213</v>
      </c>
      <c r="AF147" s="8">
        <v>1230</v>
      </c>
      <c r="AG147" s="13">
        <v>864227</v>
      </c>
      <c r="AH147" s="13">
        <v>863330</v>
      </c>
      <c r="AI147" s="13">
        <v>10000</v>
      </c>
      <c r="AJ147" s="43">
        <v>14</v>
      </c>
      <c r="AK147" s="31">
        <f>AE147/AG147*AI147</f>
        <v>14.03566424099224</v>
      </c>
      <c r="AL147" s="14" t="s">
        <v>276</v>
      </c>
      <c r="AM147" s="14" t="s">
        <v>276</v>
      </c>
      <c r="AN147" s="43">
        <v>14.2</v>
      </c>
      <c r="AO147" s="31">
        <f>AF147/AH147*AI147</f>
        <v>14.24715925544114</v>
      </c>
      <c r="AP147" s="14" t="s">
        <v>276</v>
      </c>
      <c r="AQ147" s="14" t="s">
        <v>276</v>
      </c>
      <c r="AR147" s="8" t="s">
        <v>269</v>
      </c>
      <c r="AS147" s="14">
        <v>0.99</v>
      </c>
      <c r="AT147" s="14">
        <f>AK147/AO147</f>
        <v>0.9851552852988481</v>
      </c>
      <c r="AU147" s="14" t="s">
        <v>276</v>
      </c>
      <c r="AV147" s="14" t="s">
        <v>276</v>
      </c>
      <c r="AW147" s="8" t="s">
        <v>276</v>
      </c>
      <c r="AX147" s="9" t="s">
        <v>1414</v>
      </c>
      <c r="AY147" s="8" t="s">
        <v>98</v>
      </c>
      <c r="AZ147" s="8">
        <v>0.87</v>
      </c>
      <c r="BA147" s="8">
        <v>1.22</v>
      </c>
      <c r="BB147" s="8">
        <v>0.48</v>
      </c>
      <c r="BC147" s="9" t="s">
        <v>1415</v>
      </c>
      <c r="BD147" s="9"/>
      <c r="BE147" s="9" t="s">
        <v>99</v>
      </c>
      <c r="BF147" s="33" t="s">
        <v>11163</v>
      </c>
    </row>
    <row r="148" spans="1:58" s="7" customFormat="1" ht="78" x14ac:dyDescent="0.3">
      <c r="A148" s="8">
        <v>1128</v>
      </c>
      <c r="B148" s="8" t="s">
        <v>1405</v>
      </c>
      <c r="C148" s="8" t="s">
        <v>1406</v>
      </c>
      <c r="D148" s="9" t="s">
        <v>1416</v>
      </c>
      <c r="E148" s="8" t="s">
        <v>39</v>
      </c>
      <c r="F148" s="8" t="s">
        <v>262</v>
      </c>
      <c r="G148" s="8" t="s">
        <v>225</v>
      </c>
      <c r="H148" s="8" t="s">
        <v>125</v>
      </c>
      <c r="I148" s="8" t="s">
        <v>114</v>
      </c>
      <c r="J148" s="9" t="s">
        <v>24</v>
      </c>
      <c r="K148" s="9" t="s">
        <v>1408</v>
      </c>
      <c r="L148" s="9" t="s">
        <v>1417</v>
      </c>
      <c r="M148" s="8" t="s">
        <v>14</v>
      </c>
      <c r="N148" s="11" t="s">
        <v>98</v>
      </c>
      <c r="O148" s="12" t="s">
        <v>207</v>
      </c>
      <c r="P148" s="52" t="s">
        <v>1410</v>
      </c>
      <c r="Q148" s="9">
        <v>12</v>
      </c>
      <c r="R148" s="9" t="s">
        <v>1418</v>
      </c>
      <c r="S148" s="9" t="s">
        <v>1419</v>
      </c>
      <c r="T148" s="9">
        <v>4</v>
      </c>
      <c r="U148" s="13">
        <v>77445</v>
      </c>
      <c r="V148" s="38">
        <v>77456</v>
      </c>
      <c r="W148" s="8" t="s">
        <v>276</v>
      </c>
      <c r="X148" s="8" t="s">
        <v>276</v>
      </c>
      <c r="Y148" s="8" t="s">
        <v>276</v>
      </c>
      <c r="Z148" s="8" t="s">
        <v>98</v>
      </c>
      <c r="AA148" s="8" t="s">
        <v>276</v>
      </c>
      <c r="AB148" s="8" t="s">
        <v>98</v>
      </c>
      <c r="AC148" s="9" t="s">
        <v>1420</v>
      </c>
      <c r="AD148" s="9" t="s">
        <v>1413</v>
      </c>
      <c r="AE148" s="8">
        <v>1150</v>
      </c>
      <c r="AF148" s="8">
        <v>1162</v>
      </c>
      <c r="AG148" s="13">
        <v>832441</v>
      </c>
      <c r="AH148" s="13">
        <v>831678</v>
      </c>
      <c r="AI148" s="13">
        <v>10000</v>
      </c>
      <c r="AJ148" s="14" t="s">
        <v>276</v>
      </c>
      <c r="AK148" s="31">
        <f t="shared" ref="AK148:AK159" si="21">AE148/AG148*AI148</f>
        <v>13.814792880216137</v>
      </c>
      <c r="AL148" s="14" t="s">
        <v>276</v>
      </c>
      <c r="AM148" s="14" t="s">
        <v>276</v>
      </c>
      <c r="AN148" s="14" t="s">
        <v>276</v>
      </c>
      <c r="AO148" s="31">
        <f t="shared" ref="AO148:AO159" si="22">AF148/AH148*AI148</f>
        <v>13.971753491134791</v>
      </c>
      <c r="AP148" s="14" t="s">
        <v>276</v>
      </c>
      <c r="AQ148" s="14" t="s">
        <v>276</v>
      </c>
      <c r="AR148" s="8" t="s">
        <v>269</v>
      </c>
      <c r="AS148" s="14" t="s">
        <v>276</v>
      </c>
      <c r="AT148" s="14">
        <f t="shared" ref="AT148:AT159" si="23">AK148/AO148</f>
        <v>0.98876586170674663</v>
      </c>
      <c r="AU148" s="14" t="s">
        <v>276</v>
      </c>
      <c r="AV148" s="14" t="s">
        <v>276</v>
      </c>
      <c r="AW148" s="8" t="s">
        <v>276</v>
      </c>
      <c r="AX148" s="8" t="s">
        <v>98</v>
      </c>
      <c r="AY148" s="8" t="s">
        <v>98</v>
      </c>
      <c r="AZ148" s="8" t="s">
        <v>276</v>
      </c>
      <c r="BA148" s="8" t="s">
        <v>276</v>
      </c>
      <c r="BB148" s="8" t="s">
        <v>276</v>
      </c>
      <c r="BC148" s="9" t="s">
        <v>1421</v>
      </c>
      <c r="BD148" s="9"/>
      <c r="BE148" s="9" t="s">
        <v>100</v>
      </c>
      <c r="BF148" s="33" t="s">
        <v>98</v>
      </c>
    </row>
    <row r="149" spans="1:58" s="7" customFormat="1" ht="78" x14ac:dyDescent="0.3">
      <c r="A149" s="8">
        <v>1128</v>
      </c>
      <c r="B149" s="8" t="s">
        <v>1405</v>
      </c>
      <c r="C149" s="8" t="s">
        <v>1406</v>
      </c>
      <c r="D149" s="9" t="s">
        <v>1422</v>
      </c>
      <c r="E149" s="8" t="s">
        <v>39</v>
      </c>
      <c r="F149" s="8" t="s">
        <v>262</v>
      </c>
      <c r="G149" s="8" t="s">
        <v>225</v>
      </c>
      <c r="H149" s="8" t="s">
        <v>125</v>
      </c>
      <c r="I149" s="8" t="s">
        <v>114</v>
      </c>
      <c r="J149" s="9" t="s">
        <v>24</v>
      </c>
      <c r="K149" s="9" t="s">
        <v>1408</v>
      </c>
      <c r="L149" s="9" t="s">
        <v>1423</v>
      </c>
      <c r="M149" s="8" t="s">
        <v>14</v>
      </c>
      <c r="N149" s="11" t="s">
        <v>98</v>
      </c>
      <c r="O149" s="12" t="s">
        <v>207</v>
      </c>
      <c r="P149" s="52" t="s">
        <v>1410</v>
      </c>
      <c r="Q149" s="9">
        <v>11</v>
      </c>
      <c r="R149" s="9" t="s">
        <v>1424</v>
      </c>
      <c r="S149" s="9" t="s">
        <v>1425</v>
      </c>
      <c r="T149" s="9">
        <v>4</v>
      </c>
      <c r="U149" s="13">
        <v>77445</v>
      </c>
      <c r="V149" s="38">
        <v>77456</v>
      </c>
      <c r="W149" s="8" t="s">
        <v>276</v>
      </c>
      <c r="X149" s="8" t="s">
        <v>276</v>
      </c>
      <c r="Y149" s="8" t="s">
        <v>276</v>
      </c>
      <c r="Z149" s="8" t="s">
        <v>98</v>
      </c>
      <c r="AA149" s="8" t="s">
        <v>276</v>
      </c>
      <c r="AB149" s="8" t="s">
        <v>98</v>
      </c>
      <c r="AC149" s="9" t="s">
        <v>1426</v>
      </c>
      <c r="AD149" s="9" t="s">
        <v>1413</v>
      </c>
      <c r="AE149" s="8">
        <v>1070</v>
      </c>
      <c r="AF149" s="8">
        <v>1076</v>
      </c>
      <c r="AG149" s="13">
        <v>789540</v>
      </c>
      <c r="AH149" s="13">
        <v>788854</v>
      </c>
      <c r="AI149" s="13">
        <v>10000</v>
      </c>
      <c r="AJ149" s="14" t="s">
        <v>276</v>
      </c>
      <c r="AK149" s="31">
        <f t="shared" si="21"/>
        <v>13.552194948957622</v>
      </c>
      <c r="AL149" s="14" t="s">
        <v>276</v>
      </c>
      <c r="AM149" s="14" t="s">
        <v>276</v>
      </c>
      <c r="AN149" s="14" t="s">
        <v>276</v>
      </c>
      <c r="AO149" s="31">
        <f t="shared" si="22"/>
        <v>13.640039855283741</v>
      </c>
      <c r="AP149" s="14" t="s">
        <v>276</v>
      </c>
      <c r="AQ149" s="14" t="s">
        <v>276</v>
      </c>
      <c r="AR149" s="8" t="s">
        <v>269</v>
      </c>
      <c r="AS149" s="14" t="s">
        <v>276</v>
      </c>
      <c r="AT149" s="14">
        <f t="shared" si="23"/>
        <v>0.99355977641868176</v>
      </c>
      <c r="AU149" s="14" t="s">
        <v>276</v>
      </c>
      <c r="AV149" s="14" t="s">
        <v>276</v>
      </c>
      <c r="AW149" s="8" t="s">
        <v>276</v>
      </c>
      <c r="AX149" s="8" t="s">
        <v>98</v>
      </c>
      <c r="AY149" s="8" t="s">
        <v>98</v>
      </c>
      <c r="AZ149" s="8" t="s">
        <v>276</v>
      </c>
      <c r="BA149" s="8" t="s">
        <v>276</v>
      </c>
      <c r="BB149" s="8" t="s">
        <v>276</v>
      </c>
      <c r="BC149" s="9" t="s">
        <v>1421</v>
      </c>
      <c r="BD149" s="9"/>
      <c r="BE149" s="9" t="s">
        <v>100</v>
      </c>
      <c r="BF149" s="33" t="s">
        <v>98</v>
      </c>
    </row>
    <row r="150" spans="1:58" s="7" customFormat="1" ht="78" x14ac:dyDescent="0.3">
      <c r="A150" s="8">
        <v>1128</v>
      </c>
      <c r="B150" s="8" t="s">
        <v>1405</v>
      </c>
      <c r="C150" s="8" t="s">
        <v>1406</v>
      </c>
      <c r="D150" s="9" t="s">
        <v>1427</v>
      </c>
      <c r="E150" s="8" t="s">
        <v>39</v>
      </c>
      <c r="F150" s="8" t="s">
        <v>262</v>
      </c>
      <c r="G150" s="8" t="s">
        <v>225</v>
      </c>
      <c r="H150" s="8" t="s">
        <v>125</v>
      </c>
      <c r="I150" s="8" t="s">
        <v>114</v>
      </c>
      <c r="J150" s="9" t="s">
        <v>24</v>
      </c>
      <c r="K150" s="9" t="s">
        <v>1408</v>
      </c>
      <c r="L150" s="9" t="s">
        <v>1428</v>
      </c>
      <c r="M150" s="8" t="s">
        <v>14</v>
      </c>
      <c r="N150" s="11" t="s">
        <v>98</v>
      </c>
      <c r="O150" s="12" t="s">
        <v>207</v>
      </c>
      <c r="P150" s="52" t="s">
        <v>1410</v>
      </c>
      <c r="Q150" s="9">
        <v>10</v>
      </c>
      <c r="R150" s="9" t="s">
        <v>1429</v>
      </c>
      <c r="S150" s="9" t="s">
        <v>1430</v>
      </c>
      <c r="T150" s="9">
        <v>4</v>
      </c>
      <c r="U150" s="13">
        <v>77445</v>
      </c>
      <c r="V150" s="38">
        <v>77456</v>
      </c>
      <c r="W150" s="8" t="s">
        <v>276</v>
      </c>
      <c r="X150" s="8" t="s">
        <v>276</v>
      </c>
      <c r="Y150" s="8" t="s">
        <v>276</v>
      </c>
      <c r="Z150" s="8" t="s">
        <v>98</v>
      </c>
      <c r="AA150" s="8" t="s">
        <v>276</v>
      </c>
      <c r="AB150" s="8" t="s">
        <v>98</v>
      </c>
      <c r="AC150" s="9" t="s">
        <v>1431</v>
      </c>
      <c r="AD150" s="9" t="s">
        <v>1413</v>
      </c>
      <c r="AE150" s="8">
        <v>937</v>
      </c>
      <c r="AF150" s="8">
        <v>987</v>
      </c>
      <c r="AG150" s="13">
        <v>735098</v>
      </c>
      <c r="AH150" s="13">
        <v>734523</v>
      </c>
      <c r="AI150" s="13">
        <v>10000</v>
      </c>
      <c r="AJ150" s="14" t="s">
        <v>276</v>
      </c>
      <c r="AK150" s="31">
        <f t="shared" si="21"/>
        <v>12.746599773091479</v>
      </c>
      <c r="AL150" s="14" t="s">
        <v>276</v>
      </c>
      <c r="AM150" s="14" t="s">
        <v>276</v>
      </c>
      <c r="AN150" s="14" t="s">
        <v>276</v>
      </c>
      <c r="AO150" s="31">
        <f t="shared" si="22"/>
        <v>13.437291956820957</v>
      </c>
      <c r="AP150" s="14" t="s">
        <v>276</v>
      </c>
      <c r="AQ150" s="14" t="s">
        <v>276</v>
      </c>
      <c r="AR150" s="8" t="s">
        <v>269</v>
      </c>
      <c r="AS150" s="14" t="s">
        <v>276</v>
      </c>
      <c r="AT150" s="14">
        <f t="shared" si="23"/>
        <v>0.9485988556363194</v>
      </c>
      <c r="AU150" s="14" t="s">
        <v>276</v>
      </c>
      <c r="AV150" s="14" t="s">
        <v>276</v>
      </c>
      <c r="AW150" s="8" t="s">
        <v>276</v>
      </c>
      <c r="AX150" s="8" t="s">
        <v>98</v>
      </c>
      <c r="AY150" s="8" t="s">
        <v>98</v>
      </c>
      <c r="AZ150" s="8" t="s">
        <v>276</v>
      </c>
      <c r="BA150" s="8" t="s">
        <v>276</v>
      </c>
      <c r="BB150" s="8" t="s">
        <v>276</v>
      </c>
      <c r="BC150" s="9" t="s">
        <v>1421</v>
      </c>
      <c r="BD150" s="9"/>
      <c r="BE150" s="9" t="s">
        <v>100</v>
      </c>
      <c r="BF150" s="33" t="s">
        <v>98</v>
      </c>
    </row>
    <row r="151" spans="1:58" s="7" customFormat="1" ht="78" x14ac:dyDescent="0.3">
      <c r="A151" s="8">
        <v>1128</v>
      </c>
      <c r="B151" s="8" t="s">
        <v>1405</v>
      </c>
      <c r="C151" s="8" t="s">
        <v>1406</v>
      </c>
      <c r="D151" s="9" t="s">
        <v>1432</v>
      </c>
      <c r="E151" s="8" t="s">
        <v>39</v>
      </c>
      <c r="F151" s="8" t="s">
        <v>262</v>
      </c>
      <c r="G151" s="8" t="s">
        <v>225</v>
      </c>
      <c r="H151" s="8" t="s">
        <v>125</v>
      </c>
      <c r="I151" s="8" t="s">
        <v>114</v>
      </c>
      <c r="J151" s="9" t="s">
        <v>24</v>
      </c>
      <c r="K151" s="9" t="s">
        <v>1408</v>
      </c>
      <c r="L151" s="9" t="s">
        <v>1433</v>
      </c>
      <c r="M151" s="8" t="s">
        <v>14</v>
      </c>
      <c r="N151" s="11" t="s">
        <v>98</v>
      </c>
      <c r="O151" s="12" t="s">
        <v>207</v>
      </c>
      <c r="P151" s="52" t="s">
        <v>1410</v>
      </c>
      <c r="Q151" s="9">
        <v>9</v>
      </c>
      <c r="R151" s="9" t="s">
        <v>1434</v>
      </c>
      <c r="S151" s="9" t="s">
        <v>1435</v>
      </c>
      <c r="T151" s="9">
        <v>4</v>
      </c>
      <c r="U151" s="13">
        <v>77445</v>
      </c>
      <c r="V151" s="38">
        <v>77456</v>
      </c>
      <c r="W151" s="8" t="s">
        <v>276</v>
      </c>
      <c r="X151" s="8" t="s">
        <v>276</v>
      </c>
      <c r="Y151" s="8" t="s">
        <v>276</v>
      </c>
      <c r="Z151" s="8" t="s">
        <v>98</v>
      </c>
      <c r="AA151" s="8" t="s">
        <v>276</v>
      </c>
      <c r="AB151" s="8" t="s">
        <v>98</v>
      </c>
      <c r="AC151" s="9" t="s">
        <v>1436</v>
      </c>
      <c r="AD151" s="9" t="s">
        <v>1413</v>
      </c>
      <c r="AE151" s="8">
        <v>838</v>
      </c>
      <c r="AF151" s="8">
        <v>884</v>
      </c>
      <c r="AG151" s="13">
        <v>670274</v>
      </c>
      <c r="AH151" s="13">
        <v>669955</v>
      </c>
      <c r="AI151" s="13">
        <v>10000</v>
      </c>
      <c r="AJ151" s="14" t="s">
        <v>276</v>
      </c>
      <c r="AK151" s="31">
        <f t="shared" si="21"/>
        <v>12.502349785311678</v>
      </c>
      <c r="AL151" s="14" t="s">
        <v>276</v>
      </c>
      <c r="AM151" s="14" t="s">
        <v>276</v>
      </c>
      <c r="AN151" s="14" t="s">
        <v>276</v>
      </c>
      <c r="AO151" s="31">
        <f t="shared" si="22"/>
        <v>13.194916076452897</v>
      </c>
      <c r="AP151" s="14" t="s">
        <v>276</v>
      </c>
      <c r="AQ151" s="14" t="s">
        <v>276</v>
      </c>
      <c r="AR151" s="8" t="s">
        <v>269</v>
      </c>
      <c r="AS151" s="14" t="s">
        <v>276</v>
      </c>
      <c r="AT151" s="14">
        <f t="shared" si="23"/>
        <v>0.94751264145005487</v>
      </c>
      <c r="AU151" s="14" t="s">
        <v>276</v>
      </c>
      <c r="AV151" s="14" t="s">
        <v>276</v>
      </c>
      <c r="AW151" s="8" t="s">
        <v>276</v>
      </c>
      <c r="AX151" s="8" t="s">
        <v>98</v>
      </c>
      <c r="AY151" s="8" t="s">
        <v>98</v>
      </c>
      <c r="AZ151" s="8" t="s">
        <v>276</v>
      </c>
      <c r="BA151" s="8" t="s">
        <v>276</v>
      </c>
      <c r="BB151" s="8" t="s">
        <v>276</v>
      </c>
      <c r="BC151" s="9" t="s">
        <v>1421</v>
      </c>
      <c r="BD151" s="9"/>
      <c r="BE151" s="9" t="s">
        <v>100</v>
      </c>
      <c r="BF151" s="33" t="s">
        <v>98</v>
      </c>
    </row>
    <row r="152" spans="1:58" s="7" customFormat="1" ht="78" x14ac:dyDescent="0.3">
      <c r="A152" s="8">
        <v>1128</v>
      </c>
      <c r="B152" s="8" t="s">
        <v>1405</v>
      </c>
      <c r="C152" s="8" t="s">
        <v>1406</v>
      </c>
      <c r="D152" s="9" t="s">
        <v>1437</v>
      </c>
      <c r="E152" s="8" t="s">
        <v>39</v>
      </c>
      <c r="F152" s="8" t="s">
        <v>262</v>
      </c>
      <c r="G152" s="8" t="s">
        <v>225</v>
      </c>
      <c r="H152" s="8" t="s">
        <v>125</v>
      </c>
      <c r="I152" s="8" t="s">
        <v>114</v>
      </c>
      <c r="J152" s="9" t="s">
        <v>24</v>
      </c>
      <c r="K152" s="9" t="s">
        <v>1408</v>
      </c>
      <c r="L152" s="9" t="s">
        <v>1438</v>
      </c>
      <c r="M152" s="8" t="s">
        <v>14</v>
      </c>
      <c r="N152" s="11" t="s">
        <v>98</v>
      </c>
      <c r="O152" s="12" t="s">
        <v>207</v>
      </c>
      <c r="P152" s="52" t="s">
        <v>1410</v>
      </c>
      <c r="Q152" s="9">
        <v>8</v>
      </c>
      <c r="R152" s="9" t="s">
        <v>1439</v>
      </c>
      <c r="S152" s="9" t="s">
        <v>1440</v>
      </c>
      <c r="T152" s="9">
        <v>4</v>
      </c>
      <c r="U152" s="13">
        <v>77445</v>
      </c>
      <c r="V152" s="38">
        <v>77456</v>
      </c>
      <c r="W152" s="8" t="s">
        <v>276</v>
      </c>
      <c r="X152" s="8" t="s">
        <v>276</v>
      </c>
      <c r="Y152" s="8" t="s">
        <v>276</v>
      </c>
      <c r="Z152" s="8" t="s">
        <v>98</v>
      </c>
      <c r="AA152" s="8" t="s">
        <v>276</v>
      </c>
      <c r="AB152" s="8" t="s">
        <v>98</v>
      </c>
      <c r="AC152" s="9" t="s">
        <v>1441</v>
      </c>
      <c r="AD152" s="9" t="s">
        <v>1413</v>
      </c>
      <c r="AE152" s="8">
        <v>711</v>
      </c>
      <c r="AF152" s="8">
        <v>761</v>
      </c>
      <c r="AG152" s="13">
        <v>600004</v>
      </c>
      <c r="AH152" s="13">
        <v>599790</v>
      </c>
      <c r="AI152" s="13">
        <v>10000</v>
      </c>
      <c r="AJ152" s="14" t="s">
        <v>276</v>
      </c>
      <c r="AK152" s="31">
        <f t="shared" si="21"/>
        <v>11.849921000526663</v>
      </c>
      <c r="AL152" s="14" t="s">
        <v>276</v>
      </c>
      <c r="AM152" s="14" t="s">
        <v>276</v>
      </c>
      <c r="AN152" s="14" t="s">
        <v>276</v>
      </c>
      <c r="AO152" s="31">
        <f t="shared" si="22"/>
        <v>12.687774054252323</v>
      </c>
      <c r="AP152" s="14" t="s">
        <v>276</v>
      </c>
      <c r="AQ152" s="14" t="s">
        <v>276</v>
      </c>
      <c r="AR152" s="8" t="s">
        <v>269</v>
      </c>
      <c r="AS152" s="14" t="s">
        <v>276</v>
      </c>
      <c r="AT152" s="14">
        <f t="shared" si="23"/>
        <v>0.93396374729380904</v>
      </c>
      <c r="AU152" s="14" t="s">
        <v>276</v>
      </c>
      <c r="AV152" s="14" t="s">
        <v>276</v>
      </c>
      <c r="AW152" s="8" t="s">
        <v>276</v>
      </c>
      <c r="AX152" s="8" t="s">
        <v>98</v>
      </c>
      <c r="AY152" s="8" t="s">
        <v>98</v>
      </c>
      <c r="AZ152" s="8" t="s">
        <v>276</v>
      </c>
      <c r="BA152" s="8" t="s">
        <v>276</v>
      </c>
      <c r="BB152" s="8" t="s">
        <v>276</v>
      </c>
      <c r="BC152" s="9" t="s">
        <v>1421</v>
      </c>
      <c r="BD152" s="9"/>
      <c r="BE152" s="9" t="s">
        <v>100</v>
      </c>
      <c r="BF152" s="33" t="s">
        <v>98</v>
      </c>
    </row>
    <row r="153" spans="1:58" s="7" customFormat="1" ht="78" x14ac:dyDescent="0.3">
      <c r="A153" s="8">
        <v>1128</v>
      </c>
      <c r="B153" s="8" t="s">
        <v>1405</v>
      </c>
      <c r="C153" s="8" t="s">
        <v>1406</v>
      </c>
      <c r="D153" s="9" t="s">
        <v>1442</v>
      </c>
      <c r="E153" s="8" t="s">
        <v>39</v>
      </c>
      <c r="F153" s="8" t="s">
        <v>262</v>
      </c>
      <c r="G153" s="8" t="s">
        <v>225</v>
      </c>
      <c r="H153" s="8" t="s">
        <v>125</v>
      </c>
      <c r="I153" s="8" t="s">
        <v>114</v>
      </c>
      <c r="J153" s="9" t="s">
        <v>24</v>
      </c>
      <c r="K153" s="9" t="s">
        <v>1408</v>
      </c>
      <c r="L153" s="9" t="s">
        <v>1443</v>
      </c>
      <c r="M153" s="8" t="s">
        <v>14</v>
      </c>
      <c r="N153" s="11" t="s">
        <v>98</v>
      </c>
      <c r="O153" s="12" t="s">
        <v>207</v>
      </c>
      <c r="P153" s="52" t="s">
        <v>98</v>
      </c>
      <c r="Q153" s="9">
        <v>7</v>
      </c>
      <c r="R153" s="9" t="s">
        <v>1444</v>
      </c>
      <c r="S153" s="9" t="s">
        <v>1445</v>
      </c>
      <c r="T153" s="9">
        <v>4</v>
      </c>
      <c r="U153" s="13">
        <v>77445</v>
      </c>
      <c r="V153" s="38">
        <v>77456</v>
      </c>
      <c r="W153" s="8" t="s">
        <v>276</v>
      </c>
      <c r="X153" s="8" t="s">
        <v>276</v>
      </c>
      <c r="Y153" s="8" t="s">
        <v>276</v>
      </c>
      <c r="Z153" s="8" t="s">
        <v>98</v>
      </c>
      <c r="AA153" s="8" t="s">
        <v>276</v>
      </c>
      <c r="AB153" s="8" t="s">
        <v>98</v>
      </c>
      <c r="AC153" s="9" t="s">
        <v>1446</v>
      </c>
      <c r="AD153" s="9" t="s">
        <v>1413</v>
      </c>
      <c r="AE153" s="8">
        <v>582</v>
      </c>
      <c r="AF153" s="8">
        <v>639</v>
      </c>
      <c r="AG153" s="13">
        <v>527937</v>
      </c>
      <c r="AH153" s="13">
        <v>527804</v>
      </c>
      <c r="AI153" s="13">
        <v>10000</v>
      </c>
      <c r="AJ153" s="14" t="s">
        <v>276</v>
      </c>
      <c r="AK153" s="31">
        <f t="shared" si="21"/>
        <v>11.024042641451537</v>
      </c>
      <c r="AL153" s="14" t="s">
        <v>276</v>
      </c>
      <c r="AM153" s="14" t="s">
        <v>276</v>
      </c>
      <c r="AN153" s="14" t="s">
        <v>276</v>
      </c>
      <c r="AO153" s="31">
        <f t="shared" si="22"/>
        <v>12.106766905896887</v>
      </c>
      <c r="AP153" s="14" t="s">
        <v>276</v>
      </c>
      <c r="AQ153" s="14" t="s">
        <v>276</v>
      </c>
      <c r="AR153" s="8" t="s">
        <v>269</v>
      </c>
      <c r="AS153" s="14" t="s">
        <v>276</v>
      </c>
      <c r="AT153" s="14">
        <f t="shared" si="23"/>
        <v>0.91056867016098386</v>
      </c>
      <c r="AU153" s="14" t="s">
        <v>276</v>
      </c>
      <c r="AV153" s="14" t="s">
        <v>276</v>
      </c>
      <c r="AW153" s="8" t="s">
        <v>276</v>
      </c>
      <c r="AX153" s="8" t="s">
        <v>98</v>
      </c>
      <c r="AY153" s="8" t="s">
        <v>98</v>
      </c>
      <c r="AZ153" s="8" t="s">
        <v>276</v>
      </c>
      <c r="BA153" s="8" t="s">
        <v>276</v>
      </c>
      <c r="BB153" s="8" t="s">
        <v>276</v>
      </c>
      <c r="BC153" s="9" t="s">
        <v>1421</v>
      </c>
      <c r="BD153" s="9"/>
      <c r="BE153" s="9" t="s">
        <v>100</v>
      </c>
      <c r="BF153" s="33" t="s">
        <v>98</v>
      </c>
    </row>
    <row r="154" spans="1:58" s="7" customFormat="1" ht="78" x14ac:dyDescent="0.3">
      <c r="A154" s="8">
        <v>1128</v>
      </c>
      <c r="B154" s="8" t="s">
        <v>1405</v>
      </c>
      <c r="C154" s="8" t="s">
        <v>1406</v>
      </c>
      <c r="D154" s="9" t="s">
        <v>1447</v>
      </c>
      <c r="E154" s="8" t="s">
        <v>39</v>
      </c>
      <c r="F154" s="8" t="s">
        <v>262</v>
      </c>
      <c r="G154" s="8" t="s">
        <v>225</v>
      </c>
      <c r="H154" s="8" t="s">
        <v>125</v>
      </c>
      <c r="I154" s="8" t="s">
        <v>114</v>
      </c>
      <c r="J154" s="9" t="s">
        <v>24</v>
      </c>
      <c r="K154" s="9" t="s">
        <v>1408</v>
      </c>
      <c r="L154" s="9" t="s">
        <v>1448</v>
      </c>
      <c r="M154" s="8" t="s">
        <v>14</v>
      </c>
      <c r="N154" s="11" t="s">
        <v>98</v>
      </c>
      <c r="O154" s="12" t="s">
        <v>207</v>
      </c>
      <c r="P154" s="52" t="s">
        <v>98</v>
      </c>
      <c r="Q154" s="9">
        <v>6</v>
      </c>
      <c r="R154" s="9" t="s">
        <v>1449</v>
      </c>
      <c r="S154" s="9" t="s">
        <v>1450</v>
      </c>
      <c r="T154" s="9">
        <v>4</v>
      </c>
      <c r="U154" s="13">
        <v>77445</v>
      </c>
      <c r="V154" s="38">
        <v>77456</v>
      </c>
      <c r="W154" s="8" t="s">
        <v>276</v>
      </c>
      <c r="X154" s="8" t="s">
        <v>276</v>
      </c>
      <c r="Y154" s="8" t="s">
        <v>276</v>
      </c>
      <c r="Z154" s="8" t="s">
        <v>98</v>
      </c>
      <c r="AA154" s="8" t="s">
        <v>276</v>
      </c>
      <c r="AB154" s="8" t="s">
        <v>98</v>
      </c>
      <c r="AC154" s="9" t="s">
        <v>1451</v>
      </c>
      <c r="AD154" s="9" t="s">
        <v>1413</v>
      </c>
      <c r="AE154" s="8">
        <v>480</v>
      </c>
      <c r="AF154" s="8">
        <v>527</v>
      </c>
      <c r="AG154" s="13">
        <v>454773</v>
      </c>
      <c r="AH154" s="13">
        <v>454719</v>
      </c>
      <c r="AI154" s="13">
        <v>10000</v>
      </c>
      <c r="AJ154" s="14" t="s">
        <v>276</v>
      </c>
      <c r="AK154" s="31">
        <f t="shared" si="21"/>
        <v>10.554716309015706</v>
      </c>
      <c r="AL154" s="14" t="s">
        <v>276</v>
      </c>
      <c r="AM154" s="14" t="s">
        <v>276</v>
      </c>
      <c r="AN154" s="14" t="s">
        <v>276</v>
      </c>
      <c r="AO154" s="31">
        <f t="shared" si="22"/>
        <v>11.589575100226734</v>
      </c>
      <c r="AP154" s="14" t="s">
        <v>276</v>
      </c>
      <c r="AQ154" s="14" t="s">
        <v>276</v>
      </c>
      <c r="AR154" s="8" t="s">
        <v>269</v>
      </c>
      <c r="AS154" s="14" t="s">
        <v>276</v>
      </c>
      <c r="AT154" s="14">
        <f t="shared" si="23"/>
        <v>0.91070778848563816</v>
      </c>
      <c r="AU154" s="14" t="s">
        <v>276</v>
      </c>
      <c r="AV154" s="14" t="s">
        <v>276</v>
      </c>
      <c r="AW154" s="8" t="s">
        <v>276</v>
      </c>
      <c r="AX154" s="8" t="s">
        <v>98</v>
      </c>
      <c r="AY154" s="8" t="s">
        <v>98</v>
      </c>
      <c r="AZ154" s="8" t="s">
        <v>276</v>
      </c>
      <c r="BA154" s="8" t="s">
        <v>276</v>
      </c>
      <c r="BB154" s="8" t="s">
        <v>276</v>
      </c>
      <c r="BC154" s="9" t="s">
        <v>1421</v>
      </c>
      <c r="BD154" s="9"/>
      <c r="BE154" s="9" t="s">
        <v>100</v>
      </c>
      <c r="BF154" s="33" t="s">
        <v>98</v>
      </c>
    </row>
    <row r="155" spans="1:58" s="7" customFormat="1" ht="78" x14ac:dyDescent="0.3">
      <c r="A155" s="8">
        <v>1128</v>
      </c>
      <c r="B155" s="8" t="s">
        <v>1405</v>
      </c>
      <c r="C155" s="8" t="s">
        <v>1406</v>
      </c>
      <c r="D155" s="9" t="s">
        <v>1452</v>
      </c>
      <c r="E155" s="8" t="s">
        <v>39</v>
      </c>
      <c r="F155" s="8" t="s">
        <v>262</v>
      </c>
      <c r="G155" s="8" t="s">
        <v>225</v>
      </c>
      <c r="H155" s="8" t="s">
        <v>125</v>
      </c>
      <c r="I155" s="8" t="s">
        <v>114</v>
      </c>
      <c r="J155" s="9" t="s">
        <v>24</v>
      </c>
      <c r="K155" s="9" t="s">
        <v>1408</v>
      </c>
      <c r="L155" s="9" t="s">
        <v>1453</v>
      </c>
      <c r="M155" s="8" t="s">
        <v>14</v>
      </c>
      <c r="N155" s="11" t="s">
        <v>98</v>
      </c>
      <c r="O155" s="12" t="s">
        <v>207</v>
      </c>
      <c r="P155" s="52" t="s">
        <v>98</v>
      </c>
      <c r="Q155" s="9">
        <v>5</v>
      </c>
      <c r="R155" s="9" t="s">
        <v>1454</v>
      </c>
      <c r="S155" s="9" t="s">
        <v>1455</v>
      </c>
      <c r="T155" s="9">
        <v>4</v>
      </c>
      <c r="U155" s="13">
        <v>77445</v>
      </c>
      <c r="V155" s="38">
        <v>77456</v>
      </c>
      <c r="W155" s="8" t="s">
        <v>276</v>
      </c>
      <c r="X155" s="8" t="s">
        <v>276</v>
      </c>
      <c r="Y155" s="8" t="s">
        <v>276</v>
      </c>
      <c r="Z155" s="8" t="s">
        <v>98</v>
      </c>
      <c r="AA155" s="8" t="s">
        <v>276</v>
      </c>
      <c r="AB155" s="8" t="s">
        <v>98</v>
      </c>
      <c r="AC155" s="9" t="s">
        <v>1456</v>
      </c>
      <c r="AD155" s="9" t="s">
        <v>1413</v>
      </c>
      <c r="AE155" s="8">
        <v>378</v>
      </c>
      <c r="AF155" s="8">
        <v>426</v>
      </c>
      <c r="AG155" s="13">
        <v>380691</v>
      </c>
      <c r="AH155" s="13">
        <v>380725</v>
      </c>
      <c r="AI155" s="13">
        <v>10000</v>
      </c>
      <c r="AJ155" s="14" t="s">
        <v>276</v>
      </c>
      <c r="AK155" s="31">
        <f t="shared" si="21"/>
        <v>9.9293127497103946</v>
      </c>
      <c r="AL155" s="14" t="s">
        <v>276</v>
      </c>
      <c r="AM155" s="14" t="s">
        <v>276</v>
      </c>
      <c r="AN155" s="14" t="s">
        <v>276</v>
      </c>
      <c r="AO155" s="31">
        <f t="shared" si="22"/>
        <v>11.189178540941624</v>
      </c>
      <c r="AP155" s="14" t="s">
        <v>276</v>
      </c>
      <c r="AQ155" s="14" t="s">
        <v>276</v>
      </c>
      <c r="AR155" s="8" t="s">
        <v>269</v>
      </c>
      <c r="AS155" s="14" t="s">
        <v>276</v>
      </c>
      <c r="AT155" s="14">
        <f t="shared" si="23"/>
        <v>0.88740319169800241</v>
      </c>
      <c r="AU155" s="14" t="s">
        <v>276</v>
      </c>
      <c r="AV155" s="14" t="s">
        <v>276</v>
      </c>
      <c r="AW155" s="8" t="s">
        <v>276</v>
      </c>
      <c r="AX155" s="8" t="s">
        <v>98</v>
      </c>
      <c r="AY155" s="8" t="s">
        <v>98</v>
      </c>
      <c r="AZ155" s="8" t="s">
        <v>276</v>
      </c>
      <c r="BA155" s="8" t="s">
        <v>276</v>
      </c>
      <c r="BB155" s="8" t="s">
        <v>276</v>
      </c>
      <c r="BC155" s="9" t="s">
        <v>1421</v>
      </c>
      <c r="BD155" s="9"/>
      <c r="BE155" s="9" t="s">
        <v>100</v>
      </c>
      <c r="BF155" s="33" t="s">
        <v>98</v>
      </c>
    </row>
    <row r="156" spans="1:58" s="7" customFormat="1" ht="78" x14ac:dyDescent="0.3">
      <c r="A156" s="8">
        <v>1128</v>
      </c>
      <c r="B156" s="8" t="s">
        <v>1405</v>
      </c>
      <c r="C156" s="8" t="s">
        <v>1406</v>
      </c>
      <c r="D156" s="9" t="s">
        <v>1457</v>
      </c>
      <c r="E156" s="8" t="s">
        <v>39</v>
      </c>
      <c r="F156" s="8" t="s">
        <v>262</v>
      </c>
      <c r="G156" s="8" t="s">
        <v>225</v>
      </c>
      <c r="H156" s="8" t="s">
        <v>125</v>
      </c>
      <c r="I156" s="8" t="s">
        <v>114</v>
      </c>
      <c r="J156" s="9" t="s">
        <v>24</v>
      </c>
      <c r="K156" s="9" t="s">
        <v>1408</v>
      </c>
      <c r="L156" s="9" t="s">
        <v>1458</v>
      </c>
      <c r="M156" s="8" t="s">
        <v>14</v>
      </c>
      <c r="N156" s="11" t="s">
        <v>98</v>
      </c>
      <c r="O156" s="12" t="s">
        <v>207</v>
      </c>
      <c r="P156" s="52" t="s">
        <v>98</v>
      </c>
      <c r="Q156" s="9">
        <v>4</v>
      </c>
      <c r="R156" s="9" t="s">
        <v>1459</v>
      </c>
      <c r="S156" s="9" t="s">
        <v>1460</v>
      </c>
      <c r="T156" s="9">
        <v>4</v>
      </c>
      <c r="U156" s="13">
        <v>77445</v>
      </c>
      <c r="V156" s="38">
        <v>77456</v>
      </c>
      <c r="W156" s="8" t="s">
        <v>276</v>
      </c>
      <c r="X156" s="8" t="s">
        <v>276</v>
      </c>
      <c r="Y156" s="8" t="s">
        <v>276</v>
      </c>
      <c r="Z156" s="8" t="s">
        <v>98</v>
      </c>
      <c r="AA156" s="8" t="s">
        <v>276</v>
      </c>
      <c r="AB156" s="8" t="s">
        <v>98</v>
      </c>
      <c r="AC156" s="9" t="s">
        <v>1461</v>
      </c>
      <c r="AD156" s="9" t="s">
        <v>1413</v>
      </c>
      <c r="AE156" s="8">
        <v>292</v>
      </c>
      <c r="AF156" s="8">
        <v>301</v>
      </c>
      <c r="AG156" s="13">
        <v>305833</v>
      </c>
      <c r="AH156" s="13">
        <v>305902</v>
      </c>
      <c r="AI156" s="13">
        <v>10000</v>
      </c>
      <c r="AJ156" s="14" t="s">
        <v>276</v>
      </c>
      <c r="AK156" s="31">
        <f t="shared" si="21"/>
        <v>9.5476943299120762</v>
      </c>
      <c r="AL156" s="14" t="s">
        <v>276</v>
      </c>
      <c r="AM156" s="14" t="s">
        <v>276</v>
      </c>
      <c r="AN156" s="14" t="s">
        <v>276</v>
      </c>
      <c r="AO156" s="31">
        <f t="shared" si="22"/>
        <v>9.8397526005060456</v>
      </c>
      <c r="AP156" s="14" t="s">
        <v>276</v>
      </c>
      <c r="AQ156" s="14" t="s">
        <v>276</v>
      </c>
      <c r="AR156" s="8" t="s">
        <v>269</v>
      </c>
      <c r="AS156" s="14" t="s">
        <v>276</v>
      </c>
      <c r="AT156" s="14">
        <f t="shared" si="23"/>
        <v>0.97031853518563571</v>
      </c>
      <c r="AU156" s="14" t="s">
        <v>276</v>
      </c>
      <c r="AV156" s="14" t="s">
        <v>276</v>
      </c>
      <c r="AW156" s="8" t="s">
        <v>276</v>
      </c>
      <c r="AX156" s="8" t="s">
        <v>98</v>
      </c>
      <c r="AY156" s="8" t="s">
        <v>98</v>
      </c>
      <c r="AZ156" s="8" t="s">
        <v>276</v>
      </c>
      <c r="BA156" s="8" t="s">
        <v>276</v>
      </c>
      <c r="BB156" s="8" t="s">
        <v>276</v>
      </c>
      <c r="BC156" s="9" t="s">
        <v>1421</v>
      </c>
      <c r="BD156" s="9"/>
      <c r="BE156" s="9" t="s">
        <v>100</v>
      </c>
      <c r="BF156" s="33" t="s">
        <v>98</v>
      </c>
    </row>
    <row r="157" spans="1:58" s="7" customFormat="1" ht="78" x14ac:dyDescent="0.3">
      <c r="A157" s="8">
        <v>1128</v>
      </c>
      <c r="B157" s="8" t="s">
        <v>1405</v>
      </c>
      <c r="C157" s="8" t="s">
        <v>1406</v>
      </c>
      <c r="D157" s="9" t="s">
        <v>1462</v>
      </c>
      <c r="E157" s="8" t="s">
        <v>39</v>
      </c>
      <c r="F157" s="8" t="s">
        <v>262</v>
      </c>
      <c r="G157" s="8" t="s">
        <v>225</v>
      </c>
      <c r="H157" s="8" t="s">
        <v>125</v>
      </c>
      <c r="I157" s="8" t="s">
        <v>114</v>
      </c>
      <c r="J157" s="9" t="s">
        <v>24</v>
      </c>
      <c r="K157" s="9" t="s">
        <v>1408</v>
      </c>
      <c r="L157" s="9" t="s">
        <v>1463</v>
      </c>
      <c r="M157" s="8" t="s">
        <v>14</v>
      </c>
      <c r="N157" s="11" t="s">
        <v>98</v>
      </c>
      <c r="O157" s="12" t="s">
        <v>207</v>
      </c>
      <c r="P157" s="52" t="s">
        <v>98</v>
      </c>
      <c r="Q157" s="9">
        <v>3</v>
      </c>
      <c r="R157" s="9" t="s">
        <v>1464</v>
      </c>
      <c r="S157" s="9" t="s">
        <v>1465</v>
      </c>
      <c r="T157" s="9">
        <v>4</v>
      </c>
      <c r="U157" s="13">
        <v>77445</v>
      </c>
      <c r="V157" s="38">
        <v>77456</v>
      </c>
      <c r="W157" s="8" t="s">
        <v>276</v>
      </c>
      <c r="X157" s="8" t="s">
        <v>276</v>
      </c>
      <c r="Y157" s="8" t="s">
        <v>276</v>
      </c>
      <c r="Z157" s="8" t="s">
        <v>98</v>
      </c>
      <c r="AA157" s="8" t="s">
        <v>276</v>
      </c>
      <c r="AB157" s="8" t="s">
        <v>98</v>
      </c>
      <c r="AC157" s="9" t="s">
        <v>1466</v>
      </c>
      <c r="AD157" s="9" t="s">
        <v>1413</v>
      </c>
      <c r="AE157" s="8">
        <v>196</v>
      </c>
      <c r="AF157" s="8">
        <v>198</v>
      </c>
      <c r="AG157" s="13">
        <v>230270</v>
      </c>
      <c r="AH157" s="13">
        <v>230348</v>
      </c>
      <c r="AI157" s="13">
        <v>10000</v>
      </c>
      <c r="AJ157" s="14" t="s">
        <v>276</v>
      </c>
      <c r="AK157" s="31">
        <f t="shared" si="21"/>
        <v>8.5117470795153523</v>
      </c>
      <c r="AL157" s="14" t="s">
        <v>276</v>
      </c>
      <c r="AM157" s="14" t="s">
        <v>276</v>
      </c>
      <c r="AN157" s="14" t="s">
        <v>276</v>
      </c>
      <c r="AO157" s="31">
        <f t="shared" si="22"/>
        <v>8.595689999479049</v>
      </c>
      <c r="AP157" s="14" t="s">
        <v>276</v>
      </c>
      <c r="AQ157" s="14" t="s">
        <v>276</v>
      </c>
      <c r="AR157" s="8" t="s">
        <v>269</v>
      </c>
      <c r="AS157" s="14" t="s">
        <v>276</v>
      </c>
      <c r="AT157" s="14">
        <f t="shared" si="23"/>
        <v>0.99023430114757693</v>
      </c>
      <c r="AU157" s="14" t="s">
        <v>276</v>
      </c>
      <c r="AV157" s="14" t="s">
        <v>276</v>
      </c>
      <c r="AW157" s="8" t="s">
        <v>276</v>
      </c>
      <c r="AX157" s="8" t="s">
        <v>98</v>
      </c>
      <c r="AY157" s="8" t="s">
        <v>98</v>
      </c>
      <c r="AZ157" s="8" t="s">
        <v>276</v>
      </c>
      <c r="BA157" s="8" t="s">
        <v>276</v>
      </c>
      <c r="BB157" s="8" t="s">
        <v>276</v>
      </c>
      <c r="BC157" s="9" t="s">
        <v>1421</v>
      </c>
      <c r="BD157" s="9"/>
      <c r="BE157" s="9" t="s">
        <v>100</v>
      </c>
      <c r="BF157" s="33" t="s">
        <v>98</v>
      </c>
    </row>
    <row r="158" spans="1:58" s="7" customFormat="1" ht="78" x14ac:dyDescent="0.3">
      <c r="A158" s="8">
        <v>1128</v>
      </c>
      <c r="B158" s="8" t="s">
        <v>1405</v>
      </c>
      <c r="C158" s="8" t="s">
        <v>1406</v>
      </c>
      <c r="D158" s="9" t="s">
        <v>1467</v>
      </c>
      <c r="E158" s="8" t="s">
        <v>39</v>
      </c>
      <c r="F158" s="8" t="s">
        <v>262</v>
      </c>
      <c r="G158" s="8" t="s">
        <v>225</v>
      </c>
      <c r="H158" s="8" t="s">
        <v>125</v>
      </c>
      <c r="I158" s="8" t="s">
        <v>114</v>
      </c>
      <c r="J158" s="9" t="s">
        <v>24</v>
      </c>
      <c r="K158" s="9" t="s">
        <v>1408</v>
      </c>
      <c r="L158" s="9" t="s">
        <v>1468</v>
      </c>
      <c r="M158" s="8" t="s">
        <v>14</v>
      </c>
      <c r="N158" s="11" t="s">
        <v>98</v>
      </c>
      <c r="O158" s="12" t="s">
        <v>207</v>
      </c>
      <c r="P158" s="52" t="s">
        <v>98</v>
      </c>
      <c r="Q158" s="9">
        <v>2</v>
      </c>
      <c r="R158" s="9" t="s">
        <v>1469</v>
      </c>
      <c r="S158" s="9" t="s">
        <v>1470</v>
      </c>
      <c r="T158" s="9">
        <v>3</v>
      </c>
      <c r="U158" s="13">
        <v>77445</v>
      </c>
      <c r="V158" s="38">
        <v>77456</v>
      </c>
      <c r="W158" s="8" t="s">
        <v>276</v>
      </c>
      <c r="X158" s="8" t="s">
        <v>276</v>
      </c>
      <c r="Y158" s="8" t="s">
        <v>276</v>
      </c>
      <c r="Z158" s="8" t="s">
        <v>98</v>
      </c>
      <c r="AA158" s="8" t="s">
        <v>276</v>
      </c>
      <c r="AB158" s="8" t="s">
        <v>98</v>
      </c>
      <c r="AC158" s="9" t="s">
        <v>1471</v>
      </c>
      <c r="AD158" s="9" t="s">
        <v>1413</v>
      </c>
      <c r="AE158" s="8">
        <v>113</v>
      </c>
      <c r="AF158" s="8">
        <v>111</v>
      </c>
      <c r="AG158" s="13">
        <v>154053</v>
      </c>
      <c r="AH158" s="13">
        <v>154116</v>
      </c>
      <c r="AI158" s="13">
        <v>10000</v>
      </c>
      <c r="AJ158" s="14" t="s">
        <v>276</v>
      </c>
      <c r="AK158" s="31">
        <f t="shared" si="21"/>
        <v>7.3351379070839249</v>
      </c>
      <c r="AL158" s="14" t="s">
        <v>276</v>
      </c>
      <c r="AM158" s="14" t="s">
        <v>276</v>
      </c>
      <c r="AN158" s="14" t="s">
        <v>276</v>
      </c>
      <c r="AO158" s="31">
        <f t="shared" si="22"/>
        <v>7.2023670481974618</v>
      </c>
      <c r="AP158" s="14" t="s">
        <v>276</v>
      </c>
      <c r="AQ158" s="14" t="s">
        <v>276</v>
      </c>
      <c r="AR158" s="8" t="s">
        <v>269</v>
      </c>
      <c r="AS158" s="14" t="s">
        <v>276</v>
      </c>
      <c r="AT158" s="14">
        <f t="shared" si="23"/>
        <v>1.0184343366559876</v>
      </c>
      <c r="AU158" s="14" t="s">
        <v>276</v>
      </c>
      <c r="AV158" s="14" t="s">
        <v>276</v>
      </c>
      <c r="AW158" s="8" t="s">
        <v>276</v>
      </c>
      <c r="AX158" s="8" t="s">
        <v>98</v>
      </c>
      <c r="AY158" s="8" t="s">
        <v>98</v>
      </c>
      <c r="AZ158" s="8" t="s">
        <v>276</v>
      </c>
      <c r="BA158" s="8" t="s">
        <v>276</v>
      </c>
      <c r="BB158" s="8" t="s">
        <v>276</v>
      </c>
      <c r="BC158" s="9" t="s">
        <v>1421</v>
      </c>
      <c r="BD158" s="9"/>
      <c r="BE158" s="9" t="s">
        <v>100</v>
      </c>
      <c r="BF158" s="33" t="s">
        <v>98</v>
      </c>
    </row>
    <row r="159" spans="1:58" s="7" customFormat="1" ht="78" x14ac:dyDescent="0.3">
      <c r="A159" s="8">
        <v>1128</v>
      </c>
      <c r="B159" s="8" t="s">
        <v>1405</v>
      </c>
      <c r="C159" s="8" t="s">
        <v>1406</v>
      </c>
      <c r="D159" s="9" t="s">
        <v>1472</v>
      </c>
      <c r="E159" s="8" t="s">
        <v>39</v>
      </c>
      <c r="F159" s="8" t="s">
        <v>262</v>
      </c>
      <c r="G159" s="8" t="s">
        <v>225</v>
      </c>
      <c r="H159" s="8" t="s">
        <v>125</v>
      </c>
      <c r="I159" s="8" t="s">
        <v>114</v>
      </c>
      <c r="J159" s="9" t="s">
        <v>24</v>
      </c>
      <c r="K159" s="9" t="s">
        <v>1408</v>
      </c>
      <c r="L159" s="9" t="s">
        <v>1473</v>
      </c>
      <c r="M159" s="8" t="s">
        <v>14</v>
      </c>
      <c r="N159" s="11" t="s">
        <v>98</v>
      </c>
      <c r="O159" s="12" t="s">
        <v>207</v>
      </c>
      <c r="P159" s="52" t="s">
        <v>98</v>
      </c>
      <c r="Q159" s="9">
        <v>1</v>
      </c>
      <c r="R159" s="9" t="s">
        <v>1474</v>
      </c>
      <c r="S159" s="9" t="s">
        <v>1475</v>
      </c>
      <c r="T159" s="9">
        <v>2</v>
      </c>
      <c r="U159" s="13">
        <v>77445</v>
      </c>
      <c r="V159" s="38">
        <v>77456</v>
      </c>
      <c r="W159" s="8" t="s">
        <v>276</v>
      </c>
      <c r="X159" s="8" t="s">
        <v>276</v>
      </c>
      <c r="Y159" s="8" t="s">
        <v>276</v>
      </c>
      <c r="Z159" s="8" t="s">
        <v>98</v>
      </c>
      <c r="AA159" s="8" t="s">
        <v>276</v>
      </c>
      <c r="AB159" s="8" t="s">
        <v>98</v>
      </c>
      <c r="AC159" s="9" t="s">
        <v>1476</v>
      </c>
      <c r="AD159" s="9" t="s">
        <v>1413</v>
      </c>
      <c r="AE159" s="8">
        <v>36</v>
      </c>
      <c r="AF159" s="8">
        <v>30</v>
      </c>
      <c r="AG159" s="13">
        <v>77268</v>
      </c>
      <c r="AH159" s="13">
        <v>77286</v>
      </c>
      <c r="AI159" s="13">
        <v>10000</v>
      </c>
      <c r="AJ159" s="14" t="s">
        <v>276</v>
      </c>
      <c r="AK159" s="31">
        <f t="shared" si="21"/>
        <v>4.6591085572293833</v>
      </c>
      <c r="AL159" s="14" t="s">
        <v>276</v>
      </c>
      <c r="AM159" s="14" t="s">
        <v>276</v>
      </c>
      <c r="AN159" s="14" t="s">
        <v>276</v>
      </c>
      <c r="AO159" s="31">
        <f t="shared" si="22"/>
        <v>3.8816862044872291</v>
      </c>
      <c r="AP159" s="14" t="s">
        <v>276</v>
      </c>
      <c r="AQ159" s="14" t="s">
        <v>276</v>
      </c>
      <c r="AR159" s="8" t="s">
        <v>269</v>
      </c>
      <c r="AS159" s="14" t="s">
        <v>276</v>
      </c>
      <c r="AT159" s="14">
        <f t="shared" si="23"/>
        <v>1.2002795465134337</v>
      </c>
      <c r="AU159" s="14" t="s">
        <v>276</v>
      </c>
      <c r="AV159" s="14" t="s">
        <v>276</v>
      </c>
      <c r="AW159" s="8" t="s">
        <v>276</v>
      </c>
      <c r="AX159" s="8" t="s">
        <v>98</v>
      </c>
      <c r="AY159" s="8" t="s">
        <v>98</v>
      </c>
      <c r="AZ159" s="8" t="s">
        <v>276</v>
      </c>
      <c r="BA159" s="8" t="s">
        <v>276</v>
      </c>
      <c r="BB159" s="8" t="s">
        <v>276</v>
      </c>
      <c r="BC159" s="9" t="s">
        <v>1421</v>
      </c>
      <c r="BD159" s="9"/>
      <c r="BE159" s="9" t="s">
        <v>100</v>
      </c>
      <c r="BF159" s="33" t="s">
        <v>98</v>
      </c>
    </row>
    <row r="160" spans="1:58" s="7" customFormat="1" ht="78" x14ac:dyDescent="0.3">
      <c r="A160" s="8">
        <v>1128</v>
      </c>
      <c r="B160" s="8" t="s">
        <v>1405</v>
      </c>
      <c r="C160" s="8" t="s">
        <v>1406</v>
      </c>
      <c r="D160" s="9" t="s">
        <v>1477</v>
      </c>
      <c r="E160" s="8" t="s">
        <v>39</v>
      </c>
      <c r="F160" s="8" t="s">
        <v>262</v>
      </c>
      <c r="G160" s="8" t="s">
        <v>225</v>
      </c>
      <c r="H160" s="8" t="s">
        <v>125</v>
      </c>
      <c r="I160" s="8" t="s">
        <v>114</v>
      </c>
      <c r="J160" s="9" t="s">
        <v>24</v>
      </c>
      <c r="K160" s="9" t="s">
        <v>1408</v>
      </c>
      <c r="L160" s="9" t="s">
        <v>1409</v>
      </c>
      <c r="M160" s="8" t="s">
        <v>14</v>
      </c>
      <c r="N160" s="11" t="s">
        <v>98</v>
      </c>
      <c r="O160" s="12" t="s">
        <v>207</v>
      </c>
      <c r="P160" s="52" t="s">
        <v>1410</v>
      </c>
      <c r="Q160" s="9">
        <v>13</v>
      </c>
      <c r="R160" s="9" t="s">
        <v>1411</v>
      </c>
      <c r="S160" s="9" t="s">
        <v>1411</v>
      </c>
      <c r="T160" s="9">
        <v>4</v>
      </c>
      <c r="U160" s="13">
        <v>77445</v>
      </c>
      <c r="V160" s="38">
        <v>77456</v>
      </c>
      <c r="W160" s="8" t="s">
        <v>276</v>
      </c>
      <c r="X160" s="8" t="s">
        <v>276</v>
      </c>
      <c r="Y160" s="8" t="s">
        <v>276</v>
      </c>
      <c r="Z160" s="8" t="s">
        <v>98</v>
      </c>
      <c r="AA160" s="8" t="s">
        <v>276</v>
      </c>
      <c r="AB160" s="8" t="s">
        <v>98</v>
      </c>
      <c r="AC160" s="9" t="s">
        <v>1478</v>
      </c>
      <c r="AD160" s="9" t="s">
        <v>1413</v>
      </c>
      <c r="AE160" s="8" t="s">
        <v>276</v>
      </c>
      <c r="AF160" s="8" t="s">
        <v>276</v>
      </c>
      <c r="AG160" s="13">
        <v>864227</v>
      </c>
      <c r="AH160" s="13">
        <v>863330</v>
      </c>
      <c r="AI160" s="13">
        <v>10000</v>
      </c>
      <c r="AJ160" s="14" t="s">
        <v>276</v>
      </c>
      <c r="AK160" s="31" t="s">
        <v>276</v>
      </c>
      <c r="AL160" s="14" t="s">
        <v>276</v>
      </c>
      <c r="AM160" s="14" t="s">
        <v>276</v>
      </c>
      <c r="AN160" s="14" t="s">
        <v>276</v>
      </c>
      <c r="AO160" s="31" t="s">
        <v>276</v>
      </c>
      <c r="AP160" s="14" t="s">
        <v>276</v>
      </c>
      <c r="AQ160" s="14" t="s">
        <v>276</v>
      </c>
      <c r="AR160" s="8" t="s">
        <v>269</v>
      </c>
      <c r="AS160" s="14">
        <v>0.89</v>
      </c>
      <c r="AT160" s="14" t="s">
        <v>276</v>
      </c>
      <c r="AU160" s="14">
        <v>0.8</v>
      </c>
      <c r="AV160" s="14">
        <v>1</v>
      </c>
      <c r="AW160" s="8" t="s">
        <v>276</v>
      </c>
      <c r="AX160" s="8" t="s">
        <v>98</v>
      </c>
      <c r="AY160" s="8" t="s">
        <v>98</v>
      </c>
      <c r="AZ160" s="8" t="s">
        <v>276</v>
      </c>
      <c r="BA160" s="8" t="s">
        <v>276</v>
      </c>
      <c r="BB160" s="8" t="s">
        <v>276</v>
      </c>
      <c r="BC160" s="9" t="s">
        <v>1479</v>
      </c>
      <c r="BD160" s="9"/>
      <c r="BE160" s="9" t="s">
        <v>100</v>
      </c>
      <c r="BF160" s="33" t="s">
        <v>98</v>
      </c>
    </row>
    <row r="161" spans="1:58" s="7" customFormat="1" ht="78" x14ac:dyDescent="0.3">
      <c r="A161" s="8">
        <v>1128</v>
      </c>
      <c r="B161" s="8" t="s">
        <v>1405</v>
      </c>
      <c r="C161" s="8" t="s">
        <v>1406</v>
      </c>
      <c r="D161" s="9" t="s">
        <v>1480</v>
      </c>
      <c r="E161" s="8" t="s">
        <v>39</v>
      </c>
      <c r="F161" s="8" t="s">
        <v>262</v>
      </c>
      <c r="G161" s="8" t="s">
        <v>225</v>
      </c>
      <c r="H161" s="8" t="s">
        <v>125</v>
      </c>
      <c r="I161" s="8" t="s">
        <v>114</v>
      </c>
      <c r="J161" s="9" t="s">
        <v>24</v>
      </c>
      <c r="K161" s="9" t="s">
        <v>1408</v>
      </c>
      <c r="L161" s="9" t="s">
        <v>1409</v>
      </c>
      <c r="M161" s="8" t="s">
        <v>14</v>
      </c>
      <c r="N161" s="11" t="s">
        <v>98</v>
      </c>
      <c r="O161" s="12" t="s">
        <v>207</v>
      </c>
      <c r="P161" s="52" t="s">
        <v>1410</v>
      </c>
      <c r="Q161" s="9">
        <v>13</v>
      </c>
      <c r="R161" s="9" t="s">
        <v>1411</v>
      </c>
      <c r="S161" s="9" t="s">
        <v>1411</v>
      </c>
      <c r="T161" s="9">
        <v>4</v>
      </c>
      <c r="U161" s="13">
        <v>77445</v>
      </c>
      <c r="V161" s="38">
        <v>77456</v>
      </c>
      <c r="W161" s="8" t="s">
        <v>276</v>
      </c>
      <c r="X161" s="8" t="s">
        <v>276</v>
      </c>
      <c r="Y161" s="8" t="s">
        <v>276</v>
      </c>
      <c r="Z161" s="8" t="s">
        <v>98</v>
      </c>
      <c r="AA161" s="8" t="s">
        <v>276</v>
      </c>
      <c r="AB161" s="8" t="s">
        <v>98</v>
      </c>
      <c r="AC161" s="9" t="s">
        <v>1481</v>
      </c>
      <c r="AD161" s="9" t="s">
        <v>1413</v>
      </c>
      <c r="AE161" s="8" t="s">
        <v>276</v>
      </c>
      <c r="AF161" s="8" t="s">
        <v>276</v>
      </c>
      <c r="AG161" s="13">
        <v>864227</v>
      </c>
      <c r="AH161" s="13">
        <v>863330</v>
      </c>
      <c r="AI161" s="13">
        <v>10000</v>
      </c>
      <c r="AJ161" s="14" t="s">
        <v>276</v>
      </c>
      <c r="AK161" s="31" t="s">
        <v>276</v>
      </c>
      <c r="AL161" s="14" t="s">
        <v>276</v>
      </c>
      <c r="AM161" s="14" t="s">
        <v>276</v>
      </c>
      <c r="AN161" s="14" t="s">
        <v>276</v>
      </c>
      <c r="AO161" s="31" t="s">
        <v>276</v>
      </c>
      <c r="AP161" s="14" t="s">
        <v>276</v>
      </c>
      <c r="AQ161" s="14" t="s">
        <v>276</v>
      </c>
      <c r="AR161" s="8" t="s">
        <v>269</v>
      </c>
      <c r="AS161" s="14">
        <v>0.94</v>
      </c>
      <c r="AT161" s="14" t="s">
        <v>276</v>
      </c>
      <c r="AU161" s="14">
        <v>0.84</v>
      </c>
      <c r="AV161" s="14">
        <v>1.04</v>
      </c>
      <c r="AW161" s="8" t="s">
        <v>276</v>
      </c>
      <c r="AX161" s="8" t="s">
        <v>98</v>
      </c>
      <c r="AY161" s="8" t="s">
        <v>98</v>
      </c>
      <c r="AZ161" s="8" t="s">
        <v>276</v>
      </c>
      <c r="BA161" s="8" t="s">
        <v>276</v>
      </c>
      <c r="BB161" s="8" t="s">
        <v>276</v>
      </c>
      <c r="BC161" s="9" t="s">
        <v>1479</v>
      </c>
      <c r="BD161" s="9"/>
      <c r="BE161" s="9" t="s">
        <v>100</v>
      </c>
      <c r="BF161" s="33" t="s">
        <v>98</v>
      </c>
    </row>
    <row r="162" spans="1:58" s="1" customFormat="1" ht="65" x14ac:dyDescent="0.3">
      <c r="A162" s="2">
        <v>1055</v>
      </c>
      <c r="B162" s="2" t="s">
        <v>1482</v>
      </c>
      <c r="C162" s="8" t="s">
        <v>1406</v>
      </c>
      <c r="D162" s="9" t="s">
        <v>1483</v>
      </c>
      <c r="E162" s="8" t="s">
        <v>39</v>
      </c>
      <c r="F162" s="8" t="s">
        <v>262</v>
      </c>
      <c r="G162" s="8" t="s">
        <v>225</v>
      </c>
      <c r="H162" s="8" t="s">
        <v>125</v>
      </c>
      <c r="I162" s="8" t="s">
        <v>114</v>
      </c>
      <c r="J162" s="10" t="s">
        <v>23</v>
      </c>
      <c r="K162" s="10" t="s">
        <v>1484</v>
      </c>
      <c r="L162" s="10" t="s">
        <v>1485</v>
      </c>
      <c r="M162" s="2" t="s">
        <v>14</v>
      </c>
      <c r="N162" s="57" t="s">
        <v>98</v>
      </c>
      <c r="O162" s="58" t="s">
        <v>207</v>
      </c>
      <c r="P162" s="36">
        <v>42369</v>
      </c>
      <c r="Q162" s="10" t="s">
        <v>276</v>
      </c>
      <c r="R162" s="10" t="s">
        <v>276</v>
      </c>
      <c r="S162" s="10" t="s">
        <v>276</v>
      </c>
      <c r="T162" s="10">
        <v>4</v>
      </c>
      <c r="U162" s="59">
        <v>77443</v>
      </c>
      <c r="V162" s="34">
        <v>77444</v>
      </c>
      <c r="W162" s="2" t="s">
        <v>276</v>
      </c>
      <c r="X162" s="2" t="s">
        <v>276</v>
      </c>
      <c r="Y162" s="2">
        <v>0</v>
      </c>
      <c r="Z162" s="8" t="s">
        <v>98</v>
      </c>
      <c r="AA162" s="2">
        <v>0</v>
      </c>
      <c r="AB162" s="2" t="s">
        <v>98</v>
      </c>
      <c r="AC162" s="9" t="s">
        <v>1486</v>
      </c>
      <c r="AD162" s="10" t="s">
        <v>1487</v>
      </c>
      <c r="AE162" s="2">
        <v>22562</v>
      </c>
      <c r="AF162" s="2">
        <v>22652</v>
      </c>
      <c r="AG162" s="59" t="s">
        <v>276</v>
      </c>
      <c r="AH162" s="59" t="s">
        <v>276</v>
      </c>
      <c r="AI162" s="59">
        <v>10000</v>
      </c>
      <c r="AJ162" s="60">
        <v>182.7</v>
      </c>
      <c r="AK162" s="33" t="s">
        <v>98</v>
      </c>
      <c r="AL162" s="14" t="s">
        <v>276</v>
      </c>
      <c r="AM162" s="14" t="s">
        <v>276</v>
      </c>
      <c r="AN162" s="43">
        <v>185.3</v>
      </c>
      <c r="AO162" s="31" t="s">
        <v>98</v>
      </c>
      <c r="AP162" s="14" t="s">
        <v>276</v>
      </c>
      <c r="AQ162" s="14" t="s">
        <v>276</v>
      </c>
      <c r="AR162" s="8" t="s">
        <v>269</v>
      </c>
      <c r="AS162" s="14" t="s">
        <v>276</v>
      </c>
      <c r="AT162" s="14">
        <f>AJ162/AN162</f>
        <v>0.98596869940636789</v>
      </c>
      <c r="AU162" s="14" t="s">
        <v>276</v>
      </c>
      <c r="AV162" s="14" t="s">
        <v>276</v>
      </c>
      <c r="AW162" s="8" t="s">
        <v>276</v>
      </c>
      <c r="AX162" s="8" t="s">
        <v>1488</v>
      </c>
      <c r="AY162" s="31">
        <v>0.98</v>
      </c>
      <c r="AZ162" s="8">
        <v>0.96299999999999997</v>
      </c>
      <c r="BA162" s="8">
        <v>0.999</v>
      </c>
      <c r="BB162" s="8">
        <v>3.5999999999999997E-2</v>
      </c>
      <c r="BC162" s="9" t="s">
        <v>298</v>
      </c>
      <c r="BE162" s="9" t="s">
        <v>100</v>
      </c>
      <c r="BF162" s="33" t="s">
        <v>98</v>
      </c>
    </row>
    <row r="163" spans="1:58" s="7" customFormat="1" ht="130" x14ac:dyDescent="0.3">
      <c r="A163" s="9">
        <v>1055</v>
      </c>
      <c r="B163" s="9" t="s">
        <v>1482</v>
      </c>
      <c r="C163" s="8" t="s">
        <v>1406</v>
      </c>
      <c r="D163" s="9" t="s">
        <v>1489</v>
      </c>
      <c r="E163" s="8" t="s">
        <v>39</v>
      </c>
      <c r="F163" s="8" t="s">
        <v>262</v>
      </c>
      <c r="G163" s="8" t="s">
        <v>225</v>
      </c>
      <c r="H163" s="8" t="s">
        <v>125</v>
      </c>
      <c r="I163" s="8" t="s">
        <v>114</v>
      </c>
      <c r="J163" s="9" t="s">
        <v>24</v>
      </c>
      <c r="K163" s="9" t="s">
        <v>1490</v>
      </c>
      <c r="L163" s="9" t="s">
        <v>1491</v>
      </c>
      <c r="M163" s="8" t="s">
        <v>14</v>
      </c>
      <c r="N163" s="11" t="s">
        <v>98</v>
      </c>
      <c r="O163" s="12" t="s">
        <v>207</v>
      </c>
      <c r="P163" s="52">
        <v>42369</v>
      </c>
      <c r="Q163" s="9" t="s">
        <v>276</v>
      </c>
      <c r="R163" s="9" t="s">
        <v>276</v>
      </c>
      <c r="S163" s="9" t="s">
        <v>276</v>
      </c>
      <c r="T163" s="9">
        <v>4</v>
      </c>
      <c r="U163" s="13">
        <v>77443</v>
      </c>
      <c r="V163" s="38">
        <v>77444</v>
      </c>
      <c r="W163" s="8" t="s">
        <v>276</v>
      </c>
      <c r="X163" s="8" t="s">
        <v>276</v>
      </c>
      <c r="Y163" s="8">
        <v>10</v>
      </c>
      <c r="Z163" s="9" t="s">
        <v>894</v>
      </c>
      <c r="AA163" s="8">
        <v>21</v>
      </c>
      <c r="AB163" s="9" t="s">
        <v>894</v>
      </c>
      <c r="AC163" s="9" t="s">
        <v>1492</v>
      </c>
      <c r="AD163" s="9" t="s">
        <v>1413</v>
      </c>
      <c r="AE163" s="8">
        <v>1997</v>
      </c>
      <c r="AF163" s="8">
        <v>1984</v>
      </c>
      <c r="AG163" s="13" t="s">
        <v>276</v>
      </c>
      <c r="AH163" s="13" t="s">
        <v>276</v>
      </c>
      <c r="AI163" s="13">
        <v>10000</v>
      </c>
      <c r="AJ163" s="43">
        <v>16.2</v>
      </c>
      <c r="AK163" s="31" t="s">
        <v>98</v>
      </c>
      <c r="AL163" s="14" t="s">
        <v>276</v>
      </c>
      <c r="AM163" s="14" t="s">
        <v>276</v>
      </c>
      <c r="AN163" s="43">
        <v>16.2</v>
      </c>
      <c r="AO163" s="31" t="s">
        <v>98</v>
      </c>
      <c r="AP163" s="14" t="s">
        <v>276</v>
      </c>
      <c r="AQ163" s="14" t="s">
        <v>276</v>
      </c>
      <c r="AR163" s="8" t="s">
        <v>269</v>
      </c>
      <c r="AS163" s="14" t="s">
        <v>276</v>
      </c>
      <c r="AT163" s="14">
        <f>AJ163/AN163</f>
        <v>1</v>
      </c>
      <c r="AU163" s="14" t="s">
        <v>276</v>
      </c>
      <c r="AV163" s="14" t="s">
        <v>276</v>
      </c>
      <c r="AW163" s="8" t="s">
        <v>276</v>
      </c>
      <c r="AX163" s="8" t="s">
        <v>1488</v>
      </c>
      <c r="AY163" s="8">
        <v>1.008</v>
      </c>
      <c r="AZ163" s="8">
        <v>0.94699999999999995</v>
      </c>
      <c r="BA163" s="8">
        <v>1.07</v>
      </c>
      <c r="BB163" s="14">
        <v>0.8</v>
      </c>
      <c r="BC163" s="9" t="s">
        <v>298</v>
      </c>
      <c r="BD163" s="9"/>
      <c r="BE163" s="9" t="s">
        <v>100</v>
      </c>
      <c r="BF163" s="33" t="s">
        <v>98</v>
      </c>
    </row>
    <row r="164" spans="1:58" s="7" customFormat="1" ht="52" x14ac:dyDescent="0.3">
      <c r="A164" s="8">
        <v>1042</v>
      </c>
      <c r="B164" s="8" t="s">
        <v>1493</v>
      </c>
      <c r="C164" s="8" t="s">
        <v>1406</v>
      </c>
      <c r="D164" s="9" t="s">
        <v>1494</v>
      </c>
      <c r="E164" s="8" t="s">
        <v>39</v>
      </c>
      <c r="F164" s="8" t="s">
        <v>262</v>
      </c>
      <c r="G164" s="8" t="s">
        <v>225</v>
      </c>
      <c r="H164" s="8" t="s">
        <v>125</v>
      </c>
      <c r="I164" s="8" t="s">
        <v>114</v>
      </c>
      <c r="J164" s="9" t="s">
        <v>23</v>
      </c>
      <c r="K164" s="9" t="s">
        <v>1495</v>
      </c>
      <c r="L164" s="10" t="s">
        <v>1496</v>
      </c>
      <c r="M164" s="2" t="s">
        <v>14</v>
      </c>
      <c r="N164" s="57" t="s">
        <v>98</v>
      </c>
      <c r="O164" s="58" t="s">
        <v>207</v>
      </c>
      <c r="P164" s="36">
        <v>40178</v>
      </c>
      <c r="Q164" s="10">
        <v>13</v>
      </c>
      <c r="R164" s="13" t="s">
        <v>4160</v>
      </c>
      <c r="S164" s="13" t="s">
        <v>4161</v>
      </c>
      <c r="T164" s="10">
        <v>4</v>
      </c>
      <c r="U164" s="59">
        <v>77444</v>
      </c>
      <c r="V164" s="34">
        <v>77453</v>
      </c>
      <c r="W164" s="2" t="s">
        <v>276</v>
      </c>
      <c r="X164" s="2" t="s">
        <v>276</v>
      </c>
      <c r="Y164" s="2">
        <v>0</v>
      </c>
      <c r="Z164" s="2" t="s">
        <v>98</v>
      </c>
      <c r="AA164" s="2">
        <v>0</v>
      </c>
      <c r="AB164" s="6" t="s">
        <v>98</v>
      </c>
      <c r="AC164" s="9" t="s">
        <v>1497</v>
      </c>
      <c r="AD164" s="9" t="s">
        <v>1487</v>
      </c>
      <c r="AE164" s="8">
        <v>11027</v>
      </c>
      <c r="AF164" s="8">
        <v>11226</v>
      </c>
      <c r="AG164" s="13">
        <v>870094</v>
      </c>
      <c r="AH164" s="13">
        <v>869526</v>
      </c>
      <c r="AI164" s="13">
        <v>10000</v>
      </c>
      <c r="AJ164" s="14" t="s">
        <v>276</v>
      </c>
      <c r="AK164" s="31">
        <f>AE164*10000/AG164</f>
        <v>126.73343339914997</v>
      </c>
      <c r="AL164" s="14" t="s">
        <v>276</v>
      </c>
      <c r="AM164" s="14" t="s">
        <v>276</v>
      </c>
      <c r="AN164" s="14">
        <f>AF164*10000/AH164</f>
        <v>129.10482262750051</v>
      </c>
      <c r="AO164" s="31" t="s">
        <v>98</v>
      </c>
      <c r="AP164" s="14" t="s">
        <v>276</v>
      </c>
      <c r="AQ164" s="14" t="s">
        <v>276</v>
      </c>
      <c r="AR164" s="8" t="s">
        <v>269</v>
      </c>
      <c r="AS164" s="14">
        <v>0.98</v>
      </c>
      <c r="AT164" s="14">
        <f>AK164/AN164</f>
        <v>0.98163206315543627</v>
      </c>
      <c r="AU164" s="14">
        <v>0.96</v>
      </c>
      <c r="AV164" s="14">
        <v>1.01</v>
      </c>
      <c r="AW164" s="8" t="s">
        <v>276</v>
      </c>
      <c r="AX164" s="8" t="s">
        <v>98</v>
      </c>
      <c r="AY164" s="8" t="s">
        <v>98</v>
      </c>
      <c r="AZ164" s="8" t="s">
        <v>98</v>
      </c>
      <c r="BA164" s="8" t="s">
        <v>98</v>
      </c>
      <c r="BB164" s="8" t="s">
        <v>98</v>
      </c>
      <c r="BC164" s="9" t="s">
        <v>4162</v>
      </c>
      <c r="BD164" s="9"/>
      <c r="BE164" s="33" t="s">
        <v>100</v>
      </c>
      <c r="BF164" s="33" t="s">
        <v>98</v>
      </c>
    </row>
    <row r="165" spans="1:58" s="7" customFormat="1" ht="65" x14ac:dyDescent="0.3">
      <c r="A165" s="8">
        <v>1583</v>
      </c>
      <c r="B165" s="8" t="s">
        <v>1555</v>
      </c>
      <c r="C165" s="9" t="s">
        <v>1556</v>
      </c>
      <c r="D165" s="9" t="s">
        <v>1557</v>
      </c>
      <c r="E165" s="8" t="s">
        <v>43</v>
      </c>
      <c r="F165" s="9" t="s">
        <v>139</v>
      </c>
      <c r="G165" s="8" t="s">
        <v>225</v>
      </c>
      <c r="H165" s="8" t="s">
        <v>125</v>
      </c>
      <c r="I165" s="8" t="s">
        <v>114</v>
      </c>
      <c r="J165" s="9" t="s">
        <v>24</v>
      </c>
      <c r="K165" s="9" t="s">
        <v>1558</v>
      </c>
      <c r="L165" s="9" t="s">
        <v>1559</v>
      </c>
      <c r="M165" s="8" t="s">
        <v>14</v>
      </c>
      <c r="N165" s="11" t="s">
        <v>98</v>
      </c>
      <c r="O165" s="12" t="s">
        <v>207</v>
      </c>
      <c r="P165" s="41" t="s">
        <v>98</v>
      </c>
      <c r="Q165" s="9">
        <v>10</v>
      </c>
      <c r="R165" s="9" t="s">
        <v>1560</v>
      </c>
      <c r="S165" s="9" t="s">
        <v>1561</v>
      </c>
      <c r="T165" s="9">
        <v>6</v>
      </c>
      <c r="U165" s="13">
        <v>38343</v>
      </c>
      <c r="V165" s="9">
        <v>38350</v>
      </c>
      <c r="W165" s="61" t="s">
        <v>276</v>
      </c>
      <c r="X165" s="61" t="s">
        <v>276</v>
      </c>
      <c r="Y165" s="61" t="s">
        <v>276</v>
      </c>
      <c r="Z165" s="9" t="s">
        <v>1562</v>
      </c>
      <c r="AA165" s="61" t="s">
        <v>276</v>
      </c>
      <c r="AB165" s="9" t="s">
        <v>1562</v>
      </c>
      <c r="AC165" s="9" t="s">
        <v>1563</v>
      </c>
      <c r="AD165" s="9" t="s">
        <v>1487</v>
      </c>
      <c r="AE165" s="8">
        <v>92</v>
      </c>
      <c r="AF165" s="8">
        <v>82</v>
      </c>
      <c r="AG165" s="13">
        <v>340230</v>
      </c>
      <c r="AH165" s="13">
        <v>338083</v>
      </c>
      <c r="AI165" s="13">
        <v>10000</v>
      </c>
      <c r="AJ165" s="43">
        <v>2.7</v>
      </c>
      <c r="AK165" s="31">
        <f>AE165/AG165*AI165</f>
        <v>2.7040531405225878</v>
      </c>
      <c r="AL165" s="14" t="s">
        <v>276</v>
      </c>
      <c r="AM165" s="14" t="s">
        <v>276</v>
      </c>
      <c r="AN165" s="43">
        <v>2.4</v>
      </c>
      <c r="AO165" s="31">
        <f>AF165/AH165*AI165</f>
        <v>2.4254399067684562</v>
      </c>
      <c r="AP165" s="14" t="s">
        <v>276</v>
      </c>
      <c r="AQ165" s="14" t="s">
        <v>276</v>
      </c>
      <c r="AR165" s="8" t="s">
        <v>269</v>
      </c>
      <c r="AS165" s="14">
        <v>1.1100000000000001</v>
      </c>
      <c r="AT165" s="14">
        <f>AK165/AO165</f>
        <v>1.1148712169601196</v>
      </c>
      <c r="AU165" s="14">
        <v>0.83</v>
      </c>
      <c r="AV165" s="14">
        <v>1.5</v>
      </c>
      <c r="AW165" s="8" t="s">
        <v>276</v>
      </c>
      <c r="AX165" s="8" t="s">
        <v>98</v>
      </c>
      <c r="AY165" s="8" t="s">
        <v>98</v>
      </c>
      <c r="AZ165" s="8" t="s">
        <v>98</v>
      </c>
      <c r="BA165" s="8" t="s">
        <v>98</v>
      </c>
      <c r="BB165" s="8" t="s">
        <v>98</v>
      </c>
      <c r="BC165" s="9" t="s">
        <v>1564</v>
      </c>
      <c r="BD165" s="9" t="s">
        <v>1565</v>
      </c>
      <c r="BE165" s="9" t="s">
        <v>100</v>
      </c>
      <c r="BF165" s="33" t="s">
        <v>98</v>
      </c>
    </row>
    <row r="166" spans="1:58" s="7" customFormat="1" ht="65" x14ac:dyDescent="0.3">
      <c r="A166" s="8">
        <v>1583</v>
      </c>
      <c r="B166" s="8" t="s">
        <v>1555</v>
      </c>
      <c r="C166" s="9" t="s">
        <v>1556</v>
      </c>
      <c r="D166" s="9" t="s">
        <v>1566</v>
      </c>
      <c r="E166" s="8" t="s">
        <v>43</v>
      </c>
      <c r="F166" s="9" t="s">
        <v>139</v>
      </c>
      <c r="G166" s="8" t="s">
        <v>225</v>
      </c>
      <c r="H166" s="8" t="s">
        <v>125</v>
      </c>
      <c r="I166" s="8" t="s">
        <v>114</v>
      </c>
      <c r="J166" s="9" t="s">
        <v>24</v>
      </c>
      <c r="K166" s="9" t="s">
        <v>1558</v>
      </c>
      <c r="L166" s="9" t="s">
        <v>1559</v>
      </c>
      <c r="M166" s="8" t="s">
        <v>14</v>
      </c>
      <c r="N166" s="11" t="s">
        <v>98</v>
      </c>
      <c r="O166" s="12" t="s">
        <v>207</v>
      </c>
      <c r="P166" s="41" t="s">
        <v>98</v>
      </c>
      <c r="Q166" s="9">
        <v>9</v>
      </c>
      <c r="R166" s="9" t="s">
        <v>1567</v>
      </c>
      <c r="S166" s="9" t="s">
        <v>1568</v>
      </c>
      <c r="T166" s="9">
        <v>6</v>
      </c>
      <c r="U166" s="13">
        <v>38343</v>
      </c>
      <c r="V166" s="9">
        <v>38350</v>
      </c>
      <c r="W166" s="61" t="s">
        <v>276</v>
      </c>
      <c r="X166" s="61" t="s">
        <v>276</v>
      </c>
      <c r="Y166" s="61" t="s">
        <v>276</v>
      </c>
      <c r="Z166" s="9" t="s">
        <v>1562</v>
      </c>
      <c r="AA166" s="61" t="s">
        <v>276</v>
      </c>
      <c r="AB166" s="9" t="s">
        <v>1562</v>
      </c>
      <c r="AC166" s="9" t="s">
        <v>1569</v>
      </c>
      <c r="AD166" s="9" t="s">
        <v>1487</v>
      </c>
      <c r="AE166" s="8">
        <v>76</v>
      </c>
      <c r="AF166" s="8">
        <v>65</v>
      </c>
      <c r="AG166" s="13">
        <v>316244</v>
      </c>
      <c r="AH166" s="13">
        <v>314463</v>
      </c>
      <c r="AI166" s="13">
        <v>10000</v>
      </c>
      <c r="AJ166" s="43">
        <v>2.4</v>
      </c>
      <c r="AK166" s="31">
        <f t="shared" ref="AK166:AK194" si="24">AE166/AG166*AI166</f>
        <v>2.4032076497894028</v>
      </c>
      <c r="AL166" s="14" t="s">
        <v>276</v>
      </c>
      <c r="AM166" s="14" t="s">
        <v>276</v>
      </c>
      <c r="AN166" s="43">
        <v>2.1</v>
      </c>
      <c r="AO166" s="31">
        <f t="shared" ref="AO166:AO177" si="25">AF166/AH166*AI166</f>
        <v>2.0670158333412836</v>
      </c>
      <c r="AP166" s="14" t="s">
        <v>276</v>
      </c>
      <c r="AQ166" s="14" t="s">
        <v>276</v>
      </c>
      <c r="AR166" s="8" t="s">
        <v>269</v>
      </c>
      <c r="AS166" s="14">
        <v>1.1599999999999999</v>
      </c>
      <c r="AT166" s="14">
        <f t="shared" ref="AT166:AT194" si="26">AK166/AO166</f>
        <v>1.1626459802703459</v>
      </c>
      <c r="AU166" s="14">
        <v>0.83</v>
      </c>
      <c r="AV166" s="14">
        <v>1.62</v>
      </c>
      <c r="AW166" s="8" t="s">
        <v>276</v>
      </c>
      <c r="AX166" s="8" t="s">
        <v>98</v>
      </c>
      <c r="AY166" s="8" t="s">
        <v>98</v>
      </c>
      <c r="AZ166" s="8" t="s">
        <v>98</v>
      </c>
      <c r="BA166" s="8" t="s">
        <v>98</v>
      </c>
      <c r="BB166" s="8" t="s">
        <v>98</v>
      </c>
      <c r="BC166" s="9" t="s">
        <v>426</v>
      </c>
      <c r="BD166" s="9" t="s">
        <v>1570</v>
      </c>
      <c r="BE166" s="9" t="s">
        <v>100</v>
      </c>
      <c r="BF166" s="33" t="s">
        <v>98</v>
      </c>
    </row>
    <row r="167" spans="1:58" s="7" customFormat="1" ht="65" x14ac:dyDescent="0.3">
      <c r="A167" s="8">
        <v>1583</v>
      </c>
      <c r="B167" s="8" t="s">
        <v>1555</v>
      </c>
      <c r="C167" s="9" t="s">
        <v>1556</v>
      </c>
      <c r="D167" s="9" t="s">
        <v>1571</v>
      </c>
      <c r="E167" s="8" t="s">
        <v>43</v>
      </c>
      <c r="F167" s="9" t="s">
        <v>139</v>
      </c>
      <c r="G167" s="8" t="s">
        <v>225</v>
      </c>
      <c r="H167" s="8" t="s">
        <v>125</v>
      </c>
      <c r="I167" s="8" t="s">
        <v>114</v>
      </c>
      <c r="J167" s="9" t="s">
        <v>24</v>
      </c>
      <c r="K167" s="9" t="s">
        <v>1558</v>
      </c>
      <c r="L167" s="9" t="s">
        <v>1559</v>
      </c>
      <c r="M167" s="8" t="s">
        <v>14</v>
      </c>
      <c r="N167" s="11" t="s">
        <v>98</v>
      </c>
      <c r="O167" s="12" t="s">
        <v>207</v>
      </c>
      <c r="P167" s="41" t="s">
        <v>98</v>
      </c>
      <c r="Q167" s="9">
        <v>8</v>
      </c>
      <c r="R167" s="9" t="s">
        <v>1572</v>
      </c>
      <c r="S167" s="9" t="s">
        <v>1573</v>
      </c>
      <c r="T167" s="9">
        <v>6</v>
      </c>
      <c r="U167" s="13">
        <v>38343</v>
      </c>
      <c r="V167" s="9">
        <v>38350</v>
      </c>
      <c r="W167" s="61" t="s">
        <v>276</v>
      </c>
      <c r="X167" s="61" t="s">
        <v>276</v>
      </c>
      <c r="Y167" s="61" t="s">
        <v>276</v>
      </c>
      <c r="Z167" s="9" t="s">
        <v>1562</v>
      </c>
      <c r="AA167" s="61" t="s">
        <v>276</v>
      </c>
      <c r="AB167" s="9" t="s">
        <v>1562</v>
      </c>
      <c r="AC167" s="9" t="s">
        <v>1574</v>
      </c>
      <c r="AD167" s="9" t="s">
        <v>1487</v>
      </c>
      <c r="AE167" s="8">
        <v>59</v>
      </c>
      <c r="AF167" s="8">
        <v>56</v>
      </c>
      <c r="AG167" s="13">
        <v>287196</v>
      </c>
      <c r="AH167" s="13">
        <v>285777</v>
      </c>
      <c r="AI167" s="13">
        <v>10000</v>
      </c>
      <c r="AJ167" s="43">
        <v>2.1</v>
      </c>
      <c r="AK167" s="31">
        <f t="shared" si="24"/>
        <v>2.0543461608100393</v>
      </c>
      <c r="AL167" s="14" t="s">
        <v>276</v>
      </c>
      <c r="AM167" s="14" t="s">
        <v>276</v>
      </c>
      <c r="AN167" s="43">
        <v>2</v>
      </c>
      <c r="AO167" s="31">
        <f t="shared" si="25"/>
        <v>1.9595698744125665</v>
      </c>
      <c r="AP167" s="14" t="s">
        <v>276</v>
      </c>
      <c r="AQ167" s="14" t="s">
        <v>276</v>
      </c>
      <c r="AR167" s="8" t="s">
        <v>269</v>
      </c>
      <c r="AS167" s="14">
        <v>1.05</v>
      </c>
      <c r="AT167" s="14">
        <f t="shared" si="26"/>
        <v>1.0483658621389476</v>
      </c>
      <c r="AU167" s="14">
        <v>0.73</v>
      </c>
      <c r="AV167" s="14">
        <v>1.51</v>
      </c>
      <c r="AW167" s="8" t="s">
        <v>276</v>
      </c>
      <c r="AX167" s="8" t="s">
        <v>98</v>
      </c>
      <c r="AY167" s="8" t="s">
        <v>98</v>
      </c>
      <c r="AZ167" s="8" t="s">
        <v>98</v>
      </c>
      <c r="BA167" s="8" t="s">
        <v>98</v>
      </c>
      <c r="BB167" s="8" t="s">
        <v>98</v>
      </c>
      <c r="BC167" s="9" t="s">
        <v>426</v>
      </c>
      <c r="BD167" s="9" t="s">
        <v>1570</v>
      </c>
      <c r="BE167" s="9" t="s">
        <v>100</v>
      </c>
      <c r="BF167" s="33" t="s">
        <v>98</v>
      </c>
    </row>
    <row r="168" spans="1:58" s="7" customFormat="1" ht="65" x14ac:dyDescent="0.3">
      <c r="A168" s="8">
        <v>1583</v>
      </c>
      <c r="B168" s="8" t="s">
        <v>1555</v>
      </c>
      <c r="C168" s="9" t="s">
        <v>1556</v>
      </c>
      <c r="D168" s="9" t="s">
        <v>1575</v>
      </c>
      <c r="E168" s="8" t="s">
        <v>43</v>
      </c>
      <c r="F168" s="9" t="s">
        <v>139</v>
      </c>
      <c r="G168" s="8" t="s">
        <v>225</v>
      </c>
      <c r="H168" s="8" t="s">
        <v>125</v>
      </c>
      <c r="I168" s="8" t="s">
        <v>114</v>
      </c>
      <c r="J168" s="9" t="s">
        <v>24</v>
      </c>
      <c r="K168" s="9" t="s">
        <v>1558</v>
      </c>
      <c r="L168" s="9" t="s">
        <v>1559</v>
      </c>
      <c r="M168" s="8" t="s">
        <v>14</v>
      </c>
      <c r="N168" s="11" t="s">
        <v>98</v>
      </c>
      <c r="O168" s="12" t="s">
        <v>207</v>
      </c>
      <c r="P168" s="41" t="s">
        <v>98</v>
      </c>
      <c r="Q168" s="9">
        <v>7</v>
      </c>
      <c r="R168" s="9" t="s">
        <v>1576</v>
      </c>
      <c r="S168" s="9" t="s">
        <v>1577</v>
      </c>
      <c r="T168" s="9">
        <v>6</v>
      </c>
      <c r="U168" s="13">
        <v>38343</v>
      </c>
      <c r="V168" s="9">
        <v>38350</v>
      </c>
      <c r="W168" s="48">
        <v>793</v>
      </c>
      <c r="X168" s="48">
        <v>814</v>
      </c>
      <c r="Y168" s="61" t="s">
        <v>276</v>
      </c>
      <c r="Z168" s="9" t="s">
        <v>1562</v>
      </c>
      <c r="AA168" s="62" t="s">
        <v>276</v>
      </c>
      <c r="AB168" s="9" t="s">
        <v>1562</v>
      </c>
      <c r="AC168" s="9" t="s">
        <v>1578</v>
      </c>
      <c r="AD168" s="9" t="s">
        <v>1487</v>
      </c>
      <c r="AE168" s="8">
        <v>50</v>
      </c>
      <c r="AF168" s="8">
        <v>44</v>
      </c>
      <c r="AG168" s="13">
        <v>254295</v>
      </c>
      <c r="AH168" s="13">
        <v>253317</v>
      </c>
      <c r="AI168" s="13">
        <v>10000</v>
      </c>
      <c r="AJ168" s="43">
        <v>2</v>
      </c>
      <c r="AK168" s="31">
        <f t="shared" si="24"/>
        <v>1.966220334650701</v>
      </c>
      <c r="AL168" s="14" t="s">
        <v>276</v>
      </c>
      <c r="AM168" s="14" t="s">
        <v>276</v>
      </c>
      <c r="AN168" s="43">
        <v>1.7</v>
      </c>
      <c r="AO168" s="31">
        <f t="shared" si="25"/>
        <v>1.736954093092844</v>
      </c>
      <c r="AP168" s="14" t="s">
        <v>276</v>
      </c>
      <c r="AQ168" s="14" t="s">
        <v>276</v>
      </c>
      <c r="AR168" s="8" t="s">
        <v>269</v>
      </c>
      <c r="AS168" s="14">
        <v>1.1299999999999999</v>
      </c>
      <c r="AT168" s="14">
        <f t="shared" si="26"/>
        <v>1.1319932648016173</v>
      </c>
      <c r="AU168" s="14">
        <v>0.75</v>
      </c>
      <c r="AV168" s="14">
        <v>1.7</v>
      </c>
      <c r="AW168" s="8" t="s">
        <v>276</v>
      </c>
      <c r="AX168" s="8" t="s">
        <v>98</v>
      </c>
      <c r="AY168" s="8" t="s">
        <v>98</v>
      </c>
      <c r="AZ168" s="8" t="s">
        <v>98</v>
      </c>
      <c r="BA168" s="8" t="s">
        <v>98</v>
      </c>
      <c r="BB168" s="8" t="s">
        <v>98</v>
      </c>
      <c r="BC168" s="9" t="s">
        <v>1579</v>
      </c>
      <c r="BD168" s="9" t="s">
        <v>1570</v>
      </c>
      <c r="BE168" s="9" t="s">
        <v>100</v>
      </c>
      <c r="BF168" s="33" t="s">
        <v>98</v>
      </c>
    </row>
    <row r="169" spans="1:58" s="7" customFormat="1" ht="65" x14ac:dyDescent="0.3">
      <c r="A169" s="8">
        <v>1583</v>
      </c>
      <c r="B169" s="8" t="s">
        <v>1555</v>
      </c>
      <c r="C169" s="9" t="s">
        <v>1556</v>
      </c>
      <c r="D169" s="9" t="s">
        <v>1580</v>
      </c>
      <c r="E169" s="8" t="s">
        <v>43</v>
      </c>
      <c r="F169" s="9" t="s">
        <v>139</v>
      </c>
      <c r="G169" s="8" t="s">
        <v>225</v>
      </c>
      <c r="H169" s="8" t="s">
        <v>125</v>
      </c>
      <c r="I169" s="8" t="s">
        <v>114</v>
      </c>
      <c r="J169" s="9" t="s">
        <v>24</v>
      </c>
      <c r="K169" s="9" t="s">
        <v>1558</v>
      </c>
      <c r="L169" s="9" t="s">
        <v>1559</v>
      </c>
      <c r="M169" s="8" t="s">
        <v>14</v>
      </c>
      <c r="N169" s="11" t="s">
        <v>98</v>
      </c>
      <c r="O169" s="12" t="s">
        <v>207</v>
      </c>
      <c r="P169" s="41" t="s">
        <v>98</v>
      </c>
      <c r="Q169" s="9">
        <v>6</v>
      </c>
      <c r="R169" s="9" t="s">
        <v>1581</v>
      </c>
      <c r="S169" s="9" t="s">
        <v>1582</v>
      </c>
      <c r="T169" s="9">
        <v>6</v>
      </c>
      <c r="U169" s="13">
        <v>38343</v>
      </c>
      <c r="V169" s="9">
        <v>38350</v>
      </c>
      <c r="W169" s="61" t="s">
        <v>276</v>
      </c>
      <c r="X169" s="61" t="s">
        <v>276</v>
      </c>
      <c r="Y169" s="61" t="s">
        <v>276</v>
      </c>
      <c r="Z169" s="9" t="s">
        <v>1562</v>
      </c>
      <c r="AA169" s="61" t="s">
        <v>276</v>
      </c>
      <c r="AB169" s="9" t="s">
        <v>1562</v>
      </c>
      <c r="AC169" s="9" t="s">
        <v>1583</v>
      </c>
      <c r="AD169" s="9" t="s">
        <v>1487</v>
      </c>
      <c r="AE169" s="8">
        <v>35</v>
      </c>
      <c r="AF169" s="8">
        <v>34</v>
      </c>
      <c r="AG169" s="13">
        <v>219752</v>
      </c>
      <c r="AH169" s="13">
        <v>219135</v>
      </c>
      <c r="AI169" s="13">
        <v>10000</v>
      </c>
      <c r="AJ169" s="43">
        <v>1.6</v>
      </c>
      <c r="AK169" s="31">
        <f t="shared" si="24"/>
        <v>1.5927045032582183</v>
      </c>
      <c r="AL169" s="14" t="s">
        <v>276</v>
      </c>
      <c r="AM169" s="14" t="s">
        <v>276</v>
      </c>
      <c r="AN169" s="43">
        <v>1.6</v>
      </c>
      <c r="AO169" s="31">
        <f t="shared" si="25"/>
        <v>1.5515549775252697</v>
      </c>
      <c r="AP169" s="14" t="s">
        <v>276</v>
      </c>
      <c r="AQ169" s="14" t="s">
        <v>276</v>
      </c>
      <c r="AR169" s="8" t="s">
        <v>269</v>
      </c>
      <c r="AS169" s="14">
        <v>1.03</v>
      </c>
      <c r="AT169" s="14">
        <f t="shared" si="26"/>
        <v>1.0265214744749698</v>
      </c>
      <c r="AU169" s="14">
        <v>0.64</v>
      </c>
      <c r="AV169" s="14">
        <v>1.65</v>
      </c>
      <c r="AW169" s="8" t="s">
        <v>276</v>
      </c>
      <c r="AX169" s="8" t="s">
        <v>98</v>
      </c>
      <c r="AY169" s="8" t="s">
        <v>98</v>
      </c>
      <c r="AZ169" s="8" t="s">
        <v>98</v>
      </c>
      <c r="BA169" s="8" t="s">
        <v>98</v>
      </c>
      <c r="BB169" s="8" t="s">
        <v>98</v>
      </c>
      <c r="BC169" s="9" t="s">
        <v>426</v>
      </c>
      <c r="BD169" s="9"/>
      <c r="BE169" s="9" t="s">
        <v>100</v>
      </c>
      <c r="BF169" s="33" t="s">
        <v>98</v>
      </c>
    </row>
    <row r="170" spans="1:58" s="7" customFormat="1" ht="65" x14ac:dyDescent="0.3">
      <c r="A170" s="8">
        <v>1583</v>
      </c>
      <c r="B170" s="8" t="s">
        <v>1555</v>
      </c>
      <c r="C170" s="9" t="s">
        <v>1556</v>
      </c>
      <c r="D170" s="9" t="s">
        <v>1584</v>
      </c>
      <c r="E170" s="8" t="s">
        <v>43</v>
      </c>
      <c r="F170" s="9" t="s">
        <v>139</v>
      </c>
      <c r="G170" s="8" t="s">
        <v>225</v>
      </c>
      <c r="H170" s="8" t="s">
        <v>125</v>
      </c>
      <c r="I170" s="8" t="s">
        <v>114</v>
      </c>
      <c r="J170" s="9" t="s">
        <v>24</v>
      </c>
      <c r="K170" s="9" t="s">
        <v>1558</v>
      </c>
      <c r="L170" s="9" t="s">
        <v>1559</v>
      </c>
      <c r="M170" s="8" t="s">
        <v>14</v>
      </c>
      <c r="N170" s="11" t="s">
        <v>98</v>
      </c>
      <c r="O170" s="12" t="s">
        <v>207</v>
      </c>
      <c r="P170" s="41" t="s">
        <v>98</v>
      </c>
      <c r="Q170" s="9">
        <v>5</v>
      </c>
      <c r="R170" s="9" t="s">
        <v>1585</v>
      </c>
      <c r="S170" s="9" t="s">
        <v>1586</v>
      </c>
      <c r="T170" s="9">
        <v>6</v>
      </c>
      <c r="U170" s="13">
        <v>38343</v>
      </c>
      <c r="V170" s="9">
        <v>38350</v>
      </c>
      <c r="W170" s="61" t="s">
        <v>276</v>
      </c>
      <c r="X170" s="61" t="s">
        <v>276</v>
      </c>
      <c r="Y170" s="61" t="s">
        <v>276</v>
      </c>
      <c r="Z170" s="9" t="s">
        <v>1562</v>
      </c>
      <c r="AA170" s="61" t="s">
        <v>276</v>
      </c>
      <c r="AB170" s="9" t="s">
        <v>1562</v>
      </c>
      <c r="AC170" s="9" t="s">
        <v>1587</v>
      </c>
      <c r="AD170" s="9" t="s">
        <v>1487</v>
      </c>
      <c r="AE170" s="8">
        <v>26</v>
      </c>
      <c r="AF170" s="8">
        <v>23</v>
      </c>
      <c r="AG170" s="13">
        <v>184490</v>
      </c>
      <c r="AH170" s="13">
        <v>184154</v>
      </c>
      <c r="AI170" s="13">
        <v>10000</v>
      </c>
      <c r="AJ170" s="43">
        <v>1.4</v>
      </c>
      <c r="AK170" s="31">
        <f t="shared" si="24"/>
        <v>1.4092904764485878</v>
      </c>
      <c r="AL170" s="14" t="s">
        <v>276</v>
      </c>
      <c r="AM170" s="14" t="s">
        <v>276</v>
      </c>
      <c r="AN170" s="43">
        <v>1.2</v>
      </c>
      <c r="AO170" s="31">
        <f t="shared" si="25"/>
        <v>1.248954679235857</v>
      </c>
      <c r="AP170" s="14" t="s">
        <v>276</v>
      </c>
      <c r="AQ170" s="14" t="s">
        <v>276</v>
      </c>
      <c r="AR170" s="8" t="s">
        <v>269</v>
      </c>
      <c r="AS170" s="14">
        <v>1.1299999999999999</v>
      </c>
      <c r="AT170" s="14">
        <f t="shared" si="26"/>
        <v>1.128375993043101</v>
      </c>
      <c r="AU170" s="14">
        <v>0.64</v>
      </c>
      <c r="AV170" s="14">
        <v>1.98</v>
      </c>
      <c r="AW170" s="8" t="s">
        <v>276</v>
      </c>
      <c r="AX170" s="8" t="s">
        <v>98</v>
      </c>
      <c r="AY170" s="8" t="s">
        <v>98</v>
      </c>
      <c r="AZ170" s="8" t="s">
        <v>98</v>
      </c>
      <c r="BA170" s="8" t="s">
        <v>98</v>
      </c>
      <c r="BB170" s="8" t="s">
        <v>98</v>
      </c>
      <c r="BC170" s="9" t="s">
        <v>426</v>
      </c>
      <c r="BD170" s="9"/>
      <c r="BE170" s="9" t="s">
        <v>100</v>
      </c>
      <c r="BF170" s="33" t="s">
        <v>98</v>
      </c>
    </row>
    <row r="171" spans="1:58" s="7" customFormat="1" ht="65" x14ac:dyDescent="0.3">
      <c r="A171" s="8">
        <v>1583</v>
      </c>
      <c r="B171" s="8" t="s">
        <v>1555</v>
      </c>
      <c r="C171" s="9" t="s">
        <v>1556</v>
      </c>
      <c r="D171" s="9" t="s">
        <v>1588</v>
      </c>
      <c r="E171" s="8" t="s">
        <v>43</v>
      </c>
      <c r="F171" s="9" t="s">
        <v>139</v>
      </c>
      <c r="G171" s="8" t="s">
        <v>225</v>
      </c>
      <c r="H171" s="8" t="s">
        <v>125</v>
      </c>
      <c r="I171" s="8" t="s">
        <v>114</v>
      </c>
      <c r="J171" s="9" t="s">
        <v>24</v>
      </c>
      <c r="K171" s="9" t="s">
        <v>1558</v>
      </c>
      <c r="L171" s="9" t="s">
        <v>1559</v>
      </c>
      <c r="M171" s="8" t="s">
        <v>14</v>
      </c>
      <c r="N171" s="11" t="s">
        <v>98</v>
      </c>
      <c r="O171" s="12" t="s">
        <v>207</v>
      </c>
      <c r="P171" s="41" t="s">
        <v>98</v>
      </c>
      <c r="Q171" s="9">
        <v>4</v>
      </c>
      <c r="R171" s="9" t="s">
        <v>1589</v>
      </c>
      <c r="S171" s="9" t="s">
        <v>1590</v>
      </c>
      <c r="T171" s="9">
        <v>5</v>
      </c>
      <c r="U171" s="13">
        <v>38343</v>
      </c>
      <c r="V171" s="9">
        <v>38350</v>
      </c>
      <c r="W171" s="61" t="s">
        <v>276</v>
      </c>
      <c r="X171" s="61" t="s">
        <v>276</v>
      </c>
      <c r="Y171" s="61" t="s">
        <v>276</v>
      </c>
      <c r="Z171" s="9" t="s">
        <v>1562</v>
      </c>
      <c r="AA171" s="61" t="s">
        <v>276</v>
      </c>
      <c r="AB171" s="9" t="s">
        <v>1562</v>
      </c>
      <c r="AC171" s="9" t="s">
        <v>1591</v>
      </c>
      <c r="AD171" s="9" t="s">
        <v>1487</v>
      </c>
      <c r="AE171" s="8">
        <v>16</v>
      </c>
      <c r="AF171" s="8">
        <v>18</v>
      </c>
      <c r="AG171" s="13">
        <v>148635</v>
      </c>
      <c r="AH171" s="13">
        <v>148444</v>
      </c>
      <c r="AI171" s="13">
        <v>10000</v>
      </c>
      <c r="AJ171" s="43">
        <v>1.1000000000000001</v>
      </c>
      <c r="AK171" s="31">
        <f t="shared" si="24"/>
        <v>1.076462475190904</v>
      </c>
      <c r="AL171" s="14" t="s">
        <v>276</v>
      </c>
      <c r="AM171" s="14" t="s">
        <v>276</v>
      </c>
      <c r="AN171" s="43">
        <v>1.2</v>
      </c>
      <c r="AO171" s="31">
        <f t="shared" si="25"/>
        <v>1.2125784807738944</v>
      </c>
      <c r="AP171" s="14" t="s">
        <v>276</v>
      </c>
      <c r="AQ171" s="14" t="s">
        <v>276</v>
      </c>
      <c r="AR171" s="8" t="s">
        <v>269</v>
      </c>
      <c r="AS171" s="14">
        <v>0.89</v>
      </c>
      <c r="AT171" s="14">
        <f t="shared" si="26"/>
        <v>0.88774664259576985</v>
      </c>
      <c r="AU171" s="14">
        <v>0.45</v>
      </c>
      <c r="AV171" s="14">
        <v>1.74</v>
      </c>
      <c r="AW171" s="8" t="s">
        <v>276</v>
      </c>
      <c r="AX171" s="8" t="s">
        <v>98</v>
      </c>
      <c r="AY171" s="8" t="s">
        <v>98</v>
      </c>
      <c r="AZ171" s="8" t="s">
        <v>98</v>
      </c>
      <c r="BA171" s="8" t="s">
        <v>98</v>
      </c>
      <c r="BB171" s="8" t="s">
        <v>98</v>
      </c>
      <c r="BC171" s="9" t="s">
        <v>426</v>
      </c>
      <c r="BD171" s="9"/>
      <c r="BE171" s="9" t="s">
        <v>100</v>
      </c>
      <c r="BF171" s="33" t="s">
        <v>98</v>
      </c>
    </row>
    <row r="172" spans="1:58" s="7" customFormat="1" ht="65" x14ac:dyDescent="0.3">
      <c r="A172" s="8">
        <v>1583</v>
      </c>
      <c r="B172" s="8" t="s">
        <v>1555</v>
      </c>
      <c r="C172" s="9" t="s">
        <v>1556</v>
      </c>
      <c r="D172" s="9" t="s">
        <v>1592</v>
      </c>
      <c r="E172" s="8" t="s">
        <v>43</v>
      </c>
      <c r="F172" s="9" t="s">
        <v>139</v>
      </c>
      <c r="G172" s="8" t="s">
        <v>225</v>
      </c>
      <c r="H172" s="8" t="s">
        <v>125</v>
      </c>
      <c r="I172" s="8" t="s">
        <v>114</v>
      </c>
      <c r="J172" s="9" t="s">
        <v>24</v>
      </c>
      <c r="K172" s="9" t="s">
        <v>1558</v>
      </c>
      <c r="L172" s="9" t="s">
        <v>1559</v>
      </c>
      <c r="M172" s="8" t="s">
        <v>14</v>
      </c>
      <c r="N172" s="11" t="s">
        <v>98</v>
      </c>
      <c r="O172" s="12" t="s">
        <v>207</v>
      </c>
      <c r="P172" s="41" t="s">
        <v>98</v>
      </c>
      <c r="Q172" s="9">
        <v>3</v>
      </c>
      <c r="R172" s="9" t="s">
        <v>1593</v>
      </c>
      <c r="S172" s="9" t="s">
        <v>1594</v>
      </c>
      <c r="T172" s="9">
        <v>4</v>
      </c>
      <c r="U172" s="13">
        <v>38343</v>
      </c>
      <c r="V172" s="9">
        <v>38350</v>
      </c>
      <c r="W172" s="61" t="s">
        <v>276</v>
      </c>
      <c r="X172" s="61" t="s">
        <v>276</v>
      </c>
      <c r="Y172" s="61" t="s">
        <v>276</v>
      </c>
      <c r="Z172" s="9" t="s">
        <v>1562</v>
      </c>
      <c r="AA172" s="61" t="s">
        <v>276</v>
      </c>
      <c r="AB172" s="9" t="s">
        <v>1562</v>
      </c>
      <c r="AC172" s="9" t="s">
        <v>1595</v>
      </c>
      <c r="AD172" s="9" t="s">
        <v>1487</v>
      </c>
      <c r="AE172" s="8">
        <v>12</v>
      </c>
      <c r="AF172" s="8">
        <v>12</v>
      </c>
      <c r="AG172" s="13">
        <v>112234</v>
      </c>
      <c r="AH172" s="13">
        <v>112123</v>
      </c>
      <c r="AI172" s="13">
        <v>10000</v>
      </c>
      <c r="AJ172" s="43">
        <v>1.1000000000000001</v>
      </c>
      <c r="AK172" s="31">
        <f t="shared" si="24"/>
        <v>1.0691947181780923</v>
      </c>
      <c r="AL172" s="14" t="s">
        <v>276</v>
      </c>
      <c r="AM172" s="14" t="s">
        <v>276</v>
      </c>
      <c r="AN172" s="43">
        <v>1.1000000000000001</v>
      </c>
      <c r="AO172" s="31">
        <f t="shared" si="25"/>
        <v>1.0702532040705297</v>
      </c>
      <c r="AP172" s="14" t="s">
        <v>276</v>
      </c>
      <c r="AQ172" s="14" t="s">
        <v>276</v>
      </c>
      <c r="AR172" s="8" t="s">
        <v>269</v>
      </c>
      <c r="AS172" s="14">
        <v>1</v>
      </c>
      <c r="AT172" s="14">
        <f t="shared" si="26"/>
        <v>0.99901099488568534</v>
      </c>
      <c r="AU172" s="14">
        <v>0.45</v>
      </c>
      <c r="AV172" s="14">
        <v>2.2200000000000002</v>
      </c>
      <c r="AW172" s="8" t="s">
        <v>276</v>
      </c>
      <c r="AX172" s="8" t="s">
        <v>98</v>
      </c>
      <c r="AY172" s="8" t="s">
        <v>98</v>
      </c>
      <c r="AZ172" s="8" t="s">
        <v>98</v>
      </c>
      <c r="BA172" s="8" t="s">
        <v>98</v>
      </c>
      <c r="BB172" s="8" t="s">
        <v>98</v>
      </c>
      <c r="BC172" s="9" t="s">
        <v>426</v>
      </c>
      <c r="BD172" s="9"/>
      <c r="BE172" s="9" t="s">
        <v>100</v>
      </c>
      <c r="BF172" s="33" t="s">
        <v>98</v>
      </c>
    </row>
    <row r="173" spans="1:58" s="7" customFormat="1" ht="65" x14ac:dyDescent="0.3">
      <c r="A173" s="8">
        <v>1583</v>
      </c>
      <c r="B173" s="8" t="s">
        <v>1555</v>
      </c>
      <c r="C173" s="9" t="s">
        <v>1556</v>
      </c>
      <c r="D173" s="9" t="s">
        <v>1596</v>
      </c>
      <c r="E173" s="8" t="s">
        <v>43</v>
      </c>
      <c r="F173" s="9" t="s">
        <v>139</v>
      </c>
      <c r="G173" s="8" t="s">
        <v>225</v>
      </c>
      <c r="H173" s="8" t="s">
        <v>125</v>
      </c>
      <c r="I173" s="8" t="s">
        <v>114</v>
      </c>
      <c r="J173" s="9" t="s">
        <v>24</v>
      </c>
      <c r="K173" s="9" t="s">
        <v>1558</v>
      </c>
      <c r="L173" s="9" t="s">
        <v>1559</v>
      </c>
      <c r="M173" s="8" t="s">
        <v>14</v>
      </c>
      <c r="N173" s="11" t="s">
        <v>98</v>
      </c>
      <c r="O173" s="12" t="s">
        <v>207</v>
      </c>
      <c r="P173" s="41" t="s">
        <v>98</v>
      </c>
      <c r="Q173" s="9">
        <v>2</v>
      </c>
      <c r="R173" s="9" t="s">
        <v>1597</v>
      </c>
      <c r="S173" s="9" t="s">
        <v>1598</v>
      </c>
      <c r="T173" s="9">
        <v>3</v>
      </c>
      <c r="U173" s="13">
        <v>38343</v>
      </c>
      <c r="V173" s="9">
        <v>38350</v>
      </c>
      <c r="W173" s="61" t="s">
        <v>276</v>
      </c>
      <c r="X173" s="61" t="s">
        <v>276</v>
      </c>
      <c r="Y173" s="61" t="s">
        <v>276</v>
      </c>
      <c r="Z173" s="9" t="s">
        <v>1562</v>
      </c>
      <c r="AA173" s="61" t="s">
        <v>276</v>
      </c>
      <c r="AB173" s="9" t="s">
        <v>1562</v>
      </c>
      <c r="AC173" s="9" t="s">
        <v>1599</v>
      </c>
      <c r="AD173" s="9" t="s">
        <v>1487</v>
      </c>
      <c r="AE173" s="8">
        <v>6</v>
      </c>
      <c r="AF173" s="8">
        <v>4</v>
      </c>
      <c r="AG173" s="13">
        <v>75292</v>
      </c>
      <c r="AH173" s="13">
        <v>75231</v>
      </c>
      <c r="AI173" s="13">
        <v>10000</v>
      </c>
      <c r="AJ173" s="43">
        <v>0.8</v>
      </c>
      <c r="AK173" s="31">
        <f t="shared" si="24"/>
        <v>0.79689741273973336</v>
      </c>
      <c r="AL173" s="14" t="s">
        <v>276</v>
      </c>
      <c r="AM173" s="14" t="s">
        <v>276</v>
      </c>
      <c r="AN173" s="43">
        <v>0.5</v>
      </c>
      <c r="AO173" s="31">
        <f t="shared" si="25"/>
        <v>0.5316957105448552</v>
      </c>
      <c r="AP173" s="14" t="s">
        <v>276</v>
      </c>
      <c r="AQ173" s="14" t="s">
        <v>276</v>
      </c>
      <c r="AR173" s="8" t="s">
        <v>269</v>
      </c>
      <c r="AS173" s="14">
        <v>1.5</v>
      </c>
      <c r="AT173" s="14">
        <f t="shared" si="26"/>
        <v>1.498784731445572</v>
      </c>
      <c r="AU173" s="14">
        <v>0.42</v>
      </c>
      <c r="AV173" s="14">
        <v>5.31</v>
      </c>
      <c r="AW173" s="8" t="s">
        <v>276</v>
      </c>
      <c r="AX173" s="8" t="s">
        <v>98</v>
      </c>
      <c r="AY173" s="8" t="s">
        <v>98</v>
      </c>
      <c r="AZ173" s="8" t="s">
        <v>98</v>
      </c>
      <c r="BA173" s="8" t="s">
        <v>98</v>
      </c>
      <c r="BB173" s="8" t="s">
        <v>98</v>
      </c>
      <c r="BC173" s="9" t="s">
        <v>426</v>
      </c>
      <c r="BD173" s="9"/>
      <c r="BE173" s="9" t="s">
        <v>100</v>
      </c>
      <c r="BF173" s="33" t="s">
        <v>98</v>
      </c>
    </row>
    <row r="174" spans="1:58" s="7" customFormat="1" ht="65" x14ac:dyDescent="0.3">
      <c r="A174" s="8">
        <v>1583</v>
      </c>
      <c r="B174" s="8" t="s">
        <v>1555</v>
      </c>
      <c r="C174" s="9" t="s">
        <v>1556</v>
      </c>
      <c r="D174" s="9" t="s">
        <v>1600</v>
      </c>
      <c r="E174" s="8" t="s">
        <v>43</v>
      </c>
      <c r="F174" s="9" t="s">
        <v>139</v>
      </c>
      <c r="G174" s="8" t="s">
        <v>225</v>
      </c>
      <c r="H174" s="8" t="s">
        <v>125</v>
      </c>
      <c r="I174" s="8" t="s">
        <v>114</v>
      </c>
      <c r="J174" s="9" t="s">
        <v>24</v>
      </c>
      <c r="K174" s="9" t="s">
        <v>1558</v>
      </c>
      <c r="L174" s="9" t="s">
        <v>1559</v>
      </c>
      <c r="M174" s="8" t="s">
        <v>14</v>
      </c>
      <c r="N174" s="11" t="s">
        <v>98</v>
      </c>
      <c r="O174" s="12" t="s">
        <v>207</v>
      </c>
      <c r="P174" s="41" t="s">
        <v>98</v>
      </c>
      <c r="Q174" s="9">
        <v>1</v>
      </c>
      <c r="R174" s="9" t="s">
        <v>1601</v>
      </c>
      <c r="S174" s="9" t="s">
        <v>1602</v>
      </c>
      <c r="T174" s="9">
        <v>2</v>
      </c>
      <c r="U174" s="13">
        <v>38343</v>
      </c>
      <c r="V174" s="9">
        <v>38350</v>
      </c>
      <c r="W174" s="61" t="s">
        <v>276</v>
      </c>
      <c r="X174" s="61" t="s">
        <v>276</v>
      </c>
      <c r="Y174" s="61" t="s">
        <v>276</v>
      </c>
      <c r="Z174" s="9" t="s">
        <v>1562</v>
      </c>
      <c r="AA174" s="61" t="s">
        <v>276</v>
      </c>
      <c r="AB174" s="9" t="s">
        <v>1562</v>
      </c>
      <c r="AC174" s="9" t="s">
        <v>1603</v>
      </c>
      <c r="AD174" s="9" t="s">
        <v>1487</v>
      </c>
      <c r="AE174" s="8">
        <v>3</v>
      </c>
      <c r="AF174" s="8">
        <v>1</v>
      </c>
      <c r="AG174" s="13">
        <v>37864</v>
      </c>
      <c r="AH174" s="13">
        <v>37838</v>
      </c>
      <c r="AI174" s="13">
        <v>10000</v>
      </c>
      <c r="AJ174" s="43">
        <v>0.8</v>
      </c>
      <c r="AK174" s="31">
        <f t="shared" si="24"/>
        <v>0.79230931755757439</v>
      </c>
      <c r="AL174" s="14" t="s">
        <v>276</v>
      </c>
      <c r="AM174" s="14" t="s">
        <v>276</v>
      </c>
      <c r="AN174" s="43">
        <v>0.3</v>
      </c>
      <c r="AO174" s="31">
        <f t="shared" si="25"/>
        <v>0.26428458163750729</v>
      </c>
      <c r="AP174" s="14" t="s">
        <v>276</v>
      </c>
      <c r="AQ174" s="14" t="s">
        <v>276</v>
      </c>
      <c r="AR174" s="8" t="s">
        <v>269</v>
      </c>
      <c r="AS174" s="14">
        <v>3</v>
      </c>
      <c r="AT174" s="14">
        <f t="shared" si="26"/>
        <v>2.9979399957743498</v>
      </c>
      <c r="AU174" s="14">
        <v>0.31</v>
      </c>
      <c r="AV174" s="14">
        <v>28.82</v>
      </c>
      <c r="AW174" s="8" t="s">
        <v>276</v>
      </c>
      <c r="AX174" s="8" t="s">
        <v>98</v>
      </c>
      <c r="AY174" s="8" t="s">
        <v>98</v>
      </c>
      <c r="AZ174" s="8" t="s">
        <v>98</v>
      </c>
      <c r="BA174" s="8" t="s">
        <v>98</v>
      </c>
      <c r="BB174" s="8" t="s">
        <v>98</v>
      </c>
      <c r="BC174" s="9" t="s">
        <v>426</v>
      </c>
      <c r="BD174" s="9"/>
      <c r="BE174" s="9" t="s">
        <v>100</v>
      </c>
      <c r="BF174" s="33" t="s">
        <v>98</v>
      </c>
    </row>
    <row r="175" spans="1:58" s="7" customFormat="1" ht="65" x14ac:dyDescent="0.3">
      <c r="A175" s="8">
        <v>1583</v>
      </c>
      <c r="B175" s="8" t="s">
        <v>1555</v>
      </c>
      <c r="C175" s="9" t="s">
        <v>1556</v>
      </c>
      <c r="D175" s="9" t="s">
        <v>1604</v>
      </c>
      <c r="E175" s="8" t="s">
        <v>43</v>
      </c>
      <c r="F175" s="9" t="s">
        <v>139</v>
      </c>
      <c r="G175" s="8" t="s">
        <v>225</v>
      </c>
      <c r="H175" s="8" t="s">
        <v>125</v>
      </c>
      <c r="I175" s="8" t="s">
        <v>114</v>
      </c>
      <c r="J175" s="9" t="s">
        <v>23</v>
      </c>
      <c r="K175" s="9" t="s">
        <v>1558</v>
      </c>
      <c r="L175" s="9" t="s">
        <v>1559</v>
      </c>
      <c r="M175" s="8" t="s">
        <v>14</v>
      </c>
      <c r="N175" s="11" t="s">
        <v>98</v>
      </c>
      <c r="O175" s="12" t="s">
        <v>207</v>
      </c>
      <c r="P175" s="41" t="s">
        <v>98</v>
      </c>
      <c r="Q175" s="9">
        <v>7</v>
      </c>
      <c r="R175" s="9" t="s">
        <v>1576</v>
      </c>
      <c r="S175" s="9" t="s">
        <v>1577</v>
      </c>
      <c r="T175" s="9">
        <v>6</v>
      </c>
      <c r="U175" s="13">
        <v>38343</v>
      </c>
      <c r="V175" s="9">
        <v>38350</v>
      </c>
      <c r="W175" s="49">
        <v>793</v>
      </c>
      <c r="X175" s="49">
        <v>814</v>
      </c>
      <c r="Y175" s="49">
        <v>0</v>
      </c>
      <c r="Z175" s="8" t="s">
        <v>98</v>
      </c>
      <c r="AA175" s="49">
        <v>0</v>
      </c>
      <c r="AB175" s="8" t="s">
        <v>98</v>
      </c>
      <c r="AC175" s="9" t="s">
        <v>1605</v>
      </c>
      <c r="AD175" s="9" t="s">
        <v>1606</v>
      </c>
      <c r="AE175" s="8">
        <v>3015</v>
      </c>
      <c r="AF175" s="8">
        <v>3122</v>
      </c>
      <c r="AG175" s="13">
        <v>38343</v>
      </c>
      <c r="AH175" s="13">
        <v>38350</v>
      </c>
      <c r="AI175" s="13">
        <v>1000</v>
      </c>
      <c r="AJ175" s="43" t="s">
        <v>276</v>
      </c>
      <c r="AK175" s="31">
        <f t="shared" si="24"/>
        <v>78.632344886941553</v>
      </c>
      <c r="AL175" s="14" t="s">
        <v>276</v>
      </c>
      <c r="AM175" s="14" t="s">
        <v>276</v>
      </c>
      <c r="AN175" s="14" t="s">
        <v>276</v>
      </c>
      <c r="AO175" s="31">
        <f t="shared" si="25"/>
        <v>81.408083441981745</v>
      </c>
      <c r="AP175" s="14" t="s">
        <v>276</v>
      </c>
      <c r="AQ175" s="14" t="s">
        <v>276</v>
      </c>
      <c r="AR175" s="8" t="s">
        <v>268</v>
      </c>
      <c r="AS175" s="14" t="s">
        <v>276</v>
      </c>
      <c r="AT175" s="14">
        <f>AK175/AO175</f>
        <v>0.96590340372011807</v>
      </c>
      <c r="AU175" s="14" t="s">
        <v>276</v>
      </c>
      <c r="AV175" s="14" t="s">
        <v>276</v>
      </c>
      <c r="AW175" s="14" t="s">
        <v>276</v>
      </c>
      <c r="AX175" s="8" t="s">
        <v>98</v>
      </c>
      <c r="AY175" s="8" t="s">
        <v>98</v>
      </c>
      <c r="AZ175" s="8" t="s">
        <v>98</v>
      </c>
      <c r="BA175" s="8" t="s">
        <v>98</v>
      </c>
      <c r="BB175" s="8" t="s">
        <v>98</v>
      </c>
      <c r="BC175" s="9" t="s">
        <v>1607</v>
      </c>
      <c r="BD175" s="9"/>
      <c r="BE175" s="9" t="s">
        <v>100</v>
      </c>
      <c r="BF175" s="33" t="s">
        <v>98</v>
      </c>
    </row>
    <row r="176" spans="1:58" s="1" customFormat="1" ht="91" x14ac:dyDescent="0.3">
      <c r="A176" s="2">
        <v>1582</v>
      </c>
      <c r="B176" s="2" t="s">
        <v>1608</v>
      </c>
      <c r="C176" s="9" t="s">
        <v>1556</v>
      </c>
      <c r="D176" s="9" t="s">
        <v>1609</v>
      </c>
      <c r="E176" s="2" t="s">
        <v>43</v>
      </c>
      <c r="F176" s="10" t="s">
        <v>139</v>
      </c>
      <c r="G176" s="2" t="s">
        <v>225</v>
      </c>
      <c r="H176" s="2" t="s">
        <v>125</v>
      </c>
      <c r="I176" s="2" t="s">
        <v>114</v>
      </c>
      <c r="J176" s="10" t="s">
        <v>24</v>
      </c>
      <c r="K176" s="10" t="s">
        <v>1610</v>
      </c>
      <c r="L176" s="10" t="s">
        <v>1611</v>
      </c>
      <c r="M176" s="2" t="s">
        <v>14</v>
      </c>
      <c r="N176" s="57" t="s">
        <v>98</v>
      </c>
      <c r="O176" s="58" t="s">
        <v>207</v>
      </c>
      <c r="P176" s="63">
        <v>40178</v>
      </c>
      <c r="Q176" s="10">
        <v>13</v>
      </c>
      <c r="R176" s="9" t="s">
        <v>1612</v>
      </c>
      <c r="S176" s="9" t="s">
        <v>1613</v>
      </c>
      <c r="T176" s="10">
        <v>6</v>
      </c>
      <c r="U176" s="59">
        <v>38340</v>
      </c>
      <c r="V176" s="10">
        <v>38345</v>
      </c>
      <c r="W176" s="10" t="s">
        <v>276</v>
      </c>
      <c r="X176" s="10" t="s">
        <v>276</v>
      </c>
      <c r="Y176" s="2" t="s">
        <v>276</v>
      </c>
      <c r="Z176" s="9" t="s">
        <v>1562</v>
      </c>
      <c r="AA176" s="8" t="s">
        <v>276</v>
      </c>
      <c r="AB176" s="9" t="s">
        <v>1562</v>
      </c>
      <c r="AC176" s="10" t="s">
        <v>1614</v>
      </c>
      <c r="AD176" s="10" t="s">
        <v>1487</v>
      </c>
      <c r="AE176" s="2">
        <v>158</v>
      </c>
      <c r="AF176" s="2">
        <v>145</v>
      </c>
      <c r="AG176" s="59">
        <v>426977</v>
      </c>
      <c r="AH176" s="59">
        <v>425439</v>
      </c>
      <c r="AI176" s="59">
        <v>10000</v>
      </c>
      <c r="AJ176" s="60">
        <v>3.7</v>
      </c>
      <c r="AK176" s="64">
        <f t="shared" si="24"/>
        <v>3.7004335128121655</v>
      </c>
      <c r="AL176" s="65" t="s">
        <v>276</v>
      </c>
      <c r="AM176" s="65" t="s">
        <v>276</v>
      </c>
      <c r="AN176" s="60">
        <v>3.4</v>
      </c>
      <c r="AO176" s="64">
        <f t="shared" si="25"/>
        <v>3.4082441901189124</v>
      </c>
      <c r="AP176" s="65" t="s">
        <v>276</v>
      </c>
      <c r="AQ176" s="65" t="s">
        <v>276</v>
      </c>
      <c r="AR176" s="8" t="s">
        <v>269</v>
      </c>
      <c r="AS176" s="65">
        <v>1.0900000000000001</v>
      </c>
      <c r="AT176" s="65">
        <f t="shared" si="26"/>
        <v>1.0857301608670999</v>
      </c>
      <c r="AU176" s="65">
        <v>0.87</v>
      </c>
      <c r="AV176" s="65">
        <v>1.36</v>
      </c>
      <c r="AW176" s="8" t="s">
        <v>691</v>
      </c>
      <c r="AX176" s="2" t="s">
        <v>98</v>
      </c>
      <c r="AY176" s="2" t="s">
        <v>98</v>
      </c>
      <c r="AZ176" s="2" t="s">
        <v>98</v>
      </c>
      <c r="BA176" s="2" t="s">
        <v>98</v>
      </c>
      <c r="BB176" s="2" t="s">
        <v>98</v>
      </c>
      <c r="BC176" s="10" t="s">
        <v>1615</v>
      </c>
      <c r="BD176" s="9" t="s">
        <v>1616</v>
      </c>
      <c r="BE176" s="9" t="s">
        <v>99</v>
      </c>
      <c r="BF176" s="6" t="s">
        <v>11163</v>
      </c>
    </row>
    <row r="177" spans="1:58" s="1" customFormat="1" ht="65" x14ac:dyDescent="0.3">
      <c r="A177" s="2">
        <v>1582</v>
      </c>
      <c r="B177" s="2" t="s">
        <v>1608</v>
      </c>
      <c r="C177" s="9" t="s">
        <v>1556</v>
      </c>
      <c r="D177" s="9" t="s">
        <v>1617</v>
      </c>
      <c r="E177" s="2" t="s">
        <v>43</v>
      </c>
      <c r="F177" s="10" t="s">
        <v>139</v>
      </c>
      <c r="G177" s="2" t="s">
        <v>225</v>
      </c>
      <c r="H177" s="2" t="s">
        <v>125</v>
      </c>
      <c r="I177" s="2" t="s">
        <v>114</v>
      </c>
      <c r="J177" s="10" t="s">
        <v>24</v>
      </c>
      <c r="K177" s="10" t="s">
        <v>1610</v>
      </c>
      <c r="L177" s="10" t="s">
        <v>1611</v>
      </c>
      <c r="M177" s="2" t="s">
        <v>14</v>
      </c>
      <c r="N177" s="57" t="s">
        <v>98</v>
      </c>
      <c r="O177" s="58" t="s">
        <v>207</v>
      </c>
      <c r="P177" s="41" t="s">
        <v>98</v>
      </c>
      <c r="Q177" s="10">
        <v>12</v>
      </c>
      <c r="R177" s="9" t="s">
        <v>1618</v>
      </c>
      <c r="S177" s="9" t="s">
        <v>1619</v>
      </c>
      <c r="T177" s="10">
        <v>6</v>
      </c>
      <c r="U177" s="59">
        <v>38340</v>
      </c>
      <c r="V177" s="10">
        <v>38345</v>
      </c>
      <c r="W177" s="10" t="s">
        <v>276</v>
      </c>
      <c r="X177" s="10" t="s">
        <v>276</v>
      </c>
      <c r="Y177" s="2" t="s">
        <v>276</v>
      </c>
      <c r="Z177" s="9" t="s">
        <v>1562</v>
      </c>
      <c r="AA177" s="8" t="s">
        <v>276</v>
      </c>
      <c r="AB177" s="9" t="s">
        <v>1562</v>
      </c>
      <c r="AC177" s="10" t="s">
        <v>1620</v>
      </c>
      <c r="AD177" s="10" t="s">
        <v>1487</v>
      </c>
      <c r="AE177" s="2">
        <v>140</v>
      </c>
      <c r="AF177" s="2">
        <v>133</v>
      </c>
      <c r="AG177" s="59">
        <v>409535</v>
      </c>
      <c r="AH177" s="59">
        <v>408262</v>
      </c>
      <c r="AI177" s="59">
        <v>10000</v>
      </c>
      <c r="AJ177" s="65" t="s">
        <v>276</v>
      </c>
      <c r="AK177" s="64">
        <f t="shared" si="24"/>
        <v>3.4185112383556961</v>
      </c>
      <c r="AL177" s="65" t="s">
        <v>276</v>
      </c>
      <c r="AM177" s="65" t="s">
        <v>276</v>
      </c>
      <c r="AN177" s="65" t="s">
        <v>276</v>
      </c>
      <c r="AO177" s="64">
        <f t="shared" si="25"/>
        <v>3.2577119594770028</v>
      </c>
      <c r="AP177" s="65" t="s">
        <v>276</v>
      </c>
      <c r="AQ177" s="65" t="s">
        <v>276</v>
      </c>
      <c r="AR177" s="8" t="s">
        <v>269</v>
      </c>
      <c r="AS177" s="65" t="s">
        <v>276</v>
      </c>
      <c r="AT177" s="65">
        <f t="shared" si="26"/>
        <v>1.0493595753335137</v>
      </c>
      <c r="AU177" s="65" t="s">
        <v>276</v>
      </c>
      <c r="AV177" s="65" t="s">
        <v>276</v>
      </c>
      <c r="AW177" s="2" t="s">
        <v>276</v>
      </c>
      <c r="AX177" s="2" t="s">
        <v>98</v>
      </c>
      <c r="AY177" s="2" t="s">
        <v>98</v>
      </c>
      <c r="AZ177" s="2" t="s">
        <v>98</v>
      </c>
      <c r="BA177" s="2" t="s">
        <v>98</v>
      </c>
      <c r="BB177" s="2" t="s">
        <v>98</v>
      </c>
      <c r="BC177" s="10" t="s">
        <v>1421</v>
      </c>
      <c r="BD177" s="10"/>
      <c r="BE177" s="9" t="s">
        <v>100</v>
      </c>
      <c r="BF177" s="2" t="s">
        <v>98</v>
      </c>
    </row>
    <row r="178" spans="1:58" s="1" customFormat="1" ht="65" x14ac:dyDescent="0.3">
      <c r="A178" s="2">
        <v>1582</v>
      </c>
      <c r="B178" s="2" t="s">
        <v>1608</v>
      </c>
      <c r="C178" s="9" t="s">
        <v>1556</v>
      </c>
      <c r="D178" s="9" t="s">
        <v>1621</v>
      </c>
      <c r="E178" s="2" t="s">
        <v>43</v>
      </c>
      <c r="F178" s="10" t="s">
        <v>139</v>
      </c>
      <c r="G178" s="2" t="s">
        <v>225</v>
      </c>
      <c r="H178" s="2" t="s">
        <v>125</v>
      </c>
      <c r="I178" s="2" t="s">
        <v>114</v>
      </c>
      <c r="J178" s="10" t="s">
        <v>24</v>
      </c>
      <c r="K178" s="10" t="s">
        <v>1610</v>
      </c>
      <c r="L178" s="10" t="s">
        <v>1611</v>
      </c>
      <c r="M178" s="2" t="s">
        <v>14</v>
      </c>
      <c r="N178" s="57" t="s">
        <v>98</v>
      </c>
      <c r="O178" s="58" t="s">
        <v>207</v>
      </c>
      <c r="P178" s="41" t="s">
        <v>98</v>
      </c>
      <c r="Q178" s="10">
        <v>11</v>
      </c>
      <c r="R178" s="9" t="s">
        <v>1622</v>
      </c>
      <c r="S178" s="9" t="s">
        <v>1623</v>
      </c>
      <c r="T178" s="10">
        <v>6</v>
      </c>
      <c r="U178" s="59">
        <v>38340</v>
      </c>
      <c r="V178" s="10">
        <v>38345</v>
      </c>
      <c r="W178" s="10" t="s">
        <v>276</v>
      </c>
      <c r="X178" s="10" t="s">
        <v>276</v>
      </c>
      <c r="Y178" s="2" t="s">
        <v>276</v>
      </c>
      <c r="Z178" s="9" t="s">
        <v>1562</v>
      </c>
      <c r="AA178" s="8" t="s">
        <v>276</v>
      </c>
      <c r="AB178" s="9" t="s">
        <v>1562</v>
      </c>
      <c r="AC178" s="10" t="s">
        <v>1624</v>
      </c>
      <c r="AD178" s="10" t="s">
        <v>1487</v>
      </c>
      <c r="AE178" s="2">
        <v>118</v>
      </c>
      <c r="AF178" s="2">
        <v>108</v>
      </c>
      <c r="AG178" s="59">
        <v>387164</v>
      </c>
      <c r="AH178" s="59">
        <v>386109</v>
      </c>
      <c r="AI178" s="59">
        <v>10000</v>
      </c>
      <c r="AJ178" s="65" t="s">
        <v>276</v>
      </c>
      <c r="AK178" s="64">
        <f t="shared" si="24"/>
        <v>3.0478040313665531</v>
      </c>
      <c r="AL178" s="65" t="s">
        <v>276</v>
      </c>
      <c r="AM178" s="65" t="s">
        <v>276</v>
      </c>
      <c r="AN178" s="65" t="s">
        <v>276</v>
      </c>
      <c r="AO178" s="64">
        <f>AF178/AH178*AI178</f>
        <v>2.7971375958602365</v>
      </c>
      <c r="AP178" s="65" t="s">
        <v>276</v>
      </c>
      <c r="AQ178" s="65" t="s">
        <v>276</v>
      </c>
      <c r="AR178" s="8" t="s">
        <v>269</v>
      </c>
      <c r="AS178" s="65" t="s">
        <v>276</v>
      </c>
      <c r="AT178" s="65">
        <f t="shared" si="26"/>
        <v>1.0896153395804706</v>
      </c>
      <c r="AU178" s="65" t="s">
        <v>276</v>
      </c>
      <c r="AV178" s="65" t="s">
        <v>276</v>
      </c>
      <c r="AW178" s="2" t="s">
        <v>276</v>
      </c>
      <c r="AX178" s="2" t="s">
        <v>98</v>
      </c>
      <c r="AY178" s="2" t="s">
        <v>98</v>
      </c>
      <c r="AZ178" s="2" t="s">
        <v>98</v>
      </c>
      <c r="BA178" s="2" t="s">
        <v>98</v>
      </c>
      <c r="BB178" s="2" t="s">
        <v>98</v>
      </c>
      <c r="BC178" s="10" t="s">
        <v>1421</v>
      </c>
      <c r="BD178" s="10"/>
      <c r="BE178" s="9" t="s">
        <v>100</v>
      </c>
      <c r="BF178" s="2" t="s">
        <v>98</v>
      </c>
    </row>
    <row r="179" spans="1:58" s="1" customFormat="1" ht="65" x14ac:dyDescent="0.3">
      <c r="A179" s="2">
        <v>1582</v>
      </c>
      <c r="B179" s="2" t="s">
        <v>1608</v>
      </c>
      <c r="C179" s="9" t="s">
        <v>1556</v>
      </c>
      <c r="D179" s="9" t="s">
        <v>1625</v>
      </c>
      <c r="E179" s="2" t="s">
        <v>43</v>
      </c>
      <c r="F179" s="10" t="s">
        <v>139</v>
      </c>
      <c r="G179" s="2" t="s">
        <v>225</v>
      </c>
      <c r="H179" s="2" t="s">
        <v>125</v>
      </c>
      <c r="I179" s="2" t="s">
        <v>114</v>
      </c>
      <c r="J179" s="10" t="s">
        <v>24</v>
      </c>
      <c r="K179" s="10" t="s">
        <v>1610</v>
      </c>
      <c r="L179" s="10" t="s">
        <v>1611</v>
      </c>
      <c r="M179" s="2" t="s">
        <v>14</v>
      </c>
      <c r="N179" s="57" t="s">
        <v>98</v>
      </c>
      <c r="O179" s="58" t="s">
        <v>207</v>
      </c>
      <c r="P179" s="41" t="s">
        <v>98</v>
      </c>
      <c r="Q179" s="10">
        <v>10</v>
      </c>
      <c r="R179" s="9" t="s">
        <v>1626</v>
      </c>
      <c r="S179" s="9" t="s">
        <v>1627</v>
      </c>
      <c r="T179" s="10">
        <v>6</v>
      </c>
      <c r="U179" s="59">
        <v>38340</v>
      </c>
      <c r="V179" s="10">
        <v>38345</v>
      </c>
      <c r="W179" s="10" t="s">
        <v>276</v>
      </c>
      <c r="X179" s="10" t="s">
        <v>276</v>
      </c>
      <c r="Y179" s="2" t="s">
        <v>276</v>
      </c>
      <c r="Z179" s="9" t="s">
        <v>1562</v>
      </c>
      <c r="AA179" s="8" t="s">
        <v>276</v>
      </c>
      <c r="AB179" s="9" t="s">
        <v>1562</v>
      </c>
      <c r="AC179" s="10" t="s">
        <v>1563</v>
      </c>
      <c r="AD179" s="10" t="s">
        <v>1487</v>
      </c>
      <c r="AE179" s="2">
        <v>98</v>
      </c>
      <c r="AF179" s="2">
        <v>85</v>
      </c>
      <c r="AG179" s="59">
        <v>359768</v>
      </c>
      <c r="AH179" s="59">
        <v>358904</v>
      </c>
      <c r="AI179" s="59">
        <v>10000</v>
      </c>
      <c r="AJ179" s="65" t="s">
        <v>276</v>
      </c>
      <c r="AK179" s="64">
        <f t="shared" si="24"/>
        <v>2.7239776745013455</v>
      </c>
      <c r="AL179" s="65" t="s">
        <v>276</v>
      </c>
      <c r="AM179" s="65" t="s">
        <v>276</v>
      </c>
      <c r="AN179" s="65" t="s">
        <v>276</v>
      </c>
      <c r="AO179" s="64">
        <f>AF179/AH179*AI179</f>
        <v>2.3683213338385753</v>
      </c>
      <c r="AP179" s="65" t="s">
        <v>276</v>
      </c>
      <c r="AQ179" s="65" t="s">
        <v>276</v>
      </c>
      <c r="AR179" s="8" t="s">
        <v>269</v>
      </c>
      <c r="AS179" s="65" t="s">
        <v>276</v>
      </c>
      <c r="AT179" s="65">
        <f t="shared" si="26"/>
        <v>1.150172333281448</v>
      </c>
      <c r="AU179" s="65" t="s">
        <v>276</v>
      </c>
      <c r="AV179" s="65" t="s">
        <v>276</v>
      </c>
      <c r="AW179" s="2" t="s">
        <v>276</v>
      </c>
      <c r="AX179" s="2" t="s">
        <v>98</v>
      </c>
      <c r="AY179" s="2" t="s">
        <v>98</v>
      </c>
      <c r="AZ179" s="2" t="s">
        <v>98</v>
      </c>
      <c r="BA179" s="2" t="s">
        <v>98</v>
      </c>
      <c r="BB179" s="2" t="s">
        <v>98</v>
      </c>
      <c r="BC179" s="10" t="s">
        <v>1421</v>
      </c>
      <c r="BD179" s="10"/>
      <c r="BE179" s="9" t="s">
        <v>100</v>
      </c>
      <c r="BF179" s="2" t="s">
        <v>98</v>
      </c>
    </row>
    <row r="180" spans="1:58" s="1" customFormat="1" ht="65" x14ac:dyDescent="0.3">
      <c r="A180" s="2">
        <v>1582</v>
      </c>
      <c r="B180" s="2" t="s">
        <v>1608</v>
      </c>
      <c r="C180" s="9" t="s">
        <v>1556</v>
      </c>
      <c r="D180" s="9" t="s">
        <v>1628</v>
      </c>
      <c r="E180" s="2" t="s">
        <v>43</v>
      </c>
      <c r="F180" s="10" t="s">
        <v>139</v>
      </c>
      <c r="G180" s="2" t="s">
        <v>225</v>
      </c>
      <c r="H180" s="2" t="s">
        <v>125</v>
      </c>
      <c r="I180" s="2" t="s">
        <v>114</v>
      </c>
      <c r="J180" s="10" t="s">
        <v>24</v>
      </c>
      <c r="K180" s="10" t="s">
        <v>1610</v>
      </c>
      <c r="L180" s="10" t="s">
        <v>1611</v>
      </c>
      <c r="M180" s="2" t="s">
        <v>14</v>
      </c>
      <c r="N180" s="57" t="s">
        <v>98</v>
      </c>
      <c r="O180" s="58" t="s">
        <v>207</v>
      </c>
      <c r="P180" s="41" t="s">
        <v>98</v>
      </c>
      <c r="Q180" s="10">
        <v>9</v>
      </c>
      <c r="R180" s="9" t="s">
        <v>1629</v>
      </c>
      <c r="S180" s="9" t="s">
        <v>1630</v>
      </c>
      <c r="T180" s="10">
        <v>6</v>
      </c>
      <c r="U180" s="59">
        <v>38340</v>
      </c>
      <c r="V180" s="10">
        <v>38345</v>
      </c>
      <c r="W180" s="10" t="s">
        <v>276</v>
      </c>
      <c r="X180" s="10" t="s">
        <v>276</v>
      </c>
      <c r="Y180" s="2" t="s">
        <v>276</v>
      </c>
      <c r="Z180" s="9" t="s">
        <v>1562</v>
      </c>
      <c r="AA180" s="8" t="s">
        <v>276</v>
      </c>
      <c r="AB180" s="9" t="s">
        <v>1562</v>
      </c>
      <c r="AC180" s="10" t="s">
        <v>1569</v>
      </c>
      <c r="AD180" s="10" t="s">
        <v>1487</v>
      </c>
      <c r="AE180" s="2">
        <v>80</v>
      </c>
      <c r="AF180" s="2">
        <v>69</v>
      </c>
      <c r="AG180" s="59">
        <v>328048</v>
      </c>
      <c r="AH180" s="59">
        <v>327455</v>
      </c>
      <c r="AI180" s="59">
        <v>10000</v>
      </c>
      <c r="AJ180" s="65" t="s">
        <v>276</v>
      </c>
      <c r="AK180" s="64">
        <f t="shared" si="24"/>
        <v>2.4386675120714041</v>
      </c>
      <c r="AL180" s="65" t="s">
        <v>276</v>
      </c>
      <c r="AM180" s="65" t="s">
        <v>276</v>
      </c>
      <c r="AN180" s="65" t="s">
        <v>276</v>
      </c>
      <c r="AO180" s="64">
        <f t="shared" ref="AO180:AO188" si="27">AF180/AH180*AI180</f>
        <v>2.1071597624101024</v>
      </c>
      <c r="AP180" s="65" t="s">
        <v>276</v>
      </c>
      <c r="AQ180" s="65" t="s">
        <v>276</v>
      </c>
      <c r="AR180" s="8" t="s">
        <v>269</v>
      </c>
      <c r="AS180" s="65" t="s">
        <v>276</v>
      </c>
      <c r="AT180" s="65">
        <f t="shared" si="26"/>
        <v>1.1573244495149877</v>
      </c>
      <c r="AU180" s="65" t="s">
        <v>276</v>
      </c>
      <c r="AV180" s="65" t="s">
        <v>276</v>
      </c>
      <c r="AW180" s="2" t="s">
        <v>276</v>
      </c>
      <c r="AX180" s="2" t="s">
        <v>98</v>
      </c>
      <c r="AY180" s="2" t="s">
        <v>98</v>
      </c>
      <c r="AZ180" s="2" t="s">
        <v>98</v>
      </c>
      <c r="BA180" s="2" t="s">
        <v>98</v>
      </c>
      <c r="BB180" s="2" t="s">
        <v>98</v>
      </c>
      <c r="BC180" s="10" t="s">
        <v>1421</v>
      </c>
      <c r="BD180" s="10"/>
      <c r="BE180" s="9" t="s">
        <v>100</v>
      </c>
      <c r="BF180" s="2" t="s">
        <v>98</v>
      </c>
    </row>
    <row r="181" spans="1:58" s="1" customFormat="1" ht="65" x14ac:dyDescent="0.3">
      <c r="A181" s="2">
        <v>1582</v>
      </c>
      <c r="B181" s="2" t="s">
        <v>1608</v>
      </c>
      <c r="C181" s="9" t="s">
        <v>1556</v>
      </c>
      <c r="D181" s="9" t="s">
        <v>1631</v>
      </c>
      <c r="E181" s="2" t="s">
        <v>43</v>
      </c>
      <c r="F181" s="10" t="s">
        <v>139</v>
      </c>
      <c r="G181" s="2" t="s">
        <v>225</v>
      </c>
      <c r="H181" s="2" t="s">
        <v>125</v>
      </c>
      <c r="I181" s="2" t="s">
        <v>114</v>
      </c>
      <c r="J181" s="10" t="s">
        <v>24</v>
      </c>
      <c r="K181" s="10" t="s">
        <v>1610</v>
      </c>
      <c r="L181" s="10" t="s">
        <v>1611</v>
      </c>
      <c r="M181" s="2" t="s">
        <v>14</v>
      </c>
      <c r="N181" s="57" t="s">
        <v>98</v>
      </c>
      <c r="O181" s="58" t="s">
        <v>207</v>
      </c>
      <c r="P181" s="41" t="s">
        <v>98</v>
      </c>
      <c r="Q181" s="10">
        <v>8</v>
      </c>
      <c r="R181" s="9" t="s">
        <v>1632</v>
      </c>
      <c r="S181" s="9" t="s">
        <v>1633</v>
      </c>
      <c r="T181" s="10">
        <v>6</v>
      </c>
      <c r="U181" s="59">
        <v>38340</v>
      </c>
      <c r="V181" s="10">
        <v>38345</v>
      </c>
      <c r="W181" s="10" t="s">
        <v>276</v>
      </c>
      <c r="X181" s="10" t="s">
        <v>276</v>
      </c>
      <c r="Y181" s="2" t="s">
        <v>276</v>
      </c>
      <c r="Z181" s="9" t="s">
        <v>1562</v>
      </c>
      <c r="AA181" s="8" t="s">
        <v>276</v>
      </c>
      <c r="AB181" s="9" t="s">
        <v>1562</v>
      </c>
      <c r="AC181" s="10" t="s">
        <v>1574</v>
      </c>
      <c r="AD181" s="10" t="s">
        <v>1487</v>
      </c>
      <c r="AE181" s="2">
        <v>61</v>
      </c>
      <c r="AF181" s="2">
        <v>59</v>
      </c>
      <c r="AG181" s="59">
        <v>294052</v>
      </c>
      <c r="AH181" s="59">
        <v>293631</v>
      </c>
      <c r="AI181" s="59">
        <v>10000</v>
      </c>
      <c r="AJ181" s="65" t="s">
        <v>276</v>
      </c>
      <c r="AK181" s="64">
        <f t="shared" si="24"/>
        <v>2.0744630201460965</v>
      </c>
      <c r="AL181" s="65" t="s">
        <v>276</v>
      </c>
      <c r="AM181" s="65" t="s">
        <v>276</v>
      </c>
      <c r="AN181" s="65" t="s">
        <v>276</v>
      </c>
      <c r="AO181" s="64">
        <f t="shared" si="27"/>
        <v>2.0093246285303663</v>
      </c>
      <c r="AP181" s="65" t="s">
        <v>276</v>
      </c>
      <c r="AQ181" s="65" t="s">
        <v>276</v>
      </c>
      <c r="AR181" s="8" t="s">
        <v>269</v>
      </c>
      <c r="AS181" s="65" t="s">
        <v>276</v>
      </c>
      <c r="AT181" s="65">
        <f t="shared" si="26"/>
        <v>1.0324180526585058</v>
      </c>
      <c r="AU181" s="65" t="s">
        <v>276</v>
      </c>
      <c r="AV181" s="65" t="s">
        <v>276</v>
      </c>
      <c r="AW181" s="2" t="s">
        <v>276</v>
      </c>
      <c r="AX181" s="2" t="s">
        <v>98</v>
      </c>
      <c r="AY181" s="2" t="s">
        <v>98</v>
      </c>
      <c r="AZ181" s="2" t="s">
        <v>98</v>
      </c>
      <c r="BA181" s="2" t="s">
        <v>98</v>
      </c>
      <c r="BB181" s="2" t="s">
        <v>98</v>
      </c>
      <c r="BC181" s="10" t="s">
        <v>1421</v>
      </c>
      <c r="BD181" s="10"/>
      <c r="BE181" s="9" t="s">
        <v>100</v>
      </c>
      <c r="BF181" s="2" t="s">
        <v>98</v>
      </c>
    </row>
    <row r="182" spans="1:58" s="1" customFormat="1" ht="65" x14ac:dyDescent="0.3">
      <c r="A182" s="2">
        <v>1582</v>
      </c>
      <c r="B182" s="2" t="s">
        <v>1608</v>
      </c>
      <c r="C182" s="9" t="s">
        <v>1556</v>
      </c>
      <c r="D182" s="9" t="s">
        <v>1634</v>
      </c>
      <c r="E182" s="2" t="s">
        <v>43</v>
      </c>
      <c r="F182" s="10" t="s">
        <v>139</v>
      </c>
      <c r="G182" s="2" t="s">
        <v>225</v>
      </c>
      <c r="H182" s="2" t="s">
        <v>125</v>
      </c>
      <c r="I182" s="2" t="s">
        <v>114</v>
      </c>
      <c r="J182" s="10" t="s">
        <v>24</v>
      </c>
      <c r="K182" s="10" t="s">
        <v>1610</v>
      </c>
      <c r="L182" s="10" t="s">
        <v>1611</v>
      </c>
      <c r="M182" s="2" t="s">
        <v>14</v>
      </c>
      <c r="N182" s="57" t="s">
        <v>98</v>
      </c>
      <c r="O182" s="58" t="s">
        <v>207</v>
      </c>
      <c r="P182" s="41" t="s">
        <v>98</v>
      </c>
      <c r="Q182" s="10">
        <v>7</v>
      </c>
      <c r="R182" s="9" t="s">
        <v>1635</v>
      </c>
      <c r="S182" s="9" t="s">
        <v>1636</v>
      </c>
      <c r="T182" s="10">
        <v>6</v>
      </c>
      <c r="U182" s="59">
        <v>38340</v>
      </c>
      <c r="V182" s="10">
        <v>38345</v>
      </c>
      <c r="W182" s="10" t="s">
        <v>276</v>
      </c>
      <c r="X182" s="10" t="s">
        <v>276</v>
      </c>
      <c r="Y182" s="2" t="s">
        <v>276</v>
      </c>
      <c r="Z182" s="9" t="s">
        <v>1562</v>
      </c>
      <c r="AA182" s="8" t="s">
        <v>276</v>
      </c>
      <c r="AB182" s="9" t="s">
        <v>1562</v>
      </c>
      <c r="AC182" s="10" t="s">
        <v>1578</v>
      </c>
      <c r="AD182" s="10" t="s">
        <v>1487</v>
      </c>
      <c r="AE182" s="2">
        <v>51</v>
      </c>
      <c r="AF182" s="2">
        <v>44</v>
      </c>
      <c r="AG182" s="59">
        <v>259118</v>
      </c>
      <c r="AH182" s="59">
        <v>258811</v>
      </c>
      <c r="AI182" s="59">
        <v>10000</v>
      </c>
      <c r="AJ182" s="65" t="s">
        <v>276</v>
      </c>
      <c r="AK182" s="64">
        <f t="shared" si="24"/>
        <v>1.9682152532822883</v>
      </c>
      <c r="AL182" s="65" t="s">
        <v>276</v>
      </c>
      <c r="AM182" s="65" t="s">
        <v>276</v>
      </c>
      <c r="AN182" s="65" t="s">
        <v>276</v>
      </c>
      <c r="AO182" s="64">
        <f t="shared" si="27"/>
        <v>1.7000822994385862</v>
      </c>
      <c r="AP182" s="65" t="s">
        <v>276</v>
      </c>
      <c r="AQ182" s="65" t="s">
        <v>276</v>
      </c>
      <c r="AR182" s="8" t="s">
        <v>269</v>
      </c>
      <c r="AS182" s="65" t="s">
        <v>276</v>
      </c>
      <c r="AT182" s="65">
        <f t="shared" si="26"/>
        <v>1.1577176316300963</v>
      </c>
      <c r="AU182" s="65" t="s">
        <v>276</v>
      </c>
      <c r="AV182" s="65" t="s">
        <v>276</v>
      </c>
      <c r="AW182" s="2" t="s">
        <v>276</v>
      </c>
      <c r="AX182" s="2" t="s">
        <v>98</v>
      </c>
      <c r="AY182" s="2" t="s">
        <v>98</v>
      </c>
      <c r="AZ182" s="2" t="s">
        <v>98</v>
      </c>
      <c r="BA182" s="2" t="s">
        <v>98</v>
      </c>
      <c r="BB182" s="2" t="s">
        <v>98</v>
      </c>
      <c r="BC182" s="10" t="s">
        <v>1421</v>
      </c>
      <c r="BD182" s="10"/>
      <c r="BE182" s="9" t="s">
        <v>100</v>
      </c>
      <c r="BF182" s="2" t="s">
        <v>98</v>
      </c>
    </row>
    <row r="183" spans="1:58" s="1" customFormat="1" ht="65" x14ac:dyDescent="0.3">
      <c r="A183" s="2">
        <v>1582</v>
      </c>
      <c r="B183" s="2" t="s">
        <v>1608</v>
      </c>
      <c r="C183" s="9" t="s">
        <v>1556</v>
      </c>
      <c r="D183" s="9" t="s">
        <v>1637</v>
      </c>
      <c r="E183" s="2" t="s">
        <v>43</v>
      </c>
      <c r="F183" s="10" t="s">
        <v>139</v>
      </c>
      <c r="G183" s="2" t="s">
        <v>225</v>
      </c>
      <c r="H183" s="2" t="s">
        <v>125</v>
      </c>
      <c r="I183" s="2" t="s">
        <v>114</v>
      </c>
      <c r="J183" s="10" t="s">
        <v>24</v>
      </c>
      <c r="K183" s="10" t="s">
        <v>1610</v>
      </c>
      <c r="L183" s="10" t="s">
        <v>1611</v>
      </c>
      <c r="M183" s="2" t="s">
        <v>14</v>
      </c>
      <c r="N183" s="57" t="s">
        <v>98</v>
      </c>
      <c r="O183" s="58" t="s">
        <v>207</v>
      </c>
      <c r="P183" s="41" t="s">
        <v>98</v>
      </c>
      <c r="Q183" s="10">
        <v>6</v>
      </c>
      <c r="R183" s="9" t="s">
        <v>1638</v>
      </c>
      <c r="S183" s="9" t="s">
        <v>1639</v>
      </c>
      <c r="T183" s="10">
        <v>6</v>
      </c>
      <c r="U183" s="59">
        <v>38340</v>
      </c>
      <c r="V183" s="10">
        <v>38345</v>
      </c>
      <c r="W183" s="10" t="s">
        <v>276</v>
      </c>
      <c r="X183" s="10" t="s">
        <v>276</v>
      </c>
      <c r="Y183" s="2" t="s">
        <v>276</v>
      </c>
      <c r="Z183" s="9" t="s">
        <v>1562</v>
      </c>
      <c r="AA183" s="8" t="s">
        <v>276</v>
      </c>
      <c r="AB183" s="9" t="s">
        <v>1562</v>
      </c>
      <c r="AC183" s="10" t="s">
        <v>1583</v>
      </c>
      <c r="AD183" s="10" t="s">
        <v>1487</v>
      </c>
      <c r="AE183" s="2">
        <v>36</v>
      </c>
      <c r="AF183" s="2">
        <v>33</v>
      </c>
      <c r="AG183" s="59">
        <v>223541</v>
      </c>
      <c r="AH183" s="59">
        <v>223329</v>
      </c>
      <c r="AI183" s="59">
        <v>10000</v>
      </c>
      <c r="AJ183" s="65" t="s">
        <v>276</v>
      </c>
      <c r="AK183" s="64">
        <f t="shared" si="24"/>
        <v>1.6104428270429136</v>
      </c>
      <c r="AL183" s="65" t="s">
        <v>276</v>
      </c>
      <c r="AM183" s="65" t="s">
        <v>276</v>
      </c>
      <c r="AN183" s="65" t="s">
        <v>276</v>
      </c>
      <c r="AO183" s="64">
        <f t="shared" si="27"/>
        <v>1.4776406109372271</v>
      </c>
      <c r="AP183" s="65" t="s">
        <v>276</v>
      </c>
      <c r="AQ183" s="65" t="s">
        <v>276</v>
      </c>
      <c r="AR183" s="8" t="s">
        <v>269</v>
      </c>
      <c r="AS183" s="65" t="s">
        <v>276</v>
      </c>
      <c r="AT183" s="65">
        <f t="shared" si="26"/>
        <v>1.0898745033959603</v>
      </c>
      <c r="AU183" s="65" t="s">
        <v>276</v>
      </c>
      <c r="AV183" s="65" t="s">
        <v>276</v>
      </c>
      <c r="AW183" s="2" t="s">
        <v>276</v>
      </c>
      <c r="AX183" s="2" t="s">
        <v>98</v>
      </c>
      <c r="AY183" s="2" t="s">
        <v>98</v>
      </c>
      <c r="AZ183" s="2" t="s">
        <v>98</v>
      </c>
      <c r="BA183" s="2" t="s">
        <v>98</v>
      </c>
      <c r="BB183" s="2" t="s">
        <v>98</v>
      </c>
      <c r="BC183" s="10" t="s">
        <v>1421</v>
      </c>
      <c r="BD183" s="10"/>
      <c r="BE183" s="9" t="s">
        <v>100</v>
      </c>
      <c r="BF183" s="2" t="s">
        <v>98</v>
      </c>
    </row>
    <row r="184" spans="1:58" s="1" customFormat="1" ht="65" x14ac:dyDescent="0.3">
      <c r="A184" s="2">
        <v>1582</v>
      </c>
      <c r="B184" s="2" t="s">
        <v>1608</v>
      </c>
      <c r="C184" s="9" t="s">
        <v>1556</v>
      </c>
      <c r="D184" s="9" t="s">
        <v>1640</v>
      </c>
      <c r="E184" s="2" t="s">
        <v>43</v>
      </c>
      <c r="F184" s="10" t="s">
        <v>139</v>
      </c>
      <c r="G184" s="2" t="s">
        <v>225</v>
      </c>
      <c r="H184" s="2" t="s">
        <v>125</v>
      </c>
      <c r="I184" s="2" t="s">
        <v>114</v>
      </c>
      <c r="J184" s="10" t="s">
        <v>24</v>
      </c>
      <c r="K184" s="10" t="s">
        <v>1610</v>
      </c>
      <c r="L184" s="10" t="s">
        <v>1611</v>
      </c>
      <c r="M184" s="2" t="s">
        <v>14</v>
      </c>
      <c r="N184" s="57" t="s">
        <v>98</v>
      </c>
      <c r="O184" s="58" t="s">
        <v>207</v>
      </c>
      <c r="P184" s="41" t="s">
        <v>98</v>
      </c>
      <c r="Q184" s="10">
        <v>5</v>
      </c>
      <c r="R184" s="9" t="s">
        <v>1641</v>
      </c>
      <c r="S184" s="9" t="s">
        <v>1642</v>
      </c>
      <c r="T184" s="10">
        <v>6</v>
      </c>
      <c r="U184" s="59">
        <v>38340</v>
      </c>
      <c r="V184" s="10">
        <v>38345</v>
      </c>
      <c r="W184" s="10" t="s">
        <v>276</v>
      </c>
      <c r="X184" s="10" t="s">
        <v>276</v>
      </c>
      <c r="Y184" s="2" t="s">
        <v>276</v>
      </c>
      <c r="Z184" s="9" t="s">
        <v>1562</v>
      </c>
      <c r="AA184" s="8" t="s">
        <v>276</v>
      </c>
      <c r="AB184" s="9" t="s">
        <v>1562</v>
      </c>
      <c r="AC184" s="10" t="s">
        <v>1587</v>
      </c>
      <c r="AD184" s="10" t="s">
        <v>1487</v>
      </c>
      <c r="AE184" s="2">
        <v>26</v>
      </c>
      <c r="AF184" s="2">
        <v>23</v>
      </c>
      <c r="AG184" s="59">
        <v>187382</v>
      </c>
      <c r="AH184" s="59">
        <v>187278</v>
      </c>
      <c r="AI184" s="59">
        <v>10000</v>
      </c>
      <c r="AJ184" s="65" t="s">
        <v>276</v>
      </c>
      <c r="AK184" s="64">
        <f t="shared" si="24"/>
        <v>1.3875398917718884</v>
      </c>
      <c r="AL184" s="65" t="s">
        <v>276</v>
      </c>
      <c r="AM184" s="65" t="s">
        <v>276</v>
      </c>
      <c r="AN184" s="65" t="s">
        <v>276</v>
      </c>
      <c r="AO184" s="64">
        <f t="shared" si="27"/>
        <v>1.2281207616484584</v>
      </c>
      <c r="AP184" s="65" t="s">
        <v>276</v>
      </c>
      <c r="AQ184" s="65" t="s">
        <v>276</v>
      </c>
      <c r="AR184" s="8" t="s">
        <v>269</v>
      </c>
      <c r="AS184" s="65" t="s">
        <v>276</v>
      </c>
      <c r="AT184" s="65">
        <f t="shared" si="26"/>
        <v>1.1298073732663292</v>
      </c>
      <c r="AU184" s="65" t="s">
        <v>276</v>
      </c>
      <c r="AV184" s="65" t="s">
        <v>276</v>
      </c>
      <c r="AW184" s="2" t="s">
        <v>276</v>
      </c>
      <c r="AX184" s="2" t="s">
        <v>98</v>
      </c>
      <c r="AY184" s="2" t="s">
        <v>98</v>
      </c>
      <c r="AZ184" s="2" t="s">
        <v>98</v>
      </c>
      <c r="BA184" s="2" t="s">
        <v>98</v>
      </c>
      <c r="BB184" s="2" t="s">
        <v>98</v>
      </c>
      <c r="BC184" s="10" t="s">
        <v>1421</v>
      </c>
      <c r="BD184" s="10"/>
      <c r="BE184" s="9" t="s">
        <v>100</v>
      </c>
      <c r="BF184" s="2" t="s">
        <v>98</v>
      </c>
    </row>
    <row r="185" spans="1:58" s="1" customFormat="1" ht="65" x14ac:dyDescent="0.3">
      <c r="A185" s="2">
        <v>1582</v>
      </c>
      <c r="B185" s="2" t="s">
        <v>1608</v>
      </c>
      <c r="C185" s="9" t="s">
        <v>1556</v>
      </c>
      <c r="D185" s="9" t="s">
        <v>1643</v>
      </c>
      <c r="E185" s="2" t="s">
        <v>43</v>
      </c>
      <c r="F185" s="10" t="s">
        <v>139</v>
      </c>
      <c r="G185" s="2" t="s">
        <v>225</v>
      </c>
      <c r="H185" s="2" t="s">
        <v>125</v>
      </c>
      <c r="I185" s="2" t="s">
        <v>114</v>
      </c>
      <c r="J185" s="10" t="s">
        <v>24</v>
      </c>
      <c r="K185" s="10" t="s">
        <v>1610</v>
      </c>
      <c r="L185" s="10" t="s">
        <v>1611</v>
      </c>
      <c r="M185" s="2" t="s">
        <v>14</v>
      </c>
      <c r="N185" s="57" t="s">
        <v>98</v>
      </c>
      <c r="O185" s="58" t="s">
        <v>207</v>
      </c>
      <c r="P185" s="41" t="s">
        <v>98</v>
      </c>
      <c r="Q185" s="10">
        <v>4</v>
      </c>
      <c r="R185" s="9" t="s">
        <v>1644</v>
      </c>
      <c r="S185" s="9" t="s">
        <v>1645</v>
      </c>
      <c r="T185" s="10">
        <v>5</v>
      </c>
      <c r="U185" s="59">
        <v>38340</v>
      </c>
      <c r="V185" s="10">
        <v>38345</v>
      </c>
      <c r="W185" s="10" t="s">
        <v>276</v>
      </c>
      <c r="X185" s="10" t="s">
        <v>276</v>
      </c>
      <c r="Y185" s="2" t="s">
        <v>276</v>
      </c>
      <c r="Z185" s="9" t="s">
        <v>1562</v>
      </c>
      <c r="AA185" s="8" t="s">
        <v>276</v>
      </c>
      <c r="AB185" s="9" t="s">
        <v>1562</v>
      </c>
      <c r="AC185" s="10" t="s">
        <v>1591</v>
      </c>
      <c r="AD185" s="10" t="s">
        <v>1487</v>
      </c>
      <c r="AE185" s="2">
        <v>16</v>
      </c>
      <c r="AF185" s="2">
        <v>18</v>
      </c>
      <c r="AG185" s="59">
        <v>150725</v>
      </c>
      <c r="AH185" s="59">
        <v>150689</v>
      </c>
      <c r="AI185" s="59">
        <v>10000</v>
      </c>
      <c r="AJ185" s="65" t="s">
        <v>276</v>
      </c>
      <c r="AK185" s="64">
        <f t="shared" si="24"/>
        <v>1.0615359097694477</v>
      </c>
      <c r="AL185" s="65" t="s">
        <v>276</v>
      </c>
      <c r="AM185" s="65" t="s">
        <v>276</v>
      </c>
      <c r="AN185" s="65" t="s">
        <v>276</v>
      </c>
      <c r="AO185" s="64">
        <f t="shared" si="27"/>
        <v>1.194513202688982</v>
      </c>
      <c r="AP185" s="65" t="s">
        <v>276</v>
      </c>
      <c r="AQ185" s="65" t="s">
        <v>276</v>
      </c>
      <c r="AR185" s="8" t="s">
        <v>269</v>
      </c>
      <c r="AS185" s="65" t="s">
        <v>276</v>
      </c>
      <c r="AT185" s="65">
        <f t="shared" si="26"/>
        <v>0.88867658170693498</v>
      </c>
      <c r="AU185" s="65" t="s">
        <v>276</v>
      </c>
      <c r="AV185" s="65" t="s">
        <v>276</v>
      </c>
      <c r="AW185" s="2" t="s">
        <v>276</v>
      </c>
      <c r="AX185" s="2" t="s">
        <v>98</v>
      </c>
      <c r="AY185" s="2" t="s">
        <v>98</v>
      </c>
      <c r="AZ185" s="2" t="s">
        <v>98</v>
      </c>
      <c r="BA185" s="2" t="s">
        <v>98</v>
      </c>
      <c r="BB185" s="2" t="s">
        <v>98</v>
      </c>
      <c r="BC185" s="10" t="s">
        <v>1421</v>
      </c>
      <c r="BD185" s="10"/>
      <c r="BE185" s="9" t="s">
        <v>100</v>
      </c>
      <c r="BF185" s="2" t="s">
        <v>98</v>
      </c>
    </row>
    <row r="186" spans="1:58" s="1" customFormat="1" ht="65" x14ac:dyDescent="0.3">
      <c r="A186" s="2">
        <v>1582</v>
      </c>
      <c r="B186" s="2" t="s">
        <v>1608</v>
      </c>
      <c r="C186" s="9" t="s">
        <v>1556</v>
      </c>
      <c r="D186" s="9" t="s">
        <v>1646</v>
      </c>
      <c r="E186" s="2" t="s">
        <v>43</v>
      </c>
      <c r="F186" s="10" t="s">
        <v>139</v>
      </c>
      <c r="G186" s="2" t="s">
        <v>225</v>
      </c>
      <c r="H186" s="2" t="s">
        <v>125</v>
      </c>
      <c r="I186" s="2" t="s">
        <v>114</v>
      </c>
      <c r="J186" s="10" t="s">
        <v>24</v>
      </c>
      <c r="K186" s="10" t="s">
        <v>1610</v>
      </c>
      <c r="L186" s="10" t="s">
        <v>1611</v>
      </c>
      <c r="M186" s="2" t="s">
        <v>14</v>
      </c>
      <c r="N186" s="57" t="s">
        <v>98</v>
      </c>
      <c r="O186" s="58" t="s">
        <v>207</v>
      </c>
      <c r="P186" s="41" t="s">
        <v>98</v>
      </c>
      <c r="Q186" s="10">
        <v>3</v>
      </c>
      <c r="R186" s="9" t="s">
        <v>1647</v>
      </c>
      <c r="S186" s="9" t="s">
        <v>1648</v>
      </c>
      <c r="T186" s="10">
        <v>4</v>
      </c>
      <c r="U186" s="59">
        <v>38340</v>
      </c>
      <c r="V186" s="10">
        <v>38345</v>
      </c>
      <c r="W186" s="10" t="s">
        <v>276</v>
      </c>
      <c r="X186" s="10" t="s">
        <v>276</v>
      </c>
      <c r="Y186" s="2" t="s">
        <v>276</v>
      </c>
      <c r="Z186" s="9" t="s">
        <v>1562</v>
      </c>
      <c r="AA186" s="8" t="s">
        <v>276</v>
      </c>
      <c r="AB186" s="9" t="s">
        <v>1562</v>
      </c>
      <c r="AC186" s="10" t="s">
        <v>1595</v>
      </c>
      <c r="AD186" s="10" t="s">
        <v>1487</v>
      </c>
      <c r="AE186" s="2">
        <v>12</v>
      </c>
      <c r="AF186" s="2">
        <v>11</v>
      </c>
      <c r="AG186" s="59">
        <v>113629</v>
      </c>
      <c r="AH186" s="59">
        <v>113635</v>
      </c>
      <c r="AI186" s="59">
        <v>10000</v>
      </c>
      <c r="AJ186" s="65" t="s">
        <v>276</v>
      </c>
      <c r="AK186" s="64">
        <f t="shared" si="24"/>
        <v>1.0560684332344736</v>
      </c>
      <c r="AL186" s="65" t="s">
        <v>276</v>
      </c>
      <c r="AM186" s="65" t="s">
        <v>276</v>
      </c>
      <c r="AN186" s="65" t="s">
        <v>276</v>
      </c>
      <c r="AO186" s="64">
        <f t="shared" si="27"/>
        <v>0.96801161613939368</v>
      </c>
      <c r="AP186" s="65" t="s">
        <v>276</v>
      </c>
      <c r="AQ186" s="65" t="s">
        <v>276</v>
      </c>
      <c r="AR186" s="8" t="s">
        <v>269</v>
      </c>
      <c r="AS186" s="65" t="s">
        <v>276</v>
      </c>
      <c r="AT186" s="65">
        <f t="shared" si="26"/>
        <v>1.0909666946418128</v>
      </c>
      <c r="AU186" s="65" t="s">
        <v>276</v>
      </c>
      <c r="AV186" s="65" t="s">
        <v>276</v>
      </c>
      <c r="AW186" s="2" t="s">
        <v>276</v>
      </c>
      <c r="AX186" s="2" t="s">
        <v>98</v>
      </c>
      <c r="AY186" s="2" t="s">
        <v>98</v>
      </c>
      <c r="AZ186" s="2" t="s">
        <v>98</v>
      </c>
      <c r="BA186" s="2" t="s">
        <v>98</v>
      </c>
      <c r="BB186" s="2" t="s">
        <v>98</v>
      </c>
      <c r="BC186" s="10" t="s">
        <v>1421</v>
      </c>
      <c r="BD186" s="10"/>
      <c r="BE186" s="9" t="s">
        <v>100</v>
      </c>
      <c r="BF186" s="2" t="s">
        <v>98</v>
      </c>
    </row>
    <row r="187" spans="1:58" s="1" customFormat="1" ht="65" x14ac:dyDescent="0.3">
      <c r="A187" s="2">
        <v>1582</v>
      </c>
      <c r="B187" s="2" t="s">
        <v>1608</v>
      </c>
      <c r="C187" s="9" t="s">
        <v>1556</v>
      </c>
      <c r="D187" s="9" t="s">
        <v>1649</v>
      </c>
      <c r="E187" s="2" t="s">
        <v>43</v>
      </c>
      <c r="F187" s="10" t="s">
        <v>139</v>
      </c>
      <c r="G187" s="2" t="s">
        <v>225</v>
      </c>
      <c r="H187" s="2" t="s">
        <v>125</v>
      </c>
      <c r="I187" s="2" t="s">
        <v>114</v>
      </c>
      <c r="J187" s="10" t="s">
        <v>24</v>
      </c>
      <c r="K187" s="10" t="s">
        <v>1610</v>
      </c>
      <c r="L187" s="10" t="s">
        <v>1611</v>
      </c>
      <c r="M187" s="2" t="s">
        <v>14</v>
      </c>
      <c r="N187" s="57" t="s">
        <v>98</v>
      </c>
      <c r="O187" s="58" t="s">
        <v>207</v>
      </c>
      <c r="P187" s="41" t="s">
        <v>98</v>
      </c>
      <c r="Q187" s="10">
        <v>2</v>
      </c>
      <c r="R187" s="9" t="s">
        <v>1650</v>
      </c>
      <c r="S187" s="9" t="s">
        <v>1651</v>
      </c>
      <c r="T187" s="10">
        <v>3</v>
      </c>
      <c r="U187" s="59">
        <v>38340</v>
      </c>
      <c r="V187" s="10">
        <v>38345</v>
      </c>
      <c r="W187" s="10" t="s">
        <v>276</v>
      </c>
      <c r="X187" s="10" t="s">
        <v>276</v>
      </c>
      <c r="Y187" s="2" t="s">
        <v>276</v>
      </c>
      <c r="Z187" s="9" t="s">
        <v>1562</v>
      </c>
      <c r="AA187" s="8" t="s">
        <v>276</v>
      </c>
      <c r="AB187" s="9" t="s">
        <v>1562</v>
      </c>
      <c r="AC187" s="10" t="s">
        <v>1599</v>
      </c>
      <c r="AD187" s="10" t="s">
        <v>1487</v>
      </c>
      <c r="AE187" s="2">
        <v>6</v>
      </c>
      <c r="AF187" s="2">
        <v>4</v>
      </c>
      <c r="AG187" s="59">
        <v>76112</v>
      </c>
      <c r="AH187" s="59">
        <v>76132</v>
      </c>
      <c r="AI187" s="59">
        <v>10000</v>
      </c>
      <c r="AJ187" s="65" t="s">
        <v>276</v>
      </c>
      <c r="AK187" s="64">
        <f t="shared" si="24"/>
        <v>0.78831196132015979</v>
      </c>
      <c r="AL187" s="65" t="s">
        <v>276</v>
      </c>
      <c r="AM187" s="65" t="s">
        <v>276</v>
      </c>
      <c r="AN187" s="65" t="s">
        <v>276</v>
      </c>
      <c r="AO187" s="64">
        <f t="shared" si="27"/>
        <v>0.52540324699206642</v>
      </c>
      <c r="AP187" s="65" t="s">
        <v>276</v>
      </c>
      <c r="AQ187" s="65" t="s">
        <v>276</v>
      </c>
      <c r="AR187" s="8" t="s">
        <v>269</v>
      </c>
      <c r="AS187" s="65" t="s">
        <v>276</v>
      </c>
      <c r="AT187" s="65">
        <f t="shared" si="26"/>
        <v>1.5003941559806602</v>
      </c>
      <c r="AU187" s="65" t="s">
        <v>276</v>
      </c>
      <c r="AV187" s="65" t="s">
        <v>276</v>
      </c>
      <c r="AW187" s="2" t="s">
        <v>276</v>
      </c>
      <c r="AX187" s="2" t="s">
        <v>98</v>
      </c>
      <c r="AY187" s="2" t="s">
        <v>98</v>
      </c>
      <c r="AZ187" s="2" t="s">
        <v>98</v>
      </c>
      <c r="BA187" s="2" t="s">
        <v>98</v>
      </c>
      <c r="BB187" s="2" t="s">
        <v>98</v>
      </c>
      <c r="BC187" s="10" t="s">
        <v>1421</v>
      </c>
      <c r="BD187" s="10"/>
      <c r="BE187" s="9" t="s">
        <v>100</v>
      </c>
      <c r="BF187" s="2" t="s">
        <v>98</v>
      </c>
    </row>
    <row r="188" spans="1:58" s="1" customFormat="1" ht="65" x14ac:dyDescent="0.3">
      <c r="A188" s="2">
        <v>1582</v>
      </c>
      <c r="B188" s="2" t="s">
        <v>1608</v>
      </c>
      <c r="C188" s="9" t="s">
        <v>1556</v>
      </c>
      <c r="D188" s="9" t="s">
        <v>1652</v>
      </c>
      <c r="E188" s="2" t="s">
        <v>43</v>
      </c>
      <c r="F188" s="10" t="s">
        <v>139</v>
      </c>
      <c r="G188" s="2" t="s">
        <v>225</v>
      </c>
      <c r="H188" s="2" t="s">
        <v>125</v>
      </c>
      <c r="I188" s="2" t="s">
        <v>114</v>
      </c>
      <c r="J188" s="10" t="s">
        <v>24</v>
      </c>
      <c r="K188" s="10" t="s">
        <v>1610</v>
      </c>
      <c r="L188" s="10" t="s">
        <v>1611</v>
      </c>
      <c r="M188" s="2" t="s">
        <v>14</v>
      </c>
      <c r="N188" s="57" t="s">
        <v>98</v>
      </c>
      <c r="O188" s="58" t="s">
        <v>207</v>
      </c>
      <c r="P188" s="41" t="s">
        <v>98</v>
      </c>
      <c r="Q188" s="10">
        <v>1</v>
      </c>
      <c r="R188" s="9" t="s">
        <v>1653</v>
      </c>
      <c r="S188" s="9" t="s">
        <v>1654</v>
      </c>
      <c r="T188" s="10">
        <v>2</v>
      </c>
      <c r="U188" s="59">
        <v>38340</v>
      </c>
      <c r="V188" s="10">
        <v>38345</v>
      </c>
      <c r="W188" s="10" t="s">
        <v>276</v>
      </c>
      <c r="X188" s="10" t="s">
        <v>276</v>
      </c>
      <c r="Y188" s="2" t="s">
        <v>276</v>
      </c>
      <c r="Z188" s="9" t="s">
        <v>1562</v>
      </c>
      <c r="AA188" s="8" t="s">
        <v>276</v>
      </c>
      <c r="AB188" s="9" t="s">
        <v>1562</v>
      </c>
      <c r="AC188" s="10" t="s">
        <v>1603</v>
      </c>
      <c r="AD188" s="10" t="s">
        <v>1487</v>
      </c>
      <c r="AE188" s="2">
        <v>3</v>
      </c>
      <c r="AF188" s="2">
        <v>1</v>
      </c>
      <c r="AG188" s="59">
        <v>38217</v>
      </c>
      <c r="AH188" s="59">
        <v>38223</v>
      </c>
      <c r="AI188" s="59">
        <v>10000</v>
      </c>
      <c r="AJ188" s="65" t="s">
        <v>276</v>
      </c>
      <c r="AK188" s="64">
        <f t="shared" si="24"/>
        <v>0.78499097260381512</v>
      </c>
      <c r="AL188" s="65" t="s">
        <v>276</v>
      </c>
      <c r="AM188" s="65" t="s">
        <v>276</v>
      </c>
      <c r="AN188" s="65" t="s">
        <v>276</v>
      </c>
      <c r="AO188" s="64">
        <f t="shared" si="27"/>
        <v>0.26162258326138715</v>
      </c>
      <c r="AP188" s="65" t="s">
        <v>276</v>
      </c>
      <c r="AQ188" s="65" t="s">
        <v>276</v>
      </c>
      <c r="AR188" s="8" t="s">
        <v>269</v>
      </c>
      <c r="AS188" s="65" t="s">
        <v>276</v>
      </c>
      <c r="AT188" s="65">
        <f t="shared" si="26"/>
        <v>3.0004709945835621</v>
      </c>
      <c r="AU188" s="65" t="s">
        <v>276</v>
      </c>
      <c r="AV188" s="65" t="s">
        <v>276</v>
      </c>
      <c r="AW188" s="2" t="s">
        <v>276</v>
      </c>
      <c r="AX188" s="2" t="s">
        <v>98</v>
      </c>
      <c r="AY188" s="2" t="s">
        <v>98</v>
      </c>
      <c r="AZ188" s="2" t="s">
        <v>98</v>
      </c>
      <c r="BA188" s="2" t="s">
        <v>98</v>
      </c>
      <c r="BB188" s="2" t="s">
        <v>98</v>
      </c>
      <c r="BC188" s="10" t="s">
        <v>1421</v>
      </c>
      <c r="BD188" s="10"/>
      <c r="BE188" s="9" t="s">
        <v>100</v>
      </c>
      <c r="BF188" s="2" t="s">
        <v>98</v>
      </c>
    </row>
    <row r="189" spans="1:58" s="1" customFormat="1" ht="104" x14ac:dyDescent="0.3">
      <c r="A189" s="2">
        <v>1061</v>
      </c>
      <c r="B189" s="2" t="s">
        <v>1655</v>
      </c>
      <c r="C189" s="9" t="s">
        <v>1556</v>
      </c>
      <c r="D189" s="9" t="s">
        <v>1656</v>
      </c>
      <c r="E189" s="2" t="s">
        <v>43</v>
      </c>
      <c r="F189" s="10" t="s">
        <v>139</v>
      </c>
      <c r="G189" s="2" t="s">
        <v>225</v>
      </c>
      <c r="H189" s="2" t="s">
        <v>125</v>
      </c>
      <c r="I189" s="2" t="s">
        <v>114</v>
      </c>
      <c r="J189" s="10" t="s">
        <v>24</v>
      </c>
      <c r="K189" s="9" t="s">
        <v>1657</v>
      </c>
      <c r="L189" s="10" t="s">
        <v>1485</v>
      </c>
      <c r="M189" s="2" t="s">
        <v>14</v>
      </c>
      <c r="N189" s="57" t="s">
        <v>98</v>
      </c>
      <c r="O189" s="58" t="s">
        <v>207</v>
      </c>
      <c r="P189" s="63" t="s">
        <v>98</v>
      </c>
      <c r="Q189" s="10">
        <v>8</v>
      </c>
      <c r="R189" s="10" t="s">
        <v>276</v>
      </c>
      <c r="S189" s="10" t="s">
        <v>276</v>
      </c>
      <c r="T189" s="10">
        <v>6</v>
      </c>
      <c r="U189" s="59">
        <v>38340</v>
      </c>
      <c r="V189" s="34">
        <v>38343</v>
      </c>
      <c r="W189" s="2" t="s">
        <v>276</v>
      </c>
      <c r="X189" s="2" t="s">
        <v>276</v>
      </c>
      <c r="Y189" s="2">
        <v>0</v>
      </c>
      <c r="Z189" s="9" t="s">
        <v>1562</v>
      </c>
      <c r="AA189" s="2">
        <v>0</v>
      </c>
      <c r="AB189" s="9" t="s">
        <v>1562</v>
      </c>
      <c r="AC189" s="10" t="s">
        <v>1658</v>
      </c>
      <c r="AD189" s="10" t="s">
        <v>1487</v>
      </c>
      <c r="AE189" s="2">
        <v>75</v>
      </c>
      <c r="AF189" s="2">
        <v>70</v>
      </c>
      <c r="AG189" s="59" t="s">
        <v>276</v>
      </c>
      <c r="AH189" s="59" t="s">
        <v>276</v>
      </c>
      <c r="AI189" s="59">
        <v>100000</v>
      </c>
      <c r="AJ189" s="60">
        <v>22.8</v>
      </c>
      <c r="AK189" s="64" t="s">
        <v>98</v>
      </c>
      <c r="AL189" s="65" t="s">
        <v>276</v>
      </c>
      <c r="AM189" s="65" t="s">
        <v>276</v>
      </c>
      <c r="AN189" s="60">
        <v>21.3</v>
      </c>
      <c r="AO189" s="64" t="s">
        <v>98</v>
      </c>
      <c r="AP189" s="65" t="s">
        <v>276</v>
      </c>
      <c r="AQ189" s="65" t="s">
        <v>276</v>
      </c>
      <c r="AR189" s="8" t="s">
        <v>269</v>
      </c>
      <c r="AS189" s="65">
        <v>1.07</v>
      </c>
      <c r="AT189" s="65" t="s">
        <v>98</v>
      </c>
      <c r="AU189" s="65">
        <v>0.78</v>
      </c>
      <c r="AV189" s="65">
        <v>1.48</v>
      </c>
      <c r="AW189" s="2">
        <v>0.68</v>
      </c>
      <c r="AX189" s="2" t="s">
        <v>98</v>
      </c>
      <c r="AY189" s="2" t="s">
        <v>98</v>
      </c>
      <c r="AZ189" s="2" t="s">
        <v>98</v>
      </c>
      <c r="BA189" s="2" t="s">
        <v>98</v>
      </c>
      <c r="BB189" s="2" t="s">
        <v>98</v>
      </c>
      <c r="BC189" s="9" t="s">
        <v>1659</v>
      </c>
      <c r="BD189" s="9" t="s">
        <v>1660</v>
      </c>
      <c r="BE189" s="9" t="s">
        <v>100</v>
      </c>
      <c r="BF189" s="2" t="s">
        <v>98</v>
      </c>
    </row>
    <row r="190" spans="1:58" s="1" customFormat="1" ht="104" x14ac:dyDescent="0.3">
      <c r="A190" s="2">
        <v>1061</v>
      </c>
      <c r="B190" s="2" t="s">
        <v>1655</v>
      </c>
      <c r="C190" s="9" t="s">
        <v>1556</v>
      </c>
      <c r="D190" s="9" t="s">
        <v>1661</v>
      </c>
      <c r="E190" s="2" t="s">
        <v>43</v>
      </c>
      <c r="F190" s="10" t="s">
        <v>139</v>
      </c>
      <c r="G190" s="2" t="s">
        <v>225</v>
      </c>
      <c r="H190" s="2" t="s">
        <v>125</v>
      </c>
      <c r="I190" s="2" t="s">
        <v>114</v>
      </c>
      <c r="J190" s="10" t="s">
        <v>24</v>
      </c>
      <c r="K190" s="9" t="s">
        <v>1657</v>
      </c>
      <c r="L190" s="10" t="s">
        <v>1491</v>
      </c>
      <c r="M190" s="2" t="s">
        <v>14</v>
      </c>
      <c r="N190" s="57" t="s">
        <v>98</v>
      </c>
      <c r="O190" s="58" t="s">
        <v>207</v>
      </c>
      <c r="P190" s="63" t="s">
        <v>98</v>
      </c>
      <c r="Q190" s="10">
        <v>10</v>
      </c>
      <c r="R190" s="10" t="s">
        <v>276</v>
      </c>
      <c r="S190" s="10" t="s">
        <v>276</v>
      </c>
      <c r="T190" s="10">
        <v>6</v>
      </c>
      <c r="U190" s="59">
        <v>38340</v>
      </c>
      <c r="V190" s="34">
        <v>38343</v>
      </c>
      <c r="W190" s="2" t="s">
        <v>276</v>
      </c>
      <c r="X190" s="2" t="s">
        <v>276</v>
      </c>
      <c r="Y190" s="2">
        <v>1</v>
      </c>
      <c r="Z190" s="9" t="s">
        <v>1562</v>
      </c>
      <c r="AA190" s="2">
        <v>1</v>
      </c>
      <c r="AB190" s="9" t="s">
        <v>1562</v>
      </c>
      <c r="AC190" s="10" t="s">
        <v>1662</v>
      </c>
      <c r="AD190" s="10" t="s">
        <v>1487</v>
      </c>
      <c r="AE190" s="2">
        <v>113</v>
      </c>
      <c r="AF190" s="2">
        <v>114</v>
      </c>
      <c r="AG190" s="59" t="s">
        <v>276</v>
      </c>
      <c r="AH190" s="59" t="s">
        <v>276</v>
      </c>
      <c r="AI190" s="59">
        <v>100000</v>
      </c>
      <c r="AJ190" s="60">
        <v>28.6</v>
      </c>
      <c r="AK190" s="64" t="s">
        <v>98</v>
      </c>
      <c r="AL190" s="65" t="s">
        <v>276</v>
      </c>
      <c r="AM190" s="65" t="s">
        <v>276</v>
      </c>
      <c r="AN190" s="60">
        <v>28.9</v>
      </c>
      <c r="AO190" s="64" t="s">
        <v>98</v>
      </c>
      <c r="AP190" s="65" t="s">
        <v>276</v>
      </c>
      <c r="AQ190" s="65" t="s">
        <v>276</v>
      </c>
      <c r="AR190" s="8" t="s">
        <v>269</v>
      </c>
      <c r="AS190" s="65">
        <v>0.99</v>
      </c>
      <c r="AT190" s="65" t="s">
        <v>98</v>
      </c>
      <c r="AU190" s="65">
        <v>0.77</v>
      </c>
      <c r="AV190" s="65">
        <v>1.29</v>
      </c>
      <c r="AW190" s="2">
        <v>0.93</v>
      </c>
      <c r="AX190" s="2" t="s">
        <v>98</v>
      </c>
      <c r="AY190" s="2" t="s">
        <v>98</v>
      </c>
      <c r="AZ190" s="2" t="s">
        <v>98</v>
      </c>
      <c r="BA190" s="2" t="s">
        <v>98</v>
      </c>
      <c r="BB190" s="2" t="s">
        <v>98</v>
      </c>
      <c r="BC190" s="9" t="s">
        <v>1659</v>
      </c>
      <c r="BD190" s="9" t="s">
        <v>1660</v>
      </c>
      <c r="BE190" s="9" t="s">
        <v>100</v>
      </c>
      <c r="BF190" s="2" t="s">
        <v>98</v>
      </c>
    </row>
    <row r="191" spans="1:58" s="1" customFormat="1" ht="117" x14ac:dyDescent="0.3">
      <c r="A191" s="2">
        <v>1061</v>
      </c>
      <c r="B191" s="2" t="s">
        <v>1655</v>
      </c>
      <c r="C191" s="9" t="s">
        <v>1556</v>
      </c>
      <c r="D191" s="9" t="s">
        <v>1663</v>
      </c>
      <c r="E191" s="2" t="s">
        <v>43</v>
      </c>
      <c r="F191" s="10" t="s">
        <v>139</v>
      </c>
      <c r="G191" s="2" t="s">
        <v>225</v>
      </c>
      <c r="H191" s="2" t="s">
        <v>125</v>
      </c>
      <c r="I191" s="2" t="s">
        <v>114</v>
      </c>
      <c r="J191" s="10" t="s">
        <v>24</v>
      </c>
      <c r="K191" s="10" t="s">
        <v>1664</v>
      </c>
      <c r="L191" s="10" t="s">
        <v>1491</v>
      </c>
      <c r="M191" s="2" t="s">
        <v>14</v>
      </c>
      <c r="N191" s="57" t="s">
        <v>98</v>
      </c>
      <c r="O191" s="58" t="s">
        <v>207</v>
      </c>
      <c r="P191" s="63" t="s">
        <v>98</v>
      </c>
      <c r="Q191" s="10">
        <v>12</v>
      </c>
      <c r="R191" s="10" t="s">
        <v>276</v>
      </c>
      <c r="S191" s="10" t="s">
        <v>276</v>
      </c>
      <c r="T191" s="10">
        <v>6</v>
      </c>
      <c r="U191" s="59">
        <v>38340</v>
      </c>
      <c r="V191" s="34">
        <v>38343</v>
      </c>
      <c r="W191" s="2" t="s">
        <v>276</v>
      </c>
      <c r="X191" s="2" t="s">
        <v>276</v>
      </c>
      <c r="Y191" s="2">
        <v>2</v>
      </c>
      <c r="Z191" s="9" t="s">
        <v>1562</v>
      </c>
      <c r="AA191" s="2">
        <v>2</v>
      </c>
      <c r="AB191" s="9" t="s">
        <v>1562</v>
      </c>
      <c r="AC191" s="10" t="s">
        <v>1665</v>
      </c>
      <c r="AD191" s="10" t="s">
        <v>1487</v>
      </c>
      <c r="AE191" s="2">
        <v>165</v>
      </c>
      <c r="AF191" s="2">
        <v>164</v>
      </c>
      <c r="AG191" s="59" t="s">
        <v>276</v>
      </c>
      <c r="AH191" s="59" t="s">
        <v>276</v>
      </c>
      <c r="AI191" s="59">
        <v>100000</v>
      </c>
      <c r="AJ191" s="60">
        <v>36.200000000000003</v>
      </c>
      <c r="AK191" s="64" t="s">
        <v>98</v>
      </c>
      <c r="AL191" s="65" t="s">
        <v>276</v>
      </c>
      <c r="AM191" s="65" t="s">
        <v>276</v>
      </c>
      <c r="AN191" s="60">
        <v>36.1</v>
      </c>
      <c r="AO191" s="64" t="s">
        <v>98</v>
      </c>
      <c r="AP191" s="65" t="s">
        <v>276</v>
      </c>
      <c r="AQ191" s="65" t="s">
        <v>276</v>
      </c>
      <c r="AR191" s="8" t="s">
        <v>269</v>
      </c>
      <c r="AS191" s="64">
        <v>1.0029999999999999</v>
      </c>
      <c r="AT191" s="65" t="s">
        <v>98</v>
      </c>
      <c r="AU191" s="65">
        <v>0.81</v>
      </c>
      <c r="AV191" s="65">
        <v>1.25</v>
      </c>
      <c r="AW191" s="2">
        <v>0.98</v>
      </c>
      <c r="AX191" s="2" t="s">
        <v>98</v>
      </c>
      <c r="AY191" s="2" t="s">
        <v>98</v>
      </c>
      <c r="AZ191" s="2" t="s">
        <v>98</v>
      </c>
      <c r="BA191" s="2" t="s">
        <v>98</v>
      </c>
      <c r="BB191" s="2" t="s">
        <v>98</v>
      </c>
      <c r="BC191" s="9" t="s">
        <v>1659</v>
      </c>
      <c r="BD191" s="9" t="s">
        <v>1660</v>
      </c>
      <c r="BE191" s="9" t="s">
        <v>100</v>
      </c>
      <c r="BF191" s="2" t="s">
        <v>98</v>
      </c>
    </row>
    <row r="192" spans="1:58" s="1" customFormat="1" ht="117" x14ac:dyDescent="0.3">
      <c r="A192" s="2">
        <v>1061</v>
      </c>
      <c r="B192" s="2" t="s">
        <v>1655</v>
      </c>
      <c r="C192" s="9" t="s">
        <v>1556</v>
      </c>
      <c r="D192" s="9" t="s">
        <v>1666</v>
      </c>
      <c r="E192" s="2" t="s">
        <v>43</v>
      </c>
      <c r="F192" s="10" t="s">
        <v>139</v>
      </c>
      <c r="G192" s="2" t="s">
        <v>225</v>
      </c>
      <c r="H192" s="2" t="s">
        <v>125</v>
      </c>
      <c r="I192" s="2" t="s">
        <v>114</v>
      </c>
      <c r="J192" s="10" t="s">
        <v>24</v>
      </c>
      <c r="K192" s="10" t="s">
        <v>1664</v>
      </c>
      <c r="L192" s="10" t="s">
        <v>1491</v>
      </c>
      <c r="M192" s="2" t="s">
        <v>14</v>
      </c>
      <c r="N192" s="57" t="s">
        <v>98</v>
      </c>
      <c r="O192" s="58" t="s">
        <v>207</v>
      </c>
      <c r="P192" s="63">
        <v>41274</v>
      </c>
      <c r="Q192" s="9" t="s">
        <v>1667</v>
      </c>
      <c r="R192" s="9" t="s">
        <v>1668</v>
      </c>
      <c r="S192" s="9" t="s">
        <v>1669</v>
      </c>
      <c r="T192" s="10">
        <v>6</v>
      </c>
      <c r="U192" s="59">
        <v>38340</v>
      </c>
      <c r="V192" s="34">
        <v>38343</v>
      </c>
      <c r="W192" s="2" t="s">
        <v>276</v>
      </c>
      <c r="X192" s="2" t="s">
        <v>276</v>
      </c>
      <c r="Y192" s="2">
        <v>3</v>
      </c>
      <c r="Z192" s="9" t="s">
        <v>1562</v>
      </c>
      <c r="AA192" s="2">
        <v>3</v>
      </c>
      <c r="AB192" s="9" t="s">
        <v>1562</v>
      </c>
      <c r="AC192" s="9" t="s">
        <v>1670</v>
      </c>
      <c r="AD192" s="10" t="s">
        <v>1487</v>
      </c>
      <c r="AE192" s="2">
        <v>255</v>
      </c>
      <c r="AF192" s="2">
        <v>244</v>
      </c>
      <c r="AG192" s="59">
        <v>533014</v>
      </c>
      <c r="AH192" s="59">
        <v>529860</v>
      </c>
      <c r="AI192" s="59">
        <v>100000</v>
      </c>
      <c r="AJ192" s="2">
        <v>47.8</v>
      </c>
      <c r="AK192" s="64">
        <f t="shared" si="24"/>
        <v>47.841144885500192</v>
      </c>
      <c r="AL192" s="65" t="s">
        <v>276</v>
      </c>
      <c r="AM192" s="65" t="s">
        <v>276</v>
      </c>
      <c r="AN192" s="60">
        <v>46</v>
      </c>
      <c r="AO192" s="64">
        <f t="shared" ref="AO192:AO194" si="28">AF192/AH192*AI192</f>
        <v>46.049899973577922</v>
      </c>
      <c r="AP192" s="65" t="s">
        <v>276</v>
      </c>
      <c r="AQ192" s="65" t="s">
        <v>276</v>
      </c>
      <c r="AR192" s="8" t="s">
        <v>269</v>
      </c>
      <c r="AS192" s="65">
        <v>1.04</v>
      </c>
      <c r="AT192" s="65">
        <f t="shared" si="26"/>
        <v>1.0388979110258663</v>
      </c>
      <c r="AU192" s="65">
        <v>0.87</v>
      </c>
      <c r="AV192" s="65">
        <v>1.24</v>
      </c>
      <c r="AW192" s="2">
        <v>0.67</v>
      </c>
      <c r="AX192" s="2" t="s">
        <v>98</v>
      </c>
      <c r="AY192" s="2" t="s">
        <v>98</v>
      </c>
      <c r="AZ192" s="2" t="s">
        <v>98</v>
      </c>
      <c r="BA192" s="2" t="s">
        <v>98</v>
      </c>
      <c r="BB192" s="2" t="s">
        <v>98</v>
      </c>
      <c r="BC192" s="9" t="s">
        <v>1671</v>
      </c>
      <c r="BD192" s="9" t="s">
        <v>1660</v>
      </c>
      <c r="BE192" s="9" t="s">
        <v>100</v>
      </c>
      <c r="BF192" s="2" t="s">
        <v>98</v>
      </c>
    </row>
    <row r="193" spans="1:58" s="7" customFormat="1" ht="169" x14ac:dyDescent="0.3">
      <c r="A193" s="8">
        <v>1061</v>
      </c>
      <c r="B193" s="8" t="s">
        <v>1655</v>
      </c>
      <c r="C193" s="9" t="s">
        <v>1556</v>
      </c>
      <c r="D193" s="9" t="s">
        <v>1672</v>
      </c>
      <c r="E193" s="8" t="s">
        <v>43</v>
      </c>
      <c r="F193" s="9" t="s">
        <v>139</v>
      </c>
      <c r="G193" s="8" t="s">
        <v>225</v>
      </c>
      <c r="H193" s="8" t="s">
        <v>125</v>
      </c>
      <c r="I193" s="8" t="s">
        <v>114</v>
      </c>
      <c r="J193" s="9" t="s">
        <v>24</v>
      </c>
      <c r="K193" s="9" t="s">
        <v>1664</v>
      </c>
      <c r="L193" s="9" t="s">
        <v>1491</v>
      </c>
      <c r="M193" s="8" t="s">
        <v>14</v>
      </c>
      <c r="N193" s="11" t="s">
        <v>98</v>
      </c>
      <c r="O193" s="12" t="s">
        <v>207</v>
      </c>
      <c r="P193" s="41">
        <v>41274</v>
      </c>
      <c r="Q193" s="9" t="s">
        <v>1667</v>
      </c>
      <c r="R193" s="9" t="s">
        <v>1668</v>
      </c>
      <c r="S193" s="9" t="s">
        <v>1669</v>
      </c>
      <c r="T193" s="9">
        <v>6</v>
      </c>
      <c r="U193" s="13">
        <v>38340</v>
      </c>
      <c r="V193" s="38">
        <v>38343</v>
      </c>
      <c r="W193" s="8" t="s">
        <v>276</v>
      </c>
      <c r="X193" s="8" t="s">
        <v>276</v>
      </c>
      <c r="Y193" s="8">
        <v>0</v>
      </c>
      <c r="Z193" s="9" t="s">
        <v>1562</v>
      </c>
      <c r="AA193" s="8">
        <v>0</v>
      </c>
      <c r="AB193" s="9" t="s">
        <v>1562</v>
      </c>
      <c r="AC193" s="9" t="s">
        <v>1673</v>
      </c>
      <c r="AD193" s="9" t="s">
        <v>1674</v>
      </c>
      <c r="AE193" s="8">
        <v>226</v>
      </c>
      <c r="AF193" s="8">
        <v>217</v>
      </c>
      <c r="AG193" s="13">
        <v>533014</v>
      </c>
      <c r="AH193" s="13">
        <v>529860</v>
      </c>
      <c r="AI193" s="13">
        <v>100000</v>
      </c>
      <c r="AJ193" s="8" t="s">
        <v>276</v>
      </c>
      <c r="AK193" s="31">
        <f t="shared" si="24"/>
        <v>42.400387231855071</v>
      </c>
      <c r="AL193" s="14" t="s">
        <v>276</v>
      </c>
      <c r="AM193" s="14" t="s">
        <v>276</v>
      </c>
      <c r="AN193" s="8" t="s">
        <v>276</v>
      </c>
      <c r="AO193" s="31">
        <f t="shared" si="28"/>
        <v>40.954214320763974</v>
      </c>
      <c r="AP193" s="14" t="s">
        <v>276</v>
      </c>
      <c r="AQ193" s="14" t="s">
        <v>276</v>
      </c>
      <c r="AR193" s="8" t="s">
        <v>269</v>
      </c>
      <c r="AS193" s="8" t="s">
        <v>276</v>
      </c>
      <c r="AT193" s="14">
        <f t="shared" si="26"/>
        <v>1.0353119437175451</v>
      </c>
      <c r="AU193" s="8" t="s">
        <v>276</v>
      </c>
      <c r="AV193" s="8" t="s">
        <v>276</v>
      </c>
      <c r="AW193" s="8" t="s">
        <v>276</v>
      </c>
      <c r="AX193" s="8" t="s">
        <v>98</v>
      </c>
      <c r="AY193" s="8" t="s">
        <v>98</v>
      </c>
      <c r="AZ193" s="8" t="s">
        <v>98</v>
      </c>
      <c r="BA193" s="8" t="s">
        <v>98</v>
      </c>
      <c r="BB193" s="8" t="s">
        <v>98</v>
      </c>
      <c r="BC193" s="9" t="s">
        <v>1675</v>
      </c>
      <c r="BD193" s="9" t="s">
        <v>1660</v>
      </c>
      <c r="BE193" s="9" t="s">
        <v>100</v>
      </c>
      <c r="BF193" s="2" t="s">
        <v>98</v>
      </c>
    </row>
    <row r="194" spans="1:58" s="7" customFormat="1" ht="154.5" customHeight="1" x14ac:dyDescent="0.3">
      <c r="A194" s="8">
        <v>1486</v>
      </c>
      <c r="B194" s="8" t="s">
        <v>1676</v>
      </c>
      <c r="C194" s="9" t="s">
        <v>1556</v>
      </c>
      <c r="D194" s="9" t="s">
        <v>1677</v>
      </c>
      <c r="E194" s="8" t="s">
        <v>43</v>
      </c>
      <c r="F194" s="9" t="s">
        <v>139</v>
      </c>
      <c r="G194" s="8" t="s">
        <v>225</v>
      </c>
      <c r="H194" s="8" t="s">
        <v>125</v>
      </c>
      <c r="I194" s="8" t="s">
        <v>114</v>
      </c>
      <c r="J194" s="9" t="s">
        <v>24</v>
      </c>
      <c r="K194" s="9" t="s">
        <v>1678</v>
      </c>
      <c r="L194" s="9" t="s">
        <v>1679</v>
      </c>
      <c r="M194" s="8" t="s">
        <v>14</v>
      </c>
      <c r="N194" s="12" t="s">
        <v>1680</v>
      </c>
      <c r="O194" s="12" t="s">
        <v>207</v>
      </c>
      <c r="P194" s="41">
        <v>40056</v>
      </c>
      <c r="Q194" s="9">
        <v>10</v>
      </c>
      <c r="R194" s="9" t="s">
        <v>1681</v>
      </c>
      <c r="S194" s="9" t="s">
        <v>1681</v>
      </c>
      <c r="T194" s="9" t="s">
        <v>276</v>
      </c>
      <c r="U194" s="38">
        <f>13266+24019</f>
        <v>37285</v>
      </c>
      <c r="V194" s="38">
        <f>12909+23184</f>
        <v>36093</v>
      </c>
      <c r="W194" s="8" t="s">
        <v>276</v>
      </c>
      <c r="X194" s="8" t="s">
        <v>276</v>
      </c>
      <c r="Y194" s="8" t="s">
        <v>276</v>
      </c>
      <c r="Z194" s="9" t="s">
        <v>1562</v>
      </c>
      <c r="AA194" s="8" t="s">
        <v>276</v>
      </c>
      <c r="AB194" s="9" t="s">
        <v>1562</v>
      </c>
      <c r="AC194" s="9" t="s">
        <v>1682</v>
      </c>
      <c r="AD194" s="9" t="s">
        <v>1683</v>
      </c>
      <c r="AE194" s="8">
        <f>22+62</f>
        <v>84</v>
      </c>
      <c r="AF194" s="8">
        <f>38+42</f>
        <v>80</v>
      </c>
      <c r="AG194" s="38">
        <f>13266+24019</f>
        <v>37285</v>
      </c>
      <c r="AH194" s="38">
        <f>12909+23184</f>
        <v>36093</v>
      </c>
      <c r="AI194" s="13">
        <v>1000</v>
      </c>
      <c r="AJ194" s="14" t="s">
        <v>276</v>
      </c>
      <c r="AK194" s="31">
        <f t="shared" si="24"/>
        <v>2.2529167225425777</v>
      </c>
      <c r="AL194" s="14" t="s">
        <v>276</v>
      </c>
      <c r="AM194" s="14" t="s">
        <v>276</v>
      </c>
      <c r="AN194" s="14" t="s">
        <v>276</v>
      </c>
      <c r="AO194" s="31">
        <f t="shared" si="28"/>
        <v>2.2164962735156402</v>
      </c>
      <c r="AP194" s="14" t="s">
        <v>276</v>
      </c>
      <c r="AQ194" s="14" t="s">
        <v>276</v>
      </c>
      <c r="AR194" s="8" t="s">
        <v>268</v>
      </c>
      <c r="AS194" s="14" t="s">
        <v>276</v>
      </c>
      <c r="AT194" s="14">
        <f t="shared" si="26"/>
        <v>1.0164315408341158</v>
      </c>
      <c r="AU194" s="14" t="s">
        <v>276</v>
      </c>
      <c r="AV194" s="14" t="s">
        <v>276</v>
      </c>
      <c r="AW194" s="8" t="s">
        <v>276</v>
      </c>
      <c r="AX194" s="8" t="s">
        <v>98</v>
      </c>
      <c r="AY194" s="8" t="s">
        <v>98</v>
      </c>
      <c r="AZ194" s="8" t="s">
        <v>98</v>
      </c>
      <c r="BA194" s="8" t="s">
        <v>98</v>
      </c>
      <c r="BB194" s="8" t="s">
        <v>98</v>
      </c>
      <c r="BC194" s="9" t="s">
        <v>426</v>
      </c>
      <c r="BD194" s="9"/>
      <c r="BE194" s="9" t="s">
        <v>100</v>
      </c>
      <c r="BF194" s="2" t="s">
        <v>98</v>
      </c>
    </row>
    <row r="195" spans="1:58" s="1" customFormat="1" ht="117" x14ac:dyDescent="0.3">
      <c r="A195" s="2">
        <v>1055</v>
      </c>
      <c r="B195" s="2" t="s">
        <v>1482</v>
      </c>
      <c r="C195" s="9" t="s">
        <v>1556</v>
      </c>
      <c r="D195" s="9" t="s">
        <v>1684</v>
      </c>
      <c r="E195" s="2" t="s">
        <v>43</v>
      </c>
      <c r="F195" s="10" t="s">
        <v>139</v>
      </c>
      <c r="G195" s="2" t="s">
        <v>225</v>
      </c>
      <c r="H195" s="2" t="s">
        <v>125</v>
      </c>
      <c r="I195" s="2" t="s">
        <v>114</v>
      </c>
      <c r="J195" s="10" t="s">
        <v>24</v>
      </c>
      <c r="K195" s="9" t="s">
        <v>1685</v>
      </c>
      <c r="L195" s="10" t="s">
        <v>1491</v>
      </c>
      <c r="M195" s="2" t="s">
        <v>14</v>
      </c>
      <c r="N195" s="57" t="s">
        <v>98</v>
      </c>
      <c r="O195" s="58" t="s">
        <v>207</v>
      </c>
      <c r="P195" s="63">
        <v>42369</v>
      </c>
      <c r="Q195" s="9" t="s">
        <v>1686</v>
      </c>
      <c r="R195" s="9" t="s">
        <v>1687</v>
      </c>
      <c r="S195" s="9" t="s">
        <v>1688</v>
      </c>
      <c r="T195" s="10">
        <v>6</v>
      </c>
      <c r="U195" s="59">
        <v>38340</v>
      </c>
      <c r="V195" s="34">
        <v>38338</v>
      </c>
      <c r="W195" s="2" t="s">
        <v>276</v>
      </c>
      <c r="X195" s="2" t="s">
        <v>276</v>
      </c>
      <c r="Y195" s="8">
        <v>7</v>
      </c>
      <c r="Z195" s="9" t="s">
        <v>894</v>
      </c>
      <c r="AA195" s="2">
        <v>12</v>
      </c>
      <c r="AB195" s="9" t="s">
        <v>894</v>
      </c>
      <c r="AC195" s="9" t="s">
        <v>1689</v>
      </c>
      <c r="AD195" s="10" t="s">
        <v>1487</v>
      </c>
      <c r="AE195" s="2">
        <v>333</v>
      </c>
      <c r="AF195" s="2">
        <v>352</v>
      </c>
      <c r="AG195" s="59" t="s">
        <v>276</v>
      </c>
      <c r="AH195" s="59" t="s">
        <v>276</v>
      </c>
      <c r="AI195" s="59">
        <v>10000</v>
      </c>
      <c r="AJ195" s="60">
        <v>5.5</v>
      </c>
      <c r="AK195" s="64" t="s">
        <v>98</v>
      </c>
      <c r="AL195" s="65" t="s">
        <v>276</v>
      </c>
      <c r="AM195" s="65" t="s">
        <v>276</v>
      </c>
      <c r="AN195" s="60">
        <v>5.9</v>
      </c>
      <c r="AO195" s="64" t="s">
        <v>98</v>
      </c>
      <c r="AP195" s="65" t="s">
        <v>276</v>
      </c>
      <c r="AQ195" s="65" t="s">
        <v>276</v>
      </c>
      <c r="AR195" s="8" t="s">
        <v>269</v>
      </c>
      <c r="AS195" s="65">
        <v>0.93</v>
      </c>
      <c r="AT195" s="65" t="s">
        <v>98</v>
      </c>
      <c r="AU195" s="65">
        <v>0.81</v>
      </c>
      <c r="AV195" s="65">
        <v>1.08</v>
      </c>
      <c r="AW195" s="2">
        <v>0.38</v>
      </c>
      <c r="AX195" s="2" t="s">
        <v>1488</v>
      </c>
      <c r="AY195" s="2">
        <v>0.93</v>
      </c>
      <c r="AZ195" s="2">
        <v>0.81</v>
      </c>
      <c r="BA195" s="2">
        <v>1.08</v>
      </c>
      <c r="BB195" s="2">
        <v>0.38</v>
      </c>
      <c r="BC195" s="9" t="s">
        <v>1690</v>
      </c>
      <c r="BD195" s="9" t="s">
        <v>1691</v>
      </c>
      <c r="BE195" s="9" t="s">
        <v>100</v>
      </c>
      <c r="BF195" s="2" t="s">
        <v>98</v>
      </c>
    </row>
    <row r="196" spans="1:58" s="1" customFormat="1" ht="104" x14ac:dyDescent="0.3">
      <c r="A196" s="2">
        <v>1055</v>
      </c>
      <c r="B196" s="2" t="s">
        <v>1482</v>
      </c>
      <c r="C196" s="9" t="s">
        <v>1556</v>
      </c>
      <c r="D196" s="9" t="s">
        <v>1483</v>
      </c>
      <c r="E196" s="2" t="s">
        <v>43</v>
      </c>
      <c r="F196" s="10" t="s">
        <v>139</v>
      </c>
      <c r="G196" s="2" t="s">
        <v>225</v>
      </c>
      <c r="H196" s="2" t="s">
        <v>125</v>
      </c>
      <c r="I196" s="2" t="s">
        <v>114</v>
      </c>
      <c r="J196" s="10" t="s">
        <v>23</v>
      </c>
      <c r="K196" s="10" t="s">
        <v>1692</v>
      </c>
      <c r="L196" s="10" t="s">
        <v>1491</v>
      </c>
      <c r="M196" s="2" t="s">
        <v>14</v>
      </c>
      <c r="N196" s="57" t="s">
        <v>98</v>
      </c>
      <c r="O196" s="58" t="s">
        <v>207</v>
      </c>
      <c r="P196" s="63">
        <v>42369</v>
      </c>
      <c r="Q196" s="9" t="s">
        <v>1686</v>
      </c>
      <c r="R196" s="9" t="s">
        <v>1687</v>
      </c>
      <c r="S196" s="9" t="s">
        <v>1688</v>
      </c>
      <c r="T196" s="10">
        <v>6</v>
      </c>
      <c r="U196" s="59">
        <v>38340</v>
      </c>
      <c r="V196" s="34">
        <v>38338</v>
      </c>
      <c r="W196" s="2" t="s">
        <v>276</v>
      </c>
      <c r="X196" s="2" t="s">
        <v>276</v>
      </c>
      <c r="Y196" s="2" t="s">
        <v>276</v>
      </c>
      <c r="Z196" s="8" t="s">
        <v>98</v>
      </c>
      <c r="AA196" s="2" t="s">
        <v>276</v>
      </c>
      <c r="AB196" s="8" t="s">
        <v>98</v>
      </c>
      <c r="AC196" s="9" t="s">
        <v>1693</v>
      </c>
      <c r="AD196" s="10" t="s">
        <v>1487</v>
      </c>
      <c r="AE196" s="2">
        <v>13609</v>
      </c>
      <c r="AF196" s="2">
        <v>13842</v>
      </c>
      <c r="AG196" s="59" t="s">
        <v>276</v>
      </c>
      <c r="AH196" s="59" t="s">
        <v>276</v>
      </c>
      <c r="AI196" s="59">
        <v>10000</v>
      </c>
      <c r="AJ196" s="60">
        <v>226.3</v>
      </c>
      <c r="AK196" s="64" t="s">
        <v>98</v>
      </c>
      <c r="AL196" s="65" t="s">
        <v>276</v>
      </c>
      <c r="AM196" s="65" t="s">
        <v>276</v>
      </c>
      <c r="AN196" s="60">
        <v>233</v>
      </c>
      <c r="AO196" s="64" t="s">
        <v>98</v>
      </c>
      <c r="AP196" s="65" t="s">
        <v>276</v>
      </c>
      <c r="AQ196" s="65" t="s">
        <v>276</v>
      </c>
      <c r="AR196" s="8" t="s">
        <v>269</v>
      </c>
      <c r="AS196" s="65" t="s">
        <v>276</v>
      </c>
      <c r="AT196" s="65" t="s">
        <v>98</v>
      </c>
      <c r="AU196" s="65" t="s">
        <v>276</v>
      </c>
      <c r="AV196" s="65" t="s">
        <v>276</v>
      </c>
      <c r="AW196" s="2" t="s">
        <v>276</v>
      </c>
      <c r="AX196" s="2" t="s">
        <v>1488</v>
      </c>
      <c r="AY196" s="2">
        <v>0.96599999999999997</v>
      </c>
      <c r="AZ196" s="2">
        <v>0.94299999999999995</v>
      </c>
      <c r="BA196" s="2">
        <v>0.98899999999999999</v>
      </c>
      <c r="BB196" s="2">
        <v>4.0000000000000001E-3</v>
      </c>
      <c r="BC196" s="9" t="s">
        <v>1694</v>
      </c>
      <c r="BD196" s="9" t="s">
        <v>1695</v>
      </c>
      <c r="BE196" s="9" t="s">
        <v>100</v>
      </c>
      <c r="BF196" s="2" t="s">
        <v>98</v>
      </c>
    </row>
    <row r="197" spans="1:58" s="1" customFormat="1" ht="71.5" customHeight="1" x14ac:dyDescent="0.3">
      <c r="A197" s="2">
        <v>1042</v>
      </c>
      <c r="B197" s="2" t="s">
        <v>1493</v>
      </c>
      <c r="C197" s="9" t="s">
        <v>1556</v>
      </c>
      <c r="D197" s="9" t="s">
        <v>1494</v>
      </c>
      <c r="E197" s="2" t="s">
        <v>43</v>
      </c>
      <c r="F197" s="10" t="s">
        <v>139</v>
      </c>
      <c r="G197" s="2" t="s">
        <v>225</v>
      </c>
      <c r="H197" s="2" t="s">
        <v>125</v>
      </c>
      <c r="I197" s="2" t="s">
        <v>114</v>
      </c>
      <c r="J197" s="10" t="s">
        <v>23</v>
      </c>
      <c r="K197" s="10" t="s">
        <v>1696</v>
      </c>
      <c r="L197" s="10" t="s">
        <v>1496</v>
      </c>
      <c r="M197" s="2" t="s">
        <v>14</v>
      </c>
      <c r="N197" s="57" t="s">
        <v>98</v>
      </c>
      <c r="O197" s="58" t="s">
        <v>207</v>
      </c>
      <c r="P197" s="63">
        <v>40178</v>
      </c>
      <c r="Q197" s="10">
        <v>13</v>
      </c>
      <c r="R197" s="10" t="s">
        <v>276</v>
      </c>
      <c r="S197" s="10" t="s">
        <v>276</v>
      </c>
      <c r="T197" s="10">
        <v>6</v>
      </c>
      <c r="U197" s="59" t="s">
        <v>276</v>
      </c>
      <c r="V197" s="34" t="s">
        <v>276</v>
      </c>
      <c r="W197" s="2" t="s">
        <v>276</v>
      </c>
      <c r="X197" s="2" t="s">
        <v>276</v>
      </c>
      <c r="Y197" s="2" t="s">
        <v>276</v>
      </c>
      <c r="Z197" s="8" t="s">
        <v>98</v>
      </c>
      <c r="AA197" s="2" t="s">
        <v>276</v>
      </c>
      <c r="AB197" s="8" t="s">
        <v>98</v>
      </c>
      <c r="AC197" s="10" t="s">
        <v>1697</v>
      </c>
      <c r="AD197" s="9" t="s">
        <v>1674</v>
      </c>
      <c r="AE197" s="2">
        <v>6941</v>
      </c>
      <c r="AF197" s="2">
        <v>7151</v>
      </c>
      <c r="AG197" s="13" t="s">
        <v>276</v>
      </c>
      <c r="AH197" s="13" t="s">
        <v>276</v>
      </c>
      <c r="AI197" s="59">
        <v>10000</v>
      </c>
      <c r="AJ197" s="65" t="s">
        <v>276</v>
      </c>
      <c r="AK197" s="31" t="s">
        <v>98</v>
      </c>
      <c r="AL197" s="65" t="s">
        <v>276</v>
      </c>
      <c r="AM197" s="65" t="s">
        <v>276</v>
      </c>
      <c r="AN197" s="65" t="s">
        <v>276</v>
      </c>
      <c r="AO197" s="31" t="s">
        <v>98</v>
      </c>
      <c r="AP197" s="65" t="s">
        <v>276</v>
      </c>
      <c r="AQ197" s="65" t="s">
        <v>276</v>
      </c>
      <c r="AR197" s="2" t="s">
        <v>269</v>
      </c>
      <c r="AS197" s="65">
        <v>0.97</v>
      </c>
      <c r="AT197" s="14" t="s">
        <v>98</v>
      </c>
      <c r="AU197" s="65">
        <v>0.94</v>
      </c>
      <c r="AV197" s="65">
        <v>1</v>
      </c>
      <c r="AW197" s="2" t="s">
        <v>276</v>
      </c>
      <c r="AX197" s="2" t="s">
        <v>98</v>
      </c>
      <c r="AY197" s="2" t="s">
        <v>98</v>
      </c>
      <c r="AZ197" s="2" t="s">
        <v>98</v>
      </c>
      <c r="BA197" s="2" t="s">
        <v>98</v>
      </c>
      <c r="BB197" s="2" t="s">
        <v>98</v>
      </c>
      <c r="BC197" s="9" t="s">
        <v>1698</v>
      </c>
      <c r="BD197" s="9" t="s">
        <v>276</v>
      </c>
      <c r="BE197" s="9" t="s">
        <v>100</v>
      </c>
      <c r="BF197" s="2" t="s">
        <v>98</v>
      </c>
    </row>
    <row r="198" spans="1:58" s="7" customFormat="1" ht="78" x14ac:dyDescent="0.3">
      <c r="A198" s="8">
        <v>1519</v>
      </c>
      <c r="B198" s="8" t="s">
        <v>1881</v>
      </c>
      <c r="C198" s="9" t="s">
        <v>1882</v>
      </c>
      <c r="D198" s="9" t="s">
        <v>1883</v>
      </c>
      <c r="E198" s="8" t="s">
        <v>42</v>
      </c>
      <c r="F198" s="9" t="s">
        <v>140</v>
      </c>
      <c r="G198" s="8" t="s">
        <v>225</v>
      </c>
      <c r="H198" s="8" t="s">
        <v>125</v>
      </c>
      <c r="I198" s="8" t="s">
        <v>114</v>
      </c>
      <c r="J198" s="9" t="s">
        <v>24</v>
      </c>
      <c r="K198" s="9" t="s">
        <v>1884</v>
      </c>
      <c r="L198" s="9" t="s">
        <v>1885</v>
      </c>
      <c r="M198" s="8" t="s">
        <v>14</v>
      </c>
      <c r="N198" s="11" t="s">
        <v>98</v>
      </c>
      <c r="O198" s="12" t="s">
        <v>207</v>
      </c>
      <c r="P198" s="41">
        <v>40237</v>
      </c>
      <c r="Q198" s="51" t="s">
        <v>1886</v>
      </c>
      <c r="R198" s="9" t="s">
        <v>1887</v>
      </c>
      <c r="S198" s="9" t="s">
        <v>1888</v>
      </c>
      <c r="T198" s="51" t="s">
        <v>1889</v>
      </c>
      <c r="U198" s="13">
        <v>34253</v>
      </c>
      <c r="V198" s="38">
        <v>34304</v>
      </c>
      <c r="W198" s="8" t="s">
        <v>276</v>
      </c>
      <c r="X198" s="8" t="s">
        <v>276</v>
      </c>
      <c r="Y198" s="8" t="s">
        <v>276</v>
      </c>
      <c r="Z198" s="9" t="s">
        <v>1562</v>
      </c>
      <c r="AA198" s="8" t="s">
        <v>276</v>
      </c>
      <c r="AB198" s="9" t="s">
        <v>1562</v>
      </c>
      <c r="AC198" s="9" t="s">
        <v>1890</v>
      </c>
      <c r="AD198" s="9" t="s">
        <v>1487</v>
      </c>
      <c r="AE198" s="8">
        <v>118</v>
      </c>
      <c r="AF198" s="8">
        <v>100</v>
      </c>
      <c r="AG198" s="13">
        <v>381574</v>
      </c>
      <c r="AH198" s="13">
        <v>382502</v>
      </c>
      <c r="AI198" s="38" t="s">
        <v>1891</v>
      </c>
      <c r="AJ198" s="14">
        <v>3.1</v>
      </c>
      <c r="AK198" s="14">
        <f>(AE198/AG198) *10000</f>
        <v>3.0924538883676562</v>
      </c>
      <c r="AL198" s="14" t="s">
        <v>276</v>
      </c>
      <c r="AM198" s="14" t="s">
        <v>276</v>
      </c>
      <c r="AN198" s="14">
        <v>2.6</v>
      </c>
      <c r="AO198" s="14">
        <f>(AF198/AH198)*10000</f>
        <v>2.6143654150827973</v>
      </c>
      <c r="AP198" s="14" t="s">
        <v>276</v>
      </c>
      <c r="AQ198" s="14" t="s">
        <v>276</v>
      </c>
      <c r="AR198" s="8" t="s">
        <v>269</v>
      </c>
      <c r="AS198" s="14">
        <v>1.18</v>
      </c>
      <c r="AT198" s="14">
        <f>AK198/AO198</f>
        <v>1.182869797208405</v>
      </c>
      <c r="AU198" s="14">
        <v>0.91</v>
      </c>
      <c r="AV198" s="14">
        <v>1.54</v>
      </c>
      <c r="AW198" s="8" t="s">
        <v>276</v>
      </c>
      <c r="AX198" s="8" t="s">
        <v>1892</v>
      </c>
      <c r="AY198" s="8">
        <v>1.18</v>
      </c>
      <c r="AZ198" s="8">
        <v>0.82</v>
      </c>
      <c r="BA198" s="8">
        <v>1.71</v>
      </c>
      <c r="BB198" s="8" t="s">
        <v>276</v>
      </c>
      <c r="BC198" s="9" t="s">
        <v>1893</v>
      </c>
      <c r="BD198" s="9"/>
      <c r="BE198" s="9" t="s">
        <v>99</v>
      </c>
      <c r="BF198" s="33" t="s">
        <v>11162</v>
      </c>
    </row>
    <row r="199" spans="1:58" s="7" customFormat="1" ht="52" x14ac:dyDescent="0.3">
      <c r="A199" s="8">
        <v>1519</v>
      </c>
      <c r="B199" s="8" t="s">
        <v>1881</v>
      </c>
      <c r="C199" s="9" t="s">
        <v>1882</v>
      </c>
      <c r="D199" s="9" t="s">
        <v>1894</v>
      </c>
      <c r="E199" s="8" t="s">
        <v>42</v>
      </c>
      <c r="F199" s="9" t="s">
        <v>140</v>
      </c>
      <c r="G199" s="8" t="s">
        <v>225</v>
      </c>
      <c r="H199" s="8" t="s">
        <v>125</v>
      </c>
      <c r="I199" s="8" t="s">
        <v>114</v>
      </c>
      <c r="J199" s="9" t="s">
        <v>24</v>
      </c>
      <c r="K199" s="9" t="s">
        <v>1884</v>
      </c>
      <c r="L199" s="9" t="s">
        <v>1895</v>
      </c>
      <c r="M199" s="8" t="s">
        <v>14</v>
      </c>
      <c r="N199" s="11" t="s">
        <v>1896</v>
      </c>
      <c r="O199" s="12" t="s">
        <v>207</v>
      </c>
      <c r="P199" s="41">
        <v>40237</v>
      </c>
      <c r="Q199" s="51" t="s">
        <v>1897</v>
      </c>
      <c r="R199" s="9" t="s">
        <v>1898</v>
      </c>
      <c r="S199" s="9" t="s">
        <v>1899</v>
      </c>
      <c r="T199" s="51" t="s">
        <v>1889</v>
      </c>
      <c r="U199" s="13">
        <v>34253</v>
      </c>
      <c r="V199" s="38">
        <v>34304</v>
      </c>
      <c r="W199" s="8" t="s">
        <v>276</v>
      </c>
      <c r="X199" s="8" t="s">
        <v>276</v>
      </c>
      <c r="Y199" s="8" t="s">
        <v>276</v>
      </c>
      <c r="Z199" s="9" t="s">
        <v>1562</v>
      </c>
      <c r="AA199" s="8" t="s">
        <v>276</v>
      </c>
      <c r="AB199" s="9" t="s">
        <v>1562</v>
      </c>
      <c r="AC199" s="9" t="s">
        <v>1900</v>
      </c>
      <c r="AD199" s="9" t="s">
        <v>1487</v>
      </c>
      <c r="AE199" s="8">
        <v>102</v>
      </c>
      <c r="AF199" s="8">
        <v>90</v>
      </c>
      <c r="AG199" s="13">
        <v>350870</v>
      </c>
      <c r="AH199" s="13">
        <v>351557</v>
      </c>
      <c r="AI199" s="38" t="s">
        <v>1891</v>
      </c>
      <c r="AJ199" s="14" t="s">
        <v>276</v>
      </c>
      <c r="AK199" s="14">
        <f>(AE199/AG199) *10000</f>
        <v>2.9070595947216917</v>
      </c>
      <c r="AL199" s="14" t="s">
        <v>276</v>
      </c>
      <c r="AM199" s="14" t="s">
        <v>276</v>
      </c>
      <c r="AN199" s="14" t="s">
        <v>276</v>
      </c>
      <c r="AO199" s="14">
        <f t="shared" ref="AO199:AO204" si="29">(AF199/AH199)*10000</f>
        <v>2.5600400504043441</v>
      </c>
      <c r="AP199" s="14" t="s">
        <v>276</v>
      </c>
      <c r="AQ199" s="14" t="s">
        <v>276</v>
      </c>
      <c r="AR199" s="8" t="s">
        <v>269</v>
      </c>
      <c r="AS199" s="14" t="s">
        <v>276</v>
      </c>
      <c r="AT199" s="14">
        <f t="shared" ref="AT199:AT206" si="30">AK199/AO199</f>
        <v>1.1355523888239709</v>
      </c>
      <c r="AU199" s="14" t="s">
        <v>276</v>
      </c>
      <c r="AV199" s="14" t="s">
        <v>276</v>
      </c>
      <c r="AW199" s="8" t="s">
        <v>276</v>
      </c>
      <c r="AX199" s="8" t="s">
        <v>1896</v>
      </c>
      <c r="AY199" s="8" t="s">
        <v>276</v>
      </c>
      <c r="AZ199" s="8" t="s">
        <v>276</v>
      </c>
      <c r="BA199" s="8" t="s">
        <v>276</v>
      </c>
      <c r="BB199" s="8" t="s">
        <v>276</v>
      </c>
      <c r="BC199" s="9" t="s">
        <v>1901</v>
      </c>
      <c r="BD199" s="9"/>
      <c r="BE199" s="9" t="s">
        <v>100</v>
      </c>
      <c r="BF199" s="33" t="s">
        <v>98</v>
      </c>
    </row>
    <row r="200" spans="1:58" s="7" customFormat="1" ht="52" x14ac:dyDescent="0.3">
      <c r="A200" s="8">
        <v>1519</v>
      </c>
      <c r="B200" s="8" t="s">
        <v>1881</v>
      </c>
      <c r="C200" s="9" t="s">
        <v>1882</v>
      </c>
      <c r="D200" s="9" t="s">
        <v>1902</v>
      </c>
      <c r="E200" s="8" t="s">
        <v>42</v>
      </c>
      <c r="F200" s="9" t="s">
        <v>140</v>
      </c>
      <c r="G200" s="8" t="s">
        <v>225</v>
      </c>
      <c r="H200" s="8" t="s">
        <v>125</v>
      </c>
      <c r="I200" s="8" t="s">
        <v>114</v>
      </c>
      <c r="J200" s="9" t="s">
        <v>24</v>
      </c>
      <c r="K200" s="9" t="s">
        <v>1884</v>
      </c>
      <c r="L200" s="9" t="s">
        <v>1903</v>
      </c>
      <c r="M200" s="8" t="s">
        <v>14</v>
      </c>
      <c r="N200" s="11" t="s">
        <v>1896</v>
      </c>
      <c r="O200" s="12" t="s">
        <v>207</v>
      </c>
      <c r="P200" s="41">
        <v>40237</v>
      </c>
      <c r="Q200" s="51" t="s">
        <v>1904</v>
      </c>
      <c r="R200" s="9" t="s">
        <v>1905</v>
      </c>
      <c r="S200" s="9" t="s">
        <v>1906</v>
      </c>
      <c r="T200" s="51" t="s">
        <v>1889</v>
      </c>
      <c r="U200" s="13">
        <v>34253</v>
      </c>
      <c r="V200" s="38">
        <v>34304</v>
      </c>
      <c r="W200" s="8" t="s">
        <v>276</v>
      </c>
      <c r="X200" s="8" t="s">
        <v>276</v>
      </c>
      <c r="Y200" s="8" t="s">
        <v>276</v>
      </c>
      <c r="Z200" s="9" t="s">
        <v>1562</v>
      </c>
      <c r="AA200" s="8" t="s">
        <v>276</v>
      </c>
      <c r="AB200" s="9" t="s">
        <v>1562</v>
      </c>
      <c r="AC200" s="9" t="s">
        <v>1907</v>
      </c>
      <c r="AD200" s="9" t="s">
        <v>1487</v>
      </c>
      <c r="AE200" s="8">
        <v>74</v>
      </c>
      <c r="AF200" s="8">
        <v>69</v>
      </c>
      <c r="AG200" s="13">
        <v>299372</v>
      </c>
      <c r="AH200" s="13">
        <v>299903</v>
      </c>
      <c r="AI200" s="38" t="s">
        <v>1891</v>
      </c>
      <c r="AJ200" s="14" t="s">
        <v>276</v>
      </c>
      <c r="AK200" s="14">
        <f t="shared" ref="AK200:AK204" si="31">(AE200/AG200) *10000</f>
        <v>2.4718410539395799</v>
      </c>
      <c r="AL200" s="14" t="s">
        <v>276</v>
      </c>
      <c r="AM200" s="14" t="s">
        <v>276</v>
      </c>
      <c r="AN200" s="14" t="s">
        <v>276</v>
      </c>
      <c r="AO200" s="14">
        <f t="shared" si="29"/>
        <v>2.3007439071966602</v>
      </c>
      <c r="AP200" s="14" t="s">
        <v>276</v>
      </c>
      <c r="AQ200" s="14" t="s">
        <v>276</v>
      </c>
      <c r="AR200" s="8" t="s">
        <v>269</v>
      </c>
      <c r="AS200" s="14" t="s">
        <v>276</v>
      </c>
      <c r="AT200" s="14">
        <f t="shared" si="30"/>
        <v>1.0743660110139737</v>
      </c>
      <c r="AU200" s="14" t="s">
        <v>276</v>
      </c>
      <c r="AV200" s="14" t="s">
        <v>276</v>
      </c>
      <c r="AW200" s="8" t="s">
        <v>276</v>
      </c>
      <c r="AX200" s="8" t="s">
        <v>1896</v>
      </c>
      <c r="AY200" s="8" t="s">
        <v>276</v>
      </c>
      <c r="AZ200" s="8" t="s">
        <v>276</v>
      </c>
      <c r="BA200" s="8" t="s">
        <v>276</v>
      </c>
      <c r="BB200" s="8" t="s">
        <v>276</v>
      </c>
      <c r="BC200" s="9" t="s">
        <v>1901</v>
      </c>
      <c r="BD200" s="9"/>
      <c r="BE200" s="9" t="s">
        <v>100</v>
      </c>
      <c r="BF200" s="33" t="s">
        <v>98</v>
      </c>
    </row>
    <row r="201" spans="1:58" s="7" customFormat="1" ht="52" x14ac:dyDescent="0.3">
      <c r="A201" s="8">
        <v>1519</v>
      </c>
      <c r="B201" s="8" t="s">
        <v>1881</v>
      </c>
      <c r="C201" s="9" t="s">
        <v>1882</v>
      </c>
      <c r="D201" s="9" t="s">
        <v>1908</v>
      </c>
      <c r="E201" s="8" t="s">
        <v>42</v>
      </c>
      <c r="F201" s="9" t="s">
        <v>140</v>
      </c>
      <c r="G201" s="8" t="s">
        <v>225</v>
      </c>
      <c r="H201" s="8" t="s">
        <v>125</v>
      </c>
      <c r="I201" s="8" t="s">
        <v>114</v>
      </c>
      <c r="J201" s="9" t="s">
        <v>24</v>
      </c>
      <c r="K201" s="9" t="s">
        <v>1884</v>
      </c>
      <c r="L201" s="9" t="s">
        <v>1909</v>
      </c>
      <c r="M201" s="8" t="s">
        <v>14</v>
      </c>
      <c r="N201" s="11" t="s">
        <v>1896</v>
      </c>
      <c r="O201" s="12" t="s">
        <v>207</v>
      </c>
      <c r="P201" s="41" t="s">
        <v>98</v>
      </c>
      <c r="Q201" s="51" t="s">
        <v>1910</v>
      </c>
      <c r="R201" s="9" t="s">
        <v>1911</v>
      </c>
      <c r="S201" s="9" t="s">
        <v>1912</v>
      </c>
      <c r="T201" s="51" t="s">
        <v>1889</v>
      </c>
      <c r="U201" s="13">
        <v>34253</v>
      </c>
      <c r="V201" s="38">
        <v>34304</v>
      </c>
      <c r="W201" s="8" t="s">
        <v>276</v>
      </c>
      <c r="X201" s="8" t="s">
        <v>276</v>
      </c>
      <c r="Y201" s="8" t="s">
        <v>276</v>
      </c>
      <c r="Z201" s="9" t="s">
        <v>1562</v>
      </c>
      <c r="AA201" s="8" t="s">
        <v>276</v>
      </c>
      <c r="AB201" s="9" t="s">
        <v>1562</v>
      </c>
      <c r="AC201" s="9" t="s">
        <v>1913</v>
      </c>
      <c r="AD201" s="9" t="s">
        <v>1487</v>
      </c>
      <c r="AE201" s="8">
        <v>54</v>
      </c>
      <c r="AF201" s="8">
        <v>50</v>
      </c>
      <c r="AG201" s="13">
        <v>235475</v>
      </c>
      <c r="AH201" s="13">
        <v>235836</v>
      </c>
      <c r="AI201" s="38" t="s">
        <v>1891</v>
      </c>
      <c r="AJ201" s="14" t="s">
        <v>276</v>
      </c>
      <c r="AK201" s="14">
        <f t="shared" si="31"/>
        <v>2.2932370739993631</v>
      </c>
      <c r="AL201" s="14" t="s">
        <v>276</v>
      </c>
      <c r="AM201" s="14" t="s">
        <v>276</v>
      </c>
      <c r="AN201" s="14" t="s">
        <v>276</v>
      </c>
      <c r="AO201" s="14">
        <f t="shared" si="29"/>
        <v>2.1201173696975864</v>
      </c>
      <c r="AP201" s="14" t="s">
        <v>276</v>
      </c>
      <c r="AQ201" s="14" t="s">
        <v>276</v>
      </c>
      <c r="AR201" s="8" t="s">
        <v>269</v>
      </c>
      <c r="AS201" s="14" t="s">
        <v>276</v>
      </c>
      <c r="AT201" s="14">
        <f t="shared" si="30"/>
        <v>1.0816557171674277</v>
      </c>
      <c r="AU201" s="14" t="s">
        <v>276</v>
      </c>
      <c r="AV201" s="14" t="s">
        <v>276</v>
      </c>
      <c r="AW201" s="8" t="s">
        <v>276</v>
      </c>
      <c r="AX201" s="8" t="s">
        <v>1896</v>
      </c>
      <c r="AY201" s="8" t="s">
        <v>276</v>
      </c>
      <c r="AZ201" s="8" t="s">
        <v>276</v>
      </c>
      <c r="BA201" s="8" t="s">
        <v>276</v>
      </c>
      <c r="BB201" s="8" t="s">
        <v>276</v>
      </c>
      <c r="BC201" s="9" t="s">
        <v>1901</v>
      </c>
      <c r="BD201" s="9"/>
      <c r="BE201" s="9" t="s">
        <v>100</v>
      </c>
      <c r="BF201" s="33" t="s">
        <v>98</v>
      </c>
    </row>
    <row r="202" spans="1:58" s="7" customFormat="1" ht="52" x14ac:dyDescent="0.3">
      <c r="A202" s="8">
        <v>1519</v>
      </c>
      <c r="B202" s="8" t="s">
        <v>1881</v>
      </c>
      <c r="C202" s="9" t="s">
        <v>1882</v>
      </c>
      <c r="D202" s="9" t="s">
        <v>1914</v>
      </c>
      <c r="E202" s="8" t="s">
        <v>42</v>
      </c>
      <c r="F202" s="9" t="s">
        <v>140</v>
      </c>
      <c r="G202" s="8" t="s">
        <v>225</v>
      </c>
      <c r="H202" s="8" t="s">
        <v>125</v>
      </c>
      <c r="I202" s="8" t="s">
        <v>114</v>
      </c>
      <c r="J202" s="9" t="s">
        <v>24</v>
      </c>
      <c r="K202" s="9" t="s">
        <v>1884</v>
      </c>
      <c r="L202" s="9" t="s">
        <v>1915</v>
      </c>
      <c r="M202" s="8" t="s">
        <v>14</v>
      </c>
      <c r="N202" s="11" t="s">
        <v>1896</v>
      </c>
      <c r="O202" s="12" t="s">
        <v>207</v>
      </c>
      <c r="P202" s="41" t="s">
        <v>98</v>
      </c>
      <c r="Q202" s="51" t="s">
        <v>1916</v>
      </c>
      <c r="R202" s="9" t="s">
        <v>1917</v>
      </c>
      <c r="S202" s="9" t="s">
        <v>1918</v>
      </c>
      <c r="T202" s="51" t="s">
        <v>1889</v>
      </c>
      <c r="U202" s="13">
        <v>34253</v>
      </c>
      <c r="V202" s="38">
        <v>34304</v>
      </c>
      <c r="W202" s="8" t="s">
        <v>276</v>
      </c>
      <c r="X202" s="8" t="s">
        <v>276</v>
      </c>
      <c r="Y202" s="8" t="s">
        <v>276</v>
      </c>
      <c r="Z202" s="9" t="s">
        <v>1562</v>
      </c>
      <c r="AA202" s="8" t="s">
        <v>276</v>
      </c>
      <c r="AB202" s="9" t="s">
        <v>1562</v>
      </c>
      <c r="AC202" s="9" t="s">
        <v>1919</v>
      </c>
      <c r="AD202" s="9" t="s">
        <v>1487</v>
      </c>
      <c r="AE202" s="8">
        <v>26</v>
      </c>
      <c r="AF202" s="8">
        <v>28</v>
      </c>
      <c r="AG202" s="13">
        <v>169354</v>
      </c>
      <c r="AH202" s="13">
        <v>169617</v>
      </c>
      <c r="AI202" s="38" t="s">
        <v>1891</v>
      </c>
      <c r="AJ202" s="14" t="s">
        <v>276</v>
      </c>
      <c r="AK202" s="14">
        <f t="shared" si="31"/>
        <v>1.535245698359649</v>
      </c>
      <c r="AL202" s="14" t="s">
        <v>276</v>
      </c>
      <c r="AM202" s="14" t="s">
        <v>276</v>
      </c>
      <c r="AN202" s="14" t="s">
        <v>276</v>
      </c>
      <c r="AO202" s="14">
        <f t="shared" si="29"/>
        <v>1.6507779290990878</v>
      </c>
      <c r="AP202" s="14" t="s">
        <v>276</v>
      </c>
      <c r="AQ202" s="14" t="s">
        <v>276</v>
      </c>
      <c r="AR202" s="8" t="s">
        <v>269</v>
      </c>
      <c r="AS202" s="14" t="s">
        <v>276</v>
      </c>
      <c r="AT202" s="14">
        <f t="shared" si="30"/>
        <v>0.93001346292381637</v>
      </c>
      <c r="AU202" s="14" t="s">
        <v>276</v>
      </c>
      <c r="AV202" s="14" t="s">
        <v>276</v>
      </c>
      <c r="AW202" s="8" t="s">
        <v>276</v>
      </c>
      <c r="AX202" s="8" t="s">
        <v>1896</v>
      </c>
      <c r="AY202" s="8" t="s">
        <v>276</v>
      </c>
      <c r="AZ202" s="8" t="s">
        <v>276</v>
      </c>
      <c r="BA202" s="8" t="s">
        <v>276</v>
      </c>
      <c r="BB202" s="8" t="s">
        <v>276</v>
      </c>
      <c r="BC202" s="9" t="s">
        <v>1901</v>
      </c>
      <c r="BD202" s="9"/>
      <c r="BE202" s="9" t="s">
        <v>100</v>
      </c>
      <c r="BF202" s="33" t="s">
        <v>98</v>
      </c>
    </row>
    <row r="203" spans="1:58" s="7" customFormat="1" ht="52" x14ac:dyDescent="0.3">
      <c r="A203" s="8">
        <v>1519</v>
      </c>
      <c r="B203" s="8" t="s">
        <v>1881</v>
      </c>
      <c r="C203" s="9" t="s">
        <v>1882</v>
      </c>
      <c r="D203" s="9" t="s">
        <v>1920</v>
      </c>
      <c r="E203" s="8" t="s">
        <v>42</v>
      </c>
      <c r="F203" s="9" t="s">
        <v>140</v>
      </c>
      <c r="G203" s="8" t="s">
        <v>225</v>
      </c>
      <c r="H203" s="8" t="s">
        <v>125</v>
      </c>
      <c r="I203" s="8" t="s">
        <v>114</v>
      </c>
      <c r="J203" s="9" t="s">
        <v>24</v>
      </c>
      <c r="K203" s="9" t="s">
        <v>1884</v>
      </c>
      <c r="L203" s="9" t="s">
        <v>1921</v>
      </c>
      <c r="M203" s="8" t="s">
        <v>14</v>
      </c>
      <c r="N203" s="11" t="s">
        <v>1896</v>
      </c>
      <c r="O203" s="12" t="s">
        <v>207</v>
      </c>
      <c r="P203" s="41" t="s">
        <v>98</v>
      </c>
      <c r="Q203" s="51" t="s">
        <v>1922</v>
      </c>
      <c r="R203" s="9" t="s">
        <v>1923</v>
      </c>
      <c r="S203" s="9" t="s">
        <v>1924</v>
      </c>
      <c r="T203" s="51" t="s">
        <v>1192</v>
      </c>
      <c r="U203" s="13">
        <v>34253</v>
      </c>
      <c r="V203" s="38">
        <v>34304</v>
      </c>
      <c r="W203" s="8" t="s">
        <v>276</v>
      </c>
      <c r="X203" s="8" t="s">
        <v>276</v>
      </c>
      <c r="Y203" s="8" t="s">
        <v>276</v>
      </c>
      <c r="Z203" s="9" t="s">
        <v>1562</v>
      </c>
      <c r="AA203" s="8" t="s">
        <v>276</v>
      </c>
      <c r="AB203" s="9" t="s">
        <v>1562</v>
      </c>
      <c r="AC203" s="9" t="s">
        <v>1925</v>
      </c>
      <c r="AD203" s="9" t="s">
        <v>1487</v>
      </c>
      <c r="AE203" s="8">
        <v>10</v>
      </c>
      <c r="AF203" s="8">
        <v>9</v>
      </c>
      <c r="AG203" s="13">
        <v>102191</v>
      </c>
      <c r="AH203" s="13">
        <v>102344</v>
      </c>
      <c r="AI203" s="38" t="s">
        <v>1891</v>
      </c>
      <c r="AJ203" s="14" t="s">
        <v>276</v>
      </c>
      <c r="AK203" s="14">
        <f t="shared" si="31"/>
        <v>0.97855975575148502</v>
      </c>
      <c r="AL203" s="14" t="s">
        <v>276</v>
      </c>
      <c r="AM203" s="14" t="s">
        <v>276</v>
      </c>
      <c r="AN203" s="14" t="s">
        <v>276</v>
      </c>
      <c r="AO203" s="14">
        <f t="shared" si="29"/>
        <v>0.8793871648557805</v>
      </c>
      <c r="AP203" s="14" t="s">
        <v>276</v>
      </c>
      <c r="AQ203" s="14" t="s">
        <v>276</v>
      </c>
      <c r="AR203" s="8" t="s">
        <v>269</v>
      </c>
      <c r="AS203" s="14" t="s">
        <v>276</v>
      </c>
      <c r="AT203" s="14">
        <f t="shared" si="30"/>
        <v>1.1127746626958888</v>
      </c>
      <c r="AU203" s="14" t="s">
        <v>276</v>
      </c>
      <c r="AV203" s="14" t="s">
        <v>276</v>
      </c>
      <c r="AW203" s="8" t="s">
        <v>276</v>
      </c>
      <c r="AX203" s="8" t="s">
        <v>1896</v>
      </c>
      <c r="AY203" s="8" t="s">
        <v>276</v>
      </c>
      <c r="AZ203" s="8" t="s">
        <v>276</v>
      </c>
      <c r="BA203" s="8" t="s">
        <v>276</v>
      </c>
      <c r="BB203" s="8" t="s">
        <v>276</v>
      </c>
      <c r="BC203" s="9" t="s">
        <v>1901</v>
      </c>
      <c r="BD203" s="9"/>
      <c r="BE203" s="9" t="s">
        <v>100</v>
      </c>
      <c r="BF203" s="33" t="s">
        <v>98</v>
      </c>
    </row>
    <row r="204" spans="1:58" s="7" customFormat="1" ht="52" x14ac:dyDescent="0.3">
      <c r="A204" s="8">
        <v>1519</v>
      </c>
      <c r="B204" s="8" t="s">
        <v>1881</v>
      </c>
      <c r="C204" s="9" t="s">
        <v>1882</v>
      </c>
      <c r="D204" s="9" t="s">
        <v>1926</v>
      </c>
      <c r="E204" s="8" t="s">
        <v>42</v>
      </c>
      <c r="F204" s="9" t="s">
        <v>140</v>
      </c>
      <c r="G204" s="8" t="s">
        <v>225</v>
      </c>
      <c r="H204" s="8" t="s">
        <v>125</v>
      </c>
      <c r="I204" s="8" t="s">
        <v>114</v>
      </c>
      <c r="J204" s="9" t="s">
        <v>24</v>
      </c>
      <c r="K204" s="9" t="s">
        <v>1884</v>
      </c>
      <c r="L204" s="9" t="s">
        <v>1927</v>
      </c>
      <c r="M204" s="8" t="s">
        <v>14</v>
      </c>
      <c r="N204" s="11" t="s">
        <v>1896</v>
      </c>
      <c r="O204" s="12" t="s">
        <v>207</v>
      </c>
      <c r="P204" s="41" t="s">
        <v>98</v>
      </c>
      <c r="Q204" s="51" t="s">
        <v>1928</v>
      </c>
      <c r="R204" s="9" t="s">
        <v>1929</v>
      </c>
      <c r="S204" s="9" t="s">
        <v>1930</v>
      </c>
      <c r="T204" s="9">
        <v>2</v>
      </c>
      <c r="U204" s="13">
        <v>34253</v>
      </c>
      <c r="V204" s="38">
        <v>34304</v>
      </c>
      <c r="W204" s="8" t="s">
        <v>276</v>
      </c>
      <c r="X204" s="8" t="s">
        <v>276</v>
      </c>
      <c r="Y204" s="8" t="s">
        <v>276</v>
      </c>
      <c r="Z204" s="9" t="s">
        <v>1562</v>
      </c>
      <c r="AA204" s="8" t="s">
        <v>276</v>
      </c>
      <c r="AB204" s="9" t="s">
        <v>1562</v>
      </c>
      <c r="AC204" s="9" t="s">
        <v>1931</v>
      </c>
      <c r="AD204" s="9" t="s">
        <v>1487</v>
      </c>
      <c r="AE204" s="8">
        <v>2</v>
      </c>
      <c r="AF204" s="8">
        <v>0</v>
      </c>
      <c r="AG204" s="13">
        <v>34210</v>
      </c>
      <c r="AH204" s="13">
        <v>34260</v>
      </c>
      <c r="AI204" s="38" t="s">
        <v>1891</v>
      </c>
      <c r="AJ204" s="14" t="s">
        <v>276</v>
      </c>
      <c r="AK204" s="14">
        <f t="shared" si="31"/>
        <v>0.58462437883659746</v>
      </c>
      <c r="AL204" s="14" t="s">
        <v>276</v>
      </c>
      <c r="AM204" s="14" t="s">
        <v>276</v>
      </c>
      <c r="AN204" s="14" t="s">
        <v>276</v>
      </c>
      <c r="AO204" s="14">
        <f t="shared" si="29"/>
        <v>0</v>
      </c>
      <c r="AP204" s="14" t="s">
        <v>276</v>
      </c>
      <c r="AQ204" s="14" t="s">
        <v>276</v>
      </c>
      <c r="AR204" s="8" t="s">
        <v>269</v>
      </c>
      <c r="AS204" s="14" t="s">
        <v>276</v>
      </c>
      <c r="AT204" s="14" t="e">
        <f t="shared" si="30"/>
        <v>#DIV/0!</v>
      </c>
      <c r="AU204" s="14" t="s">
        <v>276</v>
      </c>
      <c r="AV204" s="14" t="s">
        <v>276</v>
      </c>
      <c r="AW204" s="8" t="s">
        <v>276</v>
      </c>
      <c r="AX204" s="8" t="s">
        <v>1896</v>
      </c>
      <c r="AY204" s="8" t="s">
        <v>276</v>
      </c>
      <c r="AZ204" s="8" t="s">
        <v>276</v>
      </c>
      <c r="BA204" s="8" t="s">
        <v>276</v>
      </c>
      <c r="BB204" s="8" t="s">
        <v>276</v>
      </c>
      <c r="BC204" s="9" t="s">
        <v>1901</v>
      </c>
      <c r="BD204" s="9"/>
      <c r="BE204" s="9" t="s">
        <v>100</v>
      </c>
      <c r="BF204" s="33" t="s">
        <v>98</v>
      </c>
    </row>
    <row r="205" spans="1:58" s="7" customFormat="1" ht="104" x14ac:dyDescent="0.3">
      <c r="A205" s="8">
        <v>1063</v>
      </c>
      <c r="B205" s="8" t="s">
        <v>1932</v>
      </c>
      <c r="C205" s="9" t="s">
        <v>1882</v>
      </c>
      <c r="D205" s="9" t="s">
        <v>1933</v>
      </c>
      <c r="E205" s="8" t="s">
        <v>42</v>
      </c>
      <c r="F205" s="9" t="s">
        <v>140</v>
      </c>
      <c r="G205" s="8" t="s">
        <v>225</v>
      </c>
      <c r="H205" s="8" t="s">
        <v>125</v>
      </c>
      <c r="I205" s="8" t="s">
        <v>114</v>
      </c>
      <c r="J205" s="9" t="s">
        <v>24</v>
      </c>
      <c r="K205" s="9" t="s">
        <v>1934</v>
      </c>
      <c r="L205" s="9" t="s">
        <v>1935</v>
      </c>
      <c r="M205" s="8" t="s">
        <v>14</v>
      </c>
      <c r="N205" s="12" t="s">
        <v>1936</v>
      </c>
      <c r="O205" s="12" t="s">
        <v>207</v>
      </c>
      <c r="P205" s="41">
        <v>41274</v>
      </c>
      <c r="Q205" s="51" t="s">
        <v>1937</v>
      </c>
      <c r="R205" s="9" t="s">
        <v>1938</v>
      </c>
      <c r="S205" s="9" t="s">
        <v>1939</v>
      </c>
      <c r="T205" s="51" t="s">
        <v>1889</v>
      </c>
      <c r="U205" s="13">
        <v>34253</v>
      </c>
      <c r="V205" s="38">
        <v>34304</v>
      </c>
      <c r="W205" s="8" t="s">
        <v>276</v>
      </c>
      <c r="X205" s="8" t="s">
        <v>276</v>
      </c>
      <c r="Y205" s="8" t="s">
        <v>276</v>
      </c>
      <c r="Z205" s="9" t="s">
        <v>1562</v>
      </c>
      <c r="AA205" s="8" t="s">
        <v>276</v>
      </c>
      <c r="AB205" s="9" t="s">
        <v>1562</v>
      </c>
      <c r="AC205" s="9" t="s">
        <v>1940</v>
      </c>
      <c r="AD205" s="9" t="s">
        <v>1487</v>
      </c>
      <c r="AE205" s="8">
        <v>187</v>
      </c>
      <c r="AF205" s="8">
        <v>176</v>
      </c>
      <c r="AG205" s="13">
        <v>490109</v>
      </c>
      <c r="AH205" s="13">
        <v>489253</v>
      </c>
      <c r="AI205" s="13">
        <v>100000</v>
      </c>
      <c r="AJ205" s="43">
        <v>38.200000000000003</v>
      </c>
      <c r="AK205" s="14">
        <f>(AE205/AG205) *AI205</f>
        <v>38.154777814731005</v>
      </c>
      <c r="AL205" s="14" t="s">
        <v>276</v>
      </c>
      <c r="AM205" s="14" t="s">
        <v>276</v>
      </c>
      <c r="AN205" s="43">
        <v>36</v>
      </c>
      <c r="AO205" s="14">
        <f>(AF205/AH205)*AI205</f>
        <v>35.973208135668045</v>
      </c>
      <c r="AP205" s="14" t="s">
        <v>276</v>
      </c>
      <c r="AQ205" s="14" t="s">
        <v>276</v>
      </c>
      <c r="AR205" s="8" t="s">
        <v>269</v>
      </c>
      <c r="AS205" s="14">
        <v>1.06</v>
      </c>
      <c r="AT205" s="14">
        <f t="shared" si="30"/>
        <v>1.0606442903517381</v>
      </c>
      <c r="AU205" s="14">
        <v>0.87</v>
      </c>
      <c r="AV205" s="14">
        <v>1.3</v>
      </c>
      <c r="AW205" s="8" t="s">
        <v>276</v>
      </c>
      <c r="AX205" s="8" t="s">
        <v>1896</v>
      </c>
      <c r="AY205" s="8" t="s">
        <v>276</v>
      </c>
      <c r="AZ205" s="8" t="s">
        <v>276</v>
      </c>
      <c r="BA205" s="8" t="s">
        <v>276</v>
      </c>
      <c r="BB205" s="8" t="s">
        <v>276</v>
      </c>
      <c r="BC205" s="9" t="s">
        <v>1941</v>
      </c>
      <c r="BD205" s="9" t="s">
        <v>1942</v>
      </c>
      <c r="BE205" s="9" t="s">
        <v>100</v>
      </c>
      <c r="BF205" s="33" t="s">
        <v>98</v>
      </c>
    </row>
    <row r="206" spans="1:58" s="7" customFormat="1" ht="104" x14ac:dyDescent="0.3">
      <c r="A206" s="8">
        <v>1063</v>
      </c>
      <c r="B206" s="8" t="s">
        <v>1932</v>
      </c>
      <c r="C206" s="9" t="s">
        <v>1882</v>
      </c>
      <c r="D206" s="9" t="s">
        <v>1943</v>
      </c>
      <c r="E206" s="8" t="s">
        <v>42</v>
      </c>
      <c r="F206" s="9" t="s">
        <v>140</v>
      </c>
      <c r="G206" s="8" t="s">
        <v>225</v>
      </c>
      <c r="H206" s="8" t="s">
        <v>125</v>
      </c>
      <c r="I206" s="8" t="s">
        <v>114</v>
      </c>
      <c r="J206" s="9" t="s">
        <v>24</v>
      </c>
      <c r="K206" s="9" t="s">
        <v>1934</v>
      </c>
      <c r="L206" s="9" t="s">
        <v>1935</v>
      </c>
      <c r="M206" s="8" t="s">
        <v>14</v>
      </c>
      <c r="N206" s="12" t="s">
        <v>1936</v>
      </c>
      <c r="O206" s="12" t="s">
        <v>207</v>
      </c>
      <c r="P206" s="41">
        <v>41274</v>
      </c>
      <c r="Q206" s="51" t="s">
        <v>1937</v>
      </c>
      <c r="R206" s="9" t="s">
        <v>1938</v>
      </c>
      <c r="S206" s="9" t="s">
        <v>1939</v>
      </c>
      <c r="T206" s="51" t="s">
        <v>1889</v>
      </c>
      <c r="U206" s="13">
        <v>34253</v>
      </c>
      <c r="V206" s="38">
        <v>34304</v>
      </c>
      <c r="W206" s="8" t="s">
        <v>276</v>
      </c>
      <c r="X206" s="8" t="s">
        <v>276</v>
      </c>
      <c r="Y206" s="8" t="s">
        <v>276</v>
      </c>
      <c r="Z206" s="9" t="s">
        <v>1562</v>
      </c>
      <c r="AA206" s="8" t="s">
        <v>276</v>
      </c>
      <c r="AB206" s="9" t="s">
        <v>1562</v>
      </c>
      <c r="AC206" s="9" t="s">
        <v>1944</v>
      </c>
      <c r="AD206" s="9" t="s">
        <v>1487</v>
      </c>
      <c r="AE206" s="8">
        <v>181</v>
      </c>
      <c r="AF206" s="8">
        <v>168</v>
      </c>
      <c r="AG206" s="13">
        <v>490109</v>
      </c>
      <c r="AH206" s="13">
        <v>489253</v>
      </c>
      <c r="AI206" s="13">
        <v>100000</v>
      </c>
      <c r="AJ206" s="43">
        <v>36.9</v>
      </c>
      <c r="AK206" s="14">
        <f>(AE206/AG206) *AI206</f>
        <v>36.930560344739639</v>
      </c>
      <c r="AL206" s="14" t="s">
        <v>276</v>
      </c>
      <c r="AM206" s="14" t="s">
        <v>276</v>
      </c>
      <c r="AN206" s="43">
        <v>34.299999999999997</v>
      </c>
      <c r="AO206" s="14">
        <f>(AF206/AH206)*AI206</f>
        <v>34.338062311319497</v>
      </c>
      <c r="AP206" s="14" t="s">
        <v>276</v>
      </c>
      <c r="AQ206" s="14" t="s">
        <v>276</v>
      </c>
      <c r="AR206" s="8" t="s">
        <v>269</v>
      </c>
      <c r="AS206" s="14">
        <v>1.08</v>
      </c>
      <c r="AT206" s="14">
        <f t="shared" si="30"/>
        <v>1.0754992524014824</v>
      </c>
      <c r="AU206" s="14">
        <v>0.87</v>
      </c>
      <c r="AV206" s="14">
        <v>1.33</v>
      </c>
      <c r="AW206" s="8" t="s">
        <v>276</v>
      </c>
      <c r="AX206" s="8" t="s">
        <v>1896</v>
      </c>
      <c r="AY206" s="8" t="s">
        <v>276</v>
      </c>
      <c r="AZ206" s="8" t="s">
        <v>276</v>
      </c>
      <c r="BA206" s="8" t="s">
        <v>276</v>
      </c>
      <c r="BB206" s="8" t="s">
        <v>276</v>
      </c>
      <c r="BC206" s="9" t="s">
        <v>298</v>
      </c>
      <c r="BD206" s="9"/>
      <c r="BE206" s="9" t="s">
        <v>100</v>
      </c>
      <c r="BF206" s="33" t="s">
        <v>98</v>
      </c>
    </row>
    <row r="207" spans="1:58" s="7" customFormat="1" ht="65" x14ac:dyDescent="0.3">
      <c r="A207" s="8">
        <v>1063</v>
      </c>
      <c r="B207" s="8" t="s">
        <v>1932</v>
      </c>
      <c r="C207" s="9" t="s">
        <v>1882</v>
      </c>
      <c r="D207" s="9" t="s">
        <v>1945</v>
      </c>
      <c r="E207" s="8" t="s">
        <v>42</v>
      </c>
      <c r="F207" s="9" t="s">
        <v>140</v>
      </c>
      <c r="G207" s="8" t="s">
        <v>225</v>
      </c>
      <c r="H207" s="8" t="s">
        <v>125</v>
      </c>
      <c r="I207" s="8" t="s">
        <v>114</v>
      </c>
      <c r="J207" s="9" t="s">
        <v>24</v>
      </c>
      <c r="K207" s="9" t="s">
        <v>1934</v>
      </c>
      <c r="L207" s="9" t="s">
        <v>1946</v>
      </c>
      <c r="M207" s="8" t="s">
        <v>14</v>
      </c>
      <c r="N207" s="12" t="s">
        <v>1947</v>
      </c>
      <c r="O207" s="12" t="s">
        <v>207</v>
      </c>
      <c r="P207" s="41" t="s">
        <v>1947</v>
      </c>
      <c r="Q207" s="51" t="s">
        <v>1910</v>
      </c>
      <c r="R207" s="9" t="s">
        <v>1948</v>
      </c>
      <c r="S207" s="9" t="s">
        <v>276</v>
      </c>
      <c r="T207" s="51" t="s">
        <v>1889</v>
      </c>
      <c r="U207" s="13">
        <v>34253</v>
      </c>
      <c r="V207" s="38">
        <v>34304</v>
      </c>
      <c r="W207" s="8" t="s">
        <v>276</v>
      </c>
      <c r="X207" s="8" t="s">
        <v>276</v>
      </c>
      <c r="Y207" s="8" t="s">
        <v>276</v>
      </c>
      <c r="Z207" s="9" t="s">
        <v>1562</v>
      </c>
      <c r="AA207" s="8" t="s">
        <v>276</v>
      </c>
      <c r="AB207" s="9" t="s">
        <v>1562</v>
      </c>
      <c r="AC207" s="9" t="s">
        <v>1949</v>
      </c>
      <c r="AD207" s="9" t="s">
        <v>1487</v>
      </c>
      <c r="AE207" s="8" t="s">
        <v>276</v>
      </c>
      <c r="AF207" s="8" t="s">
        <v>276</v>
      </c>
      <c r="AG207" s="13" t="s">
        <v>276</v>
      </c>
      <c r="AH207" s="13" t="s">
        <v>276</v>
      </c>
      <c r="AI207" s="13" t="s">
        <v>98</v>
      </c>
      <c r="AJ207" s="14" t="s">
        <v>276</v>
      </c>
      <c r="AK207" s="14" t="s">
        <v>276</v>
      </c>
      <c r="AL207" s="14" t="s">
        <v>276</v>
      </c>
      <c r="AM207" s="14" t="s">
        <v>276</v>
      </c>
      <c r="AN207" s="14" t="s">
        <v>276</v>
      </c>
      <c r="AO207" s="14" t="s">
        <v>276</v>
      </c>
      <c r="AP207" s="14" t="s">
        <v>276</v>
      </c>
      <c r="AQ207" s="14" t="s">
        <v>276</v>
      </c>
      <c r="AR207" s="8" t="s">
        <v>269</v>
      </c>
      <c r="AS207" s="14">
        <v>1.04</v>
      </c>
      <c r="AT207" s="14" t="s">
        <v>98</v>
      </c>
      <c r="AU207" s="43">
        <v>0.7</v>
      </c>
      <c r="AV207" s="43">
        <v>1.5</v>
      </c>
      <c r="AW207" s="8" t="s">
        <v>276</v>
      </c>
      <c r="AX207" s="8" t="s">
        <v>276</v>
      </c>
      <c r="AY207" s="8" t="s">
        <v>276</v>
      </c>
      <c r="AZ207" s="8" t="s">
        <v>276</v>
      </c>
      <c r="BA207" s="8" t="s">
        <v>276</v>
      </c>
      <c r="BB207" s="8" t="s">
        <v>276</v>
      </c>
      <c r="BC207" s="9" t="s">
        <v>1950</v>
      </c>
      <c r="BD207" s="9"/>
      <c r="BE207" s="9" t="s">
        <v>100</v>
      </c>
      <c r="BF207" s="33" t="s">
        <v>98</v>
      </c>
    </row>
    <row r="208" spans="1:58" s="7" customFormat="1" ht="104" x14ac:dyDescent="0.3">
      <c r="A208" s="8">
        <v>1063</v>
      </c>
      <c r="B208" s="8" t="s">
        <v>1932</v>
      </c>
      <c r="C208" s="9" t="s">
        <v>1882</v>
      </c>
      <c r="D208" s="9" t="s">
        <v>1951</v>
      </c>
      <c r="E208" s="8" t="s">
        <v>42</v>
      </c>
      <c r="F208" s="9" t="s">
        <v>140</v>
      </c>
      <c r="G208" s="8" t="s">
        <v>225</v>
      </c>
      <c r="H208" s="8" t="s">
        <v>125</v>
      </c>
      <c r="I208" s="8" t="s">
        <v>114</v>
      </c>
      <c r="J208" s="9" t="s">
        <v>24</v>
      </c>
      <c r="K208" s="9" t="s">
        <v>1934</v>
      </c>
      <c r="L208" s="9" t="s">
        <v>1935</v>
      </c>
      <c r="M208" s="8" t="s">
        <v>14</v>
      </c>
      <c r="N208" s="12" t="s">
        <v>1936</v>
      </c>
      <c r="O208" s="12" t="s">
        <v>207</v>
      </c>
      <c r="P208" s="41">
        <v>41274</v>
      </c>
      <c r="Q208" s="51" t="s">
        <v>1937</v>
      </c>
      <c r="R208" s="9" t="s">
        <v>1938</v>
      </c>
      <c r="S208" s="9" t="s">
        <v>1939</v>
      </c>
      <c r="T208" s="51" t="s">
        <v>1889</v>
      </c>
      <c r="U208" s="13">
        <v>34253</v>
      </c>
      <c r="V208" s="38">
        <v>34304</v>
      </c>
      <c r="W208" s="8" t="s">
        <v>276</v>
      </c>
      <c r="X208" s="8" t="s">
        <v>276</v>
      </c>
      <c r="Y208" s="8" t="s">
        <v>276</v>
      </c>
      <c r="Z208" s="9" t="s">
        <v>1562</v>
      </c>
      <c r="AA208" s="8" t="s">
        <v>276</v>
      </c>
      <c r="AB208" s="9" t="s">
        <v>1562</v>
      </c>
      <c r="AC208" s="9" t="s">
        <v>1952</v>
      </c>
      <c r="AD208" s="9" t="s">
        <v>1953</v>
      </c>
      <c r="AE208" s="8">
        <v>159</v>
      </c>
      <c r="AF208" s="8">
        <v>147</v>
      </c>
      <c r="AG208" s="13">
        <v>490109</v>
      </c>
      <c r="AH208" s="13">
        <v>489253</v>
      </c>
      <c r="AI208" s="38">
        <v>100000</v>
      </c>
      <c r="AJ208" s="14" t="s">
        <v>276</v>
      </c>
      <c r="AK208" s="14">
        <f>AE208*100000/AG208</f>
        <v>32.441762954771285</v>
      </c>
      <c r="AL208" s="14" t="s">
        <v>276</v>
      </c>
      <c r="AM208" s="14" t="s">
        <v>276</v>
      </c>
      <c r="AN208" s="14" t="s">
        <v>276</v>
      </c>
      <c r="AO208" s="14">
        <f>AF208*100000/AH208</f>
        <v>30.045804522404563</v>
      </c>
      <c r="AP208" s="14" t="s">
        <v>276</v>
      </c>
      <c r="AQ208" s="14" t="s">
        <v>276</v>
      </c>
      <c r="AR208" s="8" t="s">
        <v>269</v>
      </c>
      <c r="AS208" s="14" t="s">
        <v>276</v>
      </c>
      <c r="AT208" s="14">
        <f>AK208/AO208</f>
        <v>1.0797435272728377</v>
      </c>
      <c r="AU208" s="8" t="s">
        <v>276</v>
      </c>
      <c r="AV208" s="8" t="s">
        <v>276</v>
      </c>
      <c r="AW208" s="8" t="s">
        <v>276</v>
      </c>
      <c r="AX208" s="8" t="s">
        <v>276</v>
      </c>
      <c r="AY208" s="8" t="s">
        <v>276</v>
      </c>
      <c r="AZ208" s="8" t="s">
        <v>276</v>
      </c>
      <c r="BA208" s="8" t="s">
        <v>276</v>
      </c>
      <c r="BB208" s="8" t="s">
        <v>276</v>
      </c>
      <c r="BC208" s="9" t="s">
        <v>1954</v>
      </c>
      <c r="BD208" s="9"/>
      <c r="BE208" s="9" t="s">
        <v>100</v>
      </c>
      <c r="BF208" s="33" t="s">
        <v>98</v>
      </c>
    </row>
    <row r="209" spans="1:58" s="7" customFormat="1" ht="78" x14ac:dyDescent="0.3">
      <c r="A209" s="8">
        <v>1055</v>
      </c>
      <c r="B209" s="8" t="s">
        <v>1482</v>
      </c>
      <c r="C209" s="9" t="s">
        <v>1882</v>
      </c>
      <c r="D209" s="9" t="s">
        <v>1955</v>
      </c>
      <c r="E209" s="8" t="s">
        <v>42</v>
      </c>
      <c r="F209" s="9" t="s">
        <v>140</v>
      </c>
      <c r="G209" s="8" t="s">
        <v>225</v>
      </c>
      <c r="H209" s="8" t="s">
        <v>125</v>
      </c>
      <c r="I209" s="8" t="s">
        <v>114</v>
      </c>
      <c r="J209" s="9" t="s">
        <v>23</v>
      </c>
      <c r="K209" s="9" t="s">
        <v>1956</v>
      </c>
      <c r="L209" s="9" t="s">
        <v>1957</v>
      </c>
      <c r="M209" s="8" t="s">
        <v>14</v>
      </c>
      <c r="N209" s="12" t="s">
        <v>1958</v>
      </c>
      <c r="O209" s="12" t="s">
        <v>207</v>
      </c>
      <c r="P209" s="52">
        <v>42369</v>
      </c>
      <c r="Q209" s="51" t="s">
        <v>276</v>
      </c>
      <c r="R209" s="32" t="s">
        <v>1959</v>
      </c>
      <c r="S209" s="9" t="s">
        <v>1960</v>
      </c>
      <c r="T209" s="51" t="s">
        <v>1889</v>
      </c>
      <c r="U209" s="13">
        <v>39103</v>
      </c>
      <c r="V209" s="13">
        <v>39106</v>
      </c>
      <c r="W209" s="8" t="s">
        <v>276</v>
      </c>
      <c r="X209" s="8" t="s">
        <v>276</v>
      </c>
      <c r="Y209" s="8" t="s">
        <v>276</v>
      </c>
      <c r="Z209" s="8" t="s">
        <v>276</v>
      </c>
      <c r="AA209" s="8" t="s">
        <v>276</v>
      </c>
      <c r="AB209" s="8" t="s">
        <v>276</v>
      </c>
      <c r="AC209" s="9" t="s">
        <v>1961</v>
      </c>
      <c r="AD209" s="33" t="s">
        <v>1487</v>
      </c>
      <c r="AE209" s="9">
        <v>8953</v>
      </c>
      <c r="AF209" s="8">
        <v>8810</v>
      </c>
      <c r="AG209" s="13" t="s">
        <v>276</v>
      </c>
      <c r="AH209" s="13" t="s">
        <v>276</v>
      </c>
      <c r="AI209" s="13">
        <v>10000</v>
      </c>
      <c r="AJ209" s="43">
        <v>141.30000000000001</v>
      </c>
      <c r="AK209" s="14" t="s">
        <v>98</v>
      </c>
      <c r="AL209" s="14" t="s">
        <v>276</v>
      </c>
      <c r="AM209" s="14" t="s">
        <v>276</v>
      </c>
      <c r="AN209" s="43">
        <v>140.1</v>
      </c>
      <c r="AO209" s="14" t="s">
        <v>98</v>
      </c>
      <c r="AP209" s="14" t="s">
        <v>276</v>
      </c>
      <c r="AQ209" s="14" t="s">
        <v>276</v>
      </c>
      <c r="AR209" s="8" t="s">
        <v>269</v>
      </c>
      <c r="AS209" s="14" t="s">
        <v>276</v>
      </c>
      <c r="AT209" s="14">
        <f>AJ209/AN209</f>
        <v>1.0085653104925054</v>
      </c>
      <c r="AU209" s="14" t="s">
        <v>276</v>
      </c>
      <c r="AV209" s="14" t="s">
        <v>276</v>
      </c>
      <c r="AW209" s="14" t="s">
        <v>276</v>
      </c>
      <c r="AX209" s="8" t="s">
        <v>1488</v>
      </c>
      <c r="AY209" s="8">
        <v>1.002</v>
      </c>
      <c r="AZ209" s="8">
        <v>0.97299999999999998</v>
      </c>
      <c r="BA209" s="8">
        <v>1.0309999999999999</v>
      </c>
      <c r="BB209" s="8">
        <v>0.91</v>
      </c>
      <c r="BC209" s="9" t="s">
        <v>1962</v>
      </c>
      <c r="BD209" s="9"/>
      <c r="BE209" s="9" t="s">
        <v>100</v>
      </c>
      <c r="BF209" s="33" t="s">
        <v>98</v>
      </c>
    </row>
    <row r="210" spans="1:58" s="7" customFormat="1" ht="78" x14ac:dyDescent="0.3">
      <c r="A210" s="8">
        <v>1055</v>
      </c>
      <c r="B210" s="8" t="s">
        <v>1482</v>
      </c>
      <c r="C210" s="9" t="s">
        <v>1882</v>
      </c>
      <c r="D210" s="9" t="s">
        <v>1963</v>
      </c>
      <c r="E210" s="8" t="s">
        <v>42</v>
      </c>
      <c r="F210" s="9" t="s">
        <v>140</v>
      </c>
      <c r="G210" s="8" t="s">
        <v>225</v>
      </c>
      <c r="H210" s="8" t="s">
        <v>125</v>
      </c>
      <c r="I210" s="8" t="s">
        <v>114</v>
      </c>
      <c r="J210" s="9" t="s">
        <v>24</v>
      </c>
      <c r="K210" s="9" t="s">
        <v>1934</v>
      </c>
      <c r="L210" s="9" t="s">
        <v>1957</v>
      </c>
      <c r="M210" s="8" t="s">
        <v>14</v>
      </c>
      <c r="N210" s="12" t="s">
        <v>1958</v>
      </c>
      <c r="O210" s="12" t="s">
        <v>207</v>
      </c>
      <c r="P210" s="52">
        <v>42369</v>
      </c>
      <c r="Q210" s="51" t="s">
        <v>276</v>
      </c>
      <c r="R210" s="32" t="s">
        <v>1959</v>
      </c>
      <c r="S210" s="9" t="s">
        <v>1960</v>
      </c>
      <c r="T210" s="51" t="s">
        <v>1889</v>
      </c>
      <c r="U210" s="13">
        <v>39103</v>
      </c>
      <c r="V210" s="13">
        <v>39106</v>
      </c>
      <c r="W210" s="8" t="s">
        <v>276</v>
      </c>
      <c r="X210" s="8" t="s">
        <v>276</v>
      </c>
      <c r="Y210" s="8">
        <v>3</v>
      </c>
      <c r="Z210" s="9" t="s">
        <v>1562</v>
      </c>
      <c r="AA210" s="8">
        <v>9</v>
      </c>
      <c r="AB210" s="9" t="s">
        <v>1562</v>
      </c>
      <c r="AC210" s="9" t="s">
        <v>1964</v>
      </c>
      <c r="AD210" s="33" t="s">
        <v>1487</v>
      </c>
      <c r="AE210" s="8">
        <v>250</v>
      </c>
      <c r="AF210" s="8">
        <v>219</v>
      </c>
      <c r="AG210" s="13" t="s">
        <v>276</v>
      </c>
      <c r="AH210" s="13" t="s">
        <v>276</v>
      </c>
      <c r="AI210" s="13">
        <v>10000</v>
      </c>
      <c r="AJ210" s="43">
        <v>3.9</v>
      </c>
      <c r="AK210" s="14" t="s">
        <v>98</v>
      </c>
      <c r="AL210" s="14" t="s">
        <v>276</v>
      </c>
      <c r="AM210" s="14" t="s">
        <v>276</v>
      </c>
      <c r="AN210" s="43">
        <v>3.5</v>
      </c>
      <c r="AO210" s="14" t="s">
        <v>98</v>
      </c>
      <c r="AP210" s="14" t="s">
        <v>276</v>
      </c>
      <c r="AQ210" s="14" t="s">
        <v>276</v>
      </c>
      <c r="AR210" s="8" t="s">
        <v>269</v>
      </c>
      <c r="AS210" s="14" t="s">
        <v>276</v>
      </c>
      <c r="AT210" s="14">
        <f>AJ210/AN210</f>
        <v>1.1142857142857143</v>
      </c>
      <c r="AU210" s="14" t="s">
        <v>276</v>
      </c>
      <c r="AV210" s="14" t="s">
        <v>276</v>
      </c>
      <c r="AW210" s="14" t="s">
        <v>276</v>
      </c>
      <c r="AX210" s="8" t="s">
        <v>1488</v>
      </c>
      <c r="AY210" s="8">
        <v>1.1499999999999999</v>
      </c>
      <c r="AZ210" s="8">
        <v>0.95499999999999996</v>
      </c>
      <c r="BA210" s="8">
        <v>1.37</v>
      </c>
      <c r="BB210" s="8">
        <v>0.14000000000000001</v>
      </c>
      <c r="BC210" s="9" t="s">
        <v>1965</v>
      </c>
      <c r="BD210" s="9"/>
      <c r="BE210" s="9" t="s">
        <v>100</v>
      </c>
      <c r="BF210" s="33" t="s">
        <v>98</v>
      </c>
    </row>
    <row r="211" spans="1:58" s="7" customFormat="1" ht="91" x14ac:dyDescent="0.3">
      <c r="A211" s="8">
        <v>1055</v>
      </c>
      <c r="B211" s="8" t="s">
        <v>1482</v>
      </c>
      <c r="C211" s="9" t="s">
        <v>1882</v>
      </c>
      <c r="D211" s="9" t="s">
        <v>1966</v>
      </c>
      <c r="E211" s="8" t="s">
        <v>42</v>
      </c>
      <c r="F211" s="9" t="s">
        <v>140</v>
      </c>
      <c r="G211" s="8" t="s">
        <v>225</v>
      </c>
      <c r="H211" s="8" t="s">
        <v>125</v>
      </c>
      <c r="I211" s="8" t="s">
        <v>114</v>
      </c>
      <c r="J211" s="9" t="s">
        <v>24</v>
      </c>
      <c r="K211" s="9" t="s">
        <v>1934</v>
      </c>
      <c r="L211" s="9" t="s">
        <v>1957</v>
      </c>
      <c r="M211" s="8" t="s">
        <v>14</v>
      </c>
      <c r="N211" s="12" t="s">
        <v>1967</v>
      </c>
      <c r="O211" s="12" t="s">
        <v>207</v>
      </c>
      <c r="P211" s="52">
        <v>42369</v>
      </c>
      <c r="Q211" s="51" t="s">
        <v>276</v>
      </c>
      <c r="R211" s="32" t="s">
        <v>1959</v>
      </c>
      <c r="S211" s="9" t="s">
        <v>1960</v>
      </c>
      <c r="T211" s="51" t="s">
        <v>1889</v>
      </c>
      <c r="U211" s="13">
        <v>34251</v>
      </c>
      <c r="V211" s="38">
        <v>34300</v>
      </c>
      <c r="W211" s="8" t="s">
        <v>276</v>
      </c>
      <c r="X211" s="8" t="s">
        <v>276</v>
      </c>
      <c r="Y211" s="8">
        <v>3</v>
      </c>
      <c r="Z211" s="9" t="s">
        <v>1562</v>
      </c>
      <c r="AA211" s="8">
        <v>9</v>
      </c>
      <c r="AB211" s="9" t="s">
        <v>1562</v>
      </c>
      <c r="AC211" s="9" t="s">
        <v>1968</v>
      </c>
      <c r="AD211" s="33" t="s">
        <v>1487</v>
      </c>
      <c r="AE211" s="8">
        <v>246</v>
      </c>
      <c r="AF211" s="8">
        <v>209</v>
      </c>
      <c r="AG211" s="13" t="s">
        <v>276</v>
      </c>
      <c r="AH211" s="13" t="s">
        <v>276</v>
      </c>
      <c r="AI211" s="13">
        <v>10000</v>
      </c>
      <c r="AJ211" s="43">
        <v>4.4000000000000004</v>
      </c>
      <c r="AK211" s="14" t="s">
        <v>98</v>
      </c>
      <c r="AL211" s="14" t="s">
        <v>276</v>
      </c>
      <c r="AM211" s="14" t="s">
        <v>276</v>
      </c>
      <c r="AN211" s="43">
        <v>3.8</v>
      </c>
      <c r="AO211" s="14" t="s">
        <v>98</v>
      </c>
      <c r="AP211" s="14" t="s">
        <v>276</v>
      </c>
      <c r="AQ211" s="14" t="s">
        <v>276</v>
      </c>
      <c r="AR211" s="8" t="s">
        <v>269</v>
      </c>
      <c r="AS211" s="14" t="s">
        <v>276</v>
      </c>
      <c r="AT211" s="14">
        <f>AJ211/AN211</f>
        <v>1.1578947368421053</v>
      </c>
      <c r="AU211" s="14" t="s">
        <v>276</v>
      </c>
      <c r="AV211" s="14" t="s">
        <v>276</v>
      </c>
      <c r="AW211" s="14" t="s">
        <v>276</v>
      </c>
      <c r="AX211" s="8" t="s">
        <v>1488</v>
      </c>
      <c r="AY211" s="8">
        <v>1.18</v>
      </c>
      <c r="AZ211" s="8">
        <v>0.98</v>
      </c>
      <c r="BA211" s="8">
        <v>1.42</v>
      </c>
      <c r="BB211" s="8">
        <v>0.08</v>
      </c>
      <c r="BC211" s="9" t="s">
        <v>1969</v>
      </c>
      <c r="BD211" s="9"/>
      <c r="BE211" s="9" t="s">
        <v>100</v>
      </c>
      <c r="BF211" s="33" t="s">
        <v>98</v>
      </c>
    </row>
    <row r="212" spans="1:58" s="7" customFormat="1" ht="91" x14ac:dyDescent="0.3">
      <c r="A212" s="8">
        <v>1042</v>
      </c>
      <c r="B212" s="8" t="s">
        <v>1493</v>
      </c>
      <c r="C212" s="9" t="s">
        <v>1882</v>
      </c>
      <c r="D212" s="9" t="s">
        <v>1970</v>
      </c>
      <c r="E212" s="8" t="s">
        <v>42</v>
      </c>
      <c r="F212" s="9" t="s">
        <v>140</v>
      </c>
      <c r="G212" s="8" t="s">
        <v>225</v>
      </c>
      <c r="H212" s="8" t="s">
        <v>125</v>
      </c>
      <c r="I212" s="8" t="s">
        <v>114</v>
      </c>
      <c r="J212" s="9" t="s">
        <v>23</v>
      </c>
      <c r="K212" s="9" t="s">
        <v>1971</v>
      </c>
      <c r="L212" s="9" t="s">
        <v>1496</v>
      </c>
      <c r="M212" s="8" t="s">
        <v>14</v>
      </c>
      <c r="N212" s="11" t="s">
        <v>98</v>
      </c>
      <c r="O212" s="12" t="s">
        <v>207</v>
      </c>
      <c r="P212" s="52" t="s">
        <v>1972</v>
      </c>
      <c r="Q212" s="9">
        <v>13</v>
      </c>
      <c r="R212" s="9" t="s">
        <v>276</v>
      </c>
      <c r="S212" s="9" t="s">
        <v>276</v>
      </c>
      <c r="T212" s="51" t="s">
        <v>1889</v>
      </c>
      <c r="U212" s="13">
        <v>39104</v>
      </c>
      <c r="V212" s="38">
        <v>39111</v>
      </c>
      <c r="W212" s="8" t="s">
        <v>276</v>
      </c>
      <c r="X212" s="8" t="s">
        <v>276</v>
      </c>
      <c r="Y212" s="8">
        <v>0</v>
      </c>
      <c r="Z212" s="8" t="s">
        <v>98</v>
      </c>
      <c r="AA212" s="8">
        <v>0</v>
      </c>
      <c r="AB212" s="8" t="s">
        <v>98</v>
      </c>
      <c r="AC212" s="9" t="s">
        <v>1973</v>
      </c>
      <c r="AD212" s="9" t="s">
        <v>1487</v>
      </c>
      <c r="AE212" s="8">
        <v>4086</v>
      </c>
      <c r="AF212" s="8">
        <v>4075</v>
      </c>
      <c r="AG212" s="13" t="s">
        <v>276</v>
      </c>
      <c r="AH212" s="13" t="s">
        <v>276</v>
      </c>
      <c r="AI212" s="13">
        <v>10000</v>
      </c>
      <c r="AJ212" s="14" t="s">
        <v>276</v>
      </c>
      <c r="AK212" s="31" t="s">
        <v>98</v>
      </c>
      <c r="AL212" s="14" t="s">
        <v>276</v>
      </c>
      <c r="AM212" s="14" t="s">
        <v>276</v>
      </c>
      <c r="AN212" s="14" t="s">
        <v>276</v>
      </c>
      <c r="AO212" s="31" t="s">
        <v>98</v>
      </c>
      <c r="AP212" s="14" t="s">
        <v>276</v>
      </c>
      <c r="AQ212" s="14" t="s">
        <v>276</v>
      </c>
      <c r="AR212" s="8" t="s">
        <v>269</v>
      </c>
      <c r="AS212" s="14">
        <v>1</v>
      </c>
      <c r="AT212" s="14" t="s">
        <v>98</v>
      </c>
      <c r="AU212" s="14">
        <v>0.96</v>
      </c>
      <c r="AV212" s="14">
        <v>1.05</v>
      </c>
      <c r="AW212" s="8" t="s">
        <v>276</v>
      </c>
      <c r="AX212" s="8" t="s">
        <v>98</v>
      </c>
      <c r="AY212" s="8" t="s">
        <v>98</v>
      </c>
      <c r="AZ212" s="8" t="s">
        <v>98</v>
      </c>
      <c r="BA212" s="8" t="s">
        <v>98</v>
      </c>
      <c r="BB212" s="8" t="s">
        <v>98</v>
      </c>
      <c r="BC212" s="9" t="s">
        <v>1168</v>
      </c>
      <c r="BD212" s="9" t="s">
        <v>1974</v>
      </c>
      <c r="BE212" s="9" t="s">
        <v>100</v>
      </c>
      <c r="BF212" s="33" t="s">
        <v>98</v>
      </c>
    </row>
    <row r="213" spans="1:58" s="7" customFormat="1" ht="78" x14ac:dyDescent="0.3">
      <c r="A213" s="8">
        <v>9925</v>
      </c>
      <c r="B213" s="8" t="s">
        <v>2037</v>
      </c>
      <c r="C213" s="8" t="s">
        <v>78</v>
      </c>
      <c r="D213" s="9" t="s">
        <v>2038</v>
      </c>
      <c r="E213" s="8" t="s">
        <v>39</v>
      </c>
      <c r="F213" s="8" t="s">
        <v>143</v>
      </c>
      <c r="G213" s="8" t="s">
        <v>225</v>
      </c>
      <c r="H213" s="8" t="s">
        <v>125</v>
      </c>
      <c r="I213" s="8" t="s">
        <v>114</v>
      </c>
      <c r="J213" s="9" t="s">
        <v>24</v>
      </c>
      <c r="K213" s="9" t="s">
        <v>2039</v>
      </c>
      <c r="L213" s="9"/>
      <c r="M213" s="8" t="s">
        <v>14</v>
      </c>
      <c r="N213" s="11" t="s">
        <v>98</v>
      </c>
      <c r="O213" s="12" t="s">
        <v>207</v>
      </c>
      <c r="P213" s="41">
        <v>43890</v>
      </c>
      <c r="Q213" s="9" t="s">
        <v>276</v>
      </c>
      <c r="R213" s="9" t="s">
        <v>2040</v>
      </c>
      <c r="S213" s="9" t="s">
        <v>2040</v>
      </c>
      <c r="T213" s="9">
        <v>1</v>
      </c>
      <c r="U213" s="13">
        <v>1987</v>
      </c>
      <c r="V213" s="38">
        <v>1981</v>
      </c>
      <c r="W213" s="13" t="s">
        <v>276</v>
      </c>
      <c r="X213" s="13" t="s">
        <v>276</v>
      </c>
      <c r="Y213" s="8">
        <v>0</v>
      </c>
      <c r="Z213" s="9" t="s">
        <v>98</v>
      </c>
      <c r="AA213" s="8">
        <v>0</v>
      </c>
      <c r="AB213" s="9" t="s">
        <v>98</v>
      </c>
      <c r="AC213" s="9" t="s">
        <v>2041</v>
      </c>
      <c r="AD213" s="9" t="s">
        <v>2042</v>
      </c>
      <c r="AE213" s="8">
        <v>30</v>
      </c>
      <c r="AF213" s="8">
        <v>46</v>
      </c>
      <c r="AG213" s="71">
        <v>14071.4</v>
      </c>
      <c r="AH213" s="71">
        <v>13921.6</v>
      </c>
      <c r="AI213" s="13" t="s">
        <v>425</v>
      </c>
      <c r="AJ213" s="14" t="s">
        <v>276</v>
      </c>
      <c r="AK213" s="31">
        <f t="shared" ref="AK213:AK223" si="32">AE213*1000/AG213</f>
        <v>2.1319840243330446</v>
      </c>
      <c r="AL213" s="14" t="s">
        <v>276</v>
      </c>
      <c r="AM213" s="14" t="s">
        <v>276</v>
      </c>
      <c r="AN213" s="14" t="s">
        <v>276</v>
      </c>
      <c r="AO213" s="31">
        <f t="shared" ref="AO213:AO223" si="33">AF213*1000/AH213</f>
        <v>3.3042179059878176</v>
      </c>
      <c r="AP213" s="14" t="s">
        <v>276</v>
      </c>
      <c r="AQ213" s="14" t="s">
        <v>276</v>
      </c>
      <c r="AR213" s="8" t="s">
        <v>269</v>
      </c>
      <c r="AS213" s="14">
        <v>0.65</v>
      </c>
      <c r="AT213" s="14">
        <f t="shared" ref="AT213:AT223" si="34">AK213/AO213</f>
        <v>0.64523106072075898</v>
      </c>
      <c r="AU213" s="14">
        <v>0.41</v>
      </c>
      <c r="AV213" s="14">
        <v>1.02</v>
      </c>
      <c r="AW213" s="8">
        <v>6.2E-2</v>
      </c>
      <c r="AX213" s="8" t="s">
        <v>282</v>
      </c>
      <c r="AY213" s="8" t="s">
        <v>276</v>
      </c>
      <c r="AZ213" s="8" t="s">
        <v>276</v>
      </c>
      <c r="BA213" s="8" t="s">
        <v>276</v>
      </c>
      <c r="BB213" s="8" t="s">
        <v>276</v>
      </c>
      <c r="BC213" s="9" t="s">
        <v>2043</v>
      </c>
      <c r="BD213" s="9" t="s">
        <v>2044</v>
      </c>
      <c r="BE213" s="9" t="s">
        <v>99</v>
      </c>
      <c r="BF213" s="33" t="s">
        <v>11163</v>
      </c>
    </row>
    <row r="214" spans="1:58" s="7" customFormat="1" ht="78" x14ac:dyDescent="0.3">
      <c r="A214" s="8">
        <v>9925</v>
      </c>
      <c r="B214" s="8" t="s">
        <v>2037</v>
      </c>
      <c r="C214" s="8" t="s">
        <v>78</v>
      </c>
      <c r="D214" s="9" t="s">
        <v>2045</v>
      </c>
      <c r="E214" s="8" t="s">
        <v>39</v>
      </c>
      <c r="F214" s="8" t="s">
        <v>143</v>
      </c>
      <c r="G214" s="8" t="s">
        <v>225</v>
      </c>
      <c r="H214" s="8" t="s">
        <v>125</v>
      </c>
      <c r="I214" s="8" t="s">
        <v>114</v>
      </c>
      <c r="J214" s="9" t="s">
        <v>24</v>
      </c>
      <c r="K214" s="9" t="s">
        <v>2039</v>
      </c>
      <c r="L214" s="9"/>
      <c r="M214" s="8" t="s">
        <v>14</v>
      </c>
      <c r="N214" s="11" t="s">
        <v>98</v>
      </c>
      <c r="O214" s="12" t="s">
        <v>207</v>
      </c>
      <c r="P214" s="41">
        <v>43890</v>
      </c>
      <c r="Q214" s="9" t="s">
        <v>276</v>
      </c>
      <c r="R214" s="9" t="s">
        <v>2040</v>
      </c>
      <c r="S214" s="9" t="s">
        <v>2040</v>
      </c>
      <c r="T214" s="9">
        <v>1</v>
      </c>
      <c r="U214" s="13">
        <v>1987</v>
      </c>
      <c r="V214" s="38">
        <v>1981</v>
      </c>
      <c r="W214" s="13" t="s">
        <v>276</v>
      </c>
      <c r="X214" s="13" t="s">
        <v>276</v>
      </c>
      <c r="Y214" s="8">
        <v>0</v>
      </c>
      <c r="Z214" s="9" t="s">
        <v>98</v>
      </c>
      <c r="AA214" s="8">
        <v>0</v>
      </c>
      <c r="AB214" s="9" t="s">
        <v>98</v>
      </c>
      <c r="AC214" s="9" t="s">
        <v>2041</v>
      </c>
      <c r="AD214" s="9" t="s">
        <v>2046</v>
      </c>
      <c r="AE214" s="8">
        <v>30</v>
      </c>
      <c r="AF214" s="8">
        <v>46</v>
      </c>
      <c r="AG214" s="13">
        <v>1987</v>
      </c>
      <c r="AH214" s="13">
        <v>1981</v>
      </c>
      <c r="AI214" s="38" t="s">
        <v>2047</v>
      </c>
      <c r="AJ214" s="14" t="s">
        <v>276</v>
      </c>
      <c r="AK214" s="31">
        <f t="shared" si="32"/>
        <v>15.09813789632612</v>
      </c>
      <c r="AL214" s="14" t="s">
        <v>276</v>
      </c>
      <c r="AM214" s="14" t="s">
        <v>276</v>
      </c>
      <c r="AN214" s="14" t="s">
        <v>276</v>
      </c>
      <c r="AO214" s="31">
        <f t="shared" si="33"/>
        <v>23.220595658758203</v>
      </c>
      <c r="AP214" s="14" t="s">
        <v>276</v>
      </c>
      <c r="AQ214" s="14" t="s">
        <v>276</v>
      </c>
      <c r="AR214" s="8" t="s">
        <v>268</v>
      </c>
      <c r="AS214" s="14" t="s">
        <v>276</v>
      </c>
      <c r="AT214" s="14">
        <f t="shared" si="34"/>
        <v>0.65020459070917491</v>
      </c>
      <c r="AU214" s="14" t="s">
        <v>276</v>
      </c>
      <c r="AV214" s="14" t="s">
        <v>276</v>
      </c>
      <c r="AW214" s="8" t="s">
        <v>276</v>
      </c>
      <c r="AX214" s="8" t="s">
        <v>282</v>
      </c>
      <c r="AY214" s="8" t="s">
        <v>276</v>
      </c>
      <c r="AZ214" s="8" t="s">
        <v>276</v>
      </c>
      <c r="BA214" s="8" t="s">
        <v>276</v>
      </c>
      <c r="BB214" s="8" t="s">
        <v>276</v>
      </c>
      <c r="BC214" s="9" t="s">
        <v>2048</v>
      </c>
      <c r="BD214" s="9" t="s">
        <v>2044</v>
      </c>
      <c r="BE214" s="9" t="s">
        <v>99</v>
      </c>
      <c r="BF214" s="33" t="s">
        <v>11163</v>
      </c>
    </row>
    <row r="215" spans="1:58" s="7" customFormat="1" ht="78" x14ac:dyDescent="0.3">
      <c r="A215" s="8">
        <v>9925</v>
      </c>
      <c r="B215" s="8" t="s">
        <v>2037</v>
      </c>
      <c r="C215" s="8" t="s">
        <v>78</v>
      </c>
      <c r="D215" s="9" t="s">
        <v>2049</v>
      </c>
      <c r="E215" s="8" t="s">
        <v>39</v>
      </c>
      <c r="F215" s="8" t="s">
        <v>143</v>
      </c>
      <c r="G215" s="8" t="s">
        <v>225</v>
      </c>
      <c r="H215" s="8" t="s">
        <v>125</v>
      </c>
      <c r="I215" s="8" t="s">
        <v>114</v>
      </c>
      <c r="J215" s="9" t="s">
        <v>24</v>
      </c>
      <c r="K215" s="9" t="s">
        <v>2039</v>
      </c>
      <c r="L215" s="9"/>
      <c r="M215" s="8" t="s">
        <v>14</v>
      </c>
      <c r="N215" s="11" t="s">
        <v>98</v>
      </c>
      <c r="O215" s="12" t="s">
        <v>207</v>
      </c>
      <c r="P215" s="41" t="s">
        <v>276</v>
      </c>
      <c r="Q215" s="9" t="s">
        <v>705</v>
      </c>
      <c r="R215" s="9" t="s">
        <v>276</v>
      </c>
      <c r="S215" s="9" t="s">
        <v>276</v>
      </c>
      <c r="T215" s="9">
        <v>1</v>
      </c>
      <c r="U215" s="13">
        <v>1987</v>
      </c>
      <c r="V215" s="38">
        <v>1981</v>
      </c>
      <c r="W215" s="13">
        <f>U215-1970-AE215</f>
        <v>15</v>
      </c>
      <c r="X215" s="13">
        <f>V215-1964-AF215</f>
        <v>13</v>
      </c>
      <c r="Y215" s="8">
        <v>0</v>
      </c>
      <c r="Z215" s="9" t="s">
        <v>98</v>
      </c>
      <c r="AA215" s="8">
        <v>0</v>
      </c>
      <c r="AB215" s="9" t="s">
        <v>98</v>
      </c>
      <c r="AC215" s="9" t="s">
        <v>2050</v>
      </c>
      <c r="AD215" s="9" t="s">
        <v>2046</v>
      </c>
      <c r="AE215" s="8">
        <v>2</v>
      </c>
      <c r="AF215" s="8">
        <v>4</v>
      </c>
      <c r="AG215" s="13">
        <v>1987</v>
      </c>
      <c r="AH215" s="13">
        <v>1981</v>
      </c>
      <c r="AI215" s="38" t="s">
        <v>2047</v>
      </c>
      <c r="AJ215" s="14" t="s">
        <v>276</v>
      </c>
      <c r="AK215" s="31">
        <f t="shared" si="32"/>
        <v>1.0065425264217414</v>
      </c>
      <c r="AL215" s="14" t="s">
        <v>276</v>
      </c>
      <c r="AM215" s="14" t="s">
        <v>276</v>
      </c>
      <c r="AN215" s="14" t="s">
        <v>276</v>
      </c>
      <c r="AO215" s="31">
        <f t="shared" si="33"/>
        <v>2.0191822311963654</v>
      </c>
      <c r="AP215" s="14" t="s">
        <v>276</v>
      </c>
      <c r="AQ215" s="14" t="s">
        <v>276</v>
      </c>
      <c r="AR215" s="8" t="s">
        <v>268</v>
      </c>
      <c r="AS215" s="14" t="s">
        <v>276</v>
      </c>
      <c r="AT215" s="14">
        <f t="shared" si="34"/>
        <v>0.49849018621036745</v>
      </c>
      <c r="AU215" s="14" t="s">
        <v>276</v>
      </c>
      <c r="AV215" s="14" t="s">
        <v>276</v>
      </c>
      <c r="AW215" s="8" t="s">
        <v>276</v>
      </c>
      <c r="AX215" s="8" t="s">
        <v>282</v>
      </c>
      <c r="AY215" s="8" t="s">
        <v>276</v>
      </c>
      <c r="AZ215" s="8" t="s">
        <v>276</v>
      </c>
      <c r="BA215" s="8" t="s">
        <v>276</v>
      </c>
      <c r="BB215" s="8" t="s">
        <v>276</v>
      </c>
      <c r="BC215" s="9" t="s">
        <v>2051</v>
      </c>
      <c r="BD215" s="9" t="s">
        <v>2044</v>
      </c>
      <c r="BE215" s="9" t="s">
        <v>100</v>
      </c>
      <c r="BF215" s="33" t="s">
        <v>98</v>
      </c>
    </row>
    <row r="216" spans="1:58" s="7" customFormat="1" ht="78" x14ac:dyDescent="0.3">
      <c r="A216" s="8">
        <v>9925</v>
      </c>
      <c r="B216" s="8" t="s">
        <v>2037</v>
      </c>
      <c r="C216" s="8" t="s">
        <v>78</v>
      </c>
      <c r="D216" s="9" t="s">
        <v>2052</v>
      </c>
      <c r="E216" s="8" t="s">
        <v>39</v>
      </c>
      <c r="F216" s="8" t="s">
        <v>143</v>
      </c>
      <c r="G216" s="8" t="s">
        <v>225</v>
      </c>
      <c r="H216" s="8" t="s">
        <v>125</v>
      </c>
      <c r="I216" s="8" t="s">
        <v>114</v>
      </c>
      <c r="J216" s="9" t="s">
        <v>24</v>
      </c>
      <c r="K216" s="9" t="s">
        <v>2039</v>
      </c>
      <c r="L216" s="9"/>
      <c r="M216" s="8" t="s">
        <v>14</v>
      </c>
      <c r="N216" s="11" t="s">
        <v>98</v>
      </c>
      <c r="O216" s="12" t="s">
        <v>207</v>
      </c>
      <c r="P216" s="41" t="s">
        <v>276</v>
      </c>
      <c r="Q216" s="9" t="s">
        <v>710</v>
      </c>
      <c r="R216" s="9" t="s">
        <v>276</v>
      </c>
      <c r="S216" s="9" t="s">
        <v>276</v>
      </c>
      <c r="T216" s="9">
        <v>1</v>
      </c>
      <c r="U216" s="13">
        <v>1987</v>
      </c>
      <c r="V216" s="38">
        <v>1981</v>
      </c>
      <c r="W216" s="13">
        <f>U216-1948-AE216</f>
        <v>32</v>
      </c>
      <c r="X216" s="13">
        <f>V216-1930-AF216</f>
        <v>42</v>
      </c>
      <c r="Y216" s="8">
        <v>0</v>
      </c>
      <c r="Z216" s="9" t="s">
        <v>98</v>
      </c>
      <c r="AA216" s="8">
        <v>0</v>
      </c>
      <c r="AB216" s="9" t="s">
        <v>98</v>
      </c>
      <c r="AC216" s="9" t="s">
        <v>2053</v>
      </c>
      <c r="AD216" s="9" t="s">
        <v>2046</v>
      </c>
      <c r="AE216" s="8">
        <f>2+5</f>
        <v>7</v>
      </c>
      <c r="AF216" s="8">
        <f>4+5</f>
        <v>9</v>
      </c>
      <c r="AG216" s="13">
        <v>1987</v>
      </c>
      <c r="AH216" s="13">
        <v>1981</v>
      </c>
      <c r="AI216" s="38" t="s">
        <v>2047</v>
      </c>
      <c r="AJ216" s="14" t="s">
        <v>276</v>
      </c>
      <c r="AK216" s="31">
        <f t="shared" si="32"/>
        <v>3.5228988424760947</v>
      </c>
      <c r="AL216" s="14" t="s">
        <v>276</v>
      </c>
      <c r="AM216" s="14" t="s">
        <v>276</v>
      </c>
      <c r="AN216" s="14" t="s">
        <v>276</v>
      </c>
      <c r="AO216" s="31">
        <f t="shared" si="33"/>
        <v>4.5431600201918227</v>
      </c>
      <c r="AP216" s="14" t="s">
        <v>276</v>
      </c>
      <c r="AQ216" s="14" t="s">
        <v>276</v>
      </c>
      <c r="AR216" s="8" t="s">
        <v>268</v>
      </c>
      <c r="AS216" s="14" t="s">
        <v>276</v>
      </c>
      <c r="AT216" s="14">
        <f t="shared" si="34"/>
        <v>0.77542917854946036</v>
      </c>
      <c r="AU216" s="14" t="s">
        <v>276</v>
      </c>
      <c r="AV216" s="14" t="s">
        <v>276</v>
      </c>
      <c r="AW216" s="8" t="s">
        <v>276</v>
      </c>
      <c r="AX216" s="8" t="s">
        <v>282</v>
      </c>
      <c r="AY216" s="8" t="s">
        <v>276</v>
      </c>
      <c r="AZ216" s="8" t="s">
        <v>276</v>
      </c>
      <c r="BA216" s="8" t="s">
        <v>276</v>
      </c>
      <c r="BB216" s="8" t="s">
        <v>276</v>
      </c>
      <c r="BC216" s="9" t="s">
        <v>2051</v>
      </c>
      <c r="BD216" s="9" t="s">
        <v>2044</v>
      </c>
      <c r="BE216" s="9" t="s">
        <v>100</v>
      </c>
      <c r="BF216" s="33" t="s">
        <v>98</v>
      </c>
    </row>
    <row r="217" spans="1:58" s="7" customFormat="1" ht="78" x14ac:dyDescent="0.3">
      <c r="A217" s="8">
        <v>9925</v>
      </c>
      <c r="B217" s="8" t="s">
        <v>2037</v>
      </c>
      <c r="C217" s="8" t="s">
        <v>78</v>
      </c>
      <c r="D217" s="9" t="s">
        <v>2054</v>
      </c>
      <c r="E217" s="8" t="s">
        <v>39</v>
      </c>
      <c r="F217" s="8" t="s">
        <v>143</v>
      </c>
      <c r="G217" s="8" t="s">
        <v>225</v>
      </c>
      <c r="H217" s="8" t="s">
        <v>125</v>
      </c>
      <c r="I217" s="8" t="s">
        <v>114</v>
      </c>
      <c r="J217" s="9" t="s">
        <v>24</v>
      </c>
      <c r="K217" s="9" t="s">
        <v>2039</v>
      </c>
      <c r="L217" s="9"/>
      <c r="M217" s="8" t="s">
        <v>14</v>
      </c>
      <c r="N217" s="11" t="s">
        <v>98</v>
      </c>
      <c r="O217" s="12" t="s">
        <v>207</v>
      </c>
      <c r="P217" s="41" t="s">
        <v>276</v>
      </c>
      <c r="Q217" s="9" t="s">
        <v>686</v>
      </c>
      <c r="R217" s="9" t="s">
        <v>276</v>
      </c>
      <c r="S217" s="9" t="s">
        <v>276</v>
      </c>
      <c r="T217" s="9">
        <v>1</v>
      </c>
      <c r="U217" s="13">
        <v>1987</v>
      </c>
      <c r="V217" s="38">
        <v>1981</v>
      </c>
      <c r="W217" s="13">
        <f>U217-1913-AE217</f>
        <v>62</v>
      </c>
      <c r="X217" s="13">
        <f>V217-1897-AF217</f>
        <v>67</v>
      </c>
      <c r="Y217" s="8">
        <v>0</v>
      </c>
      <c r="Z217" s="9" t="s">
        <v>98</v>
      </c>
      <c r="AA217" s="8">
        <v>0</v>
      </c>
      <c r="AB217" s="9" t="s">
        <v>98</v>
      </c>
      <c r="AC217" s="9" t="s">
        <v>2055</v>
      </c>
      <c r="AD217" s="9" t="s">
        <v>2046</v>
      </c>
      <c r="AE217" s="8">
        <f>2+5+5</f>
        <v>12</v>
      </c>
      <c r="AF217" s="8">
        <f>4+5+8</f>
        <v>17</v>
      </c>
      <c r="AG217" s="13">
        <v>1987</v>
      </c>
      <c r="AH217" s="13">
        <v>1981</v>
      </c>
      <c r="AI217" s="38" t="s">
        <v>2047</v>
      </c>
      <c r="AJ217" s="14" t="s">
        <v>276</v>
      </c>
      <c r="AK217" s="31">
        <f t="shared" si="32"/>
        <v>6.0392551585304481</v>
      </c>
      <c r="AL217" s="14" t="s">
        <v>276</v>
      </c>
      <c r="AM217" s="14" t="s">
        <v>276</v>
      </c>
      <c r="AN217" s="14" t="s">
        <v>276</v>
      </c>
      <c r="AO217" s="31">
        <f t="shared" si="33"/>
        <v>8.5815244825845536</v>
      </c>
      <c r="AP217" s="14" t="s">
        <v>276</v>
      </c>
      <c r="AQ217" s="14" t="s">
        <v>276</v>
      </c>
      <c r="AR217" s="8" t="s">
        <v>268</v>
      </c>
      <c r="AS217" s="14" t="s">
        <v>276</v>
      </c>
      <c r="AT217" s="14">
        <f t="shared" si="34"/>
        <v>0.70375085112051872</v>
      </c>
      <c r="AU217" s="14" t="s">
        <v>276</v>
      </c>
      <c r="AV217" s="14" t="s">
        <v>276</v>
      </c>
      <c r="AW217" s="8" t="s">
        <v>276</v>
      </c>
      <c r="AX217" s="8" t="s">
        <v>282</v>
      </c>
      <c r="AY217" s="8" t="s">
        <v>276</v>
      </c>
      <c r="AZ217" s="8" t="s">
        <v>276</v>
      </c>
      <c r="BA217" s="8" t="s">
        <v>276</v>
      </c>
      <c r="BB217" s="8" t="s">
        <v>276</v>
      </c>
      <c r="BC217" s="9" t="s">
        <v>2051</v>
      </c>
      <c r="BD217" s="9" t="s">
        <v>2044</v>
      </c>
      <c r="BE217" s="9" t="s">
        <v>100</v>
      </c>
      <c r="BF217" s="33" t="s">
        <v>98</v>
      </c>
    </row>
    <row r="218" spans="1:58" s="7" customFormat="1" ht="78" x14ac:dyDescent="0.3">
      <c r="A218" s="8">
        <v>9925</v>
      </c>
      <c r="B218" s="8" t="s">
        <v>2037</v>
      </c>
      <c r="C218" s="8" t="s">
        <v>78</v>
      </c>
      <c r="D218" s="9" t="s">
        <v>2056</v>
      </c>
      <c r="E218" s="8" t="s">
        <v>39</v>
      </c>
      <c r="F218" s="8" t="s">
        <v>143</v>
      </c>
      <c r="G218" s="8" t="s">
        <v>225</v>
      </c>
      <c r="H218" s="8" t="s">
        <v>125</v>
      </c>
      <c r="I218" s="8" t="s">
        <v>114</v>
      </c>
      <c r="J218" s="9" t="s">
        <v>24</v>
      </c>
      <c r="K218" s="9" t="s">
        <v>2039</v>
      </c>
      <c r="L218" s="9"/>
      <c r="M218" s="8" t="s">
        <v>14</v>
      </c>
      <c r="N218" s="11" t="s">
        <v>98</v>
      </c>
      <c r="O218" s="12" t="s">
        <v>207</v>
      </c>
      <c r="P218" s="41" t="s">
        <v>276</v>
      </c>
      <c r="Q218" s="9" t="s">
        <v>721</v>
      </c>
      <c r="R218" s="9" t="s">
        <v>276</v>
      </c>
      <c r="S218" s="9" t="s">
        <v>276</v>
      </c>
      <c r="T218" s="9">
        <v>1</v>
      </c>
      <c r="U218" s="13">
        <v>1987</v>
      </c>
      <c r="V218" s="38">
        <v>1981</v>
      </c>
      <c r="W218" s="13">
        <f>U218-1874-AE218</f>
        <v>95</v>
      </c>
      <c r="X218" s="13">
        <f>V218-1854-AF218</f>
        <v>102</v>
      </c>
      <c r="Y218" s="8">
        <v>0</v>
      </c>
      <c r="Z218" s="9" t="s">
        <v>98</v>
      </c>
      <c r="AA218" s="8">
        <v>0</v>
      </c>
      <c r="AB218" s="9" t="s">
        <v>98</v>
      </c>
      <c r="AC218" s="9" t="s">
        <v>2057</v>
      </c>
      <c r="AD218" s="9" t="s">
        <v>2046</v>
      </c>
      <c r="AE218" s="8">
        <f>2+5+5+6</f>
        <v>18</v>
      </c>
      <c r="AF218" s="8">
        <f>4+5+8+8</f>
        <v>25</v>
      </c>
      <c r="AG218" s="13">
        <v>1987</v>
      </c>
      <c r="AH218" s="13">
        <v>1981</v>
      </c>
      <c r="AI218" s="38" t="s">
        <v>2047</v>
      </c>
      <c r="AJ218" s="14" t="s">
        <v>276</v>
      </c>
      <c r="AK218" s="31">
        <f t="shared" si="32"/>
        <v>9.0588827377956722</v>
      </c>
      <c r="AL218" s="14" t="s">
        <v>276</v>
      </c>
      <c r="AM218" s="14" t="s">
        <v>276</v>
      </c>
      <c r="AN218" s="14" t="s">
        <v>276</v>
      </c>
      <c r="AO218" s="31">
        <f t="shared" si="33"/>
        <v>12.619888944977284</v>
      </c>
      <c r="AP218" s="14" t="s">
        <v>276</v>
      </c>
      <c r="AQ218" s="14" t="s">
        <v>276</v>
      </c>
      <c r="AR218" s="8" t="s">
        <v>268</v>
      </c>
      <c r="AS218" s="14" t="s">
        <v>276</v>
      </c>
      <c r="AT218" s="14">
        <f t="shared" si="34"/>
        <v>0.71782586814292915</v>
      </c>
      <c r="AU218" s="14" t="s">
        <v>276</v>
      </c>
      <c r="AV218" s="14" t="s">
        <v>276</v>
      </c>
      <c r="AW218" s="8" t="s">
        <v>276</v>
      </c>
      <c r="AX218" s="8" t="s">
        <v>282</v>
      </c>
      <c r="AY218" s="8" t="s">
        <v>276</v>
      </c>
      <c r="AZ218" s="8" t="s">
        <v>276</v>
      </c>
      <c r="BA218" s="8" t="s">
        <v>276</v>
      </c>
      <c r="BB218" s="8" t="s">
        <v>276</v>
      </c>
      <c r="BC218" s="9" t="s">
        <v>2051</v>
      </c>
      <c r="BD218" s="9" t="s">
        <v>2044</v>
      </c>
      <c r="BE218" s="9" t="s">
        <v>100</v>
      </c>
      <c r="BF218" s="33" t="s">
        <v>98</v>
      </c>
    </row>
    <row r="219" spans="1:58" s="7" customFormat="1" ht="78" x14ac:dyDescent="0.3">
      <c r="A219" s="8">
        <v>9925</v>
      </c>
      <c r="B219" s="8" t="s">
        <v>2037</v>
      </c>
      <c r="C219" s="8" t="s">
        <v>78</v>
      </c>
      <c r="D219" s="9" t="s">
        <v>2058</v>
      </c>
      <c r="E219" s="8" t="s">
        <v>39</v>
      </c>
      <c r="F219" s="8" t="s">
        <v>143</v>
      </c>
      <c r="G219" s="8" t="s">
        <v>225</v>
      </c>
      <c r="H219" s="8" t="s">
        <v>125</v>
      </c>
      <c r="I219" s="8" t="s">
        <v>114</v>
      </c>
      <c r="J219" s="9" t="s">
        <v>24</v>
      </c>
      <c r="K219" s="9" t="s">
        <v>2039</v>
      </c>
      <c r="L219" s="9"/>
      <c r="M219" s="8" t="s">
        <v>14</v>
      </c>
      <c r="N219" s="11" t="s">
        <v>98</v>
      </c>
      <c r="O219" s="12" t="s">
        <v>207</v>
      </c>
      <c r="P219" s="41" t="s">
        <v>276</v>
      </c>
      <c r="Q219" s="9" t="s">
        <v>728</v>
      </c>
      <c r="R219" s="9" t="s">
        <v>276</v>
      </c>
      <c r="S219" s="9" t="s">
        <v>276</v>
      </c>
      <c r="T219" s="9">
        <v>1</v>
      </c>
      <c r="U219" s="13">
        <v>1987</v>
      </c>
      <c r="V219" s="38">
        <v>1981</v>
      </c>
      <c r="W219" s="13">
        <f>U219-1840-AE219</f>
        <v>127</v>
      </c>
      <c r="X219" s="13">
        <f>V219-1814-AF219</f>
        <v>136</v>
      </c>
      <c r="Y219" s="8">
        <v>0</v>
      </c>
      <c r="Z219" s="9" t="s">
        <v>98</v>
      </c>
      <c r="AA219" s="8">
        <v>0</v>
      </c>
      <c r="AB219" s="9" t="s">
        <v>98</v>
      </c>
      <c r="AC219" s="9" t="s">
        <v>2059</v>
      </c>
      <c r="AD219" s="9" t="s">
        <v>2046</v>
      </c>
      <c r="AE219" s="8">
        <f>2+5+5+6+2</f>
        <v>20</v>
      </c>
      <c r="AF219" s="8">
        <f>4+5+8+8+6</f>
        <v>31</v>
      </c>
      <c r="AG219" s="13">
        <v>1987</v>
      </c>
      <c r="AH219" s="13">
        <v>1981</v>
      </c>
      <c r="AI219" s="38" t="s">
        <v>2047</v>
      </c>
      <c r="AJ219" s="14" t="s">
        <v>276</v>
      </c>
      <c r="AK219" s="31">
        <f t="shared" si="32"/>
        <v>10.065425264217414</v>
      </c>
      <c r="AL219" s="14" t="s">
        <v>276</v>
      </c>
      <c r="AM219" s="14" t="s">
        <v>276</v>
      </c>
      <c r="AN219" s="14" t="s">
        <v>276</v>
      </c>
      <c r="AO219" s="31">
        <f t="shared" si="33"/>
        <v>15.648662291771833</v>
      </c>
      <c r="AP219" s="14" t="s">
        <v>276</v>
      </c>
      <c r="AQ219" s="14" t="s">
        <v>276</v>
      </c>
      <c r="AR219" s="8" t="s">
        <v>268</v>
      </c>
      <c r="AS219" s="14" t="s">
        <v>276</v>
      </c>
      <c r="AT219" s="14">
        <f t="shared" si="34"/>
        <v>0.64321314349724823</v>
      </c>
      <c r="AU219" s="14" t="s">
        <v>276</v>
      </c>
      <c r="AV219" s="14" t="s">
        <v>276</v>
      </c>
      <c r="AW219" s="8" t="s">
        <v>276</v>
      </c>
      <c r="AX219" s="8" t="s">
        <v>282</v>
      </c>
      <c r="AY219" s="8" t="s">
        <v>276</v>
      </c>
      <c r="AZ219" s="8" t="s">
        <v>276</v>
      </c>
      <c r="BA219" s="8" t="s">
        <v>276</v>
      </c>
      <c r="BB219" s="8" t="s">
        <v>276</v>
      </c>
      <c r="BC219" s="9" t="s">
        <v>2051</v>
      </c>
      <c r="BD219" s="9" t="s">
        <v>2044</v>
      </c>
      <c r="BE219" s="9" t="s">
        <v>100</v>
      </c>
      <c r="BF219" s="33" t="s">
        <v>98</v>
      </c>
    </row>
    <row r="220" spans="1:58" s="7" customFormat="1" ht="78" x14ac:dyDescent="0.3">
      <c r="A220" s="8">
        <v>9925</v>
      </c>
      <c r="B220" s="8" t="s">
        <v>2037</v>
      </c>
      <c r="C220" s="8" t="s">
        <v>78</v>
      </c>
      <c r="D220" s="9" t="s">
        <v>2060</v>
      </c>
      <c r="E220" s="8" t="s">
        <v>39</v>
      </c>
      <c r="F220" s="8" t="s">
        <v>143</v>
      </c>
      <c r="G220" s="8" t="s">
        <v>225</v>
      </c>
      <c r="H220" s="8" t="s">
        <v>125</v>
      </c>
      <c r="I220" s="8" t="s">
        <v>114</v>
      </c>
      <c r="J220" s="9" t="s">
        <v>24</v>
      </c>
      <c r="K220" s="9" t="s">
        <v>2039</v>
      </c>
      <c r="L220" s="9"/>
      <c r="M220" s="8" t="s">
        <v>14</v>
      </c>
      <c r="N220" s="11" t="s">
        <v>98</v>
      </c>
      <c r="O220" s="12" t="s">
        <v>207</v>
      </c>
      <c r="P220" s="41" t="s">
        <v>276</v>
      </c>
      <c r="Q220" s="9" t="s">
        <v>733</v>
      </c>
      <c r="R220" s="9" t="s">
        <v>276</v>
      </c>
      <c r="S220" s="9" t="s">
        <v>276</v>
      </c>
      <c r="T220" s="9">
        <v>1</v>
      </c>
      <c r="U220" s="13">
        <v>1987</v>
      </c>
      <c r="V220" s="38">
        <v>1981</v>
      </c>
      <c r="W220" s="13">
        <f>U220-1810-AE220</f>
        <v>155</v>
      </c>
      <c r="X220" s="13">
        <f>V220-1783-AF220</f>
        <v>166</v>
      </c>
      <c r="Y220" s="8">
        <v>0</v>
      </c>
      <c r="Z220" s="9" t="s">
        <v>98</v>
      </c>
      <c r="AA220" s="8">
        <v>0</v>
      </c>
      <c r="AB220" s="9" t="s">
        <v>98</v>
      </c>
      <c r="AC220" s="9" t="s">
        <v>2061</v>
      </c>
      <c r="AD220" s="9" t="s">
        <v>2046</v>
      </c>
      <c r="AE220" s="8">
        <f>2+5+5+6+2+2</f>
        <v>22</v>
      </c>
      <c r="AF220" s="8">
        <f>4+5+8+8+6+1</f>
        <v>32</v>
      </c>
      <c r="AG220" s="13">
        <v>1987</v>
      </c>
      <c r="AH220" s="13">
        <v>1981</v>
      </c>
      <c r="AI220" s="38" t="s">
        <v>2047</v>
      </c>
      <c r="AJ220" s="14" t="s">
        <v>276</v>
      </c>
      <c r="AK220" s="31">
        <f t="shared" si="32"/>
        <v>11.071967790639155</v>
      </c>
      <c r="AL220" s="14" t="s">
        <v>276</v>
      </c>
      <c r="AM220" s="14" t="s">
        <v>276</v>
      </c>
      <c r="AN220" s="14" t="s">
        <v>276</v>
      </c>
      <c r="AO220" s="31">
        <f t="shared" si="33"/>
        <v>16.153457849570923</v>
      </c>
      <c r="AP220" s="14" t="s">
        <v>276</v>
      </c>
      <c r="AQ220" s="14" t="s">
        <v>276</v>
      </c>
      <c r="AR220" s="8" t="s">
        <v>268</v>
      </c>
      <c r="AS220" s="14" t="s">
        <v>276</v>
      </c>
      <c r="AT220" s="14">
        <f t="shared" si="34"/>
        <v>0.68542400603925524</v>
      </c>
      <c r="AU220" s="14" t="s">
        <v>276</v>
      </c>
      <c r="AV220" s="14" t="s">
        <v>276</v>
      </c>
      <c r="AW220" s="8" t="s">
        <v>276</v>
      </c>
      <c r="AX220" s="8" t="s">
        <v>282</v>
      </c>
      <c r="AY220" s="8" t="s">
        <v>276</v>
      </c>
      <c r="AZ220" s="8" t="s">
        <v>276</v>
      </c>
      <c r="BA220" s="8" t="s">
        <v>276</v>
      </c>
      <c r="BB220" s="8" t="s">
        <v>276</v>
      </c>
      <c r="BC220" s="9" t="s">
        <v>2051</v>
      </c>
      <c r="BD220" s="9" t="s">
        <v>2044</v>
      </c>
      <c r="BE220" s="9" t="s">
        <v>100</v>
      </c>
      <c r="BF220" s="33" t="s">
        <v>98</v>
      </c>
    </row>
    <row r="221" spans="1:58" s="7" customFormat="1" ht="117" x14ac:dyDescent="0.3">
      <c r="A221" s="8">
        <v>9925</v>
      </c>
      <c r="B221" s="8" t="s">
        <v>2037</v>
      </c>
      <c r="C221" s="8" t="s">
        <v>78</v>
      </c>
      <c r="D221" s="9" t="s">
        <v>2062</v>
      </c>
      <c r="E221" s="8" t="s">
        <v>39</v>
      </c>
      <c r="F221" s="8" t="s">
        <v>143</v>
      </c>
      <c r="G221" s="8" t="s">
        <v>225</v>
      </c>
      <c r="H221" s="8" t="s">
        <v>125</v>
      </c>
      <c r="I221" s="8" t="s">
        <v>114</v>
      </c>
      <c r="J221" s="9" t="s">
        <v>24</v>
      </c>
      <c r="K221" s="9" t="s">
        <v>2039</v>
      </c>
      <c r="L221" s="9"/>
      <c r="M221" s="8" t="s">
        <v>14</v>
      </c>
      <c r="N221" s="11" t="s">
        <v>98</v>
      </c>
      <c r="O221" s="12" t="s">
        <v>207</v>
      </c>
      <c r="P221" s="41" t="s">
        <v>276</v>
      </c>
      <c r="Q221" s="9" t="s">
        <v>741</v>
      </c>
      <c r="R221" s="9" t="s">
        <v>276</v>
      </c>
      <c r="S221" s="9" t="s">
        <v>276</v>
      </c>
      <c r="T221" s="9">
        <v>1</v>
      </c>
      <c r="U221" s="13">
        <v>1987</v>
      </c>
      <c r="V221" s="38">
        <v>1981</v>
      </c>
      <c r="W221" s="13">
        <f>U221-1752-AE221</f>
        <v>205</v>
      </c>
      <c r="X221" s="13">
        <f>V221-1730-AF221</f>
        <v>211</v>
      </c>
      <c r="Y221" s="8">
        <v>0</v>
      </c>
      <c r="Z221" s="9" t="s">
        <v>98</v>
      </c>
      <c r="AA221" s="8">
        <v>0</v>
      </c>
      <c r="AB221" s="9" t="s">
        <v>98</v>
      </c>
      <c r="AC221" s="9" t="s">
        <v>2063</v>
      </c>
      <c r="AD221" s="9" t="s">
        <v>2046</v>
      </c>
      <c r="AE221" s="8">
        <f>2+5+5+6+2+2+8</f>
        <v>30</v>
      </c>
      <c r="AF221" s="8">
        <f>4+5+8+8+6+1+8</f>
        <v>40</v>
      </c>
      <c r="AG221" s="13">
        <v>1987</v>
      </c>
      <c r="AH221" s="13">
        <v>1981</v>
      </c>
      <c r="AI221" s="38" t="s">
        <v>2047</v>
      </c>
      <c r="AJ221" s="14" t="s">
        <v>276</v>
      </c>
      <c r="AK221" s="31">
        <f t="shared" si="32"/>
        <v>15.09813789632612</v>
      </c>
      <c r="AL221" s="14" t="s">
        <v>276</v>
      </c>
      <c r="AM221" s="14" t="s">
        <v>276</v>
      </c>
      <c r="AN221" s="14" t="s">
        <v>276</v>
      </c>
      <c r="AO221" s="31">
        <f t="shared" si="33"/>
        <v>20.191822311963655</v>
      </c>
      <c r="AP221" s="14" t="s">
        <v>276</v>
      </c>
      <c r="AQ221" s="14" t="s">
        <v>276</v>
      </c>
      <c r="AR221" s="8" t="s">
        <v>268</v>
      </c>
      <c r="AS221" s="14" t="s">
        <v>276</v>
      </c>
      <c r="AT221" s="14">
        <f t="shared" si="34"/>
        <v>0.74773527931555106</v>
      </c>
      <c r="AU221" s="14" t="s">
        <v>276</v>
      </c>
      <c r="AV221" s="14" t="s">
        <v>276</v>
      </c>
      <c r="AW221" s="8" t="s">
        <v>276</v>
      </c>
      <c r="AX221" s="8" t="s">
        <v>282</v>
      </c>
      <c r="AY221" s="8" t="s">
        <v>276</v>
      </c>
      <c r="AZ221" s="8" t="s">
        <v>276</v>
      </c>
      <c r="BA221" s="8" t="s">
        <v>276</v>
      </c>
      <c r="BB221" s="8" t="s">
        <v>276</v>
      </c>
      <c r="BC221" s="9" t="s">
        <v>2051</v>
      </c>
      <c r="BD221" s="9" t="s">
        <v>2064</v>
      </c>
      <c r="BE221" s="9" t="s">
        <v>100</v>
      </c>
      <c r="BF221" s="33" t="s">
        <v>98</v>
      </c>
    </row>
    <row r="222" spans="1:58" s="7" customFormat="1" ht="78" x14ac:dyDescent="0.3">
      <c r="A222" s="8">
        <v>9925</v>
      </c>
      <c r="B222" s="8" t="s">
        <v>2037</v>
      </c>
      <c r="C222" s="8" t="s">
        <v>78</v>
      </c>
      <c r="D222" s="9" t="s">
        <v>2065</v>
      </c>
      <c r="E222" s="8" t="s">
        <v>39</v>
      </c>
      <c r="F222" s="8" t="s">
        <v>143</v>
      </c>
      <c r="G222" s="8" t="s">
        <v>225</v>
      </c>
      <c r="H222" s="8" t="s">
        <v>125</v>
      </c>
      <c r="I222" s="8" t="s">
        <v>114</v>
      </c>
      <c r="J222" s="9" t="s">
        <v>23</v>
      </c>
      <c r="K222" s="9" t="s">
        <v>2039</v>
      </c>
      <c r="L222" s="9"/>
      <c r="M222" s="8" t="s">
        <v>14</v>
      </c>
      <c r="N222" s="11" t="s">
        <v>98</v>
      </c>
      <c r="O222" s="12" t="s">
        <v>207</v>
      </c>
      <c r="P222" s="41">
        <v>43890</v>
      </c>
      <c r="Q222" s="9" t="s">
        <v>276</v>
      </c>
      <c r="R222" s="9" t="s">
        <v>2040</v>
      </c>
      <c r="S222" s="9" t="s">
        <v>2040</v>
      </c>
      <c r="T222" s="9">
        <v>1</v>
      </c>
      <c r="U222" s="13">
        <v>1987</v>
      </c>
      <c r="V222" s="38">
        <v>1981</v>
      </c>
      <c r="W222" s="13" t="s">
        <v>276</v>
      </c>
      <c r="X222" s="13" t="s">
        <v>276</v>
      </c>
      <c r="Y222" s="8">
        <v>0</v>
      </c>
      <c r="Z222" s="9" t="s">
        <v>98</v>
      </c>
      <c r="AA222" s="8">
        <v>0</v>
      </c>
      <c r="AB222" s="9" t="s">
        <v>98</v>
      </c>
      <c r="AC222" s="9" t="s">
        <v>2066</v>
      </c>
      <c r="AD222" s="9" t="s">
        <v>2042</v>
      </c>
      <c r="AE222" s="8">
        <v>246</v>
      </c>
      <c r="AF222" s="8">
        <v>266</v>
      </c>
      <c r="AG222" s="71">
        <v>14071.4</v>
      </c>
      <c r="AH222" s="71">
        <v>13921.6</v>
      </c>
      <c r="AI222" s="13" t="s">
        <v>425</v>
      </c>
      <c r="AJ222" s="14" t="s">
        <v>276</v>
      </c>
      <c r="AK222" s="31">
        <f t="shared" si="32"/>
        <v>17.482268999530962</v>
      </c>
      <c r="AL222" s="14" t="s">
        <v>276</v>
      </c>
      <c r="AM222" s="14" t="s">
        <v>276</v>
      </c>
      <c r="AN222" s="14" t="s">
        <v>276</v>
      </c>
      <c r="AO222" s="31">
        <f t="shared" si="33"/>
        <v>19.106999195494769</v>
      </c>
      <c r="AP222" s="14" t="s">
        <v>276</v>
      </c>
      <c r="AQ222" s="14" t="s">
        <v>276</v>
      </c>
      <c r="AR222" s="8" t="s">
        <v>269</v>
      </c>
      <c r="AS222" s="14">
        <v>0.91</v>
      </c>
      <c r="AT222" s="14">
        <f t="shared" si="34"/>
        <v>0.91496675227018898</v>
      </c>
      <c r="AU222" s="14">
        <v>0.77</v>
      </c>
      <c r="AV222" s="14">
        <v>1.0900000000000001</v>
      </c>
      <c r="AW222" s="8">
        <v>0.315</v>
      </c>
      <c r="AX222" s="8" t="s">
        <v>282</v>
      </c>
      <c r="AY222" s="8" t="s">
        <v>276</v>
      </c>
      <c r="AZ222" s="8" t="s">
        <v>276</v>
      </c>
      <c r="BA222" s="8" t="s">
        <v>276</v>
      </c>
      <c r="BB222" s="8" t="s">
        <v>276</v>
      </c>
      <c r="BC222" s="9" t="s">
        <v>2067</v>
      </c>
      <c r="BD222" s="9" t="s">
        <v>2044</v>
      </c>
      <c r="BE222" s="9" t="s">
        <v>100</v>
      </c>
      <c r="BF222" s="33" t="s">
        <v>98</v>
      </c>
    </row>
    <row r="223" spans="1:58" s="7" customFormat="1" ht="78" x14ac:dyDescent="0.3">
      <c r="A223" s="8">
        <v>9925</v>
      </c>
      <c r="B223" s="8" t="s">
        <v>2037</v>
      </c>
      <c r="C223" s="8" t="s">
        <v>78</v>
      </c>
      <c r="D223" s="9" t="s">
        <v>2068</v>
      </c>
      <c r="E223" s="8" t="s">
        <v>39</v>
      </c>
      <c r="F223" s="8" t="s">
        <v>143</v>
      </c>
      <c r="G223" s="8" t="s">
        <v>225</v>
      </c>
      <c r="H223" s="8" t="s">
        <v>125</v>
      </c>
      <c r="I223" s="8" t="s">
        <v>114</v>
      </c>
      <c r="J223" s="9" t="s">
        <v>23</v>
      </c>
      <c r="K223" s="9" t="s">
        <v>2039</v>
      </c>
      <c r="L223" s="9"/>
      <c r="M223" s="8" t="s">
        <v>14</v>
      </c>
      <c r="N223" s="11" t="s">
        <v>98</v>
      </c>
      <c r="O223" s="12" t="s">
        <v>207</v>
      </c>
      <c r="P223" s="41">
        <v>43890</v>
      </c>
      <c r="Q223" s="9" t="s">
        <v>276</v>
      </c>
      <c r="R223" s="9" t="s">
        <v>2040</v>
      </c>
      <c r="S223" s="9" t="s">
        <v>2040</v>
      </c>
      <c r="T223" s="9">
        <v>1</v>
      </c>
      <c r="U223" s="13">
        <v>1987</v>
      </c>
      <c r="V223" s="38">
        <v>1981</v>
      </c>
      <c r="W223" s="13" t="s">
        <v>276</v>
      </c>
      <c r="X223" s="13" t="s">
        <v>276</v>
      </c>
      <c r="Y223" s="8">
        <v>0</v>
      </c>
      <c r="Z223" s="9" t="s">
        <v>98</v>
      </c>
      <c r="AA223" s="8">
        <v>0</v>
      </c>
      <c r="AB223" s="9" t="s">
        <v>98</v>
      </c>
      <c r="AC223" s="9" t="s">
        <v>2066</v>
      </c>
      <c r="AD223" s="9" t="s">
        <v>2046</v>
      </c>
      <c r="AE223" s="8">
        <v>246</v>
      </c>
      <c r="AF223" s="8">
        <v>266</v>
      </c>
      <c r="AG223" s="13">
        <v>1987</v>
      </c>
      <c r="AH223" s="13">
        <v>1981</v>
      </c>
      <c r="AI223" s="38" t="s">
        <v>2047</v>
      </c>
      <c r="AJ223" s="14" t="s">
        <v>276</v>
      </c>
      <c r="AK223" s="31">
        <f t="shared" si="32"/>
        <v>123.80473074987418</v>
      </c>
      <c r="AL223" s="14" t="s">
        <v>276</v>
      </c>
      <c r="AM223" s="14" t="s">
        <v>276</v>
      </c>
      <c r="AN223" s="14" t="s">
        <v>276</v>
      </c>
      <c r="AO223" s="31">
        <f t="shared" si="33"/>
        <v>134.27561837455829</v>
      </c>
      <c r="AP223" s="14" t="s">
        <v>276</v>
      </c>
      <c r="AQ223" s="14" t="s">
        <v>276</v>
      </c>
      <c r="AR223" s="8" t="s">
        <v>268</v>
      </c>
      <c r="AS223" s="14" t="s">
        <v>276</v>
      </c>
      <c r="AT223" s="14">
        <f t="shared" si="34"/>
        <v>0.92201944216353671</v>
      </c>
      <c r="AU223" s="14" t="s">
        <v>276</v>
      </c>
      <c r="AV223" s="14" t="s">
        <v>276</v>
      </c>
      <c r="AW223" s="8" t="s">
        <v>276</v>
      </c>
      <c r="AX223" s="8" t="s">
        <v>282</v>
      </c>
      <c r="AY223" s="8" t="s">
        <v>276</v>
      </c>
      <c r="AZ223" s="8" t="s">
        <v>276</v>
      </c>
      <c r="BA223" s="8" t="s">
        <v>276</v>
      </c>
      <c r="BB223" s="8" t="s">
        <v>276</v>
      </c>
      <c r="BC223" s="9" t="s">
        <v>2067</v>
      </c>
      <c r="BD223" s="9" t="s">
        <v>2044</v>
      </c>
      <c r="BE223" s="9" t="s">
        <v>100</v>
      </c>
      <c r="BF223" s="33" t="s">
        <v>98</v>
      </c>
    </row>
    <row r="224" spans="1:58" s="7" customFormat="1" ht="78" x14ac:dyDescent="0.3">
      <c r="A224" s="8">
        <v>2627</v>
      </c>
      <c r="B224" s="8" t="s">
        <v>2134</v>
      </c>
      <c r="C224" s="8" t="s">
        <v>68</v>
      </c>
      <c r="D224" s="9" t="s">
        <v>2135</v>
      </c>
      <c r="E224" s="8" t="s">
        <v>38</v>
      </c>
      <c r="F224" s="9" t="s">
        <v>2136</v>
      </c>
      <c r="G224" s="8" t="s">
        <v>2137</v>
      </c>
      <c r="H224" s="8" t="s">
        <v>225</v>
      </c>
      <c r="I224" s="8" t="s">
        <v>98</v>
      </c>
      <c r="J224" s="9" t="s">
        <v>24</v>
      </c>
      <c r="K224" s="9" t="s">
        <v>2138</v>
      </c>
      <c r="L224" s="9" t="s">
        <v>2139</v>
      </c>
      <c r="M224" s="8" t="s">
        <v>14</v>
      </c>
      <c r="N224" s="11" t="s">
        <v>98</v>
      </c>
      <c r="O224" s="12" t="s">
        <v>208</v>
      </c>
      <c r="P224" s="41">
        <v>35064</v>
      </c>
      <c r="Q224" s="9" t="s">
        <v>276</v>
      </c>
      <c r="R224" s="9" t="s">
        <v>2140</v>
      </c>
      <c r="S224" s="9" t="s">
        <v>2141</v>
      </c>
      <c r="T224" s="9" t="s">
        <v>2142</v>
      </c>
      <c r="U224" s="13">
        <v>3712</v>
      </c>
      <c r="V224" s="38">
        <v>1869</v>
      </c>
      <c r="W224" s="8" t="s">
        <v>276</v>
      </c>
      <c r="X224" s="8" t="s">
        <v>276</v>
      </c>
      <c r="Y224" s="8" t="s">
        <v>276</v>
      </c>
      <c r="Z224" s="8" t="s">
        <v>276</v>
      </c>
      <c r="AA224" s="8" t="s">
        <v>276</v>
      </c>
      <c r="AB224" s="8" t="s">
        <v>276</v>
      </c>
      <c r="AC224" s="9" t="s">
        <v>2143</v>
      </c>
      <c r="AD224" s="9" t="s">
        <v>2144</v>
      </c>
      <c r="AE224" s="8">
        <v>218</v>
      </c>
      <c r="AF224" s="8">
        <v>109</v>
      </c>
      <c r="AG224" s="71">
        <v>19155.400000000001</v>
      </c>
      <c r="AH224" s="71">
        <v>9785.5</v>
      </c>
      <c r="AI224" s="38" t="s">
        <v>1019</v>
      </c>
      <c r="AJ224" s="43">
        <v>1138.0999999999999</v>
      </c>
      <c r="AK224" s="31">
        <f>AE224*100000/AG224</f>
        <v>1138.060285872391</v>
      </c>
      <c r="AL224" s="14" t="s">
        <v>276</v>
      </c>
      <c r="AM224" s="14" t="s">
        <v>276</v>
      </c>
      <c r="AN224" s="43">
        <v>1113.9000000000001</v>
      </c>
      <c r="AO224" s="31">
        <f>AF224*100000/AH224</f>
        <v>1113.893004956313</v>
      </c>
      <c r="AP224" s="14" t="s">
        <v>276</v>
      </c>
      <c r="AQ224" s="14" t="s">
        <v>276</v>
      </c>
      <c r="AR224" s="8" t="s">
        <v>269</v>
      </c>
      <c r="AS224" s="14" t="s">
        <v>276</v>
      </c>
      <c r="AT224" s="14">
        <f t="shared" ref="AT224:AT229" si="35">AK224/AO224</f>
        <v>1.0216962318719525</v>
      </c>
      <c r="AU224" s="14" t="s">
        <v>276</v>
      </c>
      <c r="AV224" s="14" t="s">
        <v>276</v>
      </c>
      <c r="AW224" s="8">
        <v>0.86</v>
      </c>
      <c r="AX224" s="8" t="s">
        <v>282</v>
      </c>
      <c r="AY224" s="8" t="s">
        <v>276</v>
      </c>
      <c r="AZ224" s="8" t="s">
        <v>276</v>
      </c>
      <c r="BA224" s="8" t="s">
        <v>276</v>
      </c>
      <c r="BB224" s="8" t="s">
        <v>276</v>
      </c>
      <c r="BC224" s="9" t="s">
        <v>2145</v>
      </c>
      <c r="BD224" s="9" t="s">
        <v>99</v>
      </c>
      <c r="BE224" s="9" t="s">
        <v>99</v>
      </c>
      <c r="BF224" s="33" t="s">
        <v>11162</v>
      </c>
    </row>
    <row r="225" spans="1:58" s="7" customFormat="1" ht="78" x14ac:dyDescent="0.3">
      <c r="A225" s="8">
        <v>2627</v>
      </c>
      <c r="B225" s="8" t="s">
        <v>2134</v>
      </c>
      <c r="C225" s="8" t="s">
        <v>68</v>
      </c>
      <c r="D225" s="9" t="s">
        <v>2146</v>
      </c>
      <c r="E225" s="8" t="s">
        <v>38</v>
      </c>
      <c r="F225" s="9" t="s">
        <v>2136</v>
      </c>
      <c r="G225" s="8" t="s">
        <v>2137</v>
      </c>
      <c r="H225" s="8" t="s">
        <v>225</v>
      </c>
      <c r="I225" s="8" t="s">
        <v>98</v>
      </c>
      <c r="J225" s="9" t="s">
        <v>24</v>
      </c>
      <c r="K225" s="9" t="s">
        <v>2138</v>
      </c>
      <c r="L225" s="9" t="s">
        <v>2139</v>
      </c>
      <c r="M225" s="8" t="s">
        <v>14</v>
      </c>
      <c r="N225" s="11" t="s">
        <v>98</v>
      </c>
      <c r="O225" s="12" t="s">
        <v>208</v>
      </c>
      <c r="P225" s="41">
        <v>35064</v>
      </c>
      <c r="Q225" s="9" t="s">
        <v>276</v>
      </c>
      <c r="R225" s="9" t="s">
        <v>2140</v>
      </c>
      <c r="S225" s="9" t="s">
        <v>2141</v>
      </c>
      <c r="T225" s="9" t="s">
        <v>2142</v>
      </c>
      <c r="U225" s="13">
        <v>3712</v>
      </c>
      <c r="V225" s="38">
        <v>1869</v>
      </c>
      <c r="W225" s="8" t="s">
        <v>276</v>
      </c>
      <c r="X225" s="8" t="s">
        <v>276</v>
      </c>
      <c r="Y225" s="8" t="s">
        <v>276</v>
      </c>
      <c r="Z225" s="8" t="s">
        <v>276</v>
      </c>
      <c r="AA225" s="8" t="s">
        <v>276</v>
      </c>
      <c r="AB225" s="8" t="s">
        <v>276</v>
      </c>
      <c r="AC225" s="9" t="s">
        <v>2143</v>
      </c>
      <c r="AD225" s="9" t="s">
        <v>689</v>
      </c>
      <c r="AE225" s="8">
        <v>218</v>
      </c>
      <c r="AF225" s="8">
        <v>109</v>
      </c>
      <c r="AG225" s="13">
        <v>3712</v>
      </c>
      <c r="AH225" s="38">
        <v>1869</v>
      </c>
      <c r="AI225" s="38" t="s">
        <v>690</v>
      </c>
      <c r="AJ225" s="14" t="s">
        <v>276</v>
      </c>
      <c r="AK225" s="31">
        <f>AE225*1000/AG225</f>
        <v>58.728448275862071</v>
      </c>
      <c r="AL225" s="14" t="s">
        <v>276</v>
      </c>
      <c r="AM225" s="14" t="s">
        <v>276</v>
      </c>
      <c r="AN225" s="14" t="s">
        <v>276</v>
      </c>
      <c r="AO225" s="31">
        <f>AF225*1000/AH225</f>
        <v>58.319957196361692</v>
      </c>
      <c r="AP225" s="14" t="s">
        <v>276</v>
      </c>
      <c r="AQ225" s="14" t="s">
        <v>276</v>
      </c>
      <c r="AR225" s="8" t="s">
        <v>268</v>
      </c>
      <c r="AS225" s="14" t="s">
        <v>276</v>
      </c>
      <c r="AT225" s="14">
        <f t="shared" si="35"/>
        <v>1.0070043103448276</v>
      </c>
      <c r="AU225" s="14" t="s">
        <v>276</v>
      </c>
      <c r="AV225" s="14" t="s">
        <v>276</v>
      </c>
      <c r="AW225" s="8" t="s">
        <v>276</v>
      </c>
      <c r="AX225" s="8" t="s">
        <v>282</v>
      </c>
      <c r="AY225" s="8" t="s">
        <v>276</v>
      </c>
      <c r="AZ225" s="8" t="s">
        <v>276</v>
      </c>
      <c r="BA225" s="8" t="s">
        <v>276</v>
      </c>
      <c r="BB225" s="8" t="s">
        <v>276</v>
      </c>
      <c r="BC225" s="9" t="s">
        <v>1358</v>
      </c>
      <c r="BD225" s="9"/>
      <c r="BE225" s="9" t="s">
        <v>99</v>
      </c>
      <c r="BF225" s="33" t="s">
        <v>11162</v>
      </c>
    </row>
    <row r="226" spans="1:58" s="7" customFormat="1" ht="78" x14ac:dyDescent="0.3">
      <c r="A226" s="8">
        <v>2627</v>
      </c>
      <c r="B226" s="8" t="s">
        <v>2134</v>
      </c>
      <c r="C226" s="8" t="s">
        <v>68</v>
      </c>
      <c r="D226" s="9" t="s">
        <v>2147</v>
      </c>
      <c r="E226" s="8" t="s">
        <v>38</v>
      </c>
      <c r="F226" s="9" t="s">
        <v>2136</v>
      </c>
      <c r="G226" s="8" t="s">
        <v>2137</v>
      </c>
      <c r="H226" s="8" t="s">
        <v>225</v>
      </c>
      <c r="I226" s="8" t="s">
        <v>98</v>
      </c>
      <c r="J226" s="9" t="s">
        <v>23</v>
      </c>
      <c r="K226" s="9" t="s">
        <v>2138</v>
      </c>
      <c r="L226" s="9" t="s">
        <v>2139</v>
      </c>
      <c r="M226" s="8" t="s">
        <v>14</v>
      </c>
      <c r="N226" s="11" t="s">
        <v>98</v>
      </c>
      <c r="O226" s="12" t="s">
        <v>208</v>
      </c>
      <c r="P226" s="41">
        <v>35064</v>
      </c>
      <c r="Q226" s="9" t="s">
        <v>276</v>
      </c>
      <c r="R226" s="9" t="s">
        <v>2140</v>
      </c>
      <c r="S226" s="9" t="s">
        <v>2141</v>
      </c>
      <c r="T226" s="9" t="s">
        <v>2142</v>
      </c>
      <c r="U226" s="13">
        <v>3712</v>
      </c>
      <c r="V226" s="38">
        <v>1869</v>
      </c>
      <c r="W226" s="8" t="s">
        <v>276</v>
      </c>
      <c r="X226" s="8" t="s">
        <v>276</v>
      </c>
      <c r="Y226" s="8" t="s">
        <v>276</v>
      </c>
      <c r="Z226" s="8" t="s">
        <v>276</v>
      </c>
      <c r="AA226" s="8" t="s">
        <v>276</v>
      </c>
      <c r="AB226" s="8" t="s">
        <v>276</v>
      </c>
      <c r="AC226" s="9" t="s">
        <v>2148</v>
      </c>
      <c r="AD226" s="9" t="s">
        <v>2144</v>
      </c>
      <c r="AE226" s="8">
        <v>353</v>
      </c>
      <c r="AF226" s="8">
        <v>175</v>
      </c>
      <c r="AG226" s="71">
        <v>19155.400000000001</v>
      </c>
      <c r="AH226" s="71">
        <v>9785.5</v>
      </c>
      <c r="AI226" s="38" t="s">
        <v>1019</v>
      </c>
      <c r="AJ226" s="43">
        <v>1842.8</v>
      </c>
      <c r="AK226" s="31">
        <f>AE226*100000/AG226</f>
        <v>1842.8223895089634</v>
      </c>
      <c r="AL226" s="14" t="s">
        <v>276</v>
      </c>
      <c r="AM226" s="14" t="s">
        <v>276</v>
      </c>
      <c r="AN226" s="43">
        <v>1788.4</v>
      </c>
      <c r="AO226" s="31">
        <f>AF226*100000/AH226</f>
        <v>1788.3603290583005</v>
      </c>
      <c r="AP226" s="14" t="s">
        <v>276</v>
      </c>
      <c r="AQ226" s="14" t="s">
        <v>276</v>
      </c>
      <c r="AR226" s="8" t="s">
        <v>269</v>
      </c>
      <c r="AS226" s="14" t="s">
        <v>276</v>
      </c>
      <c r="AT226" s="14">
        <f t="shared" si="35"/>
        <v>1.0304536281451406</v>
      </c>
      <c r="AU226" s="14" t="s">
        <v>276</v>
      </c>
      <c r="AV226" s="14" t="s">
        <v>276</v>
      </c>
      <c r="AW226" s="8" t="s">
        <v>276</v>
      </c>
      <c r="AX226" s="8" t="s">
        <v>282</v>
      </c>
      <c r="AY226" s="8" t="s">
        <v>276</v>
      </c>
      <c r="AZ226" s="8" t="s">
        <v>276</v>
      </c>
      <c r="BA226" s="8" t="s">
        <v>276</v>
      </c>
      <c r="BB226" s="8" t="s">
        <v>276</v>
      </c>
      <c r="BC226" s="9" t="s">
        <v>1358</v>
      </c>
      <c r="BD226" s="9"/>
      <c r="BE226" s="9" t="s">
        <v>100</v>
      </c>
      <c r="BF226" s="33" t="s">
        <v>98</v>
      </c>
    </row>
    <row r="227" spans="1:58" s="7" customFormat="1" ht="78" x14ac:dyDescent="0.3">
      <c r="A227" s="8">
        <v>2627</v>
      </c>
      <c r="B227" s="8" t="s">
        <v>2134</v>
      </c>
      <c r="C227" s="8" t="s">
        <v>68</v>
      </c>
      <c r="D227" s="9" t="s">
        <v>2149</v>
      </c>
      <c r="E227" s="8" t="s">
        <v>38</v>
      </c>
      <c r="F227" s="9" t="s">
        <v>2136</v>
      </c>
      <c r="G227" s="8" t="s">
        <v>2137</v>
      </c>
      <c r="H227" s="8" t="s">
        <v>225</v>
      </c>
      <c r="I227" s="8" t="s">
        <v>98</v>
      </c>
      <c r="J227" s="9" t="s">
        <v>23</v>
      </c>
      <c r="K227" s="9" t="s">
        <v>2138</v>
      </c>
      <c r="L227" s="9" t="s">
        <v>2139</v>
      </c>
      <c r="M227" s="8" t="s">
        <v>14</v>
      </c>
      <c r="N227" s="11" t="s">
        <v>98</v>
      </c>
      <c r="O227" s="12" t="s">
        <v>208</v>
      </c>
      <c r="P227" s="41">
        <v>35064</v>
      </c>
      <c r="Q227" s="9" t="s">
        <v>276</v>
      </c>
      <c r="R227" s="9" t="s">
        <v>2140</v>
      </c>
      <c r="S227" s="9" t="s">
        <v>2141</v>
      </c>
      <c r="T227" s="9" t="s">
        <v>2142</v>
      </c>
      <c r="U227" s="13">
        <v>3712</v>
      </c>
      <c r="V227" s="38">
        <v>1869</v>
      </c>
      <c r="W227" s="8" t="s">
        <v>276</v>
      </c>
      <c r="X227" s="8" t="s">
        <v>276</v>
      </c>
      <c r="Y227" s="8" t="s">
        <v>276</v>
      </c>
      <c r="Z227" s="8" t="s">
        <v>276</v>
      </c>
      <c r="AA227" s="8" t="s">
        <v>276</v>
      </c>
      <c r="AB227" s="8" t="s">
        <v>276</v>
      </c>
      <c r="AC227" s="9" t="s">
        <v>2148</v>
      </c>
      <c r="AD227" s="9" t="s">
        <v>689</v>
      </c>
      <c r="AE227" s="8">
        <v>353</v>
      </c>
      <c r="AF227" s="8">
        <v>175</v>
      </c>
      <c r="AG227" s="13">
        <v>3712</v>
      </c>
      <c r="AH227" s="38">
        <v>1869</v>
      </c>
      <c r="AI227" s="38" t="s">
        <v>690</v>
      </c>
      <c r="AJ227" s="14" t="s">
        <v>276</v>
      </c>
      <c r="AK227" s="31">
        <f>AE227*1000/AG227</f>
        <v>95.096982758620683</v>
      </c>
      <c r="AL227" s="14" t="s">
        <v>276</v>
      </c>
      <c r="AM227" s="14" t="s">
        <v>276</v>
      </c>
      <c r="AN227" s="14" t="s">
        <v>276</v>
      </c>
      <c r="AO227" s="31">
        <f>AF227*1000/AH227</f>
        <v>93.632958801498134</v>
      </c>
      <c r="AP227" s="14" t="s">
        <v>276</v>
      </c>
      <c r="AQ227" s="14" t="s">
        <v>276</v>
      </c>
      <c r="AR227" s="8" t="s">
        <v>268</v>
      </c>
      <c r="AS227" s="14" t="s">
        <v>276</v>
      </c>
      <c r="AT227" s="14">
        <f t="shared" si="35"/>
        <v>1.0156357758620689</v>
      </c>
      <c r="AU227" s="14" t="s">
        <v>276</v>
      </c>
      <c r="AV227" s="14" t="s">
        <v>276</v>
      </c>
      <c r="AW227" s="8" t="s">
        <v>276</v>
      </c>
      <c r="AX227" s="8" t="s">
        <v>282</v>
      </c>
      <c r="AY227" s="8" t="s">
        <v>276</v>
      </c>
      <c r="AZ227" s="8" t="s">
        <v>276</v>
      </c>
      <c r="BA227" s="8" t="s">
        <v>276</v>
      </c>
      <c r="BB227" s="8" t="s">
        <v>276</v>
      </c>
      <c r="BC227" s="9" t="s">
        <v>1358</v>
      </c>
      <c r="BD227" s="9"/>
      <c r="BE227" s="9" t="s">
        <v>100</v>
      </c>
      <c r="BF227" s="33" t="s">
        <v>98</v>
      </c>
    </row>
    <row r="228" spans="1:58" s="7" customFormat="1" ht="39" x14ac:dyDescent="0.3">
      <c r="A228" s="8">
        <v>11139</v>
      </c>
      <c r="B228" s="9" t="s">
        <v>2174</v>
      </c>
      <c r="C228" s="8" t="s">
        <v>2175</v>
      </c>
      <c r="D228" s="9" t="s">
        <v>2176</v>
      </c>
      <c r="E228" s="8" t="s">
        <v>36</v>
      </c>
      <c r="F228" s="8" t="s">
        <v>135</v>
      </c>
      <c r="G228" s="8" t="s">
        <v>225</v>
      </c>
      <c r="H228" s="8" t="s">
        <v>125</v>
      </c>
      <c r="I228" s="8" t="s">
        <v>114</v>
      </c>
      <c r="J228" s="9" t="s">
        <v>24</v>
      </c>
      <c r="K228" s="9" t="s">
        <v>2177</v>
      </c>
      <c r="L228" s="9" t="s">
        <v>2178</v>
      </c>
      <c r="M228" s="9" t="s">
        <v>261</v>
      </c>
      <c r="N228" s="9" t="s">
        <v>2179</v>
      </c>
      <c r="O228" s="9" t="s">
        <v>207</v>
      </c>
      <c r="P228" s="41" t="s">
        <v>276</v>
      </c>
      <c r="Q228" s="9" t="s">
        <v>2180</v>
      </c>
      <c r="R228" s="9" t="s">
        <v>2181</v>
      </c>
      <c r="S228" s="9" t="s">
        <v>2181</v>
      </c>
      <c r="T228" s="9">
        <v>1</v>
      </c>
      <c r="U228" s="13">
        <v>28220</v>
      </c>
      <c r="V228" s="38">
        <v>56365</v>
      </c>
      <c r="W228" s="8" t="s">
        <v>276</v>
      </c>
      <c r="X228" s="8" t="s">
        <v>276</v>
      </c>
      <c r="Y228" s="8" t="s">
        <v>2182</v>
      </c>
      <c r="Z228" s="9" t="s">
        <v>1562</v>
      </c>
      <c r="AA228" s="8" t="s">
        <v>2183</v>
      </c>
      <c r="AB228" s="9" t="s">
        <v>1562</v>
      </c>
      <c r="AC228" s="9" t="s">
        <v>2184</v>
      </c>
      <c r="AD228" s="9" t="s">
        <v>2046</v>
      </c>
      <c r="AE228" s="8">
        <v>72</v>
      </c>
      <c r="AF228" s="8">
        <v>157</v>
      </c>
      <c r="AG228" s="13">
        <v>28220</v>
      </c>
      <c r="AH228" s="38">
        <v>56365</v>
      </c>
      <c r="AI228" s="13" t="s">
        <v>292</v>
      </c>
      <c r="AJ228" s="14" t="s">
        <v>276</v>
      </c>
      <c r="AK228" s="31">
        <f>AE228*100/AG228</f>
        <v>0.25513819985825653</v>
      </c>
      <c r="AL228" s="14" t="s">
        <v>276</v>
      </c>
      <c r="AM228" s="14" t="s">
        <v>276</v>
      </c>
      <c r="AN228" s="14" t="s">
        <v>276</v>
      </c>
      <c r="AO228" s="31">
        <f>AF228*100/AH228</f>
        <v>0.27854164818593097</v>
      </c>
      <c r="AP228" s="14" t="s">
        <v>276</v>
      </c>
      <c r="AQ228" s="14" t="s">
        <v>276</v>
      </c>
      <c r="AR228" s="8" t="s">
        <v>268</v>
      </c>
      <c r="AS228" s="14" t="s">
        <v>276</v>
      </c>
      <c r="AT228" s="31">
        <f t="shared" si="35"/>
        <v>0.91597863917265165</v>
      </c>
      <c r="AU228" s="14" t="s">
        <v>276</v>
      </c>
      <c r="AV228" s="14" t="s">
        <v>276</v>
      </c>
      <c r="AW228" s="8" t="s">
        <v>276</v>
      </c>
      <c r="AX228" s="8" t="s">
        <v>282</v>
      </c>
      <c r="AY228" s="14" t="s">
        <v>98</v>
      </c>
      <c r="AZ228" s="8" t="s">
        <v>98</v>
      </c>
      <c r="BA228" s="8" t="s">
        <v>98</v>
      </c>
      <c r="BB228" s="8" t="s">
        <v>98</v>
      </c>
      <c r="BC228" s="9" t="s">
        <v>2185</v>
      </c>
      <c r="BD228" s="9" t="s">
        <v>276</v>
      </c>
      <c r="BE228" s="9" t="s">
        <v>99</v>
      </c>
      <c r="BF228" s="33" t="s">
        <v>11162</v>
      </c>
    </row>
    <row r="229" spans="1:58" s="7" customFormat="1" ht="39" x14ac:dyDescent="0.3">
      <c r="A229" s="8">
        <v>11139</v>
      </c>
      <c r="B229" s="9" t="s">
        <v>2174</v>
      </c>
      <c r="C229" s="8" t="s">
        <v>2175</v>
      </c>
      <c r="D229" s="9" t="s">
        <v>2186</v>
      </c>
      <c r="E229" s="8" t="s">
        <v>36</v>
      </c>
      <c r="F229" s="8" t="s">
        <v>135</v>
      </c>
      <c r="G229" s="8" t="s">
        <v>225</v>
      </c>
      <c r="H229" s="8" t="s">
        <v>125</v>
      </c>
      <c r="I229" s="8" t="s">
        <v>114</v>
      </c>
      <c r="J229" s="9" t="s">
        <v>23</v>
      </c>
      <c r="K229" s="9" t="s">
        <v>2177</v>
      </c>
      <c r="L229" s="9" t="s">
        <v>2178</v>
      </c>
      <c r="M229" s="9" t="s">
        <v>261</v>
      </c>
      <c r="N229" s="9" t="s">
        <v>2179</v>
      </c>
      <c r="O229" s="9" t="s">
        <v>207</v>
      </c>
      <c r="P229" s="41" t="s">
        <v>276</v>
      </c>
      <c r="Q229" s="9" t="s">
        <v>2180</v>
      </c>
      <c r="R229" s="9" t="s">
        <v>2181</v>
      </c>
      <c r="S229" s="9" t="s">
        <v>2181</v>
      </c>
      <c r="T229" s="9">
        <v>1</v>
      </c>
      <c r="U229" s="13">
        <v>28220</v>
      </c>
      <c r="V229" s="38">
        <v>56365</v>
      </c>
      <c r="W229" s="8" t="s">
        <v>276</v>
      </c>
      <c r="X229" s="8" t="s">
        <v>276</v>
      </c>
      <c r="Y229" s="8">
        <v>0</v>
      </c>
      <c r="Z229" s="8" t="s">
        <v>98</v>
      </c>
      <c r="AA229" s="8">
        <v>0</v>
      </c>
      <c r="AB229" s="8" t="s">
        <v>98</v>
      </c>
      <c r="AC229" s="9" t="s">
        <v>2187</v>
      </c>
      <c r="AD229" s="9" t="s">
        <v>2046</v>
      </c>
      <c r="AE229" s="8">
        <v>3036</v>
      </c>
      <c r="AF229" s="8">
        <v>6079</v>
      </c>
      <c r="AG229" s="13">
        <v>28220</v>
      </c>
      <c r="AH229" s="38">
        <v>56365</v>
      </c>
      <c r="AI229" s="13" t="s">
        <v>292</v>
      </c>
      <c r="AJ229" s="14" t="s">
        <v>276</v>
      </c>
      <c r="AK229" s="31">
        <f>AE229*100/AG229</f>
        <v>10.758327427356484</v>
      </c>
      <c r="AL229" s="14" t="s">
        <v>276</v>
      </c>
      <c r="AM229" s="14" t="s">
        <v>276</v>
      </c>
      <c r="AN229" s="14" t="s">
        <v>276</v>
      </c>
      <c r="AO229" s="31">
        <f>AF229*100/AH229</f>
        <v>10.785061651734232</v>
      </c>
      <c r="AP229" s="14" t="s">
        <v>276</v>
      </c>
      <c r="AQ229" s="14" t="s">
        <v>276</v>
      </c>
      <c r="AR229" s="8" t="s">
        <v>268</v>
      </c>
      <c r="AS229" s="8" t="s">
        <v>276</v>
      </c>
      <c r="AT229" s="31">
        <f t="shared" si="35"/>
        <v>0.99752118019896074</v>
      </c>
      <c r="AU229" s="14" t="s">
        <v>276</v>
      </c>
      <c r="AV229" s="14" t="s">
        <v>276</v>
      </c>
      <c r="AW229" s="8" t="s">
        <v>276</v>
      </c>
      <c r="AX229" s="8" t="s">
        <v>282</v>
      </c>
      <c r="AY229" s="8" t="s">
        <v>98</v>
      </c>
      <c r="AZ229" s="8" t="s">
        <v>98</v>
      </c>
      <c r="BA229" s="8" t="s">
        <v>98</v>
      </c>
      <c r="BB229" s="8" t="s">
        <v>98</v>
      </c>
      <c r="BC229" s="9" t="s">
        <v>2185</v>
      </c>
      <c r="BD229" s="9" t="s">
        <v>276</v>
      </c>
      <c r="BE229" s="9" t="s">
        <v>100</v>
      </c>
      <c r="BF229" s="33" t="s">
        <v>98</v>
      </c>
    </row>
    <row r="230" spans="1:58" s="7" customFormat="1" ht="65" x14ac:dyDescent="0.3">
      <c r="A230" s="8">
        <v>11139</v>
      </c>
      <c r="B230" s="9" t="s">
        <v>2174</v>
      </c>
      <c r="C230" s="8" t="s">
        <v>2175</v>
      </c>
      <c r="D230" s="9" t="s">
        <v>2188</v>
      </c>
      <c r="E230" s="8" t="s">
        <v>36</v>
      </c>
      <c r="F230" s="8" t="s">
        <v>135</v>
      </c>
      <c r="G230" s="8" t="s">
        <v>225</v>
      </c>
      <c r="H230" s="8" t="s">
        <v>125</v>
      </c>
      <c r="I230" s="8" t="s">
        <v>114</v>
      </c>
      <c r="J230" s="9" t="s">
        <v>24</v>
      </c>
      <c r="K230" s="9" t="s">
        <v>2177</v>
      </c>
      <c r="L230" s="9" t="s">
        <v>2178</v>
      </c>
      <c r="M230" s="9" t="s">
        <v>261</v>
      </c>
      <c r="N230" s="9" t="s">
        <v>2179</v>
      </c>
      <c r="O230" s="9" t="s">
        <v>207</v>
      </c>
      <c r="P230" s="41" t="s">
        <v>276</v>
      </c>
      <c r="Q230" s="9" t="s">
        <v>2180</v>
      </c>
      <c r="R230" s="9" t="s">
        <v>2181</v>
      </c>
      <c r="S230" s="9" t="s">
        <v>2181</v>
      </c>
      <c r="T230" s="9">
        <v>1</v>
      </c>
      <c r="U230" s="13">
        <v>28220</v>
      </c>
      <c r="V230" s="38">
        <v>56365</v>
      </c>
      <c r="W230" s="8" t="s">
        <v>276</v>
      </c>
      <c r="X230" s="8" t="s">
        <v>276</v>
      </c>
      <c r="Y230" s="8" t="s">
        <v>2182</v>
      </c>
      <c r="Z230" s="9" t="s">
        <v>1562</v>
      </c>
      <c r="AA230" s="8" t="s">
        <v>2182</v>
      </c>
      <c r="AB230" s="9" t="s">
        <v>1562</v>
      </c>
      <c r="AC230" s="9" t="s">
        <v>2184</v>
      </c>
      <c r="AD230" s="9" t="s">
        <v>2046</v>
      </c>
      <c r="AE230" s="8">
        <v>72</v>
      </c>
      <c r="AF230" s="8">
        <v>157</v>
      </c>
      <c r="AG230" s="13">
        <v>28220</v>
      </c>
      <c r="AH230" s="38">
        <v>56365</v>
      </c>
      <c r="AI230" s="13" t="s">
        <v>292</v>
      </c>
      <c r="AJ230" s="14">
        <v>0.28000000000000003</v>
      </c>
      <c r="AK230" s="31" t="s">
        <v>98</v>
      </c>
      <c r="AL230" s="14">
        <v>0.21</v>
      </c>
      <c r="AM230" s="14">
        <v>0.34</v>
      </c>
      <c r="AN230" s="14">
        <v>0.31</v>
      </c>
      <c r="AO230" s="31" t="s">
        <v>98</v>
      </c>
      <c r="AP230" s="14">
        <v>0.26</v>
      </c>
      <c r="AQ230" s="14">
        <v>0.35</v>
      </c>
      <c r="AR230" s="8" t="s">
        <v>268</v>
      </c>
      <c r="AS230" s="14">
        <v>0.9</v>
      </c>
      <c r="AT230" s="31" t="s">
        <v>98</v>
      </c>
      <c r="AU230" s="8">
        <v>0.64</v>
      </c>
      <c r="AV230" s="8">
        <v>1.1599999999999999</v>
      </c>
      <c r="AW230" s="8" t="s">
        <v>276</v>
      </c>
      <c r="AX230" s="8" t="s">
        <v>282</v>
      </c>
      <c r="AY230" s="8" t="s">
        <v>98</v>
      </c>
      <c r="AZ230" s="8" t="s">
        <v>98</v>
      </c>
      <c r="BA230" s="8" t="s">
        <v>98</v>
      </c>
      <c r="BB230" s="8" t="s">
        <v>98</v>
      </c>
      <c r="BC230" s="9" t="s">
        <v>2189</v>
      </c>
      <c r="BD230" s="9" t="s">
        <v>2190</v>
      </c>
      <c r="BE230" s="9" t="s">
        <v>99</v>
      </c>
      <c r="BF230" s="33" t="s">
        <v>11162</v>
      </c>
    </row>
    <row r="231" spans="1:58" s="7" customFormat="1" ht="52" x14ac:dyDescent="0.3">
      <c r="A231" s="8">
        <v>11139</v>
      </c>
      <c r="B231" s="9" t="s">
        <v>2174</v>
      </c>
      <c r="C231" s="8" t="s">
        <v>2175</v>
      </c>
      <c r="D231" s="9" t="s">
        <v>2191</v>
      </c>
      <c r="E231" s="8" t="s">
        <v>36</v>
      </c>
      <c r="F231" s="8" t="s">
        <v>135</v>
      </c>
      <c r="G231" s="8" t="s">
        <v>225</v>
      </c>
      <c r="H231" s="8" t="s">
        <v>125</v>
      </c>
      <c r="I231" s="8" t="s">
        <v>114</v>
      </c>
      <c r="J231" s="9" t="s">
        <v>23</v>
      </c>
      <c r="K231" s="9" t="s">
        <v>2177</v>
      </c>
      <c r="L231" s="9" t="s">
        <v>2178</v>
      </c>
      <c r="M231" s="9" t="s">
        <v>261</v>
      </c>
      <c r="N231" s="9" t="s">
        <v>2179</v>
      </c>
      <c r="O231" s="9" t="s">
        <v>207</v>
      </c>
      <c r="P231" s="41" t="s">
        <v>276</v>
      </c>
      <c r="Q231" s="9" t="s">
        <v>2180</v>
      </c>
      <c r="R231" s="9" t="s">
        <v>2181</v>
      </c>
      <c r="S231" s="9" t="s">
        <v>2181</v>
      </c>
      <c r="T231" s="9">
        <v>1</v>
      </c>
      <c r="U231" s="13">
        <v>28220</v>
      </c>
      <c r="V231" s="38">
        <v>56365</v>
      </c>
      <c r="W231" s="8" t="s">
        <v>276</v>
      </c>
      <c r="X231" s="8" t="s">
        <v>276</v>
      </c>
      <c r="Y231" s="8">
        <v>0</v>
      </c>
      <c r="Z231" s="8" t="s">
        <v>98</v>
      </c>
      <c r="AA231" s="8">
        <v>0</v>
      </c>
      <c r="AB231" s="8" t="s">
        <v>98</v>
      </c>
      <c r="AC231" s="9" t="s">
        <v>2187</v>
      </c>
      <c r="AD231" s="9" t="s">
        <v>2046</v>
      </c>
      <c r="AE231" s="8">
        <v>3036</v>
      </c>
      <c r="AF231" s="8">
        <v>6079</v>
      </c>
      <c r="AG231" s="13">
        <v>28220</v>
      </c>
      <c r="AH231" s="38">
        <v>56365</v>
      </c>
      <c r="AI231" s="13" t="s">
        <v>292</v>
      </c>
      <c r="AJ231" s="14">
        <v>11.03</v>
      </c>
      <c r="AK231" s="31" t="s">
        <v>98</v>
      </c>
      <c r="AL231" s="14">
        <v>10.66</v>
      </c>
      <c r="AM231" s="14">
        <v>11.4</v>
      </c>
      <c r="AN231" s="14">
        <v>11.04</v>
      </c>
      <c r="AO231" s="31" t="s">
        <v>98</v>
      </c>
      <c r="AP231" s="14">
        <v>10.78</v>
      </c>
      <c r="AQ231" s="14">
        <v>11.3</v>
      </c>
      <c r="AR231" s="8" t="s">
        <v>268</v>
      </c>
      <c r="AS231" s="14">
        <v>0.99</v>
      </c>
      <c r="AT231" s="31" t="s">
        <v>98</v>
      </c>
      <c r="AU231" s="8">
        <v>0.96</v>
      </c>
      <c r="AV231" s="8">
        <v>1.04</v>
      </c>
      <c r="AW231" s="8" t="s">
        <v>276</v>
      </c>
      <c r="AX231" s="8" t="s">
        <v>282</v>
      </c>
      <c r="AY231" s="8" t="s">
        <v>98</v>
      </c>
      <c r="AZ231" s="8" t="s">
        <v>98</v>
      </c>
      <c r="BA231" s="8" t="s">
        <v>98</v>
      </c>
      <c r="BB231" s="8" t="s">
        <v>98</v>
      </c>
      <c r="BC231" s="9" t="s">
        <v>2192</v>
      </c>
      <c r="BD231" s="9" t="s">
        <v>2190</v>
      </c>
      <c r="BE231" s="9" t="s">
        <v>100</v>
      </c>
      <c r="BF231" s="33" t="s">
        <v>98</v>
      </c>
    </row>
    <row r="232" spans="1:58" s="7" customFormat="1" ht="91" x14ac:dyDescent="0.3">
      <c r="A232" s="8">
        <v>490</v>
      </c>
      <c r="B232" s="9" t="s">
        <v>2230</v>
      </c>
      <c r="C232" s="8" t="s">
        <v>71</v>
      </c>
      <c r="D232" s="9" t="s">
        <v>2231</v>
      </c>
      <c r="E232" s="8" t="s">
        <v>39</v>
      </c>
      <c r="F232" s="8" t="s">
        <v>143</v>
      </c>
      <c r="G232" s="8" t="s">
        <v>225</v>
      </c>
      <c r="H232" s="8" t="s">
        <v>225</v>
      </c>
      <c r="I232" s="8" t="s">
        <v>114</v>
      </c>
      <c r="J232" s="9" t="s">
        <v>24</v>
      </c>
      <c r="K232" s="9" t="s">
        <v>2232</v>
      </c>
      <c r="L232" s="9" t="s">
        <v>2233</v>
      </c>
      <c r="M232" s="8" t="s">
        <v>16</v>
      </c>
      <c r="N232" s="11" t="s">
        <v>170</v>
      </c>
      <c r="O232" s="12" t="s">
        <v>207</v>
      </c>
      <c r="P232" s="52">
        <v>42369</v>
      </c>
      <c r="Q232" s="52" t="s">
        <v>766</v>
      </c>
      <c r="R232" s="38" t="s">
        <v>2234</v>
      </c>
      <c r="S232" s="38" t="s">
        <v>2235</v>
      </c>
      <c r="T232" s="9">
        <v>4</v>
      </c>
      <c r="U232" s="13">
        <v>6583</v>
      </c>
      <c r="V232" s="38">
        <v>6599</v>
      </c>
      <c r="W232" s="8" t="s">
        <v>276</v>
      </c>
      <c r="X232" s="8" t="s">
        <v>276</v>
      </c>
      <c r="Y232" s="8">
        <v>4</v>
      </c>
      <c r="Z232" s="9" t="s">
        <v>2236</v>
      </c>
      <c r="AA232" s="8">
        <v>4</v>
      </c>
      <c r="AB232" s="9" t="s">
        <v>2236</v>
      </c>
      <c r="AC232" s="9" t="s">
        <v>2237</v>
      </c>
      <c r="AD232" s="9" t="s">
        <v>2238</v>
      </c>
      <c r="AE232" s="8">
        <v>156</v>
      </c>
      <c r="AF232" s="8">
        <v>206</v>
      </c>
      <c r="AG232" s="13">
        <v>62298</v>
      </c>
      <c r="AH232" s="13">
        <v>62484</v>
      </c>
      <c r="AI232" s="13" t="s">
        <v>425</v>
      </c>
      <c r="AJ232" s="14">
        <v>2.5</v>
      </c>
      <c r="AK232" s="31">
        <f>AE232*1000/AG232</f>
        <v>2.5040932293171529</v>
      </c>
      <c r="AL232" s="14" t="s">
        <v>276</v>
      </c>
      <c r="AM232" s="14" t="s">
        <v>276</v>
      </c>
      <c r="AN232" s="14">
        <v>3.3</v>
      </c>
      <c r="AO232" s="31">
        <f>AF232*1000/AH232</f>
        <v>3.2968439920619677</v>
      </c>
      <c r="AP232" s="14" t="s">
        <v>276</v>
      </c>
      <c r="AQ232" s="14" t="s">
        <v>276</v>
      </c>
      <c r="AR232" s="8" t="s">
        <v>269</v>
      </c>
      <c r="AS232" s="14">
        <v>0.76</v>
      </c>
      <c r="AT232" s="14">
        <f>AK232/AO232</f>
        <v>0.75954253077986889</v>
      </c>
      <c r="AU232" s="14">
        <v>0.61</v>
      </c>
      <c r="AV232" s="14">
        <v>0.94</v>
      </c>
      <c r="AW232" s="8">
        <v>0.01</v>
      </c>
      <c r="AX232" s="8" t="s">
        <v>282</v>
      </c>
      <c r="AY232" s="8" t="s">
        <v>276</v>
      </c>
      <c r="AZ232" s="8" t="s">
        <v>276</v>
      </c>
      <c r="BA232" s="8" t="s">
        <v>276</v>
      </c>
      <c r="BB232" s="8" t="s">
        <v>276</v>
      </c>
      <c r="BC232" s="9" t="s">
        <v>2239</v>
      </c>
      <c r="BD232" s="9" t="s">
        <v>2240</v>
      </c>
      <c r="BE232" s="9" t="s">
        <v>99</v>
      </c>
      <c r="BF232" s="33" t="s">
        <v>11162</v>
      </c>
    </row>
    <row r="233" spans="1:58" s="7" customFormat="1" ht="78" x14ac:dyDescent="0.3">
      <c r="A233" s="8">
        <v>490</v>
      </c>
      <c r="B233" s="9" t="s">
        <v>2230</v>
      </c>
      <c r="C233" s="8" t="s">
        <v>71</v>
      </c>
      <c r="D233" s="9" t="s">
        <v>2241</v>
      </c>
      <c r="E233" s="8" t="s">
        <v>39</v>
      </c>
      <c r="F233" s="8" t="s">
        <v>143</v>
      </c>
      <c r="G233" s="8" t="s">
        <v>225</v>
      </c>
      <c r="H233" s="8" t="s">
        <v>225</v>
      </c>
      <c r="I233" s="8" t="s">
        <v>114</v>
      </c>
      <c r="J233" s="9" t="s">
        <v>24</v>
      </c>
      <c r="K233" s="9" t="s">
        <v>2232</v>
      </c>
      <c r="L233" s="9" t="s">
        <v>2233</v>
      </c>
      <c r="M233" s="8" t="s">
        <v>16</v>
      </c>
      <c r="N233" s="11" t="s">
        <v>170</v>
      </c>
      <c r="O233" s="12" t="s">
        <v>207</v>
      </c>
      <c r="P233" s="52">
        <v>42369</v>
      </c>
      <c r="Q233" s="52" t="s">
        <v>766</v>
      </c>
      <c r="R233" s="38" t="s">
        <v>2234</v>
      </c>
      <c r="S233" s="38" t="s">
        <v>2235</v>
      </c>
      <c r="T233" s="9">
        <v>4</v>
      </c>
      <c r="U233" s="13">
        <v>6583</v>
      </c>
      <c r="V233" s="38">
        <v>6599</v>
      </c>
      <c r="W233" s="8" t="s">
        <v>276</v>
      </c>
      <c r="X233" s="8" t="s">
        <v>276</v>
      </c>
      <c r="Y233" s="8">
        <v>4</v>
      </c>
      <c r="Z233" s="9" t="s">
        <v>2236</v>
      </c>
      <c r="AA233" s="8">
        <v>4</v>
      </c>
      <c r="AB233" s="9" t="s">
        <v>2236</v>
      </c>
      <c r="AC233" s="9" t="s">
        <v>2237</v>
      </c>
      <c r="AD233" s="9" t="s">
        <v>689</v>
      </c>
      <c r="AE233" s="8">
        <v>156</v>
      </c>
      <c r="AF233" s="8">
        <v>206</v>
      </c>
      <c r="AG233" s="13">
        <v>6583</v>
      </c>
      <c r="AH233" s="38">
        <v>6599</v>
      </c>
      <c r="AI233" s="38" t="s">
        <v>292</v>
      </c>
      <c r="AJ233" s="14" t="s">
        <v>276</v>
      </c>
      <c r="AK233" s="31">
        <f>AE233*100/AG233</f>
        <v>2.3697402400121526</v>
      </c>
      <c r="AL233" s="14" t="s">
        <v>276</v>
      </c>
      <c r="AM233" s="14" t="s">
        <v>276</v>
      </c>
      <c r="AN233" s="14" t="s">
        <v>276</v>
      </c>
      <c r="AO233" s="31">
        <f>AF233*100/AH233</f>
        <v>3.1216851038036064</v>
      </c>
      <c r="AP233" s="14" t="s">
        <v>276</v>
      </c>
      <c r="AQ233" s="14" t="s">
        <v>276</v>
      </c>
      <c r="AR233" s="8" t="s">
        <v>268</v>
      </c>
      <c r="AS233" s="14" t="s">
        <v>276</v>
      </c>
      <c r="AT233" s="14">
        <f>AK233/AO233</f>
        <v>0.75912212834175707</v>
      </c>
      <c r="AU233" s="14" t="s">
        <v>276</v>
      </c>
      <c r="AV233" s="14" t="s">
        <v>276</v>
      </c>
      <c r="AW233" s="8" t="s">
        <v>276</v>
      </c>
      <c r="AX233" s="8" t="s">
        <v>282</v>
      </c>
      <c r="AY233" s="8" t="s">
        <v>276</v>
      </c>
      <c r="AZ233" s="8" t="s">
        <v>276</v>
      </c>
      <c r="BA233" s="8" t="s">
        <v>276</v>
      </c>
      <c r="BB233" s="8" t="s">
        <v>276</v>
      </c>
      <c r="BC233" s="9" t="s">
        <v>2242</v>
      </c>
      <c r="BD233" s="9" t="s">
        <v>2240</v>
      </c>
      <c r="BE233" s="9" t="s">
        <v>99</v>
      </c>
      <c r="BF233" s="33" t="s">
        <v>11162</v>
      </c>
    </row>
    <row r="234" spans="1:58" s="87" customFormat="1" ht="78" x14ac:dyDescent="0.3">
      <c r="A234" s="72">
        <v>490</v>
      </c>
      <c r="B234" s="73" t="s">
        <v>2230</v>
      </c>
      <c r="C234" s="72" t="s">
        <v>71</v>
      </c>
      <c r="D234" s="73" t="s">
        <v>2243</v>
      </c>
      <c r="E234" s="72" t="s">
        <v>39</v>
      </c>
      <c r="F234" s="72" t="s">
        <v>143</v>
      </c>
      <c r="G234" s="72" t="s">
        <v>225</v>
      </c>
      <c r="H234" s="72" t="s">
        <v>225</v>
      </c>
      <c r="I234" s="72" t="s">
        <v>114</v>
      </c>
      <c r="J234" s="73" t="s">
        <v>24</v>
      </c>
      <c r="K234" s="73" t="s">
        <v>2232</v>
      </c>
      <c r="L234" s="73" t="s">
        <v>2244</v>
      </c>
      <c r="M234" s="72" t="s">
        <v>16</v>
      </c>
      <c r="N234" s="84" t="s">
        <v>170</v>
      </c>
      <c r="O234" s="85" t="s">
        <v>207</v>
      </c>
      <c r="P234" s="77" t="s">
        <v>276</v>
      </c>
      <c r="Q234" s="77" t="s">
        <v>733</v>
      </c>
      <c r="R234" s="75" t="s">
        <v>2245</v>
      </c>
      <c r="S234" s="75" t="s">
        <v>2246</v>
      </c>
      <c r="T234" s="73">
        <v>4</v>
      </c>
      <c r="U234" s="74">
        <v>6583</v>
      </c>
      <c r="V234" s="75">
        <v>6599</v>
      </c>
      <c r="W234" s="72" t="s">
        <v>276</v>
      </c>
      <c r="X234" s="72" t="s">
        <v>276</v>
      </c>
      <c r="Y234" s="72" t="s">
        <v>276</v>
      </c>
      <c r="Z234" s="72" t="s">
        <v>276</v>
      </c>
      <c r="AA234" s="72" t="s">
        <v>276</v>
      </c>
      <c r="AB234" s="72" t="s">
        <v>276</v>
      </c>
      <c r="AC234" s="73" t="s">
        <v>2247</v>
      </c>
      <c r="AD234" s="73" t="s">
        <v>2248</v>
      </c>
      <c r="AE234" s="72">
        <v>76</v>
      </c>
      <c r="AF234" s="72">
        <v>97</v>
      </c>
      <c r="AG234" s="74">
        <v>38484</v>
      </c>
      <c r="AH234" s="74">
        <v>38591</v>
      </c>
      <c r="AI234" s="74" t="s">
        <v>425</v>
      </c>
      <c r="AJ234" s="76">
        <v>1.97</v>
      </c>
      <c r="AK234" s="86">
        <f>AE234*1000/AG234</f>
        <v>1.9748466895333125</v>
      </c>
      <c r="AL234" s="76" t="s">
        <v>276</v>
      </c>
      <c r="AM234" s="76" t="s">
        <v>276</v>
      </c>
      <c r="AN234" s="76">
        <v>2.5099999999999998</v>
      </c>
      <c r="AO234" s="86">
        <f>AF234*1000/AH234</f>
        <v>2.5135394262911039</v>
      </c>
      <c r="AP234" s="76" t="s">
        <v>276</v>
      </c>
      <c r="AQ234" s="76" t="s">
        <v>276</v>
      </c>
      <c r="AR234" s="72" t="s">
        <v>269</v>
      </c>
      <c r="AS234" s="76">
        <v>0.79</v>
      </c>
      <c r="AT234" s="76">
        <f t="shared" ref="AT234:AT237" si="36">AK234/AO234</f>
        <v>0.78568359377092856</v>
      </c>
      <c r="AU234" s="76">
        <v>0.56999999999999995</v>
      </c>
      <c r="AV234" s="76">
        <v>1.07</v>
      </c>
      <c r="AW234" s="72" t="s">
        <v>276</v>
      </c>
      <c r="AX234" s="72" t="s">
        <v>282</v>
      </c>
      <c r="AY234" s="72" t="s">
        <v>276</v>
      </c>
      <c r="AZ234" s="72" t="s">
        <v>276</v>
      </c>
      <c r="BA234" s="72" t="s">
        <v>276</v>
      </c>
      <c r="BB234" s="72" t="s">
        <v>276</v>
      </c>
      <c r="BC234" s="73" t="s">
        <v>2249</v>
      </c>
      <c r="BD234" s="73" t="s">
        <v>2240</v>
      </c>
      <c r="BE234" s="9" t="s">
        <v>100</v>
      </c>
      <c r="BF234" s="33" t="s">
        <v>98</v>
      </c>
    </row>
    <row r="235" spans="1:58" s="87" customFormat="1" ht="78" x14ac:dyDescent="0.3">
      <c r="A235" s="72">
        <v>490</v>
      </c>
      <c r="B235" s="73" t="s">
        <v>2230</v>
      </c>
      <c r="C235" s="72" t="s">
        <v>71</v>
      </c>
      <c r="D235" s="73" t="s">
        <v>2250</v>
      </c>
      <c r="E235" s="72" t="s">
        <v>39</v>
      </c>
      <c r="F235" s="72" t="s">
        <v>143</v>
      </c>
      <c r="G235" s="72" t="s">
        <v>225</v>
      </c>
      <c r="H235" s="72" t="s">
        <v>225</v>
      </c>
      <c r="I235" s="72" t="s">
        <v>114</v>
      </c>
      <c r="J235" s="73" t="s">
        <v>24</v>
      </c>
      <c r="K235" s="73" t="s">
        <v>2232</v>
      </c>
      <c r="L235" s="73" t="s">
        <v>2251</v>
      </c>
      <c r="M235" s="72" t="s">
        <v>16</v>
      </c>
      <c r="N235" s="84" t="s">
        <v>170</v>
      </c>
      <c r="O235" s="85" t="s">
        <v>207</v>
      </c>
      <c r="P235" s="77" t="s">
        <v>276</v>
      </c>
      <c r="Q235" s="77" t="s">
        <v>741</v>
      </c>
      <c r="R235" s="75" t="s">
        <v>2252</v>
      </c>
      <c r="S235" s="75" t="s">
        <v>2253</v>
      </c>
      <c r="T235" s="73">
        <v>4</v>
      </c>
      <c r="U235" s="74">
        <v>6583</v>
      </c>
      <c r="V235" s="75">
        <v>6599</v>
      </c>
      <c r="W235" s="72" t="s">
        <v>276</v>
      </c>
      <c r="X235" s="72" t="s">
        <v>276</v>
      </c>
      <c r="Y235" s="72" t="s">
        <v>276</v>
      </c>
      <c r="Z235" s="72" t="s">
        <v>276</v>
      </c>
      <c r="AA235" s="72" t="s">
        <v>276</v>
      </c>
      <c r="AB235" s="72" t="s">
        <v>276</v>
      </c>
      <c r="AC235" s="73" t="s">
        <v>2254</v>
      </c>
      <c r="AD235" s="73" t="s">
        <v>2255</v>
      </c>
      <c r="AE235" s="72">
        <v>98</v>
      </c>
      <c r="AF235" s="72">
        <v>125</v>
      </c>
      <c r="AG235" s="74">
        <v>44620</v>
      </c>
      <c r="AH235" s="74">
        <v>44731</v>
      </c>
      <c r="AI235" s="74" t="s">
        <v>425</v>
      </c>
      <c r="AJ235" s="76">
        <v>2.2000000000000002</v>
      </c>
      <c r="AK235" s="86">
        <f>AE235*1000/AG235</f>
        <v>2.1963245181532947</v>
      </c>
      <c r="AL235" s="76" t="s">
        <v>276</v>
      </c>
      <c r="AM235" s="76" t="s">
        <v>276</v>
      </c>
      <c r="AN235" s="76">
        <v>2.79</v>
      </c>
      <c r="AO235" s="86">
        <f>AF235*1000/AH235</f>
        <v>2.794482573606671</v>
      </c>
      <c r="AP235" s="76" t="s">
        <v>276</v>
      </c>
      <c r="AQ235" s="76" t="s">
        <v>276</v>
      </c>
      <c r="AR235" s="72" t="s">
        <v>269</v>
      </c>
      <c r="AS235" s="76">
        <v>0.79</v>
      </c>
      <c r="AT235" s="76">
        <f t="shared" si="36"/>
        <v>0.78595033617212018</v>
      </c>
      <c r="AU235" s="76">
        <v>0.6</v>
      </c>
      <c r="AV235" s="76">
        <v>1.03</v>
      </c>
      <c r="AW235" s="72" t="s">
        <v>276</v>
      </c>
      <c r="AX235" s="72" t="s">
        <v>282</v>
      </c>
      <c r="AY235" s="72" t="s">
        <v>276</v>
      </c>
      <c r="AZ235" s="72" t="s">
        <v>276</v>
      </c>
      <c r="BA235" s="72" t="s">
        <v>276</v>
      </c>
      <c r="BB235" s="72" t="s">
        <v>276</v>
      </c>
      <c r="BC235" s="73" t="s">
        <v>2249</v>
      </c>
      <c r="BD235" s="73" t="s">
        <v>2240</v>
      </c>
      <c r="BE235" s="9" t="s">
        <v>100</v>
      </c>
      <c r="BF235" s="33" t="s">
        <v>98</v>
      </c>
    </row>
    <row r="236" spans="1:58" s="87" customFormat="1" ht="78" x14ac:dyDescent="0.3">
      <c r="A236" s="72">
        <v>490</v>
      </c>
      <c r="B236" s="73" t="s">
        <v>2230</v>
      </c>
      <c r="C236" s="72" t="s">
        <v>71</v>
      </c>
      <c r="D236" s="73" t="s">
        <v>2256</v>
      </c>
      <c r="E236" s="72" t="s">
        <v>39</v>
      </c>
      <c r="F236" s="72" t="s">
        <v>143</v>
      </c>
      <c r="G236" s="72" t="s">
        <v>225</v>
      </c>
      <c r="H236" s="72" t="s">
        <v>225</v>
      </c>
      <c r="I236" s="72" t="s">
        <v>114</v>
      </c>
      <c r="J236" s="73" t="s">
        <v>24</v>
      </c>
      <c r="K236" s="73" t="s">
        <v>2232</v>
      </c>
      <c r="L236" s="73" t="s">
        <v>2257</v>
      </c>
      <c r="M236" s="72" t="s">
        <v>16</v>
      </c>
      <c r="N236" s="84" t="s">
        <v>170</v>
      </c>
      <c r="O236" s="85" t="s">
        <v>207</v>
      </c>
      <c r="P236" s="77" t="s">
        <v>276</v>
      </c>
      <c r="Q236" s="77" t="s">
        <v>746</v>
      </c>
      <c r="R236" s="75" t="s">
        <v>2258</v>
      </c>
      <c r="S236" s="75" t="s">
        <v>2259</v>
      </c>
      <c r="T236" s="73">
        <v>4</v>
      </c>
      <c r="U236" s="74">
        <v>6583</v>
      </c>
      <c r="V236" s="75">
        <v>6599</v>
      </c>
      <c r="W236" s="72" t="s">
        <v>276</v>
      </c>
      <c r="X236" s="72" t="s">
        <v>276</v>
      </c>
      <c r="Y236" s="72" t="s">
        <v>276</v>
      </c>
      <c r="Z236" s="72" t="s">
        <v>276</v>
      </c>
      <c r="AA236" s="72" t="s">
        <v>276</v>
      </c>
      <c r="AB236" s="72" t="s">
        <v>276</v>
      </c>
      <c r="AC236" s="73" t="s">
        <v>2260</v>
      </c>
      <c r="AD236" s="73" t="s">
        <v>2261</v>
      </c>
      <c r="AE236" s="72">
        <v>121</v>
      </c>
      <c r="AF236" s="72">
        <v>159</v>
      </c>
      <c r="AG236" s="74">
        <v>50641</v>
      </c>
      <c r="AH236" s="74">
        <v>50775</v>
      </c>
      <c r="AI236" s="74" t="s">
        <v>425</v>
      </c>
      <c r="AJ236" s="76">
        <v>2.39</v>
      </c>
      <c r="AK236" s="86">
        <f>AE236*1000/AG236</f>
        <v>2.3893682984143285</v>
      </c>
      <c r="AL236" s="76" t="s">
        <v>276</v>
      </c>
      <c r="AM236" s="76" t="s">
        <v>276</v>
      </c>
      <c r="AN236" s="76">
        <v>3.13</v>
      </c>
      <c r="AO236" s="86">
        <f>AF236*1000/AH236</f>
        <v>3.1314623338257017</v>
      </c>
      <c r="AP236" s="76" t="s">
        <v>276</v>
      </c>
      <c r="AQ236" s="76" t="s">
        <v>276</v>
      </c>
      <c r="AR236" s="72" t="s">
        <v>269</v>
      </c>
      <c r="AS236" s="76">
        <v>0.76</v>
      </c>
      <c r="AT236" s="76">
        <f t="shared" si="36"/>
        <v>0.76301997076721717</v>
      </c>
      <c r="AU236" s="76">
        <v>0.6</v>
      </c>
      <c r="AV236" s="76">
        <v>0.97</v>
      </c>
      <c r="AW236" s="72" t="s">
        <v>844</v>
      </c>
      <c r="AX236" s="72" t="s">
        <v>282</v>
      </c>
      <c r="AY236" s="72" t="s">
        <v>276</v>
      </c>
      <c r="AZ236" s="72" t="s">
        <v>276</v>
      </c>
      <c r="BA236" s="72" t="s">
        <v>276</v>
      </c>
      <c r="BB236" s="72" t="s">
        <v>276</v>
      </c>
      <c r="BC236" s="73" t="s">
        <v>2262</v>
      </c>
      <c r="BD236" s="73" t="s">
        <v>2240</v>
      </c>
      <c r="BE236" s="9" t="s">
        <v>100</v>
      </c>
      <c r="BF236" s="33" t="s">
        <v>98</v>
      </c>
    </row>
    <row r="237" spans="1:58" s="87" customFormat="1" ht="78" x14ac:dyDescent="0.3">
      <c r="A237" s="72">
        <v>490</v>
      </c>
      <c r="B237" s="73" t="s">
        <v>2230</v>
      </c>
      <c r="C237" s="72" t="s">
        <v>71</v>
      </c>
      <c r="D237" s="73" t="s">
        <v>2263</v>
      </c>
      <c r="E237" s="72" t="s">
        <v>39</v>
      </c>
      <c r="F237" s="72" t="s">
        <v>143</v>
      </c>
      <c r="G237" s="72" t="s">
        <v>225</v>
      </c>
      <c r="H237" s="72" t="s">
        <v>225</v>
      </c>
      <c r="I237" s="72" t="s">
        <v>114</v>
      </c>
      <c r="J237" s="73" t="s">
        <v>24</v>
      </c>
      <c r="K237" s="73" t="s">
        <v>2232</v>
      </c>
      <c r="L237" s="73" t="s">
        <v>2264</v>
      </c>
      <c r="M237" s="72" t="s">
        <v>16</v>
      </c>
      <c r="N237" s="84" t="s">
        <v>170</v>
      </c>
      <c r="O237" s="85" t="s">
        <v>207</v>
      </c>
      <c r="P237" s="77" t="s">
        <v>276</v>
      </c>
      <c r="Q237" s="77" t="s">
        <v>752</v>
      </c>
      <c r="R237" s="75" t="s">
        <v>2265</v>
      </c>
      <c r="S237" s="75" t="s">
        <v>2266</v>
      </c>
      <c r="T237" s="73">
        <v>4</v>
      </c>
      <c r="U237" s="74">
        <v>6583</v>
      </c>
      <c r="V237" s="75">
        <v>6599</v>
      </c>
      <c r="W237" s="72" t="s">
        <v>276</v>
      </c>
      <c r="X237" s="72" t="s">
        <v>276</v>
      </c>
      <c r="Y237" s="72" t="s">
        <v>276</v>
      </c>
      <c r="Z237" s="72" t="s">
        <v>276</v>
      </c>
      <c r="AA237" s="72" t="s">
        <v>276</v>
      </c>
      <c r="AB237" s="72" t="s">
        <v>276</v>
      </c>
      <c r="AC237" s="73" t="s">
        <v>2267</v>
      </c>
      <c r="AD237" s="73" t="s">
        <v>2268</v>
      </c>
      <c r="AE237" s="72">
        <v>137</v>
      </c>
      <c r="AF237" s="72">
        <v>180</v>
      </c>
      <c r="AG237" s="74">
        <v>56541</v>
      </c>
      <c r="AH237" s="74">
        <v>56701</v>
      </c>
      <c r="AI237" s="74" t="s">
        <v>425</v>
      </c>
      <c r="AJ237" s="76">
        <v>2.42</v>
      </c>
      <c r="AK237" s="86">
        <f>AE237*1000/AG237</f>
        <v>2.4230204630268299</v>
      </c>
      <c r="AL237" s="76" t="s">
        <v>276</v>
      </c>
      <c r="AM237" s="76" t="s">
        <v>276</v>
      </c>
      <c r="AN237" s="76">
        <v>3.17</v>
      </c>
      <c r="AO237" s="86">
        <f>AF237*1000/AH237</f>
        <v>3.174547186116647</v>
      </c>
      <c r="AP237" s="76" t="s">
        <v>276</v>
      </c>
      <c r="AQ237" s="76" t="s">
        <v>276</v>
      </c>
      <c r="AR237" s="72" t="s">
        <v>269</v>
      </c>
      <c r="AS237" s="76">
        <v>0.76</v>
      </c>
      <c r="AT237" s="76">
        <f t="shared" si="36"/>
        <v>0.76326490707824601</v>
      </c>
      <c r="AU237" s="76">
        <v>0.61</v>
      </c>
      <c r="AV237" s="76">
        <v>0.96</v>
      </c>
      <c r="AW237" s="72" t="s">
        <v>844</v>
      </c>
      <c r="AX237" s="72" t="s">
        <v>282</v>
      </c>
      <c r="AY237" s="72" t="s">
        <v>276</v>
      </c>
      <c r="AZ237" s="72" t="s">
        <v>276</v>
      </c>
      <c r="BA237" s="72" t="s">
        <v>276</v>
      </c>
      <c r="BB237" s="72" t="s">
        <v>276</v>
      </c>
      <c r="BC237" s="73" t="s">
        <v>2262</v>
      </c>
      <c r="BD237" s="73" t="s">
        <v>2240</v>
      </c>
      <c r="BE237" s="9" t="s">
        <v>100</v>
      </c>
      <c r="BF237" s="33" t="s">
        <v>98</v>
      </c>
    </row>
    <row r="238" spans="1:58" s="87" customFormat="1" ht="78" x14ac:dyDescent="0.3">
      <c r="A238" s="72">
        <v>490</v>
      </c>
      <c r="B238" s="73" t="s">
        <v>2230</v>
      </c>
      <c r="C238" s="72" t="s">
        <v>71</v>
      </c>
      <c r="D238" s="73" t="s">
        <v>2269</v>
      </c>
      <c r="E238" s="72" t="s">
        <v>39</v>
      </c>
      <c r="F238" s="72" t="s">
        <v>143</v>
      </c>
      <c r="G238" s="72" t="s">
        <v>225</v>
      </c>
      <c r="H238" s="72" t="s">
        <v>225</v>
      </c>
      <c r="I238" s="72" t="s">
        <v>114</v>
      </c>
      <c r="J238" s="73" t="s">
        <v>24</v>
      </c>
      <c r="K238" s="73" t="s">
        <v>2232</v>
      </c>
      <c r="L238" s="73" t="s">
        <v>2270</v>
      </c>
      <c r="M238" s="72" t="s">
        <v>16</v>
      </c>
      <c r="N238" s="84" t="s">
        <v>170</v>
      </c>
      <c r="O238" s="85" t="s">
        <v>207</v>
      </c>
      <c r="P238" s="77" t="s">
        <v>276</v>
      </c>
      <c r="Q238" s="77" t="s">
        <v>770</v>
      </c>
      <c r="R238" s="75" t="s">
        <v>2271</v>
      </c>
      <c r="S238" s="75" t="s">
        <v>2272</v>
      </c>
      <c r="T238" s="73">
        <v>4</v>
      </c>
      <c r="U238" s="74">
        <v>6583</v>
      </c>
      <c r="V238" s="75">
        <v>6599</v>
      </c>
      <c r="W238" s="72" t="s">
        <v>276</v>
      </c>
      <c r="X238" s="72" t="s">
        <v>276</v>
      </c>
      <c r="Y238" s="72" t="s">
        <v>276</v>
      </c>
      <c r="Z238" s="72" t="s">
        <v>276</v>
      </c>
      <c r="AA238" s="72" t="s">
        <v>276</v>
      </c>
      <c r="AB238" s="72" t="s">
        <v>276</v>
      </c>
      <c r="AC238" s="73" t="s">
        <v>2273</v>
      </c>
      <c r="AD238" s="73" t="s">
        <v>2274</v>
      </c>
      <c r="AE238" s="72">
        <v>174</v>
      </c>
      <c r="AF238" s="72">
        <v>225</v>
      </c>
      <c r="AG238" s="74">
        <v>67952</v>
      </c>
      <c r="AH238" s="74">
        <v>68173</v>
      </c>
      <c r="AI238" s="74" t="s">
        <v>425</v>
      </c>
      <c r="AJ238" s="76">
        <v>2.56</v>
      </c>
      <c r="AK238" s="86">
        <f>AE238*1000/AG238</f>
        <v>2.5606310336708265</v>
      </c>
      <c r="AL238" s="76" t="s">
        <v>276</v>
      </c>
      <c r="AM238" s="76" t="s">
        <v>276</v>
      </c>
      <c r="AN238" s="76">
        <v>3.3</v>
      </c>
      <c r="AO238" s="86">
        <f>AF238*1000/AH238</f>
        <v>3.3004268552066067</v>
      </c>
      <c r="AP238" s="76" t="s">
        <v>276</v>
      </c>
      <c r="AQ238" s="76" t="s">
        <v>276</v>
      </c>
      <c r="AR238" s="72" t="s">
        <v>269</v>
      </c>
      <c r="AS238" s="76">
        <v>0.78</v>
      </c>
      <c r="AT238" s="76">
        <f>AK238/AO238</f>
        <v>0.77584844203751668</v>
      </c>
      <c r="AU238" s="76">
        <v>0.63</v>
      </c>
      <c r="AV238" s="76">
        <v>0.95</v>
      </c>
      <c r="AW238" s="72" t="s">
        <v>844</v>
      </c>
      <c r="AX238" s="72" t="s">
        <v>282</v>
      </c>
      <c r="AY238" s="72" t="s">
        <v>276</v>
      </c>
      <c r="AZ238" s="72" t="s">
        <v>276</v>
      </c>
      <c r="BA238" s="72" t="s">
        <v>276</v>
      </c>
      <c r="BB238" s="72" t="s">
        <v>276</v>
      </c>
      <c r="BC238" s="73" t="s">
        <v>2275</v>
      </c>
      <c r="BD238" s="73" t="s">
        <v>2240</v>
      </c>
      <c r="BE238" s="9" t="s">
        <v>100</v>
      </c>
      <c r="BF238" s="33" t="s">
        <v>98</v>
      </c>
    </row>
    <row r="239" spans="1:58" s="7" customFormat="1" ht="78" x14ac:dyDescent="0.3">
      <c r="A239" s="8">
        <v>490</v>
      </c>
      <c r="B239" s="9" t="s">
        <v>2230</v>
      </c>
      <c r="C239" s="8" t="s">
        <v>71</v>
      </c>
      <c r="D239" s="9" t="s">
        <v>2276</v>
      </c>
      <c r="E239" s="8" t="s">
        <v>39</v>
      </c>
      <c r="F239" s="8" t="s">
        <v>143</v>
      </c>
      <c r="G239" s="8" t="s">
        <v>225</v>
      </c>
      <c r="H239" s="8" t="s">
        <v>225</v>
      </c>
      <c r="I239" s="8" t="s">
        <v>114</v>
      </c>
      <c r="J239" s="9" t="s">
        <v>24</v>
      </c>
      <c r="K239" s="9" t="s">
        <v>2232</v>
      </c>
      <c r="L239" s="9" t="s">
        <v>2244</v>
      </c>
      <c r="M239" s="8" t="s">
        <v>16</v>
      </c>
      <c r="N239" s="11" t="s">
        <v>170</v>
      </c>
      <c r="O239" s="12" t="s">
        <v>207</v>
      </c>
      <c r="P239" s="52" t="s">
        <v>276</v>
      </c>
      <c r="Q239" s="52" t="s">
        <v>733</v>
      </c>
      <c r="R239" s="38" t="s">
        <v>2245</v>
      </c>
      <c r="S239" s="38" t="s">
        <v>2246</v>
      </c>
      <c r="T239" s="9">
        <v>4</v>
      </c>
      <c r="U239" s="13">
        <v>6583</v>
      </c>
      <c r="V239" s="38">
        <v>6599</v>
      </c>
      <c r="W239" s="8" t="s">
        <v>276</v>
      </c>
      <c r="X239" s="8" t="s">
        <v>276</v>
      </c>
      <c r="Y239" s="8">
        <v>4</v>
      </c>
      <c r="Z239" s="9" t="s">
        <v>2236</v>
      </c>
      <c r="AA239" s="8">
        <v>4</v>
      </c>
      <c r="AB239" s="9" t="s">
        <v>2236</v>
      </c>
      <c r="AC239" s="9" t="s">
        <v>2247</v>
      </c>
      <c r="AD239" s="9" t="s">
        <v>689</v>
      </c>
      <c r="AE239" s="8">
        <v>76</v>
      </c>
      <c r="AF239" s="8">
        <v>97</v>
      </c>
      <c r="AG239" s="13">
        <v>6583</v>
      </c>
      <c r="AH239" s="38">
        <v>6599</v>
      </c>
      <c r="AI239" s="38" t="s">
        <v>292</v>
      </c>
      <c r="AJ239" s="14" t="s">
        <v>276</v>
      </c>
      <c r="AK239" s="31">
        <f>AE239*100/AG239</f>
        <v>1.1544888348777154</v>
      </c>
      <c r="AL239" s="14" t="s">
        <v>276</v>
      </c>
      <c r="AM239" s="14" t="s">
        <v>276</v>
      </c>
      <c r="AN239" s="14" t="s">
        <v>276</v>
      </c>
      <c r="AO239" s="31">
        <f>AF239*100/AH239</f>
        <v>1.4699196848007274</v>
      </c>
      <c r="AP239" s="14" t="s">
        <v>276</v>
      </c>
      <c r="AQ239" s="14" t="s">
        <v>276</v>
      </c>
      <c r="AR239" s="8" t="s">
        <v>268</v>
      </c>
      <c r="AS239" s="14" t="s">
        <v>276</v>
      </c>
      <c r="AT239" s="14">
        <f>AK239/AO239</f>
        <v>0.78540946611938589</v>
      </c>
      <c r="AU239" s="14" t="s">
        <v>276</v>
      </c>
      <c r="AV239" s="14" t="s">
        <v>276</v>
      </c>
      <c r="AW239" s="8" t="s">
        <v>276</v>
      </c>
      <c r="AX239" s="8" t="s">
        <v>282</v>
      </c>
      <c r="AY239" s="8" t="s">
        <v>276</v>
      </c>
      <c r="AZ239" s="8" t="s">
        <v>276</v>
      </c>
      <c r="BA239" s="8" t="s">
        <v>276</v>
      </c>
      <c r="BB239" s="8" t="s">
        <v>276</v>
      </c>
      <c r="BC239" s="9" t="s">
        <v>2249</v>
      </c>
      <c r="BD239" s="9" t="s">
        <v>2240</v>
      </c>
      <c r="BE239" s="9" t="s">
        <v>100</v>
      </c>
      <c r="BF239" s="33" t="s">
        <v>98</v>
      </c>
    </row>
    <row r="240" spans="1:58" s="7" customFormat="1" ht="78" x14ac:dyDescent="0.3">
      <c r="A240" s="8">
        <v>490</v>
      </c>
      <c r="B240" s="9" t="s">
        <v>2230</v>
      </c>
      <c r="C240" s="8" t="s">
        <v>71</v>
      </c>
      <c r="D240" s="9" t="s">
        <v>2277</v>
      </c>
      <c r="E240" s="8" t="s">
        <v>39</v>
      </c>
      <c r="F240" s="8" t="s">
        <v>143</v>
      </c>
      <c r="G240" s="8" t="s">
        <v>225</v>
      </c>
      <c r="H240" s="8" t="s">
        <v>225</v>
      </c>
      <c r="I240" s="8" t="s">
        <v>114</v>
      </c>
      <c r="J240" s="9" t="s">
        <v>24</v>
      </c>
      <c r="K240" s="9" t="s">
        <v>2232</v>
      </c>
      <c r="L240" s="9" t="s">
        <v>2251</v>
      </c>
      <c r="M240" s="8" t="s">
        <v>16</v>
      </c>
      <c r="N240" s="11" t="s">
        <v>170</v>
      </c>
      <c r="O240" s="12" t="s">
        <v>207</v>
      </c>
      <c r="P240" s="52" t="s">
        <v>276</v>
      </c>
      <c r="Q240" s="52" t="s">
        <v>741</v>
      </c>
      <c r="R240" s="38" t="s">
        <v>2252</v>
      </c>
      <c r="S240" s="38" t="s">
        <v>2253</v>
      </c>
      <c r="T240" s="9">
        <v>4</v>
      </c>
      <c r="U240" s="13">
        <v>6583</v>
      </c>
      <c r="V240" s="38">
        <v>6599</v>
      </c>
      <c r="W240" s="8" t="s">
        <v>276</v>
      </c>
      <c r="X240" s="8" t="s">
        <v>276</v>
      </c>
      <c r="Y240" s="8">
        <v>4</v>
      </c>
      <c r="Z240" s="9" t="s">
        <v>2236</v>
      </c>
      <c r="AA240" s="8">
        <v>4</v>
      </c>
      <c r="AB240" s="9" t="s">
        <v>2236</v>
      </c>
      <c r="AC240" s="9" t="s">
        <v>2254</v>
      </c>
      <c r="AD240" s="9" t="s">
        <v>689</v>
      </c>
      <c r="AE240" s="8">
        <v>98</v>
      </c>
      <c r="AF240" s="8">
        <v>125</v>
      </c>
      <c r="AG240" s="13">
        <v>6583</v>
      </c>
      <c r="AH240" s="38">
        <v>6599</v>
      </c>
      <c r="AI240" s="38" t="s">
        <v>292</v>
      </c>
      <c r="AJ240" s="14" t="s">
        <v>276</v>
      </c>
      <c r="AK240" s="31">
        <f>AE240*100/AG240</f>
        <v>1.4886829712896856</v>
      </c>
      <c r="AL240" s="14" t="s">
        <v>276</v>
      </c>
      <c r="AM240" s="14" t="s">
        <v>276</v>
      </c>
      <c r="AN240" s="14" t="s">
        <v>276</v>
      </c>
      <c r="AO240" s="31">
        <f>AF240*100/AH240</f>
        <v>1.8942263979390817</v>
      </c>
      <c r="AP240" s="14" t="s">
        <v>276</v>
      </c>
      <c r="AQ240" s="14" t="s">
        <v>276</v>
      </c>
      <c r="AR240" s="8" t="s">
        <v>268</v>
      </c>
      <c r="AS240" s="14" t="s">
        <v>276</v>
      </c>
      <c r="AT240" s="14">
        <f t="shared" ref="AT240:AT243" si="37">AK240/AO240</f>
        <v>0.78590551420325083</v>
      </c>
      <c r="AU240" s="14" t="s">
        <v>276</v>
      </c>
      <c r="AV240" s="14" t="s">
        <v>276</v>
      </c>
      <c r="AW240" s="8" t="s">
        <v>276</v>
      </c>
      <c r="AX240" s="8" t="s">
        <v>282</v>
      </c>
      <c r="AY240" s="8" t="s">
        <v>276</v>
      </c>
      <c r="AZ240" s="8" t="s">
        <v>276</v>
      </c>
      <c r="BA240" s="8" t="s">
        <v>276</v>
      </c>
      <c r="BB240" s="8" t="s">
        <v>276</v>
      </c>
      <c r="BC240" s="9" t="s">
        <v>2249</v>
      </c>
      <c r="BD240" s="9" t="s">
        <v>2240</v>
      </c>
      <c r="BE240" s="9" t="s">
        <v>100</v>
      </c>
      <c r="BF240" s="33" t="s">
        <v>98</v>
      </c>
    </row>
    <row r="241" spans="1:58" s="7" customFormat="1" ht="78" x14ac:dyDescent="0.3">
      <c r="A241" s="8">
        <v>490</v>
      </c>
      <c r="B241" s="9" t="s">
        <v>2230</v>
      </c>
      <c r="C241" s="8" t="s">
        <v>71</v>
      </c>
      <c r="D241" s="9" t="s">
        <v>2278</v>
      </c>
      <c r="E241" s="8" t="s">
        <v>39</v>
      </c>
      <c r="F241" s="8" t="s">
        <v>143</v>
      </c>
      <c r="G241" s="8" t="s">
        <v>225</v>
      </c>
      <c r="H241" s="8" t="s">
        <v>225</v>
      </c>
      <c r="I241" s="8" t="s">
        <v>114</v>
      </c>
      <c r="J241" s="9" t="s">
        <v>24</v>
      </c>
      <c r="K241" s="9" t="s">
        <v>2232</v>
      </c>
      <c r="L241" s="9" t="s">
        <v>2257</v>
      </c>
      <c r="M241" s="8" t="s">
        <v>16</v>
      </c>
      <c r="N241" s="11" t="s">
        <v>170</v>
      </c>
      <c r="O241" s="12" t="s">
        <v>207</v>
      </c>
      <c r="P241" s="52" t="s">
        <v>276</v>
      </c>
      <c r="Q241" s="52" t="s">
        <v>746</v>
      </c>
      <c r="R241" s="38" t="s">
        <v>2258</v>
      </c>
      <c r="S241" s="38" t="s">
        <v>2259</v>
      </c>
      <c r="T241" s="9">
        <v>4</v>
      </c>
      <c r="U241" s="13">
        <v>6583</v>
      </c>
      <c r="V241" s="38">
        <v>6599</v>
      </c>
      <c r="W241" s="8" t="s">
        <v>276</v>
      </c>
      <c r="X241" s="8" t="s">
        <v>276</v>
      </c>
      <c r="Y241" s="8">
        <v>4</v>
      </c>
      <c r="Z241" s="9" t="s">
        <v>2236</v>
      </c>
      <c r="AA241" s="8">
        <v>4</v>
      </c>
      <c r="AB241" s="9" t="s">
        <v>2236</v>
      </c>
      <c r="AC241" s="9" t="s">
        <v>2260</v>
      </c>
      <c r="AD241" s="9" t="s">
        <v>689</v>
      </c>
      <c r="AE241" s="8">
        <v>121</v>
      </c>
      <c r="AF241" s="8">
        <v>159</v>
      </c>
      <c r="AG241" s="13">
        <v>6583</v>
      </c>
      <c r="AH241" s="38">
        <v>6599</v>
      </c>
      <c r="AI241" s="38" t="s">
        <v>292</v>
      </c>
      <c r="AJ241" s="14" t="s">
        <v>276</v>
      </c>
      <c r="AK241" s="31">
        <f>AE241*100/AG241</f>
        <v>1.8380677502658362</v>
      </c>
      <c r="AL241" s="14" t="s">
        <v>276</v>
      </c>
      <c r="AM241" s="14" t="s">
        <v>276</v>
      </c>
      <c r="AN241" s="14" t="s">
        <v>276</v>
      </c>
      <c r="AO241" s="31">
        <f>AF241*100/AH241</f>
        <v>2.4094559781785119</v>
      </c>
      <c r="AP241" s="14" t="s">
        <v>276</v>
      </c>
      <c r="AQ241" s="14" t="s">
        <v>276</v>
      </c>
      <c r="AR241" s="8" t="s">
        <v>268</v>
      </c>
      <c r="AS241" s="14" t="s">
        <v>276</v>
      </c>
      <c r="AT241" s="14">
        <f t="shared" si="37"/>
        <v>0.76285591723297197</v>
      </c>
      <c r="AU241" s="14" t="s">
        <v>276</v>
      </c>
      <c r="AV241" s="14" t="s">
        <v>276</v>
      </c>
      <c r="AW241" s="8" t="s">
        <v>276</v>
      </c>
      <c r="AX241" s="8" t="s">
        <v>282</v>
      </c>
      <c r="AY241" s="8" t="s">
        <v>276</v>
      </c>
      <c r="AZ241" s="8" t="s">
        <v>276</v>
      </c>
      <c r="BA241" s="8" t="s">
        <v>276</v>
      </c>
      <c r="BB241" s="8" t="s">
        <v>276</v>
      </c>
      <c r="BC241" s="9" t="s">
        <v>2249</v>
      </c>
      <c r="BD241" s="9" t="s">
        <v>2240</v>
      </c>
      <c r="BE241" s="9" t="s">
        <v>100</v>
      </c>
      <c r="BF241" s="33" t="s">
        <v>98</v>
      </c>
    </row>
    <row r="242" spans="1:58" s="7" customFormat="1" ht="78" x14ac:dyDescent="0.3">
      <c r="A242" s="8">
        <v>490</v>
      </c>
      <c r="B242" s="9" t="s">
        <v>2230</v>
      </c>
      <c r="C242" s="8" t="s">
        <v>71</v>
      </c>
      <c r="D242" s="9" t="s">
        <v>2279</v>
      </c>
      <c r="E242" s="8" t="s">
        <v>39</v>
      </c>
      <c r="F242" s="8" t="s">
        <v>143</v>
      </c>
      <c r="G242" s="8" t="s">
        <v>225</v>
      </c>
      <c r="H242" s="8" t="s">
        <v>225</v>
      </c>
      <c r="I242" s="8" t="s">
        <v>114</v>
      </c>
      <c r="J242" s="9" t="s">
        <v>24</v>
      </c>
      <c r="K242" s="9" t="s">
        <v>2232</v>
      </c>
      <c r="L242" s="9" t="s">
        <v>2264</v>
      </c>
      <c r="M242" s="8" t="s">
        <v>16</v>
      </c>
      <c r="N242" s="11" t="s">
        <v>170</v>
      </c>
      <c r="O242" s="12" t="s">
        <v>207</v>
      </c>
      <c r="P242" s="52" t="s">
        <v>276</v>
      </c>
      <c r="Q242" s="52" t="s">
        <v>752</v>
      </c>
      <c r="R242" s="38" t="s">
        <v>2265</v>
      </c>
      <c r="S242" s="38" t="s">
        <v>2266</v>
      </c>
      <c r="T242" s="9">
        <v>4</v>
      </c>
      <c r="U242" s="13">
        <v>6583</v>
      </c>
      <c r="V242" s="38">
        <v>6599</v>
      </c>
      <c r="W242" s="8" t="s">
        <v>276</v>
      </c>
      <c r="X242" s="8" t="s">
        <v>276</v>
      </c>
      <c r="Y242" s="8">
        <v>4</v>
      </c>
      <c r="Z242" s="9" t="s">
        <v>2236</v>
      </c>
      <c r="AA242" s="8">
        <v>4</v>
      </c>
      <c r="AB242" s="9" t="s">
        <v>2236</v>
      </c>
      <c r="AC242" s="9" t="s">
        <v>2267</v>
      </c>
      <c r="AD242" s="9" t="s">
        <v>689</v>
      </c>
      <c r="AE242" s="8">
        <v>137</v>
      </c>
      <c r="AF242" s="8">
        <v>180</v>
      </c>
      <c r="AG242" s="13">
        <v>6583</v>
      </c>
      <c r="AH242" s="38">
        <v>6599</v>
      </c>
      <c r="AI242" s="38" t="s">
        <v>292</v>
      </c>
      <c r="AJ242" s="14" t="s">
        <v>276</v>
      </c>
      <c r="AK242" s="31">
        <f>AE242*100/AG242</f>
        <v>2.0811180312927235</v>
      </c>
      <c r="AL242" s="14" t="s">
        <v>276</v>
      </c>
      <c r="AM242" s="14" t="s">
        <v>276</v>
      </c>
      <c r="AN242" s="14" t="s">
        <v>276</v>
      </c>
      <c r="AO242" s="31">
        <f>AF242*100/AH242</f>
        <v>2.7276860130322778</v>
      </c>
      <c r="AP242" s="14" t="s">
        <v>276</v>
      </c>
      <c r="AQ242" s="14" t="s">
        <v>276</v>
      </c>
      <c r="AR242" s="8" t="s">
        <v>268</v>
      </c>
      <c r="AS242" s="14" t="s">
        <v>276</v>
      </c>
      <c r="AT242" s="14">
        <f t="shared" si="37"/>
        <v>0.76296099380559346</v>
      </c>
      <c r="AU242" s="14" t="s">
        <v>276</v>
      </c>
      <c r="AV242" s="14" t="s">
        <v>276</v>
      </c>
      <c r="AW242" s="8" t="s">
        <v>276</v>
      </c>
      <c r="AX242" s="8" t="s">
        <v>282</v>
      </c>
      <c r="AY242" s="8" t="s">
        <v>276</v>
      </c>
      <c r="AZ242" s="8" t="s">
        <v>276</v>
      </c>
      <c r="BA242" s="8" t="s">
        <v>276</v>
      </c>
      <c r="BB242" s="8" t="s">
        <v>276</v>
      </c>
      <c r="BC242" s="9" t="s">
        <v>2249</v>
      </c>
      <c r="BD242" s="9" t="s">
        <v>2240</v>
      </c>
      <c r="BE242" s="9" t="s">
        <v>100</v>
      </c>
      <c r="BF242" s="33" t="s">
        <v>98</v>
      </c>
    </row>
    <row r="243" spans="1:58" s="7" customFormat="1" ht="78" x14ac:dyDescent="0.3">
      <c r="A243" s="8">
        <v>490</v>
      </c>
      <c r="B243" s="9" t="s">
        <v>2230</v>
      </c>
      <c r="C243" s="8" t="s">
        <v>71</v>
      </c>
      <c r="D243" s="9" t="s">
        <v>2280</v>
      </c>
      <c r="E243" s="8" t="s">
        <v>39</v>
      </c>
      <c r="F243" s="8" t="s">
        <v>143</v>
      </c>
      <c r="G243" s="8" t="s">
        <v>225</v>
      </c>
      <c r="H243" s="8" t="s">
        <v>225</v>
      </c>
      <c r="I243" s="8" t="s">
        <v>114</v>
      </c>
      <c r="J243" s="9" t="s">
        <v>24</v>
      </c>
      <c r="K243" s="9" t="s">
        <v>2232</v>
      </c>
      <c r="L243" s="9" t="s">
        <v>2270</v>
      </c>
      <c r="M243" s="8" t="s">
        <v>16</v>
      </c>
      <c r="N243" s="11" t="s">
        <v>170</v>
      </c>
      <c r="O243" s="12" t="s">
        <v>207</v>
      </c>
      <c r="P243" s="52">
        <v>42735</v>
      </c>
      <c r="Q243" s="52" t="s">
        <v>770</v>
      </c>
      <c r="R243" s="38" t="s">
        <v>2271</v>
      </c>
      <c r="S243" s="38" t="s">
        <v>2272</v>
      </c>
      <c r="T243" s="9">
        <v>4</v>
      </c>
      <c r="U243" s="13">
        <v>6583</v>
      </c>
      <c r="V243" s="38">
        <v>6599</v>
      </c>
      <c r="W243" s="8" t="s">
        <v>276</v>
      </c>
      <c r="X243" s="8" t="s">
        <v>276</v>
      </c>
      <c r="Y243" s="8">
        <v>4</v>
      </c>
      <c r="Z243" s="9" t="s">
        <v>2236</v>
      </c>
      <c r="AA243" s="8">
        <v>4</v>
      </c>
      <c r="AB243" s="9" t="s">
        <v>2236</v>
      </c>
      <c r="AC243" s="9" t="s">
        <v>2273</v>
      </c>
      <c r="AD243" s="9" t="s">
        <v>689</v>
      </c>
      <c r="AE243" s="8">
        <v>174</v>
      </c>
      <c r="AF243" s="8">
        <v>225</v>
      </c>
      <c r="AG243" s="13">
        <v>6583</v>
      </c>
      <c r="AH243" s="38">
        <v>6599</v>
      </c>
      <c r="AI243" s="38" t="s">
        <v>292</v>
      </c>
      <c r="AJ243" s="14" t="s">
        <v>276</v>
      </c>
      <c r="AK243" s="31">
        <f>AE243*100/AG243</f>
        <v>2.643171806167401</v>
      </c>
      <c r="AL243" s="14" t="s">
        <v>276</v>
      </c>
      <c r="AM243" s="14" t="s">
        <v>276</v>
      </c>
      <c r="AN243" s="14" t="s">
        <v>276</v>
      </c>
      <c r="AO243" s="31">
        <f>AF243*100/AH243</f>
        <v>3.4096075162903472</v>
      </c>
      <c r="AP243" s="14" t="s">
        <v>276</v>
      </c>
      <c r="AQ243" s="14" t="s">
        <v>276</v>
      </c>
      <c r="AR243" s="8" t="s">
        <v>268</v>
      </c>
      <c r="AS243" s="14" t="s">
        <v>276</v>
      </c>
      <c r="AT243" s="14">
        <f t="shared" si="37"/>
        <v>0.77521292217327464</v>
      </c>
      <c r="AU243" s="14" t="s">
        <v>276</v>
      </c>
      <c r="AV243" s="14" t="s">
        <v>276</v>
      </c>
      <c r="AW243" s="8" t="s">
        <v>276</v>
      </c>
      <c r="AX243" s="8" t="s">
        <v>282</v>
      </c>
      <c r="AY243" s="8" t="s">
        <v>276</v>
      </c>
      <c r="AZ243" s="8" t="s">
        <v>276</v>
      </c>
      <c r="BA243" s="8" t="s">
        <v>276</v>
      </c>
      <c r="BB243" s="8" t="s">
        <v>276</v>
      </c>
      <c r="BC243" s="9" t="s">
        <v>2249</v>
      </c>
      <c r="BD243" s="9" t="s">
        <v>2240</v>
      </c>
      <c r="BE243" s="9" t="s">
        <v>100</v>
      </c>
      <c r="BF243" s="33" t="s">
        <v>98</v>
      </c>
    </row>
    <row r="244" spans="1:58" s="87" customFormat="1" ht="78" x14ac:dyDescent="0.3">
      <c r="A244" s="72">
        <v>490</v>
      </c>
      <c r="B244" s="73" t="s">
        <v>2230</v>
      </c>
      <c r="C244" s="72" t="s">
        <v>71</v>
      </c>
      <c r="D244" s="73" t="s">
        <v>2281</v>
      </c>
      <c r="E244" s="72" t="s">
        <v>39</v>
      </c>
      <c r="F244" s="72" t="s">
        <v>143</v>
      </c>
      <c r="G244" s="72" t="s">
        <v>225</v>
      </c>
      <c r="H244" s="72" t="s">
        <v>225</v>
      </c>
      <c r="I244" s="72" t="s">
        <v>114</v>
      </c>
      <c r="J244" s="73" t="s">
        <v>24</v>
      </c>
      <c r="K244" s="73" t="s">
        <v>2232</v>
      </c>
      <c r="L244" s="73" t="s">
        <v>2233</v>
      </c>
      <c r="M244" s="72" t="s">
        <v>16</v>
      </c>
      <c r="N244" s="84" t="s">
        <v>170</v>
      </c>
      <c r="O244" s="85" t="s">
        <v>207</v>
      </c>
      <c r="P244" s="77">
        <v>42369</v>
      </c>
      <c r="Q244" s="77" t="s">
        <v>766</v>
      </c>
      <c r="R244" s="75" t="s">
        <v>2234</v>
      </c>
      <c r="S244" s="75" t="s">
        <v>2235</v>
      </c>
      <c r="T244" s="73">
        <v>4</v>
      </c>
      <c r="U244" s="74">
        <v>6583</v>
      </c>
      <c r="V244" s="75">
        <v>6599</v>
      </c>
      <c r="W244" s="72" t="s">
        <v>276</v>
      </c>
      <c r="X244" s="72" t="s">
        <v>276</v>
      </c>
      <c r="Y244" s="72">
        <v>6</v>
      </c>
      <c r="Z244" s="73" t="s">
        <v>894</v>
      </c>
      <c r="AA244" s="72">
        <v>10</v>
      </c>
      <c r="AB244" s="73" t="s">
        <v>894</v>
      </c>
      <c r="AC244" s="73" t="s">
        <v>2282</v>
      </c>
      <c r="AD244" s="73" t="s">
        <v>2238</v>
      </c>
      <c r="AE244" s="72">
        <v>160</v>
      </c>
      <c r="AF244" s="72">
        <v>210</v>
      </c>
      <c r="AG244" s="74">
        <v>62298</v>
      </c>
      <c r="AH244" s="74">
        <v>62484</v>
      </c>
      <c r="AI244" s="74" t="s">
        <v>425</v>
      </c>
      <c r="AJ244" s="76" t="s">
        <v>276</v>
      </c>
      <c r="AK244" s="86">
        <f>AE244*1000/AG244</f>
        <v>2.568300748017593</v>
      </c>
      <c r="AL244" s="76" t="s">
        <v>276</v>
      </c>
      <c r="AM244" s="76" t="s">
        <v>276</v>
      </c>
      <c r="AN244" s="76" t="s">
        <v>276</v>
      </c>
      <c r="AO244" s="86">
        <f>AF244*1000/AH244</f>
        <v>3.3608603802573458</v>
      </c>
      <c r="AP244" s="76" t="s">
        <v>276</v>
      </c>
      <c r="AQ244" s="76" t="s">
        <v>276</v>
      </c>
      <c r="AR244" s="72" t="s">
        <v>269</v>
      </c>
      <c r="AS244" s="76">
        <v>0.76</v>
      </c>
      <c r="AT244" s="76">
        <f t="shared" ref="AT244:AT267" si="38">AK244/AO244</f>
        <v>0.76417954256729181</v>
      </c>
      <c r="AU244" s="76">
        <v>0.62</v>
      </c>
      <c r="AV244" s="76">
        <v>0.94</v>
      </c>
      <c r="AW244" s="72" t="s">
        <v>276</v>
      </c>
      <c r="AX244" s="72" t="s">
        <v>282</v>
      </c>
      <c r="AY244" s="72" t="s">
        <v>276</v>
      </c>
      <c r="AZ244" s="72" t="s">
        <v>276</v>
      </c>
      <c r="BA244" s="72" t="s">
        <v>276</v>
      </c>
      <c r="BB244" s="72" t="s">
        <v>276</v>
      </c>
      <c r="BC244" s="73" t="s">
        <v>1029</v>
      </c>
      <c r="BD244" s="73" t="s">
        <v>2240</v>
      </c>
      <c r="BE244" s="9" t="s">
        <v>100</v>
      </c>
      <c r="BF244" s="33" t="s">
        <v>98</v>
      </c>
    </row>
    <row r="245" spans="1:58" s="87" customFormat="1" ht="78" x14ac:dyDescent="0.3">
      <c r="A245" s="72">
        <v>490</v>
      </c>
      <c r="B245" s="73" t="s">
        <v>2230</v>
      </c>
      <c r="C245" s="72" t="s">
        <v>71</v>
      </c>
      <c r="D245" s="73" t="s">
        <v>2283</v>
      </c>
      <c r="E245" s="72" t="s">
        <v>39</v>
      </c>
      <c r="F245" s="72" t="s">
        <v>143</v>
      </c>
      <c r="G245" s="72" t="s">
        <v>225</v>
      </c>
      <c r="H245" s="72" t="s">
        <v>225</v>
      </c>
      <c r="I245" s="72" t="s">
        <v>114</v>
      </c>
      <c r="J245" s="73" t="s">
        <v>24</v>
      </c>
      <c r="K245" s="73" t="s">
        <v>2232</v>
      </c>
      <c r="L245" s="73" t="s">
        <v>2233</v>
      </c>
      <c r="M245" s="72" t="s">
        <v>16</v>
      </c>
      <c r="N245" s="84" t="s">
        <v>170</v>
      </c>
      <c r="O245" s="85" t="s">
        <v>207</v>
      </c>
      <c r="P245" s="77">
        <v>42369</v>
      </c>
      <c r="Q245" s="77" t="s">
        <v>766</v>
      </c>
      <c r="R245" s="75" t="s">
        <v>2234</v>
      </c>
      <c r="S245" s="75" t="s">
        <v>2235</v>
      </c>
      <c r="T245" s="73">
        <v>4</v>
      </c>
      <c r="U245" s="74">
        <v>6583</v>
      </c>
      <c r="V245" s="75">
        <v>6599</v>
      </c>
      <c r="W245" s="72" t="s">
        <v>276</v>
      </c>
      <c r="X245" s="72" t="s">
        <v>276</v>
      </c>
      <c r="Y245" s="72">
        <v>6</v>
      </c>
      <c r="Z245" s="73" t="s">
        <v>894</v>
      </c>
      <c r="AA245" s="72">
        <v>10</v>
      </c>
      <c r="AB245" s="73" t="s">
        <v>894</v>
      </c>
      <c r="AC245" s="73" t="s">
        <v>2282</v>
      </c>
      <c r="AD245" s="73" t="s">
        <v>689</v>
      </c>
      <c r="AE245" s="72">
        <v>160</v>
      </c>
      <c r="AF245" s="72">
        <v>210</v>
      </c>
      <c r="AG245" s="74">
        <v>6583</v>
      </c>
      <c r="AH245" s="75">
        <v>6599</v>
      </c>
      <c r="AI245" s="75" t="s">
        <v>292</v>
      </c>
      <c r="AJ245" s="76">
        <v>2.4300000000000002</v>
      </c>
      <c r="AK245" s="86">
        <f>AE245*100/AG245</f>
        <v>2.4305028102688744</v>
      </c>
      <c r="AL245" s="76" t="s">
        <v>276</v>
      </c>
      <c r="AM245" s="76" t="s">
        <v>276</v>
      </c>
      <c r="AN245" s="76">
        <v>3.18</v>
      </c>
      <c r="AO245" s="86">
        <f>AF245*100/AH245</f>
        <v>3.1823003485376571</v>
      </c>
      <c r="AP245" s="76" t="s">
        <v>276</v>
      </c>
      <c r="AQ245" s="76" t="s">
        <v>276</v>
      </c>
      <c r="AR245" s="72" t="s">
        <v>268</v>
      </c>
      <c r="AS245" s="76" t="s">
        <v>276</v>
      </c>
      <c r="AT245" s="76">
        <f t="shared" si="38"/>
        <v>0.7637565735697287</v>
      </c>
      <c r="AU245" s="76" t="s">
        <v>276</v>
      </c>
      <c r="AV245" s="76" t="s">
        <v>276</v>
      </c>
      <c r="AW245" s="72" t="s">
        <v>276</v>
      </c>
      <c r="AX245" s="72" t="s">
        <v>282</v>
      </c>
      <c r="AY245" s="72" t="s">
        <v>276</v>
      </c>
      <c r="AZ245" s="72" t="s">
        <v>276</v>
      </c>
      <c r="BA245" s="72" t="s">
        <v>276</v>
      </c>
      <c r="BB245" s="72" t="s">
        <v>276</v>
      </c>
      <c r="BC245" s="73" t="s">
        <v>2284</v>
      </c>
      <c r="BD245" s="73" t="s">
        <v>2240</v>
      </c>
      <c r="BE245" s="9" t="s">
        <v>100</v>
      </c>
      <c r="BF245" s="33" t="s">
        <v>98</v>
      </c>
    </row>
    <row r="246" spans="1:58" s="7" customFormat="1" ht="78" x14ac:dyDescent="0.3">
      <c r="A246" s="8">
        <v>490</v>
      </c>
      <c r="B246" s="9" t="s">
        <v>2230</v>
      </c>
      <c r="C246" s="8" t="s">
        <v>71</v>
      </c>
      <c r="D246" s="9" t="s">
        <v>2285</v>
      </c>
      <c r="E246" s="8" t="s">
        <v>39</v>
      </c>
      <c r="F246" s="8" t="s">
        <v>143</v>
      </c>
      <c r="G246" s="8" t="s">
        <v>225</v>
      </c>
      <c r="H246" s="8" t="s">
        <v>225</v>
      </c>
      <c r="I246" s="8" t="s">
        <v>114</v>
      </c>
      <c r="J246" s="9" t="s">
        <v>23</v>
      </c>
      <c r="K246" s="9" t="s">
        <v>2286</v>
      </c>
      <c r="L246" s="9" t="s">
        <v>2233</v>
      </c>
      <c r="M246" s="8" t="s">
        <v>16</v>
      </c>
      <c r="N246" s="11" t="s">
        <v>170</v>
      </c>
      <c r="O246" s="12" t="s">
        <v>207</v>
      </c>
      <c r="P246" s="52">
        <v>42369</v>
      </c>
      <c r="Q246" s="52" t="s">
        <v>766</v>
      </c>
      <c r="R246" s="38" t="s">
        <v>2234</v>
      </c>
      <c r="S246" s="38" t="s">
        <v>2235</v>
      </c>
      <c r="T246" s="9">
        <v>4</v>
      </c>
      <c r="U246" s="13">
        <v>6583</v>
      </c>
      <c r="V246" s="38">
        <v>6599</v>
      </c>
      <c r="W246" s="8" t="s">
        <v>276</v>
      </c>
      <c r="X246" s="8" t="s">
        <v>276</v>
      </c>
      <c r="Y246" s="8">
        <v>0</v>
      </c>
      <c r="Z246" s="9" t="s">
        <v>276</v>
      </c>
      <c r="AA246" s="8">
        <v>0</v>
      </c>
      <c r="AB246" s="9" t="s">
        <v>276</v>
      </c>
      <c r="AC246" s="9" t="s">
        <v>2287</v>
      </c>
      <c r="AD246" s="9" t="s">
        <v>2238</v>
      </c>
      <c r="AE246" s="8">
        <v>868</v>
      </c>
      <c r="AF246" s="8">
        <v>860</v>
      </c>
      <c r="AG246" s="13">
        <v>62298</v>
      </c>
      <c r="AH246" s="13">
        <v>62484</v>
      </c>
      <c r="AI246" s="13" t="s">
        <v>425</v>
      </c>
      <c r="AJ246" s="14">
        <v>13.93</v>
      </c>
      <c r="AK246" s="31">
        <f>AE246*1000/AG246</f>
        <v>13.933031557995442</v>
      </c>
      <c r="AL246" s="14" t="s">
        <v>276</v>
      </c>
      <c r="AM246" s="14" t="s">
        <v>276</v>
      </c>
      <c r="AN246" s="14">
        <v>13.76</v>
      </c>
      <c r="AO246" s="31">
        <f>AF246*1000/AH246</f>
        <v>13.763523462006274</v>
      </c>
      <c r="AP246" s="14" t="s">
        <v>276</v>
      </c>
      <c r="AQ246" s="14" t="s">
        <v>276</v>
      </c>
      <c r="AR246" s="8" t="s">
        <v>269</v>
      </c>
      <c r="AS246" s="14">
        <v>1.01</v>
      </c>
      <c r="AT246" s="14">
        <f t="shared" si="38"/>
        <v>1.012315748685799</v>
      </c>
      <c r="AU246" s="14">
        <v>0.92</v>
      </c>
      <c r="AV246" s="14">
        <v>1.1100000000000001</v>
      </c>
      <c r="AW246" s="8" t="s">
        <v>276</v>
      </c>
      <c r="AX246" s="8" t="s">
        <v>282</v>
      </c>
      <c r="AY246" s="8" t="s">
        <v>276</v>
      </c>
      <c r="AZ246" s="8" t="s">
        <v>276</v>
      </c>
      <c r="BA246" s="8" t="s">
        <v>276</v>
      </c>
      <c r="BB246" s="8" t="s">
        <v>276</v>
      </c>
      <c r="BC246" s="9" t="s">
        <v>2288</v>
      </c>
      <c r="BD246" s="9" t="s">
        <v>2240</v>
      </c>
      <c r="BE246" s="9" t="s">
        <v>100</v>
      </c>
      <c r="BF246" s="33" t="s">
        <v>98</v>
      </c>
    </row>
    <row r="247" spans="1:58" s="7" customFormat="1" ht="78" x14ac:dyDescent="0.3">
      <c r="A247" s="8">
        <v>490</v>
      </c>
      <c r="B247" s="9" t="s">
        <v>2230</v>
      </c>
      <c r="C247" s="8" t="s">
        <v>71</v>
      </c>
      <c r="D247" s="9" t="s">
        <v>2289</v>
      </c>
      <c r="E247" s="8" t="s">
        <v>39</v>
      </c>
      <c r="F247" s="8" t="s">
        <v>143</v>
      </c>
      <c r="G247" s="8" t="s">
        <v>225</v>
      </c>
      <c r="H247" s="8" t="s">
        <v>225</v>
      </c>
      <c r="I247" s="8" t="s">
        <v>114</v>
      </c>
      <c r="J247" s="9" t="s">
        <v>23</v>
      </c>
      <c r="K247" s="9" t="s">
        <v>2286</v>
      </c>
      <c r="L247" s="9" t="s">
        <v>2233</v>
      </c>
      <c r="M247" s="8" t="s">
        <v>16</v>
      </c>
      <c r="N247" s="11" t="s">
        <v>170</v>
      </c>
      <c r="O247" s="12" t="s">
        <v>207</v>
      </c>
      <c r="P247" s="52">
        <v>42369</v>
      </c>
      <c r="Q247" s="52" t="s">
        <v>766</v>
      </c>
      <c r="R247" s="38" t="s">
        <v>2234</v>
      </c>
      <c r="S247" s="38" t="s">
        <v>2235</v>
      </c>
      <c r="T247" s="9">
        <v>4</v>
      </c>
      <c r="U247" s="13">
        <v>6583</v>
      </c>
      <c r="V247" s="38">
        <v>6599</v>
      </c>
      <c r="W247" s="8" t="s">
        <v>276</v>
      </c>
      <c r="X247" s="8" t="s">
        <v>276</v>
      </c>
      <c r="Y247" s="8">
        <v>0</v>
      </c>
      <c r="Z247" s="9" t="s">
        <v>276</v>
      </c>
      <c r="AA247" s="8">
        <v>0</v>
      </c>
      <c r="AB247" s="9" t="s">
        <v>276</v>
      </c>
      <c r="AC247" s="9" t="s">
        <v>2287</v>
      </c>
      <c r="AD247" s="9" t="s">
        <v>689</v>
      </c>
      <c r="AE247" s="8">
        <v>868</v>
      </c>
      <c r="AF247" s="8">
        <v>860</v>
      </c>
      <c r="AG247" s="13">
        <v>6583</v>
      </c>
      <c r="AH247" s="38">
        <v>6599</v>
      </c>
      <c r="AI247" s="38" t="s">
        <v>292</v>
      </c>
      <c r="AJ247" s="43">
        <v>13.2</v>
      </c>
      <c r="AK247" s="31">
        <f>AE247*100/AG247</f>
        <v>13.185477745708644</v>
      </c>
      <c r="AL247" s="14" t="s">
        <v>276</v>
      </c>
      <c r="AM247" s="14" t="s">
        <v>276</v>
      </c>
      <c r="AN247" s="43">
        <v>13</v>
      </c>
      <c r="AO247" s="31">
        <f>AF247*100/AH247</f>
        <v>13.032277617820881</v>
      </c>
      <c r="AP247" s="14" t="s">
        <v>276</v>
      </c>
      <c r="AQ247" s="14" t="s">
        <v>276</v>
      </c>
      <c r="AR247" s="8" t="s">
        <v>268</v>
      </c>
      <c r="AS247" s="14" t="s">
        <v>276</v>
      </c>
      <c r="AT247" s="14">
        <f t="shared" si="38"/>
        <v>1.0117554377201319</v>
      </c>
      <c r="AU247" s="14" t="s">
        <v>276</v>
      </c>
      <c r="AV247" s="14" t="s">
        <v>276</v>
      </c>
      <c r="AW247" s="8" t="s">
        <v>276</v>
      </c>
      <c r="AX247" s="8" t="s">
        <v>282</v>
      </c>
      <c r="AY247" s="8" t="s">
        <v>276</v>
      </c>
      <c r="AZ247" s="8" t="s">
        <v>276</v>
      </c>
      <c r="BA247" s="8" t="s">
        <v>276</v>
      </c>
      <c r="BB247" s="8" t="s">
        <v>276</v>
      </c>
      <c r="BC247" s="9" t="s">
        <v>2284</v>
      </c>
      <c r="BD247" s="9" t="s">
        <v>2240</v>
      </c>
      <c r="BE247" s="9" t="s">
        <v>100</v>
      </c>
      <c r="BF247" s="33" t="s">
        <v>98</v>
      </c>
    </row>
    <row r="248" spans="1:58" s="7" customFormat="1" ht="78" x14ac:dyDescent="0.3">
      <c r="A248" s="8">
        <v>2584</v>
      </c>
      <c r="B248" s="8" t="s">
        <v>2323</v>
      </c>
      <c r="C248" s="9" t="s">
        <v>67</v>
      </c>
      <c r="D248" s="9" t="s">
        <v>2324</v>
      </c>
      <c r="E248" s="8" t="s">
        <v>37</v>
      </c>
      <c r="F248" s="8" t="s">
        <v>2325</v>
      </c>
      <c r="G248" s="9" t="s">
        <v>129</v>
      </c>
      <c r="H248" s="8" t="s">
        <v>225</v>
      </c>
      <c r="I248" s="8" t="s">
        <v>98</v>
      </c>
      <c r="J248" s="9" t="s">
        <v>24</v>
      </c>
      <c r="K248" s="9" t="s">
        <v>2326</v>
      </c>
      <c r="L248" s="9" t="s">
        <v>2327</v>
      </c>
      <c r="M248" s="8" t="s">
        <v>14</v>
      </c>
      <c r="N248" s="11" t="s">
        <v>98</v>
      </c>
      <c r="O248" s="12" t="s">
        <v>208</v>
      </c>
      <c r="P248" s="41">
        <v>39447</v>
      </c>
      <c r="Q248" s="9" t="s">
        <v>2328</v>
      </c>
      <c r="R248" s="38" t="s">
        <v>2329</v>
      </c>
      <c r="S248" s="9" t="s">
        <v>2330</v>
      </c>
      <c r="T248" s="51" t="s">
        <v>2331</v>
      </c>
      <c r="U248" s="13">
        <v>169159</v>
      </c>
      <c r="V248" s="38">
        <v>334232</v>
      </c>
      <c r="W248" s="38" t="s">
        <v>2332</v>
      </c>
      <c r="X248" s="9" t="s">
        <v>2333</v>
      </c>
      <c r="Y248" s="8" t="s">
        <v>276</v>
      </c>
      <c r="Z248" s="8" t="s">
        <v>276</v>
      </c>
      <c r="AA248" s="8" t="s">
        <v>276</v>
      </c>
      <c r="AB248" s="8" t="s">
        <v>276</v>
      </c>
      <c r="AC248" s="9" t="s">
        <v>2334</v>
      </c>
      <c r="AD248" s="9" t="s">
        <v>1176</v>
      </c>
      <c r="AE248" s="8">
        <v>19</v>
      </c>
      <c r="AF248" s="8">
        <v>34</v>
      </c>
      <c r="AG248" s="13">
        <v>169159</v>
      </c>
      <c r="AH248" s="38">
        <v>334232</v>
      </c>
      <c r="AI248" s="38" t="s">
        <v>281</v>
      </c>
      <c r="AJ248" s="14" t="s">
        <v>276</v>
      </c>
      <c r="AK248" s="31">
        <f>AE248*1000/AG248</f>
        <v>0.11232036131686757</v>
      </c>
      <c r="AL248" s="14" t="s">
        <v>276</v>
      </c>
      <c r="AM248" s="14" t="s">
        <v>276</v>
      </c>
      <c r="AN248" s="14" t="s">
        <v>276</v>
      </c>
      <c r="AO248" s="31">
        <f>AF248*1000/AH248</f>
        <v>0.1017257473850499</v>
      </c>
      <c r="AP248" s="14" t="s">
        <v>276</v>
      </c>
      <c r="AQ248" s="14" t="s">
        <v>276</v>
      </c>
      <c r="AR248" s="8" t="s">
        <v>268</v>
      </c>
      <c r="AS248" s="14" t="s">
        <v>276</v>
      </c>
      <c r="AT248" s="14">
        <f t="shared" si="38"/>
        <v>1.104148794225273</v>
      </c>
      <c r="AU248" s="14" t="s">
        <v>276</v>
      </c>
      <c r="AV248" s="14" t="s">
        <v>276</v>
      </c>
      <c r="AW248" s="8" t="s">
        <v>276</v>
      </c>
      <c r="AX248" s="8" t="s">
        <v>282</v>
      </c>
      <c r="AY248" s="8" t="s">
        <v>276</v>
      </c>
      <c r="AZ248" s="8" t="s">
        <v>276</v>
      </c>
      <c r="BA248" s="8" t="s">
        <v>276</v>
      </c>
      <c r="BB248" s="8" t="s">
        <v>276</v>
      </c>
      <c r="BC248" s="9" t="s">
        <v>2335</v>
      </c>
      <c r="BD248" s="9"/>
      <c r="BE248" s="9" t="s">
        <v>99</v>
      </c>
      <c r="BF248" s="33" t="s">
        <v>11162</v>
      </c>
    </row>
    <row r="249" spans="1:58" s="7" customFormat="1" ht="78" x14ac:dyDescent="0.3">
      <c r="A249" s="8">
        <v>2584</v>
      </c>
      <c r="B249" s="8" t="s">
        <v>2323</v>
      </c>
      <c r="C249" s="9" t="s">
        <v>67</v>
      </c>
      <c r="D249" s="9" t="s">
        <v>2336</v>
      </c>
      <c r="E249" s="8" t="s">
        <v>37</v>
      </c>
      <c r="F249" s="8" t="s">
        <v>2325</v>
      </c>
      <c r="G249" s="9" t="s">
        <v>129</v>
      </c>
      <c r="H249" s="8" t="s">
        <v>225</v>
      </c>
      <c r="I249" s="8" t="s">
        <v>98</v>
      </c>
      <c r="J249" s="9" t="s">
        <v>24</v>
      </c>
      <c r="K249" s="9" t="s">
        <v>2326</v>
      </c>
      <c r="L249" s="9" t="s">
        <v>2327</v>
      </c>
      <c r="M249" s="8" t="s">
        <v>14</v>
      </c>
      <c r="N249" s="11" t="s">
        <v>98</v>
      </c>
      <c r="O249" s="12" t="s">
        <v>208</v>
      </c>
      <c r="P249" s="41">
        <v>39447</v>
      </c>
      <c r="Q249" s="9" t="s">
        <v>2328</v>
      </c>
      <c r="R249" s="38" t="s">
        <v>2329</v>
      </c>
      <c r="S249" s="9" t="s">
        <v>2330</v>
      </c>
      <c r="T249" s="51" t="s">
        <v>2331</v>
      </c>
      <c r="U249" s="13">
        <v>169159</v>
      </c>
      <c r="V249" s="38">
        <v>334232</v>
      </c>
      <c r="W249" s="38" t="s">
        <v>2332</v>
      </c>
      <c r="X249" s="9" t="s">
        <v>2333</v>
      </c>
      <c r="Y249" s="8" t="s">
        <v>276</v>
      </c>
      <c r="Z249" s="8" t="s">
        <v>276</v>
      </c>
      <c r="AA249" s="8" t="s">
        <v>276</v>
      </c>
      <c r="AB249" s="8" t="s">
        <v>276</v>
      </c>
      <c r="AC249" s="9" t="s">
        <v>2334</v>
      </c>
      <c r="AD249" s="9" t="s">
        <v>2337</v>
      </c>
      <c r="AE249" s="8">
        <v>19</v>
      </c>
      <c r="AF249" s="8">
        <v>34</v>
      </c>
      <c r="AG249" s="13">
        <v>1066203</v>
      </c>
      <c r="AH249" s="38">
        <v>2110600</v>
      </c>
      <c r="AI249" s="38" t="s">
        <v>1019</v>
      </c>
      <c r="AJ249" s="14" t="s">
        <v>276</v>
      </c>
      <c r="AK249" s="31">
        <f>AE249*100000/AG249</f>
        <v>1.7820246238286706</v>
      </c>
      <c r="AL249" s="14" t="s">
        <v>276</v>
      </c>
      <c r="AM249" s="14" t="s">
        <v>276</v>
      </c>
      <c r="AN249" s="14" t="s">
        <v>276</v>
      </c>
      <c r="AO249" s="31">
        <f>AF249*100000/AH249</f>
        <v>1.6109163271107743</v>
      </c>
      <c r="AP249" s="14" t="s">
        <v>276</v>
      </c>
      <c r="AQ249" s="14" t="s">
        <v>276</v>
      </c>
      <c r="AR249" s="8" t="s">
        <v>269</v>
      </c>
      <c r="AS249" s="14">
        <v>1.1100000000000001</v>
      </c>
      <c r="AT249" s="14">
        <f t="shared" si="38"/>
        <v>1.1062179914861152</v>
      </c>
      <c r="AU249" s="14">
        <v>0.62</v>
      </c>
      <c r="AV249" s="14">
        <v>1.92</v>
      </c>
      <c r="AW249" s="8" t="s">
        <v>691</v>
      </c>
      <c r="AX249" s="8" t="s">
        <v>282</v>
      </c>
      <c r="AY249" s="8" t="s">
        <v>276</v>
      </c>
      <c r="AZ249" s="8" t="s">
        <v>276</v>
      </c>
      <c r="BA249" s="8" t="s">
        <v>276</v>
      </c>
      <c r="BB249" s="8" t="s">
        <v>276</v>
      </c>
      <c r="BC249" s="9" t="s">
        <v>2338</v>
      </c>
      <c r="BD249" s="9"/>
      <c r="BE249" s="9" t="s">
        <v>99</v>
      </c>
      <c r="BF249" s="33" t="s">
        <v>11162</v>
      </c>
    </row>
    <row r="250" spans="1:58" s="87" customFormat="1" ht="39" x14ac:dyDescent="0.3">
      <c r="A250" s="72">
        <v>2584</v>
      </c>
      <c r="B250" s="72" t="s">
        <v>2323</v>
      </c>
      <c r="C250" s="73" t="s">
        <v>67</v>
      </c>
      <c r="D250" s="73" t="s">
        <v>2339</v>
      </c>
      <c r="E250" s="72" t="s">
        <v>37</v>
      </c>
      <c r="F250" s="72" t="s">
        <v>2325</v>
      </c>
      <c r="G250" s="73" t="s">
        <v>129</v>
      </c>
      <c r="H250" s="72" t="s">
        <v>225</v>
      </c>
      <c r="I250" s="72" t="s">
        <v>98</v>
      </c>
      <c r="J250" s="73" t="s">
        <v>23</v>
      </c>
      <c r="K250" s="73" t="s">
        <v>2326</v>
      </c>
      <c r="L250" s="73" t="s">
        <v>2327</v>
      </c>
      <c r="M250" s="72" t="s">
        <v>14</v>
      </c>
      <c r="N250" s="84" t="s">
        <v>98</v>
      </c>
      <c r="O250" s="85" t="s">
        <v>208</v>
      </c>
      <c r="P250" s="88">
        <v>39447</v>
      </c>
      <c r="Q250" s="73" t="s">
        <v>2328</v>
      </c>
      <c r="R250" s="75" t="s">
        <v>2329</v>
      </c>
      <c r="S250" s="73" t="s">
        <v>2330</v>
      </c>
      <c r="T250" s="89" t="s">
        <v>2331</v>
      </c>
      <c r="U250" s="74">
        <v>169159</v>
      </c>
      <c r="V250" s="75">
        <v>334232</v>
      </c>
      <c r="W250" s="75" t="s">
        <v>2340</v>
      </c>
      <c r="X250" s="73" t="s">
        <v>2341</v>
      </c>
      <c r="Y250" s="72">
        <v>0</v>
      </c>
      <c r="Z250" s="72" t="s">
        <v>98</v>
      </c>
      <c r="AA250" s="72">
        <v>0</v>
      </c>
      <c r="AB250" s="72" t="s">
        <v>98</v>
      </c>
      <c r="AC250" s="73" t="s">
        <v>2342</v>
      </c>
      <c r="AD250" s="73" t="s">
        <v>1176</v>
      </c>
      <c r="AE250" s="72">
        <v>3745</v>
      </c>
      <c r="AF250" s="72">
        <v>7327</v>
      </c>
      <c r="AG250" s="74">
        <v>169159</v>
      </c>
      <c r="AH250" s="75">
        <v>334232</v>
      </c>
      <c r="AI250" s="75" t="s">
        <v>281</v>
      </c>
      <c r="AJ250" s="76" t="s">
        <v>276</v>
      </c>
      <c r="AK250" s="86">
        <f>AE250*1000/AG250</f>
        <v>22.138934375351003</v>
      </c>
      <c r="AL250" s="76" t="s">
        <v>276</v>
      </c>
      <c r="AM250" s="76" t="s">
        <v>276</v>
      </c>
      <c r="AN250" s="76" t="s">
        <v>276</v>
      </c>
      <c r="AO250" s="86">
        <f>AF250*1000/AH250</f>
        <v>21.921898561478255</v>
      </c>
      <c r="AP250" s="76" t="s">
        <v>276</v>
      </c>
      <c r="AQ250" s="76" t="s">
        <v>276</v>
      </c>
      <c r="AR250" s="72" t="s">
        <v>268</v>
      </c>
      <c r="AS250" s="76" t="s">
        <v>276</v>
      </c>
      <c r="AT250" s="76">
        <f t="shared" si="38"/>
        <v>1.009900411374685</v>
      </c>
      <c r="AU250" s="76" t="s">
        <v>276</v>
      </c>
      <c r="AV250" s="76" t="s">
        <v>276</v>
      </c>
      <c r="AW250" s="72" t="s">
        <v>276</v>
      </c>
      <c r="AX250" s="72" t="s">
        <v>282</v>
      </c>
      <c r="AY250" s="72" t="s">
        <v>276</v>
      </c>
      <c r="AZ250" s="72" t="s">
        <v>276</v>
      </c>
      <c r="BA250" s="72" t="s">
        <v>276</v>
      </c>
      <c r="BB250" s="72" t="s">
        <v>276</v>
      </c>
      <c r="BC250" s="73" t="s">
        <v>1168</v>
      </c>
      <c r="BD250" s="73"/>
      <c r="BE250" s="9" t="s">
        <v>100</v>
      </c>
      <c r="BF250" s="33" t="s">
        <v>98</v>
      </c>
    </row>
    <row r="251" spans="1:58" s="87" customFormat="1" ht="39" x14ac:dyDescent="0.3">
      <c r="A251" s="72">
        <v>2584</v>
      </c>
      <c r="B251" s="72" t="s">
        <v>2323</v>
      </c>
      <c r="C251" s="73" t="s">
        <v>67</v>
      </c>
      <c r="D251" s="73" t="s">
        <v>2343</v>
      </c>
      <c r="E251" s="72" t="s">
        <v>37</v>
      </c>
      <c r="F251" s="72" t="s">
        <v>2325</v>
      </c>
      <c r="G251" s="73" t="s">
        <v>129</v>
      </c>
      <c r="H251" s="72" t="s">
        <v>225</v>
      </c>
      <c r="I251" s="72" t="s">
        <v>98</v>
      </c>
      <c r="J251" s="73" t="s">
        <v>23</v>
      </c>
      <c r="K251" s="73" t="s">
        <v>2326</v>
      </c>
      <c r="L251" s="73" t="s">
        <v>2327</v>
      </c>
      <c r="M251" s="72" t="s">
        <v>14</v>
      </c>
      <c r="N251" s="84" t="s">
        <v>98</v>
      </c>
      <c r="O251" s="85" t="s">
        <v>208</v>
      </c>
      <c r="P251" s="88">
        <v>39447</v>
      </c>
      <c r="Q251" s="73" t="s">
        <v>2328</v>
      </c>
      <c r="R251" s="75" t="s">
        <v>2329</v>
      </c>
      <c r="S251" s="73" t="s">
        <v>2330</v>
      </c>
      <c r="T251" s="89" t="s">
        <v>2331</v>
      </c>
      <c r="U251" s="74">
        <v>169159</v>
      </c>
      <c r="V251" s="75">
        <v>334232</v>
      </c>
      <c r="W251" s="75" t="s">
        <v>2340</v>
      </c>
      <c r="X251" s="73" t="s">
        <v>2341</v>
      </c>
      <c r="Y251" s="72">
        <v>0</v>
      </c>
      <c r="Z251" s="72" t="s">
        <v>98</v>
      </c>
      <c r="AA251" s="72">
        <v>0</v>
      </c>
      <c r="AB251" s="72" t="s">
        <v>98</v>
      </c>
      <c r="AC251" s="73" t="s">
        <v>2342</v>
      </c>
      <c r="AD251" s="73" t="s">
        <v>2337</v>
      </c>
      <c r="AE251" s="72">
        <v>3745</v>
      </c>
      <c r="AF251" s="72">
        <v>7327</v>
      </c>
      <c r="AG251" s="74">
        <v>1066203</v>
      </c>
      <c r="AH251" s="75">
        <v>2110600</v>
      </c>
      <c r="AI251" s="75" t="s">
        <v>1019</v>
      </c>
      <c r="AJ251" s="76" t="s">
        <v>276</v>
      </c>
      <c r="AK251" s="86">
        <f>AE251*100000/AG251</f>
        <v>351.2464324335985</v>
      </c>
      <c r="AL251" s="76" t="s">
        <v>276</v>
      </c>
      <c r="AM251" s="76" t="s">
        <v>276</v>
      </c>
      <c r="AN251" s="76" t="s">
        <v>276</v>
      </c>
      <c r="AO251" s="86">
        <f>AF251*100000/AH251</f>
        <v>347.15246849237184</v>
      </c>
      <c r="AP251" s="76" t="s">
        <v>276</v>
      </c>
      <c r="AQ251" s="76" t="s">
        <v>276</v>
      </c>
      <c r="AR251" s="72" t="s">
        <v>269</v>
      </c>
      <c r="AS251" s="76" t="s">
        <v>276</v>
      </c>
      <c r="AT251" s="76">
        <f t="shared" si="38"/>
        <v>1.0117929852522902</v>
      </c>
      <c r="AU251" s="76" t="s">
        <v>276</v>
      </c>
      <c r="AV251" s="76" t="s">
        <v>276</v>
      </c>
      <c r="AW251" s="72" t="s">
        <v>276</v>
      </c>
      <c r="AX251" s="72" t="s">
        <v>282</v>
      </c>
      <c r="AY251" s="72" t="s">
        <v>276</v>
      </c>
      <c r="AZ251" s="72" t="s">
        <v>276</v>
      </c>
      <c r="BA251" s="72" t="s">
        <v>276</v>
      </c>
      <c r="BB251" s="72" t="s">
        <v>276</v>
      </c>
      <c r="BC251" s="73" t="s">
        <v>1168</v>
      </c>
      <c r="BD251" s="73"/>
      <c r="BE251" s="9" t="s">
        <v>100</v>
      </c>
      <c r="BF251" s="33" t="s">
        <v>98</v>
      </c>
    </row>
    <row r="252" spans="1:58" s="7" customFormat="1" ht="77.5" customHeight="1" x14ac:dyDescent="0.3">
      <c r="A252" s="8">
        <v>2556</v>
      </c>
      <c r="B252" s="8" t="s">
        <v>2362</v>
      </c>
      <c r="C252" s="9" t="s">
        <v>95</v>
      </c>
      <c r="D252" s="9" t="s">
        <v>2363</v>
      </c>
      <c r="E252" s="8" t="s">
        <v>37</v>
      </c>
      <c r="F252" s="8" t="s">
        <v>136</v>
      </c>
      <c r="G252" s="8" t="s">
        <v>225</v>
      </c>
      <c r="H252" s="8" t="s">
        <v>125</v>
      </c>
      <c r="I252" s="8" t="s">
        <v>114</v>
      </c>
      <c r="J252" s="9" t="s">
        <v>24</v>
      </c>
      <c r="K252" s="9" t="s">
        <v>2364</v>
      </c>
      <c r="L252" s="9" t="s">
        <v>2365</v>
      </c>
      <c r="M252" s="8" t="s">
        <v>14</v>
      </c>
      <c r="N252" s="8" t="s">
        <v>98</v>
      </c>
      <c r="O252" s="9" t="s">
        <v>207</v>
      </c>
      <c r="P252" s="51" t="s">
        <v>2366</v>
      </c>
      <c r="Q252" s="9" t="s">
        <v>2367</v>
      </c>
      <c r="R252" s="9" t="s">
        <v>2368</v>
      </c>
      <c r="S252" s="9" t="s">
        <v>2369</v>
      </c>
      <c r="T252" s="9">
        <v>4</v>
      </c>
      <c r="U252" s="13">
        <v>75360</v>
      </c>
      <c r="V252" s="38">
        <v>76178</v>
      </c>
      <c r="W252" s="8" t="s">
        <v>276</v>
      </c>
      <c r="X252" s="8" t="s">
        <v>276</v>
      </c>
      <c r="Y252" s="8" t="s">
        <v>276</v>
      </c>
      <c r="Z252" s="8" t="s">
        <v>276</v>
      </c>
      <c r="AA252" s="8" t="s">
        <v>276</v>
      </c>
      <c r="AB252" s="8" t="s">
        <v>276</v>
      </c>
      <c r="AC252" s="9" t="s">
        <v>2370</v>
      </c>
      <c r="AD252" s="9" t="s">
        <v>280</v>
      </c>
      <c r="AE252" s="13">
        <v>67</v>
      </c>
      <c r="AF252" s="38">
        <v>98</v>
      </c>
      <c r="AG252" s="13">
        <v>75360</v>
      </c>
      <c r="AH252" s="38">
        <v>76178</v>
      </c>
      <c r="AI252" s="38" t="s">
        <v>281</v>
      </c>
      <c r="AJ252" s="14" t="s">
        <v>276</v>
      </c>
      <c r="AK252" s="31">
        <f>AE252*1000/AG252</f>
        <v>0.88906581740976642</v>
      </c>
      <c r="AL252" s="14" t="s">
        <v>276</v>
      </c>
      <c r="AM252" s="14" t="s">
        <v>276</v>
      </c>
      <c r="AN252" s="14" t="s">
        <v>276</v>
      </c>
      <c r="AO252" s="31">
        <f>AF252*1000/AH252</f>
        <v>1.2864606579327365</v>
      </c>
      <c r="AP252" s="14" t="s">
        <v>276</v>
      </c>
      <c r="AQ252" s="14" t="s">
        <v>276</v>
      </c>
      <c r="AR252" s="8" t="s">
        <v>268</v>
      </c>
      <c r="AS252" s="14" t="s">
        <v>276</v>
      </c>
      <c r="AT252" s="14">
        <f t="shared" si="38"/>
        <v>0.69109444733307335</v>
      </c>
      <c r="AU252" s="14" t="s">
        <v>276</v>
      </c>
      <c r="AV252" s="14" t="s">
        <v>276</v>
      </c>
      <c r="AW252" s="8" t="s">
        <v>276</v>
      </c>
      <c r="AX252" s="8" t="s">
        <v>282</v>
      </c>
      <c r="AY252" s="8" t="s">
        <v>276</v>
      </c>
      <c r="AZ252" s="8" t="s">
        <v>276</v>
      </c>
      <c r="BA252" s="8" t="s">
        <v>276</v>
      </c>
      <c r="BB252" s="8" t="s">
        <v>276</v>
      </c>
      <c r="BC252" s="9" t="s">
        <v>2371</v>
      </c>
      <c r="BD252" s="9"/>
      <c r="BE252" s="9" t="s">
        <v>99</v>
      </c>
      <c r="BF252" s="33" t="s">
        <v>11162</v>
      </c>
    </row>
    <row r="253" spans="1:58" s="7" customFormat="1" ht="65" x14ac:dyDescent="0.3">
      <c r="A253" s="8">
        <v>2556</v>
      </c>
      <c r="B253" s="8" t="s">
        <v>2362</v>
      </c>
      <c r="C253" s="9" t="s">
        <v>95</v>
      </c>
      <c r="D253" s="9" t="s">
        <v>2372</v>
      </c>
      <c r="E253" s="8" t="s">
        <v>37</v>
      </c>
      <c r="F253" s="8" t="s">
        <v>136</v>
      </c>
      <c r="G253" s="8" t="s">
        <v>225</v>
      </c>
      <c r="H253" s="8" t="s">
        <v>125</v>
      </c>
      <c r="I253" s="8" t="s">
        <v>114</v>
      </c>
      <c r="J253" s="9" t="s">
        <v>24</v>
      </c>
      <c r="K253" s="9" t="s">
        <v>2364</v>
      </c>
      <c r="L253" s="9" t="s">
        <v>2365</v>
      </c>
      <c r="M253" s="8" t="s">
        <v>14</v>
      </c>
      <c r="N253" s="8" t="s">
        <v>98</v>
      </c>
      <c r="O253" s="9" t="s">
        <v>207</v>
      </c>
      <c r="P253" s="51" t="s">
        <v>2366</v>
      </c>
      <c r="Q253" s="9" t="s">
        <v>2367</v>
      </c>
      <c r="R253" s="9" t="s">
        <v>2368</v>
      </c>
      <c r="S253" s="9" t="s">
        <v>2369</v>
      </c>
      <c r="T253" s="9">
        <v>4</v>
      </c>
      <c r="U253" s="13">
        <v>75360</v>
      </c>
      <c r="V253" s="38">
        <v>76178</v>
      </c>
      <c r="W253" s="8" t="s">
        <v>276</v>
      </c>
      <c r="X253" s="8" t="s">
        <v>276</v>
      </c>
      <c r="Y253" s="8" t="s">
        <v>276</v>
      </c>
      <c r="Z253" s="8" t="s">
        <v>276</v>
      </c>
      <c r="AA253" s="8" t="s">
        <v>276</v>
      </c>
      <c r="AB253" s="8" t="s">
        <v>276</v>
      </c>
      <c r="AC253" s="9" t="s">
        <v>2370</v>
      </c>
      <c r="AD253" s="9" t="s">
        <v>2373</v>
      </c>
      <c r="AE253" s="13">
        <v>67</v>
      </c>
      <c r="AF253" s="38">
        <v>98</v>
      </c>
      <c r="AG253" s="71">
        <v>602696.5</v>
      </c>
      <c r="AH253" s="71">
        <v>604228.19999999995</v>
      </c>
      <c r="AI253" s="38" t="s">
        <v>1019</v>
      </c>
      <c r="AJ253" s="14">
        <v>11.12</v>
      </c>
      <c r="AK253" s="31">
        <f>AE253*100000/AG253</f>
        <v>11.116706335610045</v>
      </c>
      <c r="AL253" s="14">
        <v>9.09</v>
      </c>
      <c r="AM253" s="14">
        <v>13.78</v>
      </c>
      <c r="AN253" s="14">
        <v>16.22</v>
      </c>
      <c r="AO253" s="31">
        <f>AF253*100000/AH253</f>
        <v>16.219037774138979</v>
      </c>
      <c r="AP253" s="14">
        <v>14.06</v>
      </c>
      <c r="AQ253" s="14">
        <v>18.82</v>
      </c>
      <c r="AR253" s="8" t="s">
        <v>269</v>
      </c>
      <c r="AS253" s="14" t="s">
        <v>276</v>
      </c>
      <c r="AT253" s="14">
        <f t="shared" si="38"/>
        <v>0.68541096521369926</v>
      </c>
      <c r="AU253" s="14" t="s">
        <v>276</v>
      </c>
      <c r="AV253" s="14" t="s">
        <v>276</v>
      </c>
      <c r="AW253" s="8" t="s">
        <v>276</v>
      </c>
      <c r="AX253" s="8" t="s">
        <v>2374</v>
      </c>
      <c r="AY253" s="8">
        <v>0.68500000000000005</v>
      </c>
      <c r="AZ253" s="8">
        <v>0.53500000000000003</v>
      </c>
      <c r="BA253" s="8">
        <v>0.878</v>
      </c>
      <c r="BB253" s="8">
        <v>3.0000000000000001E-3</v>
      </c>
      <c r="BC253" s="9" t="s">
        <v>2375</v>
      </c>
      <c r="BD253" s="9" t="s">
        <v>2376</v>
      </c>
      <c r="BE253" s="9" t="s">
        <v>99</v>
      </c>
      <c r="BF253" s="33" t="s">
        <v>11162</v>
      </c>
    </row>
    <row r="254" spans="1:58" s="7" customFormat="1" ht="67" customHeight="1" x14ac:dyDescent="0.3">
      <c r="A254" s="8">
        <v>2556</v>
      </c>
      <c r="B254" s="8" t="s">
        <v>2362</v>
      </c>
      <c r="C254" s="9" t="s">
        <v>95</v>
      </c>
      <c r="D254" s="9" t="s">
        <v>2377</v>
      </c>
      <c r="E254" s="8" t="s">
        <v>37</v>
      </c>
      <c r="F254" s="8" t="s">
        <v>136</v>
      </c>
      <c r="G254" s="8" t="s">
        <v>225</v>
      </c>
      <c r="H254" s="8" t="s">
        <v>125</v>
      </c>
      <c r="I254" s="8" t="s">
        <v>114</v>
      </c>
      <c r="J254" s="9" t="s">
        <v>23</v>
      </c>
      <c r="K254" s="9" t="s">
        <v>2364</v>
      </c>
      <c r="L254" s="9" t="s">
        <v>2378</v>
      </c>
      <c r="M254" s="8" t="s">
        <v>14</v>
      </c>
      <c r="N254" s="8" t="s">
        <v>98</v>
      </c>
      <c r="O254" s="9" t="s">
        <v>207</v>
      </c>
      <c r="P254" s="51" t="s">
        <v>2366</v>
      </c>
      <c r="Q254" s="9" t="s">
        <v>2367</v>
      </c>
      <c r="R254" s="9" t="s">
        <v>2368</v>
      </c>
      <c r="S254" s="9" t="s">
        <v>2369</v>
      </c>
      <c r="T254" s="9">
        <v>4</v>
      </c>
      <c r="U254" s="13">
        <v>75360</v>
      </c>
      <c r="V254" s="38">
        <v>76178</v>
      </c>
      <c r="W254" s="8" t="s">
        <v>276</v>
      </c>
      <c r="X254" s="8" t="s">
        <v>276</v>
      </c>
      <c r="Y254" s="8">
        <v>0</v>
      </c>
      <c r="Z254" s="8" t="s">
        <v>98</v>
      </c>
      <c r="AA254" s="8">
        <v>0</v>
      </c>
      <c r="AB254" s="8" t="s">
        <v>98</v>
      </c>
      <c r="AC254" s="9" t="s">
        <v>2379</v>
      </c>
      <c r="AD254" s="9" t="s">
        <v>280</v>
      </c>
      <c r="AE254" s="13">
        <v>4909</v>
      </c>
      <c r="AF254" s="38">
        <v>5275</v>
      </c>
      <c r="AG254" s="13">
        <v>75360</v>
      </c>
      <c r="AH254" s="38">
        <v>76178</v>
      </c>
      <c r="AI254" s="38" t="s">
        <v>281</v>
      </c>
      <c r="AJ254" s="14" t="s">
        <v>276</v>
      </c>
      <c r="AK254" s="31">
        <f>AE254*1000/AG254</f>
        <v>65.140658174097666</v>
      </c>
      <c r="AL254" s="14" t="s">
        <v>276</v>
      </c>
      <c r="AM254" s="14" t="s">
        <v>276</v>
      </c>
      <c r="AN254" s="14" t="s">
        <v>276</v>
      </c>
      <c r="AO254" s="31">
        <f>AF254*1000/AH254</f>
        <v>69.245713985665148</v>
      </c>
      <c r="AP254" s="14" t="s">
        <v>276</v>
      </c>
      <c r="AQ254" s="14" t="s">
        <v>276</v>
      </c>
      <c r="AR254" s="8" t="s">
        <v>268</v>
      </c>
      <c r="AS254" s="14" t="s">
        <v>276</v>
      </c>
      <c r="AT254" s="14">
        <f t="shared" si="38"/>
        <v>0.9407175466135379</v>
      </c>
      <c r="AU254" s="14" t="s">
        <v>276</v>
      </c>
      <c r="AV254" s="14" t="s">
        <v>276</v>
      </c>
      <c r="AW254" s="8" t="s">
        <v>276</v>
      </c>
      <c r="AX254" s="8" t="s">
        <v>282</v>
      </c>
      <c r="AY254" s="8" t="s">
        <v>276</v>
      </c>
      <c r="AZ254" s="8" t="s">
        <v>276</v>
      </c>
      <c r="BA254" s="8" t="s">
        <v>276</v>
      </c>
      <c r="BB254" s="8" t="s">
        <v>276</v>
      </c>
      <c r="BC254" s="9" t="s">
        <v>2380</v>
      </c>
      <c r="BD254" s="9" t="s">
        <v>2381</v>
      </c>
      <c r="BE254" s="9" t="s">
        <v>100</v>
      </c>
      <c r="BF254" s="33" t="s">
        <v>98</v>
      </c>
    </row>
    <row r="255" spans="1:58" s="7" customFormat="1" ht="52" x14ac:dyDescent="0.3">
      <c r="A255" s="8">
        <v>2556</v>
      </c>
      <c r="B255" s="8" t="s">
        <v>2362</v>
      </c>
      <c r="C255" s="9" t="s">
        <v>95</v>
      </c>
      <c r="D255" s="9" t="s">
        <v>2382</v>
      </c>
      <c r="E255" s="8" t="s">
        <v>37</v>
      </c>
      <c r="F255" s="8" t="s">
        <v>136</v>
      </c>
      <c r="G255" s="8" t="s">
        <v>225</v>
      </c>
      <c r="H255" s="8" t="s">
        <v>125</v>
      </c>
      <c r="I255" s="8" t="s">
        <v>114</v>
      </c>
      <c r="J255" s="9" t="s">
        <v>23</v>
      </c>
      <c r="K255" s="9" t="s">
        <v>2364</v>
      </c>
      <c r="L255" s="9" t="s">
        <v>2378</v>
      </c>
      <c r="M255" s="8" t="s">
        <v>14</v>
      </c>
      <c r="N255" s="8" t="s">
        <v>98</v>
      </c>
      <c r="O255" s="9" t="s">
        <v>207</v>
      </c>
      <c r="P255" s="51" t="s">
        <v>2366</v>
      </c>
      <c r="Q255" s="9" t="s">
        <v>2367</v>
      </c>
      <c r="R255" s="9" t="s">
        <v>2368</v>
      </c>
      <c r="S255" s="9" t="s">
        <v>2369</v>
      </c>
      <c r="T255" s="9">
        <v>4</v>
      </c>
      <c r="U255" s="13">
        <v>75360</v>
      </c>
      <c r="V255" s="38">
        <v>76178</v>
      </c>
      <c r="W255" s="8" t="s">
        <v>276</v>
      </c>
      <c r="X255" s="8" t="s">
        <v>276</v>
      </c>
      <c r="Y255" s="8">
        <v>0</v>
      </c>
      <c r="Z255" s="8" t="s">
        <v>98</v>
      </c>
      <c r="AA255" s="8">
        <v>0</v>
      </c>
      <c r="AB255" s="8" t="s">
        <v>98</v>
      </c>
      <c r="AC255" s="9" t="s">
        <v>2379</v>
      </c>
      <c r="AD255" s="9" t="s">
        <v>2373</v>
      </c>
      <c r="AE255" s="13">
        <v>4909</v>
      </c>
      <c r="AF255" s="38">
        <v>5275</v>
      </c>
      <c r="AG255" s="71">
        <v>602696.5</v>
      </c>
      <c r="AH255" s="71">
        <v>604228.19999999995</v>
      </c>
      <c r="AI255" s="38" t="s">
        <v>1019</v>
      </c>
      <c r="AJ255" s="14">
        <v>814.51</v>
      </c>
      <c r="AK255" s="31">
        <f>AE255*100000/AG255</f>
        <v>814.50614032104056</v>
      </c>
      <c r="AL255" s="14">
        <v>721.54</v>
      </c>
      <c r="AM255" s="14">
        <v>920.03</v>
      </c>
      <c r="AN255" s="14">
        <v>873.01</v>
      </c>
      <c r="AO255" s="31">
        <f>AF255*100000/AH255</f>
        <v>873.01453325084799</v>
      </c>
      <c r="AP255" s="14">
        <v>778.08</v>
      </c>
      <c r="AQ255" s="14">
        <v>980.08</v>
      </c>
      <c r="AR255" s="8" t="s">
        <v>269</v>
      </c>
      <c r="AS255" s="14" t="s">
        <v>276</v>
      </c>
      <c r="AT255" s="14">
        <f t="shared" si="38"/>
        <v>0.93298119252157297</v>
      </c>
      <c r="AU255" s="14" t="s">
        <v>276</v>
      </c>
      <c r="AV255" s="14" t="s">
        <v>276</v>
      </c>
      <c r="AW255" s="8" t="s">
        <v>276</v>
      </c>
      <c r="AX255" s="8" t="s">
        <v>2374</v>
      </c>
      <c r="AY255" s="8">
        <v>0.93300000000000005</v>
      </c>
      <c r="AZ255" s="8">
        <v>0.79200000000000004</v>
      </c>
      <c r="BA255" s="8">
        <v>1.1000000000000001</v>
      </c>
      <c r="BB255" s="8">
        <v>0.41</v>
      </c>
      <c r="BC255" s="9" t="s">
        <v>2380</v>
      </c>
      <c r="BD255" s="9" t="s">
        <v>2381</v>
      </c>
      <c r="BE255" s="9" t="s">
        <v>100</v>
      </c>
      <c r="BF255" s="33" t="s">
        <v>98</v>
      </c>
    </row>
    <row r="256" spans="1:58" s="7" customFormat="1" ht="91" x14ac:dyDescent="0.3">
      <c r="A256" s="8">
        <v>2566</v>
      </c>
      <c r="B256" s="8" t="s">
        <v>2383</v>
      </c>
      <c r="C256" s="9" t="s">
        <v>95</v>
      </c>
      <c r="D256" s="9" t="s">
        <v>2384</v>
      </c>
      <c r="E256" s="8" t="s">
        <v>35</v>
      </c>
      <c r="F256" s="9" t="s">
        <v>130</v>
      </c>
      <c r="G256" s="8" t="s">
        <v>225</v>
      </c>
      <c r="H256" s="8" t="s">
        <v>125</v>
      </c>
      <c r="I256" s="8" t="s">
        <v>114</v>
      </c>
      <c r="J256" s="9" t="s">
        <v>24</v>
      </c>
      <c r="K256" s="9" t="s">
        <v>2385</v>
      </c>
      <c r="L256" s="9" t="s">
        <v>2386</v>
      </c>
      <c r="M256" s="8" t="s">
        <v>14</v>
      </c>
      <c r="N256" s="8" t="s">
        <v>98</v>
      </c>
      <c r="O256" s="9" t="s">
        <v>207</v>
      </c>
      <c r="P256" s="51" t="s">
        <v>2387</v>
      </c>
      <c r="Q256" s="9" t="s">
        <v>2388</v>
      </c>
      <c r="R256" s="9" t="s">
        <v>2389</v>
      </c>
      <c r="S256" s="9" t="s">
        <v>2389</v>
      </c>
      <c r="T256" s="9">
        <v>4</v>
      </c>
      <c r="U256" s="13">
        <v>75360</v>
      </c>
      <c r="V256" s="38">
        <v>76178</v>
      </c>
      <c r="W256" s="8" t="s">
        <v>276</v>
      </c>
      <c r="X256" s="8" t="s">
        <v>276</v>
      </c>
      <c r="Y256" s="8" t="s">
        <v>276</v>
      </c>
      <c r="Z256" s="8" t="s">
        <v>276</v>
      </c>
      <c r="AA256" s="8" t="s">
        <v>276</v>
      </c>
      <c r="AB256" s="8" t="s">
        <v>276</v>
      </c>
      <c r="AC256" s="9" t="s">
        <v>2390</v>
      </c>
      <c r="AD256" s="9" t="s">
        <v>280</v>
      </c>
      <c r="AE256" s="13">
        <v>213</v>
      </c>
      <c r="AF256" s="38">
        <v>251</v>
      </c>
      <c r="AG256" s="13">
        <v>75360</v>
      </c>
      <c r="AH256" s="38">
        <v>76178</v>
      </c>
      <c r="AI256" s="38" t="s">
        <v>281</v>
      </c>
      <c r="AJ256" s="14" t="s">
        <v>276</v>
      </c>
      <c r="AK256" s="31">
        <f>AE256*1000/AG256</f>
        <v>2.8264331210191083</v>
      </c>
      <c r="AL256" s="14" t="s">
        <v>276</v>
      </c>
      <c r="AM256" s="14" t="s">
        <v>276</v>
      </c>
      <c r="AN256" s="14" t="s">
        <v>276</v>
      </c>
      <c r="AO256" s="31">
        <f>AF256*1000/AH256</f>
        <v>3.2949145422562944</v>
      </c>
      <c r="AP256" s="14" t="s">
        <v>276</v>
      </c>
      <c r="AQ256" s="14" t="s">
        <v>276</v>
      </c>
      <c r="AR256" s="8" t="s">
        <v>268</v>
      </c>
      <c r="AS256" s="14" t="s">
        <v>276</v>
      </c>
      <c r="AT256" s="14">
        <f t="shared" si="38"/>
        <v>0.85781682188443675</v>
      </c>
      <c r="AU256" s="14" t="s">
        <v>276</v>
      </c>
      <c r="AV256" s="14" t="s">
        <v>276</v>
      </c>
      <c r="AW256" s="8" t="s">
        <v>276</v>
      </c>
      <c r="AX256" s="8" t="s">
        <v>282</v>
      </c>
      <c r="AY256" s="8" t="s">
        <v>276</v>
      </c>
      <c r="AZ256" s="8" t="s">
        <v>276</v>
      </c>
      <c r="BA256" s="8" t="s">
        <v>276</v>
      </c>
      <c r="BB256" s="8" t="s">
        <v>276</v>
      </c>
      <c r="BC256" s="9" t="s">
        <v>2391</v>
      </c>
      <c r="BD256" s="9" t="s">
        <v>2392</v>
      </c>
      <c r="BE256" s="9" t="s">
        <v>99</v>
      </c>
      <c r="BF256" s="33" t="s">
        <v>11162</v>
      </c>
    </row>
    <row r="257" spans="1:58" s="7" customFormat="1" ht="91" x14ac:dyDescent="0.3">
      <c r="A257" s="8">
        <v>2566</v>
      </c>
      <c r="B257" s="8" t="s">
        <v>2383</v>
      </c>
      <c r="C257" s="9" t="s">
        <v>95</v>
      </c>
      <c r="D257" s="9" t="s">
        <v>2393</v>
      </c>
      <c r="E257" s="8" t="s">
        <v>35</v>
      </c>
      <c r="F257" s="9" t="s">
        <v>130</v>
      </c>
      <c r="G257" s="8" t="s">
        <v>225</v>
      </c>
      <c r="H257" s="8" t="s">
        <v>125</v>
      </c>
      <c r="I257" s="8" t="s">
        <v>114</v>
      </c>
      <c r="J257" s="9" t="s">
        <v>24</v>
      </c>
      <c r="K257" s="9" t="s">
        <v>2385</v>
      </c>
      <c r="L257" s="9" t="s">
        <v>2386</v>
      </c>
      <c r="M257" s="8" t="s">
        <v>14</v>
      </c>
      <c r="N257" s="8" t="s">
        <v>98</v>
      </c>
      <c r="O257" s="9" t="s">
        <v>207</v>
      </c>
      <c r="P257" s="51" t="s">
        <v>2387</v>
      </c>
      <c r="Q257" s="9" t="s">
        <v>2388</v>
      </c>
      <c r="R257" s="9" t="s">
        <v>2389</v>
      </c>
      <c r="S257" s="9" t="s">
        <v>2389</v>
      </c>
      <c r="T257" s="9">
        <v>4</v>
      </c>
      <c r="U257" s="13">
        <v>75360</v>
      </c>
      <c r="V257" s="38">
        <v>76178</v>
      </c>
      <c r="W257" s="8" t="s">
        <v>276</v>
      </c>
      <c r="X257" s="8" t="s">
        <v>276</v>
      </c>
      <c r="Y257" s="8" t="s">
        <v>276</v>
      </c>
      <c r="Z257" s="8" t="s">
        <v>276</v>
      </c>
      <c r="AA257" s="8" t="s">
        <v>276</v>
      </c>
      <c r="AB257" s="8" t="s">
        <v>276</v>
      </c>
      <c r="AC257" s="9" t="s">
        <v>2390</v>
      </c>
      <c r="AD257" s="9" t="s">
        <v>2394</v>
      </c>
      <c r="AE257" s="13">
        <v>213</v>
      </c>
      <c r="AF257" s="38">
        <v>251</v>
      </c>
      <c r="AG257" s="13">
        <v>1023097</v>
      </c>
      <c r="AH257" s="38">
        <v>1019500</v>
      </c>
      <c r="AI257" s="38" t="s">
        <v>1019</v>
      </c>
      <c r="AJ257" s="14">
        <v>20.82</v>
      </c>
      <c r="AK257" s="31">
        <f>AE257*100000/AG257</f>
        <v>20.819140316118609</v>
      </c>
      <c r="AL257" s="14">
        <v>18.25</v>
      </c>
      <c r="AM257" s="14">
        <v>23.97</v>
      </c>
      <c r="AN257" s="14">
        <v>24.62</v>
      </c>
      <c r="AO257" s="31">
        <f>AF257*100000/AH257</f>
        <v>24.619911721432075</v>
      </c>
      <c r="AP257" s="14">
        <v>21.71</v>
      </c>
      <c r="AQ257" s="14">
        <v>28.04</v>
      </c>
      <c r="AR257" s="8" t="s">
        <v>269</v>
      </c>
      <c r="AS257" s="14" t="s">
        <v>276</v>
      </c>
      <c r="AT257" s="14">
        <f t="shared" si="38"/>
        <v>0.84562205387581357</v>
      </c>
      <c r="AU257" s="14" t="s">
        <v>276</v>
      </c>
      <c r="AV257" s="14" t="s">
        <v>276</v>
      </c>
      <c r="AW257" s="8" t="s">
        <v>276</v>
      </c>
      <c r="AX257" s="9" t="s">
        <v>2395</v>
      </c>
      <c r="AY257" s="8">
        <v>0.85</v>
      </c>
      <c r="AZ257" s="8">
        <v>0.71</v>
      </c>
      <c r="BA257" s="8">
        <v>1.01</v>
      </c>
      <c r="BB257" s="8">
        <v>7.0000000000000007E-2</v>
      </c>
      <c r="BC257" s="9" t="s">
        <v>2396</v>
      </c>
      <c r="BD257" s="9" t="s">
        <v>2392</v>
      </c>
      <c r="BE257" s="9" t="s">
        <v>99</v>
      </c>
      <c r="BF257" s="33" t="s">
        <v>11162</v>
      </c>
    </row>
    <row r="258" spans="1:58" s="7" customFormat="1" ht="78" x14ac:dyDescent="0.3">
      <c r="A258" s="8">
        <v>2566</v>
      </c>
      <c r="B258" s="8" t="s">
        <v>2383</v>
      </c>
      <c r="C258" s="9" t="s">
        <v>95</v>
      </c>
      <c r="D258" s="9" t="s">
        <v>2397</v>
      </c>
      <c r="E258" s="8" t="s">
        <v>35</v>
      </c>
      <c r="F258" s="9" t="s">
        <v>130</v>
      </c>
      <c r="G258" s="8" t="s">
        <v>225</v>
      </c>
      <c r="H258" s="8" t="s">
        <v>125</v>
      </c>
      <c r="I258" s="8" t="s">
        <v>114</v>
      </c>
      <c r="J258" s="9" t="s">
        <v>24</v>
      </c>
      <c r="K258" s="9" t="s">
        <v>2385</v>
      </c>
      <c r="L258" s="9" t="s">
        <v>2386</v>
      </c>
      <c r="M258" s="8" t="s">
        <v>15</v>
      </c>
      <c r="N258" s="8" t="s">
        <v>2398</v>
      </c>
      <c r="O258" s="9" t="s">
        <v>207</v>
      </c>
      <c r="P258" s="51" t="s">
        <v>2387</v>
      </c>
      <c r="Q258" s="9" t="s">
        <v>2388</v>
      </c>
      <c r="R258" s="9" t="s">
        <v>2399</v>
      </c>
      <c r="S258" s="9" t="s">
        <v>2400</v>
      </c>
      <c r="T258" s="9">
        <v>4</v>
      </c>
      <c r="U258" s="13">
        <v>54212</v>
      </c>
      <c r="V258" s="38">
        <v>54188</v>
      </c>
      <c r="W258" s="8" t="s">
        <v>276</v>
      </c>
      <c r="X258" s="8" t="s">
        <v>276</v>
      </c>
      <c r="Y258" s="8" t="s">
        <v>276</v>
      </c>
      <c r="Z258" s="8" t="s">
        <v>276</v>
      </c>
      <c r="AA258" s="8" t="s">
        <v>276</v>
      </c>
      <c r="AB258" s="8" t="s">
        <v>276</v>
      </c>
      <c r="AC258" s="9" t="s">
        <v>2401</v>
      </c>
      <c r="AD258" s="9" t="s">
        <v>2402</v>
      </c>
      <c r="AE258" s="13">
        <v>149</v>
      </c>
      <c r="AF258" s="38">
        <v>158</v>
      </c>
      <c r="AG258" s="13">
        <v>54212</v>
      </c>
      <c r="AH258" s="38">
        <v>54188</v>
      </c>
      <c r="AI258" s="38" t="s">
        <v>281</v>
      </c>
      <c r="AJ258" s="14" t="s">
        <v>276</v>
      </c>
      <c r="AK258" s="31">
        <f>AE258*1000/AG258</f>
        <v>2.7484689736589685</v>
      </c>
      <c r="AL258" s="14" t="s">
        <v>276</v>
      </c>
      <c r="AM258" s="14" t="s">
        <v>276</v>
      </c>
      <c r="AN258" s="14" t="s">
        <v>276</v>
      </c>
      <c r="AO258" s="31">
        <f>AF258*1000/AH258</f>
        <v>2.9157747102679559</v>
      </c>
      <c r="AP258" s="14" t="s">
        <v>276</v>
      </c>
      <c r="AQ258" s="14" t="s">
        <v>276</v>
      </c>
      <c r="AR258" s="8" t="s">
        <v>268</v>
      </c>
      <c r="AS258" s="14" t="s">
        <v>276</v>
      </c>
      <c r="AT258" s="14">
        <f t="shared" si="38"/>
        <v>0.94262048572552015</v>
      </c>
      <c r="AU258" s="14" t="s">
        <v>276</v>
      </c>
      <c r="AV258" s="14" t="s">
        <v>276</v>
      </c>
      <c r="AW258" s="8" t="s">
        <v>276</v>
      </c>
      <c r="AX258" s="8" t="s">
        <v>282</v>
      </c>
      <c r="AY258" s="8" t="s">
        <v>276</v>
      </c>
      <c r="AZ258" s="8" t="s">
        <v>276</v>
      </c>
      <c r="BA258" s="8" t="s">
        <v>276</v>
      </c>
      <c r="BB258" s="8" t="s">
        <v>276</v>
      </c>
      <c r="BC258" s="9" t="s">
        <v>2403</v>
      </c>
      <c r="BD258" s="9" t="s">
        <v>2404</v>
      </c>
      <c r="BE258" s="9" t="s">
        <v>100</v>
      </c>
      <c r="BF258" s="33" t="s">
        <v>98</v>
      </c>
    </row>
    <row r="259" spans="1:58" s="7" customFormat="1" ht="78" x14ac:dyDescent="0.3">
      <c r="A259" s="8">
        <v>2566</v>
      </c>
      <c r="B259" s="8" t="s">
        <v>2383</v>
      </c>
      <c r="C259" s="9" t="s">
        <v>95</v>
      </c>
      <c r="D259" s="9" t="s">
        <v>2405</v>
      </c>
      <c r="E259" s="8" t="s">
        <v>35</v>
      </c>
      <c r="F259" s="9" t="s">
        <v>130</v>
      </c>
      <c r="G259" s="8" t="s">
        <v>225</v>
      </c>
      <c r="H259" s="8" t="s">
        <v>125</v>
      </c>
      <c r="I259" s="8" t="s">
        <v>114</v>
      </c>
      <c r="J259" s="9" t="s">
        <v>24</v>
      </c>
      <c r="K259" s="9" t="s">
        <v>2385</v>
      </c>
      <c r="L259" s="9" t="s">
        <v>2386</v>
      </c>
      <c r="M259" s="8" t="s">
        <v>15</v>
      </c>
      <c r="N259" s="8" t="s">
        <v>2398</v>
      </c>
      <c r="O259" s="9" t="s">
        <v>207</v>
      </c>
      <c r="P259" s="51" t="s">
        <v>2387</v>
      </c>
      <c r="Q259" s="9" t="s">
        <v>2388</v>
      </c>
      <c r="R259" s="9" t="s">
        <v>2399</v>
      </c>
      <c r="S259" s="9" t="s">
        <v>2400</v>
      </c>
      <c r="T259" s="9">
        <v>4</v>
      </c>
      <c r="U259" s="13">
        <v>54212</v>
      </c>
      <c r="V259" s="38">
        <v>54188</v>
      </c>
      <c r="W259" s="8" t="s">
        <v>276</v>
      </c>
      <c r="X259" s="8" t="s">
        <v>276</v>
      </c>
      <c r="Y259" s="8" t="s">
        <v>276</v>
      </c>
      <c r="Z259" s="8" t="s">
        <v>276</v>
      </c>
      <c r="AA259" s="8" t="s">
        <v>276</v>
      </c>
      <c r="AB259" s="8" t="s">
        <v>276</v>
      </c>
      <c r="AC259" s="9" t="s">
        <v>2401</v>
      </c>
      <c r="AD259" s="9" t="s">
        <v>2406</v>
      </c>
      <c r="AE259" s="13">
        <v>149</v>
      </c>
      <c r="AF259" s="38">
        <v>158</v>
      </c>
      <c r="AG259" s="71">
        <v>763141.8</v>
      </c>
      <c r="AH259" s="81">
        <v>751367</v>
      </c>
      <c r="AI259" s="38" t="s">
        <v>1019</v>
      </c>
      <c r="AJ259" s="14">
        <v>19.53</v>
      </c>
      <c r="AK259" s="31">
        <f>AE259*100000/AG259</f>
        <v>19.52454969705499</v>
      </c>
      <c r="AL259" s="14">
        <v>17.239999999999998</v>
      </c>
      <c r="AM259" s="14">
        <v>22.29</v>
      </c>
      <c r="AN259" s="14">
        <v>21.03</v>
      </c>
      <c r="AO259" s="31">
        <f>AF259*100000/AH259</f>
        <v>21.028339014090317</v>
      </c>
      <c r="AP259" s="14">
        <v>18.97</v>
      </c>
      <c r="AQ259" s="14">
        <v>23.44</v>
      </c>
      <c r="AR259" s="8" t="s">
        <v>269</v>
      </c>
      <c r="AS259" s="14" t="s">
        <v>276</v>
      </c>
      <c r="AT259" s="14">
        <f t="shared" si="38"/>
        <v>0.92848748938146308</v>
      </c>
      <c r="AU259" s="14" t="s">
        <v>276</v>
      </c>
      <c r="AV259" s="14" t="s">
        <v>276</v>
      </c>
      <c r="AW259" s="8" t="s">
        <v>276</v>
      </c>
      <c r="AX259" s="9" t="s">
        <v>2395</v>
      </c>
      <c r="AY259" s="8">
        <v>0.93</v>
      </c>
      <c r="AZ259" s="8">
        <v>0.79</v>
      </c>
      <c r="BA259" s="8">
        <v>1.0900000000000001</v>
      </c>
      <c r="BB259" s="8">
        <v>0.37</v>
      </c>
      <c r="BC259" s="9" t="s">
        <v>2407</v>
      </c>
      <c r="BD259" s="9" t="s">
        <v>2408</v>
      </c>
      <c r="BE259" s="9" t="s">
        <v>100</v>
      </c>
      <c r="BF259" s="33" t="s">
        <v>98</v>
      </c>
    </row>
    <row r="260" spans="1:58" s="7" customFormat="1" ht="78" x14ac:dyDescent="0.3">
      <c r="A260" s="8">
        <v>2566</v>
      </c>
      <c r="B260" s="8" t="s">
        <v>2383</v>
      </c>
      <c r="C260" s="9" t="s">
        <v>95</v>
      </c>
      <c r="D260" s="9" t="s">
        <v>2409</v>
      </c>
      <c r="E260" s="8" t="s">
        <v>35</v>
      </c>
      <c r="F260" s="9" t="s">
        <v>130</v>
      </c>
      <c r="G260" s="8" t="s">
        <v>225</v>
      </c>
      <c r="H260" s="8" t="s">
        <v>125</v>
      </c>
      <c r="I260" s="8" t="s">
        <v>114</v>
      </c>
      <c r="J260" s="9" t="s">
        <v>24</v>
      </c>
      <c r="K260" s="9" t="s">
        <v>2385</v>
      </c>
      <c r="L260" s="9" t="s">
        <v>2386</v>
      </c>
      <c r="M260" s="8" t="s">
        <v>15</v>
      </c>
      <c r="N260" s="90" t="s">
        <v>2410</v>
      </c>
      <c r="O260" s="9" t="s">
        <v>207</v>
      </c>
      <c r="P260" s="51" t="s">
        <v>2387</v>
      </c>
      <c r="Q260" s="9" t="s">
        <v>2388</v>
      </c>
      <c r="R260" s="9" t="s">
        <v>2411</v>
      </c>
      <c r="S260" s="9" t="s">
        <v>2412</v>
      </c>
      <c r="T260" s="9">
        <v>4</v>
      </c>
      <c r="U260" s="13">
        <v>20965</v>
      </c>
      <c r="V260" s="38">
        <v>21909</v>
      </c>
      <c r="W260" s="8" t="s">
        <v>276</v>
      </c>
      <c r="X260" s="8" t="s">
        <v>276</v>
      </c>
      <c r="Y260" s="8" t="s">
        <v>276</v>
      </c>
      <c r="Z260" s="8" t="s">
        <v>276</v>
      </c>
      <c r="AA260" s="8" t="s">
        <v>276</v>
      </c>
      <c r="AB260" s="8" t="s">
        <v>276</v>
      </c>
      <c r="AC260" s="9" t="s">
        <v>2413</v>
      </c>
      <c r="AD260" s="9" t="s">
        <v>2414</v>
      </c>
      <c r="AE260" s="13">
        <v>64</v>
      </c>
      <c r="AF260" s="38">
        <v>93</v>
      </c>
      <c r="AG260" s="13">
        <v>20965</v>
      </c>
      <c r="AH260" s="38">
        <v>21909</v>
      </c>
      <c r="AI260" s="38" t="s">
        <v>281</v>
      </c>
      <c r="AJ260" s="14" t="s">
        <v>276</v>
      </c>
      <c r="AK260" s="31">
        <f>AE260*1000/AG260</f>
        <v>3.0527068924397804</v>
      </c>
      <c r="AL260" s="14" t="s">
        <v>276</v>
      </c>
      <c r="AM260" s="14" t="s">
        <v>276</v>
      </c>
      <c r="AN260" s="14" t="s">
        <v>276</v>
      </c>
      <c r="AO260" s="31">
        <f>AF260*1000/AH260</f>
        <v>4.2448308914144874</v>
      </c>
      <c r="AP260" s="14" t="s">
        <v>276</v>
      </c>
      <c r="AQ260" s="14" t="s">
        <v>276</v>
      </c>
      <c r="AR260" s="8" t="s">
        <v>268</v>
      </c>
      <c r="AS260" s="14" t="s">
        <v>276</v>
      </c>
      <c r="AT260" s="14">
        <f t="shared" si="38"/>
        <v>0.71915865920928113</v>
      </c>
      <c r="AU260" s="14" t="s">
        <v>276</v>
      </c>
      <c r="AV260" s="14" t="s">
        <v>276</v>
      </c>
      <c r="AW260" s="8" t="s">
        <v>276</v>
      </c>
      <c r="AX260" s="8" t="s">
        <v>282</v>
      </c>
      <c r="AY260" s="8" t="s">
        <v>276</v>
      </c>
      <c r="AZ260" s="8" t="s">
        <v>276</v>
      </c>
      <c r="BA260" s="8" t="s">
        <v>276</v>
      </c>
      <c r="BB260" s="8" t="s">
        <v>276</v>
      </c>
      <c r="BC260" s="9" t="s">
        <v>2415</v>
      </c>
      <c r="BD260" s="9" t="s">
        <v>2408</v>
      </c>
      <c r="BE260" s="9" t="s">
        <v>100</v>
      </c>
      <c r="BF260" s="33" t="s">
        <v>98</v>
      </c>
    </row>
    <row r="261" spans="1:58" s="7" customFormat="1" ht="78" x14ac:dyDescent="0.3">
      <c r="A261" s="8">
        <v>2566</v>
      </c>
      <c r="B261" s="8" t="s">
        <v>2383</v>
      </c>
      <c r="C261" s="9" t="s">
        <v>95</v>
      </c>
      <c r="D261" s="9" t="s">
        <v>2416</v>
      </c>
      <c r="E261" s="8" t="s">
        <v>35</v>
      </c>
      <c r="F261" s="9" t="s">
        <v>130</v>
      </c>
      <c r="G261" s="8" t="s">
        <v>225</v>
      </c>
      <c r="H261" s="8" t="s">
        <v>125</v>
      </c>
      <c r="I261" s="8" t="s">
        <v>114</v>
      </c>
      <c r="J261" s="9" t="s">
        <v>24</v>
      </c>
      <c r="K261" s="9" t="s">
        <v>2385</v>
      </c>
      <c r="L261" s="9" t="s">
        <v>2386</v>
      </c>
      <c r="M261" s="8" t="s">
        <v>15</v>
      </c>
      <c r="N261" s="90" t="s">
        <v>2410</v>
      </c>
      <c r="O261" s="9" t="s">
        <v>207</v>
      </c>
      <c r="P261" s="51" t="s">
        <v>2387</v>
      </c>
      <c r="Q261" s="9" t="s">
        <v>2388</v>
      </c>
      <c r="R261" s="9" t="s">
        <v>2411</v>
      </c>
      <c r="S261" s="9" t="s">
        <v>2412</v>
      </c>
      <c r="T261" s="9">
        <v>4</v>
      </c>
      <c r="U261" s="13">
        <v>20965</v>
      </c>
      <c r="V261" s="38">
        <v>21909</v>
      </c>
      <c r="W261" s="8" t="s">
        <v>276</v>
      </c>
      <c r="X261" s="8" t="s">
        <v>276</v>
      </c>
      <c r="Y261" s="8" t="s">
        <v>276</v>
      </c>
      <c r="Z261" s="8" t="s">
        <v>276</v>
      </c>
      <c r="AA261" s="8" t="s">
        <v>276</v>
      </c>
      <c r="AB261" s="8" t="s">
        <v>276</v>
      </c>
      <c r="AC261" s="9" t="s">
        <v>2417</v>
      </c>
      <c r="AD261" s="9" t="s">
        <v>2418</v>
      </c>
      <c r="AE261" s="13">
        <v>64</v>
      </c>
      <c r="AF261" s="38">
        <v>93</v>
      </c>
      <c r="AG261" s="71">
        <v>259955.20000000001</v>
      </c>
      <c r="AH261" s="81">
        <v>268133.09999999998</v>
      </c>
      <c r="AI261" s="38" t="s">
        <v>1019</v>
      </c>
      <c r="AJ261" s="14">
        <v>24.62</v>
      </c>
      <c r="AK261" s="31">
        <f>AE261*100000/AG261</f>
        <v>24.619626766458218</v>
      </c>
      <c r="AL261" s="14">
        <v>20.62</v>
      </c>
      <c r="AM261" s="14">
        <v>29.76</v>
      </c>
      <c r="AN261" s="14">
        <v>34.68</v>
      </c>
      <c r="AO261" s="31">
        <f>AF261*100000/AH261</f>
        <v>34.684266880888636</v>
      </c>
      <c r="AP261" s="14">
        <v>27.54</v>
      </c>
      <c r="AQ261" s="14">
        <v>44.37</v>
      </c>
      <c r="AR261" s="8" t="s">
        <v>269</v>
      </c>
      <c r="AS261" s="14" t="s">
        <v>276</v>
      </c>
      <c r="AT261" s="14">
        <f t="shared" si="38"/>
        <v>0.70982116620789437</v>
      </c>
      <c r="AU261" s="14" t="s">
        <v>276</v>
      </c>
      <c r="AV261" s="14" t="s">
        <v>276</v>
      </c>
      <c r="AW261" s="8" t="s">
        <v>276</v>
      </c>
      <c r="AX261" s="9" t="s">
        <v>2395</v>
      </c>
      <c r="AY261" s="8">
        <v>0.71</v>
      </c>
      <c r="AZ261" s="8">
        <v>0.54</v>
      </c>
      <c r="BA261" s="8">
        <v>0.94</v>
      </c>
      <c r="BB261" s="8">
        <v>0.02</v>
      </c>
      <c r="BC261" s="9" t="s">
        <v>2419</v>
      </c>
      <c r="BD261" s="9" t="s">
        <v>2408</v>
      </c>
      <c r="BE261" s="9" t="s">
        <v>100</v>
      </c>
      <c r="BF261" s="33" t="s">
        <v>98</v>
      </c>
    </row>
    <row r="262" spans="1:58" s="7" customFormat="1" ht="52" x14ac:dyDescent="0.3">
      <c r="A262" s="8">
        <v>2566</v>
      </c>
      <c r="B262" s="8" t="s">
        <v>2383</v>
      </c>
      <c r="C262" s="9" t="s">
        <v>95</v>
      </c>
      <c r="D262" s="9" t="s">
        <v>2420</v>
      </c>
      <c r="E262" s="8" t="s">
        <v>35</v>
      </c>
      <c r="F262" s="9" t="s">
        <v>130</v>
      </c>
      <c r="G262" s="8" t="s">
        <v>225</v>
      </c>
      <c r="H262" s="8" t="s">
        <v>125</v>
      </c>
      <c r="I262" s="8" t="s">
        <v>114</v>
      </c>
      <c r="J262" s="9" t="s">
        <v>23</v>
      </c>
      <c r="K262" s="9" t="s">
        <v>2421</v>
      </c>
      <c r="L262" s="9" t="s">
        <v>2422</v>
      </c>
      <c r="M262" s="8" t="s">
        <v>14</v>
      </c>
      <c r="N262" s="8" t="s">
        <v>98</v>
      </c>
      <c r="O262" s="9" t="s">
        <v>207</v>
      </c>
      <c r="P262" s="51" t="s">
        <v>2387</v>
      </c>
      <c r="Q262" s="9" t="s">
        <v>2388</v>
      </c>
      <c r="R262" s="9" t="s">
        <v>2389</v>
      </c>
      <c r="S262" s="9" t="s">
        <v>2389</v>
      </c>
      <c r="T262" s="9">
        <v>4</v>
      </c>
      <c r="U262" s="13">
        <v>75360</v>
      </c>
      <c r="V262" s="38">
        <v>76178</v>
      </c>
      <c r="W262" s="8" t="s">
        <v>276</v>
      </c>
      <c r="X262" s="8" t="s">
        <v>276</v>
      </c>
      <c r="Y262" s="8">
        <v>0</v>
      </c>
      <c r="Z262" s="8" t="s">
        <v>98</v>
      </c>
      <c r="AA262" s="8">
        <v>0</v>
      </c>
      <c r="AB262" s="8" t="s">
        <v>98</v>
      </c>
      <c r="AC262" s="9" t="s">
        <v>2423</v>
      </c>
      <c r="AD262" s="9" t="s">
        <v>280</v>
      </c>
      <c r="AE262" s="13">
        <v>11261</v>
      </c>
      <c r="AF262" s="38">
        <v>11853</v>
      </c>
      <c r="AG262" s="13">
        <v>75360</v>
      </c>
      <c r="AH262" s="38">
        <v>76178</v>
      </c>
      <c r="AI262" s="38" t="s">
        <v>281</v>
      </c>
      <c r="AJ262" s="14" t="s">
        <v>276</v>
      </c>
      <c r="AK262" s="31">
        <f>AE262*1000/AG262</f>
        <v>149.42940552016987</v>
      </c>
      <c r="AL262" s="14" t="s">
        <v>276</v>
      </c>
      <c r="AM262" s="14" t="s">
        <v>276</v>
      </c>
      <c r="AN262" s="14" t="s">
        <v>276</v>
      </c>
      <c r="AO262" s="31">
        <f>AF262*1000/AH262</f>
        <v>155.5961038620074</v>
      </c>
      <c r="AP262" s="14" t="s">
        <v>276</v>
      </c>
      <c r="AQ262" s="14" t="s">
        <v>276</v>
      </c>
      <c r="AR262" s="8" t="s">
        <v>268</v>
      </c>
      <c r="AS262" s="14" t="s">
        <v>276</v>
      </c>
      <c r="AT262" s="14">
        <f t="shared" si="38"/>
        <v>0.96036727020294443</v>
      </c>
      <c r="AU262" s="14" t="s">
        <v>276</v>
      </c>
      <c r="AV262" s="14" t="s">
        <v>276</v>
      </c>
      <c r="AW262" s="8" t="s">
        <v>276</v>
      </c>
      <c r="AX262" s="8" t="s">
        <v>282</v>
      </c>
      <c r="AY262" s="8" t="s">
        <v>276</v>
      </c>
      <c r="AZ262" s="8" t="s">
        <v>276</v>
      </c>
      <c r="BA262" s="8" t="s">
        <v>276</v>
      </c>
      <c r="BB262" s="8" t="s">
        <v>276</v>
      </c>
      <c r="BC262" s="9" t="s">
        <v>426</v>
      </c>
      <c r="BD262" s="9" t="s">
        <v>2424</v>
      </c>
      <c r="BE262" s="9" t="s">
        <v>100</v>
      </c>
      <c r="BF262" s="33" t="s">
        <v>98</v>
      </c>
    </row>
    <row r="263" spans="1:58" s="7" customFormat="1" ht="52" x14ac:dyDescent="0.3">
      <c r="A263" s="8">
        <v>2566</v>
      </c>
      <c r="B263" s="8" t="s">
        <v>2383</v>
      </c>
      <c r="C263" s="9" t="s">
        <v>95</v>
      </c>
      <c r="D263" s="9" t="s">
        <v>2425</v>
      </c>
      <c r="E263" s="8" t="s">
        <v>35</v>
      </c>
      <c r="F263" s="9" t="s">
        <v>130</v>
      </c>
      <c r="G263" s="8" t="s">
        <v>225</v>
      </c>
      <c r="H263" s="8" t="s">
        <v>125</v>
      </c>
      <c r="I263" s="8" t="s">
        <v>114</v>
      </c>
      <c r="J263" s="9" t="s">
        <v>23</v>
      </c>
      <c r="K263" s="9" t="s">
        <v>2421</v>
      </c>
      <c r="L263" s="9" t="s">
        <v>2422</v>
      </c>
      <c r="M263" s="8" t="s">
        <v>14</v>
      </c>
      <c r="N263" s="8" t="s">
        <v>98</v>
      </c>
      <c r="O263" s="9" t="s">
        <v>207</v>
      </c>
      <c r="P263" s="51" t="s">
        <v>2387</v>
      </c>
      <c r="Q263" s="9" t="s">
        <v>2388</v>
      </c>
      <c r="R263" s="9" t="s">
        <v>2389</v>
      </c>
      <c r="S263" s="9" t="s">
        <v>2389</v>
      </c>
      <c r="T263" s="9">
        <v>4</v>
      </c>
      <c r="U263" s="13">
        <v>75360</v>
      </c>
      <c r="V263" s="38">
        <v>76178</v>
      </c>
      <c r="W263" s="8" t="s">
        <v>276</v>
      </c>
      <c r="X263" s="8" t="s">
        <v>276</v>
      </c>
      <c r="Y263" s="8">
        <v>0</v>
      </c>
      <c r="Z263" s="8" t="s">
        <v>98</v>
      </c>
      <c r="AA263" s="8">
        <v>0</v>
      </c>
      <c r="AB263" s="8" t="s">
        <v>98</v>
      </c>
      <c r="AC263" s="9" t="s">
        <v>2423</v>
      </c>
      <c r="AD263" s="9" t="s">
        <v>2394</v>
      </c>
      <c r="AE263" s="13">
        <v>11261</v>
      </c>
      <c r="AF263" s="38">
        <v>11853</v>
      </c>
      <c r="AG263" s="13">
        <v>1023180</v>
      </c>
      <c r="AH263" s="38">
        <v>1019831</v>
      </c>
      <c r="AI263" s="38" t="s">
        <v>1019</v>
      </c>
      <c r="AJ263" s="14">
        <v>1100.5899999999999</v>
      </c>
      <c r="AK263" s="31">
        <f>AE263*100000/AG263</f>
        <v>1100.5883617740769</v>
      </c>
      <c r="AL263" s="14">
        <v>989.98</v>
      </c>
      <c r="AM263" s="14">
        <v>1224.58</v>
      </c>
      <c r="AN263" s="14">
        <v>1162.25</v>
      </c>
      <c r="AO263" s="31">
        <f>AF263*100000/AH263</f>
        <v>1162.2513926327008</v>
      </c>
      <c r="AP263" s="14">
        <v>1037.1600000000001</v>
      </c>
      <c r="AQ263" s="14">
        <v>1303.45</v>
      </c>
      <c r="AR263" s="8" t="s">
        <v>269</v>
      </c>
      <c r="AS263" s="14" t="s">
        <v>276</v>
      </c>
      <c r="AT263" s="14">
        <f t="shared" si="38"/>
        <v>0.94694518651515969</v>
      </c>
      <c r="AU263" s="14" t="s">
        <v>276</v>
      </c>
      <c r="AV263" s="14" t="s">
        <v>276</v>
      </c>
      <c r="AW263" s="8" t="s">
        <v>276</v>
      </c>
      <c r="AX263" s="9" t="s">
        <v>2395</v>
      </c>
      <c r="AY263" s="8">
        <v>0.95</v>
      </c>
      <c r="AZ263" s="8">
        <v>0.81</v>
      </c>
      <c r="BA263" s="14">
        <v>1.1000000000000001</v>
      </c>
      <c r="BB263" s="8">
        <v>0.49</v>
      </c>
      <c r="BC263" s="9" t="s">
        <v>2426</v>
      </c>
      <c r="BD263" s="9" t="s">
        <v>2424</v>
      </c>
      <c r="BE263" s="9" t="s">
        <v>100</v>
      </c>
      <c r="BF263" s="33" t="s">
        <v>98</v>
      </c>
    </row>
    <row r="264" spans="1:58" s="7" customFormat="1" ht="65" x14ac:dyDescent="0.3">
      <c r="A264" s="8">
        <v>2566</v>
      </c>
      <c r="B264" s="8" t="s">
        <v>2383</v>
      </c>
      <c r="C264" s="9" t="s">
        <v>95</v>
      </c>
      <c r="D264" s="9" t="s">
        <v>2427</v>
      </c>
      <c r="E264" s="8" t="s">
        <v>35</v>
      </c>
      <c r="F264" s="9" t="s">
        <v>130</v>
      </c>
      <c r="G264" s="8" t="s">
        <v>225</v>
      </c>
      <c r="H264" s="8" t="s">
        <v>125</v>
      </c>
      <c r="I264" s="8" t="s">
        <v>114</v>
      </c>
      <c r="J264" s="9" t="s">
        <v>23</v>
      </c>
      <c r="K264" s="9" t="s">
        <v>2421</v>
      </c>
      <c r="L264" s="9" t="s">
        <v>2422</v>
      </c>
      <c r="M264" s="8" t="s">
        <v>15</v>
      </c>
      <c r="N264" s="8" t="s">
        <v>2398</v>
      </c>
      <c r="O264" s="9" t="s">
        <v>207</v>
      </c>
      <c r="P264" s="51" t="s">
        <v>2387</v>
      </c>
      <c r="Q264" s="9" t="s">
        <v>2388</v>
      </c>
      <c r="R264" s="9" t="s">
        <v>2428</v>
      </c>
      <c r="S264" s="9" t="s">
        <v>2429</v>
      </c>
      <c r="T264" s="9">
        <v>4</v>
      </c>
      <c r="U264" s="13">
        <v>54212</v>
      </c>
      <c r="V264" s="38">
        <v>54188</v>
      </c>
      <c r="W264" s="8" t="s">
        <v>276</v>
      </c>
      <c r="X264" s="8" t="s">
        <v>276</v>
      </c>
      <c r="Y264" s="8">
        <v>0</v>
      </c>
      <c r="Z264" s="8" t="s">
        <v>98</v>
      </c>
      <c r="AA264" s="8">
        <v>0</v>
      </c>
      <c r="AB264" s="8" t="s">
        <v>98</v>
      </c>
      <c r="AC264" s="9" t="s">
        <v>2430</v>
      </c>
      <c r="AD264" s="9" t="s">
        <v>2402</v>
      </c>
      <c r="AE264" s="13">
        <v>4450</v>
      </c>
      <c r="AF264" s="38">
        <v>4708</v>
      </c>
      <c r="AG264" s="13">
        <v>54212</v>
      </c>
      <c r="AH264" s="38">
        <v>54188</v>
      </c>
      <c r="AI264" s="38" t="s">
        <v>281</v>
      </c>
      <c r="AJ264" s="14" t="s">
        <v>276</v>
      </c>
      <c r="AK264" s="31">
        <f>AE264*1000/AG264</f>
        <v>82.085147199881945</v>
      </c>
      <c r="AL264" s="14" t="s">
        <v>276</v>
      </c>
      <c r="AM264" s="14" t="s">
        <v>276</v>
      </c>
      <c r="AN264" s="14" t="s">
        <v>276</v>
      </c>
      <c r="AO264" s="31">
        <f>AF264*1000/AH264</f>
        <v>86.882704657857829</v>
      </c>
      <c r="AP264" s="14" t="s">
        <v>276</v>
      </c>
      <c r="AQ264" s="14" t="s">
        <v>276</v>
      </c>
      <c r="AR264" s="8" t="s">
        <v>268</v>
      </c>
      <c r="AS264" s="14" t="s">
        <v>276</v>
      </c>
      <c r="AT264" s="14">
        <f t="shared" si="38"/>
        <v>0.9447812142028893</v>
      </c>
      <c r="AU264" s="14" t="s">
        <v>276</v>
      </c>
      <c r="AV264" s="14" t="s">
        <v>276</v>
      </c>
      <c r="AW264" s="8" t="s">
        <v>276</v>
      </c>
      <c r="AX264" s="8" t="s">
        <v>282</v>
      </c>
      <c r="AY264" s="8" t="s">
        <v>276</v>
      </c>
      <c r="AZ264" s="8" t="s">
        <v>276</v>
      </c>
      <c r="BA264" s="8" t="s">
        <v>276</v>
      </c>
      <c r="BB264" s="8" t="s">
        <v>276</v>
      </c>
      <c r="BC264" s="9" t="s">
        <v>426</v>
      </c>
      <c r="BD264" s="9" t="s">
        <v>2431</v>
      </c>
      <c r="BE264" s="9" t="s">
        <v>100</v>
      </c>
      <c r="BF264" s="33" t="s">
        <v>98</v>
      </c>
    </row>
    <row r="265" spans="1:58" s="7" customFormat="1" ht="65" x14ac:dyDescent="0.3">
      <c r="A265" s="8">
        <v>2566</v>
      </c>
      <c r="B265" s="8" t="s">
        <v>2383</v>
      </c>
      <c r="C265" s="9" t="s">
        <v>95</v>
      </c>
      <c r="D265" s="9" t="s">
        <v>2432</v>
      </c>
      <c r="E265" s="8" t="s">
        <v>35</v>
      </c>
      <c r="F265" s="9" t="s">
        <v>130</v>
      </c>
      <c r="G265" s="8" t="s">
        <v>225</v>
      </c>
      <c r="H265" s="8" t="s">
        <v>125</v>
      </c>
      <c r="I265" s="8" t="s">
        <v>114</v>
      </c>
      <c r="J265" s="9" t="s">
        <v>23</v>
      </c>
      <c r="K265" s="9" t="s">
        <v>2421</v>
      </c>
      <c r="L265" s="9" t="s">
        <v>2422</v>
      </c>
      <c r="M265" s="8" t="s">
        <v>15</v>
      </c>
      <c r="N265" s="8" t="s">
        <v>2398</v>
      </c>
      <c r="O265" s="9" t="s">
        <v>207</v>
      </c>
      <c r="P265" s="51" t="s">
        <v>2387</v>
      </c>
      <c r="Q265" s="9" t="s">
        <v>2388</v>
      </c>
      <c r="R265" s="9" t="s">
        <v>2428</v>
      </c>
      <c r="S265" s="9" t="s">
        <v>2429</v>
      </c>
      <c r="T265" s="9">
        <v>4</v>
      </c>
      <c r="U265" s="13">
        <v>54212</v>
      </c>
      <c r="V265" s="38">
        <v>54188</v>
      </c>
      <c r="W265" s="8" t="s">
        <v>276</v>
      </c>
      <c r="X265" s="8" t="s">
        <v>276</v>
      </c>
      <c r="Y265" s="8">
        <v>0</v>
      </c>
      <c r="Z265" s="8" t="s">
        <v>98</v>
      </c>
      <c r="AA265" s="8">
        <v>0</v>
      </c>
      <c r="AB265" s="8" t="s">
        <v>98</v>
      </c>
      <c r="AC265" s="9" t="s">
        <v>2430</v>
      </c>
      <c r="AD265" s="9" t="s">
        <v>2406</v>
      </c>
      <c r="AE265" s="13">
        <v>4450</v>
      </c>
      <c r="AF265" s="38">
        <v>4708</v>
      </c>
      <c r="AG265" s="71">
        <v>763177.7</v>
      </c>
      <c r="AH265" s="81">
        <v>751508.2</v>
      </c>
      <c r="AI265" s="38" t="s">
        <v>1019</v>
      </c>
      <c r="AJ265" s="14">
        <v>583.09</v>
      </c>
      <c r="AK265" s="31">
        <f>AE265*100000/AG265</f>
        <v>583.08831612873394</v>
      </c>
      <c r="AL265" s="14">
        <v>539.66</v>
      </c>
      <c r="AM265" s="14">
        <v>629.69000000000005</v>
      </c>
      <c r="AN265" s="14">
        <v>626.47</v>
      </c>
      <c r="AO265" s="31">
        <f>AF265*100000/AH265</f>
        <v>626.4735368156995</v>
      </c>
      <c r="AP265" s="14">
        <v>572.73</v>
      </c>
      <c r="AQ265" s="14">
        <v>684.32</v>
      </c>
      <c r="AR265" s="8" t="s">
        <v>269</v>
      </c>
      <c r="AS265" s="14" t="s">
        <v>276</v>
      </c>
      <c r="AT265" s="14">
        <f t="shared" si="38"/>
        <v>0.93074692203682186</v>
      </c>
      <c r="AU265" s="14" t="s">
        <v>276</v>
      </c>
      <c r="AV265" s="14" t="s">
        <v>276</v>
      </c>
      <c r="AW265" s="8" t="s">
        <v>276</v>
      </c>
      <c r="AX265" s="9" t="s">
        <v>2395</v>
      </c>
      <c r="AY265" s="8">
        <v>0.93100000000000005</v>
      </c>
      <c r="AZ265" s="8">
        <v>0.82899999999999996</v>
      </c>
      <c r="BA265" s="8">
        <v>1.0449999999999999</v>
      </c>
      <c r="BB265" s="8">
        <v>0.23</v>
      </c>
      <c r="BC265" s="9" t="s">
        <v>426</v>
      </c>
      <c r="BD265" s="9" t="s">
        <v>2431</v>
      </c>
      <c r="BE265" s="9" t="s">
        <v>100</v>
      </c>
      <c r="BF265" s="33" t="s">
        <v>98</v>
      </c>
    </row>
    <row r="266" spans="1:58" s="7" customFormat="1" ht="65" x14ac:dyDescent="0.3">
      <c r="A266" s="8">
        <v>2566</v>
      </c>
      <c r="B266" s="8" t="s">
        <v>2383</v>
      </c>
      <c r="C266" s="9" t="s">
        <v>95</v>
      </c>
      <c r="D266" s="9" t="s">
        <v>2433</v>
      </c>
      <c r="E266" s="8" t="s">
        <v>35</v>
      </c>
      <c r="F266" s="9" t="s">
        <v>130</v>
      </c>
      <c r="G266" s="8" t="s">
        <v>225</v>
      </c>
      <c r="H266" s="8" t="s">
        <v>125</v>
      </c>
      <c r="I266" s="8" t="s">
        <v>114</v>
      </c>
      <c r="J266" s="9" t="s">
        <v>23</v>
      </c>
      <c r="K266" s="9" t="s">
        <v>2421</v>
      </c>
      <c r="L266" s="9" t="s">
        <v>2422</v>
      </c>
      <c r="M266" s="8" t="s">
        <v>15</v>
      </c>
      <c r="N266" s="90" t="s">
        <v>2410</v>
      </c>
      <c r="O266" s="9" t="s">
        <v>207</v>
      </c>
      <c r="P266" s="51" t="s">
        <v>2387</v>
      </c>
      <c r="Q266" s="9" t="s">
        <v>2388</v>
      </c>
      <c r="R266" s="9" t="s">
        <v>2411</v>
      </c>
      <c r="S266" s="9" t="s">
        <v>2434</v>
      </c>
      <c r="T266" s="9">
        <v>4</v>
      </c>
      <c r="U266" s="13">
        <v>20965</v>
      </c>
      <c r="V266" s="38">
        <v>21909</v>
      </c>
      <c r="W266" s="8" t="s">
        <v>276</v>
      </c>
      <c r="X266" s="8" t="s">
        <v>276</v>
      </c>
      <c r="Y266" s="8">
        <v>0</v>
      </c>
      <c r="Z266" s="8" t="s">
        <v>98</v>
      </c>
      <c r="AA266" s="8">
        <v>0</v>
      </c>
      <c r="AB266" s="8" t="s">
        <v>98</v>
      </c>
      <c r="AC266" s="9" t="s">
        <v>2435</v>
      </c>
      <c r="AD266" s="9" t="s">
        <v>2414</v>
      </c>
      <c r="AE266" s="13">
        <v>6811</v>
      </c>
      <c r="AF266" s="38">
        <v>7145</v>
      </c>
      <c r="AG266" s="13">
        <v>20965</v>
      </c>
      <c r="AH266" s="38">
        <v>21909</v>
      </c>
      <c r="AI266" s="38" t="s">
        <v>281</v>
      </c>
      <c r="AJ266" s="14" t="s">
        <v>276</v>
      </c>
      <c r="AK266" s="31">
        <f>AE266*1000/AG266</f>
        <v>324.87479131886477</v>
      </c>
      <c r="AL266" s="14" t="s">
        <v>276</v>
      </c>
      <c r="AM266" s="14" t="s">
        <v>276</v>
      </c>
      <c r="AN266" s="14" t="s">
        <v>276</v>
      </c>
      <c r="AO266" s="31">
        <f>AF266*1000/AH266</f>
        <v>326.12168515222055</v>
      </c>
      <c r="AP266" s="14" t="s">
        <v>276</v>
      </c>
      <c r="AQ266" s="14" t="s">
        <v>276</v>
      </c>
      <c r="AR266" s="8" t="s">
        <v>268</v>
      </c>
      <c r="AS266" s="14" t="s">
        <v>276</v>
      </c>
      <c r="AT266" s="14">
        <f t="shared" si="38"/>
        <v>0.99617659944086889</v>
      </c>
      <c r="AU266" s="14" t="s">
        <v>276</v>
      </c>
      <c r="AV266" s="14" t="s">
        <v>276</v>
      </c>
      <c r="AW266" s="8" t="s">
        <v>276</v>
      </c>
      <c r="AX266" s="8" t="s">
        <v>282</v>
      </c>
      <c r="AY266" s="8" t="s">
        <v>276</v>
      </c>
      <c r="AZ266" s="8" t="s">
        <v>276</v>
      </c>
      <c r="BA266" s="8" t="s">
        <v>276</v>
      </c>
      <c r="BB266" s="8" t="s">
        <v>276</v>
      </c>
      <c r="BC266" s="9" t="s">
        <v>426</v>
      </c>
      <c r="BD266" s="9" t="s">
        <v>2431</v>
      </c>
      <c r="BE266" s="9" t="s">
        <v>100</v>
      </c>
      <c r="BF266" s="33" t="s">
        <v>98</v>
      </c>
    </row>
    <row r="267" spans="1:58" s="7" customFormat="1" ht="65" x14ac:dyDescent="0.3">
      <c r="A267" s="8">
        <v>2566</v>
      </c>
      <c r="B267" s="8" t="s">
        <v>2383</v>
      </c>
      <c r="C267" s="9" t="s">
        <v>95</v>
      </c>
      <c r="D267" s="9" t="s">
        <v>2436</v>
      </c>
      <c r="E267" s="8" t="s">
        <v>35</v>
      </c>
      <c r="F267" s="9" t="s">
        <v>130</v>
      </c>
      <c r="G267" s="8" t="s">
        <v>225</v>
      </c>
      <c r="H267" s="8" t="s">
        <v>125</v>
      </c>
      <c r="I267" s="8" t="s">
        <v>114</v>
      </c>
      <c r="J267" s="9" t="s">
        <v>23</v>
      </c>
      <c r="K267" s="9" t="s">
        <v>2421</v>
      </c>
      <c r="L267" s="9" t="s">
        <v>2422</v>
      </c>
      <c r="M267" s="8" t="s">
        <v>15</v>
      </c>
      <c r="N267" s="90" t="s">
        <v>2410</v>
      </c>
      <c r="O267" s="9" t="s">
        <v>207</v>
      </c>
      <c r="P267" s="51" t="s">
        <v>2387</v>
      </c>
      <c r="Q267" s="9" t="s">
        <v>2388</v>
      </c>
      <c r="R267" s="9" t="s">
        <v>2411</v>
      </c>
      <c r="S267" s="9" t="s">
        <v>2434</v>
      </c>
      <c r="T267" s="9">
        <v>4</v>
      </c>
      <c r="U267" s="13">
        <v>20965</v>
      </c>
      <c r="V267" s="38">
        <v>21909</v>
      </c>
      <c r="W267" s="8" t="s">
        <v>276</v>
      </c>
      <c r="X267" s="8" t="s">
        <v>276</v>
      </c>
      <c r="Y267" s="8">
        <v>0</v>
      </c>
      <c r="Z267" s="8" t="s">
        <v>98</v>
      </c>
      <c r="AA267" s="8">
        <v>0</v>
      </c>
      <c r="AB267" s="8" t="s">
        <v>98</v>
      </c>
      <c r="AC267" s="9" t="s">
        <v>2437</v>
      </c>
      <c r="AD267" s="9" t="s">
        <v>2418</v>
      </c>
      <c r="AE267" s="13">
        <v>6811</v>
      </c>
      <c r="AF267" s="38">
        <v>7145</v>
      </c>
      <c r="AG267" s="71">
        <v>260001.8</v>
      </c>
      <c r="AH267" s="81">
        <v>268323.20000000001</v>
      </c>
      <c r="AI267" s="38" t="s">
        <v>1019</v>
      </c>
      <c r="AJ267" s="43">
        <v>2619.6</v>
      </c>
      <c r="AK267" s="31">
        <f>AE267*100000/AG267</f>
        <v>2619.5972489421229</v>
      </c>
      <c r="AL267" s="43">
        <v>2456.3000000000002</v>
      </c>
      <c r="AM267" s="43">
        <v>2796.9</v>
      </c>
      <c r="AN267" s="14">
        <v>2662.8</v>
      </c>
      <c r="AO267" s="31">
        <f>AF267*100000/AH267</f>
        <v>2662.8334784319804</v>
      </c>
      <c r="AP267" s="14">
        <v>2498.1999999999998</v>
      </c>
      <c r="AQ267" s="14">
        <v>2835.8</v>
      </c>
      <c r="AR267" s="8" t="s">
        <v>269</v>
      </c>
      <c r="AS267" s="14" t="s">
        <v>276</v>
      </c>
      <c r="AT267" s="14">
        <f t="shared" si="38"/>
        <v>0.98376307424401266</v>
      </c>
      <c r="AU267" s="14" t="s">
        <v>276</v>
      </c>
      <c r="AV267" s="14" t="s">
        <v>276</v>
      </c>
      <c r="AW267" s="8" t="s">
        <v>276</v>
      </c>
      <c r="AX267" s="9" t="s">
        <v>2395</v>
      </c>
      <c r="AY267" s="8">
        <v>0.98399999999999999</v>
      </c>
      <c r="AZ267" s="8">
        <v>0.90200000000000002</v>
      </c>
      <c r="BA267" s="8">
        <v>1.073</v>
      </c>
      <c r="BB267" s="8">
        <v>0.71</v>
      </c>
      <c r="BC267" s="9" t="s">
        <v>426</v>
      </c>
      <c r="BD267" s="9" t="s">
        <v>2431</v>
      </c>
      <c r="BE267" s="9" t="s">
        <v>100</v>
      </c>
      <c r="BF267" s="33" t="s">
        <v>98</v>
      </c>
    </row>
    <row r="268" spans="1:58" s="7" customFormat="1" ht="65" x14ac:dyDescent="0.3">
      <c r="A268" s="8">
        <v>2612</v>
      </c>
      <c r="B268" s="8" t="s">
        <v>2483</v>
      </c>
      <c r="C268" s="9" t="s">
        <v>2484</v>
      </c>
      <c r="D268" s="9" t="s">
        <v>2485</v>
      </c>
      <c r="E268" s="8" t="s">
        <v>37</v>
      </c>
      <c r="F268" s="8" t="s">
        <v>136</v>
      </c>
      <c r="G268" s="8" t="s">
        <v>225</v>
      </c>
      <c r="H268" s="8" t="s">
        <v>125</v>
      </c>
      <c r="I268" s="8" t="s">
        <v>114</v>
      </c>
      <c r="J268" s="9" t="s">
        <v>24</v>
      </c>
      <c r="K268" s="9" t="s">
        <v>2486</v>
      </c>
      <c r="L268" s="9" t="s">
        <v>2487</v>
      </c>
      <c r="M268" s="8" t="s">
        <v>14</v>
      </c>
      <c r="N268" s="11" t="s">
        <v>98</v>
      </c>
      <c r="O268" s="12" t="s">
        <v>207</v>
      </c>
      <c r="P268" s="41">
        <v>39447</v>
      </c>
      <c r="Q268" s="9" t="s">
        <v>278</v>
      </c>
      <c r="R268" s="9" t="s">
        <v>2488</v>
      </c>
      <c r="S268" s="38" t="s">
        <v>2489</v>
      </c>
      <c r="T268" s="9">
        <v>1</v>
      </c>
      <c r="U268" s="13">
        <v>34074</v>
      </c>
      <c r="V268" s="38">
        <v>31488</v>
      </c>
      <c r="W268" s="8" t="s">
        <v>276</v>
      </c>
      <c r="X268" s="8" t="s">
        <v>276</v>
      </c>
      <c r="Y268" s="8">
        <v>0</v>
      </c>
      <c r="Z268" s="8" t="s">
        <v>98</v>
      </c>
      <c r="AA268" s="8">
        <v>0</v>
      </c>
      <c r="AB268" s="8" t="s">
        <v>98</v>
      </c>
      <c r="AC268" s="9" t="s">
        <v>2334</v>
      </c>
      <c r="AD268" s="9" t="s">
        <v>2490</v>
      </c>
      <c r="AE268" s="8">
        <v>56</v>
      </c>
      <c r="AF268" s="8">
        <v>64</v>
      </c>
      <c r="AG268" s="13">
        <v>267917</v>
      </c>
      <c r="AH268" s="13">
        <v>248175</v>
      </c>
      <c r="AI268" s="38" t="s">
        <v>1019</v>
      </c>
      <c r="AJ268" s="43">
        <v>20.9</v>
      </c>
      <c r="AK268" s="31">
        <f>AE268*100000/AG268</f>
        <v>20.901995767345856</v>
      </c>
      <c r="AL268" s="14" t="s">
        <v>276</v>
      </c>
      <c r="AM268" s="14" t="s">
        <v>276</v>
      </c>
      <c r="AN268" s="43">
        <v>25.8</v>
      </c>
      <c r="AO268" s="31">
        <f>AF268*100000/AH268</f>
        <v>25.788254256069305</v>
      </c>
      <c r="AP268" s="14" t="s">
        <v>276</v>
      </c>
      <c r="AQ268" s="14" t="s">
        <v>276</v>
      </c>
      <c r="AR268" s="8" t="s">
        <v>270</v>
      </c>
      <c r="AS268" s="14" t="s">
        <v>276</v>
      </c>
      <c r="AT268" s="14" t="s">
        <v>276</v>
      </c>
      <c r="AU268" s="14" t="s">
        <v>276</v>
      </c>
      <c r="AV268" s="14" t="s">
        <v>276</v>
      </c>
      <c r="AW268" s="8" t="s">
        <v>276</v>
      </c>
      <c r="AX268" s="8" t="s">
        <v>2491</v>
      </c>
      <c r="AY268" s="8">
        <v>0.86</v>
      </c>
      <c r="AZ268" s="14">
        <v>0.6</v>
      </c>
      <c r="BA268" s="8">
        <v>1.25</v>
      </c>
      <c r="BB268" s="8" t="s">
        <v>276</v>
      </c>
      <c r="BC268" s="9" t="s">
        <v>2492</v>
      </c>
      <c r="BD268" s="9" t="s">
        <v>2493</v>
      </c>
      <c r="BE268" s="9" t="s">
        <v>99</v>
      </c>
      <c r="BF268" s="33" t="s">
        <v>11162</v>
      </c>
    </row>
    <row r="269" spans="1:58" s="7" customFormat="1" ht="65" x14ac:dyDescent="0.3">
      <c r="A269" s="8">
        <v>2612</v>
      </c>
      <c r="B269" s="8" t="s">
        <v>2483</v>
      </c>
      <c r="C269" s="9" t="s">
        <v>2484</v>
      </c>
      <c r="D269" s="9" t="s">
        <v>2494</v>
      </c>
      <c r="E269" s="8" t="s">
        <v>37</v>
      </c>
      <c r="F269" s="8" t="s">
        <v>136</v>
      </c>
      <c r="G269" s="8" t="s">
        <v>225</v>
      </c>
      <c r="H269" s="8" t="s">
        <v>125</v>
      </c>
      <c r="I269" s="8" t="s">
        <v>114</v>
      </c>
      <c r="J269" s="9" t="s">
        <v>24</v>
      </c>
      <c r="K269" s="9" t="s">
        <v>2486</v>
      </c>
      <c r="L269" s="9" t="s">
        <v>2487</v>
      </c>
      <c r="M269" s="8" t="s">
        <v>14</v>
      </c>
      <c r="N269" s="11" t="s">
        <v>98</v>
      </c>
      <c r="O269" s="12" t="s">
        <v>207</v>
      </c>
      <c r="P269" s="41">
        <v>39447</v>
      </c>
      <c r="Q269" s="9" t="s">
        <v>278</v>
      </c>
      <c r="R269" s="9" t="s">
        <v>2488</v>
      </c>
      <c r="S269" s="38" t="s">
        <v>2489</v>
      </c>
      <c r="T269" s="9">
        <v>1</v>
      </c>
      <c r="U269" s="13">
        <v>34074</v>
      </c>
      <c r="V269" s="38">
        <v>31488</v>
      </c>
      <c r="W269" s="8" t="s">
        <v>276</v>
      </c>
      <c r="X269" s="8" t="s">
        <v>276</v>
      </c>
      <c r="Y269" s="8">
        <v>0</v>
      </c>
      <c r="Z269" s="8" t="s">
        <v>98</v>
      </c>
      <c r="AA269" s="8">
        <v>0</v>
      </c>
      <c r="AB269" s="8" t="s">
        <v>98</v>
      </c>
      <c r="AC269" s="9" t="s">
        <v>2334</v>
      </c>
      <c r="AD269" s="9" t="s">
        <v>2490</v>
      </c>
      <c r="AE269" s="8">
        <v>56</v>
      </c>
      <c r="AF269" s="8">
        <v>64</v>
      </c>
      <c r="AG269" s="13">
        <v>267917</v>
      </c>
      <c r="AH269" s="13">
        <v>248175</v>
      </c>
      <c r="AI269" s="38" t="s">
        <v>1019</v>
      </c>
      <c r="AJ269" s="43">
        <v>20.9</v>
      </c>
      <c r="AK269" s="31">
        <f>AE269*100000/AG269</f>
        <v>20.901995767345856</v>
      </c>
      <c r="AL269" s="14" t="s">
        <v>276</v>
      </c>
      <c r="AM269" s="14" t="s">
        <v>276</v>
      </c>
      <c r="AN269" s="43">
        <v>25.8</v>
      </c>
      <c r="AO269" s="31">
        <f>AF269*100000/AH269</f>
        <v>25.788254256069305</v>
      </c>
      <c r="AP269" s="14" t="s">
        <v>276</v>
      </c>
      <c r="AQ269" s="14" t="s">
        <v>276</v>
      </c>
      <c r="AR269" s="8" t="s">
        <v>269</v>
      </c>
      <c r="AS269" s="14" t="s">
        <v>276</v>
      </c>
      <c r="AT269" s="14">
        <f>AK269/AO269</f>
        <v>0.81052387493141531</v>
      </c>
      <c r="AU269" s="14" t="s">
        <v>276</v>
      </c>
      <c r="AV269" s="14" t="s">
        <v>276</v>
      </c>
      <c r="AW269" s="8" t="s">
        <v>276</v>
      </c>
      <c r="AX269" s="8" t="s">
        <v>282</v>
      </c>
      <c r="AY269" s="8" t="s">
        <v>276</v>
      </c>
      <c r="AZ269" s="8" t="s">
        <v>276</v>
      </c>
      <c r="BA269" s="8" t="s">
        <v>276</v>
      </c>
      <c r="BB269" s="8" t="s">
        <v>276</v>
      </c>
      <c r="BC269" s="9" t="s">
        <v>2492</v>
      </c>
      <c r="BD269" s="9" t="s">
        <v>2493</v>
      </c>
      <c r="BE269" s="9" t="s">
        <v>99</v>
      </c>
      <c r="BF269" s="33" t="s">
        <v>11162</v>
      </c>
    </row>
    <row r="270" spans="1:58" s="7" customFormat="1" ht="65" x14ac:dyDescent="0.3">
      <c r="A270" s="8">
        <v>2612</v>
      </c>
      <c r="B270" s="8" t="s">
        <v>2483</v>
      </c>
      <c r="C270" s="9" t="s">
        <v>2484</v>
      </c>
      <c r="D270" s="9" t="s">
        <v>2495</v>
      </c>
      <c r="E270" s="8" t="s">
        <v>37</v>
      </c>
      <c r="F270" s="8" t="s">
        <v>136</v>
      </c>
      <c r="G270" s="8" t="s">
        <v>225</v>
      </c>
      <c r="H270" s="8" t="s">
        <v>125</v>
      </c>
      <c r="I270" s="8" t="s">
        <v>114</v>
      </c>
      <c r="J270" s="9" t="s">
        <v>24</v>
      </c>
      <c r="K270" s="9" t="s">
        <v>2486</v>
      </c>
      <c r="L270" s="9" t="s">
        <v>2487</v>
      </c>
      <c r="M270" s="8" t="s">
        <v>14</v>
      </c>
      <c r="N270" s="11" t="s">
        <v>98</v>
      </c>
      <c r="O270" s="12" t="s">
        <v>207</v>
      </c>
      <c r="P270" s="41">
        <v>39447</v>
      </c>
      <c r="Q270" s="9" t="s">
        <v>278</v>
      </c>
      <c r="R270" s="9" t="s">
        <v>2488</v>
      </c>
      <c r="S270" s="38" t="s">
        <v>2489</v>
      </c>
      <c r="T270" s="9">
        <v>1</v>
      </c>
      <c r="U270" s="13">
        <v>34074</v>
      </c>
      <c r="V270" s="38">
        <v>31488</v>
      </c>
      <c r="W270" s="8" t="s">
        <v>276</v>
      </c>
      <c r="X270" s="8" t="s">
        <v>276</v>
      </c>
      <c r="Y270" s="8">
        <v>0</v>
      </c>
      <c r="Z270" s="8" t="s">
        <v>98</v>
      </c>
      <c r="AA270" s="8">
        <v>0</v>
      </c>
      <c r="AB270" s="8" t="s">
        <v>98</v>
      </c>
      <c r="AC270" s="9" t="s">
        <v>2334</v>
      </c>
      <c r="AD270" s="9" t="s">
        <v>2490</v>
      </c>
      <c r="AE270" s="8">
        <v>56</v>
      </c>
      <c r="AF270" s="8">
        <v>64</v>
      </c>
      <c r="AG270" s="13">
        <v>34074</v>
      </c>
      <c r="AH270" s="38">
        <v>31488</v>
      </c>
      <c r="AI270" s="38" t="s">
        <v>281</v>
      </c>
      <c r="AJ270" s="43" t="s">
        <v>276</v>
      </c>
      <c r="AK270" s="31">
        <f>AE270*1000/AG270</f>
        <v>1.6434818336561601</v>
      </c>
      <c r="AL270" s="14" t="s">
        <v>276</v>
      </c>
      <c r="AM270" s="14" t="s">
        <v>276</v>
      </c>
      <c r="AN270" s="43" t="s">
        <v>276</v>
      </c>
      <c r="AO270" s="31">
        <f>AF270*1000/AH270</f>
        <v>2.0325203252032522</v>
      </c>
      <c r="AP270" s="14" t="s">
        <v>276</v>
      </c>
      <c r="AQ270" s="14" t="s">
        <v>276</v>
      </c>
      <c r="AR270" s="8" t="s">
        <v>268</v>
      </c>
      <c r="AS270" s="14" t="s">
        <v>276</v>
      </c>
      <c r="AT270" s="14">
        <f>AK270/AO270</f>
        <v>0.80859306215883064</v>
      </c>
      <c r="AU270" s="14" t="s">
        <v>276</v>
      </c>
      <c r="AV270" s="14" t="s">
        <v>276</v>
      </c>
      <c r="AW270" s="8" t="s">
        <v>276</v>
      </c>
      <c r="AX270" s="8" t="s">
        <v>282</v>
      </c>
      <c r="AY270" s="8" t="s">
        <v>276</v>
      </c>
      <c r="AZ270" s="8" t="s">
        <v>276</v>
      </c>
      <c r="BA270" s="8" t="s">
        <v>276</v>
      </c>
      <c r="BB270" s="8" t="s">
        <v>276</v>
      </c>
      <c r="BC270" s="9" t="s">
        <v>2496</v>
      </c>
      <c r="BD270" s="9" t="s">
        <v>2493</v>
      </c>
      <c r="BE270" s="9" t="s">
        <v>99</v>
      </c>
      <c r="BF270" s="33" t="s">
        <v>11162</v>
      </c>
    </row>
    <row r="271" spans="1:58" s="7" customFormat="1" ht="65" x14ac:dyDescent="0.3">
      <c r="A271" s="8">
        <v>2612</v>
      </c>
      <c r="B271" s="8" t="s">
        <v>2483</v>
      </c>
      <c r="C271" s="9" t="s">
        <v>2484</v>
      </c>
      <c r="D271" s="9" t="s">
        <v>2497</v>
      </c>
      <c r="E271" s="8" t="s">
        <v>37</v>
      </c>
      <c r="F271" s="9" t="s">
        <v>129</v>
      </c>
      <c r="G271" s="8" t="s">
        <v>225</v>
      </c>
      <c r="H271" s="8" t="s">
        <v>125</v>
      </c>
      <c r="I271" s="8" t="s">
        <v>114</v>
      </c>
      <c r="J271" s="9" t="s">
        <v>24</v>
      </c>
      <c r="K271" s="9" t="s">
        <v>2486</v>
      </c>
      <c r="L271" s="9" t="s">
        <v>2487</v>
      </c>
      <c r="M271" s="8" t="s">
        <v>14</v>
      </c>
      <c r="N271" s="11" t="s">
        <v>98</v>
      </c>
      <c r="O271" s="12" t="s">
        <v>207</v>
      </c>
      <c r="P271" s="41">
        <v>39447</v>
      </c>
      <c r="Q271" s="9" t="s">
        <v>278</v>
      </c>
      <c r="R271" s="9" t="s">
        <v>2498</v>
      </c>
      <c r="S271" s="38" t="s">
        <v>2489</v>
      </c>
      <c r="T271" s="9">
        <v>1</v>
      </c>
      <c r="U271" s="13">
        <v>32058</v>
      </c>
      <c r="V271" s="38">
        <v>31488</v>
      </c>
      <c r="W271" s="8" t="s">
        <v>276</v>
      </c>
      <c r="X271" s="8" t="s">
        <v>276</v>
      </c>
      <c r="Y271" s="8">
        <v>0</v>
      </c>
      <c r="Z271" s="8" t="s">
        <v>98</v>
      </c>
      <c r="AA271" s="8">
        <v>0</v>
      </c>
      <c r="AB271" s="8" t="s">
        <v>98</v>
      </c>
      <c r="AC271" s="9" t="s">
        <v>2334</v>
      </c>
      <c r="AD271" s="9" t="s">
        <v>2490</v>
      </c>
      <c r="AE271" s="8">
        <v>54</v>
      </c>
      <c r="AF271" s="8">
        <v>64</v>
      </c>
      <c r="AG271" s="13">
        <v>251144</v>
      </c>
      <c r="AH271" s="13">
        <v>248175</v>
      </c>
      <c r="AI271" s="38" t="s">
        <v>1019</v>
      </c>
      <c r="AJ271" s="43">
        <v>21.5</v>
      </c>
      <c r="AK271" s="31">
        <f>AE271*100000/AG271</f>
        <v>21.501608638868536</v>
      </c>
      <c r="AL271" s="14" t="s">
        <v>276</v>
      </c>
      <c r="AM271" s="14" t="s">
        <v>276</v>
      </c>
      <c r="AN271" s="43">
        <v>25.8</v>
      </c>
      <c r="AO271" s="31">
        <f>AF271*100000/AH271</f>
        <v>25.788254256069305</v>
      </c>
      <c r="AP271" s="14" t="s">
        <v>276</v>
      </c>
      <c r="AQ271" s="14" t="s">
        <v>276</v>
      </c>
      <c r="AR271" s="8" t="s">
        <v>270</v>
      </c>
      <c r="AS271" s="14" t="s">
        <v>276</v>
      </c>
      <c r="AT271" s="14" t="s">
        <v>276</v>
      </c>
      <c r="AU271" s="14" t="s">
        <v>276</v>
      </c>
      <c r="AV271" s="14" t="s">
        <v>276</v>
      </c>
      <c r="AW271" s="8" t="s">
        <v>276</v>
      </c>
      <c r="AX271" s="8" t="s">
        <v>2491</v>
      </c>
      <c r="AY271" s="8">
        <v>0.89</v>
      </c>
      <c r="AZ271" s="8">
        <v>0.62</v>
      </c>
      <c r="BA271" s="8">
        <v>1.27</v>
      </c>
      <c r="BB271" s="8" t="s">
        <v>276</v>
      </c>
      <c r="BC271" s="9" t="s">
        <v>2492</v>
      </c>
      <c r="BD271" s="9" t="s">
        <v>2493</v>
      </c>
      <c r="BE271" s="9" t="s">
        <v>99</v>
      </c>
      <c r="BF271" s="33" t="s">
        <v>11162</v>
      </c>
    </row>
    <row r="272" spans="1:58" s="7" customFormat="1" ht="65" x14ac:dyDescent="0.3">
      <c r="A272" s="8">
        <v>2612</v>
      </c>
      <c r="B272" s="8" t="s">
        <v>2483</v>
      </c>
      <c r="C272" s="9" t="s">
        <v>2484</v>
      </c>
      <c r="D272" s="9" t="s">
        <v>2499</v>
      </c>
      <c r="E272" s="8" t="s">
        <v>37</v>
      </c>
      <c r="F272" s="9" t="s">
        <v>129</v>
      </c>
      <c r="G272" s="8" t="s">
        <v>225</v>
      </c>
      <c r="H272" s="8" t="s">
        <v>125</v>
      </c>
      <c r="I272" s="8" t="s">
        <v>114</v>
      </c>
      <c r="J272" s="9" t="s">
        <v>24</v>
      </c>
      <c r="K272" s="9" t="s">
        <v>2486</v>
      </c>
      <c r="L272" s="9" t="s">
        <v>2487</v>
      </c>
      <c r="M272" s="8" t="s">
        <v>14</v>
      </c>
      <c r="N272" s="11" t="s">
        <v>98</v>
      </c>
      <c r="O272" s="12" t="s">
        <v>207</v>
      </c>
      <c r="P272" s="41">
        <v>39447</v>
      </c>
      <c r="Q272" s="9" t="s">
        <v>278</v>
      </c>
      <c r="R272" s="9" t="s">
        <v>2498</v>
      </c>
      <c r="S272" s="38" t="s">
        <v>2489</v>
      </c>
      <c r="T272" s="9">
        <v>1</v>
      </c>
      <c r="U272" s="13">
        <v>32058</v>
      </c>
      <c r="V272" s="38">
        <v>31488</v>
      </c>
      <c r="W272" s="8" t="s">
        <v>276</v>
      </c>
      <c r="X272" s="8" t="s">
        <v>276</v>
      </c>
      <c r="Y272" s="8">
        <v>0</v>
      </c>
      <c r="Z272" s="8" t="s">
        <v>98</v>
      </c>
      <c r="AA272" s="8">
        <v>0</v>
      </c>
      <c r="AB272" s="8" t="s">
        <v>98</v>
      </c>
      <c r="AC272" s="9" t="s">
        <v>2334</v>
      </c>
      <c r="AD272" s="9" t="s">
        <v>2490</v>
      </c>
      <c r="AE272" s="8">
        <v>54</v>
      </c>
      <c r="AF272" s="8">
        <v>64</v>
      </c>
      <c r="AG272" s="13">
        <v>251144</v>
      </c>
      <c r="AH272" s="13">
        <v>248175</v>
      </c>
      <c r="AI272" s="38" t="s">
        <v>1019</v>
      </c>
      <c r="AJ272" s="43">
        <v>21.5</v>
      </c>
      <c r="AK272" s="31">
        <f>AE272*100000/AG272</f>
        <v>21.501608638868536</v>
      </c>
      <c r="AL272" s="14" t="s">
        <v>276</v>
      </c>
      <c r="AM272" s="14" t="s">
        <v>276</v>
      </c>
      <c r="AN272" s="43">
        <v>25.8</v>
      </c>
      <c r="AO272" s="31">
        <f>AF272*100000/AH272</f>
        <v>25.788254256069305</v>
      </c>
      <c r="AP272" s="14" t="s">
        <v>276</v>
      </c>
      <c r="AQ272" s="14" t="s">
        <v>276</v>
      </c>
      <c r="AR272" s="8" t="s">
        <v>269</v>
      </c>
      <c r="AS272" s="14" t="s">
        <v>276</v>
      </c>
      <c r="AT272" s="14">
        <f>AK272/AO272</f>
        <v>0.83377526936737489</v>
      </c>
      <c r="AU272" s="14" t="s">
        <v>276</v>
      </c>
      <c r="AV272" s="14" t="s">
        <v>276</v>
      </c>
      <c r="AW272" s="8" t="s">
        <v>276</v>
      </c>
      <c r="AX272" s="8" t="s">
        <v>282</v>
      </c>
      <c r="AY272" s="8" t="s">
        <v>276</v>
      </c>
      <c r="AZ272" s="8" t="s">
        <v>276</v>
      </c>
      <c r="BA272" s="8" t="s">
        <v>276</v>
      </c>
      <c r="BB272" s="8" t="s">
        <v>276</v>
      </c>
      <c r="BC272" s="9" t="s">
        <v>2492</v>
      </c>
      <c r="BD272" s="9" t="s">
        <v>2493</v>
      </c>
      <c r="BE272" s="9" t="s">
        <v>99</v>
      </c>
      <c r="BF272" s="33" t="s">
        <v>11162</v>
      </c>
    </row>
    <row r="273" spans="1:58" s="7" customFormat="1" ht="65" x14ac:dyDescent="0.3">
      <c r="A273" s="8">
        <v>2612</v>
      </c>
      <c r="B273" s="8" t="s">
        <v>2483</v>
      </c>
      <c r="C273" s="9" t="s">
        <v>2484</v>
      </c>
      <c r="D273" s="9" t="s">
        <v>2500</v>
      </c>
      <c r="E273" s="8" t="s">
        <v>37</v>
      </c>
      <c r="F273" s="9" t="s">
        <v>129</v>
      </c>
      <c r="G273" s="8" t="s">
        <v>225</v>
      </c>
      <c r="H273" s="8" t="s">
        <v>125</v>
      </c>
      <c r="I273" s="8" t="s">
        <v>114</v>
      </c>
      <c r="J273" s="9" t="s">
        <v>24</v>
      </c>
      <c r="K273" s="9" t="s">
        <v>2486</v>
      </c>
      <c r="L273" s="9" t="s">
        <v>2487</v>
      </c>
      <c r="M273" s="8" t="s">
        <v>14</v>
      </c>
      <c r="N273" s="11" t="s">
        <v>98</v>
      </c>
      <c r="O273" s="12" t="s">
        <v>207</v>
      </c>
      <c r="P273" s="41">
        <v>39447</v>
      </c>
      <c r="Q273" s="9" t="s">
        <v>278</v>
      </c>
      <c r="R273" s="9" t="s">
        <v>2498</v>
      </c>
      <c r="S273" s="38" t="s">
        <v>2489</v>
      </c>
      <c r="T273" s="9">
        <v>1</v>
      </c>
      <c r="U273" s="13">
        <v>32058</v>
      </c>
      <c r="V273" s="38">
        <v>31488</v>
      </c>
      <c r="W273" s="8" t="s">
        <v>276</v>
      </c>
      <c r="X273" s="8" t="s">
        <v>276</v>
      </c>
      <c r="Y273" s="8">
        <v>0</v>
      </c>
      <c r="Z273" s="8" t="s">
        <v>98</v>
      </c>
      <c r="AA273" s="8">
        <v>0</v>
      </c>
      <c r="AB273" s="8" t="s">
        <v>98</v>
      </c>
      <c r="AC273" s="9" t="s">
        <v>2334</v>
      </c>
      <c r="AD273" s="9" t="s">
        <v>2490</v>
      </c>
      <c r="AE273" s="8">
        <v>54</v>
      </c>
      <c r="AF273" s="8">
        <v>64</v>
      </c>
      <c r="AG273" s="13">
        <v>32058</v>
      </c>
      <c r="AH273" s="38">
        <v>31488</v>
      </c>
      <c r="AI273" s="38" t="s">
        <v>281</v>
      </c>
      <c r="AJ273" s="43" t="s">
        <v>276</v>
      </c>
      <c r="AK273" s="31">
        <f>AE273*1000/AG273</f>
        <v>1.6844469399213924</v>
      </c>
      <c r="AL273" s="14" t="s">
        <v>276</v>
      </c>
      <c r="AM273" s="14" t="s">
        <v>276</v>
      </c>
      <c r="AN273" s="43" t="s">
        <v>276</v>
      </c>
      <c r="AO273" s="31">
        <f>AF273*1000/AH273</f>
        <v>2.0325203252032522</v>
      </c>
      <c r="AP273" s="14" t="s">
        <v>276</v>
      </c>
      <c r="AQ273" s="14" t="s">
        <v>276</v>
      </c>
      <c r="AR273" s="8" t="s">
        <v>268</v>
      </c>
      <c r="AS273" s="14" t="s">
        <v>276</v>
      </c>
      <c r="AT273" s="14">
        <f>AK273/AO273</f>
        <v>0.82874789444132502</v>
      </c>
      <c r="AU273" s="14" t="s">
        <v>276</v>
      </c>
      <c r="AV273" s="14" t="s">
        <v>276</v>
      </c>
      <c r="AW273" s="8" t="s">
        <v>276</v>
      </c>
      <c r="AX273" s="8" t="s">
        <v>282</v>
      </c>
      <c r="AY273" s="8" t="s">
        <v>276</v>
      </c>
      <c r="AZ273" s="8" t="s">
        <v>276</v>
      </c>
      <c r="BA273" s="8" t="s">
        <v>276</v>
      </c>
      <c r="BB273" s="8" t="s">
        <v>276</v>
      </c>
      <c r="BC273" s="9" t="s">
        <v>2496</v>
      </c>
      <c r="BD273" s="9" t="s">
        <v>2493</v>
      </c>
      <c r="BE273" s="9" t="s">
        <v>99</v>
      </c>
      <c r="BF273" s="33" t="s">
        <v>11162</v>
      </c>
    </row>
    <row r="274" spans="1:58" s="7" customFormat="1" ht="91" x14ac:dyDescent="0.3">
      <c r="A274" s="8">
        <v>2612</v>
      </c>
      <c r="B274" s="8" t="s">
        <v>2483</v>
      </c>
      <c r="C274" s="9" t="s">
        <v>2484</v>
      </c>
      <c r="D274" s="9" t="s">
        <v>2501</v>
      </c>
      <c r="E274" s="8" t="s">
        <v>37</v>
      </c>
      <c r="F274" s="8" t="s">
        <v>2502</v>
      </c>
      <c r="G274" s="8" t="s">
        <v>225</v>
      </c>
      <c r="H274" s="8" t="s">
        <v>125</v>
      </c>
      <c r="I274" s="8" t="s">
        <v>114</v>
      </c>
      <c r="J274" s="9" t="s">
        <v>24</v>
      </c>
      <c r="K274" s="9" t="s">
        <v>2486</v>
      </c>
      <c r="L274" s="9" t="s">
        <v>2487</v>
      </c>
      <c r="M274" s="8" t="s">
        <v>14</v>
      </c>
      <c r="N274" s="11" t="s">
        <v>98</v>
      </c>
      <c r="O274" s="12" t="s">
        <v>207</v>
      </c>
      <c r="P274" s="41">
        <v>39447</v>
      </c>
      <c r="Q274" s="9" t="s">
        <v>278</v>
      </c>
      <c r="R274" s="9" t="s">
        <v>2503</v>
      </c>
      <c r="S274" s="38" t="s">
        <v>2489</v>
      </c>
      <c r="T274" s="9">
        <v>1</v>
      </c>
      <c r="U274" s="13">
        <v>34126</v>
      </c>
      <c r="V274" s="38">
        <v>31488</v>
      </c>
      <c r="W274" s="8" t="s">
        <v>276</v>
      </c>
      <c r="X274" s="8" t="s">
        <v>276</v>
      </c>
      <c r="Y274" s="8">
        <v>0</v>
      </c>
      <c r="Z274" s="8" t="s">
        <v>98</v>
      </c>
      <c r="AA274" s="8">
        <v>0</v>
      </c>
      <c r="AB274" s="8" t="s">
        <v>98</v>
      </c>
      <c r="AC274" s="9" t="s">
        <v>2334</v>
      </c>
      <c r="AD274" s="9" t="s">
        <v>2490</v>
      </c>
      <c r="AE274" s="8">
        <v>34</v>
      </c>
      <c r="AF274" s="8">
        <v>64</v>
      </c>
      <c r="AG274" s="13">
        <v>268674</v>
      </c>
      <c r="AH274" s="13">
        <v>248175</v>
      </c>
      <c r="AI274" s="38" t="s">
        <v>1019</v>
      </c>
      <c r="AJ274" s="43">
        <v>12.7</v>
      </c>
      <c r="AK274" s="31">
        <f>AE274*100000/AG274</f>
        <v>12.654741433856644</v>
      </c>
      <c r="AL274" s="14" t="s">
        <v>276</v>
      </c>
      <c r="AM274" s="14" t="s">
        <v>276</v>
      </c>
      <c r="AN274" s="43">
        <v>25.8</v>
      </c>
      <c r="AO274" s="31">
        <f>AF274*100000/AH274</f>
        <v>25.788254256069305</v>
      </c>
      <c r="AP274" s="14" t="s">
        <v>276</v>
      </c>
      <c r="AQ274" s="14" t="s">
        <v>276</v>
      </c>
      <c r="AR274" s="8" t="s">
        <v>270</v>
      </c>
      <c r="AS274" s="14" t="s">
        <v>276</v>
      </c>
      <c r="AT274" s="14" t="s">
        <v>276</v>
      </c>
      <c r="AU274" s="14" t="s">
        <v>276</v>
      </c>
      <c r="AV274" s="14" t="s">
        <v>276</v>
      </c>
      <c r="AW274" s="8" t="s">
        <v>276</v>
      </c>
      <c r="AX274" s="8" t="s">
        <v>2491</v>
      </c>
      <c r="AY274" s="8">
        <v>0.52</v>
      </c>
      <c r="AZ274" s="14">
        <v>0.33</v>
      </c>
      <c r="BA274" s="8">
        <v>0.83</v>
      </c>
      <c r="BB274" s="8" t="s">
        <v>276</v>
      </c>
      <c r="BC274" s="9" t="s">
        <v>2504</v>
      </c>
      <c r="BD274" s="9" t="s">
        <v>2493</v>
      </c>
      <c r="BE274" s="9" t="s">
        <v>99</v>
      </c>
      <c r="BF274" s="33" t="s">
        <v>11162</v>
      </c>
    </row>
    <row r="275" spans="1:58" s="7" customFormat="1" ht="65" x14ac:dyDescent="0.3">
      <c r="A275" s="8">
        <v>2612</v>
      </c>
      <c r="B275" s="8" t="s">
        <v>2483</v>
      </c>
      <c r="C275" s="9" t="s">
        <v>2484</v>
      </c>
      <c r="D275" s="9" t="s">
        <v>2505</v>
      </c>
      <c r="E275" s="8" t="s">
        <v>37</v>
      </c>
      <c r="F275" s="8" t="s">
        <v>2502</v>
      </c>
      <c r="G275" s="8" t="s">
        <v>225</v>
      </c>
      <c r="H275" s="8" t="s">
        <v>125</v>
      </c>
      <c r="I275" s="8" t="s">
        <v>114</v>
      </c>
      <c r="J275" s="9" t="s">
        <v>24</v>
      </c>
      <c r="K275" s="9" t="s">
        <v>2486</v>
      </c>
      <c r="L275" s="9" t="s">
        <v>2487</v>
      </c>
      <c r="M275" s="8" t="s">
        <v>14</v>
      </c>
      <c r="N275" s="11" t="s">
        <v>98</v>
      </c>
      <c r="O275" s="12" t="s">
        <v>207</v>
      </c>
      <c r="P275" s="41">
        <v>39447</v>
      </c>
      <c r="Q275" s="9" t="s">
        <v>278</v>
      </c>
      <c r="R275" s="9" t="s">
        <v>2503</v>
      </c>
      <c r="S275" s="38" t="s">
        <v>2489</v>
      </c>
      <c r="T275" s="9">
        <v>1</v>
      </c>
      <c r="U275" s="13">
        <v>34126</v>
      </c>
      <c r="V275" s="38">
        <v>31488</v>
      </c>
      <c r="W275" s="8" t="s">
        <v>276</v>
      </c>
      <c r="X275" s="8" t="s">
        <v>276</v>
      </c>
      <c r="Y275" s="8">
        <v>0</v>
      </c>
      <c r="Z275" s="8" t="s">
        <v>98</v>
      </c>
      <c r="AA275" s="8">
        <v>0</v>
      </c>
      <c r="AB275" s="8" t="s">
        <v>98</v>
      </c>
      <c r="AC275" s="9" t="s">
        <v>2334</v>
      </c>
      <c r="AD275" s="9" t="s">
        <v>2490</v>
      </c>
      <c r="AE275" s="8">
        <v>34</v>
      </c>
      <c r="AF275" s="8">
        <v>64</v>
      </c>
      <c r="AG275" s="13">
        <v>268674</v>
      </c>
      <c r="AH275" s="13">
        <v>248175</v>
      </c>
      <c r="AI275" s="38" t="s">
        <v>1019</v>
      </c>
      <c r="AJ275" s="43">
        <v>12.7</v>
      </c>
      <c r="AK275" s="31">
        <f>AE275*100000/AG275</f>
        <v>12.654741433856644</v>
      </c>
      <c r="AL275" s="14" t="s">
        <v>276</v>
      </c>
      <c r="AM275" s="14" t="s">
        <v>276</v>
      </c>
      <c r="AN275" s="43">
        <v>25.8</v>
      </c>
      <c r="AO275" s="31">
        <f>AF275*100000/AH275</f>
        <v>25.788254256069305</v>
      </c>
      <c r="AP275" s="14" t="s">
        <v>276</v>
      </c>
      <c r="AQ275" s="14" t="s">
        <v>276</v>
      </c>
      <c r="AR275" s="8" t="s">
        <v>269</v>
      </c>
      <c r="AS275" s="14" t="s">
        <v>276</v>
      </c>
      <c r="AT275" s="14">
        <f t="shared" ref="AT275:AT281" si="39">AK275/AO275</f>
        <v>0.49071725864802701</v>
      </c>
      <c r="AU275" s="14" t="s">
        <v>276</v>
      </c>
      <c r="AV275" s="14" t="s">
        <v>276</v>
      </c>
      <c r="AW275" s="8" t="s">
        <v>276</v>
      </c>
      <c r="AX275" s="8" t="s">
        <v>282</v>
      </c>
      <c r="AY275" s="8" t="s">
        <v>276</v>
      </c>
      <c r="AZ275" s="8" t="s">
        <v>276</v>
      </c>
      <c r="BA275" s="8" t="s">
        <v>276</v>
      </c>
      <c r="BB275" s="8" t="s">
        <v>276</v>
      </c>
      <c r="BC275" s="9" t="s">
        <v>2492</v>
      </c>
      <c r="BD275" s="9" t="s">
        <v>2493</v>
      </c>
      <c r="BE275" s="9" t="s">
        <v>99</v>
      </c>
      <c r="BF275" s="33" t="s">
        <v>11162</v>
      </c>
    </row>
    <row r="276" spans="1:58" s="7" customFormat="1" ht="91" x14ac:dyDescent="0.3">
      <c r="A276" s="8">
        <v>2612</v>
      </c>
      <c r="B276" s="8" t="s">
        <v>2483</v>
      </c>
      <c r="C276" s="9" t="s">
        <v>2484</v>
      </c>
      <c r="D276" s="9" t="s">
        <v>2506</v>
      </c>
      <c r="E276" s="8" t="s">
        <v>37</v>
      </c>
      <c r="F276" s="8" t="s">
        <v>2502</v>
      </c>
      <c r="G276" s="8" t="s">
        <v>225</v>
      </c>
      <c r="H276" s="8" t="s">
        <v>125</v>
      </c>
      <c r="I276" s="8" t="s">
        <v>114</v>
      </c>
      <c r="J276" s="9" t="s">
        <v>24</v>
      </c>
      <c r="K276" s="9" t="s">
        <v>2486</v>
      </c>
      <c r="L276" s="9" t="s">
        <v>2487</v>
      </c>
      <c r="M276" s="8" t="s">
        <v>14</v>
      </c>
      <c r="N276" s="11" t="s">
        <v>98</v>
      </c>
      <c r="O276" s="12" t="s">
        <v>207</v>
      </c>
      <c r="P276" s="41">
        <v>39447</v>
      </c>
      <c r="Q276" s="9" t="s">
        <v>278</v>
      </c>
      <c r="R276" s="9" t="s">
        <v>2503</v>
      </c>
      <c r="S276" s="38" t="s">
        <v>2489</v>
      </c>
      <c r="T276" s="9">
        <v>1</v>
      </c>
      <c r="U276" s="13">
        <v>34126</v>
      </c>
      <c r="V276" s="38">
        <v>31488</v>
      </c>
      <c r="W276" s="8" t="s">
        <v>276</v>
      </c>
      <c r="X276" s="8" t="s">
        <v>276</v>
      </c>
      <c r="Y276" s="8">
        <v>0</v>
      </c>
      <c r="Z276" s="8" t="s">
        <v>98</v>
      </c>
      <c r="AA276" s="8">
        <v>0</v>
      </c>
      <c r="AB276" s="8" t="s">
        <v>98</v>
      </c>
      <c r="AC276" s="9" t="s">
        <v>2334</v>
      </c>
      <c r="AD276" s="9" t="s">
        <v>2490</v>
      </c>
      <c r="AE276" s="8">
        <v>34</v>
      </c>
      <c r="AF276" s="8">
        <v>64</v>
      </c>
      <c r="AG276" s="13">
        <v>34126</v>
      </c>
      <c r="AH276" s="38">
        <v>31488</v>
      </c>
      <c r="AI276" s="38" t="s">
        <v>281</v>
      </c>
      <c r="AJ276" s="43" t="s">
        <v>276</v>
      </c>
      <c r="AK276" s="31">
        <f>AE276*1000/AG276</f>
        <v>0.99630780050401457</v>
      </c>
      <c r="AL276" s="14" t="s">
        <v>276</v>
      </c>
      <c r="AM276" s="14" t="s">
        <v>276</v>
      </c>
      <c r="AN276" s="43" t="s">
        <v>276</v>
      </c>
      <c r="AO276" s="31">
        <f>AF276*1000/AH276</f>
        <v>2.0325203252032522</v>
      </c>
      <c r="AP276" s="14" t="s">
        <v>276</v>
      </c>
      <c r="AQ276" s="14" t="s">
        <v>276</v>
      </c>
      <c r="AR276" s="8" t="s">
        <v>268</v>
      </c>
      <c r="AS276" s="14" t="s">
        <v>276</v>
      </c>
      <c r="AT276" s="14">
        <f t="shared" si="39"/>
        <v>0.49018343784797513</v>
      </c>
      <c r="AU276" s="14" t="s">
        <v>276</v>
      </c>
      <c r="AV276" s="14" t="s">
        <v>276</v>
      </c>
      <c r="AW276" s="8" t="s">
        <v>276</v>
      </c>
      <c r="AX276" s="8" t="s">
        <v>282</v>
      </c>
      <c r="AY276" s="8" t="s">
        <v>276</v>
      </c>
      <c r="AZ276" s="8" t="s">
        <v>276</v>
      </c>
      <c r="BA276" s="8" t="s">
        <v>276</v>
      </c>
      <c r="BB276" s="8" t="s">
        <v>276</v>
      </c>
      <c r="BC276" s="9" t="s">
        <v>2507</v>
      </c>
      <c r="BD276" s="9" t="s">
        <v>2493</v>
      </c>
      <c r="BE276" s="9" t="s">
        <v>99</v>
      </c>
      <c r="BF276" s="33" t="s">
        <v>11162</v>
      </c>
    </row>
    <row r="277" spans="1:58" s="7" customFormat="1" ht="97.5" customHeight="1" x14ac:dyDescent="0.3">
      <c r="A277" s="8">
        <v>11021</v>
      </c>
      <c r="B277" s="8" t="s">
        <v>2622</v>
      </c>
      <c r="C277" s="8" t="s">
        <v>93</v>
      </c>
      <c r="D277" s="9" t="s">
        <v>2623</v>
      </c>
      <c r="E277" s="8" t="s">
        <v>96</v>
      </c>
      <c r="F277" s="9" t="s">
        <v>2624</v>
      </c>
      <c r="G277" s="8" t="s">
        <v>225</v>
      </c>
      <c r="H277" s="9" t="s">
        <v>2625</v>
      </c>
      <c r="I277" s="8" t="s">
        <v>114</v>
      </c>
      <c r="J277" s="9" t="s">
        <v>24</v>
      </c>
      <c r="K277" s="9" t="s">
        <v>2626</v>
      </c>
      <c r="L277" s="9" t="s">
        <v>276</v>
      </c>
      <c r="M277" s="8" t="s">
        <v>14</v>
      </c>
      <c r="N277" s="11" t="s">
        <v>98</v>
      </c>
      <c r="O277" s="12" t="s">
        <v>207</v>
      </c>
      <c r="P277" s="41" t="s">
        <v>276</v>
      </c>
      <c r="Q277" s="9" t="s">
        <v>2627</v>
      </c>
      <c r="R277" s="9" t="s">
        <v>276</v>
      </c>
      <c r="S277" s="9" t="s">
        <v>276</v>
      </c>
      <c r="T277" s="9">
        <v>1</v>
      </c>
      <c r="U277" s="13">
        <v>99</v>
      </c>
      <c r="V277" s="38">
        <v>102</v>
      </c>
      <c r="W277" s="8" t="s">
        <v>276</v>
      </c>
      <c r="X277" s="8" t="s">
        <v>276</v>
      </c>
      <c r="Y277" s="8">
        <v>0</v>
      </c>
      <c r="Z277" s="8" t="s">
        <v>98</v>
      </c>
      <c r="AA277" s="8">
        <v>0</v>
      </c>
      <c r="AB277" s="8" t="s">
        <v>98</v>
      </c>
      <c r="AC277" s="9" t="s">
        <v>2628</v>
      </c>
      <c r="AD277" s="9" t="s">
        <v>866</v>
      </c>
      <c r="AE277" s="8">
        <v>2</v>
      </c>
      <c r="AF277" s="8">
        <v>4</v>
      </c>
      <c r="AG277" s="13">
        <v>99</v>
      </c>
      <c r="AH277" s="13">
        <v>102</v>
      </c>
      <c r="AI277" s="13" t="s">
        <v>292</v>
      </c>
      <c r="AJ277" s="43">
        <v>2</v>
      </c>
      <c r="AK277" s="31">
        <f>AE277*100/AG277</f>
        <v>2.0202020202020203</v>
      </c>
      <c r="AL277" s="14" t="s">
        <v>276</v>
      </c>
      <c r="AM277" s="14" t="s">
        <v>276</v>
      </c>
      <c r="AN277" s="43">
        <v>3.9</v>
      </c>
      <c r="AO277" s="31">
        <f>AF277*100/AH277</f>
        <v>3.9215686274509802</v>
      </c>
      <c r="AP277" s="14" t="s">
        <v>276</v>
      </c>
      <c r="AQ277" s="14" t="s">
        <v>276</v>
      </c>
      <c r="AR277" s="8" t="s">
        <v>268</v>
      </c>
      <c r="AS277" s="14" t="s">
        <v>276</v>
      </c>
      <c r="AT277" s="14">
        <f t="shared" si="39"/>
        <v>0.51515151515151525</v>
      </c>
      <c r="AU277" s="14" t="s">
        <v>276</v>
      </c>
      <c r="AV277" s="14" t="s">
        <v>276</v>
      </c>
      <c r="AW277" s="8" t="s">
        <v>276</v>
      </c>
      <c r="AX277" s="8" t="s">
        <v>282</v>
      </c>
      <c r="AY277" s="8" t="s">
        <v>276</v>
      </c>
      <c r="AZ277" s="8" t="s">
        <v>276</v>
      </c>
      <c r="BA277" s="8" t="s">
        <v>276</v>
      </c>
      <c r="BB277" s="8" t="s">
        <v>276</v>
      </c>
      <c r="BC277" s="9" t="s">
        <v>2629</v>
      </c>
      <c r="BD277" s="9"/>
      <c r="BE277" s="9" t="s">
        <v>99</v>
      </c>
      <c r="BF277" s="33" t="s">
        <v>11162</v>
      </c>
    </row>
    <row r="278" spans="1:58" s="7" customFormat="1" ht="91" x14ac:dyDescent="0.3">
      <c r="A278" s="8">
        <v>11136</v>
      </c>
      <c r="B278" s="8" t="s">
        <v>2653</v>
      </c>
      <c r="C278" s="9" t="s">
        <v>2654</v>
      </c>
      <c r="D278" s="9" t="s">
        <v>2655</v>
      </c>
      <c r="E278" s="9" t="s">
        <v>96</v>
      </c>
      <c r="F278" s="9" t="s">
        <v>144</v>
      </c>
      <c r="G278" s="9" t="s">
        <v>225</v>
      </c>
      <c r="H278" s="9" t="s">
        <v>2656</v>
      </c>
      <c r="I278" s="8" t="s">
        <v>98</v>
      </c>
      <c r="J278" s="9" t="s">
        <v>24</v>
      </c>
      <c r="K278" s="9" t="s">
        <v>2657</v>
      </c>
      <c r="L278" s="9" t="s">
        <v>2658</v>
      </c>
      <c r="M278" s="8" t="s">
        <v>14</v>
      </c>
      <c r="N278" s="11" t="s">
        <v>98</v>
      </c>
      <c r="O278" s="12" t="s">
        <v>207</v>
      </c>
      <c r="P278" s="41" t="s">
        <v>276</v>
      </c>
      <c r="Q278" s="92" t="s">
        <v>2627</v>
      </c>
      <c r="R278" s="92" t="s">
        <v>2659</v>
      </c>
      <c r="S278" s="92" t="s">
        <v>2660</v>
      </c>
      <c r="T278" s="9">
        <v>1</v>
      </c>
      <c r="U278" s="13">
        <v>98</v>
      </c>
      <c r="V278" s="38">
        <v>97</v>
      </c>
      <c r="W278" s="8">
        <v>5</v>
      </c>
      <c r="X278" s="8">
        <v>8</v>
      </c>
      <c r="Y278" s="8">
        <v>0</v>
      </c>
      <c r="Z278" s="8" t="s">
        <v>98</v>
      </c>
      <c r="AA278" s="8">
        <v>0</v>
      </c>
      <c r="AB278" s="8" t="s">
        <v>98</v>
      </c>
      <c r="AC278" s="9" t="s">
        <v>2661</v>
      </c>
      <c r="AD278" s="9" t="s">
        <v>866</v>
      </c>
      <c r="AE278" s="8">
        <v>2</v>
      </c>
      <c r="AF278" s="8">
        <v>4</v>
      </c>
      <c r="AG278" s="13">
        <v>98</v>
      </c>
      <c r="AH278" s="13">
        <v>97</v>
      </c>
      <c r="AI278" s="13" t="s">
        <v>292</v>
      </c>
      <c r="AJ278" s="14" t="s">
        <v>276</v>
      </c>
      <c r="AK278" s="31">
        <f>AE278*100/AG278</f>
        <v>2.0408163265306123</v>
      </c>
      <c r="AL278" s="14" t="s">
        <v>276</v>
      </c>
      <c r="AM278" s="14" t="s">
        <v>276</v>
      </c>
      <c r="AN278" s="14" t="s">
        <v>276</v>
      </c>
      <c r="AO278" s="31">
        <f>AF278*100/AH278</f>
        <v>4.1237113402061851</v>
      </c>
      <c r="AP278" s="14" t="s">
        <v>276</v>
      </c>
      <c r="AQ278" s="14" t="s">
        <v>276</v>
      </c>
      <c r="AR278" s="8" t="s">
        <v>268</v>
      </c>
      <c r="AS278" s="14" t="s">
        <v>276</v>
      </c>
      <c r="AT278" s="14">
        <f t="shared" si="39"/>
        <v>0.49489795918367352</v>
      </c>
      <c r="AU278" s="14" t="s">
        <v>276</v>
      </c>
      <c r="AV278" s="14" t="s">
        <v>276</v>
      </c>
      <c r="AW278" s="8" t="s">
        <v>276</v>
      </c>
      <c r="AX278" s="8" t="s">
        <v>282</v>
      </c>
      <c r="AY278" s="8" t="s">
        <v>276</v>
      </c>
      <c r="AZ278" s="8" t="s">
        <v>276</v>
      </c>
      <c r="BA278" s="8" t="s">
        <v>276</v>
      </c>
      <c r="BB278" s="8" t="s">
        <v>691</v>
      </c>
      <c r="BC278" s="9" t="s">
        <v>2662</v>
      </c>
      <c r="BD278" s="9"/>
      <c r="BE278" s="9" t="s">
        <v>99</v>
      </c>
      <c r="BF278" s="33" t="s">
        <v>11162</v>
      </c>
    </row>
    <row r="279" spans="1:58" s="87" customFormat="1" ht="65" x14ac:dyDescent="0.3">
      <c r="A279" s="72">
        <v>11136</v>
      </c>
      <c r="B279" s="72" t="s">
        <v>2653</v>
      </c>
      <c r="C279" s="73" t="s">
        <v>2654</v>
      </c>
      <c r="D279" s="73" t="s">
        <v>2663</v>
      </c>
      <c r="E279" s="73" t="s">
        <v>96</v>
      </c>
      <c r="F279" s="73" t="s">
        <v>144</v>
      </c>
      <c r="G279" s="73" t="s">
        <v>225</v>
      </c>
      <c r="H279" s="73" t="s">
        <v>2656</v>
      </c>
      <c r="I279" s="72" t="s">
        <v>98</v>
      </c>
      <c r="J279" s="73" t="s">
        <v>23</v>
      </c>
      <c r="K279" s="73" t="s">
        <v>2657</v>
      </c>
      <c r="L279" s="73" t="s">
        <v>2658</v>
      </c>
      <c r="M279" s="72" t="s">
        <v>14</v>
      </c>
      <c r="N279" s="84" t="s">
        <v>98</v>
      </c>
      <c r="O279" s="85" t="s">
        <v>207</v>
      </c>
      <c r="P279" s="88" t="s">
        <v>276</v>
      </c>
      <c r="Q279" s="73" t="s">
        <v>2627</v>
      </c>
      <c r="R279" s="73" t="s">
        <v>2659</v>
      </c>
      <c r="S279" s="73" t="s">
        <v>2660</v>
      </c>
      <c r="T279" s="73">
        <v>1</v>
      </c>
      <c r="U279" s="74">
        <v>98</v>
      </c>
      <c r="V279" s="75">
        <v>97</v>
      </c>
      <c r="W279" s="72">
        <v>0</v>
      </c>
      <c r="X279" s="72">
        <v>1</v>
      </c>
      <c r="Y279" s="72">
        <v>0</v>
      </c>
      <c r="Z279" s="72" t="s">
        <v>98</v>
      </c>
      <c r="AA279" s="72">
        <v>0</v>
      </c>
      <c r="AB279" s="72" t="s">
        <v>98</v>
      </c>
      <c r="AC279" s="73" t="s">
        <v>2661</v>
      </c>
      <c r="AD279" s="73" t="s">
        <v>866</v>
      </c>
      <c r="AE279" s="72">
        <v>7</v>
      </c>
      <c r="AF279" s="72">
        <v>11</v>
      </c>
      <c r="AG279" s="74">
        <v>98</v>
      </c>
      <c r="AH279" s="74">
        <v>97</v>
      </c>
      <c r="AI279" s="74" t="s">
        <v>292</v>
      </c>
      <c r="AJ279" s="93">
        <v>7.1</v>
      </c>
      <c r="AK279" s="86">
        <f>AE279*100/AG279</f>
        <v>7.1428571428571432</v>
      </c>
      <c r="AL279" s="76" t="s">
        <v>276</v>
      </c>
      <c r="AM279" s="76" t="s">
        <v>276</v>
      </c>
      <c r="AN279" s="93">
        <v>11.3</v>
      </c>
      <c r="AO279" s="86">
        <f>AF279*100/AH279</f>
        <v>11.340206185567011</v>
      </c>
      <c r="AP279" s="76" t="s">
        <v>276</v>
      </c>
      <c r="AQ279" s="76" t="s">
        <v>276</v>
      </c>
      <c r="AR279" s="72" t="s">
        <v>268</v>
      </c>
      <c r="AS279" s="76" t="s">
        <v>276</v>
      </c>
      <c r="AT279" s="76">
        <f t="shared" si="39"/>
        <v>0.62987012987012991</v>
      </c>
      <c r="AU279" s="76" t="s">
        <v>276</v>
      </c>
      <c r="AV279" s="76" t="s">
        <v>276</v>
      </c>
      <c r="AW279" s="72" t="s">
        <v>276</v>
      </c>
      <c r="AX279" s="72" t="s">
        <v>282</v>
      </c>
      <c r="AY279" s="72" t="s">
        <v>276</v>
      </c>
      <c r="AZ279" s="72" t="s">
        <v>276</v>
      </c>
      <c r="BA279" s="72" t="s">
        <v>276</v>
      </c>
      <c r="BB279" s="72">
        <v>0.67</v>
      </c>
      <c r="BC279" s="73" t="s">
        <v>2664</v>
      </c>
      <c r="BD279" s="73"/>
      <c r="BE279" s="9" t="s">
        <v>100</v>
      </c>
      <c r="BF279" s="79" t="s">
        <v>98</v>
      </c>
    </row>
    <row r="280" spans="1:58" s="7" customFormat="1" ht="130" x14ac:dyDescent="0.3">
      <c r="A280" s="8">
        <v>2639</v>
      </c>
      <c r="B280" s="8" t="s">
        <v>2689</v>
      </c>
      <c r="C280" s="8" t="s">
        <v>84</v>
      </c>
      <c r="D280" s="9" t="s">
        <v>2690</v>
      </c>
      <c r="E280" s="9" t="s">
        <v>40</v>
      </c>
      <c r="F280" s="9" t="s">
        <v>2691</v>
      </c>
      <c r="G280" s="8" t="s">
        <v>225</v>
      </c>
      <c r="H280" s="8" t="s">
        <v>125</v>
      </c>
      <c r="I280" s="8" t="s">
        <v>114</v>
      </c>
      <c r="J280" s="9" t="s">
        <v>24</v>
      </c>
      <c r="K280" s="9" t="s">
        <v>2692</v>
      </c>
      <c r="L280" s="9" t="s">
        <v>2693</v>
      </c>
      <c r="M280" s="9" t="s">
        <v>261</v>
      </c>
      <c r="N280" s="12" t="s">
        <v>2694</v>
      </c>
      <c r="O280" s="12" t="s">
        <v>207</v>
      </c>
      <c r="P280" s="41">
        <v>42004</v>
      </c>
      <c r="Q280" s="9" t="s">
        <v>2695</v>
      </c>
      <c r="R280" s="9" t="s">
        <v>2696</v>
      </c>
      <c r="S280" s="9" t="s">
        <v>2697</v>
      </c>
      <c r="T280" s="9" t="s">
        <v>276</v>
      </c>
      <c r="U280" s="13">
        <v>70296</v>
      </c>
      <c r="V280" s="38">
        <v>50636</v>
      </c>
      <c r="W280" s="13">
        <f>238+1273</f>
        <v>1511</v>
      </c>
      <c r="X280" s="13">
        <v>1553</v>
      </c>
      <c r="Y280" s="8" t="s">
        <v>276</v>
      </c>
      <c r="Z280" s="8" t="s">
        <v>276</v>
      </c>
      <c r="AA280" s="8" t="s">
        <v>276</v>
      </c>
      <c r="AB280" s="8" t="s">
        <v>276</v>
      </c>
      <c r="AC280" s="9" t="s">
        <v>2698</v>
      </c>
      <c r="AD280" s="9" t="s">
        <v>2699</v>
      </c>
      <c r="AE280" s="8">
        <v>22</v>
      </c>
      <c r="AF280" s="8">
        <v>23</v>
      </c>
      <c r="AG280" s="13">
        <v>353476</v>
      </c>
      <c r="AH280" s="13">
        <v>298927</v>
      </c>
      <c r="AI280" s="38" t="s">
        <v>1019</v>
      </c>
      <c r="AJ280" s="43">
        <v>6.2</v>
      </c>
      <c r="AK280" s="31">
        <f>AE280*100000/AG280</f>
        <v>6.2239020470979645</v>
      </c>
      <c r="AL280" s="14" t="s">
        <v>276</v>
      </c>
      <c r="AM280" s="14" t="s">
        <v>276</v>
      </c>
      <c r="AN280" s="14">
        <v>7.7</v>
      </c>
      <c r="AO280" s="31">
        <f>AF280*100000/AH280</f>
        <v>7.6941862059967816</v>
      </c>
      <c r="AP280" s="14" t="s">
        <v>276</v>
      </c>
      <c r="AQ280" s="14" t="s">
        <v>276</v>
      </c>
      <c r="AR280" s="8" t="s">
        <v>269</v>
      </c>
      <c r="AS280" s="14" t="s">
        <v>276</v>
      </c>
      <c r="AT280" s="14">
        <f t="shared" si="39"/>
        <v>0.80890972488384927</v>
      </c>
      <c r="AU280" s="14" t="s">
        <v>276</v>
      </c>
      <c r="AV280" s="14" t="s">
        <v>276</v>
      </c>
      <c r="AW280" s="8" t="s">
        <v>276</v>
      </c>
      <c r="AX280" s="9" t="s">
        <v>2700</v>
      </c>
      <c r="AY280" s="8">
        <v>0.82</v>
      </c>
      <c r="AZ280" s="8">
        <v>0.37</v>
      </c>
      <c r="BA280" s="8">
        <v>1.79</v>
      </c>
      <c r="BB280" s="8">
        <v>0.61399999999999999</v>
      </c>
      <c r="BC280" s="9" t="s">
        <v>2701</v>
      </c>
      <c r="BD280" s="9" t="s">
        <v>98</v>
      </c>
      <c r="BE280" s="9" t="s">
        <v>99</v>
      </c>
      <c r="BF280" s="33" t="s">
        <v>11162</v>
      </c>
    </row>
    <row r="281" spans="1:58" s="7" customFormat="1" ht="65" x14ac:dyDescent="0.3">
      <c r="A281" s="8">
        <v>2639</v>
      </c>
      <c r="B281" s="8" t="s">
        <v>2689</v>
      </c>
      <c r="C281" s="8" t="s">
        <v>84</v>
      </c>
      <c r="D281" s="9" t="s">
        <v>2702</v>
      </c>
      <c r="E281" s="9" t="s">
        <v>40</v>
      </c>
      <c r="F281" s="9" t="s">
        <v>2691</v>
      </c>
      <c r="G281" s="8" t="s">
        <v>225</v>
      </c>
      <c r="H281" s="8" t="s">
        <v>125</v>
      </c>
      <c r="I281" s="8" t="s">
        <v>114</v>
      </c>
      <c r="J281" s="9" t="s">
        <v>24</v>
      </c>
      <c r="K281" s="9" t="s">
        <v>2692</v>
      </c>
      <c r="L281" s="9" t="s">
        <v>2693</v>
      </c>
      <c r="M281" s="9" t="s">
        <v>261</v>
      </c>
      <c r="N281" s="12" t="s">
        <v>2694</v>
      </c>
      <c r="O281" s="12" t="s">
        <v>207</v>
      </c>
      <c r="P281" s="41">
        <v>42004</v>
      </c>
      <c r="Q281" s="9" t="s">
        <v>2695</v>
      </c>
      <c r="R281" s="9" t="s">
        <v>2696</v>
      </c>
      <c r="S281" s="9" t="s">
        <v>2697</v>
      </c>
      <c r="T281" s="9" t="s">
        <v>276</v>
      </c>
      <c r="U281" s="13">
        <v>70296</v>
      </c>
      <c r="V281" s="38">
        <v>50636</v>
      </c>
      <c r="W281" s="13">
        <f>238+1273</f>
        <v>1511</v>
      </c>
      <c r="X281" s="13">
        <v>1553</v>
      </c>
      <c r="Y281" s="8" t="s">
        <v>276</v>
      </c>
      <c r="Z281" s="8" t="s">
        <v>276</v>
      </c>
      <c r="AA281" s="8" t="s">
        <v>276</v>
      </c>
      <c r="AB281" s="8" t="s">
        <v>276</v>
      </c>
      <c r="AC281" s="9" t="s">
        <v>2698</v>
      </c>
      <c r="AD281" s="9" t="s">
        <v>2046</v>
      </c>
      <c r="AE281" s="8">
        <v>22</v>
      </c>
      <c r="AF281" s="8">
        <v>23</v>
      </c>
      <c r="AG281" s="13">
        <f>U281</f>
        <v>70296</v>
      </c>
      <c r="AH281" s="13">
        <f>V281</f>
        <v>50636</v>
      </c>
      <c r="AI281" s="38" t="s">
        <v>2703</v>
      </c>
      <c r="AJ281" s="43" t="s">
        <v>276</v>
      </c>
      <c r="AK281" s="14">
        <f>AE281*100000/AG281</f>
        <v>31.296233071583021</v>
      </c>
      <c r="AL281" s="14" t="s">
        <v>276</v>
      </c>
      <c r="AM281" s="14" t="s">
        <v>276</v>
      </c>
      <c r="AN281" s="14" t="s">
        <v>276</v>
      </c>
      <c r="AO281" s="14">
        <f>AF281*100000/AH281</f>
        <v>45.422229244016116</v>
      </c>
      <c r="AP281" s="14" t="s">
        <v>276</v>
      </c>
      <c r="AQ281" s="14" t="s">
        <v>276</v>
      </c>
      <c r="AR281" s="8" t="s">
        <v>268</v>
      </c>
      <c r="AS281" s="14" t="s">
        <v>276</v>
      </c>
      <c r="AT281" s="14">
        <f t="shared" si="39"/>
        <v>0.68900698165768604</v>
      </c>
      <c r="AU281" s="14" t="s">
        <v>276</v>
      </c>
      <c r="AV281" s="14" t="s">
        <v>276</v>
      </c>
      <c r="AW281" s="8" t="s">
        <v>276</v>
      </c>
      <c r="AX281" s="9" t="s">
        <v>98</v>
      </c>
      <c r="AY281" s="8" t="s">
        <v>276</v>
      </c>
      <c r="AZ281" s="8" t="s">
        <v>276</v>
      </c>
      <c r="BA281" s="8" t="s">
        <v>276</v>
      </c>
      <c r="BB281" s="8" t="s">
        <v>276</v>
      </c>
      <c r="BC281" s="9" t="s">
        <v>2704</v>
      </c>
      <c r="BD281" s="9" t="s">
        <v>98</v>
      </c>
      <c r="BE281" s="9" t="s">
        <v>99</v>
      </c>
      <c r="BF281" s="33" t="s">
        <v>11162</v>
      </c>
    </row>
    <row r="282" spans="1:58" s="103" customFormat="1" ht="65" x14ac:dyDescent="0.3">
      <c r="A282" s="94">
        <v>2639</v>
      </c>
      <c r="B282" s="94" t="s">
        <v>2689</v>
      </c>
      <c r="C282" s="94" t="s">
        <v>84</v>
      </c>
      <c r="D282" s="95" t="s">
        <v>2705</v>
      </c>
      <c r="E282" s="95" t="s">
        <v>40</v>
      </c>
      <c r="F282" s="95" t="s">
        <v>2691</v>
      </c>
      <c r="G282" s="94" t="s">
        <v>225</v>
      </c>
      <c r="H282" s="94" t="s">
        <v>125</v>
      </c>
      <c r="I282" s="94" t="s">
        <v>114</v>
      </c>
      <c r="J282" s="95" t="s">
        <v>23</v>
      </c>
      <c r="K282" s="95" t="s">
        <v>2692</v>
      </c>
      <c r="L282" s="95" t="s">
        <v>862</v>
      </c>
      <c r="M282" s="95" t="s">
        <v>261</v>
      </c>
      <c r="N282" s="96" t="s">
        <v>2694</v>
      </c>
      <c r="O282" s="96" t="s">
        <v>207</v>
      </c>
      <c r="P282" s="97">
        <v>42004</v>
      </c>
      <c r="Q282" s="95" t="s">
        <v>2695</v>
      </c>
      <c r="R282" s="95" t="s">
        <v>2696</v>
      </c>
      <c r="S282" s="95" t="s">
        <v>2697</v>
      </c>
      <c r="T282" s="95" t="s">
        <v>276</v>
      </c>
      <c r="U282" s="98">
        <v>70296</v>
      </c>
      <c r="V282" s="99">
        <v>50636</v>
      </c>
      <c r="W282" s="98">
        <v>334</v>
      </c>
      <c r="X282" s="98">
        <v>323</v>
      </c>
      <c r="Y282" s="94" t="s">
        <v>276</v>
      </c>
      <c r="Z282" s="94" t="s">
        <v>276</v>
      </c>
      <c r="AA282" s="94" t="s">
        <v>276</v>
      </c>
      <c r="AB282" s="94" t="s">
        <v>276</v>
      </c>
      <c r="AC282" s="95" t="s">
        <v>2706</v>
      </c>
      <c r="AD282" s="95" t="s">
        <v>2707</v>
      </c>
      <c r="AE282" s="94">
        <f>216+961+2+20</f>
        <v>1199</v>
      </c>
      <c r="AF282" s="94">
        <f>1230+23</f>
        <v>1253</v>
      </c>
      <c r="AG282" s="98" t="s">
        <v>276</v>
      </c>
      <c r="AH282" s="98" t="s">
        <v>276</v>
      </c>
      <c r="AI282" s="99" t="s">
        <v>1019</v>
      </c>
      <c r="AJ282" s="100">
        <v>339.2</v>
      </c>
      <c r="AK282" s="101" t="s">
        <v>276</v>
      </c>
      <c r="AL282" s="102" t="s">
        <v>276</v>
      </c>
      <c r="AM282" s="102" t="s">
        <v>276</v>
      </c>
      <c r="AN282" s="102">
        <v>418.5</v>
      </c>
      <c r="AO282" s="101" t="s">
        <v>276</v>
      </c>
      <c r="AP282" s="102" t="s">
        <v>276</v>
      </c>
      <c r="AQ282" s="102" t="s">
        <v>276</v>
      </c>
      <c r="AR282" s="94" t="s">
        <v>269</v>
      </c>
      <c r="AS282" s="102" t="s">
        <v>276</v>
      </c>
      <c r="AT282" s="102">
        <f>AJ282/AN282</f>
        <v>0.81051373954599759</v>
      </c>
      <c r="AU282" s="102" t="s">
        <v>276</v>
      </c>
      <c r="AV282" s="102" t="s">
        <v>276</v>
      </c>
      <c r="AW282" s="94" t="s">
        <v>276</v>
      </c>
      <c r="AX282" s="95" t="s">
        <v>98</v>
      </c>
      <c r="AY282" s="94" t="s">
        <v>276</v>
      </c>
      <c r="AZ282" s="94" t="s">
        <v>276</v>
      </c>
      <c r="BA282" s="94" t="s">
        <v>276</v>
      </c>
      <c r="BB282" s="94" t="s">
        <v>276</v>
      </c>
      <c r="BC282" s="95" t="s">
        <v>2708</v>
      </c>
      <c r="BD282" s="95" t="s">
        <v>2709</v>
      </c>
      <c r="BE282" s="9" t="s">
        <v>100</v>
      </c>
      <c r="BF282" s="33" t="s">
        <v>98</v>
      </c>
    </row>
    <row r="283" spans="1:58" s="103" customFormat="1" ht="65" x14ac:dyDescent="0.3">
      <c r="A283" s="94">
        <v>2639</v>
      </c>
      <c r="B283" s="94" t="s">
        <v>2689</v>
      </c>
      <c r="C283" s="94" t="s">
        <v>84</v>
      </c>
      <c r="D283" s="95" t="s">
        <v>2710</v>
      </c>
      <c r="E283" s="95" t="s">
        <v>40</v>
      </c>
      <c r="F283" s="95" t="s">
        <v>2691</v>
      </c>
      <c r="G283" s="94" t="s">
        <v>225</v>
      </c>
      <c r="H283" s="94" t="s">
        <v>125</v>
      </c>
      <c r="I283" s="94" t="s">
        <v>114</v>
      </c>
      <c r="J283" s="95" t="s">
        <v>23</v>
      </c>
      <c r="K283" s="95" t="s">
        <v>2692</v>
      </c>
      <c r="L283" s="95" t="s">
        <v>862</v>
      </c>
      <c r="M283" s="95" t="s">
        <v>261</v>
      </c>
      <c r="N283" s="96" t="s">
        <v>2694</v>
      </c>
      <c r="O283" s="96" t="s">
        <v>207</v>
      </c>
      <c r="P283" s="97">
        <v>42004</v>
      </c>
      <c r="Q283" s="95" t="s">
        <v>2695</v>
      </c>
      <c r="R283" s="95" t="s">
        <v>2696</v>
      </c>
      <c r="S283" s="95" t="s">
        <v>2697</v>
      </c>
      <c r="T283" s="95" t="s">
        <v>276</v>
      </c>
      <c r="U283" s="98">
        <v>70296</v>
      </c>
      <c r="V283" s="99">
        <v>50636</v>
      </c>
      <c r="W283" s="98">
        <v>334</v>
      </c>
      <c r="X283" s="98">
        <v>323</v>
      </c>
      <c r="Y283" s="94" t="s">
        <v>276</v>
      </c>
      <c r="Z283" s="94" t="s">
        <v>276</v>
      </c>
      <c r="AA283" s="94" t="s">
        <v>276</v>
      </c>
      <c r="AB283" s="94" t="s">
        <v>276</v>
      </c>
      <c r="AC283" s="95" t="s">
        <v>2706</v>
      </c>
      <c r="AD283" s="95" t="s">
        <v>2046</v>
      </c>
      <c r="AE283" s="94">
        <f>216+961+2+20</f>
        <v>1199</v>
      </c>
      <c r="AF283" s="94">
        <f>1230+23</f>
        <v>1253</v>
      </c>
      <c r="AG283" s="98">
        <f>U283</f>
        <v>70296</v>
      </c>
      <c r="AH283" s="98">
        <f>V283</f>
        <v>50636</v>
      </c>
      <c r="AI283" s="99" t="s">
        <v>2047</v>
      </c>
      <c r="AJ283" s="100" t="s">
        <v>276</v>
      </c>
      <c r="AK283" s="102">
        <f>AE283*1000/AG283</f>
        <v>17.056447024012748</v>
      </c>
      <c r="AL283" s="102" t="s">
        <v>276</v>
      </c>
      <c r="AM283" s="102" t="s">
        <v>276</v>
      </c>
      <c r="AN283" s="102" t="s">
        <v>276</v>
      </c>
      <c r="AO283" s="102">
        <f>AF283*1000/AH283</f>
        <v>24.745240540327039</v>
      </c>
      <c r="AP283" s="102" t="s">
        <v>276</v>
      </c>
      <c r="AQ283" s="102" t="s">
        <v>276</v>
      </c>
      <c r="AR283" s="94" t="s">
        <v>268</v>
      </c>
      <c r="AS283" s="102" t="s">
        <v>276</v>
      </c>
      <c r="AT283" s="102">
        <f>AK283/AO283</f>
        <v>0.68928192458731807</v>
      </c>
      <c r="AU283" s="102" t="s">
        <v>276</v>
      </c>
      <c r="AV283" s="102" t="s">
        <v>276</v>
      </c>
      <c r="AW283" s="94" t="s">
        <v>276</v>
      </c>
      <c r="AX283" s="95" t="s">
        <v>98</v>
      </c>
      <c r="AY283" s="94" t="s">
        <v>276</v>
      </c>
      <c r="AZ283" s="94" t="s">
        <v>276</v>
      </c>
      <c r="BA283" s="94" t="s">
        <v>276</v>
      </c>
      <c r="BB283" s="94" t="s">
        <v>276</v>
      </c>
      <c r="BC283" s="95" t="s">
        <v>1168</v>
      </c>
      <c r="BD283" s="95" t="s">
        <v>2709</v>
      </c>
      <c r="BE283" s="9" t="s">
        <v>100</v>
      </c>
      <c r="BF283" s="33" t="s">
        <v>98</v>
      </c>
    </row>
    <row r="284" spans="1:58" s="7" customFormat="1" ht="104" x14ac:dyDescent="0.3">
      <c r="A284" s="8">
        <v>616</v>
      </c>
      <c r="B284" s="8" t="s">
        <v>2776</v>
      </c>
      <c r="C284" s="9" t="s">
        <v>80</v>
      </c>
      <c r="D284" s="9" t="s">
        <v>2777</v>
      </c>
      <c r="E284" s="8" t="s">
        <v>39</v>
      </c>
      <c r="F284" s="8" t="s">
        <v>143</v>
      </c>
      <c r="G284" s="8" t="s">
        <v>262</v>
      </c>
      <c r="H284" s="8" t="s">
        <v>225</v>
      </c>
      <c r="I284" s="8" t="s">
        <v>98</v>
      </c>
      <c r="J284" s="9" t="s">
        <v>24</v>
      </c>
      <c r="K284" s="9" t="s">
        <v>2778</v>
      </c>
      <c r="L284" s="9" t="s">
        <v>276</v>
      </c>
      <c r="M284" s="8" t="s">
        <v>14</v>
      </c>
      <c r="N284" s="11" t="s">
        <v>98</v>
      </c>
      <c r="O284" s="12" t="s">
        <v>208</v>
      </c>
      <c r="P284" s="42" t="s">
        <v>2779</v>
      </c>
      <c r="Q284" s="9" t="s">
        <v>276</v>
      </c>
      <c r="R284" s="9" t="s">
        <v>2780</v>
      </c>
      <c r="S284" s="9" t="s">
        <v>2780</v>
      </c>
      <c r="T284" s="9">
        <v>2</v>
      </c>
      <c r="U284" s="13">
        <v>1660</v>
      </c>
      <c r="V284" s="38">
        <v>1658</v>
      </c>
      <c r="W284" s="8" t="s">
        <v>276</v>
      </c>
      <c r="X284" s="8" t="s">
        <v>276</v>
      </c>
      <c r="Y284" s="8">
        <v>0</v>
      </c>
      <c r="Z284" s="8" t="s">
        <v>98</v>
      </c>
      <c r="AA284" s="8">
        <v>0</v>
      </c>
      <c r="AB284" s="8" t="s">
        <v>98</v>
      </c>
      <c r="AC284" s="9" t="s">
        <v>2781</v>
      </c>
      <c r="AD284" s="9" t="s">
        <v>2782</v>
      </c>
      <c r="AE284" s="8">
        <v>32</v>
      </c>
      <c r="AF284" s="8">
        <v>26</v>
      </c>
      <c r="AG284" s="13">
        <v>8339</v>
      </c>
      <c r="AH284" s="13">
        <v>8384</v>
      </c>
      <c r="AI284" s="13" t="s">
        <v>425</v>
      </c>
      <c r="AJ284" s="14">
        <v>3.84</v>
      </c>
      <c r="AK284" s="31">
        <f>AE284*1000/AG284</f>
        <v>3.8373905744094015</v>
      </c>
      <c r="AL284" s="14" t="s">
        <v>276</v>
      </c>
      <c r="AM284" s="14" t="s">
        <v>276</v>
      </c>
      <c r="AN284" s="14">
        <v>3.1</v>
      </c>
      <c r="AO284" s="31">
        <f>AF284*1000/AH284</f>
        <v>3.1011450381679388</v>
      </c>
      <c r="AP284" s="14" t="s">
        <v>276</v>
      </c>
      <c r="AQ284" s="14" t="s">
        <v>276</v>
      </c>
      <c r="AR284" s="8" t="s">
        <v>269</v>
      </c>
      <c r="AS284" s="14">
        <v>1.24</v>
      </c>
      <c r="AT284" s="14">
        <f>AK284/AO284</f>
        <v>1.2374108683018623</v>
      </c>
      <c r="AU284" s="14">
        <v>0.74</v>
      </c>
      <c r="AV284" s="14">
        <v>2.08</v>
      </c>
      <c r="AW284" s="8" t="s">
        <v>691</v>
      </c>
      <c r="AX284" s="8" t="s">
        <v>282</v>
      </c>
      <c r="AY284" s="8" t="s">
        <v>276</v>
      </c>
      <c r="AZ284" s="8" t="s">
        <v>276</v>
      </c>
      <c r="BA284" s="8" t="s">
        <v>276</v>
      </c>
      <c r="BB284" s="8" t="s">
        <v>276</v>
      </c>
      <c r="BC284" s="9" t="s">
        <v>2783</v>
      </c>
      <c r="BD284" s="9" t="s">
        <v>276</v>
      </c>
      <c r="BE284" s="9" t="s">
        <v>99</v>
      </c>
      <c r="BF284" s="33" t="s">
        <v>11163</v>
      </c>
    </row>
    <row r="285" spans="1:58" s="7" customFormat="1" ht="52" x14ac:dyDescent="0.3">
      <c r="A285" s="8">
        <v>616</v>
      </c>
      <c r="B285" s="8" t="s">
        <v>2776</v>
      </c>
      <c r="C285" s="9" t="s">
        <v>80</v>
      </c>
      <c r="D285" s="9" t="s">
        <v>2784</v>
      </c>
      <c r="E285" s="8" t="s">
        <v>39</v>
      </c>
      <c r="F285" s="8" t="s">
        <v>143</v>
      </c>
      <c r="G285" s="8" t="s">
        <v>262</v>
      </c>
      <c r="H285" s="8" t="s">
        <v>225</v>
      </c>
      <c r="I285" s="8" t="s">
        <v>98</v>
      </c>
      <c r="J285" s="9" t="s">
        <v>24</v>
      </c>
      <c r="K285" s="9" t="s">
        <v>2778</v>
      </c>
      <c r="L285" s="9" t="s">
        <v>276</v>
      </c>
      <c r="M285" s="8" t="s">
        <v>14</v>
      </c>
      <c r="N285" s="11" t="s">
        <v>98</v>
      </c>
      <c r="O285" s="12" t="s">
        <v>208</v>
      </c>
      <c r="P285" s="42" t="s">
        <v>2779</v>
      </c>
      <c r="Q285" s="9" t="s">
        <v>276</v>
      </c>
      <c r="R285" s="9" t="s">
        <v>2780</v>
      </c>
      <c r="S285" s="9" t="s">
        <v>2780</v>
      </c>
      <c r="T285" s="9">
        <v>2</v>
      </c>
      <c r="U285" s="13">
        <v>1660</v>
      </c>
      <c r="V285" s="38">
        <v>1658</v>
      </c>
      <c r="W285" s="8" t="s">
        <v>276</v>
      </c>
      <c r="X285" s="8" t="s">
        <v>276</v>
      </c>
      <c r="Y285" s="8">
        <v>0</v>
      </c>
      <c r="Z285" s="8" t="s">
        <v>98</v>
      </c>
      <c r="AA285" s="8">
        <v>0</v>
      </c>
      <c r="AB285" s="8" t="s">
        <v>98</v>
      </c>
      <c r="AC285" s="9" t="s">
        <v>2781</v>
      </c>
      <c r="AD285" s="9" t="s">
        <v>866</v>
      </c>
      <c r="AE285" s="8">
        <v>32</v>
      </c>
      <c r="AF285" s="8">
        <v>26</v>
      </c>
      <c r="AG285" s="13">
        <v>1660</v>
      </c>
      <c r="AH285" s="13">
        <v>1658</v>
      </c>
      <c r="AI285" s="13" t="s">
        <v>292</v>
      </c>
      <c r="AJ285" s="14" t="s">
        <v>276</v>
      </c>
      <c r="AK285" s="31">
        <f>AE285*100/AG285</f>
        <v>1.927710843373494</v>
      </c>
      <c r="AL285" s="14" t="s">
        <v>276</v>
      </c>
      <c r="AM285" s="14" t="s">
        <v>276</v>
      </c>
      <c r="AN285" s="14" t="s">
        <v>276</v>
      </c>
      <c r="AO285" s="31">
        <f>AF285*100/AH285</f>
        <v>1.5681544028950543</v>
      </c>
      <c r="AP285" s="14" t="s">
        <v>276</v>
      </c>
      <c r="AQ285" s="14" t="s">
        <v>276</v>
      </c>
      <c r="AR285" s="8" t="s">
        <v>268</v>
      </c>
      <c r="AS285" s="14" t="s">
        <v>276</v>
      </c>
      <c r="AT285" s="14">
        <f>AK285/AO285</f>
        <v>1.229286376274328</v>
      </c>
      <c r="AU285" s="14" t="s">
        <v>276</v>
      </c>
      <c r="AV285" s="14" t="s">
        <v>276</v>
      </c>
      <c r="AW285" s="8" t="s">
        <v>276</v>
      </c>
      <c r="AX285" s="8" t="s">
        <v>282</v>
      </c>
      <c r="AY285" s="8" t="s">
        <v>276</v>
      </c>
      <c r="AZ285" s="8" t="s">
        <v>276</v>
      </c>
      <c r="BA285" s="8" t="s">
        <v>276</v>
      </c>
      <c r="BB285" s="8" t="s">
        <v>276</v>
      </c>
      <c r="BC285" s="9" t="s">
        <v>2785</v>
      </c>
      <c r="BD285" s="9" t="s">
        <v>276</v>
      </c>
      <c r="BE285" s="9" t="s">
        <v>99</v>
      </c>
      <c r="BF285" s="33" t="s">
        <v>11163</v>
      </c>
    </row>
    <row r="286" spans="1:58" s="87" customFormat="1" ht="52" x14ac:dyDescent="0.3">
      <c r="A286" s="72">
        <v>616</v>
      </c>
      <c r="B286" s="72" t="s">
        <v>2776</v>
      </c>
      <c r="C286" s="73" t="s">
        <v>80</v>
      </c>
      <c r="D286" s="73" t="s">
        <v>2786</v>
      </c>
      <c r="E286" s="72" t="s">
        <v>39</v>
      </c>
      <c r="F286" s="72" t="s">
        <v>143</v>
      </c>
      <c r="G286" s="72" t="s">
        <v>262</v>
      </c>
      <c r="H286" s="72" t="s">
        <v>225</v>
      </c>
      <c r="I286" s="72" t="s">
        <v>98</v>
      </c>
      <c r="J286" s="73" t="s">
        <v>23</v>
      </c>
      <c r="K286" s="73" t="s">
        <v>2787</v>
      </c>
      <c r="L286" s="73" t="s">
        <v>276</v>
      </c>
      <c r="M286" s="72" t="s">
        <v>14</v>
      </c>
      <c r="N286" s="84" t="s">
        <v>98</v>
      </c>
      <c r="O286" s="85" t="s">
        <v>208</v>
      </c>
      <c r="P286" s="139" t="s">
        <v>2779</v>
      </c>
      <c r="Q286" s="73" t="s">
        <v>276</v>
      </c>
      <c r="R286" s="73" t="s">
        <v>2780</v>
      </c>
      <c r="S286" s="73" t="s">
        <v>2780</v>
      </c>
      <c r="T286" s="73">
        <v>2</v>
      </c>
      <c r="U286" s="74">
        <v>1660</v>
      </c>
      <c r="V286" s="75">
        <v>1658</v>
      </c>
      <c r="W286" s="72" t="s">
        <v>276</v>
      </c>
      <c r="X286" s="72" t="s">
        <v>276</v>
      </c>
      <c r="Y286" s="72">
        <v>0</v>
      </c>
      <c r="Z286" s="72" t="s">
        <v>98</v>
      </c>
      <c r="AA286" s="72">
        <v>0</v>
      </c>
      <c r="AB286" s="72" t="s">
        <v>98</v>
      </c>
      <c r="AC286" s="73" t="s">
        <v>2788</v>
      </c>
      <c r="AD286" s="73" t="s">
        <v>2782</v>
      </c>
      <c r="AE286" s="72">
        <v>139</v>
      </c>
      <c r="AF286" s="72">
        <v>116</v>
      </c>
      <c r="AG286" s="74">
        <v>8339</v>
      </c>
      <c r="AH286" s="74">
        <v>8384</v>
      </c>
      <c r="AI286" s="74" t="s">
        <v>425</v>
      </c>
      <c r="AJ286" s="76">
        <v>16.670000000000002</v>
      </c>
      <c r="AK286" s="86">
        <f>AE286*1000/AG286</f>
        <v>16.668665307590839</v>
      </c>
      <c r="AL286" s="76" t="s">
        <v>276</v>
      </c>
      <c r="AM286" s="76" t="s">
        <v>276</v>
      </c>
      <c r="AN286" s="76">
        <v>13.84</v>
      </c>
      <c r="AO286" s="86">
        <f>AF286*1000/AH286</f>
        <v>13.835877862595419</v>
      </c>
      <c r="AP286" s="76" t="s">
        <v>276</v>
      </c>
      <c r="AQ286" s="76" t="s">
        <v>276</v>
      </c>
      <c r="AR286" s="72" t="s">
        <v>269</v>
      </c>
      <c r="AS286" s="76">
        <v>1.2</v>
      </c>
      <c r="AT286" s="76">
        <f>AK286/AO286</f>
        <v>1.2047421546451862</v>
      </c>
      <c r="AU286" s="76">
        <v>0.94</v>
      </c>
      <c r="AV286" s="76">
        <v>1.54</v>
      </c>
      <c r="AW286" s="72" t="s">
        <v>276</v>
      </c>
      <c r="AX286" s="72" t="s">
        <v>282</v>
      </c>
      <c r="AY286" s="72" t="s">
        <v>276</v>
      </c>
      <c r="AZ286" s="72" t="s">
        <v>276</v>
      </c>
      <c r="BA286" s="72" t="s">
        <v>276</v>
      </c>
      <c r="BB286" s="72" t="s">
        <v>276</v>
      </c>
      <c r="BC286" s="73" t="s">
        <v>2789</v>
      </c>
      <c r="BD286" s="73" t="s">
        <v>276</v>
      </c>
      <c r="BE286" s="9" t="s">
        <v>100</v>
      </c>
      <c r="BF286" s="33" t="s">
        <v>98</v>
      </c>
    </row>
    <row r="287" spans="1:58" s="87" customFormat="1" ht="52" x14ac:dyDescent="0.3">
      <c r="A287" s="72">
        <v>616</v>
      </c>
      <c r="B287" s="72" t="s">
        <v>2776</v>
      </c>
      <c r="C287" s="73" t="s">
        <v>80</v>
      </c>
      <c r="D287" s="73" t="s">
        <v>2790</v>
      </c>
      <c r="E287" s="72" t="s">
        <v>39</v>
      </c>
      <c r="F287" s="72" t="s">
        <v>143</v>
      </c>
      <c r="G287" s="72" t="s">
        <v>262</v>
      </c>
      <c r="H287" s="72" t="s">
        <v>225</v>
      </c>
      <c r="I287" s="72" t="s">
        <v>98</v>
      </c>
      <c r="J287" s="73" t="s">
        <v>23</v>
      </c>
      <c r="K287" s="73" t="s">
        <v>2787</v>
      </c>
      <c r="L287" s="73" t="s">
        <v>276</v>
      </c>
      <c r="M287" s="72" t="s">
        <v>14</v>
      </c>
      <c r="N287" s="84" t="s">
        <v>98</v>
      </c>
      <c r="O287" s="85" t="s">
        <v>208</v>
      </c>
      <c r="P287" s="139" t="s">
        <v>2779</v>
      </c>
      <c r="Q287" s="73" t="s">
        <v>276</v>
      </c>
      <c r="R287" s="73" t="s">
        <v>2780</v>
      </c>
      <c r="S287" s="73" t="s">
        <v>2780</v>
      </c>
      <c r="T287" s="73">
        <v>2</v>
      </c>
      <c r="U287" s="74">
        <v>1660</v>
      </c>
      <c r="V287" s="75">
        <v>1658</v>
      </c>
      <c r="W287" s="72" t="s">
        <v>276</v>
      </c>
      <c r="X287" s="72" t="s">
        <v>276</v>
      </c>
      <c r="Y287" s="72">
        <v>0</v>
      </c>
      <c r="Z287" s="72" t="s">
        <v>98</v>
      </c>
      <c r="AA287" s="72">
        <v>0</v>
      </c>
      <c r="AB287" s="72" t="s">
        <v>98</v>
      </c>
      <c r="AC287" s="73" t="s">
        <v>2788</v>
      </c>
      <c r="AD287" s="73" t="s">
        <v>866</v>
      </c>
      <c r="AE287" s="72">
        <v>139</v>
      </c>
      <c r="AF287" s="72">
        <v>116</v>
      </c>
      <c r="AG287" s="74">
        <v>1660</v>
      </c>
      <c r="AH287" s="74">
        <v>1658</v>
      </c>
      <c r="AI287" s="74" t="s">
        <v>292</v>
      </c>
      <c r="AJ287" s="76" t="s">
        <v>276</v>
      </c>
      <c r="AK287" s="86">
        <f>AE287*100/AG287</f>
        <v>8.3734939759036138</v>
      </c>
      <c r="AL287" s="76" t="s">
        <v>276</v>
      </c>
      <c r="AM287" s="76" t="s">
        <v>276</v>
      </c>
      <c r="AN287" s="76" t="s">
        <v>276</v>
      </c>
      <c r="AO287" s="86">
        <f>AF287*100/AH287</f>
        <v>6.9963811821471653</v>
      </c>
      <c r="AP287" s="76" t="s">
        <v>276</v>
      </c>
      <c r="AQ287" s="76" t="s">
        <v>276</v>
      </c>
      <c r="AR287" s="72" t="s">
        <v>268</v>
      </c>
      <c r="AS287" s="76" t="s">
        <v>276</v>
      </c>
      <c r="AT287" s="76">
        <f>AK287/AO287</f>
        <v>1.1968321562110511</v>
      </c>
      <c r="AU287" s="76" t="s">
        <v>276</v>
      </c>
      <c r="AV287" s="76" t="s">
        <v>276</v>
      </c>
      <c r="AW287" s="72" t="s">
        <v>276</v>
      </c>
      <c r="AX287" s="72" t="s">
        <v>282</v>
      </c>
      <c r="AY287" s="72" t="s">
        <v>276</v>
      </c>
      <c r="AZ287" s="72" t="s">
        <v>276</v>
      </c>
      <c r="BA287" s="72" t="s">
        <v>276</v>
      </c>
      <c r="BB287" s="72" t="s">
        <v>276</v>
      </c>
      <c r="BC287" s="73" t="s">
        <v>2791</v>
      </c>
      <c r="BD287" s="73" t="s">
        <v>276</v>
      </c>
      <c r="BE287" s="9" t="s">
        <v>100</v>
      </c>
      <c r="BF287" s="33" t="s">
        <v>98</v>
      </c>
    </row>
    <row r="288" spans="1:58" s="7" customFormat="1" ht="91" x14ac:dyDescent="0.3">
      <c r="A288" s="8">
        <v>8509</v>
      </c>
      <c r="B288" s="8" t="s">
        <v>2840</v>
      </c>
      <c r="C288" s="8" t="s">
        <v>49</v>
      </c>
      <c r="D288" s="9" t="s">
        <v>2841</v>
      </c>
      <c r="E288" s="8" t="s">
        <v>36</v>
      </c>
      <c r="F288" s="9" t="s">
        <v>134</v>
      </c>
      <c r="G288" s="8" t="s">
        <v>225</v>
      </c>
      <c r="H288" s="8" t="s">
        <v>125</v>
      </c>
      <c r="I288" s="8" t="s">
        <v>114</v>
      </c>
      <c r="J288" s="9" t="s">
        <v>24</v>
      </c>
      <c r="K288" s="9" t="s">
        <v>2842</v>
      </c>
      <c r="L288" s="9" t="s">
        <v>2843</v>
      </c>
      <c r="M288" s="8" t="s">
        <v>14</v>
      </c>
      <c r="N288" s="11" t="s">
        <v>98</v>
      </c>
      <c r="O288" s="12" t="s">
        <v>207</v>
      </c>
      <c r="P288" s="52" t="s">
        <v>2844</v>
      </c>
      <c r="Q288" s="9" t="s">
        <v>276</v>
      </c>
      <c r="R288" s="9" t="s">
        <v>2845</v>
      </c>
      <c r="S288" s="9" t="s">
        <v>2845</v>
      </c>
      <c r="T288" s="9">
        <v>1</v>
      </c>
      <c r="U288" s="13">
        <v>17136</v>
      </c>
      <c r="V288" s="13">
        <v>17136</v>
      </c>
      <c r="W288" s="8" t="s">
        <v>276</v>
      </c>
      <c r="X288" s="8" t="s">
        <v>276</v>
      </c>
      <c r="Y288" s="8">
        <v>0</v>
      </c>
      <c r="Z288" s="9" t="s">
        <v>1562</v>
      </c>
      <c r="AA288" s="8">
        <v>0</v>
      </c>
      <c r="AB288" s="9" t="s">
        <v>1562</v>
      </c>
      <c r="AC288" s="9" t="s">
        <v>2846</v>
      </c>
      <c r="AD288" s="9" t="s">
        <v>2847</v>
      </c>
      <c r="AE288" s="8">
        <v>65</v>
      </c>
      <c r="AF288" s="8">
        <v>83</v>
      </c>
      <c r="AG288" s="13">
        <v>187532</v>
      </c>
      <c r="AH288" s="13">
        <v>186745</v>
      </c>
      <c r="AI288" s="38" t="s">
        <v>1019</v>
      </c>
      <c r="AJ288" s="14">
        <v>34.659999999999997</v>
      </c>
      <c r="AK288" s="31">
        <f>AE288*100000/AG288</f>
        <v>34.660751231789774</v>
      </c>
      <c r="AL288" s="14">
        <v>27.18</v>
      </c>
      <c r="AM288" s="14">
        <v>44.2</v>
      </c>
      <c r="AN288" s="14">
        <v>44.45</v>
      </c>
      <c r="AO288" s="31">
        <f>AF288*100000/AH288</f>
        <v>44.445634421269645</v>
      </c>
      <c r="AP288" s="14">
        <v>35.840000000000003</v>
      </c>
      <c r="AQ288" s="14">
        <v>55.11</v>
      </c>
      <c r="AR288" s="8" t="s">
        <v>269</v>
      </c>
      <c r="AS288" s="14">
        <v>0.78</v>
      </c>
      <c r="AT288" s="14">
        <f t="shared" ref="AT288:AT295" si="40">AK288/AO288</f>
        <v>0.77984602274464843</v>
      </c>
      <c r="AU288" s="14">
        <v>0.56000000000000005</v>
      </c>
      <c r="AV288" s="14">
        <v>1.08</v>
      </c>
      <c r="AW288" s="8" t="s">
        <v>276</v>
      </c>
      <c r="AX288" s="8" t="s">
        <v>282</v>
      </c>
      <c r="AY288" s="8" t="s">
        <v>276</v>
      </c>
      <c r="AZ288" s="8" t="s">
        <v>276</v>
      </c>
      <c r="BA288" s="8" t="s">
        <v>276</v>
      </c>
      <c r="BB288" s="8" t="s">
        <v>276</v>
      </c>
      <c r="BC288" s="9" t="s">
        <v>2848</v>
      </c>
      <c r="BD288" s="9" t="s">
        <v>2849</v>
      </c>
      <c r="BE288" s="9" t="s">
        <v>99</v>
      </c>
      <c r="BF288" s="33" t="s">
        <v>11163</v>
      </c>
    </row>
    <row r="289" spans="1:58" s="7" customFormat="1" ht="65" x14ac:dyDescent="0.3">
      <c r="A289" s="8">
        <v>8509</v>
      </c>
      <c r="B289" s="8" t="s">
        <v>2840</v>
      </c>
      <c r="C289" s="8" t="s">
        <v>49</v>
      </c>
      <c r="D289" s="9" t="s">
        <v>2850</v>
      </c>
      <c r="E289" s="8" t="s">
        <v>36</v>
      </c>
      <c r="F289" s="9" t="s">
        <v>134</v>
      </c>
      <c r="G289" s="8" t="s">
        <v>225</v>
      </c>
      <c r="H289" s="8" t="s">
        <v>125</v>
      </c>
      <c r="I289" s="8" t="s">
        <v>114</v>
      </c>
      <c r="J289" s="9" t="s">
        <v>24</v>
      </c>
      <c r="K289" s="9" t="s">
        <v>2842</v>
      </c>
      <c r="L289" s="9" t="s">
        <v>2843</v>
      </c>
      <c r="M289" s="8" t="s">
        <v>14</v>
      </c>
      <c r="N289" s="11" t="s">
        <v>98</v>
      </c>
      <c r="O289" s="12" t="s">
        <v>207</v>
      </c>
      <c r="P289" s="52" t="s">
        <v>2844</v>
      </c>
      <c r="Q289" s="9" t="s">
        <v>276</v>
      </c>
      <c r="R289" s="9" t="s">
        <v>2845</v>
      </c>
      <c r="S289" s="9" t="s">
        <v>2845</v>
      </c>
      <c r="T289" s="9">
        <v>1</v>
      </c>
      <c r="U289" s="13">
        <v>17136</v>
      </c>
      <c r="V289" s="13">
        <v>17136</v>
      </c>
      <c r="W289" s="8" t="s">
        <v>276</v>
      </c>
      <c r="X289" s="8" t="s">
        <v>276</v>
      </c>
      <c r="Y289" s="8">
        <v>0</v>
      </c>
      <c r="Z289" s="9" t="s">
        <v>1562</v>
      </c>
      <c r="AA289" s="8">
        <v>0</v>
      </c>
      <c r="AB289" s="9" t="s">
        <v>1562</v>
      </c>
      <c r="AC289" s="9" t="s">
        <v>2846</v>
      </c>
      <c r="AD289" s="9" t="s">
        <v>2046</v>
      </c>
      <c r="AE289" s="8">
        <v>65</v>
      </c>
      <c r="AF289" s="8">
        <v>83</v>
      </c>
      <c r="AG289" s="13">
        <v>17136</v>
      </c>
      <c r="AH289" s="13">
        <v>17136</v>
      </c>
      <c r="AI289" s="38" t="s">
        <v>2047</v>
      </c>
      <c r="AJ289" s="14" t="s">
        <v>276</v>
      </c>
      <c r="AK289" s="31">
        <f>AE289*1000/AG289</f>
        <v>3.7931839402427636</v>
      </c>
      <c r="AL289" s="14" t="s">
        <v>276</v>
      </c>
      <c r="AM289" s="14" t="s">
        <v>276</v>
      </c>
      <c r="AN289" s="14" t="s">
        <v>276</v>
      </c>
      <c r="AO289" s="31">
        <f>AF289*1000/AH289</f>
        <v>4.8436041083099903</v>
      </c>
      <c r="AP289" s="14" t="s">
        <v>276</v>
      </c>
      <c r="AQ289" s="14" t="s">
        <v>276</v>
      </c>
      <c r="AR289" s="8" t="s">
        <v>268</v>
      </c>
      <c r="AS289" s="14" t="s">
        <v>276</v>
      </c>
      <c r="AT289" s="14">
        <f t="shared" si="40"/>
        <v>0.7831325301204819</v>
      </c>
      <c r="AU289" s="14" t="s">
        <v>276</v>
      </c>
      <c r="AV289" s="14" t="s">
        <v>276</v>
      </c>
      <c r="AW289" s="8" t="s">
        <v>276</v>
      </c>
      <c r="AX289" s="8" t="s">
        <v>282</v>
      </c>
      <c r="AY289" s="8" t="s">
        <v>276</v>
      </c>
      <c r="AZ289" s="8" t="s">
        <v>276</v>
      </c>
      <c r="BA289" s="8" t="s">
        <v>276</v>
      </c>
      <c r="BB289" s="8" t="s">
        <v>276</v>
      </c>
      <c r="BC289" s="9" t="s">
        <v>1358</v>
      </c>
      <c r="BD289" s="9" t="s">
        <v>2849</v>
      </c>
      <c r="BE289" s="9" t="s">
        <v>99</v>
      </c>
      <c r="BF289" s="33" t="s">
        <v>11163</v>
      </c>
    </row>
    <row r="290" spans="1:58" s="87" customFormat="1" ht="78" x14ac:dyDescent="0.3">
      <c r="A290" s="72">
        <v>8509</v>
      </c>
      <c r="B290" s="72" t="s">
        <v>2840</v>
      </c>
      <c r="C290" s="72" t="s">
        <v>49</v>
      </c>
      <c r="D290" s="73" t="s">
        <v>2851</v>
      </c>
      <c r="E290" s="72" t="s">
        <v>36</v>
      </c>
      <c r="F290" s="73" t="s">
        <v>134</v>
      </c>
      <c r="G290" s="72" t="s">
        <v>225</v>
      </c>
      <c r="H290" s="72" t="s">
        <v>125</v>
      </c>
      <c r="I290" s="72" t="s">
        <v>114</v>
      </c>
      <c r="J290" s="73" t="s">
        <v>24</v>
      </c>
      <c r="K290" s="73" t="s">
        <v>2842</v>
      </c>
      <c r="L290" s="73" t="s">
        <v>2843</v>
      </c>
      <c r="M290" s="72" t="s">
        <v>14</v>
      </c>
      <c r="N290" s="84" t="s">
        <v>98</v>
      </c>
      <c r="O290" s="85" t="s">
        <v>207</v>
      </c>
      <c r="P290" s="77" t="s">
        <v>2844</v>
      </c>
      <c r="Q290" s="73" t="s">
        <v>276</v>
      </c>
      <c r="R290" s="73" t="s">
        <v>2845</v>
      </c>
      <c r="S290" s="73" t="s">
        <v>2845</v>
      </c>
      <c r="T290" s="73">
        <v>1</v>
      </c>
      <c r="U290" s="74">
        <v>17136</v>
      </c>
      <c r="V290" s="74">
        <v>17136</v>
      </c>
      <c r="W290" s="72" t="s">
        <v>276</v>
      </c>
      <c r="X290" s="72" t="s">
        <v>276</v>
      </c>
      <c r="Y290" s="72">
        <v>0</v>
      </c>
      <c r="Z290" s="73" t="s">
        <v>1562</v>
      </c>
      <c r="AA290" s="72">
        <v>0</v>
      </c>
      <c r="AB290" s="73" t="s">
        <v>1562</v>
      </c>
      <c r="AC290" s="73" t="s">
        <v>2852</v>
      </c>
      <c r="AD290" s="73" t="s">
        <v>2847</v>
      </c>
      <c r="AE290" s="72">
        <v>35</v>
      </c>
      <c r="AF290" s="72">
        <v>48</v>
      </c>
      <c r="AG290" s="74">
        <v>187532</v>
      </c>
      <c r="AH290" s="74">
        <v>186745</v>
      </c>
      <c r="AI290" s="75" t="s">
        <v>1019</v>
      </c>
      <c r="AJ290" s="76">
        <v>18.66</v>
      </c>
      <c r="AK290" s="86">
        <f>AE290*100000/AG290</f>
        <v>18.663481432502188</v>
      </c>
      <c r="AL290" s="76">
        <v>13.4</v>
      </c>
      <c r="AM290" s="76">
        <v>25.99</v>
      </c>
      <c r="AN290" s="76">
        <v>25.7</v>
      </c>
      <c r="AO290" s="86">
        <f>AF290*100000/AH290</f>
        <v>25.70349942434871</v>
      </c>
      <c r="AP290" s="76">
        <v>19.37</v>
      </c>
      <c r="AQ290" s="76">
        <v>34.11</v>
      </c>
      <c r="AR290" s="72" t="s">
        <v>269</v>
      </c>
      <c r="AS290" s="76">
        <v>0.73</v>
      </c>
      <c r="AT290" s="76">
        <f t="shared" si="40"/>
        <v>0.72610663335679604</v>
      </c>
      <c r="AU290" s="76">
        <v>0.47</v>
      </c>
      <c r="AV290" s="76">
        <v>1.1200000000000001</v>
      </c>
      <c r="AW290" s="72" t="s">
        <v>276</v>
      </c>
      <c r="AX290" s="72" t="s">
        <v>282</v>
      </c>
      <c r="AY290" s="72" t="s">
        <v>276</v>
      </c>
      <c r="AZ290" s="72" t="s">
        <v>276</v>
      </c>
      <c r="BA290" s="72" t="s">
        <v>276</v>
      </c>
      <c r="BB290" s="72" t="s">
        <v>276</v>
      </c>
      <c r="BC290" s="73" t="s">
        <v>2853</v>
      </c>
      <c r="BD290" s="73" t="s">
        <v>2854</v>
      </c>
      <c r="BE290" s="9" t="s">
        <v>100</v>
      </c>
      <c r="BF290" s="33" t="s">
        <v>98</v>
      </c>
    </row>
    <row r="291" spans="1:58" s="87" customFormat="1" ht="78" x14ac:dyDescent="0.3">
      <c r="A291" s="72">
        <v>8509</v>
      </c>
      <c r="B291" s="72" t="s">
        <v>2840</v>
      </c>
      <c r="C291" s="72" t="s">
        <v>49</v>
      </c>
      <c r="D291" s="73" t="s">
        <v>2855</v>
      </c>
      <c r="E291" s="72" t="s">
        <v>36</v>
      </c>
      <c r="F291" s="73" t="s">
        <v>134</v>
      </c>
      <c r="G291" s="72" t="s">
        <v>225</v>
      </c>
      <c r="H291" s="72" t="s">
        <v>125</v>
      </c>
      <c r="I291" s="72" t="s">
        <v>114</v>
      </c>
      <c r="J291" s="73" t="s">
        <v>24</v>
      </c>
      <c r="K291" s="73" t="s">
        <v>2842</v>
      </c>
      <c r="L291" s="73" t="s">
        <v>2843</v>
      </c>
      <c r="M291" s="72" t="s">
        <v>14</v>
      </c>
      <c r="N291" s="84" t="s">
        <v>98</v>
      </c>
      <c r="O291" s="85" t="s">
        <v>207</v>
      </c>
      <c r="P291" s="77" t="s">
        <v>2844</v>
      </c>
      <c r="Q291" s="73" t="s">
        <v>276</v>
      </c>
      <c r="R291" s="73" t="s">
        <v>2845</v>
      </c>
      <c r="S291" s="73" t="s">
        <v>2845</v>
      </c>
      <c r="T291" s="73">
        <v>1</v>
      </c>
      <c r="U291" s="74">
        <v>17136</v>
      </c>
      <c r="V291" s="74">
        <v>17136</v>
      </c>
      <c r="W291" s="72" t="s">
        <v>276</v>
      </c>
      <c r="X291" s="72" t="s">
        <v>276</v>
      </c>
      <c r="Y291" s="72">
        <v>0</v>
      </c>
      <c r="Z291" s="73" t="s">
        <v>1562</v>
      </c>
      <c r="AA291" s="72">
        <v>0</v>
      </c>
      <c r="AB291" s="73" t="s">
        <v>1562</v>
      </c>
      <c r="AC291" s="73" t="s">
        <v>2852</v>
      </c>
      <c r="AD291" s="73" t="s">
        <v>2046</v>
      </c>
      <c r="AE291" s="72">
        <v>35</v>
      </c>
      <c r="AF291" s="72">
        <v>48</v>
      </c>
      <c r="AG291" s="74">
        <v>17136</v>
      </c>
      <c r="AH291" s="74">
        <v>17136</v>
      </c>
      <c r="AI291" s="75" t="s">
        <v>2047</v>
      </c>
      <c r="AJ291" s="76" t="s">
        <v>276</v>
      </c>
      <c r="AK291" s="86">
        <f>AE291*1000/AG291</f>
        <v>2.0424836601307188</v>
      </c>
      <c r="AL291" s="76" t="s">
        <v>276</v>
      </c>
      <c r="AM291" s="76" t="s">
        <v>276</v>
      </c>
      <c r="AN291" s="76" t="s">
        <v>276</v>
      </c>
      <c r="AO291" s="86">
        <f>AF291*1000/AH291</f>
        <v>2.8011204481792715</v>
      </c>
      <c r="AP291" s="76" t="s">
        <v>276</v>
      </c>
      <c r="AQ291" s="76" t="s">
        <v>276</v>
      </c>
      <c r="AR291" s="72" t="s">
        <v>268</v>
      </c>
      <c r="AS291" s="76" t="s">
        <v>276</v>
      </c>
      <c r="AT291" s="76">
        <f t="shared" si="40"/>
        <v>0.72916666666666663</v>
      </c>
      <c r="AU291" s="76" t="s">
        <v>276</v>
      </c>
      <c r="AV291" s="76" t="s">
        <v>276</v>
      </c>
      <c r="AW291" s="72" t="s">
        <v>276</v>
      </c>
      <c r="AX291" s="72" t="s">
        <v>282</v>
      </c>
      <c r="AY291" s="72" t="s">
        <v>276</v>
      </c>
      <c r="AZ291" s="72" t="s">
        <v>276</v>
      </c>
      <c r="BA291" s="72" t="s">
        <v>276</v>
      </c>
      <c r="BB291" s="72" t="s">
        <v>276</v>
      </c>
      <c r="BC291" s="73" t="s">
        <v>1358</v>
      </c>
      <c r="BD291" s="73" t="s">
        <v>2854</v>
      </c>
      <c r="BE291" s="9" t="s">
        <v>100</v>
      </c>
      <c r="BF291" s="33" t="s">
        <v>98</v>
      </c>
    </row>
    <row r="292" spans="1:58" s="7" customFormat="1" ht="65" x14ac:dyDescent="0.3">
      <c r="A292" s="8">
        <v>8509</v>
      </c>
      <c r="B292" s="8" t="s">
        <v>2840</v>
      </c>
      <c r="C292" s="8" t="s">
        <v>49</v>
      </c>
      <c r="D292" s="9" t="s">
        <v>2856</v>
      </c>
      <c r="E292" s="8" t="s">
        <v>36</v>
      </c>
      <c r="F292" s="9" t="s">
        <v>134</v>
      </c>
      <c r="G292" s="8" t="s">
        <v>225</v>
      </c>
      <c r="H292" s="8" t="s">
        <v>125</v>
      </c>
      <c r="I292" s="8" t="s">
        <v>114</v>
      </c>
      <c r="J292" s="9" t="s">
        <v>24</v>
      </c>
      <c r="K292" s="9" t="s">
        <v>2842</v>
      </c>
      <c r="L292" s="9" t="s">
        <v>2843</v>
      </c>
      <c r="M292" s="8" t="s">
        <v>14</v>
      </c>
      <c r="N292" s="11" t="s">
        <v>98</v>
      </c>
      <c r="O292" s="12" t="s">
        <v>207</v>
      </c>
      <c r="P292" s="52" t="s">
        <v>2844</v>
      </c>
      <c r="Q292" s="9" t="s">
        <v>276</v>
      </c>
      <c r="R292" s="9" t="s">
        <v>2845</v>
      </c>
      <c r="S292" s="9" t="s">
        <v>2845</v>
      </c>
      <c r="T292" s="9">
        <v>1</v>
      </c>
      <c r="U292" s="13">
        <v>17136</v>
      </c>
      <c r="V292" s="13">
        <v>17136</v>
      </c>
      <c r="W292" s="8" t="s">
        <v>276</v>
      </c>
      <c r="X292" s="8" t="s">
        <v>276</v>
      </c>
      <c r="Y292" s="8">
        <v>0</v>
      </c>
      <c r="Z292" s="9" t="s">
        <v>1562</v>
      </c>
      <c r="AA292" s="8">
        <v>0</v>
      </c>
      <c r="AB292" s="9" t="s">
        <v>1562</v>
      </c>
      <c r="AC292" s="9" t="s">
        <v>2857</v>
      </c>
      <c r="AD292" s="9" t="s">
        <v>2847</v>
      </c>
      <c r="AE292" s="8">
        <v>30</v>
      </c>
      <c r="AF292" s="8">
        <v>35</v>
      </c>
      <c r="AG292" s="13">
        <v>187532</v>
      </c>
      <c r="AH292" s="13">
        <v>186745</v>
      </c>
      <c r="AI292" s="38" t="s">
        <v>1019</v>
      </c>
      <c r="AJ292" s="14">
        <v>16</v>
      </c>
      <c r="AK292" s="31">
        <f>AE292*100000/AG292</f>
        <v>15.997269799287588</v>
      </c>
      <c r="AL292" s="14">
        <v>11.18</v>
      </c>
      <c r="AM292" s="14">
        <v>22.88</v>
      </c>
      <c r="AN292" s="14">
        <v>18.739999999999998</v>
      </c>
      <c r="AO292" s="31">
        <f>AF292*100000/AH292</f>
        <v>18.742134996920935</v>
      </c>
      <c r="AP292" s="14">
        <v>13.46</v>
      </c>
      <c r="AQ292" s="14">
        <v>26.1</v>
      </c>
      <c r="AR292" s="8" t="s">
        <v>269</v>
      </c>
      <c r="AS292" s="14">
        <v>0.85</v>
      </c>
      <c r="AT292" s="14">
        <f t="shared" si="40"/>
        <v>0.85354575676227451</v>
      </c>
      <c r="AU292" s="14">
        <v>0.52</v>
      </c>
      <c r="AV292" s="14">
        <v>1.39</v>
      </c>
      <c r="AW292" s="8" t="s">
        <v>276</v>
      </c>
      <c r="AX292" s="8" t="s">
        <v>282</v>
      </c>
      <c r="AY292" s="8" t="s">
        <v>276</v>
      </c>
      <c r="AZ292" s="8" t="s">
        <v>276</v>
      </c>
      <c r="BA292" s="8" t="s">
        <v>276</v>
      </c>
      <c r="BB292" s="8" t="s">
        <v>276</v>
      </c>
      <c r="BC292" s="9" t="s">
        <v>1358</v>
      </c>
      <c r="BD292" s="9" t="s">
        <v>2849</v>
      </c>
      <c r="BE292" s="9" t="s">
        <v>100</v>
      </c>
      <c r="BF292" s="33" t="s">
        <v>98</v>
      </c>
    </row>
    <row r="293" spans="1:58" s="7" customFormat="1" ht="65" x14ac:dyDescent="0.3">
      <c r="A293" s="8">
        <v>8509</v>
      </c>
      <c r="B293" s="8" t="s">
        <v>2840</v>
      </c>
      <c r="C293" s="8" t="s">
        <v>49</v>
      </c>
      <c r="D293" s="9" t="s">
        <v>2858</v>
      </c>
      <c r="E293" s="8" t="s">
        <v>36</v>
      </c>
      <c r="F293" s="9" t="s">
        <v>134</v>
      </c>
      <c r="G293" s="8" t="s">
        <v>225</v>
      </c>
      <c r="H293" s="8" t="s">
        <v>125</v>
      </c>
      <c r="I293" s="8" t="s">
        <v>114</v>
      </c>
      <c r="J293" s="9" t="s">
        <v>24</v>
      </c>
      <c r="K293" s="9" t="s">
        <v>2842</v>
      </c>
      <c r="L293" s="9" t="s">
        <v>2843</v>
      </c>
      <c r="M293" s="8" t="s">
        <v>14</v>
      </c>
      <c r="N293" s="11" t="s">
        <v>98</v>
      </c>
      <c r="O293" s="12" t="s">
        <v>207</v>
      </c>
      <c r="P293" s="52" t="s">
        <v>2844</v>
      </c>
      <c r="Q293" s="9" t="s">
        <v>276</v>
      </c>
      <c r="R293" s="9" t="s">
        <v>2845</v>
      </c>
      <c r="S293" s="9" t="s">
        <v>2845</v>
      </c>
      <c r="T293" s="9">
        <v>1</v>
      </c>
      <c r="U293" s="13">
        <v>17136</v>
      </c>
      <c r="V293" s="13">
        <v>17136</v>
      </c>
      <c r="W293" s="8" t="s">
        <v>276</v>
      </c>
      <c r="X293" s="8" t="s">
        <v>276</v>
      </c>
      <c r="Y293" s="8">
        <v>0</v>
      </c>
      <c r="Z293" s="9" t="s">
        <v>1562</v>
      </c>
      <c r="AA293" s="8">
        <v>0</v>
      </c>
      <c r="AB293" s="9" t="s">
        <v>1562</v>
      </c>
      <c r="AC293" s="9" t="s">
        <v>2857</v>
      </c>
      <c r="AD293" s="9" t="s">
        <v>2046</v>
      </c>
      <c r="AE293" s="8">
        <v>30</v>
      </c>
      <c r="AF293" s="8">
        <v>35</v>
      </c>
      <c r="AG293" s="13">
        <v>17136</v>
      </c>
      <c r="AH293" s="13">
        <v>17136</v>
      </c>
      <c r="AI293" s="38" t="s">
        <v>2047</v>
      </c>
      <c r="AJ293" s="14" t="s">
        <v>276</v>
      </c>
      <c r="AK293" s="31">
        <f>AE293*1000/AG293</f>
        <v>1.7507002801120448</v>
      </c>
      <c r="AL293" s="14" t="s">
        <v>276</v>
      </c>
      <c r="AM293" s="14" t="s">
        <v>276</v>
      </c>
      <c r="AN293" s="14" t="s">
        <v>276</v>
      </c>
      <c r="AO293" s="31">
        <f>AF293*1000/AH293</f>
        <v>2.0424836601307188</v>
      </c>
      <c r="AP293" s="14" t="s">
        <v>276</v>
      </c>
      <c r="AQ293" s="14" t="s">
        <v>276</v>
      </c>
      <c r="AR293" s="8" t="s">
        <v>268</v>
      </c>
      <c r="AS293" s="14" t="s">
        <v>276</v>
      </c>
      <c r="AT293" s="14">
        <f t="shared" si="40"/>
        <v>0.85714285714285721</v>
      </c>
      <c r="AU293" s="14" t="s">
        <v>276</v>
      </c>
      <c r="AV293" s="14" t="s">
        <v>276</v>
      </c>
      <c r="AW293" s="8" t="s">
        <v>276</v>
      </c>
      <c r="AX293" s="8" t="s">
        <v>282</v>
      </c>
      <c r="AY293" s="8" t="s">
        <v>276</v>
      </c>
      <c r="AZ293" s="8" t="s">
        <v>276</v>
      </c>
      <c r="BA293" s="8" t="s">
        <v>276</v>
      </c>
      <c r="BB293" s="8" t="s">
        <v>276</v>
      </c>
      <c r="BC293" s="9" t="s">
        <v>1358</v>
      </c>
      <c r="BD293" s="9" t="s">
        <v>2849</v>
      </c>
      <c r="BE293" s="9" t="s">
        <v>100</v>
      </c>
      <c r="BF293" s="33" t="s">
        <v>98</v>
      </c>
    </row>
    <row r="294" spans="1:58" s="87" customFormat="1" ht="78" x14ac:dyDescent="0.3">
      <c r="A294" s="72">
        <v>8509</v>
      </c>
      <c r="B294" s="72" t="s">
        <v>2840</v>
      </c>
      <c r="C294" s="72" t="s">
        <v>49</v>
      </c>
      <c r="D294" s="73" t="s">
        <v>2859</v>
      </c>
      <c r="E294" s="72" t="s">
        <v>36</v>
      </c>
      <c r="F294" s="73" t="s">
        <v>134</v>
      </c>
      <c r="G294" s="72" t="s">
        <v>225</v>
      </c>
      <c r="H294" s="72" t="s">
        <v>125</v>
      </c>
      <c r="I294" s="72" t="s">
        <v>114</v>
      </c>
      <c r="J294" s="73" t="s">
        <v>23</v>
      </c>
      <c r="K294" s="73" t="s">
        <v>2842</v>
      </c>
      <c r="L294" s="73" t="s">
        <v>2843</v>
      </c>
      <c r="M294" s="72" t="s">
        <v>14</v>
      </c>
      <c r="N294" s="84" t="s">
        <v>98</v>
      </c>
      <c r="O294" s="85" t="s">
        <v>207</v>
      </c>
      <c r="P294" s="77" t="s">
        <v>2844</v>
      </c>
      <c r="Q294" s="73" t="s">
        <v>276</v>
      </c>
      <c r="R294" s="73" t="s">
        <v>2845</v>
      </c>
      <c r="S294" s="73" t="s">
        <v>2845</v>
      </c>
      <c r="T294" s="73">
        <v>1</v>
      </c>
      <c r="U294" s="74">
        <v>17136</v>
      </c>
      <c r="V294" s="74">
        <v>17136</v>
      </c>
      <c r="W294" s="72" t="s">
        <v>276</v>
      </c>
      <c r="X294" s="72" t="s">
        <v>276</v>
      </c>
      <c r="Y294" s="72">
        <v>280</v>
      </c>
      <c r="Z294" s="73" t="s">
        <v>2860</v>
      </c>
      <c r="AA294" s="72">
        <v>324</v>
      </c>
      <c r="AB294" s="73" t="s">
        <v>2860</v>
      </c>
      <c r="AC294" s="73" t="s">
        <v>2861</v>
      </c>
      <c r="AD294" s="73" t="s">
        <v>2847</v>
      </c>
      <c r="AE294" s="72">
        <v>1202</v>
      </c>
      <c r="AF294" s="72">
        <v>1233</v>
      </c>
      <c r="AG294" s="74">
        <v>187532</v>
      </c>
      <c r="AH294" s="74">
        <v>186745</v>
      </c>
      <c r="AI294" s="75" t="s">
        <v>1019</v>
      </c>
      <c r="AJ294" s="76">
        <v>640.96</v>
      </c>
      <c r="AK294" s="86">
        <f>AE294*100000/AG294</f>
        <v>640.95727662478942</v>
      </c>
      <c r="AL294" s="76" t="s">
        <v>276</v>
      </c>
      <c r="AM294" s="76" t="s">
        <v>276</v>
      </c>
      <c r="AN294" s="76">
        <v>660.26</v>
      </c>
      <c r="AO294" s="86">
        <f>AF294*100000/AH294</f>
        <v>660.25864146295748</v>
      </c>
      <c r="AP294" s="76" t="s">
        <v>276</v>
      </c>
      <c r="AQ294" s="76" t="s">
        <v>276</v>
      </c>
      <c r="AR294" s="72" t="s">
        <v>269</v>
      </c>
      <c r="AS294" s="76" t="s">
        <v>276</v>
      </c>
      <c r="AT294" s="76">
        <f t="shared" si="40"/>
        <v>0.97076696369258964</v>
      </c>
      <c r="AU294" s="76" t="s">
        <v>276</v>
      </c>
      <c r="AV294" s="76" t="s">
        <v>276</v>
      </c>
      <c r="AW294" s="72" t="s">
        <v>276</v>
      </c>
      <c r="AX294" s="72" t="s">
        <v>282</v>
      </c>
      <c r="AY294" s="72" t="s">
        <v>276</v>
      </c>
      <c r="AZ294" s="72" t="s">
        <v>276</v>
      </c>
      <c r="BA294" s="72" t="s">
        <v>276</v>
      </c>
      <c r="BB294" s="72" t="s">
        <v>276</v>
      </c>
      <c r="BC294" s="73" t="s">
        <v>2862</v>
      </c>
      <c r="BD294" s="73" t="s">
        <v>2849</v>
      </c>
      <c r="BE294" s="9" t="s">
        <v>100</v>
      </c>
      <c r="BF294" s="33" t="s">
        <v>98</v>
      </c>
    </row>
    <row r="295" spans="1:58" s="87" customFormat="1" ht="65" x14ac:dyDescent="0.3">
      <c r="A295" s="72">
        <v>8509</v>
      </c>
      <c r="B295" s="72" t="s">
        <v>2840</v>
      </c>
      <c r="C295" s="72" t="s">
        <v>49</v>
      </c>
      <c r="D295" s="73" t="s">
        <v>2863</v>
      </c>
      <c r="E295" s="72" t="s">
        <v>36</v>
      </c>
      <c r="F295" s="73" t="s">
        <v>134</v>
      </c>
      <c r="G295" s="72" t="s">
        <v>225</v>
      </c>
      <c r="H295" s="72" t="s">
        <v>125</v>
      </c>
      <c r="I295" s="72" t="s">
        <v>114</v>
      </c>
      <c r="J295" s="73" t="s">
        <v>23</v>
      </c>
      <c r="K295" s="73" t="s">
        <v>2842</v>
      </c>
      <c r="L295" s="73" t="s">
        <v>2843</v>
      </c>
      <c r="M295" s="72" t="s">
        <v>14</v>
      </c>
      <c r="N295" s="84" t="s">
        <v>98</v>
      </c>
      <c r="O295" s="85" t="s">
        <v>207</v>
      </c>
      <c r="P295" s="77" t="s">
        <v>2844</v>
      </c>
      <c r="Q295" s="73" t="s">
        <v>276</v>
      </c>
      <c r="R295" s="73" t="s">
        <v>2845</v>
      </c>
      <c r="S295" s="73" t="s">
        <v>2845</v>
      </c>
      <c r="T295" s="73">
        <v>1</v>
      </c>
      <c r="U295" s="74">
        <v>17136</v>
      </c>
      <c r="V295" s="74">
        <v>17136</v>
      </c>
      <c r="W295" s="72" t="s">
        <v>276</v>
      </c>
      <c r="X295" s="72" t="s">
        <v>276</v>
      </c>
      <c r="Y295" s="72">
        <v>280</v>
      </c>
      <c r="Z295" s="73" t="s">
        <v>2860</v>
      </c>
      <c r="AA295" s="72">
        <v>324</v>
      </c>
      <c r="AB295" s="73" t="s">
        <v>2860</v>
      </c>
      <c r="AC295" s="73" t="s">
        <v>2861</v>
      </c>
      <c r="AD295" s="73" t="s">
        <v>2046</v>
      </c>
      <c r="AE295" s="72">
        <v>1202</v>
      </c>
      <c r="AF295" s="72">
        <v>1233</v>
      </c>
      <c r="AG295" s="74">
        <v>17136</v>
      </c>
      <c r="AH295" s="74">
        <v>17136</v>
      </c>
      <c r="AI295" s="75" t="s">
        <v>2047</v>
      </c>
      <c r="AJ295" s="76" t="s">
        <v>276</v>
      </c>
      <c r="AK295" s="86">
        <f>AE295*1000/AG295</f>
        <v>70.144724556489265</v>
      </c>
      <c r="AL295" s="76" t="s">
        <v>276</v>
      </c>
      <c r="AM295" s="76" t="s">
        <v>276</v>
      </c>
      <c r="AN295" s="76" t="s">
        <v>276</v>
      </c>
      <c r="AO295" s="86">
        <f>AF295*1000/AH295</f>
        <v>71.953781512605048</v>
      </c>
      <c r="AP295" s="76" t="s">
        <v>276</v>
      </c>
      <c r="AQ295" s="76" t="s">
        <v>276</v>
      </c>
      <c r="AR295" s="72" t="s">
        <v>268</v>
      </c>
      <c r="AS295" s="76" t="s">
        <v>276</v>
      </c>
      <c r="AT295" s="76">
        <f t="shared" si="40"/>
        <v>0.97485806974858069</v>
      </c>
      <c r="AU295" s="76" t="s">
        <v>276</v>
      </c>
      <c r="AV295" s="76" t="s">
        <v>276</v>
      </c>
      <c r="AW295" s="72" t="s">
        <v>276</v>
      </c>
      <c r="AX295" s="72" t="s">
        <v>282</v>
      </c>
      <c r="AY295" s="72" t="s">
        <v>276</v>
      </c>
      <c r="AZ295" s="72" t="s">
        <v>276</v>
      </c>
      <c r="BA295" s="72" t="s">
        <v>276</v>
      </c>
      <c r="BB295" s="72" t="s">
        <v>276</v>
      </c>
      <c r="BC295" s="73" t="s">
        <v>1358</v>
      </c>
      <c r="BD295" s="73" t="s">
        <v>2849</v>
      </c>
      <c r="BE295" s="9" t="s">
        <v>100</v>
      </c>
      <c r="BF295" s="33" t="s">
        <v>98</v>
      </c>
    </row>
    <row r="296" spans="1:58" s="103" customFormat="1" ht="39" x14ac:dyDescent="0.3">
      <c r="A296" s="94">
        <v>8429</v>
      </c>
      <c r="B296" s="94" t="s">
        <v>2864</v>
      </c>
      <c r="C296" s="94" t="s">
        <v>49</v>
      </c>
      <c r="D296" s="95" t="s">
        <v>2865</v>
      </c>
      <c r="E296" s="94" t="s">
        <v>36</v>
      </c>
      <c r="F296" s="95" t="s">
        <v>134</v>
      </c>
      <c r="G296" s="94" t="s">
        <v>225</v>
      </c>
      <c r="H296" s="94" t="s">
        <v>125</v>
      </c>
      <c r="I296" s="94" t="s">
        <v>114</v>
      </c>
      <c r="J296" s="95" t="s">
        <v>24</v>
      </c>
      <c r="K296" s="95" t="s">
        <v>2866</v>
      </c>
      <c r="L296" s="95" t="s">
        <v>276</v>
      </c>
      <c r="M296" s="94" t="s">
        <v>14</v>
      </c>
      <c r="N296" s="144" t="s">
        <v>98</v>
      </c>
      <c r="O296" s="96" t="s">
        <v>207</v>
      </c>
      <c r="P296" s="97" t="s">
        <v>276</v>
      </c>
      <c r="Q296" s="95" t="s">
        <v>782</v>
      </c>
      <c r="R296" s="95" t="s">
        <v>276</v>
      </c>
      <c r="S296" s="95" t="s">
        <v>276</v>
      </c>
      <c r="T296" s="95">
        <v>1</v>
      </c>
      <c r="U296" s="98">
        <v>17136</v>
      </c>
      <c r="V296" s="98">
        <v>17136</v>
      </c>
      <c r="W296" s="94" t="s">
        <v>276</v>
      </c>
      <c r="X296" s="94" t="s">
        <v>276</v>
      </c>
      <c r="Y296" s="94" t="s">
        <v>276</v>
      </c>
      <c r="Z296" s="94" t="s">
        <v>276</v>
      </c>
      <c r="AA296" s="94" t="s">
        <v>276</v>
      </c>
      <c r="AB296" s="94" t="s">
        <v>276</v>
      </c>
      <c r="AC296" s="95" t="s">
        <v>2867</v>
      </c>
      <c r="AD296" s="95" t="s">
        <v>2868</v>
      </c>
      <c r="AE296" s="94">
        <v>107</v>
      </c>
      <c r="AF296" s="94">
        <v>131</v>
      </c>
      <c r="AG296" s="98" t="s">
        <v>276</v>
      </c>
      <c r="AH296" s="98" t="s">
        <v>276</v>
      </c>
      <c r="AI296" s="98" t="s">
        <v>276</v>
      </c>
      <c r="AJ296" s="102" t="s">
        <v>276</v>
      </c>
      <c r="AK296" s="98" t="s">
        <v>276</v>
      </c>
      <c r="AL296" s="98" t="s">
        <v>276</v>
      </c>
      <c r="AM296" s="98" t="s">
        <v>276</v>
      </c>
      <c r="AN296" s="98" t="s">
        <v>276</v>
      </c>
      <c r="AO296" s="98" t="s">
        <v>276</v>
      </c>
      <c r="AP296" s="98" t="s">
        <v>276</v>
      </c>
      <c r="AQ296" s="98" t="s">
        <v>276</v>
      </c>
      <c r="AR296" s="94" t="s">
        <v>269</v>
      </c>
      <c r="AS296" s="102">
        <v>0.81</v>
      </c>
      <c r="AT296" s="102" t="s">
        <v>276</v>
      </c>
      <c r="AU296" s="102">
        <v>0.62</v>
      </c>
      <c r="AV296" s="102">
        <v>1.06</v>
      </c>
      <c r="AW296" s="94" t="s">
        <v>276</v>
      </c>
      <c r="AX296" s="94" t="s">
        <v>282</v>
      </c>
      <c r="AY296" s="94" t="s">
        <v>276</v>
      </c>
      <c r="AZ296" s="94" t="s">
        <v>276</v>
      </c>
      <c r="BA296" s="94" t="s">
        <v>276</v>
      </c>
      <c r="BB296" s="94" t="s">
        <v>276</v>
      </c>
      <c r="BC296" s="95" t="s">
        <v>298</v>
      </c>
      <c r="BD296" s="95"/>
      <c r="BE296" s="9" t="s">
        <v>100</v>
      </c>
      <c r="BF296" s="33" t="s">
        <v>98</v>
      </c>
    </row>
    <row r="297" spans="1:58" s="103" customFormat="1" ht="39" x14ac:dyDescent="0.3">
      <c r="A297" s="94">
        <v>8429</v>
      </c>
      <c r="B297" s="94" t="s">
        <v>2864</v>
      </c>
      <c r="C297" s="94" t="s">
        <v>49</v>
      </c>
      <c r="D297" s="95" t="s">
        <v>2869</v>
      </c>
      <c r="E297" s="94" t="s">
        <v>36</v>
      </c>
      <c r="F297" s="95" t="s">
        <v>134</v>
      </c>
      <c r="G297" s="94" t="s">
        <v>225</v>
      </c>
      <c r="H297" s="94" t="s">
        <v>125</v>
      </c>
      <c r="I297" s="94" t="s">
        <v>114</v>
      </c>
      <c r="J297" s="95" t="s">
        <v>24</v>
      </c>
      <c r="K297" s="95" t="s">
        <v>2866</v>
      </c>
      <c r="L297" s="95" t="s">
        <v>276</v>
      </c>
      <c r="M297" s="94" t="s">
        <v>14</v>
      </c>
      <c r="N297" s="144" t="s">
        <v>98</v>
      </c>
      <c r="O297" s="96" t="s">
        <v>207</v>
      </c>
      <c r="P297" s="97" t="s">
        <v>276</v>
      </c>
      <c r="Q297" s="95" t="s">
        <v>782</v>
      </c>
      <c r="R297" s="95" t="s">
        <v>276</v>
      </c>
      <c r="S297" s="95" t="s">
        <v>276</v>
      </c>
      <c r="T297" s="95">
        <v>1</v>
      </c>
      <c r="U297" s="98">
        <v>17136</v>
      </c>
      <c r="V297" s="98">
        <v>17136</v>
      </c>
      <c r="W297" s="94" t="s">
        <v>276</v>
      </c>
      <c r="X297" s="94" t="s">
        <v>276</v>
      </c>
      <c r="Y297" s="94" t="s">
        <v>276</v>
      </c>
      <c r="Z297" s="94" t="s">
        <v>276</v>
      </c>
      <c r="AA297" s="94" t="s">
        <v>276</v>
      </c>
      <c r="AB297" s="94" t="s">
        <v>276</v>
      </c>
      <c r="AC297" s="95" t="s">
        <v>2867</v>
      </c>
      <c r="AD297" s="95" t="s">
        <v>2046</v>
      </c>
      <c r="AE297" s="94">
        <v>107</v>
      </c>
      <c r="AF297" s="94">
        <v>131</v>
      </c>
      <c r="AG297" s="98">
        <v>17136</v>
      </c>
      <c r="AH297" s="98">
        <v>17136</v>
      </c>
      <c r="AI297" s="99" t="s">
        <v>2047</v>
      </c>
      <c r="AJ297" s="102" t="s">
        <v>276</v>
      </c>
      <c r="AK297" s="102">
        <f>AE297*1000/AG297</f>
        <v>6.2441643323996265</v>
      </c>
      <c r="AL297" s="98" t="s">
        <v>276</v>
      </c>
      <c r="AM297" s="98" t="s">
        <v>276</v>
      </c>
      <c r="AN297" s="98" t="s">
        <v>276</v>
      </c>
      <c r="AO297" s="102">
        <f>AF297*1000/AH297</f>
        <v>7.6447245564892627</v>
      </c>
      <c r="AP297" s="98" t="s">
        <v>276</v>
      </c>
      <c r="AQ297" s="98" t="s">
        <v>276</v>
      </c>
      <c r="AR297" s="94" t="s">
        <v>268</v>
      </c>
      <c r="AS297" s="102" t="s">
        <v>276</v>
      </c>
      <c r="AT297" s="102">
        <f t="shared" ref="AT297:AT305" si="41">AK297/AO297</f>
        <v>0.81679389312977091</v>
      </c>
      <c r="AU297" s="102" t="s">
        <v>276</v>
      </c>
      <c r="AV297" s="102" t="s">
        <v>276</v>
      </c>
      <c r="AW297" s="94" t="s">
        <v>276</v>
      </c>
      <c r="AX297" s="94" t="s">
        <v>282</v>
      </c>
      <c r="AY297" s="94" t="s">
        <v>276</v>
      </c>
      <c r="AZ297" s="94" t="s">
        <v>276</v>
      </c>
      <c r="BA297" s="94" t="s">
        <v>276</v>
      </c>
      <c r="BB297" s="94" t="s">
        <v>276</v>
      </c>
      <c r="BC297" s="95" t="s">
        <v>298</v>
      </c>
      <c r="BD297" s="95"/>
      <c r="BE297" s="9" t="s">
        <v>100</v>
      </c>
      <c r="BF297" s="33" t="s">
        <v>98</v>
      </c>
    </row>
    <row r="298" spans="1:58" s="149" customFormat="1" ht="78" x14ac:dyDescent="0.3">
      <c r="A298" s="126">
        <v>283</v>
      </c>
      <c r="B298" s="126" t="s">
        <v>2870</v>
      </c>
      <c r="C298" s="126" t="s">
        <v>49</v>
      </c>
      <c r="D298" s="127" t="s">
        <v>2871</v>
      </c>
      <c r="E298" s="126" t="s">
        <v>36</v>
      </c>
      <c r="F298" s="127" t="s">
        <v>134</v>
      </c>
      <c r="G298" s="126" t="s">
        <v>225</v>
      </c>
      <c r="H298" s="126" t="s">
        <v>125</v>
      </c>
      <c r="I298" s="126" t="s">
        <v>114</v>
      </c>
      <c r="J298" s="127" t="s">
        <v>24</v>
      </c>
      <c r="K298" s="127" t="s">
        <v>2872</v>
      </c>
      <c r="L298" s="127" t="s">
        <v>2873</v>
      </c>
      <c r="M298" s="126" t="s">
        <v>14</v>
      </c>
      <c r="N298" s="145" t="s">
        <v>98</v>
      </c>
      <c r="O298" s="131" t="s">
        <v>207</v>
      </c>
      <c r="P298" s="146" t="s">
        <v>2874</v>
      </c>
      <c r="Q298" s="127" t="s">
        <v>2388</v>
      </c>
      <c r="R298" s="127" t="s">
        <v>2875</v>
      </c>
      <c r="S298" s="127" t="s">
        <v>2875</v>
      </c>
      <c r="T298" s="127">
        <v>1</v>
      </c>
      <c r="U298" s="132">
        <v>17136</v>
      </c>
      <c r="V298" s="132">
        <v>17136</v>
      </c>
      <c r="W298" s="126" t="s">
        <v>276</v>
      </c>
      <c r="X298" s="126" t="s">
        <v>276</v>
      </c>
      <c r="Y298" s="126" t="s">
        <v>276</v>
      </c>
      <c r="Z298" s="126" t="s">
        <v>276</v>
      </c>
      <c r="AA298" s="126" t="s">
        <v>276</v>
      </c>
      <c r="AB298" s="126" t="s">
        <v>276</v>
      </c>
      <c r="AC298" s="127" t="s">
        <v>2876</v>
      </c>
      <c r="AD298" s="127" t="s">
        <v>2877</v>
      </c>
      <c r="AE298" s="126">
        <v>122</v>
      </c>
      <c r="AF298" s="126">
        <v>157</v>
      </c>
      <c r="AG298" s="132">
        <v>296730</v>
      </c>
      <c r="AH298" s="132">
        <v>295013</v>
      </c>
      <c r="AI298" s="134" t="s">
        <v>1019</v>
      </c>
      <c r="AJ298" s="147">
        <v>41.1</v>
      </c>
      <c r="AK298" s="148">
        <f>AE298*100000/AG298</f>
        <v>41.114818184881877</v>
      </c>
      <c r="AL298" s="147">
        <v>34.4</v>
      </c>
      <c r="AM298" s="147">
        <v>49.1</v>
      </c>
      <c r="AN298" s="147">
        <v>53.2</v>
      </c>
      <c r="AO298" s="148">
        <f>AF298*100000/AH298</f>
        <v>53.2179937833248</v>
      </c>
      <c r="AP298" s="147">
        <v>45.5</v>
      </c>
      <c r="AQ298" s="147">
        <v>62.2</v>
      </c>
      <c r="AR298" s="126" t="s">
        <v>269</v>
      </c>
      <c r="AS298" s="135">
        <v>0.78</v>
      </c>
      <c r="AT298" s="148">
        <f t="shared" si="41"/>
        <v>0.77257362147621389</v>
      </c>
      <c r="AU298" s="135">
        <v>0.61</v>
      </c>
      <c r="AV298" s="135">
        <v>0.98</v>
      </c>
      <c r="AW298" s="126" t="s">
        <v>844</v>
      </c>
      <c r="AX298" s="126" t="s">
        <v>282</v>
      </c>
      <c r="AY298" s="126" t="s">
        <v>276</v>
      </c>
      <c r="AZ298" s="126" t="s">
        <v>276</v>
      </c>
      <c r="BA298" s="126" t="s">
        <v>276</v>
      </c>
      <c r="BB298" s="126" t="s">
        <v>276</v>
      </c>
      <c r="BC298" s="127" t="s">
        <v>2878</v>
      </c>
      <c r="BD298" s="127"/>
      <c r="BE298" s="9" t="s">
        <v>100</v>
      </c>
      <c r="BF298" s="33" t="s">
        <v>98</v>
      </c>
    </row>
    <row r="299" spans="1:58" s="149" customFormat="1" ht="78" x14ac:dyDescent="0.3">
      <c r="A299" s="126">
        <v>283</v>
      </c>
      <c r="B299" s="126" t="s">
        <v>2870</v>
      </c>
      <c r="C299" s="126" t="s">
        <v>49</v>
      </c>
      <c r="D299" s="127" t="s">
        <v>2879</v>
      </c>
      <c r="E299" s="126" t="s">
        <v>36</v>
      </c>
      <c r="F299" s="127" t="s">
        <v>134</v>
      </c>
      <c r="G299" s="126" t="s">
        <v>225</v>
      </c>
      <c r="H299" s="126" t="s">
        <v>125</v>
      </c>
      <c r="I299" s="126" t="s">
        <v>114</v>
      </c>
      <c r="J299" s="127" t="s">
        <v>24</v>
      </c>
      <c r="K299" s="127" t="s">
        <v>2880</v>
      </c>
      <c r="L299" s="127" t="s">
        <v>2873</v>
      </c>
      <c r="M299" s="126" t="s">
        <v>14</v>
      </c>
      <c r="N299" s="145" t="s">
        <v>98</v>
      </c>
      <c r="O299" s="131" t="s">
        <v>207</v>
      </c>
      <c r="P299" s="146" t="s">
        <v>2874</v>
      </c>
      <c r="Q299" s="127" t="s">
        <v>2388</v>
      </c>
      <c r="R299" s="127" t="s">
        <v>2875</v>
      </c>
      <c r="S299" s="127" t="s">
        <v>2875</v>
      </c>
      <c r="T299" s="127">
        <v>1</v>
      </c>
      <c r="U299" s="132">
        <v>17136</v>
      </c>
      <c r="V299" s="132">
        <v>17136</v>
      </c>
      <c r="W299" s="126" t="s">
        <v>276</v>
      </c>
      <c r="X299" s="126" t="s">
        <v>276</v>
      </c>
      <c r="Y299" s="126" t="s">
        <v>276</v>
      </c>
      <c r="Z299" s="126" t="s">
        <v>276</v>
      </c>
      <c r="AA299" s="126" t="s">
        <v>276</v>
      </c>
      <c r="AB299" s="126" t="s">
        <v>276</v>
      </c>
      <c r="AC299" s="127" t="s">
        <v>2876</v>
      </c>
      <c r="AD299" s="127" t="s">
        <v>2046</v>
      </c>
      <c r="AE299" s="126">
        <v>122</v>
      </c>
      <c r="AF299" s="126">
        <v>157</v>
      </c>
      <c r="AG299" s="132">
        <v>17136</v>
      </c>
      <c r="AH299" s="132">
        <v>17136</v>
      </c>
      <c r="AI299" s="134" t="s">
        <v>2047</v>
      </c>
      <c r="AJ299" s="147" t="s">
        <v>276</v>
      </c>
      <c r="AK299" s="148">
        <f>AE299*1000/AG299</f>
        <v>7.1195144724556485</v>
      </c>
      <c r="AL299" s="147" t="s">
        <v>276</v>
      </c>
      <c r="AM299" s="147" t="s">
        <v>276</v>
      </c>
      <c r="AN299" s="147" t="s">
        <v>276</v>
      </c>
      <c r="AO299" s="148">
        <f>AF299*1000/AH299</f>
        <v>9.1619981325863673</v>
      </c>
      <c r="AP299" s="147" t="s">
        <v>276</v>
      </c>
      <c r="AQ299" s="147" t="s">
        <v>276</v>
      </c>
      <c r="AR299" s="126" t="s">
        <v>268</v>
      </c>
      <c r="AS299" s="147" t="s">
        <v>276</v>
      </c>
      <c r="AT299" s="148">
        <f t="shared" si="41"/>
        <v>0.77707006369426757</v>
      </c>
      <c r="AU299" s="147" t="s">
        <v>276</v>
      </c>
      <c r="AV299" s="147" t="s">
        <v>276</v>
      </c>
      <c r="AW299" s="126" t="s">
        <v>276</v>
      </c>
      <c r="AX299" s="126" t="s">
        <v>282</v>
      </c>
      <c r="AY299" s="126" t="s">
        <v>276</v>
      </c>
      <c r="AZ299" s="126" t="s">
        <v>276</v>
      </c>
      <c r="BA299" s="126" t="s">
        <v>276</v>
      </c>
      <c r="BB299" s="126" t="s">
        <v>276</v>
      </c>
      <c r="BC299" s="127" t="s">
        <v>1358</v>
      </c>
      <c r="BD299" s="127"/>
      <c r="BE299" s="9" t="s">
        <v>100</v>
      </c>
      <c r="BF299" s="33" t="s">
        <v>98</v>
      </c>
    </row>
    <row r="300" spans="1:58" s="160" customFormat="1" ht="78" x14ac:dyDescent="0.3">
      <c r="A300" s="150">
        <v>283</v>
      </c>
      <c r="B300" s="150" t="s">
        <v>2870</v>
      </c>
      <c r="C300" s="150" t="s">
        <v>49</v>
      </c>
      <c r="D300" s="151" t="s">
        <v>2881</v>
      </c>
      <c r="E300" s="150" t="s">
        <v>36</v>
      </c>
      <c r="F300" s="151" t="s">
        <v>134</v>
      </c>
      <c r="G300" s="150" t="s">
        <v>225</v>
      </c>
      <c r="H300" s="150" t="s">
        <v>125</v>
      </c>
      <c r="I300" s="150" t="s">
        <v>114</v>
      </c>
      <c r="J300" s="151" t="s">
        <v>24</v>
      </c>
      <c r="K300" s="151" t="s">
        <v>2880</v>
      </c>
      <c r="L300" s="151" t="s">
        <v>2873</v>
      </c>
      <c r="M300" s="150" t="s">
        <v>14</v>
      </c>
      <c r="N300" s="152" t="s">
        <v>98</v>
      </c>
      <c r="O300" s="153" t="s">
        <v>207</v>
      </c>
      <c r="P300" s="154" t="s">
        <v>2874</v>
      </c>
      <c r="Q300" s="151" t="s">
        <v>2388</v>
      </c>
      <c r="R300" s="151" t="s">
        <v>2875</v>
      </c>
      <c r="S300" s="151" t="s">
        <v>2875</v>
      </c>
      <c r="T300" s="151">
        <v>1</v>
      </c>
      <c r="U300" s="155">
        <v>17136</v>
      </c>
      <c r="V300" s="155">
        <v>17136</v>
      </c>
      <c r="W300" s="150" t="s">
        <v>276</v>
      </c>
      <c r="X300" s="150" t="s">
        <v>276</v>
      </c>
      <c r="Y300" s="150" t="s">
        <v>276</v>
      </c>
      <c r="Z300" s="150" t="s">
        <v>276</v>
      </c>
      <c r="AA300" s="150" t="s">
        <v>276</v>
      </c>
      <c r="AB300" s="150" t="s">
        <v>276</v>
      </c>
      <c r="AC300" s="151" t="s">
        <v>2882</v>
      </c>
      <c r="AD300" s="151" t="s">
        <v>2877</v>
      </c>
      <c r="AE300" s="150">
        <v>62</v>
      </c>
      <c r="AF300" s="150">
        <v>90</v>
      </c>
      <c r="AG300" s="155">
        <v>296730</v>
      </c>
      <c r="AH300" s="155">
        <v>295013</v>
      </c>
      <c r="AI300" s="156" t="s">
        <v>1019</v>
      </c>
      <c r="AJ300" s="157">
        <v>20.9</v>
      </c>
      <c r="AK300" s="158">
        <f>AE300*100000/AG300</f>
        <v>20.894415798874398</v>
      </c>
      <c r="AL300" s="157">
        <v>16.3</v>
      </c>
      <c r="AM300" s="157">
        <v>26.8</v>
      </c>
      <c r="AN300" s="157">
        <v>30.5</v>
      </c>
      <c r="AO300" s="158">
        <f>AF300*100000/AH300</f>
        <v>30.507130194262626</v>
      </c>
      <c r="AP300" s="157">
        <v>24.8</v>
      </c>
      <c r="AQ300" s="157">
        <v>37.5</v>
      </c>
      <c r="AR300" s="150" t="s">
        <v>269</v>
      </c>
      <c r="AS300" s="159">
        <v>0.69</v>
      </c>
      <c r="AT300" s="158">
        <f t="shared" si="41"/>
        <v>0.68490269867481479</v>
      </c>
      <c r="AU300" s="159">
        <v>0.5</v>
      </c>
      <c r="AV300" s="159">
        <v>0.95</v>
      </c>
      <c r="AW300" s="150" t="s">
        <v>844</v>
      </c>
      <c r="AX300" s="150" t="s">
        <v>282</v>
      </c>
      <c r="AY300" s="150" t="s">
        <v>276</v>
      </c>
      <c r="AZ300" s="150" t="s">
        <v>276</v>
      </c>
      <c r="BA300" s="150" t="s">
        <v>276</v>
      </c>
      <c r="BB300" s="150" t="s">
        <v>276</v>
      </c>
      <c r="BC300" s="151" t="s">
        <v>2883</v>
      </c>
      <c r="BD300" s="151"/>
      <c r="BE300" s="9" t="s">
        <v>100</v>
      </c>
      <c r="BF300" s="33" t="s">
        <v>98</v>
      </c>
    </row>
    <row r="301" spans="1:58" s="160" customFormat="1" ht="78" x14ac:dyDescent="0.3">
      <c r="A301" s="150">
        <v>283</v>
      </c>
      <c r="B301" s="150" t="s">
        <v>2870</v>
      </c>
      <c r="C301" s="150" t="s">
        <v>49</v>
      </c>
      <c r="D301" s="151" t="s">
        <v>2884</v>
      </c>
      <c r="E301" s="150" t="s">
        <v>36</v>
      </c>
      <c r="F301" s="151" t="s">
        <v>134</v>
      </c>
      <c r="G301" s="150" t="s">
        <v>225</v>
      </c>
      <c r="H301" s="150" t="s">
        <v>125</v>
      </c>
      <c r="I301" s="150" t="s">
        <v>114</v>
      </c>
      <c r="J301" s="151" t="s">
        <v>24</v>
      </c>
      <c r="K301" s="151" t="s">
        <v>2880</v>
      </c>
      <c r="L301" s="151" t="s">
        <v>2873</v>
      </c>
      <c r="M301" s="150" t="s">
        <v>14</v>
      </c>
      <c r="N301" s="152" t="s">
        <v>98</v>
      </c>
      <c r="O301" s="153" t="s">
        <v>207</v>
      </c>
      <c r="P301" s="154" t="s">
        <v>2874</v>
      </c>
      <c r="Q301" s="151" t="s">
        <v>2388</v>
      </c>
      <c r="R301" s="151" t="s">
        <v>2875</v>
      </c>
      <c r="S301" s="151" t="s">
        <v>2875</v>
      </c>
      <c r="T301" s="151">
        <v>1</v>
      </c>
      <c r="U301" s="155">
        <v>17136</v>
      </c>
      <c r="V301" s="155">
        <v>17136</v>
      </c>
      <c r="W301" s="150" t="s">
        <v>276</v>
      </c>
      <c r="X301" s="150" t="s">
        <v>276</v>
      </c>
      <c r="Y301" s="150" t="s">
        <v>276</v>
      </c>
      <c r="Z301" s="150" t="s">
        <v>276</v>
      </c>
      <c r="AA301" s="150" t="s">
        <v>276</v>
      </c>
      <c r="AB301" s="150" t="s">
        <v>276</v>
      </c>
      <c r="AC301" s="151" t="s">
        <v>2882</v>
      </c>
      <c r="AD301" s="151" t="s">
        <v>2046</v>
      </c>
      <c r="AE301" s="150">
        <v>62</v>
      </c>
      <c r="AF301" s="150">
        <v>90</v>
      </c>
      <c r="AG301" s="155">
        <v>17136</v>
      </c>
      <c r="AH301" s="155">
        <v>17136</v>
      </c>
      <c r="AI301" s="156" t="s">
        <v>2047</v>
      </c>
      <c r="AJ301" s="157" t="s">
        <v>276</v>
      </c>
      <c r="AK301" s="158">
        <f>AE301*1000/AG301</f>
        <v>3.6181139122315593</v>
      </c>
      <c r="AL301" s="157" t="s">
        <v>276</v>
      </c>
      <c r="AM301" s="157" t="s">
        <v>276</v>
      </c>
      <c r="AN301" s="157" t="s">
        <v>276</v>
      </c>
      <c r="AO301" s="158">
        <f>AF301*1000/AH301</f>
        <v>5.2521008403361344</v>
      </c>
      <c r="AP301" s="157" t="s">
        <v>276</v>
      </c>
      <c r="AQ301" s="157" t="s">
        <v>276</v>
      </c>
      <c r="AR301" s="150" t="s">
        <v>268</v>
      </c>
      <c r="AS301" s="157" t="s">
        <v>276</v>
      </c>
      <c r="AT301" s="158">
        <f t="shared" si="41"/>
        <v>0.68888888888888888</v>
      </c>
      <c r="AU301" s="157" t="s">
        <v>276</v>
      </c>
      <c r="AV301" s="157" t="s">
        <v>276</v>
      </c>
      <c r="AW301" s="150" t="s">
        <v>276</v>
      </c>
      <c r="AX301" s="150" t="s">
        <v>282</v>
      </c>
      <c r="AY301" s="150" t="s">
        <v>276</v>
      </c>
      <c r="AZ301" s="150" t="s">
        <v>276</v>
      </c>
      <c r="BA301" s="150" t="s">
        <v>276</v>
      </c>
      <c r="BB301" s="150" t="s">
        <v>276</v>
      </c>
      <c r="BC301" s="151" t="s">
        <v>1358</v>
      </c>
      <c r="BD301" s="151"/>
      <c r="BE301" s="9" t="s">
        <v>100</v>
      </c>
      <c r="BF301" s="33" t="s">
        <v>98</v>
      </c>
    </row>
    <row r="302" spans="1:58" s="149" customFormat="1" ht="78" x14ac:dyDescent="0.3">
      <c r="A302" s="126">
        <v>283</v>
      </c>
      <c r="B302" s="126" t="s">
        <v>2870</v>
      </c>
      <c r="C302" s="126" t="s">
        <v>49</v>
      </c>
      <c r="D302" s="127" t="s">
        <v>2885</v>
      </c>
      <c r="E302" s="126" t="s">
        <v>36</v>
      </c>
      <c r="F302" s="127" t="s">
        <v>134</v>
      </c>
      <c r="G302" s="126" t="s">
        <v>225</v>
      </c>
      <c r="H302" s="126" t="s">
        <v>125</v>
      </c>
      <c r="I302" s="126" t="s">
        <v>114</v>
      </c>
      <c r="J302" s="127" t="s">
        <v>24</v>
      </c>
      <c r="K302" s="127" t="s">
        <v>2880</v>
      </c>
      <c r="L302" s="127" t="s">
        <v>2873</v>
      </c>
      <c r="M302" s="126" t="s">
        <v>14</v>
      </c>
      <c r="N302" s="145" t="s">
        <v>98</v>
      </c>
      <c r="O302" s="131" t="s">
        <v>207</v>
      </c>
      <c r="P302" s="146" t="s">
        <v>2874</v>
      </c>
      <c r="Q302" s="127" t="s">
        <v>2388</v>
      </c>
      <c r="R302" s="127" t="s">
        <v>2875</v>
      </c>
      <c r="S302" s="127" t="s">
        <v>2875</v>
      </c>
      <c r="T302" s="127">
        <v>1</v>
      </c>
      <c r="U302" s="132">
        <v>17136</v>
      </c>
      <c r="V302" s="132">
        <v>17136</v>
      </c>
      <c r="W302" s="126" t="s">
        <v>276</v>
      </c>
      <c r="X302" s="126" t="s">
        <v>276</v>
      </c>
      <c r="Y302" s="126" t="s">
        <v>276</v>
      </c>
      <c r="Z302" s="126" t="s">
        <v>276</v>
      </c>
      <c r="AA302" s="126" t="s">
        <v>276</v>
      </c>
      <c r="AB302" s="126" t="s">
        <v>276</v>
      </c>
      <c r="AC302" s="127" t="s">
        <v>2886</v>
      </c>
      <c r="AD302" s="127" t="s">
        <v>2877</v>
      </c>
      <c r="AE302" s="126">
        <v>53</v>
      </c>
      <c r="AF302" s="126">
        <v>64</v>
      </c>
      <c r="AG302" s="132">
        <v>296730</v>
      </c>
      <c r="AH302" s="132">
        <v>295013</v>
      </c>
      <c r="AI302" s="134" t="s">
        <v>1019</v>
      </c>
      <c r="AJ302" s="147">
        <v>17.899999999999999</v>
      </c>
      <c r="AK302" s="148">
        <f>AE302*100000/AG302</f>
        <v>17.861355440973277</v>
      </c>
      <c r="AL302" s="147">
        <v>13.6</v>
      </c>
      <c r="AM302" s="147">
        <v>23.4</v>
      </c>
      <c r="AN302" s="147">
        <v>21.7</v>
      </c>
      <c r="AO302" s="148">
        <f>AF302*100000/AH302</f>
        <v>21.693959249253421</v>
      </c>
      <c r="AP302" s="147">
        <v>17</v>
      </c>
      <c r="AQ302" s="147">
        <v>27.7</v>
      </c>
      <c r="AR302" s="126" t="s">
        <v>269</v>
      </c>
      <c r="AS302" s="135">
        <v>0.82</v>
      </c>
      <c r="AT302" s="148">
        <f t="shared" si="41"/>
        <v>0.82333313323560153</v>
      </c>
      <c r="AU302" s="135">
        <v>0.56999999999999995</v>
      </c>
      <c r="AV302" s="135">
        <v>1.19</v>
      </c>
      <c r="AW302" s="126" t="s">
        <v>691</v>
      </c>
      <c r="AX302" s="126" t="s">
        <v>282</v>
      </c>
      <c r="AY302" s="126" t="s">
        <v>276</v>
      </c>
      <c r="AZ302" s="126" t="s">
        <v>276</v>
      </c>
      <c r="BA302" s="126" t="s">
        <v>276</v>
      </c>
      <c r="BB302" s="126" t="s">
        <v>276</v>
      </c>
      <c r="BC302" s="127" t="s">
        <v>2887</v>
      </c>
      <c r="BD302" s="127"/>
      <c r="BE302" s="9" t="s">
        <v>100</v>
      </c>
      <c r="BF302" s="33" t="s">
        <v>98</v>
      </c>
    </row>
    <row r="303" spans="1:58" s="149" customFormat="1" ht="78" x14ac:dyDescent="0.3">
      <c r="A303" s="126">
        <v>283</v>
      </c>
      <c r="B303" s="126" t="s">
        <v>2870</v>
      </c>
      <c r="C303" s="126" t="s">
        <v>49</v>
      </c>
      <c r="D303" s="127" t="s">
        <v>2888</v>
      </c>
      <c r="E303" s="126" t="s">
        <v>36</v>
      </c>
      <c r="F303" s="127" t="s">
        <v>134</v>
      </c>
      <c r="G303" s="126" t="s">
        <v>225</v>
      </c>
      <c r="H303" s="126" t="s">
        <v>125</v>
      </c>
      <c r="I303" s="126" t="s">
        <v>114</v>
      </c>
      <c r="J303" s="127" t="s">
        <v>24</v>
      </c>
      <c r="K303" s="127" t="s">
        <v>2880</v>
      </c>
      <c r="L303" s="127" t="s">
        <v>2873</v>
      </c>
      <c r="M303" s="126" t="s">
        <v>14</v>
      </c>
      <c r="N303" s="145" t="s">
        <v>98</v>
      </c>
      <c r="O303" s="131" t="s">
        <v>207</v>
      </c>
      <c r="P303" s="146" t="s">
        <v>2874</v>
      </c>
      <c r="Q303" s="127" t="s">
        <v>2388</v>
      </c>
      <c r="R303" s="127" t="s">
        <v>2875</v>
      </c>
      <c r="S303" s="127" t="s">
        <v>2875</v>
      </c>
      <c r="T303" s="127">
        <v>1</v>
      </c>
      <c r="U303" s="132">
        <v>17136</v>
      </c>
      <c r="V303" s="132">
        <v>17136</v>
      </c>
      <c r="W303" s="126" t="s">
        <v>276</v>
      </c>
      <c r="X303" s="126" t="s">
        <v>276</v>
      </c>
      <c r="Y303" s="126" t="s">
        <v>276</v>
      </c>
      <c r="Z303" s="126" t="s">
        <v>276</v>
      </c>
      <c r="AA303" s="126" t="s">
        <v>276</v>
      </c>
      <c r="AB303" s="126" t="s">
        <v>276</v>
      </c>
      <c r="AC303" s="127" t="s">
        <v>2886</v>
      </c>
      <c r="AD303" s="127" t="s">
        <v>2046</v>
      </c>
      <c r="AE303" s="126">
        <v>53</v>
      </c>
      <c r="AF303" s="126">
        <v>64</v>
      </c>
      <c r="AG303" s="132">
        <v>17136</v>
      </c>
      <c r="AH303" s="132">
        <v>17136</v>
      </c>
      <c r="AI303" s="134" t="s">
        <v>2047</v>
      </c>
      <c r="AJ303" s="147" t="s">
        <v>276</v>
      </c>
      <c r="AK303" s="148">
        <f>AE303*1000/AG303</f>
        <v>3.092903828197946</v>
      </c>
      <c r="AL303" s="147" t="s">
        <v>276</v>
      </c>
      <c r="AM303" s="147" t="s">
        <v>276</v>
      </c>
      <c r="AN303" s="147" t="s">
        <v>276</v>
      </c>
      <c r="AO303" s="148">
        <f>AF303*1000/AH303</f>
        <v>3.734827264239029</v>
      </c>
      <c r="AP303" s="147" t="s">
        <v>276</v>
      </c>
      <c r="AQ303" s="147" t="s">
        <v>276</v>
      </c>
      <c r="AR303" s="126" t="s">
        <v>268</v>
      </c>
      <c r="AS303" s="147" t="s">
        <v>276</v>
      </c>
      <c r="AT303" s="148">
        <f t="shared" si="41"/>
        <v>0.828125</v>
      </c>
      <c r="AU303" s="147" t="s">
        <v>276</v>
      </c>
      <c r="AV303" s="147" t="s">
        <v>276</v>
      </c>
      <c r="AW303" s="126" t="s">
        <v>276</v>
      </c>
      <c r="AX303" s="126" t="s">
        <v>282</v>
      </c>
      <c r="AY303" s="126" t="s">
        <v>276</v>
      </c>
      <c r="AZ303" s="126" t="s">
        <v>276</v>
      </c>
      <c r="BA303" s="126" t="s">
        <v>276</v>
      </c>
      <c r="BB303" s="126" t="s">
        <v>276</v>
      </c>
      <c r="BC303" s="127" t="s">
        <v>1358</v>
      </c>
      <c r="BD303" s="127"/>
      <c r="BE303" s="9" t="s">
        <v>100</v>
      </c>
      <c r="BF303" s="33" t="s">
        <v>98</v>
      </c>
    </row>
    <row r="304" spans="1:58" s="160" customFormat="1" ht="78" x14ac:dyDescent="0.3">
      <c r="A304" s="150">
        <v>283</v>
      </c>
      <c r="B304" s="150" t="s">
        <v>2870</v>
      </c>
      <c r="C304" s="150" t="s">
        <v>49</v>
      </c>
      <c r="D304" s="151" t="s">
        <v>2889</v>
      </c>
      <c r="E304" s="150" t="s">
        <v>36</v>
      </c>
      <c r="F304" s="151" t="s">
        <v>134</v>
      </c>
      <c r="G304" s="150" t="s">
        <v>225</v>
      </c>
      <c r="H304" s="150" t="s">
        <v>125</v>
      </c>
      <c r="I304" s="150" t="s">
        <v>114</v>
      </c>
      <c r="J304" s="151" t="s">
        <v>23</v>
      </c>
      <c r="K304" s="151" t="s">
        <v>2890</v>
      </c>
      <c r="L304" s="151" t="s">
        <v>2873</v>
      </c>
      <c r="M304" s="150" t="s">
        <v>14</v>
      </c>
      <c r="N304" s="152" t="s">
        <v>98</v>
      </c>
      <c r="O304" s="153" t="s">
        <v>207</v>
      </c>
      <c r="P304" s="154" t="s">
        <v>2874</v>
      </c>
      <c r="Q304" s="151" t="s">
        <v>2388</v>
      </c>
      <c r="R304" s="151" t="s">
        <v>2875</v>
      </c>
      <c r="S304" s="151" t="s">
        <v>2875</v>
      </c>
      <c r="T304" s="151">
        <v>1</v>
      </c>
      <c r="U304" s="155">
        <v>17136</v>
      </c>
      <c r="V304" s="155">
        <v>17136</v>
      </c>
      <c r="W304" s="150" t="s">
        <v>276</v>
      </c>
      <c r="X304" s="150" t="s">
        <v>276</v>
      </c>
      <c r="Y304" s="150">
        <v>597</v>
      </c>
      <c r="Z304" s="151" t="s">
        <v>2891</v>
      </c>
      <c r="AA304" s="150">
        <v>683</v>
      </c>
      <c r="AB304" s="151" t="s">
        <v>2891</v>
      </c>
      <c r="AC304" s="151" t="s">
        <v>2892</v>
      </c>
      <c r="AD304" s="151" t="s">
        <v>2877</v>
      </c>
      <c r="AE304" s="155">
        <v>3062</v>
      </c>
      <c r="AF304" s="155">
        <v>3155</v>
      </c>
      <c r="AG304" s="155">
        <v>296730</v>
      </c>
      <c r="AH304" s="155">
        <v>295013</v>
      </c>
      <c r="AI304" s="156" t="s">
        <v>1019</v>
      </c>
      <c r="AJ304" s="157">
        <v>1031.9000000000001</v>
      </c>
      <c r="AK304" s="158">
        <f>AE304*100000/AG304</f>
        <v>1031.9145350992485</v>
      </c>
      <c r="AL304" s="157">
        <v>996</v>
      </c>
      <c r="AM304" s="157">
        <v>1069.0999999999999</v>
      </c>
      <c r="AN304" s="157">
        <v>1069.4000000000001</v>
      </c>
      <c r="AO304" s="158">
        <f>AF304*100000/AH304</f>
        <v>1069.4443973655398</v>
      </c>
      <c r="AP304" s="157">
        <v>1032.8</v>
      </c>
      <c r="AQ304" s="157">
        <v>1107.4000000000001</v>
      </c>
      <c r="AR304" s="150" t="s">
        <v>269</v>
      </c>
      <c r="AS304" s="159">
        <v>0.97</v>
      </c>
      <c r="AT304" s="158">
        <f t="shared" si="41"/>
        <v>0.96490714023212243</v>
      </c>
      <c r="AU304" s="159">
        <v>0.92</v>
      </c>
      <c r="AV304" s="159">
        <v>1.02</v>
      </c>
      <c r="AW304" s="150" t="s">
        <v>276</v>
      </c>
      <c r="AX304" s="150" t="s">
        <v>282</v>
      </c>
      <c r="AY304" s="150" t="s">
        <v>276</v>
      </c>
      <c r="AZ304" s="150" t="s">
        <v>276</v>
      </c>
      <c r="BA304" s="150" t="s">
        <v>276</v>
      </c>
      <c r="BB304" s="150" t="s">
        <v>276</v>
      </c>
      <c r="BC304" s="151" t="s">
        <v>2893</v>
      </c>
      <c r="BD304" s="151"/>
      <c r="BE304" s="9" t="s">
        <v>100</v>
      </c>
      <c r="BF304" s="33" t="s">
        <v>98</v>
      </c>
    </row>
    <row r="305" spans="1:58" s="160" customFormat="1" ht="78" x14ac:dyDescent="0.3">
      <c r="A305" s="150">
        <v>283</v>
      </c>
      <c r="B305" s="150" t="s">
        <v>2870</v>
      </c>
      <c r="C305" s="150" t="s">
        <v>49</v>
      </c>
      <c r="D305" s="151" t="s">
        <v>2894</v>
      </c>
      <c r="E305" s="150" t="s">
        <v>36</v>
      </c>
      <c r="F305" s="151" t="s">
        <v>134</v>
      </c>
      <c r="G305" s="150" t="s">
        <v>225</v>
      </c>
      <c r="H305" s="150" t="s">
        <v>125</v>
      </c>
      <c r="I305" s="150" t="s">
        <v>114</v>
      </c>
      <c r="J305" s="151" t="s">
        <v>23</v>
      </c>
      <c r="K305" s="151" t="s">
        <v>2890</v>
      </c>
      <c r="L305" s="151" t="s">
        <v>2873</v>
      </c>
      <c r="M305" s="150" t="s">
        <v>14</v>
      </c>
      <c r="N305" s="152" t="s">
        <v>98</v>
      </c>
      <c r="O305" s="153" t="s">
        <v>207</v>
      </c>
      <c r="P305" s="154" t="s">
        <v>2874</v>
      </c>
      <c r="Q305" s="151" t="s">
        <v>2388</v>
      </c>
      <c r="R305" s="151" t="s">
        <v>2875</v>
      </c>
      <c r="S305" s="151" t="s">
        <v>2875</v>
      </c>
      <c r="T305" s="151">
        <v>1</v>
      </c>
      <c r="U305" s="155">
        <v>17136</v>
      </c>
      <c r="V305" s="155">
        <v>17136</v>
      </c>
      <c r="W305" s="150" t="s">
        <v>276</v>
      </c>
      <c r="X305" s="150" t="s">
        <v>276</v>
      </c>
      <c r="Y305" s="150">
        <v>597</v>
      </c>
      <c r="Z305" s="151" t="s">
        <v>2891</v>
      </c>
      <c r="AA305" s="150">
        <v>683</v>
      </c>
      <c r="AB305" s="151" t="s">
        <v>2891</v>
      </c>
      <c r="AC305" s="151" t="s">
        <v>2892</v>
      </c>
      <c r="AD305" s="151" t="s">
        <v>2046</v>
      </c>
      <c r="AE305" s="155">
        <v>3062</v>
      </c>
      <c r="AF305" s="155">
        <v>3155</v>
      </c>
      <c r="AG305" s="155">
        <v>17136</v>
      </c>
      <c r="AH305" s="155">
        <v>17136</v>
      </c>
      <c r="AI305" s="156" t="s">
        <v>2047</v>
      </c>
      <c r="AJ305" s="157" t="s">
        <v>276</v>
      </c>
      <c r="AK305" s="158">
        <f>AE305*1000/AG305</f>
        <v>178.68814192343604</v>
      </c>
      <c r="AL305" s="157" t="s">
        <v>276</v>
      </c>
      <c r="AM305" s="157" t="s">
        <v>276</v>
      </c>
      <c r="AN305" s="157" t="s">
        <v>276</v>
      </c>
      <c r="AO305" s="158">
        <f>AF305*1000/AH305</f>
        <v>184.11531279178337</v>
      </c>
      <c r="AP305" s="157" t="s">
        <v>276</v>
      </c>
      <c r="AQ305" s="157" t="s">
        <v>276</v>
      </c>
      <c r="AR305" s="150" t="s">
        <v>268</v>
      </c>
      <c r="AS305" s="157" t="s">
        <v>276</v>
      </c>
      <c r="AT305" s="158">
        <f t="shared" si="41"/>
        <v>0.97052297939778132</v>
      </c>
      <c r="AU305" s="157" t="s">
        <v>276</v>
      </c>
      <c r="AV305" s="157" t="s">
        <v>276</v>
      </c>
      <c r="AW305" s="150" t="s">
        <v>276</v>
      </c>
      <c r="AX305" s="150" t="s">
        <v>282</v>
      </c>
      <c r="AY305" s="150" t="s">
        <v>276</v>
      </c>
      <c r="AZ305" s="150" t="s">
        <v>276</v>
      </c>
      <c r="BA305" s="150" t="s">
        <v>276</v>
      </c>
      <c r="BB305" s="150" t="s">
        <v>276</v>
      </c>
      <c r="BC305" s="151" t="s">
        <v>1358</v>
      </c>
      <c r="BD305" s="151"/>
      <c r="BE305" s="9" t="s">
        <v>100</v>
      </c>
      <c r="BF305" s="33" t="s">
        <v>98</v>
      </c>
    </row>
    <row r="306" spans="1:58" s="7" customFormat="1" ht="39" x14ac:dyDescent="0.3">
      <c r="A306" s="8">
        <v>11138</v>
      </c>
      <c r="B306" s="8" t="s">
        <v>2937</v>
      </c>
      <c r="C306" s="8" t="s">
        <v>2938</v>
      </c>
      <c r="D306" s="9" t="s">
        <v>2939</v>
      </c>
      <c r="E306" s="8" t="s">
        <v>96</v>
      </c>
      <c r="F306" s="9" t="s">
        <v>2940</v>
      </c>
      <c r="G306" s="9" t="s">
        <v>2656</v>
      </c>
      <c r="H306" s="8" t="s">
        <v>225</v>
      </c>
      <c r="I306" s="8" t="s">
        <v>98</v>
      </c>
      <c r="J306" s="9" t="s">
        <v>23</v>
      </c>
      <c r="K306" s="9" t="s">
        <v>2941</v>
      </c>
      <c r="L306" s="9" t="s">
        <v>276</v>
      </c>
      <c r="M306" s="8" t="s">
        <v>14</v>
      </c>
      <c r="N306" s="11" t="s">
        <v>98</v>
      </c>
      <c r="O306" s="12" t="s">
        <v>208</v>
      </c>
      <c r="P306" s="41" t="s">
        <v>276</v>
      </c>
      <c r="Q306" s="9" t="s">
        <v>2627</v>
      </c>
      <c r="R306" s="9" t="s">
        <v>276</v>
      </c>
      <c r="S306" s="9" t="s">
        <v>276</v>
      </c>
      <c r="T306" s="9">
        <v>1</v>
      </c>
      <c r="U306" s="13">
        <v>197</v>
      </c>
      <c r="V306" s="38">
        <v>197</v>
      </c>
      <c r="W306" s="8">
        <v>6</v>
      </c>
      <c r="X306" s="8">
        <v>4</v>
      </c>
      <c r="Y306" s="8">
        <v>0</v>
      </c>
      <c r="Z306" s="8" t="s">
        <v>98</v>
      </c>
      <c r="AA306" s="8">
        <v>0</v>
      </c>
      <c r="AB306" s="8" t="s">
        <v>98</v>
      </c>
      <c r="AC306" s="9" t="s">
        <v>2942</v>
      </c>
      <c r="AD306" s="9" t="s">
        <v>2943</v>
      </c>
      <c r="AE306" s="8">
        <v>8</v>
      </c>
      <c r="AF306" s="8">
        <v>8</v>
      </c>
      <c r="AG306" s="13">
        <v>197</v>
      </c>
      <c r="AH306" s="13">
        <v>197</v>
      </c>
      <c r="AI306" s="13" t="s">
        <v>292</v>
      </c>
      <c r="AJ306" s="43">
        <v>4.0999999999999996</v>
      </c>
      <c r="AK306" s="31">
        <f>AE306*100/AG306</f>
        <v>4.0609137055837561</v>
      </c>
      <c r="AL306" s="14" t="s">
        <v>276</v>
      </c>
      <c r="AM306" s="14" t="s">
        <v>276</v>
      </c>
      <c r="AN306" s="43">
        <v>4.0999999999999996</v>
      </c>
      <c r="AO306" s="31">
        <f>AF306*100/AH306</f>
        <v>4.0609137055837561</v>
      </c>
      <c r="AP306" s="14" t="s">
        <v>276</v>
      </c>
      <c r="AQ306" s="14" t="s">
        <v>276</v>
      </c>
      <c r="AR306" s="8" t="s">
        <v>268</v>
      </c>
      <c r="AS306" s="14" t="s">
        <v>276</v>
      </c>
      <c r="AT306" s="14">
        <f>AK306/AO306</f>
        <v>1</v>
      </c>
      <c r="AU306" s="14" t="s">
        <v>276</v>
      </c>
      <c r="AV306" s="14" t="s">
        <v>276</v>
      </c>
      <c r="AW306" s="8" t="s">
        <v>276</v>
      </c>
      <c r="AX306" s="8" t="s">
        <v>282</v>
      </c>
      <c r="AY306" s="8" t="s">
        <v>276</v>
      </c>
      <c r="AZ306" s="8" t="s">
        <v>276</v>
      </c>
      <c r="BA306" s="8" t="s">
        <v>276</v>
      </c>
      <c r="BB306" s="8" t="s">
        <v>276</v>
      </c>
      <c r="BC306" s="9" t="s">
        <v>2944</v>
      </c>
      <c r="BD306" s="9"/>
      <c r="BE306" s="33" t="s">
        <v>100</v>
      </c>
      <c r="BF306" s="33" t="s">
        <v>98</v>
      </c>
    </row>
    <row r="307" spans="1:58" s="7" customFormat="1" ht="52" x14ac:dyDescent="0.3">
      <c r="A307" s="8">
        <v>11138</v>
      </c>
      <c r="B307" s="8" t="s">
        <v>2937</v>
      </c>
      <c r="C307" s="8" t="s">
        <v>2938</v>
      </c>
      <c r="D307" s="9" t="s">
        <v>2945</v>
      </c>
      <c r="E307" s="8" t="s">
        <v>96</v>
      </c>
      <c r="F307" s="9" t="s">
        <v>2940</v>
      </c>
      <c r="G307" s="9" t="s">
        <v>2656</v>
      </c>
      <c r="H307" s="8" t="s">
        <v>225</v>
      </c>
      <c r="I307" s="8" t="s">
        <v>98</v>
      </c>
      <c r="J307" s="9" t="s">
        <v>24</v>
      </c>
      <c r="K307" s="9" t="s">
        <v>2941</v>
      </c>
      <c r="L307" s="9" t="s">
        <v>276</v>
      </c>
      <c r="M307" s="8" t="s">
        <v>14</v>
      </c>
      <c r="N307" s="11" t="s">
        <v>98</v>
      </c>
      <c r="O307" s="12" t="s">
        <v>208</v>
      </c>
      <c r="P307" s="41" t="s">
        <v>276</v>
      </c>
      <c r="Q307" s="9" t="s">
        <v>2627</v>
      </c>
      <c r="R307" s="9" t="s">
        <v>276</v>
      </c>
      <c r="S307" s="9" t="s">
        <v>276</v>
      </c>
      <c r="T307" s="9">
        <v>1</v>
      </c>
      <c r="U307" s="13">
        <v>197</v>
      </c>
      <c r="V307" s="38">
        <v>197</v>
      </c>
      <c r="W307" s="9" t="s">
        <v>2946</v>
      </c>
      <c r="X307" s="9" t="s">
        <v>2947</v>
      </c>
      <c r="Y307" s="8">
        <v>0</v>
      </c>
      <c r="Z307" s="8" t="s">
        <v>98</v>
      </c>
      <c r="AA307" s="8">
        <v>0</v>
      </c>
      <c r="AB307" s="8" t="s">
        <v>98</v>
      </c>
      <c r="AC307" s="9" t="s">
        <v>2948</v>
      </c>
      <c r="AD307" s="9" t="s">
        <v>2943</v>
      </c>
      <c r="AE307" s="8">
        <v>2</v>
      </c>
      <c r="AF307" s="8">
        <v>5</v>
      </c>
      <c r="AG307" s="13">
        <v>197</v>
      </c>
      <c r="AH307" s="13">
        <v>197</v>
      </c>
      <c r="AI307" s="13" t="s">
        <v>292</v>
      </c>
      <c r="AJ307" s="43">
        <v>1</v>
      </c>
      <c r="AK307" s="31">
        <f>AE307*100/AG307</f>
        <v>1.015228426395939</v>
      </c>
      <c r="AL307" s="14" t="s">
        <v>276</v>
      </c>
      <c r="AM307" s="14" t="s">
        <v>276</v>
      </c>
      <c r="AN307" s="43">
        <v>2.5</v>
      </c>
      <c r="AO307" s="31">
        <f>AF307*100/AH307</f>
        <v>2.5380710659898478</v>
      </c>
      <c r="AP307" s="14" t="s">
        <v>276</v>
      </c>
      <c r="AQ307" s="14" t="s">
        <v>276</v>
      </c>
      <c r="AR307" s="8" t="s">
        <v>268</v>
      </c>
      <c r="AS307" s="14" t="s">
        <v>276</v>
      </c>
      <c r="AT307" s="14">
        <f>AK307/AO307</f>
        <v>0.39999999999999997</v>
      </c>
      <c r="AU307" s="14" t="s">
        <v>276</v>
      </c>
      <c r="AV307" s="14" t="s">
        <v>276</v>
      </c>
      <c r="AW307" s="8" t="s">
        <v>276</v>
      </c>
      <c r="AX307" s="8" t="s">
        <v>282</v>
      </c>
      <c r="AY307" s="8" t="s">
        <v>276</v>
      </c>
      <c r="AZ307" s="8" t="s">
        <v>276</v>
      </c>
      <c r="BA307" s="8" t="s">
        <v>276</v>
      </c>
      <c r="BB307" s="8" t="s">
        <v>276</v>
      </c>
      <c r="BC307" s="9" t="s">
        <v>2949</v>
      </c>
      <c r="BD307" s="9" t="s">
        <v>2950</v>
      </c>
      <c r="BE307" s="33" t="s">
        <v>99</v>
      </c>
      <c r="BF307" s="33" t="s">
        <v>11162</v>
      </c>
    </row>
    <row r="308" spans="1:58" s="7" customFormat="1" ht="52" x14ac:dyDescent="0.3">
      <c r="A308" s="8">
        <v>2629</v>
      </c>
      <c r="B308" s="8" t="s">
        <v>2973</v>
      </c>
      <c r="C308" s="8" t="s">
        <v>69</v>
      </c>
      <c r="D308" s="9" t="s">
        <v>11164</v>
      </c>
      <c r="E308" s="8" t="s">
        <v>38</v>
      </c>
      <c r="F308" s="8" t="s">
        <v>141</v>
      </c>
      <c r="G308" s="8" t="s">
        <v>225</v>
      </c>
      <c r="H308" s="8" t="s">
        <v>125</v>
      </c>
      <c r="I308" s="8" t="s">
        <v>114</v>
      </c>
      <c r="J308" s="9" t="s">
        <v>24</v>
      </c>
      <c r="K308" s="9" t="s">
        <v>2975</v>
      </c>
      <c r="L308" s="9" t="s">
        <v>3000</v>
      </c>
      <c r="M308" s="8" t="s">
        <v>14</v>
      </c>
      <c r="N308" s="11" t="s">
        <v>98</v>
      </c>
      <c r="O308" s="12" t="s">
        <v>207</v>
      </c>
      <c r="P308" s="41">
        <v>35795</v>
      </c>
      <c r="Q308" s="9" t="s">
        <v>3001</v>
      </c>
      <c r="R308" s="9" t="s">
        <v>2978</v>
      </c>
      <c r="S308" s="9" t="s">
        <v>2989</v>
      </c>
      <c r="T308" s="51" t="s">
        <v>2979</v>
      </c>
      <c r="U308" s="13">
        <v>9373</v>
      </c>
      <c r="V308" s="34">
        <v>9443</v>
      </c>
      <c r="W308" s="8" t="s">
        <v>276</v>
      </c>
      <c r="X308" s="8" t="s">
        <v>276</v>
      </c>
      <c r="Y308" s="8" t="s">
        <v>276</v>
      </c>
      <c r="Z308" s="8" t="s">
        <v>276</v>
      </c>
      <c r="AA308" s="8" t="s">
        <v>276</v>
      </c>
      <c r="AB308" s="8" t="s">
        <v>276</v>
      </c>
      <c r="AC308" s="9" t="s">
        <v>3002</v>
      </c>
      <c r="AD308" s="9" t="s">
        <v>3003</v>
      </c>
      <c r="AE308" s="8">
        <v>32</v>
      </c>
      <c r="AF308" s="8">
        <v>54</v>
      </c>
      <c r="AG308" s="13">
        <v>38444</v>
      </c>
      <c r="AH308" s="13">
        <v>41077</v>
      </c>
      <c r="AI308" s="38" t="s">
        <v>1019</v>
      </c>
      <c r="AJ308" s="14">
        <v>83.2</v>
      </c>
      <c r="AK308" s="14">
        <f>AE308*100000/AG308</f>
        <v>83.237956508167727</v>
      </c>
      <c r="AL308" s="14" t="s">
        <v>276</v>
      </c>
      <c r="AM308" s="14" t="s">
        <v>276</v>
      </c>
      <c r="AN308" s="14">
        <v>131.5</v>
      </c>
      <c r="AO308" s="14">
        <f>AF308*100000/AH308</f>
        <v>131.46042797672663</v>
      </c>
      <c r="AP308" s="14" t="s">
        <v>276</v>
      </c>
      <c r="AQ308" s="14" t="s">
        <v>276</v>
      </c>
      <c r="AR308" s="8" t="s">
        <v>269</v>
      </c>
      <c r="AS308" s="14">
        <v>0.63</v>
      </c>
      <c r="AT308" s="14">
        <f>AK308/AO308</f>
        <v>0.63317880360851964</v>
      </c>
      <c r="AU308" s="14">
        <v>0.41</v>
      </c>
      <c r="AV308" s="14">
        <v>0.98</v>
      </c>
      <c r="AW308" s="8" t="s">
        <v>3004</v>
      </c>
      <c r="AX308" s="8" t="s">
        <v>98</v>
      </c>
      <c r="AY308" s="8" t="s">
        <v>276</v>
      </c>
      <c r="AZ308" s="8" t="s">
        <v>276</v>
      </c>
      <c r="BA308" s="8" t="s">
        <v>276</v>
      </c>
      <c r="BB308" s="8" t="s">
        <v>276</v>
      </c>
      <c r="BC308" s="9" t="s">
        <v>3005</v>
      </c>
      <c r="BD308" s="9" t="s">
        <v>276</v>
      </c>
      <c r="BE308" s="33" t="s">
        <v>99</v>
      </c>
      <c r="BF308" s="33" t="s">
        <v>11162</v>
      </c>
    </row>
    <row r="309" spans="1:58" s="7" customFormat="1" ht="26" x14ac:dyDescent="0.3">
      <c r="A309" s="8">
        <v>2629</v>
      </c>
      <c r="B309" s="8" t="s">
        <v>2973</v>
      </c>
      <c r="C309" s="8" t="s">
        <v>69</v>
      </c>
      <c r="D309" s="9" t="s">
        <v>11165</v>
      </c>
      <c r="E309" s="8" t="s">
        <v>38</v>
      </c>
      <c r="F309" s="8" t="s">
        <v>141</v>
      </c>
      <c r="G309" s="8" t="s">
        <v>225</v>
      </c>
      <c r="H309" s="8" t="s">
        <v>125</v>
      </c>
      <c r="I309" s="8" t="s">
        <v>114</v>
      </c>
      <c r="J309" s="9" t="s">
        <v>24</v>
      </c>
      <c r="K309" s="9" t="s">
        <v>2975</v>
      </c>
      <c r="L309" s="9" t="s">
        <v>3000</v>
      </c>
      <c r="M309" s="8" t="s">
        <v>14</v>
      </c>
      <c r="N309" s="11" t="s">
        <v>98</v>
      </c>
      <c r="O309" s="12" t="s">
        <v>207</v>
      </c>
      <c r="P309" s="41">
        <v>35795</v>
      </c>
      <c r="Q309" s="9" t="s">
        <v>3001</v>
      </c>
      <c r="R309" s="9" t="s">
        <v>2978</v>
      </c>
      <c r="S309" s="9" t="s">
        <v>2989</v>
      </c>
      <c r="T309" s="51" t="s">
        <v>2979</v>
      </c>
      <c r="U309" s="13">
        <v>9373</v>
      </c>
      <c r="V309" s="34">
        <v>9443</v>
      </c>
      <c r="W309" s="8" t="s">
        <v>276</v>
      </c>
      <c r="X309" s="8" t="s">
        <v>276</v>
      </c>
      <c r="Y309" s="8" t="s">
        <v>276</v>
      </c>
      <c r="Z309" s="8" t="s">
        <v>276</v>
      </c>
      <c r="AA309" s="8" t="s">
        <v>276</v>
      </c>
      <c r="AB309" s="8" t="s">
        <v>276</v>
      </c>
      <c r="AC309" s="9" t="s">
        <v>3002</v>
      </c>
      <c r="AD309" s="9" t="s">
        <v>2046</v>
      </c>
      <c r="AE309" s="8">
        <v>32</v>
      </c>
      <c r="AF309" s="8">
        <v>54</v>
      </c>
      <c r="AG309" s="13">
        <f>U309</f>
        <v>9373</v>
      </c>
      <c r="AH309" s="13">
        <f>V309</f>
        <v>9443</v>
      </c>
      <c r="AI309" s="38" t="s">
        <v>2047</v>
      </c>
      <c r="AJ309" s="14" t="s">
        <v>276</v>
      </c>
      <c r="AK309" s="14">
        <f>AE309*1000/AG309</f>
        <v>3.414061666488851</v>
      </c>
      <c r="AL309" s="14" t="s">
        <v>276</v>
      </c>
      <c r="AM309" s="14" t="s">
        <v>276</v>
      </c>
      <c r="AN309" s="14" t="s">
        <v>276</v>
      </c>
      <c r="AO309" s="14">
        <f>AF309*1000/AH309</f>
        <v>5.7185216562533094</v>
      </c>
      <c r="AP309" s="14" t="s">
        <v>276</v>
      </c>
      <c r="AQ309" s="14" t="s">
        <v>276</v>
      </c>
      <c r="AR309" s="8" t="s">
        <v>268</v>
      </c>
      <c r="AS309" s="14" t="s">
        <v>276</v>
      </c>
      <c r="AT309" s="14">
        <f>AK309/AO309</f>
        <v>0.59701822808618921</v>
      </c>
      <c r="AU309" s="14" t="s">
        <v>276</v>
      </c>
      <c r="AV309" s="14" t="s">
        <v>276</v>
      </c>
      <c r="AW309" s="8" t="s">
        <v>276</v>
      </c>
      <c r="AX309" s="8" t="s">
        <v>98</v>
      </c>
      <c r="AY309" s="8" t="s">
        <v>276</v>
      </c>
      <c r="AZ309" s="8" t="s">
        <v>276</v>
      </c>
      <c r="BA309" s="8" t="s">
        <v>276</v>
      </c>
      <c r="BB309" s="8" t="s">
        <v>276</v>
      </c>
      <c r="BC309" s="9" t="s">
        <v>426</v>
      </c>
      <c r="BD309" s="9" t="s">
        <v>276</v>
      </c>
      <c r="BE309" s="33" t="s">
        <v>99</v>
      </c>
      <c r="BF309" s="33" t="s">
        <v>11162</v>
      </c>
    </row>
    <row r="310" spans="1:58" s="7" customFormat="1" ht="52" x14ac:dyDescent="0.3">
      <c r="A310" s="8">
        <v>2594</v>
      </c>
      <c r="B310" s="8" t="s">
        <v>3006</v>
      </c>
      <c r="C310" s="9" t="s">
        <v>66</v>
      </c>
      <c r="D310" s="9" t="s">
        <v>3007</v>
      </c>
      <c r="E310" s="8" t="s">
        <v>37</v>
      </c>
      <c r="F310" s="8" t="s">
        <v>136</v>
      </c>
      <c r="G310" s="8" t="s">
        <v>225</v>
      </c>
      <c r="H310" s="8" t="s">
        <v>125</v>
      </c>
      <c r="I310" s="8" t="s">
        <v>114</v>
      </c>
      <c r="J310" s="9" t="s">
        <v>24</v>
      </c>
      <c r="K310" s="9" t="s">
        <v>3008</v>
      </c>
      <c r="L310" s="9" t="s">
        <v>3009</v>
      </c>
      <c r="M310" s="8" t="s">
        <v>14</v>
      </c>
      <c r="N310" s="11" t="s">
        <v>98</v>
      </c>
      <c r="O310" s="12" t="s">
        <v>207</v>
      </c>
      <c r="P310" s="41">
        <v>39082</v>
      </c>
      <c r="Q310" s="9" t="s">
        <v>3010</v>
      </c>
      <c r="R310" s="9" t="s">
        <v>3011</v>
      </c>
      <c r="S310" s="9" t="s">
        <v>3012</v>
      </c>
      <c r="T310" s="9">
        <v>1</v>
      </c>
      <c r="U310" s="13">
        <v>49311</v>
      </c>
      <c r="V310" s="38">
        <v>30958</v>
      </c>
      <c r="W310" s="8" t="s">
        <v>276</v>
      </c>
      <c r="X310" s="8" t="s">
        <v>276</v>
      </c>
      <c r="Y310" s="8" t="s">
        <v>276</v>
      </c>
      <c r="Z310" s="8" t="s">
        <v>276</v>
      </c>
      <c r="AA310" s="8" t="s">
        <v>276</v>
      </c>
      <c r="AB310" s="8" t="s">
        <v>276</v>
      </c>
      <c r="AC310" s="9" t="s">
        <v>3013</v>
      </c>
      <c r="AD310" s="9" t="s">
        <v>3014</v>
      </c>
      <c r="AE310" s="8">
        <v>83</v>
      </c>
      <c r="AF310" s="8">
        <v>92</v>
      </c>
      <c r="AG310" s="13">
        <v>274430</v>
      </c>
      <c r="AH310" s="13">
        <v>178781</v>
      </c>
      <c r="AI310" s="38" t="s">
        <v>1019</v>
      </c>
      <c r="AJ310" s="43">
        <v>30.2</v>
      </c>
      <c r="AK310" s="31">
        <f>AE310*100000/AG310</f>
        <v>30.244506795904236</v>
      </c>
      <c r="AL310" s="43">
        <v>24.1</v>
      </c>
      <c r="AM310" s="43">
        <v>38.5</v>
      </c>
      <c r="AN310" s="43">
        <v>51.5</v>
      </c>
      <c r="AO310" s="31">
        <f>AF310*100000/AH310</f>
        <v>51.459607005218672</v>
      </c>
      <c r="AP310" s="43">
        <v>42</v>
      </c>
      <c r="AQ310" s="43">
        <v>63.6</v>
      </c>
      <c r="AR310" s="8" t="s">
        <v>269</v>
      </c>
      <c r="AS310" s="14" t="s">
        <v>276</v>
      </c>
      <c r="AT310" s="14">
        <f>AK310/AO310</f>
        <v>0.58773295320419083</v>
      </c>
      <c r="AU310" s="14" t="s">
        <v>276</v>
      </c>
      <c r="AV310" s="14" t="s">
        <v>276</v>
      </c>
      <c r="AW310" s="8" t="s">
        <v>276</v>
      </c>
      <c r="AX310" s="8" t="s">
        <v>3015</v>
      </c>
      <c r="AY310" s="14">
        <f>39.6/56.7</f>
        <v>0.69841269841269837</v>
      </c>
      <c r="AZ310" s="8" t="s">
        <v>276</v>
      </c>
      <c r="BA310" s="8" t="s">
        <v>276</v>
      </c>
      <c r="BB310" s="8" t="s">
        <v>276</v>
      </c>
      <c r="BC310" s="9" t="s">
        <v>3016</v>
      </c>
      <c r="BD310" s="9"/>
      <c r="BE310" s="33" t="s">
        <v>99</v>
      </c>
      <c r="BF310" s="33" t="s">
        <v>98</v>
      </c>
    </row>
    <row r="311" spans="1:58" s="7" customFormat="1" ht="65" x14ac:dyDescent="0.3">
      <c r="A311" s="8">
        <v>2594</v>
      </c>
      <c r="B311" s="8" t="s">
        <v>3006</v>
      </c>
      <c r="C311" s="9" t="s">
        <v>66</v>
      </c>
      <c r="D311" s="9" t="s">
        <v>3017</v>
      </c>
      <c r="E311" s="8" t="s">
        <v>37</v>
      </c>
      <c r="F311" s="8" t="s">
        <v>136</v>
      </c>
      <c r="G311" s="8" t="s">
        <v>225</v>
      </c>
      <c r="H311" s="8" t="s">
        <v>125</v>
      </c>
      <c r="I311" s="8" t="s">
        <v>114</v>
      </c>
      <c r="J311" s="9" t="s">
        <v>24</v>
      </c>
      <c r="K311" s="9" t="s">
        <v>3008</v>
      </c>
      <c r="L311" s="9" t="s">
        <v>3009</v>
      </c>
      <c r="M311" s="8" t="s">
        <v>14</v>
      </c>
      <c r="N311" s="11" t="s">
        <v>98</v>
      </c>
      <c r="O311" s="12" t="s">
        <v>207</v>
      </c>
      <c r="P311" s="41">
        <v>39082</v>
      </c>
      <c r="Q311" s="9" t="s">
        <v>3010</v>
      </c>
      <c r="R311" s="9" t="s">
        <v>3011</v>
      </c>
      <c r="S311" s="9" t="s">
        <v>3012</v>
      </c>
      <c r="T311" s="9">
        <v>1</v>
      </c>
      <c r="U311" s="13">
        <v>49311</v>
      </c>
      <c r="V311" s="38">
        <v>30958</v>
      </c>
      <c r="W311" s="8" t="s">
        <v>276</v>
      </c>
      <c r="X311" s="8" t="s">
        <v>276</v>
      </c>
      <c r="Y311" s="8" t="s">
        <v>276</v>
      </c>
      <c r="Z311" s="8" t="s">
        <v>276</v>
      </c>
      <c r="AA311" s="8" t="s">
        <v>276</v>
      </c>
      <c r="AB311" s="8" t="s">
        <v>276</v>
      </c>
      <c r="AC311" s="9" t="s">
        <v>3013</v>
      </c>
      <c r="AD311" s="9" t="s">
        <v>3014</v>
      </c>
      <c r="AE311" s="8">
        <v>83</v>
      </c>
      <c r="AF311" s="8">
        <v>92</v>
      </c>
      <c r="AG311" s="13">
        <v>274430</v>
      </c>
      <c r="AH311" s="13">
        <v>178781</v>
      </c>
      <c r="AI311" s="38" t="s">
        <v>1019</v>
      </c>
      <c r="AJ311" s="43">
        <v>30.2</v>
      </c>
      <c r="AK311" s="31">
        <f>AE311*100000/AG311</f>
        <v>30.244506795904236</v>
      </c>
      <c r="AL311" s="43">
        <v>24.1</v>
      </c>
      <c r="AM311" s="43">
        <v>38.5</v>
      </c>
      <c r="AN311" s="43">
        <v>51.5</v>
      </c>
      <c r="AO311" s="31">
        <f>AF311*100000/AH311</f>
        <v>51.459607005218672</v>
      </c>
      <c r="AP311" s="43">
        <v>42</v>
      </c>
      <c r="AQ311" s="43">
        <v>63.6</v>
      </c>
      <c r="AR311" s="8" t="s">
        <v>270</v>
      </c>
      <c r="AS311" s="14" t="s">
        <v>276</v>
      </c>
      <c r="AT311" s="14" t="s">
        <v>276</v>
      </c>
      <c r="AU311" s="14" t="s">
        <v>276</v>
      </c>
      <c r="AV311" s="14" t="s">
        <v>276</v>
      </c>
      <c r="AW311" s="8" t="s">
        <v>276</v>
      </c>
      <c r="AX311" s="8" t="s">
        <v>3018</v>
      </c>
      <c r="AY311" s="14">
        <v>0.59</v>
      </c>
      <c r="AZ311" s="14">
        <v>0.43</v>
      </c>
      <c r="BA311" s="14">
        <v>0.8</v>
      </c>
      <c r="BB311" s="8" t="s">
        <v>276</v>
      </c>
      <c r="BC311" s="9" t="s">
        <v>3016</v>
      </c>
      <c r="BD311" s="9"/>
      <c r="BE311" s="33" t="s">
        <v>99</v>
      </c>
      <c r="BF311" s="33" t="s">
        <v>98</v>
      </c>
    </row>
    <row r="312" spans="1:58" s="7" customFormat="1" ht="91" x14ac:dyDescent="0.3">
      <c r="A312" s="8">
        <v>2594</v>
      </c>
      <c r="B312" s="8" t="s">
        <v>3006</v>
      </c>
      <c r="C312" s="9" t="s">
        <v>66</v>
      </c>
      <c r="D312" s="9" t="s">
        <v>3019</v>
      </c>
      <c r="E312" s="8" t="s">
        <v>37</v>
      </c>
      <c r="F312" s="8" t="s">
        <v>136</v>
      </c>
      <c r="G312" s="8" t="s">
        <v>225</v>
      </c>
      <c r="H312" s="8" t="s">
        <v>125</v>
      </c>
      <c r="I312" s="8" t="s">
        <v>114</v>
      </c>
      <c r="J312" s="9" t="s">
        <v>24</v>
      </c>
      <c r="K312" s="9" t="s">
        <v>3008</v>
      </c>
      <c r="L312" s="9" t="s">
        <v>3009</v>
      </c>
      <c r="M312" s="8" t="s">
        <v>14</v>
      </c>
      <c r="N312" s="11" t="s">
        <v>98</v>
      </c>
      <c r="O312" s="12" t="s">
        <v>207</v>
      </c>
      <c r="P312" s="41">
        <v>39082</v>
      </c>
      <c r="Q312" s="9" t="s">
        <v>3010</v>
      </c>
      <c r="R312" s="9" t="s">
        <v>3011</v>
      </c>
      <c r="S312" s="9" t="s">
        <v>3012</v>
      </c>
      <c r="T312" s="9">
        <v>1</v>
      </c>
      <c r="U312" s="13">
        <v>49311</v>
      </c>
      <c r="V312" s="38">
        <v>30958</v>
      </c>
      <c r="W312" s="8" t="s">
        <v>276</v>
      </c>
      <c r="X312" s="8" t="s">
        <v>276</v>
      </c>
      <c r="Y312" s="8" t="s">
        <v>276</v>
      </c>
      <c r="Z312" s="8" t="s">
        <v>276</v>
      </c>
      <c r="AA312" s="8" t="s">
        <v>276</v>
      </c>
      <c r="AB312" s="8" t="s">
        <v>276</v>
      </c>
      <c r="AC312" s="9" t="s">
        <v>3013</v>
      </c>
      <c r="AD312" s="9" t="s">
        <v>3014</v>
      </c>
      <c r="AE312" s="8">
        <v>83</v>
      </c>
      <c r="AF312" s="8">
        <v>92</v>
      </c>
      <c r="AG312" s="13">
        <v>274430</v>
      </c>
      <c r="AH312" s="13">
        <v>178781</v>
      </c>
      <c r="AI312" s="38" t="s">
        <v>1019</v>
      </c>
      <c r="AJ312" s="43">
        <v>30.2</v>
      </c>
      <c r="AK312" s="31">
        <f>AE312*100000/AG312</f>
        <v>30.244506795904236</v>
      </c>
      <c r="AL312" s="43">
        <v>24.1</v>
      </c>
      <c r="AM312" s="43">
        <v>38.5</v>
      </c>
      <c r="AN312" s="43">
        <v>51.5</v>
      </c>
      <c r="AO312" s="31">
        <f>AF312*100000/AH312</f>
        <v>51.459607005218672</v>
      </c>
      <c r="AP312" s="43">
        <v>42</v>
      </c>
      <c r="AQ312" s="43">
        <v>63.6</v>
      </c>
      <c r="AR312" s="8" t="s">
        <v>270</v>
      </c>
      <c r="AS312" s="14" t="s">
        <v>276</v>
      </c>
      <c r="AT312" s="14" t="s">
        <v>276</v>
      </c>
      <c r="AU312" s="14" t="s">
        <v>276</v>
      </c>
      <c r="AV312" s="14" t="s">
        <v>276</v>
      </c>
      <c r="AW312" s="8" t="s">
        <v>276</v>
      </c>
      <c r="AX312" s="9" t="s">
        <v>3020</v>
      </c>
      <c r="AY312" s="14">
        <v>0.65</v>
      </c>
      <c r="AZ312" s="14">
        <v>0.47</v>
      </c>
      <c r="BA312" s="14">
        <v>0.89</v>
      </c>
      <c r="BB312" s="8" t="s">
        <v>844</v>
      </c>
      <c r="BC312" s="9" t="s">
        <v>3021</v>
      </c>
      <c r="BD312" s="9" t="s">
        <v>3022</v>
      </c>
      <c r="BE312" s="33" t="s">
        <v>99</v>
      </c>
      <c r="BF312" s="33" t="s">
        <v>11162</v>
      </c>
    </row>
    <row r="313" spans="1:58" s="7" customFormat="1" ht="52" x14ac:dyDescent="0.3">
      <c r="A313" s="8">
        <v>2594</v>
      </c>
      <c r="B313" s="8" t="s">
        <v>3006</v>
      </c>
      <c r="C313" s="9" t="s">
        <v>66</v>
      </c>
      <c r="D313" s="9" t="s">
        <v>3023</v>
      </c>
      <c r="E313" s="8" t="s">
        <v>37</v>
      </c>
      <c r="F313" s="8" t="s">
        <v>136</v>
      </c>
      <c r="G313" s="8" t="s">
        <v>225</v>
      </c>
      <c r="H313" s="8" t="s">
        <v>125</v>
      </c>
      <c r="I313" s="8" t="s">
        <v>114</v>
      </c>
      <c r="J313" s="9" t="s">
        <v>24</v>
      </c>
      <c r="K313" s="9" t="s">
        <v>3008</v>
      </c>
      <c r="L313" s="9" t="s">
        <v>3009</v>
      </c>
      <c r="M313" s="8" t="s">
        <v>14</v>
      </c>
      <c r="N313" s="11" t="s">
        <v>98</v>
      </c>
      <c r="O313" s="12" t="s">
        <v>207</v>
      </c>
      <c r="P313" s="41">
        <v>39082</v>
      </c>
      <c r="Q313" s="9" t="s">
        <v>3010</v>
      </c>
      <c r="R313" s="9" t="s">
        <v>3011</v>
      </c>
      <c r="S313" s="9" t="s">
        <v>3012</v>
      </c>
      <c r="T313" s="9">
        <v>1</v>
      </c>
      <c r="U313" s="13">
        <v>49311</v>
      </c>
      <c r="V313" s="38">
        <v>30958</v>
      </c>
      <c r="W313" s="8" t="s">
        <v>276</v>
      </c>
      <c r="X313" s="8" t="s">
        <v>276</v>
      </c>
      <c r="Y313" s="8" t="s">
        <v>276</v>
      </c>
      <c r="Z313" s="8" t="s">
        <v>276</v>
      </c>
      <c r="AA313" s="8" t="s">
        <v>276</v>
      </c>
      <c r="AB313" s="8" t="s">
        <v>276</v>
      </c>
      <c r="AC313" s="9" t="s">
        <v>3013</v>
      </c>
      <c r="AD313" s="9" t="s">
        <v>1176</v>
      </c>
      <c r="AE313" s="8">
        <v>83</v>
      </c>
      <c r="AF313" s="8">
        <v>92</v>
      </c>
      <c r="AG313" s="13">
        <v>49311</v>
      </c>
      <c r="AH313" s="38">
        <v>30958</v>
      </c>
      <c r="AI313" s="38" t="s">
        <v>281</v>
      </c>
      <c r="AJ313" s="43" t="s">
        <v>276</v>
      </c>
      <c r="AK313" s="31">
        <f>AE313*1000/AG313</f>
        <v>1.6831944190951309</v>
      </c>
      <c r="AL313" s="43" t="s">
        <v>276</v>
      </c>
      <c r="AM313" s="43" t="s">
        <v>276</v>
      </c>
      <c r="AN313" s="43" t="s">
        <v>276</v>
      </c>
      <c r="AO313" s="31">
        <f>AF313*1000/AH313</f>
        <v>2.9717682020802378</v>
      </c>
      <c r="AP313" s="43" t="s">
        <v>276</v>
      </c>
      <c r="AQ313" s="43" t="s">
        <v>276</v>
      </c>
      <c r="AR313" s="8" t="s">
        <v>268</v>
      </c>
      <c r="AS313" s="14" t="s">
        <v>276</v>
      </c>
      <c r="AT313" s="14">
        <f>AK313/AO313</f>
        <v>0.56639492202551156</v>
      </c>
      <c r="AU313" s="14" t="s">
        <v>276</v>
      </c>
      <c r="AV313" s="14" t="s">
        <v>276</v>
      </c>
      <c r="AW313" s="8" t="s">
        <v>276</v>
      </c>
      <c r="AX313" s="8" t="s">
        <v>282</v>
      </c>
      <c r="AY313" s="14" t="s">
        <v>276</v>
      </c>
      <c r="AZ313" s="8" t="s">
        <v>276</v>
      </c>
      <c r="BA313" s="8" t="s">
        <v>276</v>
      </c>
      <c r="BB313" s="8" t="s">
        <v>276</v>
      </c>
      <c r="BC313" s="9" t="s">
        <v>3024</v>
      </c>
      <c r="BD313" s="9"/>
      <c r="BE313" s="33" t="s">
        <v>99</v>
      </c>
      <c r="BF313" s="33" t="s">
        <v>11162</v>
      </c>
    </row>
    <row r="314" spans="1:58" s="7" customFormat="1" ht="65" x14ac:dyDescent="0.3">
      <c r="A314" s="8">
        <v>2594</v>
      </c>
      <c r="B314" s="8" t="s">
        <v>3006</v>
      </c>
      <c r="C314" s="9" t="s">
        <v>66</v>
      </c>
      <c r="D314" s="9" t="s">
        <v>3025</v>
      </c>
      <c r="E314" s="8" t="s">
        <v>37</v>
      </c>
      <c r="F314" s="8" t="s">
        <v>136</v>
      </c>
      <c r="G314" s="8" t="s">
        <v>225</v>
      </c>
      <c r="H314" s="8" t="s">
        <v>125</v>
      </c>
      <c r="I314" s="8" t="s">
        <v>114</v>
      </c>
      <c r="J314" s="9" t="s">
        <v>24</v>
      </c>
      <c r="K314" s="9" t="s">
        <v>3008</v>
      </c>
      <c r="L314" s="9" t="s">
        <v>3009</v>
      </c>
      <c r="M314" s="8" t="s">
        <v>15</v>
      </c>
      <c r="N314" s="11" t="s">
        <v>3026</v>
      </c>
      <c r="O314" s="12" t="s">
        <v>207</v>
      </c>
      <c r="P314" s="41">
        <v>39082</v>
      </c>
      <c r="Q314" s="9" t="s">
        <v>3010</v>
      </c>
      <c r="R314" s="9" t="s">
        <v>276</v>
      </c>
      <c r="S314" s="9" t="s">
        <v>276</v>
      </c>
      <c r="T314" s="9">
        <v>1</v>
      </c>
      <c r="U314" s="13">
        <v>26737</v>
      </c>
      <c r="V314" s="38" t="s">
        <v>276</v>
      </c>
      <c r="W314" s="8" t="s">
        <v>276</v>
      </c>
      <c r="X314" s="8" t="s">
        <v>276</v>
      </c>
      <c r="Y314" s="8" t="s">
        <v>276</v>
      </c>
      <c r="Z314" s="8" t="s">
        <v>276</v>
      </c>
      <c r="AA314" s="8" t="s">
        <v>276</v>
      </c>
      <c r="AB314" s="8" t="s">
        <v>276</v>
      </c>
      <c r="AC314" s="9" t="s">
        <v>3027</v>
      </c>
      <c r="AD314" s="9" t="s">
        <v>3028</v>
      </c>
      <c r="AE314" s="8" t="s">
        <v>276</v>
      </c>
      <c r="AF314" s="8" t="s">
        <v>276</v>
      </c>
      <c r="AG314" s="8" t="s">
        <v>276</v>
      </c>
      <c r="AH314" s="8" t="s">
        <v>276</v>
      </c>
      <c r="AI314" s="38" t="s">
        <v>1019</v>
      </c>
      <c r="AJ314" s="8" t="s">
        <v>276</v>
      </c>
      <c r="AK314" s="8" t="s">
        <v>276</v>
      </c>
      <c r="AL314" s="8" t="s">
        <v>276</v>
      </c>
      <c r="AM314" s="8" t="s">
        <v>276</v>
      </c>
      <c r="AN314" s="8" t="s">
        <v>276</v>
      </c>
      <c r="AO314" s="8" t="s">
        <v>276</v>
      </c>
      <c r="AP314" s="8" t="s">
        <v>276</v>
      </c>
      <c r="AQ314" s="8" t="s">
        <v>276</v>
      </c>
      <c r="AR314" s="8" t="s">
        <v>270</v>
      </c>
      <c r="AS314" s="14" t="s">
        <v>276</v>
      </c>
      <c r="AT314" s="14" t="s">
        <v>276</v>
      </c>
      <c r="AU314" s="14" t="s">
        <v>276</v>
      </c>
      <c r="AV314" s="14" t="s">
        <v>276</v>
      </c>
      <c r="AW314" s="8" t="s">
        <v>276</v>
      </c>
      <c r="AX314" s="8" t="s">
        <v>3018</v>
      </c>
      <c r="AY314" s="14">
        <v>0.31</v>
      </c>
      <c r="AZ314" s="14">
        <v>0.17</v>
      </c>
      <c r="BA314" s="14">
        <v>0.56000000000000005</v>
      </c>
      <c r="BB314" s="8" t="s">
        <v>276</v>
      </c>
      <c r="BC314" s="9" t="s">
        <v>1020</v>
      </c>
      <c r="BD314" s="9"/>
      <c r="BE314" s="33" t="s">
        <v>100</v>
      </c>
      <c r="BF314" s="33" t="s">
        <v>98</v>
      </c>
    </row>
    <row r="315" spans="1:58" s="7" customFormat="1" ht="78" x14ac:dyDescent="0.3">
      <c r="A315" s="8">
        <v>2594</v>
      </c>
      <c r="B315" s="8" t="s">
        <v>3006</v>
      </c>
      <c r="C315" s="9" t="s">
        <v>66</v>
      </c>
      <c r="D315" s="9" t="s">
        <v>3029</v>
      </c>
      <c r="E315" s="8" t="s">
        <v>37</v>
      </c>
      <c r="F315" s="8" t="s">
        <v>136</v>
      </c>
      <c r="G315" s="8" t="s">
        <v>225</v>
      </c>
      <c r="H315" s="8" t="s">
        <v>125</v>
      </c>
      <c r="I315" s="8" t="s">
        <v>114</v>
      </c>
      <c r="J315" s="9" t="s">
        <v>24</v>
      </c>
      <c r="K315" s="9" t="s">
        <v>3008</v>
      </c>
      <c r="L315" s="9" t="s">
        <v>3009</v>
      </c>
      <c r="M315" s="8" t="s">
        <v>15</v>
      </c>
      <c r="N315" s="11" t="s">
        <v>3026</v>
      </c>
      <c r="O315" s="12" t="s">
        <v>207</v>
      </c>
      <c r="P315" s="41">
        <v>39082</v>
      </c>
      <c r="Q315" s="9" t="s">
        <v>3010</v>
      </c>
      <c r="R315" s="9" t="s">
        <v>276</v>
      </c>
      <c r="S315" s="9" t="s">
        <v>276</v>
      </c>
      <c r="T315" s="9">
        <v>1</v>
      </c>
      <c r="U315" s="13">
        <v>26737</v>
      </c>
      <c r="V315" s="38" t="s">
        <v>276</v>
      </c>
      <c r="W315" s="8" t="s">
        <v>276</v>
      </c>
      <c r="X315" s="8" t="s">
        <v>276</v>
      </c>
      <c r="Y315" s="8" t="s">
        <v>276</v>
      </c>
      <c r="Z315" s="8" t="s">
        <v>276</v>
      </c>
      <c r="AA315" s="8" t="s">
        <v>276</v>
      </c>
      <c r="AB315" s="8" t="s">
        <v>276</v>
      </c>
      <c r="AC315" s="9" t="s">
        <v>3027</v>
      </c>
      <c r="AD315" s="9" t="s">
        <v>3028</v>
      </c>
      <c r="AE315" s="8" t="s">
        <v>276</v>
      </c>
      <c r="AF315" s="8" t="s">
        <v>276</v>
      </c>
      <c r="AG315" s="8" t="s">
        <v>276</v>
      </c>
      <c r="AH315" s="8" t="s">
        <v>276</v>
      </c>
      <c r="AI315" s="38" t="s">
        <v>1019</v>
      </c>
      <c r="AJ315" s="8" t="s">
        <v>276</v>
      </c>
      <c r="AK315" s="8" t="s">
        <v>276</v>
      </c>
      <c r="AL315" s="8" t="s">
        <v>276</v>
      </c>
      <c r="AM315" s="8" t="s">
        <v>276</v>
      </c>
      <c r="AN315" s="8" t="s">
        <v>276</v>
      </c>
      <c r="AO315" s="8" t="s">
        <v>276</v>
      </c>
      <c r="AP315" s="8" t="s">
        <v>276</v>
      </c>
      <c r="AQ315" s="8" t="s">
        <v>276</v>
      </c>
      <c r="AR315" s="8" t="s">
        <v>270</v>
      </c>
      <c r="AS315" s="14" t="s">
        <v>276</v>
      </c>
      <c r="AT315" s="14" t="s">
        <v>276</v>
      </c>
      <c r="AU315" s="14" t="s">
        <v>276</v>
      </c>
      <c r="AV315" s="14" t="s">
        <v>276</v>
      </c>
      <c r="AW315" s="8" t="s">
        <v>276</v>
      </c>
      <c r="AX315" s="9" t="s">
        <v>3020</v>
      </c>
      <c r="AY315" s="14">
        <v>0.34</v>
      </c>
      <c r="AZ315" s="14">
        <v>0.18</v>
      </c>
      <c r="BA315" s="14">
        <v>0.66</v>
      </c>
      <c r="BB315" s="8" t="s">
        <v>276</v>
      </c>
      <c r="BC315" s="9" t="s">
        <v>3030</v>
      </c>
      <c r="BD315" s="9" t="s">
        <v>3022</v>
      </c>
      <c r="BE315" s="33" t="s">
        <v>100</v>
      </c>
      <c r="BF315" s="33" t="s">
        <v>98</v>
      </c>
    </row>
    <row r="316" spans="1:58" s="7" customFormat="1" ht="65" x14ac:dyDescent="0.3">
      <c r="A316" s="8">
        <v>2594</v>
      </c>
      <c r="B316" s="8" t="s">
        <v>3006</v>
      </c>
      <c r="C316" s="9" t="s">
        <v>66</v>
      </c>
      <c r="D316" s="9" t="s">
        <v>3031</v>
      </c>
      <c r="E316" s="8" t="s">
        <v>37</v>
      </c>
      <c r="F316" s="8" t="s">
        <v>136</v>
      </c>
      <c r="G316" s="8" t="s">
        <v>225</v>
      </c>
      <c r="H316" s="8" t="s">
        <v>125</v>
      </c>
      <c r="I316" s="8" t="s">
        <v>114</v>
      </c>
      <c r="J316" s="9" t="s">
        <v>24</v>
      </c>
      <c r="K316" s="9" t="s">
        <v>3008</v>
      </c>
      <c r="L316" s="9" t="s">
        <v>3009</v>
      </c>
      <c r="M316" s="8" t="s">
        <v>15</v>
      </c>
      <c r="N316" s="11" t="s">
        <v>3032</v>
      </c>
      <c r="O316" s="12" t="s">
        <v>207</v>
      </c>
      <c r="P316" s="41">
        <v>39082</v>
      </c>
      <c r="Q316" s="9" t="s">
        <v>3010</v>
      </c>
      <c r="R316" s="9" t="s">
        <v>276</v>
      </c>
      <c r="S316" s="9" t="s">
        <v>276</v>
      </c>
      <c r="T316" s="9">
        <v>1</v>
      </c>
      <c r="U316" s="13">
        <v>13433</v>
      </c>
      <c r="V316" s="38" t="s">
        <v>276</v>
      </c>
      <c r="W316" s="8" t="s">
        <v>276</v>
      </c>
      <c r="X316" s="8" t="s">
        <v>276</v>
      </c>
      <c r="Y316" s="8" t="s">
        <v>276</v>
      </c>
      <c r="Z316" s="8" t="s">
        <v>276</v>
      </c>
      <c r="AA316" s="8" t="s">
        <v>276</v>
      </c>
      <c r="AB316" s="8" t="s">
        <v>276</v>
      </c>
      <c r="AC316" s="9" t="s">
        <v>3033</v>
      </c>
      <c r="AD316" s="9" t="s">
        <v>3034</v>
      </c>
      <c r="AE316" s="8" t="s">
        <v>276</v>
      </c>
      <c r="AF316" s="8" t="s">
        <v>276</v>
      </c>
      <c r="AG316" s="8" t="s">
        <v>276</v>
      </c>
      <c r="AH316" s="8" t="s">
        <v>276</v>
      </c>
      <c r="AI316" s="38" t="s">
        <v>1019</v>
      </c>
      <c r="AJ316" s="8" t="s">
        <v>276</v>
      </c>
      <c r="AK316" s="8" t="s">
        <v>276</v>
      </c>
      <c r="AL316" s="8" t="s">
        <v>276</v>
      </c>
      <c r="AM316" s="8" t="s">
        <v>276</v>
      </c>
      <c r="AN316" s="8" t="s">
        <v>276</v>
      </c>
      <c r="AO316" s="8" t="s">
        <v>276</v>
      </c>
      <c r="AP316" s="8" t="s">
        <v>276</v>
      </c>
      <c r="AQ316" s="8" t="s">
        <v>276</v>
      </c>
      <c r="AR316" s="8" t="s">
        <v>270</v>
      </c>
      <c r="AS316" s="14" t="s">
        <v>276</v>
      </c>
      <c r="AT316" s="14" t="s">
        <v>276</v>
      </c>
      <c r="AU316" s="14" t="s">
        <v>276</v>
      </c>
      <c r="AV316" s="14" t="s">
        <v>276</v>
      </c>
      <c r="AW316" s="8" t="s">
        <v>276</v>
      </c>
      <c r="AX316" s="8" t="s">
        <v>3018</v>
      </c>
      <c r="AY316" s="14">
        <v>0.61</v>
      </c>
      <c r="AZ316" s="14">
        <v>0.32</v>
      </c>
      <c r="BA316" s="14">
        <v>1.1499999999999999</v>
      </c>
      <c r="BB316" s="8" t="s">
        <v>276</v>
      </c>
      <c r="BC316" s="9" t="s">
        <v>1020</v>
      </c>
      <c r="BD316" s="9"/>
      <c r="BE316" s="33" t="s">
        <v>100</v>
      </c>
      <c r="BF316" s="33" t="s">
        <v>98</v>
      </c>
    </row>
    <row r="317" spans="1:58" s="7" customFormat="1" ht="78" x14ac:dyDescent="0.3">
      <c r="A317" s="8">
        <v>2594</v>
      </c>
      <c r="B317" s="8" t="s">
        <v>3006</v>
      </c>
      <c r="C317" s="9" t="s">
        <v>66</v>
      </c>
      <c r="D317" s="9" t="s">
        <v>3035</v>
      </c>
      <c r="E317" s="8" t="s">
        <v>37</v>
      </c>
      <c r="F317" s="8" t="s">
        <v>136</v>
      </c>
      <c r="G317" s="8" t="s">
        <v>225</v>
      </c>
      <c r="H317" s="8" t="s">
        <v>125</v>
      </c>
      <c r="I317" s="8" t="s">
        <v>114</v>
      </c>
      <c r="J317" s="9" t="s">
        <v>24</v>
      </c>
      <c r="K317" s="9" t="s">
        <v>3008</v>
      </c>
      <c r="L317" s="9" t="s">
        <v>3009</v>
      </c>
      <c r="M317" s="8" t="s">
        <v>15</v>
      </c>
      <c r="N317" s="11" t="s">
        <v>3032</v>
      </c>
      <c r="O317" s="12" t="s">
        <v>207</v>
      </c>
      <c r="P317" s="41">
        <v>39082</v>
      </c>
      <c r="Q317" s="9" t="s">
        <v>3010</v>
      </c>
      <c r="R317" s="9" t="s">
        <v>276</v>
      </c>
      <c r="S317" s="9" t="s">
        <v>276</v>
      </c>
      <c r="T317" s="9">
        <v>1</v>
      </c>
      <c r="U317" s="13">
        <v>13433</v>
      </c>
      <c r="V317" s="38" t="s">
        <v>276</v>
      </c>
      <c r="W317" s="8" t="s">
        <v>276</v>
      </c>
      <c r="X317" s="8" t="s">
        <v>276</v>
      </c>
      <c r="Y317" s="8" t="s">
        <v>276</v>
      </c>
      <c r="Z317" s="8" t="s">
        <v>276</v>
      </c>
      <c r="AA317" s="8" t="s">
        <v>276</v>
      </c>
      <c r="AB317" s="8" t="s">
        <v>276</v>
      </c>
      <c r="AC317" s="9" t="s">
        <v>3033</v>
      </c>
      <c r="AD317" s="9" t="s">
        <v>3034</v>
      </c>
      <c r="AE317" s="8" t="s">
        <v>276</v>
      </c>
      <c r="AF317" s="8" t="s">
        <v>276</v>
      </c>
      <c r="AG317" s="8" t="s">
        <v>276</v>
      </c>
      <c r="AH317" s="8" t="s">
        <v>276</v>
      </c>
      <c r="AI317" s="38" t="s">
        <v>1019</v>
      </c>
      <c r="AJ317" s="8" t="s">
        <v>276</v>
      </c>
      <c r="AK317" s="8" t="s">
        <v>276</v>
      </c>
      <c r="AL317" s="8" t="s">
        <v>276</v>
      </c>
      <c r="AM317" s="8" t="s">
        <v>276</v>
      </c>
      <c r="AN317" s="8" t="s">
        <v>276</v>
      </c>
      <c r="AO317" s="8" t="s">
        <v>276</v>
      </c>
      <c r="AP317" s="8" t="s">
        <v>276</v>
      </c>
      <c r="AQ317" s="8" t="s">
        <v>276</v>
      </c>
      <c r="AR317" s="8" t="s">
        <v>270</v>
      </c>
      <c r="AS317" s="14" t="s">
        <v>276</v>
      </c>
      <c r="AT317" s="14" t="s">
        <v>276</v>
      </c>
      <c r="AU317" s="14" t="s">
        <v>276</v>
      </c>
      <c r="AV317" s="14" t="s">
        <v>276</v>
      </c>
      <c r="AW317" s="8" t="s">
        <v>276</v>
      </c>
      <c r="AX317" s="9" t="s">
        <v>3020</v>
      </c>
      <c r="AY317" s="14">
        <v>0.55000000000000004</v>
      </c>
      <c r="AZ317" s="14">
        <v>0.31</v>
      </c>
      <c r="BA317" s="14">
        <v>1</v>
      </c>
      <c r="BB317" s="8" t="s">
        <v>276</v>
      </c>
      <c r="BC317" s="9" t="s">
        <v>3036</v>
      </c>
      <c r="BD317" s="9" t="s">
        <v>3022</v>
      </c>
      <c r="BE317" s="33" t="s">
        <v>100</v>
      </c>
      <c r="BF317" s="33" t="s">
        <v>98</v>
      </c>
    </row>
    <row r="318" spans="1:58" s="7" customFormat="1" ht="65" x14ac:dyDescent="0.3">
      <c r="A318" s="8">
        <v>2594</v>
      </c>
      <c r="B318" s="8" t="s">
        <v>3006</v>
      </c>
      <c r="C318" s="9" t="s">
        <v>66</v>
      </c>
      <c r="D318" s="9" t="s">
        <v>3037</v>
      </c>
      <c r="E318" s="8" t="s">
        <v>37</v>
      </c>
      <c r="F318" s="8" t="s">
        <v>136</v>
      </c>
      <c r="G318" s="8" t="s">
        <v>225</v>
      </c>
      <c r="H318" s="8" t="s">
        <v>125</v>
      </c>
      <c r="I318" s="8" t="s">
        <v>114</v>
      </c>
      <c r="J318" s="9" t="s">
        <v>24</v>
      </c>
      <c r="K318" s="9" t="s">
        <v>3008</v>
      </c>
      <c r="L318" s="9" t="s">
        <v>3009</v>
      </c>
      <c r="M318" s="8" t="s">
        <v>15</v>
      </c>
      <c r="N318" s="11" t="s">
        <v>3038</v>
      </c>
      <c r="O318" s="12" t="s">
        <v>207</v>
      </c>
      <c r="P318" s="41">
        <v>39082</v>
      </c>
      <c r="Q318" s="9" t="s">
        <v>3010</v>
      </c>
      <c r="R318" s="9" t="s">
        <v>276</v>
      </c>
      <c r="S318" s="9" t="s">
        <v>276</v>
      </c>
      <c r="T318" s="9">
        <v>1</v>
      </c>
      <c r="U318" s="13">
        <v>9141</v>
      </c>
      <c r="V318" s="38" t="s">
        <v>276</v>
      </c>
      <c r="W318" s="8" t="s">
        <v>276</v>
      </c>
      <c r="X318" s="8" t="s">
        <v>276</v>
      </c>
      <c r="Y318" s="8" t="s">
        <v>276</v>
      </c>
      <c r="Z318" s="8" t="s">
        <v>276</v>
      </c>
      <c r="AA318" s="8" t="s">
        <v>276</v>
      </c>
      <c r="AB318" s="8" t="s">
        <v>276</v>
      </c>
      <c r="AC318" s="9" t="s">
        <v>3039</v>
      </c>
      <c r="AD318" s="9" t="s">
        <v>3040</v>
      </c>
      <c r="AE318" s="8" t="s">
        <v>276</v>
      </c>
      <c r="AF318" s="8" t="s">
        <v>276</v>
      </c>
      <c r="AG318" s="8" t="s">
        <v>276</v>
      </c>
      <c r="AH318" s="8" t="s">
        <v>276</v>
      </c>
      <c r="AI318" s="38" t="s">
        <v>1019</v>
      </c>
      <c r="AJ318" s="8" t="s">
        <v>276</v>
      </c>
      <c r="AK318" s="8" t="s">
        <v>276</v>
      </c>
      <c r="AL318" s="8" t="s">
        <v>276</v>
      </c>
      <c r="AM318" s="8" t="s">
        <v>276</v>
      </c>
      <c r="AN318" s="8" t="s">
        <v>276</v>
      </c>
      <c r="AO318" s="8" t="s">
        <v>276</v>
      </c>
      <c r="AP318" s="8" t="s">
        <v>276</v>
      </c>
      <c r="AQ318" s="8" t="s">
        <v>276</v>
      </c>
      <c r="AR318" s="8" t="s">
        <v>270</v>
      </c>
      <c r="AS318" s="14" t="s">
        <v>276</v>
      </c>
      <c r="AT318" s="14" t="s">
        <v>276</v>
      </c>
      <c r="AU318" s="14" t="s">
        <v>276</v>
      </c>
      <c r="AV318" s="14" t="s">
        <v>276</v>
      </c>
      <c r="AW318" s="8" t="s">
        <v>276</v>
      </c>
      <c r="AX318" s="8" t="s">
        <v>3018</v>
      </c>
      <c r="AY318" s="14">
        <v>0.96</v>
      </c>
      <c r="AZ318" s="14">
        <v>0.57999999999999996</v>
      </c>
      <c r="BA318" s="14">
        <v>1.57</v>
      </c>
      <c r="BB318" s="8" t="s">
        <v>276</v>
      </c>
      <c r="BC318" s="9" t="s">
        <v>1020</v>
      </c>
      <c r="BD318" s="9"/>
      <c r="BE318" s="33" t="s">
        <v>100</v>
      </c>
      <c r="BF318" s="33" t="s">
        <v>98</v>
      </c>
    </row>
    <row r="319" spans="1:58" s="7" customFormat="1" ht="78" x14ac:dyDescent="0.3">
      <c r="A319" s="8">
        <v>2594</v>
      </c>
      <c r="B319" s="8" t="s">
        <v>3006</v>
      </c>
      <c r="C319" s="9" t="s">
        <v>66</v>
      </c>
      <c r="D319" s="9" t="s">
        <v>3041</v>
      </c>
      <c r="E319" s="8" t="s">
        <v>37</v>
      </c>
      <c r="F319" s="8" t="s">
        <v>136</v>
      </c>
      <c r="G319" s="8" t="s">
        <v>225</v>
      </c>
      <c r="H319" s="8" t="s">
        <v>125</v>
      </c>
      <c r="I319" s="8" t="s">
        <v>114</v>
      </c>
      <c r="J319" s="9" t="s">
        <v>24</v>
      </c>
      <c r="K319" s="9" t="s">
        <v>3008</v>
      </c>
      <c r="L319" s="9" t="s">
        <v>3009</v>
      </c>
      <c r="M319" s="8" t="s">
        <v>15</v>
      </c>
      <c r="N319" s="11" t="s">
        <v>3038</v>
      </c>
      <c r="O319" s="12" t="s">
        <v>207</v>
      </c>
      <c r="P319" s="41">
        <v>39082</v>
      </c>
      <c r="Q319" s="9" t="s">
        <v>3010</v>
      </c>
      <c r="R319" s="9" t="s">
        <v>276</v>
      </c>
      <c r="S319" s="9" t="s">
        <v>276</v>
      </c>
      <c r="T319" s="9">
        <v>1</v>
      </c>
      <c r="U319" s="13">
        <v>9141</v>
      </c>
      <c r="V319" s="38" t="s">
        <v>276</v>
      </c>
      <c r="W319" s="8" t="s">
        <v>276</v>
      </c>
      <c r="X319" s="8" t="s">
        <v>276</v>
      </c>
      <c r="Y319" s="8" t="s">
        <v>276</v>
      </c>
      <c r="Z319" s="8" t="s">
        <v>276</v>
      </c>
      <c r="AA319" s="8" t="s">
        <v>276</v>
      </c>
      <c r="AB319" s="8" t="s">
        <v>276</v>
      </c>
      <c r="AC319" s="9" t="s">
        <v>3039</v>
      </c>
      <c r="AD319" s="9" t="s">
        <v>3040</v>
      </c>
      <c r="AE319" s="8" t="s">
        <v>276</v>
      </c>
      <c r="AF319" s="8" t="s">
        <v>276</v>
      </c>
      <c r="AG319" s="8" t="s">
        <v>276</v>
      </c>
      <c r="AH319" s="8" t="s">
        <v>276</v>
      </c>
      <c r="AI319" s="38" t="s">
        <v>1019</v>
      </c>
      <c r="AJ319" s="8" t="s">
        <v>276</v>
      </c>
      <c r="AK319" s="8" t="s">
        <v>276</v>
      </c>
      <c r="AL319" s="8" t="s">
        <v>276</v>
      </c>
      <c r="AM319" s="8" t="s">
        <v>276</v>
      </c>
      <c r="AN319" s="8" t="s">
        <v>276</v>
      </c>
      <c r="AO319" s="8" t="s">
        <v>276</v>
      </c>
      <c r="AP319" s="8" t="s">
        <v>276</v>
      </c>
      <c r="AQ319" s="8" t="s">
        <v>276</v>
      </c>
      <c r="AR319" s="8" t="s">
        <v>270</v>
      </c>
      <c r="AS319" s="14" t="s">
        <v>276</v>
      </c>
      <c r="AT319" s="14" t="s">
        <v>276</v>
      </c>
      <c r="AU319" s="14" t="s">
        <v>276</v>
      </c>
      <c r="AV319" s="14" t="s">
        <v>276</v>
      </c>
      <c r="AW319" s="8" t="s">
        <v>276</v>
      </c>
      <c r="AX319" s="9" t="s">
        <v>3020</v>
      </c>
      <c r="AY319" s="14">
        <v>0.99</v>
      </c>
      <c r="AZ319" s="14">
        <v>0.57999999999999996</v>
      </c>
      <c r="BA319" s="14">
        <v>1.66</v>
      </c>
      <c r="BB319" s="8" t="s">
        <v>276</v>
      </c>
      <c r="BC319" s="9" t="s">
        <v>3042</v>
      </c>
      <c r="BD319" s="9" t="s">
        <v>3022</v>
      </c>
      <c r="BE319" s="33" t="s">
        <v>100</v>
      </c>
      <c r="BF319" s="33" t="s">
        <v>98</v>
      </c>
    </row>
    <row r="320" spans="1:58" s="7" customFormat="1" ht="52" x14ac:dyDescent="0.3">
      <c r="A320" s="8">
        <v>2594</v>
      </c>
      <c r="B320" s="8" t="s">
        <v>3006</v>
      </c>
      <c r="C320" s="9" t="s">
        <v>66</v>
      </c>
      <c r="D320" s="9" t="s">
        <v>3043</v>
      </c>
      <c r="E320" s="8" t="s">
        <v>37</v>
      </c>
      <c r="F320" s="8" t="s">
        <v>136</v>
      </c>
      <c r="G320" s="8" t="s">
        <v>225</v>
      </c>
      <c r="H320" s="8" t="s">
        <v>125</v>
      </c>
      <c r="I320" s="8" t="s">
        <v>114</v>
      </c>
      <c r="J320" s="9" t="s">
        <v>23</v>
      </c>
      <c r="K320" s="9" t="s">
        <v>3008</v>
      </c>
      <c r="L320" s="9" t="s">
        <v>3009</v>
      </c>
      <c r="M320" s="8" t="s">
        <v>14</v>
      </c>
      <c r="N320" s="11" t="s">
        <v>98</v>
      </c>
      <c r="O320" s="12" t="s">
        <v>207</v>
      </c>
      <c r="P320" s="41">
        <v>39082</v>
      </c>
      <c r="Q320" s="9" t="s">
        <v>3010</v>
      </c>
      <c r="R320" s="9" t="s">
        <v>3011</v>
      </c>
      <c r="S320" s="9" t="s">
        <v>3012</v>
      </c>
      <c r="T320" s="9">
        <v>1</v>
      </c>
      <c r="U320" s="13">
        <v>49311</v>
      </c>
      <c r="V320" s="38">
        <v>30958</v>
      </c>
      <c r="W320" s="8" t="s">
        <v>276</v>
      </c>
      <c r="X320" s="8" t="s">
        <v>276</v>
      </c>
      <c r="Y320" s="8" t="s">
        <v>276</v>
      </c>
      <c r="Z320" s="8" t="s">
        <v>276</v>
      </c>
      <c r="AA320" s="8" t="s">
        <v>276</v>
      </c>
      <c r="AB320" s="8" t="s">
        <v>276</v>
      </c>
      <c r="AC320" s="9" t="s">
        <v>3044</v>
      </c>
      <c r="AD320" s="9" t="s">
        <v>3014</v>
      </c>
      <c r="AE320" s="8">
        <v>1303</v>
      </c>
      <c r="AF320" s="8">
        <v>977</v>
      </c>
      <c r="AG320" s="13">
        <v>274430</v>
      </c>
      <c r="AH320" s="13">
        <v>178781</v>
      </c>
      <c r="AI320" s="38" t="s">
        <v>1019</v>
      </c>
      <c r="AJ320" s="43" t="s">
        <v>276</v>
      </c>
      <c r="AK320" s="31">
        <f>AE320*100000/AG320</f>
        <v>474.80231753088219</v>
      </c>
      <c r="AL320" s="43" t="s">
        <v>276</v>
      </c>
      <c r="AM320" s="43" t="s">
        <v>276</v>
      </c>
      <c r="AN320" s="43" t="s">
        <v>276</v>
      </c>
      <c r="AO320" s="31">
        <f>AF320*100000/AH320</f>
        <v>546.47865265324617</v>
      </c>
      <c r="AP320" s="43" t="s">
        <v>276</v>
      </c>
      <c r="AQ320" s="43" t="s">
        <v>276</v>
      </c>
      <c r="AR320" s="8" t="s">
        <v>269</v>
      </c>
      <c r="AS320" s="14" t="s">
        <v>276</v>
      </c>
      <c r="AT320" s="14">
        <f>AK320/AO320</f>
        <v>0.86883964309609674</v>
      </c>
      <c r="AU320" s="14" t="s">
        <v>276</v>
      </c>
      <c r="AV320" s="14" t="s">
        <v>276</v>
      </c>
      <c r="AW320" s="8" t="s">
        <v>276</v>
      </c>
      <c r="AX320" s="8" t="s">
        <v>3015</v>
      </c>
      <c r="AY320" s="14">
        <f>585.7/619.4</f>
        <v>0.94559250887956092</v>
      </c>
      <c r="AZ320" s="8" t="s">
        <v>276</v>
      </c>
      <c r="BA320" s="8" t="s">
        <v>276</v>
      </c>
      <c r="BB320" s="8" t="s">
        <v>276</v>
      </c>
      <c r="BC320" s="9" t="s">
        <v>3045</v>
      </c>
      <c r="BD320" s="9"/>
      <c r="BE320" s="33" t="s">
        <v>100</v>
      </c>
      <c r="BF320" s="33" t="s">
        <v>98</v>
      </c>
    </row>
    <row r="321" spans="1:58" s="7" customFormat="1" ht="65" x14ac:dyDescent="0.3">
      <c r="A321" s="8">
        <v>2594</v>
      </c>
      <c r="B321" s="8" t="s">
        <v>3006</v>
      </c>
      <c r="C321" s="9" t="s">
        <v>66</v>
      </c>
      <c r="D321" s="9" t="s">
        <v>3046</v>
      </c>
      <c r="E321" s="8" t="s">
        <v>37</v>
      </c>
      <c r="F321" s="8" t="s">
        <v>136</v>
      </c>
      <c r="G321" s="8" t="s">
        <v>225</v>
      </c>
      <c r="H321" s="8" t="s">
        <v>125</v>
      </c>
      <c r="I321" s="8" t="s">
        <v>114</v>
      </c>
      <c r="J321" s="9" t="s">
        <v>23</v>
      </c>
      <c r="K321" s="9" t="s">
        <v>3008</v>
      </c>
      <c r="L321" s="9" t="s">
        <v>3009</v>
      </c>
      <c r="M321" s="8" t="s">
        <v>14</v>
      </c>
      <c r="N321" s="11" t="s">
        <v>98</v>
      </c>
      <c r="O321" s="12" t="s">
        <v>207</v>
      </c>
      <c r="P321" s="41">
        <v>39082</v>
      </c>
      <c r="Q321" s="9" t="s">
        <v>3010</v>
      </c>
      <c r="R321" s="9" t="s">
        <v>3011</v>
      </c>
      <c r="S321" s="9" t="s">
        <v>3012</v>
      </c>
      <c r="T321" s="9">
        <v>1</v>
      </c>
      <c r="U321" s="13">
        <v>49311</v>
      </c>
      <c r="V321" s="38">
        <v>30958</v>
      </c>
      <c r="W321" s="8" t="s">
        <v>276</v>
      </c>
      <c r="X321" s="8" t="s">
        <v>276</v>
      </c>
      <c r="Y321" s="8" t="s">
        <v>276</v>
      </c>
      <c r="Z321" s="8" t="s">
        <v>276</v>
      </c>
      <c r="AA321" s="8" t="s">
        <v>276</v>
      </c>
      <c r="AB321" s="8" t="s">
        <v>276</v>
      </c>
      <c r="AC321" s="9" t="s">
        <v>3044</v>
      </c>
      <c r="AD321" s="9" t="s">
        <v>3014</v>
      </c>
      <c r="AE321" s="8">
        <v>1303</v>
      </c>
      <c r="AF321" s="8">
        <v>977</v>
      </c>
      <c r="AG321" s="13">
        <v>274430</v>
      </c>
      <c r="AH321" s="13">
        <v>178781</v>
      </c>
      <c r="AI321" s="38" t="s">
        <v>1019</v>
      </c>
      <c r="AJ321" s="43" t="s">
        <v>276</v>
      </c>
      <c r="AK321" s="31">
        <f>AE321*100000/AG321</f>
        <v>474.80231753088219</v>
      </c>
      <c r="AL321" s="43" t="s">
        <v>276</v>
      </c>
      <c r="AM321" s="43" t="s">
        <v>276</v>
      </c>
      <c r="AN321" s="43" t="s">
        <v>276</v>
      </c>
      <c r="AO321" s="31">
        <f>AF321*100000/AH321</f>
        <v>546.47865265324617</v>
      </c>
      <c r="AP321" s="43" t="s">
        <v>276</v>
      </c>
      <c r="AQ321" s="43" t="s">
        <v>276</v>
      </c>
      <c r="AR321" s="8" t="s">
        <v>270</v>
      </c>
      <c r="AS321" s="14" t="s">
        <v>276</v>
      </c>
      <c r="AT321" s="14" t="s">
        <v>276</v>
      </c>
      <c r="AU321" s="14" t="s">
        <v>276</v>
      </c>
      <c r="AV321" s="14" t="s">
        <v>276</v>
      </c>
      <c r="AW321" s="8" t="s">
        <v>276</v>
      </c>
      <c r="AX321" s="9" t="s">
        <v>3020</v>
      </c>
      <c r="AY321" s="14">
        <v>0.87</v>
      </c>
      <c r="AZ321" s="8">
        <v>0.78</v>
      </c>
      <c r="BA321" s="8">
        <v>0.96</v>
      </c>
      <c r="BB321" s="8" t="s">
        <v>276</v>
      </c>
      <c r="BC321" s="9" t="s">
        <v>3045</v>
      </c>
      <c r="BD321" s="9" t="s">
        <v>3047</v>
      </c>
      <c r="BE321" s="33" t="s">
        <v>100</v>
      </c>
      <c r="BF321" s="33" t="s">
        <v>98</v>
      </c>
    </row>
    <row r="322" spans="1:58" s="7" customFormat="1" ht="52" x14ac:dyDescent="0.3">
      <c r="A322" s="8">
        <v>2594</v>
      </c>
      <c r="B322" s="8" t="s">
        <v>3006</v>
      </c>
      <c r="C322" s="9" t="s">
        <v>66</v>
      </c>
      <c r="D322" s="9" t="s">
        <v>3048</v>
      </c>
      <c r="E322" s="8" t="s">
        <v>37</v>
      </c>
      <c r="F322" s="8" t="s">
        <v>136</v>
      </c>
      <c r="G322" s="8" t="s">
        <v>225</v>
      </c>
      <c r="H322" s="8" t="s">
        <v>125</v>
      </c>
      <c r="I322" s="8" t="s">
        <v>114</v>
      </c>
      <c r="J322" s="9" t="s">
        <v>23</v>
      </c>
      <c r="K322" s="9" t="s">
        <v>3008</v>
      </c>
      <c r="L322" s="9" t="s">
        <v>3009</v>
      </c>
      <c r="M322" s="8" t="s">
        <v>14</v>
      </c>
      <c r="N322" s="11" t="s">
        <v>98</v>
      </c>
      <c r="O322" s="12" t="s">
        <v>207</v>
      </c>
      <c r="P322" s="41">
        <v>39082</v>
      </c>
      <c r="Q322" s="9" t="s">
        <v>3010</v>
      </c>
      <c r="R322" s="9" t="s">
        <v>3011</v>
      </c>
      <c r="S322" s="9" t="s">
        <v>3012</v>
      </c>
      <c r="T322" s="9">
        <v>1</v>
      </c>
      <c r="U322" s="13">
        <v>49311</v>
      </c>
      <c r="V322" s="38">
        <v>30958</v>
      </c>
      <c r="W322" s="8" t="s">
        <v>276</v>
      </c>
      <c r="X322" s="8" t="s">
        <v>276</v>
      </c>
      <c r="Y322" s="8" t="s">
        <v>276</v>
      </c>
      <c r="Z322" s="8" t="s">
        <v>276</v>
      </c>
      <c r="AA322" s="8" t="s">
        <v>276</v>
      </c>
      <c r="AB322" s="8" t="s">
        <v>276</v>
      </c>
      <c r="AC322" s="9" t="s">
        <v>3044</v>
      </c>
      <c r="AD322" s="9" t="s">
        <v>1176</v>
      </c>
      <c r="AE322" s="8">
        <v>1303</v>
      </c>
      <c r="AF322" s="8">
        <v>977</v>
      </c>
      <c r="AG322" s="13">
        <v>49311</v>
      </c>
      <c r="AH322" s="38">
        <v>30958</v>
      </c>
      <c r="AI322" s="38" t="s">
        <v>281</v>
      </c>
      <c r="AJ322" s="43" t="s">
        <v>276</v>
      </c>
      <c r="AK322" s="31">
        <f>AE322*1000/AG322</f>
        <v>26.424124434710308</v>
      </c>
      <c r="AL322" s="43" t="s">
        <v>276</v>
      </c>
      <c r="AM322" s="43" t="s">
        <v>276</v>
      </c>
      <c r="AN322" s="43" t="s">
        <v>276</v>
      </c>
      <c r="AO322" s="31">
        <f>AF322*1000/AH322</f>
        <v>31.558886232960784</v>
      </c>
      <c r="AP322" s="43" t="s">
        <v>276</v>
      </c>
      <c r="AQ322" s="43" t="s">
        <v>276</v>
      </c>
      <c r="AR322" s="8" t="s">
        <v>268</v>
      </c>
      <c r="AS322" s="14" t="s">
        <v>276</v>
      </c>
      <c r="AT322" s="14">
        <f>AK322/AO322</f>
        <v>0.83729584877150642</v>
      </c>
      <c r="AU322" s="14" t="s">
        <v>276</v>
      </c>
      <c r="AV322" s="14" t="s">
        <v>276</v>
      </c>
      <c r="AW322" s="8" t="s">
        <v>276</v>
      </c>
      <c r="AX322" s="8" t="s">
        <v>282</v>
      </c>
      <c r="AY322" s="14" t="s">
        <v>276</v>
      </c>
      <c r="AZ322" s="8" t="s">
        <v>276</v>
      </c>
      <c r="BA322" s="8" t="s">
        <v>276</v>
      </c>
      <c r="BB322" s="8" t="s">
        <v>276</v>
      </c>
      <c r="BC322" s="9" t="s">
        <v>3045</v>
      </c>
      <c r="BD322" s="9"/>
      <c r="BE322" s="33" t="s">
        <v>100</v>
      </c>
      <c r="BF322" s="33" t="s">
        <v>98</v>
      </c>
    </row>
    <row r="323" spans="1:58" s="103" customFormat="1" ht="65" x14ac:dyDescent="0.3">
      <c r="A323" s="94">
        <v>2646</v>
      </c>
      <c r="B323" s="94" t="s">
        <v>3218</v>
      </c>
      <c r="C323" s="95" t="s">
        <v>3156</v>
      </c>
      <c r="D323" s="95" t="s">
        <v>3329</v>
      </c>
      <c r="E323" s="94" t="s">
        <v>41</v>
      </c>
      <c r="F323" s="95" t="s">
        <v>146</v>
      </c>
      <c r="G323" s="94" t="s">
        <v>225</v>
      </c>
      <c r="H323" s="94" t="s">
        <v>125</v>
      </c>
      <c r="I323" s="94" t="s">
        <v>114</v>
      </c>
      <c r="J323" s="95" t="s">
        <v>24</v>
      </c>
      <c r="K323" s="95" t="s">
        <v>3330</v>
      </c>
      <c r="L323" s="95" t="s">
        <v>276</v>
      </c>
      <c r="M323" s="94" t="s">
        <v>14</v>
      </c>
      <c r="N323" s="94" t="s">
        <v>3223</v>
      </c>
      <c r="O323" s="96" t="s">
        <v>207</v>
      </c>
      <c r="P323" s="97">
        <v>37437</v>
      </c>
      <c r="Q323" s="95" t="s">
        <v>3221</v>
      </c>
      <c r="R323" s="95" t="s">
        <v>3222</v>
      </c>
      <c r="S323" s="95" t="s">
        <v>3233</v>
      </c>
      <c r="T323" s="95">
        <v>2</v>
      </c>
      <c r="U323" s="98">
        <v>78969</v>
      </c>
      <c r="V323" s="99">
        <v>74739</v>
      </c>
      <c r="W323" s="94" t="s">
        <v>276</v>
      </c>
      <c r="X323" s="94" t="s">
        <v>276</v>
      </c>
      <c r="Y323" s="94" t="s">
        <v>276</v>
      </c>
      <c r="Z323" s="94" t="s">
        <v>276</v>
      </c>
      <c r="AA323" s="94" t="s">
        <v>276</v>
      </c>
      <c r="AB323" s="94" t="s">
        <v>276</v>
      </c>
      <c r="AC323" s="95" t="s">
        <v>3331</v>
      </c>
      <c r="AD323" s="95" t="s">
        <v>866</v>
      </c>
      <c r="AE323" s="94">
        <v>65</v>
      </c>
      <c r="AF323" s="94">
        <v>62</v>
      </c>
      <c r="AG323" s="98">
        <v>78969</v>
      </c>
      <c r="AH323" s="99">
        <v>74739</v>
      </c>
      <c r="AI323" s="99" t="s">
        <v>2047</v>
      </c>
      <c r="AJ323" s="100" t="s">
        <v>276</v>
      </c>
      <c r="AK323" s="101">
        <f>AE323*1000/AG323</f>
        <v>0.82310780179564136</v>
      </c>
      <c r="AL323" s="102" t="s">
        <v>276</v>
      </c>
      <c r="AM323" s="102" t="s">
        <v>276</v>
      </c>
      <c r="AN323" s="100" t="s">
        <v>276</v>
      </c>
      <c r="AO323" s="101">
        <f>AF323*1000/AH323</f>
        <v>0.82955351289152923</v>
      </c>
      <c r="AP323" s="102" t="s">
        <v>276</v>
      </c>
      <c r="AQ323" s="102" t="s">
        <v>276</v>
      </c>
      <c r="AR323" s="94" t="s">
        <v>268</v>
      </c>
      <c r="AS323" s="102" t="s">
        <v>276</v>
      </c>
      <c r="AT323" s="102">
        <f t="shared" ref="AT323:AT328" si="42">AK323/AO323</f>
        <v>0.99222990320007154</v>
      </c>
      <c r="AU323" s="102" t="s">
        <v>276</v>
      </c>
      <c r="AV323" s="102" t="s">
        <v>276</v>
      </c>
      <c r="AW323" s="94" t="s">
        <v>276</v>
      </c>
      <c r="AX323" s="95" t="s">
        <v>282</v>
      </c>
      <c r="AY323" s="100" t="s">
        <v>276</v>
      </c>
      <c r="AZ323" s="94" t="s">
        <v>276</v>
      </c>
      <c r="BA323" s="94" t="s">
        <v>276</v>
      </c>
      <c r="BB323" s="94" t="s">
        <v>276</v>
      </c>
      <c r="BC323" s="95" t="s">
        <v>3332</v>
      </c>
      <c r="BD323" s="95"/>
      <c r="BE323" s="33" t="s">
        <v>100</v>
      </c>
      <c r="BF323" s="33" t="s">
        <v>98</v>
      </c>
    </row>
    <row r="324" spans="1:58" s="103" customFormat="1" ht="130" x14ac:dyDescent="0.3">
      <c r="A324" s="94">
        <v>2646</v>
      </c>
      <c r="B324" s="94" t="s">
        <v>3218</v>
      </c>
      <c r="C324" s="95" t="s">
        <v>3156</v>
      </c>
      <c r="D324" s="95" t="s">
        <v>3333</v>
      </c>
      <c r="E324" s="94" t="s">
        <v>41</v>
      </c>
      <c r="F324" s="95" t="s">
        <v>146</v>
      </c>
      <c r="G324" s="94" t="s">
        <v>225</v>
      </c>
      <c r="H324" s="94" t="s">
        <v>125</v>
      </c>
      <c r="I324" s="94" t="s">
        <v>114</v>
      </c>
      <c r="J324" s="95" t="s">
        <v>24</v>
      </c>
      <c r="K324" s="95" t="s">
        <v>3330</v>
      </c>
      <c r="L324" s="95" t="s">
        <v>276</v>
      </c>
      <c r="M324" s="94" t="s">
        <v>14</v>
      </c>
      <c r="N324" s="94" t="s">
        <v>3223</v>
      </c>
      <c r="P324" s="97">
        <v>37437</v>
      </c>
      <c r="Q324" s="95" t="s">
        <v>3221</v>
      </c>
      <c r="R324" s="95" t="s">
        <v>3222</v>
      </c>
      <c r="S324" s="95" t="s">
        <v>3233</v>
      </c>
      <c r="T324" s="95">
        <v>2</v>
      </c>
      <c r="U324" s="98">
        <v>78969</v>
      </c>
      <c r="V324" s="99">
        <v>74739</v>
      </c>
      <c r="W324" s="94" t="s">
        <v>276</v>
      </c>
      <c r="X324" s="94" t="s">
        <v>276</v>
      </c>
      <c r="Y324" s="94" t="s">
        <v>276</v>
      </c>
      <c r="Z324" s="94" t="s">
        <v>276</v>
      </c>
      <c r="AA324" s="94" t="s">
        <v>276</v>
      </c>
      <c r="AB324" s="94" t="s">
        <v>276</v>
      </c>
      <c r="AC324" s="95" t="s">
        <v>3331</v>
      </c>
      <c r="AD324" s="95" t="s">
        <v>3334</v>
      </c>
      <c r="AE324" s="94">
        <v>65</v>
      </c>
      <c r="AF324" s="94">
        <v>62</v>
      </c>
      <c r="AG324" s="98">
        <v>344404</v>
      </c>
      <c r="AH324" s="98">
        <v>329326</v>
      </c>
      <c r="AI324" s="99" t="s">
        <v>1019</v>
      </c>
      <c r="AJ324" s="100">
        <v>18.899999999999999</v>
      </c>
      <c r="AK324" s="101">
        <f>AE324*100000/AG324</f>
        <v>18.873183819003263</v>
      </c>
      <c r="AL324" s="102" t="s">
        <v>276</v>
      </c>
      <c r="AM324" s="102" t="s">
        <v>276</v>
      </c>
      <c r="AN324" s="100">
        <v>18.8</v>
      </c>
      <c r="AO324" s="101">
        <f>AF324*100000/AH324</f>
        <v>18.826330140954557</v>
      </c>
      <c r="AP324" s="102" t="s">
        <v>276</v>
      </c>
      <c r="AQ324" s="102" t="s">
        <v>276</v>
      </c>
      <c r="AR324" s="94" t="s">
        <v>269</v>
      </c>
      <c r="AS324" s="102" t="s">
        <v>276</v>
      </c>
      <c r="AT324" s="102">
        <f t="shared" si="42"/>
        <v>1.0024887313511399</v>
      </c>
      <c r="AU324" s="102" t="s">
        <v>276</v>
      </c>
      <c r="AV324" s="102" t="s">
        <v>276</v>
      </c>
      <c r="AW324" s="94" t="s">
        <v>276</v>
      </c>
      <c r="AX324" s="95" t="s">
        <v>3335</v>
      </c>
      <c r="AY324" s="100">
        <v>1</v>
      </c>
      <c r="AZ324" s="94" t="s">
        <v>276</v>
      </c>
      <c r="BA324" s="94" t="s">
        <v>276</v>
      </c>
      <c r="BB324" s="94" t="s">
        <v>276</v>
      </c>
      <c r="BC324" s="95" t="s">
        <v>3336</v>
      </c>
      <c r="BD324" s="95"/>
      <c r="BE324" s="33" t="s">
        <v>100</v>
      </c>
      <c r="BF324" s="33" t="s">
        <v>98</v>
      </c>
    </row>
    <row r="325" spans="1:58" s="149" customFormat="1" ht="78" x14ac:dyDescent="0.3">
      <c r="A325" s="126">
        <v>2643</v>
      </c>
      <c r="B325" s="126" t="s">
        <v>2508</v>
      </c>
      <c r="C325" s="127" t="s">
        <v>3156</v>
      </c>
      <c r="D325" s="127" t="s">
        <v>3337</v>
      </c>
      <c r="E325" s="126" t="s">
        <v>41</v>
      </c>
      <c r="F325" s="127" t="s">
        <v>146</v>
      </c>
      <c r="G325" s="126" t="s">
        <v>225</v>
      </c>
      <c r="H325" s="126" t="s">
        <v>125</v>
      </c>
      <c r="I325" s="126" t="s">
        <v>114</v>
      </c>
      <c r="J325" s="127" t="s">
        <v>24</v>
      </c>
      <c r="K325" s="127" t="s">
        <v>3338</v>
      </c>
      <c r="L325" s="127" t="s">
        <v>276</v>
      </c>
      <c r="M325" s="126" t="s">
        <v>14</v>
      </c>
      <c r="N325" s="145" t="s">
        <v>3339</v>
      </c>
      <c r="O325" s="131" t="s">
        <v>207</v>
      </c>
      <c r="P325" s="197">
        <v>38352</v>
      </c>
      <c r="Q325" s="127" t="s">
        <v>3258</v>
      </c>
      <c r="R325" s="127" t="s">
        <v>3259</v>
      </c>
      <c r="S325" s="127" t="s">
        <v>3270</v>
      </c>
      <c r="T325" s="173" t="s">
        <v>3260</v>
      </c>
      <c r="U325" s="132">
        <v>96517</v>
      </c>
      <c r="V325" s="134">
        <v>95356</v>
      </c>
      <c r="W325" s="126" t="s">
        <v>276</v>
      </c>
      <c r="X325" s="126" t="s">
        <v>276</v>
      </c>
      <c r="Y325" s="126" t="s">
        <v>276</v>
      </c>
      <c r="Z325" s="126" t="s">
        <v>276</v>
      </c>
      <c r="AA325" s="126" t="s">
        <v>276</v>
      </c>
      <c r="AB325" s="126" t="s">
        <v>276</v>
      </c>
      <c r="AC325" s="127" t="s">
        <v>3340</v>
      </c>
      <c r="AD325" s="127" t="s">
        <v>3341</v>
      </c>
      <c r="AE325" s="126">
        <v>77</v>
      </c>
      <c r="AF325" s="126">
        <v>87</v>
      </c>
      <c r="AG325" s="132">
        <v>469089</v>
      </c>
      <c r="AH325" s="132">
        <v>419748</v>
      </c>
      <c r="AI325" s="134" t="s">
        <v>1019</v>
      </c>
      <c r="AJ325" s="147">
        <v>16.399999999999999</v>
      </c>
      <c r="AK325" s="148">
        <f>AE325*100000/AG325</f>
        <v>16.414795486570778</v>
      </c>
      <c r="AL325" s="135" t="s">
        <v>276</v>
      </c>
      <c r="AM325" s="135" t="s">
        <v>276</v>
      </c>
      <c r="AN325" s="147">
        <v>20.7</v>
      </c>
      <c r="AO325" s="148">
        <f>AF325*100000/AH325</f>
        <v>20.726721747334114</v>
      </c>
      <c r="AP325" s="135" t="s">
        <v>276</v>
      </c>
      <c r="AQ325" s="135" t="s">
        <v>276</v>
      </c>
      <c r="AR325" s="126" t="s">
        <v>269</v>
      </c>
      <c r="AS325" s="135">
        <v>0.79</v>
      </c>
      <c r="AT325" s="135">
        <f t="shared" si="42"/>
        <v>0.79196293975828869</v>
      </c>
      <c r="AU325" s="135">
        <v>0.51</v>
      </c>
      <c r="AV325" s="135">
        <v>1.22</v>
      </c>
      <c r="AW325" s="126" t="s">
        <v>691</v>
      </c>
      <c r="AX325" s="127" t="s">
        <v>282</v>
      </c>
      <c r="AY325" s="147" t="s">
        <v>276</v>
      </c>
      <c r="AZ325" s="126" t="s">
        <v>276</v>
      </c>
      <c r="BA325" s="126" t="s">
        <v>276</v>
      </c>
      <c r="BB325" s="126" t="s">
        <v>276</v>
      </c>
      <c r="BC325" s="127" t="s">
        <v>3342</v>
      </c>
      <c r="BD325" s="127" t="s">
        <v>3343</v>
      </c>
      <c r="BE325" s="33" t="s">
        <v>99</v>
      </c>
      <c r="BF325" s="33" t="s">
        <v>11162</v>
      </c>
    </row>
    <row r="326" spans="1:58" s="149" customFormat="1" ht="78" x14ac:dyDescent="0.3">
      <c r="A326" s="126">
        <v>2643</v>
      </c>
      <c r="B326" s="126" t="s">
        <v>2508</v>
      </c>
      <c r="C326" s="127" t="s">
        <v>3156</v>
      </c>
      <c r="D326" s="127" t="s">
        <v>3344</v>
      </c>
      <c r="E326" s="126" t="s">
        <v>41</v>
      </c>
      <c r="F326" s="127" t="s">
        <v>146</v>
      </c>
      <c r="G326" s="126" t="s">
        <v>225</v>
      </c>
      <c r="H326" s="126" t="s">
        <v>125</v>
      </c>
      <c r="I326" s="126" t="s">
        <v>114</v>
      </c>
      <c r="J326" s="127" t="s">
        <v>24</v>
      </c>
      <c r="K326" s="127" t="s">
        <v>3338</v>
      </c>
      <c r="L326" s="127" t="s">
        <v>276</v>
      </c>
      <c r="M326" s="126" t="s">
        <v>14</v>
      </c>
      <c r="N326" s="145" t="s">
        <v>3339</v>
      </c>
      <c r="O326" s="131" t="s">
        <v>207</v>
      </c>
      <c r="P326" s="197">
        <v>38352</v>
      </c>
      <c r="Q326" s="127" t="s">
        <v>3258</v>
      </c>
      <c r="R326" s="127" t="s">
        <v>3259</v>
      </c>
      <c r="S326" s="127" t="s">
        <v>3270</v>
      </c>
      <c r="T326" s="173" t="s">
        <v>3260</v>
      </c>
      <c r="U326" s="132">
        <v>96517</v>
      </c>
      <c r="V326" s="134">
        <v>95356</v>
      </c>
      <c r="W326" s="126" t="s">
        <v>276</v>
      </c>
      <c r="X326" s="126" t="s">
        <v>276</v>
      </c>
      <c r="Y326" s="126" t="s">
        <v>276</v>
      </c>
      <c r="Z326" s="126" t="s">
        <v>276</v>
      </c>
      <c r="AA326" s="126" t="s">
        <v>276</v>
      </c>
      <c r="AB326" s="126" t="s">
        <v>276</v>
      </c>
      <c r="AC326" s="127" t="s">
        <v>3340</v>
      </c>
      <c r="AD326" s="127" t="s">
        <v>866</v>
      </c>
      <c r="AE326" s="126">
        <v>77</v>
      </c>
      <c r="AF326" s="126">
        <v>87</v>
      </c>
      <c r="AG326" s="132">
        <v>96517</v>
      </c>
      <c r="AH326" s="134">
        <v>95356</v>
      </c>
      <c r="AI326" s="134" t="s">
        <v>2047</v>
      </c>
      <c r="AJ326" s="147" t="s">
        <v>276</v>
      </c>
      <c r="AK326" s="148">
        <f>AE326*1000/AG326</f>
        <v>0.79778691836671256</v>
      </c>
      <c r="AL326" s="135" t="s">
        <v>276</v>
      </c>
      <c r="AM326" s="135" t="s">
        <v>276</v>
      </c>
      <c r="AN326" s="147" t="s">
        <v>276</v>
      </c>
      <c r="AO326" s="148">
        <f>AF326*1000/AH326</f>
        <v>0.91237048533915011</v>
      </c>
      <c r="AP326" s="135" t="s">
        <v>276</v>
      </c>
      <c r="AQ326" s="135" t="s">
        <v>276</v>
      </c>
      <c r="AR326" s="126" t="s">
        <v>268</v>
      </c>
      <c r="AS326" s="135" t="s">
        <v>276</v>
      </c>
      <c r="AT326" s="135">
        <f t="shared" si="42"/>
        <v>0.8744111423882327</v>
      </c>
      <c r="AU326" s="135" t="s">
        <v>276</v>
      </c>
      <c r="AV326" s="135" t="s">
        <v>276</v>
      </c>
      <c r="AW326" s="126" t="s">
        <v>276</v>
      </c>
      <c r="AX326" s="127" t="s">
        <v>282</v>
      </c>
      <c r="AY326" s="147" t="s">
        <v>276</v>
      </c>
      <c r="AZ326" s="126" t="s">
        <v>276</v>
      </c>
      <c r="BA326" s="126" t="s">
        <v>276</v>
      </c>
      <c r="BB326" s="126" t="s">
        <v>276</v>
      </c>
      <c r="BC326" s="127" t="s">
        <v>3345</v>
      </c>
      <c r="BD326" s="127" t="s">
        <v>3343</v>
      </c>
      <c r="BE326" s="33" t="s">
        <v>99</v>
      </c>
      <c r="BF326" s="33" t="s">
        <v>11162</v>
      </c>
    </row>
    <row r="327" spans="1:58" s="202" customFormat="1" ht="91" x14ac:dyDescent="0.3">
      <c r="A327" s="175">
        <v>2642</v>
      </c>
      <c r="B327" s="175" t="s">
        <v>3291</v>
      </c>
      <c r="C327" s="176" t="s">
        <v>3156</v>
      </c>
      <c r="D327" s="176" t="s">
        <v>3346</v>
      </c>
      <c r="E327" s="175" t="s">
        <v>41</v>
      </c>
      <c r="F327" s="176" t="s">
        <v>146</v>
      </c>
      <c r="G327" s="175" t="s">
        <v>225</v>
      </c>
      <c r="H327" s="175" t="s">
        <v>125</v>
      </c>
      <c r="I327" s="175" t="s">
        <v>113</v>
      </c>
      <c r="J327" s="176" t="s">
        <v>24</v>
      </c>
      <c r="K327" s="176" t="s">
        <v>3347</v>
      </c>
      <c r="L327" s="176" t="s">
        <v>3348</v>
      </c>
      <c r="M327" s="175" t="s">
        <v>14</v>
      </c>
      <c r="N327" s="198" t="s">
        <v>3339</v>
      </c>
      <c r="O327" s="199" t="s">
        <v>207</v>
      </c>
      <c r="P327" s="200">
        <v>40543</v>
      </c>
      <c r="Q327" s="176" t="s">
        <v>3296</v>
      </c>
      <c r="R327" s="176" t="s">
        <v>3297</v>
      </c>
      <c r="S327" s="176" t="s">
        <v>3349</v>
      </c>
      <c r="T327" s="176" t="s">
        <v>3298</v>
      </c>
      <c r="U327" s="180">
        <v>96517</v>
      </c>
      <c r="V327" s="179">
        <v>95356</v>
      </c>
      <c r="W327" s="175" t="s">
        <v>276</v>
      </c>
      <c r="X327" s="175" t="s">
        <v>276</v>
      </c>
      <c r="Y327" s="175" t="s">
        <v>276</v>
      </c>
      <c r="Z327" s="175" t="s">
        <v>276</v>
      </c>
      <c r="AA327" s="175" t="s">
        <v>276</v>
      </c>
      <c r="AB327" s="175" t="s">
        <v>276</v>
      </c>
      <c r="AC327" s="176" t="s">
        <v>3350</v>
      </c>
      <c r="AD327" s="176" t="s">
        <v>3310</v>
      </c>
      <c r="AE327" s="175">
        <v>138</v>
      </c>
      <c r="AF327" s="175">
        <v>154</v>
      </c>
      <c r="AG327" s="180">
        <v>895310</v>
      </c>
      <c r="AH327" s="180">
        <v>898280</v>
      </c>
      <c r="AI327" s="179" t="s">
        <v>1019</v>
      </c>
      <c r="AJ327" s="195">
        <v>15.4</v>
      </c>
      <c r="AK327" s="201">
        <f>AE327*100000/AG327</f>
        <v>15.413655605321061</v>
      </c>
      <c r="AL327" s="181" t="s">
        <v>276</v>
      </c>
      <c r="AM327" s="181" t="s">
        <v>276</v>
      </c>
      <c r="AN327" s="195">
        <v>17.100000000000001</v>
      </c>
      <c r="AO327" s="201">
        <f>AF327*100000/AH327</f>
        <v>17.143874961036648</v>
      </c>
      <c r="AP327" s="181" t="s">
        <v>276</v>
      </c>
      <c r="AQ327" s="181" t="s">
        <v>276</v>
      </c>
      <c r="AR327" s="175" t="s">
        <v>269</v>
      </c>
      <c r="AS327" s="181">
        <v>0.88</v>
      </c>
      <c r="AT327" s="181">
        <f t="shared" si="42"/>
        <v>0.89907652968492224</v>
      </c>
      <c r="AU327" s="181">
        <v>0.69</v>
      </c>
      <c r="AV327" s="181">
        <v>1.1200000000000001</v>
      </c>
      <c r="AW327" s="175" t="s">
        <v>702</v>
      </c>
      <c r="AX327" s="175" t="s">
        <v>3351</v>
      </c>
      <c r="AY327" s="181">
        <f>18.9/19.7</f>
        <v>0.95939086294416243</v>
      </c>
      <c r="AZ327" s="175" t="s">
        <v>276</v>
      </c>
      <c r="BA327" s="175" t="s">
        <v>276</v>
      </c>
      <c r="BB327" s="175" t="s">
        <v>276</v>
      </c>
      <c r="BC327" s="176" t="s">
        <v>3352</v>
      </c>
      <c r="BD327" s="176" t="s">
        <v>3353</v>
      </c>
      <c r="BE327" s="33" t="s">
        <v>100</v>
      </c>
      <c r="BF327" s="33" t="s">
        <v>98</v>
      </c>
    </row>
    <row r="328" spans="1:58" s="202" customFormat="1" ht="91" x14ac:dyDescent="0.3">
      <c r="A328" s="175">
        <v>2642</v>
      </c>
      <c r="B328" s="175" t="s">
        <v>3291</v>
      </c>
      <c r="C328" s="176" t="s">
        <v>3156</v>
      </c>
      <c r="D328" s="176" t="s">
        <v>3354</v>
      </c>
      <c r="E328" s="175" t="s">
        <v>41</v>
      </c>
      <c r="F328" s="176" t="s">
        <v>146</v>
      </c>
      <c r="G328" s="175" t="s">
        <v>225</v>
      </c>
      <c r="H328" s="175" t="s">
        <v>125</v>
      </c>
      <c r="I328" s="175" t="s">
        <v>113</v>
      </c>
      <c r="J328" s="176" t="s">
        <v>24</v>
      </c>
      <c r="K328" s="176" t="s">
        <v>3347</v>
      </c>
      <c r="L328" s="176" t="s">
        <v>3348</v>
      </c>
      <c r="M328" s="175" t="s">
        <v>14</v>
      </c>
      <c r="N328" s="198" t="s">
        <v>3339</v>
      </c>
      <c r="O328" s="199" t="s">
        <v>207</v>
      </c>
      <c r="P328" s="200">
        <v>40543</v>
      </c>
      <c r="Q328" s="176" t="s">
        <v>3296</v>
      </c>
      <c r="R328" s="176" t="s">
        <v>3297</v>
      </c>
      <c r="S328" s="176" t="s">
        <v>3349</v>
      </c>
      <c r="T328" s="176" t="s">
        <v>3298</v>
      </c>
      <c r="U328" s="180">
        <v>96517</v>
      </c>
      <c r="V328" s="179">
        <v>95356</v>
      </c>
      <c r="W328" s="175" t="s">
        <v>276</v>
      </c>
      <c r="X328" s="175" t="s">
        <v>276</v>
      </c>
      <c r="Y328" s="175" t="s">
        <v>276</v>
      </c>
      <c r="Z328" s="175" t="s">
        <v>276</v>
      </c>
      <c r="AA328" s="175" t="s">
        <v>276</v>
      </c>
      <c r="AB328" s="175" t="s">
        <v>276</v>
      </c>
      <c r="AC328" s="176" t="s">
        <v>3350</v>
      </c>
      <c r="AD328" s="176" t="s">
        <v>866</v>
      </c>
      <c r="AE328" s="175">
        <v>138</v>
      </c>
      <c r="AF328" s="175">
        <v>154</v>
      </c>
      <c r="AG328" s="180">
        <v>96517</v>
      </c>
      <c r="AH328" s="179">
        <v>95356</v>
      </c>
      <c r="AI328" s="179" t="s">
        <v>2047</v>
      </c>
      <c r="AJ328" s="195" t="s">
        <v>276</v>
      </c>
      <c r="AK328" s="201">
        <f>AE328*1000/AG328</f>
        <v>1.4297999316182641</v>
      </c>
      <c r="AL328" s="181" t="s">
        <v>276</v>
      </c>
      <c r="AM328" s="181" t="s">
        <v>276</v>
      </c>
      <c r="AN328" s="195" t="s">
        <v>276</v>
      </c>
      <c r="AO328" s="201">
        <f>AF328*1000/AH328</f>
        <v>1.6150006292210244</v>
      </c>
      <c r="AP328" s="181" t="s">
        <v>276</v>
      </c>
      <c r="AQ328" s="181" t="s">
        <v>276</v>
      </c>
      <c r="AR328" s="175" t="s">
        <v>268</v>
      </c>
      <c r="AS328" s="181" t="s">
        <v>276</v>
      </c>
      <c r="AT328" s="181">
        <f t="shared" si="42"/>
        <v>0.88532469012591686</v>
      </c>
      <c r="AU328" s="181" t="s">
        <v>276</v>
      </c>
      <c r="AV328" s="181" t="s">
        <v>276</v>
      </c>
      <c r="AW328" s="175" t="s">
        <v>276</v>
      </c>
      <c r="AX328" s="175" t="s">
        <v>282</v>
      </c>
      <c r="AY328" s="175" t="s">
        <v>276</v>
      </c>
      <c r="AZ328" s="175" t="s">
        <v>276</v>
      </c>
      <c r="BA328" s="175" t="s">
        <v>276</v>
      </c>
      <c r="BB328" s="175" t="s">
        <v>276</v>
      </c>
      <c r="BC328" s="176" t="s">
        <v>3355</v>
      </c>
      <c r="BD328" s="176" t="s">
        <v>3353</v>
      </c>
      <c r="BE328" s="33" t="s">
        <v>100</v>
      </c>
      <c r="BF328" s="33" t="s">
        <v>98</v>
      </c>
    </row>
    <row r="329" spans="1:58" s="7" customFormat="1" ht="91" x14ac:dyDescent="0.3">
      <c r="A329" s="8">
        <v>108</v>
      </c>
      <c r="B329" s="8" t="s">
        <v>3356</v>
      </c>
      <c r="C329" s="8" t="s">
        <v>53</v>
      </c>
      <c r="D329" s="9" t="s">
        <v>3357</v>
      </c>
      <c r="E329" s="8" t="s">
        <v>36</v>
      </c>
      <c r="F329" s="9" t="s">
        <v>134</v>
      </c>
      <c r="G329" s="8" t="s">
        <v>225</v>
      </c>
      <c r="H329" s="8" t="s">
        <v>125</v>
      </c>
      <c r="I329" s="8" t="s">
        <v>114</v>
      </c>
      <c r="J329" s="9" t="s">
        <v>23</v>
      </c>
      <c r="K329" s="9" t="s">
        <v>3358</v>
      </c>
      <c r="L329" s="9" t="s">
        <v>3359</v>
      </c>
      <c r="M329" s="8" t="s">
        <v>14</v>
      </c>
      <c r="N329" s="11" t="s">
        <v>98</v>
      </c>
      <c r="O329" s="12" t="s">
        <v>207</v>
      </c>
      <c r="P329" s="41">
        <v>39813</v>
      </c>
      <c r="Q329" s="9" t="s">
        <v>276</v>
      </c>
      <c r="R329" s="9" t="s">
        <v>3360</v>
      </c>
      <c r="S329" s="9" t="s">
        <v>3360</v>
      </c>
      <c r="T329" s="9">
        <v>1</v>
      </c>
      <c r="U329" s="13">
        <v>57099</v>
      </c>
      <c r="V329" s="38">
        <v>112939</v>
      </c>
      <c r="W329" s="8">
        <v>240</v>
      </c>
      <c r="X329" s="8">
        <v>457</v>
      </c>
      <c r="Y329" s="8" t="s">
        <v>98</v>
      </c>
      <c r="Z329" s="8" t="s">
        <v>98</v>
      </c>
      <c r="AA329" s="8" t="s">
        <v>98</v>
      </c>
      <c r="AB329" s="8" t="s">
        <v>98</v>
      </c>
      <c r="AC329" s="9" t="s">
        <v>3361</v>
      </c>
      <c r="AD329" s="9" t="s">
        <v>3362</v>
      </c>
      <c r="AE329" s="13">
        <v>6775</v>
      </c>
      <c r="AF329" s="13">
        <v>13768</v>
      </c>
      <c r="AG329" s="13">
        <f>173191+446854</f>
        <v>620045</v>
      </c>
      <c r="AH329" s="13">
        <v>1224523</v>
      </c>
      <c r="AI329" s="38" t="s">
        <v>1019</v>
      </c>
      <c r="AJ329" s="49">
        <v>1093</v>
      </c>
      <c r="AK329" s="31">
        <f>AE329*100000/AG329</f>
        <v>1092.6626293252909</v>
      </c>
      <c r="AL329" s="49">
        <v>1067</v>
      </c>
      <c r="AM329" s="49">
        <v>1119</v>
      </c>
      <c r="AN329" s="49">
        <v>1124</v>
      </c>
      <c r="AO329" s="31">
        <f>AF329*100000/AH329</f>
        <v>1124.3561778749765</v>
      </c>
      <c r="AP329" s="49">
        <v>1106</v>
      </c>
      <c r="AQ329" s="49">
        <v>1143</v>
      </c>
      <c r="AR329" s="8" t="s">
        <v>270</v>
      </c>
      <c r="AS329" s="14">
        <v>0.97</v>
      </c>
      <c r="AT329" s="14" t="s">
        <v>98</v>
      </c>
      <c r="AU329" s="14">
        <v>0.94</v>
      </c>
      <c r="AV329" s="14">
        <v>1</v>
      </c>
      <c r="AW329" s="8">
        <v>5.1900000000000002E-2</v>
      </c>
      <c r="AX329" s="8" t="s">
        <v>282</v>
      </c>
      <c r="AY329" s="8" t="s">
        <v>276</v>
      </c>
      <c r="AZ329" s="8" t="s">
        <v>276</v>
      </c>
      <c r="BA329" s="8" t="s">
        <v>276</v>
      </c>
      <c r="BB329" s="8" t="s">
        <v>276</v>
      </c>
      <c r="BC329" s="9" t="s">
        <v>3363</v>
      </c>
      <c r="BD329" s="9" t="s">
        <v>3364</v>
      </c>
      <c r="BE329" s="33" t="s">
        <v>100</v>
      </c>
      <c r="BF329" s="33" t="s">
        <v>98</v>
      </c>
    </row>
    <row r="330" spans="1:58" s="7" customFormat="1" ht="104" x14ac:dyDescent="0.3">
      <c r="A330" s="8">
        <v>108</v>
      </c>
      <c r="B330" s="8" t="s">
        <v>3356</v>
      </c>
      <c r="C330" s="8" t="s">
        <v>53</v>
      </c>
      <c r="D330" s="9" t="s">
        <v>3365</v>
      </c>
      <c r="E330" s="8" t="s">
        <v>36</v>
      </c>
      <c r="F330" s="9" t="s">
        <v>134</v>
      </c>
      <c r="G330" s="8" t="s">
        <v>225</v>
      </c>
      <c r="H330" s="8" t="s">
        <v>125</v>
      </c>
      <c r="I330" s="8" t="s">
        <v>114</v>
      </c>
      <c r="J330" s="9" t="s">
        <v>24</v>
      </c>
      <c r="K330" s="9" t="s">
        <v>3366</v>
      </c>
      <c r="L330" s="9" t="s">
        <v>3359</v>
      </c>
      <c r="M330" s="8" t="s">
        <v>14</v>
      </c>
      <c r="N330" s="11" t="s">
        <v>98</v>
      </c>
      <c r="O330" s="12" t="s">
        <v>207</v>
      </c>
      <c r="P330" s="41">
        <v>39813</v>
      </c>
      <c r="Q330" s="9" t="s">
        <v>276</v>
      </c>
      <c r="R330" s="9" t="s">
        <v>3360</v>
      </c>
      <c r="S330" s="9" t="s">
        <v>3360</v>
      </c>
      <c r="T330" s="9">
        <v>1</v>
      </c>
      <c r="U330" s="13">
        <v>57099</v>
      </c>
      <c r="V330" s="38">
        <v>112939</v>
      </c>
      <c r="W330" s="8">
        <v>240</v>
      </c>
      <c r="X330" s="8">
        <v>457</v>
      </c>
      <c r="Y330" s="8" t="s">
        <v>276</v>
      </c>
      <c r="Z330" s="9" t="s">
        <v>1562</v>
      </c>
      <c r="AA330" s="8" t="s">
        <v>276</v>
      </c>
      <c r="AB330" s="9" t="s">
        <v>1562</v>
      </c>
      <c r="AC330" s="9" t="s">
        <v>3367</v>
      </c>
      <c r="AD330" s="9" t="s">
        <v>3362</v>
      </c>
      <c r="AE330" s="13">
        <v>189</v>
      </c>
      <c r="AF330" s="13">
        <v>538</v>
      </c>
      <c r="AG330" s="13">
        <f>173191+446854</f>
        <v>620045</v>
      </c>
      <c r="AH330" s="13">
        <v>1224523</v>
      </c>
      <c r="AI330" s="38" t="s">
        <v>1019</v>
      </c>
      <c r="AJ330" s="49">
        <v>30</v>
      </c>
      <c r="AK330" s="31">
        <f>AE330*100000/AG330</f>
        <v>30.48165858929594</v>
      </c>
      <c r="AL330" s="49">
        <v>26</v>
      </c>
      <c r="AM330" s="49">
        <v>35</v>
      </c>
      <c r="AN330" s="49">
        <v>44</v>
      </c>
      <c r="AO330" s="31">
        <f>AF330*100000/AH330</f>
        <v>43.935475283028573</v>
      </c>
      <c r="AP330" s="49">
        <v>40</v>
      </c>
      <c r="AQ330" s="49">
        <v>48</v>
      </c>
      <c r="AR330" s="8" t="s">
        <v>270</v>
      </c>
      <c r="AS330" s="14">
        <v>0.69</v>
      </c>
      <c r="AT330" s="14" t="s">
        <v>98</v>
      </c>
      <c r="AU330" s="14">
        <v>0.59</v>
      </c>
      <c r="AV330" s="14">
        <v>0.82</v>
      </c>
      <c r="AW330" s="8" t="s">
        <v>3368</v>
      </c>
      <c r="AX330" s="8" t="s">
        <v>282</v>
      </c>
      <c r="AY330" s="8" t="s">
        <v>276</v>
      </c>
      <c r="AZ330" s="8" t="s">
        <v>276</v>
      </c>
      <c r="BA330" s="8" t="s">
        <v>276</v>
      </c>
      <c r="BB330" s="8" t="s">
        <v>276</v>
      </c>
      <c r="BC330" s="9" t="s">
        <v>3369</v>
      </c>
      <c r="BD330" s="9" t="s">
        <v>3364</v>
      </c>
      <c r="BE330" s="33" t="s">
        <v>100</v>
      </c>
      <c r="BF330" s="33" t="s">
        <v>98</v>
      </c>
    </row>
    <row r="331" spans="1:58" s="7" customFormat="1" ht="117" x14ac:dyDescent="0.3">
      <c r="A331" s="8">
        <v>108</v>
      </c>
      <c r="B331" s="8" t="s">
        <v>3356</v>
      </c>
      <c r="C331" s="8" t="s">
        <v>53</v>
      </c>
      <c r="D331" s="9" t="s">
        <v>3370</v>
      </c>
      <c r="E331" s="8" t="s">
        <v>36</v>
      </c>
      <c r="F331" s="9" t="s">
        <v>134</v>
      </c>
      <c r="G331" s="8" t="s">
        <v>225</v>
      </c>
      <c r="H331" s="8" t="s">
        <v>125</v>
      </c>
      <c r="I331" s="8" t="s">
        <v>114</v>
      </c>
      <c r="J331" s="9" t="s">
        <v>24</v>
      </c>
      <c r="K331" s="9" t="s">
        <v>3371</v>
      </c>
      <c r="L331" s="9" t="s">
        <v>3359</v>
      </c>
      <c r="M331" s="8" t="s">
        <v>14</v>
      </c>
      <c r="N331" s="11" t="s">
        <v>98</v>
      </c>
      <c r="O331" s="12" t="s">
        <v>207</v>
      </c>
      <c r="P331" s="41">
        <v>39813</v>
      </c>
      <c r="Q331" s="9" t="s">
        <v>276</v>
      </c>
      <c r="R331" s="9" t="s">
        <v>3360</v>
      </c>
      <c r="S331" s="9" t="s">
        <v>3360</v>
      </c>
      <c r="T331" s="9">
        <v>1</v>
      </c>
      <c r="U331" s="13">
        <v>57099</v>
      </c>
      <c r="V331" s="38">
        <v>112939</v>
      </c>
      <c r="W331" s="8">
        <v>240</v>
      </c>
      <c r="X331" s="8">
        <v>457</v>
      </c>
      <c r="Y331" s="8">
        <v>0</v>
      </c>
      <c r="Z331" s="9" t="s">
        <v>1562</v>
      </c>
      <c r="AA331" s="8">
        <v>0</v>
      </c>
      <c r="AB331" s="9" t="s">
        <v>1562</v>
      </c>
      <c r="AC331" s="9" t="s">
        <v>3372</v>
      </c>
      <c r="AD331" s="9" t="s">
        <v>3362</v>
      </c>
      <c r="AE331" s="13">
        <v>221</v>
      </c>
      <c r="AF331" s="13">
        <v>637</v>
      </c>
      <c r="AG331" s="13">
        <f>173191+446854</f>
        <v>620045</v>
      </c>
      <c r="AH331" s="13">
        <v>1224523</v>
      </c>
      <c r="AI331" s="38" t="s">
        <v>1019</v>
      </c>
      <c r="AJ331" s="49">
        <v>36</v>
      </c>
      <c r="AK331" s="31">
        <f>AE331*100000/AG331</f>
        <v>35.642574329282553</v>
      </c>
      <c r="AL331" s="49">
        <v>31</v>
      </c>
      <c r="AM331" s="49">
        <v>41</v>
      </c>
      <c r="AN331" s="49">
        <v>52</v>
      </c>
      <c r="AO331" s="31">
        <f>AF331*100000/AH331</f>
        <v>52.020256050723425</v>
      </c>
      <c r="AP331" s="49">
        <v>48</v>
      </c>
      <c r="AQ331" s="49">
        <v>56</v>
      </c>
      <c r="AR331" s="8" t="s">
        <v>270</v>
      </c>
      <c r="AS331" s="14">
        <v>0.68</v>
      </c>
      <c r="AT331" s="14" t="s">
        <v>98</v>
      </c>
      <c r="AU331" s="14">
        <v>0.59</v>
      </c>
      <c r="AV331" s="14">
        <v>0.8</v>
      </c>
      <c r="AW331" s="8" t="s">
        <v>3368</v>
      </c>
      <c r="AX331" s="8" t="s">
        <v>282</v>
      </c>
      <c r="AY331" s="8" t="s">
        <v>276</v>
      </c>
      <c r="AZ331" s="8" t="s">
        <v>276</v>
      </c>
      <c r="BA331" s="8" t="s">
        <v>276</v>
      </c>
      <c r="BB331" s="8" t="s">
        <v>276</v>
      </c>
      <c r="BC331" s="9" t="s">
        <v>1358</v>
      </c>
      <c r="BD331" s="9" t="s">
        <v>3373</v>
      </c>
      <c r="BE331" s="33" t="s">
        <v>99</v>
      </c>
      <c r="BF331" s="33" t="s">
        <v>11162</v>
      </c>
    </row>
    <row r="332" spans="1:58" s="87" customFormat="1" ht="52" x14ac:dyDescent="0.3">
      <c r="A332" s="72">
        <v>108</v>
      </c>
      <c r="B332" s="72" t="s">
        <v>3356</v>
      </c>
      <c r="C332" s="72" t="s">
        <v>53</v>
      </c>
      <c r="D332" s="73" t="s">
        <v>3374</v>
      </c>
      <c r="E332" s="72" t="s">
        <v>36</v>
      </c>
      <c r="F332" s="73" t="s">
        <v>134</v>
      </c>
      <c r="G332" s="72" t="s">
        <v>225</v>
      </c>
      <c r="H332" s="72" t="s">
        <v>125</v>
      </c>
      <c r="I332" s="72" t="s">
        <v>114</v>
      </c>
      <c r="J332" s="73" t="s">
        <v>24</v>
      </c>
      <c r="K332" s="73" t="s">
        <v>3358</v>
      </c>
      <c r="L332" s="73" t="s">
        <v>3359</v>
      </c>
      <c r="M332" s="72" t="s">
        <v>14</v>
      </c>
      <c r="N332" s="84" t="s">
        <v>98</v>
      </c>
      <c r="O332" s="85" t="s">
        <v>207</v>
      </c>
      <c r="P332" s="88">
        <v>39813</v>
      </c>
      <c r="Q332" s="73" t="s">
        <v>276</v>
      </c>
      <c r="R332" s="73" t="s">
        <v>3360</v>
      </c>
      <c r="S332" s="73" t="s">
        <v>3360</v>
      </c>
      <c r="T332" s="73">
        <v>1</v>
      </c>
      <c r="U332" s="74">
        <v>57099</v>
      </c>
      <c r="V332" s="75">
        <v>112939</v>
      </c>
      <c r="W332" s="72">
        <v>240</v>
      </c>
      <c r="X332" s="72">
        <v>457</v>
      </c>
      <c r="Y332" s="72">
        <v>0</v>
      </c>
      <c r="Z332" s="73" t="s">
        <v>1562</v>
      </c>
      <c r="AA332" s="72">
        <v>0</v>
      </c>
      <c r="AB332" s="73" t="s">
        <v>1562</v>
      </c>
      <c r="AC332" s="73" t="s">
        <v>3367</v>
      </c>
      <c r="AD332" s="73" t="s">
        <v>3375</v>
      </c>
      <c r="AE332" s="74">
        <f>78+111</f>
        <v>189</v>
      </c>
      <c r="AF332" s="74">
        <v>538</v>
      </c>
      <c r="AG332" s="74">
        <v>57099</v>
      </c>
      <c r="AH332" s="75">
        <v>112939</v>
      </c>
      <c r="AI332" s="75" t="s">
        <v>3376</v>
      </c>
      <c r="AJ332" s="93">
        <v>3.3</v>
      </c>
      <c r="AK332" s="86">
        <f>AE332*1000/AG332</f>
        <v>3.3100404560500185</v>
      </c>
      <c r="AL332" s="93">
        <v>2.9</v>
      </c>
      <c r="AM332" s="93">
        <v>3.8</v>
      </c>
      <c r="AN332" s="93">
        <v>4.8</v>
      </c>
      <c r="AO332" s="86">
        <f>AF332*1000/AH332</f>
        <v>4.763633465853248</v>
      </c>
      <c r="AP332" s="93">
        <v>4.4000000000000004</v>
      </c>
      <c r="AQ332" s="93">
        <v>5.2</v>
      </c>
      <c r="AR332" s="72" t="s">
        <v>268</v>
      </c>
      <c r="AS332" s="76" t="s">
        <v>276</v>
      </c>
      <c r="AT332" s="76">
        <f>AK332/AO332</f>
        <v>0.6948562436167901</v>
      </c>
      <c r="AU332" s="76" t="s">
        <v>276</v>
      </c>
      <c r="AV332" s="76" t="s">
        <v>276</v>
      </c>
      <c r="AW332" s="72" t="s">
        <v>276</v>
      </c>
      <c r="AX332" s="72" t="s">
        <v>282</v>
      </c>
      <c r="AY332" s="72" t="s">
        <v>276</v>
      </c>
      <c r="AZ332" s="72" t="s">
        <v>276</v>
      </c>
      <c r="BA332" s="72" t="s">
        <v>276</v>
      </c>
      <c r="BB332" s="72" t="s">
        <v>276</v>
      </c>
      <c r="BC332" s="73" t="s">
        <v>426</v>
      </c>
      <c r="BD332" s="73" t="s">
        <v>3364</v>
      </c>
      <c r="BE332" s="33" t="s">
        <v>100</v>
      </c>
      <c r="BF332" s="33" t="s">
        <v>98</v>
      </c>
    </row>
    <row r="333" spans="1:58" s="87" customFormat="1" ht="117" x14ac:dyDescent="0.3">
      <c r="A333" s="72">
        <v>108</v>
      </c>
      <c r="B333" s="72" t="s">
        <v>3356</v>
      </c>
      <c r="C333" s="72" t="s">
        <v>53</v>
      </c>
      <c r="D333" s="73" t="s">
        <v>3377</v>
      </c>
      <c r="E333" s="72" t="s">
        <v>36</v>
      </c>
      <c r="F333" s="73" t="s">
        <v>134</v>
      </c>
      <c r="G333" s="72" t="s">
        <v>225</v>
      </c>
      <c r="H333" s="72" t="s">
        <v>125</v>
      </c>
      <c r="I333" s="72" t="s">
        <v>114</v>
      </c>
      <c r="J333" s="73" t="s">
        <v>24</v>
      </c>
      <c r="K333" s="73" t="s">
        <v>3371</v>
      </c>
      <c r="L333" s="73" t="s">
        <v>3359</v>
      </c>
      <c r="M333" s="72" t="s">
        <v>14</v>
      </c>
      <c r="N333" s="84" t="s">
        <v>98</v>
      </c>
      <c r="O333" s="85" t="s">
        <v>207</v>
      </c>
      <c r="P333" s="88">
        <v>39813</v>
      </c>
      <c r="Q333" s="73" t="s">
        <v>276</v>
      </c>
      <c r="R333" s="73" t="s">
        <v>3360</v>
      </c>
      <c r="S333" s="73" t="s">
        <v>3360</v>
      </c>
      <c r="T333" s="73">
        <v>1</v>
      </c>
      <c r="U333" s="74">
        <v>57099</v>
      </c>
      <c r="V333" s="75">
        <v>112939</v>
      </c>
      <c r="W333" s="72">
        <v>240</v>
      </c>
      <c r="X333" s="72">
        <v>457</v>
      </c>
      <c r="Y333" s="72">
        <v>0</v>
      </c>
      <c r="Z333" s="73" t="s">
        <v>1562</v>
      </c>
      <c r="AA333" s="72">
        <v>0</v>
      </c>
      <c r="AB333" s="73" t="s">
        <v>1562</v>
      </c>
      <c r="AC333" s="73" t="s">
        <v>3372</v>
      </c>
      <c r="AD333" s="73" t="s">
        <v>3375</v>
      </c>
      <c r="AE333" s="74">
        <f>94+127</f>
        <v>221</v>
      </c>
      <c r="AF333" s="74">
        <v>637</v>
      </c>
      <c r="AG333" s="74">
        <v>57099</v>
      </c>
      <c r="AH333" s="75">
        <v>112939</v>
      </c>
      <c r="AI333" s="75" t="s">
        <v>3376</v>
      </c>
      <c r="AJ333" s="93">
        <v>3.9</v>
      </c>
      <c r="AK333" s="86">
        <f>AE333*1000/AG333</f>
        <v>3.8704705861748891</v>
      </c>
      <c r="AL333" s="93">
        <v>3.4</v>
      </c>
      <c r="AM333" s="93">
        <v>4.4000000000000004</v>
      </c>
      <c r="AN333" s="93">
        <v>5.6</v>
      </c>
      <c r="AO333" s="86">
        <f>AF333*1000/AH333</f>
        <v>5.6402128582686233</v>
      </c>
      <c r="AP333" s="93">
        <v>5.2</v>
      </c>
      <c r="AQ333" s="93">
        <v>6.1</v>
      </c>
      <c r="AR333" s="72" t="s">
        <v>268</v>
      </c>
      <c r="AS333" s="76" t="s">
        <v>276</v>
      </c>
      <c r="AT333" s="76">
        <f>AK333/AO333</f>
        <v>0.68622775122763857</v>
      </c>
      <c r="AU333" s="76" t="s">
        <v>276</v>
      </c>
      <c r="AV333" s="76" t="s">
        <v>276</v>
      </c>
      <c r="AW333" s="72" t="s">
        <v>276</v>
      </c>
      <c r="AX333" s="72" t="s">
        <v>282</v>
      </c>
      <c r="AY333" s="72" t="s">
        <v>276</v>
      </c>
      <c r="AZ333" s="72" t="s">
        <v>276</v>
      </c>
      <c r="BA333" s="72" t="s">
        <v>276</v>
      </c>
      <c r="BB333" s="72" t="s">
        <v>276</v>
      </c>
      <c r="BC333" s="73" t="s">
        <v>426</v>
      </c>
      <c r="BD333" s="73" t="s">
        <v>3373</v>
      </c>
      <c r="BE333" s="33" t="s">
        <v>99</v>
      </c>
      <c r="BF333" s="33" t="s">
        <v>11162</v>
      </c>
    </row>
    <row r="334" spans="1:58" s="103" customFormat="1" ht="52" x14ac:dyDescent="0.3">
      <c r="A334" s="94">
        <v>103</v>
      </c>
      <c r="B334" s="94" t="s">
        <v>3378</v>
      </c>
      <c r="C334" s="94" t="s">
        <v>53</v>
      </c>
      <c r="D334" s="95" t="s">
        <v>3379</v>
      </c>
      <c r="E334" s="94" t="s">
        <v>36</v>
      </c>
      <c r="F334" s="95" t="s">
        <v>134</v>
      </c>
      <c r="G334" s="94" t="s">
        <v>225</v>
      </c>
      <c r="H334" s="94" t="s">
        <v>125</v>
      </c>
      <c r="I334" s="94" t="s">
        <v>114</v>
      </c>
      <c r="J334" s="95" t="s">
        <v>24</v>
      </c>
      <c r="K334" s="95" t="s">
        <v>3380</v>
      </c>
      <c r="L334" s="95" t="s">
        <v>3381</v>
      </c>
      <c r="M334" s="94" t="s">
        <v>14</v>
      </c>
      <c r="N334" s="144" t="s">
        <v>98</v>
      </c>
      <c r="O334" s="96" t="s">
        <v>207</v>
      </c>
      <c r="P334" s="97">
        <v>42004</v>
      </c>
      <c r="Q334" s="95" t="s">
        <v>276</v>
      </c>
      <c r="R334" s="95" t="s">
        <v>3382</v>
      </c>
      <c r="S334" s="95" t="s">
        <v>3382</v>
      </c>
      <c r="T334" s="95">
        <v>1</v>
      </c>
      <c r="U334" s="107">
        <v>57098</v>
      </c>
      <c r="V334" s="107">
        <v>112936</v>
      </c>
      <c r="W334" s="94" t="s">
        <v>276</v>
      </c>
      <c r="X334" s="94" t="s">
        <v>276</v>
      </c>
      <c r="Y334" s="94"/>
      <c r="Z334" s="94"/>
      <c r="AA334" s="94"/>
      <c r="AB334" s="94"/>
      <c r="AC334" s="95" t="s">
        <v>3383</v>
      </c>
      <c r="AD334" s="95" t="s">
        <v>3384</v>
      </c>
      <c r="AE334" s="94">
        <v>353</v>
      </c>
      <c r="AF334" s="94">
        <v>996</v>
      </c>
      <c r="AG334" s="98" t="s">
        <v>276</v>
      </c>
      <c r="AH334" s="98" t="s">
        <v>276</v>
      </c>
      <c r="AI334" s="99" t="s">
        <v>1019</v>
      </c>
      <c r="AJ334" s="203">
        <v>39</v>
      </c>
      <c r="AK334" s="101" t="s">
        <v>98</v>
      </c>
      <c r="AL334" s="203">
        <v>35</v>
      </c>
      <c r="AM334" s="203">
        <v>43</v>
      </c>
      <c r="AN334" s="203">
        <v>56</v>
      </c>
      <c r="AO334" s="101" t="s">
        <v>98</v>
      </c>
      <c r="AP334" s="203">
        <v>53</v>
      </c>
      <c r="AQ334" s="203">
        <v>60</v>
      </c>
      <c r="AR334" s="94" t="s">
        <v>270</v>
      </c>
      <c r="AS334" s="102">
        <v>0.7</v>
      </c>
      <c r="AT334" s="102" t="s">
        <v>98</v>
      </c>
      <c r="AU334" s="102">
        <v>0.62</v>
      </c>
      <c r="AV334" s="102">
        <v>0.79</v>
      </c>
      <c r="AW334" s="94" t="s">
        <v>3368</v>
      </c>
      <c r="AX334" s="94" t="s">
        <v>282</v>
      </c>
      <c r="AY334" s="94" t="s">
        <v>98</v>
      </c>
      <c r="AZ334" s="94" t="s">
        <v>98</v>
      </c>
      <c r="BA334" s="94" t="s">
        <v>98</v>
      </c>
      <c r="BB334" s="94" t="s">
        <v>98</v>
      </c>
      <c r="BC334" s="95" t="s">
        <v>3385</v>
      </c>
      <c r="BD334" s="95" t="s">
        <v>3386</v>
      </c>
      <c r="BE334" s="33" t="s">
        <v>100</v>
      </c>
      <c r="BF334" s="33" t="s">
        <v>98</v>
      </c>
    </row>
    <row r="335" spans="1:58" s="103" customFormat="1" ht="78" x14ac:dyDescent="0.3">
      <c r="A335" s="94">
        <v>103</v>
      </c>
      <c r="B335" s="94" t="s">
        <v>3378</v>
      </c>
      <c r="C335" s="94" t="s">
        <v>53</v>
      </c>
      <c r="D335" s="95" t="s">
        <v>3387</v>
      </c>
      <c r="E335" s="94" t="s">
        <v>36</v>
      </c>
      <c r="F335" s="95" t="s">
        <v>134</v>
      </c>
      <c r="G335" s="94" t="s">
        <v>225</v>
      </c>
      <c r="H335" s="94" t="s">
        <v>125</v>
      </c>
      <c r="I335" s="94" t="s">
        <v>114</v>
      </c>
      <c r="J335" s="95" t="s">
        <v>24</v>
      </c>
      <c r="K335" s="95" t="s">
        <v>3380</v>
      </c>
      <c r="L335" s="95" t="s">
        <v>3381</v>
      </c>
      <c r="M335" s="94" t="s">
        <v>14</v>
      </c>
      <c r="N335" s="144" t="s">
        <v>98</v>
      </c>
      <c r="O335" s="96" t="s">
        <v>207</v>
      </c>
      <c r="P335" s="97">
        <v>42004</v>
      </c>
      <c r="Q335" s="95" t="s">
        <v>276</v>
      </c>
      <c r="R335" s="95" t="s">
        <v>3382</v>
      </c>
      <c r="S335" s="95" t="s">
        <v>3382</v>
      </c>
      <c r="T335" s="95">
        <v>1</v>
      </c>
      <c r="U335" s="107">
        <v>57098</v>
      </c>
      <c r="V335" s="107">
        <v>112936</v>
      </c>
      <c r="W335" s="94" t="s">
        <v>276</v>
      </c>
      <c r="X335" s="94" t="s">
        <v>276</v>
      </c>
      <c r="Y335" s="94">
        <v>15</v>
      </c>
      <c r="Z335" s="95" t="s">
        <v>3388</v>
      </c>
      <c r="AA335" s="94">
        <v>36</v>
      </c>
      <c r="AB335" s="95" t="s">
        <v>3388</v>
      </c>
      <c r="AC335" s="95" t="s">
        <v>3389</v>
      </c>
      <c r="AD335" s="95" t="s">
        <v>3384</v>
      </c>
      <c r="AE335" s="94">
        <v>149</v>
      </c>
      <c r="AF335" s="94">
        <v>544</v>
      </c>
      <c r="AG335" s="98" t="s">
        <v>276</v>
      </c>
      <c r="AH335" s="98" t="s">
        <v>276</v>
      </c>
      <c r="AI335" s="99" t="s">
        <v>1019</v>
      </c>
      <c r="AJ335" s="203">
        <v>17</v>
      </c>
      <c r="AK335" s="101" t="s">
        <v>98</v>
      </c>
      <c r="AL335" s="203">
        <v>14</v>
      </c>
      <c r="AM335" s="203">
        <v>19</v>
      </c>
      <c r="AN335" s="203">
        <v>31</v>
      </c>
      <c r="AO335" s="101" t="s">
        <v>98</v>
      </c>
      <c r="AP335" s="203">
        <v>28</v>
      </c>
      <c r="AQ335" s="203">
        <v>33</v>
      </c>
      <c r="AR335" s="94" t="s">
        <v>270</v>
      </c>
      <c r="AS335" s="102">
        <v>0.54</v>
      </c>
      <c r="AT335" s="102" t="s">
        <v>98</v>
      </c>
      <c r="AU335" s="102">
        <v>0.45</v>
      </c>
      <c r="AV335" s="102">
        <v>0.65</v>
      </c>
      <c r="AW335" s="94" t="s">
        <v>3368</v>
      </c>
      <c r="AX335" s="94" t="s">
        <v>282</v>
      </c>
      <c r="AY335" s="94" t="s">
        <v>98</v>
      </c>
      <c r="AZ335" s="94" t="s">
        <v>98</v>
      </c>
      <c r="BA335" s="94" t="s">
        <v>98</v>
      </c>
      <c r="BB335" s="94" t="s">
        <v>98</v>
      </c>
      <c r="BC335" s="95" t="s">
        <v>3390</v>
      </c>
      <c r="BD335" s="95" t="s">
        <v>3391</v>
      </c>
      <c r="BE335" s="33" t="s">
        <v>100</v>
      </c>
      <c r="BF335" s="33" t="s">
        <v>98</v>
      </c>
    </row>
    <row r="336" spans="1:58" s="103" customFormat="1" ht="78" x14ac:dyDescent="0.3">
      <c r="A336" s="94">
        <v>103</v>
      </c>
      <c r="B336" s="94" t="s">
        <v>3378</v>
      </c>
      <c r="C336" s="94" t="s">
        <v>53</v>
      </c>
      <c r="D336" s="95" t="s">
        <v>3392</v>
      </c>
      <c r="E336" s="94" t="s">
        <v>36</v>
      </c>
      <c r="F336" s="95" t="s">
        <v>134</v>
      </c>
      <c r="G336" s="94" t="s">
        <v>225</v>
      </c>
      <c r="H336" s="94" t="s">
        <v>125</v>
      </c>
      <c r="I336" s="94" t="s">
        <v>114</v>
      </c>
      <c r="J336" s="95" t="s">
        <v>24</v>
      </c>
      <c r="K336" s="95" t="s">
        <v>3380</v>
      </c>
      <c r="L336" s="95" t="s">
        <v>3381</v>
      </c>
      <c r="M336" s="94" t="s">
        <v>14</v>
      </c>
      <c r="N336" s="144" t="s">
        <v>98</v>
      </c>
      <c r="O336" s="96" t="s">
        <v>207</v>
      </c>
      <c r="P336" s="97">
        <v>42004</v>
      </c>
      <c r="Q336" s="95" t="s">
        <v>276</v>
      </c>
      <c r="R336" s="95" t="s">
        <v>3382</v>
      </c>
      <c r="S336" s="95" t="s">
        <v>3382</v>
      </c>
      <c r="T336" s="95">
        <v>1</v>
      </c>
      <c r="U336" s="107">
        <v>57098</v>
      </c>
      <c r="V336" s="107">
        <v>112936</v>
      </c>
      <c r="W336" s="94" t="s">
        <v>276</v>
      </c>
      <c r="X336" s="94" t="s">
        <v>276</v>
      </c>
      <c r="Y336" s="94">
        <v>15</v>
      </c>
      <c r="Z336" s="95" t="s">
        <v>3388</v>
      </c>
      <c r="AA336" s="94">
        <v>36</v>
      </c>
      <c r="AB336" s="95" t="s">
        <v>3388</v>
      </c>
      <c r="AC336" s="95" t="s">
        <v>3393</v>
      </c>
      <c r="AD336" s="95" t="s">
        <v>3384</v>
      </c>
      <c r="AE336" s="94">
        <v>185</v>
      </c>
      <c r="AF336" s="94">
        <v>403</v>
      </c>
      <c r="AG336" s="98" t="s">
        <v>276</v>
      </c>
      <c r="AH336" s="98" t="s">
        <v>276</v>
      </c>
      <c r="AI336" s="99" t="s">
        <v>1019</v>
      </c>
      <c r="AJ336" s="203">
        <v>21</v>
      </c>
      <c r="AK336" s="101" t="s">
        <v>98</v>
      </c>
      <c r="AL336" s="203">
        <v>18</v>
      </c>
      <c r="AM336" s="203">
        <v>24</v>
      </c>
      <c r="AN336" s="203">
        <v>23</v>
      </c>
      <c r="AO336" s="101" t="s">
        <v>98</v>
      </c>
      <c r="AP336" s="203">
        <v>21</v>
      </c>
      <c r="AQ336" s="203">
        <v>25</v>
      </c>
      <c r="AR336" s="94" t="s">
        <v>270</v>
      </c>
      <c r="AS336" s="102">
        <v>0.91</v>
      </c>
      <c r="AT336" s="102" t="s">
        <v>98</v>
      </c>
      <c r="AU336" s="102">
        <v>0.76</v>
      </c>
      <c r="AV336" s="102">
        <v>1.08</v>
      </c>
      <c r="AW336" s="94">
        <v>0.26200000000000001</v>
      </c>
      <c r="AX336" s="94" t="s">
        <v>282</v>
      </c>
      <c r="AY336" s="94" t="s">
        <v>98</v>
      </c>
      <c r="AZ336" s="94" t="s">
        <v>98</v>
      </c>
      <c r="BA336" s="94" t="s">
        <v>98</v>
      </c>
      <c r="BB336" s="94" t="s">
        <v>98</v>
      </c>
      <c r="BC336" s="95" t="s">
        <v>3394</v>
      </c>
      <c r="BD336" s="95" t="s">
        <v>3391</v>
      </c>
      <c r="BE336" s="33" t="s">
        <v>100</v>
      </c>
      <c r="BF336" s="33" t="s">
        <v>98</v>
      </c>
    </row>
    <row r="337" spans="1:58" s="208" customFormat="1" ht="52" x14ac:dyDescent="0.3">
      <c r="A337" s="112">
        <v>103</v>
      </c>
      <c r="B337" s="112" t="s">
        <v>3378</v>
      </c>
      <c r="C337" s="112" t="s">
        <v>53</v>
      </c>
      <c r="D337" s="113" t="s">
        <v>3395</v>
      </c>
      <c r="E337" s="112" t="s">
        <v>36</v>
      </c>
      <c r="F337" s="113" t="s">
        <v>134</v>
      </c>
      <c r="G337" s="112" t="s">
        <v>225</v>
      </c>
      <c r="H337" s="112" t="s">
        <v>125</v>
      </c>
      <c r="I337" s="112" t="s">
        <v>114</v>
      </c>
      <c r="J337" s="113" t="s">
        <v>23</v>
      </c>
      <c r="K337" s="113" t="s">
        <v>3396</v>
      </c>
      <c r="L337" s="113" t="s">
        <v>3381</v>
      </c>
      <c r="M337" s="112" t="s">
        <v>14</v>
      </c>
      <c r="N337" s="204" t="s">
        <v>98</v>
      </c>
      <c r="O337" s="117" t="s">
        <v>207</v>
      </c>
      <c r="P337" s="205">
        <v>42004</v>
      </c>
      <c r="Q337" s="113" t="s">
        <v>276</v>
      </c>
      <c r="R337" s="113" t="s">
        <v>3382</v>
      </c>
      <c r="S337" s="113" t="s">
        <v>3382</v>
      </c>
      <c r="T337" s="113">
        <v>1</v>
      </c>
      <c r="U337" s="120">
        <v>57098</v>
      </c>
      <c r="V337" s="120">
        <v>112936</v>
      </c>
      <c r="W337" s="112" t="s">
        <v>276</v>
      </c>
      <c r="X337" s="112" t="s">
        <v>276</v>
      </c>
      <c r="Y337" s="112">
        <v>0</v>
      </c>
      <c r="Z337" s="112" t="s">
        <v>98</v>
      </c>
      <c r="AA337" s="112">
        <v>0</v>
      </c>
      <c r="AB337" s="112" t="s">
        <v>98</v>
      </c>
      <c r="AC337" s="113" t="s">
        <v>3397</v>
      </c>
      <c r="AD337" s="113" t="s">
        <v>3384</v>
      </c>
      <c r="AE337" s="112">
        <v>13279</v>
      </c>
      <c r="AF337" s="112">
        <v>26409</v>
      </c>
      <c r="AG337" s="118" t="s">
        <v>276</v>
      </c>
      <c r="AH337" s="118" t="s">
        <v>276</v>
      </c>
      <c r="AI337" s="119" t="s">
        <v>1019</v>
      </c>
      <c r="AJ337" s="206">
        <v>1472</v>
      </c>
      <c r="AK337" s="207" t="s">
        <v>98</v>
      </c>
      <c r="AL337" s="206">
        <v>1447</v>
      </c>
      <c r="AM337" s="206">
        <v>1497</v>
      </c>
      <c r="AN337" s="206">
        <v>1483</v>
      </c>
      <c r="AO337" s="207" t="s">
        <v>98</v>
      </c>
      <c r="AP337" s="206">
        <v>1465</v>
      </c>
      <c r="AQ337" s="206">
        <v>1501</v>
      </c>
      <c r="AR337" s="112" t="s">
        <v>270</v>
      </c>
      <c r="AS337" s="121">
        <v>0.99</v>
      </c>
      <c r="AT337" s="121" t="s">
        <v>98</v>
      </c>
      <c r="AU337" s="121">
        <v>0.97</v>
      </c>
      <c r="AV337" s="121">
        <v>1.01</v>
      </c>
      <c r="AW337" s="207">
        <v>0.46</v>
      </c>
      <c r="AX337" s="112" t="s">
        <v>282</v>
      </c>
      <c r="AY337" s="112" t="s">
        <v>98</v>
      </c>
      <c r="AZ337" s="112" t="s">
        <v>98</v>
      </c>
      <c r="BA337" s="112" t="s">
        <v>98</v>
      </c>
      <c r="BB337" s="112" t="s">
        <v>98</v>
      </c>
      <c r="BC337" s="113" t="s">
        <v>3398</v>
      </c>
      <c r="BD337" s="113" t="s">
        <v>3386</v>
      </c>
      <c r="BE337" s="33" t="s">
        <v>100</v>
      </c>
      <c r="BF337" s="33" t="s">
        <v>98</v>
      </c>
    </row>
    <row r="338" spans="1:58" s="103" customFormat="1" ht="52" x14ac:dyDescent="0.3">
      <c r="A338" s="94">
        <v>103</v>
      </c>
      <c r="B338" s="94" t="s">
        <v>3378</v>
      </c>
      <c r="C338" s="94" t="s">
        <v>53</v>
      </c>
      <c r="D338" s="95" t="s">
        <v>3399</v>
      </c>
      <c r="E338" s="94" t="s">
        <v>36</v>
      </c>
      <c r="F338" s="95" t="s">
        <v>134</v>
      </c>
      <c r="G338" s="94" t="s">
        <v>225</v>
      </c>
      <c r="H338" s="94" t="s">
        <v>125</v>
      </c>
      <c r="I338" s="94" t="s">
        <v>114</v>
      </c>
      <c r="J338" s="95" t="s">
        <v>24</v>
      </c>
      <c r="K338" s="95" t="s">
        <v>3400</v>
      </c>
      <c r="L338" s="95" t="s">
        <v>3381</v>
      </c>
      <c r="M338" s="94" t="s">
        <v>14</v>
      </c>
      <c r="N338" s="144" t="s">
        <v>98</v>
      </c>
      <c r="O338" s="96" t="s">
        <v>207</v>
      </c>
      <c r="P338" s="97">
        <v>42004</v>
      </c>
      <c r="Q338" s="95" t="s">
        <v>276</v>
      </c>
      <c r="R338" s="95" t="s">
        <v>3382</v>
      </c>
      <c r="S338" s="95" t="s">
        <v>3382</v>
      </c>
      <c r="T338" s="95">
        <v>1</v>
      </c>
      <c r="U338" s="107">
        <v>57098</v>
      </c>
      <c r="V338" s="107">
        <v>112936</v>
      </c>
      <c r="W338" s="94" t="s">
        <v>276</v>
      </c>
      <c r="X338" s="94" t="s">
        <v>276</v>
      </c>
      <c r="Y338" s="94"/>
      <c r="Z338" s="94"/>
      <c r="AA338" s="94"/>
      <c r="AB338" s="94"/>
      <c r="AC338" s="95" t="s">
        <v>3401</v>
      </c>
      <c r="AD338" s="95" t="s">
        <v>3375</v>
      </c>
      <c r="AE338" s="94">
        <v>353</v>
      </c>
      <c r="AF338" s="94">
        <v>996</v>
      </c>
      <c r="AG338" s="107">
        <v>57098</v>
      </c>
      <c r="AH338" s="107">
        <v>112936</v>
      </c>
      <c r="AI338" s="99" t="s">
        <v>3376</v>
      </c>
      <c r="AJ338" s="100">
        <v>6.2</v>
      </c>
      <c r="AK338" s="101">
        <f>AE338*1000/AG338</f>
        <v>6.1823531472205682</v>
      </c>
      <c r="AL338" s="203" t="s">
        <v>276</v>
      </c>
      <c r="AM338" s="203" t="s">
        <v>276</v>
      </c>
      <c r="AN338" s="100">
        <v>8.8000000000000007</v>
      </c>
      <c r="AO338" s="101">
        <f>AF338*1000/AH338</f>
        <v>8.8191542112346824</v>
      </c>
      <c r="AP338" s="203" t="s">
        <v>276</v>
      </c>
      <c r="AQ338" s="203" t="s">
        <v>276</v>
      </c>
      <c r="AR338" s="94" t="s">
        <v>268</v>
      </c>
      <c r="AS338" s="102" t="s">
        <v>276</v>
      </c>
      <c r="AT338" s="101">
        <f>AK338/AO338</f>
        <v>0.70101429220331524</v>
      </c>
      <c r="AU338" s="102" t="s">
        <v>276</v>
      </c>
      <c r="AV338" s="102" t="s">
        <v>276</v>
      </c>
      <c r="AW338" s="102" t="s">
        <v>276</v>
      </c>
      <c r="AX338" s="94" t="s">
        <v>282</v>
      </c>
      <c r="AY338" s="94" t="s">
        <v>98</v>
      </c>
      <c r="AZ338" s="94" t="s">
        <v>98</v>
      </c>
      <c r="BA338" s="94" t="s">
        <v>98</v>
      </c>
      <c r="BB338" s="94" t="s">
        <v>98</v>
      </c>
      <c r="BC338" s="95" t="s">
        <v>1029</v>
      </c>
      <c r="BD338" s="95" t="s">
        <v>3386</v>
      </c>
      <c r="BE338" s="33" t="s">
        <v>100</v>
      </c>
      <c r="BF338" s="33" t="s">
        <v>98</v>
      </c>
    </row>
    <row r="339" spans="1:58" s="103" customFormat="1" ht="78" x14ac:dyDescent="0.3">
      <c r="A339" s="94">
        <v>103</v>
      </c>
      <c r="B339" s="94" t="s">
        <v>3378</v>
      </c>
      <c r="C339" s="94" t="s">
        <v>53</v>
      </c>
      <c r="D339" s="95" t="s">
        <v>3402</v>
      </c>
      <c r="E339" s="94" t="s">
        <v>36</v>
      </c>
      <c r="F339" s="95" t="s">
        <v>134</v>
      </c>
      <c r="G339" s="94" t="s">
        <v>225</v>
      </c>
      <c r="H339" s="94" t="s">
        <v>125</v>
      </c>
      <c r="I339" s="94" t="s">
        <v>114</v>
      </c>
      <c r="J339" s="95" t="s">
        <v>24</v>
      </c>
      <c r="K339" s="95" t="s">
        <v>3403</v>
      </c>
      <c r="L339" s="95" t="s">
        <v>3381</v>
      </c>
      <c r="M339" s="94" t="s">
        <v>14</v>
      </c>
      <c r="N339" s="144" t="s">
        <v>98</v>
      </c>
      <c r="O339" s="96" t="s">
        <v>207</v>
      </c>
      <c r="P339" s="97">
        <v>42004</v>
      </c>
      <c r="Q339" s="95" t="s">
        <v>276</v>
      </c>
      <c r="R339" s="95" t="s">
        <v>3382</v>
      </c>
      <c r="S339" s="95" t="s">
        <v>3382</v>
      </c>
      <c r="T339" s="95">
        <v>1</v>
      </c>
      <c r="U339" s="107">
        <v>57098</v>
      </c>
      <c r="V339" s="107">
        <v>112936</v>
      </c>
      <c r="W339" s="94" t="s">
        <v>276</v>
      </c>
      <c r="X339" s="94" t="s">
        <v>276</v>
      </c>
      <c r="Y339" s="94"/>
      <c r="Z339" s="94"/>
      <c r="AA339" s="94"/>
      <c r="AB339" s="94"/>
      <c r="AC339" s="95" t="s">
        <v>3404</v>
      </c>
      <c r="AD339" s="95" t="s">
        <v>3375</v>
      </c>
      <c r="AE339" s="94">
        <v>416</v>
      </c>
      <c r="AF339" s="94">
        <v>1188</v>
      </c>
      <c r="AG339" s="107">
        <v>57098</v>
      </c>
      <c r="AH339" s="107">
        <v>112936</v>
      </c>
      <c r="AI339" s="99" t="s">
        <v>3376</v>
      </c>
      <c r="AJ339" s="100">
        <v>7.3</v>
      </c>
      <c r="AK339" s="101">
        <f>AE339*1000/AG339</f>
        <v>7.285719289642369</v>
      </c>
      <c r="AL339" s="203" t="s">
        <v>276</v>
      </c>
      <c r="AM339" s="203" t="s">
        <v>276</v>
      </c>
      <c r="AN339" s="100">
        <v>10.5</v>
      </c>
      <c r="AO339" s="101">
        <f>AF339*1000/AH339</f>
        <v>10.519232131472693</v>
      </c>
      <c r="AP339" s="203" t="s">
        <v>276</v>
      </c>
      <c r="AQ339" s="203" t="s">
        <v>276</v>
      </c>
      <c r="AR339" s="94" t="s">
        <v>268</v>
      </c>
      <c r="AS339" s="102" t="s">
        <v>276</v>
      </c>
      <c r="AT339" s="101">
        <f>AK339/AO339</f>
        <v>0.6926094223022311</v>
      </c>
      <c r="AU339" s="102" t="s">
        <v>276</v>
      </c>
      <c r="AV339" s="102" t="s">
        <v>276</v>
      </c>
      <c r="AW339" s="102" t="s">
        <v>276</v>
      </c>
      <c r="AX339" s="94" t="s">
        <v>282</v>
      </c>
      <c r="AY339" s="94" t="s">
        <v>98</v>
      </c>
      <c r="AZ339" s="94" t="s">
        <v>98</v>
      </c>
      <c r="BA339" s="94" t="s">
        <v>98</v>
      </c>
      <c r="BB339" s="94" t="s">
        <v>98</v>
      </c>
      <c r="BC339" s="95" t="s">
        <v>1029</v>
      </c>
      <c r="BD339" s="95" t="s">
        <v>3386</v>
      </c>
      <c r="BE339" s="33" t="s">
        <v>100</v>
      </c>
      <c r="BF339" s="33" t="s">
        <v>98</v>
      </c>
    </row>
    <row r="340" spans="1:58" s="103" customFormat="1" ht="78" x14ac:dyDescent="0.3">
      <c r="A340" s="94">
        <v>103</v>
      </c>
      <c r="B340" s="94" t="s">
        <v>3378</v>
      </c>
      <c r="C340" s="94" t="s">
        <v>53</v>
      </c>
      <c r="D340" s="95" t="s">
        <v>3405</v>
      </c>
      <c r="E340" s="94" t="s">
        <v>36</v>
      </c>
      <c r="F340" s="95" t="s">
        <v>134</v>
      </c>
      <c r="G340" s="94" t="s">
        <v>225</v>
      </c>
      <c r="H340" s="94" t="s">
        <v>125</v>
      </c>
      <c r="I340" s="94" t="s">
        <v>114</v>
      </c>
      <c r="J340" s="95" t="s">
        <v>24</v>
      </c>
      <c r="K340" s="95" t="s">
        <v>3403</v>
      </c>
      <c r="L340" s="95" t="s">
        <v>3381</v>
      </c>
      <c r="M340" s="94" t="s">
        <v>14</v>
      </c>
      <c r="N340" s="144" t="s">
        <v>98</v>
      </c>
      <c r="O340" s="96" t="s">
        <v>207</v>
      </c>
      <c r="P340" s="97">
        <v>42004</v>
      </c>
      <c r="Q340" s="95" t="s">
        <v>276</v>
      </c>
      <c r="R340" s="95" t="s">
        <v>3382</v>
      </c>
      <c r="S340" s="95" t="s">
        <v>3382</v>
      </c>
      <c r="T340" s="95">
        <v>1</v>
      </c>
      <c r="U340" s="107">
        <v>57098</v>
      </c>
      <c r="V340" s="107">
        <v>112936</v>
      </c>
      <c r="W340" s="94" t="s">
        <v>276</v>
      </c>
      <c r="X340" s="94" t="s">
        <v>276</v>
      </c>
      <c r="Y340" s="94"/>
      <c r="Z340" s="94"/>
      <c r="AA340" s="94"/>
      <c r="AB340" s="94"/>
      <c r="AC340" s="95" t="s">
        <v>3404</v>
      </c>
      <c r="AD340" s="95" t="s">
        <v>3406</v>
      </c>
      <c r="AE340" s="94">
        <v>416</v>
      </c>
      <c r="AF340" s="94">
        <v>1188</v>
      </c>
      <c r="AG340" s="107" t="s">
        <v>276</v>
      </c>
      <c r="AH340" s="107" t="s">
        <v>276</v>
      </c>
      <c r="AI340" s="99" t="s">
        <v>1019</v>
      </c>
      <c r="AJ340" s="203">
        <v>46</v>
      </c>
      <c r="AK340" s="101" t="s">
        <v>98</v>
      </c>
      <c r="AL340" s="203">
        <v>42</v>
      </c>
      <c r="AM340" s="203">
        <v>51</v>
      </c>
      <c r="AN340" s="203">
        <v>67</v>
      </c>
      <c r="AO340" s="101" t="s">
        <v>98</v>
      </c>
      <c r="AP340" s="203">
        <v>63</v>
      </c>
      <c r="AQ340" s="203">
        <v>71</v>
      </c>
      <c r="AR340" s="94" t="s">
        <v>270</v>
      </c>
      <c r="AS340" s="102">
        <v>0.69</v>
      </c>
      <c r="AT340" s="101" t="s">
        <v>98</v>
      </c>
      <c r="AU340" s="102">
        <v>0.62</v>
      </c>
      <c r="AV340" s="102">
        <v>0.77</v>
      </c>
      <c r="AW340" s="102" t="s">
        <v>3368</v>
      </c>
      <c r="AX340" s="94" t="s">
        <v>282</v>
      </c>
      <c r="AY340" s="94" t="s">
        <v>98</v>
      </c>
      <c r="AZ340" s="94" t="s">
        <v>98</v>
      </c>
      <c r="BA340" s="94" t="s">
        <v>98</v>
      </c>
      <c r="BB340" s="94" t="s">
        <v>98</v>
      </c>
      <c r="BC340" s="95" t="s">
        <v>3407</v>
      </c>
      <c r="BD340" s="95" t="s">
        <v>3386</v>
      </c>
      <c r="BE340" s="33" t="s">
        <v>100</v>
      </c>
      <c r="BF340" s="33" t="s">
        <v>98</v>
      </c>
    </row>
    <row r="341" spans="1:58" s="208" customFormat="1" ht="52" x14ac:dyDescent="0.3">
      <c r="A341" s="112">
        <v>103</v>
      </c>
      <c r="B341" s="112" t="s">
        <v>3378</v>
      </c>
      <c r="C341" s="112" t="s">
        <v>53</v>
      </c>
      <c r="D341" s="113" t="s">
        <v>3408</v>
      </c>
      <c r="E341" s="112" t="s">
        <v>36</v>
      </c>
      <c r="F341" s="113" t="s">
        <v>134</v>
      </c>
      <c r="G341" s="112" t="s">
        <v>225</v>
      </c>
      <c r="H341" s="112" t="s">
        <v>125</v>
      </c>
      <c r="I341" s="112" t="s">
        <v>114</v>
      </c>
      <c r="J341" s="113" t="s">
        <v>24</v>
      </c>
      <c r="K341" s="113" t="s">
        <v>3400</v>
      </c>
      <c r="L341" s="113" t="s">
        <v>3381</v>
      </c>
      <c r="M341" s="112" t="s">
        <v>16</v>
      </c>
      <c r="N341" s="204" t="s">
        <v>170</v>
      </c>
      <c r="O341" s="117" t="s">
        <v>207</v>
      </c>
      <c r="P341" s="205">
        <v>42004</v>
      </c>
      <c r="Q341" s="113" t="s">
        <v>276</v>
      </c>
      <c r="R341" s="113" t="s">
        <v>276</v>
      </c>
      <c r="S341" s="113" t="s">
        <v>276</v>
      </c>
      <c r="T341" s="113">
        <v>1</v>
      </c>
      <c r="U341" s="118">
        <v>27995</v>
      </c>
      <c r="V341" s="119">
        <v>55339</v>
      </c>
      <c r="W341" s="112" t="s">
        <v>276</v>
      </c>
      <c r="X341" s="112" t="s">
        <v>276</v>
      </c>
      <c r="Y341" s="112"/>
      <c r="Z341" s="112"/>
      <c r="AA341" s="112"/>
      <c r="AB341" s="112"/>
      <c r="AC341" s="113" t="s">
        <v>3409</v>
      </c>
      <c r="AD341" s="113" t="s">
        <v>3410</v>
      </c>
      <c r="AE341" s="112">
        <v>206</v>
      </c>
      <c r="AF341" s="112">
        <v>606</v>
      </c>
      <c r="AG341" s="118">
        <v>27995</v>
      </c>
      <c r="AH341" s="119">
        <v>55339</v>
      </c>
      <c r="AI341" s="119" t="s">
        <v>3376</v>
      </c>
      <c r="AJ341" s="164">
        <v>7.4</v>
      </c>
      <c r="AK341" s="207">
        <f>AE341*1000/AG341</f>
        <v>7.3584568672977317</v>
      </c>
      <c r="AL341" s="206" t="s">
        <v>276</v>
      </c>
      <c r="AM341" s="206" t="s">
        <v>276</v>
      </c>
      <c r="AN341" s="164">
        <v>11</v>
      </c>
      <c r="AO341" s="207">
        <f>AF341*1000/AH341</f>
        <v>10.950685773143714</v>
      </c>
      <c r="AP341" s="206" t="s">
        <v>276</v>
      </c>
      <c r="AQ341" s="206" t="s">
        <v>276</v>
      </c>
      <c r="AR341" s="112" t="s">
        <v>268</v>
      </c>
      <c r="AS341" s="121" t="s">
        <v>276</v>
      </c>
      <c r="AT341" s="207">
        <f>AK341/AO341</f>
        <v>0.67196310986697882</v>
      </c>
      <c r="AU341" s="121" t="s">
        <v>276</v>
      </c>
      <c r="AV341" s="121" t="s">
        <v>276</v>
      </c>
      <c r="AW341" s="121" t="s">
        <v>276</v>
      </c>
      <c r="AX341" s="112" t="s">
        <v>282</v>
      </c>
      <c r="AY341" s="112" t="s">
        <v>98</v>
      </c>
      <c r="AZ341" s="112" t="s">
        <v>98</v>
      </c>
      <c r="BA341" s="112" t="s">
        <v>98</v>
      </c>
      <c r="BB341" s="112" t="s">
        <v>98</v>
      </c>
      <c r="BC341" s="113" t="s">
        <v>3411</v>
      </c>
      <c r="BD341" s="113" t="s">
        <v>3386</v>
      </c>
      <c r="BE341" s="33" t="s">
        <v>100</v>
      </c>
      <c r="BF341" s="33" t="s">
        <v>98</v>
      </c>
    </row>
    <row r="342" spans="1:58" s="208" customFormat="1" ht="52" x14ac:dyDescent="0.3">
      <c r="A342" s="112">
        <v>103</v>
      </c>
      <c r="B342" s="112" t="s">
        <v>3378</v>
      </c>
      <c r="C342" s="112" t="s">
        <v>53</v>
      </c>
      <c r="D342" s="113" t="s">
        <v>3412</v>
      </c>
      <c r="E342" s="112" t="s">
        <v>36</v>
      </c>
      <c r="F342" s="113" t="s">
        <v>134</v>
      </c>
      <c r="G342" s="112" t="s">
        <v>225</v>
      </c>
      <c r="H342" s="112" t="s">
        <v>125</v>
      </c>
      <c r="I342" s="112" t="s">
        <v>114</v>
      </c>
      <c r="J342" s="113" t="s">
        <v>24</v>
      </c>
      <c r="K342" s="113" t="s">
        <v>3400</v>
      </c>
      <c r="L342" s="113" t="s">
        <v>3381</v>
      </c>
      <c r="M342" s="112" t="s">
        <v>16</v>
      </c>
      <c r="N342" s="204" t="s">
        <v>170</v>
      </c>
      <c r="O342" s="117" t="s">
        <v>207</v>
      </c>
      <c r="P342" s="205">
        <v>42004</v>
      </c>
      <c r="Q342" s="113" t="s">
        <v>276</v>
      </c>
      <c r="R342" s="113" t="s">
        <v>276</v>
      </c>
      <c r="S342" s="113" t="s">
        <v>276</v>
      </c>
      <c r="T342" s="113">
        <v>1</v>
      </c>
      <c r="U342" s="118">
        <v>27995</v>
      </c>
      <c r="V342" s="119">
        <v>55339</v>
      </c>
      <c r="W342" s="112" t="s">
        <v>276</v>
      </c>
      <c r="X342" s="112" t="s">
        <v>276</v>
      </c>
      <c r="Y342" s="112"/>
      <c r="Z342" s="112"/>
      <c r="AA342" s="112"/>
      <c r="AB342" s="112"/>
      <c r="AC342" s="113" t="s">
        <v>3409</v>
      </c>
      <c r="AD342" s="113" t="s">
        <v>3413</v>
      </c>
      <c r="AE342" s="112">
        <v>206</v>
      </c>
      <c r="AF342" s="112">
        <v>606</v>
      </c>
      <c r="AG342" s="118" t="s">
        <v>276</v>
      </c>
      <c r="AH342" s="119" t="s">
        <v>276</v>
      </c>
      <c r="AI342" s="119" t="s">
        <v>1019</v>
      </c>
      <c r="AJ342" s="206">
        <v>48</v>
      </c>
      <c r="AK342" s="207" t="s">
        <v>98</v>
      </c>
      <c r="AL342" s="206">
        <v>42</v>
      </c>
      <c r="AM342" s="206">
        <v>55</v>
      </c>
      <c r="AN342" s="206">
        <v>71</v>
      </c>
      <c r="AO342" s="207" t="s">
        <v>98</v>
      </c>
      <c r="AP342" s="206">
        <v>66</v>
      </c>
      <c r="AQ342" s="206">
        <v>77</v>
      </c>
      <c r="AR342" s="112" t="s">
        <v>270</v>
      </c>
      <c r="AS342" s="121">
        <v>0.67</v>
      </c>
      <c r="AT342" s="207" t="s">
        <v>98</v>
      </c>
      <c r="AU342" s="121">
        <v>0.56999999999999995</v>
      </c>
      <c r="AV342" s="121">
        <v>0.79</v>
      </c>
      <c r="AW342" s="121" t="s">
        <v>276</v>
      </c>
      <c r="AX342" s="112" t="s">
        <v>282</v>
      </c>
      <c r="AY342" s="112" t="s">
        <v>98</v>
      </c>
      <c r="AZ342" s="112" t="s">
        <v>98</v>
      </c>
      <c r="BA342" s="112" t="s">
        <v>98</v>
      </c>
      <c r="BB342" s="112" t="s">
        <v>98</v>
      </c>
      <c r="BC342" s="113" t="s">
        <v>3414</v>
      </c>
      <c r="BD342" s="113" t="s">
        <v>3386</v>
      </c>
      <c r="BE342" s="33" t="s">
        <v>100</v>
      </c>
      <c r="BF342" s="33" t="s">
        <v>98</v>
      </c>
    </row>
    <row r="343" spans="1:58" s="208" customFormat="1" ht="78" x14ac:dyDescent="0.3">
      <c r="A343" s="112">
        <v>103</v>
      </c>
      <c r="B343" s="112" t="s">
        <v>3378</v>
      </c>
      <c r="C343" s="112" t="s">
        <v>53</v>
      </c>
      <c r="D343" s="113" t="s">
        <v>3415</v>
      </c>
      <c r="E343" s="112" t="s">
        <v>36</v>
      </c>
      <c r="F343" s="113" t="s">
        <v>134</v>
      </c>
      <c r="G343" s="112" t="s">
        <v>225</v>
      </c>
      <c r="H343" s="112" t="s">
        <v>125</v>
      </c>
      <c r="I343" s="112" t="s">
        <v>114</v>
      </c>
      <c r="J343" s="113" t="s">
        <v>24</v>
      </c>
      <c r="K343" s="113" t="s">
        <v>3403</v>
      </c>
      <c r="L343" s="113" t="s">
        <v>3381</v>
      </c>
      <c r="M343" s="112" t="s">
        <v>16</v>
      </c>
      <c r="N343" s="204" t="s">
        <v>170</v>
      </c>
      <c r="O343" s="117" t="s">
        <v>207</v>
      </c>
      <c r="P343" s="205">
        <v>42004</v>
      </c>
      <c r="Q343" s="113" t="s">
        <v>276</v>
      </c>
      <c r="R343" s="113" t="s">
        <v>276</v>
      </c>
      <c r="S343" s="113" t="s">
        <v>276</v>
      </c>
      <c r="T343" s="113">
        <v>1</v>
      </c>
      <c r="U343" s="118">
        <v>27995</v>
      </c>
      <c r="V343" s="119">
        <v>55339</v>
      </c>
      <c r="W343" s="112" t="s">
        <v>276</v>
      </c>
      <c r="X343" s="112" t="s">
        <v>276</v>
      </c>
      <c r="Y343" s="112"/>
      <c r="Z343" s="112"/>
      <c r="AA343" s="112"/>
      <c r="AB343" s="112"/>
      <c r="AC343" s="113" t="s">
        <v>3416</v>
      </c>
      <c r="AD343" s="113" t="s">
        <v>3410</v>
      </c>
      <c r="AE343" s="112">
        <v>244</v>
      </c>
      <c r="AF343" s="112">
        <v>732</v>
      </c>
      <c r="AG343" s="118">
        <v>27995</v>
      </c>
      <c r="AH343" s="119">
        <v>55339</v>
      </c>
      <c r="AI343" s="119" t="s">
        <v>3376</v>
      </c>
      <c r="AJ343" s="164">
        <v>8.6999999999999993</v>
      </c>
      <c r="AK343" s="207">
        <f>AE343*1000/AG343</f>
        <v>8.7158421146633334</v>
      </c>
      <c r="AL343" s="206" t="s">
        <v>276</v>
      </c>
      <c r="AM343" s="206" t="s">
        <v>276</v>
      </c>
      <c r="AN343" s="164">
        <v>13.2</v>
      </c>
      <c r="AO343" s="207">
        <f>AF343*1000/AH343</f>
        <v>13.227561032906269</v>
      </c>
      <c r="AP343" s="206" t="s">
        <v>276</v>
      </c>
      <c r="AQ343" s="206" t="s">
        <v>276</v>
      </c>
      <c r="AR343" s="112" t="s">
        <v>268</v>
      </c>
      <c r="AS343" s="121" t="s">
        <v>276</v>
      </c>
      <c r="AT343" s="207">
        <f>AK343/AO343</f>
        <v>0.65891528249092102</v>
      </c>
      <c r="AU343" s="121" t="s">
        <v>276</v>
      </c>
      <c r="AV343" s="121" t="s">
        <v>276</v>
      </c>
      <c r="AW343" s="121" t="s">
        <v>276</v>
      </c>
      <c r="AX343" s="112" t="s">
        <v>282</v>
      </c>
      <c r="AY343" s="112" t="s">
        <v>98</v>
      </c>
      <c r="AZ343" s="112" t="s">
        <v>98</v>
      </c>
      <c r="BA343" s="112" t="s">
        <v>98</v>
      </c>
      <c r="BB343" s="112" t="s">
        <v>98</v>
      </c>
      <c r="BC343" s="113" t="s">
        <v>1029</v>
      </c>
      <c r="BD343" s="113" t="s">
        <v>3386</v>
      </c>
      <c r="BE343" s="33" t="s">
        <v>100</v>
      </c>
      <c r="BF343" s="33" t="s">
        <v>98</v>
      </c>
    </row>
    <row r="344" spans="1:58" s="208" customFormat="1" ht="78" x14ac:dyDescent="0.3">
      <c r="A344" s="112">
        <v>103</v>
      </c>
      <c r="B344" s="112" t="s">
        <v>3378</v>
      </c>
      <c r="C344" s="112" t="s">
        <v>53</v>
      </c>
      <c r="D344" s="113" t="s">
        <v>3417</v>
      </c>
      <c r="E344" s="112" t="s">
        <v>36</v>
      </c>
      <c r="F344" s="113" t="s">
        <v>134</v>
      </c>
      <c r="G344" s="112" t="s">
        <v>225</v>
      </c>
      <c r="H344" s="112" t="s">
        <v>125</v>
      </c>
      <c r="I344" s="112" t="s">
        <v>114</v>
      </c>
      <c r="J344" s="113" t="s">
        <v>24</v>
      </c>
      <c r="K344" s="113" t="s">
        <v>3403</v>
      </c>
      <c r="L344" s="113" t="s">
        <v>3381</v>
      </c>
      <c r="M344" s="112" t="s">
        <v>16</v>
      </c>
      <c r="N344" s="204" t="s">
        <v>170</v>
      </c>
      <c r="O344" s="117" t="s">
        <v>207</v>
      </c>
      <c r="P344" s="205">
        <v>42004</v>
      </c>
      <c r="Q344" s="113" t="s">
        <v>276</v>
      </c>
      <c r="R344" s="113" t="s">
        <v>276</v>
      </c>
      <c r="S344" s="113" t="s">
        <v>276</v>
      </c>
      <c r="T344" s="113">
        <v>1</v>
      </c>
      <c r="U344" s="118">
        <v>27995</v>
      </c>
      <c r="V344" s="119">
        <v>55339</v>
      </c>
      <c r="W344" s="112" t="s">
        <v>276</v>
      </c>
      <c r="X344" s="112" t="s">
        <v>276</v>
      </c>
      <c r="Y344" s="112"/>
      <c r="Z344" s="112"/>
      <c r="AA344" s="112"/>
      <c r="AB344" s="112"/>
      <c r="AC344" s="113" t="s">
        <v>3416</v>
      </c>
      <c r="AD344" s="113" t="s">
        <v>3418</v>
      </c>
      <c r="AE344" s="112">
        <v>244</v>
      </c>
      <c r="AF344" s="112">
        <v>732</v>
      </c>
      <c r="AG344" s="120" t="s">
        <v>276</v>
      </c>
      <c r="AH344" s="120" t="s">
        <v>276</v>
      </c>
      <c r="AI344" s="119" t="s">
        <v>1019</v>
      </c>
      <c r="AJ344" s="206">
        <v>57</v>
      </c>
      <c r="AK344" s="207" t="s">
        <v>98</v>
      </c>
      <c r="AL344" s="206">
        <v>50</v>
      </c>
      <c r="AM344" s="206">
        <v>64</v>
      </c>
      <c r="AN344" s="206">
        <v>86</v>
      </c>
      <c r="AO344" s="207" t="s">
        <v>98</v>
      </c>
      <c r="AP344" s="206">
        <v>80</v>
      </c>
      <c r="AQ344" s="206">
        <v>93</v>
      </c>
      <c r="AR344" s="112" t="s">
        <v>270</v>
      </c>
      <c r="AS344" s="121">
        <v>0.66</v>
      </c>
      <c r="AT344" s="207" t="s">
        <v>98</v>
      </c>
      <c r="AU344" s="121">
        <v>0.56999999999999995</v>
      </c>
      <c r="AV344" s="121">
        <v>0.76</v>
      </c>
      <c r="AW344" s="121" t="s">
        <v>276</v>
      </c>
      <c r="AX344" s="112" t="s">
        <v>282</v>
      </c>
      <c r="AY344" s="112" t="s">
        <v>98</v>
      </c>
      <c r="AZ344" s="112" t="s">
        <v>98</v>
      </c>
      <c r="BA344" s="112" t="s">
        <v>98</v>
      </c>
      <c r="BB344" s="112" t="s">
        <v>98</v>
      </c>
      <c r="BC344" s="113" t="s">
        <v>3419</v>
      </c>
      <c r="BD344" s="113" t="s">
        <v>3386</v>
      </c>
      <c r="BE344" s="33" t="s">
        <v>100</v>
      </c>
      <c r="BF344" s="33" t="s">
        <v>98</v>
      </c>
    </row>
    <row r="345" spans="1:58" s="103" customFormat="1" ht="52" x14ac:dyDescent="0.3">
      <c r="A345" s="94">
        <v>103</v>
      </c>
      <c r="B345" s="94" t="s">
        <v>3378</v>
      </c>
      <c r="C345" s="94" t="s">
        <v>53</v>
      </c>
      <c r="D345" s="95" t="s">
        <v>3420</v>
      </c>
      <c r="E345" s="94" t="s">
        <v>36</v>
      </c>
      <c r="F345" s="95" t="s">
        <v>134</v>
      </c>
      <c r="G345" s="94" t="s">
        <v>225</v>
      </c>
      <c r="H345" s="94" t="s">
        <v>125</v>
      </c>
      <c r="I345" s="94" t="s">
        <v>114</v>
      </c>
      <c r="J345" s="95" t="s">
        <v>24</v>
      </c>
      <c r="K345" s="95" t="s">
        <v>3400</v>
      </c>
      <c r="L345" s="95" t="s">
        <v>3381</v>
      </c>
      <c r="M345" s="94" t="s">
        <v>16</v>
      </c>
      <c r="N345" s="144" t="s">
        <v>171</v>
      </c>
      <c r="O345" s="96" t="s">
        <v>207</v>
      </c>
      <c r="P345" s="97">
        <v>42004</v>
      </c>
      <c r="Q345" s="95" t="s">
        <v>276</v>
      </c>
      <c r="R345" s="95" t="s">
        <v>276</v>
      </c>
      <c r="S345" s="95" t="s">
        <v>276</v>
      </c>
      <c r="T345" s="95">
        <v>1</v>
      </c>
      <c r="U345" s="98">
        <v>29103</v>
      </c>
      <c r="V345" s="99">
        <v>57597</v>
      </c>
      <c r="W345" s="94" t="s">
        <v>276</v>
      </c>
      <c r="X345" s="94" t="s">
        <v>276</v>
      </c>
      <c r="Y345" s="94"/>
      <c r="Z345" s="94"/>
      <c r="AA345" s="94"/>
      <c r="AB345" s="94"/>
      <c r="AC345" s="95" t="s">
        <v>3421</v>
      </c>
      <c r="AD345" s="95" t="s">
        <v>3422</v>
      </c>
      <c r="AE345" s="94">
        <v>147</v>
      </c>
      <c r="AF345" s="94">
        <v>390</v>
      </c>
      <c r="AG345" s="98">
        <v>29103</v>
      </c>
      <c r="AH345" s="99">
        <v>57597</v>
      </c>
      <c r="AI345" s="99" t="s">
        <v>3376</v>
      </c>
      <c r="AJ345" s="100">
        <v>5.0999999999999996</v>
      </c>
      <c r="AK345" s="101">
        <f>AE345*1000/AG345</f>
        <v>5.0510256674569636</v>
      </c>
      <c r="AL345" s="203" t="s">
        <v>276</v>
      </c>
      <c r="AM345" s="203" t="s">
        <v>276</v>
      </c>
      <c r="AN345" s="100">
        <v>6.8</v>
      </c>
      <c r="AO345" s="101">
        <f>AF345*1000/AH345</f>
        <v>6.771185999270795</v>
      </c>
      <c r="AP345" s="203" t="s">
        <v>276</v>
      </c>
      <c r="AQ345" s="203" t="s">
        <v>276</v>
      </c>
      <c r="AR345" s="94" t="s">
        <v>268</v>
      </c>
      <c r="AS345" s="102" t="s">
        <v>276</v>
      </c>
      <c r="AT345" s="101">
        <f>AK345/AO345</f>
        <v>0.74595878299620189</v>
      </c>
      <c r="AU345" s="102" t="s">
        <v>276</v>
      </c>
      <c r="AV345" s="102" t="s">
        <v>276</v>
      </c>
      <c r="AW345" s="102" t="s">
        <v>276</v>
      </c>
      <c r="AX345" s="94" t="s">
        <v>282</v>
      </c>
      <c r="AY345" s="94" t="s">
        <v>98</v>
      </c>
      <c r="AZ345" s="94" t="s">
        <v>98</v>
      </c>
      <c r="BA345" s="94" t="s">
        <v>98</v>
      </c>
      <c r="BB345" s="94" t="s">
        <v>98</v>
      </c>
      <c r="BC345" s="95" t="s">
        <v>3423</v>
      </c>
      <c r="BD345" s="95" t="s">
        <v>3386</v>
      </c>
      <c r="BE345" s="33" t="s">
        <v>100</v>
      </c>
      <c r="BF345" s="33" t="s">
        <v>98</v>
      </c>
    </row>
    <row r="346" spans="1:58" s="103" customFormat="1" ht="52" x14ac:dyDescent="0.3">
      <c r="A346" s="94">
        <v>103</v>
      </c>
      <c r="B346" s="94" t="s">
        <v>3378</v>
      </c>
      <c r="C346" s="94" t="s">
        <v>53</v>
      </c>
      <c r="D346" s="95" t="s">
        <v>3424</v>
      </c>
      <c r="E346" s="94" t="s">
        <v>36</v>
      </c>
      <c r="F346" s="95" t="s">
        <v>134</v>
      </c>
      <c r="G346" s="94" t="s">
        <v>225</v>
      </c>
      <c r="H346" s="94" t="s">
        <v>125</v>
      </c>
      <c r="I346" s="94" t="s">
        <v>114</v>
      </c>
      <c r="J346" s="95" t="s">
        <v>24</v>
      </c>
      <c r="K346" s="95" t="s">
        <v>3400</v>
      </c>
      <c r="L346" s="95" t="s">
        <v>3381</v>
      </c>
      <c r="M346" s="94" t="s">
        <v>16</v>
      </c>
      <c r="N346" s="144" t="s">
        <v>171</v>
      </c>
      <c r="O346" s="96" t="s">
        <v>207</v>
      </c>
      <c r="P346" s="97">
        <v>42004</v>
      </c>
      <c r="Q346" s="95" t="s">
        <v>276</v>
      </c>
      <c r="R346" s="95" t="s">
        <v>276</v>
      </c>
      <c r="S346" s="95" t="s">
        <v>276</v>
      </c>
      <c r="T346" s="95">
        <v>1</v>
      </c>
      <c r="U346" s="98">
        <v>29103</v>
      </c>
      <c r="V346" s="99">
        <v>57597</v>
      </c>
      <c r="W346" s="94" t="s">
        <v>276</v>
      </c>
      <c r="X346" s="94" t="s">
        <v>276</v>
      </c>
      <c r="Y346" s="94"/>
      <c r="Z346" s="94"/>
      <c r="AA346" s="94"/>
      <c r="AB346" s="94"/>
      <c r="AC346" s="95" t="s">
        <v>3421</v>
      </c>
      <c r="AD346" s="95" t="s">
        <v>3425</v>
      </c>
      <c r="AE346" s="94">
        <v>147</v>
      </c>
      <c r="AF346" s="94">
        <v>390</v>
      </c>
      <c r="AG346" s="98" t="s">
        <v>276</v>
      </c>
      <c r="AH346" s="99" t="s">
        <v>276</v>
      </c>
      <c r="AI346" s="99" t="s">
        <v>1019</v>
      </c>
      <c r="AJ346" s="203">
        <v>31</v>
      </c>
      <c r="AK346" s="101" t="s">
        <v>98</v>
      </c>
      <c r="AL346" s="203">
        <v>27</v>
      </c>
      <c r="AM346" s="203">
        <v>37</v>
      </c>
      <c r="AN346" s="203">
        <v>42</v>
      </c>
      <c r="AO346" s="101" t="s">
        <v>98</v>
      </c>
      <c r="AP346" s="203">
        <v>38</v>
      </c>
      <c r="AQ346" s="203">
        <v>46</v>
      </c>
      <c r="AR346" s="94" t="s">
        <v>270</v>
      </c>
      <c r="AS346" s="102">
        <v>0.74</v>
      </c>
      <c r="AT346" s="101" t="s">
        <v>98</v>
      </c>
      <c r="AU346" s="102">
        <v>0.61</v>
      </c>
      <c r="AV346" s="102">
        <v>0.9</v>
      </c>
      <c r="AW346" s="102" t="s">
        <v>276</v>
      </c>
      <c r="AX346" s="94" t="s">
        <v>282</v>
      </c>
      <c r="AY346" s="94" t="s">
        <v>98</v>
      </c>
      <c r="AZ346" s="94" t="s">
        <v>98</v>
      </c>
      <c r="BA346" s="94" t="s">
        <v>98</v>
      </c>
      <c r="BB346" s="94" t="s">
        <v>98</v>
      </c>
      <c r="BC346" s="95" t="s">
        <v>3426</v>
      </c>
      <c r="BD346" s="95" t="s">
        <v>3386</v>
      </c>
      <c r="BE346" s="33" t="s">
        <v>100</v>
      </c>
      <c r="BF346" s="33" t="s">
        <v>98</v>
      </c>
    </row>
    <row r="347" spans="1:58" s="103" customFormat="1" ht="78" x14ac:dyDescent="0.3">
      <c r="A347" s="94">
        <v>103</v>
      </c>
      <c r="B347" s="94" t="s">
        <v>3378</v>
      </c>
      <c r="C347" s="94" t="s">
        <v>53</v>
      </c>
      <c r="D347" s="95" t="s">
        <v>3427</v>
      </c>
      <c r="E347" s="94" t="s">
        <v>36</v>
      </c>
      <c r="F347" s="95" t="s">
        <v>134</v>
      </c>
      <c r="G347" s="94" t="s">
        <v>225</v>
      </c>
      <c r="H347" s="94" t="s">
        <v>125</v>
      </c>
      <c r="I347" s="94" t="s">
        <v>114</v>
      </c>
      <c r="J347" s="95" t="s">
        <v>24</v>
      </c>
      <c r="K347" s="95" t="s">
        <v>3403</v>
      </c>
      <c r="L347" s="95" t="s">
        <v>3381</v>
      </c>
      <c r="M347" s="94" t="s">
        <v>16</v>
      </c>
      <c r="N347" s="144" t="s">
        <v>171</v>
      </c>
      <c r="O347" s="96" t="s">
        <v>207</v>
      </c>
      <c r="P347" s="97">
        <v>42004</v>
      </c>
      <c r="Q347" s="95" t="s">
        <v>276</v>
      </c>
      <c r="R347" s="95" t="s">
        <v>276</v>
      </c>
      <c r="S347" s="95" t="s">
        <v>276</v>
      </c>
      <c r="T347" s="95">
        <v>1</v>
      </c>
      <c r="U347" s="98">
        <v>29103</v>
      </c>
      <c r="V347" s="99">
        <v>57597</v>
      </c>
      <c r="W347" s="94" t="s">
        <v>276</v>
      </c>
      <c r="X347" s="94" t="s">
        <v>276</v>
      </c>
      <c r="Y347" s="94"/>
      <c r="Z347" s="94"/>
      <c r="AA347" s="94"/>
      <c r="AB347" s="94"/>
      <c r="AC347" s="95" t="s">
        <v>3428</v>
      </c>
      <c r="AD347" s="95" t="s">
        <v>3422</v>
      </c>
      <c r="AE347" s="94">
        <v>172</v>
      </c>
      <c r="AF347" s="94">
        <v>456</v>
      </c>
      <c r="AG347" s="98">
        <v>29103</v>
      </c>
      <c r="AH347" s="99">
        <v>57597</v>
      </c>
      <c r="AI347" s="99" t="s">
        <v>3376</v>
      </c>
      <c r="AJ347" s="100">
        <v>5.9</v>
      </c>
      <c r="AK347" s="101">
        <f>AE347*1000/AG347</f>
        <v>5.9100436381129091</v>
      </c>
      <c r="AL347" s="203" t="s">
        <v>276</v>
      </c>
      <c r="AM347" s="203" t="s">
        <v>276</v>
      </c>
      <c r="AN347" s="100">
        <v>7.9</v>
      </c>
      <c r="AO347" s="101">
        <f>AF347*1000/AH347</f>
        <v>7.9170790145320069</v>
      </c>
      <c r="AP347" s="203" t="s">
        <v>276</v>
      </c>
      <c r="AQ347" s="203" t="s">
        <v>276</v>
      </c>
      <c r="AR347" s="94" t="s">
        <v>268</v>
      </c>
      <c r="AS347" s="102" t="s">
        <v>276</v>
      </c>
      <c r="AT347" s="101">
        <f>AK347/AO347</f>
        <v>0.74649294610611672</v>
      </c>
      <c r="AU347" s="102" t="s">
        <v>276</v>
      </c>
      <c r="AV347" s="102" t="s">
        <v>276</v>
      </c>
      <c r="AW347" s="102" t="s">
        <v>276</v>
      </c>
      <c r="AX347" s="94" t="s">
        <v>282</v>
      </c>
      <c r="AY347" s="94" t="s">
        <v>98</v>
      </c>
      <c r="AZ347" s="94" t="s">
        <v>98</v>
      </c>
      <c r="BA347" s="94" t="s">
        <v>98</v>
      </c>
      <c r="BB347" s="94" t="s">
        <v>98</v>
      </c>
      <c r="BC347" s="95" t="s">
        <v>1029</v>
      </c>
      <c r="BD347" s="95" t="s">
        <v>3386</v>
      </c>
      <c r="BE347" s="33" t="s">
        <v>100</v>
      </c>
      <c r="BF347" s="33" t="s">
        <v>98</v>
      </c>
    </row>
    <row r="348" spans="1:58" s="103" customFormat="1" ht="78" x14ac:dyDescent="0.3">
      <c r="A348" s="94">
        <v>103</v>
      </c>
      <c r="B348" s="94" t="s">
        <v>3378</v>
      </c>
      <c r="C348" s="94" t="s">
        <v>53</v>
      </c>
      <c r="D348" s="95" t="s">
        <v>3429</v>
      </c>
      <c r="E348" s="94" t="s">
        <v>36</v>
      </c>
      <c r="F348" s="95" t="s">
        <v>134</v>
      </c>
      <c r="G348" s="94" t="s">
        <v>225</v>
      </c>
      <c r="H348" s="94" t="s">
        <v>125</v>
      </c>
      <c r="I348" s="94" t="s">
        <v>114</v>
      </c>
      <c r="J348" s="95" t="s">
        <v>24</v>
      </c>
      <c r="K348" s="95" t="s">
        <v>3403</v>
      </c>
      <c r="L348" s="95" t="s">
        <v>3381</v>
      </c>
      <c r="M348" s="94" t="s">
        <v>16</v>
      </c>
      <c r="N348" s="144" t="s">
        <v>171</v>
      </c>
      <c r="O348" s="96" t="s">
        <v>207</v>
      </c>
      <c r="P348" s="97">
        <v>42004</v>
      </c>
      <c r="Q348" s="95" t="s">
        <v>276</v>
      </c>
      <c r="R348" s="95" t="s">
        <v>276</v>
      </c>
      <c r="S348" s="95" t="s">
        <v>276</v>
      </c>
      <c r="T348" s="95">
        <v>1</v>
      </c>
      <c r="U348" s="98">
        <v>29103</v>
      </c>
      <c r="V348" s="99">
        <v>57597</v>
      </c>
      <c r="W348" s="94" t="s">
        <v>276</v>
      </c>
      <c r="X348" s="94" t="s">
        <v>276</v>
      </c>
      <c r="Y348" s="94"/>
      <c r="Z348" s="94"/>
      <c r="AA348" s="94"/>
      <c r="AB348" s="94"/>
      <c r="AC348" s="95" t="s">
        <v>3428</v>
      </c>
      <c r="AD348" s="95" t="s">
        <v>3430</v>
      </c>
      <c r="AE348" s="94">
        <v>172</v>
      </c>
      <c r="AF348" s="94">
        <v>456</v>
      </c>
      <c r="AG348" s="107" t="s">
        <v>276</v>
      </c>
      <c r="AH348" s="107" t="s">
        <v>276</v>
      </c>
      <c r="AI348" s="99" t="s">
        <v>1019</v>
      </c>
      <c r="AJ348" s="203">
        <v>36</v>
      </c>
      <c r="AK348" s="101" t="s">
        <v>98</v>
      </c>
      <c r="AL348" s="203">
        <v>31</v>
      </c>
      <c r="AM348" s="203">
        <v>42</v>
      </c>
      <c r="AN348" s="203">
        <v>49</v>
      </c>
      <c r="AO348" s="101" t="s">
        <v>98</v>
      </c>
      <c r="AP348" s="203">
        <v>45</v>
      </c>
      <c r="AQ348" s="203">
        <v>54</v>
      </c>
      <c r="AR348" s="94" t="s">
        <v>270</v>
      </c>
      <c r="AS348" s="102">
        <v>0.74</v>
      </c>
      <c r="AT348" s="101" t="s">
        <v>98</v>
      </c>
      <c r="AU348" s="102">
        <v>0.62</v>
      </c>
      <c r="AV348" s="102">
        <v>0.89</v>
      </c>
      <c r="AW348" s="102" t="s">
        <v>276</v>
      </c>
      <c r="AX348" s="94" t="s">
        <v>282</v>
      </c>
      <c r="AY348" s="94" t="s">
        <v>98</v>
      </c>
      <c r="AZ348" s="94" t="s">
        <v>98</v>
      </c>
      <c r="BA348" s="94" t="s">
        <v>98</v>
      </c>
      <c r="BB348" s="94" t="s">
        <v>98</v>
      </c>
      <c r="BC348" s="95" t="s">
        <v>3419</v>
      </c>
      <c r="BD348" s="95" t="s">
        <v>3386</v>
      </c>
      <c r="BE348" s="33" t="s">
        <v>100</v>
      </c>
      <c r="BF348" s="33" t="s">
        <v>98</v>
      </c>
    </row>
    <row r="349" spans="1:58" s="208" customFormat="1" ht="65" x14ac:dyDescent="0.3">
      <c r="A349" s="112">
        <v>103</v>
      </c>
      <c r="B349" s="112" t="s">
        <v>3378</v>
      </c>
      <c r="C349" s="112" t="s">
        <v>53</v>
      </c>
      <c r="D349" s="113" t="s">
        <v>3431</v>
      </c>
      <c r="E349" s="112" t="s">
        <v>36</v>
      </c>
      <c r="F349" s="113" t="s">
        <v>134</v>
      </c>
      <c r="G349" s="112" t="s">
        <v>225</v>
      </c>
      <c r="H349" s="112" t="s">
        <v>125</v>
      </c>
      <c r="I349" s="112" t="s">
        <v>114</v>
      </c>
      <c r="J349" s="113" t="s">
        <v>24</v>
      </c>
      <c r="K349" s="113" t="s">
        <v>3400</v>
      </c>
      <c r="L349" s="113" t="s">
        <v>3381</v>
      </c>
      <c r="M349" s="112" t="s">
        <v>15</v>
      </c>
      <c r="N349" s="204" t="s">
        <v>3432</v>
      </c>
      <c r="O349" s="117" t="s">
        <v>207</v>
      </c>
      <c r="P349" s="205">
        <v>42004</v>
      </c>
      <c r="Q349" s="113" t="s">
        <v>276</v>
      </c>
      <c r="R349" s="113" t="s">
        <v>276</v>
      </c>
      <c r="S349" s="113" t="s">
        <v>276</v>
      </c>
      <c r="T349" s="113">
        <v>1</v>
      </c>
      <c r="U349" s="118">
        <v>28561</v>
      </c>
      <c r="V349" s="119">
        <v>56835</v>
      </c>
      <c r="W349" s="112" t="s">
        <v>276</v>
      </c>
      <c r="X349" s="112" t="s">
        <v>276</v>
      </c>
      <c r="Y349" s="112"/>
      <c r="Z349" s="112"/>
      <c r="AA349" s="112"/>
      <c r="AB349" s="112"/>
      <c r="AC349" s="113" t="s">
        <v>3433</v>
      </c>
      <c r="AD349" s="113" t="s">
        <v>3434</v>
      </c>
      <c r="AE349" s="112">
        <v>141</v>
      </c>
      <c r="AF349" s="112">
        <v>422</v>
      </c>
      <c r="AG349" s="118" t="s">
        <v>276</v>
      </c>
      <c r="AH349" s="119" t="s">
        <v>276</v>
      </c>
      <c r="AI349" s="119" t="s">
        <v>1019</v>
      </c>
      <c r="AJ349" s="206">
        <v>31</v>
      </c>
      <c r="AK349" s="207" t="s">
        <v>98</v>
      </c>
      <c r="AL349" s="206">
        <v>26</v>
      </c>
      <c r="AM349" s="206">
        <v>36</v>
      </c>
      <c r="AN349" s="206">
        <v>46</v>
      </c>
      <c r="AO349" s="207" t="s">
        <v>98</v>
      </c>
      <c r="AP349" s="206">
        <v>42</v>
      </c>
      <c r="AQ349" s="206">
        <v>51</v>
      </c>
      <c r="AR349" s="112" t="s">
        <v>270</v>
      </c>
      <c r="AS349" s="121">
        <v>0.67</v>
      </c>
      <c r="AT349" s="207" t="s">
        <v>98</v>
      </c>
      <c r="AU349" s="121">
        <v>0.55000000000000004</v>
      </c>
      <c r="AV349" s="121">
        <v>0.81</v>
      </c>
      <c r="AW349" s="121" t="s">
        <v>276</v>
      </c>
      <c r="AX349" s="112" t="s">
        <v>282</v>
      </c>
      <c r="AY349" s="112" t="s">
        <v>98</v>
      </c>
      <c r="AZ349" s="112" t="s">
        <v>98</v>
      </c>
      <c r="BA349" s="112" t="s">
        <v>98</v>
      </c>
      <c r="BB349" s="112" t="s">
        <v>98</v>
      </c>
      <c r="BC349" s="113" t="s">
        <v>3435</v>
      </c>
      <c r="BD349" s="113" t="s">
        <v>3386</v>
      </c>
      <c r="BE349" s="33" t="s">
        <v>100</v>
      </c>
      <c r="BF349" s="33" t="s">
        <v>98</v>
      </c>
    </row>
    <row r="350" spans="1:58" s="208" customFormat="1" ht="78" x14ac:dyDescent="0.3">
      <c r="A350" s="112">
        <v>103</v>
      </c>
      <c r="B350" s="112" t="s">
        <v>3378</v>
      </c>
      <c r="C350" s="112" t="s">
        <v>53</v>
      </c>
      <c r="D350" s="113" t="s">
        <v>3436</v>
      </c>
      <c r="E350" s="112" t="s">
        <v>36</v>
      </c>
      <c r="F350" s="113" t="s">
        <v>134</v>
      </c>
      <c r="G350" s="112" t="s">
        <v>225</v>
      </c>
      <c r="H350" s="112" t="s">
        <v>125</v>
      </c>
      <c r="I350" s="112" t="s">
        <v>114</v>
      </c>
      <c r="J350" s="113" t="s">
        <v>24</v>
      </c>
      <c r="K350" s="113" t="s">
        <v>3403</v>
      </c>
      <c r="L350" s="113" t="s">
        <v>3381</v>
      </c>
      <c r="M350" s="112" t="s">
        <v>15</v>
      </c>
      <c r="N350" s="204" t="s">
        <v>3432</v>
      </c>
      <c r="O350" s="117" t="s">
        <v>207</v>
      </c>
      <c r="P350" s="205">
        <v>42004</v>
      </c>
      <c r="Q350" s="113" t="s">
        <v>276</v>
      </c>
      <c r="R350" s="113" t="s">
        <v>276</v>
      </c>
      <c r="S350" s="113" t="s">
        <v>276</v>
      </c>
      <c r="T350" s="113">
        <v>1</v>
      </c>
      <c r="U350" s="118">
        <v>28561</v>
      </c>
      <c r="V350" s="119">
        <v>56835</v>
      </c>
      <c r="W350" s="112" t="s">
        <v>276</v>
      </c>
      <c r="X350" s="112" t="s">
        <v>276</v>
      </c>
      <c r="Y350" s="112"/>
      <c r="Z350" s="112"/>
      <c r="AA350" s="112"/>
      <c r="AB350" s="112"/>
      <c r="AC350" s="113" t="s">
        <v>3437</v>
      </c>
      <c r="AD350" s="113" t="s">
        <v>3438</v>
      </c>
      <c r="AE350" s="112">
        <v>168</v>
      </c>
      <c r="AF350" s="112">
        <v>501</v>
      </c>
      <c r="AG350" s="118">
        <v>28561</v>
      </c>
      <c r="AH350" s="119">
        <v>56835</v>
      </c>
      <c r="AI350" s="119" t="s">
        <v>3376</v>
      </c>
      <c r="AJ350" s="164">
        <v>5.9</v>
      </c>
      <c r="AK350" s="207">
        <f>AE350*1000/AG350</f>
        <v>5.8821469836490321</v>
      </c>
      <c r="AL350" s="206" t="s">
        <v>276</v>
      </c>
      <c r="AM350" s="206" t="s">
        <v>276</v>
      </c>
      <c r="AN350" s="164">
        <v>8.8000000000000007</v>
      </c>
      <c r="AO350" s="207">
        <f>AF350*1000/AH350</f>
        <v>8.8149907627342312</v>
      </c>
      <c r="AP350" s="206" t="s">
        <v>276</v>
      </c>
      <c r="AQ350" s="206" t="s">
        <v>276</v>
      </c>
      <c r="AR350" s="112" t="s">
        <v>268</v>
      </c>
      <c r="AS350" s="121" t="s">
        <v>276</v>
      </c>
      <c r="AT350" s="207">
        <f>AK350/AO350</f>
        <v>0.66728906949240063</v>
      </c>
      <c r="AU350" s="121" t="s">
        <v>276</v>
      </c>
      <c r="AV350" s="121" t="s">
        <v>276</v>
      </c>
      <c r="AW350" s="121" t="s">
        <v>276</v>
      </c>
      <c r="AX350" s="112" t="s">
        <v>282</v>
      </c>
      <c r="AY350" s="112" t="s">
        <v>98</v>
      </c>
      <c r="AZ350" s="112" t="s">
        <v>98</v>
      </c>
      <c r="BA350" s="112" t="s">
        <v>98</v>
      </c>
      <c r="BB350" s="112" t="s">
        <v>98</v>
      </c>
      <c r="BC350" s="113" t="s">
        <v>1029</v>
      </c>
      <c r="BD350" s="113" t="s">
        <v>3386</v>
      </c>
      <c r="BE350" s="33" t="s">
        <v>100</v>
      </c>
      <c r="BF350" s="33" t="s">
        <v>98</v>
      </c>
    </row>
    <row r="351" spans="1:58" s="208" customFormat="1" ht="78" x14ac:dyDescent="0.3">
      <c r="A351" s="112">
        <v>103</v>
      </c>
      <c r="B351" s="112" t="s">
        <v>3378</v>
      </c>
      <c r="C351" s="112" t="s">
        <v>53</v>
      </c>
      <c r="D351" s="113" t="s">
        <v>3439</v>
      </c>
      <c r="E351" s="112" t="s">
        <v>36</v>
      </c>
      <c r="F351" s="113" t="s">
        <v>134</v>
      </c>
      <c r="G351" s="112" t="s">
        <v>225</v>
      </c>
      <c r="H351" s="112" t="s">
        <v>125</v>
      </c>
      <c r="I351" s="112" t="s">
        <v>114</v>
      </c>
      <c r="J351" s="113" t="s">
        <v>24</v>
      </c>
      <c r="K351" s="113" t="s">
        <v>3403</v>
      </c>
      <c r="L351" s="113" t="s">
        <v>3381</v>
      </c>
      <c r="M351" s="112" t="s">
        <v>15</v>
      </c>
      <c r="N351" s="204" t="s">
        <v>3432</v>
      </c>
      <c r="O351" s="117" t="s">
        <v>207</v>
      </c>
      <c r="P351" s="205">
        <v>42004</v>
      </c>
      <c r="Q351" s="113" t="s">
        <v>276</v>
      </c>
      <c r="R351" s="113" t="s">
        <v>276</v>
      </c>
      <c r="S351" s="113" t="s">
        <v>276</v>
      </c>
      <c r="T351" s="113">
        <v>1</v>
      </c>
      <c r="U351" s="118">
        <v>28561</v>
      </c>
      <c r="V351" s="119">
        <v>56835</v>
      </c>
      <c r="W351" s="112" t="s">
        <v>276</v>
      </c>
      <c r="X351" s="112" t="s">
        <v>276</v>
      </c>
      <c r="Y351" s="112"/>
      <c r="Z351" s="112"/>
      <c r="AA351" s="112"/>
      <c r="AB351" s="112"/>
      <c r="AC351" s="113" t="s">
        <v>3437</v>
      </c>
      <c r="AD351" s="113" t="s">
        <v>3440</v>
      </c>
      <c r="AE351" s="112">
        <v>168</v>
      </c>
      <c r="AF351" s="112">
        <v>501</v>
      </c>
      <c r="AG351" s="120" t="s">
        <v>276</v>
      </c>
      <c r="AH351" s="120" t="s">
        <v>276</v>
      </c>
      <c r="AI351" s="119" t="s">
        <v>1019</v>
      </c>
      <c r="AJ351" s="206">
        <v>36</v>
      </c>
      <c r="AK351" s="207" t="s">
        <v>98</v>
      </c>
      <c r="AL351" s="206">
        <v>31</v>
      </c>
      <c r="AM351" s="206">
        <v>42</v>
      </c>
      <c r="AN351" s="206">
        <v>55</v>
      </c>
      <c r="AO351" s="207" t="s">
        <v>98</v>
      </c>
      <c r="AP351" s="206">
        <v>50</v>
      </c>
      <c r="AQ351" s="206">
        <v>60</v>
      </c>
      <c r="AR351" s="112" t="s">
        <v>270</v>
      </c>
      <c r="AS351" s="121">
        <v>0.67</v>
      </c>
      <c r="AT351" s="207" t="s">
        <v>98</v>
      </c>
      <c r="AU351" s="121">
        <v>0.56000000000000005</v>
      </c>
      <c r="AV351" s="121">
        <v>0.8</v>
      </c>
      <c r="AW351" s="121" t="s">
        <v>276</v>
      </c>
      <c r="AX351" s="112" t="s">
        <v>282</v>
      </c>
      <c r="AY351" s="112" t="s">
        <v>98</v>
      </c>
      <c r="AZ351" s="112" t="s">
        <v>98</v>
      </c>
      <c r="BA351" s="112" t="s">
        <v>98</v>
      </c>
      <c r="BB351" s="112" t="s">
        <v>98</v>
      </c>
      <c r="BC351" s="113" t="s">
        <v>3419</v>
      </c>
      <c r="BD351" s="113" t="s">
        <v>3386</v>
      </c>
      <c r="BE351" s="33" t="s">
        <v>100</v>
      </c>
      <c r="BF351" s="33" t="s">
        <v>98</v>
      </c>
    </row>
    <row r="352" spans="1:58" s="103" customFormat="1" ht="52" x14ac:dyDescent="0.3">
      <c r="A352" s="94">
        <v>103</v>
      </c>
      <c r="B352" s="94" t="s">
        <v>3378</v>
      </c>
      <c r="C352" s="94" t="s">
        <v>53</v>
      </c>
      <c r="D352" s="95" t="s">
        <v>3441</v>
      </c>
      <c r="E352" s="94" t="s">
        <v>36</v>
      </c>
      <c r="F352" s="95" t="s">
        <v>134</v>
      </c>
      <c r="G352" s="94" t="s">
        <v>225</v>
      </c>
      <c r="H352" s="94" t="s">
        <v>125</v>
      </c>
      <c r="I352" s="94" t="s">
        <v>114</v>
      </c>
      <c r="J352" s="95" t="s">
        <v>24</v>
      </c>
      <c r="K352" s="95" t="s">
        <v>3400</v>
      </c>
      <c r="L352" s="95" t="s">
        <v>3381</v>
      </c>
      <c r="M352" s="94" t="s">
        <v>15</v>
      </c>
      <c r="N352" s="144" t="s">
        <v>3442</v>
      </c>
      <c r="O352" s="96" t="s">
        <v>207</v>
      </c>
      <c r="P352" s="97">
        <v>42004</v>
      </c>
      <c r="Q352" s="95" t="s">
        <v>276</v>
      </c>
      <c r="R352" s="95" t="s">
        <v>276</v>
      </c>
      <c r="S352" s="95" t="s">
        <v>276</v>
      </c>
      <c r="T352" s="95">
        <v>1</v>
      </c>
      <c r="U352" s="98">
        <v>28537</v>
      </c>
      <c r="V352" s="99">
        <v>56101</v>
      </c>
      <c r="W352" s="94" t="s">
        <v>276</v>
      </c>
      <c r="X352" s="94" t="s">
        <v>276</v>
      </c>
      <c r="Y352" s="94"/>
      <c r="Z352" s="94"/>
      <c r="AA352" s="94"/>
      <c r="AB352" s="94"/>
      <c r="AC352" s="95" t="s">
        <v>3443</v>
      </c>
      <c r="AD352" s="95" t="s">
        <v>3444</v>
      </c>
      <c r="AE352" s="94">
        <v>212</v>
      </c>
      <c r="AF352" s="94">
        <v>574</v>
      </c>
      <c r="AG352" s="98">
        <v>28537</v>
      </c>
      <c r="AH352" s="99">
        <v>56101</v>
      </c>
      <c r="AI352" s="99" t="s">
        <v>3376</v>
      </c>
      <c r="AJ352" s="100">
        <v>7.4</v>
      </c>
      <c r="AK352" s="101">
        <f>AE352*1000/AG352</f>
        <v>7.4289518870238638</v>
      </c>
      <c r="AL352" s="203" t="s">
        <v>276</v>
      </c>
      <c r="AM352" s="203" t="s">
        <v>276</v>
      </c>
      <c r="AN352" s="100">
        <v>10.199999999999999</v>
      </c>
      <c r="AO352" s="101">
        <f>AF352*1000/AH352</f>
        <v>10.231546674747332</v>
      </c>
      <c r="AP352" s="203" t="s">
        <v>276</v>
      </c>
      <c r="AQ352" s="203" t="s">
        <v>276</v>
      </c>
      <c r="AR352" s="94" t="s">
        <v>268</v>
      </c>
      <c r="AS352" s="102" t="s">
        <v>276</v>
      </c>
      <c r="AT352" s="101">
        <f>AK352/AO352</f>
        <v>0.72608297876990546</v>
      </c>
      <c r="AU352" s="102" t="s">
        <v>276</v>
      </c>
      <c r="AV352" s="102" t="s">
        <v>276</v>
      </c>
      <c r="AW352" s="102" t="s">
        <v>276</v>
      </c>
      <c r="AX352" s="94" t="s">
        <v>282</v>
      </c>
      <c r="AY352" s="94" t="s">
        <v>98</v>
      </c>
      <c r="AZ352" s="94" t="s">
        <v>98</v>
      </c>
      <c r="BA352" s="94" t="s">
        <v>98</v>
      </c>
      <c r="BB352" s="94" t="s">
        <v>98</v>
      </c>
      <c r="BC352" s="95" t="s">
        <v>1029</v>
      </c>
      <c r="BD352" s="95" t="s">
        <v>3386</v>
      </c>
      <c r="BE352" s="33" t="s">
        <v>100</v>
      </c>
      <c r="BF352" s="33" t="s">
        <v>98</v>
      </c>
    </row>
    <row r="353" spans="1:58" s="103" customFormat="1" ht="65" x14ac:dyDescent="0.3">
      <c r="A353" s="94">
        <v>103</v>
      </c>
      <c r="B353" s="94" t="s">
        <v>3378</v>
      </c>
      <c r="C353" s="94" t="s">
        <v>53</v>
      </c>
      <c r="D353" s="95" t="s">
        <v>3445</v>
      </c>
      <c r="E353" s="94" t="s">
        <v>36</v>
      </c>
      <c r="F353" s="95" t="s">
        <v>134</v>
      </c>
      <c r="G353" s="94" t="s">
        <v>225</v>
      </c>
      <c r="H353" s="94" t="s">
        <v>125</v>
      </c>
      <c r="I353" s="94" t="s">
        <v>114</v>
      </c>
      <c r="J353" s="95" t="s">
        <v>24</v>
      </c>
      <c r="K353" s="95" t="s">
        <v>3400</v>
      </c>
      <c r="L353" s="95" t="s">
        <v>3381</v>
      </c>
      <c r="M353" s="94" t="s">
        <v>15</v>
      </c>
      <c r="N353" s="144" t="s">
        <v>3442</v>
      </c>
      <c r="O353" s="96" t="s">
        <v>207</v>
      </c>
      <c r="P353" s="97">
        <v>42004</v>
      </c>
      <c r="Q353" s="95" t="s">
        <v>276</v>
      </c>
      <c r="R353" s="95" t="s">
        <v>276</v>
      </c>
      <c r="S353" s="95" t="s">
        <v>276</v>
      </c>
      <c r="T353" s="95">
        <v>1</v>
      </c>
      <c r="U353" s="98">
        <v>28537</v>
      </c>
      <c r="V353" s="99">
        <v>56101</v>
      </c>
      <c r="W353" s="94" t="s">
        <v>276</v>
      </c>
      <c r="X353" s="94" t="s">
        <v>276</v>
      </c>
      <c r="Y353" s="94"/>
      <c r="Z353" s="94"/>
      <c r="AA353" s="94"/>
      <c r="AB353" s="94"/>
      <c r="AC353" s="95" t="s">
        <v>3443</v>
      </c>
      <c r="AD353" s="95" t="s">
        <v>3446</v>
      </c>
      <c r="AE353" s="94">
        <v>212</v>
      </c>
      <c r="AF353" s="94">
        <v>574</v>
      </c>
      <c r="AG353" s="98" t="s">
        <v>276</v>
      </c>
      <c r="AH353" s="99" t="s">
        <v>276</v>
      </c>
      <c r="AI353" s="99" t="s">
        <v>1019</v>
      </c>
      <c r="AJ353" s="203">
        <v>48</v>
      </c>
      <c r="AK353" s="101" t="s">
        <v>98</v>
      </c>
      <c r="AL353" s="203">
        <v>42</v>
      </c>
      <c r="AM353" s="203">
        <v>55</v>
      </c>
      <c r="AN353" s="203">
        <v>66</v>
      </c>
      <c r="AO353" s="101" t="s">
        <v>98</v>
      </c>
      <c r="AP353" s="203">
        <v>61</v>
      </c>
      <c r="AQ353" s="203">
        <v>72</v>
      </c>
      <c r="AR353" s="94" t="s">
        <v>270</v>
      </c>
      <c r="AS353" s="102">
        <v>0.72</v>
      </c>
      <c r="AT353" s="101" t="s">
        <v>98</v>
      </c>
      <c r="AU353" s="102">
        <v>0.62</v>
      </c>
      <c r="AV353" s="102">
        <v>0.84</v>
      </c>
      <c r="AW353" s="102" t="s">
        <v>276</v>
      </c>
      <c r="AX353" s="94" t="s">
        <v>282</v>
      </c>
      <c r="AY353" s="94" t="s">
        <v>98</v>
      </c>
      <c r="AZ353" s="94" t="s">
        <v>98</v>
      </c>
      <c r="BA353" s="94" t="s">
        <v>98</v>
      </c>
      <c r="BB353" s="94" t="s">
        <v>98</v>
      </c>
      <c r="BC353" s="95" t="s">
        <v>3435</v>
      </c>
      <c r="BD353" s="95" t="s">
        <v>3386</v>
      </c>
      <c r="BE353" s="33" t="s">
        <v>100</v>
      </c>
      <c r="BF353" s="33" t="s">
        <v>98</v>
      </c>
    </row>
    <row r="354" spans="1:58" s="103" customFormat="1" ht="78" x14ac:dyDescent="0.3">
      <c r="A354" s="94">
        <v>103</v>
      </c>
      <c r="B354" s="94" t="s">
        <v>3378</v>
      </c>
      <c r="C354" s="94" t="s">
        <v>53</v>
      </c>
      <c r="D354" s="95" t="s">
        <v>3447</v>
      </c>
      <c r="E354" s="94" t="s">
        <v>36</v>
      </c>
      <c r="F354" s="95" t="s">
        <v>134</v>
      </c>
      <c r="G354" s="94" t="s">
        <v>225</v>
      </c>
      <c r="H354" s="94" t="s">
        <v>125</v>
      </c>
      <c r="I354" s="94" t="s">
        <v>114</v>
      </c>
      <c r="J354" s="95" t="s">
        <v>24</v>
      </c>
      <c r="K354" s="95" t="s">
        <v>3403</v>
      </c>
      <c r="L354" s="95" t="s">
        <v>3381</v>
      </c>
      <c r="M354" s="94" t="s">
        <v>15</v>
      </c>
      <c r="N354" s="144" t="s">
        <v>3442</v>
      </c>
      <c r="O354" s="96" t="s">
        <v>207</v>
      </c>
      <c r="P354" s="97">
        <v>42004</v>
      </c>
      <c r="Q354" s="95" t="s">
        <v>276</v>
      </c>
      <c r="R354" s="95" t="s">
        <v>276</v>
      </c>
      <c r="S354" s="95" t="s">
        <v>276</v>
      </c>
      <c r="T354" s="95">
        <v>1</v>
      </c>
      <c r="U354" s="98">
        <v>28537</v>
      </c>
      <c r="V354" s="99">
        <v>56101</v>
      </c>
      <c r="W354" s="94" t="s">
        <v>276</v>
      </c>
      <c r="X354" s="94" t="s">
        <v>276</v>
      </c>
      <c r="Y354" s="94"/>
      <c r="Z354" s="94"/>
      <c r="AA354" s="94"/>
      <c r="AB354" s="94"/>
      <c r="AC354" s="95" t="s">
        <v>3448</v>
      </c>
      <c r="AD354" s="95" t="s">
        <v>3444</v>
      </c>
      <c r="AE354" s="94">
        <v>248</v>
      </c>
      <c r="AF354" s="94">
        <v>687</v>
      </c>
      <c r="AG354" s="98">
        <v>28537</v>
      </c>
      <c r="AH354" s="99">
        <v>56101</v>
      </c>
      <c r="AI354" s="99" t="s">
        <v>3376</v>
      </c>
      <c r="AJ354" s="100">
        <v>8.6999999999999993</v>
      </c>
      <c r="AK354" s="101">
        <f>AE354*1000/AG354</f>
        <v>8.6904720187826339</v>
      </c>
      <c r="AL354" s="203" t="s">
        <v>276</v>
      </c>
      <c r="AM354" s="203" t="s">
        <v>276</v>
      </c>
      <c r="AN354" s="100">
        <v>12.2</v>
      </c>
      <c r="AO354" s="101">
        <f>AF354*1000/AH354</f>
        <v>12.245771020124419</v>
      </c>
      <c r="AP354" s="203" t="s">
        <v>276</v>
      </c>
      <c r="AQ354" s="203" t="s">
        <v>276</v>
      </c>
      <c r="AR354" s="94" t="s">
        <v>268</v>
      </c>
      <c r="AS354" s="102" t="s">
        <v>276</v>
      </c>
      <c r="AT354" s="101">
        <f>AK354/AO354</f>
        <v>0.70967128198795415</v>
      </c>
      <c r="AU354" s="102" t="s">
        <v>276</v>
      </c>
      <c r="AV354" s="102" t="s">
        <v>276</v>
      </c>
      <c r="AW354" s="102" t="s">
        <v>276</v>
      </c>
      <c r="AX354" s="94" t="s">
        <v>282</v>
      </c>
      <c r="AY354" s="94" t="s">
        <v>98</v>
      </c>
      <c r="AZ354" s="94" t="s">
        <v>98</v>
      </c>
      <c r="BA354" s="94" t="s">
        <v>98</v>
      </c>
      <c r="BB354" s="94" t="s">
        <v>98</v>
      </c>
      <c r="BC354" s="95" t="s">
        <v>1029</v>
      </c>
      <c r="BD354" s="95" t="s">
        <v>3386</v>
      </c>
      <c r="BE354" s="33" t="s">
        <v>100</v>
      </c>
      <c r="BF354" s="33" t="s">
        <v>98</v>
      </c>
    </row>
    <row r="355" spans="1:58" s="103" customFormat="1" ht="78" x14ac:dyDescent="0.3">
      <c r="A355" s="94">
        <v>103</v>
      </c>
      <c r="B355" s="94" t="s">
        <v>3378</v>
      </c>
      <c r="C355" s="94" t="s">
        <v>53</v>
      </c>
      <c r="D355" s="95" t="s">
        <v>3449</v>
      </c>
      <c r="E355" s="94" t="s">
        <v>36</v>
      </c>
      <c r="F355" s="95" t="s">
        <v>134</v>
      </c>
      <c r="G355" s="94" t="s">
        <v>225</v>
      </c>
      <c r="H355" s="94" t="s">
        <v>125</v>
      </c>
      <c r="I355" s="94" t="s">
        <v>114</v>
      </c>
      <c r="J355" s="95" t="s">
        <v>24</v>
      </c>
      <c r="K355" s="95" t="s">
        <v>3403</v>
      </c>
      <c r="L355" s="95" t="s">
        <v>3381</v>
      </c>
      <c r="M355" s="94" t="s">
        <v>15</v>
      </c>
      <c r="N355" s="144" t="s">
        <v>3442</v>
      </c>
      <c r="O355" s="96" t="s">
        <v>207</v>
      </c>
      <c r="P355" s="97">
        <v>42004</v>
      </c>
      <c r="Q355" s="95" t="s">
        <v>276</v>
      </c>
      <c r="R355" s="95" t="s">
        <v>276</v>
      </c>
      <c r="S355" s="95" t="s">
        <v>276</v>
      </c>
      <c r="T355" s="95">
        <v>1</v>
      </c>
      <c r="U355" s="98">
        <v>28537</v>
      </c>
      <c r="V355" s="99">
        <v>56101</v>
      </c>
      <c r="W355" s="94" t="s">
        <v>276</v>
      </c>
      <c r="X355" s="94" t="s">
        <v>276</v>
      </c>
      <c r="Y355" s="94"/>
      <c r="Z355" s="94"/>
      <c r="AA355" s="94"/>
      <c r="AB355" s="94"/>
      <c r="AC355" s="95" t="s">
        <v>3448</v>
      </c>
      <c r="AD355" s="95" t="s">
        <v>3450</v>
      </c>
      <c r="AE355" s="94">
        <v>248</v>
      </c>
      <c r="AF355" s="94">
        <v>687</v>
      </c>
      <c r="AG355" s="107" t="s">
        <v>276</v>
      </c>
      <c r="AH355" s="107" t="s">
        <v>276</v>
      </c>
      <c r="AI355" s="99" t="s">
        <v>1019</v>
      </c>
      <c r="AJ355" s="203">
        <v>56</v>
      </c>
      <c r="AK355" s="101" t="s">
        <v>98</v>
      </c>
      <c r="AL355" s="203">
        <v>50</v>
      </c>
      <c r="AM355" s="203">
        <v>64</v>
      </c>
      <c r="AN355" s="203">
        <v>80</v>
      </c>
      <c r="AO355" s="101" t="s">
        <v>98</v>
      </c>
      <c r="AP355" s="203">
        <v>74</v>
      </c>
      <c r="AQ355" s="203">
        <v>86</v>
      </c>
      <c r="AR355" s="94" t="s">
        <v>270</v>
      </c>
      <c r="AS355" s="102">
        <v>0.71</v>
      </c>
      <c r="AT355" s="101" t="s">
        <v>98</v>
      </c>
      <c r="AU355" s="102">
        <v>0.61</v>
      </c>
      <c r="AV355" s="102">
        <v>0.82</v>
      </c>
      <c r="AW355" s="102" t="s">
        <v>276</v>
      </c>
      <c r="AX355" s="94" t="s">
        <v>282</v>
      </c>
      <c r="AY355" s="94" t="s">
        <v>98</v>
      </c>
      <c r="AZ355" s="94" t="s">
        <v>98</v>
      </c>
      <c r="BA355" s="94" t="s">
        <v>98</v>
      </c>
      <c r="BB355" s="94" t="s">
        <v>98</v>
      </c>
      <c r="BC355" s="95" t="s">
        <v>3419</v>
      </c>
      <c r="BD355" s="95" t="s">
        <v>3386</v>
      </c>
      <c r="BE355" s="33" t="s">
        <v>100</v>
      </c>
      <c r="BF355" s="33" t="s">
        <v>98</v>
      </c>
    </row>
    <row r="356" spans="1:58" s="208" customFormat="1" ht="65" x14ac:dyDescent="0.3">
      <c r="A356" s="112">
        <v>103</v>
      </c>
      <c r="B356" s="112" t="s">
        <v>3378</v>
      </c>
      <c r="C356" s="112" t="s">
        <v>53</v>
      </c>
      <c r="D356" s="113" t="s">
        <v>3451</v>
      </c>
      <c r="E356" s="112" t="s">
        <v>36</v>
      </c>
      <c r="F356" s="113" t="s">
        <v>134</v>
      </c>
      <c r="G356" s="112" t="s">
        <v>225</v>
      </c>
      <c r="H356" s="112" t="s">
        <v>125</v>
      </c>
      <c r="I356" s="112" t="s">
        <v>114</v>
      </c>
      <c r="J356" s="113" t="s">
        <v>24</v>
      </c>
      <c r="K356" s="113" t="s">
        <v>3400</v>
      </c>
      <c r="L356" s="113" t="s">
        <v>3381</v>
      </c>
      <c r="M356" s="112" t="s">
        <v>16</v>
      </c>
      <c r="N356" s="204" t="s">
        <v>170</v>
      </c>
      <c r="O356" s="117" t="s">
        <v>207</v>
      </c>
      <c r="P356" s="205">
        <v>42004</v>
      </c>
      <c r="Q356" s="113" t="s">
        <v>276</v>
      </c>
      <c r="R356" s="113" t="s">
        <v>276</v>
      </c>
      <c r="S356" s="113" t="s">
        <v>276</v>
      </c>
      <c r="T356" s="113">
        <v>1</v>
      </c>
      <c r="U356" s="118">
        <v>27995</v>
      </c>
      <c r="V356" s="119">
        <v>55339</v>
      </c>
      <c r="W356" s="112" t="s">
        <v>276</v>
      </c>
      <c r="X356" s="112" t="s">
        <v>276</v>
      </c>
      <c r="Y356" s="112"/>
      <c r="Z356" s="112"/>
      <c r="AA356" s="112"/>
      <c r="AB356" s="112"/>
      <c r="AC356" s="113" t="s">
        <v>3452</v>
      </c>
      <c r="AD356" s="113" t="s">
        <v>3413</v>
      </c>
      <c r="AE356" s="112">
        <v>98</v>
      </c>
      <c r="AF356" s="112">
        <v>379</v>
      </c>
      <c r="AG356" s="118" t="s">
        <v>276</v>
      </c>
      <c r="AH356" s="119" t="s">
        <v>276</v>
      </c>
      <c r="AI356" s="119" t="s">
        <v>1019</v>
      </c>
      <c r="AJ356" s="206">
        <v>23</v>
      </c>
      <c r="AK356" s="207" t="s">
        <v>98</v>
      </c>
      <c r="AL356" s="206">
        <v>19</v>
      </c>
      <c r="AM356" s="206">
        <v>28</v>
      </c>
      <c r="AN356" s="206">
        <v>45</v>
      </c>
      <c r="AO356" s="207" t="s">
        <v>98</v>
      </c>
      <c r="AP356" s="206">
        <v>40</v>
      </c>
      <c r="AQ356" s="206">
        <v>49</v>
      </c>
      <c r="AR356" s="112" t="s">
        <v>270</v>
      </c>
      <c r="AS356" s="121">
        <v>0.51</v>
      </c>
      <c r="AT356" s="207" t="s">
        <v>98</v>
      </c>
      <c r="AU356" s="121">
        <v>0.41</v>
      </c>
      <c r="AV356" s="121">
        <v>0.64</v>
      </c>
      <c r="AW356" s="121" t="s">
        <v>276</v>
      </c>
      <c r="AX356" s="112" t="s">
        <v>282</v>
      </c>
      <c r="AY356" s="112" t="s">
        <v>98</v>
      </c>
      <c r="AZ356" s="112" t="s">
        <v>98</v>
      </c>
      <c r="BA356" s="112" t="s">
        <v>98</v>
      </c>
      <c r="BB356" s="112" t="s">
        <v>98</v>
      </c>
      <c r="BC356" s="113" t="s">
        <v>3453</v>
      </c>
      <c r="BD356" s="113" t="s">
        <v>3391</v>
      </c>
      <c r="BE356" s="33" t="s">
        <v>100</v>
      </c>
      <c r="BF356" s="33" t="s">
        <v>98</v>
      </c>
    </row>
    <row r="357" spans="1:58" s="103" customFormat="1" ht="65" x14ac:dyDescent="0.3">
      <c r="A357" s="94">
        <v>103</v>
      </c>
      <c r="B357" s="94" t="s">
        <v>3378</v>
      </c>
      <c r="C357" s="94" t="s">
        <v>53</v>
      </c>
      <c r="D357" s="95" t="s">
        <v>3454</v>
      </c>
      <c r="E357" s="94" t="s">
        <v>36</v>
      </c>
      <c r="F357" s="95" t="s">
        <v>134</v>
      </c>
      <c r="G357" s="94" t="s">
        <v>225</v>
      </c>
      <c r="H357" s="94" t="s">
        <v>125</v>
      </c>
      <c r="I357" s="94" t="s">
        <v>114</v>
      </c>
      <c r="J357" s="95" t="s">
        <v>24</v>
      </c>
      <c r="K357" s="95" t="s">
        <v>3400</v>
      </c>
      <c r="L357" s="95" t="s">
        <v>3381</v>
      </c>
      <c r="M357" s="94" t="s">
        <v>16</v>
      </c>
      <c r="N357" s="144" t="s">
        <v>171</v>
      </c>
      <c r="O357" s="96" t="s">
        <v>207</v>
      </c>
      <c r="P357" s="97">
        <v>42004</v>
      </c>
      <c r="Q357" s="95" t="s">
        <v>276</v>
      </c>
      <c r="R357" s="95" t="s">
        <v>276</v>
      </c>
      <c r="S357" s="95" t="s">
        <v>276</v>
      </c>
      <c r="T357" s="95">
        <v>1</v>
      </c>
      <c r="U357" s="98">
        <v>29103</v>
      </c>
      <c r="V357" s="99">
        <v>57597</v>
      </c>
      <c r="W357" s="94" t="s">
        <v>276</v>
      </c>
      <c r="X357" s="94" t="s">
        <v>276</v>
      </c>
      <c r="Y357" s="94"/>
      <c r="Z357" s="94"/>
      <c r="AA357" s="94"/>
      <c r="AB357" s="94"/>
      <c r="AC357" s="95" t="s">
        <v>3455</v>
      </c>
      <c r="AD357" s="95" t="s">
        <v>3425</v>
      </c>
      <c r="AE357" s="94">
        <v>51</v>
      </c>
      <c r="AF357" s="94">
        <v>165</v>
      </c>
      <c r="AG357" s="98" t="s">
        <v>276</v>
      </c>
      <c r="AH357" s="99" t="s">
        <v>276</v>
      </c>
      <c r="AI357" s="99" t="s">
        <v>1019</v>
      </c>
      <c r="AJ357" s="203">
        <v>11</v>
      </c>
      <c r="AK357" s="101" t="s">
        <v>98</v>
      </c>
      <c r="AL357" s="203">
        <v>8</v>
      </c>
      <c r="AM357" s="203">
        <v>14</v>
      </c>
      <c r="AN357" s="203">
        <v>18</v>
      </c>
      <c r="AO357" s="101" t="s">
        <v>98</v>
      </c>
      <c r="AP357" s="203">
        <v>15</v>
      </c>
      <c r="AQ357" s="203">
        <v>21</v>
      </c>
      <c r="AR357" s="94" t="s">
        <v>270</v>
      </c>
      <c r="AS357" s="102">
        <v>0.61</v>
      </c>
      <c r="AT357" s="101" t="s">
        <v>98</v>
      </c>
      <c r="AU357" s="102">
        <v>0.45</v>
      </c>
      <c r="AV357" s="102">
        <v>0.83</v>
      </c>
      <c r="AW357" s="102" t="s">
        <v>276</v>
      </c>
      <c r="AX357" s="94" t="s">
        <v>282</v>
      </c>
      <c r="AY357" s="94" t="s">
        <v>98</v>
      </c>
      <c r="AZ357" s="94" t="s">
        <v>98</v>
      </c>
      <c r="BA357" s="94" t="s">
        <v>98</v>
      </c>
      <c r="BB357" s="94" t="s">
        <v>98</v>
      </c>
      <c r="BC357" s="95" t="s">
        <v>3453</v>
      </c>
      <c r="BD357" s="95" t="s">
        <v>3391</v>
      </c>
      <c r="BE357" s="33" t="s">
        <v>100</v>
      </c>
      <c r="BF357" s="33" t="s">
        <v>98</v>
      </c>
    </row>
    <row r="358" spans="1:58" s="208" customFormat="1" ht="65" x14ac:dyDescent="0.3">
      <c r="A358" s="112">
        <v>103</v>
      </c>
      <c r="B358" s="112" t="s">
        <v>3378</v>
      </c>
      <c r="C358" s="112" t="s">
        <v>53</v>
      </c>
      <c r="D358" s="113" t="s">
        <v>3456</v>
      </c>
      <c r="E358" s="112" t="s">
        <v>36</v>
      </c>
      <c r="F358" s="113" t="s">
        <v>134</v>
      </c>
      <c r="G358" s="112" t="s">
        <v>225</v>
      </c>
      <c r="H358" s="112" t="s">
        <v>125</v>
      </c>
      <c r="I358" s="112" t="s">
        <v>114</v>
      </c>
      <c r="J358" s="113" t="s">
        <v>24</v>
      </c>
      <c r="K358" s="113" t="s">
        <v>3400</v>
      </c>
      <c r="L358" s="113" t="s">
        <v>3381</v>
      </c>
      <c r="M358" s="112" t="s">
        <v>15</v>
      </c>
      <c r="N358" s="204" t="s">
        <v>3432</v>
      </c>
      <c r="O358" s="117" t="s">
        <v>207</v>
      </c>
      <c r="P358" s="205">
        <v>42004</v>
      </c>
      <c r="Q358" s="113" t="s">
        <v>276</v>
      </c>
      <c r="R358" s="113" t="s">
        <v>276</v>
      </c>
      <c r="S358" s="113" t="s">
        <v>276</v>
      </c>
      <c r="T358" s="113">
        <v>1</v>
      </c>
      <c r="U358" s="118">
        <v>28561</v>
      </c>
      <c r="V358" s="119">
        <v>56835</v>
      </c>
      <c r="W358" s="112" t="s">
        <v>276</v>
      </c>
      <c r="X358" s="112" t="s">
        <v>276</v>
      </c>
      <c r="Y358" s="112"/>
      <c r="Z358" s="112"/>
      <c r="AA358" s="112"/>
      <c r="AB358" s="112"/>
      <c r="AC358" s="113" t="s">
        <v>3457</v>
      </c>
      <c r="AD358" s="113" t="s">
        <v>3434</v>
      </c>
      <c r="AE358" s="112">
        <v>62</v>
      </c>
      <c r="AF358" s="112">
        <v>242</v>
      </c>
      <c r="AG358" s="118" t="s">
        <v>276</v>
      </c>
      <c r="AH358" s="119" t="s">
        <v>276</v>
      </c>
      <c r="AI358" s="119" t="s">
        <v>1019</v>
      </c>
      <c r="AJ358" s="206">
        <v>13</v>
      </c>
      <c r="AK358" s="207" t="s">
        <v>98</v>
      </c>
      <c r="AL358" s="206">
        <v>10</v>
      </c>
      <c r="AM358" s="206">
        <v>17</v>
      </c>
      <c r="AN358" s="206">
        <v>26</v>
      </c>
      <c r="AO358" s="207" t="s">
        <v>98</v>
      </c>
      <c r="AP358" s="206">
        <v>23</v>
      </c>
      <c r="AQ358" s="206">
        <v>30</v>
      </c>
      <c r="AR358" s="112" t="s">
        <v>270</v>
      </c>
      <c r="AS358" s="121">
        <v>0.51</v>
      </c>
      <c r="AT358" s="207" t="s">
        <v>98</v>
      </c>
      <c r="AU358" s="121">
        <v>0.39</v>
      </c>
      <c r="AV358" s="121">
        <v>0.67</v>
      </c>
      <c r="AW358" s="121" t="s">
        <v>276</v>
      </c>
      <c r="AX358" s="112" t="s">
        <v>282</v>
      </c>
      <c r="AY358" s="112" t="s">
        <v>98</v>
      </c>
      <c r="AZ358" s="112" t="s">
        <v>98</v>
      </c>
      <c r="BA358" s="112" t="s">
        <v>98</v>
      </c>
      <c r="BB358" s="112" t="s">
        <v>98</v>
      </c>
      <c r="BC358" s="113" t="s">
        <v>3458</v>
      </c>
      <c r="BD358" s="113" t="s">
        <v>3391</v>
      </c>
      <c r="BE358" s="33" t="s">
        <v>100</v>
      </c>
      <c r="BF358" s="33" t="s">
        <v>98</v>
      </c>
    </row>
    <row r="359" spans="1:58" s="103" customFormat="1" ht="65" x14ac:dyDescent="0.3">
      <c r="A359" s="94">
        <v>103</v>
      </c>
      <c r="B359" s="94" t="s">
        <v>3378</v>
      </c>
      <c r="C359" s="94" t="s">
        <v>53</v>
      </c>
      <c r="D359" s="95" t="s">
        <v>3459</v>
      </c>
      <c r="E359" s="94" t="s">
        <v>36</v>
      </c>
      <c r="F359" s="95" t="s">
        <v>134</v>
      </c>
      <c r="G359" s="94" t="s">
        <v>225</v>
      </c>
      <c r="H359" s="94" t="s">
        <v>125</v>
      </c>
      <c r="I359" s="94" t="s">
        <v>114</v>
      </c>
      <c r="J359" s="95" t="s">
        <v>24</v>
      </c>
      <c r="K359" s="95" t="s">
        <v>3400</v>
      </c>
      <c r="L359" s="95" t="s">
        <v>3381</v>
      </c>
      <c r="M359" s="94" t="s">
        <v>15</v>
      </c>
      <c r="N359" s="144" t="s">
        <v>3442</v>
      </c>
      <c r="O359" s="96" t="s">
        <v>207</v>
      </c>
      <c r="P359" s="97">
        <v>42004</v>
      </c>
      <c r="Q359" s="95" t="s">
        <v>276</v>
      </c>
      <c r="R359" s="95" t="s">
        <v>276</v>
      </c>
      <c r="S359" s="95" t="s">
        <v>276</v>
      </c>
      <c r="T359" s="95">
        <v>1</v>
      </c>
      <c r="U359" s="98">
        <v>28537</v>
      </c>
      <c r="V359" s="99">
        <v>56101</v>
      </c>
      <c r="W359" s="94" t="s">
        <v>276</v>
      </c>
      <c r="X359" s="94" t="s">
        <v>276</v>
      </c>
      <c r="Y359" s="94"/>
      <c r="Z359" s="94"/>
      <c r="AA359" s="94"/>
      <c r="AB359" s="94"/>
      <c r="AC359" s="95" t="s">
        <v>3460</v>
      </c>
      <c r="AD359" s="95" t="s">
        <v>3446</v>
      </c>
      <c r="AE359" s="94">
        <v>87</v>
      </c>
      <c r="AF359" s="94">
        <v>302</v>
      </c>
      <c r="AG359" s="98" t="s">
        <v>276</v>
      </c>
      <c r="AH359" s="99" t="s">
        <v>276</v>
      </c>
      <c r="AI359" s="99" t="s">
        <v>1019</v>
      </c>
      <c r="AJ359" s="203">
        <v>20</v>
      </c>
      <c r="AK359" s="101" t="s">
        <v>98</v>
      </c>
      <c r="AL359" s="203">
        <v>16</v>
      </c>
      <c r="AM359" s="203">
        <v>24</v>
      </c>
      <c r="AN359" s="203">
        <v>35</v>
      </c>
      <c r="AO359" s="101" t="s">
        <v>98</v>
      </c>
      <c r="AP359" s="203">
        <v>31</v>
      </c>
      <c r="AQ359" s="203">
        <v>39</v>
      </c>
      <c r="AR359" s="94" t="s">
        <v>270</v>
      </c>
      <c r="AS359" s="102">
        <v>0.56000000000000005</v>
      </c>
      <c r="AT359" s="101" t="s">
        <v>98</v>
      </c>
      <c r="AU359" s="102">
        <v>0.44</v>
      </c>
      <c r="AV359" s="102">
        <v>0.71</v>
      </c>
      <c r="AW359" s="102" t="s">
        <v>276</v>
      </c>
      <c r="AX359" s="94" t="s">
        <v>282</v>
      </c>
      <c r="AY359" s="94" t="s">
        <v>98</v>
      </c>
      <c r="AZ359" s="94" t="s">
        <v>98</v>
      </c>
      <c r="BA359" s="94" t="s">
        <v>98</v>
      </c>
      <c r="BB359" s="94" t="s">
        <v>98</v>
      </c>
      <c r="BC359" s="95" t="s">
        <v>3461</v>
      </c>
      <c r="BD359" s="95" t="s">
        <v>3391</v>
      </c>
      <c r="BE359" s="33" t="s">
        <v>100</v>
      </c>
      <c r="BF359" s="33" t="s">
        <v>98</v>
      </c>
    </row>
    <row r="360" spans="1:58" s="208" customFormat="1" ht="65" x14ac:dyDescent="0.3">
      <c r="A360" s="112">
        <v>103</v>
      </c>
      <c r="B360" s="112" t="s">
        <v>3378</v>
      </c>
      <c r="C360" s="112" t="s">
        <v>53</v>
      </c>
      <c r="D360" s="113" t="s">
        <v>3462</v>
      </c>
      <c r="E360" s="112" t="s">
        <v>36</v>
      </c>
      <c r="F360" s="113" t="s">
        <v>134</v>
      </c>
      <c r="G360" s="112" t="s">
        <v>225</v>
      </c>
      <c r="H360" s="112" t="s">
        <v>125</v>
      </c>
      <c r="I360" s="112" t="s">
        <v>114</v>
      </c>
      <c r="J360" s="113" t="s">
        <v>24</v>
      </c>
      <c r="K360" s="113" t="s">
        <v>3400</v>
      </c>
      <c r="L360" s="113" t="s">
        <v>3381</v>
      </c>
      <c r="M360" s="112" t="s">
        <v>16</v>
      </c>
      <c r="N360" s="204" t="s">
        <v>170</v>
      </c>
      <c r="O360" s="117" t="s">
        <v>207</v>
      </c>
      <c r="P360" s="205">
        <v>42004</v>
      </c>
      <c r="Q360" s="113" t="s">
        <v>276</v>
      </c>
      <c r="R360" s="113" t="s">
        <v>276</v>
      </c>
      <c r="S360" s="113" t="s">
        <v>276</v>
      </c>
      <c r="T360" s="113">
        <v>1</v>
      </c>
      <c r="U360" s="118">
        <v>27995</v>
      </c>
      <c r="V360" s="119">
        <v>55339</v>
      </c>
      <c r="W360" s="112" t="s">
        <v>276</v>
      </c>
      <c r="X360" s="112" t="s">
        <v>276</v>
      </c>
      <c r="Y360" s="112"/>
      <c r="Z360" s="112"/>
      <c r="AA360" s="112"/>
      <c r="AB360" s="112"/>
      <c r="AC360" s="113" t="s">
        <v>3463</v>
      </c>
      <c r="AD360" s="113" t="s">
        <v>3413</v>
      </c>
      <c r="AE360" s="112">
        <v>97</v>
      </c>
      <c r="AF360" s="112">
        <v>201</v>
      </c>
      <c r="AG360" s="118" t="s">
        <v>276</v>
      </c>
      <c r="AH360" s="119" t="s">
        <v>276</v>
      </c>
      <c r="AI360" s="119" t="s">
        <v>1019</v>
      </c>
      <c r="AJ360" s="206">
        <v>23</v>
      </c>
      <c r="AK360" s="207" t="s">
        <v>98</v>
      </c>
      <c r="AL360" s="206">
        <v>18</v>
      </c>
      <c r="AM360" s="206">
        <v>28</v>
      </c>
      <c r="AN360" s="206">
        <v>24</v>
      </c>
      <c r="AO360" s="207" t="s">
        <v>98</v>
      </c>
      <c r="AP360" s="206">
        <v>21</v>
      </c>
      <c r="AQ360" s="206">
        <v>27</v>
      </c>
      <c r="AR360" s="112" t="s">
        <v>270</v>
      </c>
      <c r="AS360" s="121">
        <v>0.95</v>
      </c>
      <c r="AT360" s="207" t="s">
        <v>98</v>
      </c>
      <c r="AU360" s="121">
        <v>0.75</v>
      </c>
      <c r="AV360" s="121">
        <v>1.21</v>
      </c>
      <c r="AW360" s="121" t="s">
        <v>276</v>
      </c>
      <c r="AX360" s="112" t="s">
        <v>282</v>
      </c>
      <c r="AY360" s="112" t="s">
        <v>98</v>
      </c>
      <c r="AZ360" s="112" t="s">
        <v>98</v>
      </c>
      <c r="BA360" s="112" t="s">
        <v>98</v>
      </c>
      <c r="BB360" s="112" t="s">
        <v>98</v>
      </c>
      <c r="BC360" s="113" t="s">
        <v>1020</v>
      </c>
      <c r="BD360" s="113" t="s">
        <v>3391</v>
      </c>
      <c r="BE360" s="33" t="s">
        <v>100</v>
      </c>
      <c r="BF360" s="33" t="s">
        <v>98</v>
      </c>
    </row>
    <row r="361" spans="1:58" s="103" customFormat="1" ht="65" x14ac:dyDescent="0.3">
      <c r="A361" s="94">
        <v>103</v>
      </c>
      <c r="B361" s="94" t="s">
        <v>3378</v>
      </c>
      <c r="C361" s="94" t="s">
        <v>53</v>
      </c>
      <c r="D361" s="95" t="s">
        <v>3464</v>
      </c>
      <c r="E361" s="94" t="s">
        <v>36</v>
      </c>
      <c r="F361" s="95" t="s">
        <v>134</v>
      </c>
      <c r="G361" s="94" t="s">
        <v>225</v>
      </c>
      <c r="H361" s="94" t="s">
        <v>125</v>
      </c>
      <c r="I361" s="94" t="s">
        <v>114</v>
      </c>
      <c r="J361" s="95" t="s">
        <v>24</v>
      </c>
      <c r="K361" s="95" t="s">
        <v>3400</v>
      </c>
      <c r="L361" s="95" t="s">
        <v>3381</v>
      </c>
      <c r="M361" s="94" t="s">
        <v>16</v>
      </c>
      <c r="N361" s="144" t="s">
        <v>171</v>
      </c>
      <c r="O361" s="96" t="s">
        <v>207</v>
      </c>
      <c r="P361" s="97">
        <v>42004</v>
      </c>
      <c r="Q361" s="95" t="s">
        <v>276</v>
      </c>
      <c r="R361" s="95" t="s">
        <v>276</v>
      </c>
      <c r="S361" s="95" t="s">
        <v>276</v>
      </c>
      <c r="T361" s="95">
        <v>1</v>
      </c>
      <c r="U361" s="98">
        <v>29103</v>
      </c>
      <c r="V361" s="99">
        <v>57597</v>
      </c>
      <c r="W361" s="94" t="s">
        <v>276</v>
      </c>
      <c r="X361" s="94" t="s">
        <v>276</v>
      </c>
      <c r="Y361" s="94"/>
      <c r="Z361" s="94"/>
      <c r="AA361" s="94"/>
      <c r="AB361" s="94"/>
      <c r="AC361" s="95" t="s">
        <v>3465</v>
      </c>
      <c r="AD361" s="95" t="s">
        <v>3425</v>
      </c>
      <c r="AE361" s="94">
        <v>88</v>
      </c>
      <c r="AF361" s="94">
        <v>202</v>
      </c>
      <c r="AG361" s="98" t="s">
        <v>276</v>
      </c>
      <c r="AH361" s="99" t="s">
        <v>276</v>
      </c>
      <c r="AI361" s="99" t="s">
        <v>1019</v>
      </c>
      <c r="AJ361" s="203">
        <v>19</v>
      </c>
      <c r="AK361" s="101" t="s">
        <v>98</v>
      </c>
      <c r="AL361" s="203">
        <v>15</v>
      </c>
      <c r="AM361" s="203">
        <v>23</v>
      </c>
      <c r="AN361" s="203">
        <v>22</v>
      </c>
      <c r="AO361" s="101" t="s">
        <v>98</v>
      </c>
      <c r="AP361" s="203">
        <v>19</v>
      </c>
      <c r="AQ361" s="203">
        <v>25</v>
      </c>
      <c r="AR361" s="94" t="s">
        <v>270</v>
      </c>
      <c r="AS361" s="102">
        <v>0.86</v>
      </c>
      <c r="AT361" s="101" t="s">
        <v>98</v>
      </c>
      <c r="AU361" s="102">
        <v>0.67</v>
      </c>
      <c r="AV361" s="102">
        <v>1.1000000000000001</v>
      </c>
      <c r="AW361" s="102" t="s">
        <v>276</v>
      </c>
      <c r="AX361" s="94" t="s">
        <v>282</v>
      </c>
      <c r="AY361" s="94" t="s">
        <v>98</v>
      </c>
      <c r="AZ361" s="94" t="s">
        <v>98</v>
      </c>
      <c r="BA361" s="94" t="s">
        <v>98</v>
      </c>
      <c r="BB361" s="94" t="s">
        <v>98</v>
      </c>
      <c r="BC361" s="95" t="s">
        <v>1020</v>
      </c>
      <c r="BD361" s="95" t="s">
        <v>3391</v>
      </c>
      <c r="BE361" s="33" t="s">
        <v>100</v>
      </c>
      <c r="BF361" s="33" t="s">
        <v>98</v>
      </c>
    </row>
    <row r="362" spans="1:58" s="208" customFormat="1" ht="65" x14ac:dyDescent="0.3">
      <c r="A362" s="112">
        <v>103</v>
      </c>
      <c r="B362" s="112" t="s">
        <v>3378</v>
      </c>
      <c r="C362" s="112" t="s">
        <v>53</v>
      </c>
      <c r="D362" s="113" t="s">
        <v>3466</v>
      </c>
      <c r="E362" s="112" t="s">
        <v>36</v>
      </c>
      <c r="F362" s="113" t="s">
        <v>134</v>
      </c>
      <c r="G362" s="112" t="s">
        <v>225</v>
      </c>
      <c r="H362" s="112" t="s">
        <v>125</v>
      </c>
      <c r="I362" s="112" t="s">
        <v>114</v>
      </c>
      <c r="J362" s="113" t="s">
        <v>24</v>
      </c>
      <c r="K362" s="113" t="s">
        <v>3400</v>
      </c>
      <c r="L362" s="113" t="s">
        <v>3381</v>
      </c>
      <c r="M362" s="112" t="s">
        <v>15</v>
      </c>
      <c r="N362" s="204" t="s">
        <v>3432</v>
      </c>
      <c r="O362" s="117" t="s">
        <v>207</v>
      </c>
      <c r="P362" s="205">
        <v>42004</v>
      </c>
      <c r="Q362" s="113" t="s">
        <v>276</v>
      </c>
      <c r="R362" s="113" t="s">
        <v>276</v>
      </c>
      <c r="S362" s="113" t="s">
        <v>276</v>
      </c>
      <c r="T362" s="113">
        <v>1</v>
      </c>
      <c r="U362" s="118">
        <v>28561</v>
      </c>
      <c r="V362" s="119">
        <v>56835</v>
      </c>
      <c r="W362" s="112" t="s">
        <v>276</v>
      </c>
      <c r="X362" s="112" t="s">
        <v>276</v>
      </c>
      <c r="Y362" s="112"/>
      <c r="Z362" s="112"/>
      <c r="AA362" s="112"/>
      <c r="AB362" s="112"/>
      <c r="AC362" s="113" t="s">
        <v>3467</v>
      </c>
      <c r="AD362" s="113" t="s">
        <v>3434</v>
      </c>
      <c r="AE362" s="112">
        <v>69</v>
      </c>
      <c r="AF362" s="112">
        <v>158</v>
      </c>
      <c r="AG362" s="118" t="s">
        <v>276</v>
      </c>
      <c r="AH362" s="119" t="s">
        <v>276</v>
      </c>
      <c r="AI362" s="119" t="s">
        <v>1019</v>
      </c>
      <c r="AJ362" s="206">
        <v>15</v>
      </c>
      <c r="AK362" s="207" t="s">
        <v>98</v>
      </c>
      <c r="AL362" s="206">
        <v>12</v>
      </c>
      <c r="AM362" s="206">
        <v>19</v>
      </c>
      <c r="AN362" s="206">
        <v>17</v>
      </c>
      <c r="AO362" s="207" t="s">
        <v>98</v>
      </c>
      <c r="AP362" s="206">
        <v>15</v>
      </c>
      <c r="AQ362" s="206">
        <v>20</v>
      </c>
      <c r="AR362" s="112" t="s">
        <v>270</v>
      </c>
      <c r="AS362" s="121">
        <v>0.87</v>
      </c>
      <c r="AT362" s="207" t="s">
        <v>98</v>
      </c>
      <c r="AU362" s="121">
        <v>0.66</v>
      </c>
      <c r="AV362" s="121">
        <v>1.1499999999999999</v>
      </c>
      <c r="AW362" s="121" t="s">
        <v>276</v>
      </c>
      <c r="AX362" s="112" t="s">
        <v>282</v>
      </c>
      <c r="AY362" s="112" t="s">
        <v>98</v>
      </c>
      <c r="AZ362" s="112" t="s">
        <v>98</v>
      </c>
      <c r="BA362" s="112" t="s">
        <v>98</v>
      </c>
      <c r="BB362" s="112" t="s">
        <v>98</v>
      </c>
      <c r="BC362" s="113" t="s">
        <v>1020</v>
      </c>
      <c r="BD362" s="113" t="s">
        <v>3391</v>
      </c>
      <c r="BE362" s="33" t="s">
        <v>100</v>
      </c>
      <c r="BF362" s="33" t="s">
        <v>98</v>
      </c>
    </row>
    <row r="363" spans="1:58" s="103" customFormat="1" ht="65" x14ac:dyDescent="0.3">
      <c r="A363" s="94">
        <v>103</v>
      </c>
      <c r="B363" s="94" t="s">
        <v>3378</v>
      </c>
      <c r="C363" s="94" t="s">
        <v>53</v>
      </c>
      <c r="D363" s="95" t="s">
        <v>3468</v>
      </c>
      <c r="E363" s="94" t="s">
        <v>36</v>
      </c>
      <c r="F363" s="95" t="s">
        <v>134</v>
      </c>
      <c r="G363" s="94" t="s">
        <v>225</v>
      </c>
      <c r="H363" s="94" t="s">
        <v>125</v>
      </c>
      <c r="I363" s="94" t="s">
        <v>114</v>
      </c>
      <c r="J363" s="95" t="s">
        <v>24</v>
      </c>
      <c r="K363" s="95" t="s">
        <v>3400</v>
      </c>
      <c r="L363" s="95" t="s">
        <v>3381</v>
      </c>
      <c r="M363" s="94" t="s">
        <v>15</v>
      </c>
      <c r="N363" s="144" t="s">
        <v>3442</v>
      </c>
      <c r="O363" s="96" t="s">
        <v>207</v>
      </c>
      <c r="P363" s="97">
        <v>42004</v>
      </c>
      <c r="Q363" s="95" t="s">
        <v>276</v>
      </c>
      <c r="R363" s="95" t="s">
        <v>276</v>
      </c>
      <c r="S363" s="95" t="s">
        <v>276</v>
      </c>
      <c r="T363" s="95">
        <v>1</v>
      </c>
      <c r="U363" s="98">
        <v>28537</v>
      </c>
      <c r="V363" s="99">
        <v>56101</v>
      </c>
      <c r="W363" s="94" t="s">
        <v>276</v>
      </c>
      <c r="X363" s="94" t="s">
        <v>276</v>
      </c>
      <c r="Y363" s="94"/>
      <c r="Z363" s="94"/>
      <c r="AA363" s="94"/>
      <c r="AB363" s="94"/>
      <c r="AC363" s="95" t="s">
        <v>3469</v>
      </c>
      <c r="AD363" s="95" t="s">
        <v>3446</v>
      </c>
      <c r="AE363" s="94">
        <v>116</v>
      </c>
      <c r="AF363" s="94">
        <v>245</v>
      </c>
      <c r="AG363" s="98" t="s">
        <v>276</v>
      </c>
      <c r="AH363" s="99" t="s">
        <v>276</v>
      </c>
      <c r="AI363" s="99" t="s">
        <v>1019</v>
      </c>
      <c r="AJ363" s="203">
        <v>26</v>
      </c>
      <c r="AK363" s="101" t="s">
        <v>98</v>
      </c>
      <c r="AL363" s="203">
        <v>22</v>
      </c>
      <c r="AM363" s="203">
        <v>32</v>
      </c>
      <c r="AN363" s="203">
        <v>28</v>
      </c>
      <c r="AO363" s="101" t="s">
        <v>98</v>
      </c>
      <c r="AP363" s="203">
        <v>25</v>
      </c>
      <c r="AQ363" s="203">
        <v>32</v>
      </c>
      <c r="AR363" s="94" t="s">
        <v>270</v>
      </c>
      <c r="AS363" s="102">
        <v>0.93</v>
      </c>
      <c r="AT363" s="101" t="s">
        <v>98</v>
      </c>
      <c r="AU363" s="102">
        <v>0.74</v>
      </c>
      <c r="AV363" s="102">
        <v>1.1499999999999999</v>
      </c>
      <c r="AW363" s="102" t="s">
        <v>276</v>
      </c>
      <c r="AX363" s="94" t="s">
        <v>282</v>
      </c>
      <c r="AY363" s="94" t="s">
        <v>98</v>
      </c>
      <c r="AZ363" s="94" t="s">
        <v>98</v>
      </c>
      <c r="BA363" s="94" t="s">
        <v>98</v>
      </c>
      <c r="BB363" s="94" t="s">
        <v>98</v>
      </c>
      <c r="BC363" s="95" t="s">
        <v>1020</v>
      </c>
      <c r="BD363" s="95" t="s">
        <v>3391</v>
      </c>
      <c r="BE363" s="33" t="s">
        <v>100</v>
      </c>
      <c r="BF363" s="33" t="s">
        <v>98</v>
      </c>
    </row>
    <row r="364" spans="1:58" s="208" customFormat="1" ht="65" x14ac:dyDescent="0.3">
      <c r="A364" s="112">
        <v>103</v>
      </c>
      <c r="B364" s="112" t="s">
        <v>3378</v>
      </c>
      <c r="C364" s="112" t="s">
        <v>53</v>
      </c>
      <c r="D364" s="113" t="s">
        <v>3470</v>
      </c>
      <c r="E364" s="112" t="s">
        <v>36</v>
      </c>
      <c r="F364" s="113" t="s">
        <v>134</v>
      </c>
      <c r="G364" s="112" t="s">
        <v>225</v>
      </c>
      <c r="H364" s="112" t="s">
        <v>125</v>
      </c>
      <c r="I364" s="112" t="s">
        <v>114</v>
      </c>
      <c r="J364" s="113" t="s">
        <v>23</v>
      </c>
      <c r="K364" s="113" t="s">
        <v>3396</v>
      </c>
      <c r="L364" s="113" t="s">
        <v>3381</v>
      </c>
      <c r="M364" s="112" t="s">
        <v>16</v>
      </c>
      <c r="N364" s="204" t="s">
        <v>170</v>
      </c>
      <c r="O364" s="117" t="s">
        <v>207</v>
      </c>
      <c r="P364" s="205">
        <v>42004</v>
      </c>
      <c r="Q364" s="113" t="s">
        <v>276</v>
      </c>
      <c r="R364" s="113" t="s">
        <v>276</v>
      </c>
      <c r="S364" s="113" t="s">
        <v>276</v>
      </c>
      <c r="T364" s="113">
        <v>1</v>
      </c>
      <c r="U364" s="118">
        <v>27995</v>
      </c>
      <c r="V364" s="119">
        <v>55339</v>
      </c>
      <c r="W364" s="112" t="s">
        <v>276</v>
      </c>
      <c r="X364" s="112" t="s">
        <v>276</v>
      </c>
      <c r="Y364" s="112"/>
      <c r="Z364" s="112"/>
      <c r="AA364" s="112"/>
      <c r="AB364" s="112"/>
      <c r="AC364" s="113" t="s">
        <v>3471</v>
      </c>
      <c r="AD364" s="113" t="s">
        <v>3413</v>
      </c>
      <c r="AE364" s="112">
        <v>7918</v>
      </c>
      <c r="AF364" s="112">
        <v>15583</v>
      </c>
      <c r="AG364" s="118" t="s">
        <v>276</v>
      </c>
      <c r="AH364" s="119" t="s">
        <v>276</v>
      </c>
      <c r="AI364" s="119" t="s">
        <v>1019</v>
      </c>
      <c r="AJ364" s="206">
        <v>1841</v>
      </c>
      <c r="AK364" s="207" t="s">
        <v>98</v>
      </c>
      <c r="AL364" s="206">
        <v>1800</v>
      </c>
      <c r="AM364" s="206">
        <v>1881</v>
      </c>
      <c r="AN364" s="206">
        <v>1835</v>
      </c>
      <c r="AO364" s="207" t="s">
        <v>98</v>
      </c>
      <c r="AP364" s="206">
        <v>1806</v>
      </c>
      <c r="AQ364" s="206">
        <v>1864</v>
      </c>
      <c r="AR364" s="112" t="s">
        <v>270</v>
      </c>
      <c r="AS364" s="121">
        <v>1</v>
      </c>
      <c r="AT364" s="207" t="s">
        <v>98</v>
      </c>
      <c r="AU364" s="121">
        <v>0.98</v>
      </c>
      <c r="AV364" s="121">
        <v>1.03</v>
      </c>
      <c r="AW364" s="121" t="s">
        <v>276</v>
      </c>
      <c r="AX364" s="112" t="s">
        <v>282</v>
      </c>
      <c r="AY364" s="112" t="s">
        <v>98</v>
      </c>
      <c r="AZ364" s="112" t="s">
        <v>98</v>
      </c>
      <c r="BA364" s="112" t="s">
        <v>98</v>
      </c>
      <c r="BB364" s="112" t="s">
        <v>98</v>
      </c>
      <c r="BC364" s="113" t="s">
        <v>1020</v>
      </c>
      <c r="BD364" s="113" t="s">
        <v>3391</v>
      </c>
      <c r="BE364" s="33" t="s">
        <v>100</v>
      </c>
      <c r="BF364" s="33" t="s">
        <v>98</v>
      </c>
    </row>
    <row r="365" spans="1:58" s="103" customFormat="1" ht="65" x14ac:dyDescent="0.3">
      <c r="A365" s="94">
        <v>103</v>
      </c>
      <c r="B365" s="94" t="s">
        <v>3378</v>
      </c>
      <c r="C365" s="94" t="s">
        <v>53</v>
      </c>
      <c r="D365" s="95" t="s">
        <v>3472</v>
      </c>
      <c r="E365" s="94" t="s">
        <v>36</v>
      </c>
      <c r="F365" s="95" t="s">
        <v>134</v>
      </c>
      <c r="G365" s="94" t="s">
        <v>225</v>
      </c>
      <c r="H365" s="94" t="s">
        <v>125</v>
      </c>
      <c r="I365" s="94" t="s">
        <v>114</v>
      </c>
      <c r="J365" s="95" t="s">
        <v>23</v>
      </c>
      <c r="K365" s="95" t="s">
        <v>3396</v>
      </c>
      <c r="L365" s="95" t="s">
        <v>3381</v>
      </c>
      <c r="M365" s="94" t="s">
        <v>16</v>
      </c>
      <c r="N365" s="144" t="s">
        <v>171</v>
      </c>
      <c r="O365" s="96" t="s">
        <v>207</v>
      </c>
      <c r="P365" s="97">
        <v>42004</v>
      </c>
      <c r="Q365" s="95" t="s">
        <v>276</v>
      </c>
      <c r="R365" s="95" t="s">
        <v>276</v>
      </c>
      <c r="S365" s="95" t="s">
        <v>276</v>
      </c>
      <c r="T365" s="95">
        <v>1</v>
      </c>
      <c r="U365" s="98">
        <v>29103</v>
      </c>
      <c r="V365" s="99">
        <v>57597</v>
      </c>
      <c r="W365" s="94" t="s">
        <v>276</v>
      </c>
      <c r="X365" s="94" t="s">
        <v>276</v>
      </c>
      <c r="Y365" s="94"/>
      <c r="Z365" s="94"/>
      <c r="AA365" s="94"/>
      <c r="AB365" s="94"/>
      <c r="AC365" s="95" t="s">
        <v>3473</v>
      </c>
      <c r="AD365" s="95" t="s">
        <v>3425</v>
      </c>
      <c r="AE365" s="94">
        <v>5361</v>
      </c>
      <c r="AF365" s="94">
        <v>10826</v>
      </c>
      <c r="AG365" s="98" t="s">
        <v>276</v>
      </c>
      <c r="AH365" s="99" t="s">
        <v>276</v>
      </c>
      <c r="AI365" s="99" t="s">
        <v>1019</v>
      </c>
      <c r="AJ365" s="203">
        <v>1136</v>
      </c>
      <c r="AK365" s="101" t="s">
        <v>98</v>
      </c>
      <c r="AL365" s="203">
        <v>1106</v>
      </c>
      <c r="AM365" s="203">
        <v>1167</v>
      </c>
      <c r="AN365" s="203">
        <v>1163</v>
      </c>
      <c r="AO365" s="101" t="s">
        <v>98</v>
      </c>
      <c r="AP365" s="203">
        <v>1141</v>
      </c>
      <c r="AQ365" s="203">
        <v>1185</v>
      </c>
      <c r="AR365" s="94" t="s">
        <v>270</v>
      </c>
      <c r="AS365" s="102">
        <v>0.98</v>
      </c>
      <c r="AT365" s="101" t="s">
        <v>98</v>
      </c>
      <c r="AU365" s="102">
        <v>0.95</v>
      </c>
      <c r="AV365" s="102">
        <v>1.01</v>
      </c>
      <c r="AW365" s="102" t="s">
        <v>276</v>
      </c>
      <c r="AX365" s="94" t="s">
        <v>282</v>
      </c>
      <c r="AY365" s="94" t="s">
        <v>98</v>
      </c>
      <c r="AZ365" s="94" t="s">
        <v>98</v>
      </c>
      <c r="BA365" s="94" t="s">
        <v>98</v>
      </c>
      <c r="BB365" s="94" t="s">
        <v>98</v>
      </c>
      <c r="BC365" s="95" t="s">
        <v>1020</v>
      </c>
      <c r="BD365" s="95" t="s">
        <v>3391</v>
      </c>
      <c r="BE365" s="33" t="s">
        <v>100</v>
      </c>
      <c r="BF365" s="33" t="s">
        <v>98</v>
      </c>
    </row>
    <row r="366" spans="1:58" s="208" customFormat="1" ht="65" x14ac:dyDescent="0.3">
      <c r="A366" s="112">
        <v>103</v>
      </c>
      <c r="B366" s="112" t="s">
        <v>3378</v>
      </c>
      <c r="C366" s="112" t="s">
        <v>53</v>
      </c>
      <c r="D366" s="113" t="s">
        <v>3474</v>
      </c>
      <c r="E366" s="112" t="s">
        <v>36</v>
      </c>
      <c r="F366" s="113" t="s">
        <v>134</v>
      </c>
      <c r="G366" s="112" t="s">
        <v>225</v>
      </c>
      <c r="H366" s="112" t="s">
        <v>125</v>
      </c>
      <c r="I366" s="112" t="s">
        <v>114</v>
      </c>
      <c r="J366" s="113" t="s">
        <v>23</v>
      </c>
      <c r="K366" s="113" t="s">
        <v>3396</v>
      </c>
      <c r="L366" s="113" t="s">
        <v>3381</v>
      </c>
      <c r="M366" s="112" t="s">
        <v>15</v>
      </c>
      <c r="N366" s="204" t="s">
        <v>3432</v>
      </c>
      <c r="O366" s="117" t="s">
        <v>207</v>
      </c>
      <c r="P366" s="205">
        <v>42004</v>
      </c>
      <c r="Q366" s="113" t="s">
        <v>276</v>
      </c>
      <c r="R366" s="113" t="s">
        <v>276</v>
      </c>
      <c r="S366" s="113" t="s">
        <v>276</v>
      </c>
      <c r="T366" s="113">
        <v>1</v>
      </c>
      <c r="U366" s="118">
        <v>28561</v>
      </c>
      <c r="V366" s="119">
        <v>56835</v>
      </c>
      <c r="W366" s="112" t="s">
        <v>276</v>
      </c>
      <c r="X366" s="112" t="s">
        <v>276</v>
      </c>
      <c r="Y366" s="112"/>
      <c r="Z366" s="112"/>
      <c r="AA366" s="112"/>
      <c r="AB366" s="112"/>
      <c r="AC366" s="113" t="s">
        <v>3475</v>
      </c>
      <c r="AD366" s="113" t="s">
        <v>3434</v>
      </c>
      <c r="AE366" s="112">
        <v>5240</v>
      </c>
      <c r="AF366" s="112">
        <v>10432</v>
      </c>
      <c r="AG366" s="118" t="s">
        <v>276</v>
      </c>
      <c r="AH366" s="119" t="s">
        <v>276</v>
      </c>
      <c r="AI366" s="119" t="s">
        <v>1019</v>
      </c>
      <c r="AJ366" s="206">
        <v>1138</v>
      </c>
      <c r="AK366" s="207" t="s">
        <v>98</v>
      </c>
      <c r="AL366" s="206">
        <v>1107</v>
      </c>
      <c r="AM366" s="206">
        <v>1169</v>
      </c>
      <c r="AN366" s="206">
        <v>1138</v>
      </c>
      <c r="AO366" s="207" t="s">
        <v>98</v>
      </c>
      <c r="AP366" s="206">
        <v>1116</v>
      </c>
      <c r="AQ366" s="206">
        <v>1160</v>
      </c>
      <c r="AR366" s="112" t="s">
        <v>270</v>
      </c>
      <c r="AS366" s="121">
        <v>1</v>
      </c>
      <c r="AT366" s="207" t="s">
        <v>98</v>
      </c>
      <c r="AU366" s="121">
        <v>0.97</v>
      </c>
      <c r="AV366" s="121">
        <v>1.03</v>
      </c>
      <c r="AW366" s="121" t="s">
        <v>276</v>
      </c>
      <c r="AX366" s="112" t="s">
        <v>282</v>
      </c>
      <c r="AY366" s="112" t="s">
        <v>98</v>
      </c>
      <c r="AZ366" s="112" t="s">
        <v>98</v>
      </c>
      <c r="BA366" s="112" t="s">
        <v>98</v>
      </c>
      <c r="BB366" s="112" t="s">
        <v>98</v>
      </c>
      <c r="BC366" s="113" t="s">
        <v>1020</v>
      </c>
      <c r="BD366" s="113" t="s">
        <v>3391</v>
      </c>
      <c r="BE366" s="33" t="s">
        <v>100</v>
      </c>
      <c r="BF366" s="33" t="s">
        <v>98</v>
      </c>
    </row>
    <row r="367" spans="1:58" s="103" customFormat="1" ht="65" x14ac:dyDescent="0.3">
      <c r="A367" s="94">
        <v>103</v>
      </c>
      <c r="B367" s="94" t="s">
        <v>3378</v>
      </c>
      <c r="C367" s="94" t="s">
        <v>53</v>
      </c>
      <c r="D367" s="95" t="s">
        <v>3476</v>
      </c>
      <c r="E367" s="94" t="s">
        <v>36</v>
      </c>
      <c r="F367" s="95" t="s">
        <v>134</v>
      </c>
      <c r="G367" s="94" t="s">
        <v>225</v>
      </c>
      <c r="H367" s="94" t="s">
        <v>125</v>
      </c>
      <c r="I367" s="94" t="s">
        <v>114</v>
      </c>
      <c r="J367" s="95" t="s">
        <v>23</v>
      </c>
      <c r="K367" s="95" t="s">
        <v>3396</v>
      </c>
      <c r="L367" s="95" t="s">
        <v>3381</v>
      </c>
      <c r="M367" s="94" t="s">
        <v>15</v>
      </c>
      <c r="N367" s="144" t="s">
        <v>3442</v>
      </c>
      <c r="O367" s="96" t="s">
        <v>207</v>
      </c>
      <c r="P367" s="97">
        <v>42004</v>
      </c>
      <c r="Q367" s="95" t="s">
        <v>276</v>
      </c>
      <c r="R367" s="95" t="s">
        <v>276</v>
      </c>
      <c r="S367" s="95" t="s">
        <v>276</v>
      </c>
      <c r="T367" s="95">
        <v>1</v>
      </c>
      <c r="U367" s="98">
        <v>28537</v>
      </c>
      <c r="V367" s="99">
        <v>56101</v>
      </c>
      <c r="W367" s="94" t="s">
        <v>276</v>
      </c>
      <c r="X367" s="94" t="s">
        <v>276</v>
      </c>
      <c r="Y367" s="94"/>
      <c r="Z367" s="94"/>
      <c r="AA367" s="94"/>
      <c r="AB367" s="94"/>
      <c r="AC367" s="95" t="s">
        <v>3477</v>
      </c>
      <c r="AD367" s="95" t="s">
        <v>3446</v>
      </c>
      <c r="AE367" s="94">
        <v>8039</v>
      </c>
      <c r="AF367" s="94">
        <v>15977</v>
      </c>
      <c r="AG367" s="98" t="s">
        <v>276</v>
      </c>
      <c r="AH367" s="99" t="s">
        <v>276</v>
      </c>
      <c r="AI367" s="99" t="s">
        <v>1019</v>
      </c>
      <c r="AJ367" s="203">
        <v>1821</v>
      </c>
      <c r="AK367" s="101" t="s">
        <v>98</v>
      </c>
      <c r="AL367" s="203">
        <v>1781</v>
      </c>
      <c r="AM367" s="203">
        <v>1861</v>
      </c>
      <c r="AN367" s="203">
        <v>1849</v>
      </c>
      <c r="AO367" s="101" t="s">
        <v>98</v>
      </c>
      <c r="AP367" s="203">
        <v>1821</v>
      </c>
      <c r="AQ367" s="203">
        <v>1878</v>
      </c>
      <c r="AR367" s="94" t="s">
        <v>270</v>
      </c>
      <c r="AS367" s="102">
        <v>0.98</v>
      </c>
      <c r="AT367" s="101" t="s">
        <v>98</v>
      </c>
      <c r="AU367" s="102">
        <v>0.96</v>
      </c>
      <c r="AV367" s="102">
        <v>1.01</v>
      </c>
      <c r="AW367" s="102" t="s">
        <v>276</v>
      </c>
      <c r="AX367" s="94" t="s">
        <v>282</v>
      </c>
      <c r="AY367" s="94" t="s">
        <v>98</v>
      </c>
      <c r="AZ367" s="94" t="s">
        <v>98</v>
      </c>
      <c r="BA367" s="94" t="s">
        <v>98</v>
      </c>
      <c r="BB367" s="94" t="s">
        <v>98</v>
      </c>
      <c r="BC367" s="95" t="s">
        <v>1020</v>
      </c>
      <c r="BD367" s="95" t="s">
        <v>3391</v>
      </c>
      <c r="BE367" s="33" t="s">
        <v>100</v>
      </c>
      <c r="BF367" s="33" t="s">
        <v>98</v>
      </c>
    </row>
    <row r="368" spans="1:58" s="219" customFormat="1" ht="52" x14ac:dyDescent="0.3">
      <c r="A368" s="209">
        <v>97</v>
      </c>
      <c r="B368" s="209" t="s">
        <v>3478</v>
      </c>
      <c r="C368" s="209" t="s">
        <v>53</v>
      </c>
      <c r="D368" s="210" t="s">
        <v>3479</v>
      </c>
      <c r="E368" s="209" t="s">
        <v>36</v>
      </c>
      <c r="F368" s="210" t="s">
        <v>134</v>
      </c>
      <c r="G368" s="209" t="s">
        <v>225</v>
      </c>
      <c r="H368" s="209" t="s">
        <v>125</v>
      </c>
      <c r="I368" s="209" t="s">
        <v>114</v>
      </c>
      <c r="J368" s="210" t="s">
        <v>24</v>
      </c>
      <c r="K368" s="210" t="s">
        <v>3480</v>
      </c>
      <c r="L368" s="210" t="s">
        <v>3481</v>
      </c>
      <c r="M368" s="210" t="s">
        <v>261</v>
      </c>
      <c r="N368" s="211" t="s">
        <v>3482</v>
      </c>
      <c r="O368" s="212" t="s">
        <v>207</v>
      </c>
      <c r="P368" s="213">
        <v>42004</v>
      </c>
      <c r="Q368" s="210" t="s">
        <v>276</v>
      </c>
      <c r="R368" s="210" t="s">
        <v>3483</v>
      </c>
      <c r="S368" s="210" t="s">
        <v>3483</v>
      </c>
      <c r="T368" s="210">
        <v>1</v>
      </c>
      <c r="U368" s="214">
        <v>56379</v>
      </c>
      <c r="V368" s="210">
        <v>111503</v>
      </c>
      <c r="W368" s="209" t="s">
        <v>276</v>
      </c>
      <c r="X368" s="209" t="s">
        <v>276</v>
      </c>
      <c r="Y368" s="209" t="s">
        <v>276</v>
      </c>
      <c r="Z368" s="209" t="s">
        <v>1562</v>
      </c>
      <c r="AA368" s="209" t="s">
        <v>276</v>
      </c>
      <c r="AB368" s="209" t="s">
        <v>1562</v>
      </c>
      <c r="AC368" s="210" t="s">
        <v>3484</v>
      </c>
      <c r="AD368" s="210" t="s">
        <v>3384</v>
      </c>
      <c r="AE368" s="209">
        <v>148</v>
      </c>
      <c r="AF368" s="209">
        <v>536</v>
      </c>
      <c r="AG368" s="214" t="s">
        <v>276</v>
      </c>
      <c r="AH368" s="214" t="s">
        <v>276</v>
      </c>
      <c r="AI368" s="215" t="s">
        <v>1019</v>
      </c>
      <c r="AJ368" s="216">
        <v>17</v>
      </c>
      <c r="AK368" s="217" t="s">
        <v>98</v>
      </c>
      <c r="AL368" s="216">
        <v>14</v>
      </c>
      <c r="AM368" s="216">
        <v>20</v>
      </c>
      <c r="AN368" s="216">
        <v>31</v>
      </c>
      <c r="AO368" s="217" t="s">
        <v>98</v>
      </c>
      <c r="AP368" s="216">
        <v>28</v>
      </c>
      <c r="AQ368" s="216">
        <v>33</v>
      </c>
      <c r="AR368" s="209" t="s">
        <v>270</v>
      </c>
      <c r="AS368" s="218">
        <v>0.54</v>
      </c>
      <c r="AT368" s="218" t="s">
        <v>98</v>
      </c>
      <c r="AU368" s="218">
        <v>0.45</v>
      </c>
      <c r="AV368" s="218">
        <v>0.65</v>
      </c>
      <c r="AW368" s="209" t="s">
        <v>276</v>
      </c>
      <c r="AX368" s="209" t="s">
        <v>282</v>
      </c>
      <c r="AY368" s="209" t="s">
        <v>98</v>
      </c>
      <c r="AZ368" s="209" t="s">
        <v>98</v>
      </c>
      <c r="BA368" s="209" t="s">
        <v>98</v>
      </c>
      <c r="BB368" s="209" t="s">
        <v>98</v>
      </c>
      <c r="BC368" s="210" t="s">
        <v>3485</v>
      </c>
      <c r="BD368" s="210"/>
      <c r="BE368" s="33" t="s">
        <v>100</v>
      </c>
      <c r="BF368" s="33" t="s">
        <v>98</v>
      </c>
    </row>
    <row r="369" spans="1:58" s="230" customFormat="1" ht="52" x14ac:dyDescent="0.3">
      <c r="A369" s="220">
        <v>97</v>
      </c>
      <c r="B369" s="220" t="s">
        <v>3478</v>
      </c>
      <c r="C369" s="220" t="s">
        <v>53</v>
      </c>
      <c r="D369" s="221" t="s">
        <v>3486</v>
      </c>
      <c r="E369" s="220" t="s">
        <v>36</v>
      </c>
      <c r="F369" s="221" t="s">
        <v>134</v>
      </c>
      <c r="G369" s="220" t="s">
        <v>225</v>
      </c>
      <c r="H369" s="220" t="s">
        <v>125</v>
      </c>
      <c r="I369" s="220" t="s">
        <v>114</v>
      </c>
      <c r="J369" s="221" t="s">
        <v>24</v>
      </c>
      <c r="K369" s="221" t="s">
        <v>3480</v>
      </c>
      <c r="L369" s="221" t="s">
        <v>3481</v>
      </c>
      <c r="M369" s="221" t="s">
        <v>261</v>
      </c>
      <c r="N369" s="222" t="s">
        <v>3482</v>
      </c>
      <c r="O369" s="223" t="s">
        <v>207</v>
      </c>
      <c r="P369" s="224">
        <v>42004</v>
      </c>
      <c r="Q369" s="221" t="s">
        <v>276</v>
      </c>
      <c r="R369" s="221" t="s">
        <v>3483</v>
      </c>
      <c r="S369" s="221" t="s">
        <v>3483</v>
      </c>
      <c r="T369" s="221">
        <v>1</v>
      </c>
      <c r="U369" s="225">
        <v>56379</v>
      </c>
      <c r="V369" s="221">
        <v>111503</v>
      </c>
      <c r="W369" s="220" t="s">
        <v>276</v>
      </c>
      <c r="X369" s="220" t="s">
        <v>276</v>
      </c>
      <c r="Y369" s="220" t="s">
        <v>276</v>
      </c>
      <c r="Z369" s="220" t="s">
        <v>1562</v>
      </c>
      <c r="AA369" s="220" t="s">
        <v>276</v>
      </c>
      <c r="AB369" s="220" t="s">
        <v>1562</v>
      </c>
      <c r="AC369" s="221" t="s">
        <v>3487</v>
      </c>
      <c r="AD369" s="221" t="s">
        <v>3384</v>
      </c>
      <c r="AE369" s="220">
        <v>345</v>
      </c>
      <c r="AF369" s="220">
        <v>985</v>
      </c>
      <c r="AG369" s="225" t="s">
        <v>276</v>
      </c>
      <c r="AH369" s="225" t="s">
        <v>276</v>
      </c>
      <c r="AI369" s="226" t="s">
        <v>1019</v>
      </c>
      <c r="AJ369" s="227">
        <v>39</v>
      </c>
      <c r="AK369" s="228" t="s">
        <v>98</v>
      </c>
      <c r="AL369" s="227">
        <v>35</v>
      </c>
      <c r="AM369" s="227">
        <v>43</v>
      </c>
      <c r="AN369" s="227">
        <v>56</v>
      </c>
      <c r="AO369" s="228" t="s">
        <v>98</v>
      </c>
      <c r="AP369" s="227">
        <v>53</v>
      </c>
      <c r="AQ369" s="227">
        <v>60</v>
      </c>
      <c r="AR369" s="220" t="s">
        <v>270</v>
      </c>
      <c r="AS369" s="229">
        <v>0.69</v>
      </c>
      <c r="AT369" s="229" t="s">
        <v>98</v>
      </c>
      <c r="AU369" s="229">
        <v>0.61</v>
      </c>
      <c r="AV369" s="229">
        <v>0.78</v>
      </c>
      <c r="AW369" s="220" t="s">
        <v>276</v>
      </c>
      <c r="AX369" s="220" t="s">
        <v>282</v>
      </c>
      <c r="AY369" s="220" t="s">
        <v>98</v>
      </c>
      <c r="AZ369" s="220" t="s">
        <v>98</v>
      </c>
      <c r="BA369" s="220" t="s">
        <v>98</v>
      </c>
      <c r="BB369" s="220" t="s">
        <v>98</v>
      </c>
      <c r="BC369" s="221" t="s">
        <v>3488</v>
      </c>
      <c r="BD369" s="221"/>
      <c r="BE369" s="33" t="s">
        <v>100</v>
      </c>
      <c r="BF369" s="33" t="s">
        <v>98</v>
      </c>
    </row>
    <row r="370" spans="1:58" s="219" customFormat="1" ht="65" x14ac:dyDescent="0.3">
      <c r="A370" s="209">
        <v>97</v>
      </c>
      <c r="B370" s="209" t="s">
        <v>3478</v>
      </c>
      <c r="C370" s="209" t="s">
        <v>53</v>
      </c>
      <c r="D370" s="210" t="s">
        <v>3489</v>
      </c>
      <c r="E370" s="209" t="s">
        <v>36</v>
      </c>
      <c r="F370" s="210" t="s">
        <v>134</v>
      </c>
      <c r="G370" s="209" t="s">
        <v>225</v>
      </c>
      <c r="H370" s="209" t="s">
        <v>125</v>
      </c>
      <c r="I370" s="209" t="s">
        <v>114</v>
      </c>
      <c r="J370" s="210" t="s">
        <v>24</v>
      </c>
      <c r="K370" s="210" t="s">
        <v>3480</v>
      </c>
      <c r="L370" s="210" t="s">
        <v>3481</v>
      </c>
      <c r="M370" s="210" t="s">
        <v>259</v>
      </c>
      <c r="N370" s="212" t="s">
        <v>3490</v>
      </c>
      <c r="O370" s="212" t="s">
        <v>207</v>
      </c>
      <c r="P370" s="213">
        <v>42004</v>
      </c>
      <c r="Q370" s="210" t="s">
        <v>276</v>
      </c>
      <c r="R370" s="210" t="s">
        <v>276</v>
      </c>
      <c r="S370" s="210" t="s">
        <v>276</v>
      </c>
      <c r="T370" s="210">
        <v>1</v>
      </c>
      <c r="U370" s="214">
        <v>28248</v>
      </c>
      <c r="V370" s="214" t="s">
        <v>276</v>
      </c>
      <c r="W370" s="209" t="s">
        <v>276</v>
      </c>
      <c r="X370" s="209" t="s">
        <v>276</v>
      </c>
      <c r="Y370" s="209" t="s">
        <v>276</v>
      </c>
      <c r="Z370" s="209" t="s">
        <v>1562</v>
      </c>
      <c r="AA370" s="209" t="s">
        <v>276</v>
      </c>
      <c r="AB370" s="209" t="s">
        <v>1562</v>
      </c>
      <c r="AC370" s="210" t="s">
        <v>3491</v>
      </c>
      <c r="AD370" s="210" t="s">
        <v>3492</v>
      </c>
      <c r="AE370" s="209">
        <v>62</v>
      </c>
      <c r="AF370" s="209">
        <v>239</v>
      </c>
      <c r="AG370" s="214" t="s">
        <v>276</v>
      </c>
      <c r="AH370" s="214" t="s">
        <v>276</v>
      </c>
      <c r="AI370" s="215" t="s">
        <v>1019</v>
      </c>
      <c r="AJ370" s="216">
        <v>14</v>
      </c>
      <c r="AK370" s="217" t="s">
        <v>98</v>
      </c>
      <c r="AL370" s="216">
        <v>11</v>
      </c>
      <c r="AM370" s="216">
        <v>17</v>
      </c>
      <c r="AN370" s="216">
        <v>26</v>
      </c>
      <c r="AO370" s="217" t="s">
        <v>98</v>
      </c>
      <c r="AP370" s="216">
        <v>23</v>
      </c>
      <c r="AQ370" s="216">
        <v>30</v>
      </c>
      <c r="AR370" s="209" t="s">
        <v>270</v>
      </c>
      <c r="AS370" s="218">
        <v>0.52</v>
      </c>
      <c r="AT370" s="218" t="s">
        <v>98</v>
      </c>
      <c r="AU370" s="218">
        <v>0.39</v>
      </c>
      <c r="AV370" s="218">
        <v>0.68</v>
      </c>
      <c r="AW370" s="209" t="s">
        <v>276</v>
      </c>
      <c r="AX370" s="209" t="s">
        <v>282</v>
      </c>
      <c r="AY370" s="209" t="s">
        <v>98</v>
      </c>
      <c r="AZ370" s="209" t="s">
        <v>98</v>
      </c>
      <c r="BA370" s="209" t="s">
        <v>98</v>
      </c>
      <c r="BB370" s="209" t="s">
        <v>98</v>
      </c>
      <c r="BC370" s="210" t="s">
        <v>3493</v>
      </c>
      <c r="BD370" s="210"/>
      <c r="BE370" s="33" t="s">
        <v>100</v>
      </c>
      <c r="BF370" s="33" t="s">
        <v>98</v>
      </c>
    </row>
    <row r="371" spans="1:58" s="219" customFormat="1" ht="65" x14ac:dyDescent="0.3">
      <c r="A371" s="209">
        <v>97</v>
      </c>
      <c r="B371" s="209" t="s">
        <v>3478</v>
      </c>
      <c r="C371" s="209" t="s">
        <v>53</v>
      </c>
      <c r="D371" s="210" t="s">
        <v>3494</v>
      </c>
      <c r="E371" s="209" t="s">
        <v>36</v>
      </c>
      <c r="F371" s="210" t="s">
        <v>134</v>
      </c>
      <c r="G371" s="209" t="s">
        <v>225</v>
      </c>
      <c r="H371" s="209" t="s">
        <v>125</v>
      </c>
      <c r="I371" s="209" t="s">
        <v>114</v>
      </c>
      <c r="J371" s="210" t="s">
        <v>24</v>
      </c>
      <c r="K371" s="210" t="s">
        <v>3480</v>
      </c>
      <c r="L371" s="210" t="s">
        <v>3481</v>
      </c>
      <c r="M371" s="210" t="s">
        <v>259</v>
      </c>
      <c r="N371" s="212" t="s">
        <v>3490</v>
      </c>
      <c r="O371" s="212" t="s">
        <v>207</v>
      </c>
      <c r="P371" s="213">
        <v>42004</v>
      </c>
      <c r="Q371" s="210" t="s">
        <v>276</v>
      </c>
      <c r="R371" s="210" t="s">
        <v>276</v>
      </c>
      <c r="S371" s="210" t="s">
        <v>276</v>
      </c>
      <c r="T371" s="210">
        <v>1</v>
      </c>
      <c r="U371" s="214">
        <v>28131</v>
      </c>
      <c r="V371" s="214" t="s">
        <v>276</v>
      </c>
      <c r="W371" s="209" t="s">
        <v>276</v>
      </c>
      <c r="X371" s="209" t="s">
        <v>276</v>
      </c>
      <c r="Y371" s="209" t="s">
        <v>276</v>
      </c>
      <c r="Z371" s="209" t="s">
        <v>1562</v>
      </c>
      <c r="AA371" s="209" t="s">
        <v>276</v>
      </c>
      <c r="AB371" s="209" t="s">
        <v>1562</v>
      </c>
      <c r="AC371" s="210" t="s">
        <v>3495</v>
      </c>
      <c r="AD371" s="210" t="s">
        <v>3496</v>
      </c>
      <c r="AE371" s="209">
        <v>86</v>
      </c>
      <c r="AF371" s="209">
        <v>297</v>
      </c>
      <c r="AG371" s="214" t="s">
        <v>276</v>
      </c>
      <c r="AH371" s="214" t="s">
        <v>276</v>
      </c>
      <c r="AI371" s="215" t="s">
        <v>1019</v>
      </c>
      <c r="AJ371" s="216">
        <v>20</v>
      </c>
      <c r="AK371" s="217" t="s">
        <v>98</v>
      </c>
      <c r="AL371" s="216">
        <v>16</v>
      </c>
      <c r="AM371" s="216">
        <v>24</v>
      </c>
      <c r="AN371" s="216">
        <v>35</v>
      </c>
      <c r="AO371" s="217" t="s">
        <v>98</v>
      </c>
      <c r="AP371" s="216">
        <v>31</v>
      </c>
      <c r="AQ371" s="216">
        <v>39</v>
      </c>
      <c r="AR371" s="209" t="s">
        <v>270</v>
      </c>
      <c r="AS371" s="218">
        <v>0.56999999999999995</v>
      </c>
      <c r="AT371" s="218" t="s">
        <v>98</v>
      </c>
      <c r="AU371" s="218">
        <v>0.45</v>
      </c>
      <c r="AV371" s="218">
        <v>0.72</v>
      </c>
      <c r="AW371" s="209" t="s">
        <v>276</v>
      </c>
      <c r="AX371" s="209" t="s">
        <v>282</v>
      </c>
      <c r="AY371" s="209" t="s">
        <v>98</v>
      </c>
      <c r="AZ371" s="209" t="s">
        <v>98</v>
      </c>
      <c r="BA371" s="209" t="s">
        <v>98</v>
      </c>
      <c r="BB371" s="209" t="s">
        <v>98</v>
      </c>
      <c r="BC371" s="210" t="s">
        <v>3493</v>
      </c>
      <c r="BD371" s="210"/>
      <c r="BE371" s="33" t="s">
        <v>100</v>
      </c>
      <c r="BF371" s="33" t="s">
        <v>98</v>
      </c>
    </row>
    <row r="372" spans="1:58" s="230" customFormat="1" ht="52" x14ac:dyDescent="0.3">
      <c r="A372" s="220">
        <v>97</v>
      </c>
      <c r="B372" s="220" t="s">
        <v>3478</v>
      </c>
      <c r="C372" s="220" t="s">
        <v>53</v>
      </c>
      <c r="D372" s="221" t="s">
        <v>3497</v>
      </c>
      <c r="E372" s="220" t="s">
        <v>36</v>
      </c>
      <c r="F372" s="221" t="s">
        <v>134</v>
      </c>
      <c r="G372" s="220" t="s">
        <v>225</v>
      </c>
      <c r="H372" s="220" t="s">
        <v>125</v>
      </c>
      <c r="I372" s="220" t="s">
        <v>114</v>
      </c>
      <c r="J372" s="221" t="s">
        <v>24</v>
      </c>
      <c r="K372" s="221" t="s">
        <v>3480</v>
      </c>
      <c r="L372" s="221" t="s">
        <v>3481</v>
      </c>
      <c r="M372" s="221" t="s">
        <v>260</v>
      </c>
      <c r="N372" s="223" t="s">
        <v>3498</v>
      </c>
      <c r="O372" s="223" t="s">
        <v>207</v>
      </c>
      <c r="P372" s="224">
        <v>42004</v>
      </c>
      <c r="Q372" s="221" t="s">
        <v>276</v>
      </c>
      <c r="R372" s="221" t="s">
        <v>276</v>
      </c>
      <c r="S372" s="221" t="s">
        <v>276</v>
      </c>
      <c r="T372" s="221">
        <v>1</v>
      </c>
      <c r="U372" s="225">
        <v>27665</v>
      </c>
      <c r="V372" s="225" t="s">
        <v>276</v>
      </c>
      <c r="W372" s="220" t="s">
        <v>276</v>
      </c>
      <c r="X372" s="220" t="s">
        <v>276</v>
      </c>
      <c r="Y372" s="220" t="s">
        <v>276</v>
      </c>
      <c r="Z372" s="220" t="s">
        <v>1562</v>
      </c>
      <c r="AA372" s="220" t="s">
        <v>276</v>
      </c>
      <c r="AB372" s="220" t="s">
        <v>1562</v>
      </c>
      <c r="AC372" s="221" t="s">
        <v>3499</v>
      </c>
      <c r="AD372" s="221" t="s">
        <v>3500</v>
      </c>
      <c r="AE372" s="220">
        <v>98</v>
      </c>
      <c r="AF372" s="220">
        <v>375</v>
      </c>
      <c r="AG372" s="225" t="s">
        <v>276</v>
      </c>
      <c r="AH372" s="225" t="s">
        <v>276</v>
      </c>
      <c r="AI372" s="226" t="s">
        <v>1019</v>
      </c>
      <c r="AJ372" s="227">
        <v>23</v>
      </c>
      <c r="AK372" s="228" t="s">
        <v>98</v>
      </c>
      <c r="AL372" s="227">
        <v>19</v>
      </c>
      <c r="AM372" s="227">
        <v>28</v>
      </c>
      <c r="AN372" s="227">
        <v>45</v>
      </c>
      <c r="AO372" s="228" t="s">
        <v>98</v>
      </c>
      <c r="AP372" s="227">
        <v>40</v>
      </c>
      <c r="AQ372" s="227">
        <v>50</v>
      </c>
      <c r="AR372" s="220" t="s">
        <v>270</v>
      </c>
      <c r="AS372" s="229">
        <v>0.52</v>
      </c>
      <c r="AT372" s="229" t="s">
        <v>98</v>
      </c>
      <c r="AU372" s="229">
        <v>0.41</v>
      </c>
      <c r="AV372" s="229">
        <v>0.64</v>
      </c>
      <c r="AW372" s="220" t="s">
        <v>276</v>
      </c>
      <c r="AX372" s="220" t="s">
        <v>282</v>
      </c>
      <c r="AY372" s="220" t="s">
        <v>98</v>
      </c>
      <c r="AZ372" s="220" t="s">
        <v>98</v>
      </c>
      <c r="BA372" s="220" t="s">
        <v>98</v>
      </c>
      <c r="BB372" s="220" t="s">
        <v>98</v>
      </c>
      <c r="BC372" s="221" t="s">
        <v>3501</v>
      </c>
      <c r="BD372" s="221"/>
      <c r="BE372" s="33" t="s">
        <v>100</v>
      </c>
      <c r="BF372" s="33" t="s">
        <v>98</v>
      </c>
    </row>
    <row r="373" spans="1:58" s="230" customFormat="1" ht="65" x14ac:dyDescent="0.3">
      <c r="A373" s="220">
        <v>97</v>
      </c>
      <c r="B373" s="220" t="s">
        <v>3478</v>
      </c>
      <c r="C373" s="220" t="s">
        <v>53</v>
      </c>
      <c r="D373" s="221" t="s">
        <v>3502</v>
      </c>
      <c r="E373" s="220" t="s">
        <v>36</v>
      </c>
      <c r="F373" s="221" t="s">
        <v>134</v>
      </c>
      <c r="G373" s="220" t="s">
        <v>225</v>
      </c>
      <c r="H373" s="220" t="s">
        <v>125</v>
      </c>
      <c r="I373" s="220" t="s">
        <v>114</v>
      </c>
      <c r="J373" s="221" t="s">
        <v>24</v>
      </c>
      <c r="K373" s="221" t="s">
        <v>3480</v>
      </c>
      <c r="L373" s="221" t="s">
        <v>3481</v>
      </c>
      <c r="M373" s="221" t="s">
        <v>260</v>
      </c>
      <c r="N373" s="223" t="s">
        <v>3503</v>
      </c>
      <c r="O373" s="223" t="s">
        <v>207</v>
      </c>
      <c r="P373" s="224">
        <v>42004</v>
      </c>
      <c r="Q373" s="221" t="s">
        <v>276</v>
      </c>
      <c r="R373" s="221" t="s">
        <v>276</v>
      </c>
      <c r="S373" s="221" t="s">
        <v>276</v>
      </c>
      <c r="T373" s="221">
        <v>1</v>
      </c>
      <c r="U373" s="225">
        <v>28714</v>
      </c>
      <c r="V373" s="225" t="s">
        <v>276</v>
      </c>
      <c r="W373" s="220" t="s">
        <v>276</v>
      </c>
      <c r="X373" s="220" t="s">
        <v>276</v>
      </c>
      <c r="Y373" s="220" t="s">
        <v>276</v>
      </c>
      <c r="Z373" s="220" t="s">
        <v>1562</v>
      </c>
      <c r="AA373" s="220" t="s">
        <v>276</v>
      </c>
      <c r="AB373" s="220" t="s">
        <v>1562</v>
      </c>
      <c r="AC373" s="221" t="s">
        <v>3504</v>
      </c>
      <c r="AD373" s="221" t="s">
        <v>3505</v>
      </c>
      <c r="AE373" s="220">
        <v>50</v>
      </c>
      <c r="AF373" s="220">
        <v>161</v>
      </c>
      <c r="AG373" s="225" t="s">
        <v>276</v>
      </c>
      <c r="AH373" s="225" t="s">
        <v>276</v>
      </c>
      <c r="AI373" s="226" t="s">
        <v>1019</v>
      </c>
      <c r="AJ373" s="227">
        <v>11</v>
      </c>
      <c r="AK373" s="228" t="s">
        <v>98</v>
      </c>
      <c r="AL373" s="227">
        <v>8</v>
      </c>
      <c r="AM373" s="227">
        <v>14</v>
      </c>
      <c r="AN373" s="227">
        <v>18</v>
      </c>
      <c r="AO373" s="228" t="s">
        <v>98</v>
      </c>
      <c r="AP373" s="227">
        <v>15</v>
      </c>
      <c r="AQ373" s="227">
        <v>20</v>
      </c>
      <c r="AR373" s="220" t="s">
        <v>270</v>
      </c>
      <c r="AS373" s="229">
        <v>0.61</v>
      </c>
      <c r="AT373" s="229" t="s">
        <v>98</v>
      </c>
      <c r="AU373" s="229">
        <v>0.45</v>
      </c>
      <c r="AV373" s="229">
        <v>0.84</v>
      </c>
      <c r="AW373" s="220" t="s">
        <v>276</v>
      </c>
      <c r="AX373" s="220" t="s">
        <v>282</v>
      </c>
      <c r="AY373" s="220" t="s">
        <v>98</v>
      </c>
      <c r="AZ373" s="220" t="s">
        <v>98</v>
      </c>
      <c r="BA373" s="220" t="s">
        <v>98</v>
      </c>
      <c r="BB373" s="220" t="s">
        <v>98</v>
      </c>
      <c r="BC373" s="221" t="s">
        <v>3501</v>
      </c>
      <c r="BD373" s="221"/>
      <c r="BE373" s="33" t="s">
        <v>100</v>
      </c>
      <c r="BF373" s="33" t="s">
        <v>98</v>
      </c>
    </row>
    <row r="374" spans="1:58" s="7" customFormat="1" ht="52" x14ac:dyDescent="0.3">
      <c r="A374" s="8">
        <v>11142</v>
      </c>
      <c r="B374" s="8" t="s">
        <v>3667</v>
      </c>
      <c r="C374" s="8" t="s">
        <v>94</v>
      </c>
      <c r="D374" s="9" t="s">
        <v>3668</v>
      </c>
      <c r="E374" s="9" t="s">
        <v>96</v>
      </c>
      <c r="F374" s="9" t="s">
        <v>3669</v>
      </c>
      <c r="G374" s="9" t="s">
        <v>2656</v>
      </c>
      <c r="H374" s="8" t="s">
        <v>225</v>
      </c>
      <c r="I374" s="8" t="s">
        <v>98</v>
      </c>
      <c r="J374" s="9" t="s">
        <v>23</v>
      </c>
      <c r="K374" s="9" t="s">
        <v>3670</v>
      </c>
      <c r="L374" s="9" t="s">
        <v>3671</v>
      </c>
      <c r="M374" s="8" t="s">
        <v>14</v>
      </c>
      <c r="N374" s="11" t="s">
        <v>98</v>
      </c>
      <c r="O374" s="12" t="s">
        <v>208</v>
      </c>
      <c r="P374" s="41" t="s">
        <v>98</v>
      </c>
      <c r="Q374" s="9" t="s">
        <v>705</v>
      </c>
      <c r="R374" s="9" t="s">
        <v>276</v>
      </c>
      <c r="S374" s="9" t="s">
        <v>276</v>
      </c>
      <c r="T374" s="9">
        <v>1</v>
      </c>
      <c r="U374" s="13">
        <v>423</v>
      </c>
      <c r="V374" s="38">
        <v>431</v>
      </c>
      <c r="W374" s="8">
        <v>10</v>
      </c>
      <c r="X374" s="8">
        <v>11</v>
      </c>
      <c r="Y374" s="8">
        <v>0</v>
      </c>
      <c r="Z374" s="8" t="s">
        <v>98</v>
      </c>
      <c r="AA374" s="8">
        <v>0</v>
      </c>
      <c r="AB374" s="8" t="s">
        <v>98</v>
      </c>
      <c r="AC374" s="9" t="s">
        <v>3672</v>
      </c>
      <c r="AD374" s="9" t="s">
        <v>3673</v>
      </c>
      <c r="AE374" s="8">
        <v>5</v>
      </c>
      <c r="AF374" s="8">
        <v>6</v>
      </c>
      <c r="AG374" s="13">
        <v>423</v>
      </c>
      <c r="AH374" s="13">
        <v>431</v>
      </c>
      <c r="AI374" s="13" t="s">
        <v>292</v>
      </c>
      <c r="AJ374" s="43">
        <v>1.2</v>
      </c>
      <c r="AK374" s="31">
        <f>AE374*100/AG374</f>
        <v>1.1820330969267139</v>
      </c>
      <c r="AL374" s="14" t="s">
        <v>276</v>
      </c>
      <c r="AM374" s="14" t="s">
        <v>276</v>
      </c>
      <c r="AN374" s="43">
        <v>1.4</v>
      </c>
      <c r="AO374" s="31">
        <f>AF374*100/AH374</f>
        <v>1.3921113689095128</v>
      </c>
      <c r="AP374" s="14" t="s">
        <v>276</v>
      </c>
      <c r="AQ374" s="14" t="s">
        <v>276</v>
      </c>
      <c r="AR374" s="8" t="s">
        <v>268</v>
      </c>
      <c r="AS374" s="14" t="s">
        <v>276</v>
      </c>
      <c r="AT374" s="14">
        <f>AK374/AO374</f>
        <v>0.84909377462568947</v>
      </c>
      <c r="AU374" s="14" t="s">
        <v>276</v>
      </c>
      <c r="AV374" s="14" t="s">
        <v>276</v>
      </c>
      <c r="AW374" s="43">
        <v>1</v>
      </c>
      <c r="AX374" s="8" t="s">
        <v>282</v>
      </c>
      <c r="AY374" s="8" t="s">
        <v>276</v>
      </c>
      <c r="AZ374" s="8" t="s">
        <v>276</v>
      </c>
      <c r="BA374" s="8" t="s">
        <v>276</v>
      </c>
      <c r="BB374" s="8" t="s">
        <v>276</v>
      </c>
      <c r="BC374" s="9" t="s">
        <v>3674</v>
      </c>
      <c r="BD374" s="9"/>
      <c r="BE374" s="33" t="s">
        <v>100</v>
      </c>
      <c r="BF374" s="33" t="s">
        <v>98</v>
      </c>
    </row>
    <row r="375" spans="1:58" s="7" customFormat="1" ht="52" x14ac:dyDescent="0.3">
      <c r="A375" s="8">
        <v>11142</v>
      </c>
      <c r="B375" s="8" t="s">
        <v>3667</v>
      </c>
      <c r="C375" s="8" t="s">
        <v>94</v>
      </c>
      <c r="D375" s="9" t="s">
        <v>3675</v>
      </c>
      <c r="E375" s="9" t="s">
        <v>96</v>
      </c>
      <c r="F375" s="9" t="s">
        <v>3669</v>
      </c>
      <c r="G375" s="9" t="s">
        <v>2656</v>
      </c>
      <c r="H375" s="8" t="s">
        <v>225</v>
      </c>
      <c r="I375" s="8" t="s">
        <v>98</v>
      </c>
      <c r="J375" s="9" t="s">
        <v>24</v>
      </c>
      <c r="K375" s="9" t="s">
        <v>3670</v>
      </c>
      <c r="L375" s="9" t="s">
        <v>3676</v>
      </c>
      <c r="M375" s="8" t="s">
        <v>14</v>
      </c>
      <c r="N375" s="11" t="s">
        <v>98</v>
      </c>
      <c r="O375" s="12" t="s">
        <v>208</v>
      </c>
      <c r="P375" s="41" t="s">
        <v>98</v>
      </c>
      <c r="Q375" s="9" t="s">
        <v>705</v>
      </c>
      <c r="R375" s="9" t="s">
        <v>276</v>
      </c>
      <c r="S375" s="9" t="s">
        <v>276</v>
      </c>
      <c r="T375" s="9">
        <v>1</v>
      </c>
      <c r="U375" s="13">
        <v>423</v>
      </c>
      <c r="V375" s="38">
        <v>431</v>
      </c>
      <c r="W375" s="8">
        <v>11</v>
      </c>
      <c r="X375" s="8">
        <v>11</v>
      </c>
      <c r="Y375" s="8">
        <v>0</v>
      </c>
      <c r="Z375" s="8" t="s">
        <v>98</v>
      </c>
      <c r="AA375" s="8">
        <v>0</v>
      </c>
      <c r="AB375" s="8" t="s">
        <v>98</v>
      </c>
      <c r="AC375" s="9" t="s">
        <v>3677</v>
      </c>
      <c r="AD375" s="9" t="s">
        <v>3673</v>
      </c>
      <c r="AE375" s="8">
        <v>4</v>
      </c>
      <c r="AF375" s="8">
        <v>6</v>
      </c>
      <c r="AG375" s="13">
        <v>423</v>
      </c>
      <c r="AH375" s="13">
        <v>431</v>
      </c>
      <c r="AI375" s="13" t="s">
        <v>292</v>
      </c>
      <c r="AJ375" s="43">
        <v>0.9</v>
      </c>
      <c r="AK375" s="31">
        <f>AE375*100/AG375</f>
        <v>0.94562647754137119</v>
      </c>
      <c r="AL375" s="14" t="s">
        <v>276</v>
      </c>
      <c r="AM375" s="14" t="s">
        <v>276</v>
      </c>
      <c r="AN375" s="43">
        <v>1.4</v>
      </c>
      <c r="AO375" s="31">
        <f>AF375*100/AH375</f>
        <v>1.3921113689095128</v>
      </c>
      <c r="AP375" s="14" t="s">
        <v>276</v>
      </c>
      <c r="AQ375" s="14" t="s">
        <v>276</v>
      </c>
      <c r="AR375" s="8" t="s">
        <v>268</v>
      </c>
      <c r="AS375" s="14" t="s">
        <v>276</v>
      </c>
      <c r="AT375" s="14">
        <f>AK375/AO375</f>
        <v>0.6792750197005516</v>
      </c>
      <c r="AU375" s="14" t="s">
        <v>276</v>
      </c>
      <c r="AV375" s="14" t="s">
        <v>276</v>
      </c>
      <c r="AW375" s="8">
        <v>0.75</v>
      </c>
      <c r="AX375" s="8" t="s">
        <v>282</v>
      </c>
      <c r="AY375" s="8" t="s">
        <v>276</v>
      </c>
      <c r="AZ375" s="8" t="s">
        <v>276</v>
      </c>
      <c r="BA375" s="8" t="s">
        <v>276</v>
      </c>
      <c r="BB375" s="8" t="s">
        <v>276</v>
      </c>
      <c r="BC375" s="9" t="s">
        <v>3678</v>
      </c>
      <c r="BD375" s="9" t="s">
        <v>3679</v>
      </c>
      <c r="BE375" s="33" t="s">
        <v>99</v>
      </c>
      <c r="BF375" s="33" t="s">
        <v>98</v>
      </c>
    </row>
    <row r="376" spans="1:58" s="103" customFormat="1" ht="65" x14ac:dyDescent="0.3">
      <c r="A376" s="94">
        <v>4227</v>
      </c>
      <c r="B376" s="94" t="s">
        <v>3694</v>
      </c>
      <c r="C376" s="94" t="s">
        <v>34</v>
      </c>
      <c r="D376" s="95" t="s">
        <v>3695</v>
      </c>
      <c r="E376" s="94" t="s">
        <v>35</v>
      </c>
      <c r="F376" s="94" t="s">
        <v>97</v>
      </c>
      <c r="G376" s="94" t="s">
        <v>225</v>
      </c>
      <c r="H376" s="94" t="s">
        <v>125</v>
      </c>
      <c r="I376" s="94" t="s">
        <v>105</v>
      </c>
      <c r="J376" s="95" t="s">
        <v>24</v>
      </c>
      <c r="K376" s="95" t="s">
        <v>3696</v>
      </c>
      <c r="L376" s="95" t="s">
        <v>3697</v>
      </c>
      <c r="M376" s="94" t="s">
        <v>14</v>
      </c>
      <c r="N376" s="144" t="s">
        <v>98</v>
      </c>
      <c r="O376" s="96" t="s">
        <v>207</v>
      </c>
      <c r="P376" s="97">
        <v>38352</v>
      </c>
      <c r="Q376" s="95" t="s">
        <v>3698</v>
      </c>
      <c r="R376" s="95" t="s">
        <v>3699</v>
      </c>
      <c r="S376" s="95" t="s">
        <v>3699</v>
      </c>
      <c r="T376" s="95" t="s">
        <v>276</v>
      </c>
      <c r="U376" s="98">
        <v>53884</v>
      </c>
      <c r="V376" s="99">
        <v>106956</v>
      </c>
      <c r="W376" s="94" t="s">
        <v>276</v>
      </c>
      <c r="X376" s="94" t="s">
        <v>276</v>
      </c>
      <c r="Y376" s="95" t="s">
        <v>276</v>
      </c>
      <c r="Z376" s="95" t="s">
        <v>1562</v>
      </c>
      <c r="AA376" s="95" t="s">
        <v>276</v>
      </c>
      <c r="AB376" s="95" t="s">
        <v>1562</v>
      </c>
      <c r="AC376" s="95" t="s">
        <v>3700</v>
      </c>
      <c r="AD376" s="95" t="s">
        <v>3701</v>
      </c>
      <c r="AE376" s="94">
        <v>105</v>
      </c>
      <c r="AF376" s="94">
        <v>251</v>
      </c>
      <c r="AG376" s="98">
        <v>578390</v>
      </c>
      <c r="AH376" s="98">
        <v>1149380</v>
      </c>
      <c r="AI376" s="98" t="s">
        <v>425</v>
      </c>
      <c r="AJ376" s="102">
        <v>0.18</v>
      </c>
      <c r="AK376" s="101">
        <f>AE376*1000/AG376</f>
        <v>0.18153840834039317</v>
      </c>
      <c r="AL376" s="102" t="s">
        <v>276</v>
      </c>
      <c r="AM376" s="102" t="s">
        <v>276</v>
      </c>
      <c r="AN376" s="102">
        <v>0.22</v>
      </c>
      <c r="AO376" s="101">
        <f>AF376*1000/AH376</f>
        <v>0.21837860411700222</v>
      </c>
      <c r="AP376" s="102" t="s">
        <v>276</v>
      </c>
      <c r="AQ376" s="102" t="s">
        <v>276</v>
      </c>
      <c r="AR376" s="94" t="s">
        <v>269</v>
      </c>
      <c r="AS376" s="102">
        <v>0.83</v>
      </c>
      <c r="AT376" s="102">
        <f>AK376/AO376</f>
        <v>0.83130125808080113</v>
      </c>
      <c r="AU376" s="102">
        <v>0.66</v>
      </c>
      <c r="AV376" s="102">
        <v>1.04</v>
      </c>
      <c r="AW376" s="94">
        <v>0.11</v>
      </c>
      <c r="AX376" s="94" t="s">
        <v>282</v>
      </c>
      <c r="AY376" s="94" t="s">
        <v>98</v>
      </c>
      <c r="AZ376" s="94" t="s">
        <v>98</v>
      </c>
      <c r="BA376" s="94" t="s">
        <v>98</v>
      </c>
      <c r="BB376" s="94" t="s">
        <v>98</v>
      </c>
      <c r="BC376" s="95" t="s">
        <v>3702</v>
      </c>
      <c r="BD376" s="95"/>
      <c r="BE376" s="33" t="s">
        <v>100</v>
      </c>
      <c r="BF376" s="33" t="s">
        <v>98</v>
      </c>
    </row>
    <row r="377" spans="1:58" s="103" customFormat="1" ht="65" x14ac:dyDescent="0.3">
      <c r="A377" s="94">
        <v>4227</v>
      </c>
      <c r="B377" s="94" t="s">
        <v>3694</v>
      </c>
      <c r="C377" s="94" t="s">
        <v>34</v>
      </c>
      <c r="D377" s="95" t="s">
        <v>3703</v>
      </c>
      <c r="E377" s="94" t="s">
        <v>35</v>
      </c>
      <c r="F377" s="94" t="s">
        <v>97</v>
      </c>
      <c r="G377" s="94" t="s">
        <v>225</v>
      </c>
      <c r="H377" s="94" t="s">
        <v>125</v>
      </c>
      <c r="I377" s="94" t="s">
        <v>114</v>
      </c>
      <c r="J377" s="95" t="s">
        <v>24</v>
      </c>
      <c r="K377" s="95" t="s">
        <v>3696</v>
      </c>
      <c r="L377" s="95" t="s">
        <v>3697</v>
      </c>
      <c r="M377" s="94" t="s">
        <v>14</v>
      </c>
      <c r="N377" s="144" t="s">
        <v>98</v>
      </c>
      <c r="O377" s="96" t="s">
        <v>207</v>
      </c>
      <c r="P377" s="97">
        <v>38352</v>
      </c>
      <c r="Q377" s="95" t="s">
        <v>3698</v>
      </c>
      <c r="R377" s="95" t="s">
        <v>3699</v>
      </c>
      <c r="S377" s="95" t="s">
        <v>3699</v>
      </c>
      <c r="T377" s="95" t="s">
        <v>276</v>
      </c>
      <c r="U377" s="98">
        <v>53884</v>
      </c>
      <c r="V377" s="99">
        <v>106956</v>
      </c>
      <c r="W377" s="94" t="s">
        <v>276</v>
      </c>
      <c r="X377" s="94" t="s">
        <v>276</v>
      </c>
      <c r="Y377" s="95" t="s">
        <v>276</v>
      </c>
      <c r="Z377" s="95" t="s">
        <v>1562</v>
      </c>
      <c r="AA377" s="95" t="s">
        <v>276</v>
      </c>
      <c r="AB377" s="95" t="s">
        <v>1562</v>
      </c>
      <c r="AC377" s="95" t="s">
        <v>3704</v>
      </c>
      <c r="AD377" s="95" t="s">
        <v>3701</v>
      </c>
      <c r="AE377" s="94" t="s">
        <v>276</v>
      </c>
      <c r="AF377" s="94" t="s">
        <v>276</v>
      </c>
      <c r="AG377" s="98">
        <v>578390</v>
      </c>
      <c r="AH377" s="98">
        <v>1149380</v>
      </c>
      <c r="AI377" s="98" t="s">
        <v>425</v>
      </c>
      <c r="AJ377" s="102" t="s">
        <v>276</v>
      </c>
      <c r="AK377" s="101" t="s">
        <v>98</v>
      </c>
      <c r="AL377" s="102" t="s">
        <v>276</v>
      </c>
      <c r="AM377" s="102" t="s">
        <v>276</v>
      </c>
      <c r="AN377" s="102" t="s">
        <v>276</v>
      </c>
      <c r="AO377" s="101" t="s">
        <v>98</v>
      </c>
      <c r="AP377" s="102" t="s">
        <v>276</v>
      </c>
      <c r="AQ377" s="102" t="s">
        <v>276</v>
      </c>
      <c r="AR377" s="94" t="s">
        <v>269</v>
      </c>
      <c r="AS377" s="102">
        <v>0.81</v>
      </c>
      <c r="AT377" s="102" t="s">
        <v>98</v>
      </c>
      <c r="AU377" s="102">
        <v>0.64</v>
      </c>
      <c r="AV377" s="102">
        <v>1.02</v>
      </c>
      <c r="AW377" s="94" t="s">
        <v>276</v>
      </c>
      <c r="AX377" s="94" t="s">
        <v>282</v>
      </c>
      <c r="AY377" s="94" t="s">
        <v>98</v>
      </c>
      <c r="AZ377" s="94" t="s">
        <v>98</v>
      </c>
      <c r="BA377" s="94" t="s">
        <v>98</v>
      </c>
      <c r="BB377" s="94" t="s">
        <v>98</v>
      </c>
      <c r="BC377" s="95" t="s">
        <v>3705</v>
      </c>
      <c r="BD377" s="95"/>
      <c r="BE377" s="33" t="s">
        <v>100</v>
      </c>
      <c r="BF377" s="33" t="s">
        <v>98</v>
      </c>
    </row>
    <row r="378" spans="1:58" s="103" customFormat="1" ht="78" x14ac:dyDescent="0.3">
      <c r="A378" s="94">
        <v>4227</v>
      </c>
      <c r="B378" s="94" t="s">
        <v>3694</v>
      </c>
      <c r="C378" s="94" t="s">
        <v>34</v>
      </c>
      <c r="D378" s="95" t="s">
        <v>3706</v>
      </c>
      <c r="E378" s="94" t="s">
        <v>35</v>
      </c>
      <c r="F378" s="94" t="s">
        <v>97</v>
      </c>
      <c r="G378" s="94" t="s">
        <v>225</v>
      </c>
      <c r="H378" s="94" t="s">
        <v>125</v>
      </c>
      <c r="I378" s="94" t="s">
        <v>105</v>
      </c>
      <c r="J378" s="95" t="s">
        <v>24</v>
      </c>
      <c r="K378" s="95" t="s">
        <v>3696</v>
      </c>
      <c r="L378" s="95" t="s">
        <v>3697</v>
      </c>
      <c r="M378" s="94" t="s">
        <v>14</v>
      </c>
      <c r="N378" s="144" t="s">
        <v>98</v>
      </c>
      <c r="O378" s="96" t="s">
        <v>207</v>
      </c>
      <c r="P378" s="97">
        <v>38352</v>
      </c>
      <c r="Q378" s="95" t="s">
        <v>3707</v>
      </c>
      <c r="R378" s="95" t="s">
        <v>276</v>
      </c>
      <c r="S378" s="95" t="s">
        <v>276</v>
      </c>
      <c r="T378" s="95" t="s">
        <v>276</v>
      </c>
      <c r="U378" s="98">
        <v>53884</v>
      </c>
      <c r="V378" s="99">
        <v>106956</v>
      </c>
      <c r="W378" s="94" t="s">
        <v>276</v>
      </c>
      <c r="X378" s="94" t="s">
        <v>276</v>
      </c>
      <c r="Y378" s="95" t="s">
        <v>276</v>
      </c>
      <c r="Z378" s="95" t="s">
        <v>1562</v>
      </c>
      <c r="AA378" s="95" t="s">
        <v>276</v>
      </c>
      <c r="AB378" s="95" t="s">
        <v>1562</v>
      </c>
      <c r="AC378" s="95" t="s">
        <v>3708</v>
      </c>
      <c r="AD378" s="95" t="s">
        <v>3701</v>
      </c>
      <c r="AE378" s="94" t="s">
        <v>276</v>
      </c>
      <c r="AF378" s="94" t="s">
        <v>276</v>
      </c>
      <c r="AG378" s="98" t="s">
        <v>276</v>
      </c>
      <c r="AH378" s="98" t="s">
        <v>276</v>
      </c>
      <c r="AI378" s="98" t="s">
        <v>425</v>
      </c>
      <c r="AJ378" s="102" t="s">
        <v>276</v>
      </c>
      <c r="AK378" s="101" t="s">
        <v>98</v>
      </c>
      <c r="AL378" s="102" t="s">
        <v>276</v>
      </c>
      <c r="AM378" s="102" t="s">
        <v>276</v>
      </c>
      <c r="AN378" s="102" t="s">
        <v>276</v>
      </c>
      <c r="AO378" s="101" t="s">
        <v>98</v>
      </c>
      <c r="AP378" s="102" t="s">
        <v>276</v>
      </c>
      <c r="AQ378" s="102" t="s">
        <v>276</v>
      </c>
      <c r="AR378" s="94" t="s">
        <v>269</v>
      </c>
      <c r="AS378" s="102">
        <v>0.79</v>
      </c>
      <c r="AT378" s="102" t="s">
        <v>98</v>
      </c>
      <c r="AU378" s="102">
        <v>0.6</v>
      </c>
      <c r="AV378" s="102">
        <v>1.06</v>
      </c>
      <c r="AW378" s="94" t="s">
        <v>276</v>
      </c>
      <c r="AX378" s="94" t="s">
        <v>282</v>
      </c>
      <c r="AY378" s="94" t="s">
        <v>98</v>
      </c>
      <c r="AZ378" s="94" t="s">
        <v>98</v>
      </c>
      <c r="BA378" s="94" t="s">
        <v>98</v>
      </c>
      <c r="BB378" s="94" t="s">
        <v>98</v>
      </c>
      <c r="BC378" s="95" t="s">
        <v>3709</v>
      </c>
      <c r="BD378" s="95"/>
      <c r="BE378" s="33" t="s">
        <v>100</v>
      </c>
      <c r="BF378" s="33" t="s">
        <v>98</v>
      </c>
    </row>
    <row r="379" spans="1:58" s="103" customFormat="1" ht="91" x14ac:dyDescent="0.3">
      <c r="A379" s="94">
        <v>4227</v>
      </c>
      <c r="B379" s="94" t="s">
        <v>3694</v>
      </c>
      <c r="C379" s="94" t="s">
        <v>34</v>
      </c>
      <c r="D379" s="95" t="s">
        <v>3710</v>
      </c>
      <c r="E379" s="94" t="s">
        <v>35</v>
      </c>
      <c r="F379" s="94" t="s">
        <v>97</v>
      </c>
      <c r="G379" s="94" t="s">
        <v>225</v>
      </c>
      <c r="H379" s="94" t="s">
        <v>125</v>
      </c>
      <c r="I379" s="94" t="s">
        <v>114</v>
      </c>
      <c r="J379" s="95" t="s">
        <v>24</v>
      </c>
      <c r="K379" s="95" t="s">
        <v>3696</v>
      </c>
      <c r="L379" s="95" t="s">
        <v>3697</v>
      </c>
      <c r="M379" s="94" t="s">
        <v>14</v>
      </c>
      <c r="N379" s="144" t="s">
        <v>98</v>
      </c>
      <c r="O379" s="96" t="s">
        <v>207</v>
      </c>
      <c r="P379" s="97">
        <v>38352</v>
      </c>
      <c r="Q379" s="95" t="s">
        <v>3698</v>
      </c>
      <c r="R379" s="95" t="s">
        <v>3699</v>
      </c>
      <c r="S379" s="95" t="s">
        <v>3699</v>
      </c>
      <c r="T379" s="95" t="s">
        <v>276</v>
      </c>
      <c r="U379" s="98">
        <v>53884</v>
      </c>
      <c r="V379" s="99">
        <v>106956</v>
      </c>
      <c r="W379" s="94" t="s">
        <v>276</v>
      </c>
      <c r="X379" s="94" t="s">
        <v>276</v>
      </c>
      <c r="Y379" s="95" t="s">
        <v>276</v>
      </c>
      <c r="Z379" s="95" t="s">
        <v>1562</v>
      </c>
      <c r="AA379" s="95" t="s">
        <v>276</v>
      </c>
      <c r="AB379" s="95" t="s">
        <v>1562</v>
      </c>
      <c r="AC379" s="95" t="s">
        <v>3711</v>
      </c>
      <c r="AD379" s="95" t="s">
        <v>3701</v>
      </c>
      <c r="AE379" s="94" t="s">
        <v>276</v>
      </c>
      <c r="AF379" s="94" t="s">
        <v>276</v>
      </c>
      <c r="AG379" s="98" t="s">
        <v>276</v>
      </c>
      <c r="AH379" s="98" t="s">
        <v>276</v>
      </c>
      <c r="AI379" s="98" t="s">
        <v>425</v>
      </c>
      <c r="AJ379" s="102" t="s">
        <v>276</v>
      </c>
      <c r="AK379" s="101" t="s">
        <v>98</v>
      </c>
      <c r="AL379" s="102" t="s">
        <v>276</v>
      </c>
      <c r="AM379" s="102" t="s">
        <v>276</v>
      </c>
      <c r="AN379" s="102" t="s">
        <v>276</v>
      </c>
      <c r="AO379" s="101" t="s">
        <v>98</v>
      </c>
      <c r="AP379" s="102" t="s">
        <v>276</v>
      </c>
      <c r="AQ379" s="102" t="s">
        <v>276</v>
      </c>
      <c r="AR379" s="94" t="s">
        <v>269</v>
      </c>
      <c r="AS379" s="102">
        <v>0.81</v>
      </c>
      <c r="AT379" s="102" t="s">
        <v>98</v>
      </c>
      <c r="AU379" s="102">
        <v>0.57999999999999996</v>
      </c>
      <c r="AV379" s="102">
        <v>1.1100000000000001</v>
      </c>
      <c r="AW379" s="94" t="s">
        <v>276</v>
      </c>
      <c r="AX379" s="94" t="s">
        <v>282</v>
      </c>
      <c r="AY379" s="94" t="s">
        <v>98</v>
      </c>
      <c r="AZ379" s="94" t="s">
        <v>98</v>
      </c>
      <c r="BA379" s="94" t="s">
        <v>98</v>
      </c>
      <c r="BB379" s="94" t="s">
        <v>98</v>
      </c>
      <c r="BC379" s="95" t="s">
        <v>3712</v>
      </c>
      <c r="BD379" s="95"/>
      <c r="BE379" s="33" t="s">
        <v>100</v>
      </c>
      <c r="BF379" s="33" t="s">
        <v>98</v>
      </c>
    </row>
    <row r="380" spans="1:58" s="103" customFormat="1" ht="78" x14ac:dyDescent="0.3">
      <c r="A380" s="94">
        <v>4227</v>
      </c>
      <c r="B380" s="94" t="s">
        <v>3694</v>
      </c>
      <c r="C380" s="94" t="s">
        <v>34</v>
      </c>
      <c r="D380" s="95" t="s">
        <v>3713</v>
      </c>
      <c r="E380" s="94" t="s">
        <v>35</v>
      </c>
      <c r="F380" s="94" t="s">
        <v>97</v>
      </c>
      <c r="G380" s="94" t="s">
        <v>225</v>
      </c>
      <c r="H380" s="94" t="s">
        <v>125</v>
      </c>
      <c r="I380" s="94" t="s">
        <v>114</v>
      </c>
      <c r="J380" s="95" t="s">
        <v>24</v>
      </c>
      <c r="K380" s="95" t="s">
        <v>3696</v>
      </c>
      <c r="L380" s="95" t="s">
        <v>3714</v>
      </c>
      <c r="M380" s="94" t="s">
        <v>14</v>
      </c>
      <c r="N380" s="144" t="s">
        <v>98</v>
      </c>
      <c r="O380" s="96" t="s">
        <v>207</v>
      </c>
      <c r="P380" s="97" t="s">
        <v>98</v>
      </c>
      <c r="Q380" s="95" t="s">
        <v>728</v>
      </c>
      <c r="R380" s="99">
        <v>267930</v>
      </c>
      <c r="S380" s="99">
        <v>532206</v>
      </c>
      <c r="T380" s="95">
        <v>6</v>
      </c>
      <c r="U380" s="98">
        <v>53884</v>
      </c>
      <c r="V380" s="99">
        <v>106956</v>
      </c>
      <c r="W380" s="94" t="s">
        <v>276</v>
      </c>
      <c r="X380" s="94" t="s">
        <v>276</v>
      </c>
      <c r="Y380" s="95" t="s">
        <v>276</v>
      </c>
      <c r="Z380" s="95" t="s">
        <v>1562</v>
      </c>
      <c r="AA380" s="95" t="s">
        <v>276</v>
      </c>
      <c r="AB380" s="95" t="s">
        <v>1562</v>
      </c>
      <c r="AC380" s="95" t="s">
        <v>3715</v>
      </c>
      <c r="AD380" s="95" t="s">
        <v>3716</v>
      </c>
      <c r="AE380" s="94">
        <v>26</v>
      </c>
      <c r="AF380" s="94">
        <v>65</v>
      </c>
      <c r="AG380" s="99">
        <v>267930</v>
      </c>
      <c r="AH380" s="99">
        <v>532206</v>
      </c>
      <c r="AI380" s="98" t="s">
        <v>425</v>
      </c>
      <c r="AJ380" s="102">
        <v>0.1</v>
      </c>
      <c r="AK380" s="101">
        <f t="shared" ref="AK380:AK393" si="43">AE380*1000/AG380</f>
        <v>9.7040271712760792E-2</v>
      </c>
      <c r="AL380" s="102" t="s">
        <v>276</v>
      </c>
      <c r="AM380" s="102" t="s">
        <v>276</v>
      </c>
      <c r="AN380" s="102">
        <v>0.12</v>
      </c>
      <c r="AO380" s="101">
        <f t="shared" ref="AO380:AO393" si="44">AF380*1000/AH380</f>
        <v>0.12213315896476176</v>
      </c>
      <c r="AP380" s="102" t="s">
        <v>276</v>
      </c>
      <c r="AQ380" s="102" t="s">
        <v>276</v>
      </c>
      <c r="AR380" s="94" t="s">
        <v>269</v>
      </c>
      <c r="AS380" s="102">
        <v>0.79</v>
      </c>
      <c r="AT380" s="102">
        <f t="shared" ref="AT380:AT393" si="45">AK380/AO380</f>
        <v>0.79454484380248569</v>
      </c>
      <c r="AU380" s="102">
        <v>0.48</v>
      </c>
      <c r="AV380" s="102">
        <v>1.27</v>
      </c>
      <c r="AW380" s="94" t="s">
        <v>276</v>
      </c>
      <c r="AX380" s="94" t="s">
        <v>282</v>
      </c>
      <c r="AY380" s="94" t="s">
        <v>98</v>
      </c>
      <c r="AZ380" s="94" t="s">
        <v>98</v>
      </c>
      <c r="BA380" s="94" t="s">
        <v>98</v>
      </c>
      <c r="BB380" s="94" t="s">
        <v>98</v>
      </c>
      <c r="BC380" s="95" t="s">
        <v>1029</v>
      </c>
      <c r="BD380" s="95"/>
      <c r="BE380" s="33" t="s">
        <v>100</v>
      </c>
      <c r="BF380" s="33" t="s">
        <v>98</v>
      </c>
    </row>
    <row r="381" spans="1:58" s="208" customFormat="1" ht="65" x14ac:dyDescent="0.3">
      <c r="A381" s="112">
        <v>4227</v>
      </c>
      <c r="B381" s="112" t="s">
        <v>3694</v>
      </c>
      <c r="C381" s="112" t="s">
        <v>34</v>
      </c>
      <c r="D381" s="113" t="s">
        <v>3717</v>
      </c>
      <c r="E381" s="112" t="s">
        <v>35</v>
      </c>
      <c r="F381" s="112" t="s">
        <v>97</v>
      </c>
      <c r="G381" s="112" t="s">
        <v>225</v>
      </c>
      <c r="H381" s="112" t="s">
        <v>125</v>
      </c>
      <c r="I381" s="112" t="s">
        <v>105</v>
      </c>
      <c r="J381" s="113" t="s">
        <v>23</v>
      </c>
      <c r="K381" s="113" t="s">
        <v>3696</v>
      </c>
      <c r="L381" s="113" t="s">
        <v>3697</v>
      </c>
      <c r="M381" s="112" t="s">
        <v>14</v>
      </c>
      <c r="N381" s="204" t="s">
        <v>98</v>
      </c>
      <c r="O381" s="117" t="s">
        <v>207</v>
      </c>
      <c r="P381" s="205">
        <v>38352</v>
      </c>
      <c r="Q381" s="113" t="s">
        <v>3698</v>
      </c>
      <c r="R381" s="113" t="s">
        <v>3699</v>
      </c>
      <c r="S381" s="113" t="s">
        <v>3699</v>
      </c>
      <c r="T381" s="113" t="s">
        <v>276</v>
      </c>
      <c r="U381" s="118">
        <v>53884</v>
      </c>
      <c r="V381" s="119">
        <v>106956</v>
      </c>
      <c r="W381" s="112" t="s">
        <v>276</v>
      </c>
      <c r="X381" s="112" t="s">
        <v>276</v>
      </c>
      <c r="Y381" s="113">
        <v>0</v>
      </c>
      <c r="Z381" s="113" t="s">
        <v>98</v>
      </c>
      <c r="AA381" s="113">
        <v>0</v>
      </c>
      <c r="AB381" s="113" t="s">
        <v>98</v>
      </c>
      <c r="AC381" s="113" t="s">
        <v>3718</v>
      </c>
      <c r="AD381" s="113" t="s">
        <v>3701</v>
      </c>
      <c r="AE381" s="112">
        <v>960</v>
      </c>
      <c r="AF381" s="112">
        <v>1975</v>
      </c>
      <c r="AG381" s="118">
        <v>578390</v>
      </c>
      <c r="AH381" s="118">
        <v>1149380</v>
      </c>
      <c r="AI381" s="118" t="s">
        <v>425</v>
      </c>
      <c r="AJ381" s="121">
        <v>1.66</v>
      </c>
      <c r="AK381" s="207">
        <f t="shared" si="43"/>
        <v>1.6597797333978803</v>
      </c>
      <c r="AL381" s="121" t="s">
        <v>276</v>
      </c>
      <c r="AM381" s="121" t="s">
        <v>276</v>
      </c>
      <c r="AN381" s="121">
        <v>1.72</v>
      </c>
      <c r="AO381" s="207">
        <f t="shared" si="44"/>
        <v>1.7183177017174476</v>
      </c>
      <c r="AP381" s="121" t="s">
        <v>276</v>
      </c>
      <c r="AQ381" s="121" t="s">
        <v>276</v>
      </c>
      <c r="AR381" s="112" t="s">
        <v>269</v>
      </c>
      <c r="AS381" s="121">
        <v>0.97</v>
      </c>
      <c r="AT381" s="121">
        <f t="shared" si="45"/>
        <v>0.965932977201446</v>
      </c>
      <c r="AU381" s="121">
        <v>0.89</v>
      </c>
      <c r="AV381" s="121">
        <v>1.04</v>
      </c>
      <c r="AW381" s="112">
        <v>0.11</v>
      </c>
      <c r="AX381" s="112" t="s">
        <v>282</v>
      </c>
      <c r="AY381" s="112" t="s">
        <v>98</v>
      </c>
      <c r="AZ381" s="112" t="s">
        <v>98</v>
      </c>
      <c r="BA381" s="112" t="s">
        <v>98</v>
      </c>
      <c r="BB381" s="112" t="s">
        <v>98</v>
      </c>
      <c r="BC381" s="113" t="s">
        <v>3719</v>
      </c>
      <c r="BD381" s="113"/>
      <c r="BE381" s="33" t="s">
        <v>100</v>
      </c>
      <c r="BF381" s="33" t="s">
        <v>98</v>
      </c>
    </row>
    <row r="382" spans="1:58" s="7" customFormat="1" ht="65" x14ac:dyDescent="0.3">
      <c r="A382" s="8">
        <v>4226</v>
      </c>
      <c r="B382" s="8" t="s">
        <v>3720</v>
      </c>
      <c r="C382" s="8" t="s">
        <v>34</v>
      </c>
      <c r="D382" s="9" t="s">
        <v>3721</v>
      </c>
      <c r="E382" s="8" t="s">
        <v>35</v>
      </c>
      <c r="F382" s="8" t="s">
        <v>97</v>
      </c>
      <c r="G382" s="8" t="s">
        <v>225</v>
      </c>
      <c r="H382" s="8" t="s">
        <v>125</v>
      </c>
      <c r="I382" s="8" t="s">
        <v>114</v>
      </c>
      <c r="J382" s="9" t="s">
        <v>24</v>
      </c>
      <c r="K382" s="9" t="s">
        <v>3722</v>
      </c>
      <c r="L382" s="9" t="s">
        <v>3723</v>
      </c>
      <c r="M382" s="8" t="s">
        <v>14</v>
      </c>
      <c r="N382" s="11" t="s">
        <v>98</v>
      </c>
      <c r="O382" s="12" t="s">
        <v>207</v>
      </c>
      <c r="P382" s="41">
        <v>40908</v>
      </c>
      <c r="Q382" s="9" t="s">
        <v>766</v>
      </c>
      <c r="R382" s="9" t="s">
        <v>3724</v>
      </c>
      <c r="S382" s="9" t="s">
        <v>3724</v>
      </c>
      <c r="T382" s="9">
        <v>8</v>
      </c>
      <c r="U382" s="13">
        <v>53883</v>
      </c>
      <c r="V382" s="38">
        <v>106953</v>
      </c>
      <c r="W382" s="13" t="s">
        <v>276</v>
      </c>
      <c r="X382" s="13" t="s">
        <v>276</v>
      </c>
      <c r="Y382" s="8" t="s">
        <v>276</v>
      </c>
      <c r="Z382" s="9" t="s">
        <v>894</v>
      </c>
      <c r="AA382" s="8" t="s">
        <v>276</v>
      </c>
      <c r="AB382" s="9" t="s">
        <v>894</v>
      </c>
      <c r="AC382" s="9" t="s">
        <v>3725</v>
      </c>
      <c r="AD382" s="9" t="s">
        <v>3726</v>
      </c>
      <c r="AE382" s="8">
        <v>83</v>
      </c>
      <c r="AF382" s="8">
        <v>219</v>
      </c>
      <c r="AG382" s="13">
        <v>532747</v>
      </c>
      <c r="AH382" s="13">
        <v>1058322</v>
      </c>
      <c r="AI382" s="13" t="s">
        <v>425</v>
      </c>
      <c r="AJ382" s="31">
        <v>0.156</v>
      </c>
      <c r="AK382" s="31">
        <f t="shared" si="43"/>
        <v>0.155796278533713</v>
      </c>
      <c r="AL382" s="14" t="s">
        <v>276</v>
      </c>
      <c r="AM382" s="14" t="s">
        <v>276</v>
      </c>
      <c r="AN382" s="31">
        <v>0.20699999999999999</v>
      </c>
      <c r="AO382" s="31">
        <f t="shared" si="44"/>
        <v>0.20693134981602954</v>
      </c>
      <c r="AP382" s="14" t="s">
        <v>276</v>
      </c>
      <c r="AQ382" s="14" t="s">
        <v>276</v>
      </c>
      <c r="AR382" s="8" t="s">
        <v>269</v>
      </c>
      <c r="AS382" s="14">
        <v>0.75</v>
      </c>
      <c r="AT382" s="14">
        <f t="shared" si="45"/>
        <v>0.75288871730756257</v>
      </c>
      <c r="AU382" s="14">
        <v>0.57999999999999996</v>
      </c>
      <c r="AV382" s="14">
        <v>0.97</v>
      </c>
      <c r="AW382" s="8">
        <v>0.03</v>
      </c>
      <c r="AX382" s="8" t="s">
        <v>282</v>
      </c>
      <c r="AY382" s="8" t="s">
        <v>98</v>
      </c>
      <c r="AZ382" s="8" t="s">
        <v>98</v>
      </c>
      <c r="BA382" s="8" t="s">
        <v>98</v>
      </c>
      <c r="BB382" s="8" t="s">
        <v>98</v>
      </c>
      <c r="BC382" s="9" t="s">
        <v>3727</v>
      </c>
      <c r="BD382" s="9" t="s">
        <v>3728</v>
      </c>
      <c r="BE382" s="33" t="s">
        <v>100</v>
      </c>
      <c r="BF382" s="33" t="s">
        <v>98</v>
      </c>
    </row>
    <row r="383" spans="1:58" s="7" customFormat="1" ht="78" x14ac:dyDescent="0.3">
      <c r="A383" s="8">
        <v>4226</v>
      </c>
      <c r="B383" s="8" t="s">
        <v>3720</v>
      </c>
      <c r="C383" s="8" t="s">
        <v>34</v>
      </c>
      <c r="D383" s="9" t="s">
        <v>3729</v>
      </c>
      <c r="E383" s="8" t="s">
        <v>35</v>
      </c>
      <c r="F383" s="8" t="s">
        <v>97</v>
      </c>
      <c r="G383" s="8" t="s">
        <v>225</v>
      </c>
      <c r="H383" s="8" t="s">
        <v>125</v>
      </c>
      <c r="I383" s="8" t="s">
        <v>114</v>
      </c>
      <c r="J383" s="9" t="s">
        <v>24</v>
      </c>
      <c r="K383" s="9" t="s">
        <v>3722</v>
      </c>
      <c r="L383" s="9" t="s">
        <v>3723</v>
      </c>
      <c r="M383" s="8" t="s">
        <v>14</v>
      </c>
      <c r="N383" s="11" t="s">
        <v>98</v>
      </c>
      <c r="O383" s="12" t="s">
        <v>207</v>
      </c>
      <c r="P383" s="41">
        <v>40908</v>
      </c>
      <c r="Q383" s="9" t="s">
        <v>3730</v>
      </c>
      <c r="R383" s="9" t="s">
        <v>3731</v>
      </c>
      <c r="S383" s="9" t="s">
        <v>3731</v>
      </c>
      <c r="T383" s="9">
        <v>8</v>
      </c>
      <c r="U383" s="13">
        <v>53883</v>
      </c>
      <c r="V383" s="38">
        <v>106953</v>
      </c>
      <c r="W383" s="13" t="s">
        <v>276</v>
      </c>
      <c r="X383" s="13" t="s">
        <v>276</v>
      </c>
      <c r="Y383" s="8" t="s">
        <v>276</v>
      </c>
      <c r="Z383" s="9" t="s">
        <v>894</v>
      </c>
      <c r="AA383" s="8" t="s">
        <v>276</v>
      </c>
      <c r="AB383" s="9" t="s">
        <v>894</v>
      </c>
      <c r="AC383" s="9" t="s">
        <v>3732</v>
      </c>
      <c r="AD383" s="9" t="s">
        <v>3733</v>
      </c>
      <c r="AE383" s="8">
        <v>182</v>
      </c>
      <c r="AF383" s="8">
        <v>412</v>
      </c>
      <c r="AG383" s="13">
        <v>940969</v>
      </c>
      <c r="AH383" s="13">
        <v>1868717</v>
      </c>
      <c r="AI383" s="13" t="s">
        <v>425</v>
      </c>
      <c r="AJ383" s="31">
        <v>0.193</v>
      </c>
      <c r="AK383" s="31">
        <f t="shared" si="43"/>
        <v>0.19341763650024602</v>
      </c>
      <c r="AL383" s="14" t="s">
        <v>276</v>
      </c>
      <c r="AM383" s="14" t="s">
        <v>276</v>
      </c>
      <c r="AN383" s="31">
        <v>0.22</v>
      </c>
      <c r="AO383" s="31">
        <f t="shared" si="44"/>
        <v>0.22047212071169686</v>
      </c>
      <c r="AP383" s="14" t="s">
        <v>276</v>
      </c>
      <c r="AQ383" s="14" t="s">
        <v>276</v>
      </c>
      <c r="AR383" s="8" t="s">
        <v>269</v>
      </c>
      <c r="AS383" s="14">
        <v>0.88</v>
      </c>
      <c r="AT383" s="14">
        <f t="shared" si="45"/>
        <v>0.8772884112325976</v>
      </c>
      <c r="AU383" s="14">
        <v>0.74</v>
      </c>
      <c r="AV383" s="14">
        <v>1.04</v>
      </c>
      <c r="AW383" s="8" t="s">
        <v>691</v>
      </c>
      <c r="AX383" s="8" t="s">
        <v>282</v>
      </c>
      <c r="AY383" s="8" t="s">
        <v>98</v>
      </c>
      <c r="AZ383" s="8" t="s">
        <v>98</v>
      </c>
      <c r="BA383" s="8" t="s">
        <v>98</v>
      </c>
      <c r="BB383" s="8" t="s">
        <v>98</v>
      </c>
      <c r="BC383" s="9" t="s">
        <v>3734</v>
      </c>
      <c r="BD383" s="9" t="s">
        <v>3735</v>
      </c>
      <c r="BE383" s="33" t="s">
        <v>99</v>
      </c>
      <c r="BF383" s="33" t="s">
        <v>11163</v>
      </c>
    </row>
    <row r="384" spans="1:58" s="87" customFormat="1" ht="52" x14ac:dyDescent="0.3">
      <c r="A384" s="72">
        <v>4226</v>
      </c>
      <c r="B384" s="72" t="s">
        <v>3720</v>
      </c>
      <c r="C384" s="72" t="s">
        <v>34</v>
      </c>
      <c r="D384" s="73" t="s">
        <v>3736</v>
      </c>
      <c r="E384" s="72" t="s">
        <v>35</v>
      </c>
      <c r="F384" s="72" t="s">
        <v>97</v>
      </c>
      <c r="G384" s="72" t="s">
        <v>225</v>
      </c>
      <c r="H384" s="72" t="s">
        <v>125</v>
      </c>
      <c r="I384" s="72" t="s">
        <v>114</v>
      </c>
      <c r="J384" s="73" t="s">
        <v>24</v>
      </c>
      <c r="K384" s="73" t="s">
        <v>3722</v>
      </c>
      <c r="L384" s="73" t="s">
        <v>3723</v>
      </c>
      <c r="M384" s="72" t="s">
        <v>14</v>
      </c>
      <c r="N384" s="84" t="s">
        <v>98</v>
      </c>
      <c r="O384" s="85" t="s">
        <v>207</v>
      </c>
      <c r="P384" s="88">
        <v>40908</v>
      </c>
      <c r="Q384" s="73" t="s">
        <v>728</v>
      </c>
      <c r="R384" s="75" t="s">
        <v>3737</v>
      </c>
      <c r="S384" s="75" t="s">
        <v>3738</v>
      </c>
      <c r="T384" s="73">
        <v>5</v>
      </c>
      <c r="U384" s="74">
        <v>53883</v>
      </c>
      <c r="V384" s="75">
        <v>106953</v>
      </c>
      <c r="W384" s="74" t="s">
        <v>276</v>
      </c>
      <c r="X384" s="74" t="s">
        <v>276</v>
      </c>
      <c r="Y384" s="72" t="s">
        <v>276</v>
      </c>
      <c r="Z384" s="73" t="s">
        <v>894</v>
      </c>
      <c r="AA384" s="72" t="s">
        <v>276</v>
      </c>
      <c r="AB384" s="73" t="s">
        <v>894</v>
      </c>
      <c r="AC384" s="73" t="s">
        <v>3739</v>
      </c>
      <c r="AD384" s="73" t="s">
        <v>3740</v>
      </c>
      <c r="AE384" s="72">
        <v>27</v>
      </c>
      <c r="AF384" s="72">
        <v>69</v>
      </c>
      <c r="AG384" s="75">
        <v>267864</v>
      </c>
      <c r="AH384" s="75">
        <v>532104</v>
      </c>
      <c r="AI384" s="74" t="s">
        <v>425</v>
      </c>
      <c r="AJ384" s="76">
        <v>0.1</v>
      </c>
      <c r="AK384" s="86">
        <f t="shared" si="43"/>
        <v>0.1007974195860586</v>
      </c>
      <c r="AL384" s="76" t="s">
        <v>276</v>
      </c>
      <c r="AM384" s="76" t="s">
        <v>276</v>
      </c>
      <c r="AN384" s="76">
        <v>0.13</v>
      </c>
      <c r="AO384" s="86">
        <f t="shared" si="44"/>
        <v>0.1296738983356637</v>
      </c>
      <c r="AP384" s="76" t="s">
        <v>276</v>
      </c>
      <c r="AQ384" s="76" t="s">
        <v>276</v>
      </c>
      <c r="AR384" s="72" t="s">
        <v>269</v>
      </c>
      <c r="AS384" s="76">
        <v>0.78</v>
      </c>
      <c r="AT384" s="76">
        <f t="shared" si="45"/>
        <v>0.77731463987565408</v>
      </c>
      <c r="AU384" s="76">
        <v>0.5</v>
      </c>
      <c r="AV384" s="76">
        <v>1.21</v>
      </c>
      <c r="AW384" s="72" t="s">
        <v>276</v>
      </c>
      <c r="AX384" s="72" t="s">
        <v>282</v>
      </c>
      <c r="AY384" s="72" t="s">
        <v>98</v>
      </c>
      <c r="AZ384" s="72" t="s">
        <v>98</v>
      </c>
      <c r="BA384" s="72" t="s">
        <v>98</v>
      </c>
      <c r="BB384" s="72" t="s">
        <v>98</v>
      </c>
      <c r="BC384" s="73" t="s">
        <v>426</v>
      </c>
      <c r="BD384" s="73" t="s">
        <v>3741</v>
      </c>
      <c r="BE384" s="33" t="s">
        <v>100</v>
      </c>
      <c r="BF384" s="33" t="s">
        <v>98</v>
      </c>
    </row>
    <row r="385" spans="1:58" s="87" customFormat="1" ht="52" x14ac:dyDescent="0.3">
      <c r="A385" s="72">
        <v>4226</v>
      </c>
      <c r="B385" s="72" t="s">
        <v>3720</v>
      </c>
      <c r="C385" s="72" t="s">
        <v>34</v>
      </c>
      <c r="D385" s="73" t="s">
        <v>3742</v>
      </c>
      <c r="E385" s="72" t="s">
        <v>35</v>
      </c>
      <c r="F385" s="72" t="s">
        <v>97</v>
      </c>
      <c r="G385" s="72" t="s">
        <v>225</v>
      </c>
      <c r="H385" s="72" t="s">
        <v>125</v>
      </c>
      <c r="I385" s="72" t="s">
        <v>114</v>
      </c>
      <c r="J385" s="73" t="s">
        <v>24</v>
      </c>
      <c r="K385" s="73" t="s">
        <v>3722</v>
      </c>
      <c r="L385" s="73" t="s">
        <v>3723</v>
      </c>
      <c r="M385" s="72" t="s">
        <v>14</v>
      </c>
      <c r="N385" s="84" t="s">
        <v>98</v>
      </c>
      <c r="O385" s="85" t="s">
        <v>207</v>
      </c>
      <c r="P385" s="88">
        <v>40908</v>
      </c>
      <c r="Q385" s="73" t="s">
        <v>766</v>
      </c>
      <c r="R385" s="75" t="s">
        <v>3743</v>
      </c>
      <c r="S385" s="75" t="s">
        <v>3744</v>
      </c>
      <c r="T385" s="73" t="s">
        <v>3745</v>
      </c>
      <c r="U385" s="74">
        <v>53883</v>
      </c>
      <c r="V385" s="75">
        <v>106953</v>
      </c>
      <c r="W385" s="74" t="s">
        <v>276</v>
      </c>
      <c r="X385" s="74" t="s">
        <v>276</v>
      </c>
      <c r="Y385" s="72" t="s">
        <v>276</v>
      </c>
      <c r="Z385" s="73" t="s">
        <v>894</v>
      </c>
      <c r="AA385" s="72" t="s">
        <v>276</v>
      </c>
      <c r="AB385" s="73" t="s">
        <v>894</v>
      </c>
      <c r="AC385" s="73" t="s">
        <v>3746</v>
      </c>
      <c r="AD385" s="73" t="s">
        <v>3747</v>
      </c>
      <c r="AE385" s="72">
        <f>27+56</f>
        <v>83</v>
      </c>
      <c r="AF385" s="72">
        <f>69+152</f>
        <v>221</v>
      </c>
      <c r="AG385" s="75">
        <f>267864+264884</f>
        <v>532748</v>
      </c>
      <c r="AH385" s="75">
        <f>532104+526220</f>
        <v>1058324</v>
      </c>
      <c r="AI385" s="74" t="s">
        <v>425</v>
      </c>
      <c r="AJ385" s="76">
        <v>0.1</v>
      </c>
      <c r="AK385" s="86">
        <f t="shared" si="43"/>
        <v>0.15579598609473896</v>
      </c>
      <c r="AL385" s="76" t="s">
        <v>276</v>
      </c>
      <c r="AM385" s="76" t="s">
        <v>276</v>
      </c>
      <c r="AN385" s="76">
        <v>0.13</v>
      </c>
      <c r="AO385" s="86">
        <f t="shared" si="44"/>
        <v>0.20882073920651897</v>
      </c>
      <c r="AP385" s="76" t="s">
        <v>276</v>
      </c>
      <c r="AQ385" s="76" t="s">
        <v>276</v>
      </c>
      <c r="AR385" s="72" t="s">
        <v>269</v>
      </c>
      <c r="AS385" s="76">
        <v>0.75</v>
      </c>
      <c r="AT385" s="76">
        <f t="shared" si="45"/>
        <v>0.74607525424311549</v>
      </c>
      <c r="AU385" s="76">
        <v>0.57999999999999996</v>
      </c>
      <c r="AV385" s="76">
        <v>0.96</v>
      </c>
      <c r="AW385" s="72" t="s">
        <v>276</v>
      </c>
      <c r="AX385" s="72" t="s">
        <v>282</v>
      </c>
      <c r="AY385" s="72" t="s">
        <v>98</v>
      </c>
      <c r="AZ385" s="72" t="s">
        <v>98</v>
      </c>
      <c r="BA385" s="72" t="s">
        <v>98</v>
      </c>
      <c r="BB385" s="72" t="s">
        <v>98</v>
      </c>
      <c r="BC385" s="73" t="s">
        <v>3748</v>
      </c>
      <c r="BD385" s="73" t="s">
        <v>3741</v>
      </c>
      <c r="BE385" s="33" t="s">
        <v>100</v>
      </c>
      <c r="BF385" s="33" t="s">
        <v>98</v>
      </c>
    </row>
    <row r="386" spans="1:58" s="87" customFormat="1" ht="52" x14ac:dyDescent="0.3">
      <c r="A386" s="72">
        <v>4226</v>
      </c>
      <c r="B386" s="72" t="s">
        <v>3720</v>
      </c>
      <c r="C386" s="72" t="s">
        <v>34</v>
      </c>
      <c r="D386" s="73" t="s">
        <v>3749</v>
      </c>
      <c r="E386" s="72" t="s">
        <v>35</v>
      </c>
      <c r="F386" s="72" t="s">
        <v>97</v>
      </c>
      <c r="G386" s="72" t="s">
        <v>225</v>
      </c>
      <c r="H386" s="72" t="s">
        <v>125</v>
      </c>
      <c r="I386" s="72" t="s">
        <v>113</v>
      </c>
      <c r="J386" s="73" t="s">
        <v>24</v>
      </c>
      <c r="K386" s="73" t="s">
        <v>3722</v>
      </c>
      <c r="L386" s="73" t="s">
        <v>3723</v>
      </c>
      <c r="M386" s="72" t="s">
        <v>14</v>
      </c>
      <c r="N386" s="84" t="s">
        <v>98</v>
      </c>
      <c r="O386" s="85" t="s">
        <v>207</v>
      </c>
      <c r="P386" s="88">
        <v>40908</v>
      </c>
      <c r="Q386" s="73" t="s">
        <v>782</v>
      </c>
      <c r="R386" s="75" t="s">
        <v>3750</v>
      </c>
      <c r="S386" s="75" t="s">
        <v>3751</v>
      </c>
      <c r="T386" s="73" t="s">
        <v>3745</v>
      </c>
      <c r="U386" s="74">
        <v>53883</v>
      </c>
      <c r="V386" s="75">
        <v>106953</v>
      </c>
      <c r="W386" s="74" t="s">
        <v>276</v>
      </c>
      <c r="X386" s="74" t="s">
        <v>276</v>
      </c>
      <c r="Y386" s="72" t="s">
        <v>276</v>
      </c>
      <c r="Z386" s="73" t="s">
        <v>894</v>
      </c>
      <c r="AA386" s="72" t="s">
        <v>276</v>
      </c>
      <c r="AB386" s="73" t="s">
        <v>894</v>
      </c>
      <c r="AC386" s="73" t="s">
        <v>3752</v>
      </c>
      <c r="AD386" s="73" t="s">
        <v>3753</v>
      </c>
      <c r="AE386" s="72">
        <f>27+56+98</f>
        <v>181</v>
      </c>
      <c r="AF386" s="72">
        <f>69+152+185</f>
        <v>406</v>
      </c>
      <c r="AG386" s="75">
        <f>267864+264884+261163</f>
        <v>793911</v>
      </c>
      <c r="AH386" s="75">
        <f>532104+526220+518223</f>
        <v>1576547</v>
      </c>
      <c r="AI386" s="74" t="s">
        <v>425</v>
      </c>
      <c r="AJ386" s="76" t="s">
        <v>276</v>
      </c>
      <c r="AK386" s="86">
        <f t="shared" si="43"/>
        <v>0.22798525275503173</v>
      </c>
      <c r="AL386" s="76" t="s">
        <v>276</v>
      </c>
      <c r="AM386" s="76" t="s">
        <v>276</v>
      </c>
      <c r="AN386" s="76" t="s">
        <v>276</v>
      </c>
      <c r="AO386" s="86">
        <f t="shared" si="44"/>
        <v>0.25752483116583269</v>
      </c>
      <c r="AP386" s="76" t="s">
        <v>276</v>
      </c>
      <c r="AQ386" s="76" t="s">
        <v>276</v>
      </c>
      <c r="AR386" s="72" t="s">
        <v>269</v>
      </c>
      <c r="AS386" s="76">
        <v>0.89</v>
      </c>
      <c r="AT386" s="76">
        <f t="shared" si="45"/>
        <v>0.88529425190932753</v>
      </c>
      <c r="AU386" s="76">
        <v>0.74</v>
      </c>
      <c r="AV386" s="76">
        <v>1.07</v>
      </c>
      <c r="AW386" s="72" t="s">
        <v>276</v>
      </c>
      <c r="AX386" s="72" t="s">
        <v>282</v>
      </c>
      <c r="AY386" s="72" t="s">
        <v>98</v>
      </c>
      <c r="AZ386" s="72" t="s">
        <v>98</v>
      </c>
      <c r="BA386" s="72" t="s">
        <v>98</v>
      </c>
      <c r="BB386" s="72" t="s">
        <v>98</v>
      </c>
      <c r="BC386" s="73" t="s">
        <v>3754</v>
      </c>
      <c r="BD386" s="73"/>
      <c r="BE386" s="33" t="s">
        <v>100</v>
      </c>
      <c r="BF386" s="33" t="s">
        <v>98</v>
      </c>
    </row>
    <row r="387" spans="1:58" s="87" customFormat="1" ht="52" x14ac:dyDescent="0.3">
      <c r="A387" s="72">
        <v>4226</v>
      </c>
      <c r="B387" s="72" t="s">
        <v>3720</v>
      </c>
      <c r="C387" s="72" t="s">
        <v>34</v>
      </c>
      <c r="D387" s="73" t="s">
        <v>3755</v>
      </c>
      <c r="E387" s="72" t="s">
        <v>35</v>
      </c>
      <c r="F387" s="72" t="s">
        <v>97</v>
      </c>
      <c r="G387" s="72" t="s">
        <v>225</v>
      </c>
      <c r="H387" s="72" t="s">
        <v>125</v>
      </c>
      <c r="I387" s="72" t="s">
        <v>113</v>
      </c>
      <c r="J387" s="73" t="s">
        <v>24</v>
      </c>
      <c r="K387" s="73" t="s">
        <v>3722</v>
      </c>
      <c r="L387" s="73" t="s">
        <v>3723</v>
      </c>
      <c r="M387" s="72" t="s">
        <v>14</v>
      </c>
      <c r="N387" s="84" t="s">
        <v>98</v>
      </c>
      <c r="O387" s="85" t="s">
        <v>207</v>
      </c>
      <c r="P387" s="88">
        <v>40908</v>
      </c>
      <c r="Q387" s="73" t="s">
        <v>98</v>
      </c>
      <c r="R387" s="73" t="s">
        <v>3731</v>
      </c>
      <c r="S387" s="73" t="s">
        <v>3731</v>
      </c>
      <c r="T387" s="73" t="s">
        <v>3745</v>
      </c>
      <c r="U387" s="74">
        <v>53883</v>
      </c>
      <c r="V387" s="75">
        <v>106953</v>
      </c>
      <c r="W387" s="74" t="s">
        <v>276</v>
      </c>
      <c r="X387" s="74" t="s">
        <v>276</v>
      </c>
      <c r="Y387" s="72" t="s">
        <v>276</v>
      </c>
      <c r="Z387" s="73" t="s">
        <v>894</v>
      </c>
      <c r="AA387" s="72" t="s">
        <v>276</v>
      </c>
      <c r="AB387" s="73" t="s">
        <v>894</v>
      </c>
      <c r="AC387" s="73" t="s">
        <v>3756</v>
      </c>
      <c r="AD387" s="73" t="s">
        <v>3757</v>
      </c>
      <c r="AE387" s="72">
        <v>242</v>
      </c>
      <c r="AF387" s="72">
        <v>515</v>
      </c>
      <c r="AG387" s="74">
        <v>940969</v>
      </c>
      <c r="AH387" s="74">
        <v>1868717</v>
      </c>
      <c r="AI387" s="74" t="s">
        <v>425</v>
      </c>
      <c r="AJ387" s="86">
        <v>0.25700000000000001</v>
      </c>
      <c r="AK387" s="86">
        <f t="shared" si="43"/>
        <v>0.25718169248933814</v>
      </c>
      <c r="AL387" s="76" t="s">
        <v>276</v>
      </c>
      <c r="AM387" s="76" t="s">
        <v>276</v>
      </c>
      <c r="AN387" s="86">
        <v>0.27600000000000002</v>
      </c>
      <c r="AO387" s="86">
        <f t="shared" si="44"/>
        <v>0.27559015088962108</v>
      </c>
      <c r="AP387" s="76" t="s">
        <v>276</v>
      </c>
      <c r="AQ387" s="76" t="s">
        <v>276</v>
      </c>
      <c r="AR387" s="72" t="s">
        <v>269</v>
      </c>
      <c r="AS387" s="76">
        <v>0.93</v>
      </c>
      <c r="AT387" s="76">
        <f t="shared" si="45"/>
        <v>0.93320349678368641</v>
      </c>
      <c r="AU387" s="76">
        <v>0.8</v>
      </c>
      <c r="AV387" s="76">
        <v>1.0900000000000001</v>
      </c>
      <c r="AW387" s="72" t="s">
        <v>276</v>
      </c>
      <c r="AX387" s="72" t="s">
        <v>282</v>
      </c>
      <c r="AY387" s="72" t="s">
        <v>98</v>
      </c>
      <c r="AZ387" s="72" t="s">
        <v>98</v>
      </c>
      <c r="BA387" s="72" t="s">
        <v>98</v>
      </c>
      <c r="BB387" s="72" t="s">
        <v>98</v>
      </c>
      <c r="BC387" s="73" t="s">
        <v>3758</v>
      </c>
      <c r="BD387" s="73"/>
      <c r="BE387" s="33" t="s">
        <v>100</v>
      </c>
      <c r="BF387" s="33" t="s">
        <v>98</v>
      </c>
    </row>
    <row r="388" spans="1:58" s="7" customFormat="1" ht="65" x14ac:dyDescent="0.3">
      <c r="A388" s="8">
        <v>4226</v>
      </c>
      <c r="B388" s="8" t="s">
        <v>3720</v>
      </c>
      <c r="C388" s="8" t="s">
        <v>34</v>
      </c>
      <c r="D388" s="9" t="s">
        <v>3759</v>
      </c>
      <c r="E388" s="8" t="s">
        <v>35</v>
      </c>
      <c r="F388" s="8" t="s">
        <v>97</v>
      </c>
      <c r="G388" s="8" t="s">
        <v>225</v>
      </c>
      <c r="H388" s="8" t="s">
        <v>125</v>
      </c>
      <c r="I388" s="8" t="s">
        <v>114</v>
      </c>
      <c r="J388" s="9" t="s">
        <v>24</v>
      </c>
      <c r="K388" s="9" t="s">
        <v>3722</v>
      </c>
      <c r="L388" s="9" t="s">
        <v>3723</v>
      </c>
      <c r="M388" s="8" t="s">
        <v>14</v>
      </c>
      <c r="N388" s="11" t="s">
        <v>98</v>
      </c>
      <c r="O388" s="12" t="s">
        <v>207</v>
      </c>
      <c r="P388" s="41">
        <v>40908</v>
      </c>
      <c r="Q388" s="9" t="s">
        <v>98</v>
      </c>
      <c r="R388" s="9" t="s">
        <v>3731</v>
      </c>
      <c r="S388" s="9" t="s">
        <v>3731</v>
      </c>
      <c r="T388" s="9" t="s">
        <v>3745</v>
      </c>
      <c r="U388" s="13">
        <v>53883</v>
      </c>
      <c r="V388" s="38">
        <v>106953</v>
      </c>
      <c r="W388" s="13" t="s">
        <v>276</v>
      </c>
      <c r="X388" s="13" t="s">
        <v>276</v>
      </c>
      <c r="Y388" s="8" t="s">
        <v>276</v>
      </c>
      <c r="Z388" s="9" t="s">
        <v>894</v>
      </c>
      <c r="AA388" s="8" t="s">
        <v>276</v>
      </c>
      <c r="AB388" s="9" t="s">
        <v>894</v>
      </c>
      <c r="AC388" s="9" t="s">
        <v>3760</v>
      </c>
      <c r="AD388" s="9" t="s">
        <v>3733</v>
      </c>
      <c r="AE388" s="8" t="s">
        <v>276</v>
      </c>
      <c r="AF388" s="8" t="s">
        <v>276</v>
      </c>
      <c r="AG388" s="13">
        <v>940969</v>
      </c>
      <c r="AH388" s="13">
        <v>1868717</v>
      </c>
      <c r="AI388" s="13" t="s">
        <v>425</v>
      </c>
      <c r="AJ388" s="31" t="s">
        <v>276</v>
      </c>
      <c r="AK388" s="31" t="s">
        <v>98</v>
      </c>
      <c r="AL388" s="14" t="s">
        <v>276</v>
      </c>
      <c r="AM388" s="14" t="s">
        <v>276</v>
      </c>
      <c r="AN388" s="31" t="s">
        <v>276</v>
      </c>
      <c r="AO388" s="31" t="s">
        <v>98</v>
      </c>
      <c r="AP388" s="14" t="s">
        <v>276</v>
      </c>
      <c r="AQ388" s="14" t="s">
        <v>276</v>
      </c>
      <c r="AR388" s="8" t="s">
        <v>269</v>
      </c>
      <c r="AS388" s="14">
        <v>0.64</v>
      </c>
      <c r="AT388" s="14" t="s">
        <v>98</v>
      </c>
      <c r="AU388" s="14">
        <v>0.45</v>
      </c>
      <c r="AV388" s="14">
        <v>0.94</v>
      </c>
      <c r="AW388" s="8" t="s">
        <v>276</v>
      </c>
      <c r="AX388" s="8" t="s">
        <v>282</v>
      </c>
      <c r="AY388" s="8" t="s">
        <v>98</v>
      </c>
      <c r="AZ388" s="8" t="s">
        <v>98</v>
      </c>
      <c r="BA388" s="8" t="s">
        <v>98</v>
      </c>
      <c r="BB388" s="8" t="s">
        <v>98</v>
      </c>
      <c r="BC388" s="9" t="s">
        <v>3761</v>
      </c>
      <c r="BD388" s="9" t="s">
        <v>3762</v>
      </c>
      <c r="BE388" s="33" t="s">
        <v>100</v>
      </c>
      <c r="BF388" s="33" t="s">
        <v>98</v>
      </c>
    </row>
    <row r="389" spans="1:58" s="7" customFormat="1" ht="78" x14ac:dyDescent="0.3">
      <c r="A389" s="8">
        <v>4226</v>
      </c>
      <c r="B389" s="8" t="s">
        <v>3720</v>
      </c>
      <c r="C389" s="8" t="s">
        <v>34</v>
      </c>
      <c r="D389" s="9" t="s">
        <v>3763</v>
      </c>
      <c r="E389" s="8" t="s">
        <v>35</v>
      </c>
      <c r="F389" s="8" t="s">
        <v>97</v>
      </c>
      <c r="G389" s="8" t="s">
        <v>225</v>
      </c>
      <c r="H389" s="8" t="s">
        <v>125</v>
      </c>
      <c r="I389" s="8" t="s">
        <v>114</v>
      </c>
      <c r="J389" s="9" t="s">
        <v>24</v>
      </c>
      <c r="K389" s="9" t="s">
        <v>3722</v>
      </c>
      <c r="L389" s="9" t="s">
        <v>3723</v>
      </c>
      <c r="M389" s="8" t="s">
        <v>14</v>
      </c>
      <c r="N389" s="11" t="s">
        <v>98</v>
      </c>
      <c r="O389" s="12" t="s">
        <v>207</v>
      </c>
      <c r="P389" s="41">
        <v>40908</v>
      </c>
      <c r="Q389" s="9" t="s">
        <v>98</v>
      </c>
      <c r="R389" s="9" t="s">
        <v>3731</v>
      </c>
      <c r="S389" s="9" t="s">
        <v>3731</v>
      </c>
      <c r="T389" s="9" t="s">
        <v>3745</v>
      </c>
      <c r="U389" s="13">
        <v>53883</v>
      </c>
      <c r="V389" s="38">
        <v>106953</v>
      </c>
      <c r="W389" s="13" t="s">
        <v>276</v>
      </c>
      <c r="X389" s="13" t="s">
        <v>276</v>
      </c>
      <c r="Y389" s="8" t="s">
        <v>276</v>
      </c>
      <c r="Z389" s="9" t="s">
        <v>894</v>
      </c>
      <c r="AA389" s="8" t="s">
        <v>276</v>
      </c>
      <c r="AB389" s="9" t="s">
        <v>894</v>
      </c>
      <c r="AC389" s="9" t="s">
        <v>3764</v>
      </c>
      <c r="AD389" s="9" t="s">
        <v>3733</v>
      </c>
      <c r="AE389" s="8" t="s">
        <v>276</v>
      </c>
      <c r="AF389" s="8" t="s">
        <v>276</v>
      </c>
      <c r="AG389" s="13">
        <v>940969</v>
      </c>
      <c r="AH389" s="13">
        <v>1868717</v>
      </c>
      <c r="AI389" s="13" t="s">
        <v>425</v>
      </c>
      <c r="AJ389" s="31" t="s">
        <v>276</v>
      </c>
      <c r="AK389" s="31" t="s">
        <v>98</v>
      </c>
      <c r="AL389" s="14" t="s">
        <v>276</v>
      </c>
      <c r="AM389" s="14" t="s">
        <v>276</v>
      </c>
      <c r="AN389" s="31" t="s">
        <v>276</v>
      </c>
      <c r="AO389" s="31" t="s">
        <v>98</v>
      </c>
      <c r="AP389" s="14" t="s">
        <v>276</v>
      </c>
      <c r="AQ389" s="14" t="s">
        <v>276</v>
      </c>
      <c r="AR389" s="8" t="s">
        <v>269</v>
      </c>
      <c r="AS389" s="14">
        <v>0.88</v>
      </c>
      <c r="AT389" s="14" t="s">
        <v>98</v>
      </c>
      <c r="AU389" s="14">
        <v>0.72</v>
      </c>
      <c r="AV389" s="14">
        <v>1.08</v>
      </c>
      <c r="AW389" s="8" t="s">
        <v>276</v>
      </c>
      <c r="AX389" s="8" t="s">
        <v>282</v>
      </c>
      <c r="AY389" s="8" t="s">
        <v>98</v>
      </c>
      <c r="AZ389" s="8" t="s">
        <v>98</v>
      </c>
      <c r="BA389" s="8" t="s">
        <v>98</v>
      </c>
      <c r="BB389" s="8" t="s">
        <v>98</v>
      </c>
      <c r="BC389" s="9" t="s">
        <v>3765</v>
      </c>
      <c r="BD389" s="9" t="s">
        <v>3762</v>
      </c>
      <c r="BE389" s="33" t="s">
        <v>100</v>
      </c>
      <c r="BF389" s="33" t="s">
        <v>98</v>
      </c>
    </row>
    <row r="390" spans="1:58" s="7" customFormat="1" ht="78" x14ac:dyDescent="0.3">
      <c r="A390" s="8">
        <v>4226</v>
      </c>
      <c r="B390" s="8" t="s">
        <v>3720</v>
      </c>
      <c r="C390" s="8" t="s">
        <v>34</v>
      </c>
      <c r="D390" s="9" t="s">
        <v>3766</v>
      </c>
      <c r="E390" s="8" t="s">
        <v>35</v>
      </c>
      <c r="F390" s="8" t="s">
        <v>97</v>
      </c>
      <c r="G390" s="8" t="s">
        <v>225</v>
      </c>
      <c r="H390" s="8" t="s">
        <v>125</v>
      </c>
      <c r="I390" s="8" t="s">
        <v>114</v>
      </c>
      <c r="J390" s="9" t="s">
        <v>24</v>
      </c>
      <c r="K390" s="9" t="s">
        <v>3722</v>
      </c>
      <c r="L390" s="9" t="s">
        <v>3723</v>
      </c>
      <c r="M390" s="8" t="s">
        <v>14</v>
      </c>
      <c r="N390" s="11" t="s">
        <v>98</v>
      </c>
      <c r="O390" s="12" t="s">
        <v>207</v>
      </c>
      <c r="P390" s="41">
        <v>40908</v>
      </c>
      <c r="Q390" s="9" t="s">
        <v>98</v>
      </c>
      <c r="R390" s="9" t="s">
        <v>3731</v>
      </c>
      <c r="S390" s="9" t="s">
        <v>3731</v>
      </c>
      <c r="T390" s="9" t="s">
        <v>3745</v>
      </c>
      <c r="U390" s="13">
        <v>53883</v>
      </c>
      <c r="V390" s="38">
        <v>106953</v>
      </c>
      <c r="W390" s="13" t="s">
        <v>276</v>
      </c>
      <c r="X390" s="13" t="s">
        <v>276</v>
      </c>
      <c r="Y390" s="8" t="s">
        <v>276</v>
      </c>
      <c r="Z390" s="9" t="s">
        <v>894</v>
      </c>
      <c r="AA390" s="8" t="s">
        <v>276</v>
      </c>
      <c r="AB390" s="9" t="s">
        <v>894</v>
      </c>
      <c r="AC390" s="9" t="s">
        <v>3767</v>
      </c>
      <c r="AD390" s="9" t="s">
        <v>3733</v>
      </c>
      <c r="AE390" s="8" t="s">
        <v>276</v>
      </c>
      <c r="AF390" s="8" t="s">
        <v>276</v>
      </c>
      <c r="AG390" s="13">
        <v>940969</v>
      </c>
      <c r="AH390" s="13">
        <v>1868717</v>
      </c>
      <c r="AI390" s="13" t="s">
        <v>425</v>
      </c>
      <c r="AJ390" s="31" t="s">
        <v>276</v>
      </c>
      <c r="AK390" s="31" t="s">
        <v>98</v>
      </c>
      <c r="AL390" s="14" t="s">
        <v>276</v>
      </c>
      <c r="AM390" s="14" t="s">
        <v>276</v>
      </c>
      <c r="AN390" s="31" t="s">
        <v>276</v>
      </c>
      <c r="AO390" s="31" t="s">
        <v>98</v>
      </c>
      <c r="AP390" s="14" t="s">
        <v>276</v>
      </c>
      <c r="AQ390" s="14" t="s">
        <v>276</v>
      </c>
      <c r="AR390" s="8" t="s">
        <v>269</v>
      </c>
      <c r="AS390" s="14">
        <v>0.88</v>
      </c>
      <c r="AT390" s="14" t="s">
        <v>98</v>
      </c>
      <c r="AU390" s="14">
        <v>0.73</v>
      </c>
      <c r="AV390" s="14">
        <v>1.07</v>
      </c>
      <c r="AW390" s="8" t="s">
        <v>276</v>
      </c>
      <c r="AX390" s="8" t="s">
        <v>282</v>
      </c>
      <c r="AY390" s="8" t="s">
        <v>98</v>
      </c>
      <c r="AZ390" s="8" t="s">
        <v>98</v>
      </c>
      <c r="BA390" s="8" t="s">
        <v>98</v>
      </c>
      <c r="BB390" s="8" t="s">
        <v>98</v>
      </c>
      <c r="BC390" s="9" t="s">
        <v>3765</v>
      </c>
      <c r="BD390" s="9" t="s">
        <v>3762</v>
      </c>
      <c r="BE390" s="33" t="s">
        <v>100</v>
      </c>
      <c r="BF390" s="33" t="s">
        <v>98</v>
      </c>
    </row>
    <row r="391" spans="1:58" s="7" customFormat="1" ht="78" x14ac:dyDescent="0.3">
      <c r="A391" s="8">
        <v>4226</v>
      </c>
      <c r="B391" s="8" t="s">
        <v>3720</v>
      </c>
      <c r="C391" s="8" t="s">
        <v>34</v>
      </c>
      <c r="D391" s="9" t="s">
        <v>3768</v>
      </c>
      <c r="E391" s="8" t="s">
        <v>35</v>
      </c>
      <c r="F391" s="8" t="s">
        <v>97</v>
      </c>
      <c r="G391" s="8" t="s">
        <v>225</v>
      </c>
      <c r="H391" s="8" t="s">
        <v>125</v>
      </c>
      <c r="I391" s="8" t="s">
        <v>114</v>
      </c>
      <c r="J391" s="9" t="s">
        <v>24</v>
      </c>
      <c r="K391" s="9" t="s">
        <v>3722</v>
      </c>
      <c r="L391" s="9" t="s">
        <v>3723</v>
      </c>
      <c r="M391" s="8" t="s">
        <v>14</v>
      </c>
      <c r="N391" s="11" t="s">
        <v>98</v>
      </c>
      <c r="O391" s="12" t="s">
        <v>207</v>
      </c>
      <c r="P391" s="41">
        <v>40908</v>
      </c>
      <c r="Q391" s="9" t="s">
        <v>98</v>
      </c>
      <c r="R391" s="9" t="s">
        <v>3731</v>
      </c>
      <c r="S391" s="9" t="s">
        <v>3731</v>
      </c>
      <c r="T391" s="9" t="s">
        <v>3745</v>
      </c>
      <c r="U391" s="13">
        <v>53883</v>
      </c>
      <c r="V391" s="38">
        <v>106953</v>
      </c>
      <c r="W391" s="13" t="s">
        <v>276</v>
      </c>
      <c r="X391" s="13" t="s">
        <v>276</v>
      </c>
      <c r="Y391" s="8" t="s">
        <v>276</v>
      </c>
      <c r="Z391" s="9" t="s">
        <v>894</v>
      </c>
      <c r="AA391" s="8" t="s">
        <v>276</v>
      </c>
      <c r="AB391" s="9" t="s">
        <v>894</v>
      </c>
      <c r="AC391" s="9" t="s">
        <v>3769</v>
      </c>
      <c r="AD391" s="9" t="s">
        <v>3733</v>
      </c>
      <c r="AE391" s="8" t="s">
        <v>276</v>
      </c>
      <c r="AF391" s="8" t="s">
        <v>276</v>
      </c>
      <c r="AG391" s="13">
        <v>940969</v>
      </c>
      <c r="AH391" s="13">
        <v>1868717</v>
      </c>
      <c r="AI391" s="13" t="s">
        <v>425</v>
      </c>
      <c r="AJ391" s="31" t="s">
        <v>276</v>
      </c>
      <c r="AK391" s="31" t="s">
        <v>98</v>
      </c>
      <c r="AL391" s="14" t="s">
        <v>276</v>
      </c>
      <c r="AM391" s="14" t="s">
        <v>276</v>
      </c>
      <c r="AN391" s="31" t="s">
        <v>276</v>
      </c>
      <c r="AO391" s="31" t="s">
        <v>98</v>
      </c>
      <c r="AP391" s="14" t="s">
        <v>276</v>
      </c>
      <c r="AQ391" s="14" t="s">
        <v>276</v>
      </c>
      <c r="AR391" s="8" t="s">
        <v>269</v>
      </c>
      <c r="AS391" s="14">
        <v>0.9</v>
      </c>
      <c r="AT391" s="14" t="s">
        <v>98</v>
      </c>
      <c r="AU391" s="14">
        <v>0.75</v>
      </c>
      <c r="AV391" s="14">
        <v>1.08</v>
      </c>
      <c r="AW391" s="8" t="s">
        <v>276</v>
      </c>
      <c r="AX391" s="8" t="s">
        <v>282</v>
      </c>
      <c r="AY391" s="8" t="s">
        <v>98</v>
      </c>
      <c r="AZ391" s="8" t="s">
        <v>98</v>
      </c>
      <c r="BA391" s="8" t="s">
        <v>98</v>
      </c>
      <c r="BB391" s="8" t="s">
        <v>98</v>
      </c>
      <c r="BC391" s="9" t="s">
        <v>3765</v>
      </c>
      <c r="BD391" s="73" t="s">
        <v>3762</v>
      </c>
      <c r="BE391" s="33" t="s">
        <v>100</v>
      </c>
      <c r="BF391" s="33" t="s">
        <v>98</v>
      </c>
    </row>
    <row r="392" spans="1:58" s="87" customFormat="1" ht="65" x14ac:dyDescent="0.3">
      <c r="A392" s="72">
        <v>4226</v>
      </c>
      <c r="B392" s="72" t="s">
        <v>3720</v>
      </c>
      <c r="C392" s="72" t="s">
        <v>34</v>
      </c>
      <c r="D392" s="73" t="s">
        <v>3770</v>
      </c>
      <c r="E392" s="72" t="s">
        <v>35</v>
      </c>
      <c r="F392" s="72" t="s">
        <v>97</v>
      </c>
      <c r="G392" s="72" t="s">
        <v>225</v>
      </c>
      <c r="H392" s="72" t="s">
        <v>125</v>
      </c>
      <c r="I392" s="72" t="s">
        <v>113</v>
      </c>
      <c r="J392" s="73" t="s">
        <v>23</v>
      </c>
      <c r="K392" s="73" t="s">
        <v>3771</v>
      </c>
      <c r="L392" s="73" t="s">
        <v>3772</v>
      </c>
      <c r="M392" s="72" t="s">
        <v>14</v>
      </c>
      <c r="N392" s="84" t="s">
        <v>98</v>
      </c>
      <c r="O392" s="85" t="s">
        <v>207</v>
      </c>
      <c r="P392" s="88">
        <v>40908</v>
      </c>
      <c r="Q392" s="73" t="s">
        <v>98</v>
      </c>
      <c r="R392" s="73" t="s">
        <v>3731</v>
      </c>
      <c r="S392" s="73" t="s">
        <v>3731</v>
      </c>
      <c r="T392" s="73" t="s">
        <v>3745</v>
      </c>
      <c r="U392" s="74">
        <v>53883</v>
      </c>
      <c r="V392" s="75">
        <v>106953</v>
      </c>
      <c r="W392" s="74" t="s">
        <v>276</v>
      </c>
      <c r="X392" s="74" t="s">
        <v>276</v>
      </c>
      <c r="Y392" s="72">
        <v>0</v>
      </c>
      <c r="Z392" s="73" t="s">
        <v>98</v>
      </c>
      <c r="AA392" s="72">
        <v>0</v>
      </c>
      <c r="AB392" s="73" t="s">
        <v>98</v>
      </c>
      <c r="AC392" s="73" t="s">
        <v>3773</v>
      </c>
      <c r="AD392" s="73" t="s">
        <v>3733</v>
      </c>
      <c r="AE392" s="72">
        <v>2127</v>
      </c>
      <c r="AF392" s="72">
        <v>4320</v>
      </c>
      <c r="AG392" s="74">
        <v>940969</v>
      </c>
      <c r="AH392" s="74">
        <v>1868717</v>
      </c>
      <c r="AI392" s="74" t="s">
        <v>425</v>
      </c>
      <c r="AJ392" s="86">
        <v>2.2599999999999998</v>
      </c>
      <c r="AK392" s="76">
        <f t="shared" si="43"/>
        <v>2.260435784813315</v>
      </c>
      <c r="AL392" s="76" t="s">
        <v>276</v>
      </c>
      <c r="AM392" s="76" t="s">
        <v>276</v>
      </c>
      <c r="AN392" s="76">
        <v>2.31</v>
      </c>
      <c r="AO392" s="76">
        <f t="shared" si="44"/>
        <v>2.311746508433326</v>
      </c>
      <c r="AP392" s="76" t="s">
        <v>276</v>
      </c>
      <c r="AQ392" s="76" t="s">
        <v>276</v>
      </c>
      <c r="AR392" s="72" t="s">
        <v>269</v>
      </c>
      <c r="AS392" s="76">
        <v>0.98</v>
      </c>
      <c r="AT392" s="76">
        <f t="shared" si="45"/>
        <v>0.97780434687244999</v>
      </c>
      <c r="AU392" s="76">
        <v>0.93</v>
      </c>
      <c r="AV392" s="76">
        <v>1.03</v>
      </c>
      <c r="AW392" s="72" t="s">
        <v>276</v>
      </c>
      <c r="AX392" s="72" t="s">
        <v>282</v>
      </c>
      <c r="AY392" s="72" t="s">
        <v>98</v>
      </c>
      <c r="AZ392" s="72" t="s">
        <v>98</v>
      </c>
      <c r="BA392" s="72" t="s">
        <v>98</v>
      </c>
      <c r="BB392" s="72" t="s">
        <v>98</v>
      </c>
      <c r="BC392" s="73" t="s">
        <v>3774</v>
      </c>
      <c r="BD392" s="73" t="s">
        <v>3762</v>
      </c>
      <c r="BE392" s="33" t="s">
        <v>100</v>
      </c>
      <c r="BF392" s="33" t="s">
        <v>98</v>
      </c>
    </row>
    <row r="393" spans="1:58" s="253" customFormat="1" ht="52" x14ac:dyDescent="0.3">
      <c r="A393" s="244">
        <v>4257</v>
      </c>
      <c r="B393" s="244" t="s">
        <v>3775</v>
      </c>
      <c r="C393" s="244" t="s">
        <v>34</v>
      </c>
      <c r="D393" s="245" t="s">
        <v>3776</v>
      </c>
      <c r="E393" s="244" t="s">
        <v>35</v>
      </c>
      <c r="F393" s="244" t="s">
        <v>97</v>
      </c>
      <c r="G393" s="244" t="s">
        <v>225</v>
      </c>
      <c r="H393" s="244" t="s">
        <v>125</v>
      </c>
      <c r="I393" s="244" t="s">
        <v>114</v>
      </c>
      <c r="J393" s="245" t="s">
        <v>24</v>
      </c>
      <c r="K393" s="245" t="s">
        <v>3722</v>
      </c>
      <c r="L393" s="245" t="s">
        <v>276</v>
      </c>
      <c r="M393" s="244" t="s">
        <v>14</v>
      </c>
      <c r="N393" s="246" t="s">
        <v>98</v>
      </c>
      <c r="O393" s="247" t="s">
        <v>207</v>
      </c>
      <c r="P393" s="248">
        <v>42794</v>
      </c>
      <c r="Q393" s="245" t="s">
        <v>276</v>
      </c>
      <c r="R393" s="247" t="s">
        <v>3777</v>
      </c>
      <c r="S393" s="247" t="s">
        <v>3777</v>
      </c>
      <c r="T393" s="245" t="s">
        <v>3745</v>
      </c>
      <c r="U393" s="249">
        <v>53883</v>
      </c>
      <c r="V393" s="250">
        <v>106953</v>
      </c>
      <c r="W393" s="244" t="s">
        <v>276</v>
      </c>
      <c r="X393" s="244" t="s">
        <v>276</v>
      </c>
      <c r="Y393" s="244" t="s">
        <v>276</v>
      </c>
      <c r="Z393" s="245" t="s">
        <v>894</v>
      </c>
      <c r="AA393" s="244" t="s">
        <v>276</v>
      </c>
      <c r="AB393" s="245" t="s">
        <v>894</v>
      </c>
      <c r="AC393" s="245" t="s">
        <v>3778</v>
      </c>
      <c r="AD393" s="245" t="s">
        <v>3779</v>
      </c>
      <c r="AE393" s="244">
        <v>209</v>
      </c>
      <c r="AF393" s="244">
        <v>474</v>
      </c>
      <c r="AG393" s="249">
        <v>1201010</v>
      </c>
      <c r="AH393" s="249">
        <v>2385006</v>
      </c>
      <c r="AI393" s="249" t="s">
        <v>425</v>
      </c>
      <c r="AJ393" s="251" t="s">
        <v>276</v>
      </c>
      <c r="AK393" s="252">
        <f t="shared" si="43"/>
        <v>0.17402019966528173</v>
      </c>
      <c r="AL393" s="251" t="s">
        <v>276</v>
      </c>
      <c r="AM393" s="251" t="s">
        <v>276</v>
      </c>
      <c r="AN393" s="251" t="s">
        <v>276</v>
      </c>
      <c r="AO393" s="252">
        <f t="shared" si="44"/>
        <v>0.19874163838581538</v>
      </c>
      <c r="AP393" s="251" t="s">
        <v>276</v>
      </c>
      <c r="AQ393" s="251" t="s">
        <v>276</v>
      </c>
      <c r="AR393" s="244" t="s">
        <v>269</v>
      </c>
      <c r="AS393" s="251">
        <v>0.88</v>
      </c>
      <c r="AT393" s="251">
        <f t="shared" si="45"/>
        <v>0.8756101694575843</v>
      </c>
      <c r="AU393" s="251">
        <v>0.74</v>
      </c>
      <c r="AV393" s="251">
        <v>1.03</v>
      </c>
      <c r="AW393" s="244">
        <v>0.1</v>
      </c>
      <c r="AX393" s="244" t="s">
        <v>282</v>
      </c>
      <c r="AY393" s="244" t="s">
        <v>98</v>
      </c>
      <c r="AZ393" s="244" t="s">
        <v>98</v>
      </c>
      <c r="BA393" s="244" t="s">
        <v>98</v>
      </c>
      <c r="BB393" s="244" t="s">
        <v>98</v>
      </c>
      <c r="BC393" s="245" t="s">
        <v>3780</v>
      </c>
      <c r="BD393" s="245" t="s">
        <v>98</v>
      </c>
      <c r="BE393" s="33" t="s">
        <v>100</v>
      </c>
      <c r="BF393" s="33" t="s">
        <v>98</v>
      </c>
    </row>
    <row r="394" spans="1:58" s="263" customFormat="1" ht="39" x14ac:dyDescent="0.3">
      <c r="A394" s="254">
        <v>4257</v>
      </c>
      <c r="B394" s="254" t="s">
        <v>3775</v>
      </c>
      <c r="C394" s="254" t="s">
        <v>34</v>
      </c>
      <c r="D394" s="255" t="s">
        <v>3781</v>
      </c>
      <c r="E394" s="254" t="s">
        <v>35</v>
      </c>
      <c r="F394" s="254" t="s">
        <v>97</v>
      </c>
      <c r="G394" s="254" t="s">
        <v>225</v>
      </c>
      <c r="H394" s="254" t="s">
        <v>125</v>
      </c>
      <c r="I394" s="254" t="s">
        <v>113</v>
      </c>
      <c r="J394" s="255" t="s">
        <v>23</v>
      </c>
      <c r="K394" s="255" t="s">
        <v>3722</v>
      </c>
      <c r="L394" s="255" t="s">
        <v>276</v>
      </c>
      <c r="M394" s="254" t="s">
        <v>14</v>
      </c>
      <c r="N394" s="256" t="s">
        <v>98</v>
      </c>
      <c r="O394" s="257" t="s">
        <v>207</v>
      </c>
      <c r="P394" s="258">
        <v>42794</v>
      </c>
      <c r="Q394" s="255" t="s">
        <v>276</v>
      </c>
      <c r="R394" s="257" t="s">
        <v>3777</v>
      </c>
      <c r="S394" s="257" t="s">
        <v>3777</v>
      </c>
      <c r="T394" s="255" t="s">
        <v>3745</v>
      </c>
      <c r="U394" s="259">
        <v>53883</v>
      </c>
      <c r="V394" s="260">
        <v>106953</v>
      </c>
      <c r="W394" s="254" t="s">
        <v>276</v>
      </c>
      <c r="X394" s="254" t="s">
        <v>276</v>
      </c>
      <c r="Y394" s="254">
        <v>0</v>
      </c>
      <c r="Z394" s="255" t="s">
        <v>98</v>
      </c>
      <c r="AA394" s="254">
        <v>0</v>
      </c>
      <c r="AB394" s="255" t="s">
        <v>98</v>
      </c>
      <c r="AC394" s="255" t="s">
        <v>3782</v>
      </c>
      <c r="AD394" s="255" t="s">
        <v>3779</v>
      </c>
      <c r="AE394" s="254" t="s">
        <v>276</v>
      </c>
      <c r="AF394" s="254" t="s">
        <v>276</v>
      </c>
      <c r="AG394" s="259" t="s">
        <v>276</v>
      </c>
      <c r="AH394" s="259" t="s">
        <v>276</v>
      </c>
      <c r="AI394" s="259" t="s">
        <v>425</v>
      </c>
      <c r="AJ394" s="261" t="s">
        <v>276</v>
      </c>
      <c r="AK394" s="262" t="s">
        <v>276</v>
      </c>
      <c r="AL394" s="261" t="s">
        <v>276</v>
      </c>
      <c r="AM394" s="261" t="s">
        <v>276</v>
      </c>
      <c r="AN394" s="261" t="s">
        <v>276</v>
      </c>
      <c r="AO394" s="262" t="s">
        <v>276</v>
      </c>
      <c r="AP394" s="261" t="s">
        <v>276</v>
      </c>
      <c r="AQ394" s="261" t="s">
        <v>276</v>
      </c>
      <c r="AR394" s="254" t="s">
        <v>269</v>
      </c>
      <c r="AS394" s="261">
        <v>1.01</v>
      </c>
      <c r="AT394" s="261" t="s">
        <v>276</v>
      </c>
      <c r="AU394" s="261">
        <v>0.96</v>
      </c>
      <c r="AV394" s="261">
        <v>1.05</v>
      </c>
      <c r="AW394" s="254">
        <v>0.8</v>
      </c>
      <c r="AX394" s="254" t="s">
        <v>282</v>
      </c>
      <c r="AY394" s="254" t="s">
        <v>98</v>
      </c>
      <c r="AZ394" s="254" t="s">
        <v>98</v>
      </c>
      <c r="BA394" s="254" t="s">
        <v>98</v>
      </c>
      <c r="BB394" s="254" t="s">
        <v>98</v>
      </c>
      <c r="BC394" s="255" t="s">
        <v>3783</v>
      </c>
      <c r="BD394" s="255" t="s">
        <v>98</v>
      </c>
      <c r="BE394" s="33" t="s">
        <v>100</v>
      </c>
      <c r="BF394" s="33" t="s">
        <v>98</v>
      </c>
    </row>
    <row r="395" spans="1:58" s="253" customFormat="1" ht="52" x14ac:dyDescent="0.3">
      <c r="A395" s="244">
        <v>4257</v>
      </c>
      <c r="B395" s="244" t="s">
        <v>3775</v>
      </c>
      <c r="C395" s="244" t="s">
        <v>34</v>
      </c>
      <c r="D395" s="245" t="s">
        <v>3784</v>
      </c>
      <c r="E395" s="244" t="s">
        <v>35</v>
      </c>
      <c r="F395" s="244" t="s">
        <v>97</v>
      </c>
      <c r="G395" s="244" t="s">
        <v>225</v>
      </c>
      <c r="H395" s="244" t="s">
        <v>125</v>
      </c>
      <c r="I395" s="244" t="s">
        <v>113</v>
      </c>
      <c r="J395" s="245" t="s">
        <v>24</v>
      </c>
      <c r="K395" s="245" t="s">
        <v>3722</v>
      </c>
      <c r="L395" s="245" t="s">
        <v>276</v>
      </c>
      <c r="M395" s="244" t="s">
        <v>14</v>
      </c>
      <c r="N395" s="246" t="s">
        <v>98</v>
      </c>
      <c r="O395" s="247" t="s">
        <v>207</v>
      </c>
      <c r="P395" s="248">
        <v>42794</v>
      </c>
      <c r="Q395" s="245" t="s">
        <v>276</v>
      </c>
      <c r="R395" s="247" t="s">
        <v>3777</v>
      </c>
      <c r="S395" s="247" t="s">
        <v>3777</v>
      </c>
      <c r="T395" s="245" t="s">
        <v>3745</v>
      </c>
      <c r="U395" s="249">
        <v>53883</v>
      </c>
      <c r="V395" s="250">
        <v>106953</v>
      </c>
      <c r="W395" s="244" t="s">
        <v>276</v>
      </c>
      <c r="X395" s="244" t="s">
        <v>276</v>
      </c>
      <c r="Y395" s="244" t="s">
        <v>276</v>
      </c>
      <c r="Z395" s="245" t="s">
        <v>894</v>
      </c>
      <c r="AA395" s="244" t="s">
        <v>276</v>
      </c>
      <c r="AB395" s="245" t="s">
        <v>894</v>
      </c>
      <c r="AC395" s="245" t="s">
        <v>3785</v>
      </c>
      <c r="AD395" s="245" t="s">
        <v>3779</v>
      </c>
      <c r="AE395" s="244">
        <v>216</v>
      </c>
      <c r="AF395" s="244">
        <v>498</v>
      </c>
      <c r="AG395" s="249">
        <v>1201010</v>
      </c>
      <c r="AH395" s="249">
        <v>2385006</v>
      </c>
      <c r="AI395" s="249" t="s">
        <v>425</v>
      </c>
      <c r="AJ395" s="251" t="s">
        <v>276</v>
      </c>
      <c r="AK395" s="252">
        <f t="shared" ref="AK395:AK397" si="46">AE395*1000/AG395</f>
        <v>0.17984862740526722</v>
      </c>
      <c r="AL395" s="251" t="s">
        <v>276</v>
      </c>
      <c r="AM395" s="251" t="s">
        <v>276</v>
      </c>
      <c r="AN395" s="251" t="s">
        <v>276</v>
      </c>
      <c r="AO395" s="252">
        <f t="shared" ref="AO395:AO397" si="47">AF395*1000/AH395</f>
        <v>0.20880450615218579</v>
      </c>
      <c r="AP395" s="251" t="s">
        <v>276</v>
      </c>
      <c r="AQ395" s="251" t="s">
        <v>276</v>
      </c>
      <c r="AR395" s="244" t="s">
        <v>269</v>
      </c>
      <c r="AS395" s="251">
        <v>0.86</v>
      </c>
      <c r="AT395" s="251">
        <f t="shared" ref="AT395:AT397" si="48">AK395/AO395</f>
        <v>0.861325412556881</v>
      </c>
      <c r="AU395" s="251">
        <v>0.73</v>
      </c>
      <c r="AV395" s="251">
        <v>1.01</v>
      </c>
      <c r="AW395" s="244">
        <v>7.0000000000000007E-2</v>
      </c>
      <c r="AX395" s="244" t="s">
        <v>282</v>
      </c>
      <c r="AY395" s="244" t="s">
        <v>98</v>
      </c>
      <c r="AZ395" s="244" t="s">
        <v>98</v>
      </c>
      <c r="BA395" s="244" t="s">
        <v>98</v>
      </c>
      <c r="BB395" s="244" t="s">
        <v>98</v>
      </c>
      <c r="BC395" s="245" t="s">
        <v>3786</v>
      </c>
      <c r="BD395" s="245" t="s">
        <v>98</v>
      </c>
      <c r="BE395" s="33" t="s">
        <v>100</v>
      </c>
      <c r="BF395" s="33" t="s">
        <v>98</v>
      </c>
    </row>
    <row r="396" spans="1:58" s="263" customFormat="1" ht="52" x14ac:dyDescent="0.3">
      <c r="A396" s="254">
        <v>4257</v>
      </c>
      <c r="B396" s="254" t="s">
        <v>3775</v>
      </c>
      <c r="C396" s="254" t="s">
        <v>34</v>
      </c>
      <c r="D396" s="255" t="s">
        <v>3749</v>
      </c>
      <c r="E396" s="254" t="s">
        <v>35</v>
      </c>
      <c r="F396" s="254" t="s">
        <v>97</v>
      </c>
      <c r="G396" s="254" t="s">
        <v>225</v>
      </c>
      <c r="H396" s="254" t="s">
        <v>125</v>
      </c>
      <c r="I396" s="254" t="s">
        <v>113</v>
      </c>
      <c r="J396" s="255" t="s">
        <v>24</v>
      </c>
      <c r="K396" s="255" t="s">
        <v>3722</v>
      </c>
      <c r="L396" s="255" t="s">
        <v>276</v>
      </c>
      <c r="M396" s="254" t="s">
        <v>14</v>
      </c>
      <c r="N396" s="256" t="s">
        <v>98</v>
      </c>
      <c r="O396" s="257" t="s">
        <v>207</v>
      </c>
      <c r="P396" s="258">
        <v>42794</v>
      </c>
      <c r="Q396" s="255" t="s">
        <v>782</v>
      </c>
      <c r="R396" s="260" t="s">
        <v>3787</v>
      </c>
      <c r="S396" s="260" t="s">
        <v>3788</v>
      </c>
      <c r="T396" s="255" t="s">
        <v>3745</v>
      </c>
      <c r="U396" s="259">
        <v>53883</v>
      </c>
      <c r="V396" s="260">
        <v>106953</v>
      </c>
      <c r="W396" s="259" t="s">
        <v>276</v>
      </c>
      <c r="X396" s="259" t="s">
        <v>276</v>
      </c>
      <c r="Y396" s="254" t="s">
        <v>276</v>
      </c>
      <c r="Z396" s="255" t="s">
        <v>894</v>
      </c>
      <c r="AA396" s="254" t="s">
        <v>276</v>
      </c>
      <c r="AB396" s="255" t="s">
        <v>894</v>
      </c>
      <c r="AC396" s="255" t="s">
        <v>3752</v>
      </c>
      <c r="AD396" s="255" t="s">
        <v>3753</v>
      </c>
      <c r="AE396" s="254">
        <v>182</v>
      </c>
      <c r="AF396" s="254">
        <f>69+152+185</f>
        <v>406</v>
      </c>
      <c r="AG396" s="260">
        <v>793852</v>
      </c>
      <c r="AH396" s="260">
        <v>1576346</v>
      </c>
      <c r="AI396" s="259" t="s">
        <v>425</v>
      </c>
      <c r="AJ396" s="261" t="s">
        <v>276</v>
      </c>
      <c r="AK396" s="262">
        <f t="shared" si="46"/>
        <v>0.22926187752880889</v>
      </c>
      <c r="AL396" s="261" t="s">
        <v>276</v>
      </c>
      <c r="AM396" s="261" t="s">
        <v>276</v>
      </c>
      <c r="AN396" s="261" t="s">
        <v>276</v>
      </c>
      <c r="AO396" s="262">
        <f t="shared" si="47"/>
        <v>0.25755766817691039</v>
      </c>
      <c r="AP396" s="261" t="s">
        <v>276</v>
      </c>
      <c r="AQ396" s="261" t="s">
        <v>276</v>
      </c>
      <c r="AR396" s="254" t="s">
        <v>269</v>
      </c>
      <c r="AS396" s="261">
        <v>0.89</v>
      </c>
      <c r="AT396" s="261">
        <f t="shared" si="48"/>
        <v>0.89013803841139849</v>
      </c>
      <c r="AU396" s="261">
        <v>0.75</v>
      </c>
      <c r="AV396" s="261">
        <v>1.06</v>
      </c>
      <c r="AW396" s="254" t="s">
        <v>276</v>
      </c>
      <c r="AX396" s="254" t="s">
        <v>282</v>
      </c>
      <c r="AY396" s="254" t="s">
        <v>98</v>
      </c>
      <c r="AZ396" s="254" t="s">
        <v>98</v>
      </c>
      <c r="BA396" s="254" t="s">
        <v>98</v>
      </c>
      <c r="BB396" s="254" t="s">
        <v>98</v>
      </c>
      <c r="BC396" s="255" t="s">
        <v>1020</v>
      </c>
      <c r="BD396" s="255"/>
      <c r="BE396" s="33" t="s">
        <v>100</v>
      </c>
      <c r="BF396" s="33" t="s">
        <v>98</v>
      </c>
    </row>
    <row r="397" spans="1:58" s="263" customFormat="1" ht="39" x14ac:dyDescent="0.3">
      <c r="A397" s="254">
        <v>4257</v>
      </c>
      <c r="B397" s="254" t="s">
        <v>3775</v>
      </c>
      <c r="C397" s="254" t="s">
        <v>34</v>
      </c>
      <c r="D397" s="255" t="s">
        <v>3789</v>
      </c>
      <c r="E397" s="254" t="s">
        <v>35</v>
      </c>
      <c r="F397" s="254" t="s">
        <v>97</v>
      </c>
      <c r="G397" s="254" t="s">
        <v>225</v>
      </c>
      <c r="H397" s="254" t="s">
        <v>125</v>
      </c>
      <c r="I397" s="254" t="s">
        <v>113</v>
      </c>
      <c r="J397" s="255" t="s">
        <v>24</v>
      </c>
      <c r="K397" s="255" t="s">
        <v>3722</v>
      </c>
      <c r="L397" s="255" t="s">
        <v>276</v>
      </c>
      <c r="M397" s="254" t="s">
        <v>14</v>
      </c>
      <c r="N397" s="256" t="s">
        <v>98</v>
      </c>
      <c r="O397" s="257" t="s">
        <v>207</v>
      </c>
      <c r="P397" s="258">
        <v>42794</v>
      </c>
      <c r="Q397" s="255" t="s">
        <v>276</v>
      </c>
      <c r="R397" s="257" t="s">
        <v>3777</v>
      </c>
      <c r="S397" s="257" t="s">
        <v>3777</v>
      </c>
      <c r="T397" s="255" t="s">
        <v>3745</v>
      </c>
      <c r="U397" s="259">
        <v>53883</v>
      </c>
      <c r="V397" s="260">
        <v>106953</v>
      </c>
      <c r="W397" s="259" t="s">
        <v>276</v>
      </c>
      <c r="X397" s="259" t="s">
        <v>276</v>
      </c>
      <c r="Y397" s="254" t="s">
        <v>276</v>
      </c>
      <c r="Z397" s="255" t="s">
        <v>894</v>
      </c>
      <c r="AA397" s="254" t="s">
        <v>276</v>
      </c>
      <c r="AB397" s="255" t="s">
        <v>894</v>
      </c>
      <c r="AC397" s="255" t="s">
        <v>3790</v>
      </c>
      <c r="AD397" s="255" t="s">
        <v>3791</v>
      </c>
      <c r="AE397" s="254">
        <v>338</v>
      </c>
      <c r="AF397" s="254">
        <v>743</v>
      </c>
      <c r="AG397" s="259">
        <v>1201010</v>
      </c>
      <c r="AH397" s="259">
        <v>2385006</v>
      </c>
      <c r="AI397" s="259" t="s">
        <v>425</v>
      </c>
      <c r="AJ397" s="261" t="s">
        <v>276</v>
      </c>
      <c r="AK397" s="262">
        <f t="shared" si="46"/>
        <v>0.28142979658787187</v>
      </c>
      <c r="AL397" s="261" t="s">
        <v>276</v>
      </c>
      <c r="AM397" s="261" t="s">
        <v>276</v>
      </c>
      <c r="AN397" s="261" t="s">
        <v>276</v>
      </c>
      <c r="AO397" s="262">
        <f t="shared" si="47"/>
        <v>0.31152961460055029</v>
      </c>
      <c r="AP397" s="261" t="s">
        <v>276</v>
      </c>
      <c r="AQ397" s="261" t="s">
        <v>276</v>
      </c>
      <c r="AR397" s="254" t="s">
        <v>269</v>
      </c>
      <c r="AS397" s="261">
        <v>0.9</v>
      </c>
      <c r="AT397" s="261">
        <f t="shared" si="48"/>
        <v>0.90338055644798643</v>
      </c>
      <c r="AU397" s="261">
        <v>0.79</v>
      </c>
      <c r="AV397" s="261">
        <v>1.03</v>
      </c>
      <c r="AW397" s="254" t="s">
        <v>276</v>
      </c>
      <c r="AX397" s="254" t="s">
        <v>282</v>
      </c>
      <c r="AY397" s="254" t="s">
        <v>98</v>
      </c>
      <c r="AZ397" s="254" t="s">
        <v>98</v>
      </c>
      <c r="BA397" s="254" t="s">
        <v>98</v>
      </c>
      <c r="BB397" s="254" t="s">
        <v>98</v>
      </c>
      <c r="BC397" s="255" t="s">
        <v>1020</v>
      </c>
      <c r="BD397" s="255"/>
      <c r="BE397" s="33" t="s">
        <v>100</v>
      </c>
      <c r="BF397" s="33" t="s">
        <v>98</v>
      </c>
    </row>
    <row r="398" spans="1:58" s="103" customFormat="1" ht="91" x14ac:dyDescent="0.3">
      <c r="A398" s="94">
        <v>10872</v>
      </c>
      <c r="B398" s="95" t="s">
        <v>3940</v>
      </c>
      <c r="C398" s="95" t="s">
        <v>82</v>
      </c>
      <c r="D398" s="95" t="s">
        <v>3941</v>
      </c>
      <c r="E398" s="94" t="s">
        <v>39</v>
      </c>
      <c r="F398" s="95" t="s">
        <v>263</v>
      </c>
      <c r="G398" s="94" t="s">
        <v>262</v>
      </c>
      <c r="H398" s="94" t="s">
        <v>225</v>
      </c>
      <c r="I398" s="94" t="s">
        <v>98</v>
      </c>
      <c r="J398" s="95" t="s">
        <v>24</v>
      </c>
      <c r="K398" s="95" t="s">
        <v>3942</v>
      </c>
      <c r="L398" s="95" t="s">
        <v>3943</v>
      </c>
      <c r="M398" s="94" t="s">
        <v>14</v>
      </c>
      <c r="N398" s="144" t="s">
        <v>98</v>
      </c>
      <c r="O398" s="96" t="s">
        <v>208</v>
      </c>
      <c r="P398" s="287" t="s">
        <v>3944</v>
      </c>
      <c r="Q398" s="95" t="s">
        <v>3945</v>
      </c>
      <c r="R398" s="95" t="s">
        <v>276</v>
      </c>
      <c r="S398" s="95" t="s">
        <v>276</v>
      </c>
      <c r="T398" s="95" t="s">
        <v>276</v>
      </c>
      <c r="U398" s="98">
        <v>4968</v>
      </c>
      <c r="V398" s="95">
        <v>5072</v>
      </c>
      <c r="W398" s="94" t="s">
        <v>276</v>
      </c>
      <c r="X398" s="94" t="s">
        <v>276</v>
      </c>
      <c r="Y398" s="94">
        <v>0</v>
      </c>
      <c r="Z398" s="94" t="s">
        <v>98</v>
      </c>
      <c r="AA398" s="94">
        <v>0</v>
      </c>
      <c r="AB398" s="94" t="s">
        <v>98</v>
      </c>
      <c r="AC398" s="95" t="s">
        <v>3946</v>
      </c>
      <c r="AD398" s="95" t="s">
        <v>689</v>
      </c>
      <c r="AE398" s="94">
        <f>74+4</f>
        <v>78</v>
      </c>
      <c r="AF398" s="94">
        <f>82+5</f>
        <v>87</v>
      </c>
      <c r="AG398" s="98">
        <v>4968</v>
      </c>
      <c r="AH398" s="95">
        <v>5072</v>
      </c>
      <c r="AI398" s="98" t="s">
        <v>292</v>
      </c>
      <c r="AJ398" s="102" t="s">
        <v>276</v>
      </c>
      <c r="AK398" s="101">
        <f>AE398*100/AG398</f>
        <v>1.5700483091787441</v>
      </c>
      <c r="AL398" s="102" t="s">
        <v>276</v>
      </c>
      <c r="AM398" s="102" t="s">
        <v>276</v>
      </c>
      <c r="AN398" s="102" t="s">
        <v>276</v>
      </c>
      <c r="AO398" s="101">
        <f>AF398*100/AH398</f>
        <v>1.7152996845425867</v>
      </c>
      <c r="AP398" s="102" t="s">
        <v>276</v>
      </c>
      <c r="AQ398" s="102" t="s">
        <v>276</v>
      </c>
      <c r="AR398" s="94" t="s">
        <v>268</v>
      </c>
      <c r="AS398" s="102" t="s">
        <v>276</v>
      </c>
      <c r="AT398" s="102">
        <f>AK398/AO398</f>
        <v>0.91532011771891841</v>
      </c>
      <c r="AU398" s="102" t="s">
        <v>276</v>
      </c>
      <c r="AV398" s="102" t="s">
        <v>276</v>
      </c>
      <c r="AW398" s="94" t="s">
        <v>276</v>
      </c>
      <c r="AX398" s="94" t="s">
        <v>282</v>
      </c>
      <c r="AY398" s="94" t="s">
        <v>276</v>
      </c>
      <c r="AZ398" s="94" t="s">
        <v>276</v>
      </c>
      <c r="BA398" s="94" t="s">
        <v>276</v>
      </c>
      <c r="BB398" s="94" t="s">
        <v>276</v>
      </c>
      <c r="BC398" s="95" t="s">
        <v>1010</v>
      </c>
      <c r="BD398" s="95" t="s">
        <v>3947</v>
      </c>
      <c r="BE398" s="33" t="s">
        <v>100</v>
      </c>
      <c r="BF398" s="33" t="s">
        <v>98</v>
      </c>
    </row>
    <row r="399" spans="1:58" s="103" customFormat="1" ht="65" x14ac:dyDescent="0.3">
      <c r="A399" s="94">
        <v>10872</v>
      </c>
      <c r="B399" s="95" t="s">
        <v>3940</v>
      </c>
      <c r="C399" s="95" t="s">
        <v>82</v>
      </c>
      <c r="D399" s="95" t="s">
        <v>3948</v>
      </c>
      <c r="E399" s="94" t="s">
        <v>39</v>
      </c>
      <c r="F399" s="95" t="s">
        <v>263</v>
      </c>
      <c r="G399" s="94" t="s">
        <v>262</v>
      </c>
      <c r="H399" s="94" t="s">
        <v>225</v>
      </c>
      <c r="I399" s="94" t="s">
        <v>98</v>
      </c>
      <c r="J399" s="95" t="s">
        <v>24</v>
      </c>
      <c r="K399" s="95" t="s">
        <v>3942</v>
      </c>
      <c r="L399" s="95" t="s">
        <v>3943</v>
      </c>
      <c r="M399" s="94" t="s">
        <v>14</v>
      </c>
      <c r="N399" s="144" t="s">
        <v>98</v>
      </c>
      <c r="O399" s="96" t="s">
        <v>208</v>
      </c>
      <c r="P399" s="287" t="s">
        <v>3944</v>
      </c>
      <c r="Q399" s="95" t="s">
        <v>3945</v>
      </c>
      <c r="R399" s="95" t="s">
        <v>276</v>
      </c>
      <c r="S399" s="95" t="s">
        <v>276</v>
      </c>
      <c r="T399" s="95" t="s">
        <v>276</v>
      </c>
      <c r="U399" s="98">
        <v>4968</v>
      </c>
      <c r="V399" s="95">
        <v>5072</v>
      </c>
      <c r="W399" s="94" t="s">
        <v>276</v>
      </c>
      <c r="X399" s="94" t="s">
        <v>276</v>
      </c>
      <c r="Y399" s="94">
        <v>0</v>
      </c>
      <c r="Z399" s="94" t="s">
        <v>98</v>
      </c>
      <c r="AA399" s="94">
        <v>0</v>
      </c>
      <c r="AB399" s="94" t="s">
        <v>98</v>
      </c>
      <c r="AC399" s="95" t="s">
        <v>3949</v>
      </c>
      <c r="AD399" s="95" t="s">
        <v>689</v>
      </c>
      <c r="AE399" s="94">
        <v>74</v>
      </c>
      <c r="AF399" s="94">
        <v>82</v>
      </c>
      <c r="AG399" s="98">
        <v>4968</v>
      </c>
      <c r="AH399" s="95">
        <v>5072</v>
      </c>
      <c r="AI399" s="98" t="s">
        <v>292</v>
      </c>
      <c r="AJ399" s="102" t="s">
        <v>276</v>
      </c>
      <c r="AK399" s="101">
        <f>AE399*100/AG399</f>
        <v>1.4895330112721417</v>
      </c>
      <c r="AL399" s="102" t="s">
        <v>276</v>
      </c>
      <c r="AM399" s="102" t="s">
        <v>276</v>
      </c>
      <c r="AN399" s="102" t="s">
        <v>276</v>
      </c>
      <c r="AO399" s="101">
        <f>AF399*100/AH399</f>
        <v>1.6167192429022081</v>
      </c>
      <c r="AP399" s="102" t="s">
        <v>276</v>
      </c>
      <c r="AQ399" s="102" t="s">
        <v>276</v>
      </c>
      <c r="AR399" s="94" t="s">
        <v>268</v>
      </c>
      <c r="AS399" s="102" t="s">
        <v>276</v>
      </c>
      <c r="AT399" s="102">
        <f>AK399/AO399</f>
        <v>0.92133066258198815</v>
      </c>
      <c r="AU399" s="102" t="s">
        <v>276</v>
      </c>
      <c r="AV399" s="102" t="s">
        <v>276</v>
      </c>
      <c r="AW399" s="94" t="s">
        <v>276</v>
      </c>
      <c r="AX399" s="94" t="s">
        <v>282</v>
      </c>
      <c r="AY399" s="94" t="s">
        <v>276</v>
      </c>
      <c r="AZ399" s="94" t="s">
        <v>276</v>
      </c>
      <c r="BA399" s="94" t="s">
        <v>276</v>
      </c>
      <c r="BB399" s="94" t="s">
        <v>276</v>
      </c>
      <c r="BC399" s="95" t="s">
        <v>1010</v>
      </c>
      <c r="BD399" s="95" t="s">
        <v>3947</v>
      </c>
      <c r="BE399" s="33" t="s">
        <v>100</v>
      </c>
      <c r="BF399" s="33" t="s">
        <v>98</v>
      </c>
    </row>
    <row r="400" spans="1:58" s="103" customFormat="1" ht="65" x14ac:dyDescent="0.3">
      <c r="A400" s="94">
        <v>10872</v>
      </c>
      <c r="B400" s="95" t="s">
        <v>3940</v>
      </c>
      <c r="C400" s="95" t="s">
        <v>82</v>
      </c>
      <c r="D400" s="95" t="s">
        <v>3950</v>
      </c>
      <c r="E400" s="94" t="s">
        <v>39</v>
      </c>
      <c r="F400" s="95" t="s">
        <v>263</v>
      </c>
      <c r="G400" s="94" t="s">
        <v>262</v>
      </c>
      <c r="H400" s="94" t="s">
        <v>225</v>
      </c>
      <c r="I400" s="94" t="s">
        <v>98</v>
      </c>
      <c r="J400" s="95" t="s">
        <v>23</v>
      </c>
      <c r="K400" s="95" t="s">
        <v>3942</v>
      </c>
      <c r="L400" s="95" t="s">
        <v>276</v>
      </c>
      <c r="M400" s="94" t="s">
        <v>14</v>
      </c>
      <c r="N400" s="144" t="s">
        <v>98</v>
      </c>
      <c r="O400" s="96" t="s">
        <v>208</v>
      </c>
      <c r="P400" s="287" t="s">
        <v>3944</v>
      </c>
      <c r="Q400" s="95" t="s">
        <v>3945</v>
      </c>
      <c r="R400" s="95" t="s">
        <v>276</v>
      </c>
      <c r="S400" s="95" t="s">
        <v>276</v>
      </c>
      <c r="T400" s="95" t="s">
        <v>276</v>
      </c>
      <c r="U400" s="98">
        <v>4968</v>
      </c>
      <c r="V400" s="95">
        <v>5072</v>
      </c>
      <c r="W400" s="94" t="s">
        <v>276</v>
      </c>
      <c r="X400" s="94" t="s">
        <v>276</v>
      </c>
      <c r="Y400" s="94">
        <v>0</v>
      </c>
      <c r="Z400" s="94" t="s">
        <v>98</v>
      </c>
      <c r="AA400" s="94">
        <v>0</v>
      </c>
      <c r="AB400" s="94" t="s">
        <v>98</v>
      </c>
      <c r="AC400" s="95" t="s">
        <v>3951</v>
      </c>
      <c r="AD400" s="95" t="s">
        <v>689</v>
      </c>
      <c r="AE400" s="94">
        <v>493</v>
      </c>
      <c r="AF400" s="94">
        <v>491</v>
      </c>
      <c r="AG400" s="98">
        <v>4968</v>
      </c>
      <c r="AH400" s="95">
        <v>5072</v>
      </c>
      <c r="AI400" s="98" t="s">
        <v>292</v>
      </c>
      <c r="AJ400" s="102" t="s">
        <v>276</v>
      </c>
      <c r="AK400" s="101">
        <f>AE400*100/AG400</f>
        <v>9.9235104669887271</v>
      </c>
      <c r="AL400" s="102" t="s">
        <v>276</v>
      </c>
      <c r="AM400" s="102" t="s">
        <v>276</v>
      </c>
      <c r="AN400" s="102" t="s">
        <v>276</v>
      </c>
      <c r="AO400" s="101">
        <f>AF400*100/AH400</f>
        <v>9.6805993690851739</v>
      </c>
      <c r="AP400" s="102" t="s">
        <v>276</v>
      </c>
      <c r="AQ400" s="102" t="s">
        <v>276</v>
      </c>
      <c r="AR400" s="94" t="s">
        <v>268</v>
      </c>
      <c r="AS400" s="102" t="s">
        <v>276</v>
      </c>
      <c r="AT400" s="102">
        <f>AK400/AO400</f>
        <v>1.0250925679952509</v>
      </c>
      <c r="AU400" s="102" t="s">
        <v>276</v>
      </c>
      <c r="AV400" s="102" t="s">
        <v>276</v>
      </c>
      <c r="AW400" s="94" t="s">
        <v>276</v>
      </c>
      <c r="AX400" s="94" t="s">
        <v>282</v>
      </c>
      <c r="AY400" s="94" t="s">
        <v>276</v>
      </c>
      <c r="AZ400" s="94" t="s">
        <v>276</v>
      </c>
      <c r="BA400" s="94" t="s">
        <v>276</v>
      </c>
      <c r="BB400" s="94" t="s">
        <v>276</v>
      </c>
      <c r="BC400" s="95" t="s">
        <v>3952</v>
      </c>
      <c r="BD400" s="95"/>
      <c r="BE400" s="33" t="s">
        <v>100</v>
      </c>
      <c r="BF400" s="33" t="s">
        <v>98</v>
      </c>
    </row>
    <row r="401" spans="1:58" s="149" customFormat="1" ht="78" x14ac:dyDescent="0.3">
      <c r="A401" s="126">
        <v>10870</v>
      </c>
      <c r="B401" s="127" t="s">
        <v>3953</v>
      </c>
      <c r="C401" s="127" t="s">
        <v>82</v>
      </c>
      <c r="D401" s="127" t="s">
        <v>3954</v>
      </c>
      <c r="E401" s="126" t="s">
        <v>39</v>
      </c>
      <c r="F401" s="127" t="s">
        <v>263</v>
      </c>
      <c r="G401" s="126" t="s">
        <v>262</v>
      </c>
      <c r="H401" s="126" t="s">
        <v>225</v>
      </c>
      <c r="I401" s="126" t="s">
        <v>98</v>
      </c>
      <c r="J401" s="127" t="s">
        <v>24</v>
      </c>
      <c r="K401" s="127" t="s">
        <v>276</v>
      </c>
      <c r="L401" s="127" t="s">
        <v>276</v>
      </c>
      <c r="M401" s="126" t="s">
        <v>14</v>
      </c>
      <c r="N401" s="145" t="s">
        <v>98</v>
      </c>
      <c r="O401" s="131" t="s">
        <v>208</v>
      </c>
      <c r="P401" s="288" t="s">
        <v>3955</v>
      </c>
      <c r="Q401" s="127" t="s">
        <v>3956</v>
      </c>
      <c r="R401" s="127" t="s">
        <v>276</v>
      </c>
      <c r="S401" s="127" t="s">
        <v>276</v>
      </c>
      <c r="T401" s="127" t="s">
        <v>276</v>
      </c>
      <c r="U401" s="132">
        <v>4968</v>
      </c>
      <c r="V401" s="127">
        <v>5072</v>
      </c>
      <c r="W401" s="126" t="s">
        <v>276</v>
      </c>
      <c r="X401" s="126" t="s">
        <v>276</v>
      </c>
      <c r="Y401" s="126">
        <v>0</v>
      </c>
      <c r="Z401" s="126" t="s">
        <v>98</v>
      </c>
      <c r="AA401" s="126">
        <v>0</v>
      </c>
      <c r="AB401" s="126" t="s">
        <v>98</v>
      </c>
      <c r="AC401" s="127" t="s">
        <v>3957</v>
      </c>
      <c r="AD401" s="127" t="s">
        <v>689</v>
      </c>
      <c r="AE401" s="126">
        <v>111</v>
      </c>
      <c r="AF401" s="126">
        <v>115</v>
      </c>
      <c r="AG401" s="132">
        <v>4968</v>
      </c>
      <c r="AH401" s="127">
        <v>5072</v>
      </c>
      <c r="AI401" s="132" t="s">
        <v>292</v>
      </c>
      <c r="AJ401" s="135" t="s">
        <v>276</v>
      </c>
      <c r="AK401" s="148">
        <f>AE401*100/AG401</f>
        <v>2.2342995169082127</v>
      </c>
      <c r="AL401" s="135" t="s">
        <v>276</v>
      </c>
      <c r="AM401" s="135" t="s">
        <v>276</v>
      </c>
      <c r="AN401" s="135" t="s">
        <v>276</v>
      </c>
      <c r="AO401" s="148">
        <f>AF401*100/AH401</f>
        <v>2.2673501577287065</v>
      </c>
      <c r="AP401" s="135" t="s">
        <v>276</v>
      </c>
      <c r="AQ401" s="135" t="s">
        <v>276</v>
      </c>
      <c r="AR401" s="126" t="s">
        <v>268</v>
      </c>
      <c r="AS401" s="135" t="s">
        <v>276</v>
      </c>
      <c r="AT401" s="135">
        <f>AK401/AO401</f>
        <v>0.98542323041377877</v>
      </c>
      <c r="AU401" s="135" t="s">
        <v>276</v>
      </c>
      <c r="AV401" s="135" t="s">
        <v>276</v>
      </c>
      <c r="AW401" s="126" t="s">
        <v>276</v>
      </c>
      <c r="AX401" s="126" t="s">
        <v>282</v>
      </c>
      <c r="AY401" s="126" t="s">
        <v>276</v>
      </c>
      <c r="AZ401" s="126" t="s">
        <v>276</v>
      </c>
      <c r="BA401" s="126" t="s">
        <v>276</v>
      </c>
      <c r="BB401" s="126" t="s">
        <v>276</v>
      </c>
      <c r="BC401" s="127" t="s">
        <v>3958</v>
      </c>
      <c r="BD401" s="127"/>
      <c r="BE401" s="33" t="s">
        <v>100</v>
      </c>
      <c r="BF401" s="33" t="s">
        <v>98</v>
      </c>
    </row>
    <row r="402" spans="1:58" s="202" customFormat="1" ht="91" x14ac:dyDescent="0.3">
      <c r="A402" s="175">
        <v>10966</v>
      </c>
      <c r="B402" s="176" t="s">
        <v>1011</v>
      </c>
      <c r="C402" s="176" t="s">
        <v>82</v>
      </c>
      <c r="D402" s="176" t="s">
        <v>3959</v>
      </c>
      <c r="E402" s="175" t="s">
        <v>39</v>
      </c>
      <c r="F402" s="176" t="s">
        <v>263</v>
      </c>
      <c r="G402" s="175" t="s">
        <v>262</v>
      </c>
      <c r="H402" s="175" t="s">
        <v>225</v>
      </c>
      <c r="I402" s="175" t="s">
        <v>98</v>
      </c>
      <c r="J402" s="176" t="s">
        <v>24</v>
      </c>
      <c r="K402" s="176" t="s">
        <v>3960</v>
      </c>
      <c r="L402" s="176" t="s">
        <v>3961</v>
      </c>
      <c r="M402" s="175" t="s">
        <v>14</v>
      </c>
      <c r="N402" s="198" t="s">
        <v>98</v>
      </c>
      <c r="O402" s="199" t="s">
        <v>208</v>
      </c>
      <c r="P402" s="289" t="s">
        <v>276</v>
      </c>
      <c r="Q402" s="176" t="s">
        <v>752</v>
      </c>
      <c r="R402" s="176" t="s">
        <v>1015</v>
      </c>
      <c r="S402" s="176" t="s">
        <v>1015</v>
      </c>
      <c r="T402" s="176" t="s">
        <v>276</v>
      </c>
      <c r="U402" s="180">
        <v>4968</v>
      </c>
      <c r="V402" s="176">
        <v>5072</v>
      </c>
      <c r="W402" s="175" t="s">
        <v>276</v>
      </c>
      <c r="X402" s="175" t="s">
        <v>276</v>
      </c>
      <c r="Y402" s="175" t="s">
        <v>276</v>
      </c>
      <c r="Z402" s="175" t="s">
        <v>276</v>
      </c>
      <c r="AA402" s="175" t="s">
        <v>276</v>
      </c>
      <c r="AB402" s="175" t="s">
        <v>276</v>
      </c>
      <c r="AC402" s="176" t="s">
        <v>3962</v>
      </c>
      <c r="AD402" s="176" t="s">
        <v>689</v>
      </c>
      <c r="AE402" s="175">
        <v>108</v>
      </c>
      <c r="AF402" s="175">
        <v>116</v>
      </c>
      <c r="AG402" s="180">
        <v>4968</v>
      </c>
      <c r="AH402" s="176">
        <v>5072</v>
      </c>
      <c r="AI402" s="180" t="s">
        <v>292</v>
      </c>
      <c r="AJ402" s="181" t="s">
        <v>276</v>
      </c>
      <c r="AK402" s="201">
        <f>AE402*100/AG402</f>
        <v>2.1739130434782608</v>
      </c>
      <c r="AL402" s="181" t="s">
        <v>276</v>
      </c>
      <c r="AM402" s="181" t="s">
        <v>276</v>
      </c>
      <c r="AN402" s="181" t="s">
        <v>276</v>
      </c>
      <c r="AO402" s="201">
        <f>AF402*100/AH402</f>
        <v>2.2870662460567823</v>
      </c>
      <c r="AP402" s="181" t="s">
        <v>276</v>
      </c>
      <c r="AQ402" s="181" t="s">
        <v>276</v>
      </c>
      <c r="AR402" s="175" t="s">
        <v>268</v>
      </c>
      <c r="AS402" s="181" t="s">
        <v>276</v>
      </c>
      <c r="AT402" s="181">
        <f>AK402/AO402</f>
        <v>0.95052473763118439</v>
      </c>
      <c r="AU402" s="181" t="s">
        <v>276</v>
      </c>
      <c r="AV402" s="181" t="s">
        <v>276</v>
      </c>
      <c r="AW402" s="175" t="s">
        <v>276</v>
      </c>
      <c r="AX402" s="175" t="s">
        <v>282</v>
      </c>
      <c r="AY402" s="175" t="s">
        <v>276</v>
      </c>
      <c r="AZ402" s="175" t="s">
        <v>276</v>
      </c>
      <c r="BA402" s="175" t="s">
        <v>276</v>
      </c>
      <c r="BB402" s="175" t="s">
        <v>276</v>
      </c>
      <c r="BC402" s="176" t="s">
        <v>1020</v>
      </c>
      <c r="BD402" s="176"/>
      <c r="BE402" s="33" t="s">
        <v>99</v>
      </c>
      <c r="BF402" s="33" t="s">
        <v>11162</v>
      </c>
    </row>
    <row r="403" spans="1:58" s="202" customFormat="1" ht="91" x14ac:dyDescent="0.3">
      <c r="A403" s="175">
        <v>10966</v>
      </c>
      <c r="B403" s="176" t="s">
        <v>1011</v>
      </c>
      <c r="C403" s="176" t="s">
        <v>82</v>
      </c>
      <c r="D403" s="176" t="s">
        <v>3963</v>
      </c>
      <c r="E403" s="175" t="s">
        <v>39</v>
      </c>
      <c r="F403" s="176" t="s">
        <v>263</v>
      </c>
      <c r="G403" s="175" t="s">
        <v>262</v>
      </c>
      <c r="H403" s="175" t="s">
        <v>225</v>
      </c>
      <c r="I403" s="175" t="s">
        <v>98</v>
      </c>
      <c r="J403" s="176" t="s">
        <v>24</v>
      </c>
      <c r="K403" s="176" t="s">
        <v>3960</v>
      </c>
      <c r="L403" s="176" t="s">
        <v>3961</v>
      </c>
      <c r="M403" s="175" t="s">
        <v>14</v>
      </c>
      <c r="N403" s="198" t="s">
        <v>98</v>
      </c>
      <c r="O403" s="199" t="s">
        <v>208</v>
      </c>
      <c r="P403" s="289" t="s">
        <v>276</v>
      </c>
      <c r="Q403" s="176" t="s">
        <v>752</v>
      </c>
      <c r="R403" s="176" t="s">
        <v>1015</v>
      </c>
      <c r="S403" s="176" t="s">
        <v>1015</v>
      </c>
      <c r="T403" s="176" t="s">
        <v>276</v>
      </c>
      <c r="U403" s="180">
        <v>4968</v>
      </c>
      <c r="V403" s="176">
        <v>5072</v>
      </c>
      <c r="W403" s="175" t="s">
        <v>276</v>
      </c>
      <c r="X403" s="175" t="s">
        <v>276</v>
      </c>
      <c r="Y403" s="175" t="s">
        <v>276</v>
      </c>
      <c r="Z403" s="175" t="s">
        <v>276</v>
      </c>
      <c r="AA403" s="175" t="s">
        <v>276</v>
      </c>
      <c r="AB403" s="175" t="s">
        <v>276</v>
      </c>
      <c r="AC403" s="176" t="s">
        <v>3962</v>
      </c>
      <c r="AD403" s="176" t="s">
        <v>3964</v>
      </c>
      <c r="AE403" s="175">
        <v>108</v>
      </c>
      <c r="AF403" s="175">
        <v>116</v>
      </c>
      <c r="AG403" s="180" t="s">
        <v>276</v>
      </c>
      <c r="AH403" s="176" t="s">
        <v>276</v>
      </c>
      <c r="AI403" s="179" t="s">
        <v>1019</v>
      </c>
      <c r="AJ403" s="290">
        <v>298</v>
      </c>
      <c r="AK403" s="201" t="s">
        <v>276</v>
      </c>
      <c r="AL403" s="181" t="s">
        <v>276</v>
      </c>
      <c r="AM403" s="181" t="s">
        <v>276</v>
      </c>
      <c r="AN403" s="290">
        <v>312</v>
      </c>
      <c r="AO403" s="201" t="s">
        <v>276</v>
      </c>
      <c r="AP403" s="181" t="s">
        <v>276</v>
      </c>
      <c r="AQ403" s="181" t="s">
        <v>276</v>
      </c>
      <c r="AR403" s="175" t="s">
        <v>269</v>
      </c>
      <c r="AS403" s="181">
        <v>0.95</v>
      </c>
      <c r="AT403" s="181">
        <f>AJ403/AN403</f>
        <v>0.95512820512820518</v>
      </c>
      <c r="AU403" s="181">
        <v>0.73</v>
      </c>
      <c r="AV403" s="181">
        <v>1.25</v>
      </c>
      <c r="AW403" s="175" t="s">
        <v>276</v>
      </c>
      <c r="AX403" s="175" t="s">
        <v>282</v>
      </c>
      <c r="AY403" s="175" t="s">
        <v>276</v>
      </c>
      <c r="AZ403" s="175" t="s">
        <v>276</v>
      </c>
      <c r="BA403" s="175" t="s">
        <v>276</v>
      </c>
      <c r="BB403" s="175" t="s">
        <v>276</v>
      </c>
      <c r="BC403" s="176" t="s">
        <v>1020</v>
      </c>
      <c r="BD403" s="176"/>
      <c r="BE403" s="33" t="s">
        <v>99</v>
      </c>
      <c r="BF403" s="33" t="s">
        <v>11162</v>
      </c>
    </row>
    <row r="404" spans="1:58" s="7" customFormat="1" ht="91" x14ac:dyDescent="0.3">
      <c r="A404" s="8">
        <v>645</v>
      </c>
      <c r="B404" s="8" t="s">
        <v>4041</v>
      </c>
      <c r="C404" s="8" t="s">
        <v>75</v>
      </c>
      <c r="D404" s="10" t="s">
        <v>4042</v>
      </c>
      <c r="E404" s="8" t="s">
        <v>39</v>
      </c>
      <c r="F404" s="9" t="s">
        <v>4043</v>
      </c>
      <c r="G404" s="9" t="s">
        <v>4044</v>
      </c>
      <c r="H404" s="8" t="s">
        <v>225</v>
      </c>
      <c r="I404" s="8" t="s">
        <v>98</v>
      </c>
      <c r="J404" s="9" t="s">
        <v>24</v>
      </c>
      <c r="K404" s="9" t="s">
        <v>4045</v>
      </c>
      <c r="L404" s="9" t="s">
        <v>276</v>
      </c>
      <c r="M404" s="8" t="s">
        <v>14</v>
      </c>
      <c r="N404" s="11" t="s">
        <v>98</v>
      </c>
      <c r="O404" s="12" t="s">
        <v>208</v>
      </c>
      <c r="P404" s="41">
        <v>39472</v>
      </c>
      <c r="Q404" s="9" t="s">
        <v>276</v>
      </c>
      <c r="R404" s="9" t="s">
        <v>4046</v>
      </c>
      <c r="S404" s="9" t="s">
        <v>4047</v>
      </c>
      <c r="T404" s="9" t="s">
        <v>276</v>
      </c>
      <c r="U404" s="13">
        <v>1276</v>
      </c>
      <c r="V404" s="34">
        <v>1196</v>
      </c>
      <c r="W404" s="8" t="s">
        <v>276</v>
      </c>
      <c r="X404" s="8" t="s">
        <v>276</v>
      </c>
      <c r="Y404" s="306">
        <v>3.4000000000000002E-2</v>
      </c>
      <c r="Z404" s="8" t="s">
        <v>4048</v>
      </c>
      <c r="AA404" s="306">
        <v>5.2999999999999999E-2</v>
      </c>
      <c r="AB404" s="8" t="s">
        <v>4048</v>
      </c>
      <c r="AC404" s="9" t="s">
        <v>4049</v>
      </c>
      <c r="AD404" s="9" t="s">
        <v>689</v>
      </c>
      <c r="AE404" s="8">
        <v>20</v>
      </c>
      <c r="AF404" s="8">
        <v>20</v>
      </c>
      <c r="AG404" s="13">
        <f>U404</f>
        <v>1276</v>
      </c>
      <c r="AH404" s="13">
        <f>V404</f>
        <v>1196</v>
      </c>
      <c r="AI404" s="13" t="s">
        <v>292</v>
      </c>
      <c r="AJ404" s="43">
        <v>1.6</v>
      </c>
      <c r="AK404" s="14">
        <f>AE404*100/AG404</f>
        <v>1.567398119122257</v>
      </c>
      <c r="AL404" s="14" t="s">
        <v>276</v>
      </c>
      <c r="AM404" s="14" t="s">
        <v>276</v>
      </c>
      <c r="AN404" s="43">
        <v>1.7</v>
      </c>
      <c r="AO404" s="14">
        <f>AF404*100/AH404</f>
        <v>1.6722408026755853</v>
      </c>
      <c r="AP404" s="14" t="s">
        <v>276</v>
      </c>
      <c r="AQ404" s="14" t="s">
        <v>276</v>
      </c>
      <c r="AR404" s="8" t="s">
        <v>268</v>
      </c>
      <c r="AS404" s="14" t="s">
        <v>276</v>
      </c>
      <c r="AT404" s="14">
        <f>AK404/AO404</f>
        <v>0.93730407523510972</v>
      </c>
      <c r="AU404" s="14" t="s">
        <v>276</v>
      </c>
      <c r="AV404" s="14" t="s">
        <v>276</v>
      </c>
      <c r="AW404" s="8">
        <v>0.84</v>
      </c>
      <c r="AX404" s="8" t="s">
        <v>282</v>
      </c>
      <c r="AY404" s="8" t="s">
        <v>276</v>
      </c>
      <c r="AZ404" s="8" t="s">
        <v>276</v>
      </c>
      <c r="BA404" s="8" t="s">
        <v>276</v>
      </c>
      <c r="BB404" s="8" t="s">
        <v>276</v>
      </c>
      <c r="BC404" s="9" t="s">
        <v>4050</v>
      </c>
      <c r="BD404" s="9"/>
      <c r="BE404" s="33" t="s">
        <v>100</v>
      </c>
      <c r="BF404" s="33" t="s">
        <v>98</v>
      </c>
    </row>
    <row r="405" spans="1:58" s="87" customFormat="1" ht="117" x14ac:dyDescent="0.3">
      <c r="A405" s="72">
        <v>645</v>
      </c>
      <c r="B405" s="72" t="s">
        <v>4041</v>
      </c>
      <c r="C405" s="72" t="s">
        <v>75</v>
      </c>
      <c r="D405" s="265" t="s">
        <v>4051</v>
      </c>
      <c r="E405" s="72" t="s">
        <v>39</v>
      </c>
      <c r="F405" s="73" t="s">
        <v>4043</v>
      </c>
      <c r="G405" s="73" t="s">
        <v>4044</v>
      </c>
      <c r="H405" s="72" t="s">
        <v>225</v>
      </c>
      <c r="I405" s="72" t="s">
        <v>98</v>
      </c>
      <c r="J405" s="73" t="s">
        <v>23</v>
      </c>
      <c r="K405" s="73" t="s">
        <v>4045</v>
      </c>
      <c r="L405" s="73" t="s">
        <v>276</v>
      </c>
      <c r="M405" s="72" t="s">
        <v>14</v>
      </c>
      <c r="N405" s="84" t="s">
        <v>98</v>
      </c>
      <c r="O405" s="85" t="s">
        <v>208</v>
      </c>
      <c r="P405" s="88">
        <v>39472</v>
      </c>
      <c r="Q405" s="73" t="s">
        <v>276</v>
      </c>
      <c r="R405" s="73" t="s">
        <v>4046</v>
      </c>
      <c r="S405" s="73" t="s">
        <v>4047</v>
      </c>
      <c r="T405" s="73" t="s">
        <v>276</v>
      </c>
      <c r="U405" s="74">
        <v>1276</v>
      </c>
      <c r="V405" s="267">
        <v>1196</v>
      </c>
      <c r="W405" s="72" t="s">
        <v>276</v>
      </c>
      <c r="X405" s="72" t="s">
        <v>276</v>
      </c>
      <c r="Y405" s="307">
        <v>3.4000000000000002E-2</v>
      </c>
      <c r="Z405" s="72" t="s">
        <v>4048</v>
      </c>
      <c r="AA405" s="307">
        <v>5.2999999999999999E-2</v>
      </c>
      <c r="AB405" s="72" t="s">
        <v>4048</v>
      </c>
      <c r="AC405" s="73" t="s">
        <v>4052</v>
      </c>
      <c r="AD405" s="73" t="s">
        <v>689</v>
      </c>
      <c r="AE405" s="72">
        <v>46</v>
      </c>
      <c r="AF405" s="72">
        <v>45</v>
      </c>
      <c r="AG405" s="74">
        <f>U405</f>
        <v>1276</v>
      </c>
      <c r="AH405" s="74">
        <f>V405</f>
        <v>1196</v>
      </c>
      <c r="AI405" s="74" t="s">
        <v>292</v>
      </c>
      <c r="AJ405" s="93">
        <v>3.6</v>
      </c>
      <c r="AK405" s="76">
        <f>AE405*100/AG405</f>
        <v>3.6050156739811912</v>
      </c>
      <c r="AL405" s="76" t="s">
        <v>276</v>
      </c>
      <c r="AM405" s="76" t="s">
        <v>276</v>
      </c>
      <c r="AN405" s="93">
        <v>3.8</v>
      </c>
      <c r="AO405" s="76">
        <f>AF405*100/AH405</f>
        <v>3.7625418060200668</v>
      </c>
      <c r="AP405" s="76" t="s">
        <v>276</v>
      </c>
      <c r="AQ405" s="76" t="s">
        <v>276</v>
      </c>
      <c r="AR405" s="72" t="s">
        <v>268</v>
      </c>
      <c r="AS405" s="76" t="s">
        <v>276</v>
      </c>
      <c r="AT405" s="76">
        <f>AK405/AO405</f>
        <v>0.95813305468477883</v>
      </c>
      <c r="AU405" s="76" t="s">
        <v>276</v>
      </c>
      <c r="AV405" s="76" t="s">
        <v>276</v>
      </c>
      <c r="AW405" s="72">
        <v>0.83</v>
      </c>
      <c r="AX405" s="72" t="s">
        <v>282</v>
      </c>
      <c r="AY405" s="72" t="s">
        <v>276</v>
      </c>
      <c r="AZ405" s="72" t="s">
        <v>276</v>
      </c>
      <c r="BA405" s="72" t="s">
        <v>276</v>
      </c>
      <c r="BB405" s="72" t="s">
        <v>276</v>
      </c>
      <c r="BC405" s="73" t="s">
        <v>4053</v>
      </c>
      <c r="BD405" s="73"/>
      <c r="BE405" s="33" t="s">
        <v>100</v>
      </c>
      <c r="BF405" s="33" t="s">
        <v>98</v>
      </c>
    </row>
    <row r="406" spans="1:58" s="7" customFormat="1" ht="117" x14ac:dyDescent="0.3">
      <c r="A406" s="8">
        <v>643</v>
      </c>
      <c r="B406" s="8" t="s">
        <v>4054</v>
      </c>
      <c r="C406" s="8" t="s">
        <v>75</v>
      </c>
      <c r="D406" s="10" t="s">
        <v>4055</v>
      </c>
      <c r="E406" s="8" t="s">
        <v>39</v>
      </c>
      <c r="F406" s="9" t="s">
        <v>4043</v>
      </c>
      <c r="G406" s="9" t="s">
        <v>4044</v>
      </c>
      <c r="H406" s="8" t="s">
        <v>225</v>
      </c>
      <c r="I406" s="8" t="s">
        <v>98</v>
      </c>
      <c r="J406" s="9" t="s">
        <v>24</v>
      </c>
      <c r="K406" s="9" t="s">
        <v>4056</v>
      </c>
      <c r="L406" s="9" t="s">
        <v>276</v>
      </c>
      <c r="M406" s="8" t="s">
        <v>14</v>
      </c>
      <c r="N406" s="11" t="s">
        <v>98</v>
      </c>
      <c r="O406" s="12" t="s">
        <v>208</v>
      </c>
      <c r="P406" s="41">
        <v>41409</v>
      </c>
      <c r="Q406" s="46" t="s">
        <v>4057</v>
      </c>
      <c r="R406" s="9" t="s">
        <v>4058</v>
      </c>
      <c r="S406" s="9" t="s">
        <v>4058</v>
      </c>
      <c r="T406" s="9">
        <v>5</v>
      </c>
      <c r="U406" s="13">
        <v>1264</v>
      </c>
      <c r="V406" s="34">
        <v>1186</v>
      </c>
      <c r="W406" s="8" t="s">
        <v>276</v>
      </c>
      <c r="X406" s="8" t="s">
        <v>276</v>
      </c>
      <c r="Y406" s="49">
        <v>1</v>
      </c>
      <c r="Z406" s="8" t="s">
        <v>4059</v>
      </c>
      <c r="AA406" s="49">
        <v>0</v>
      </c>
      <c r="AB406" s="8" t="s">
        <v>98</v>
      </c>
      <c r="AC406" s="9" t="s">
        <v>4060</v>
      </c>
      <c r="AD406" s="9" t="s">
        <v>4061</v>
      </c>
      <c r="AE406" s="8">
        <v>59</v>
      </c>
      <c r="AF406" s="8">
        <v>55</v>
      </c>
      <c r="AG406" s="13">
        <v>10875</v>
      </c>
      <c r="AH406" s="13">
        <v>10104</v>
      </c>
      <c r="AI406" s="38" t="s">
        <v>1019</v>
      </c>
      <c r="AJ406" s="49">
        <v>543</v>
      </c>
      <c r="AK406" s="14">
        <f>AE406*100000/AG406</f>
        <v>542.52873563218395</v>
      </c>
      <c r="AL406" s="49">
        <v>413</v>
      </c>
      <c r="AM406" s="49">
        <v>700</v>
      </c>
      <c r="AN406" s="49">
        <v>544</v>
      </c>
      <c r="AO406" s="14">
        <f>AF406*100000/AH406</f>
        <v>544.33887569279489</v>
      </c>
      <c r="AP406" s="49">
        <v>410</v>
      </c>
      <c r="AQ406" s="49">
        <v>709</v>
      </c>
      <c r="AR406" s="8" t="s">
        <v>270</v>
      </c>
      <c r="AS406" s="31">
        <v>0.99299999999999999</v>
      </c>
      <c r="AT406" s="14" t="s">
        <v>98</v>
      </c>
      <c r="AU406" s="31">
        <v>0.68799999999999994</v>
      </c>
      <c r="AV406" s="31">
        <v>1.4330000000000001</v>
      </c>
      <c r="AW406" s="8" t="s">
        <v>4062</v>
      </c>
      <c r="AX406" s="8" t="s">
        <v>282</v>
      </c>
      <c r="AY406" s="8" t="s">
        <v>276</v>
      </c>
      <c r="AZ406" s="8" t="s">
        <v>276</v>
      </c>
      <c r="BA406" s="8" t="s">
        <v>276</v>
      </c>
      <c r="BB406" s="8" t="s">
        <v>276</v>
      </c>
      <c r="BC406" s="9" t="s">
        <v>4063</v>
      </c>
      <c r="BD406" s="9" t="s">
        <v>4064</v>
      </c>
      <c r="BE406" s="33" t="s">
        <v>99</v>
      </c>
      <c r="BF406" s="33" t="s">
        <v>11162</v>
      </c>
    </row>
    <row r="407" spans="1:58" s="7" customFormat="1" ht="91" x14ac:dyDescent="0.3">
      <c r="A407" s="8">
        <v>643</v>
      </c>
      <c r="B407" s="8" t="s">
        <v>4054</v>
      </c>
      <c r="C407" s="8" t="s">
        <v>75</v>
      </c>
      <c r="D407" s="10" t="s">
        <v>4065</v>
      </c>
      <c r="E407" s="8" t="s">
        <v>39</v>
      </c>
      <c r="F407" s="9" t="s">
        <v>4043</v>
      </c>
      <c r="G407" s="9" t="s">
        <v>4044</v>
      </c>
      <c r="H407" s="8" t="s">
        <v>225</v>
      </c>
      <c r="I407" s="8" t="s">
        <v>98</v>
      </c>
      <c r="J407" s="9" t="s">
        <v>24</v>
      </c>
      <c r="K407" s="9" t="s">
        <v>4056</v>
      </c>
      <c r="L407" s="9" t="s">
        <v>276</v>
      </c>
      <c r="M407" s="8" t="s">
        <v>14</v>
      </c>
      <c r="N407" s="11" t="s">
        <v>98</v>
      </c>
      <c r="O407" s="12" t="s">
        <v>208</v>
      </c>
      <c r="P407" s="41">
        <v>41409</v>
      </c>
      <c r="Q407" s="9" t="s">
        <v>4057</v>
      </c>
      <c r="R407" s="9" t="s">
        <v>4058</v>
      </c>
      <c r="S407" s="9" t="s">
        <v>4058</v>
      </c>
      <c r="T407" s="9">
        <v>5</v>
      </c>
      <c r="U407" s="13">
        <v>1264</v>
      </c>
      <c r="V407" s="34">
        <v>1186</v>
      </c>
      <c r="W407" s="8" t="s">
        <v>276</v>
      </c>
      <c r="X407" s="8" t="s">
        <v>276</v>
      </c>
      <c r="Y407" s="49">
        <v>1</v>
      </c>
      <c r="Z407" s="8" t="s">
        <v>4059</v>
      </c>
      <c r="AA407" s="49">
        <v>0</v>
      </c>
      <c r="AB407" s="8" t="s">
        <v>98</v>
      </c>
      <c r="AC407" s="9" t="s">
        <v>4060</v>
      </c>
      <c r="AD407" s="9" t="s">
        <v>4061</v>
      </c>
      <c r="AE407" s="8">
        <v>59</v>
      </c>
      <c r="AF407" s="8">
        <v>55</v>
      </c>
      <c r="AG407" s="13">
        <v>10875</v>
      </c>
      <c r="AH407" s="13">
        <v>10104</v>
      </c>
      <c r="AI407" s="38" t="s">
        <v>1019</v>
      </c>
      <c r="AJ407" s="49">
        <v>543</v>
      </c>
      <c r="AK407" s="14">
        <f>AE407*100000/AG407</f>
        <v>542.52873563218395</v>
      </c>
      <c r="AL407" s="49">
        <v>413</v>
      </c>
      <c r="AM407" s="49">
        <v>700</v>
      </c>
      <c r="AN407" s="49">
        <v>544</v>
      </c>
      <c r="AO407" s="14">
        <f>AF407*100000/AH407</f>
        <v>544.33887569279489</v>
      </c>
      <c r="AP407" s="49">
        <v>410</v>
      </c>
      <c r="AQ407" s="49">
        <v>709</v>
      </c>
      <c r="AR407" s="8" t="s">
        <v>269</v>
      </c>
      <c r="AS407" s="31" t="s">
        <v>276</v>
      </c>
      <c r="AT407" s="14">
        <f>AK407/AO407</f>
        <v>0.99667460815047038</v>
      </c>
      <c r="AU407" s="31" t="s">
        <v>276</v>
      </c>
      <c r="AV407" s="31" t="s">
        <v>276</v>
      </c>
      <c r="AW407" s="8" t="s">
        <v>4062</v>
      </c>
      <c r="AX407" s="8" t="s">
        <v>282</v>
      </c>
      <c r="AY407" s="8" t="s">
        <v>276</v>
      </c>
      <c r="AZ407" s="8" t="s">
        <v>276</v>
      </c>
      <c r="BA407" s="8" t="s">
        <v>276</v>
      </c>
      <c r="BB407" s="8" t="s">
        <v>276</v>
      </c>
      <c r="BC407" s="9" t="s">
        <v>4066</v>
      </c>
      <c r="BD407" s="9" t="s">
        <v>4064</v>
      </c>
      <c r="BE407" s="33" t="s">
        <v>99</v>
      </c>
      <c r="BF407" s="33" t="s">
        <v>11162</v>
      </c>
    </row>
    <row r="408" spans="1:58" s="7" customFormat="1" ht="65" x14ac:dyDescent="0.3">
      <c r="A408" s="8">
        <v>643</v>
      </c>
      <c r="B408" s="8" t="s">
        <v>4054</v>
      </c>
      <c r="C408" s="8" t="s">
        <v>75</v>
      </c>
      <c r="D408" s="10" t="s">
        <v>4067</v>
      </c>
      <c r="E408" s="8" t="s">
        <v>39</v>
      </c>
      <c r="F408" s="9" t="s">
        <v>4043</v>
      </c>
      <c r="G408" s="9" t="s">
        <v>4044</v>
      </c>
      <c r="H408" s="8" t="s">
        <v>225</v>
      </c>
      <c r="I408" s="8" t="s">
        <v>98</v>
      </c>
      <c r="J408" s="9" t="s">
        <v>24</v>
      </c>
      <c r="K408" s="9" t="s">
        <v>4056</v>
      </c>
      <c r="L408" s="9" t="s">
        <v>276</v>
      </c>
      <c r="M408" s="8" t="s">
        <v>14</v>
      </c>
      <c r="N408" s="11" t="s">
        <v>98</v>
      </c>
      <c r="O408" s="12" t="s">
        <v>208</v>
      </c>
      <c r="P408" s="41">
        <v>41409</v>
      </c>
      <c r="Q408" s="46" t="s">
        <v>4057</v>
      </c>
      <c r="R408" s="9" t="s">
        <v>4058</v>
      </c>
      <c r="S408" s="9" t="s">
        <v>4058</v>
      </c>
      <c r="T408" s="9">
        <v>5</v>
      </c>
      <c r="U408" s="13">
        <v>1264</v>
      </c>
      <c r="V408" s="34">
        <v>1186</v>
      </c>
      <c r="W408" s="8" t="s">
        <v>276</v>
      </c>
      <c r="X408" s="8" t="s">
        <v>276</v>
      </c>
      <c r="Y408" s="49">
        <v>1</v>
      </c>
      <c r="Z408" s="8" t="s">
        <v>4059</v>
      </c>
      <c r="AA408" s="49">
        <v>0</v>
      </c>
      <c r="AB408" s="8" t="s">
        <v>98</v>
      </c>
      <c r="AC408" s="9" t="s">
        <v>4060</v>
      </c>
      <c r="AD408" s="9" t="s">
        <v>689</v>
      </c>
      <c r="AE408" s="8">
        <v>59</v>
      </c>
      <c r="AF408" s="8">
        <v>55</v>
      </c>
      <c r="AG408" s="13">
        <f>U408</f>
        <v>1264</v>
      </c>
      <c r="AH408" s="13">
        <f>V408</f>
        <v>1186</v>
      </c>
      <c r="AI408" s="38" t="s">
        <v>4068</v>
      </c>
      <c r="AJ408" s="14">
        <v>4.66</v>
      </c>
      <c r="AK408" s="14">
        <f>AE408*100/AG408</f>
        <v>4.6677215189873413</v>
      </c>
      <c r="AL408" s="49" t="s">
        <v>276</v>
      </c>
      <c r="AM408" s="49" t="s">
        <v>276</v>
      </c>
      <c r="AN408" s="14">
        <v>4.6399999999999997</v>
      </c>
      <c r="AO408" s="14">
        <f>AF408*100/AH408</f>
        <v>4.6374367622259696</v>
      </c>
      <c r="AP408" s="49" t="s">
        <v>276</v>
      </c>
      <c r="AQ408" s="49" t="s">
        <v>276</v>
      </c>
      <c r="AR408" s="8" t="s">
        <v>268</v>
      </c>
      <c r="AS408" s="31" t="s">
        <v>276</v>
      </c>
      <c r="AT408" s="14">
        <f>AK408/AO408</f>
        <v>1.006530494821634</v>
      </c>
      <c r="AU408" s="31" t="s">
        <v>276</v>
      </c>
      <c r="AV408" s="31" t="s">
        <v>276</v>
      </c>
      <c r="AW408" s="8" t="s">
        <v>4062</v>
      </c>
      <c r="AX408" s="8" t="s">
        <v>282</v>
      </c>
      <c r="AY408" s="8" t="s">
        <v>276</v>
      </c>
      <c r="AZ408" s="8" t="s">
        <v>276</v>
      </c>
      <c r="BA408" s="8" t="s">
        <v>276</v>
      </c>
      <c r="BB408" s="8" t="s">
        <v>276</v>
      </c>
      <c r="BC408" s="9" t="s">
        <v>4069</v>
      </c>
      <c r="BD408" s="9" t="s">
        <v>4064</v>
      </c>
      <c r="BE408" s="33" t="s">
        <v>99</v>
      </c>
      <c r="BF408" s="33" t="s">
        <v>11162</v>
      </c>
    </row>
    <row r="409" spans="1:58" s="87" customFormat="1" ht="78" x14ac:dyDescent="0.3">
      <c r="A409" s="72">
        <v>643</v>
      </c>
      <c r="B409" s="72" t="s">
        <v>4054</v>
      </c>
      <c r="C409" s="72" t="s">
        <v>75</v>
      </c>
      <c r="D409" s="265" t="s">
        <v>4070</v>
      </c>
      <c r="E409" s="72" t="s">
        <v>39</v>
      </c>
      <c r="F409" s="73" t="s">
        <v>4043</v>
      </c>
      <c r="G409" s="73" t="s">
        <v>4044</v>
      </c>
      <c r="H409" s="72" t="s">
        <v>225</v>
      </c>
      <c r="I409" s="72" t="s">
        <v>98</v>
      </c>
      <c r="J409" s="73" t="s">
        <v>23</v>
      </c>
      <c r="K409" s="73" t="s">
        <v>4056</v>
      </c>
      <c r="L409" s="73" t="s">
        <v>276</v>
      </c>
      <c r="M409" s="72" t="s">
        <v>14</v>
      </c>
      <c r="N409" s="84" t="s">
        <v>98</v>
      </c>
      <c r="O409" s="85" t="s">
        <v>208</v>
      </c>
      <c r="P409" s="88">
        <v>41409</v>
      </c>
      <c r="Q409" s="308" t="s">
        <v>4057</v>
      </c>
      <c r="R409" s="73" t="s">
        <v>4058</v>
      </c>
      <c r="S409" s="73" t="s">
        <v>4058</v>
      </c>
      <c r="T409" s="73">
        <v>5</v>
      </c>
      <c r="U409" s="74">
        <v>1264</v>
      </c>
      <c r="V409" s="267">
        <v>1186</v>
      </c>
      <c r="W409" s="72" t="s">
        <v>276</v>
      </c>
      <c r="X409" s="72" t="s">
        <v>276</v>
      </c>
      <c r="Y409" s="309">
        <v>0</v>
      </c>
      <c r="Z409" s="72" t="s">
        <v>98</v>
      </c>
      <c r="AA409" s="309">
        <v>0</v>
      </c>
      <c r="AB409" s="72" t="s">
        <v>98</v>
      </c>
      <c r="AC409" s="73" t="s">
        <v>4071</v>
      </c>
      <c r="AD409" s="73" t="s">
        <v>4061</v>
      </c>
      <c r="AE409" s="72">
        <v>180</v>
      </c>
      <c r="AF409" s="72">
        <v>176</v>
      </c>
      <c r="AG409" s="74">
        <v>10875</v>
      </c>
      <c r="AH409" s="74">
        <v>10104</v>
      </c>
      <c r="AI409" s="75" t="s">
        <v>1019</v>
      </c>
      <c r="AJ409" s="74">
        <v>1655</v>
      </c>
      <c r="AK409" s="310">
        <f>AE409*100000/AG409</f>
        <v>1655.1724137931035</v>
      </c>
      <c r="AL409" s="74">
        <v>1422</v>
      </c>
      <c r="AM409" s="74">
        <v>1916</v>
      </c>
      <c r="AN409" s="74">
        <v>1742</v>
      </c>
      <c r="AO409" s="310">
        <f>AF409*100000/AH409</f>
        <v>1741.8844022169437</v>
      </c>
      <c r="AP409" s="74">
        <v>1494</v>
      </c>
      <c r="AQ409" s="74">
        <v>2019</v>
      </c>
      <c r="AR409" s="72" t="s">
        <v>270</v>
      </c>
      <c r="AS409" s="86">
        <v>0.94699999999999995</v>
      </c>
      <c r="AT409" s="76" t="s">
        <v>98</v>
      </c>
      <c r="AU409" s="86">
        <v>0.76900000000000002</v>
      </c>
      <c r="AV409" s="86">
        <v>1.165</v>
      </c>
      <c r="AW409" s="72" t="s">
        <v>4062</v>
      </c>
      <c r="AX409" s="72" t="s">
        <v>282</v>
      </c>
      <c r="AY409" s="72" t="s">
        <v>276</v>
      </c>
      <c r="AZ409" s="72" t="s">
        <v>276</v>
      </c>
      <c r="BA409" s="72" t="s">
        <v>276</v>
      </c>
      <c r="BB409" s="72" t="s">
        <v>276</v>
      </c>
      <c r="BC409" s="73" t="s">
        <v>4072</v>
      </c>
      <c r="BD409" s="73" t="s">
        <v>4064</v>
      </c>
      <c r="BE409" s="33" t="s">
        <v>100</v>
      </c>
      <c r="BF409" s="33" t="s">
        <v>98</v>
      </c>
    </row>
    <row r="410" spans="1:58" s="87" customFormat="1" ht="78" x14ac:dyDescent="0.3">
      <c r="A410" s="72">
        <v>643</v>
      </c>
      <c r="B410" s="72" t="s">
        <v>4054</v>
      </c>
      <c r="C410" s="72" t="s">
        <v>75</v>
      </c>
      <c r="D410" s="265" t="s">
        <v>4073</v>
      </c>
      <c r="E410" s="72" t="s">
        <v>39</v>
      </c>
      <c r="F410" s="73" t="s">
        <v>4043</v>
      </c>
      <c r="G410" s="73" t="s">
        <v>4044</v>
      </c>
      <c r="H410" s="72" t="s">
        <v>225</v>
      </c>
      <c r="I410" s="72" t="s">
        <v>98</v>
      </c>
      <c r="J410" s="73" t="s">
        <v>23</v>
      </c>
      <c r="K410" s="73" t="s">
        <v>4056</v>
      </c>
      <c r="L410" s="73" t="s">
        <v>276</v>
      </c>
      <c r="M410" s="72" t="s">
        <v>14</v>
      </c>
      <c r="N410" s="84" t="s">
        <v>98</v>
      </c>
      <c r="O410" s="85" t="s">
        <v>208</v>
      </c>
      <c r="P410" s="88">
        <v>41409</v>
      </c>
      <c r="Q410" s="308" t="s">
        <v>4057</v>
      </c>
      <c r="R410" s="73" t="s">
        <v>4058</v>
      </c>
      <c r="S410" s="73" t="s">
        <v>4058</v>
      </c>
      <c r="T410" s="73">
        <v>5</v>
      </c>
      <c r="U410" s="74">
        <v>1264</v>
      </c>
      <c r="V410" s="267">
        <v>1186</v>
      </c>
      <c r="W410" s="72" t="s">
        <v>276</v>
      </c>
      <c r="X410" s="72" t="s">
        <v>276</v>
      </c>
      <c r="Y410" s="309">
        <v>0</v>
      </c>
      <c r="Z410" s="72" t="s">
        <v>98</v>
      </c>
      <c r="AA410" s="309">
        <v>0</v>
      </c>
      <c r="AB410" s="72" t="s">
        <v>98</v>
      </c>
      <c r="AC410" s="73" t="s">
        <v>4071</v>
      </c>
      <c r="AD410" s="73" t="s">
        <v>4061</v>
      </c>
      <c r="AE410" s="72">
        <v>180</v>
      </c>
      <c r="AF410" s="72">
        <v>176</v>
      </c>
      <c r="AG410" s="74">
        <v>10875</v>
      </c>
      <c r="AH410" s="74">
        <v>10104</v>
      </c>
      <c r="AI410" s="75" t="s">
        <v>1019</v>
      </c>
      <c r="AJ410" s="74">
        <v>1655</v>
      </c>
      <c r="AK410" s="310">
        <f>AE410*100000/AG410</f>
        <v>1655.1724137931035</v>
      </c>
      <c r="AL410" s="74">
        <v>1422</v>
      </c>
      <c r="AM410" s="74">
        <v>1916</v>
      </c>
      <c r="AN410" s="74">
        <v>1742</v>
      </c>
      <c r="AO410" s="310">
        <f>AF410*100000/AH410</f>
        <v>1741.8844022169437</v>
      </c>
      <c r="AP410" s="74">
        <v>1494</v>
      </c>
      <c r="AQ410" s="74">
        <v>2019</v>
      </c>
      <c r="AR410" s="72" t="s">
        <v>269</v>
      </c>
      <c r="AS410" s="76" t="s">
        <v>276</v>
      </c>
      <c r="AT410" s="76">
        <f>AK410/AO410</f>
        <v>0.95021943573667722</v>
      </c>
      <c r="AU410" s="76" t="s">
        <v>276</v>
      </c>
      <c r="AV410" s="76" t="s">
        <v>276</v>
      </c>
      <c r="AW410" s="72" t="s">
        <v>4062</v>
      </c>
      <c r="AX410" s="72" t="s">
        <v>282</v>
      </c>
      <c r="AY410" s="72" t="s">
        <v>276</v>
      </c>
      <c r="AZ410" s="72" t="s">
        <v>276</v>
      </c>
      <c r="BA410" s="72" t="s">
        <v>276</v>
      </c>
      <c r="BB410" s="72" t="s">
        <v>276</v>
      </c>
      <c r="BC410" s="73" t="s">
        <v>4074</v>
      </c>
      <c r="BD410" s="73" t="s">
        <v>4064</v>
      </c>
      <c r="BE410" s="33" t="s">
        <v>100</v>
      </c>
      <c r="BF410" s="33" t="s">
        <v>98</v>
      </c>
    </row>
    <row r="411" spans="1:58" s="87" customFormat="1" ht="65" x14ac:dyDescent="0.3">
      <c r="A411" s="72">
        <v>643</v>
      </c>
      <c r="B411" s="72" t="s">
        <v>4054</v>
      </c>
      <c r="C411" s="72" t="s">
        <v>75</v>
      </c>
      <c r="D411" s="265" t="s">
        <v>4075</v>
      </c>
      <c r="E411" s="72" t="s">
        <v>39</v>
      </c>
      <c r="F411" s="73" t="s">
        <v>4043</v>
      </c>
      <c r="G411" s="73" t="s">
        <v>4044</v>
      </c>
      <c r="H411" s="72" t="s">
        <v>225</v>
      </c>
      <c r="I411" s="72" t="s">
        <v>98</v>
      </c>
      <c r="J411" s="73" t="s">
        <v>23</v>
      </c>
      <c r="K411" s="73" t="s">
        <v>4056</v>
      </c>
      <c r="L411" s="73" t="s">
        <v>276</v>
      </c>
      <c r="M411" s="72" t="s">
        <v>14</v>
      </c>
      <c r="N411" s="84" t="s">
        <v>98</v>
      </c>
      <c r="O411" s="85" t="s">
        <v>208</v>
      </c>
      <c r="P411" s="88">
        <v>41409</v>
      </c>
      <c r="Q411" s="308" t="s">
        <v>4057</v>
      </c>
      <c r="R411" s="73" t="s">
        <v>4058</v>
      </c>
      <c r="S411" s="73" t="s">
        <v>4058</v>
      </c>
      <c r="T411" s="73">
        <v>5</v>
      </c>
      <c r="U411" s="74">
        <v>1264</v>
      </c>
      <c r="V411" s="267">
        <v>1186</v>
      </c>
      <c r="W411" s="72" t="s">
        <v>276</v>
      </c>
      <c r="X411" s="72" t="s">
        <v>276</v>
      </c>
      <c r="Y411" s="309">
        <v>0</v>
      </c>
      <c r="Z411" s="72" t="s">
        <v>98</v>
      </c>
      <c r="AA411" s="309">
        <v>0</v>
      </c>
      <c r="AB411" s="72" t="s">
        <v>98</v>
      </c>
      <c r="AC411" s="73" t="s">
        <v>4071</v>
      </c>
      <c r="AD411" s="73" t="s">
        <v>689</v>
      </c>
      <c r="AE411" s="72">
        <v>180</v>
      </c>
      <c r="AF411" s="72">
        <v>176</v>
      </c>
      <c r="AG411" s="74">
        <f>U411</f>
        <v>1264</v>
      </c>
      <c r="AH411" s="74">
        <f>V411</f>
        <v>1186</v>
      </c>
      <c r="AI411" s="75" t="s">
        <v>4068</v>
      </c>
      <c r="AJ411" s="76">
        <v>14.24</v>
      </c>
      <c r="AK411" s="76">
        <f>AE411*100/AG411</f>
        <v>14.240506329113924</v>
      </c>
      <c r="AL411" s="76" t="s">
        <v>276</v>
      </c>
      <c r="AM411" s="76" t="s">
        <v>276</v>
      </c>
      <c r="AN411" s="76">
        <v>14.84</v>
      </c>
      <c r="AO411" s="76">
        <f>AF411*100/AH411</f>
        <v>14.839797639123104</v>
      </c>
      <c r="AP411" s="76" t="s">
        <v>276</v>
      </c>
      <c r="AQ411" s="76" t="s">
        <v>276</v>
      </c>
      <c r="AR411" s="72" t="s">
        <v>268</v>
      </c>
      <c r="AS411" s="76" t="s">
        <v>276</v>
      </c>
      <c r="AT411" s="76">
        <f>AK411/AO411</f>
        <v>0.95961593785960864</v>
      </c>
      <c r="AU411" s="76" t="s">
        <v>276</v>
      </c>
      <c r="AV411" s="76" t="s">
        <v>276</v>
      </c>
      <c r="AW411" s="72" t="s">
        <v>4062</v>
      </c>
      <c r="AX411" s="72" t="s">
        <v>282</v>
      </c>
      <c r="AY411" s="72" t="s">
        <v>276</v>
      </c>
      <c r="AZ411" s="72" t="s">
        <v>276</v>
      </c>
      <c r="BA411" s="72" t="s">
        <v>276</v>
      </c>
      <c r="BB411" s="72" t="s">
        <v>276</v>
      </c>
      <c r="BC411" s="73" t="s">
        <v>4069</v>
      </c>
      <c r="BD411" s="73" t="s">
        <v>4064</v>
      </c>
      <c r="BE411" s="33" t="s">
        <v>100</v>
      </c>
      <c r="BF411" s="33" t="s">
        <v>98</v>
      </c>
    </row>
    <row r="412" spans="1:58" s="208" customFormat="1" ht="91" x14ac:dyDescent="0.3">
      <c r="A412" s="112">
        <v>433</v>
      </c>
      <c r="B412" s="112" t="s">
        <v>4163</v>
      </c>
      <c r="C412" s="112" t="s">
        <v>74</v>
      </c>
      <c r="D412" s="113" t="s">
        <v>4164</v>
      </c>
      <c r="E412" s="112" t="s">
        <v>39</v>
      </c>
      <c r="F412" s="112" t="s">
        <v>143</v>
      </c>
      <c r="G412" s="112" t="s">
        <v>225</v>
      </c>
      <c r="H412" s="112" t="s">
        <v>125</v>
      </c>
      <c r="I412" s="112" t="s">
        <v>114</v>
      </c>
      <c r="J412" s="113" t="s">
        <v>23</v>
      </c>
      <c r="K412" s="113" t="s">
        <v>4165</v>
      </c>
      <c r="L412" s="113" t="s">
        <v>4166</v>
      </c>
      <c r="M412" s="112" t="s">
        <v>14</v>
      </c>
      <c r="N412" s="204" t="s">
        <v>98</v>
      </c>
      <c r="O412" s="117" t="s">
        <v>207</v>
      </c>
      <c r="P412" s="301" t="s">
        <v>276</v>
      </c>
      <c r="Q412" s="328" t="s">
        <v>705</v>
      </c>
      <c r="R412" s="113" t="s">
        <v>276</v>
      </c>
      <c r="S412" s="113" t="s">
        <v>276</v>
      </c>
      <c r="T412" s="113">
        <v>1</v>
      </c>
      <c r="U412" s="118">
        <v>2029</v>
      </c>
      <c r="V412" s="119">
        <v>2023</v>
      </c>
      <c r="W412" s="112" t="s">
        <v>276</v>
      </c>
      <c r="X412" s="112" t="s">
        <v>276</v>
      </c>
      <c r="Y412" s="112">
        <v>0</v>
      </c>
      <c r="Z412" s="113" t="s">
        <v>276</v>
      </c>
      <c r="AA412" s="112">
        <v>0</v>
      </c>
      <c r="AB412" s="113" t="s">
        <v>276</v>
      </c>
      <c r="AC412" s="113" t="s">
        <v>4167</v>
      </c>
      <c r="AD412" s="113" t="s">
        <v>866</v>
      </c>
      <c r="AE412" s="112">
        <v>5</v>
      </c>
      <c r="AF412" s="112">
        <v>4</v>
      </c>
      <c r="AG412" s="118">
        <v>2029</v>
      </c>
      <c r="AH412" s="118">
        <v>2023</v>
      </c>
      <c r="AI412" s="119" t="s">
        <v>2047</v>
      </c>
      <c r="AJ412" s="121" t="s">
        <v>276</v>
      </c>
      <c r="AK412" s="207">
        <f t="shared" ref="AK412:AK459" si="49">AE412*1000/AG412</f>
        <v>2.4642681123706258</v>
      </c>
      <c r="AL412" s="121" t="s">
        <v>276</v>
      </c>
      <c r="AM412" s="121" t="s">
        <v>276</v>
      </c>
      <c r="AN412" s="121" t="s">
        <v>276</v>
      </c>
      <c r="AO412" s="207">
        <f t="shared" ref="AO412:AO459" si="50">AF412*1000/AH412</f>
        <v>1.977261492832427</v>
      </c>
      <c r="AP412" s="121" t="s">
        <v>276</v>
      </c>
      <c r="AQ412" s="121" t="s">
        <v>276</v>
      </c>
      <c r="AR412" s="112" t="s">
        <v>268</v>
      </c>
      <c r="AS412" s="121" t="s">
        <v>276</v>
      </c>
      <c r="AT412" s="121">
        <f t="shared" ref="AT412:AT421" si="51">AK412/AO412</f>
        <v>1.2463035978314441</v>
      </c>
      <c r="AU412" s="121" t="s">
        <v>276</v>
      </c>
      <c r="AV412" s="121" t="s">
        <v>276</v>
      </c>
      <c r="AW412" s="112" t="s">
        <v>276</v>
      </c>
      <c r="AX412" s="112" t="s">
        <v>282</v>
      </c>
      <c r="AY412" s="112" t="s">
        <v>276</v>
      </c>
      <c r="AZ412" s="112" t="s">
        <v>276</v>
      </c>
      <c r="BA412" s="112" t="s">
        <v>276</v>
      </c>
      <c r="BB412" s="112" t="s">
        <v>276</v>
      </c>
      <c r="BC412" s="113" t="s">
        <v>800</v>
      </c>
      <c r="BD412" s="113" t="s">
        <v>4168</v>
      </c>
      <c r="BE412" s="33" t="s">
        <v>100</v>
      </c>
      <c r="BF412" s="33" t="s">
        <v>98</v>
      </c>
    </row>
    <row r="413" spans="1:58" s="208" customFormat="1" ht="91" x14ac:dyDescent="0.3">
      <c r="A413" s="112">
        <v>433</v>
      </c>
      <c r="B413" s="112" t="s">
        <v>4163</v>
      </c>
      <c r="C413" s="112" t="s">
        <v>74</v>
      </c>
      <c r="D413" s="113" t="s">
        <v>4169</v>
      </c>
      <c r="E413" s="112" t="s">
        <v>39</v>
      </c>
      <c r="F413" s="112" t="s">
        <v>143</v>
      </c>
      <c r="G413" s="112" t="s">
        <v>225</v>
      </c>
      <c r="H413" s="112" t="s">
        <v>125</v>
      </c>
      <c r="I413" s="112" t="s">
        <v>114</v>
      </c>
      <c r="J413" s="113" t="s">
        <v>23</v>
      </c>
      <c r="K413" s="113" t="s">
        <v>4165</v>
      </c>
      <c r="L413" s="113" t="s">
        <v>4166</v>
      </c>
      <c r="M413" s="112" t="s">
        <v>14</v>
      </c>
      <c r="N413" s="204" t="s">
        <v>98</v>
      </c>
      <c r="O413" s="117" t="s">
        <v>207</v>
      </c>
      <c r="P413" s="301" t="s">
        <v>276</v>
      </c>
      <c r="Q413" s="328" t="s">
        <v>710</v>
      </c>
      <c r="R413" s="113" t="s">
        <v>276</v>
      </c>
      <c r="S413" s="113" t="s">
        <v>276</v>
      </c>
      <c r="T413" s="113">
        <v>2</v>
      </c>
      <c r="U413" s="118">
        <v>2029</v>
      </c>
      <c r="V413" s="119">
        <v>2023</v>
      </c>
      <c r="W413" s="112" t="s">
        <v>276</v>
      </c>
      <c r="X413" s="112" t="s">
        <v>276</v>
      </c>
      <c r="Y413" s="112">
        <v>0</v>
      </c>
      <c r="Z413" s="113" t="s">
        <v>276</v>
      </c>
      <c r="AA413" s="112">
        <v>0</v>
      </c>
      <c r="AB413" s="113" t="s">
        <v>276</v>
      </c>
      <c r="AC413" s="113" t="s">
        <v>4170</v>
      </c>
      <c r="AD413" s="113" t="s">
        <v>866</v>
      </c>
      <c r="AE413" s="112">
        <v>15</v>
      </c>
      <c r="AF413" s="112">
        <v>16</v>
      </c>
      <c r="AG413" s="118">
        <v>2029</v>
      </c>
      <c r="AH413" s="118">
        <v>2023</v>
      </c>
      <c r="AI413" s="119" t="s">
        <v>2047</v>
      </c>
      <c r="AJ413" s="121" t="s">
        <v>276</v>
      </c>
      <c r="AK413" s="207">
        <f t="shared" si="49"/>
        <v>7.3928043371118779</v>
      </c>
      <c r="AL413" s="121" t="s">
        <v>276</v>
      </c>
      <c r="AM413" s="121" t="s">
        <v>276</v>
      </c>
      <c r="AN413" s="121" t="s">
        <v>276</v>
      </c>
      <c r="AO413" s="207">
        <f t="shared" si="50"/>
        <v>7.9090459713297081</v>
      </c>
      <c r="AP413" s="121" t="s">
        <v>276</v>
      </c>
      <c r="AQ413" s="121" t="s">
        <v>276</v>
      </c>
      <c r="AR413" s="112" t="s">
        <v>268</v>
      </c>
      <c r="AS413" s="121" t="s">
        <v>276</v>
      </c>
      <c r="AT413" s="121">
        <f t="shared" si="51"/>
        <v>0.93472769837358305</v>
      </c>
      <c r="AU413" s="121" t="s">
        <v>276</v>
      </c>
      <c r="AV413" s="121" t="s">
        <v>276</v>
      </c>
      <c r="AW413" s="112" t="s">
        <v>276</v>
      </c>
      <c r="AX413" s="112" t="s">
        <v>282</v>
      </c>
      <c r="AY413" s="112" t="s">
        <v>276</v>
      </c>
      <c r="AZ413" s="112" t="s">
        <v>276</v>
      </c>
      <c r="BA413" s="112" t="s">
        <v>276</v>
      </c>
      <c r="BB413" s="112" t="s">
        <v>276</v>
      </c>
      <c r="BC413" s="113" t="s">
        <v>800</v>
      </c>
      <c r="BD413" s="113" t="s">
        <v>4168</v>
      </c>
      <c r="BE413" s="33" t="s">
        <v>100</v>
      </c>
      <c r="BF413" s="33" t="s">
        <v>98</v>
      </c>
    </row>
    <row r="414" spans="1:58" s="208" customFormat="1" ht="91" x14ac:dyDescent="0.3">
      <c r="A414" s="112">
        <v>433</v>
      </c>
      <c r="B414" s="112" t="s">
        <v>4163</v>
      </c>
      <c r="C414" s="112" t="s">
        <v>74</v>
      </c>
      <c r="D414" s="113" t="s">
        <v>4171</v>
      </c>
      <c r="E414" s="112" t="s">
        <v>39</v>
      </c>
      <c r="F414" s="112" t="s">
        <v>143</v>
      </c>
      <c r="G414" s="112" t="s">
        <v>225</v>
      </c>
      <c r="H414" s="112" t="s">
        <v>125</v>
      </c>
      <c r="I414" s="112" t="s">
        <v>114</v>
      </c>
      <c r="J414" s="113" t="s">
        <v>23</v>
      </c>
      <c r="K414" s="113" t="s">
        <v>4165</v>
      </c>
      <c r="L414" s="113" t="s">
        <v>4166</v>
      </c>
      <c r="M414" s="112" t="s">
        <v>14</v>
      </c>
      <c r="N414" s="204" t="s">
        <v>98</v>
      </c>
      <c r="O414" s="117" t="s">
        <v>207</v>
      </c>
      <c r="P414" s="301" t="s">
        <v>276</v>
      </c>
      <c r="Q414" s="328" t="s">
        <v>686</v>
      </c>
      <c r="R414" s="113" t="s">
        <v>276</v>
      </c>
      <c r="S414" s="113" t="s">
        <v>276</v>
      </c>
      <c r="T414" s="113">
        <v>3</v>
      </c>
      <c r="U414" s="118">
        <v>2029</v>
      </c>
      <c r="V414" s="119">
        <v>2023</v>
      </c>
      <c r="W414" s="112" t="s">
        <v>276</v>
      </c>
      <c r="X414" s="112" t="s">
        <v>276</v>
      </c>
      <c r="Y414" s="112">
        <v>0</v>
      </c>
      <c r="Z414" s="113" t="s">
        <v>276</v>
      </c>
      <c r="AA414" s="112">
        <v>0</v>
      </c>
      <c r="AB414" s="113" t="s">
        <v>276</v>
      </c>
      <c r="AC414" s="113" t="s">
        <v>4172</v>
      </c>
      <c r="AD414" s="113" t="s">
        <v>866</v>
      </c>
      <c r="AE414" s="112">
        <v>27</v>
      </c>
      <c r="AF414" s="112">
        <v>31</v>
      </c>
      <c r="AG414" s="118">
        <v>2029</v>
      </c>
      <c r="AH414" s="118">
        <v>2023</v>
      </c>
      <c r="AI414" s="119" t="s">
        <v>2047</v>
      </c>
      <c r="AJ414" s="121" t="s">
        <v>276</v>
      </c>
      <c r="AK414" s="207">
        <f t="shared" si="49"/>
        <v>13.30704780680138</v>
      </c>
      <c r="AL414" s="121" t="s">
        <v>276</v>
      </c>
      <c r="AM414" s="121" t="s">
        <v>276</v>
      </c>
      <c r="AN414" s="121" t="s">
        <v>276</v>
      </c>
      <c r="AO414" s="207">
        <f t="shared" si="50"/>
        <v>15.32377656945131</v>
      </c>
      <c r="AP414" s="121" t="s">
        <v>276</v>
      </c>
      <c r="AQ414" s="121" t="s">
        <v>276</v>
      </c>
      <c r="AR414" s="112" t="s">
        <v>268</v>
      </c>
      <c r="AS414" s="121" t="s">
        <v>276</v>
      </c>
      <c r="AT414" s="121">
        <f t="shared" si="51"/>
        <v>0.86839218429545784</v>
      </c>
      <c r="AU414" s="121" t="s">
        <v>276</v>
      </c>
      <c r="AV414" s="121" t="s">
        <v>276</v>
      </c>
      <c r="AW414" s="112" t="s">
        <v>276</v>
      </c>
      <c r="AX414" s="112" t="s">
        <v>282</v>
      </c>
      <c r="AY414" s="112" t="s">
        <v>276</v>
      </c>
      <c r="AZ414" s="112" t="s">
        <v>276</v>
      </c>
      <c r="BA414" s="112" t="s">
        <v>276</v>
      </c>
      <c r="BB414" s="112" t="s">
        <v>276</v>
      </c>
      <c r="BC414" s="113" t="s">
        <v>800</v>
      </c>
      <c r="BD414" s="113" t="s">
        <v>4168</v>
      </c>
      <c r="BE414" s="33" t="s">
        <v>100</v>
      </c>
      <c r="BF414" s="33" t="s">
        <v>98</v>
      </c>
    </row>
    <row r="415" spans="1:58" s="208" customFormat="1" ht="91" x14ac:dyDescent="0.3">
      <c r="A415" s="112">
        <v>433</v>
      </c>
      <c r="B415" s="112" t="s">
        <v>4163</v>
      </c>
      <c r="C415" s="112" t="s">
        <v>74</v>
      </c>
      <c r="D415" s="113" t="s">
        <v>4173</v>
      </c>
      <c r="E415" s="112" t="s">
        <v>39</v>
      </c>
      <c r="F415" s="112" t="s">
        <v>143</v>
      </c>
      <c r="G415" s="112" t="s">
        <v>225</v>
      </c>
      <c r="H415" s="112" t="s">
        <v>125</v>
      </c>
      <c r="I415" s="112" t="s">
        <v>114</v>
      </c>
      <c r="J415" s="113" t="s">
        <v>23</v>
      </c>
      <c r="K415" s="113" t="s">
        <v>4165</v>
      </c>
      <c r="L415" s="113" t="s">
        <v>4166</v>
      </c>
      <c r="M415" s="112" t="s">
        <v>14</v>
      </c>
      <c r="N415" s="204" t="s">
        <v>98</v>
      </c>
      <c r="O415" s="117" t="s">
        <v>207</v>
      </c>
      <c r="P415" s="301" t="s">
        <v>276</v>
      </c>
      <c r="Q415" s="328" t="s">
        <v>721</v>
      </c>
      <c r="R415" s="113" t="s">
        <v>276</v>
      </c>
      <c r="S415" s="113" t="s">
        <v>276</v>
      </c>
      <c r="T415" s="113">
        <v>4</v>
      </c>
      <c r="U415" s="118">
        <v>2029</v>
      </c>
      <c r="V415" s="119">
        <v>2023</v>
      </c>
      <c r="W415" s="112" t="s">
        <v>276</v>
      </c>
      <c r="X415" s="112" t="s">
        <v>276</v>
      </c>
      <c r="Y415" s="112">
        <v>0</v>
      </c>
      <c r="Z415" s="113" t="s">
        <v>276</v>
      </c>
      <c r="AA415" s="112">
        <v>0</v>
      </c>
      <c r="AB415" s="113" t="s">
        <v>276</v>
      </c>
      <c r="AC415" s="113" t="s">
        <v>4174</v>
      </c>
      <c r="AD415" s="113" t="s">
        <v>866</v>
      </c>
      <c r="AE415" s="112">
        <v>44</v>
      </c>
      <c r="AF415" s="112">
        <v>48</v>
      </c>
      <c r="AG415" s="118">
        <v>2029</v>
      </c>
      <c r="AH415" s="118">
        <v>2023</v>
      </c>
      <c r="AI415" s="119" t="s">
        <v>2047</v>
      </c>
      <c r="AJ415" s="121" t="s">
        <v>276</v>
      </c>
      <c r="AK415" s="207">
        <f t="shared" si="49"/>
        <v>21.68555938886151</v>
      </c>
      <c r="AL415" s="121" t="s">
        <v>276</v>
      </c>
      <c r="AM415" s="121" t="s">
        <v>276</v>
      </c>
      <c r="AN415" s="121" t="s">
        <v>276</v>
      </c>
      <c r="AO415" s="207">
        <f t="shared" si="50"/>
        <v>23.727137913989125</v>
      </c>
      <c r="AP415" s="121" t="s">
        <v>276</v>
      </c>
      <c r="AQ415" s="121" t="s">
        <v>276</v>
      </c>
      <c r="AR415" s="112" t="s">
        <v>268</v>
      </c>
      <c r="AS415" s="121" t="s">
        <v>276</v>
      </c>
      <c r="AT415" s="121">
        <f t="shared" si="51"/>
        <v>0.91395597174305909</v>
      </c>
      <c r="AU415" s="121" t="s">
        <v>276</v>
      </c>
      <c r="AV415" s="121" t="s">
        <v>276</v>
      </c>
      <c r="AW415" s="112" t="s">
        <v>276</v>
      </c>
      <c r="AX415" s="112" t="s">
        <v>282</v>
      </c>
      <c r="AY415" s="112" t="s">
        <v>276</v>
      </c>
      <c r="AZ415" s="112" t="s">
        <v>276</v>
      </c>
      <c r="BA415" s="112" t="s">
        <v>276</v>
      </c>
      <c r="BB415" s="112" t="s">
        <v>276</v>
      </c>
      <c r="BC415" s="113" t="s">
        <v>800</v>
      </c>
      <c r="BD415" s="113" t="s">
        <v>4168</v>
      </c>
      <c r="BE415" s="33" t="s">
        <v>100</v>
      </c>
      <c r="BF415" s="33" t="s">
        <v>98</v>
      </c>
    </row>
    <row r="416" spans="1:58" s="208" customFormat="1" ht="91" x14ac:dyDescent="0.3">
      <c r="A416" s="112">
        <v>433</v>
      </c>
      <c r="B416" s="112" t="s">
        <v>4163</v>
      </c>
      <c r="C416" s="112" t="s">
        <v>74</v>
      </c>
      <c r="D416" s="113" t="s">
        <v>4175</v>
      </c>
      <c r="E416" s="112" t="s">
        <v>39</v>
      </c>
      <c r="F416" s="112" t="s">
        <v>143</v>
      </c>
      <c r="G416" s="112" t="s">
        <v>225</v>
      </c>
      <c r="H416" s="112" t="s">
        <v>125</v>
      </c>
      <c r="I416" s="112" t="s">
        <v>114</v>
      </c>
      <c r="J416" s="113" t="s">
        <v>23</v>
      </c>
      <c r="K416" s="113" t="s">
        <v>4165</v>
      </c>
      <c r="L416" s="113" t="s">
        <v>4166</v>
      </c>
      <c r="M416" s="112" t="s">
        <v>14</v>
      </c>
      <c r="N416" s="204" t="s">
        <v>98</v>
      </c>
      <c r="O416" s="117" t="s">
        <v>207</v>
      </c>
      <c r="P416" s="301" t="s">
        <v>276</v>
      </c>
      <c r="Q416" s="328" t="s">
        <v>728</v>
      </c>
      <c r="R416" s="113" t="s">
        <v>276</v>
      </c>
      <c r="S416" s="113" t="s">
        <v>276</v>
      </c>
      <c r="T416" s="113">
        <v>5</v>
      </c>
      <c r="U416" s="118">
        <v>2029</v>
      </c>
      <c r="V416" s="119">
        <v>2023</v>
      </c>
      <c r="W416" s="112" t="s">
        <v>276</v>
      </c>
      <c r="X416" s="112" t="s">
        <v>276</v>
      </c>
      <c r="Y416" s="112">
        <v>0</v>
      </c>
      <c r="Z416" s="113" t="s">
        <v>276</v>
      </c>
      <c r="AA416" s="112">
        <v>0</v>
      </c>
      <c r="AB416" s="113" t="s">
        <v>276</v>
      </c>
      <c r="AC416" s="113" t="s">
        <v>4176</v>
      </c>
      <c r="AD416" s="113" t="s">
        <v>866</v>
      </c>
      <c r="AE416" s="112">
        <v>55</v>
      </c>
      <c r="AF416" s="112">
        <v>66</v>
      </c>
      <c r="AG416" s="118">
        <v>2029</v>
      </c>
      <c r="AH416" s="118">
        <v>2023</v>
      </c>
      <c r="AI416" s="119" t="s">
        <v>2047</v>
      </c>
      <c r="AJ416" s="121" t="s">
        <v>276</v>
      </c>
      <c r="AK416" s="207">
        <f t="shared" si="49"/>
        <v>27.106949236076886</v>
      </c>
      <c r="AL416" s="121" t="s">
        <v>276</v>
      </c>
      <c r="AM416" s="121" t="s">
        <v>276</v>
      </c>
      <c r="AN416" s="121" t="s">
        <v>276</v>
      </c>
      <c r="AO416" s="207">
        <f t="shared" si="50"/>
        <v>32.624814631735049</v>
      </c>
      <c r="AP416" s="121" t="s">
        <v>276</v>
      </c>
      <c r="AQ416" s="121" t="s">
        <v>276</v>
      </c>
      <c r="AR416" s="112" t="s">
        <v>268</v>
      </c>
      <c r="AS416" s="121" t="s">
        <v>276</v>
      </c>
      <c r="AT416" s="121">
        <f t="shared" si="51"/>
        <v>0.83086906522096271</v>
      </c>
      <c r="AU416" s="121" t="s">
        <v>276</v>
      </c>
      <c r="AV416" s="121" t="s">
        <v>276</v>
      </c>
      <c r="AW416" s="112" t="s">
        <v>276</v>
      </c>
      <c r="AX416" s="112" t="s">
        <v>282</v>
      </c>
      <c r="AY416" s="112" t="s">
        <v>276</v>
      </c>
      <c r="AZ416" s="112" t="s">
        <v>276</v>
      </c>
      <c r="BA416" s="112" t="s">
        <v>276</v>
      </c>
      <c r="BB416" s="112" t="s">
        <v>276</v>
      </c>
      <c r="BC416" s="113" t="s">
        <v>800</v>
      </c>
      <c r="BD416" s="113" t="s">
        <v>4168</v>
      </c>
      <c r="BE416" s="33" t="s">
        <v>100</v>
      </c>
      <c r="BF416" s="33" t="s">
        <v>98</v>
      </c>
    </row>
    <row r="417" spans="1:58" s="208" customFormat="1" ht="91" x14ac:dyDescent="0.3">
      <c r="A417" s="112">
        <v>433</v>
      </c>
      <c r="B417" s="112" t="s">
        <v>4163</v>
      </c>
      <c r="C417" s="112" t="s">
        <v>74</v>
      </c>
      <c r="D417" s="113" t="s">
        <v>4177</v>
      </c>
      <c r="E417" s="112" t="s">
        <v>39</v>
      </c>
      <c r="F417" s="112" t="s">
        <v>143</v>
      </c>
      <c r="G417" s="112" t="s">
        <v>225</v>
      </c>
      <c r="H417" s="112" t="s">
        <v>125</v>
      </c>
      <c r="I417" s="112" t="s">
        <v>114</v>
      </c>
      <c r="J417" s="113" t="s">
        <v>23</v>
      </c>
      <c r="K417" s="113" t="s">
        <v>4165</v>
      </c>
      <c r="L417" s="113" t="s">
        <v>4166</v>
      </c>
      <c r="M417" s="112" t="s">
        <v>14</v>
      </c>
      <c r="N417" s="204" t="s">
        <v>98</v>
      </c>
      <c r="O417" s="117" t="s">
        <v>207</v>
      </c>
      <c r="P417" s="301" t="s">
        <v>276</v>
      </c>
      <c r="Q417" s="328" t="s">
        <v>733</v>
      </c>
      <c r="R417" s="113" t="s">
        <v>276</v>
      </c>
      <c r="S417" s="113" t="s">
        <v>276</v>
      </c>
      <c r="T417" s="113">
        <v>5</v>
      </c>
      <c r="U417" s="118">
        <v>2029</v>
      </c>
      <c r="V417" s="119">
        <v>2023</v>
      </c>
      <c r="W417" s="112" t="s">
        <v>276</v>
      </c>
      <c r="X417" s="112" t="s">
        <v>276</v>
      </c>
      <c r="Y417" s="112">
        <v>0</v>
      </c>
      <c r="Z417" s="113" t="s">
        <v>276</v>
      </c>
      <c r="AA417" s="112">
        <v>0</v>
      </c>
      <c r="AB417" s="113" t="s">
        <v>276</v>
      </c>
      <c r="AC417" s="113" t="s">
        <v>4178</v>
      </c>
      <c r="AD417" s="113" t="s">
        <v>866</v>
      </c>
      <c r="AE417" s="112">
        <v>73</v>
      </c>
      <c r="AF417" s="112">
        <v>82</v>
      </c>
      <c r="AG417" s="118">
        <v>2029</v>
      </c>
      <c r="AH417" s="118">
        <v>2023</v>
      </c>
      <c r="AI417" s="119" t="s">
        <v>2047</v>
      </c>
      <c r="AJ417" s="121" t="s">
        <v>276</v>
      </c>
      <c r="AK417" s="207">
        <f t="shared" si="49"/>
        <v>35.978314440611136</v>
      </c>
      <c r="AL417" s="121" t="s">
        <v>276</v>
      </c>
      <c r="AM417" s="121" t="s">
        <v>276</v>
      </c>
      <c r="AN417" s="121" t="s">
        <v>276</v>
      </c>
      <c r="AO417" s="207">
        <f t="shared" si="50"/>
        <v>40.533860603064753</v>
      </c>
      <c r="AP417" s="121" t="s">
        <v>276</v>
      </c>
      <c r="AQ417" s="121" t="s">
        <v>276</v>
      </c>
      <c r="AR417" s="112" t="s">
        <v>268</v>
      </c>
      <c r="AS417" s="121" t="s">
        <v>276</v>
      </c>
      <c r="AT417" s="121">
        <f t="shared" si="51"/>
        <v>0.88761134284580889</v>
      </c>
      <c r="AU417" s="121" t="s">
        <v>276</v>
      </c>
      <c r="AV417" s="121" t="s">
        <v>276</v>
      </c>
      <c r="AW417" s="112" t="s">
        <v>276</v>
      </c>
      <c r="AX417" s="112" t="s">
        <v>282</v>
      </c>
      <c r="AY417" s="112" t="s">
        <v>276</v>
      </c>
      <c r="AZ417" s="112" t="s">
        <v>276</v>
      </c>
      <c r="BA417" s="112" t="s">
        <v>276</v>
      </c>
      <c r="BB417" s="112" t="s">
        <v>276</v>
      </c>
      <c r="BC417" s="113" t="s">
        <v>800</v>
      </c>
      <c r="BD417" s="113" t="s">
        <v>4168</v>
      </c>
      <c r="BE417" s="33" t="s">
        <v>100</v>
      </c>
      <c r="BF417" s="33" t="s">
        <v>98</v>
      </c>
    </row>
    <row r="418" spans="1:58" s="208" customFormat="1" ht="91" x14ac:dyDescent="0.3">
      <c r="A418" s="112">
        <v>433</v>
      </c>
      <c r="B418" s="112" t="s">
        <v>4163</v>
      </c>
      <c r="C418" s="112" t="s">
        <v>74</v>
      </c>
      <c r="D418" s="113" t="s">
        <v>4179</v>
      </c>
      <c r="E418" s="112" t="s">
        <v>39</v>
      </c>
      <c r="F418" s="112" t="s">
        <v>143</v>
      </c>
      <c r="G418" s="112" t="s">
        <v>225</v>
      </c>
      <c r="H418" s="112" t="s">
        <v>125</v>
      </c>
      <c r="I418" s="112" t="s">
        <v>114</v>
      </c>
      <c r="J418" s="113" t="s">
        <v>23</v>
      </c>
      <c r="K418" s="113" t="s">
        <v>4165</v>
      </c>
      <c r="L418" s="113" t="s">
        <v>4166</v>
      </c>
      <c r="M418" s="112" t="s">
        <v>14</v>
      </c>
      <c r="N418" s="204" t="s">
        <v>98</v>
      </c>
      <c r="O418" s="117" t="s">
        <v>207</v>
      </c>
      <c r="P418" s="301" t="s">
        <v>276</v>
      </c>
      <c r="Q418" s="328" t="s">
        <v>741</v>
      </c>
      <c r="R418" s="113" t="s">
        <v>276</v>
      </c>
      <c r="S418" s="113" t="s">
        <v>276</v>
      </c>
      <c r="T418" s="113">
        <v>5</v>
      </c>
      <c r="U418" s="118">
        <v>2029</v>
      </c>
      <c r="V418" s="119">
        <v>2023</v>
      </c>
      <c r="W418" s="112" t="s">
        <v>276</v>
      </c>
      <c r="X418" s="112" t="s">
        <v>276</v>
      </c>
      <c r="Y418" s="112">
        <v>0</v>
      </c>
      <c r="Z418" s="113" t="s">
        <v>276</v>
      </c>
      <c r="AA418" s="112">
        <v>0</v>
      </c>
      <c r="AB418" s="113" t="s">
        <v>276</v>
      </c>
      <c r="AC418" s="113" t="s">
        <v>4180</v>
      </c>
      <c r="AD418" s="113" t="s">
        <v>866</v>
      </c>
      <c r="AE418" s="112">
        <v>88</v>
      </c>
      <c r="AF418" s="112">
        <v>93</v>
      </c>
      <c r="AG418" s="118">
        <v>2029</v>
      </c>
      <c r="AH418" s="118">
        <v>2023</v>
      </c>
      <c r="AI418" s="119" t="s">
        <v>2047</v>
      </c>
      <c r="AJ418" s="121" t="s">
        <v>276</v>
      </c>
      <c r="AK418" s="207">
        <f t="shared" si="49"/>
        <v>43.371118777723019</v>
      </c>
      <c r="AL418" s="121" t="s">
        <v>276</v>
      </c>
      <c r="AM418" s="121" t="s">
        <v>276</v>
      </c>
      <c r="AN418" s="121" t="s">
        <v>276</v>
      </c>
      <c r="AO418" s="207">
        <f t="shared" si="50"/>
        <v>45.971329708353927</v>
      </c>
      <c r="AP418" s="121" t="s">
        <v>276</v>
      </c>
      <c r="AQ418" s="121" t="s">
        <v>276</v>
      </c>
      <c r="AR418" s="112" t="s">
        <v>268</v>
      </c>
      <c r="AS418" s="121" t="s">
        <v>276</v>
      </c>
      <c r="AT418" s="121">
        <f t="shared" si="51"/>
        <v>0.94343842244444809</v>
      </c>
      <c r="AU418" s="121" t="s">
        <v>276</v>
      </c>
      <c r="AV418" s="121" t="s">
        <v>276</v>
      </c>
      <c r="AW418" s="112" t="s">
        <v>276</v>
      </c>
      <c r="AX418" s="112" t="s">
        <v>282</v>
      </c>
      <c r="AY418" s="112" t="s">
        <v>276</v>
      </c>
      <c r="AZ418" s="112" t="s">
        <v>276</v>
      </c>
      <c r="BA418" s="112" t="s">
        <v>276</v>
      </c>
      <c r="BB418" s="112" t="s">
        <v>276</v>
      </c>
      <c r="BC418" s="113" t="s">
        <v>800</v>
      </c>
      <c r="BD418" s="113" t="s">
        <v>4168</v>
      </c>
      <c r="BE418" s="33" t="s">
        <v>100</v>
      </c>
      <c r="BF418" s="33" t="s">
        <v>98</v>
      </c>
    </row>
    <row r="419" spans="1:58" s="208" customFormat="1" ht="91" x14ac:dyDescent="0.3">
      <c r="A419" s="112">
        <v>433</v>
      </c>
      <c r="B419" s="112" t="s">
        <v>4163</v>
      </c>
      <c r="C419" s="112" t="s">
        <v>74</v>
      </c>
      <c r="D419" s="113" t="s">
        <v>4181</v>
      </c>
      <c r="E419" s="112" t="s">
        <v>39</v>
      </c>
      <c r="F419" s="112" t="s">
        <v>143</v>
      </c>
      <c r="G419" s="112" t="s">
        <v>225</v>
      </c>
      <c r="H419" s="112" t="s">
        <v>125</v>
      </c>
      <c r="I419" s="112" t="s">
        <v>114</v>
      </c>
      <c r="J419" s="113" t="s">
        <v>23</v>
      </c>
      <c r="K419" s="113" t="s">
        <v>4165</v>
      </c>
      <c r="L419" s="113" t="s">
        <v>4166</v>
      </c>
      <c r="M419" s="112" t="s">
        <v>14</v>
      </c>
      <c r="N419" s="204" t="s">
        <v>98</v>
      </c>
      <c r="O419" s="117" t="s">
        <v>207</v>
      </c>
      <c r="P419" s="301" t="s">
        <v>276</v>
      </c>
      <c r="Q419" s="328" t="s">
        <v>746</v>
      </c>
      <c r="R419" s="113" t="s">
        <v>276</v>
      </c>
      <c r="S419" s="113" t="s">
        <v>276</v>
      </c>
      <c r="T419" s="113">
        <v>5</v>
      </c>
      <c r="U419" s="118">
        <v>2029</v>
      </c>
      <c r="V419" s="119">
        <v>2023</v>
      </c>
      <c r="W419" s="112" t="s">
        <v>276</v>
      </c>
      <c r="X419" s="112" t="s">
        <v>276</v>
      </c>
      <c r="Y419" s="112">
        <v>0</v>
      </c>
      <c r="Z419" s="113" t="s">
        <v>276</v>
      </c>
      <c r="AA419" s="112">
        <v>0</v>
      </c>
      <c r="AB419" s="113" t="s">
        <v>276</v>
      </c>
      <c r="AC419" s="113" t="s">
        <v>4182</v>
      </c>
      <c r="AD419" s="113" t="s">
        <v>866</v>
      </c>
      <c r="AE419" s="112">
        <v>118</v>
      </c>
      <c r="AF419" s="112">
        <v>115</v>
      </c>
      <c r="AG419" s="118">
        <v>2029</v>
      </c>
      <c r="AH419" s="118">
        <v>2023</v>
      </c>
      <c r="AI419" s="119" t="s">
        <v>2047</v>
      </c>
      <c r="AJ419" s="121" t="s">
        <v>276</v>
      </c>
      <c r="AK419" s="207">
        <f t="shared" si="49"/>
        <v>58.156727451946772</v>
      </c>
      <c r="AL419" s="121" t="s">
        <v>276</v>
      </c>
      <c r="AM419" s="121" t="s">
        <v>276</v>
      </c>
      <c r="AN419" s="121" t="s">
        <v>276</v>
      </c>
      <c r="AO419" s="207">
        <f t="shared" si="50"/>
        <v>56.846267918932277</v>
      </c>
      <c r="AP419" s="121" t="s">
        <v>276</v>
      </c>
      <c r="AQ419" s="121" t="s">
        <v>276</v>
      </c>
      <c r="AR419" s="112" t="s">
        <v>268</v>
      </c>
      <c r="AS419" s="121" t="s">
        <v>276</v>
      </c>
      <c r="AT419" s="121">
        <f t="shared" si="51"/>
        <v>1.0230526924807681</v>
      </c>
      <c r="AU419" s="121" t="s">
        <v>276</v>
      </c>
      <c r="AV419" s="121" t="s">
        <v>276</v>
      </c>
      <c r="AW419" s="112" t="s">
        <v>276</v>
      </c>
      <c r="AX419" s="112" t="s">
        <v>282</v>
      </c>
      <c r="AY419" s="112" t="s">
        <v>276</v>
      </c>
      <c r="AZ419" s="112" t="s">
        <v>276</v>
      </c>
      <c r="BA419" s="112" t="s">
        <v>276</v>
      </c>
      <c r="BB419" s="112" t="s">
        <v>276</v>
      </c>
      <c r="BC419" s="113" t="s">
        <v>800</v>
      </c>
      <c r="BD419" s="113" t="s">
        <v>4183</v>
      </c>
      <c r="BE419" s="33" t="s">
        <v>100</v>
      </c>
      <c r="BF419" s="33" t="s">
        <v>98</v>
      </c>
    </row>
    <row r="420" spans="1:58" s="208" customFormat="1" ht="91" x14ac:dyDescent="0.3">
      <c r="A420" s="112">
        <v>433</v>
      </c>
      <c r="B420" s="112" t="s">
        <v>4163</v>
      </c>
      <c r="C420" s="112" t="s">
        <v>74</v>
      </c>
      <c r="D420" s="113" t="s">
        <v>4184</v>
      </c>
      <c r="E420" s="112" t="s">
        <v>39</v>
      </c>
      <c r="F420" s="112" t="s">
        <v>143</v>
      </c>
      <c r="G420" s="112" t="s">
        <v>225</v>
      </c>
      <c r="H420" s="112" t="s">
        <v>125</v>
      </c>
      <c r="I420" s="112" t="s">
        <v>114</v>
      </c>
      <c r="J420" s="113" t="s">
        <v>23</v>
      </c>
      <c r="K420" s="113" t="s">
        <v>4165</v>
      </c>
      <c r="L420" s="113" t="s">
        <v>4166</v>
      </c>
      <c r="M420" s="112" t="s">
        <v>14</v>
      </c>
      <c r="N420" s="204" t="s">
        <v>98</v>
      </c>
      <c r="O420" s="117" t="s">
        <v>207</v>
      </c>
      <c r="P420" s="301" t="s">
        <v>276</v>
      </c>
      <c r="Q420" s="328" t="s">
        <v>752</v>
      </c>
      <c r="R420" s="113" t="s">
        <v>276</v>
      </c>
      <c r="S420" s="113" t="s">
        <v>276</v>
      </c>
      <c r="T420" s="113">
        <v>5</v>
      </c>
      <c r="U420" s="118">
        <v>2029</v>
      </c>
      <c r="V420" s="119">
        <v>2023</v>
      </c>
      <c r="W420" s="112" t="s">
        <v>276</v>
      </c>
      <c r="X420" s="112" t="s">
        <v>276</v>
      </c>
      <c r="Y420" s="112">
        <v>0</v>
      </c>
      <c r="Z420" s="113" t="s">
        <v>276</v>
      </c>
      <c r="AA420" s="112">
        <v>0</v>
      </c>
      <c r="AB420" s="113" t="s">
        <v>276</v>
      </c>
      <c r="AC420" s="113" t="s">
        <v>4185</v>
      </c>
      <c r="AD420" s="113" t="s">
        <v>866</v>
      </c>
      <c r="AE420" s="112">
        <v>135</v>
      </c>
      <c r="AF420" s="112">
        <v>135</v>
      </c>
      <c r="AG420" s="118">
        <v>2029</v>
      </c>
      <c r="AH420" s="118">
        <v>2023</v>
      </c>
      <c r="AI420" s="119" t="s">
        <v>2047</v>
      </c>
      <c r="AJ420" s="121" t="s">
        <v>276</v>
      </c>
      <c r="AK420" s="207">
        <f t="shared" si="49"/>
        <v>66.535239034006906</v>
      </c>
      <c r="AL420" s="121" t="s">
        <v>276</v>
      </c>
      <c r="AM420" s="121" t="s">
        <v>276</v>
      </c>
      <c r="AN420" s="121" t="s">
        <v>276</v>
      </c>
      <c r="AO420" s="207">
        <f t="shared" si="50"/>
        <v>66.732575383094414</v>
      </c>
      <c r="AP420" s="121" t="s">
        <v>276</v>
      </c>
      <c r="AQ420" s="121" t="s">
        <v>276</v>
      </c>
      <c r="AR420" s="112" t="s">
        <v>268</v>
      </c>
      <c r="AS420" s="121" t="s">
        <v>276</v>
      </c>
      <c r="AT420" s="121">
        <f t="shared" si="51"/>
        <v>0.99704287826515536</v>
      </c>
      <c r="AU420" s="121" t="s">
        <v>276</v>
      </c>
      <c r="AV420" s="121" t="s">
        <v>276</v>
      </c>
      <c r="AW420" s="112" t="s">
        <v>276</v>
      </c>
      <c r="AX420" s="112" t="s">
        <v>282</v>
      </c>
      <c r="AY420" s="112" t="s">
        <v>276</v>
      </c>
      <c r="AZ420" s="112" t="s">
        <v>276</v>
      </c>
      <c r="BA420" s="112" t="s">
        <v>276</v>
      </c>
      <c r="BB420" s="112" t="s">
        <v>276</v>
      </c>
      <c r="BC420" s="113" t="s">
        <v>800</v>
      </c>
      <c r="BD420" s="113" t="s">
        <v>4183</v>
      </c>
      <c r="BE420" s="33" t="s">
        <v>100</v>
      </c>
      <c r="BF420" s="33" t="s">
        <v>98</v>
      </c>
    </row>
    <row r="421" spans="1:58" s="208" customFormat="1" ht="91" x14ac:dyDescent="0.3">
      <c r="A421" s="112">
        <v>433</v>
      </c>
      <c r="B421" s="112" t="s">
        <v>4163</v>
      </c>
      <c r="C421" s="112" t="s">
        <v>74</v>
      </c>
      <c r="D421" s="113" t="s">
        <v>4186</v>
      </c>
      <c r="E421" s="112" t="s">
        <v>39</v>
      </c>
      <c r="F421" s="112" t="s">
        <v>143</v>
      </c>
      <c r="G421" s="112" t="s">
        <v>225</v>
      </c>
      <c r="H421" s="112" t="s">
        <v>125</v>
      </c>
      <c r="I421" s="112" t="s">
        <v>114</v>
      </c>
      <c r="J421" s="113" t="s">
        <v>23</v>
      </c>
      <c r="K421" s="113" t="s">
        <v>4165</v>
      </c>
      <c r="L421" s="113" t="s">
        <v>4166</v>
      </c>
      <c r="M421" s="112" t="s">
        <v>14</v>
      </c>
      <c r="N421" s="204" t="s">
        <v>98</v>
      </c>
      <c r="O421" s="117" t="s">
        <v>207</v>
      </c>
      <c r="P421" s="301" t="s">
        <v>276</v>
      </c>
      <c r="Q421" s="328" t="s">
        <v>766</v>
      </c>
      <c r="R421" s="113" t="s">
        <v>276</v>
      </c>
      <c r="S421" s="113" t="s">
        <v>276</v>
      </c>
      <c r="T421" s="113">
        <v>5</v>
      </c>
      <c r="U421" s="118">
        <v>2029</v>
      </c>
      <c r="V421" s="119">
        <v>2023</v>
      </c>
      <c r="W421" s="112" t="s">
        <v>276</v>
      </c>
      <c r="X421" s="112" t="s">
        <v>276</v>
      </c>
      <c r="Y421" s="112">
        <v>0</v>
      </c>
      <c r="Z421" s="113" t="s">
        <v>276</v>
      </c>
      <c r="AA421" s="112">
        <v>0</v>
      </c>
      <c r="AB421" s="113" t="s">
        <v>276</v>
      </c>
      <c r="AC421" s="113" t="s">
        <v>4187</v>
      </c>
      <c r="AD421" s="113" t="s">
        <v>866</v>
      </c>
      <c r="AE421" s="112">
        <v>144</v>
      </c>
      <c r="AF421" s="112">
        <v>147</v>
      </c>
      <c r="AG421" s="118">
        <v>2029</v>
      </c>
      <c r="AH421" s="118">
        <v>2023</v>
      </c>
      <c r="AI421" s="119" t="s">
        <v>2047</v>
      </c>
      <c r="AJ421" s="121" t="s">
        <v>276</v>
      </c>
      <c r="AK421" s="207">
        <f t="shared" si="49"/>
        <v>70.970921636274028</v>
      </c>
      <c r="AL421" s="121" t="s">
        <v>276</v>
      </c>
      <c r="AM421" s="121" t="s">
        <v>276</v>
      </c>
      <c r="AN421" s="121" t="s">
        <v>276</v>
      </c>
      <c r="AO421" s="207">
        <f t="shared" si="50"/>
        <v>72.664359861591691</v>
      </c>
      <c r="AP421" s="121" t="s">
        <v>276</v>
      </c>
      <c r="AQ421" s="121" t="s">
        <v>276</v>
      </c>
      <c r="AR421" s="112" t="s">
        <v>268</v>
      </c>
      <c r="AS421" s="121" t="s">
        <v>276</v>
      </c>
      <c r="AT421" s="121">
        <f t="shared" si="51"/>
        <v>0.97669506442300924</v>
      </c>
      <c r="AU421" s="121" t="s">
        <v>276</v>
      </c>
      <c r="AV421" s="121" t="s">
        <v>276</v>
      </c>
      <c r="AW421" s="112" t="s">
        <v>276</v>
      </c>
      <c r="AX421" s="112" t="s">
        <v>282</v>
      </c>
      <c r="AY421" s="112" t="s">
        <v>276</v>
      </c>
      <c r="AZ421" s="112" t="s">
        <v>276</v>
      </c>
      <c r="BA421" s="112" t="s">
        <v>276</v>
      </c>
      <c r="BB421" s="112" t="s">
        <v>276</v>
      </c>
      <c r="BC421" s="113" t="s">
        <v>800</v>
      </c>
      <c r="BD421" s="113" t="s">
        <v>4183</v>
      </c>
      <c r="BE421" s="33" t="s">
        <v>100</v>
      </c>
      <c r="BF421" s="33" t="s">
        <v>98</v>
      </c>
    </row>
    <row r="422" spans="1:58" s="208" customFormat="1" ht="91" x14ac:dyDescent="0.3">
      <c r="A422" s="112">
        <v>433</v>
      </c>
      <c r="B422" s="112" t="s">
        <v>4163</v>
      </c>
      <c r="C422" s="112" t="s">
        <v>74</v>
      </c>
      <c r="D422" s="113" t="s">
        <v>4188</v>
      </c>
      <c r="E422" s="112" t="s">
        <v>39</v>
      </c>
      <c r="F422" s="112" t="s">
        <v>143</v>
      </c>
      <c r="G422" s="112" t="s">
        <v>225</v>
      </c>
      <c r="H422" s="112" t="s">
        <v>125</v>
      </c>
      <c r="I422" s="112" t="s">
        <v>114</v>
      </c>
      <c r="J422" s="113" t="s">
        <v>23</v>
      </c>
      <c r="K422" s="113" t="s">
        <v>4165</v>
      </c>
      <c r="L422" s="113" t="s">
        <v>4166</v>
      </c>
      <c r="M422" s="112" t="s">
        <v>14</v>
      </c>
      <c r="N422" s="204" t="s">
        <v>98</v>
      </c>
      <c r="O422" s="117" t="s">
        <v>207</v>
      </c>
      <c r="P422" s="301" t="s">
        <v>4189</v>
      </c>
      <c r="Q422" s="328" t="s">
        <v>770</v>
      </c>
      <c r="R422" s="113" t="s">
        <v>4190</v>
      </c>
      <c r="S422" s="113" t="s">
        <v>4190</v>
      </c>
      <c r="T422" s="113">
        <v>5</v>
      </c>
      <c r="U422" s="118">
        <v>2029</v>
      </c>
      <c r="V422" s="119">
        <v>2023</v>
      </c>
      <c r="W422" s="112" t="s">
        <v>276</v>
      </c>
      <c r="X422" s="112" t="s">
        <v>276</v>
      </c>
      <c r="Y422" s="112">
        <v>0</v>
      </c>
      <c r="Z422" s="113" t="s">
        <v>276</v>
      </c>
      <c r="AA422" s="112">
        <v>0</v>
      </c>
      <c r="AB422" s="113" t="s">
        <v>276</v>
      </c>
      <c r="AC422" s="113" t="s">
        <v>4191</v>
      </c>
      <c r="AD422" s="113" t="s">
        <v>866</v>
      </c>
      <c r="AE422" s="112">
        <v>148</v>
      </c>
      <c r="AF422" s="112">
        <v>150</v>
      </c>
      <c r="AG422" s="118">
        <v>2029</v>
      </c>
      <c r="AH422" s="118">
        <v>2023</v>
      </c>
      <c r="AI422" s="119" t="s">
        <v>2047</v>
      </c>
      <c r="AJ422" s="121" t="s">
        <v>276</v>
      </c>
      <c r="AK422" s="207">
        <f>AE422*1000/AG422</f>
        <v>72.942336126170531</v>
      </c>
      <c r="AL422" s="121" t="s">
        <v>276</v>
      </c>
      <c r="AM422" s="121" t="s">
        <v>276</v>
      </c>
      <c r="AN422" s="121" t="s">
        <v>276</v>
      </c>
      <c r="AO422" s="207">
        <f>AF422*1000/AH422</f>
        <v>74.147305981216022</v>
      </c>
      <c r="AP422" s="121" t="s">
        <v>276</v>
      </c>
      <c r="AQ422" s="121" t="s">
        <v>276</v>
      </c>
      <c r="AR422" s="112" t="s">
        <v>268</v>
      </c>
      <c r="AS422" s="121" t="s">
        <v>276</v>
      </c>
      <c r="AT422" s="121">
        <f>AK422/AO422</f>
        <v>0.9837489732216198</v>
      </c>
      <c r="AU422" s="121" t="s">
        <v>276</v>
      </c>
      <c r="AV422" s="121" t="s">
        <v>276</v>
      </c>
      <c r="AW422" s="112" t="s">
        <v>276</v>
      </c>
      <c r="AX422" s="112" t="s">
        <v>282</v>
      </c>
      <c r="AY422" s="112" t="s">
        <v>276</v>
      </c>
      <c r="AZ422" s="112" t="s">
        <v>276</v>
      </c>
      <c r="BA422" s="112" t="s">
        <v>276</v>
      </c>
      <c r="BB422" s="112" t="s">
        <v>276</v>
      </c>
      <c r="BC422" s="113" t="s">
        <v>800</v>
      </c>
      <c r="BD422" s="113" t="s">
        <v>4168</v>
      </c>
      <c r="BE422" s="33" t="s">
        <v>100</v>
      </c>
      <c r="BF422" s="33" t="s">
        <v>98</v>
      </c>
    </row>
    <row r="423" spans="1:58" s="208" customFormat="1" ht="91" x14ac:dyDescent="0.3">
      <c r="A423" s="112">
        <v>433</v>
      </c>
      <c r="B423" s="112" t="s">
        <v>4163</v>
      </c>
      <c r="C423" s="112" t="s">
        <v>74</v>
      </c>
      <c r="D423" s="113" t="s">
        <v>4192</v>
      </c>
      <c r="E423" s="112" t="s">
        <v>39</v>
      </c>
      <c r="F423" s="112" t="s">
        <v>143</v>
      </c>
      <c r="G423" s="112" t="s">
        <v>225</v>
      </c>
      <c r="H423" s="112" t="s">
        <v>125</v>
      </c>
      <c r="I423" s="112" t="s">
        <v>114</v>
      </c>
      <c r="J423" s="113" t="s">
        <v>23</v>
      </c>
      <c r="K423" s="113" t="s">
        <v>4165</v>
      </c>
      <c r="L423" s="113" t="s">
        <v>4166</v>
      </c>
      <c r="M423" s="112" t="s">
        <v>14</v>
      </c>
      <c r="N423" s="204" t="s">
        <v>98</v>
      </c>
      <c r="O423" s="117" t="s">
        <v>207</v>
      </c>
      <c r="P423" s="301" t="s">
        <v>4189</v>
      </c>
      <c r="Q423" s="328" t="s">
        <v>770</v>
      </c>
      <c r="R423" s="113" t="s">
        <v>4190</v>
      </c>
      <c r="S423" s="113" t="s">
        <v>4190</v>
      </c>
      <c r="T423" s="113">
        <v>5</v>
      </c>
      <c r="U423" s="118">
        <v>2029</v>
      </c>
      <c r="V423" s="119">
        <v>2023</v>
      </c>
      <c r="W423" s="112" t="s">
        <v>276</v>
      </c>
      <c r="X423" s="112" t="s">
        <v>276</v>
      </c>
      <c r="Y423" s="112">
        <v>0</v>
      </c>
      <c r="Z423" s="113" t="s">
        <v>276</v>
      </c>
      <c r="AA423" s="112">
        <v>0</v>
      </c>
      <c r="AB423" s="113" t="s">
        <v>276</v>
      </c>
      <c r="AC423" s="113" t="s">
        <v>4191</v>
      </c>
      <c r="AD423" s="113" t="s">
        <v>866</v>
      </c>
      <c r="AE423" s="112">
        <v>148</v>
      </c>
      <c r="AF423" s="112">
        <v>150</v>
      </c>
      <c r="AG423" s="118">
        <v>2029</v>
      </c>
      <c r="AH423" s="118">
        <v>2023</v>
      </c>
      <c r="AI423" s="119" t="s">
        <v>2047</v>
      </c>
      <c r="AJ423" s="121" t="s">
        <v>276</v>
      </c>
      <c r="AK423" s="207">
        <f t="shared" si="49"/>
        <v>72.942336126170531</v>
      </c>
      <c r="AL423" s="121" t="s">
        <v>276</v>
      </c>
      <c r="AM423" s="121" t="s">
        <v>276</v>
      </c>
      <c r="AN423" s="121" t="s">
        <v>276</v>
      </c>
      <c r="AO423" s="207">
        <f t="shared" si="50"/>
        <v>74.147305981216022</v>
      </c>
      <c r="AP423" s="121" t="s">
        <v>276</v>
      </c>
      <c r="AQ423" s="121" t="s">
        <v>276</v>
      </c>
      <c r="AR423" s="112" t="s">
        <v>270</v>
      </c>
      <c r="AS423" s="121" t="s">
        <v>276</v>
      </c>
      <c r="AT423" s="121" t="s">
        <v>276</v>
      </c>
      <c r="AU423" s="121" t="s">
        <v>276</v>
      </c>
      <c r="AV423" s="121" t="s">
        <v>276</v>
      </c>
      <c r="AW423" s="121" t="s">
        <v>276</v>
      </c>
      <c r="AX423" s="112" t="s">
        <v>1488</v>
      </c>
      <c r="AY423" s="121">
        <v>0.99</v>
      </c>
      <c r="AZ423" s="121">
        <v>0.79</v>
      </c>
      <c r="BA423" s="121">
        <v>1.25</v>
      </c>
      <c r="BB423" s="112">
        <v>0.95</v>
      </c>
      <c r="BC423" s="113" t="s">
        <v>4193</v>
      </c>
      <c r="BD423" s="113" t="s">
        <v>4168</v>
      </c>
      <c r="BE423" s="33" t="s">
        <v>100</v>
      </c>
      <c r="BF423" s="33" t="s">
        <v>98</v>
      </c>
    </row>
    <row r="424" spans="1:58" s="103" customFormat="1" ht="91" x14ac:dyDescent="0.3">
      <c r="A424" s="94">
        <v>433</v>
      </c>
      <c r="B424" s="94" t="s">
        <v>4163</v>
      </c>
      <c r="C424" s="94" t="s">
        <v>74</v>
      </c>
      <c r="D424" s="95" t="s">
        <v>4194</v>
      </c>
      <c r="E424" s="94" t="s">
        <v>39</v>
      </c>
      <c r="F424" s="94" t="s">
        <v>143</v>
      </c>
      <c r="G424" s="94" t="s">
        <v>225</v>
      </c>
      <c r="H424" s="94" t="s">
        <v>125</v>
      </c>
      <c r="I424" s="94" t="s">
        <v>114</v>
      </c>
      <c r="J424" s="95" t="s">
        <v>24</v>
      </c>
      <c r="K424" s="95" t="s">
        <v>4165</v>
      </c>
      <c r="L424" s="95" t="s">
        <v>4166</v>
      </c>
      <c r="M424" s="94" t="s">
        <v>14</v>
      </c>
      <c r="N424" s="144" t="s">
        <v>98</v>
      </c>
      <c r="O424" s="96" t="s">
        <v>207</v>
      </c>
      <c r="P424" s="287" t="s">
        <v>276</v>
      </c>
      <c r="Q424" s="329" t="s">
        <v>705</v>
      </c>
      <c r="R424" s="95" t="s">
        <v>276</v>
      </c>
      <c r="S424" s="95" t="s">
        <v>276</v>
      </c>
      <c r="T424" s="95">
        <v>1</v>
      </c>
      <c r="U424" s="98">
        <v>2029</v>
      </c>
      <c r="V424" s="99">
        <v>2023</v>
      </c>
      <c r="W424" s="94" t="s">
        <v>276</v>
      </c>
      <c r="X424" s="94" t="s">
        <v>276</v>
      </c>
      <c r="Y424" s="94" t="s">
        <v>276</v>
      </c>
      <c r="Z424" s="95" t="s">
        <v>276</v>
      </c>
      <c r="AA424" s="94" t="s">
        <v>276</v>
      </c>
      <c r="AB424" s="95" t="s">
        <v>276</v>
      </c>
      <c r="AC424" s="95" t="s">
        <v>4195</v>
      </c>
      <c r="AD424" s="95" t="s">
        <v>866</v>
      </c>
      <c r="AE424" s="94">
        <v>0</v>
      </c>
      <c r="AF424" s="94">
        <v>1</v>
      </c>
      <c r="AG424" s="98">
        <v>2029</v>
      </c>
      <c r="AH424" s="98">
        <v>2023</v>
      </c>
      <c r="AI424" s="99" t="s">
        <v>2047</v>
      </c>
      <c r="AJ424" s="102" t="s">
        <v>276</v>
      </c>
      <c r="AK424" s="101">
        <f t="shared" si="49"/>
        <v>0</v>
      </c>
      <c r="AL424" s="102" t="s">
        <v>276</v>
      </c>
      <c r="AM424" s="102" t="s">
        <v>276</v>
      </c>
      <c r="AN424" s="102" t="s">
        <v>276</v>
      </c>
      <c r="AO424" s="101">
        <f t="shared" si="50"/>
        <v>0.49431537320810676</v>
      </c>
      <c r="AP424" s="102" t="s">
        <v>276</v>
      </c>
      <c r="AQ424" s="102" t="s">
        <v>276</v>
      </c>
      <c r="AR424" s="94" t="s">
        <v>268</v>
      </c>
      <c r="AS424" s="102" t="s">
        <v>276</v>
      </c>
      <c r="AT424" s="102">
        <f t="shared" ref="AT424:AT446" si="52">AK424/AO424</f>
        <v>0</v>
      </c>
      <c r="AU424" s="102" t="s">
        <v>276</v>
      </c>
      <c r="AV424" s="102" t="s">
        <v>276</v>
      </c>
      <c r="AW424" s="94" t="s">
        <v>276</v>
      </c>
      <c r="AX424" s="94" t="s">
        <v>282</v>
      </c>
      <c r="AY424" s="94" t="s">
        <v>276</v>
      </c>
      <c r="AZ424" s="94" t="s">
        <v>276</v>
      </c>
      <c r="BA424" s="94" t="s">
        <v>276</v>
      </c>
      <c r="BB424" s="94" t="s">
        <v>276</v>
      </c>
      <c r="BC424" s="95" t="s">
        <v>4196</v>
      </c>
      <c r="BD424" s="95" t="s">
        <v>4168</v>
      </c>
      <c r="BE424" s="33" t="s">
        <v>100</v>
      </c>
      <c r="BF424" s="33" t="s">
        <v>98</v>
      </c>
    </row>
    <row r="425" spans="1:58" s="103" customFormat="1" ht="91" x14ac:dyDescent="0.3">
      <c r="A425" s="94">
        <v>433</v>
      </c>
      <c r="B425" s="94" t="s">
        <v>4163</v>
      </c>
      <c r="C425" s="94" t="s">
        <v>74</v>
      </c>
      <c r="D425" s="95" t="s">
        <v>4197</v>
      </c>
      <c r="E425" s="94" t="s">
        <v>39</v>
      </c>
      <c r="F425" s="94" t="s">
        <v>143</v>
      </c>
      <c r="G425" s="94" t="s">
        <v>225</v>
      </c>
      <c r="H425" s="94" t="s">
        <v>125</v>
      </c>
      <c r="I425" s="94" t="s">
        <v>114</v>
      </c>
      <c r="J425" s="95" t="s">
        <v>24</v>
      </c>
      <c r="K425" s="95" t="s">
        <v>4165</v>
      </c>
      <c r="L425" s="95" t="s">
        <v>4166</v>
      </c>
      <c r="M425" s="94" t="s">
        <v>14</v>
      </c>
      <c r="N425" s="144" t="s">
        <v>98</v>
      </c>
      <c r="O425" s="96" t="s">
        <v>207</v>
      </c>
      <c r="P425" s="287" t="s">
        <v>276</v>
      </c>
      <c r="Q425" s="329" t="s">
        <v>710</v>
      </c>
      <c r="R425" s="95" t="s">
        <v>276</v>
      </c>
      <c r="S425" s="95" t="s">
        <v>276</v>
      </c>
      <c r="T425" s="95">
        <v>2</v>
      </c>
      <c r="U425" s="98">
        <v>2029</v>
      </c>
      <c r="V425" s="99">
        <v>2023</v>
      </c>
      <c r="W425" s="94" t="s">
        <v>276</v>
      </c>
      <c r="X425" s="94" t="s">
        <v>276</v>
      </c>
      <c r="Y425" s="94" t="s">
        <v>276</v>
      </c>
      <c r="Z425" s="95" t="s">
        <v>276</v>
      </c>
      <c r="AA425" s="94" t="s">
        <v>276</v>
      </c>
      <c r="AB425" s="95" t="s">
        <v>276</v>
      </c>
      <c r="AC425" s="95" t="s">
        <v>4198</v>
      </c>
      <c r="AD425" s="95" t="s">
        <v>866</v>
      </c>
      <c r="AE425" s="94">
        <v>1</v>
      </c>
      <c r="AF425" s="94">
        <v>5</v>
      </c>
      <c r="AG425" s="98">
        <v>2029</v>
      </c>
      <c r="AH425" s="98">
        <v>2023</v>
      </c>
      <c r="AI425" s="99" t="s">
        <v>2047</v>
      </c>
      <c r="AJ425" s="102" t="s">
        <v>276</v>
      </c>
      <c r="AK425" s="101">
        <f t="shared" si="49"/>
        <v>0.49285362247412517</v>
      </c>
      <c r="AL425" s="102" t="s">
        <v>276</v>
      </c>
      <c r="AM425" s="102" t="s">
        <v>276</v>
      </c>
      <c r="AN425" s="102" t="s">
        <v>276</v>
      </c>
      <c r="AO425" s="101">
        <f t="shared" si="50"/>
        <v>2.4715768660405337</v>
      </c>
      <c r="AP425" s="102" t="s">
        <v>276</v>
      </c>
      <c r="AQ425" s="102" t="s">
        <v>276</v>
      </c>
      <c r="AR425" s="94" t="s">
        <v>268</v>
      </c>
      <c r="AS425" s="102" t="s">
        <v>276</v>
      </c>
      <c r="AT425" s="102">
        <f t="shared" si="52"/>
        <v>0.19940857565303105</v>
      </c>
      <c r="AU425" s="102" t="s">
        <v>276</v>
      </c>
      <c r="AV425" s="102" t="s">
        <v>276</v>
      </c>
      <c r="AW425" s="94" t="s">
        <v>276</v>
      </c>
      <c r="AX425" s="94" t="s">
        <v>282</v>
      </c>
      <c r="AY425" s="94" t="s">
        <v>276</v>
      </c>
      <c r="AZ425" s="94" t="s">
        <v>276</v>
      </c>
      <c r="BA425" s="94" t="s">
        <v>276</v>
      </c>
      <c r="BB425" s="94" t="s">
        <v>276</v>
      </c>
      <c r="BC425" s="95" t="s">
        <v>4196</v>
      </c>
      <c r="BD425" s="95" t="s">
        <v>4168</v>
      </c>
      <c r="BE425" s="33" t="s">
        <v>100</v>
      </c>
      <c r="BF425" s="33" t="s">
        <v>98</v>
      </c>
    </row>
    <row r="426" spans="1:58" s="103" customFormat="1" ht="91" x14ac:dyDescent="0.3">
      <c r="A426" s="94">
        <v>433</v>
      </c>
      <c r="B426" s="94" t="s">
        <v>4163</v>
      </c>
      <c r="C426" s="94" t="s">
        <v>74</v>
      </c>
      <c r="D426" s="95" t="s">
        <v>4199</v>
      </c>
      <c r="E426" s="94" t="s">
        <v>39</v>
      </c>
      <c r="F426" s="94" t="s">
        <v>143</v>
      </c>
      <c r="G426" s="94" t="s">
        <v>225</v>
      </c>
      <c r="H426" s="94" t="s">
        <v>125</v>
      </c>
      <c r="I426" s="94" t="s">
        <v>114</v>
      </c>
      <c r="J426" s="95" t="s">
        <v>24</v>
      </c>
      <c r="K426" s="95" t="s">
        <v>4165</v>
      </c>
      <c r="L426" s="95" t="s">
        <v>4166</v>
      </c>
      <c r="M426" s="94" t="s">
        <v>14</v>
      </c>
      <c r="N426" s="144" t="s">
        <v>98</v>
      </c>
      <c r="O426" s="96" t="s">
        <v>207</v>
      </c>
      <c r="P426" s="287" t="s">
        <v>276</v>
      </c>
      <c r="Q426" s="329" t="s">
        <v>686</v>
      </c>
      <c r="R426" s="95" t="s">
        <v>276</v>
      </c>
      <c r="S426" s="95" t="s">
        <v>276</v>
      </c>
      <c r="T426" s="95">
        <v>3</v>
      </c>
      <c r="U426" s="98">
        <v>2029</v>
      </c>
      <c r="V426" s="99">
        <v>2023</v>
      </c>
      <c r="W426" s="94" t="s">
        <v>276</v>
      </c>
      <c r="X426" s="94" t="s">
        <v>276</v>
      </c>
      <c r="Y426" s="94" t="s">
        <v>276</v>
      </c>
      <c r="Z426" s="95" t="s">
        <v>276</v>
      </c>
      <c r="AA426" s="94" t="s">
        <v>276</v>
      </c>
      <c r="AB426" s="95" t="s">
        <v>276</v>
      </c>
      <c r="AC426" s="95" t="s">
        <v>4200</v>
      </c>
      <c r="AD426" s="95" t="s">
        <v>866</v>
      </c>
      <c r="AE426" s="94">
        <v>5</v>
      </c>
      <c r="AF426" s="94">
        <v>9</v>
      </c>
      <c r="AG426" s="98">
        <v>2029</v>
      </c>
      <c r="AH426" s="98">
        <v>2023</v>
      </c>
      <c r="AI426" s="99" t="s">
        <v>2047</v>
      </c>
      <c r="AJ426" s="102" t="s">
        <v>276</v>
      </c>
      <c r="AK426" s="101">
        <f t="shared" si="49"/>
        <v>2.4642681123706258</v>
      </c>
      <c r="AL426" s="102" t="s">
        <v>276</v>
      </c>
      <c r="AM426" s="102" t="s">
        <v>276</v>
      </c>
      <c r="AN426" s="102" t="s">
        <v>276</v>
      </c>
      <c r="AO426" s="101">
        <f t="shared" si="50"/>
        <v>4.448838358872961</v>
      </c>
      <c r="AP426" s="102" t="s">
        <v>276</v>
      </c>
      <c r="AQ426" s="102" t="s">
        <v>276</v>
      </c>
      <c r="AR426" s="94" t="s">
        <v>268</v>
      </c>
      <c r="AS426" s="102" t="s">
        <v>276</v>
      </c>
      <c r="AT426" s="102">
        <f t="shared" si="52"/>
        <v>0.55391271014730847</v>
      </c>
      <c r="AU426" s="102" t="s">
        <v>276</v>
      </c>
      <c r="AV426" s="102" t="s">
        <v>276</v>
      </c>
      <c r="AW426" s="94" t="s">
        <v>276</v>
      </c>
      <c r="AX426" s="94" t="s">
        <v>282</v>
      </c>
      <c r="AY426" s="94" t="s">
        <v>276</v>
      </c>
      <c r="AZ426" s="94" t="s">
        <v>276</v>
      </c>
      <c r="BA426" s="94" t="s">
        <v>276</v>
      </c>
      <c r="BB426" s="94" t="s">
        <v>276</v>
      </c>
      <c r="BC426" s="95" t="s">
        <v>4196</v>
      </c>
      <c r="BD426" s="95" t="s">
        <v>4168</v>
      </c>
      <c r="BE426" s="33" t="s">
        <v>100</v>
      </c>
      <c r="BF426" s="33" t="s">
        <v>98</v>
      </c>
    </row>
    <row r="427" spans="1:58" s="103" customFormat="1" ht="91" x14ac:dyDescent="0.3">
      <c r="A427" s="94">
        <v>433</v>
      </c>
      <c r="B427" s="94" t="s">
        <v>4163</v>
      </c>
      <c r="C427" s="94" t="s">
        <v>74</v>
      </c>
      <c r="D427" s="95" t="s">
        <v>4201</v>
      </c>
      <c r="E427" s="94" t="s">
        <v>39</v>
      </c>
      <c r="F427" s="94" t="s">
        <v>143</v>
      </c>
      <c r="G427" s="94" t="s">
        <v>225</v>
      </c>
      <c r="H427" s="94" t="s">
        <v>125</v>
      </c>
      <c r="I427" s="94" t="s">
        <v>114</v>
      </c>
      <c r="J427" s="95" t="s">
        <v>24</v>
      </c>
      <c r="K427" s="95" t="s">
        <v>4165</v>
      </c>
      <c r="L427" s="95" t="s">
        <v>4166</v>
      </c>
      <c r="M427" s="94" t="s">
        <v>14</v>
      </c>
      <c r="N427" s="144" t="s">
        <v>98</v>
      </c>
      <c r="O427" s="96" t="s">
        <v>207</v>
      </c>
      <c r="P427" s="287" t="s">
        <v>276</v>
      </c>
      <c r="Q427" s="329" t="s">
        <v>721</v>
      </c>
      <c r="R427" s="95" t="s">
        <v>276</v>
      </c>
      <c r="S427" s="95" t="s">
        <v>276</v>
      </c>
      <c r="T427" s="95">
        <v>4</v>
      </c>
      <c r="U427" s="98">
        <v>2029</v>
      </c>
      <c r="V427" s="99">
        <v>2023</v>
      </c>
      <c r="W427" s="94" t="s">
        <v>276</v>
      </c>
      <c r="X427" s="94" t="s">
        <v>276</v>
      </c>
      <c r="Y427" s="94" t="s">
        <v>276</v>
      </c>
      <c r="Z427" s="95" t="s">
        <v>276</v>
      </c>
      <c r="AA427" s="94" t="s">
        <v>276</v>
      </c>
      <c r="AB427" s="95" t="s">
        <v>276</v>
      </c>
      <c r="AC427" s="95" t="s">
        <v>4202</v>
      </c>
      <c r="AD427" s="95" t="s">
        <v>866</v>
      </c>
      <c r="AE427" s="94">
        <v>8</v>
      </c>
      <c r="AF427" s="94">
        <v>15</v>
      </c>
      <c r="AG427" s="98">
        <v>2029</v>
      </c>
      <c r="AH427" s="98">
        <v>2023</v>
      </c>
      <c r="AI427" s="99" t="s">
        <v>2047</v>
      </c>
      <c r="AJ427" s="102" t="s">
        <v>276</v>
      </c>
      <c r="AK427" s="101">
        <f t="shared" si="49"/>
        <v>3.9428289797930014</v>
      </c>
      <c r="AL427" s="102" t="s">
        <v>276</v>
      </c>
      <c r="AM427" s="102" t="s">
        <v>276</v>
      </c>
      <c r="AN427" s="102" t="s">
        <v>276</v>
      </c>
      <c r="AO427" s="101">
        <f t="shared" si="50"/>
        <v>7.4147305981216016</v>
      </c>
      <c r="AP427" s="102" t="s">
        <v>276</v>
      </c>
      <c r="AQ427" s="102" t="s">
        <v>276</v>
      </c>
      <c r="AR427" s="94" t="s">
        <v>268</v>
      </c>
      <c r="AS427" s="102" t="s">
        <v>276</v>
      </c>
      <c r="AT427" s="102">
        <f t="shared" si="52"/>
        <v>0.53175620174141613</v>
      </c>
      <c r="AU427" s="102" t="s">
        <v>276</v>
      </c>
      <c r="AV427" s="102" t="s">
        <v>276</v>
      </c>
      <c r="AW427" s="94" t="s">
        <v>276</v>
      </c>
      <c r="AX427" s="94" t="s">
        <v>282</v>
      </c>
      <c r="AY427" s="94" t="s">
        <v>276</v>
      </c>
      <c r="AZ427" s="94" t="s">
        <v>276</v>
      </c>
      <c r="BA427" s="94" t="s">
        <v>276</v>
      </c>
      <c r="BB427" s="94" t="s">
        <v>276</v>
      </c>
      <c r="BC427" s="95" t="s">
        <v>4196</v>
      </c>
      <c r="BD427" s="95" t="s">
        <v>4168</v>
      </c>
      <c r="BE427" s="33" t="s">
        <v>100</v>
      </c>
      <c r="BF427" s="33" t="s">
        <v>98</v>
      </c>
    </row>
    <row r="428" spans="1:58" s="103" customFormat="1" ht="91" x14ac:dyDescent="0.3">
      <c r="A428" s="94">
        <v>433</v>
      </c>
      <c r="B428" s="94" t="s">
        <v>4163</v>
      </c>
      <c r="C428" s="94" t="s">
        <v>74</v>
      </c>
      <c r="D428" s="95" t="s">
        <v>4203</v>
      </c>
      <c r="E428" s="94" t="s">
        <v>39</v>
      </c>
      <c r="F428" s="94" t="s">
        <v>143</v>
      </c>
      <c r="G428" s="94" t="s">
        <v>225</v>
      </c>
      <c r="H428" s="94" t="s">
        <v>125</v>
      </c>
      <c r="I428" s="94" t="s">
        <v>114</v>
      </c>
      <c r="J428" s="95" t="s">
        <v>24</v>
      </c>
      <c r="K428" s="95" t="s">
        <v>4165</v>
      </c>
      <c r="L428" s="95" t="s">
        <v>4166</v>
      </c>
      <c r="M428" s="94" t="s">
        <v>14</v>
      </c>
      <c r="N428" s="144" t="s">
        <v>98</v>
      </c>
      <c r="O428" s="96" t="s">
        <v>207</v>
      </c>
      <c r="P428" s="287" t="s">
        <v>276</v>
      </c>
      <c r="Q428" s="329" t="s">
        <v>728</v>
      </c>
      <c r="R428" s="95" t="s">
        <v>276</v>
      </c>
      <c r="S428" s="95" t="s">
        <v>276</v>
      </c>
      <c r="T428" s="95">
        <v>5</v>
      </c>
      <c r="U428" s="98">
        <v>2029</v>
      </c>
      <c r="V428" s="99">
        <v>2023</v>
      </c>
      <c r="W428" s="94" t="s">
        <v>276</v>
      </c>
      <c r="X428" s="94" t="s">
        <v>276</v>
      </c>
      <c r="Y428" s="94" t="s">
        <v>276</v>
      </c>
      <c r="Z428" s="95" t="s">
        <v>276</v>
      </c>
      <c r="AA428" s="94" t="s">
        <v>276</v>
      </c>
      <c r="AB428" s="95" t="s">
        <v>276</v>
      </c>
      <c r="AC428" s="95" t="s">
        <v>4204</v>
      </c>
      <c r="AD428" s="95" t="s">
        <v>866</v>
      </c>
      <c r="AE428" s="94">
        <v>9</v>
      </c>
      <c r="AF428" s="94">
        <v>21</v>
      </c>
      <c r="AG428" s="98">
        <v>2029</v>
      </c>
      <c r="AH428" s="98">
        <v>2023</v>
      </c>
      <c r="AI428" s="99" t="s">
        <v>2047</v>
      </c>
      <c r="AJ428" s="102" t="s">
        <v>276</v>
      </c>
      <c r="AK428" s="101">
        <f t="shared" si="49"/>
        <v>4.4356826022671267</v>
      </c>
      <c r="AL428" s="102" t="s">
        <v>276</v>
      </c>
      <c r="AM428" s="102" t="s">
        <v>276</v>
      </c>
      <c r="AN428" s="102" t="s">
        <v>276</v>
      </c>
      <c r="AO428" s="101">
        <f t="shared" si="50"/>
        <v>10.380622837370241</v>
      </c>
      <c r="AP428" s="102" t="s">
        <v>276</v>
      </c>
      <c r="AQ428" s="102" t="s">
        <v>276</v>
      </c>
      <c r="AR428" s="94" t="s">
        <v>268</v>
      </c>
      <c r="AS428" s="102" t="s">
        <v>276</v>
      </c>
      <c r="AT428" s="102">
        <f t="shared" si="52"/>
        <v>0.42730409068506658</v>
      </c>
      <c r="AU428" s="102" t="s">
        <v>276</v>
      </c>
      <c r="AV428" s="102" t="s">
        <v>276</v>
      </c>
      <c r="AW428" s="94" t="s">
        <v>276</v>
      </c>
      <c r="AX428" s="94" t="s">
        <v>282</v>
      </c>
      <c r="AY428" s="94" t="s">
        <v>276</v>
      </c>
      <c r="AZ428" s="94" t="s">
        <v>276</v>
      </c>
      <c r="BA428" s="94" t="s">
        <v>276</v>
      </c>
      <c r="BB428" s="94" t="s">
        <v>276</v>
      </c>
      <c r="BC428" s="95" t="s">
        <v>4196</v>
      </c>
      <c r="BD428" s="95" t="s">
        <v>4168</v>
      </c>
      <c r="BE428" s="33" t="s">
        <v>100</v>
      </c>
      <c r="BF428" s="33" t="s">
        <v>98</v>
      </c>
    </row>
    <row r="429" spans="1:58" s="103" customFormat="1" ht="91" x14ac:dyDescent="0.3">
      <c r="A429" s="94">
        <v>433</v>
      </c>
      <c r="B429" s="94" t="s">
        <v>4163</v>
      </c>
      <c r="C429" s="94" t="s">
        <v>74</v>
      </c>
      <c r="D429" s="95" t="s">
        <v>4205</v>
      </c>
      <c r="E429" s="94" t="s">
        <v>39</v>
      </c>
      <c r="F429" s="94" t="s">
        <v>143</v>
      </c>
      <c r="G429" s="94" t="s">
        <v>225</v>
      </c>
      <c r="H429" s="94" t="s">
        <v>125</v>
      </c>
      <c r="I429" s="94" t="s">
        <v>114</v>
      </c>
      <c r="J429" s="95" t="s">
        <v>24</v>
      </c>
      <c r="K429" s="95" t="s">
        <v>4165</v>
      </c>
      <c r="L429" s="95" t="s">
        <v>4166</v>
      </c>
      <c r="M429" s="94" t="s">
        <v>14</v>
      </c>
      <c r="N429" s="144" t="s">
        <v>98</v>
      </c>
      <c r="O429" s="96" t="s">
        <v>207</v>
      </c>
      <c r="P429" s="287" t="s">
        <v>276</v>
      </c>
      <c r="Q429" s="329" t="s">
        <v>733</v>
      </c>
      <c r="R429" s="95" t="s">
        <v>276</v>
      </c>
      <c r="S429" s="95" t="s">
        <v>276</v>
      </c>
      <c r="T429" s="95">
        <v>5</v>
      </c>
      <c r="U429" s="98">
        <v>2029</v>
      </c>
      <c r="V429" s="99">
        <v>2023</v>
      </c>
      <c r="W429" s="94" t="s">
        <v>276</v>
      </c>
      <c r="X429" s="94" t="s">
        <v>276</v>
      </c>
      <c r="Y429" s="94" t="s">
        <v>276</v>
      </c>
      <c r="Z429" s="95" t="s">
        <v>276</v>
      </c>
      <c r="AA429" s="94" t="s">
        <v>276</v>
      </c>
      <c r="AB429" s="95" t="s">
        <v>276</v>
      </c>
      <c r="AC429" s="95" t="s">
        <v>4206</v>
      </c>
      <c r="AD429" s="95" t="s">
        <v>866</v>
      </c>
      <c r="AE429" s="94">
        <v>15</v>
      </c>
      <c r="AF429" s="94">
        <v>24</v>
      </c>
      <c r="AG429" s="98">
        <v>2029</v>
      </c>
      <c r="AH429" s="98">
        <v>2023</v>
      </c>
      <c r="AI429" s="99" t="s">
        <v>2047</v>
      </c>
      <c r="AJ429" s="102" t="s">
        <v>276</v>
      </c>
      <c r="AK429" s="101">
        <f t="shared" si="49"/>
        <v>7.3928043371118779</v>
      </c>
      <c r="AL429" s="102" t="s">
        <v>276</v>
      </c>
      <c r="AM429" s="102" t="s">
        <v>276</v>
      </c>
      <c r="AN429" s="102" t="s">
        <v>276</v>
      </c>
      <c r="AO429" s="101">
        <f t="shared" si="50"/>
        <v>11.863568956994563</v>
      </c>
      <c r="AP429" s="102" t="s">
        <v>276</v>
      </c>
      <c r="AQ429" s="102" t="s">
        <v>276</v>
      </c>
      <c r="AR429" s="94" t="s">
        <v>268</v>
      </c>
      <c r="AS429" s="102" t="s">
        <v>276</v>
      </c>
      <c r="AT429" s="102">
        <f t="shared" si="52"/>
        <v>0.62315179891572203</v>
      </c>
      <c r="AU429" s="102" t="s">
        <v>276</v>
      </c>
      <c r="AV429" s="102" t="s">
        <v>276</v>
      </c>
      <c r="AW429" s="94" t="s">
        <v>276</v>
      </c>
      <c r="AX429" s="94" t="s">
        <v>282</v>
      </c>
      <c r="AY429" s="94" t="s">
        <v>276</v>
      </c>
      <c r="AZ429" s="94" t="s">
        <v>276</v>
      </c>
      <c r="BA429" s="94" t="s">
        <v>276</v>
      </c>
      <c r="BB429" s="94" t="s">
        <v>276</v>
      </c>
      <c r="BC429" s="95" t="s">
        <v>4196</v>
      </c>
      <c r="BD429" s="95" t="s">
        <v>4168</v>
      </c>
      <c r="BE429" s="33" t="s">
        <v>100</v>
      </c>
      <c r="BF429" s="33" t="s">
        <v>98</v>
      </c>
    </row>
    <row r="430" spans="1:58" s="103" customFormat="1" ht="91" x14ac:dyDescent="0.3">
      <c r="A430" s="94">
        <v>433</v>
      </c>
      <c r="B430" s="94" t="s">
        <v>4163</v>
      </c>
      <c r="C430" s="94" t="s">
        <v>74</v>
      </c>
      <c r="D430" s="95" t="s">
        <v>4207</v>
      </c>
      <c r="E430" s="94" t="s">
        <v>39</v>
      </c>
      <c r="F430" s="94" t="s">
        <v>143</v>
      </c>
      <c r="G430" s="94" t="s">
        <v>225</v>
      </c>
      <c r="H430" s="94" t="s">
        <v>125</v>
      </c>
      <c r="I430" s="94" t="s">
        <v>114</v>
      </c>
      <c r="J430" s="95" t="s">
        <v>24</v>
      </c>
      <c r="K430" s="95" t="s">
        <v>4165</v>
      </c>
      <c r="L430" s="95" t="s">
        <v>4166</v>
      </c>
      <c r="M430" s="94" t="s">
        <v>14</v>
      </c>
      <c r="N430" s="144" t="s">
        <v>98</v>
      </c>
      <c r="O430" s="96" t="s">
        <v>207</v>
      </c>
      <c r="P430" s="287" t="s">
        <v>276</v>
      </c>
      <c r="Q430" s="329" t="s">
        <v>741</v>
      </c>
      <c r="R430" s="95" t="s">
        <v>276</v>
      </c>
      <c r="S430" s="95" t="s">
        <v>276</v>
      </c>
      <c r="T430" s="95">
        <v>5</v>
      </c>
      <c r="U430" s="98">
        <v>2029</v>
      </c>
      <c r="V430" s="99">
        <v>2023</v>
      </c>
      <c r="W430" s="94" t="s">
        <v>276</v>
      </c>
      <c r="X430" s="94" t="s">
        <v>276</v>
      </c>
      <c r="Y430" s="94" t="s">
        <v>276</v>
      </c>
      <c r="Z430" s="95" t="s">
        <v>276</v>
      </c>
      <c r="AA430" s="94" t="s">
        <v>276</v>
      </c>
      <c r="AB430" s="95" t="s">
        <v>276</v>
      </c>
      <c r="AC430" s="95" t="s">
        <v>4208</v>
      </c>
      <c r="AD430" s="95" t="s">
        <v>866</v>
      </c>
      <c r="AE430" s="94">
        <v>20</v>
      </c>
      <c r="AF430" s="94">
        <v>27</v>
      </c>
      <c r="AG430" s="98">
        <v>2029</v>
      </c>
      <c r="AH430" s="98">
        <v>2023</v>
      </c>
      <c r="AI430" s="99" t="s">
        <v>2047</v>
      </c>
      <c r="AJ430" s="102" t="s">
        <v>276</v>
      </c>
      <c r="AK430" s="101">
        <f t="shared" si="49"/>
        <v>9.8570724494825033</v>
      </c>
      <c r="AL430" s="102" t="s">
        <v>276</v>
      </c>
      <c r="AM430" s="102" t="s">
        <v>276</v>
      </c>
      <c r="AN430" s="102" t="s">
        <v>276</v>
      </c>
      <c r="AO430" s="101">
        <f t="shared" si="50"/>
        <v>13.346515076618882</v>
      </c>
      <c r="AP430" s="102" t="s">
        <v>276</v>
      </c>
      <c r="AQ430" s="102" t="s">
        <v>276</v>
      </c>
      <c r="AR430" s="94" t="s">
        <v>268</v>
      </c>
      <c r="AS430" s="102" t="s">
        <v>276</v>
      </c>
      <c r="AT430" s="102">
        <f t="shared" si="52"/>
        <v>0.73855028019641134</v>
      </c>
      <c r="AU430" s="102" t="s">
        <v>276</v>
      </c>
      <c r="AV430" s="102" t="s">
        <v>276</v>
      </c>
      <c r="AW430" s="94" t="s">
        <v>276</v>
      </c>
      <c r="AX430" s="94" t="s">
        <v>282</v>
      </c>
      <c r="AY430" s="94" t="s">
        <v>276</v>
      </c>
      <c r="AZ430" s="94" t="s">
        <v>276</v>
      </c>
      <c r="BA430" s="94" t="s">
        <v>276</v>
      </c>
      <c r="BB430" s="94" t="s">
        <v>276</v>
      </c>
      <c r="BC430" s="95" t="s">
        <v>4196</v>
      </c>
      <c r="BD430" s="95" t="s">
        <v>4168</v>
      </c>
      <c r="BE430" s="33" t="s">
        <v>100</v>
      </c>
      <c r="BF430" s="33" t="s">
        <v>98</v>
      </c>
    </row>
    <row r="431" spans="1:58" s="103" customFormat="1" ht="91" x14ac:dyDescent="0.3">
      <c r="A431" s="94">
        <v>433</v>
      </c>
      <c r="B431" s="94" t="s">
        <v>4163</v>
      </c>
      <c r="C431" s="94" t="s">
        <v>74</v>
      </c>
      <c r="D431" s="95" t="s">
        <v>4209</v>
      </c>
      <c r="E431" s="94" t="s">
        <v>39</v>
      </c>
      <c r="F431" s="94" t="s">
        <v>143</v>
      </c>
      <c r="G431" s="94" t="s">
        <v>225</v>
      </c>
      <c r="H431" s="94" t="s">
        <v>125</v>
      </c>
      <c r="I431" s="94" t="s">
        <v>114</v>
      </c>
      <c r="J431" s="95" t="s">
        <v>24</v>
      </c>
      <c r="K431" s="95" t="s">
        <v>4165</v>
      </c>
      <c r="L431" s="95" t="s">
        <v>4166</v>
      </c>
      <c r="M431" s="94" t="s">
        <v>14</v>
      </c>
      <c r="N431" s="144" t="s">
        <v>98</v>
      </c>
      <c r="O431" s="96" t="s">
        <v>207</v>
      </c>
      <c r="P431" s="287" t="s">
        <v>276</v>
      </c>
      <c r="Q431" s="329" t="s">
        <v>746</v>
      </c>
      <c r="R431" s="95" t="s">
        <v>276</v>
      </c>
      <c r="S431" s="95" t="s">
        <v>276</v>
      </c>
      <c r="T431" s="95">
        <v>5</v>
      </c>
      <c r="U431" s="98">
        <v>2029</v>
      </c>
      <c r="V431" s="99">
        <v>2023</v>
      </c>
      <c r="W431" s="94" t="s">
        <v>276</v>
      </c>
      <c r="X431" s="94" t="s">
        <v>276</v>
      </c>
      <c r="Y431" s="94" t="s">
        <v>276</v>
      </c>
      <c r="Z431" s="95" t="s">
        <v>276</v>
      </c>
      <c r="AA431" s="94" t="s">
        <v>276</v>
      </c>
      <c r="AB431" s="95" t="s">
        <v>276</v>
      </c>
      <c r="AC431" s="95" t="s">
        <v>4210</v>
      </c>
      <c r="AD431" s="95" t="s">
        <v>866</v>
      </c>
      <c r="AE431" s="94">
        <v>25</v>
      </c>
      <c r="AF431" s="94">
        <v>35</v>
      </c>
      <c r="AG431" s="98">
        <v>2029</v>
      </c>
      <c r="AH431" s="98">
        <v>2023</v>
      </c>
      <c r="AI431" s="99" t="s">
        <v>2047</v>
      </c>
      <c r="AJ431" s="102" t="s">
        <v>276</v>
      </c>
      <c r="AK431" s="101">
        <f t="shared" si="49"/>
        <v>12.32134056185313</v>
      </c>
      <c r="AL431" s="102" t="s">
        <v>276</v>
      </c>
      <c r="AM431" s="102" t="s">
        <v>276</v>
      </c>
      <c r="AN431" s="102" t="s">
        <v>276</v>
      </c>
      <c r="AO431" s="101">
        <f t="shared" si="50"/>
        <v>17.301038062283737</v>
      </c>
      <c r="AP431" s="102" t="s">
        <v>276</v>
      </c>
      <c r="AQ431" s="102" t="s">
        <v>276</v>
      </c>
      <c r="AR431" s="94" t="s">
        <v>268</v>
      </c>
      <c r="AS431" s="102" t="s">
        <v>276</v>
      </c>
      <c r="AT431" s="102">
        <f t="shared" si="52"/>
        <v>0.71217348447511097</v>
      </c>
      <c r="AU431" s="102" t="s">
        <v>276</v>
      </c>
      <c r="AV431" s="102" t="s">
        <v>276</v>
      </c>
      <c r="AW431" s="94" t="s">
        <v>276</v>
      </c>
      <c r="AX431" s="94" t="s">
        <v>282</v>
      </c>
      <c r="AY431" s="94" t="s">
        <v>276</v>
      </c>
      <c r="AZ431" s="94" t="s">
        <v>276</v>
      </c>
      <c r="BA431" s="94" t="s">
        <v>276</v>
      </c>
      <c r="BB431" s="94" t="s">
        <v>276</v>
      </c>
      <c r="BC431" s="95" t="s">
        <v>4196</v>
      </c>
      <c r="BD431" s="95" t="s">
        <v>4183</v>
      </c>
      <c r="BE431" s="33" t="s">
        <v>100</v>
      </c>
      <c r="BF431" s="33" t="s">
        <v>98</v>
      </c>
    </row>
    <row r="432" spans="1:58" s="103" customFormat="1" ht="91" x14ac:dyDescent="0.3">
      <c r="A432" s="94">
        <v>433</v>
      </c>
      <c r="B432" s="94" t="s">
        <v>4163</v>
      </c>
      <c r="C432" s="94" t="s">
        <v>74</v>
      </c>
      <c r="D432" s="95" t="s">
        <v>4211</v>
      </c>
      <c r="E432" s="94" t="s">
        <v>39</v>
      </c>
      <c r="F432" s="94" t="s">
        <v>143</v>
      </c>
      <c r="G432" s="94" t="s">
        <v>225</v>
      </c>
      <c r="H432" s="94" t="s">
        <v>125</v>
      </c>
      <c r="I432" s="94" t="s">
        <v>114</v>
      </c>
      <c r="J432" s="95" t="s">
        <v>24</v>
      </c>
      <c r="K432" s="95" t="s">
        <v>4165</v>
      </c>
      <c r="L432" s="95" t="s">
        <v>4166</v>
      </c>
      <c r="M432" s="94" t="s">
        <v>14</v>
      </c>
      <c r="N432" s="144" t="s">
        <v>98</v>
      </c>
      <c r="O432" s="96" t="s">
        <v>207</v>
      </c>
      <c r="P432" s="287" t="s">
        <v>276</v>
      </c>
      <c r="Q432" s="329" t="s">
        <v>752</v>
      </c>
      <c r="R432" s="95" t="s">
        <v>276</v>
      </c>
      <c r="S432" s="95" t="s">
        <v>276</v>
      </c>
      <c r="T432" s="95">
        <v>5</v>
      </c>
      <c r="U432" s="98">
        <v>2029</v>
      </c>
      <c r="V432" s="99">
        <v>2023</v>
      </c>
      <c r="W432" s="94" t="s">
        <v>276</v>
      </c>
      <c r="X432" s="94" t="s">
        <v>276</v>
      </c>
      <c r="Y432" s="94" t="s">
        <v>276</v>
      </c>
      <c r="Z432" s="95" t="s">
        <v>276</v>
      </c>
      <c r="AA432" s="94" t="s">
        <v>276</v>
      </c>
      <c r="AB432" s="95" t="s">
        <v>276</v>
      </c>
      <c r="AC432" s="95" t="s">
        <v>4212</v>
      </c>
      <c r="AD432" s="95" t="s">
        <v>866</v>
      </c>
      <c r="AE432" s="94">
        <v>26</v>
      </c>
      <c r="AF432" s="94">
        <v>38</v>
      </c>
      <c r="AG432" s="98">
        <v>2029</v>
      </c>
      <c r="AH432" s="98">
        <v>2023</v>
      </c>
      <c r="AI432" s="99" t="s">
        <v>2047</v>
      </c>
      <c r="AJ432" s="102" t="s">
        <v>276</v>
      </c>
      <c r="AK432" s="101">
        <f t="shared" si="49"/>
        <v>12.814194184327254</v>
      </c>
      <c r="AL432" s="102" t="s">
        <v>276</v>
      </c>
      <c r="AM432" s="102" t="s">
        <v>276</v>
      </c>
      <c r="AN432" s="102" t="s">
        <v>276</v>
      </c>
      <c r="AO432" s="101">
        <f t="shared" si="50"/>
        <v>18.783984181908057</v>
      </c>
      <c r="AP432" s="102" t="s">
        <v>276</v>
      </c>
      <c r="AQ432" s="102" t="s">
        <v>276</v>
      </c>
      <c r="AR432" s="94" t="s">
        <v>268</v>
      </c>
      <c r="AS432" s="102" t="s">
        <v>276</v>
      </c>
      <c r="AT432" s="102">
        <f t="shared" si="52"/>
        <v>0.68218723249721147</v>
      </c>
      <c r="AU432" s="102" t="s">
        <v>276</v>
      </c>
      <c r="AV432" s="102" t="s">
        <v>276</v>
      </c>
      <c r="AW432" s="94" t="s">
        <v>276</v>
      </c>
      <c r="AX432" s="94" t="s">
        <v>282</v>
      </c>
      <c r="AY432" s="94" t="s">
        <v>276</v>
      </c>
      <c r="AZ432" s="94" t="s">
        <v>276</v>
      </c>
      <c r="BA432" s="94" t="s">
        <v>276</v>
      </c>
      <c r="BB432" s="94" t="s">
        <v>276</v>
      </c>
      <c r="BC432" s="95" t="s">
        <v>4196</v>
      </c>
      <c r="BD432" s="95" t="s">
        <v>4183</v>
      </c>
      <c r="BE432" s="33" t="s">
        <v>100</v>
      </c>
      <c r="BF432" s="33" t="s">
        <v>98</v>
      </c>
    </row>
    <row r="433" spans="1:58" s="103" customFormat="1" ht="91" x14ac:dyDescent="0.3">
      <c r="A433" s="94">
        <v>433</v>
      </c>
      <c r="B433" s="94" t="s">
        <v>4163</v>
      </c>
      <c r="C433" s="94" t="s">
        <v>74</v>
      </c>
      <c r="D433" s="95" t="s">
        <v>4213</v>
      </c>
      <c r="E433" s="94" t="s">
        <v>39</v>
      </c>
      <c r="F433" s="94" t="s">
        <v>143</v>
      </c>
      <c r="G433" s="94" t="s">
        <v>225</v>
      </c>
      <c r="H433" s="94" t="s">
        <v>125</v>
      </c>
      <c r="I433" s="94" t="s">
        <v>114</v>
      </c>
      <c r="J433" s="95" t="s">
        <v>24</v>
      </c>
      <c r="K433" s="95" t="s">
        <v>4165</v>
      </c>
      <c r="L433" s="95" t="s">
        <v>4166</v>
      </c>
      <c r="M433" s="94" t="s">
        <v>14</v>
      </c>
      <c r="N433" s="144" t="s">
        <v>98</v>
      </c>
      <c r="O433" s="96" t="s">
        <v>207</v>
      </c>
      <c r="P433" s="287" t="s">
        <v>276</v>
      </c>
      <c r="Q433" s="329" t="s">
        <v>766</v>
      </c>
      <c r="R433" s="95" t="s">
        <v>276</v>
      </c>
      <c r="S433" s="95" t="s">
        <v>276</v>
      </c>
      <c r="T433" s="95">
        <v>5</v>
      </c>
      <c r="U433" s="98">
        <v>2029</v>
      </c>
      <c r="V433" s="99">
        <v>2023</v>
      </c>
      <c r="W433" s="94" t="s">
        <v>276</v>
      </c>
      <c r="X433" s="94" t="s">
        <v>276</v>
      </c>
      <c r="Y433" s="94" t="s">
        <v>276</v>
      </c>
      <c r="Z433" s="95" t="s">
        <v>276</v>
      </c>
      <c r="AA433" s="94" t="s">
        <v>276</v>
      </c>
      <c r="AB433" s="95" t="s">
        <v>276</v>
      </c>
      <c r="AC433" s="95" t="s">
        <v>4214</v>
      </c>
      <c r="AD433" s="95" t="s">
        <v>866</v>
      </c>
      <c r="AE433" s="94">
        <v>28</v>
      </c>
      <c r="AF433" s="94">
        <v>39</v>
      </c>
      <c r="AG433" s="98">
        <v>2029</v>
      </c>
      <c r="AH433" s="98">
        <v>2023</v>
      </c>
      <c r="AI433" s="99" t="s">
        <v>2047</v>
      </c>
      <c r="AJ433" s="102" t="s">
        <v>276</v>
      </c>
      <c r="AK433" s="101">
        <f t="shared" si="49"/>
        <v>13.799901429275506</v>
      </c>
      <c r="AL433" s="102" t="s">
        <v>276</v>
      </c>
      <c r="AM433" s="102" t="s">
        <v>276</v>
      </c>
      <c r="AN433" s="102" t="s">
        <v>276</v>
      </c>
      <c r="AO433" s="101">
        <f t="shared" si="50"/>
        <v>19.278299555116163</v>
      </c>
      <c r="AP433" s="102" t="s">
        <v>276</v>
      </c>
      <c r="AQ433" s="102" t="s">
        <v>276</v>
      </c>
      <c r="AR433" s="94" t="s">
        <v>268</v>
      </c>
      <c r="AS433" s="102" t="s">
        <v>276</v>
      </c>
      <c r="AT433" s="102">
        <f t="shared" si="52"/>
        <v>0.71582565619036798</v>
      </c>
      <c r="AU433" s="102" t="s">
        <v>276</v>
      </c>
      <c r="AV433" s="102" t="s">
        <v>276</v>
      </c>
      <c r="AW433" s="94" t="s">
        <v>276</v>
      </c>
      <c r="AX433" s="94" t="s">
        <v>282</v>
      </c>
      <c r="AY433" s="94" t="s">
        <v>276</v>
      </c>
      <c r="AZ433" s="94" t="s">
        <v>276</v>
      </c>
      <c r="BA433" s="94" t="s">
        <v>276</v>
      </c>
      <c r="BB433" s="94" t="s">
        <v>276</v>
      </c>
      <c r="BC433" s="95" t="s">
        <v>4196</v>
      </c>
      <c r="BD433" s="95" t="s">
        <v>4183</v>
      </c>
      <c r="BE433" s="33" t="s">
        <v>100</v>
      </c>
      <c r="BF433" s="33" t="s">
        <v>98</v>
      </c>
    </row>
    <row r="434" spans="1:58" s="103" customFormat="1" ht="91" x14ac:dyDescent="0.3">
      <c r="A434" s="94">
        <v>433</v>
      </c>
      <c r="B434" s="94" t="s">
        <v>4163</v>
      </c>
      <c r="C434" s="94" t="s">
        <v>74</v>
      </c>
      <c r="D434" s="95" t="s">
        <v>4215</v>
      </c>
      <c r="E434" s="94" t="s">
        <v>39</v>
      </c>
      <c r="F434" s="94" t="s">
        <v>143</v>
      </c>
      <c r="G434" s="94" t="s">
        <v>225</v>
      </c>
      <c r="H434" s="94" t="s">
        <v>125</v>
      </c>
      <c r="I434" s="94" t="s">
        <v>114</v>
      </c>
      <c r="J434" s="95" t="s">
        <v>24</v>
      </c>
      <c r="K434" s="95" t="s">
        <v>4165</v>
      </c>
      <c r="L434" s="95" t="s">
        <v>4166</v>
      </c>
      <c r="M434" s="94" t="s">
        <v>14</v>
      </c>
      <c r="N434" s="144" t="s">
        <v>98</v>
      </c>
      <c r="O434" s="96" t="s">
        <v>207</v>
      </c>
      <c r="P434" s="287" t="s">
        <v>4189</v>
      </c>
      <c r="Q434" s="329" t="s">
        <v>770</v>
      </c>
      <c r="R434" s="95" t="s">
        <v>4190</v>
      </c>
      <c r="S434" s="95" t="s">
        <v>4190</v>
      </c>
      <c r="T434" s="95">
        <v>5</v>
      </c>
      <c r="U434" s="98">
        <v>2029</v>
      </c>
      <c r="V434" s="99">
        <v>2023</v>
      </c>
      <c r="W434" s="94" t="s">
        <v>276</v>
      </c>
      <c r="X434" s="94" t="s">
        <v>276</v>
      </c>
      <c r="Y434" s="94">
        <v>8</v>
      </c>
      <c r="Z434" s="95" t="s">
        <v>4216</v>
      </c>
      <c r="AA434" s="94">
        <v>5</v>
      </c>
      <c r="AB434" s="95" t="s">
        <v>4216</v>
      </c>
      <c r="AC434" s="95" t="s">
        <v>4217</v>
      </c>
      <c r="AD434" s="95" t="s">
        <v>866</v>
      </c>
      <c r="AE434" s="94">
        <v>29</v>
      </c>
      <c r="AF434" s="94">
        <v>40</v>
      </c>
      <c r="AG434" s="98">
        <v>2029</v>
      </c>
      <c r="AH434" s="98">
        <v>2023</v>
      </c>
      <c r="AI434" s="99" t="s">
        <v>2047</v>
      </c>
      <c r="AJ434" s="102" t="s">
        <v>276</v>
      </c>
      <c r="AK434" s="101">
        <f>AE434*1000/AG434</f>
        <v>14.29275505174963</v>
      </c>
      <c r="AL434" s="102" t="s">
        <v>276</v>
      </c>
      <c r="AM434" s="102" t="s">
        <v>276</v>
      </c>
      <c r="AN434" s="102" t="s">
        <v>276</v>
      </c>
      <c r="AO434" s="101">
        <f>AF434*1000/AH434</f>
        <v>19.77261492832427</v>
      </c>
      <c r="AP434" s="102" t="s">
        <v>276</v>
      </c>
      <c r="AQ434" s="102" t="s">
        <v>276</v>
      </c>
      <c r="AR434" s="94" t="s">
        <v>270</v>
      </c>
      <c r="AS434" s="102" t="s">
        <v>276</v>
      </c>
      <c r="AT434" s="102" t="s">
        <v>276</v>
      </c>
      <c r="AU434" s="102" t="s">
        <v>276</v>
      </c>
      <c r="AV434" s="102" t="s">
        <v>276</v>
      </c>
      <c r="AW434" s="102" t="s">
        <v>276</v>
      </c>
      <c r="AX434" s="94" t="s">
        <v>1488</v>
      </c>
      <c r="AY434" s="102">
        <v>0.74</v>
      </c>
      <c r="AZ434" s="102">
        <v>0.46</v>
      </c>
      <c r="BA434" s="102">
        <v>1.19</v>
      </c>
      <c r="BB434" s="94">
        <v>0.21</v>
      </c>
      <c r="BC434" s="95" t="s">
        <v>4218</v>
      </c>
      <c r="BD434" s="95" t="s">
        <v>4168</v>
      </c>
      <c r="BE434" s="33" t="s">
        <v>99</v>
      </c>
      <c r="BF434" s="33" t="s">
        <v>11163</v>
      </c>
    </row>
    <row r="435" spans="1:58" s="103" customFormat="1" ht="91" x14ac:dyDescent="0.3">
      <c r="A435" s="94">
        <v>433</v>
      </c>
      <c r="B435" s="94" t="s">
        <v>4163</v>
      </c>
      <c r="C435" s="94" t="s">
        <v>74</v>
      </c>
      <c r="D435" s="95" t="s">
        <v>4219</v>
      </c>
      <c r="E435" s="94" t="s">
        <v>39</v>
      </c>
      <c r="F435" s="94" t="s">
        <v>143</v>
      </c>
      <c r="G435" s="94" t="s">
        <v>225</v>
      </c>
      <c r="H435" s="94" t="s">
        <v>125</v>
      </c>
      <c r="I435" s="94" t="s">
        <v>114</v>
      </c>
      <c r="J435" s="95" t="s">
        <v>24</v>
      </c>
      <c r="K435" s="95" t="s">
        <v>4165</v>
      </c>
      <c r="L435" s="95" t="s">
        <v>4166</v>
      </c>
      <c r="M435" s="94" t="s">
        <v>14</v>
      </c>
      <c r="N435" s="144" t="s">
        <v>98</v>
      </c>
      <c r="O435" s="96" t="s">
        <v>207</v>
      </c>
      <c r="P435" s="287" t="s">
        <v>4189</v>
      </c>
      <c r="Q435" s="329" t="s">
        <v>770</v>
      </c>
      <c r="R435" s="95" t="s">
        <v>4190</v>
      </c>
      <c r="S435" s="95" t="s">
        <v>4190</v>
      </c>
      <c r="T435" s="95">
        <v>5</v>
      </c>
      <c r="U435" s="98">
        <v>2029</v>
      </c>
      <c r="V435" s="99">
        <v>2023</v>
      </c>
      <c r="W435" s="94" t="s">
        <v>276</v>
      </c>
      <c r="X435" s="94" t="s">
        <v>276</v>
      </c>
      <c r="Y435" s="94">
        <v>8</v>
      </c>
      <c r="Z435" s="95" t="s">
        <v>4216</v>
      </c>
      <c r="AA435" s="94">
        <v>5</v>
      </c>
      <c r="AB435" s="95" t="s">
        <v>4216</v>
      </c>
      <c r="AC435" s="95" t="s">
        <v>4217</v>
      </c>
      <c r="AD435" s="95" t="s">
        <v>866</v>
      </c>
      <c r="AE435" s="94">
        <v>29</v>
      </c>
      <c r="AF435" s="94">
        <v>40</v>
      </c>
      <c r="AG435" s="98">
        <v>2029</v>
      </c>
      <c r="AH435" s="98">
        <v>2023</v>
      </c>
      <c r="AI435" s="99" t="s">
        <v>2047</v>
      </c>
      <c r="AJ435" s="102" t="s">
        <v>276</v>
      </c>
      <c r="AK435" s="101">
        <f>AE435*1000/AG435</f>
        <v>14.29275505174963</v>
      </c>
      <c r="AL435" s="102" t="s">
        <v>276</v>
      </c>
      <c r="AM435" s="102" t="s">
        <v>276</v>
      </c>
      <c r="AN435" s="102" t="s">
        <v>276</v>
      </c>
      <c r="AO435" s="101">
        <f>AF435*1000/AH435</f>
        <v>19.77261492832427</v>
      </c>
      <c r="AP435" s="102" t="s">
        <v>276</v>
      </c>
      <c r="AQ435" s="102" t="s">
        <v>276</v>
      </c>
      <c r="AR435" s="94" t="s">
        <v>268</v>
      </c>
      <c r="AS435" s="102" t="s">
        <v>276</v>
      </c>
      <c r="AT435" s="102">
        <f>AK435/AO435</f>
        <v>0.72285608674223756</v>
      </c>
      <c r="AU435" s="102" t="s">
        <v>276</v>
      </c>
      <c r="AV435" s="102" t="s">
        <v>276</v>
      </c>
      <c r="AW435" s="94" t="s">
        <v>276</v>
      </c>
      <c r="AX435" s="94" t="s">
        <v>282</v>
      </c>
      <c r="AY435" s="94" t="s">
        <v>276</v>
      </c>
      <c r="AZ435" s="94" t="s">
        <v>276</v>
      </c>
      <c r="BA435" s="94" t="s">
        <v>276</v>
      </c>
      <c r="BB435" s="94" t="s">
        <v>276</v>
      </c>
      <c r="BC435" s="95" t="s">
        <v>4218</v>
      </c>
      <c r="BD435" s="95" t="s">
        <v>4168</v>
      </c>
      <c r="BE435" s="33" t="s">
        <v>99</v>
      </c>
      <c r="BF435" s="33" t="s">
        <v>11163</v>
      </c>
    </row>
    <row r="436" spans="1:58" s="208" customFormat="1" ht="91" x14ac:dyDescent="0.3">
      <c r="A436" s="112">
        <v>433</v>
      </c>
      <c r="B436" s="112" t="s">
        <v>4163</v>
      </c>
      <c r="C436" s="112" t="s">
        <v>74</v>
      </c>
      <c r="D436" s="113" t="s">
        <v>4220</v>
      </c>
      <c r="E436" s="112" t="s">
        <v>39</v>
      </c>
      <c r="F436" s="112" t="s">
        <v>143</v>
      </c>
      <c r="G436" s="112" t="s">
        <v>225</v>
      </c>
      <c r="H436" s="112" t="s">
        <v>125</v>
      </c>
      <c r="I436" s="112" t="s">
        <v>114</v>
      </c>
      <c r="J436" s="113" t="s">
        <v>24</v>
      </c>
      <c r="K436" s="113" t="s">
        <v>4165</v>
      </c>
      <c r="L436" s="113" t="s">
        <v>4166</v>
      </c>
      <c r="M436" s="112" t="s">
        <v>16</v>
      </c>
      <c r="N436" s="204" t="s">
        <v>170</v>
      </c>
      <c r="O436" s="117" t="s">
        <v>207</v>
      </c>
      <c r="P436" s="301" t="s">
        <v>276</v>
      </c>
      <c r="Q436" s="328" t="s">
        <v>705</v>
      </c>
      <c r="R436" s="113" t="s">
        <v>276</v>
      </c>
      <c r="S436" s="113" t="s">
        <v>276</v>
      </c>
      <c r="T436" s="113">
        <v>5</v>
      </c>
      <c r="U436" s="118">
        <v>2029</v>
      </c>
      <c r="V436" s="119">
        <v>2023</v>
      </c>
      <c r="W436" s="112" t="s">
        <v>276</v>
      </c>
      <c r="X436" s="112" t="s">
        <v>276</v>
      </c>
      <c r="Y436" s="112" t="s">
        <v>276</v>
      </c>
      <c r="Z436" s="113" t="s">
        <v>276</v>
      </c>
      <c r="AA436" s="112" t="s">
        <v>276</v>
      </c>
      <c r="AB436" s="113" t="s">
        <v>276</v>
      </c>
      <c r="AC436" s="113" t="s">
        <v>4221</v>
      </c>
      <c r="AD436" s="113" t="s">
        <v>689</v>
      </c>
      <c r="AE436" s="112">
        <v>0</v>
      </c>
      <c r="AF436" s="112">
        <v>1</v>
      </c>
      <c r="AG436" s="118">
        <v>1315</v>
      </c>
      <c r="AH436" s="119">
        <v>1307</v>
      </c>
      <c r="AI436" s="119" t="s">
        <v>2047</v>
      </c>
      <c r="AJ436" s="121" t="s">
        <v>276</v>
      </c>
      <c r="AK436" s="207">
        <f t="shared" si="49"/>
        <v>0</v>
      </c>
      <c r="AL436" s="121" t="s">
        <v>276</v>
      </c>
      <c r="AM436" s="121" t="s">
        <v>276</v>
      </c>
      <c r="AN436" s="121" t="s">
        <v>276</v>
      </c>
      <c r="AO436" s="207">
        <f t="shared" si="50"/>
        <v>0.7651109410864575</v>
      </c>
      <c r="AP436" s="121" t="s">
        <v>276</v>
      </c>
      <c r="AQ436" s="121" t="s">
        <v>276</v>
      </c>
      <c r="AR436" s="112" t="s">
        <v>268</v>
      </c>
      <c r="AS436" s="121" t="s">
        <v>276</v>
      </c>
      <c r="AT436" s="121">
        <f t="shared" si="52"/>
        <v>0</v>
      </c>
      <c r="AU436" s="121" t="s">
        <v>276</v>
      </c>
      <c r="AV436" s="121" t="s">
        <v>276</v>
      </c>
      <c r="AW436" s="112" t="s">
        <v>276</v>
      </c>
      <c r="AX436" s="112" t="s">
        <v>282</v>
      </c>
      <c r="AY436" s="112" t="s">
        <v>276</v>
      </c>
      <c r="AZ436" s="112" t="s">
        <v>276</v>
      </c>
      <c r="BA436" s="112" t="s">
        <v>276</v>
      </c>
      <c r="BB436" s="112" t="s">
        <v>276</v>
      </c>
      <c r="BC436" s="113" t="s">
        <v>4222</v>
      </c>
      <c r="BD436" s="113" t="s">
        <v>4168</v>
      </c>
      <c r="BE436" s="33" t="s">
        <v>100</v>
      </c>
      <c r="BF436" s="33" t="s">
        <v>98</v>
      </c>
    </row>
    <row r="437" spans="1:58" s="208" customFormat="1" ht="91" x14ac:dyDescent="0.3">
      <c r="A437" s="112">
        <v>433</v>
      </c>
      <c r="B437" s="112" t="s">
        <v>4163</v>
      </c>
      <c r="C437" s="112" t="s">
        <v>74</v>
      </c>
      <c r="D437" s="113" t="s">
        <v>4223</v>
      </c>
      <c r="E437" s="112" t="s">
        <v>39</v>
      </c>
      <c r="F437" s="112" t="s">
        <v>143</v>
      </c>
      <c r="G437" s="112" t="s">
        <v>225</v>
      </c>
      <c r="H437" s="112" t="s">
        <v>125</v>
      </c>
      <c r="I437" s="112" t="s">
        <v>114</v>
      </c>
      <c r="J437" s="113" t="s">
        <v>24</v>
      </c>
      <c r="K437" s="113" t="s">
        <v>4165</v>
      </c>
      <c r="L437" s="113" t="s">
        <v>4166</v>
      </c>
      <c r="M437" s="112" t="s">
        <v>16</v>
      </c>
      <c r="N437" s="204" t="s">
        <v>170</v>
      </c>
      <c r="O437" s="117" t="s">
        <v>207</v>
      </c>
      <c r="P437" s="301" t="s">
        <v>276</v>
      </c>
      <c r="Q437" s="328" t="s">
        <v>710</v>
      </c>
      <c r="R437" s="113" t="s">
        <v>276</v>
      </c>
      <c r="S437" s="113" t="s">
        <v>276</v>
      </c>
      <c r="T437" s="113">
        <v>2</v>
      </c>
      <c r="U437" s="118">
        <v>1315</v>
      </c>
      <c r="V437" s="119">
        <v>1307</v>
      </c>
      <c r="W437" s="112" t="s">
        <v>276</v>
      </c>
      <c r="X437" s="112" t="s">
        <v>276</v>
      </c>
      <c r="Y437" s="112" t="s">
        <v>276</v>
      </c>
      <c r="Z437" s="113" t="s">
        <v>276</v>
      </c>
      <c r="AA437" s="112" t="s">
        <v>276</v>
      </c>
      <c r="AB437" s="113" t="s">
        <v>276</v>
      </c>
      <c r="AC437" s="113" t="s">
        <v>4224</v>
      </c>
      <c r="AD437" s="113" t="s">
        <v>689</v>
      </c>
      <c r="AE437" s="112">
        <v>1</v>
      </c>
      <c r="AF437" s="112">
        <v>4</v>
      </c>
      <c r="AG437" s="118">
        <v>1315</v>
      </c>
      <c r="AH437" s="119">
        <v>1307</v>
      </c>
      <c r="AI437" s="119" t="s">
        <v>2047</v>
      </c>
      <c r="AJ437" s="121" t="s">
        <v>276</v>
      </c>
      <c r="AK437" s="207">
        <f t="shared" si="49"/>
        <v>0.76045627376425851</v>
      </c>
      <c r="AL437" s="121" t="s">
        <v>276</v>
      </c>
      <c r="AM437" s="121" t="s">
        <v>276</v>
      </c>
      <c r="AN437" s="121" t="s">
        <v>276</v>
      </c>
      <c r="AO437" s="207">
        <f t="shared" si="50"/>
        <v>3.06044376434583</v>
      </c>
      <c r="AP437" s="121" t="s">
        <v>276</v>
      </c>
      <c r="AQ437" s="121" t="s">
        <v>276</v>
      </c>
      <c r="AR437" s="112" t="s">
        <v>268</v>
      </c>
      <c r="AS437" s="121" t="s">
        <v>276</v>
      </c>
      <c r="AT437" s="121">
        <f t="shared" si="52"/>
        <v>0.24847908745247149</v>
      </c>
      <c r="AU437" s="121" t="s">
        <v>276</v>
      </c>
      <c r="AV437" s="121" t="s">
        <v>276</v>
      </c>
      <c r="AW437" s="112" t="s">
        <v>276</v>
      </c>
      <c r="AX437" s="112" t="s">
        <v>282</v>
      </c>
      <c r="AY437" s="112" t="s">
        <v>276</v>
      </c>
      <c r="AZ437" s="112" t="s">
        <v>276</v>
      </c>
      <c r="BA437" s="112" t="s">
        <v>276</v>
      </c>
      <c r="BB437" s="112" t="s">
        <v>276</v>
      </c>
      <c r="BC437" s="113" t="s">
        <v>4222</v>
      </c>
      <c r="BD437" s="113" t="s">
        <v>4168</v>
      </c>
      <c r="BE437" s="33" t="s">
        <v>100</v>
      </c>
      <c r="BF437" s="33" t="s">
        <v>98</v>
      </c>
    </row>
    <row r="438" spans="1:58" s="208" customFormat="1" ht="91" x14ac:dyDescent="0.3">
      <c r="A438" s="112">
        <v>433</v>
      </c>
      <c r="B438" s="112" t="s">
        <v>4163</v>
      </c>
      <c r="C438" s="112" t="s">
        <v>74</v>
      </c>
      <c r="D438" s="113" t="s">
        <v>4225</v>
      </c>
      <c r="E438" s="112" t="s">
        <v>39</v>
      </c>
      <c r="F438" s="112" t="s">
        <v>143</v>
      </c>
      <c r="G438" s="112" t="s">
        <v>225</v>
      </c>
      <c r="H438" s="112" t="s">
        <v>125</v>
      </c>
      <c r="I438" s="112" t="s">
        <v>114</v>
      </c>
      <c r="J438" s="113" t="s">
        <v>24</v>
      </c>
      <c r="K438" s="113" t="s">
        <v>4165</v>
      </c>
      <c r="L438" s="113" t="s">
        <v>4166</v>
      </c>
      <c r="M438" s="112" t="s">
        <v>16</v>
      </c>
      <c r="N438" s="204" t="s">
        <v>170</v>
      </c>
      <c r="O438" s="117" t="s">
        <v>207</v>
      </c>
      <c r="P438" s="301" t="s">
        <v>276</v>
      </c>
      <c r="Q438" s="328" t="s">
        <v>686</v>
      </c>
      <c r="R438" s="113" t="s">
        <v>276</v>
      </c>
      <c r="S438" s="113" t="s">
        <v>276</v>
      </c>
      <c r="T438" s="113">
        <v>3</v>
      </c>
      <c r="U438" s="118">
        <v>1315</v>
      </c>
      <c r="V438" s="119">
        <v>1307</v>
      </c>
      <c r="W438" s="112" t="s">
        <v>276</v>
      </c>
      <c r="X438" s="112" t="s">
        <v>276</v>
      </c>
      <c r="Y438" s="112" t="s">
        <v>276</v>
      </c>
      <c r="Z438" s="113" t="s">
        <v>276</v>
      </c>
      <c r="AA438" s="112" t="s">
        <v>276</v>
      </c>
      <c r="AB438" s="113" t="s">
        <v>276</v>
      </c>
      <c r="AC438" s="113" t="s">
        <v>4226</v>
      </c>
      <c r="AD438" s="113" t="s">
        <v>689</v>
      </c>
      <c r="AE438" s="112">
        <v>5</v>
      </c>
      <c r="AF438" s="112">
        <v>8</v>
      </c>
      <c r="AG438" s="118">
        <v>1315</v>
      </c>
      <c r="AH438" s="119">
        <v>1307</v>
      </c>
      <c r="AI438" s="119" t="s">
        <v>2047</v>
      </c>
      <c r="AJ438" s="121" t="s">
        <v>276</v>
      </c>
      <c r="AK438" s="207">
        <f t="shared" si="49"/>
        <v>3.8022813688212929</v>
      </c>
      <c r="AL438" s="121" t="s">
        <v>276</v>
      </c>
      <c r="AM438" s="121" t="s">
        <v>276</v>
      </c>
      <c r="AN438" s="121" t="s">
        <v>276</v>
      </c>
      <c r="AO438" s="207">
        <f t="shared" si="50"/>
        <v>6.12088752869166</v>
      </c>
      <c r="AP438" s="121" t="s">
        <v>276</v>
      </c>
      <c r="AQ438" s="121" t="s">
        <v>276</v>
      </c>
      <c r="AR438" s="112" t="s">
        <v>268</v>
      </c>
      <c r="AS438" s="121" t="s">
        <v>276</v>
      </c>
      <c r="AT438" s="121">
        <f t="shared" si="52"/>
        <v>0.62119771863117879</v>
      </c>
      <c r="AU438" s="121" t="s">
        <v>276</v>
      </c>
      <c r="AV438" s="121" t="s">
        <v>276</v>
      </c>
      <c r="AW438" s="112" t="s">
        <v>276</v>
      </c>
      <c r="AX438" s="112" t="s">
        <v>282</v>
      </c>
      <c r="AY438" s="112" t="s">
        <v>276</v>
      </c>
      <c r="AZ438" s="112" t="s">
        <v>276</v>
      </c>
      <c r="BA438" s="112" t="s">
        <v>276</v>
      </c>
      <c r="BB438" s="112" t="s">
        <v>276</v>
      </c>
      <c r="BC438" s="113" t="s">
        <v>4222</v>
      </c>
      <c r="BD438" s="113" t="s">
        <v>4168</v>
      </c>
      <c r="BE438" s="33" t="s">
        <v>100</v>
      </c>
      <c r="BF438" s="33" t="s">
        <v>98</v>
      </c>
    </row>
    <row r="439" spans="1:58" s="208" customFormat="1" ht="91" x14ac:dyDescent="0.3">
      <c r="A439" s="112">
        <v>433</v>
      </c>
      <c r="B439" s="112" t="s">
        <v>4163</v>
      </c>
      <c r="C439" s="112" t="s">
        <v>74</v>
      </c>
      <c r="D439" s="113" t="s">
        <v>4227</v>
      </c>
      <c r="E439" s="112" t="s">
        <v>39</v>
      </c>
      <c r="F439" s="112" t="s">
        <v>143</v>
      </c>
      <c r="G439" s="112" t="s">
        <v>225</v>
      </c>
      <c r="H439" s="112" t="s">
        <v>125</v>
      </c>
      <c r="I439" s="112" t="s">
        <v>114</v>
      </c>
      <c r="J439" s="113" t="s">
        <v>24</v>
      </c>
      <c r="K439" s="113" t="s">
        <v>4165</v>
      </c>
      <c r="L439" s="113" t="s">
        <v>4166</v>
      </c>
      <c r="M439" s="112" t="s">
        <v>16</v>
      </c>
      <c r="N439" s="204" t="s">
        <v>170</v>
      </c>
      <c r="O439" s="117" t="s">
        <v>207</v>
      </c>
      <c r="P439" s="301" t="s">
        <v>276</v>
      </c>
      <c r="Q439" s="328" t="s">
        <v>721</v>
      </c>
      <c r="R439" s="113" t="s">
        <v>276</v>
      </c>
      <c r="S439" s="113" t="s">
        <v>276</v>
      </c>
      <c r="T439" s="113">
        <v>4</v>
      </c>
      <c r="U439" s="118">
        <v>1315</v>
      </c>
      <c r="V439" s="119">
        <v>1307</v>
      </c>
      <c r="W439" s="112" t="s">
        <v>276</v>
      </c>
      <c r="X439" s="112" t="s">
        <v>276</v>
      </c>
      <c r="Y439" s="112" t="s">
        <v>276</v>
      </c>
      <c r="Z439" s="113" t="s">
        <v>276</v>
      </c>
      <c r="AA439" s="112" t="s">
        <v>276</v>
      </c>
      <c r="AB439" s="113" t="s">
        <v>276</v>
      </c>
      <c r="AC439" s="113" t="s">
        <v>4228</v>
      </c>
      <c r="AD439" s="113" t="s">
        <v>689</v>
      </c>
      <c r="AE439" s="112">
        <v>7</v>
      </c>
      <c r="AF439" s="112">
        <v>11</v>
      </c>
      <c r="AG439" s="118">
        <v>1315</v>
      </c>
      <c r="AH439" s="119">
        <v>1307</v>
      </c>
      <c r="AI439" s="119" t="s">
        <v>2047</v>
      </c>
      <c r="AJ439" s="121" t="s">
        <v>276</v>
      </c>
      <c r="AK439" s="207">
        <f t="shared" si="49"/>
        <v>5.3231939163498101</v>
      </c>
      <c r="AL439" s="121" t="s">
        <v>276</v>
      </c>
      <c r="AM439" s="121" t="s">
        <v>276</v>
      </c>
      <c r="AN439" s="121" t="s">
        <v>276</v>
      </c>
      <c r="AO439" s="207">
        <f t="shared" si="50"/>
        <v>8.4162203519510328</v>
      </c>
      <c r="AP439" s="121" t="s">
        <v>276</v>
      </c>
      <c r="AQ439" s="121" t="s">
        <v>276</v>
      </c>
      <c r="AR439" s="112" t="s">
        <v>268</v>
      </c>
      <c r="AS439" s="121" t="s">
        <v>276</v>
      </c>
      <c r="AT439" s="121">
        <f t="shared" si="52"/>
        <v>0.63249222260629112</v>
      </c>
      <c r="AU439" s="121" t="s">
        <v>276</v>
      </c>
      <c r="AV439" s="121" t="s">
        <v>276</v>
      </c>
      <c r="AW439" s="112" t="s">
        <v>276</v>
      </c>
      <c r="AX439" s="112" t="s">
        <v>282</v>
      </c>
      <c r="AY439" s="112" t="s">
        <v>276</v>
      </c>
      <c r="AZ439" s="112" t="s">
        <v>276</v>
      </c>
      <c r="BA439" s="112" t="s">
        <v>276</v>
      </c>
      <c r="BB439" s="112" t="s">
        <v>276</v>
      </c>
      <c r="BC439" s="113" t="s">
        <v>4222</v>
      </c>
      <c r="BD439" s="113" t="s">
        <v>4168</v>
      </c>
      <c r="BE439" s="33" t="s">
        <v>100</v>
      </c>
      <c r="BF439" s="33" t="s">
        <v>98</v>
      </c>
    </row>
    <row r="440" spans="1:58" s="208" customFormat="1" ht="91" x14ac:dyDescent="0.3">
      <c r="A440" s="112">
        <v>433</v>
      </c>
      <c r="B440" s="112" t="s">
        <v>4163</v>
      </c>
      <c r="C440" s="112" t="s">
        <v>74</v>
      </c>
      <c r="D440" s="113" t="s">
        <v>4229</v>
      </c>
      <c r="E440" s="112" t="s">
        <v>39</v>
      </c>
      <c r="F440" s="112" t="s">
        <v>143</v>
      </c>
      <c r="G440" s="112" t="s">
        <v>225</v>
      </c>
      <c r="H440" s="112" t="s">
        <v>125</v>
      </c>
      <c r="I440" s="112" t="s">
        <v>114</v>
      </c>
      <c r="J440" s="113" t="s">
        <v>24</v>
      </c>
      <c r="K440" s="113" t="s">
        <v>4165</v>
      </c>
      <c r="L440" s="113" t="s">
        <v>4166</v>
      </c>
      <c r="M440" s="112" t="s">
        <v>16</v>
      </c>
      <c r="N440" s="204" t="s">
        <v>170</v>
      </c>
      <c r="O440" s="117" t="s">
        <v>207</v>
      </c>
      <c r="P440" s="301" t="s">
        <v>276</v>
      </c>
      <c r="Q440" s="328" t="s">
        <v>728</v>
      </c>
      <c r="R440" s="113" t="s">
        <v>276</v>
      </c>
      <c r="S440" s="113" t="s">
        <v>276</v>
      </c>
      <c r="T440" s="113">
        <v>5</v>
      </c>
      <c r="U440" s="118">
        <v>1315</v>
      </c>
      <c r="V440" s="119">
        <v>1307</v>
      </c>
      <c r="W440" s="112" t="s">
        <v>276</v>
      </c>
      <c r="X440" s="112" t="s">
        <v>276</v>
      </c>
      <c r="Y440" s="112" t="s">
        <v>276</v>
      </c>
      <c r="Z440" s="113" t="s">
        <v>276</v>
      </c>
      <c r="AA440" s="112" t="s">
        <v>276</v>
      </c>
      <c r="AB440" s="113" t="s">
        <v>276</v>
      </c>
      <c r="AC440" s="113" t="s">
        <v>4230</v>
      </c>
      <c r="AD440" s="113" t="s">
        <v>689</v>
      </c>
      <c r="AE440" s="112">
        <v>8</v>
      </c>
      <c r="AF440" s="112">
        <v>15</v>
      </c>
      <c r="AG440" s="118">
        <v>1315</v>
      </c>
      <c r="AH440" s="119">
        <v>1307</v>
      </c>
      <c r="AI440" s="119" t="s">
        <v>2047</v>
      </c>
      <c r="AJ440" s="121" t="s">
        <v>276</v>
      </c>
      <c r="AK440" s="207">
        <f t="shared" si="49"/>
        <v>6.083650190114068</v>
      </c>
      <c r="AL440" s="121" t="s">
        <v>276</v>
      </c>
      <c r="AM440" s="121" t="s">
        <v>276</v>
      </c>
      <c r="AN440" s="121" t="s">
        <v>276</v>
      </c>
      <c r="AO440" s="207">
        <f t="shared" si="50"/>
        <v>11.476664116296863</v>
      </c>
      <c r="AP440" s="121" t="s">
        <v>276</v>
      </c>
      <c r="AQ440" s="121" t="s">
        <v>276</v>
      </c>
      <c r="AR440" s="112" t="s">
        <v>268</v>
      </c>
      <c r="AS440" s="121" t="s">
        <v>276</v>
      </c>
      <c r="AT440" s="121">
        <f t="shared" si="52"/>
        <v>0.53008871989860584</v>
      </c>
      <c r="AU440" s="121" t="s">
        <v>276</v>
      </c>
      <c r="AV440" s="121" t="s">
        <v>276</v>
      </c>
      <c r="AW440" s="112" t="s">
        <v>276</v>
      </c>
      <c r="AX440" s="112" t="s">
        <v>282</v>
      </c>
      <c r="AY440" s="112" t="s">
        <v>276</v>
      </c>
      <c r="AZ440" s="112" t="s">
        <v>276</v>
      </c>
      <c r="BA440" s="112" t="s">
        <v>276</v>
      </c>
      <c r="BB440" s="112" t="s">
        <v>276</v>
      </c>
      <c r="BC440" s="113" t="s">
        <v>4222</v>
      </c>
      <c r="BD440" s="113" t="s">
        <v>4168</v>
      </c>
      <c r="BE440" s="33" t="s">
        <v>100</v>
      </c>
      <c r="BF440" s="33" t="s">
        <v>98</v>
      </c>
    </row>
    <row r="441" spans="1:58" s="208" customFormat="1" ht="91" x14ac:dyDescent="0.3">
      <c r="A441" s="112">
        <v>433</v>
      </c>
      <c r="B441" s="112" t="s">
        <v>4163</v>
      </c>
      <c r="C441" s="112" t="s">
        <v>74</v>
      </c>
      <c r="D441" s="113" t="s">
        <v>4231</v>
      </c>
      <c r="E441" s="112" t="s">
        <v>39</v>
      </c>
      <c r="F441" s="112" t="s">
        <v>143</v>
      </c>
      <c r="G441" s="112" t="s">
        <v>225</v>
      </c>
      <c r="H441" s="112" t="s">
        <v>125</v>
      </c>
      <c r="I441" s="112" t="s">
        <v>114</v>
      </c>
      <c r="J441" s="113" t="s">
        <v>24</v>
      </c>
      <c r="K441" s="113" t="s">
        <v>4165</v>
      </c>
      <c r="L441" s="113" t="s">
        <v>4166</v>
      </c>
      <c r="M441" s="112" t="s">
        <v>16</v>
      </c>
      <c r="N441" s="204" t="s">
        <v>170</v>
      </c>
      <c r="O441" s="117" t="s">
        <v>207</v>
      </c>
      <c r="P441" s="301" t="s">
        <v>276</v>
      </c>
      <c r="Q441" s="328" t="s">
        <v>733</v>
      </c>
      <c r="R441" s="113" t="s">
        <v>276</v>
      </c>
      <c r="S441" s="113" t="s">
        <v>276</v>
      </c>
      <c r="T441" s="113">
        <v>5</v>
      </c>
      <c r="U441" s="118">
        <v>1315</v>
      </c>
      <c r="V441" s="119">
        <v>1307</v>
      </c>
      <c r="W441" s="112" t="s">
        <v>276</v>
      </c>
      <c r="X441" s="112" t="s">
        <v>276</v>
      </c>
      <c r="Y441" s="112" t="s">
        <v>276</v>
      </c>
      <c r="Z441" s="113" t="s">
        <v>276</v>
      </c>
      <c r="AA441" s="112" t="s">
        <v>276</v>
      </c>
      <c r="AB441" s="113" t="s">
        <v>276</v>
      </c>
      <c r="AC441" s="113" t="s">
        <v>4232</v>
      </c>
      <c r="AD441" s="113" t="s">
        <v>689</v>
      </c>
      <c r="AE441" s="112">
        <v>13</v>
      </c>
      <c r="AF441" s="112">
        <v>17</v>
      </c>
      <c r="AG441" s="118">
        <v>1315</v>
      </c>
      <c r="AH441" s="119">
        <v>1307</v>
      </c>
      <c r="AI441" s="119" t="s">
        <v>2047</v>
      </c>
      <c r="AJ441" s="121" t="s">
        <v>276</v>
      </c>
      <c r="AK441" s="207">
        <f t="shared" si="49"/>
        <v>9.8859315589353614</v>
      </c>
      <c r="AL441" s="121" t="s">
        <v>276</v>
      </c>
      <c r="AM441" s="121" t="s">
        <v>276</v>
      </c>
      <c r="AN441" s="121" t="s">
        <v>276</v>
      </c>
      <c r="AO441" s="207">
        <f t="shared" si="50"/>
        <v>13.006885998469778</v>
      </c>
      <c r="AP441" s="121" t="s">
        <v>276</v>
      </c>
      <c r="AQ441" s="121" t="s">
        <v>276</v>
      </c>
      <c r="AR441" s="112" t="s">
        <v>268</v>
      </c>
      <c r="AS441" s="121" t="s">
        <v>276</v>
      </c>
      <c r="AT441" s="121">
        <f t="shared" si="52"/>
        <v>0.76005367926638334</v>
      </c>
      <c r="AU441" s="121" t="s">
        <v>276</v>
      </c>
      <c r="AV441" s="121" t="s">
        <v>276</v>
      </c>
      <c r="AW441" s="112" t="s">
        <v>276</v>
      </c>
      <c r="AX441" s="112" t="s">
        <v>282</v>
      </c>
      <c r="AY441" s="112" t="s">
        <v>276</v>
      </c>
      <c r="AZ441" s="112" t="s">
        <v>276</v>
      </c>
      <c r="BA441" s="112" t="s">
        <v>276</v>
      </c>
      <c r="BB441" s="112" t="s">
        <v>276</v>
      </c>
      <c r="BC441" s="113" t="s">
        <v>4222</v>
      </c>
      <c r="BD441" s="113" t="s">
        <v>4168</v>
      </c>
      <c r="BE441" s="33" t="s">
        <v>100</v>
      </c>
      <c r="BF441" s="33" t="s">
        <v>98</v>
      </c>
    </row>
    <row r="442" spans="1:58" s="208" customFormat="1" ht="91" x14ac:dyDescent="0.3">
      <c r="A442" s="112">
        <v>433</v>
      </c>
      <c r="B442" s="112" t="s">
        <v>4163</v>
      </c>
      <c r="C442" s="112" t="s">
        <v>74</v>
      </c>
      <c r="D442" s="113" t="s">
        <v>4233</v>
      </c>
      <c r="E442" s="112" t="s">
        <v>39</v>
      </c>
      <c r="F442" s="112" t="s">
        <v>143</v>
      </c>
      <c r="G442" s="112" t="s">
        <v>225</v>
      </c>
      <c r="H442" s="112" t="s">
        <v>125</v>
      </c>
      <c r="I442" s="112" t="s">
        <v>114</v>
      </c>
      <c r="J442" s="113" t="s">
        <v>24</v>
      </c>
      <c r="K442" s="113" t="s">
        <v>4165</v>
      </c>
      <c r="L442" s="113" t="s">
        <v>4166</v>
      </c>
      <c r="M442" s="112" t="s">
        <v>16</v>
      </c>
      <c r="N442" s="204" t="s">
        <v>170</v>
      </c>
      <c r="O442" s="117" t="s">
        <v>207</v>
      </c>
      <c r="P442" s="301" t="s">
        <v>276</v>
      </c>
      <c r="Q442" s="328" t="s">
        <v>741</v>
      </c>
      <c r="R442" s="113" t="s">
        <v>276</v>
      </c>
      <c r="S442" s="113" t="s">
        <v>276</v>
      </c>
      <c r="T442" s="113">
        <v>5</v>
      </c>
      <c r="U442" s="118">
        <v>1315</v>
      </c>
      <c r="V442" s="119">
        <v>1307</v>
      </c>
      <c r="W442" s="112" t="s">
        <v>276</v>
      </c>
      <c r="X442" s="112" t="s">
        <v>276</v>
      </c>
      <c r="Y442" s="112" t="s">
        <v>276</v>
      </c>
      <c r="Z442" s="113" t="s">
        <v>276</v>
      </c>
      <c r="AA442" s="112" t="s">
        <v>276</v>
      </c>
      <c r="AB442" s="113" t="s">
        <v>276</v>
      </c>
      <c r="AC442" s="113" t="s">
        <v>4234</v>
      </c>
      <c r="AD442" s="113" t="s">
        <v>689</v>
      </c>
      <c r="AE442" s="112">
        <v>18</v>
      </c>
      <c r="AF442" s="112">
        <v>19</v>
      </c>
      <c r="AG442" s="118">
        <v>1315</v>
      </c>
      <c r="AH442" s="119">
        <v>1307</v>
      </c>
      <c r="AI442" s="119" t="s">
        <v>2047</v>
      </c>
      <c r="AJ442" s="121" t="s">
        <v>276</v>
      </c>
      <c r="AK442" s="207">
        <f t="shared" si="49"/>
        <v>13.688212927756654</v>
      </c>
      <c r="AL442" s="121" t="s">
        <v>276</v>
      </c>
      <c r="AM442" s="121" t="s">
        <v>276</v>
      </c>
      <c r="AN442" s="121" t="s">
        <v>276</v>
      </c>
      <c r="AO442" s="207">
        <f t="shared" si="50"/>
        <v>14.537107880642694</v>
      </c>
      <c r="AP442" s="121" t="s">
        <v>276</v>
      </c>
      <c r="AQ442" s="121" t="s">
        <v>276</v>
      </c>
      <c r="AR442" s="112" t="s">
        <v>268</v>
      </c>
      <c r="AS442" s="121" t="s">
        <v>276</v>
      </c>
      <c r="AT442" s="121">
        <f t="shared" si="52"/>
        <v>0.94160496297778662</v>
      </c>
      <c r="AU442" s="121" t="s">
        <v>276</v>
      </c>
      <c r="AV442" s="121" t="s">
        <v>276</v>
      </c>
      <c r="AW442" s="112" t="s">
        <v>276</v>
      </c>
      <c r="AX442" s="112" t="s">
        <v>282</v>
      </c>
      <c r="AY442" s="112" t="s">
        <v>276</v>
      </c>
      <c r="AZ442" s="112" t="s">
        <v>276</v>
      </c>
      <c r="BA442" s="112" t="s">
        <v>276</v>
      </c>
      <c r="BB442" s="112" t="s">
        <v>276</v>
      </c>
      <c r="BC442" s="113" t="s">
        <v>4222</v>
      </c>
      <c r="BD442" s="113" t="s">
        <v>4168</v>
      </c>
      <c r="BE442" s="33" t="s">
        <v>100</v>
      </c>
      <c r="BF442" s="33" t="s">
        <v>98</v>
      </c>
    </row>
    <row r="443" spans="1:58" s="208" customFormat="1" ht="91" x14ac:dyDescent="0.3">
      <c r="A443" s="112">
        <v>433</v>
      </c>
      <c r="B443" s="112" t="s">
        <v>4163</v>
      </c>
      <c r="C443" s="112" t="s">
        <v>74</v>
      </c>
      <c r="D443" s="113" t="s">
        <v>4235</v>
      </c>
      <c r="E443" s="112" t="s">
        <v>39</v>
      </c>
      <c r="F443" s="112" t="s">
        <v>143</v>
      </c>
      <c r="G443" s="112" t="s">
        <v>225</v>
      </c>
      <c r="H443" s="112" t="s">
        <v>125</v>
      </c>
      <c r="I443" s="112" t="s">
        <v>114</v>
      </c>
      <c r="J443" s="113" t="s">
        <v>24</v>
      </c>
      <c r="K443" s="113" t="s">
        <v>4165</v>
      </c>
      <c r="L443" s="113" t="s">
        <v>4166</v>
      </c>
      <c r="M443" s="112" t="s">
        <v>16</v>
      </c>
      <c r="N443" s="204" t="s">
        <v>170</v>
      </c>
      <c r="O443" s="117" t="s">
        <v>207</v>
      </c>
      <c r="P443" s="301" t="s">
        <v>276</v>
      </c>
      <c r="Q443" s="328" t="s">
        <v>746</v>
      </c>
      <c r="R443" s="113" t="s">
        <v>276</v>
      </c>
      <c r="S443" s="113" t="s">
        <v>276</v>
      </c>
      <c r="T443" s="113">
        <v>5</v>
      </c>
      <c r="U443" s="118">
        <v>1315</v>
      </c>
      <c r="V443" s="119">
        <v>1307</v>
      </c>
      <c r="W443" s="112" t="s">
        <v>276</v>
      </c>
      <c r="X443" s="112" t="s">
        <v>276</v>
      </c>
      <c r="Y443" s="112" t="s">
        <v>276</v>
      </c>
      <c r="Z443" s="113" t="s">
        <v>276</v>
      </c>
      <c r="AA443" s="112" t="s">
        <v>276</v>
      </c>
      <c r="AB443" s="113" t="s">
        <v>276</v>
      </c>
      <c r="AC443" s="113" t="s">
        <v>4236</v>
      </c>
      <c r="AD443" s="113" t="s">
        <v>689</v>
      </c>
      <c r="AE443" s="112">
        <v>21</v>
      </c>
      <c r="AF443" s="112">
        <v>25</v>
      </c>
      <c r="AG443" s="118">
        <v>1315</v>
      </c>
      <c r="AH443" s="119">
        <v>1307</v>
      </c>
      <c r="AI443" s="119" t="s">
        <v>2047</v>
      </c>
      <c r="AJ443" s="121" t="s">
        <v>276</v>
      </c>
      <c r="AK443" s="207">
        <f t="shared" si="49"/>
        <v>15.96958174904943</v>
      </c>
      <c r="AL443" s="121" t="s">
        <v>276</v>
      </c>
      <c r="AM443" s="121" t="s">
        <v>276</v>
      </c>
      <c r="AN443" s="121" t="s">
        <v>276</v>
      </c>
      <c r="AO443" s="207">
        <f t="shared" si="50"/>
        <v>19.127773527161438</v>
      </c>
      <c r="AP443" s="121" t="s">
        <v>276</v>
      </c>
      <c r="AQ443" s="121" t="s">
        <v>276</v>
      </c>
      <c r="AR443" s="112" t="s">
        <v>268</v>
      </c>
      <c r="AS443" s="121" t="s">
        <v>276</v>
      </c>
      <c r="AT443" s="121">
        <f t="shared" si="52"/>
        <v>0.83488973384030429</v>
      </c>
      <c r="AU443" s="121" t="s">
        <v>276</v>
      </c>
      <c r="AV443" s="121" t="s">
        <v>276</v>
      </c>
      <c r="AW443" s="112" t="s">
        <v>276</v>
      </c>
      <c r="AX443" s="112" t="s">
        <v>282</v>
      </c>
      <c r="AY443" s="112" t="s">
        <v>276</v>
      </c>
      <c r="AZ443" s="112" t="s">
        <v>276</v>
      </c>
      <c r="BA443" s="112" t="s">
        <v>276</v>
      </c>
      <c r="BB443" s="112" t="s">
        <v>276</v>
      </c>
      <c r="BC443" s="113" t="s">
        <v>4222</v>
      </c>
      <c r="BD443" s="113" t="s">
        <v>4183</v>
      </c>
      <c r="BE443" s="33" t="s">
        <v>100</v>
      </c>
      <c r="BF443" s="33" t="s">
        <v>98</v>
      </c>
    </row>
    <row r="444" spans="1:58" s="208" customFormat="1" ht="91" x14ac:dyDescent="0.3">
      <c r="A444" s="112">
        <v>433</v>
      </c>
      <c r="B444" s="112" t="s">
        <v>4163</v>
      </c>
      <c r="C444" s="112" t="s">
        <v>74</v>
      </c>
      <c r="D444" s="113" t="s">
        <v>4237</v>
      </c>
      <c r="E444" s="112" t="s">
        <v>39</v>
      </c>
      <c r="F444" s="112" t="s">
        <v>143</v>
      </c>
      <c r="G444" s="112" t="s">
        <v>225</v>
      </c>
      <c r="H444" s="112" t="s">
        <v>125</v>
      </c>
      <c r="I444" s="112" t="s">
        <v>114</v>
      </c>
      <c r="J444" s="113" t="s">
        <v>24</v>
      </c>
      <c r="K444" s="113" t="s">
        <v>4165</v>
      </c>
      <c r="L444" s="113" t="s">
        <v>4166</v>
      </c>
      <c r="M444" s="112" t="s">
        <v>16</v>
      </c>
      <c r="N444" s="204" t="s">
        <v>170</v>
      </c>
      <c r="O444" s="117" t="s">
        <v>207</v>
      </c>
      <c r="P444" s="301" t="s">
        <v>276</v>
      </c>
      <c r="Q444" s="328" t="s">
        <v>752</v>
      </c>
      <c r="R444" s="113" t="s">
        <v>276</v>
      </c>
      <c r="S444" s="113" t="s">
        <v>276</v>
      </c>
      <c r="T444" s="113">
        <v>5</v>
      </c>
      <c r="U444" s="118">
        <v>1315</v>
      </c>
      <c r="V444" s="119">
        <v>1307</v>
      </c>
      <c r="W444" s="112" t="s">
        <v>276</v>
      </c>
      <c r="X444" s="112" t="s">
        <v>276</v>
      </c>
      <c r="Y444" s="112" t="s">
        <v>276</v>
      </c>
      <c r="Z444" s="113" t="s">
        <v>276</v>
      </c>
      <c r="AA444" s="112" t="s">
        <v>276</v>
      </c>
      <c r="AB444" s="113" t="s">
        <v>276</v>
      </c>
      <c r="AC444" s="113" t="s">
        <v>4238</v>
      </c>
      <c r="AD444" s="113" t="s">
        <v>689</v>
      </c>
      <c r="AE444" s="112">
        <v>22</v>
      </c>
      <c r="AF444" s="112">
        <v>26</v>
      </c>
      <c r="AG444" s="118">
        <v>1315</v>
      </c>
      <c r="AH444" s="119">
        <v>1307</v>
      </c>
      <c r="AI444" s="119" t="s">
        <v>2047</v>
      </c>
      <c r="AJ444" s="121" t="s">
        <v>276</v>
      </c>
      <c r="AK444" s="207">
        <f t="shared" si="49"/>
        <v>16.730038022813687</v>
      </c>
      <c r="AL444" s="121" t="s">
        <v>276</v>
      </c>
      <c r="AM444" s="121" t="s">
        <v>276</v>
      </c>
      <c r="AN444" s="121" t="s">
        <v>276</v>
      </c>
      <c r="AO444" s="207">
        <f t="shared" si="50"/>
        <v>19.892884468247896</v>
      </c>
      <c r="AP444" s="121" t="s">
        <v>276</v>
      </c>
      <c r="AQ444" s="121" t="s">
        <v>276</v>
      </c>
      <c r="AR444" s="112" t="s">
        <v>268</v>
      </c>
      <c r="AS444" s="121" t="s">
        <v>276</v>
      </c>
      <c r="AT444" s="121">
        <f t="shared" si="52"/>
        <v>0.84100614214682656</v>
      </c>
      <c r="AU444" s="121" t="s">
        <v>276</v>
      </c>
      <c r="AV444" s="121" t="s">
        <v>276</v>
      </c>
      <c r="AW444" s="112" t="s">
        <v>276</v>
      </c>
      <c r="AX444" s="112" t="s">
        <v>282</v>
      </c>
      <c r="AY444" s="112" t="s">
        <v>276</v>
      </c>
      <c r="AZ444" s="112" t="s">
        <v>276</v>
      </c>
      <c r="BA444" s="112" t="s">
        <v>276</v>
      </c>
      <c r="BB444" s="112" t="s">
        <v>276</v>
      </c>
      <c r="BC444" s="113" t="s">
        <v>4222</v>
      </c>
      <c r="BD444" s="113" t="s">
        <v>4183</v>
      </c>
      <c r="BE444" s="33" t="s">
        <v>100</v>
      </c>
      <c r="BF444" s="33" t="s">
        <v>98</v>
      </c>
    </row>
    <row r="445" spans="1:58" s="208" customFormat="1" ht="91" x14ac:dyDescent="0.3">
      <c r="A445" s="112">
        <v>433</v>
      </c>
      <c r="B445" s="112" t="s">
        <v>4163</v>
      </c>
      <c r="C445" s="112" t="s">
        <v>74</v>
      </c>
      <c r="D445" s="113" t="s">
        <v>4239</v>
      </c>
      <c r="E445" s="112" t="s">
        <v>39</v>
      </c>
      <c r="F445" s="112" t="s">
        <v>143</v>
      </c>
      <c r="G445" s="112" t="s">
        <v>225</v>
      </c>
      <c r="H445" s="112" t="s">
        <v>125</v>
      </c>
      <c r="I445" s="112" t="s">
        <v>114</v>
      </c>
      <c r="J445" s="113" t="s">
        <v>24</v>
      </c>
      <c r="K445" s="113" t="s">
        <v>4165</v>
      </c>
      <c r="L445" s="113" t="s">
        <v>4166</v>
      </c>
      <c r="M445" s="112" t="s">
        <v>16</v>
      </c>
      <c r="N445" s="204" t="s">
        <v>170</v>
      </c>
      <c r="O445" s="117" t="s">
        <v>207</v>
      </c>
      <c r="P445" s="301" t="s">
        <v>276</v>
      </c>
      <c r="Q445" s="328" t="s">
        <v>766</v>
      </c>
      <c r="R445" s="113" t="s">
        <v>276</v>
      </c>
      <c r="S445" s="113" t="s">
        <v>276</v>
      </c>
      <c r="T445" s="113">
        <v>5</v>
      </c>
      <c r="U445" s="118">
        <v>1315</v>
      </c>
      <c r="V445" s="119">
        <v>1307</v>
      </c>
      <c r="W445" s="112" t="s">
        <v>276</v>
      </c>
      <c r="X445" s="112" t="s">
        <v>276</v>
      </c>
      <c r="Y445" s="112" t="s">
        <v>276</v>
      </c>
      <c r="Z445" s="113" t="s">
        <v>276</v>
      </c>
      <c r="AA445" s="112" t="s">
        <v>276</v>
      </c>
      <c r="AB445" s="113" t="s">
        <v>276</v>
      </c>
      <c r="AC445" s="113" t="s">
        <v>4240</v>
      </c>
      <c r="AD445" s="113" t="s">
        <v>689</v>
      </c>
      <c r="AE445" s="112">
        <v>24</v>
      </c>
      <c r="AF445" s="112">
        <v>26</v>
      </c>
      <c r="AG445" s="118">
        <v>1315</v>
      </c>
      <c r="AH445" s="119">
        <v>1307</v>
      </c>
      <c r="AI445" s="119" t="s">
        <v>2047</v>
      </c>
      <c r="AJ445" s="121" t="s">
        <v>276</v>
      </c>
      <c r="AK445" s="207">
        <f t="shared" si="49"/>
        <v>18.250950570342205</v>
      </c>
      <c r="AL445" s="121" t="s">
        <v>276</v>
      </c>
      <c r="AM445" s="121" t="s">
        <v>276</v>
      </c>
      <c r="AN445" s="121" t="s">
        <v>276</v>
      </c>
      <c r="AO445" s="207">
        <f t="shared" si="50"/>
        <v>19.892884468247896</v>
      </c>
      <c r="AP445" s="121" t="s">
        <v>276</v>
      </c>
      <c r="AQ445" s="121" t="s">
        <v>276</v>
      </c>
      <c r="AR445" s="112" t="s">
        <v>268</v>
      </c>
      <c r="AS445" s="121" t="s">
        <v>276</v>
      </c>
      <c r="AT445" s="121">
        <f t="shared" si="52"/>
        <v>0.91746124597835621</v>
      </c>
      <c r="AU445" s="121" t="s">
        <v>276</v>
      </c>
      <c r="AV445" s="121" t="s">
        <v>276</v>
      </c>
      <c r="AW445" s="112" t="s">
        <v>276</v>
      </c>
      <c r="AX445" s="112" t="s">
        <v>282</v>
      </c>
      <c r="AY445" s="112" t="s">
        <v>276</v>
      </c>
      <c r="AZ445" s="112" t="s">
        <v>276</v>
      </c>
      <c r="BA445" s="112" t="s">
        <v>276</v>
      </c>
      <c r="BB445" s="112" t="s">
        <v>276</v>
      </c>
      <c r="BC445" s="113" t="s">
        <v>4222</v>
      </c>
      <c r="BD445" s="113" t="s">
        <v>4183</v>
      </c>
      <c r="BE445" s="33" t="s">
        <v>100</v>
      </c>
      <c r="BF445" s="33" t="s">
        <v>98</v>
      </c>
    </row>
    <row r="446" spans="1:58" s="208" customFormat="1" ht="91" x14ac:dyDescent="0.3">
      <c r="A446" s="112">
        <v>433</v>
      </c>
      <c r="B446" s="112" t="s">
        <v>4163</v>
      </c>
      <c r="C446" s="112" t="s">
        <v>74</v>
      </c>
      <c r="D446" s="113" t="s">
        <v>4241</v>
      </c>
      <c r="E446" s="112" t="s">
        <v>39</v>
      </c>
      <c r="F446" s="112" t="s">
        <v>143</v>
      </c>
      <c r="G446" s="112" t="s">
        <v>225</v>
      </c>
      <c r="H446" s="112" t="s">
        <v>125</v>
      </c>
      <c r="I446" s="112" t="s">
        <v>114</v>
      </c>
      <c r="J446" s="113" t="s">
        <v>24</v>
      </c>
      <c r="K446" s="113" t="s">
        <v>4165</v>
      </c>
      <c r="L446" s="113" t="s">
        <v>4166</v>
      </c>
      <c r="M446" s="112" t="s">
        <v>16</v>
      </c>
      <c r="N446" s="204" t="s">
        <v>170</v>
      </c>
      <c r="O446" s="117" t="s">
        <v>207</v>
      </c>
      <c r="P446" s="301" t="s">
        <v>4189</v>
      </c>
      <c r="Q446" s="328" t="s">
        <v>770</v>
      </c>
      <c r="R446" s="113" t="s">
        <v>4190</v>
      </c>
      <c r="S446" s="113" t="s">
        <v>4190</v>
      </c>
      <c r="T446" s="113">
        <v>5</v>
      </c>
      <c r="U446" s="118">
        <v>1315</v>
      </c>
      <c r="V446" s="119">
        <v>1307</v>
      </c>
      <c r="W446" s="112" t="s">
        <v>276</v>
      </c>
      <c r="X446" s="112" t="s">
        <v>276</v>
      </c>
      <c r="Y446" s="112">
        <v>8</v>
      </c>
      <c r="Z446" s="113" t="s">
        <v>4216</v>
      </c>
      <c r="AA446" s="112">
        <v>5</v>
      </c>
      <c r="AB446" s="113" t="s">
        <v>4216</v>
      </c>
      <c r="AC446" s="113" t="s">
        <v>4242</v>
      </c>
      <c r="AD446" s="113" t="s">
        <v>689</v>
      </c>
      <c r="AE446" s="112">
        <v>25</v>
      </c>
      <c r="AF446" s="112">
        <v>27</v>
      </c>
      <c r="AG446" s="118">
        <v>1315</v>
      </c>
      <c r="AH446" s="119">
        <v>1307</v>
      </c>
      <c r="AI446" s="119" t="s">
        <v>2047</v>
      </c>
      <c r="AJ446" s="121" t="s">
        <v>276</v>
      </c>
      <c r="AK446" s="207">
        <f t="shared" si="49"/>
        <v>19.011406844106464</v>
      </c>
      <c r="AL446" s="121" t="s">
        <v>276</v>
      </c>
      <c r="AM446" s="121" t="s">
        <v>276</v>
      </c>
      <c r="AN446" s="121" t="s">
        <v>276</v>
      </c>
      <c r="AO446" s="207">
        <f t="shared" si="50"/>
        <v>20.657995409334355</v>
      </c>
      <c r="AP446" s="121" t="s">
        <v>276</v>
      </c>
      <c r="AQ446" s="121" t="s">
        <v>276</v>
      </c>
      <c r="AR446" s="112" t="s">
        <v>268</v>
      </c>
      <c r="AS446" s="121" t="s">
        <v>276</v>
      </c>
      <c r="AT446" s="121">
        <f t="shared" si="52"/>
        <v>0.92029291649063505</v>
      </c>
      <c r="AU446" s="121" t="s">
        <v>276</v>
      </c>
      <c r="AV446" s="121" t="s">
        <v>276</v>
      </c>
      <c r="AW446" s="112" t="s">
        <v>276</v>
      </c>
      <c r="AX446" s="112" t="s">
        <v>282</v>
      </c>
      <c r="AY446" s="112" t="s">
        <v>276</v>
      </c>
      <c r="AZ446" s="112" t="s">
        <v>276</v>
      </c>
      <c r="BA446" s="112" t="s">
        <v>276</v>
      </c>
      <c r="BB446" s="112" t="s">
        <v>276</v>
      </c>
      <c r="BC446" s="113" t="s">
        <v>4222</v>
      </c>
      <c r="BD446" s="113" t="s">
        <v>4168</v>
      </c>
      <c r="BE446" s="33" t="s">
        <v>100</v>
      </c>
      <c r="BF446" s="33" t="s">
        <v>98</v>
      </c>
    </row>
    <row r="447" spans="1:58" s="208" customFormat="1" ht="91" x14ac:dyDescent="0.3">
      <c r="A447" s="112">
        <v>433</v>
      </c>
      <c r="B447" s="112" t="s">
        <v>4163</v>
      </c>
      <c r="C447" s="112" t="s">
        <v>74</v>
      </c>
      <c r="D447" s="113" t="s">
        <v>4243</v>
      </c>
      <c r="E447" s="112" t="s">
        <v>39</v>
      </c>
      <c r="F447" s="112" t="s">
        <v>143</v>
      </c>
      <c r="G447" s="112" t="s">
        <v>225</v>
      </c>
      <c r="H447" s="112" t="s">
        <v>125</v>
      </c>
      <c r="I447" s="112" t="s">
        <v>114</v>
      </c>
      <c r="J447" s="113" t="s">
        <v>24</v>
      </c>
      <c r="K447" s="113" t="s">
        <v>4165</v>
      </c>
      <c r="L447" s="113" t="s">
        <v>4166</v>
      </c>
      <c r="M447" s="112" t="s">
        <v>16</v>
      </c>
      <c r="N447" s="204" t="s">
        <v>170</v>
      </c>
      <c r="O447" s="117" t="s">
        <v>207</v>
      </c>
      <c r="P447" s="301" t="s">
        <v>4189</v>
      </c>
      <c r="Q447" s="328" t="s">
        <v>770</v>
      </c>
      <c r="R447" s="113" t="s">
        <v>4190</v>
      </c>
      <c r="S447" s="113" t="s">
        <v>4190</v>
      </c>
      <c r="T447" s="113">
        <v>5</v>
      </c>
      <c r="U447" s="118">
        <v>1315</v>
      </c>
      <c r="V447" s="119">
        <v>1307</v>
      </c>
      <c r="W447" s="112" t="s">
        <v>276</v>
      </c>
      <c r="X447" s="112" t="s">
        <v>276</v>
      </c>
      <c r="Y447" s="112">
        <v>8</v>
      </c>
      <c r="Z447" s="113" t="s">
        <v>4216</v>
      </c>
      <c r="AA447" s="112">
        <v>5</v>
      </c>
      <c r="AB447" s="113" t="s">
        <v>4216</v>
      </c>
      <c r="AC447" s="113" t="s">
        <v>4242</v>
      </c>
      <c r="AD447" s="113" t="s">
        <v>689</v>
      </c>
      <c r="AE447" s="112">
        <v>25</v>
      </c>
      <c r="AF447" s="112">
        <v>27</v>
      </c>
      <c r="AG447" s="118">
        <v>1315</v>
      </c>
      <c r="AH447" s="119">
        <v>1307</v>
      </c>
      <c r="AI447" s="119" t="s">
        <v>2047</v>
      </c>
      <c r="AJ447" s="121" t="s">
        <v>276</v>
      </c>
      <c r="AK447" s="207">
        <f t="shared" si="49"/>
        <v>19.011406844106464</v>
      </c>
      <c r="AL447" s="121" t="s">
        <v>276</v>
      </c>
      <c r="AM447" s="121" t="s">
        <v>276</v>
      </c>
      <c r="AN447" s="121" t="s">
        <v>276</v>
      </c>
      <c r="AO447" s="207">
        <f t="shared" si="50"/>
        <v>20.657995409334355</v>
      </c>
      <c r="AP447" s="121" t="s">
        <v>276</v>
      </c>
      <c r="AQ447" s="121" t="s">
        <v>276</v>
      </c>
      <c r="AR447" s="112" t="s">
        <v>270</v>
      </c>
      <c r="AS447" s="121" t="s">
        <v>276</v>
      </c>
      <c r="AT447" s="121" t="s">
        <v>276</v>
      </c>
      <c r="AU447" s="121" t="s">
        <v>276</v>
      </c>
      <c r="AV447" s="121" t="s">
        <v>276</v>
      </c>
      <c r="AW447" s="121" t="s">
        <v>276</v>
      </c>
      <c r="AX447" s="112" t="s">
        <v>1488</v>
      </c>
      <c r="AY447" s="121">
        <v>0.94</v>
      </c>
      <c r="AZ447" s="121">
        <v>0.54</v>
      </c>
      <c r="BA447" s="121">
        <v>1.61</v>
      </c>
      <c r="BB447" s="112">
        <v>0.81</v>
      </c>
      <c r="BC447" s="113" t="s">
        <v>4244</v>
      </c>
      <c r="BD447" s="113" t="s">
        <v>4168</v>
      </c>
      <c r="BE447" s="33" t="s">
        <v>100</v>
      </c>
      <c r="BF447" s="33" t="s">
        <v>98</v>
      </c>
    </row>
    <row r="448" spans="1:58" s="103" customFormat="1" ht="91" x14ac:dyDescent="0.3">
      <c r="A448" s="94">
        <v>433</v>
      </c>
      <c r="B448" s="94" t="s">
        <v>4163</v>
      </c>
      <c r="C448" s="94" t="s">
        <v>74</v>
      </c>
      <c r="D448" s="95" t="s">
        <v>4245</v>
      </c>
      <c r="E448" s="94" t="s">
        <v>39</v>
      </c>
      <c r="F448" s="94" t="s">
        <v>143</v>
      </c>
      <c r="G448" s="94" t="s">
        <v>225</v>
      </c>
      <c r="H448" s="94" t="s">
        <v>125</v>
      </c>
      <c r="I448" s="94" t="s">
        <v>114</v>
      </c>
      <c r="J448" s="95" t="s">
        <v>24</v>
      </c>
      <c r="K448" s="95" t="s">
        <v>4165</v>
      </c>
      <c r="L448" s="95" t="s">
        <v>4166</v>
      </c>
      <c r="M448" s="94" t="s">
        <v>16</v>
      </c>
      <c r="N448" s="144" t="s">
        <v>171</v>
      </c>
      <c r="O448" s="96" t="s">
        <v>207</v>
      </c>
      <c r="P448" s="287" t="s">
        <v>276</v>
      </c>
      <c r="Q448" s="329" t="s">
        <v>705</v>
      </c>
      <c r="R448" s="95" t="s">
        <v>276</v>
      </c>
      <c r="S448" s="95" t="s">
        <v>276</v>
      </c>
      <c r="T448" s="95">
        <v>1</v>
      </c>
      <c r="U448" s="98">
        <v>714</v>
      </c>
      <c r="V448" s="99">
        <v>716</v>
      </c>
      <c r="W448" s="94" t="s">
        <v>276</v>
      </c>
      <c r="X448" s="94" t="s">
        <v>276</v>
      </c>
      <c r="Y448" s="94" t="s">
        <v>276</v>
      </c>
      <c r="Z448" s="95" t="s">
        <v>276</v>
      </c>
      <c r="AA448" s="94" t="s">
        <v>276</v>
      </c>
      <c r="AB448" s="95" t="s">
        <v>276</v>
      </c>
      <c r="AC448" s="95" t="s">
        <v>4246</v>
      </c>
      <c r="AD448" s="95" t="s">
        <v>280</v>
      </c>
      <c r="AE448" s="94">
        <v>0</v>
      </c>
      <c r="AF448" s="94">
        <v>0</v>
      </c>
      <c r="AG448" s="98">
        <v>714</v>
      </c>
      <c r="AH448" s="99">
        <v>716</v>
      </c>
      <c r="AI448" s="99" t="s">
        <v>2047</v>
      </c>
      <c r="AJ448" s="102" t="s">
        <v>276</v>
      </c>
      <c r="AK448" s="101">
        <f t="shared" si="49"/>
        <v>0</v>
      </c>
      <c r="AL448" s="102" t="s">
        <v>276</v>
      </c>
      <c r="AM448" s="102" t="s">
        <v>276</v>
      </c>
      <c r="AN448" s="102" t="s">
        <v>276</v>
      </c>
      <c r="AO448" s="101">
        <f t="shared" si="50"/>
        <v>0</v>
      </c>
      <c r="AP448" s="102" t="s">
        <v>276</v>
      </c>
      <c r="AQ448" s="102" t="s">
        <v>276</v>
      </c>
      <c r="AR448" s="94" t="s">
        <v>268</v>
      </c>
      <c r="AS448" s="102" t="s">
        <v>276</v>
      </c>
      <c r="AT448" s="102" t="s">
        <v>98</v>
      </c>
      <c r="AU448" s="102" t="s">
        <v>276</v>
      </c>
      <c r="AV448" s="102" t="s">
        <v>276</v>
      </c>
      <c r="AW448" s="94" t="s">
        <v>276</v>
      </c>
      <c r="AX448" s="94" t="s">
        <v>282</v>
      </c>
      <c r="AY448" s="94" t="s">
        <v>276</v>
      </c>
      <c r="AZ448" s="94" t="s">
        <v>276</v>
      </c>
      <c r="BA448" s="94" t="s">
        <v>276</v>
      </c>
      <c r="BB448" s="94" t="s">
        <v>276</v>
      </c>
      <c r="BC448" s="95" t="s">
        <v>4222</v>
      </c>
      <c r="BD448" s="95" t="s">
        <v>4168</v>
      </c>
      <c r="BE448" s="33" t="s">
        <v>100</v>
      </c>
      <c r="BF448" s="33" t="s">
        <v>98</v>
      </c>
    </row>
    <row r="449" spans="1:58" s="103" customFormat="1" ht="91" x14ac:dyDescent="0.3">
      <c r="A449" s="94">
        <v>433</v>
      </c>
      <c r="B449" s="94" t="s">
        <v>4163</v>
      </c>
      <c r="C449" s="94" t="s">
        <v>74</v>
      </c>
      <c r="D449" s="95" t="s">
        <v>4247</v>
      </c>
      <c r="E449" s="94" t="s">
        <v>39</v>
      </c>
      <c r="F449" s="94" t="s">
        <v>143</v>
      </c>
      <c r="G449" s="94" t="s">
        <v>225</v>
      </c>
      <c r="H449" s="94" t="s">
        <v>125</v>
      </c>
      <c r="I449" s="94" t="s">
        <v>114</v>
      </c>
      <c r="J449" s="95" t="s">
        <v>24</v>
      </c>
      <c r="K449" s="95" t="s">
        <v>4165</v>
      </c>
      <c r="L449" s="95" t="s">
        <v>4166</v>
      </c>
      <c r="M449" s="94" t="s">
        <v>16</v>
      </c>
      <c r="N449" s="144" t="s">
        <v>171</v>
      </c>
      <c r="O449" s="96" t="s">
        <v>207</v>
      </c>
      <c r="P449" s="287" t="s">
        <v>276</v>
      </c>
      <c r="Q449" s="329" t="s">
        <v>710</v>
      </c>
      <c r="R449" s="95" t="s">
        <v>276</v>
      </c>
      <c r="S449" s="95" t="s">
        <v>276</v>
      </c>
      <c r="T449" s="95">
        <v>2</v>
      </c>
      <c r="U449" s="98">
        <v>714</v>
      </c>
      <c r="V449" s="99">
        <v>716</v>
      </c>
      <c r="W449" s="94" t="s">
        <v>276</v>
      </c>
      <c r="X449" s="94" t="s">
        <v>276</v>
      </c>
      <c r="Y449" s="94" t="s">
        <v>276</v>
      </c>
      <c r="Z449" s="95" t="s">
        <v>276</v>
      </c>
      <c r="AA449" s="94" t="s">
        <v>276</v>
      </c>
      <c r="AB449" s="95" t="s">
        <v>276</v>
      </c>
      <c r="AC449" s="95" t="s">
        <v>4248</v>
      </c>
      <c r="AD449" s="95" t="s">
        <v>280</v>
      </c>
      <c r="AE449" s="94">
        <v>0</v>
      </c>
      <c r="AF449" s="94">
        <v>1</v>
      </c>
      <c r="AG449" s="98">
        <v>714</v>
      </c>
      <c r="AH449" s="99">
        <v>716</v>
      </c>
      <c r="AI449" s="99" t="s">
        <v>2047</v>
      </c>
      <c r="AJ449" s="102" t="s">
        <v>276</v>
      </c>
      <c r="AK449" s="101">
        <f t="shared" si="49"/>
        <v>0</v>
      </c>
      <c r="AL449" s="102" t="s">
        <v>276</v>
      </c>
      <c r="AM449" s="102" t="s">
        <v>276</v>
      </c>
      <c r="AN449" s="102" t="s">
        <v>276</v>
      </c>
      <c r="AO449" s="101">
        <f t="shared" si="50"/>
        <v>1.3966480446927374</v>
      </c>
      <c r="AP449" s="102" t="s">
        <v>276</v>
      </c>
      <c r="AQ449" s="102" t="s">
        <v>276</v>
      </c>
      <c r="AR449" s="94" t="s">
        <v>268</v>
      </c>
      <c r="AS449" s="102" t="s">
        <v>276</v>
      </c>
      <c r="AT449" s="102">
        <f t="shared" ref="AT449:AT458" si="53">AK449/AO449</f>
        <v>0</v>
      </c>
      <c r="AU449" s="102" t="s">
        <v>276</v>
      </c>
      <c r="AV449" s="102" t="s">
        <v>276</v>
      </c>
      <c r="AW449" s="94" t="s">
        <v>276</v>
      </c>
      <c r="AX449" s="94" t="s">
        <v>282</v>
      </c>
      <c r="AY449" s="94" t="s">
        <v>276</v>
      </c>
      <c r="AZ449" s="94" t="s">
        <v>276</v>
      </c>
      <c r="BA449" s="94" t="s">
        <v>276</v>
      </c>
      <c r="BB449" s="94" t="s">
        <v>276</v>
      </c>
      <c r="BC449" s="95" t="s">
        <v>4222</v>
      </c>
      <c r="BD449" s="95" t="s">
        <v>4168</v>
      </c>
      <c r="BE449" s="33" t="s">
        <v>100</v>
      </c>
      <c r="BF449" s="33" t="s">
        <v>98</v>
      </c>
    </row>
    <row r="450" spans="1:58" s="103" customFormat="1" ht="91" x14ac:dyDescent="0.3">
      <c r="A450" s="94">
        <v>433</v>
      </c>
      <c r="B450" s="94" t="s">
        <v>4163</v>
      </c>
      <c r="C450" s="94" t="s">
        <v>74</v>
      </c>
      <c r="D450" s="95" t="s">
        <v>4249</v>
      </c>
      <c r="E450" s="94" t="s">
        <v>39</v>
      </c>
      <c r="F450" s="94" t="s">
        <v>143</v>
      </c>
      <c r="G450" s="94" t="s">
        <v>225</v>
      </c>
      <c r="H450" s="94" t="s">
        <v>125</v>
      </c>
      <c r="I450" s="94" t="s">
        <v>114</v>
      </c>
      <c r="J450" s="95" t="s">
        <v>24</v>
      </c>
      <c r="K450" s="95" t="s">
        <v>4165</v>
      </c>
      <c r="L450" s="95" t="s">
        <v>4166</v>
      </c>
      <c r="M450" s="94" t="s">
        <v>16</v>
      </c>
      <c r="N450" s="144" t="s">
        <v>171</v>
      </c>
      <c r="O450" s="96" t="s">
        <v>207</v>
      </c>
      <c r="P450" s="287" t="s">
        <v>276</v>
      </c>
      <c r="Q450" s="329" t="s">
        <v>686</v>
      </c>
      <c r="R450" s="95" t="s">
        <v>276</v>
      </c>
      <c r="S450" s="95" t="s">
        <v>276</v>
      </c>
      <c r="T450" s="95">
        <v>3</v>
      </c>
      <c r="U450" s="98">
        <v>714</v>
      </c>
      <c r="V450" s="99">
        <v>716</v>
      </c>
      <c r="W450" s="94" t="s">
        <v>276</v>
      </c>
      <c r="X450" s="94" t="s">
        <v>276</v>
      </c>
      <c r="Y450" s="94" t="s">
        <v>276</v>
      </c>
      <c r="Z450" s="95" t="s">
        <v>276</v>
      </c>
      <c r="AA450" s="94" t="s">
        <v>276</v>
      </c>
      <c r="AB450" s="95" t="s">
        <v>276</v>
      </c>
      <c r="AC450" s="95" t="s">
        <v>4250</v>
      </c>
      <c r="AD450" s="95" t="s">
        <v>280</v>
      </c>
      <c r="AE450" s="94">
        <v>0</v>
      </c>
      <c r="AF450" s="94">
        <v>4</v>
      </c>
      <c r="AG450" s="98">
        <v>714</v>
      </c>
      <c r="AH450" s="99">
        <v>716</v>
      </c>
      <c r="AI450" s="99" t="s">
        <v>2047</v>
      </c>
      <c r="AJ450" s="102" t="s">
        <v>276</v>
      </c>
      <c r="AK450" s="101">
        <f t="shared" si="49"/>
        <v>0</v>
      </c>
      <c r="AL450" s="102" t="s">
        <v>276</v>
      </c>
      <c r="AM450" s="102" t="s">
        <v>276</v>
      </c>
      <c r="AN450" s="102" t="s">
        <v>276</v>
      </c>
      <c r="AO450" s="101">
        <f t="shared" si="50"/>
        <v>5.5865921787709496</v>
      </c>
      <c r="AP450" s="102" t="s">
        <v>276</v>
      </c>
      <c r="AQ450" s="102" t="s">
        <v>276</v>
      </c>
      <c r="AR450" s="94" t="s">
        <v>268</v>
      </c>
      <c r="AS450" s="102" t="s">
        <v>276</v>
      </c>
      <c r="AT450" s="102">
        <f t="shared" si="53"/>
        <v>0</v>
      </c>
      <c r="AU450" s="102" t="s">
        <v>276</v>
      </c>
      <c r="AV450" s="102" t="s">
        <v>276</v>
      </c>
      <c r="AW450" s="94" t="s">
        <v>276</v>
      </c>
      <c r="AX450" s="94" t="s">
        <v>282</v>
      </c>
      <c r="AY450" s="94" t="s">
        <v>276</v>
      </c>
      <c r="AZ450" s="94" t="s">
        <v>276</v>
      </c>
      <c r="BA450" s="94" t="s">
        <v>276</v>
      </c>
      <c r="BB450" s="94" t="s">
        <v>276</v>
      </c>
      <c r="BC450" s="95" t="s">
        <v>4222</v>
      </c>
      <c r="BD450" s="95" t="s">
        <v>4168</v>
      </c>
      <c r="BE450" s="33" t="s">
        <v>100</v>
      </c>
      <c r="BF450" s="33" t="s">
        <v>98</v>
      </c>
    </row>
    <row r="451" spans="1:58" s="103" customFormat="1" ht="91" x14ac:dyDescent="0.3">
      <c r="A451" s="94">
        <v>433</v>
      </c>
      <c r="B451" s="94" t="s">
        <v>4163</v>
      </c>
      <c r="C451" s="94" t="s">
        <v>74</v>
      </c>
      <c r="D451" s="95" t="s">
        <v>4251</v>
      </c>
      <c r="E451" s="94" t="s">
        <v>39</v>
      </c>
      <c r="F451" s="94" t="s">
        <v>143</v>
      </c>
      <c r="G451" s="94" t="s">
        <v>225</v>
      </c>
      <c r="H451" s="94" t="s">
        <v>125</v>
      </c>
      <c r="I451" s="94" t="s">
        <v>114</v>
      </c>
      <c r="J451" s="95" t="s">
        <v>24</v>
      </c>
      <c r="K451" s="95" t="s">
        <v>4165</v>
      </c>
      <c r="L451" s="95" t="s">
        <v>4166</v>
      </c>
      <c r="M451" s="94" t="s">
        <v>16</v>
      </c>
      <c r="N451" s="144" t="s">
        <v>171</v>
      </c>
      <c r="O451" s="96" t="s">
        <v>207</v>
      </c>
      <c r="P451" s="287" t="s">
        <v>276</v>
      </c>
      <c r="Q451" s="329" t="s">
        <v>721</v>
      </c>
      <c r="R451" s="95" t="s">
        <v>276</v>
      </c>
      <c r="S451" s="95" t="s">
        <v>276</v>
      </c>
      <c r="T451" s="95">
        <v>4</v>
      </c>
      <c r="U451" s="98">
        <v>714</v>
      </c>
      <c r="V451" s="99">
        <v>716</v>
      </c>
      <c r="W451" s="94" t="s">
        <v>276</v>
      </c>
      <c r="X451" s="94" t="s">
        <v>276</v>
      </c>
      <c r="Y451" s="94" t="s">
        <v>276</v>
      </c>
      <c r="Z451" s="95" t="s">
        <v>276</v>
      </c>
      <c r="AA451" s="94" t="s">
        <v>276</v>
      </c>
      <c r="AB451" s="95" t="s">
        <v>276</v>
      </c>
      <c r="AC451" s="95" t="s">
        <v>4252</v>
      </c>
      <c r="AD451" s="95" t="s">
        <v>280</v>
      </c>
      <c r="AE451" s="94">
        <v>1</v>
      </c>
      <c r="AF451" s="94">
        <v>6</v>
      </c>
      <c r="AG451" s="98">
        <v>714</v>
      </c>
      <c r="AH451" s="99">
        <v>716</v>
      </c>
      <c r="AI451" s="99" t="s">
        <v>2047</v>
      </c>
      <c r="AJ451" s="102" t="s">
        <v>276</v>
      </c>
      <c r="AK451" s="101">
        <f t="shared" si="49"/>
        <v>1.4005602240896358</v>
      </c>
      <c r="AL451" s="102" t="s">
        <v>276</v>
      </c>
      <c r="AM451" s="102" t="s">
        <v>276</v>
      </c>
      <c r="AN451" s="102" t="s">
        <v>276</v>
      </c>
      <c r="AO451" s="101">
        <f t="shared" si="50"/>
        <v>8.3798882681564244</v>
      </c>
      <c r="AP451" s="102" t="s">
        <v>276</v>
      </c>
      <c r="AQ451" s="102" t="s">
        <v>276</v>
      </c>
      <c r="AR451" s="94" t="s">
        <v>268</v>
      </c>
      <c r="AS451" s="102" t="s">
        <v>276</v>
      </c>
      <c r="AT451" s="102">
        <f t="shared" si="53"/>
        <v>0.16713352007469653</v>
      </c>
      <c r="AU451" s="102" t="s">
        <v>276</v>
      </c>
      <c r="AV451" s="102" t="s">
        <v>276</v>
      </c>
      <c r="AW451" s="94" t="s">
        <v>276</v>
      </c>
      <c r="AX451" s="94" t="s">
        <v>282</v>
      </c>
      <c r="AY451" s="94" t="s">
        <v>276</v>
      </c>
      <c r="AZ451" s="94" t="s">
        <v>276</v>
      </c>
      <c r="BA451" s="94" t="s">
        <v>276</v>
      </c>
      <c r="BB451" s="94" t="s">
        <v>276</v>
      </c>
      <c r="BC451" s="95" t="s">
        <v>4222</v>
      </c>
      <c r="BD451" s="95" t="s">
        <v>4168</v>
      </c>
      <c r="BE451" s="33" t="s">
        <v>100</v>
      </c>
      <c r="BF451" s="33" t="s">
        <v>98</v>
      </c>
    </row>
    <row r="452" spans="1:58" s="103" customFormat="1" ht="91" x14ac:dyDescent="0.3">
      <c r="A452" s="94">
        <v>433</v>
      </c>
      <c r="B452" s="94" t="s">
        <v>4163</v>
      </c>
      <c r="C452" s="94" t="s">
        <v>74</v>
      </c>
      <c r="D452" s="95" t="s">
        <v>4253</v>
      </c>
      <c r="E452" s="94" t="s">
        <v>39</v>
      </c>
      <c r="F452" s="94" t="s">
        <v>143</v>
      </c>
      <c r="G452" s="94" t="s">
        <v>225</v>
      </c>
      <c r="H452" s="94" t="s">
        <v>125</v>
      </c>
      <c r="I452" s="94" t="s">
        <v>114</v>
      </c>
      <c r="J452" s="95" t="s">
        <v>24</v>
      </c>
      <c r="K452" s="95" t="s">
        <v>4165</v>
      </c>
      <c r="L452" s="95" t="s">
        <v>4166</v>
      </c>
      <c r="M452" s="94" t="s">
        <v>16</v>
      </c>
      <c r="N452" s="144" t="s">
        <v>171</v>
      </c>
      <c r="O452" s="96" t="s">
        <v>207</v>
      </c>
      <c r="P452" s="287" t="s">
        <v>276</v>
      </c>
      <c r="Q452" s="329" t="s">
        <v>728</v>
      </c>
      <c r="R452" s="95" t="s">
        <v>276</v>
      </c>
      <c r="S452" s="95" t="s">
        <v>276</v>
      </c>
      <c r="T452" s="95">
        <v>5</v>
      </c>
      <c r="U452" s="98">
        <v>714</v>
      </c>
      <c r="V452" s="99">
        <v>716</v>
      </c>
      <c r="W452" s="94" t="s">
        <v>276</v>
      </c>
      <c r="X452" s="94" t="s">
        <v>276</v>
      </c>
      <c r="Y452" s="94" t="s">
        <v>276</v>
      </c>
      <c r="Z452" s="95" t="s">
        <v>276</v>
      </c>
      <c r="AA452" s="94" t="s">
        <v>276</v>
      </c>
      <c r="AB452" s="95" t="s">
        <v>276</v>
      </c>
      <c r="AC452" s="95" t="s">
        <v>4254</v>
      </c>
      <c r="AD452" s="95" t="s">
        <v>280</v>
      </c>
      <c r="AE452" s="94">
        <v>1</v>
      </c>
      <c r="AF452" s="94">
        <v>7</v>
      </c>
      <c r="AG452" s="98">
        <v>714</v>
      </c>
      <c r="AH452" s="99">
        <v>716</v>
      </c>
      <c r="AI452" s="99" t="s">
        <v>2047</v>
      </c>
      <c r="AJ452" s="102" t="s">
        <v>276</v>
      </c>
      <c r="AK452" s="101">
        <f t="shared" si="49"/>
        <v>1.4005602240896358</v>
      </c>
      <c r="AL452" s="102" t="s">
        <v>276</v>
      </c>
      <c r="AM452" s="102" t="s">
        <v>276</v>
      </c>
      <c r="AN452" s="102" t="s">
        <v>276</v>
      </c>
      <c r="AO452" s="101">
        <f t="shared" si="50"/>
        <v>9.7765363128491618</v>
      </c>
      <c r="AP452" s="102" t="s">
        <v>276</v>
      </c>
      <c r="AQ452" s="102" t="s">
        <v>276</v>
      </c>
      <c r="AR452" s="94" t="s">
        <v>268</v>
      </c>
      <c r="AS452" s="102" t="s">
        <v>276</v>
      </c>
      <c r="AT452" s="102">
        <f t="shared" si="53"/>
        <v>0.14325730292116845</v>
      </c>
      <c r="AU452" s="102" t="s">
        <v>276</v>
      </c>
      <c r="AV452" s="102" t="s">
        <v>276</v>
      </c>
      <c r="AW452" s="94" t="s">
        <v>276</v>
      </c>
      <c r="AX452" s="94" t="s">
        <v>282</v>
      </c>
      <c r="AY452" s="94" t="s">
        <v>276</v>
      </c>
      <c r="AZ452" s="94" t="s">
        <v>276</v>
      </c>
      <c r="BA452" s="94" t="s">
        <v>276</v>
      </c>
      <c r="BB452" s="94" t="s">
        <v>276</v>
      </c>
      <c r="BC452" s="95" t="s">
        <v>4222</v>
      </c>
      <c r="BD452" s="95" t="s">
        <v>4168</v>
      </c>
      <c r="BE452" s="33" t="s">
        <v>100</v>
      </c>
      <c r="BF452" s="33" t="s">
        <v>98</v>
      </c>
    </row>
    <row r="453" spans="1:58" s="103" customFormat="1" ht="91" x14ac:dyDescent="0.3">
      <c r="A453" s="94">
        <v>433</v>
      </c>
      <c r="B453" s="94" t="s">
        <v>4163</v>
      </c>
      <c r="C453" s="94" t="s">
        <v>74</v>
      </c>
      <c r="D453" s="95" t="s">
        <v>4255</v>
      </c>
      <c r="E453" s="94" t="s">
        <v>39</v>
      </c>
      <c r="F453" s="94" t="s">
        <v>143</v>
      </c>
      <c r="G453" s="94" t="s">
        <v>225</v>
      </c>
      <c r="H453" s="94" t="s">
        <v>125</v>
      </c>
      <c r="I453" s="94" t="s">
        <v>114</v>
      </c>
      <c r="J453" s="95" t="s">
        <v>24</v>
      </c>
      <c r="K453" s="95" t="s">
        <v>4165</v>
      </c>
      <c r="L453" s="95" t="s">
        <v>4166</v>
      </c>
      <c r="M453" s="94" t="s">
        <v>16</v>
      </c>
      <c r="N453" s="144" t="s">
        <v>171</v>
      </c>
      <c r="O453" s="96" t="s">
        <v>207</v>
      </c>
      <c r="P453" s="287" t="s">
        <v>276</v>
      </c>
      <c r="Q453" s="329" t="s">
        <v>733</v>
      </c>
      <c r="R453" s="95" t="s">
        <v>276</v>
      </c>
      <c r="S453" s="95" t="s">
        <v>276</v>
      </c>
      <c r="T453" s="95">
        <v>5</v>
      </c>
      <c r="U453" s="98">
        <v>714</v>
      </c>
      <c r="V453" s="99">
        <v>716</v>
      </c>
      <c r="W453" s="94" t="s">
        <v>276</v>
      </c>
      <c r="X453" s="94" t="s">
        <v>276</v>
      </c>
      <c r="Y453" s="94" t="s">
        <v>276</v>
      </c>
      <c r="Z453" s="95" t="s">
        <v>276</v>
      </c>
      <c r="AA453" s="94" t="s">
        <v>276</v>
      </c>
      <c r="AB453" s="95" t="s">
        <v>276</v>
      </c>
      <c r="AC453" s="95" t="s">
        <v>4256</v>
      </c>
      <c r="AD453" s="95" t="s">
        <v>280</v>
      </c>
      <c r="AE453" s="94">
        <v>2</v>
      </c>
      <c r="AF453" s="94">
        <v>8</v>
      </c>
      <c r="AG453" s="98">
        <v>714</v>
      </c>
      <c r="AH453" s="99">
        <v>716</v>
      </c>
      <c r="AI453" s="99" t="s">
        <v>2047</v>
      </c>
      <c r="AJ453" s="102" t="s">
        <v>276</v>
      </c>
      <c r="AK453" s="101">
        <f t="shared" si="49"/>
        <v>2.8011204481792715</v>
      </c>
      <c r="AL453" s="102" t="s">
        <v>276</v>
      </c>
      <c r="AM453" s="102" t="s">
        <v>276</v>
      </c>
      <c r="AN453" s="102" t="s">
        <v>276</v>
      </c>
      <c r="AO453" s="101">
        <f t="shared" si="50"/>
        <v>11.173184357541899</v>
      </c>
      <c r="AP453" s="102" t="s">
        <v>276</v>
      </c>
      <c r="AQ453" s="102" t="s">
        <v>276</v>
      </c>
      <c r="AR453" s="94" t="s">
        <v>268</v>
      </c>
      <c r="AS453" s="102" t="s">
        <v>276</v>
      </c>
      <c r="AT453" s="102">
        <f t="shared" si="53"/>
        <v>0.25070028011204482</v>
      </c>
      <c r="AU453" s="102" t="s">
        <v>276</v>
      </c>
      <c r="AV453" s="102" t="s">
        <v>276</v>
      </c>
      <c r="AW453" s="94" t="s">
        <v>276</v>
      </c>
      <c r="AX453" s="94" t="s">
        <v>282</v>
      </c>
      <c r="AY453" s="94" t="s">
        <v>276</v>
      </c>
      <c r="AZ453" s="94" t="s">
        <v>276</v>
      </c>
      <c r="BA453" s="94" t="s">
        <v>276</v>
      </c>
      <c r="BB453" s="94" t="s">
        <v>276</v>
      </c>
      <c r="BC453" s="95" t="s">
        <v>4222</v>
      </c>
      <c r="BD453" s="95" t="s">
        <v>4168</v>
      </c>
      <c r="BE453" s="33" t="s">
        <v>100</v>
      </c>
      <c r="BF453" s="33" t="s">
        <v>98</v>
      </c>
    </row>
    <row r="454" spans="1:58" s="103" customFormat="1" ht="91" x14ac:dyDescent="0.3">
      <c r="A454" s="94">
        <v>433</v>
      </c>
      <c r="B454" s="94" t="s">
        <v>4163</v>
      </c>
      <c r="C454" s="94" t="s">
        <v>74</v>
      </c>
      <c r="D454" s="95" t="s">
        <v>4257</v>
      </c>
      <c r="E454" s="94" t="s">
        <v>39</v>
      </c>
      <c r="F454" s="94" t="s">
        <v>143</v>
      </c>
      <c r="G454" s="94" t="s">
        <v>225</v>
      </c>
      <c r="H454" s="94" t="s">
        <v>125</v>
      </c>
      <c r="I454" s="94" t="s">
        <v>114</v>
      </c>
      <c r="J454" s="95" t="s">
        <v>24</v>
      </c>
      <c r="K454" s="95" t="s">
        <v>4165</v>
      </c>
      <c r="L454" s="95" t="s">
        <v>4166</v>
      </c>
      <c r="M454" s="94" t="s">
        <v>16</v>
      </c>
      <c r="N454" s="144" t="s">
        <v>171</v>
      </c>
      <c r="O454" s="96" t="s">
        <v>207</v>
      </c>
      <c r="P454" s="287" t="s">
        <v>276</v>
      </c>
      <c r="Q454" s="329" t="s">
        <v>741</v>
      </c>
      <c r="R454" s="95" t="s">
        <v>276</v>
      </c>
      <c r="S454" s="95" t="s">
        <v>276</v>
      </c>
      <c r="T454" s="95">
        <v>5</v>
      </c>
      <c r="U454" s="98">
        <v>714</v>
      </c>
      <c r="V454" s="99">
        <v>716</v>
      </c>
      <c r="W454" s="94" t="s">
        <v>276</v>
      </c>
      <c r="X454" s="94" t="s">
        <v>276</v>
      </c>
      <c r="Y454" s="94" t="s">
        <v>276</v>
      </c>
      <c r="Z454" s="95" t="s">
        <v>276</v>
      </c>
      <c r="AA454" s="94" t="s">
        <v>276</v>
      </c>
      <c r="AB454" s="95" t="s">
        <v>276</v>
      </c>
      <c r="AC454" s="95" t="s">
        <v>4258</v>
      </c>
      <c r="AD454" s="95" t="s">
        <v>280</v>
      </c>
      <c r="AE454" s="94">
        <v>2</v>
      </c>
      <c r="AF454" s="94">
        <v>10</v>
      </c>
      <c r="AG454" s="98">
        <v>714</v>
      </c>
      <c r="AH454" s="99">
        <v>716</v>
      </c>
      <c r="AI454" s="99" t="s">
        <v>2047</v>
      </c>
      <c r="AJ454" s="102" t="s">
        <v>276</v>
      </c>
      <c r="AK454" s="101">
        <f t="shared" si="49"/>
        <v>2.8011204481792715</v>
      </c>
      <c r="AL454" s="102" t="s">
        <v>276</v>
      </c>
      <c r="AM454" s="102" t="s">
        <v>276</v>
      </c>
      <c r="AN454" s="102" t="s">
        <v>276</v>
      </c>
      <c r="AO454" s="101">
        <f t="shared" si="50"/>
        <v>13.966480446927374</v>
      </c>
      <c r="AP454" s="102" t="s">
        <v>276</v>
      </c>
      <c r="AQ454" s="102" t="s">
        <v>276</v>
      </c>
      <c r="AR454" s="94" t="s">
        <v>268</v>
      </c>
      <c r="AS454" s="102" t="s">
        <v>276</v>
      </c>
      <c r="AT454" s="102">
        <f t="shared" si="53"/>
        <v>0.20056022408963584</v>
      </c>
      <c r="AU454" s="102" t="s">
        <v>276</v>
      </c>
      <c r="AV454" s="102" t="s">
        <v>276</v>
      </c>
      <c r="AW454" s="94" t="s">
        <v>276</v>
      </c>
      <c r="AX454" s="94" t="s">
        <v>282</v>
      </c>
      <c r="AY454" s="94" t="s">
        <v>276</v>
      </c>
      <c r="AZ454" s="94" t="s">
        <v>276</v>
      </c>
      <c r="BA454" s="94" t="s">
        <v>276</v>
      </c>
      <c r="BB454" s="94" t="s">
        <v>276</v>
      </c>
      <c r="BC454" s="95" t="s">
        <v>4222</v>
      </c>
      <c r="BD454" s="95" t="s">
        <v>4168</v>
      </c>
      <c r="BE454" s="33" t="s">
        <v>100</v>
      </c>
      <c r="BF454" s="33" t="s">
        <v>98</v>
      </c>
    </row>
    <row r="455" spans="1:58" s="103" customFormat="1" ht="91" x14ac:dyDescent="0.3">
      <c r="A455" s="94">
        <v>433</v>
      </c>
      <c r="B455" s="94" t="s">
        <v>4163</v>
      </c>
      <c r="C455" s="94" t="s">
        <v>74</v>
      </c>
      <c r="D455" s="95" t="s">
        <v>4259</v>
      </c>
      <c r="E455" s="94" t="s">
        <v>39</v>
      </c>
      <c r="F455" s="94" t="s">
        <v>143</v>
      </c>
      <c r="G455" s="94" t="s">
        <v>225</v>
      </c>
      <c r="H455" s="94" t="s">
        <v>125</v>
      </c>
      <c r="I455" s="94" t="s">
        <v>114</v>
      </c>
      <c r="J455" s="95" t="s">
        <v>24</v>
      </c>
      <c r="K455" s="95" t="s">
        <v>4165</v>
      </c>
      <c r="L455" s="95" t="s">
        <v>4166</v>
      </c>
      <c r="M455" s="94" t="s">
        <v>16</v>
      </c>
      <c r="N455" s="144" t="s">
        <v>171</v>
      </c>
      <c r="O455" s="96" t="s">
        <v>207</v>
      </c>
      <c r="P455" s="287" t="s">
        <v>276</v>
      </c>
      <c r="Q455" s="329" t="s">
        <v>746</v>
      </c>
      <c r="R455" s="95" t="s">
        <v>276</v>
      </c>
      <c r="S455" s="95" t="s">
        <v>276</v>
      </c>
      <c r="T455" s="95">
        <v>5</v>
      </c>
      <c r="U455" s="98">
        <v>714</v>
      </c>
      <c r="V455" s="99">
        <v>716</v>
      </c>
      <c r="W455" s="94" t="s">
        <v>276</v>
      </c>
      <c r="X455" s="94" t="s">
        <v>276</v>
      </c>
      <c r="Y455" s="94" t="s">
        <v>276</v>
      </c>
      <c r="Z455" s="95" t="s">
        <v>276</v>
      </c>
      <c r="AA455" s="94" t="s">
        <v>276</v>
      </c>
      <c r="AB455" s="95" t="s">
        <v>276</v>
      </c>
      <c r="AC455" s="95" t="s">
        <v>4260</v>
      </c>
      <c r="AD455" s="95" t="s">
        <v>280</v>
      </c>
      <c r="AE455" s="94">
        <v>4</v>
      </c>
      <c r="AF455" s="94">
        <v>12</v>
      </c>
      <c r="AG455" s="98">
        <v>714</v>
      </c>
      <c r="AH455" s="99">
        <v>716</v>
      </c>
      <c r="AI455" s="99" t="s">
        <v>2047</v>
      </c>
      <c r="AJ455" s="102" t="s">
        <v>276</v>
      </c>
      <c r="AK455" s="101">
        <f t="shared" si="49"/>
        <v>5.6022408963585431</v>
      </c>
      <c r="AL455" s="102" t="s">
        <v>276</v>
      </c>
      <c r="AM455" s="102" t="s">
        <v>276</v>
      </c>
      <c r="AN455" s="102" t="s">
        <v>276</v>
      </c>
      <c r="AO455" s="101">
        <f t="shared" si="50"/>
        <v>16.759776536312849</v>
      </c>
      <c r="AP455" s="102" t="s">
        <v>276</v>
      </c>
      <c r="AQ455" s="102" t="s">
        <v>276</v>
      </c>
      <c r="AR455" s="94" t="s">
        <v>268</v>
      </c>
      <c r="AS455" s="102" t="s">
        <v>276</v>
      </c>
      <c r="AT455" s="102">
        <f t="shared" si="53"/>
        <v>0.33426704014939307</v>
      </c>
      <c r="AU455" s="102" t="s">
        <v>276</v>
      </c>
      <c r="AV455" s="102" t="s">
        <v>276</v>
      </c>
      <c r="AW455" s="94" t="s">
        <v>276</v>
      </c>
      <c r="AX455" s="94" t="s">
        <v>282</v>
      </c>
      <c r="AY455" s="94" t="s">
        <v>276</v>
      </c>
      <c r="AZ455" s="94" t="s">
        <v>276</v>
      </c>
      <c r="BA455" s="94" t="s">
        <v>276</v>
      </c>
      <c r="BB455" s="94" t="s">
        <v>276</v>
      </c>
      <c r="BC455" s="95" t="s">
        <v>4222</v>
      </c>
      <c r="BD455" s="95" t="s">
        <v>4183</v>
      </c>
      <c r="BE455" s="33" t="s">
        <v>100</v>
      </c>
      <c r="BF455" s="33" t="s">
        <v>98</v>
      </c>
    </row>
    <row r="456" spans="1:58" s="103" customFormat="1" ht="91" x14ac:dyDescent="0.3">
      <c r="A456" s="94">
        <v>433</v>
      </c>
      <c r="B456" s="94" t="s">
        <v>4163</v>
      </c>
      <c r="C456" s="94" t="s">
        <v>74</v>
      </c>
      <c r="D456" s="95" t="s">
        <v>4261</v>
      </c>
      <c r="E456" s="94" t="s">
        <v>39</v>
      </c>
      <c r="F456" s="94" t="s">
        <v>143</v>
      </c>
      <c r="G456" s="94" t="s">
        <v>225</v>
      </c>
      <c r="H456" s="94" t="s">
        <v>125</v>
      </c>
      <c r="I456" s="94" t="s">
        <v>114</v>
      </c>
      <c r="J456" s="95" t="s">
        <v>24</v>
      </c>
      <c r="K456" s="95" t="s">
        <v>4165</v>
      </c>
      <c r="L456" s="95" t="s">
        <v>4166</v>
      </c>
      <c r="M456" s="94" t="s">
        <v>16</v>
      </c>
      <c r="N456" s="144" t="s">
        <v>171</v>
      </c>
      <c r="O456" s="96" t="s">
        <v>207</v>
      </c>
      <c r="P456" s="287" t="s">
        <v>276</v>
      </c>
      <c r="Q456" s="329" t="s">
        <v>752</v>
      </c>
      <c r="R456" s="95" t="s">
        <v>276</v>
      </c>
      <c r="S456" s="95" t="s">
        <v>276</v>
      </c>
      <c r="T456" s="95">
        <v>5</v>
      </c>
      <c r="U456" s="98">
        <v>714</v>
      </c>
      <c r="V456" s="99">
        <v>716</v>
      </c>
      <c r="W456" s="94" t="s">
        <v>276</v>
      </c>
      <c r="X456" s="94" t="s">
        <v>276</v>
      </c>
      <c r="Y456" s="94" t="s">
        <v>276</v>
      </c>
      <c r="Z456" s="95" t="s">
        <v>276</v>
      </c>
      <c r="AA456" s="94" t="s">
        <v>276</v>
      </c>
      <c r="AB456" s="95" t="s">
        <v>276</v>
      </c>
      <c r="AC456" s="95" t="s">
        <v>4262</v>
      </c>
      <c r="AD456" s="95" t="s">
        <v>280</v>
      </c>
      <c r="AE456" s="94">
        <v>4</v>
      </c>
      <c r="AF456" s="94">
        <v>13</v>
      </c>
      <c r="AG456" s="98">
        <v>714</v>
      </c>
      <c r="AH456" s="99">
        <v>716</v>
      </c>
      <c r="AI456" s="99" t="s">
        <v>2047</v>
      </c>
      <c r="AJ456" s="102" t="s">
        <v>276</v>
      </c>
      <c r="AK456" s="101">
        <f t="shared" si="49"/>
        <v>5.6022408963585431</v>
      </c>
      <c r="AL456" s="102" t="s">
        <v>276</v>
      </c>
      <c r="AM456" s="102" t="s">
        <v>276</v>
      </c>
      <c r="AN456" s="102" t="s">
        <v>276</v>
      </c>
      <c r="AO456" s="101">
        <f t="shared" si="50"/>
        <v>18.156424581005588</v>
      </c>
      <c r="AP456" s="102" t="s">
        <v>276</v>
      </c>
      <c r="AQ456" s="102" t="s">
        <v>276</v>
      </c>
      <c r="AR456" s="94" t="s">
        <v>268</v>
      </c>
      <c r="AS456" s="102" t="s">
        <v>276</v>
      </c>
      <c r="AT456" s="102">
        <f t="shared" si="53"/>
        <v>0.30855419090713204</v>
      </c>
      <c r="AU456" s="102" t="s">
        <v>276</v>
      </c>
      <c r="AV456" s="102" t="s">
        <v>276</v>
      </c>
      <c r="AW456" s="94" t="s">
        <v>276</v>
      </c>
      <c r="AX456" s="94" t="s">
        <v>282</v>
      </c>
      <c r="AY456" s="94" t="s">
        <v>276</v>
      </c>
      <c r="AZ456" s="94" t="s">
        <v>276</v>
      </c>
      <c r="BA456" s="94" t="s">
        <v>276</v>
      </c>
      <c r="BB456" s="94" t="s">
        <v>276</v>
      </c>
      <c r="BC456" s="95" t="s">
        <v>4222</v>
      </c>
      <c r="BD456" s="95" t="s">
        <v>4183</v>
      </c>
      <c r="BE456" s="33" t="s">
        <v>100</v>
      </c>
      <c r="BF456" s="33" t="s">
        <v>98</v>
      </c>
    </row>
    <row r="457" spans="1:58" s="103" customFormat="1" ht="91" x14ac:dyDescent="0.3">
      <c r="A457" s="94">
        <v>433</v>
      </c>
      <c r="B457" s="94" t="s">
        <v>4163</v>
      </c>
      <c r="C457" s="94" t="s">
        <v>74</v>
      </c>
      <c r="D457" s="95" t="s">
        <v>4263</v>
      </c>
      <c r="E457" s="94" t="s">
        <v>39</v>
      </c>
      <c r="F457" s="94" t="s">
        <v>143</v>
      </c>
      <c r="G457" s="94" t="s">
        <v>225</v>
      </c>
      <c r="H457" s="94" t="s">
        <v>125</v>
      </c>
      <c r="I457" s="94" t="s">
        <v>114</v>
      </c>
      <c r="J457" s="95" t="s">
        <v>24</v>
      </c>
      <c r="K457" s="95" t="s">
        <v>4165</v>
      </c>
      <c r="L457" s="95" t="s">
        <v>4166</v>
      </c>
      <c r="M457" s="94" t="s">
        <v>16</v>
      </c>
      <c r="N457" s="144" t="s">
        <v>171</v>
      </c>
      <c r="O457" s="96" t="s">
        <v>207</v>
      </c>
      <c r="P457" s="287" t="s">
        <v>276</v>
      </c>
      <c r="Q457" s="329" t="s">
        <v>766</v>
      </c>
      <c r="R457" s="95" t="s">
        <v>276</v>
      </c>
      <c r="S457" s="95" t="s">
        <v>276</v>
      </c>
      <c r="T457" s="95">
        <v>5</v>
      </c>
      <c r="U457" s="98">
        <v>714</v>
      </c>
      <c r="V457" s="99">
        <v>716</v>
      </c>
      <c r="W457" s="94" t="s">
        <v>276</v>
      </c>
      <c r="X457" s="94" t="s">
        <v>276</v>
      </c>
      <c r="Y457" s="94" t="s">
        <v>276</v>
      </c>
      <c r="Z457" s="95" t="s">
        <v>276</v>
      </c>
      <c r="AA457" s="94" t="s">
        <v>276</v>
      </c>
      <c r="AB457" s="95" t="s">
        <v>276</v>
      </c>
      <c r="AC457" s="95" t="s">
        <v>4264</v>
      </c>
      <c r="AD457" s="95" t="s">
        <v>280</v>
      </c>
      <c r="AE457" s="94">
        <v>4</v>
      </c>
      <c r="AF457" s="94">
        <v>13</v>
      </c>
      <c r="AG457" s="98">
        <v>714</v>
      </c>
      <c r="AH457" s="99">
        <v>716</v>
      </c>
      <c r="AI457" s="99" t="s">
        <v>2047</v>
      </c>
      <c r="AJ457" s="102" t="s">
        <v>276</v>
      </c>
      <c r="AK457" s="101">
        <f t="shared" si="49"/>
        <v>5.6022408963585431</v>
      </c>
      <c r="AL457" s="102" t="s">
        <v>276</v>
      </c>
      <c r="AM457" s="102" t="s">
        <v>276</v>
      </c>
      <c r="AN457" s="102" t="s">
        <v>276</v>
      </c>
      <c r="AO457" s="101">
        <f t="shared" si="50"/>
        <v>18.156424581005588</v>
      </c>
      <c r="AP457" s="102" t="s">
        <v>276</v>
      </c>
      <c r="AQ457" s="102" t="s">
        <v>276</v>
      </c>
      <c r="AR457" s="94" t="s">
        <v>268</v>
      </c>
      <c r="AS457" s="102" t="s">
        <v>276</v>
      </c>
      <c r="AT457" s="102">
        <f t="shared" si="53"/>
        <v>0.30855419090713204</v>
      </c>
      <c r="AU457" s="102" t="s">
        <v>276</v>
      </c>
      <c r="AV457" s="102" t="s">
        <v>276</v>
      </c>
      <c r="AW457" s="94" t="s">
        <v>276</v>
      </c>
      <c r="AX457" s="94" t="s">
        <v>282</v>
      </c>
      <c r="AY457" s="94" t="s">
        <v>276</v>
      </c>
      <c r="AZ457" s="94" t="s">
        <v>276</v>
      </c>
      <c r="BA457" s="94" t="s">
        <v>276</v>
      </c>
      <c r="BB457" s="94" t="s">
        <v>276</v>
      </c>
      <c r="BC457" s="95" t="s">
        <v>4222</v>
      </c>
      <c r="BD457" s="95" t="s">
        <v>4183</v>
      </c>
      <c r="BE457" s="33" t="s">
        <v>100</v>
      </c>
      <c r="BF457" s="33" t="s">
        <v>98</v>
      </c>
    </row>
    <row r="458" spans="1:58" s="103" customFormat="1" ht="91" x14ac:dyDescent="0.3">
      <c r="A458" s="94">
        <v>433</v>
      </c>
      <c r="B458" s="94" t="s">
        <v>4163</v>
      </c>
      <c r="C458" s="94" t="s">
        <v>74</v>
      </c>
      <c r="D458" s="95" t="s">
        <v>4265</v>
      </c>
      <c r="E458" s="94" t="s">
        <v>39</v>
      </c>
      <c r="F458" s="94" t="s">
        <v>143</v>
      </c>
      <c r="G458" s="94" t="s">
        <v>225</v>
      </c>
      <c r="H458" s="94" t="s">
        <v>125</v>
      </c>
      <c r="I458" s="94" t="s">
        <v>114</v>
      </c>
      <c r="J458" s="95" t="s">
        <v>24</v>
      </c>
      <c r="K458" s="95" t="s">
        <v>4165</v>
      </c>
      <c r="L458" s="95" t="s">
        <v>4166</v>
      </c>
      <c r="M458" s="94" t="s">
        <v>16</v>
      </c>
      <c r="N458" s="144" t="s">
        <v>171</v>
      </c>
      <c r="O458" s="96" t="s">
        <v>207</v>
      </c>
      <c r="P458" s="287" t="s">
        <v>4189</v>
      </c>
      <c r="Q458" s="329" t="s">
        <v>770</v>
      </c>
      <c r="R458" s="95" t="s">
        <v>4190</v>
      </c>
      <c r="S458" s="95" t="s">
        <v>4190</v>
      </c>
      <c r="T458" s="95">
        <v>5</v>
      </c>
      <c r="U458" s="98">
        <v>714</v>
      </c>
      <c r="V458" s="99">
        <v>716</v>
      </c>
      <c r="W458" s="94" t="s">
        <v>276</v>
      </c>
      <c r="X458" s="94" t="s">
        <v>276</v>
      </c>
      <c r="Y458" s="94">
        <v>8</v>
      </c>
      <c r="Z458" s="95" t="s">
        <v>4216</v>
      </c>
      <c r="AA458" s="94">
        <v>5</v>
      </c>
      <c r="AB458" s="95" t="s">
        <v>4216</v>
      </c>
      <c r="AC458" s="95" t="s">
        <v>4266</v>
      </c>
      <c r="AD458" s="95" t="s">
        <v>280</v>
      </c>
      <c r="AE458" s="94">
        <v>4</v>
      </c>
      <c r="AF458" s="94">
        <v>13</v>
      </c>
      <c r="AG458" s="98">
        <v>714</v>
      </c>
      <c r="AH458" s="99">
        <v>716</v>
      </c>
      <c r="AI458" s="99" t="s">
        <v>2047</v>
      </c>
      <c r="AJ458" s="102" t="s">
        <v>276</v>
      </c>
      <c r="AK458" s="101">
        <f t="shared" si="49"/>
        <v>5.6022408963585431</v>
      </c>
      <c r="AL458" s="102" t="s">
        <v>276</v>
      </c>
      <c r="AM458" s="102" t="s">
        <v>276</v>
      </c>
      <c r="AN458" s="102" t="s">
        <v>276</v>
      </c>
      <c r="AO458" s="101">
        <f t="shared" si="50"/>
        <v>18.156424581005588</v>
      </c>
      <c r="AP458" s="102" t="s">
        <v>276</v>
      </c>
      <c r="AQ458" s="102" t="s">
        <v>276</v>
      </c>
      <c r="AR458" s="94" t="s">
        <v>268</v>
      </c>
      <c r="AS458" s="102" t="s">
        <v>276</v>
      </c>
      <c r="AT458" s="102">
        <f t="shared" si="53"/>
        <v>0.30855419090713204</v>
      </c>
      <c r="AU458" s="102" t="s">
        <v>276</v>
      </c>
      <c r="AV458" s="102" t="s">
        <v>276</v>
      </c>
      <c r="AW458" s="94" t="s">
        <v>276</v>
      </c>
      <c r="AX458" s="94" t="s">
        <v>282</v>
      </c>
      <c r="AY458" s="94" t="s">
        <v>276</v>
      </c>
      <c r="AZ458" s="94" t="s">
        <v>276</v>
      </c>
      <c r="BA458" s="94" t="s">
        <v>276</v>
      </c>
      <c r="BB458" s="94" t="s">
        <v>276</v>
      </c>
      <c r="BC458" s="95" t="s">
        <v>4222</v>
      </c>
      <c r="BD458" s="95" t="s">
        <v>4168</v>
      </c>
      <c r="BE458" s="33" t="s">
        <v>100</v>
      </c>
      <c r="BF458" s="33" t="s">
        <v>98</v>
      </c>
    </row>
    <row r="459" spans="1:58" s="103" customFormat="1" ht="91" x14ac:dyDescent="0.3">
      <c r="A459" s="94">
        <v>433</v>
      </c>
      <c r="B459" s="94" t="s">
        <v>4163</v>
      </c>
      <c r="C459" s="94" t="s">
        <v>74</v>
      </c>
      <c r="D459" s="95" t="s">
        <v>4267</v>
      </c>
      <c r="E459" s="94" t="s">
        <v>39</v>
      </c>
      <c r="F459" s="94" t="s">
        <v>143</v>
      </c>
      <c r="G459" s="94" t="s">
        <v>225</v>
      </c>
      <c r="H459" s="94" t="s">
        <v>125</v>
      </c>
      <c r="I459" s="94" t="s">
        <v>114</v>
      </c>
      <c r="J459" s="95" t="s">
        <v>24</v>
      </c>
      <c r="K459" s="95" t="s">
        <v>4165</v>
      </c>
      <c r="L459" s="95" t="s">
        <v>4166</v>
      </c>
      <c r="M459" s="94" t="s">
        <v>16</v>
      </c>
      <c r="N459" s="144" t="s">
        <v>171</v>
      </c>
      <c r="O459" s="96" t="s">
        <v>207</v>
      </c>
      <c r="P459" s="287" t="s">
        <v>4189</v>
      </c>
      <c r="Q459" s="329" t="s">
        <v>770</v>
      </c>
      <c r="R459" s="95" t="s">
        <v>4190</v>
      </c>
      <c r="S459" s="95" t="s">
        <v>4190</v>
      </c>
      <c r="T459" s="95">
        <v>5</v>
      </c>
      <c r="U459" s="98">
        <v>714</v>
      </c>
      <c r="V459" s="99">
        <v>716</v>
      </c>
      <c r="W459" s="94" t="s">
        <v>276</v>
      </c>
      <c r="X459" s="94" t="s">
        <v>276</v>
      </c>
      <c r="Y459" s="94">
        <v>8</v>
      </c>
      <c r="Z459" s="95" t="s">
        <v>4216</v>
      </c>
      <c r="AA459" s="94">
        <v>5</v>
      </c>
      <c r="AB459" s="95" t="s">
        <v>4216</v>
      </c>
      <c r="AC459" s="95" t="s">
        <v>4266</v>
      </c>
      <c r="AD459" s="95" t="s">
        <v>280</v>
      </c>
      <c r="AE459" s="94">
        <v>4</v>
      </c>
      <c r="AF459" s="94">
        <v>13</v>
      </c>
      <c r="AG459" s="98">
        <v>714</v>
      </c>
      <c r="AH459" s="99">
        <v>716</v>
      </c>
      <c r="AI459" s="99" t="s">
        <v>2047</v>
      </c>
      <c r="AJ459" s="102" t="s">
        <v>276</v>
      </c>
      <c r="AK459" s="101">
        <f t="shared" si="49"/>
        <v>5.6022408963585431</v>
      </c>
      <c r="AL459" s="102" t="s">
        <v>276</v>
      </c>
      <c r="AM459" s="102" t="s">
        <v>276</v>
      </c>
      <c r="AN459" s="102" t="s">
        <v>276</v>
      </c>
      <c r="AO459" s="101">
        <f t="shared" si="50"/>
        <v>18.156424581005588</v>
      </c>
      <c r="AP459" s="102" t="s">
        <v>276</v>
      </c>
      <c r="AQ459" s="102" t="s">
        <v>276</v>
      </c>
      <c r="AR459" s="94" t="s">
        <v>270</v>
      </c>
      <c r="AS459" s="102" t="s">
        <v>276</v>
      </c>
      <c r="AT459" s="102" t="s">
        <v>276</v>
      </c>
      <c r="AU459" s="102" t="s">
        <v>276</v>
      </c>
      <c r="AV459" s="102" t="s">
        <v>276</v>
      </c>
      <c r="AW459" s="102" t="s">
        <v>276</v>
      </c>
      <c r="AX459" s="94" t="s">
        <v>1488</v>
      </c>
      <c r="AY459" s="102">
        <v>0.31</v>
      </c>
      <c r="AZ459" s="102">
        <v>0.1</v>
      </c>
      <c r="BA459" s="102">
        <v>0.96</v>
      </c>
      <c r="BB459" s="94">
        <v>0.04</v>
      </c>
      <c r="BC459" s="95" t="s">
        <v>4268</v>
      </c>
      <c r="BD459" s="95" t="s">
        <v>4168</v>
      </c>
      <c r="BE459" s="33" t="s">
        <v>100</v>
      </c>
      <c r="BF459" s="33" t="s">
        <v>98</v>
      </c>
    </row>
    <row r="460" spans="1:58" s="253" customFormat="1" ht="39" x14ac:dyDescent="0.3">
      <c r="A460" s="244">
        <v>432</v>
      </c>
      <c r="B460" s="244" t="s">
        <v>4269</v>
      </c>
      <c r="C460" s="244" t="s">
        <v>74</v>
      </c>
      <c r="D460" s="245" t="s">
        <v>4270</v>
      </c>
      <c r="E460" s="244" t="s">
        <v>39</v>
      </c>
      <c r="F460" s="244" t="s">
        <v>143</v>
      </c>
      <c r="G460" s="244" t="s">
        <v>225</v>
      </c>
      <c r="H460" s="244" t="s">
        <v>125</v>
      </c>
      <c r="I460" s="244" t="s">
        <v>114</v>
      </c>
      <c r="J460" s="245" t="s">
        <v>24</v>
      </c>
      <c r="K460" s="245" t="s">
        <v>4271</v>
      </c>
      <c r="L460" s="245" t="s">
        <v>4272</v>
      </c>
      <c r="M460" s="244" t="s">
        <v>14</v>
      </c>
      <c r="N460" s="246" t="s">
        <v>98</v>
      </c>
      <c r="O460" s="247" t="s">
        <v>207</v>
      </c>
      <c r="P460" s="248">
        <v>43648</v>
      </c>
      <c r="Q460" s="245" t="s">
        <v>276</v>
      </c>
      <c r="R460" s="245" t="s">
        <v>4273</v>
      </c>
      <c r="S460" s="245" t="s">
        <v>4273</v>
      </c>
      <c r="T460" s="245">
        <v>5</v>
      </c>
      <c r="U460" s="249">
        <v>2029</v>
      </c>
      <c r="V460" s="250">
        <v>2023</v>
      </c>
      <c r="W460" s="244" t="s">
        <v>276</v>
      </c>
      <c r="X460" s="244" t="s">
        <v>276</v>
      </c>
      <c r="Y460" s="244" t="s">
        <v>276</v>
      </c>
      <c r="Z460" s="244" t="s">
        <v>276</v>
      </c>
      <c r="AA460" s="244" t="s">
        <v>276</v>
      </c>
      <c r="AB460" s="244" t="s">
        <v>276</v>
      </c>
      <c r="AC460" s="245" t="s">
        <v>4274</v>
      </c>
      <c r="AD460" s="245" t="s">
        <v>866</v>
      </c>
      <c r="AE460" s="244">
        <v>33</v>
      </c>
      <c r="AF460" s="244">
        <v>44</v>
      </c>
      <c r="AG460" s="249">
        <v>2029</v>
      </c>
      <c r="AH460" s="249">
        <v>2023</v>
      </c>
      <c r="AI460" s="249" t="s">
        <v>292</v>
      </c>
      <c r="AJ460" s="330">
        <v>1.6</v>
      </c>
      <c r="AK460" s="252">
        <f>AE460*100/AG460</f>
        <v>1.6264169541646132</v>
      </c>
      <c r="AL460" s="251" t="s">
        <v>276</v>
      </c>
      <c r="AM460" s="251" t="s">
        <v>276</v>
      </c>
      <c r="AN460" s="330">
        <v>2.2000000000000002</v>
      </c>
      <c r="AO460" s="252">
        <f>AF460*100/AH460</f>
        <v>2.1749876421156698</v>
      </c>
      <c r="AP460" s="251" t="s">
        <v>276</v>
      </c>
      <c r="AQ460" s="251" t="s">
        <v>276</v>
      </c>
      <c r="AR460" s="244" t="s">
        <v>268</v>
      </c>
      <c r="AS460" s="251" t="s">
        <v>276</v>
      </c>
      <c r="AT460" s="251">
        <f t="shared" ref="AT460:AT466" si="54">AK460/AO460</f>
        <v>0.74778215869886644</v>
      </c>
      <c r="AU460" s="251" t="s">
        <v>276</v>
      </c>
      <c r="AV460" s="251" t="s">
        <v>276</v>
      </c>
      <c r="AW460" s="244">
        <v>0.24</v>
      </c>
      <c r="AX460" s="244" t="s">
        <v>282</v>
      </c>
      <c r="AY460" s="244" t="s">
        <v>276</v>
      </c>
      <c r="AZ460" s="244" t="s">
        <v>276</v>
      </c>
      <c r="BA460" s="244" t="s">
        <v>276</v>
      </c>
      <c r="BB460" s="244" t="s">
        <v>276</v>
      </c>
      <c r="BC460" s="245" t="s">
        <v>4275</v>
      </c>
      <c r="BD460" s="245" t="s">
        <v>276</v>
      </c>
      <c r="BE460" s="33" t="s">
        <v>100</v>
      </c>
      <c r="BF460" s="33" t="s">
        <v>98</v>
      </c>
    </row>
    <row r="461" spans="1:58" s="263" customFormat="1" ht="39" x14ac:dyDescent="0.3">
      <c r="A461" s="254">
        <v>432</v>
      </c>
      <c r="B461" s="254" t="s">
        <v>4269</v>
      </c>
      <c r="C461" s="254" t="s">
        <v>74</v>
      </c>
      <c r="D461" s="255" t="s">
        <v>4276</v>
      </c>
      <c r="E461" s="254" t="s">
        <v>39</v>
      </c>
      <c r="F461" s="254" t="s">
        <v>143</v>
      </c>
      <c r="G461" s="254" t="s">
        <v>225</v>
      </c>
      <c r="H461" s="254" t="s">
        <v>125</v>
      </c>
      <c r="I461" s="254" t="s">
        <v>114</v>
      </c>
      <c r="J461" s="255" t="s">
        <v>23</v>
      </c>
      <c r="K461" s="255" t="s">
        <v>4271</v>
      </c>
      <c r="L461" s="255" t="s">
        <v>4272</v>
      </c>
      <c r="M461" s="254" t="s">
        <v>14</v>
      </c>
      <c r="N461" s="256" t="s">
        <v>98</v>
      </c>
      <c r="O461" s="257" t="s">
        <v>207</v>
      </c>
      <c r="P461" s="258">
        <v>43648</v>
      </c>
      <c r="Q461" s="255" t="s">
        <v>276</v>
      </c>
      <c r="R461" s="255" t="s">
        <v>4273</v>
      </c>
      <c r="S461" s="255" t="s">
        <v>4273</v>
      </c>
      <c r="T461" s="255">
        <v>5</v>
      </c>
      <c r="U461" s="259">
        <v>2029</v>
      </c>
      <c r="V461" s="260">
        <v>2023</v>
      </c>
      <c r="W461" s="254" t="s">
        <v>276</v>
      </c>
      <c r="X461" s="254" t="s">
        <v>276</v>
      </c>
      <c r="Y461" s="254" t="s">
        <v>276</v>
      </c>
      <c r="Z461" s="254" t="s">
        <v>276</v>
      </c>
      <c r="AA461" s="254" t="s">
        <v>276</v>
      </c>
      <c r="AB461" s="254" t="s">
        <v>276</v>
      </c>
      <c r="AC461" s="255" t="s">
        <v>4277</v>
      </c>
      <c r="AD461" s="255" t="s">
        <v>866</v>
      </c>
      <c r="AE461" s="254">
        <v>183</v>
      </c>
      <c r="AF461" s="254">
        <v>174</v>
      </c>
      <c r="AG461" s="259">
        <v>2029</v>
      </c>
      <c r="AH461" s="259">
        <v>2023</v>
      </c>
      <c r="AI461" s="259" t="s">
        <v>292</v>
      </c>
      <c r="AJ461" s="331">
        <v>9</v>
      </c>
      <c r="AK461" s="262">
        <f>AE461*100/AG461</f>
        <v>9.0192212912764909</v>
      </c>
      <c r="AL461" s="261" t="s">
        <v>276</v>
      </c>
      <c r="AM461" s="261" t="s">
        <v>276</v>
      </c>
      <c r="AN461" s="331">
        <v>8.6</v>
      </c>
      <c r="AO461" s="262">
        <f>AF461*100/AH461</f>
        <v>8.6010874938210584</v>
      </c>
      <c r="AP461" s="261" t="s">
        <v>276</v>
      </c>
      <c r="AQ461" s="261" t="s">
        <v>276</v>
      </c>
      <c r="AR461" s="254" t="s">
        <v>268</v>
      </c>
      <c r="AS461" s="261" t="s">
        <v>276</v>
      </c>
      <c r="AT461" s="261">
        <f t="shared" si="54"/>
        <v>1.0486140616236976</v>
      </c>
      <c r="AU461" s="261" t="s">
        <v>276</v>
      </c>
      <c r="AV461" s="261" t="s">
        <v>276</v>
      </c>
      <c r="AW461" s="254">
        <v>0.69</v>
      </c>
      <c r="AX461" s="254" t="s">
        <v>282</v>
      </c>
      <c r="AY461" s="254" t="s">
        <v>276</v>
      </c>
      <c r="AZ461" s="254" t="s">
        <v>276</v>
      </c>
      <c r="BA461" s="254" t="s">
        <v>276</v>
      </c>
      <c r="BB461" s="254" t="s">
        <v>276</v>
      </c>
      <c r="BC461" s="255" t="s">
        <v>4275</v>
      </c>
      <c r="BD461" s="255" t="s">
        <v>276</v>
      </c>
      <c r="BE461" s="33" t="s">
        <v>100</v>
      </c>
      <c r="BF461" s="33" t="s">
        <v>98</v>
      </c>
    </row>
    <row r="462" spans="1:58" s="7" customFormat="1" ht="78" x14ac:dyDescent="0.3">
      <c r="A462" s="8">
        <v>3757</v>
      </c>
      <c r="B462" s="9" t="s">
        <v>4468</v>
      </c>
      <c r="C462" s="8" t="s">
        <v>63</v>
      </c>
      <c r="D462" s="9" t="s">
        <v>4469</v>
      </c>
      <c r="E462" s="8" t="s">
        <v>35</v>
      </c>
      <c r="F462" s="9" t="s">
        <v>131</v>
      </c>
      <c r="G462" s="8" t="s">
        <v>225</v>
      </c>
      <c r="H462" s="8" t="s">
        <v>125</v>
      </c>
      <c r="I462" s="8" t="s">
        <v>114</v>
      </c>
      <c r="J462" s="9" t="s">
        <v>24</v>
      </c>
      <c r="K462" s="9" t="s">
        <v>4470</v>
      </c>
      <c r="L462" s="9" t="s">
        <v>4471</v>
      </c>
      <c r="M462" s="8" t="s">
        <v>14</v>
      </c>
      <c r="N462" s="12" t="s">
        <v>4472</v>
      </c>
      <c r="O462" s="12" t="s">
        <v>207</v>
      </c>
      <c r="P462" s="41" t="s">
        <v>276</v>
      </c>
      <c r="Q462" s="9" t="s">
        <v>4473</v>
      </c>
      <c r="R462" s="9" t="s">
        <v>4474</v>
      </c>
      <c r="S462" s="9" t="s">
        <v>4475</v>
      </c>
      <c r="T462" s="9">
        <v>7</v>
      </c>
      <c r="U462" s="38">
        <v>23226</v>
      </c>
      <c r="V462" s="38">
        <v>21904</v>
      </c>
      <c r="W462" s="8" t="s">
        <v>276</v>
      </c>
      <c r="X462" s="8" t="s">
        <v>276</v>
      </c>
      <c r="Y462" s="8" t="s">
        <v>276</v>
      </c>
      <c r="Z462" s="8" t="s">
        <v>276</v>
      </c>
      <c r="AA462" s="8" t="s">
        <v>276</v>
      </c>
      <c r="AB462" s="8" t="s">
        <v>276</v>
      </c>
      <c r="AC462" s="9" t="s">
        <v>4476</v>
      </c>
      <c r="AD462" s="9" t="s">
        <v>4477</v>
      </c>
      <c r="AE462" s="8">
        <v>68</v>
      </c>
      <c r="AF462" s="8">
        <v>76</v>
      </c>
      <c r="AG462" s="13">
        <v>157946</v>
      </c>
      <c r="AH462" s="13">
        <v>147854</v>
      </c>
      <c r="AI462" s="38" t="s">
        <v>4478</v>
      </c>
      <c r="AJ462" s="14">
        <v>4.3099999999999996</v>
      </c>
      <c r="AK462" s="31">
        <f>AE462/AG462*10000</f>
        <v>4.3052688893672517</v>
      </c>
      <c r="AL462" s="14" t="s">
        <v>276</v>
      </c>
      <c r="AM462" s="14" t="s">
        <v>276</v>
      </c>
      <c r="AN462" s="14">
        <v>5.14</v>
      </c>
      <c r="AO462" s="31">
        <f>AF462/AH462*10000</f>
        <v>5.140205878772302</v>
      </c>
      <c r="AP462" s="14" t="s">
        <v>276</v>
      </c>
      <c r="AQ462" s="14" t="s">
        <v>276</v>
      </c>
      <c r="AR462" s="8" t="s">
        <v>269</v>
      </c>
      <c r="AS462" s="40">
        <f>1-0.16</f>
        <v>0.84</v>
      </c>
      <c r="AT462" s="31">
        <f t="shared" si="54"/>
        <v>0.83756740311645483</v>
      </c>
      <c r="AU462" s="14" t="s">
        <v>276</v>
      </c>
      <c r="AV462" s="14" t="s">
        <v>276</v>
      </c>
      <c r="AW462" s="8" t="s">
        <v>276</v>
      </c>
      <c r="AX462" s="8" t="s">
        <v>4479</v>
      </c>
      <c r="AY462" s="8">
        <v>0.83</v>
      </c>
      <c r="AZ462" s="8">
        <v>0.57999999999999996</v>
      </c>
      <c r="BA462" s="8">
        <v>1.18</v>
      </c>
      <c r="BB462" s="8" t="s">
        <v>276</v>
      </c>
      <c r="BC462" s="9" t="s">
        <v>4480</v>
      </c>
      <c r="BD462" s="56" t="s">
        <v>4481</v>
      </c>
      <c r="BE462" s="33" t="s">
        <v>99</v>
      </c>
      <c r="BF462" s="33" t="s">
        <v>11162</v>
      </c>
    </row>
    <row r="463" spans="1:58" s="7" customFormat="1" ht="78" x14ac:dyDescent="0.3">
      <c r="A463" s="8">
        <v>3757</v>
      </c>
      <c r="B463" s="9" t="s">
        <v>4468</v>
      </c>
      <c r="C463" s="8" t="s">
        <v>63</v>
      </c>
      <c r="D463" s="9" t="s">
        <v>4482</v>
      </c>
      <c r="E463" s="8" t="s">
        <v>35</v>
      </c>
      <c r="F463" s="9" t="s">
        <v>131</v>
      </c>
      <c r="G463" s="8" t="s">
        <v>225</v>
      </c>
      <c r="H463" s="8" t="s">
        <v>125</v>
      </c>
      <c r="I463" s="8" t="s">
        <v>114</v>
      </c>
      <c r="J463" s="9" t="s">
        <v>24</v>
      </c>
      <c r="K463" s="9" t="s">
        <v>4483</v>
      </c>
      <c r="L463" s="9" t="s">
        <v>4471</v>
      </c>
      <c r="M463" s="8" t="s">
        <v>14</v>
      </c>
      <c r="N463" s="12" t="s">
        <v>4472</v>
      </c>
      <c r="O463" s="12" t="s">
        <v>207</v>
      </c>
      <c r="P463" s="41" t="s">
        <v>276</v>
      </c>
      <c r="Q463" s="9" t="s">
        <v>741</v>
      </c>
      <c r="R463" s="9" t="s">
        <v>4474</v>
      </c>
      <c r="S463" s="9" t="s">
        <v>4475</v>
      </c>
      <c r="T463" s="9">
        <v>7</v>
      </c>
      <c r="U463" s="38">
        <v>23226</v>
      </c>
      <c r="V463" s="38">
        <v>21904</v>
      </c>
      <c r="W463" s="8" t="s">
        <v>276</v>
      </c>
      <c r="X463" s="8" t="s">
        <v>276</v>
      </c>
      <c r="Y463" s="8" t="s">
        <v>276</v>
      </c>
      <c r="Z463" s="8" t="s">
        <v>276</v>
      </c>
      <c r="AA463" s="8" t="s">
        <v>276</v>
      </c>
      <c r="AB463" s="8" t="s">
        <v>276</v>
      </c>
      <c r="AC463" s="9" t="s">
        <v>4476</v>
      </c>
      <c r="AD463" s="9" t="s">
        <v>4484</v>
      </c>
      <c r="AE463" s="8">
        <v>68</v>
      </c>
      <c r="AF463" s="8">
        <v>76</v>
      </c>
      <c r="AG463" s="13">
        <v>23226</v>
      </c>
      <c r="AH463" s="13">
        <v>21904</v>
      </c>
      <c r="AI463" s="13" t="s">
        <v>292</v>
      </c>
      <c r="AJ463" s="14" t="s">
        <v>276</v>
      </c>
      <c r="AK463" s="31">
        <f>AE463/AG463*100</f>
        <v>0.29277533798329458</v>
      </c>
      <c r="AL463" s="14" t="s">
        <v>276</v>
      </c>
      <c r="AM463" s="14" t="s">
        <v>276</v>
      </c>
      <c r="AN463" s="14" t="s">
        <v>276</v>
      </c>
      <c r="AO463" s="31">
        <f>AF463/AH463*100</f>
        <v>0.34696859021183346</v>
      </c>
      <c r="AP463" s="14" t="s">
        <v>276</v>
      </c>
      <c r="AQ463" s="14" t="s">
        <v>276</v>
      </c>
      <c r="AR463" s="8" t="s">
        <v>268</v>
      </c>
      <c r="AS463" s="40" t="s">
        <v>276</v>
      </c>
      <c r="AT463" s="31">
        <f t="shared" si="54"/>
        <v>0.84380934252448481</v>
      </c>
      <c r="AU463" s="14" t="s">
        <v>276</v>
      </c>
      <c r="AV463" s="14" t="s">
        <v>276</v>
      </c>
      <c r="AW463" s="8" t="s">
        <v>276</v>
      </c>
      <c r="AX463" s="8" t="s">
        <v>98</v>
      </c>
      <c r="AY463" s="8" t="s">
        <v>276</v>
      </c>
      <c r="AZ463" s="8" t="s">
        <v>276</v>
      </c>
      <c r="BA463" s="8" t="s">
        <v>276</v>
      </c>
      <c r="BB463" s="8" t="s">
        <v>276</v>
      </c>
      <c r="BC463" s="9" t="s">
        <v>4485</v>
      </c>
      <c r="BD463" s="56"/>
      <c r="BE463" s="33" t="s">
        <v>99</v>
      </c>
      <c r="BF463" s="33" t="s">
        <v>11162</v>
      </c>
    </row>
    <row r="464" spans="1:58" s="7" customFormat="1" ht="78" x14ac:dyDescent="0.3">
      <c r="A464" s="8">
        <v>3757</v>
      </c>
      <c r="B464" s="9" t="s">
        <v>4468</v>
      </c>
      <c r="C464" s="8" t="s">
        <v>63</v>
      </c>
      <c r="D464" s="9" t="s">
        <v>4486</v>
      </c>
      <c r="E464" s="8" t="s">
        <v>35</v>
      </c>
      <c r="F464" s="9" t="s">
        <v>131</v>
      </c>
      <c r="G464" s="8" t="s">
        <v>225</v>
      </c>
      <c r="H464" s="8" t="s">
        <v>125</v>
      </c>
      <c r="I464" s="8" t="s">
        <v>114</v>
      </c>
      <c r="J464" s="9" t="s">
        <v>23</v>
      </c>
      <c r="K464" s="9" t="s">
        <v>4487</v>
      </c>
      <c r="L464" s="9" t="s">
        <v>4471</v>
      </c>
      <c r="M464" s="8" t="s">
        <v>14</v>
      </c>
      <c r="N464" s="12" t="s">
        <v>4472</v>
      </c>
      <c r="O464" s="12" t="s">
        <v>207</v>
      </c>
      <c r="P464" s="41" t="s">
        <v>276</v>
      </c>
      <c r="Q464" s="9" t="s">
        <v>4473</v>
      </c>
      <c r="R464" s="9" t="s">
        <v>4474</v>
      </c>
      <c r="S464" s="9" t="s">
        <v>4475</v>
      </c>
      <c r="T464" s="9">
        <v>7</v>
      </c>
      <c r="U464" s="13">
        <v>23226</v>
      </c>
      <c r="V464" s="38">
        <v>21904</v>
      </c>
      <c r="W464" s="8" t="s">
        <v>276</v>
      </c>
      <c r="X464" s="8" t="s">
        <v>276</v>
      </c>
      <c r="Y464" s="8" t="s">
        <v>276</v>
      </c>
      <c r="Z464" s="8" t="s">
        <v>276</v>
      </c>
      <c r="AA464" s="8" t="s">
        <v>276</v>
      </c>
      <c r="AB464" s="8" t="s">
        <v>276</v>
      </c>
      <c r="AC464" s="9" t="s">
        <v>4488</v>
      </c>
      <c r="AD464" s="9" t="s">
        <v>4489</v>
      </c>
      <c r="AE464" s="8">
        <v>1274</v>
      </c>
      <c r="AF464" s="8">
        <v>1490</v>
      </c>
      <c r="AG464" s="13">
        <v>157946</v>
      </c>
      <c r="AH464" s="13">
        <v>147854</v>
      </c>
      <c r="AI464" s="38" t="s">
        <v>4478</v>
      </c>
      <c r="AJ464" s="43">
        <v>80.7</v>
      </c>
      <c r="AK464" s="31">
        <f>AE464/AG464*10000</f>
        <v>80.660478897851164</v>
      </c>
      <c r="AL464" s="14" t="s">
        <v>276</v>
      </c>
      <c r="AM464" s="14" t="s">
        <v>276</v>
      </c>
      <c r="AN464" s="43">
        <v>100.8</v>
      </c>
      <c r="AO464" s="31">
        <f>AF464/AH464*10000</f>
        <v>100.77508893908856</v>
      </c>
      <c r="AP464" s="14" t="s">
        <v>276</v>
      </c>
      <c r="AQ464" s="14" t="s">
        <v>276</v>
      </c>
      <c r="AR464" s="8" t="s">
        <v>269</v>
      </c>
      <c r="AS464" s="40" t="s">
        <v>1948</v>
      </c>
      <c r="AT464" s="31">
        <f t="shared" si="54"/>
        <v>0.80040096959482454</v>
      </c>
      <c r="AU464" s="14" t="s">
        <v>276</v>
      </c>
      <c r="AV464" s="14" t="s">
        <v>276</v>
      </c>
      <c r="AW464" s="8" t="s">
        <v>276</v>
      </c>
      <c r="AX464" s="8" t="s">
        <v>98</v>
      </c>
      <c r="AY464" s="8" t="s">
        <v>276</v>
      </c>
      <c r="AZ464" s="8" t="s">
        <v>276</v>
      </c>
      <c r="BA464" s="8" t="s">
        <v>276</v>
      </c>
      <c r="BB464" s="8" t="s">
        <v>276</v>
      </c>
      <c r="BC464" s="9" t="s">
        <v>4490</v>
      </c>
      <c r="BD464" s="9"/>
      <c r="BE464" s="33" t="s">
        <v>100</v>
      </c>
      <c r="BF464" s="33" t="s">
        <v>98</v>
      </c>
    </row>
    <row r="465" spans="1:58" s="7" customFormat="1" ht="78" x14ac:dyDescent="0.3">
      <c r="A465" s="8">
        <v>3757</v>
      </c>
      <c r="B465" s="9" t="s">
        <v>4468</v>
      </c>
      <c r="C465" s="8" t="s">
        <v>63</v>
      </c>
      <c r="D465" s="9" t="s">
        <v>4491</v>
      </c>
      <c r="E465" s="8" t="s">
        <v>35</v>
      </c>
      <c r="F465" s="9" t="s">
        <v>131</v>
      </c>
      <c r="G465" s="8" t="s">
        <v>225</v>
      </c>
      <c r="H465" s="8" t="s">
        <v>125</v>
      </c>
      <c r="I465" s="8" t="s">
        <v>114</v>
      </c>
      <c r="J465" s="9" t="s">
        <v>23</v>
      </c>
      <c r="K465" s="9" t="s">
        <v>4487</v>
      </c>
      <c r="L465" s="9" t="s">
        <v>4471</v>
      </c>
      <c r="M465" s="8" t="s">
        <v>14</v>
      </c>
      <c r="N465" s="12" t="s">
        <v>4472</v>
      </c>
      <c r="O465" s="12" t="s">
        <v>207</v>
      </c>
      <c r="P465" s="41" t="s">
        <v>276</v>
      </c>
      <c r="Q465" s="9" t="s">
        <v>4473</v>
      </c>
      <c r="R465" s="9" t="s">
        <v>4474</v>
      </c>
      <c r="S465" s="9" t="s">
        <v>4475</v>
      </c>
      <c r="T465" s="9">
        <v>7</v>
      </c>
      <c r="U465" s="13">
        <v>23226</v>
      </c>
      <c r="V465" s="38">
        <v>21904</v>
      </c>
      <c r="W465" s="8" t="s">
        <v>276</v>
      </c>
      <c r="X465" s="8" t="s">
        <v>276</v>
      </c>
      <c r="Y465" s="8" t="s">
        <v>276</v>
      </c>
      <c r="Z465" s="8" t="s">
        <v>276</v>
      </c>
      <c r="AA465" s="8" t="s">
        <v>276</v>
      </c>
      <c r="AB465" s="8" t="s">
        <v>276</v>
      </c>
      <c r="AC465" s="9" t="s">
        <v>4488</v>
      </c>
      <c r="AD465" s="9" t="s">
        <v>4484</v>
      </c>
      <c r="AE465" s="8">
        <v>1274</v>
      </c>
      <c r="AF465" s="8">
        <v>1490</v>
      </c>
      <c r="AG465" s="13">
        <v>23226</v>
      </c>
      <c r="AH465" s="13">
        <v>21904</v>
      </c>
      <c r="AI465" s="13" t="s">
        <v>292</v>
      </c>
      <c r="AJ465" s="14" t="s">
        <v>276</v>
      </c>
      <c r="AK465" s="31">
        <f>AE465/AG465*100</f>
        <v>5.485232067510549</v>
      </c>
      <c r="AL465" s="14" t="s">
        <v>276</v>
      </c>
      <c r="AM465" s="14" t="s">
        <v>276</v>
      </c>
      <c r="AN465" s="14" t="s">
        <v>276</v>
      </c>
      <c r="AO465" s="31">
        <f>AF465/AH465*100</f>
        <v>6.8024105186267354</v>
      </c>
      <c r="AP465" s="14" t="s">
        <v>276</v>
      </c>
      <c r="AQ465" s="14" t="s">
        <v>276</v>
      </c>
      <c r="AR465" s="8" t="s">
        <v>268</v>
      </c>
      <c r="AS465" s="40" t="s">
        <v>276</v>
      </c>
      <c r="AT465" s="31">
        <f t="shared" si="54"/>
        <v>0.80636592756208758</v>
      </c>
      <c r="AU465" s="14" t="s">
        <v>276</v>
      </c>
      <c r="AV465" s="14" t="s">
        <v>276</v>
      </c>
      <c r="AW465" s="8" t="s">
        <v>276</v>
      </c>
      <c r="AX465" s="8" t="s">
        <v>98</v>
      </c>
      <c r="AY465" s="8" t="s">
        <v>276</v>
      </c>
      <c r="AZ465" s="8" t="s">
        <v>276</v>
      </c>
      <c r="BA465" s="8" t="s">
        <v>276</v>
      </c>
      <c r="BB465" s="8" t="s">
        <v>276</v>
      </c>
      <c r="BC465" s="9" t="s">
        <v>4492</v>
      </c>
      <c r="BD465" s="9"/>
      <c r="BE465" s="33" t="s">
        <v>100</v>
      </c>
      <c r="BF465" s="33" t="s">
        <v>98</v>
      </c>
    </row>
    <row r="466" spans="1:58" s="7" customFormat="1" ht="91" x14ac:dyDescent="0.3">
      <c r="A466" s="8">
        <v>3773</v>
      </c>
      <c r="B466" s="9" t="s">
        <v>4493</v>
      </c>
      <c r="C466" s="8" t="s">
        <v>63</v>
      </c>
      <c r="D466" s="9" t="s">
        <v>4494</v>
      </c>
      <c r="E466" s="8" t="s">
        <v>35</v>
      </c>
      <c r="F466" s="9" t="s">
        <v>131</v>
      </c>
      <c r="G466" s="8" t="s">
        <v>225</v>
      </c>
      <c r="H466" s="8" t="s">
        <v>125</v>
      </c>
      <c r="I466" s="8" t="s">
        <v>114</v>
      </c>
      <c r="J466" s="9" t="s">
        <v>24</v>
      </c>
      <c r="K466" s="9" t="s">
        <v>4495</v>
      </c>
      <c r="L466" s="9" t="s">
        <v>276</v>
      </c>
      <c r="M466" s="8" t="s">
        <v>14</v>
      </c>
      <c r="N466" s="12" t="s">
        <v>4472</v>
      </c>
      <c r="O466" s="12" t="s">
        <v>207</v>
      </c>
      <c r="P466" s="41" t="s">
        <v>276</v>
      </c>
      <c r="Q466" s="9" t="s">
        <v>766</v>
      </c>
      <c r="R466" s="9" t="s">
        <v>4496</v>
      </c>
      <c r="S466" s="9" t="s">
        <v>4497</v>
      </c>
      <c r="T466" s="9">
        <v>7</v>
      </c>
      <c r="U466" s="13">
        <v>22944</v>
      </c>
      <c r="V466" s="38">
        <v>21344</v>
      </c>
      <c r="W466" s="8" t="s">
        <v>276</v>
      </c>
      <c r="X466" s="8" t="s">
        <v>276</v>
      </c>
      <c r="Y466" s="8" t="s">
        <v>276</v>
      </c>
      <c r="Z466" s="8" t="s">
        <v>276</v>
      </c>
      <c r="AA466" s="8" t="s">
        <v>276</v>
      </c>
      <c r="AB466" s="8" t="s">
        <v>276</v>
      </c>
      <c r="AC466" s="9" t="s">
        <v>4498</v>
      </c>
      <c r="AD466" s="9" t="s">
        <v>4477</v>
      </c>
      <c r="AE466" s="8">
        <v>105</v>
      </c>
      <c r="AF466" s="8">
        <v>120</v>
      </c>
      <c r="AG466" s="13">
        <v>219215</v>
      </c>
      <c r="AH466" s="13">
        <v>201821</v>
      </c>
      <c r="AI466" s="38" t="s">
        <v>4478</v>
      </c>
      <c r="AJ466" s="14">
        <v>4.79</v>
      </c>
      <c r="AK466" s="31">
        <f t="shared" ref="AK466:AK471" si="55">AE466/AG466*10000</f>
        <v>4.789818214994412</v>
      </c>
      <c r="AL466" s="33" t="s">
        <v>276</v>
      </c>
      <c r="AM466" s="33" t="s">
        <v>276</v>
      </c>
      <c r="AN466" s="14">
        <v>5.95</v>
      </c>
      <c r="AO466" s="31">
        <f t="shared" ref="AO466:AO471" si="56">AF466/AH466*10000</f>
        <v>5.9458629181304232</v>
      </c>
      <c r="AP466" s="14" t="s">
        <v>276</v>
      </c>
      <c r="AQ466" s="14" t="s">
        <v>276</v>
      </c>
      <c r="AR466" s="8" t="s">
        <v>269</v>
      </c>
      <c r="AS466" s="14" t="s">
        <v>1948</v>
      </c>
      <c r="AT466" s="14">
        <f t="shared" si="54"/>
        <v>0.80557158497365589</v>
      </c>
      <c r="AU466" s="14" t="s">
        <v>276</v>
      </c>
      <c r="AV466" s="14" t="s">
        <v>276</v>
      </c>
      <c r="AW466" s="14" t="s">
        <v>276</v>
      </c>
      <c r="AX466" s="9" t="s">
        <v>4499</v>
      </c>
      <c r="AY466" s="8">
        <v>0.79</v>
      </c>
      <c r="AZ466" s="14">
        <v>0.6</v>
      </c>
      <c r="BA466" s="8">
        <v>1.05</v>
      </c>
      <c r="BB466" s="8" t="s">
        <v>276</v>
      </c>
      <c r="BC466" s="9" t="s">
        <v>4500</v>
      </c>
      <c r="BD466" s="9" t="s">
        <v>4501</v>
      </c>
      <c r="BE466" s="33" t="s">
        <v>100</v>
      </c>
      <c r="BF466" s="33" t="s">
        <v>98</v>
      </c>
    </row>
    <row r="467" spans="1:58" s="7" customFormat="1" ht="91" x14ac:dyDescent="0.3">
      <c r="A467" s="8">
        <v>3773</v>
      </c>
      <c r="B467" s="9" t="s">
        <v>4493</v>
      </c>
      <c r="C467" s="8" t="s">
        <v>63</v>
      </c>
      <c r="D467" s="9" t="s">
        <v>4502</v>
      </c>
      <c r="E467" s="8" t="s">
        <v>35</v>
      </c>
      <c r="F467" s="9" t="s">
        <v>131</v>
      </c>
      <c r="G467" s="8" t="s">
        <v>225</v>
      </c>
      <c r="H467" s="8" t="s">
        <v>125</v>
      </c>
      <c r="I467" s="8" t="s">
        <v>114</v>
      </c>
      <c r="J467" s="9" t="s">
        <v>24</v>
      </c>
      <c r="K467" s="9" t="s">
        <v>4495</v>
      </c>
      <c r="L467" s="9" t="s">
        <v>276</v>
      </c>
      <c r="M467" s="8" t="s">
        <v>14</v>
      </c>
      <c r="N467" s="12" t="s">
        <v>4472</v>
      </c>
      <c r="O467" s="12" t="s">
        <v>207</v>
      </c>
      <c r="P467" s="41" t="s">
        <v>276</v>
      </c>
      <c r="Q467" s="9" t="s">
        <v>766</v>
      </c>
      <c r="R467" s="9" t="s">
        <v>4496</v>
      </c>
      <c r="S467" s="9" t="s">
        <v>4497</v>
      </c>
      <c r="T467" s="9">
        <v>7</v>
      </c>
      <c r="U467" s="13">
        <v>22944</v>
      </c>
      <c r="V467" s="38">
        <v>21344</v>
      </c>
      <c r="W467" s="8" t="s">
        <v>276</v>
      </c>
      <c r="X467" s="8" t="s">
        <v>276</v>
      </c>
      <c r="Y467" s="8" t="s">
        <v>276</v>
      </c>
      <c r="Z467" s="8" t="s">
        <v>276</v>
      </c>
      <c r="AA467" s="8" t="s">
        <v>276</v>
      </c>
      <c r="AB467" s="8" t="s">
        <v>276</v>
      </c>
      <c r="AC467" s="9" t="s">
        <v>4503</v>
      </c>
      <c r="AD467" s="9" t="s">
        <v>4477</v>
      </c>
      <c r="AE467" s="8">
        <v>96</v>
      </c>
      <c r="AF467" s="8">
        <v>106</v>
      </c>
      <c r="AG467" s="13">
        <v>219215</v>
      </c>
      <c r="AH467" s="13">
        <v>201821</v>
      </c>
      <c r="AI467" s="38" t="s">
        <v>4478</v>
      </c>
      <c r="AJ467" s="14">
        <v>4.38</v>
      </c>
      <c r="AK467" s="31">
        <f t="shared" si="55"/>
        <v>4.3792623679948912</v>
      </c>
      <c r="AL467" s="33" t="s">
        <v>276</v>
      </c>
      <c r="AM467" s="33" t="s">
        <v>276</v>
      </c>
      <c r="AN467" s="14">
        <v>5.25</v>
      </c>
      <c r="AO467" s="31">
        <f t="shared" si="56"/>
        <v>5.2521789110152062</v>
      </c>
      <c r="AP467" s="14" t="s">
        <v>276</v>
      </c>
      <c r="AQ467" s="14" t="s">
        <v>276</v>
      </c>
      <c r="AR467" s="8" t="s">
        <v>269</v>
      </c>
      <c r="AS467" s="14" t="s">
        <v>1948</v>
      </c>
      <c r="AT467" s="14">
        <f t="shared" ref="AT467:AT474" si="57">AK467/AO467</f>
        <v>0.83379916072744997</v>
      </c>
      <c r="AU467" s="14" t="s">
        <v>276</v>
      </c>
      <c r="AV467" s="14" t="s">
        <v>276</v>
      </c>
      <c r="AW467" s="14" t="s">
        <v>276</v>
      </c>
      <c r="AX467" s="9" t="s">
        <v>4504</v>
      </c>
      <c r="AY467" s="8">
        <v>0.82</v>
      </c>
      <c r="AZ467" s="8">
        <v>0.61</v>
      </c>
      <c r="BA467" s="8">
        <v>1.1100000000000001</v>
      </c>
      <c r="BB467" s="8" t="s">
        <v>276</v>
      </c>
      <c r="BC467" s="9" t="s">
        <v>4505</v>
      </c>
      <c r="BD467" s="9" t="s">
        <v>4501</v>
      </c>
      <c r="BE467" s="33" t="s">
        <v>100</v>
      </c>
      <c r="BF467" s="33" t="s">
        <v>98</v>
      </c>
    </row>
    <row r="468" spans="1:58" s="7" customFormat="1" ht="91" x14ac:dyDescent="0.3">
      <c r="A468" s="8">
        <v>3773</v>
      </c>
      <c r="B468" s="9" t="s">
        <v>4493</v>
      </c>
      <c r="C468" s="8" t="s">
        <v>63</v>
      </c>
      <c r="D468" s="9" t="s">
        <v>4506</v>
      </c>
      <c r="E468" s="8" t="s">
        <v>35</v>
      </c>
      <c r="F468" s="9" t="s">
        <v>131</v>
      </c>
      <c r="G468" s="8" t="s">
        <v>225</v>
      </c>
      <c r="H468" s="8" t="s">
        <v>125</v>
      </c>
      <c r="I468" s="8" t="s">
        <v>114</v>
      </c>
      <c r="J468" s="9" t="s">
        <v>24</v>
      </c>
      <c r="K468" s="9" t="s">
        <v>4495</v>
      </c>
      <c r="L468" s="9" t="s">
        <v>276</v>
      </c>
      <c r="M468" s="8" t="s">
        <v>14</v>
      </c>
      <c r="N468" s="12" t="s">
        <v>4472</v>
      </c>
      <c r="O468" s="12" t="s">
        <v>207</v>
      </c>
      <c r="P468" s="41" t="s">
        <v>276</v>
      </c>
      <c r="Q468" s="9" t="s">
        <v>766</v>
      </c>
      <c r="R468" s="9" t="s">
        <v>4496</v>
      </c>
      <c r="S468" s="9" t="s">
        <v>4497</v>
      </c>
      <c r="T468" s="9">
        <v>7</v>
      </c>
      <c r="U468" s="13">
        <v>22944</v>
      </c>
      <c r="V468" s="38">
        <v>21344</v>
      </c>
      <c r="W468" s="8" t="s">
        <v>276</v>
      </c>
      <c r="X468" s="8" t="s">
        <v>276</v>
      </c>
      <c r="Y468" s="8" t="s">
        <v>276</v>
      </c>
      <c r="Z468" s="8" t="s">
        <v>276</v>
      </c>
      <c r="AA468" s="8" t="s">
        <v>276</v>
      </c>
      <c r="AB468" s="8" t="s">
        <v>276</v>
      </c>
      <c r="AC468" s="9" t="s">
        <v>4507</v>
      </c>
      <c r="AD468" s="9" t="s">
        <v>4477</v>
      </c>
      <c r="AE468" s="8">
        <v>101</v>
      </c>
      <c r="AF468" s="8">
        <v>108</v>
      </c>
      <c r="AG468" s="13">
        <v>219215</v>
      </c>
      <c r="AH468" s="13">
        <v>201821</v>
      </c>
      <c r="AI468" s="38" t="s">
        <v>4478</v>
      </c>
      <c r="AJ468" s="14">
        <v>4.6100000000000003</v>
      </c>
      <c r="AK468" s="31">
        <f t="shared" si="55"/>
        <v>4.6073489496612909</v>
      </c>
      <c r="AL468" s="33" t="s">
        <v>276</v>
      </c>
      <c r="AM468" s="33" t="s">
        <v>276</v>
      </c>
      <c r="AN468" s="14">
        <v>5.35</v>
      </c>
      <c r="AO468" s="31">
        <f t="shared" si="56"/>
        <v>5.3512766263173805</v>
      </c>
      <c r="AP468" s="14" t="s">
        <v>276</v>
      </c>
      <c r="AQ468" s="14" t="s">
        <v>276</v>
      </c>
      <c r="AR468" s="8" t="s">
        <v>269</v>
      </c>
      <c r="AS468" s="14" t="s">
        <v>1948</v>
      </c>
      <c r="AT468" s="14">
        <f t="shared" si="57"/>
        <v>0.86098127071258457</v>
      </c>
      <c r="AU468" s="14" t="s">
        <v>276</v>
      </c>
      <c r="AV468" s="14" t="s">
        <v>276</v>
      </c>
      <c r="AW468" s="14" t="s">
        <v>276</v>
      </c>
      <c r="AX468" s="9" t="s">
        <v>4504</v>
      </c>
      <c r="AY468" s="8">
        <v>0.86</v>
      </c>
      <c r="AZ468" s="8">
        <v>0.66</v>
      </c>
      <c r="BA468" s="8">
        <v>1.1299999999999999</v>
      </c>
      <c r="BB468" s="8" t="s">
        <v>276</v>
      </c>
      <c r="BC468" s="9" t="s">
        <v>4500</v>
      </c>
      <c r="BD468" s="9" t="s">
        <v>4501</v>
      </c>
      <c r="BE468" s="33" t="s">
        <v>100</v>
      </c>
      <c r="BF468" s="33" t="s">
        <v>98</v>
      </c>
    </row>
    <row r="469" spans="1:58" s="7" customFormat="1" ht="91" x14ac:dyDescent="0.3">
      <c r="A469" s="8">
        <v>3773</v>
      </c>
      <c r="B469" s="9" t="s">
        <v>4493</v>
      </c>
      <c r="C469" s="8" t="s">
        <v>63</v>
      </c>
      <c r="D469" s="9" t="s">
        <v>4508</v>
      </c>
      <c r="E469" s="8" t="s">
        <v>35</v>
      </c>
      <c r="F469" s="9" t="s">
        <v>131</v>
      </c>
      <c r="G469" s="8" t="s">
        <v>225</v>
      </c>
      <c r="H469" s="8" t="s">
        <v>125</v>
      </c>
      <c r="I469" s="8" t="s">
        <v>114</v>
      </c>
      <c r="J469" s="9" t="s">
        <v>24</v>
      </c>
      <c r="K469" s="9" t="s">
        <v>4495</v>
      </c>
      <c r="L469" s="9" t="s">
        <v>276</v>
      </c>
      <c r="M469" s="8" t="s">
        <v>15</v>
      </c>
      <c r="N469" s="12" t="s">
        <v>4509</v>
      </c>
      <c r="O469" s="12" t="s">
        <v>207</v>
      </c>
      <c r="P469" s="41" t="s">
        <v>276</v>
      </c>
      <c r="Q469" s="9" t="s">
        <v>4510</v>
      </c>
      <c r="R469" s="9" t="s">
        <v>4511</v>
      </c>
      <c r="S469" s="9" t="s">
        <v>4512</v>
      </c>
      <c r="T469" s="9">
        <v>7</v>
      </c>
      <c r="U469" s="13">
        <v>17149</v>
      </c>
      <c r="V469" s="38">
        <v>15748</v>
      </c>
      <c r="W469" s="8" t="s">
        <v>276</v>
      </c>
      <c r="X469" s="8" t="s">
        <v>276</v>
      </c>
      <c r="Y469" s="8" t="s">
        <v>276</v>
      </c>
      <c r="Z469" s="8" t="s">
        <v>276</v>
      </c>
      <c r="AA469" s="8" t="s">
        <v>276</v>
      </c>
      <c r="AB469" s="8" t="s">
        <v>276</v>
      </c>
      <c r="AC469" s="9" t="s">
        <v>4503</v>
      </c>
      <c r="AD469" s="9" t="s">
        <v>4477</v>
      </c>
      <c r="AE469" s="8">
        <v>79</v>
      </c>
      <c r="AF469" s="8">
        <v>85</v>
      </c>
      <c r="AG469" s="13">
        <v>162465</v>
      </c>
      <c r="AH469" s="13">
        <v>147233</v>
      </c>
      <c r="AI469" s="38" t="s">
        <v>4478</v>
      </c>
      <c r="AJ469" s="14">
        <v>4.8600000000000003</v>
      </c>
      <c r="AK469" s="31">
        <f t="shared" si="55"/>
        <v>4.862585787708122</v>
      </c>
      <c r="AL469" s="33" t="s">
        <v>276</v>
      </c>
      <c r="AM469" s="33" t="s">
        <v>276</v>
      </c>
      <c r="AN469" s="14">
        <v>5.77</v>
      </c>
      <c r="AO469" s="31">
        <f t="shared" si="56"/>
        <v>5.7731622666114255</v>
      </c>
      <c r="AP469" s="14" t="s">
        <v>276</v>
      </c>
      <c r="AQ469" s="14" t="s">
        <v>276</v>
      </c>
      <c r="AR469" s="8" t="s">
        <v>269</v>
      </c>
      <c r="AS469" s="14" t="s">
        <v>1948</v>
      </c>
      <c r="AT469" s="14">
        <f t="shared" si="57"/>
        <v>0.8422742273901529</v>
      </c>
      <c r="AU469" s="14" t="s">
        <v>276</v>
      </c>
      <c r="AV469" s="14" t="s">
        <v>276</v>
      </c>
      <c r="AW469" s="14" t="s">
        <v>276</v>
      </c>
      <c r="AX469" s="9" t="s">
        <v>4513</v>
      </c>
      <c r="AY469" s="8">
        <v>0.85</v>
      </c>
      <c r="AZ469" s="8">
        <v>0.62</v>
      </c>
      <c r="BA469" s="8">
        <v>1.1499999999999999</v>
      </c>
      <c r="BB469" s="8" t="s">
        <v>276</v>
      </c>
      <c r="BC469" s="9" t="s">
        <v>4514</v>
      </c>
      <c r="BD469" s="9" t="s">
        <v>4501</v>
      </c>
      <c r="BE469" s="33" t="s">
        <v>100</v>
      </c>
      <c r="BF469" s="33" t="s">
        <v>98</v>
      </c>
    </row>
    <row r="470" spans="1:58" s="7" customFormat="1" ht="91" x14ac:dyDescent="0.3">
      <c r="A470" s="8">
        <v>3773</v>
      </c>
      <c r="B470" s="9" t="s">
        <v>4493</v>
      </c>
      <c r="C470" s="8" t="s">
        <v>63</v>
      </c>
      <c r="D470" s="9" t="s">
        <v>4515</v>
      </c>
      <c r="E470" s="8" t="s">
        <v>35</v>
      </c>
      <c r="F470" s="9" t="s">
        <v>131</v>
      </c>
      <c r="G470" s="8" t="s">
        <v>225</v>
      </c>
      <c r="H470" s="8" t="s">
        <v>125</v>
      </c>
      <c r="I470" s="8" t="s">
        <v>114</v>
      </c>
      <c r="J470" s="9" t="s">
        <v>24</v>
      </c>
      <c r="K470" s="9" t="s">
        <v>4495</v>
      </c>
      <c r="L470" s="9" t="s">
        <v>276</v>
      </c>
      <c r="M470" s="8" t="s">
        <v>15</v>
      </c>
      <c r="N470" s="12" t="s">
        <v>4516</v>
      </c>
      <c r="O470" s="12" t="s">
        <v>207</v>
      </c>
      <c r="P470" s="41" t="s">
        <v>276</v>
      </c>
      <c r="Q470" s="9" t="s">
        <v>4510</v>
      </c>
      <c r="R470" s="9" t="s">
        <v>4517</v>
      </c>
      <c r="S470" s="9" t="s">
        <v>4518</v>
      </c>
      <c r="T470" s="9">
        <v>7</v>
      </c>
      <c r="U470" s="13">
        <v>5795</v>
      </c>
      <c r="V470" s="38">
        <v>5596</v>
      </c>
      <c r="W470" s="8" t="s">
        <v>276</v>
      </c>
      <c r="X470" s="8" t="s">
        <v>276</v>
      </c>
      <c r="Y470" s="8" t="s">
        <v>276</v>
      </c>
      <c r="Z470" s="8" t="s">
        <v>276</v>
      </c>
      <c r="AA470" s="8" t="s">
        <v>276</v>
      </c>
      <c r="AB470" s="8" t="s">
        <v>276</v>
      </c>
      <c r="AC470" s="9" t="s">
        <v>4503</v>
      </c>
      <c r="AD470" s="9" t="s">
        <v>4477</v>
      </c>
      <c r="AE470" s="8">
        <v>17</v>
      </c>
      <c r="AF470" s="8">
        <v>21</v>
      </c>
      <c r="AG470" s="13">
        <v>56750</v>
      </c>
      <c r="AH470" s="13">
        <v>54588</v>
      </c>
      <c r="AI470" s="38" t="s">
        <v>4478</v>
      </c>
      <c r="AJ470" s="14">
        <v>3</v>
      </c>
      <c r="AK470" s="31">
        <f t="shared" si="55"/>
        <v>2.9955947136563879</v>
      </c>
      <c r="AL470" s="33" t="s">
        <v>276</v>
      </c>
      <c r="AM470" s="33" t="s">
        <v>276</v>
      </c>
      <c r="AN470" s="14">
        <v>3.85</v>
      </c>
      <c r="AO470" s="31">
        <f t="shared" si="56"/>
        <v>3.8469993405143987</v>
      </c>
      <c r="AP470" s="14" t="s">
        <v>276</v>
      </c>
      <c r="AQ470" s="14" t="s">
        <v>276</v>
      </c>
      <c r="AR470" s="8" t="s">
        <v>269</v>
      </c>
      <c r="AS470" s="14" t="s">
        <v>1948</v>
      </c>
      <c r="AT470" s="14">
        <f>AK470/AO470</f>
        <v>0.77868344870988049</v>
      </c>
      <c r="AU470" s="14" t="s">
        <v>276</v>
      </c>
      <c r="AV470" s="14" t="s">
        <v>276</v>
      </c>
      <c r="AW470" s="14" t="s">
        <v>276</v>
      </c>
      <c r="AX470" s="9" t="s">
        <v>4513</v>
      </c>
      <c r="AY470" s="8">
        <v>0.77</v>
      </c>
      <c r="AZ470" s="8">
        <v>0.37</v>
      </c>
      <c r="BA470" s="8">
        <v>1.62</v>
      </c>
      <c r="BB470" s="8" t="s">
        <v>276</v>
      </c>
      <c r="BC470" s="9" t="s">
        <v>4514</v>
      </c>
      <c r="BD470" s="9" t="s">
        <v>4501</v>
      </c>
      <c r="BE470" s="33" t="s">
        <v>100</v>
      </c>
      <c r="BF470" s="33" t="s">
        <v>98</v>
      </c>
    </row>
    <row r="471" spans="1:58" s="7" customFormat="1" ht="91" x14ac:dyDescent="0.3">
      <c r="A471" s="8">
        <v>3773</v>
      </c>
      <c r="B471" s="9" t="s">
        <v>4493</v>
      </c>
      <c r="C471" s="8" t="s">
        <v>63</v>
      </c>
      <c r="D471" s="9" t="s">
        <v>4519</v>
      </c>
      <c r="E471" s="8" t="s">
        <v>35</v>
      </c>
      <c r="F471" s="9" t="s">
        <v>131</v>
      </c>
      <c r="G471" s="8" t="s">
        <v>225</v>
      </c>
      <c r="H471" s="8" t="s">
        <v>125</v>
      </c>
      <c r="I471" s="8" t="s">
        <v>114</v>
      </c>
      <c r="J471" s="9" t="s">
        <v>24</v>
      </c>
      <c r="K471" s="9" t="s">
        <v>4495</v>
      </c>
      <c r="L471" s="9" t="s">
        <v>276</v>
      </c>
      <c r="M471" s="8" t="s">
        <v>15</v>
      </c>
      <c r="N471" s="12" t="s">
        <v>4520</v>
      </c>
      <c r="O471" s="12" t="s">
        <v>207</v>
      </c>
      <c r="P471" s="41" t="s">
        <v>276</v>
      </c>
      <c r="Q471" s="9" t="s">
        <v>4521</v>
      </c>
      <c r="R471" s="9" t="s">
        <v>4522</v>
      </c>
      <c r="S471" s="9" t="s">
        <v>4523</v>
      </c>
      <c r="T471" s="51" t="s">
        <v>4524</v>
      </c>
      <c r="U471" s="13">
        <v>11505</v>
      </c>
      <c r="V471" s="38">
        <v>10269</v>
      </c>
      <c r="W471" s="8" t="s">
        <v>276</v>
      </c>
      <c r="X471" s="8" t="s">
        <v>276</v>
      </c>
      <c r="Y471" s="8" t="s">
        <v>276</v>
      </c>
      <c r="Z471" s="8" t="s">
        <v>276</v>
      </c>
      <c r="AA471" s="8" t="s">
        <v>276</v>
      </c>
      <c r="AB471" s="8" t="s">
        <v>276</v>
      </c>
      <c r="AC471" s="9" t="s">
        <v>4503</v>
      </c>
      <c r="AD471" s="9" t="s">
        <v>4477</v>
      </c>
      <c r="AE471" s="8">
        <v>25</v>
      </c>
      <c r="AF471" s="8">
        <v>31</v>
      </c>
      <c r="AG471" s="13">
        <v>97206</v>
      </c>
      <c r="AH471" s="13">
        <v>88766</v>
      </c>
      <c r="AI471" s="38" t="s">
        <v>4478</v>
      </c>
      <c r="AJ471" s="14">
        <v>2.57</v>
      </c>
      <c r="AK471" s="31">
        <f t="shared" si="55"/>
        <v>2.571857704256939</v>
      </c>
      <c r="AL471" s="33" t="s">
        <v>276</v>
      </c>
      <c r="AM471" s="33" t="s">
        <v>276</v>
      </c>
      <c r="AN471" s="14">
        <v>3.49</v>
      </c>
      <c r="AO471" s="31">
        <f t="shared" si="56"/>
        <v>3.4923281436586082</v>
      </c>
      <c r="AP471" s="14" t="s">
        <v>276</v>
      </c>
      <c r="AQ471" s="14" t="s">
        <v>276</v>
      </c>
      <c r="AR471" s="8" t="s">
        <v>269</v>
      </c>
      <c r="AS471" s="14" t="s">
        <v>1948</v>
      </c>
      <c r="AT471" s="14">
        <f>AK471/AO471</f>
        <v>0.73643071282603689</v>
      </c>
      <c r="AU471" s="14" t="s">
        <v>276</v>
      </c>
      <c r="AV471" s="14" t="s">
        <v>276</v>
      </c>
      <c r="AW471" s="14" t="s">
        <v>276</v>
      </c>
      <c r="AX471" s="9" t="s">
        <v>4525</v>
      </c>
      <c r="AY471" s="8">
        <v>0.78</v>
      </c>
      <c r="AZ471" s="8">
        <v>0.46</v>
      </c>
      <c r="BA471" s="8">
        <v>1.31</v>
      </c>
      <c r="BB471" s="8" t="s">
        <v>276</v>
      </c>
      <c r="BC471" s="9" t="s">
        <v>4514</v>
      </c>
      <c r="BD471" s="9"/>
      <c r="BE471" s="33" t="s">
        <v>100</v>
      </c>
      <c r="BF471" s="33" t="s">
        <v>98</v>
      </c>
    </row>
    <row r="472" spans="1:58" s="7" customFormat="1" ht="39" x14ac:dyDescent="0.3">
      <c r="A472" s="8">
        <v>3773</v>
      </c>
      <c r="B472" s="9" t="s">
        <v>4493</v>
      </c>
      <c r="C472" s="8" t="s">
        <v>63</v>
      </c>
      <c r="D472" s="9" t="s">
        <v>4526</v>
      </c>
      <c r="E472" s="8" t="s">
        <v>35</v>
      </c>
      <c r="F472" s="9" t="s">
        <v>131</v>
      </c>
      <c r="G472" s="8" t="s">
        <v>225</v>
      </c>
      <c r="H472" s="8" t="s">
        <v>125</v>
      </c>
      <c r="I472" s="8" t="s">
        <v>114</v>
      </c>
      <c r="J472" s="9" t="s">
        <v>23</v>
      </c>
      <c r="K472" s="9" t="s">
        <v>4527</v>
      </c>
      <c r="L472" s="9" t="s">
        <v>276</v>
      </c>
      <c r="M472" s="8" t="s">
        <v>14</v>
      </c>
      <c r="N472" s="12" t="s">
        <v>98</v>
      </c>
      <c r="O472" s="12" t="s">
        <v>207</v>
      </c>
      <c r="P472" s="41">
        <v>33603</v>
      </c>
      <c r="Q472" s="9" t="s">
        <v>98</v>
      </c>
      <c r="R472" s="38" t="s">
        <v>4528</v>
      </c>
      <c r="S472" s="38" t="s">
        <v>4529</v>
      </c>
      <c r="T472" s="51" t="s">
        <v>4524</v>
      </c>
      <c r="U472" s="13">
        <v>28654</v>
      </c>
      <c r="V472" s="38">
        <v>26017</v>
      </c>
      <c r="W472" s="8" t="s">
        <v>276</v>
      </c>
      <c r="X472" s="8" t="s">
        <v>276</v>
      </c>
      <c r="Y472" s="8" t="s">
        <v>276</v>
      </c>
      <c r="Z472" s="8" t="s">
        <v>276</v>
      </c>
      <c r="AA472" s="8" t="s">
        <v>276</v>
      </c>
      <c r="AB472" s="8" t="s">
        <v>276</v>
      </c>
      <c r="AC472" s="9" t="s">
        <v>4530</v>
      </c>
      <c r="AD472" s="9" t="s">
        <v>4531</v>
      </c>
      <c r="AE472" s="8" t="s">
        <v>276</v>
      </c>
      <c r="AF472" s="8" t="s">
        <v>276</v>
      </c>
      <c r="AG472" s="38">
        <v>259671</v>
      </c>
      <c r="AH472" s="13">
        <v>235999</v>
      </c>
      <c r="AI472" s="38" t="s">
        <v>4478</v>
      </c>
      <c r="AJ472" s="14" t="s">
        <v>276</v>
      </c>
      <c r="AK472" s="31" t="s">
        <v>276</v>
      </c>
      <c r="AL472" s="33" t="s">
        <v>276</v>
      </c>
      <c r="AM472" s="33" t="s">
        <v>276</v>
      </c>
      <c r="AN472" s="14" t="s">
        <v>276</v>
      </c>
      <c r="AO472" s="31" t="s">
        <v>276</v>
      </c>
      <c r="AP472" s="14" t="s">
        <v>276</v>
      </c>
      <c r="AQ472" s="14" t="s">
        <v>276</v>
      </c>
      <c r="AR472" s="8" t="s">
        <v>269</v>
      </c>
      <c r="AS472" s="14" t="s">
        <v>1948</v>
      </c>
      <c r="AT472" s="14" t="s">
        <v>276</v>
      </c>
      <c r="AU472" s="14" t="s">
        <v>276</v>
      </c>
      <c r="AV472" s="14" t="s">
        <v>276</v>
      </c>
      <c r="AW472" s="14" t="s">
        <v>276</v>
      </c>
      <c r="AX472" s="9" t="s">
        <v>4525</v>
      </c>
      <c r="AY472" s="8">
        <v>0.85</v>
      </c>
      <c r="AZ472" s="8">
        <v>0.79</v>
      </c>
      <c r="BA472" s="8">
        <v>0.92</v>
      </c>
      <c r="BB472" s="8" t="s">
        <v>276</v>
      </c>
      <c r="BC472" s="9" t="s">
        <v>4532</v>
      </c>
      <c r="BD472" s="9"/>
      <c r="BE472" s="33" t="s">
        <v>100</v>
      </c>
      <c r="BF472" s="33" t="s">
        <v>98</v>
      </c>
    </row>
    <row r="473" spans="1:58" s="103" customFormat="1" ht="52" x14ac:dyDescent="0.3">
      <c r="A473" s="94">
        <v>3770</v>
      </c>
      <c r="B473" s="95" t="s">
        <v>4533</v>
      </c>
      <c r="C473" s="94" t="s">
        <v>63</v>
      </c>
      <c r="D473" s="95" t="s">
        <v>4534</v>
      </c>
      <c r="E473" s="94" t="s">
        <v>35</v>
      </c>
      <c r="F473" s="95" t="s">
        <v>131</v>
      </c>
      <c r="G473" s="94" t="s">
        <v>225</v>
      </c>
      <c r="H473" s="94" t="s">
        <v>125</v>
      </c>
      <c r="I473" s="94" t="s">
        <v>114</v>
      </c>
      <c r="J473" s="95" t="s">
        <v>24</v>
      </c>
      <c r="K473" s="95" t="s">
        <v>4535</v>
      </c>
      <c r="L473" s="95" t="s">
        <v>4536</v>
      </c>
      <c r="M473" s="94" t="s">
        <v>14</v>
      </c>
      <c r="N473" s="96" t="s">
        <v>4537</v>
      </c>
      <c r="O473" s="96" t="s">
        <v>207</v>
      </c>
      <c r="P473" s="97" t="s">
        <v>276</v>
      </c>
      <c r="Q473" s="95" t="s">
        <v>779</v>
      </c>
      <c r="R473" s="95" t="s">
        <v>4538</v>
      </c>
      <c r="S473" s="95" t="s">
        <v>4539</v>
      </c>
      <c r="T473" s="95">
        <v>7</v>
      </c>
      <c r="U473" s="94">
        <v>22926</v>
      </c>
      <c r="V473" s="94">
        <v>21342</v>
      </c>
      <c r="W473" s="94" t="s">
        <v>276</v>
      </c>
      <c r="X473" s="94" t="s">
        <v>276</v>
      </c>
      <c r="Y473" s="94" t="s">
        <v>276</v>
      </c>
      <c r="Z473" s="94" t="s">
        <v>276</v>
      </c>
      <c r="AA473" s="94" t="s">
        <v>276</v>
      </c>
      <c r="AB473" s="94" t="s">
        <v>276</v>
      </c>
      <c r="AC473" s="95" t="s">
        <v>4540</v>
      </c>
      <c r="AD473" s="95" t="s">
        <v>4541</v>
      </c>
      <c r="AE473" s="94">
        <v>156</v>
      </c>
      <c r="AF473" s="94">
        <v>167</v>
      </c>
      <c r="AG473" s="98">
        <v>301155</v>
      </c>
      <c r="AH473" s="99">
        <v>276363</v>
      </c>
      <c r="AI473" s="99" t="s">
        <v>4478</v>
      </c>
      <c r="AJ473" s="102">
        <v>5.18</v>
      </c>
      <c r="AK473" s="101">
        <f>AE473/AG473*10000</f>
        <v>5.1800567813916416</v>
      </c>
      <c r="AL473" s="110" t="s">
        <v>276</v>
      </c>
      <c r="AM473" s="110" t="s">
        <v>276</v>
      </c>
      <c r="AN473" s="102">
        <v>6.04</v>
      </c>
      <c r="AO473" s="101">
        <f>AF473/AH473*10000</f>
        <v>6.0427770721840481</v>
      </c>
      <c r="AP473" s="102" t="s">
        <v>276</v>
      </c>
      <c r="AQ473" s="102" t="s">
        <v>276</v>
      </c>
      <c r="AR473" s="94" t="s">
        <v>269</v>
      </c>
      <c r="AS473" s="102">
        <v>0.87</v>
      </c>
      <c r="AT473" s="102">
        <f>AK473/AO473</f>
        <v>0.85723115705134023</v>
      </c>
      <c r="AU473" s="102">
        <v>0.7</v>
      </c>
      <c r="AV473" s="102">
        <v>1.06</v>
      </c>
      <c r="AW473" s="94" t="s">
        <v>276</v>
      </c>
      <c r="AX473" s="94" t="s">
        <v>4542</v>
      </c>
      <c r="AY473" s="94">
        <v>0.79</v>
      </c>
      <c r="AZ473" s="102">
        <v>0.6</v>
      </c>
      <c r="BA473" s="94">
        <v>1.02</v>
      </c>
      <c r="BB473" s="94" t="s">
        <v>276</v>
      </c>
      <c r="BC473" s="95" t="s">
        <v>4543</v>
      </c>
      <c r="BD473" s="95" t="s">
        <v>4544</v>
      </c>
      <c r="BE473" s="33" t="s">
        <v>100</v>
      </c>
      <c r="BF473" s="33" t="s">
        <v>98</v>
      </c>
    </row>
    <row r="474" spans="1:58" s="103" customFormat="1" ht="52" x14ac:dyDescent="0.3">
      <c r="A474" s="94">
        <v>3770</v>
      </c>
      <c r="B474" s="95" t="s">
        <v>4533</v>
      </c>
      <c r="C474" s="94" t="s">
        <v>63</v>
      </c>
      <c r="D474" s="95" t="s">
        <v>4545</v>
      </c>
      <c r="E474" s="94" t="s">
        <v>35</v>
      </c>
      <c r="F474" s="95" t="s">
        <v>131</v>
      </c>
      <c r="G474" s="94" t="s">
        <v>225</v>
      </c>
      <c r="H474" s="94" t="s">
        <v>125</v>
      </c>
      <c r="I474" s="94" t="s">
        <v>114</v>
      </c>
      <c r="J474" s="95" t="s">
        <v>24</v>
      </c>
      <c r="K474" s="95" t="s">
        <v>4535</v>
      </c>
      <c r="L474" s="95" t="s">
        <v>4536</v>
      </c>
      <c r="M474" s="94" t="s">
        <v>15</v>
      </c>
      <c r="N474" s="96" t="s">
        <v>4546</v>
      </c>
      <c r="O474" s="96" t="s">
        <v>207</v>
      </c>
      <c r="P474" s="97" t="s">
        <v>276</v>
      </c>
      <c r="Q474" s="95" t="s">
        <v>4547</v>
      </c>
      <c r="R474" s="95" t="s">
        <v>4548</v>
      </c>
      <c r="S474" s="95" t="s">
        <v>4549</v>
      </c>
      <c r="T474" s="95" t="s">
        <v>4550</v>
      </c>
      <c r="U474" s="94">
        <v>11479</v>
      </c>
      <c r="V474" s="94">
        <v>10267</v>
      </c>
      <c r="W474" s="94" t="s">
        <v>276</v>
      </c>
      <c r="X474" s="94" t="s">
        <v>276</v>
      </c>
      <c r="Y474" s="94" t="s">
        <v>276</v>
      </c>
      <c r="Z474" s="94" t="s">
        <v>276</v>
      </c>
      <c r="AA474" s="94" t="s">
        <v>276</v>
      </c>
      <c r="AB474" s="94" t="s">
        <v>276</v>
      </c>
      <c r="AC474" s="95" t="s">
        <v>4540</v>
      </c>
      <c r="AD474" s="95" t="s">
        <v>4541</v>
      </c>
      <c r="AE474" s="94">
        <v>47</v>
      </c>
      <c r="AF474" s="94">
        <v>53</v>
      </c>
      <c r="AG474" s="98">
        <v>139868</v>
      </c>
      <c r="AH474" s="99">
        <v>126413</v>
      </c>
      <c r="AI474" s="99" t="s">
        <v>4478</v>
      </c>
      <c r="AJ474" s="102">
        <v>3.35</v>
      </c>
      <c r="AK474" s="101">
        <f>AE474/AG474*10000</f>
        <v>3.3603111505133412</v>
      </c>
      <c r="AL474" s="110" t="s">
        <v>276</v>
      </c>
      <c r="AM474" s="110" t="s">
        <v>276</v>
      </c>
      <c r="AN474" s="102">
        <v>4.1900000000000004</v>
      </c>
      <c r="AO474" s="101">
        <f>AF474/AH474*10000</f>
        <v>4.1926067730375829</v>
      </c>
      <c r="AP474" s="102" t="s">
        <v>276</v>
      </c>
      <c r="AQ474" s="102" t="s">
        <v>276</v>
      </c>
      <c r="AR474" s="94" t="s">
        <v>269</v>
      </c>
      <c r="AS474" s="102">
        <v>0.83</v>
      </c>
      <c r="AT474" s="102">
        <f t="shared" si="57"/>
        <v>0.80148493107517549</v>
      </c>
      <c r="AU474" s="102">
        <v>0.54</v>
      </c>
      <c r="AV474" s="102">
        <v>1.27</v>
      </c>
      <c r="AW474" s="94" t="s">
        <v>276</v>
      </c>
      <c r="AX474" s="94" t="s">
        <v>4542</v>
      </c>
      <c r="AY474" s="94">
        <v>0.75</v>
      </c>
      <c r="AZ474" s="94">
        <v>0.48</v>
      </c>
      <c r="BA474" s="94">
        <v>1.18</v>
      </c>
      <c r="BB474" s="94" t="s">
        <v>276</v>
      </c>
      <c r="BC474" s="95" t="s">
        <v>4543</v>
      </c>
      <c r="BD474" s="95" t="s">
        <v>4544</v>
      </c>
      <c r="BE474" s="33" t="s">
        <v>100</v>
      </c>
      <c r="BF474" s="33" t="s">
        <v>98</v>
      </c>
    </row>
    <row r="475" spans="1:58" s="7" customFormat="1" ht="52" x14ac:dyDescent="0.3">
      <c r="A475" s="8">
        <v>4473</v>
      </c>
      <c r="B475" s="8" t="s">
        <v>4697</v>
      </c>
      <c r="C475" s="8" t="s">
        <v>4698</v>
      </c>
      <c r="D475" s="9" t="s">
        <v>4699</v>
      </c>
      <c r="E475" s="8" t="s">
        <v>35</v>
      </c>
      <c r="F475" s="9" t="s">
        <v>131</v>
      </c>
      <c r="G475" s="9" t="s">
        <v>130</v>
      </c>
      <c r="H475" s="8" t="s">
        <v>225</v>
      </c>
      <c r="I475" s="8" t="s">
        <v>98</v>
      </c>
      <c r="J475" s="9" t="s">
        <v>24</v>
      </c>
      <c r="K475" s="9" t="s">
        <v>4700</v>
      </c>
      <c r="L475" s="9" t="s">
        <v>276</v>
      </c>
      <c r="M475" s="8" t="s">
        <v>14</v>
      </c>
      <c r="N475" s="12" t="s">
        <v>98</v>
      </c>
      <c r="O475" s="12" t="s">
        <v>208</v>
      </c>
      <c r="P475" s="41" t="s">
        <v>276</v>
      </c>
      <c r="Q475" s="9" t="s">
        <v>741</v>
      </c>
      <c r="R475" s="9" t="s">
        <v>276</v>
      </c>
      <c r="S475" s="9" t="s">
        <v>276</v>
      </c>
      <c r="T475" s="51" t="s">
        <v>4284</v>
      </c>
      <c r="U475" s="13">
        <v>19711</v>
      </c>
      <c r="V475" s="38">
        <v>19694</v>
      </c>
      <c r="W475" s="8" t="s">
        <v>276</v>
      </c>
      <c r="X475" s="8" t="s">
        <v>276</v>
      </c>
      <c r="Y475" s="8">
        <v>0</v>
      </c>
      <c r="Z475" s="9" t="s">
        <v>894</v>
      </c>
      <c r="AA475" s="8">
        <v>1</v>
      </c>
      <c r="AB475" s="9" t="s">
        <v>894</v>
      </c>
      <c r="AC475" s="9" t="s">
        <v>4701</v>
      </c>
      <c r="AD475" s="9" t="s">
        <v>1487</v>
      </c>
      <c r="AE475" s="8">
        <v>38</v>
      </c>
      <c r="AF475" s="8">
        <v>39</v>
      </c>
      <c r="AG475" s="13" t="s">
        <v>276</v>
      </c>
      <c r="AH475" s="13" t="s">
        <v>276</v>
      </c>
      <c r="AI475" s="38" t="s">
        <v>4702</v>
      </c>
      <c r="AJ475" s="43">
        <v>18.399999999999999</v>
      </c>
      <c r="AK475" s="31" t="s">
        <v>98</v>
      </c>
      <c r="AL475" s="14" t="s">
        <v>276</v>
      </c>
      <c r="AM475" s="14" t="s">
        <v>276</v>
      </c>
      <c r="AN475" s="43">
        <v>19</v>
      </c>
      <c r="AO475" s="31" t="s">
        <v>98</v>
      </c>
      <c r="AP475" s="14" t="s">
        <v>276</v>
      </c>
      <c r="AQ475" s="14" t="s">
        <v>276</v>
      </c>
      <c r="AR475" s="8" t="s">
        <v>269</v>
      </c>
      <c r="AS475" s="14" t="s">
        <v>276</v>
      </c>
      <c r="AT475" s="31">
        <f>AJ475/AN475</f>
        <v>0.96842105263157885</v>
      </c>
      <c r="AU475" s="14" t="s">
        <v>276</v>
      </c>
      <c r="AV475" s="14" t="s">
        <v>276</v>
      </c>
      <c r="AW475" s="8" t="s">
        <v>276</v>
      </c>
      <c r="AX475" s="8" t="s">
        <v>282</v>
      </c>
      <c r="AY475" s="8" t="s">
        <v>276</v>
      </c>
      <c r="AZ475" s="8" t="s">
        <v>276</v>
      </c>
      <c r="BA475" s="8" t="s">
        <v>276</v>
      </c>
      <c r="BB475" s="8" t="s">
        <v>276</v>
      </c>
      <c r="BC475" s="9" t="s">
        <v>4703</v>
      </c>
      <c r="BD475" s="9" t="s">
        <v>4704</v>
      </c>
      <c r="BE475" s="33" t="s">
        <v>99</v>
      </c>
      <c r="BF475" s="33" t="s">
        <v>11162</v>
      </c>
    </row>
    <row r="476" spans="1:58" s="7" customFormat="1" ht="78" x14ac:dyDescent="0.3">
      <c r="A476" s="8">
        <v>4473</v>
      </c>
      <c r="B476" s="8" t="s">
        <v>4697</v>
      </c>
      <c r="C476" s="8" t="s">
        <v>4698</v>
      </c>
      <c r="D476" s="9" t="s">
        <v>4705</v>
      </c>
      <c r="E476" s="8" t="s">
        <v>35</v>
      </c>
      <c r="F476" s="9" t="s">
        <v>131</v>
      </c>
      <c r="G476" s="9" t="s">
        <v>130</v>
      </c>
      <c r="H476" s="8" t="s">
        <v>225</v>
      </c>
      <c r="I476" s="8" t="s">
        <v>98</v>
      </c>
      <c r="J476" s="9" t="s">
        <v>24</v>
      </c>
      <c r="K476" s="9" t="s">
        <v>4700</v>
      </c>
      <c r="L476" s="9" t="s">
        <v>276</v>
      </c>
      <c r="M476" s="8" t="s">
        <v>14</v>
      </c>
      <c r="N476" s="12" t="s">
        <v>98</v>
      </c>
      <c r="O476" s="12" t="s">
        <v>208</v>
      </c>
      <c r="P476" s="41" t="s">
        <v>276</v>
      </c>
      <c r="Q476" s="9" t="s">
        <v>741</v>
      </c>
      <c r="R476" s="9" t="s">
        <v>276</v>
      </c>
      <c r="S476" s="9" t="s">
        <v>276</v>
      </c>
      <c r="T476" s="51" t="s">
        <v>4284</v>
      </c>
      <c r="U476" s="13">
        <v>19711</v>
      </c>
      <c r="V476" s="38">
        <v>19694</v>
      </c>
      <c r="W476" s="8" t="s">
        <v>276</v>
      </c>
      <c r="X476" s="8" t="s">
        <v>276</v>
      </c>
      <c r="Y476" s="8">
        <v>0</v>
      </c>
      <c r="Z476" s="9" t="s">
        <v>894</v>
      </c>
      <c r="AA476" s="8">
        <v>1</v>
      </c>
      <c r="AB476" s="9" t="s">
        <v>894</v>
      </c>
      <c r="AC476" s="9" t="s">
        <v>4701</v>
      </c>
      <c r="AD476" s="9" t="s">
        <v>2034</v>
      </c>
      <c r="AE476" s="8">
        <v>38</v>
      </c>
      <c r="AF476" s="8">
        <v>39</v>
      </c>
      <c r="AG476" s="13">
        <v>19711</v>
      </c>
      <c r="AH476" s="38">
        <v>19694</v>
      </c>
      <c r="AI476" s="38" t="s">
        <v>281</v>
      </c>
      <c r="AJ476" s="43" t="s">
        <v>276</v>
      </c>
      <c r="AK476" s="31">
        <f>AE476*1000/AG476</f>
        <v>1.9278575414743038</v>
      </c>
      <c r="AL476" s="14" t="s">
        <v>276</v>
      </c>
      <c r="AM476" s="14" t="s">
        <v>276</v>
      </c>
      <c r="AN476" s="43" t="s">
        <v>276</v>
      </c>
      <c r="AO476" s="31">
        <f>AF476*1000/AH476</f>
        <v>1.9802985680918046</v>
      </c>
      <c r="AP476" s="14" t="s">
        <v>276</v>
      </c>
      <c r="AQ476" s="14" t="s">
        <v>276</v>
      </c>
      <c r="AR476" s="8" t="s">
        <v>268</v>
      </c>
      <c r="AS476" s="14">
        <v>0.97</v>
      </c>
      <c r="AT476" s="31">
        <f>AK476/AO476</f>
        <v>0.97351862619987017</v>
      </c>
      <c r="AU476" s="14">
        <v>0.62</v>
      </c>
      <c r="AV476" s="14">
        <v>1.52</v>
      </c>
      <c r="AW476" s="8" t="s">
        <v>276</v>
      </c>
      <c r="AX476" s="8" t="s">
        <v>282</v>
      </c>
      <c r="AY476" s="8" t="s">
        <v>276</v>
      </c>
      <c r="AZ476" s="8" t="s">
        <v>276</v>
      </c>
      <c r="BA476" s="8" t="s">
        <v>276</v>
      </c>
      <c r="BB476" s="8" t="s">
        <v>276</v>
      </c>
      <c r="BC476" s="9" t="s">
        <v>4706</v>
      </c>
      <c r="BD476" s="9" t="s">
        <v>4704</v>
      </c>
      <c r="BE476" s="33" t="s">
        <v>99</v>
      </c>
      <c r="BF476" s="33" t="s">
        <v>11162</v>
      </c>
    </row>
    <row r="477" spans="1:58" s="7" customFormat="1" ht="78" x14ac:dyDescent="0.3">
      <c r="A477" s="8">
        <v>4473</v>
      </c>
      <c r="B477" s="8" t="s">
        <v>4697</v>
      </c>
      <c r="C477" s="8" t="s">
        <v>4698</v>
      </c>
      <c r="D477" s="9" t="s">
        <v>4707</v>
      </c>
      <c r="E477" s="8" t="s">
        <v>35</v>
      </c>
      <c r="F477" s="9" t="s">
        <v>131</v>
      </c>
      <c r="G477" s="9" t="s">
        <v>130</v>
      </c>
      <c r="H477" s="8" t="s">
        <v>225</v>
      </c>
      <c r="I477" s="8" t="s">
        <v>98</v>
      </c>
      <c r="J477" s="9" t="s">
        <v>24</v>
      </c>
      <c r="K477" s="9" t="s">
        <v>4700</v>
      </c>
      <c r="L477" s="9" t="s">
        <v>276</v>
      </c>
      <c r="M477" s="8" t="s">
        <v>14</v>
      </c>
      <c r="N477" s="12" t="s">
        <v>98</v>
      </c>
      <c r="O477" s="12" t="s">
        <v>208</v>
      </c>
      <c r="P477" s="41">
        <v>32508</v>
      </c>
      <c r="Q477" s="9" t="s">
        <v>276</v>
      </c>
      <c r="R477" s="9" t="s">
        <v>4708</v>
      </c>
      <c r="S477" s="9" t="s">
        <v>4708</v>
      </c>
      <c r="T477" s="51" t="s">
        <v>4284</v>
      </c>
      <c r="U477" s="13">
        <v>19711</v>
      </c>
      <c r="V477" s="38">
        <v>19694</v>
      </c>
      <c r="W477" s="8" t="s">
        <v>276</v>
      </c>
      <c r="X477" s="8" t="s">
        <v>276</v>
      </c>
      <c r="Y477" s="8">
        <v>0</v>
      </c>
      <c r="Z477" s="9" t="s">
        <v>894</v>
      </c>
      <c r="AA477" s="8">
        <v>1</v>
      </c>
      <c r="AB477" s="9" t="s">
        <v>894</v>
      </c>
      <c r="AC477" s="9" t="s">
        <v>4709</v>
      </c>
      <c r="AD477" s="9" t="s">
        <v>2034</v>
      </c>
      <c r="AE477" s="8">
        <v>22</v>
      </c>
      <c r="AF477" s="8">
        <v>24</v>
      </c>
      <c r="AG477" s="13">
        <v>19711</v>
      </c>
      <c r="AH477" s="38">
        <v>19694</v>
      </c>
      <c r="AI477" s="38" t="s">
        <v>281</v>
      </c>
      <c r="AJ477" s="43" t="s">
        <v>276</v>
      </c>
      <c r="AK477" s="31">
        <f>AE477*1000/AG477</f>
        <v>1.1161280503272284</v>
      </c>
      <c r="AL477" s="14" t="s">
        <v>276</v>
      </c>
      <c r="AM477" s="14" t="s">
        <v>276</v>
      </c>
      <c r="AN477" s="43" t="s">
        <v>276</v>
      </c>
      <c r="AO477" s="31">
        <f>AF477*1000/AH477</f>
        <v>1.2186452726718797</v>
      </c>
      <c r="AP477" s="14" t="s">
        <v>276</v>
      </c>
      <c r="AQ477" s="14" t="s">
        <v>276</v>
      </c>
      <c r="AR477" s="8" t="s">
        <v>268</v>
      </c>
      <c r="AS477" s="14" t="s">
        <v>276</v>
      </c>
      <c r="AT477" s="31">
        <f>AK477/AO477</f>
        <v>0.9158760759643515</v>
      </c>
      <c r="AU477" s="14" t="s">
        <v>276</v>
      </c>
      <c r="AV477" s="14" t="s">
        <v>276</v>
      </c>
      <c r="AW477" s="8" t="s">
        <v>276</v>
      </c>
      <c r="AX477" s="8" t="s">
        <v>282</v>
      </c>
      <c r="AY477" s="8" t="s">
        <v>276</v>
      </c>
      <c r="AZ477" s="8" t="s">
        <v>276</v>
      </c>
      <c r="BA477" s="8" t="s">
        <v>276</v>
      </c>
      <c r="BB477" s="8" t="s">
        <v>276</v>
      </c>
      <c r="BC477" s="9" t="s">
        <v>4710</v>
      </c>
      <c r="BD477" s="9" t="s">
        <v>4711</v>
      </c>
      <c r="BE477" s="33" t="s">
        <v>100</v>
      </c>
      <c r="BF477" s="33" t="s">
        <v>98</v>
      </c>
    </row>
    <row r="478" spans="1:58" s="87" customFormat="1" ht="52" x14ac:dyDescent="0.3">
      <c r="A478" s="72">
        <v>4473</v>
      </c>
      <c r="B478" s="72" t="s">
        <v>4697</v>
      </c>
      <c r="C478" s="72" t="s">
        <v>4698</v>
      </c>
      <c r="D478" s="73" t="s">
        <v>4712</v>
      </c>
      <c r="E478" s="72" t="s">
        <v>35</v>
      </c>
      <c r="F478" s="73" t="s">
        <v>131</v>
      </c>
      <c r="G478" s="73" t="s">
        <v>130</v>
      </c>
      <c r="H478" s="72" t="s">
        <v>225</v>
      </c>
      <c r="I478" s="72" t="s">
        <v>98</v>
      </c>
      <c r="J478" s="73" t="s">
        <v>23</v>
      </c>
      <c r="K478" s="73" t="s">
        <v>4700</v>
      </c>
      <c r="L478" s="73" t="s">
        <v>276</v>
      </c>
      <c r="M478" s="72" t="s">
        <v>14</v>
      </c>
      <c r="N478" s="85" t="s">
        <v>98</v>
      </c>
      <c r="O478" s="85" t="s">
        <v>208</v>
      </c>
      <c r="P478" s="88">
        <v>32508</v>
      </c>
      <c r="Q478" s="73" t="s">
        <v>276</v>
      </c>
      <c r="R478" s="73" t="s">
        <v>4708</v>
      </c>
      <c r="S478" s="73" t="s">
        <v>4708</v>
      </c>
      <c r="T478" s="89" t="s">
        <v>4284</v>
      </c>
      <c r="U478" s="74">
        <v>19711</v>
      </c>
      <c r="V478" s="75">
        <v>19694</v>
      </c>
      <c r="W478" s="72" t="s">
        <v>276</v>
      </c>
      <c r="X478" s="72" t="s">
        <v>276</v>
      </c>
      <c r="Y478" s="72">
        <v>0</v>
      </c>
      <c r="Z478" s="73" t="s">
        <v>98</v>
      </c>
      <c r="AA478" s="72">
        <v>0</v>
      </c>
      <c r="AB478" s="73" t="s">
        <v>98</v>
      </c>
      <c r="AC478" s="73" t="s">
        <v>4713</v>
      </c>
      <c r="AD478" s="73" t="s">
        <v>2034</v>
      </c>
      <c r="AE478" s="72">
        <v>253</v>
      </c>
      <c r="AF478" s="72">
        <v>250</v>
      </c>
      <c r="AG478" s="74">
        <v>19711</v>
      </c>
      <c r="AH478" s="75">
        <v>19694</v>
      </c>
      <c r="AI478" s="75" t="s">
        <v>281</v>
      </c>
      <c r="AJ478" s="93" t="s">
        <v>276</v>
      </c>
      <c r="AK478" s="86">
        <f>AE478*1000/AG478</f>
        <v>12.835472578763127</v>
      </c>
      <c r="AL478" s="76" t="s">
        <v>276</v>
      </c>
      <c r="AM478" s="76" t="s">
        <v>276</v>
      </c>
      <c r="AN478" s="93" t="s">
        <v>276</v>
      </c>
      <c r="AO478" s="86">
        <f>AF478*1000/AH478</f>
        <v>12.694221590332081</v>
      </c>
      <c r="AP478" s="76" t="s">
        <v>276</v>
      </c>
      <c r="AQ478" s="76" t="s">
        <v>276</v>
      </c>
      <c r="AR478" s="72" t="s">
        <v>268</v>
      </c>
      <c r="AS478" s="76" t="s">
        <v>276</v>
      </c>
      <c r="AT478" s="86">
        <f>AK478/AO478</f>
        <v>1.0111271878646442</v>
      </c>
      <c r="AU478" s="76" t="s">
        <v>276</v>
      </c>
      <c r="AV478" s="76" t="s">
        <v>276</v>
      </c>
      <c r="AW478" s="72" t="s">
        <v>276</v>
      </c>
      <c r="AX478" s="72" t="s">
        <v>282</v>
      </c>
      <c r="AY478" s="72" t="s">
        <v>276</v>
      </c>
      <c r="AZ478" s="72" t="s">
        <v>276</v>
      </c>
      <c r="BA478" s="72" t="s">
        <v>276</v>
      </c>
      <c r="BB478" s="72" t="s">
        <v>276</v>
      </c>
      <c r="BC478" s="73" t="s">
        <v>4710</v>
      </c>
      <c r="BD478" s="73"/>
      <c r="BE478" s="33" t="s">
        <v>100</v>
      </c>
      <c r="BF478" s="33" t="s">
        <v>98</v>
      </c>
    </row>
    <row r="479" spans="1:58" s="103" customFormat="1" ht="91" x14ac:dyDescent="0.3">
      <c r="A479" s="94">
        <v>4474</v>
      </c>
      <c r="B479" s="94" t="s">
        <v>4697</v>
      </c>
      <c r="C479" s="94" t="s">
        <v>4714</v>
      </c>
      <c r="D479" s="95" t="s">
        <v>4715</v>
      </c>
      <c r="E479" s="94" t="s">
        <v>35</v>
      </c>
      <c r="F479" s="95" t="s">
        <v>131</v>
      </c>
      <c r="G479" s="95" t="s">
        <v>132</v>
      </c>
      <c r="H479" s="94" t="s">
        <v>225</v>
      </c>
      <c r="I479" s="94" t="s">
        <v>98</v>
      </c>
      <c r="J479" s="95" t="s">
        <v>24</v>
      </c>
      <c r="K479" s="95" t="s">
        <v>4716</v>
      </c>
      <c r="L479" s="95" t="s">
        <v>276</v>
      </c>
      <c r="M479" s="94" t="s">
        <v>14</v>
      </c>
      <c r="N479" s="96" t="s">
        <v>98</v>
      </c>
      <c r="O479" s="96" t="s">
        <v>208</v>
      </c>
      <c r="P479" s="97" t="s">
        <v>276</v>
      </c>
      <c r="Q479" s="95" t="s">
        <v>741</v>
      </c>
      <c r="R479" s="95" t="s">
        <v>276</v>
      </c>
      <c r="S479" s="95" t="s">
        <v>276</v>
      </c>
      <c r="T479" s="95" t="s">
        <v>4717</v>
      </c>
      <c r="U479" s="98">
        <v>25214</v>
      </c>
      <c r="V479" s="99">
        <v>25216</v>
      </c>
      <c r="W479" s="94" t="s">
        <v>276</v>
      </c>
      <c r="X479" s="94" t="s">
        <v>276</v>
      </c>
      <c r="Y479" s="94">
        <v>1</v>
      </c>
      <c r="Z479" s="95" t="s">
        <v>894</v>
      </c>
      <c r="AA479" s="94">
        <v>1</v>
      </c>
      <c r="AB479" s="95" t="s">
        <v>894</v>
      </c>
      <c r="AC479" s="95" t="s">
        <v>4701</v>
      </c>
      <c r="AD479" s="95" t="s">
        <v>1487</v>
      </c>
      <c r="AE479" s="94">
        <v>38</v>
      </c>
      <c r="AF479" s="94">
        <v>28</v>
      </c>
      <c r="AG479" s="98" t="s">
        <v>276</v>
      </c>
      <c r="AH479" s="98" t="s">
        <v>276</v>
      </c>
      <c r="AI479" s="99" t="s">
        <v>4702</v>
      </c>
      <c r="AJ479" s="100">
        <v>14.7</v>
      </c>
      <c r="AK479" s="101" t="s">
        <v>98</v>
      </c>
      <c r="AL479" s="102" t="s">
        <v>276</v>
      </c>
      <c r="AM479" s="102" t="s">
        <v>276</v>
      </c>
      <c r="AN479" s="100">
        <v>10.4</v>
      </c>
      <c r="AO479" s="101" t="s">
        <v>98</v>
      </c>
      <c r="AP479" s="102" t="s">
        <v>276</v>
      </c>
      <c r="AQ479" s="102" t="s">
        <v>276</v>
      </c>
      <c r="AR479" s="94" t="s">
        <v>269</v>
      </c>
      <c r="AS479" s="102" t="s">
        <v>276</v>
      </c>
      <c r="AT479" s="101">
        <f>AJ479/AN479</f>
        <v>1.4134615384615383</v>
      </c>
      <c r="AU479" s="102" t="s">
        <v>276</v>
      </c>
      <c r="AV479" s="102" t="s">
        <v>276</v>
      </c>
      <c r="AW479" s="94" t="s">
        <v>276</v>
      </c>
      <c r="AX479" s="94" t="s">
        <v>282</v>
      </c>
      <c r="AY479" s="94" t="s">
        <v>276</v>
      </c>
      <c r="AZ479" s="94" t="s">
        <v>276</v>
      </c>
      <c r="BA479" s="94" t="s">
        <v>276</v>
      </c>
      <c r="BB479" s="94" t="s">
        <v>276</v>
      </c>
      <c r="BC479" s="95" t="s">
        <v>4718</v>
      </c>
      <c r="BD479" s="95"/>
      <c r="BE479" s="33" t="s">
        <v>99</v>
      </c>
      <c r="BF479" s="33" t="s">
        <v>11162</v>
      </c>
    </row>
    <row r="480" spans="1:58" s="103" customFormat="1" ht="91" x14ac:dyDescent="0.3">
      <c r="A480" s="94">
        <v>4474</v>
      </c>
      <c r="B480" s="94" t="s">
        <v>4697</v>
      </c>
      <c r="C480" s="94" t="s">
        <v>4714</v>
      </c>
      <c r="D480" s="95" t="s">
        <v>4719</v>
      </c>
      <c r="E480" s="94" t="s">
        <v>35</v>
      </c>
      <c r="F480" s="95" t="s">
        <v>131</v>
      </c>
      <c r="G480" s="95" t="s">
        <v>132</v>
      </c>
      <c r="H480" s="94" t="s">
        <v>225</v>
      </c>
      <c r="I480" s="94" t="s">
        <v>98</v>
      </c>
      <c r="J480" s="95" t="s">
        <v>24</v>
      </c>
      <c r="K480" s="95" t="s">
        <v>4716</v>
      </c>
      <c r="L480" s="95" t="s">
        <v>276</v>
      </c>
      <c r="M480" s="94" t="s">
        <v>14</v>
      </c>
      <c r="N480" s="96" t="s">
        <v>98</v>
      </c>
      <c r="O480" s="96" t="s">
        <v>208</v>
      </c>
      <c r="P480" s="97" t="s">
        <v>276</v>
      </c>
      <c r="Q480" s="95" t="s">
        <v>741</v>
      </c>
      <c r="R480" s="95" t="s">
        <v>276</v>
      </c>
      <c r="S480" s="95" t="s">
        <v>276</v>
      </c>
      <c r="T480" s="95" t="s">
        <v>4717</v>
      </c>
      <c r="U480" s="98">
        <v>25214</v>
      </c>
      <c r="V480" s="99">
        <v>25216</v>
      </c>
      <c r="W480" s="94" t="s">
        <v>276</v>
      </c>
      <c r="X480" s="94" t="s">
        <v>276</v>
      </c>
      <c r="Y480" s="94">
        <v>1</v>
      </c>
      <c r="Z480" s="95" t="s">
        <v>894</v>
      </c>
      <c r="AA480" s="94">
        <v>1</v>
      </c>
      <c r="AB480" s="95" t="s">
        <v>894</v>
      </c>
      <c r="AC480" s="95" t="s">
        <v>4701</v>
      </c>
      <c r="AD480" s="95" t="s">
        <v>2034</v>
      </c>
      <c r="AE480" s="94">
        <v>38</v>
      </c>
      <c r="AF480" s="94">
        <v>28</v>
      </c>
      <c r="AG480" s="98">
        <v>25214</v>
      </c>
      <c r="AH480" s="99">
        <v>25216</v>
      </c>
      <c r="AI480" s="99" t="s">
        <v>281</v>
      </c>
      <c r="AJ480" s="100" t="s">
        <v>276</v>
      </c>
      <c r="AK480" s="101">
        <f>AE480*1000/AG480</f>
        <v>1.5070992305861823</v>
      </c>
      <c r="AL480" s="102" t="s">
        <v>276</v>
      </c>
      <c r="AM480" s="102" t="s">
        <v>276</v>
      </c>
      <c r="AN480" s="100" t="s">
        <v>276</v>
      </c>
      <c r="AO480" s="101">
        <f>AF480*1000/AH480</f>
        <v>1.1104060913705585</v>
      </c>
      <c r="AP480" s="102" t="s">
        <v>276</v>
      </c>
      <c r="AQ480" s="102" t="s">
        <v>276</v>
      </c>
      <c r="AR480" s="94" t="s">
        <v>268</v>
      </c>
      <c r="AS480" s="102">
        <v>1.36</v>
      </c>
      <c r="AT480" s="101">
        <f>AK480/AO480</f>
        <v>1.3572505070878991</v>
      </c>
      <c r="AU480" s="102">
        <v>0.84</v>
      </c>
      <c r="AV480" s="102">
        <v>2.21</v>
      </c>
      <c r="AW480" s="94" t="s">
        <v>276</v>
      </c>
      <c r="AX480" s="94" t="s">
        <v>282</v>
      </c>
      <c r="AY480" s="94" t="s">
        <v>276</v>
      </c>
      <c r="AZ480" s="94" t="s">
        <v>276</v>
      </c>
      <c r="BA480" s="94" t="s">
        <v>276</v>
      </c>
      <c r="BB480" s="94" t="s">
        <v>276</v>
      </c>
      <c r="BC480" s="95" t="s">
        <v>4720</v>
      </c>
      <c r="BD480" s="95"/>
      <c r="BE480" s="33" t="s">
        <v>99</v>
      </c>
      <c r="BF480" s="33" t="s">
        <v>11162</v>
      </c>
    </row>
    <row r="481" spans="1:58" s="103" customFormat="1" ht="91" x14ac:dyDescent="0.3">
      <c r="A481" s="94">
        <v>4474</v>
      </c>
      <c r="B481" s="94" t="s">
        <v>4697</v>
      </c>
      <c r="C481" s="94" t="s">
        <v>4714</v>
      </c>
      <c r="D481" s="95" t="s">
        <v>4721</v>
      </c>
      <c r="E481" s="94" t="s">
        <v>35</v>
      </c>
      <c r="F481" s="95" t="s">
        <v>131</v>
      </c>
      <c r="G481" s="95" t="s">
        <v>132</v>
      </c>
      <c r="H481" s="94" t="s">
        <v>225</v>
      </c>
      <c r="I481" s="94" t="s">
        <v>98</v>
      </c>
      <c r="J481" s="95" t="s">
        <v>24</v>
      </c>
      <c r="K481" s="95" t="s">
        <v>4716</v>
      </c>
      <c r="L481" s="95" t="s">
        <v>276</v>
      </c>
      <c r="M481" s="94" t="s">
        <v>14</v>
      </c>
      <c r="N481" s="96" t="s">
        <v>98</v>
      </c>
      <c r="O481" s="96" t="s">
        <v>208</v>
      </c>
      <c r="P481" s="97">
        <v>32508</v>
      </c>
      <c r="Q481" s="95" t="s">
        <v>276</v>
      </c>
      <c r="R481" s="95" t="s">
        <v>4708</v>
      </c>
      <c r="S481" s="95" t="s">
        <v>4708</v>
      </c>
      <c r="T481" s="95" t="s">
        <v>4717</v>
      </c>
      <c r="U481" s="98">
        <v>25214</v>
      </c>
      <c r="V481" s="99">
        <v>25216</v>
      </c>
      <c r="W481" s="94" t="s">
        <v>276</v>
      </c>
      <c r="X481" s="94" t="s">
        <v>276</v>
      </c>
      <c r="Y481" s="94">
        <v>1</v>
      </c>
      <c r="Z481" s="95" t="s">
        <v>894</v>
      </c>
      <c r="AA481" s="94">
        <v>1</v>
      </c>
      <c r="AB481" s="95" t="s">
        <v>894</v>
      </c>
      <c r="AC481" s="95" t="s">
        <v>4709</v>
      </c>
      <c r="AD481" s="95" t="s">
        <v>2034</v>
      </c>
      <c r="AE481" s="94">
        <v>29</v>
      </c>
      <c r="AF481" s="94">
        <v>18</v>
      </c>
      <c r="AG481" s="98">
        <v>25214</v>
      </c>
      <c r="AH481" s="99">
        <v>25216</v>
      </c>
      <c r="AI481" s="99" t="s">
        <v>281</v>
      </c>
      <c r="AJ481" s="100" t="s">
        <v>276</v>
      </c>
      <c r="AK481" s="101">
        <f>AE481*1000/AG481</f>
        <v>1.1501546759736654</v>
      </c>
      <c r="AL481" s="102" t="s">
        <v>276</v>
      </c>
      <c r="AM481" s="102" t="s">
        <v>276</v>
      </c>
      <c r="AN481" s="100" t="s">
        <v>276</v>
      </c>
      <c r="AO481" s="101">
        <f>AF481*1000/AH481</f>
        <v>0.71383248730964466</v>
      </c>
      <c r="AP481" s="102" t="s">
        <v>276</v>
      </c>
      <c r="AQ481" s="102" t="s">
        <v>276</v>
      </c>
      <c r="AR481" s="94" t="s">
        <v>268</v>
      </c>
      <c r="AS481" s="102" t="s">
        <v>276</v>
      </c>
      <c r="AT481" s="101">
        <f>AK481/AO481</f>
        <v>1.6112389060751082</v>
      </c>
      <c r="AU481" s="102" t="s">
        <v>276</v>
      </c>
      <c r="AV481" s="102" t="s">
        <v>276</v>
      </c>
      <c r="AW481" s="94" t="s">
        <v>276</v>
      </c>
      <c r="AX481" s="94" t="s">
        <v>282</v>
      </c>
      <c r="AY481" s="94" t="s">
        <v>276</v>
      </c>
      <c r="AZ481" s="94" t="s">
        <v>276</v>
      </c>
      <c r="BA481" s="94" t="s">
        <v>276</v>
      </c>
      <c r="BB481" s="94" t="s">
        <v>276</v>
      </c>
      <c r="BC481" s="95" t="s">
        <v>4710</v>
      </c>
      <c r="BD481" s="95" t="s">
        <v>4722</v>
      </c>
      <c r="BE481" s="33" t="s">
        <v>100</v>
      </c>
      <c r="BF481" s="33" t="s">
        <v>98</v>
      </c>
    </row>
    <row r="482" spans="1:58" s="208" customFormat="1" ht="39" x14ac:dyDescent="0.3">
      <c r="A482" s="112">
        <v>4474</v>
      </c>
      <c r="B482" s="112" t="s">
        <v>4697</v>
      </c>
      <c r="C482" s="112" t="s">
        <v>4714</v>
      </c>
      <c r="D482" s="113" t="s">
        <v>4723</v>
      </c>
      <c r="E482" s="112" t="s">
        <v>35</v>
      </c>
      <c r="F482" s="113" t="s">
        <v>131</v>
      </c>
      <c r="G482" s="113" t="s">
        <v>132</v>
      </c>
      <c r="H482" s="112" t="s">
        <v>225</v>
      </c>
      <c r="I482" s="112" t="s">
        <v>98</v>
      </c>
      <c r="J482" s="113" t="s">
        <v>23</v>
      </c>
      <c r="K482" s="113" t="s">
        <v>4724</v>
      </c>
      <c r="L482" s="113" t="s">
        <v>276</v>
      </c>
      <c r="M482" s="112" t="s">
        <v>14</v>
      </c>
      <c r="N482" s="117" t="s">
        <v>98</v>
      </c>
      <c r="O482" s="117" t="s">
        <v>208</v>
      </c>
      <c r="P482" s="205">
        <v>32508</v>
      </c>
      <c r="Q482" s="113" t="s">
        <v>276</v>
      </c>
      <c r="R482" s="113" t="s">
        <v>4708</v>
      </c>
      <c r="S482" s="113" t="s">
        <v>4708</v>
      </c>
      <c r="T482" s="113" t="s">
        <v>4717</v>
      </c>
      <c r="U482" s="118">
        <v>25214</v>
      </c>
      <c r="V482" s="119">
        <v>25216</v>
      </c>
      <c r="W482" s="112" t="s">
        <v>276</v>
      </c>
      <c r="X482" s="112" t="s">
        <v>276</v>
      </c>
      <c r="Y482" s="112">
        <v>0</v>
      </c>
      <c r="Z482" s="113" t="s">
        <v>98</v>
      </c>
      <c r="AA482" s="112">
        <v>0</v>
      </c>
      <c r="AB482" s="113" t="s">
        <v>98</v>
      </c>
      <c r="AC482" s="113" t="s">
        <v>4713</v>
      </c>
      <c r="AD482" s="113" t="s">
        <v>2034</v>
      </c>
      <c r="AE482" s="112">
        <v>159</v>
      </c>
      <c r="AF482" s="112">
        <v>156</v>
      </c>
      <c r="AG482" s="118">
        <v>25214</v>
      </c>
      <c r="AH482" s="119">
        <v>25216</v>
      </c>
      <c r="AI482" s="119" t="s">
        <v>281</v>
      </c>
      <c r="AJ482" s="164" t="s">
        <v>276</v>
      </c>
      <c r="AK482" s="207">
        <f>AE482*1000/AG482</f>
        <v>6.3060204648211311</v>
      </c>
      <c r="AL482" s="121" t="s">
        <v>276</v>
      </c>
      <c r="AM482" s="121" t="s">
        <v>276</v>
      </c>
      <c r="AN482" s="164" t="s">
        <v>276</v>
      </c>
      <c r="AO482" s="207">
        <f>AF482*1000/AH482</f>
        <v>6.186548223350254</v>
      </c>
      <c r="AP482" s="121" t="s">
        <v>276</v>
      </c>
      <c r="AQ482" s="121" t="s">
        <v>276</v>
      </c>
      <c r="AR482" s="112" t="s">
        <v>268</v>
      </c>
      <c r="AS482" s="121" t="s">
        <v>276</v>
      </c>
      <c r="AT482" s="207">
        <f>AK482/AO482</f>
        <v>1.0193116156469848</v>
      </c>
      <c r="AU482" s="121" t="s">
        <v>276</v>
      </c>
      <c r="AV482" s="121" t="s">
        <v>276</v>
      </c>
      <c r="AW482" s="112" t="s">
        <v>276</v>
      </c>
      <c r="AX482" s="112" t="s">
        <v>282</v>
      </c>
      <c r="AY482" s="112" t="s">
        <v>276</v>
      </c>
      <c r="AZ482" s="112" t="s">
        <v>276</v>
      </c>
      <c r="BA482" s="112" t="s">
        <v>276</v>
      </c>
      <c r="BB482" s="112" t="s">
        <v>276</v>
      </c>
      <c r="BC482" s="113" t="s">
        <v>4710</v>
      </c>
      <c r="BD482" s="113"/>
      <c r="BE482" s="33" t="s">
        <v>100</v>
      </c>
      <c r="BF482" s="33" t="s">
        <v>98</v>
      </c>
    </row>
    <row r="483" spans="1:58" s="202" customFormat="1" ht="39" x14ac:dyDescent="0.3">
      <c r="A483" s="175">
        <v>4469</v>
      </c>
      <c r="B483" s="175" t="s">
        <v>4725</v>
      </c>
      <c r="C483" s="175" t="s">
        <v>4714</v>
      </c>
      <c r="D483" s="176" t="s">
        <v>4726</v>
      </c>
      <c r="E483" s="175" t="s">
        <v>35</v>
      </c>
      <c r="F483" s="176" t="s">
        <v>131</v>
      </c>
      <c r="G483" s="176" t="s">
        <v>132</v>
      </c>
      <c r="H483" s="175" t="s">
        <v>225</v>
      </c>
      <c r="I483" s="175" t="s">
        <v>98</v>
      </c>
      <c r="J483" s="176" t="s">
        <v>24</v>
      </c>
      <c r="K483" s="176" t="s">
        <v>4727</v>
      </c>
      <c r="L483" s="176" t="s">
        <v>276</v>
      </c>
      <c r="M483" s="175" t="s">
        <v>14</v>
      </c>
      <c r="N483" s="198" t="s">
        <v>98</v>
      </c>
      <c r="O483" s="199" t="s">
        <v>208</v>
      </c>
      <c r="P483" s="200">
        <v>34334</v>
      </c>
      <c r="Q483" s="176" t="s">
        <v>98</v>
      </c>
      <c r="R483" s="176" t="s">
        <v>4728</v>
      </c>
      <c r="S483" s="176" t="s">
        <v>4728</v>
      </c>
      <c r="T483" s="176" t="s">
        <v>4717</v>
      </c>
      <c r="U483" s="180">
        <v>25214</v>
      </c>
      <c r="V483" s="179">
        <v>25216</v>
      </c>
      <c r="W483" s="175" t="s">
        <v>276</v>
      </c>
      <c r="X483" s="175" t="s">
        <v>276</v>
      </c>
      <c r="Y483" s="175">
        <v>0</v>
      </c>
      <c r="Z483" s="176" t="s">
        <v>1562</v>
      </c>
      <c r="AA483" s="175">
        <v>0</v>
      </c>
      <c r="AB483" s="176" t="s">
        <v>1562</v>
      </c>
      <c r="AC483" s="176" t="s">
        <v>4729</v>
      </c>
      <c r="AD483" s="176" t="s">
        <v>2034</v>
      </c>
      <c r="AE483" s="175">
        <v>82</v>
      </c>
      <c r="AF483" s="175">
        <v>72</v>
      </c>
      <c r="AG483" s="180">
        <v>25214</v>
      </c>
      <c r="AH483" s="179">
        <v>25216</v>
      </c>
      <c r="AI483" s="179" t="s">
        <v>281</v>
      </c>
      <c r="AJ483" s="181" t="s">
        <v>276</v>
      </c>
      <c r="AK483" s="201">
        <f>AE483*1000/AG483</f>
        <v>3.2521614975807092</v>
      </c>
      <c r="AL483" s="181" t="s">
        <v>276</v>
      </c>
      <c r="AM483" s="181" t="s">
        <v>276</v>
      </c>
      <c r="AN483" s="181" t="s">
        <v>276</v>
      </c>
      <c r="AO483" s="201">
        <f>AF483*1000/AH483</f>
        <v>2.8553299492385786</v>
      </c>
      <c r="AP483" s="181" t="s">
        <v>276</v>
      </c>
      <c r="AQ483" s="181" t="s">
        <v>276</v>
      </c>
      <c r="AR483" s="175" t="s">
        <v>268</v>
      </c>
      <c r="AS483" s="181" t="s">
        <v>276</v>
      </c>
      <c r="AT483" s="201">
        <f>AK483/AO483</f>
        <v>1.1389792267082661</v>
      </c>
      <c r="AU483" s="181" t="s">
        <v>276</v>
      </c>
      <c r="AV483" s="181" t="s">
        <v>276</v>
      </c>
      <c r="AW483" s="175" t="s">
        <v>276</v>
      </c>
      <c r="AX483" s="175" t="s">
        <v>282</v>
      </c>
      <c r="AY483" s="175" t="s">
        <v>276</v>
      </c>
      <c r="AZ483" s="175" t="s">
        <v>276</v>
      </c>
      <c r="BA483" s="175" t="s">
        <v>276</v>
      </c>
      <c r="BB483" s="175" t="s">
        <v>276</v>
      </c>
      <c r="BC483" s="176" t="s">
        <v>4730</v>
      </c>
      <c r="BD483" s="176"/>
      <c r="BE483" s="33" t="s">
        <v>100</v>
      </c>
      <c r="BF483" s="33" t="s">
        <v>98</v>
      </c>
    </row>
    <row r="484" spans="1:58" s="202" customFormat="1" ht="39" x14ac:dyDescent="0.3">
      <c r="A484" s="175">
        <v>4469</v>
      </c>
      <c r="B484" s="175" t="s">
        <v>4725</v>
      </c>
      <c r="C484" s="175" t="s">
        <v>4714</v>
      </c>
      <c r="D484" s="176" t="s">
        <v>4731</v>
      </c>
      <c r="E484" s="175" t="s">
        <v>35</v>
      </c>
      <c r="F484" s="176" t="s">
        <v>131</v>
      </c>
      <c r="G484" s="176" t="s">
        <v>132</v>
      </c>
      <c r="H484" s="175" t="s">
        <v>225</v>
      </c>
      <c r="I484" s="175" t="s">
        <v>98</v>
      </c>
      <c r="J484" s="176" t="s">
        <v>24</v>
      </c>
      <c r="K484" s="176" t="s">
        <v>4727</v>
      </c>
      <c r="L484" s="176" t="s">
        <v>276</v>
      </c>
      <c r="M484" s="175" t="s">
        <v>14</v>
      </c>
      <c r="N484" s="198" t="s">
        <v>98</v>
      </c>
      <c r="O484" s="199" t="s">
        <v>208</v>
      </c>
      <c r="P484" s="200">
        <v>34334</v>
      </c>
      <c r="Q484" s="176" t="s">
        <v>98</v>
      </c>
      <c r="R484" s="176" t="s">
        <v>4728</v>
      </c>
      <c r="S484" s="176" t="s">
        <v>4728</v>
      </c>
      <c r="T484" s="176" t="s">
        <v>4717</v>
      </c>
      <c r="U484" s="180">
        <v>25214</v>
      </c>
      <c r="V484" s="179">
        <v>25216</v>
      </c>
      <c r="W484" s="175" t="s">
        <v>276</v>
      </c>
      <c r="X484" s="175" t="s">
        <v>276</v>
      </c>
      <c r="Y484" s="175">
        <v>0</v>
      </c>
      <c r="Z484" s="176" t="s">
        <v>1562</v>
      </c>
      <c r="AA484" s="175">
        <v>0</v>
      </c>
      <c r="AB484" s="176" t="s">
        <v>1562</v>
      </c>
      <c r="AC484" s="176" t="s">
        <v>4729</v>
      </c>
      <c r="AD484" s="176" t="s">
        <v>1487</v>
      </c>
      <c r="AE484" s="175">
        <v>82</v>
      </c>
      <c r="AF484" s="175">
        <v>72</v>
      </c>
      <c r="AG484" s="180" t="s">
        <v>276</v>
      </c>
      <c r="AH484" s="179" t="s">
        <v>276</v>
      </c>
      <c r="AI484" s="179" t="s">
        <v>4702</v>
      </c>
      <c r="AJ484" s="181" t="s">
        <v>276</v>
      </c>
      <c r="AK484" s="201" t="s">
        <v>98</v>
      </c>
      <c r="AL484" s="181" t="s">
        <v>276</v>
      </c>
      <c r="AM484" s="181" t="s">
        <v>276</v>
      </c>
      <c r="AN484" s="181" t="s">
        <v>276</v>
      </c>
      <c r="AO484" s="201" t="s">
        <v>98</v>
      </c>
      <c r="AP484" s="181" t="s">
        <v>276</v>
      </c>
      <c r="AQ484" s="181" t="s">
        <v>276</v>
      </c>
      <c r="AR484" s="175" t="s">
        <v>269</v>
      </c>
      <c r="AS484" s="181">
        <v>1.1399999999999999</v>
      </c>
      <c r="AT484" s="201" t="s">
        <v>98</v>
      </c>
      <c r="AU484" s="181">
        <v>0.83</v>
      </c>
      <c r="AV484" s="181">
        <v>1.56</v>
      </c>
      <c r="AW484" s="175" t="s">
        <v>276</v>
      </c>
      <c r="AX484" s="175" t="s">
        <v>282</v>
      </c>
      <c r="AY484" s="175" t="s">
        <v>276</v>
      </c>
      <c r="AZ484" s="175" t="s">
        <v>276</v>
      </c>
      <c r="BA484" s="175" t="s">
        <v>276</v>
      </c>
      <c r="BB484" s="175" t="s">
        <v>276</v>
      </c>
      <c r="BC484" s="176" t="s">
        <v>4732</v>
      </c>
      <c r="BD484" s="176"/>
      <c r="BE484" s="33" t="s">
        <v>100</v>
      </c>
      <c r="BF484" s="33" t="s">
        <v>98</v>
      </c>
    </row>
    <row r="485" spans="1:58" s="339" customFormat="1" ht="52" x14ac:dyDescent="0.3">
      <c r="A485" s="184">
        <v>4469</v>
      </c>
      <c r="B485" s="184" t="s">
        <v>4725</v>
      </c>
      <c r="C485" s="184" t="s">
        <v>4714</v>
      </c>
      <c r="D485" s="185" t="s">
        <v>4733</v>
      </c>
      <c r="E485" s="184" t="s">
        <v>35</v>
      </c>
      <c r="F485" s="185" t="s">
        <v>131</v>
      </c>
      <c r="G485" s="185" t="s">
        <v>132</v>
      </c>
      <c r="H485" s="184" t="s">
        <v>225</v>
      </c>
      <c r="I485" s="184" t="s">
        <v>98</v>
      </c>
      <c r="J485" s="185" t="s">
        <v>23</v>
      </c>
      <c r="K485" s="185" t="s">
        <v>4727</v>
      </c>
      <c r="L485" s="185" t="s">
        <v>276</v>
      </c>
      <c r="M485" s="184" t="s">
        <v>14</v>
      </c>
      <c r="N485" s="336" t="s">
        <v>98</v>
      </c>
      <c r="O485" s="337" t="s">
        <v>208</v>
      </c>
      <c r="P485" s="322">
        <v>34334</v>
      </c>
      <c r="Q485" s="185" t="s">
        <v>98</v>
      </c>
      <c r="R485" s="185" t="s">
        <v>4728</v>
      </c>
      <c r="S485" s="185" t="s">
        <v>4728</v>
      </c>
      <c r="T485" s="185" t="s">
        <v>4717</v>
      </c>
      <c r="U485" s="189">
        <v>25214</v>
      </c>
      <c r="V485" s="188">
        <v>25216</v>
      </c>
      <c r="W485" s="184" t="s">
        <v>276</v>
      </c>
      <c r="X485" s="184" t="s">
        <v>276</v>
      </c>
      <c r="Y485" s="184">
        <v>0</v>
      </c>
      <c r="Z485" s="184" t="s">
        <v>98</v>
      </c>
      <c r="AA485" s="184">
        <v>0</v>
      </c>
      <c r="AB485" s="184" t="s">
        <v>98</v>
      </c>
      <c r="AC485" s="185" t="s">
        <v>4734</v>
      </c>
      <c r="AD485" s="185" t="s">
        <v>2034</v>
      </c>
      <c r="AE485" s="184">
        <v>418</v>
      </c>
      <c r="AF485" s="184">
        <v>414</v>
      </c>
      <c r="AG485" s="189">
        <v>25214</v>
      </c>
      <c r="AH485" s="188">
        <v>25216</v>
      </c>
      <c r="AI485" s="188" t="s">
        <v>281</v>
      </c>
      <c r="AJ485" s="192" t="s">
        <v>276</v>
      </c>
      <c r="AK485" s="338">
        <f>AE485*1000/AG485</f>
        <v>16.578091536448007</v>
      </c>
      <c r="AL485" s="192" t="s">
        <v>276</v>
      </c>
      <c r="AM485" s="192" t="s">
        <v>276</v>
      </c>
      <c r="AN485" s="192" t="s">
        <v>276</v>
      </c>
      <c r="AO485" s="338">
        <f>AF485*1000/AH485</f>
        <v>16.418147208121827</v>
      </c>
      <c r="AP485" s="192" t="s">
        <v>276</v>
      </c>
      <c r="AQ485" s="192" t="s">
        <v>276</v>
      </c>
      <c r="AR485" s="184" t="s">
        <v>268</v>
      </c>
      <c r="AS485" s="192" t="s">
        <v>276</v>
      </c>
      <c r="AT485" s="338">
        <f t="shared" ref="AT485:AT500" si="58">AK485/AO485</f>
        <v>1.0097419231475193</v>
      </c>
      <c r="AU485" s="192" t="s">
        <v>276</v>
      </c>
      <c r="AV485" s="192" t="s">
        <v>276</v>
      </c>
      <c r="AW485" s="184" t="s">
        <v>276</v>
      </c>
      <c r="AX485" s="184" t="s">
        <v>282</v>
      </c>
      <c r="AY485" s="184" t="s">
        <v>276</v>
      </c>
      <c r="AZ485" s="184" t="s">
        <v>276</v>
      </c>
      <c r="BA485" s="184" t="s">
        <v>276</v>
      </c>
      <c r="BB485" s="184" t="s">
        <v>276</v>
      </c>
      <c r="BC485" s="185" t="s">
        <v>4735</v>
      </c>
      <c r="BD485" s="185"/>
      <c r="BE485" s="33" t="s">
        <v>100</v>
      </c>
      <c r="BF485" s="33" t="s">
        <v>98</v>
      </c>
    </row>
    <row r="486" spans="1:58" s="253" customFormat="1" ht="78" x14ac:dyDescent="0.3">
      <c r="A486" s="244">
        <v>4468</v>
      </c>
      <c r="B486" s="244" t="s">
        <v>4736</v>
      </c>
      <c r="C486" s="244" t="s">
        <v>4698</v>
      </c>
      <c r="D486" s="245" t="s">
        <v>4737</v>
      </c>
      <c r="E486" s="244" t="s">
        <v>35</v>
      </c>
      <c r="F486" s="245" t="s">
        <v>131</v>
      </c>
      <c r="G486" s="245" t="s">
        <v>130</v>
      </c>
      <c r="H486" s="244" t="s">
        <v>225</v>
      </c>
      <c r="I486" s="244" t="s">
        <v>98</v>
      </c>
      <c r="J486" s="245" t="s">
        <v>24</v>
      </c>
      <c r="K486" s="245" t="s">
        <v>4738</v>
      </c>
      <c r="L486" s="245" t="s">
        <v>276</v>
      </c>
      <c r="M486" s="244" t="s">
        <v>14</v>
      </c>
      <c r="N486" s="247" t="s">
        <v>98</v>
      </c>
      <c r="O486" s="247" t="s">
        <v>208</v>
      </c>
      <c r="P486" s="248">
        <v>34334</v>
      </c>
      <c r="Q486" s="245" t="s">
        <v>98</v>
      </c>
      <c r="R486" s="245" t="s">
        <v>276</v>
      </c>
      <c r="S486" s="245" t="s">
        <v>276</v>
      </c>
      <c r="T486" s="340" t="s">
        <v>4284</v>
      </c>
      <c r="U486" s="249">
        <v>19711</v>
      </c>
      <c r="V486" s="250">
        <v>19694</v>
      </c>
      <c r="W486" s="244" t="s">
        <v>276</v>
      </c>
      <c r="X486" s="244" t="s">
        <v>276</v>
      </c>
      <c r="Y486" s="244">
        <v>1</v>
      </c>
      <c r="Z486" s="245" t="s">
        <v>894</v>
      </c>
      <c r="AA486" s="244">
        <v>1</v>
      </c>
      <c r="AB486" s="245" t="s">
        <v>894</v>
      </c>
      <c r="AC486" s="245" t="s">
        <v>4729</v>
      </c>
      <c r="AD486" s="245" t="s">
        <v>2034</v>
      </c>
      <c r="AE486" s="244">
        <v>88</v>
      </c>
      <c r="AF486" s="244">
        <v>90</v>
      </c>
      <c r="AG486" s="249">
        <v>19711</v>
      </c>
      <c r="AH486" s="250">
        <v>19694</v>
      </c>
      <c r="AI486" s="250" t="s">
        <v>281</v>
      </c>
      <c r="AJ486" s="330" t="s">
        <v>276</v>
      </c>
      <c r="AK486" s="252">
        <f>AE486*1000/AG486</f>
        <v>4.4645122013089136</v>
      </c>
      <c r="AL486" s="251" t="s">
        <v>276</v>
      </c>
      <c r="AM486" s="251" t="s">
        <v>276</v>
      </c>
      <c r="AN486" s="330" t="s">
        <v>276</v>
      </c>
      <c r="AO486" s="252">
        <f>AF486*1000/AH486</f>
        <v>4.5699197725195493</v>
      </c>
      <c r="AP486" s="251" t="s">
        <v>276</v>
      </c>
      <c r="AQ486" s="251" t="s">
        <v>276</v>
      </c>
      <c r="AR486" s="244" t="s">
        <v>268</v>
      </c>
      <c r="AS486" s="251">
        <v>0.98</v>
      </c>
      <c r="AT486" s="252">
        <f t="shared" si="58"/>
        <v>0.97693448102864155</v>
      </c>
      <c r="AU486" s="251">
        <v>0.73</v>
      </c>
      <c r="AV486" s="251">
        <v>1.31</v>
      </c>
      <c r="AW486" s="244" t="s">
        <v>276</v>
      </c>
      <c r="AX486" s="244" t="s">
        <v>282</v>
      </c>
      <c r="AY486" s="244" t="s">
        <v>276</v>
      </c>
      <c r="AZ486" s="244" t="s">
        <v>276</v>
      </c>
      <c r="BA486" s="244" t="s">
        <v>276</v>
      </c>
      <c r="BB486" s="244" t="s">
        <v>276</v>
      </c>
      <c r="BC486" s="245" t="s">
        <v>4739</v>
      </c>
      <c r="BD486" s="245"/>
      <c r="BE486" s="33" t="s">
        <v>100</v>
      </c>
      <c r="BF486" s="33" t="s">
        <v>98</v>
      </c>
    </row>
    <row r="487" spans="1:58" s="263" customFormat="1" ht="39" x14ac:dyDescent="0.3">
      <c r="A487" s="254">
        <v>4468</v>
      </c>
      <c r="B487" s="254" t="s">
        <v>4736</v>
      </c>
      <c r="C487" s="254" t="s">
        <v>4698</v>
      </c>
      <c r="D487" s="255" t="s">
        <v>4740</v>
      </c>
      <c r="E487" s="254" t="s">
        <v>35</v>
      </c>
      <c r="F487" s="255" t="s">
        <v>131</v>
      </c>
      <c r="G487" s="255" t="s">
        <v>130</v>
      </c>
      <c r="H487" s="254" t="s">
        <v>225</v>
      </c>
      <c r="I487" s="254" t="s">
        <v>98</v>
      </c>
      <c r="J487" s="255" t="s">
        <v>23</v>
      </c>
      <c r="K487" s="255" t="s">
        <v>4741</v>
      </c>
      <c r="L487" s="255" t="s">
        <v>276</v>
      </c>
      <c r="M487" s="254" t="s">
        <v>14</v>
      </c>
      <c r="N487" s="257" t="s">
        <v>98</v>
      </c>
      <c r="O487" s="257" t="s">
        <v>208</v>
      </c>
      <c r="P487" s="258">
        <v>34334</v>
      </c>
      <c r="Q487" s="255" t="s">
        <v>98</v>
      </c>
      <c r="R487" s="255" t="s">
        <v>276</v>
      </c>
      <c r="S487" s="255" t="s">
        <v>276</v>
      </c>
      <c r="T487" s="341" t="s">
        <v>4284</v>
      </c>
      <c r="U487" s="259">
        <v>19711</v>
      </c>
      <c r="V487" s="260">
        <v>19694</v>
      </c>
      <c r="W487" s="254" t="s">
        <v>276</v>
      </c>
      <c r="X487" s="254" t="s">
        <v>276</v>
      </c>
      <c r="Y487" s="254">
        <v>0</v>
      </c>
      <c r="Z487" s="255" t="s">
        <v>98</v>
      </c>
      <c r="AA487" s="254">
        <v>0</v>
      </c>
      <c r="AB487" s="255" t="s">
        <v>98</v>
      </c>
      <c r="AC487" s="255" t="s">
        <v>4734</v>
      </c>
      <c r="AD487" s="255" t="s">
        <v>2034</v>
      </c>
      <c r="AE487" s="254">
        <v>734</v>
      </c>
      <c r="AF487" s="254">
        <v>690</v>
      </c>
      <c r="AG487" s="259">
        <v>19711</v>
      </c>
      <c r="AH487" s="260">
        <v>19694</v>
      </c>
      <c r="AI487" s="260" t="s">
        <v>281</v>
      </c>
      <c r="AJ487" s="331" t="s">
        <v>276</v>
      </c>
      <c r="AK487" s="262">
        <f>AE487*1000/AG487</f>
        <v>37.238090406372073</v>
      </c>
      <c r="AL487" s="261" t="s">
        <v>276</v>
      </c>
      <c r="AM487" s="261" t="s">
        <v>276</v>
      </c>
      <c r="AN487" s="331" t="s">
        <v>276</v>
      </c>
      <c r="AO487" s="262">
        <f>AF487*1000/AH487</f>
        <v>35.036051589316543</v>
      </c>
      <c r="AP487" s="261" t="s">
        <v>276</v>
      </c>
      <c r="AQ487" s="261" t="s">
        <v>276</v>
      </c>
      <c r="AR487" s="254" t="s">
        <v>268</v>
      </c>
      <c r="AS487" s="261" t="s">
        <v>276</v>
      </c>
      <c r="AT487" s="262">
        <f t="shared" si="58"/>
        <v>1.062850655743611</v>
      </c>
      <c r="AU487" s="261" t="s">
        <v>276</v>
      </c>
      <c r="AV487" s="261" t="s">
        <v>276</v>
      </c>
      <c r="AW487" s="254" t="s">
        <v>276</v>
      </c>
      <c r="AX487" s="254" t="s">
        <v>282</v>
      </c>
      <c r="AY487" s="254" t="s">
        <v>276</v>
      </c>
      <c r="AZ487" s="254" t="s">
        <v>276</v>
      </c>
      <c r="BA487" s="254" t="s">
        <v>276</v>
      </c>
      <c r="BB487" s="254" t="s">
        <v>276</v>
      </c>
      <c r="BC487" s="255" t="s">
        <v>4742</v>
      </c>
      <c r="BD487" s="255"/>
      <c r="BE487" s="33" t="s">
        <v>100</v>
      </c>
      <c r="BF487" s="33" t="s">
        <v>98</v>
      </c>
    </row>
    <row r="488" spans="1:58" s="253" customFormat="1" ht="91" x14ac:dyDescent="0.3">
      <c r="A488" s="244">
        <v>4468</v>
      </c>
      <c r="B488" s="244" t="s">
        <v>4736</v>
      </c>
      <c r="C488" s="244" t="s">
        <v>4698</v>
      </c>
      <c r="D488" s="245" t="s">
        <v>4743</v>
      </c>
      <c r="E488" s="244" t="s">
        <v>35</v>
      </c>
      <c r="F488" s="245" t="s">
        <v>131</v>
      </c>
      <c r="G488" s="245" t="s">
        <v>130</v>
      </c>
      <c r="H488" s="244" t="s">
        <v>225</v>
      </c>
      <c r="I488" s="244" t="s">
        <v>98</v>
      </c>
      <c r="J488" s="245" t="s">
        <v>24</v>
      </c>
      <c r="K488" s="245" t="s">
        <v>4744</v>
      </c>
      <c r="L488" s="245" t="s">
        <v>276</v>
      </c>
      <c r="M488" s="244" t="s">
        <v>14</v>
      </c>
      <c r="N488" s="247" t="s">
        <v>98</v>
      </c>
      <c r="O488" s="247" t="s">
        <v>208</v>
      </c>
      <c r="P488" s="248">
        <v>35246</v>
      </c>
      <c r="Q488" s="245" t="s">
        <v>98</v>
      </c>
      <c r="R488" s="245" t="s">
        <v>4745</v>
      </c>
      <c r="S488" s="245" t="s">
        <v>4745</v>
      </c>
      <c r="T488" s="340" t="s">
        <v>4284</v>
      </c>
      <c r="U488" s="249">
        <v>19711</v>
      </c>
      <c r="V488" s="250">
        <v>19694</v>
      </c>
      <c r="W488" s="244" t="s">
        <v>276</v>
      </c>
      <c r="X488" s="244" t="s">
        <v>276</v>
      </c>
      <c r="Y488" s="244">
        <v>1</v>
      </c>
      <c r="Z488" s="245" t="s">
        <v>894</v>
      </c>
      <c r="AA488" s="244">
        <v>1</v>
      </c>
      <c r="AB488" s="245" t="s">
        <v>894</v>
      </c>
      <c r="AC488" s="245" t="s">
        <v>4746</v>
      </c>
      <c r="AD488" s="245" t="s">
        <v>1487</v>
      </c>
      <c r="AE488" s="244">
        <v>107</v>
      </c>
      <c r="AF488" s="244">
        <v>105</v>
      </c>
      <c r="AG488" s="249">
        <v>216133</v>
      </c>
      <c r="AH488" s="250">
        <v>216042</v>
      </c>
      <c r="AI488" s="250" t="s">
        <v>4702</v>
      </c>
      <c r="AJ488" s="251">
        <v>4.95</v>
      </c>
      <c r="AK488" s="252">
        <f t="shared" ref="AK488:AK493" si="59">AE488*10000/AG488</f>
        <v>4.9506553834907212</v>
      </c>
      <c r="AL488" s="251" t="s">
        <v>276</v>
      </c>
      <c r="AM488" s="251" t="s">
        <v>276</v>
      </c>
      <c r="AN488" s="251">
        <v>4.8600000000000003</v>
      </c>
      <c r="AO488" s="252">
        <f t="shared" ref="AO488:AO493" si="60">AF488*10000/AH488</f>
        <v>4.8601660788180077</v>
      </c>
      <c r="AP488" s="251" t="s">
        <v>276</v>
      </c>
      <c r="AQ488" s="251" t="s">
        <v>276</v>
      </c>
      <c r="AR488" s="244" t="s">
        <v>269</v>
      </c>
      <c r="AS488" s="251">
        <v>1.02</v>
      </c>
      <c r="AT488" s="252">
        <f t="shared" si="58"/>
        <v>1.0186185622477166</v>
      </c>
      <c r="AU488" s="251">
        <v>0.78</v>
      </c>
      <c r="AV488" s="251">
        <v>1.33</v>
      </c>
      <c r="AW488" s="244" t="s">
        <v>276</v>
      </c>
      <c r="AX488" s="244" t="s">
        <v>282</v>
      </c>
      <c r="AY488" s="244" t="s">
        <v>276</v>
      </c>
      <c r="AZ488" s="244" t="s">
        <v>276</v>
      </c>
      <c r="BA488" s="244" t="s">
        <v>276</v>
      </c>
      <c r="BB488" s="244" t="s">
        <v>276</v>
      </c>
      <c r="BC488" s="245" t="s">
        <v>4747</v>
      </c>
      <c r="BD488" s="245"/>
      <c r="BE488" s="33" t="s">
        <v>100</v>
      </c>
      <c r="BF488" s="33" t="s">
        <v>98</v>
      </c>
    </row>
    <row r="489" spans="1:58" s="253" customFormat="1" ht="91" x14ac:dyDescent="0.3">
      <c r="A489" s="244">
        <v>4468</v>
      </c>
      <c r="B489" s="244" t="s">
        <v>4736</v>
      </c>
      <c r="C489" s="244" t="s">
        <v>4698</v>
      </c>
      <c r="D489" s="245" t="s">
        <v>4748</v>
      </c>
      <c r="E489" s="244" t="s">
        <v>35</v>
      </c>
      <c r="F489" s="245" t="s">
        <v>131</v>
      </c>
      <c r="G489" s="245" t="s">
        <v>130</v>
      </c>
      <c r="H489" s="244" t="s">
        <v>225</v>
      </c>
      <c r="I489" s="244" t="s">
        <v>98</v>
      </c>
      <c r="J489" s="245" t="s">
        <v>24</v>
      </c>
      <c r="K489" s="245" t="s">
        <v>4744</v>
      </c>
      <c r="L489" s="245" t="s">
        <v>276</v>
      </c>
      <c r="M489" s="244" t="s">
        <v>14</v>
      </c>
      <c r="N489" s="247" t="s">
        <v>98</v>
      </c>
      <c r="O489" s="247" t="s">
        <v>208</v>
      </c>
      <c r="P489" s="248">
        <v>35246</v>
      </c>
      <c r="Q489" s="245" t="s">
        <v>98</v>
      </c>
      <c r="R489" s="245" t="s">
        <v>4745</v>
      </c>
      <c r="S489" s="245" t="s">
        <v>4745</v>
      </c>
      <c r="T489" s="340" t="s">
        <v>4284</v>
      </c>
      <c r="U489" s="249">
        <v>19711</v>
      </c>
      <c r="V489" s="250">
        <v>19694</v>
      </c>
      <c r="W489" s="244" t="s">
        <v>276</v>
      </c>
      <c r="X489" s="244" t="s">
        <v>276</v>
      </c>
      <c r="Y489" s="244">
        <v>1</v>
      </c>
      <c r="Z489" s="245" t="s">
        <v>894</v>
      </c>
      <c r="AA489" s="244">
        <v>1</v>
      </c>
      <c r="AB489" s="245" t="s">
        <v>894</v>
      </c>
      <c r="AC489" s="245" t="s">
        <v>4749</v>
      </c>
      <c r="AD489" s="245" t="s">
        <v>1487</v>
      </c>
      <c r="AE489" s="244">
        <v>74</v>
      </c>
      <c r="AF489" s="244">
        <v>68</v>
      </c>
      <c r="AG489" s="249">
        <v>216133</v>
      </c>
      <c r="AH489" s="250">
        <v>216042</v>
      </c>
      <c r="AI489" s="250" t="s">
        <v>4702</v>
      </c>
      <c r="AJ489" s="251">
        <v>3.42</v>
      </c>
      <c r="AK489" s="252">
        <f t="shared" si="59"/>
        <v>3.4238177418533957</v>
      </c>
      <c r="AL489" s="251" t="s">
        <v>276</v>
      </c>
      <c r="AM489" s="251" t="s">
        <v>276</v>
      </c>
      <c r="AN489" s="251">
        <v>3.15</v>
      </c>
      <c r="AO489" s="252">
        <f t="shared" si="60"/>
        <v>3.147536127234519</v>
      </c>
      <c r="AP489" s="251" t="s">
        <v>276</v>
      </c>
      <c r="AQ489" s="251" t="s">
        <v>276</v>
      </c>
      <c r="AR489" s="244" t="s">
        <v>269</v>
      </c>
      <c r="AS489" s="251">
        <v>1.0900000000000001</v>
      </c>
      <c r="AT489" s="252">
        <f t="shared" si="58"/>
        <v>1.0877771067433697</v>
      </c>
      <c r="AU489" s="251">
        <v>0.78</v>
      </c>
      <c r="AV489" s="251">
        <v>1.51</v>
      </c>
      <c r="AW489" s="244" t="s">
        <v>276</v>
      </c>
      <c r="AX489" s="244" t="s">
        <v>282</v>
      </c>
      <c r="AY489" s="244" t="s">
        <v>276</v>
      </c>
      <c r="AZ489" s="244" t="s">
        <v>276</v>
      </c>
      <c r="BA489" s="244" t="s">
        <v>276</v>
      </c>
      <c r="BB489" s="244" t="s">
        <v>276</v>
      </c>
      <c r="BC489" s="245" t="s">
        <v>4750</v>
      </c>
      <c r="BD489" s="245"/>
      <c r="BE489" s="33" t="s">
        <v>100</v>
      </c>
      <c r="BF489" s="33" t="s">
        <v>98</v>
      </c>
    </row>
    <row r="490" spans="1:58" s="253" customFormat="1" ht="91" x14ac:dyDescent="0.3">
      <c r="A490" s="244">
        <v>4468</v>
      </c>
      <c r="B490" s="244" t="s">
        <v>4736</v>
      </c>
      <c r="C490" s="244" t="s">
        <v>4698</v>
      </c>
      <c r="D490" s="245" t="s">
        <v>4751</v>
      </c>
      <c r="E490" s="244" t="s">
        <v>35</v>
      </c>
      <c r="F490" s="245" t="s">
        <v>131</v>
      </c>
      <c r="G490" s="245" t="s">
        <v>130</v>
      </c>
      <c r="H490" s="244" t="s">
        <v>225</v>
      </c>
      <c r="I490" s="244" t="s">
        <v>98</v>
      </c>
      <c r="J490" s="245" t="s">
        <v>24</v>
      </c>
      <c r="K490" s="245" t="s">
        <v>4744</v>
      </c>
      <c r="L490" s="245" t="s">
        <v>276</v>
      </c>
      <c r="M490" s="244" t="s">
        <v>14</v>
      </c>
      <c r="N490" s="247" t="s">
        <v>98</v>
      </c>
      <c r="O490" s="247" t="s">
        <v>208</v>
      </c>
      <c r="P490" s="248">
        <v>35246</v>
      </c>
      <c r="Q490" s="245" t="s">
        <v>98</v>
      </c>
      <c r="R490" s="245" t="s">
        <v>4745</v>
      </c>
      <c r="S490" s="245" t="s">
        <v>4745</v>
      </c>
      <c r="T490" s="340" t="s">
        <v>4284</v>
      </c>
      <c r="U490" s="249">
        <v>19711</v>
      </c>
      <c r="V490" s="250">
        <v>19694</v>
      </c>
      <c r="W490" s="244" t="s">
        <v>276</v>
      </c>
      <c r="X490" s="244" t="s">
        <v>276</v>
      </c>
      <c r="Y490" s="244">
        <v>1</v>
      </c>
      <c r="Z490" s="245" t="s">
        <v>894</v>
      </c>
      <c r="AA490" s="244">
        <v>1</v>
      </c>
      <c r="AB490" s="245" t="s">
        <v>894</v>
      </c>
      <c r="AC490" s="245" t="s">
        <v>4752</v>
      </c>
      <c r="AD490" s="245" t="s">
        <v>1487</v>
      </c>
      <c r="AE490" s="244">
        <v>84</v>
      </c>
      <c r="AF490" s="244">
        <v>76</v>
      </c>
      <c r="AG490" s="249">
        <v>216133</v>
      </c>
      <c r="AH490" s="250">
        <v>216042</v>
      </c>
      <c r="AI490" s="250" t="s">
        <v>4702</v>
      </c>
      <c r="AJ490" s="251">
        <v>3.89</v>
      </c>
      <c r="AK490" s="252">
        <f t="shared" si="59"/>
        <v>3.8864958150768278</v>
      </c>
      <c r="AL490" s="251" t="s">
        <v>276</v>
      </c>
      <c r="AM490" s="251" t="s">
        <v>276</v>
      </c>
      <c r="AN490" s="251">
        <v>3.52</v>
      </c>
      <c r="AO490" s="252">
        <f t="shared" si="60"/>
        <v>3.5178344951444624</v>
      </c>
      <c r="AP490" s="251" t="s">
        <v>276</v>
      </c>
      <c r="AQ490" s="251" t="s">
        <v>276</v>
      </c>
      <c r="AR490" s="244" t="s">
        <v>269</v>
      </c>
      <c r="AS490" s="251">
        <v>1.1000000000000001</v>
      </c>
      <c r="AT490" s="252">
        <f t="shared" si="58"/>
        <v>1.1047978011589843</v>
      </c>
      <c r="AU490" s="251">
        <v>0.81</v>
      </c>
      <c r="AV490" s="251">
        <v>1.51</v>
      </c>
      <c r="AW490" s="244" t="s">
        <v>276</v>
      </c>
      <c r="AX490" s="244" t="s">
        <v>282</v>
      </c>
      <c r="AY490" s="244" t="s">
        <v>276</v>
      </c>
      <c r="AZ490" s="244" t="s">
        <v>276</v>
      </c>
      <c r="BA490" s="244" t="s">
        <v>276</v>
      </c>
      <c r="BB490" s="244" t="s">
        <v>276</v>
      </c>
      <c r="BC490" s="245" t="s">
        <v>1029</v>
      </c>
      <c r="BD490" s="245"/>
      <c r="BE490" s="33" t="s">
        <v>100</v>
      </c>
      <c r="BF490" s="33" t="s">
        <v>98</v>
      </c>
    </row>
    <row r="491" spans="1:58" s="253" customFormat="1" ht="91" x14ac:dyDescent="0.3">
      <c r="A491" s="244">
        <v>4468</v>
      </c>
      <c r="B491" s="244" t="s">
        <v>4736</v>
      </c>
      <c r="C491" s="244" t="s">
        <v>4698</v>
      </c>
      <c r="D491" s="245" t="s">
        <v>4753</v>
      </c>
      <c r="E491" s="244" t="s">
        <v>35</v>
      </c>
      <c r="F491" s="245" t="s">
        <v>131</v>
      </c>
      <c r="G491" s="245" t="s">
        <v>130</v>
      </c>
      <c r="H491" s="244" t="s">
        <v>225</v>
      </c>
      <c r="I491" s="244" t="s">
        <v>98</v>
      </c>
      <c r="J491" s="245" t="s">
        <v>24</v>
      </c>
      <c r="K491" s="245" t="s">
        <v>4744</v>
      </c>
      <c r="L491" s="245" t="s">
        <v>276</v>
      </c>
      <c r="M491" s="244" t="s">
        <v>14</v>
      </c>
      <c r="N491" s="247" t="s">
        <v>98</v>
      </c>
      <c r="O491" s="247" t="s">
        <v>208</v>
      </c>
      <c r="P491" s="248">
        <v>35246</v>
      </c>
      <c r="Q491" s="245" t="s">
        <v>98</v>
      </c>
      <c r="R491" s="245" t="s">
        <v>4745</v>
      </c>
      <c r="S491" s="245" t="s">
        <v>4745</v>
      </c>
      <c r="T491" s="340" t="s">
        <v>4284</v>
      </c>
      <c r="U491" s="249">
        <v>19711</v>
      </c>
      <c r="V491" s="250">
        <v>19694</v>
      </c>
      <c r="W491" s="244" t="s">
        <v>276</v>
      </c>
      <c r="X491" s="244" t="s">
        <v>276</v>
      </c>
      <c r="Y491" s="244">
        <v>1</v>
      </c>
      <c r="Z491" s="245" t="s">
        <v>894</v>
      </c>
      <c r="AA491" s="244">
        <v>1</v>
      </c>
      <c r="AB491" s="245" t="s">
        <v>894</v>
      </c>
      <c r="AC491" s="245" t="s">
        <v>4754</v>
      </c>
      <c r="AD491" s="245" t="s">
        <v>1487</v>
      </c>
      <c r="AE491" s="244">
        <v>93</v>
      </c>
      <c r="AF491" s="244">
        <v>83</v>
      </c>
      <c r="AG491" s="249">
        <v>216133</v>
      </c>
      <c r="AH491" s="250">
        <v>216042</v>
      </c>
      <c r="AI491" s="250" t="s">
        <v>4702</v>
      </c>
      <c r="AJ491" s="251">
        <v>4.3</v>
      </c>
      <c r="AK491" s="252">
        <f t="shared" si="59"/>
        <v>4.302906080977916</v>
      </c>
      <c r="AL491" s="251" t="s">
        <v>276</v>
      </c>
      <c r="AM491" s="251" t="s">
        <v>276</v>
      </c>
      <c r="AN491" s="251">
        <v>3.84</v>
      </c>
      <c r="AO491" s="252">
        <f t="shared" si="60"/>
        <v>3.841845567065663</v>
      </c>
      <c r="AP491" s="251" t="s">
        <v>276</v>
      </c>
      <c r="AQ491" s="251" t="s">
        <v>276</v>
      </c>
      <c r="AR491" s="244" t="s">
        <v>269</v>
      </c>
      <c r="AS491" s="251">
        <v>1.1200000000000001</v>
      </c>
      <c r="AT491" s="252">
        <f t="shared" si="58"/>
        <v>1.1200101633091939</v>
      </c>
      <c r="AU491" s="251">
        <v>0.83</v>
      </c>
      <c r="AV491" s="251">
        <v>1.5</v>
      </c>
      <c r="AW491" s="244" t="s">
        <v>276</v>
      </c>
      <c r="AX491" s="244" t="s">
        <v>282</v>
      </c>
      <c r="AY491" s="244" t="s">
        <v>276</v>
      </c>
      <c r="AZ491" s="244" t="s">
        <v>276</v>
      </c>
      <c r="BA491" s="244" t="s">
        <v>276</v>
      </c>
      <c r="BB491" s="244" t="s">
        <v>276</v>
      </c>
      <c r="BC491" s="245" t="s">
        <v>1029</v>
      </c>
      <c r="BD491" s="245"/>
      <c r="BE491" s="33" t="s">
        <v>100</v>
      </c>
      <c r="BF491" s="33" t="s">
        <v>98</v>
      </c>
    </row>
    <row r="492" spans="1:58" s="253" customFormat="1" ht="91" x14ac:dyDescent="0.3">
      <c r="A492" s="244">
        <v>4468</v>
      </c>
      <c r="B492" s="244" t="s">
        <v>4736</v>
      </c>
      <c r="C492" s="244" t="s">
        <v>4698</v>
      </c>
      <c r="D492" s="245" t="s">
        <v>4755</v>
      </c>
      <c r="E492" s="244" t="s">
        <v>35</v>
      </c>
      <c r="F492" s="245" t="s">
        <v>131</v>
      </c>
      <c r="G492" s="245" t="s">
        <v>130</v>
      </c>
      <c r="H492" s="244" t="s">
        <v>225</v>
      </c>
      <c r="I492" s="244" t="s">
        <v>98</v>
      </c>
      <c r="J492" s="245" t="s">
        <v>24</v>
      </c>
      <c r="K492" s="245" t="s">
        <v>4744</v>
      </c>
      <c r="L492" s="245" t="s">
        <v>276</v>
      </c>
      <c r="M492" s="244" t="s">
        <v>14</v>
      </c>
      <c r="N492" s="247" t="s">
        <v>98</v>
      </c>
      <c r="O492" s="247" t="s">
        <v>208</v>
      </c>
      <c r="P492" s="248">
        <v>35246</v>
      </c>
      <c r="Q492" s="245" t="s">
        <v>98</v>
      </c>
      <c r="R492" s="245" t="s">
        <v>4745</v>
      </c>
      <c r="S492" s="245" t="s">
        <v>4745</v>
      </c>
      <c r="T492" s="340" t="s">
        <v>4284</v>
      </c>
      <c r="U492" s="249">
        <v>19711</v>
      </c>
      <c r="V492" s="250">
        <v>19694</v>
      </c>
      <c r="W492" s="244" t="s">
        <v>276</v>
      </c>
      <c r="X492" s="244" t="s">
        <v>276</v>
      </c>
      <c r="Y492" s="244">
        <v>1</v>
      </c>
      <c r="Z492" s="245" t="s">
        <v>894</v>
      </c>
      <c r="AA492" s="244">
        <v>1</v>
      </c>
      <c r="AB492" s="245" t="s">
        <v>894</v>
      </c>
      <c r="AC492" s="245" t="s">
        <v>4756</v>
      </c>
      <c r="AD492" s="245" t="s">
        <v>1487</v>
      </c>
      <c r="AE492" s="244">
        <v>99</v>
      </c>
      <c r="AF492" s="244">
        <v>89</v>
      </c>
      <c r="AG492" s="249">
        <v>216133</v>
      </c>
      <c r="AH492" s="250">
        <v>216042</v>
      </c>
      <c r="AI492" s="250" t="s">
        <v>4702</v>
      </c>
      <c r="AJ492" s="251">
        <v>4.58</v>
      </c>
      <c r="AK492" s="252">
        <f t="shared" si="59"/>
        <v>4.5805129249119751</v>
      </c>
      <c r="AL492" s="251" t="s">
        <v>276</v>
      </c>
      <c r="AM492" s="251" t="s">
        <v>276</v>
      </c>
      <c r="AN492" s="251">
        <v>4.12</v>
      </c>
      <c r="AO492" s="252">
        <f t="shared" si="60"/>
        <v>4.1195693429981208</v>
      </c>
      <c r="AP492" s="251" t="s">
        <v>276</v>
      </c>
      <c r="AQ492" s="251" t="s">
        <v>276</v>
      </c>
      <c r="AR492" s="244" t="s">
        <v>269</v>
      </c>
      <c r="AS492" s="251">
        <v>1.1100000000000001</v>
      </c>
      <c r="AT492" s="252">
        <f t="shared" si="58"/>
        <v>1.1118912059818347</v>
      </c>
      <c r="AU492" s="251">
        <v>0.84</v>
      </c>
      <c r="AV492" s="251">
        <v>1.48</v>
      </c>
      <c r="AW492" s="244" t="s">
        <v>276</v>
      </c>
      <c r="AX492" s="244" t="s">
        <v>282</v>
      </c>
      <c r="AY492" s="244" t="s">
        <v>276</v>
      </c>
      <c r="AZ492" s="244" t="s">
        <v>276</v>
      </c>
      <c r="BA492" s="244" t="s">
        <v>276</v>
      </c>
      <c r="BB492" s="244" t="s">
        <v>276</v>
      </c>
      <c r="BC492" s="245" t="s">
        <v>1029</v>
      </c>
      <c r="BD492" s="245"/>
      <c r="BE492" s="33" t="s">
        <v>100</v>
      </c>
      <c r="BF492" s="33" t="s">
        <v>98</v>
      </c>
    </row>
    <row r="493" spans="1:58" s="253" customFormat="1" ht="91" x14ac:dyDescent="0.3">
      <c r="A493" s="244">
        <v>4468</v>
      </c>
      <c r="B493" s="244" t="s">
        <v>4736</v>
      </c>
      <c r="C493" s="244" t="s">
        <v>4698</v>
      </c>
      <c r="D493" s="245" t="s">
        <v>4757</v>
      </c>
      <c r="E493" s="244" t="s">
        <v>35</v>
      </c>
      <c r="F493" s="245" t="s">
        <v>131</v>
      </c>
      <c r="G493" s="245" t="s">
        <v>130</v>
      </c>
      <c r="H493" s="244" t="s">
        <v>225</v>
      </c>
      <c r="I493" s="244" t="s">
        <v>98</v>
      </c>
      <c r="J493" s="245" t="s">
        <v>24</v>
      </c>
      <c r="K493" s="245" t="s">
        <v>4744</v>
      </c>
      <c r="L493" s="245" t="s">
        <v>276</v>
      </c>
      <c r="M493" s="244" t="s">
        <v>14</v>
      </c>
      <c r="N493" s="247" t="s">
        <v>98</v>
      </c>
      <c r="O493" s="247" t="s">
        <v>208</v>
      </c>
      <c r="P493" s="248">
        <v>35246</v>
      </c>
      <c r="Q493" s="245" t="s">
        <v>98</v>
      </c>
      <c r="R493" s="245" t="s">
        <v>4745</v>
      </c>
      <c r="S493" s="245" t="s">
        <v>4745</v>
      </c>
      <c r="T493" s="340" t="s">
        <v>4284</v>
      </c>
      <c r="U493" s="249">
        <v>19711</v>
      </c>
      <c r="V493" s="250">
        <v>19694</v>
      </c>
      <c r="W493" s="244" t="s">
        <v>276</v>
      </c>
      <c r="X493" s="244" t="s">
        <v>276</v>
      </c>
      <c r="Y493" s="244">
        <v>1</v>
      </c>
      <c r="Z493" s="245" t="s">
        <v>894</v>
      </c>
      <c r="AA493" s="244">
        <v>1</v>
      </c>
      <c r="AB493" s="245" t="s">
        <v>894</v>
      </c>
      <c r="AC493" s="245" t="s">
        <v>4758</v>
      </c>
      <c r="AD493" s="245" t="s">
        <v>1487</v>
      </c>
      <c r="AE493" s="244">
        <v>104</v>
      </c>
      <c r="AF493" s="244">
        <v>97</v>
      </c>
      <c r="AG493" s="249">
        <v>216133</v>
      </c>
      <c r="AH493" s="250">
        <v>216042</v>
      </c>
      <c r="AI493" s="250" t="s">
        <v>4702</v>
      </c>
      <c r="AJ493" s="251">
        <v>4.8099999999999996</v>
      </c>
      <c r="AK493" s="252">
        <f t="shared" si="59"/>
        <v>4.8118519615236917</v>
      </c>
      <c r="AL493" s="251" t="s">
        <v>276</v>
      </c>
      <c r="AM493" s="251" t="s">
        <v>276</v>
      </c>
      <c r="AN493" s="251">
        <v>4.49</v>
      </c>
      <c r="AO493" s="252">
        <f t="shared" si="60"/>
        <v>4.4898677109080642</v>
      </c>
      <c r="AP493" s="251" t="s">
        <v>276</v>
      </c>
      <c r="AQ493" s="251" t="s">
        <v>276</v>
      </c>
      <c r="AR493" s="244" t="s">
        <v>269</v>
      </c>
      <c r="AS493" s="251">
        <v>1.07</v>
      </c>
      <c r="AT493" s="252">
        <f t="shared" si="58"/>
        <v>1.0717135272902076</v>
      </c>
      <c r="AU493" s="251">
        <v>0.81</v>
      </c>
      <c r="AV493" s="251">
        <v>1.41</v>
      </c>
      <c r="AW493" s="244" t="s">
        <v>276</v>
      </c>
      <c r="AX493" s="244" t="s">
        <v>282</v>
      </c>
      <c r="AY493" s="244" t="s">
        <v>276</v>
      </c>
      <c r="AZ493" s="244" t="s">
        <v>276</v>
      </c>
      <c r="BA493" s="244" t="s">
        <v>276</v>
      </c>
      <c r="BB493" s="244" t="s">
        <v>276</v>
      </c>
      <c r="BC493" s="245" t="s">
        <v>1029</v>
      </c>
      <c r="BD493" s="245"/>
      <c r="BE493" s="33" t="s">
        <v>100</v>
      </c>
      <c r="BF493" s="33" t="s">
        <v>98</v>
      </c>
    </row>
    <row r="494" spans="1:58" s="103" customFormat="1" ht="117" x14ac:dyDescent="0.3">
      <c r="A494" s="94">
        <v>4467</v>
      </c>
      <c r="B494" s="94" t="s">
        <v>4759</v>
      </c>
      <c r="C494" s="94" t="s">
        <v>4714</v>
      </c>
      <c r="D494" s="95" t="s">
        <v>4760</v>
      </c>
      <c r="E494" s="94" t="s">
        <v>35</v>
      </c>
      <c r="F494" s="95" t="s">
        <v>131</v>
      </c>
      <c r="G494" s="95" t="s">
        <v>132</v>
      </c>
      <c r="H494" s="94" t="s">
        <v>225</v>
      </c>
      <c r="I494" s="94" t="s">
        <v>98</v>
      </c>
      <c r="J494" s="95" t="s">
        <v>24</v>
      </c>
      <c r="K494" s="95" t="s">
        <v>4761</v>
      </c>
      <c r="L494" s="95" t="s">
        <v>276</v>
      </c>
      <c r="M494" s="94" t="s">
        <v>14</v>
      </c>
      <c r="N494" s="96" t="s">
        <v>98</v>
      </c>
      <c r="O494" s="96" t="s">
        <v>208</v>
      </c>
      <c r="P494" s="97">
        <v>35246</v>
      </c>
      <c r="Q494" s="95" t="s">
        <v>98</v>
      </c>
      <c r="R494" s="95" t="s">
        <v>4762</v>
      </c>
      <c r="S494" s="95" t="s">
        <v>4762</v>
      </c>
      <c r="T494" s="163" t="s">
        <v>4717</v>
      </c>
      <c r="U494" s="98">
        <v>25214</v>
      </c>
      <c r="V494" s="99">
        <v>25216</v>
      </c>
      <c r="W494" s="94" t="s">
        <v>276</v>
      </c>
      <c r="X494" s="94" t="s">
        <v>276</v>
      </c>
      <c r="Y494" s="94" t="s">
        <v>276</v>
      </c>
      <c r="Z494" s="95" t="s">
        <v>894</v>
      </c>
      <c r="AA494" s="94" t="s">
        <v>276</v>
      </c>
      <c r="AB494" s="95" t="s">
        <v>894</v>
      </c>
      <c r="AC494" s="95" t="s">
        <v>4763</v>
      </c>
      <c r="AD494" s="95" t="s">
        <v>2034</v>
      </c>
      <c r="AE494" s="94">
        <v>105</v>
      </c>
      <c r="AF494" s="94">
        <v>108</v>
      </c>
      <c r="AG494" s="98">
        <v>25214</v>
      </c>
      <c r="AH494" s="99">
        <v>25216</v>
      </c>
      <c r="AI494" s="99" t="s">
        <v>281</v>
      </c>
      <c r="AJ494" s="100" t="s">
        <v>276</v>
      </c>
      <c r="AK494" s="101">
        <f>AE494*1000/AG494</f>
        <v>4.1643531371460298</v>
      </c>
      <c r="AL494" s="102" t="s">
        <v>276</v>
      </c>
      <c r="AM494" s="102" t="s">
        <v>276</v>
      </c>
      <c r="AN494" s="100" t="s">
        <v>276</v>
      </c>
      <c r="AO494" s="101">
        <f>AF494*1000/AH494</f>
        <v>4.282994923857868</v>
      </c>
      <c r="AP494" s="102" t="s">
        <v>276</v>
      </c>
      <c r="AQ494" s="102" t="s">
        <v>276</v>
      </c>
      <c r="AR494" s="94" t="s">
        <v>268</v>
      </c>
      <c r="AS494" s="102" t="s">
        <v>276</v>
      </c>
      <c r="AT494" s="101">
        <f t="shared" si="58"/>
        <v>0.97229933987291006</v>
      </c>
      <c r="AU494" s="102" t="s">
        <v>276</v>
      </c>
      <c r="AV494" s="102" t="s">
        <v>276</v>
      </c>
      <c r="AW494" s="94" t="s">
        <v>276</v>
      </c>
      <c r="AX494" s="94" t="s">
        <v>282</v>
      </c>
      <c r="AY494" s="94" t="s">
        <v>276</v>
      </c>
      <c r="AZ494" s="94" t="s">
        <v>276</v>
      </c>
      <c r="BA494" s="94" t="s">
        <v>276</v>
      </c>
      <c r="BB494" s="94" t="s">
        <v>276</v>
      </c>
      <c r="BC494" s="95" t="s">
        <v>4764</v>
      </c>
      <c r="BD494" s="95" t="s">
        <v>4765</v>
      </c>
      <c r="BE494" s="33" t="s">
        <v>100</v>
      </c>
      <c r="BF494" s="33" t="s">
        <v>98</v>
      </c>
    </row>
    <row r="495" spans="1:58" s="103" customFormat="1" ht="117" x14ac:dyDescent="0.3">
      <c r="A495" s="94">
        <v>4467</v>
      </c>
      <c r="B495" s="94" t="s">
        <v>4759</v>
      </c>
      <c r="C495" s="94" t="s">
        <v>4714</v>
      </c>
      <c r="D495" s="95" t="s">
        <v>4766</v>
      </c>
      <c r="E495" s="94" t="s">
        <v>35</v>
      </c>
      <c r="F495" s="95" t="s">
        <v>131</v>
      </c>
      <c r="G495" s="95" t="s">
        <v>132</v>
      </c>
      <c r="H495" s="94" t="s">
        <v>225</v>
      </c>
      <c r="I495" s="94" t="s">
        <v>98</v>
      </c>
      <c r="J495" s="95" t="s">
        <v>24</v>
      </c>
      <c r="K495" s="95" t="s">
        <v>4761</v>
      </c>
      <c r="L495" s="95" t="s">
        <v>276</v>
      </c>
      <c r="M495" s="94" t="s">
        <v>14</v>
      </c>
      <c r="N495" s="96" t="s">
        <v>98</v>
      </c>
      <c r="O495" s="96" t="s">
        <v>208</v>
      </c>
      <c r="P495" s="97">
        <v>35246</v>
      </c>
      <c r="Q495" s="95" t="s">
        <v>98</v>
      </c>
      <c r="R495" s="95" t="s">
        <v>4762</v>
      </c>
      <c r="S495" s="95" t="s">
        <v>4762</v>
      </c>
      <c r="T495" s="163" t="s">
        <v>4717</v>
      </c>
      <c r="U495" s="98">
        <v>25214</v>
      </c>
      <c r="V495" s="99">
        <v>25216</v>
      </c>
      <c r="W495" s="94" t="s">
        <v>276</v>
      </c>
      <c r="X495" s="94" t="s">
        <v>276</v>
      </c>
      <c r="Y495" s="94" t="s">
        <v>276</v>
      </c>
      <c r="Z495" s="95" t="s">
        <v>894</v>
      </c>
      <c r="AA495" s="94" t="s">
        <v>276</v>
      </c>
      <c r="AB495" s="95" t="s">
        <v>894</v>
      </c>
      <c r="AC495" s="95" t="s">
        <v>4746</v>
      </c>
      <c r="AD495" s="95" t="s">
        <v>1487</v>
      </c>
      <c r="AE495" s="94">
        <v>105</v>
      </c>
      <c r="AF495" s="94">
        <v>108</v>
      </c>
      <c r="AG495" s="98">
        <v>282606</v>
      </c>
      <c r="AH495" s="99">
        <v>282575</v>
      </c>
      <c r="AI495" s="99" t="s">
        <v>4702</v>
      </c>
      <c r="AJ495" s="102">
        <v>3.72</v>
      </c>
      <c r="AK495" s="101">
        <f t="shared" ref="AK495:AK500" si="61">AE495*10000/AG495</f>
        <v>3.7154200547759073</v>
      </c>
      <c r="AL495" s="102" t="s">
        <v>276</v>
      </c>
      <c r="AM495" s="102" t="s">
        <v>276</v>
      </c>
      <c r="AN495" s="102">
        <v>3.82</v>
      </c>
      <c r="AO495" s="101">
        <f t="shared" ref="AO495:AO500" si="62">AF495*10000/AH495</f>
        <v>3.8219941608422543</v>
      </c>
      <c r="AP495" s="102" t="s">
        <v>276</v>
      </c>
      <c r="AQ495" s="102" t="s">
        <v>276</v>
      </c>
      <c r="AR495" s="94" t="s">
        <v>269</v>
      </c>
      <c r="AS495" s="102">
        <v>0.97</v>
      </c>
      <c r="AT495" s="101">
        <f t="shared" si="58"/>
        <v>0.97211557590583519</v>
      </c>
      <c r="AU495" s="102">
        <v>0.74</v>
      </c>
      <c r="AV495" s="102">
        <v>1.27</v>
      </c>
      <c r="AW495" s="94" t="s">
        <v>276</v>
      </c>
      <c r="AX495" s="94" t="s">
        <v>282</v>
      </c>
      <c r="AY495" s="94" t="s">
        <v>276</v>
      </c>
      <c r="AZ495" s="94" t="s">
        <v>276</v>
      </c>
      <c r="BA495" s="94" t="s">
        <v>276</v>
      </c>
      <c r="BB495" s="94" t="s">
        <v>276</v>
      </c>
      <c r="BC495" s="95" t="s">
        <v>4767</v>
      </c>
      <c r="BD495" s="95" t="s">
        <v>4765</v>
      </c>
      <c r="BE495" s="33" t="s">
        <v>100</v>
      </c>
      <c r="BF495" s="33" t="s">
        <v>98</v>
      </c>
    </row>
    <row r="496" spans="1:58" s="103" customFormat="1" ht="117" x14ac:dyDescent="0.3">
      <c r="A496" s="94">
        <v>4467</v>
      </c>
      <c r="B496" s="94" t="s">
        <v>4759</v>
      </c>
      <c r="C496" s="94" t="s">
        <v>4714</v>
      </c>
      <c r="D496" s="95" t="s">
        <v>4768</v>
      </c>
      <c r="E496" s="94" t="s">
        <v>35</v>
      </c>
      <c r="F496" s="95" t="s">
        <v>131</v>
      </c>
      <c r="G496" s="95" t="s">
        <v>132</v>
      </c>
      <c r="H496" s="94" t="s">
        <v>225</v>
      </c>
      <c r="I496" s="94" t="s">
        <v>98</v>
      </c>
      <c r="J496" s="95" t="s">
        <v>24</v>
      </c>
      <c r="K496" s="95" t="s">
        <v>4761</v>
      </c>
      <c r="L496" s="95" t="s">
        <v>276</v>
      </c>
      <c r="M496" s="94" t="s">
        <v>14</v>
      </c>
      <c r="N496" s="96" t="s">
        <v>98</v>
      </c>
      <c r="O496" s="96" t="s">
        <v>208</v>
      </c>
      <c r="P496" s="97">
        <v>35246</v>
      </c>
      <c r="Q496" s="95" t="s">
        <v>98</v>
      </c>
      <c r="R496" s="95" t="s">
        <v>4762</v>
      </c>
      <c r="S496" s="95" t="s">
        <v>4762</v>
      </c>
      <c r="T496" s="163" t="s">
        <v>4717</v>
      </c>
      <c r="U496" s="98">
        <v>25214</v>
      </c>
      <c r="V496" s="99">
        <v>25216</v>
      </c>
      <c r="W496" s="94" t="s">
        <v>276</v>
      </c>
      <c r="X496" s="94" t="s">
        <v>276</v>
      </c>
      <c r="Y496" s="94" t="s">
        <v>276</v>
      </c>
      <c r="Z496" s="95" t="s">
        <v>894</v>
      </c>
      <c r="AA496" s="94" t="s">
        <v>276</v>
      </c>
      <c r="AB496" s="95" t="s">
        <v>894</v>
      </c>
      <c r="AC496" s="95" t="s">
        <v>4749</v>
      </c>
      <c r="AD496" s="95" t="s">
        <v>1487</v>
      </c>
      <c r="AE496" s="94">
        <v>64</v>
      </c>
      <c r="AF496" s="94">
        <v>60</v>
      </c>
      <c r="AG496" s="98">
        <v>282606</v>
      </c>
      <c r="AH496" s="99">
        <v>282575</v>
      </c>
      <c r="AI496" s="99" t="s">
        <v>4702</v>
      </c>
      <c r="AJ496" s="102">
        <v>2.2599999999999998</v>
      </c>
      <c r="AK496" s="101">
        <f t="shared" si="61"/>
        <v>2.2646369857681719</v>
      </c>
      <c r="AL496" s="102" t="s">
        <v>276</v>
      </c>
      <c r="AM496" s="102" t="s">
        <v>276</v>
      </c>
      <c r="AN496" s="102">
        <v>2.12</v>
      </c>
      <c r="AO496" s="101">
        <f t="shared" si="62"/>
        <v>2.1233300893568079</v>
      </c>
      <c r="AP496" s="102" t="s">
        <v>276</v>
      </c>
      <c r="AQ496" s="102" t="s">
        <v>276</v>
      </c>
      <c r="AR496" s="94" t="s">
        <v>269</v>
      </c>
      <c r="AS496" s="102">
        <v>1.07</v>
      </c>
      <c r="AT496" s="101">
        <f t="shared" si="58"/>
        <v>1.0665496604224018</v>
      </c>
      <c r="AU496" s="102">
        <v>0.75</v>
      </c>
      <c r="AV496" s="102">
        <v>1.52</v>
      </c>
      <c r="AW496" s="94" t="s">
        <v>276</v>
      </c>
      <c r="AX496" s="94" t="s">
        <v>282</v>
      </c>
      <c r="AY496" s="94" t="s">
        <v>276</v>
      </c>
      <c r="AZ496" s="94" t="s">
        <v>276</v>
      </c>
      <c r="BA496" s="94" t="s">
        <v>276</v>
      </c>
      <c r="BB496" s="94" t="s">
        <v>276</v>
      </c>
      <c r="BC496" s="95" t="s">
        <v>4769</v>
      </c>
      <c r="BD496" s="95" t="s">
        <v>4765</v>
      </c>
      <c r="BE496" s="33" t="s">
        <v>100</v>
      </c>
      <c r="BF496" s="33" t="s">
        <v>98</v>
      </c>
    </row>
    <row r="497" spans="1:58" s="103" customFormat="1" ht="117" x14ac:dyDescent="0.3">
      <c r="A497" s="94">
        <v>4467</v>
      </c>
      <c r="B497" s="94" t="s">
        <v>4759</v>
      </c>
      <c r="C497" s="94" t="s">
        <v>4714</v>
      </c>
      <c r="D497" s="95" t="s">
        <v>4770</v>
      </c>
      <c r="E497" s="94" t="s">
        <v>35</v>
      </c>
      <c r="F497" s="95" t="s">
        <v>131</v>
      </c>
      <c r="G497" s="95" t="s">
        <v>132</v>
      </c>
      <c r="H497" s="94" t="s">
        <v>225</v>
      </c>
      <c r="I497" s="94" t="s">
        <v>98</v>
      </c>
      <c r="J497" s="95" t="s">
        <v>24</v>
      </c>
      <c r="K497" s="95" t="s">
        <v>4761</v>
      </c>
      <c r="L497" s="95" t="s">
        <v>276</v>
      </c>
      <c r="M497" s="94" t="s">
        <v>14</v>
      </c>
      <c r="N497" s="96" t="s">
        <v>98</v>
      </c>
      <c r="O497" s="96" t="s">
        <v>208</v>
      </c>
      <c r="P497" s="97">
        <v>35246</v>
      </c>
      <c r="Q497" s="95" t="s">
        <v>98</v>
      </c>
      <c r="R497" s="95" t="s">
        <v>4762</v>
      </c>
      <c r="S497" s="95" t="s">
        <v>4762</v>
      </c>
      <c r="T497" s="163" t="s">
        <v>4717</v>
      </c>
      <c r="U497" s="98">
        <v>25214</v>
      </c>
      <c r="V497" s="99">
        <v>25216</v>
      </c>
      <c r="W497" s="94" t="s">
        <v>276</v>
      </c>
      <c r="X497" s="94" t="s">
        <v>276</v>
      </c>
      <c r="Y497" s="94" t="s">
        <v>276</v>
      </c>
      <c r="Z497" s="95" t="s">
        <v>894</v>
      </c>
      <c r="AA497" s="94" t="s">
        <v>276</v>
      </c>
      <c r="AB497" s="95" t="s">
        <v>894</v>
      </c>
      <c r="AC497" s="95" t="s">
        <v>4752</v>
      </c>
      <c r="AD497" s="95" t="s">
        <v>1487</v>
      </c>
      <c r="AE497" s="94">
        <v>72</v>
      </c>
      <c r="AF497" s="94">
        <v>71</v>
      </c>
      <c r="AG497" s="98">
        <v>282606</v>
      </c>
      <c r="AH497" s="99">
        <v>282575</v>
      </c>
      <c r="AI497" s="99" t="s">
        <v>4702</v>
      </c>
      <c r="AJ497" s="102">
        <v>2.5499999999999998</v>
      </c>
      <c r="AK497" s="101">
        <f t="shared" si="61"/>
        <v>2.5477166089891936</v>
      </c>
      <c r="AL497" s="102" t="s">
        <v>276</v>
      </c>
      <c r="AM497" s="102" t="s">
        <v>276</v>
      </c>
      <c r="AN497" s="102">
        <v>2.5099999999999998</v>
      </c>
      <c r="AO497" s="101">
        <f t="shared" si="62"/>
        <v>2.5126072724055559</v>
      </c>
      <c r="AP497" s="102" t="s">
        <v>276</v>
      </c>
      <c r="AQ497" s="102" t="s">
        <v>276</v>
      </c>
      <c r="AR497" s="94" t="s">
        <v>269</v>
      </c>
      <c r="AS497" s="102">
        <v>1.01</v>
      </c>
      <c r="AT497" s="101">
        <f t="shared" si="58"/>
        <v>1.0139732687114387</v>
      </c>
      <c r="AU497" s="102">
        <v>0.73</v>
      </c>
      <c r="AV497" s="102">
        <v>1.41</v>
      </c>
      <c r="AW497" s="94" t="s">
        <v>276</v>
      </c>
      <c r="AX497" s="94" t="s">
        <v>282</v>
      </c>
      <c r="AY497" s="94" t="s">
        <v>276</v>
      </c>
      <c r="AZ497" s="94" t="s">
        <v>276</v>
      </c>
      <c r="BA497" s="94" t="s">
        <v>276</v>
      </c>
      <c r="BB497" s="94" t="s">
        <v>276</v>
      </c>
      <c r="BC497" s="95" t="s">
        <v>298</v>
      </c>
      <c r="BD497" s="95" t="s">
        <v>4765</v>
      </c>
      <c r="BE497" s="33" t="s">
        <v>100</v>
      </c>
      <c r="BF497" s="33" t="s">
        <v>98</v>
      </c>
    </row>
    <row r="498" spans="1:58" s="103" customFormat="1" ht="117" x14ac:dyDescent="0.3">
      <c r="A498" s="94">
        <v>4467</v>
      </c>
      <c r="B498" s="94" t="s">
        <v>4759</v>
      </c>
      <c r="C498" s="94" t="s">
        <v>4714</v>
      </c>
      <c r="D498" s="95" t="s">
        <v>4771</v>
      </c>
      <c r="E498" s="94" t="s">
        <v>35</v>
      </c>
      <c r="F498" s="95" t="s">
        <v>131</v>
      </c>
      <c r="G498" s="95" t="s">
        <v>132</v>
      </c>
      <c r="H498" s="94" t="s">
        <v>225</v>
      </c>
      <c r="I498" s="94" t="s">
        <v>98</v>
      </c>
      <c r="J498" s="95" t="s">
        <v>24</v>
      </c>
      <c r="K498" s="95" t="s">
        <v>4761</v>
      </c>
      <c r="L498" s="95" t="s">
        <v>276</v>
      </c>
      <c r="M498" s="94" t="s">
        <v>14</v>
      </c>
      <c r="N498" s="96" t="s">
        <v>98</v>
      </c>
      <c r="O498" s="96" t="s">
        <v>208</v>
      </c>
      <c r="P498" s="97">
        <v>35246</v>
      </c>
      <c r="Q498" s="95" t="s">
        <v>98</v>
      </c>
      <c r="R498" s="95" t="s">
        <v>4762</v>
      </c>
      <c r="S498" s="95" t="s">
        <v>4762</v>
      </c>
      <c r="T498" s="163" t="s">
        <v>4717</v>
      </c>
      <c r="U498" s="98">
        <v>25214</v>
      </c>
      <c r="V498" s="99">
        <v>25216</v>
      </c>
      <c r="W498" s="94" t="s">
        <v>276</v>
      </c>
      <c r="X498" s="94" t="s">
        <v>276</v>
      </c>
      <c r="Y498" s="94" t="s">
        <v>276</v>
      </c>
      <c r="Z498" s="95" t="s">
        <v>894</v>
      </c>
      <c r="AA498" s="94" t="s">
        <v>276</v>
      </c>
      <c r="AB498" s="95" t="s">
        <v>894</v>
      </c>
      <c r="AC498" s="95" t="s">
        <v>4754</v>
      </c>
      <c r="AD498" s="95" t="s">
        <v>1487</v>
      </c>
      <c r="AE498" s="94">
        <v>86</v>
      </c>
      <c r="AF498" s="94">
        <v>82</v>
      </c>
      <c r="AG498" s="98">
        <v>282606</v>
      </c>
      <c r="AH498" s="99">
        <v>282575</v>
      </c>
      <c r="AI498" s="99" t="s">
        <v>4702</v>
      </c>
      <c r="AJ498" s="102">
        <v>3.04</v>
      </c>
      <c r="AK498" s="101">
        <f t="shared" si="61"/>
        <v>3.0431059496259811</v>
      </c>
      <c r="AL498" s="102" t="s">
        <v>276</v>
      </c>
      <c r="AM498" s="102" t="s">
        <v>276</v>
      </c>
      <c r="AN498" s="102">
        <v>2.9</v>
      </c>
      <c r="AO498" s="101">
        <f t="shared" si="62"/>
        <v>2.901884455454304</v>
      </c>
      <c r="AP498" s="102" t="s">
        <v>276</v>
      </c>
      <c r="AQ498" s="102" t="s">
        <v>276</v>
      </c>
      <c r="AR498" s="94" t="s">
        <v>269</v>
      </c>
      <c r="AS498" s="102">
        <v>1.05</v>
      </c>
      <c r="AT498" s="101">
        <f t="shared" si="58"/>
        <v>1.0486654435555631</v>
      </c>
      <c r="AU498" s="102">
        <v>0.78</v>
      </c>
      <c r="AV498" s="102">
        <v>1.42</v>
      </c>
      <c r="AW498" s="94" t="s">
        <v>276</v>
      </c>
      <c r="AX498" s="94" t="s">
        <v>282</v>
      </c>
      <c r="AY498" s="94" t="s">
        <v>276</v>
      </c>
      <c r="AZ498" s="94" t="s">
        <v>276</v>
      </c>
      <c r="BA498" s="94" t="s">
        <v>276</v>
      </c>
      <c r="BB498" s="94" t="s">
        <v>276</v>
      </c>
      <c r="BC498" s="95" t="s">
        <v>298</v>
      </c>
      <c r="BD498" s="95" t="s">
        <v>4765</v>
      </c>
      <c r="BE498" s="33" t="s">
        <v>100</v>
      </c>
      <c r="BF498" s="33" t="s">
        <v>98</v>
      </c>
    </row>
    <row r="499" spans="1:58" s="103" customFormat="1" ht="117" x14ac:dyDescent="0.3">
      <c r="A499" s="94">
        <v>4467</v>
      </c>
      <c r="B499" s="94" t="s">
        <v>4759</v>
      </c>
      <c r="C499" s="94" t="s">
        <v>4714</v>
      </c>
      <c r="D499" s="95" t="s">
        <v>4772</v>
      </c>
      <c r="E499" s="94" t="s">
        <v>35</v>
      </c>
      <c r="F499" s="95" t="s">
        <v>131</v>
      </c>
      <c r="G499" s="95" t="s">
        <v>132</v>
      </c>
      <c r="H499" s="94" t="s">
        <v>225</v>
      </c>
      <c r="I499" s="94" t="s">
        <v>98</v>
      </c>
      <c r="J499" s="95" t="s">
        <v>24</v>
      </c>
      <c r="K499" s="95" t="s">
        <v>4761</v>
      </c>
      <c r="L499" s="95" t="s">
        <v>276</v>
      </c>
      <c r="M499" s="94" t="s">
        <v>14</v>
      </c>
      <c r="N499" s="96" t="s">
        <v>98</v>
      </c>
      <c r="O499" s="96" t="s">
        <v>208</v>
      </c>
      <c r="P499" s="97">
        <v>35246</v>
      </c>
      <c r="Q499" s="95" t="s">
        <v>98</v>
      </c>
      <c r="R499" s="95" t="s">
        <v>4762</v>
      </c>
      <c r="S499" s="95" t="s">
        <v>4762</v>
      </c>
      <c r="T499" s="163" t="s">
        <v>4717</v>
      </c>
      <c r="U499" s="98">
        <v>25214</v>
      </c>
      <c r="V499" s="99">
        <v>25216</v>
      </c>
      <c r="W499" s="94" t="s">
        <v>276</v>
      </c>
      <c r="X499" s="94" t="s">
        <v>276</v>
      </c>
      <c r="Y499" s="94" t="s">
        <v>276</v>
      </c>
      <c r="Z499" s="95" t="s">
        <v>894</v>
      </c>
      <c r="AA499" s="94" t="s">
        <v>276</v>
      </c>
      <c r="AB499" s="95" t="s">
        <v>894</v>
      </c>
      <c r="AC499" s="95" t="s">
        <v>4756</v>
      </c>
      <c r="AD499" s="95" t="s">
        <v>1487</v>
      </c>
      <c r="AE499" s="94">
        <v>93</v>
      </c>
      <c r="AF499" s="94">
        <v>89</v>
      </c>
      <c r="AG499" s="98">
        <v>282606</v>
      </c>
      <c r="AH499" s="99">
        <v>282575</v>
      </c>
      <c r="AI499" s="99" t="s">
        <v>4702</v>
      </c>
      <c r="AJ499" s="102">
        <v>3.29</v>
      </c>
      <c r="AK499" s="101">
        <f t="shared" si="61"/>
        <v>3.2908006199443749</v>
      </c>
      <c r="AL499" s="102" t="s">
        <v>276</v>
      </c>
      <c r="AM499" s="102" t="s">
        <v>276</v>
      </c>
      <c r="AN499" s="102">
        <v>3.15</v>
      </c>
      <c r="AO499" s="101">
        <f t="shared" si="62"/>
        <v>3.1496062992125986</v>
      </c>
      <c r="AP499" s="102" t="s">
        <v>276</v>
      </c>
      <c r="AQ499" s="102" t="s">
        <v>276</v>
      </c>
      <c r="AR499" s="94" t="s">
        <v>269</v>
      </c>
      <c r="AS499" s="102">
        <v>1.05</v>
      </c>
      <c r="AT499" s="101">
        <f t="shared" si="58"/>
        <v>1.0448291968323389</v>
      </c>
      <c r="AU499" s="102">
        <v>0.78</v>
      </c>
      <c r="AV499" s="102">
        <v>1.4</v>
      </c>
      <c r="AW499" s="94" t="s">
        <v>276</v>
      </c>
      <c r="AX499" s="94" t="s">
        <v>282</v>
      </c>
      <c r="AY499" s="94" t="s">
        <v>276</v>
      </c>
      <c r="AZ499" s="94" t="s">
        <v>276</v>
      </c>
      <c r="BA499" s="94" t="s">
        <v>276</v>
      </c>
      <c r="BB499" s="94" t="s">
        <v>276</v>
      </c>
      <c r="BC499" s="95" t="s">
        <v>298</v>
      </c>
      <c r="BD499" s="95" t="s">
        <v>4765</v>
      </c>
      <c r="BE499" s="33" t="s">
        <v>100</v>
      </c>
      <c r="BF499" s="33" t="s">
        <v>98</v>
      </c>
    </row>
    <row r="500" spans="1:58" s="103" customFormat="1" ht="117" x14ac:dyDescent="0.3">
      <c r="A500" s="94">
        <v>4467</v>
      </c>
      <c r="B500" s="94" t="s">
        <v>4759</v>
      </c>
      <c r="C500" s="94" t="s">
        <v>4714</v>
      </c>
      <c r="D500" s="95" t="s">
        <v>4773</v>
      </c>
      <c r="E500" s="94" t="s">
        <v>35</v>
      </c>
      <c r="F500" s="95" t="s">
        <v>131</v>
      </c>
      <c r="G500" s="95" t="s">
        <v>132</v>
      </c>
      <c r="H500" s="94" t="s">
        <v>225</v>
      </c>
      <c r="I500" s="94" t="s">
        <v>98</v>
      </c>
      <c r="J500" s="95" t="s">
        <v>24</v>
      </c>
      <c r="K500" s="95" t="s">
        <v>4761</v>
      </c>
      <c r="L500" s="95" t="s">
        <v>276</v>
      </c>
      <c r="M500" s="94" t="s">
        <v>14</v>
      </c>
      <c r="N500" s="96" t="s">
        <v>98</v>
      </c>
      <c r="O500" s="96" t="s">
        <v>208</v>
      </c>
      <c r="P500" s="97">
        <v>35246</v>
      </c>
      <c r="Q500" s="95" t="s">
        <v>98</v>
      </c>
      <c r="R500" s="95" t="s">
        <v>4762</v>
      </c>
      <c r="S500" s="95" t="s">
        <v>4762</v>
      </c>
      <c r="T500" s="163" t="s">
        <v>4717</v>
      </c>
      <c r="U500" s="98">
        <v>25214</v>
      </c>
      <c r="V500" s="99">
        <v>25216</v>
      </c>
      <c r="W500" s="94" t="s">
        <v>276</v>
      </c>
      <c r="X500" s="94" t="s">
        <v>276</v>
      </c>
      <c r="Y500" s="94" t="s">
        <v>276</v>
      </c>
      <c r="Z500" s="95" t="s">
        <v>894</v>
      </c>
      <c r="AA500" s="94" t="s">
        <v>276</v>
      </c>
      <c r="AB500" s="95" t="s">
        <v>894</v>
      </c>
      <c r="AC500" s="95" t="s">
        <v>4758</v>
      </c>
      <c r="AD500" s="95" t="s">
        <v>1487</v>
      </c>
      <c r="AE500" s="94">
        <v>99</v>
      </c>
      <c r="AF500" s="94">
        <v>97</v>
      </c>
      <c r="AG500" s="98">
        <v>282606</v>
      </c>
      <c r="AH500" s="99">
        <v>282575</v>
      </c>
      <c r="AI500" s="99" t="s">
        <v>4702</v>
      </c>
      <c r="AJ500" s="102">
        <v>3.5</v>
      </c>
      <c r="AK500" s="101">
        <f t="shared" si="61"/>
        <v>3.5031103373601411</v>
      </c>
      <c r="AL500" s="102" t="s">
        <v>276</v>
      </c>
      <c r="AM500" s="102" t="s">
        <v>276</v>
      </c>
      <c r="AN500" s="102">
        <v>3.43</v>
      </c>
      <c r="AO500" s="101">
        <f t="shared" si="62"/>
        <v>3.4327169777935063</v>
      </c>
      <c r="AP500" s="102" t="s">
        <v>276</v>
      </c>
      <c r="AQ500" s="102" t="s">
        <v>276</v>
      </c>
      <c r="AR500" s="94" t="s">
        <v>269</v>
      </c>
      <c r="AS500" s="102">
        <v>1.02</v>
      </c>
      <c r="AT500" s="101">
        <f t="shared" si="58"/>
        <v>1.0205066016283937</v>
      </c>
      <c r="AU500" s="102">
        <v>0.77</v>
      </c>
      <c r="AV500" s="102">
        <v>1.35</v>
      </c>
      <c r="AW500" s="94" t="s">
        <v>276</v>
      </c>
      <c r="AX500" s="94" t="s">
        <v>282</v>
      </c>
      <c r="AY500" s="94" t="s">
        <v>276</v>
      </c>
      <c r="AZ500" s="94" t="s">
        <v>276</v>
      </c>
      <c r="BA500" s="94" t="s">
        <v>276</v>
      </c>
      <c r="BB500" s="94" t="s">
        <v>276</v>
      </c>
      <c r="BC500" s="95" t="s">
        <v>298</v>
      </c>
      <c r="BD500" s="95" t="s">
        <v>4765</v>
      </c>
      <c r="BE500" s="33" t="s">
        <v>100</v>
      </c>
      <c r="BF500" s="33" t="s">
        <v>98</v>
      </c>
    </row>
    <row r="501" spans="1:58" s="103" customFormat="1" ht="117" x14ac:dyDescent="0.3">
      <c r="A501" s="94">
        <v>4467</v>
      </c>
      <c r="B501" s="94" t="s">
        <v>4759</v>
      </c>
      <c r="C501" s="94" t="s">
        <v>4714</v>
      </c>
      <c r="D501" s="95" t="s">
        <v>4726</v>
      </c>
      <c r="E501" s="94" t="s">
        <v>35</v>
      </c>
      <c r="F501" s="95" t="s">
        <v>131</v>
      </c>
      <c r="G501" s="95" t="s">
        <v>132</v>
      </c>
      <c r="H501" s="94" t="s">
        <v>225</v>
      </c>
      <c r="I501" s="94" t="s">
        <v>98</v>
      </c>
      <c r="J501" s="95" t="s">
        <v>24</v>
      </c>
      <c r="K501" s="95" t="s">
        <v>4761</v>
      </c>
      <c r="L501" s="95" t="s">
        <v>276</v>
      </c>
      <c r="M501" s="94" t="s">
        <v>14</v>
      </c>
      <c r="N501" s="96" t="s">
        <v>98</v>
      </c>
      <c r="O501" s="96" t="s">
        <v>208</v>
      </c>
      <c r="P501" s="97">
        <v>34334</v>
      </c>
      <c r="Q501" s="95" t="s">
        <v>98</v>
      </c>
      <c r="R501" s="95" t="s">
        <v>276</v>
      </c>
      <c r="S501" s="95" t="s">
        <v>276</v>
      </c>
      <c r="T501" s="163" t="s">
        <v>4717</v>
      </c>
      <c r="U501" s="98">
        <v>25214</v>
      </c>
      <c r="V501" s="99">
        <v>25216</v>
      </c>
      <c r="W501" s="94" t="s">
        <v>276</v>
      </c>
      <c r="X501" s="94" t="s">
        <v>276</v>
      </c>
      <c r="Y501" s="94" t="s">
        <v>276</v>
      </c>
      <c r="Z501" s="95" t="s">
        <v>894</v>
      </c>
      <c r="AA501" s="94" t="s">
        <v>276</v>
      </c>
      <c r="AB501" s="95" t="s">
        <v>894</v>
      </c>
      <c r="AC501" s="95" t="s">
        <v>4729</v>
      </c>
      <c r="AD501" s="95" t="s">
        <v>2034</v>
      </c>
      <c r="AE501" s="94">
        <v>84</v>
      </c>
      <c r="AF501" s="94">
        <v>75</v>
      </c>
      <c r="AG501" s="98">
        <v>25214</v>
      </c>
      <c r="AH501" s="99">
        <v>25216</v>
      </c>
      <c r="AI501" s="99" t="s">
        <v>281</v>
      </c>
      <c r="AJ501" s="100" t="s">
        <v>276</v>
      </c>
      <c r="AK501" s="101">
        <f>AE501*1000/AG501</f>
        <v>3.3314825097168241</v>
      </c>
      <c r="AL501" s="102" t="s">
        <v>276</v>
      </c>
      <c r="AM501" s="102" t="s">
        <v>276</v>
      </c>
      <c r="AN501" s="100" t="s">
        <v>276</v>
      </c>
      <c r="AO501" s="101">
        <f>AF501*1000/AH501</f>
        <v>2.9743020304568528</v>
      </c>
      <c r="AP501" s="102" t="s">
        <v>276</v>
      </c>
      <c r="AQ501" s="102" t="s">
        <v>276</v>
      </c>
      <c r="AR501" s="94" t="s">
        <v>268</v>
      </c>
      <c r="AS501" s="102">
        <v>1.1200000000000001</v>
      </c>
      <c r="AT501" s="101">
        <f>AK501/AO501</f>
        <v>1.1200888395335924</v>
      </c>
      <c r="AU501" s="102">
        <v>0.82</v>
      </c>
      <c r="AV501" s="102">
        <v>1.53</v>
      </c>
      <c r="AW501" s="94" t="s">
        <v>276</v>
      </c>
      <c r="AX501" s="94" t="s">
        <v>282</v>
      </c>
      <c r="AY501" s="94" t="s">
        <v>276</v>
      </c>
      <c r="AZ501" s="94" t="s">
        <v>276</v>
      </c>
      <c r="BA501" s="94" t="s">
        <v>276</v>
      </c>
      <c r="BB501" s="94" t="s">
        <v>276</v>
      </c>
      <c r="BC501" s="95" t="s">
        <v>4775</v>
      </c>
      <c r="BD501" s="95" t="s">
        <v>4765</v>
      </c>
      <c r="BE501" s="33" t="s">
        <v>100</v>
      </c>
      <c r="BF501" s="33" t="s">
        <v>98</v>
      </c>
    </row>
    <row r="502" spans="1:58" s="208" customFormat="1" ht="78" x14ac:dyDescent="0.3">
      <c r="A502" s="112">
        <v>4467</v>
      </c>
      <c r="B502" s="112" t="s">
        <v>4759</v>
      </c>
      <c r="C502" s="112" t="s">
        <v>4714</v>
      </c>
      <c r="D502" s="113" t="s">
        <v>4733</v>
      </c>
      <c r="E502" s="112" t="s">
        <v>35</v>
      </c>
      <c r="F502" s="113" t="s">
        <v>131</v>
      </c>
      <c r="G502" s="113" t="s">
        <v>132</v>
      </c>
      <c r="H502" s="112" t="s">
        <v>225</v>
      </c>
      <c r="I502" s="112" t="s">
        <v>98</v>
      </c>
      <c r="J502" s="113" t="s">
        <v>23</v>
      </c>
      <c r="K502" s="113" t="s">
        <v>4776</v>
      </c>
      <c r="L502" s="113" t="s">
        <v>276</v>
      </c>
      <c r="M502" s="112" t="s">
        <v>14</v>
      </c>
      <c r="N502" s="117" t="s">
        <v>98</v>
      </c>
      <c r="O502" s="117" t="s">
        <v>208</v>
      </c>
      <c r="P502" s="205" t="s">
        <v>4774</v>
      </c>
      <c r="Q502" s="113" t="s">
        <v>98</v>
      </c>
      <c r="R502" s="113" t="s">
        <v>276</v>
      </c>
      <c r="S502" s="113" t="s">
        <v>276</v>
      </c>
      <c r="T502" s="162" t="s">
        <v>4717</v>
      </c>
      <c r="U502" s="118">
        <v>25214</v>
      </c>
      <c r="V502" s="119">
        <v>25216</v>
      </c>
      <c r="W502" s="112" t="s">
        <v>276</v>
      </c>
      <c r="X502" s="112" t="s">
        <v>276</v>
      </c>
      <c r="Y502" s="112">
        <v>0</v>
      </c>
      <c r="Z502" s="113" t="s">
        <v>98</v>
      </c>
      <c r="AA502" s="112">
        <v>0</v>
      </c>
      <c r="AB502" s="113" t="s">
        <v>98</v>
      </c>
      <c r="AC502" s="113" t="s">
        <v>4734</v>
      </c>
      <c r="AD502" s="113" t="s">
        <v>2034</v>
      </c>
      <c r="AE502" s="112">
        <v>413</v>
      </c>
      <c r="AF502" s="112">
        <v>413</v>
      </c>
      <c r="AG502" s="118">
        <v>25214</v>
      </c>
      <c r="AH502" s="119">
        <v>25216</v>
      </c>
      <c r="AI502" s="119" t="s">
        <v>281</v>
      </c>
      <c r="AJ502" s="164" t="s">
        <v>276</v>
      </c>
      <c r="AK502" s="207">
        <f>AE502*1000/AG502</f>
        <v>16.379789006107718</v>
      </c>
      <c r="AL502" s="121" t="s">
        <v>276</v>
      </c>
      <c r="AM502" s="121" t="s">
        <v>276</v>
      </c>
      <c r="AN502" s="164" t="s">
        <v>276</v>
      </c>
      <c r="AO502" s="207">
        <f>AF502*1000/AH502</f>
        <v>16.378489847715738</v>
      </c>
      <c r="AP502" s="121" t="s">
        <v>276</v>
      </c>
      <c r="AQ502" s="121" t="s">
        <v>276</v>
      </c>
      <c r="AR502" s="112" t="s">
        <v>268</v>
      </c>
      <c r="AS502" s="121" t="s">
        <v>276</v>
      </c>
      <c r="AT502" s="207">
        <f>AK502/AO502</f>
        <v>1.0000793210121359</v>
      </c>
      <c r="AU502" s="121" t="s">
        <v>276</v>
      </c>
      <c r="AV502" s="121" t="s">
        <v>276</v>
      </c>
      <c r="AW502" s="112" t="s">
        <v>276</v>
      </c>
      <c r="AX502" s="112" t="s">
        <v>282</v>
      </c>
      <c r="AY502" s="112" t="s">
        <v>276</v>
      </c>
      <c r="AZ502" s="112" t="s">
        <v>276</v>
      </c>
      <c r="BA502" s="112" t="s">
        <v>276</v>
      </c>
      <c r="BB502" s="112" t="s">
        <v>276</v>
      </c>
      <c r="BC502" s="113" t="s">
        <v>1358</v>
      </c>
      <c r="BD502" s="113"/>
      <c r="BE502" s="33" t="s">
        <v>100</v>
      </c>
      <c r="BF502" s="33" t="s">
        <v>98</v>
      </c>
    </row>
    <row r="503" spans="1:58" s="149" customFormat="1" ht="104" x14ac:dyDescent="0.3">
      <c r="A503" s="126">
        <v>4465</v>
      </c>
      <c r="B503" s="126" t="s">
        <v>4777</v>
      </c>
      <c r="C503" s="127" t="s">
        <v>4778</v>
      </c>
      <c r="D503" s="127" t="s">
        <v>4779</v>
      </c>
      <c r="E503" s="126" t="s">
        <v>35</v>
      </c>
      <c r="F503" s="127" t="s">
        <v>131</v>
      </c>
      <c r="G503" s="127" t="s">
        <v>130</v>
      </c>
      <c r="H503" s="126" t="s">
        <v>225</v>
      </c>
      <c r="I503" s="126" t="s">
        <v>98</v>
      </c>
      <c r="J503" s="127" t="s">
        <v>24</v>
      </c>
      <c r="K503" s="127" t="s">
        <v>4780</v>
      </c>
      <c r="L503" s="127" t="s">
        <v>276</v>
      </c>
      <c r="M503" s="126" t="s">
        <v>14</v>
      </c>
      <c r="N503" s="127" t="s">
        <v>4781</v>
      </c>
      <c r="O503" s="127" t="s">
        <v>208</v>
      </c>
      <c r="P503" s="197">
        <v>38717</v>
      </c>
      <c r="Q503" s="127" t="s">
        <v>4782</v>
      </c>
      <c r="R503" s="127" t="s">
        <v>4783</v>
      </c>
      <c r="S503" s="127" t="s">
        <v>4783</v>
      </c>
      <c r="T503" s="127" t="s">
        <v>4784</v>
      </c>
      <c r="U503" s="132">
        <v>44925</v>
      </c>
      <c r="V503" s="127">
        <v>44910</v>
      </c>
      <c r="W503" s="126" t="s">
        <v>276</v>
      </c>
      <c r="X503" s="126" t="s">
        <v>276</v>
      </c>
      <c r="Y503" s="126">
        <v>22</v>
      </c>
      <c r="Z503" s="127" t="s">
        <v>4785</v>
      </c>
      <c r="AA503" s="126">
        <v>13</v>
      </c>
      <c r="AB503" s="127" t="s">
        <v>4785</v>
      </c>
      <c r="AC503" s="127" t="s">
        <v>4786</v>
      </c>
      <c r="AD503" s="127" t="s">
        <v>2034</v>
      </c>
      <c r="AE503" s="126">
        <v>180</v>
      </c>
      <c r="AF503" s="126">
        <v>171</v>
      </c>
      <c r="AG503" s="132">
        <v>44925</v>
      </c>
      <c r="AH503" s="127">
        <v>44910</v>
      </c>
      <c r="AI503" s="134" t="s">
        <v>4787</v>
      </c>
      <c r="AJ503" s="147">
        <v>40.1</v>
      </c>
      <c r="AK503" s="148">
        <f>AE503*10000/AG503</f>
        <v>40.066777963272123</v>
      </c>
      <c r="AL503" s="135" t="s">
        <v>276</v>
      </c>
      <c r="AM503" s="135" t="s">
        <v>276</v>
      </c>
      <c r="AN503" s="147">
        <v>38.1</v>
      </c>
      <c r="AO503" s="148">
        <f>AF503*10000/AH503</f>
        <v>38.076152304609217</v>
      </c>
      <c r="AP503" s="135" t="s">
        <v>276</v>
      </c>
      <c r="AQ503" s="135" t="s">
        <v>276</v>
      </c>
      <c r="AR503" s="126" t="s">
        <v>270</v>
      </c>
      <c r="AS503" s="135">
        <v>1.05</v>
      </c>
      <c r="AT503" s="148" t="s">
        <v>98</v>
      </c>
      <c r="AU503" s="135">
        <v>0.85</v>
      </c>
      <c r="AV503" s="135">
        <v>1.3</v>
      </c>
      <c r="AW503" s="126">
        <v>0.63</v>
      </c>
      <c r="AX503" s="126" t="s">
        <v>282</v>
      </c>
      <c r="AY503" s="126" t="s">
        <v>276</v>
      </c>
      <c r="AZ503" s="126" t="s">
        <v>276</v>
      </c>
      <c r="BA503" s="126" t="s">
        <v>276</v>
      </c>
      <c r="BB503" s="126" t="s">
        <v>276</v>
      </c>
      <c r="BC503" s="127" t="s">
        <v>4788</v>
      </c>
      <c r="BD503" s="127" t="s">
        <v>4789</v>
      </c>
      <c r="BE503" s="33" t="s">
        <v>100</v>
      </c>
      <c r="BF503" s="33" t="s">
        <v>98</v>
      </c>
    </row>
    <row r="504" spans="1:58" s="149" customFormat="1" ht="104" x14ac:dyDescent="0.3">
      <c r="A504" s="126">
        <v>4465</v>
      </c>
      <c r="B504" s="126" t="s">
        <v>4777</v>
      </c>
      <c r="C504" s="127" t="s">
        <v>4778</v>
      </c>
      <c r="D504" s="127" t="s">
        <v>4790</v>
      </c>
      <c r="E504" s="126" t="s">
        <v>35</v>
      </c>
      <c r="F504" s="127" t="s">
        <v>131</v>
      </c>
      <c r="G504" s="127" t="s">
        <v>130</v>
      </c>
      <c r="H504" s="126" t="s">
        <v>225</v>
      </c>
      <c r="I504" s="126" t="s">
        <v>98</v>
      </c>
      <c r="J504" s="127" t="s">
        <v>24</v>
      </c>
      <c r="K504" s="127" t="s">
        <v>4780</v>
      </c>
      <c r="L504" s="127" t="s">
        <v>276</v>
      </c>
      <c r="M504" s="126" t="s">
        <v>14</v>
      </c>
      <c r="N504" s="127" t="s">
        <v>4781</v>
      </c>
      <c r="O504" s="127" t="s">
        <v>208</v>
      </c>
      <c r="P504" s="197">
        <v>38717</v>
      </c>
      <c r="Q504" s="127" t="s">
        <v>4782</v>
      </c>
      <c r="R504" s="127" t="s">
        <v>4783</v>
      </c>
      <c r="S504" s="127" t="s">
        <v>4783</v>
      </c>
      <c r="T504" s="127" t="s">
        <v>4784</v>
      </c>
      <c r="U504" s="132">
        <v>44925</v>
      </c>
      <c r="V504" s="127">
        <v>44910</v>
      </c>
      <c r="W504" s="126" t="s">
        <v>276</v>
      </c>
      <c r="X504" s="126" t="s">
        <v>276</v>
      </c>
      <c r="Y504" s="126">
        <v>22</v>
      </c>
      <c r="Z504" s="127" t="s">
        <v>4785</v>
      </c>
      <c r="AA504" s="126">
        <v>13</v>
      </c>
      <c r="AB504" s="127" t="s">
        <v>4785</v>
      </c>
      <c r="AC504" s="127" t="s">
        <v>4791</v>
      </c>
      <c r="AD504" s="127" t="s">
        <v>2034</v>
      </c>
      <c r="AE504" s="126" t="s">
        <v>276</v>
      </c>
      <c r="AF504" s="126" t="s">
        <v>276</v>
      </c>
      <c r="AG504" s="132">
        <v>44925</v>
      </c>
      <c r="AH504" s="127">
        <v>44910</v>
      </c>
      <c r="AI504" s="134" t="s">
        <v>4787</v>
      </c>
      <c r="AJ504" s="147" t="s">
        <v>276</v>
      </c>
      <c r="AK504" s="148" t="s">
        <v>98</v>
      </c>
      <c r="AL504" s="135" t="s">
        <v>276</v>
      </c>
      <c r="AM504" s="135" t="s">
        <v>276</v>
      </c>
      <c r="AN504" s="147" t="s">
        <v>276</v>
      </c>
      <c r="AO504" s="148" t="s">
        <v>98</v>
      </c>
      <c r="AP504" s="135" t="s">
        <v>276</v>
      </c>
      <c r="AQ504" s="135" t="s">
        <v>276</v>
      </c>
      <c r="AR504" s="126" t="s">
        <v>270</v>
      </c>
      <c r="AS504" s="135">
        <v>1.06</v>
      </c>
      <c r="AT504" s="148" t="s">
        <v>98</v>
      </c>
      <c r="AU504" s="135">
        <v>0.87</v>
      </c>
      <c r="AV504" s="135">
        <v>1.29</v>
      </c>
      <c r="AW504" s="126">
        <v>0.55000000000000004</v>
      </c>
      <c r="AX504" s="126" t="s">
        <v>282</v>
      </c>
      <c r="AY504" s="126" t="s">
        <v>276</v>
      </c>
      <c r="AZ504" s="126" t="s">
        <v>276</v>
      </c>
      <c r="BA504" s="126" t="s">
        <v>276</v>
      </c>
      <c r="BB504" s="126" t="s">
        <v>276</v>
      </c>
      <c r="BC504" s="127" t="s">
        <v>4792</v>
      </c>
      <c r="BD504" s="127" t="s">
        <v>4789</v>
      </c>
      <c r="BE504" s="33" t="s">
        <v>100</v>
      </c>
      <c r="BF504" s="33" t="s">
        <v>98</v>
      </c>
    </row>
    <row r="505" spans="1:58" s="149" customFormat="1" ht="104" x14ac:dyDescent="0.3">
      <c r="A505" s="126">
        <v>4465</v>
      </c>
      <c r="B505" s="126" t="s">
        <v>4777</v>
      </c>
      <c r="C505" s="127" t="s">
        <v>4778</v>
      </c>
      <c r="D505" s="127" t="s">
        <v>4793</v>
      </c>
      <c r="E505" s="126" t="s">
        <v>35</v>
      </c>
      <c r="F505" s="127" t="s">
        <v>131</v>
      </c>
      <c r="G505" s="127" t="s">
        <v>130</v>
      </c>
      <c r="H505" s="126" t="s">
        <v>225</v>
      </c>
      <c r="I505" s="126" t="s">
        <v>98</v>
      </c>
      <c r="J505" s="127" t="s">
        <v>24</v>
      </c>
      <c r="K505" s="127" t="s">
        <v>4780</v>
      </c>
      <c r="L505" s="127" t="s">
        <v>276</v>
      </c>
      <c r="M505" s="126" t="s">
        <v>14</v>
      </c>
      <c r="N505" s="127" t="s">
        <v>4781</v>
      </c>
      <c r="O505" s="127" t="s">
        <v>208</v>
      </c>
      <c r="P505" s="197">
        <v>38717</v>
      </c>
      <c r="Q505" s="127" t="s">
        <v>4782</v>
      </c>
      <c r="R505" s="127" t="s">
        <v>4783</v>
      </c>
      <c r="S505" s="127" t="s">
        <v>4783</v>
      </c>
      <c r="T505" s="127" t="s">
        <v>4784</v>
      </c>
      <c r="U505" s="132">
        <v>44925</v>
      </c>
      <c r="V505" s="127">
        <v>44910</v>
      </c>
      <c r="W505" s="126" t="s">
        <v>276</v>
      </c>
      <c r="X505" s="126" t="s">
        <v>276</v>
      </c>
      <c r="Y505" s="126">
        <v>22</v>
      </c>
      <c r="Z505" s="127" t="s">
        <v>4785</v>
      </c>
      <c r="AA505" s="126">
        <v>13</v>
      </c>
      <c r="AB505" s="127" t="s">
        <v>4785</v>
      </c>
      <c r="AC505" s="127" t="s">
        <v>4794</v>
      </c>
      <c r="AD505" s="127" t="s">
        <v>2034</v>
      </c>
      <c r="AE505" s="126" t="s">
        <v>276</v>
      </c>
      <c r="AF505" s="126" t="s">
        <v>276</v>
      </c>
      <c r="AG505" s="132">
        <v>44925</v>
      </c>
      <c r="AH505" s="127">
        <v>44910</v>
      </c>
      <c r="AI505" s="134" t="s">
        <v>4787</v>
      </c>
      <c r="AJ505" s="147" t="s">
        <v>276</v>
      </c>
      <c r="AK505" s="148" t="s">
        <v>98</v>
      </c>
      <c r="AL505" s="135" t="s">
        <v>276</v>
      </c>
      <c r="AM505" s="135" t="s">
        <v>276</v>
      </c>
      <c r="AN505" s="147" t="s">
        <v>276</v>
      </c>
      <c r="AO505" s="148" t="s">
        <v>98</v>
      </c>
      <c r="AP505" s="135" t="s">
        <v>276</v>
      </c>
      <c r="AQ505" s="135" t="s">
        <v>276</v>
      </c>
      <c r="AR505" s="126" t="s">
        <v>270</v>
      </c>
      <c r="AS505" s="135">
        <v>1.07</v>
      </c>
      <c r="AT505" s="148" t="s">
        <v>98</v>
      </c>
      <c r="AU505" s="135">
        <v>0.89</v>
      </c>
      <c r="AV505" s="135">
        <v>1.29</v>
      </c>
      <c r="AW505" s="126">
        <v>0.46</v>
      </c>
      <c r="AX505" s="126" t="s">
        <v>282</v>
      </c>
      <c r="AY505" s="126" t="s">
        <v>276</v>
      </c>
      <c r="AZ505" s="126" t="s">
        <v>276</v>
      </c>
      <c r="BA505" s="126" t="s">
        <v>276</v>
      </c>
      <c r="BB505" s="126" t="s">
        <v>276</v>
      </c>
      <c r="BC505" s="127" t="s">
        <v>4792</v>
      </c>
      <c r="BD505" s="127" t="s">
        <v>4789</v>
      </c>
      <c r="BE505" s="33" t="s">
        <v>100</v>
      </c>
      <c r="BF505" s="33" t="s">
        <v>98</v>
      </c>
    </row>
    <row r="506" spans="1:58" s="160" customFormat="1" ht="104" x14ac:dyDescent="0.3">
      <c r="A506" s="150">
        <v>4465</v>
      </c>
      <c r="B506" s="150" t="s">
        <v>4777</v>
      </c>
      <c r="C506" s="151" t="s">
        <v>4714</v>
      </c>
      <c r="D506" s="151" t="s">
        <v>4795</v>
      </c>
      <c r="E506" s="150" t="s">
        <v>35</v>
      </c>
      <c r="F506" s="151" t="s">
        <v>131</v>
      </c>
      <c r="G506" s="151" t="s">
        <v>132</v>
      </c>
      <c r="H506" s="150" t="s">
        <v>225</v>
      </c>
      <c r="I506" s="150" t="s">
        <v>98</v>
      </c>
      <c r="J506" s="151" t="s">
        <v>24</v>
      </c>
      <c r="K506" s="151" t="s">
        <v>4780</v>
      </c>
      <c r="L506" s="151" t="s">
        <v>276</v>
      </c>
      <c r="M506" s="150" t="s">
        <v>14</v>
      </c>
      <c r="N506" s="151" t="s">
        <v>98</v>
      </c>
      <c r="O506" s="151" t="s">
        <v>208</v>
      </c>
      <c r="P506" s="342">
        <v>38717</v>
      </c>
      <c r="Q506" s="151" t="s">
        <v>4782</v>
      </c>
      <c r="R506" s="151" t="s">
        <v>276</v>
      </c>
      <c r="S506" s="151" t="s">
        <v>276</v>
      </c>
      <c r="T506" s="151" t="s">
        <v>4796</v>
      </c>
      <c r="U506" s="155">
        <v>25214</v>
      </c>
      <c r="V506" s="151">
        <v>25216</v>
      </c>
      <c r="W506" s="150" t="s">
        <v>276</v>
      </c>
      <c r="X506" s="150" t="s">
        <v>276</v>
      </c>
      <c r="Y506" s="150" t="s">
        <v>276</v>
      </c>
      <c r="Z506" s="151" t="s">
        <v>4785</v>
      </c>
      <c r="AA506" s="150" t="s">
        <v>276</v>
      </c>
      <c r="AB506" s="151" t="s">
        <v>4785</v>
      </c>
      <c r="AC506" s="151" t="s">
        <v>4786</v>
      </c>
      <c r="AD506" s="151" t="s">
        <v>2034</v>
      </c>
      <c r="AE506" s="150" t="s">
        <v>276</v>
      </c>
      <c r="AF506" s="150" t="s">
        <v>276</v>
      </c>
      <c r="AG506" s="155">
        <v>25214</v>
      </c>
      <c r="AH506" s="151">
        <v>25216</v>
      </c>
      <c r="AI506" s="156" t="s">
        <v>4787</v>
      </c>
      <c r="AJ506" s="157" t="s">
        <v>276</v>
      </c>
      <c r="AK506" s="158" t="s">
        <v>98</v>
      </c>
      <c r="AL506" s="159" t="s">
        <v>276</v>
      </c>
      <c r="AM506" s="159" t="s">
        <v>276</v>
      </c>
      <c r="AN506" s="157" t="s">
        <v>276</v>
      </c>
      <c r="AO506" s="158" t="s">
        <v>98</v>
      </c>
      <c r="AP506" s="159" t="s">
        <v>276</v>
      </c>
      <c r="AQ506" s="159" t="s">
        <v>276</v>
      </c>
      <c r="AR506" s="150" t="s">
        <v>270</v>
      </c>
      <c r="AS506" s="159">
        <v>1.0900000000000001</v>
      </c>
      <c r="AT506" s="158" t="s">
        <v>98</v>
      </c>
      <c r="AU506" s="159">
        <v>0.8</v>
      </c>
      <c r="AV506" s="159">
        <v>1.49</v>
      </c>
      <c r="AW506" s="150">
        <v>0.57999999999999996</v>
      </c>
      <c r="AX506" s="150" t="s">
        <v>282</v>
      </c>
      <c r="AY506" s="150" t="s">
        <v>276</v>
      </c>
      <c r="AZ506" s="150" t="s">
        <v>276</v>
      </c>
      <c r="BA506" s="150" t="s">
        <v>276</v>
      </c>
      <c r="BB506" s="150" t="s">
        <v>276</v>
      </c>
      <c r="BC506" s="151" t="s">
        <v>4797</v>
      </c>
      <c r="BD506" s="151" t="s">
        <v>4789</v>
      </c>
      <c r="BE506" s="33" t="s">
        <v>100</v>
      </c>
      <c r="BF506" s="33" t="s">
        <v>98</v>
      </c>
    </row>
    <row r="507" spans="1:58" s="160" customFormat="1" ht="104" x14ac:dyDescent="0.3">
      <c r="A507" s="150">
        <v>4465</v>
      </c>
      <c r="B507" s="150" t="s">
        <v>4777</v>
      </c>
      <c r="C507" s="151" t="s">
        <v>4698</v>
      </c>
      <c r="D507" s="151" t="s">
        <v>4798</v>
      </c>
      <c r="E507" s="150" t="s">
        <v>35</v>
      </c>
      <c r="F507" s="151" t="s">
        <v>131</v>
      </c>
      <c r="G507" s="151" t="s">
        <v>130</v>
      </c>
      <c r="H507" s="150" t="s">
        <v>225</v>
      </c>
      <c r="I507" s="150" t="s">
        <v>98</v>
      </c>
      <c r="J507" s="151" t="s">
        <v>24</v>
      </c>
      <c r="K507" s="151" t="s">
        <v>4780</v>
      </c>
      <c r="L507" s="151" t="s">
        <v>276</v>
      </c>
      <c r="M507" s="150" t="s">
        <v>14</v>
      </c>
      <c r="N507" s="151" t="s">
        <v>98</v>
      </c>
      <c r="O507" s="151" t="s">
        <v>208</v>
      </c>
      <c r="P507" s="342">
        <v>38717</v>
      </c>
      <c r="Q507" s="151" t="s">
        <v>4782</v>
      </c>
      <c r="R507" s="151" t="s">
        <v>276</v>
      </c>
      <c r="S507" s="151" t="s">
        <v>276</v>
      </c>
      <c r="T507" s="168" t="s">
        <v>4284</v>
      </c>
      <c r="U507" s="155">
        <v>19711</v>
      </c>
      <c r="V507" s="151">
        <v>19694</v>
      </c>
      <c r="W507" s="150" t="s">
        <v>276</v>
      </c>
      <c r="X507" s="150" t="s">
        <v>276</v>
      </c>
      <c r="Y507" s="150" t="s">
        <v>276</v>
      </c>
      <c r="Z507" s="151" t="s">
        <v>4785</v>
      </c>
      <c r="AA507" s="150" t="s">
        <v>276</v>
      </c>
      <c r="AB507" s="151" t="s">
        <v>4785</v>
      </c>
      <c r="AC507" s="151" t="s">
        <v>4786</v>
      </c>
      <c r="AD507" s="151" t="s">
        <v>2034</v>
      </c>
      <c r="AE507" s="150" t="s">
        <v>276</v>
      </c>
      <c r="AF507" s="150" t="s">
        <v>276</v>
      </c>
      <c r="AG507" s="155">
        <v>19711</v>
      </c>
      <c r="AH507" s="151">
        <v>19694</v>
      </c>
      <c r="AI507" s="156" t="s">
        <v>4787</v>
      </c>
      <c r="AJ507" s="157" t="s">
        <v>276</v>
      </c>
      <c r="AK507" s="158" t="s">
        <v>98</v>
      </c>
      <c r="AL507" s="159" t="s">
        <v>276</v>
      </c>
      <c r="AM507" s="159" t="s">
        <v>276</v>
      </c>
      <c r="AN507" s="157" t="s">
        <v>276</v>
      </c>
      <c r="AO507" s="158" t="s">
        <v>98</v>
      </c>
      <c r="AP507" s="159" t="s">
        <v>276</v>
      </c>
      <c r="AQ507" s="159" t="s">
        <v>276</v>
      </c>
      <c r="AR507" s="150" t="s">
        <v>270</v>
      </c>
      <c r="AS507" s="159">
        <v>1.02</v>
      </c>
      <c r="AT507" s="158" t="s">
        <v>98</v>
      </c>
      <c r="AU507" s="159">
        <v>0.77</v>
      </c>
      <c r="AV507" s="159">
        <v>1.36</v>
      </c>
      <c r="AW507" s="150">
        <v>0.88</v>
      </c>
      <c r="AX507" s="150" t="s">
        <v>282</v>
      </c>
      <c r="AY507" s="150" t="s">
        <v>276</v>
      </c>
      <c r="AZ507" s="150" t="s">
        <v>276</v>
      </c>
      <c r="BA507" s="150" t="s">
        <v>276</v>
      </c>
      <c r="BB507" s="150" t="s">
        <v>276</v>
      </c>
      <c r="BC507" s="151" t="s">
        <v>4799</v>
      </c>
      <c r="BD507" s="151" t="s">
        <v>4789</v>
      </c>
      <c r="BE507" s="33" t="s">
        <v>100</v>
      </c>
      <c r="BF507" s="33" t="s">
        <v>98</v>
      </c>
    </row>
    <row r="508" spans="1:58" s="149" customFormat="1" ht="104" x14ac:dyDescent="0.3">
      <c r="A508" s="126">
        <v>4465</v>
      </c>
      <c r="B508" s="126" t="s">
        <v>4777</v>
      </c>
      <c r="C508" s="127" t="s">
        <v>4778</v>
      </c>
      <c r="D508" s="127" t="s">
        <v>4800</v>
      </c>
      <c r="E508" s="126" t="s">
        <v>35</v>
      </c>
      <c r="F508" s="127" t="s">
        <v>131</v>
      </c>
      <c r="G508" s="127" t="s">
        <v>130</v>
      </c>
      <c r="H508" s="126" t="s">
        <v>225</v>
      </c>
      <c r="I508" s="126" t="s">
        <v>98</v>
      </c>
      <c r="J508" s="127" t="s">
        <v>24</v>
      </c>
      <c r="K508" s="127" t="s">
        <v>4780</v>
      </c>
      <c r="L508" s="127" t="s">
        <v>276</v>
      </c>
      <c r="M508" s="126" t="s">
        <v>14</v>
      </c>
      <c r="N508" s="127" t="s">
        <v>4781</v>
      </c>
      <c r="O508" s="127" t="s">
        <v>208</v>
      </c>
      <c r="P508" s="197">
        <v>38717</v>
      </c>
      <c r="Q508" s="127" t="s">
        <v>4782</v>
      </c>
      <c r="R508" s="127" t="s">
        <v>4783</v>
      </c>
      <c r="S508" s="127" t="s">
        <v>4783</v>
      </c>
      <c r="T508" s="127" t="s">
        <v>4784</v>
      </c>
      <c r="U508" s="132">
        <v>44925</v>
      </c>
      <c r="V508" s="127">
        <v>44910</v>
      </c>
      <c r="W508" s="126" t="s">
        <v>276</v>
      </c>
      <c r="X508" s="126" t="s">
        <v>276</v>
      </c>
      <c r="Y508" s="126" t="s">
        <v>276</v>
      </c>
      <c r="Z508" s="127" t="s">
        <v>1562</v>
      </c>
      <c r="AA508" s="126" t="s">
        <v>276</v>
      </c>
      <c r="AB508" s="127" t="s">
        <v>1562</v>
      </c>
      <c r="AC508" s="127" t="s">
        <v>4801</v>
      </c>
      <c r="AD508" s="127" t="s">
        <v>2034</v>
      </c>
      <c r="AE508" s="126">
        <v>500</v>
      </c>
      <c r="AF508" s="126">
        <v>505</v>
      </c>
      <c r="AG508" s="132">
        <v>44925</v>
      </c>
      <c r="AH508" s="127">
        <v>44910</v>
      </c>
      <c r="AI508" s="134" t="s">
        <v>4787</v>
      </c>
      <c r="AJ508" s="147">
        <v>108.4</v>
      </c>
      <c r="AK508" s="148">
        <f>AE508*10000/AG508</f>
        <v>111.29660545353367</v>
      </c>
      <c r="AL508" s="135" t="s">
        <v>276</v>
      </c>
      <c r="AM508" s="135" t="s">
        <v>276</v>
      </c>
      <c r="AN508" s="147">
        <v>110.2</v>
      </c>
      <c r="AO508" s="148">
        <f>AF508*10000/AH508</f>
        <v>112.44711645513249</v>
      </c>
      <c r="AP508" s="135" t="s">
        <v>276</v>
      </c>
      <c r="AQ508" s="135" t="s">
        <v>276</v>
      </c>
      <c r="AR508" s="126" t="s">
        <v>270</v>
      </c>
      <c r="AS508" s="135">
        <v>0.99</v>
      </c>
      <c r="AT508" s="148" t="s">
        <v>98</v>
      </c>
      <c r="AU508" s="135">
        <v>0.88</v>
      </c>
      <c r="AV508" s="135">
        <v>1.1200000000000001</v>
      </c>
      <c r="AW508" s="126">
        <v>0.87</v>
      </c>
      <c r="AX508" s="126" t="s">
        <v>282</v>
      </c>
      <c r="AY508" s="126" t="s">
        <v>276</v>
      </c>
      <c r="AZ508" s="126" t="s">
        <v>276</v>
      </c>
      <c r="BA508" s="126" t="s">
        <v>276</v>
      </c>
      <c r="BB508" s="126" t="s">
        <v>276</v>
      </c>
      <c r="BC508" s="127" t="s">
        <v>4802</v>
      </c>
      <c r="BD508" s="127" t="s">
        <v>4789</v>
      </c>
      <c r="BE508" s="33" t="s">
        <v>100</v>
      </c>
      <c r="BF508" s="33" t="s">
        <v>98</v>
      </c>
    </row>
    <row r="509" spans="1:58" s="160" customFormat="1" ht="104" x14ac:dyDescent="0.3">
      <c r="A509" s="150">
        <v>4465</v>
      </c>
      <c r="B509" s="150" t="s">
        <v>4777</v>
      </c>
      <c r="C509" s="151" t="s">
        <v>4778</v>
      </c>
      <c r="D509" s="151" t="s">
        <v>4803</v>
      </c>
      <c r="E509" s="150" t="s">
        <v>35</v>
      </c>
      <c r="F509" s="151" t="s">
        <v>131</v>
      </c>
      <c r="G509" s="151" t="s">
        <v>130</v>
      </c>
      <c r="H509" s="150" t="s">
        <v>225</v>
      </c>
      <c r="I509" s="150" t="s">
        <v>98</v>
      </c>
      <c r="J509" s="151" t="s">
        <v>23</v>
      </c>
      <c r="K509" s="151" t="s">
        <v>4780</v>
      </c>
      <c r="L509" s="151" t="s">
        <v>276</v>
      </c>
      <c r="M509" s="150" t="s">
        <v>14</v>
      </c>
      <c r="N509" s="151" t="s">
        <v>4781</v>
      </c>
      <c r="O509" s="151" t="s">
        <v>208</v>
      </c>
      <c r="P509" s="342">
        <v>38717</v>
      </c>
      <c r="Q509" s="151" t="s">
        <v>4782</v>
      </c>
      <c r="R509" s="151" t="s">
        <v>4783</v>
      </c>
      <c r="S509" s="151" t="s">
        <v>4783</v>
      </c>
      <c r="T509" s="151" t="s">
        <v>4784</v>
      </c>
      <c r="U509" s="155">
        <v>44925</v>
      </c>
      <c r="V509" s="151">
        <v>44910</v>
      </c>
      <c r="W509" s="150" t="s">
        <v>276</v>
      </c>
      <c r="X509" s="150" t="s">
        <v>276</v>
      </c>
      <c r="Y509" s="150">
        <v>0</v>
      </c>
      <c r="Z509" s="151" t="s">
        <v>98</v>
      </c>
      <c r="AA509" s="150">
        <v>0</v>
      </c>
      <c r="AB509" s="151" t="s">
        <v>98</v>
      </c>
      <c r="AC509" s="151" t="s">
        <v>4804</v>
      </c>
      <c r="AD509" s="151" t="s">
        <v>2034</v>
      </c>
      <c r="AE509" s="150">
        <v>4789</v>
      </c>
      <c r="AF509" s="150">
        <v>4688</v>
      </c>
      <c r="AG509" s="155">
        <v>44925</v>
      </c>
      <c r="AH509" s="151">
        <v>44910</v>
      </c>
      <c r="AI509" s="156" t="s">
        <v>4787</v>
      </c>
      <c r="AJ509" s="159" t="s">
        <v>276</v>
      </c>
      <c r="AK509" s="158">
        <f>AE509*10000/AG509</f>
        <v>1065.9988870339455</v>
      </c>
      <c r="AL509" s="159" t="s">
        <v>276</v>
      </c>
      <c r="AM509" s="159" t="s">
        <v>276</v>
      </c>
      <c r="AN509" s="159" t="s">
        <v>276</v>
      </c>
      <c r="AO509" s="158">
        <f>AF509*10000/AH509</f>
        <v>1043.8655087953684</v>
      </c>
      <c r="AP509" s="159" t="s">
        <v>276</v>
      </c>
      <c r="AQ509" s="159" t="s">
        <v>276</v>
      </c>
      <c r="AR509" s="150" t="s">
        <v>270</v>
      </c>
      <c r="AS509" s="159">
        <v>1.02</v>
      </c>
      <c r="AT509" s="158" t="s">
        <v>98</v>
      </c>
      <c r="AU509" s="159">
        <v>0.98</v>
      </c>
      <c r="AV509" s="159">
        <v>1.06</v>
      </c>
      <c r="AW509" s="150">
        <v>0.28000000000000003</v>
      </c>
      <c r="AX509" s="150" t="s">
        <v>282</v>
      </c>
      <c r="AY509" s="150" t="s">
        <v>276</v>
      </c>
      <c r="AZ509" s="150" t="s">
        <v>276</v>
      </c>
      <c r="BA509" s="150" t="s">
        <v>276</v>
      </c>
      <c r="BB509" s="150" t="s">
        <v>276</v>
      </c>
      <c r="BC509" s="151" t="s">
        <v>4805</v>
      </c>
      <c r="BD509" s="151" t="s">
        <v>4789</v>
      </c>
      <c r="BE509" s="33" t="s">
        <v>100</v>
      </c>
      <c r="BF509" s="33" t="s">
        <v>98</v>
      </c>
    </row>
    <row r="510" spans="1:58" s="202" customFormat="1" ht="130" x14ac:dyDescent="0.3">
      <c r="A510" s="175">
        <v>5554</v>
      </c>
      <c r="B510" s="175" t="s">
        <v>4806</v>
      </c>
      <c r="C510" s="176" t="s">
        <v>4714</v>
      </c>
      <c r="D510" s="176" t="s">
        <v>4807</v>
      </c>
      <c r="E510" s="175" t="s">
        <v>35</v>
      </c>
      <c r="F510" s="176" t="s">
        <v>131</v>
      </c>
      <c r="G510" s="176" t="s">
        <v>132</v>
      </c>
      <c r="H510" s="175" t="s">
        <v>225</v>
      </c>
      <c r="I510" s="175" t="s">
        <v>98</v>
      </c>
      <c r="J510" s="176" t="s">
        <v>24</v>
      </c>
      <c r="K510" s="176" t="s">
        <v>4808</v>
      </c>
      <c r="L510" s="176" t="s">
        <v>4809</v>
      </c>
      <c r="M510" s="175" t="s">
        <v>14</v>
      </c>
      <c r="N510" s="176" t="s">
        <v>98</v>
      </c>
      <c r="O510" s="176" t="s">
        <v>208</v>
      </c>
      <c r="P510" s="200">
        <v>38717</v>
      </c>
      <c r="Q510" s="176" t="s">
        <v>98</v>
      </c>
      <c r="R510" s="176" t="s">
        <v>4810</v>
      </c>
      <c r="S510" s="176" t="s">
        <v>4810</v>
      </c>
      <c r="T510" s="176" t="s">
        <v>4796</v>
      </c>
      <c r="U510" s="180">
        <v>25216</v>
      </c>
      <c r="V510" s="176">
        <v>25220</v>
      </c>
      <c r="W510" s="175" t="s">
        <v>276</v>
      </c>
      <c r="X510" s="175" t="s">
        <v>276</v>
      </c>
      <c r="Y510" s="175" t="s">
        <v>276</v>
      </c>
      <c r="Z510" s="176" t="s">
        <v>1562</v>
      </c>
      <c r="AA510" s="175" t="s">
        <v>276</v>
      </c>
      <c r="AB510" s="176" t="s">
        <v>1562</v>
      </c>
      <c r="AC510" s="176" t="s">
        <v>4811</v>
      </c>
      <c r="AD510" s="176" t="s">
        <v>2034</v>
      </c>
      <c r="AE510" s="175">
        <v>134</v>
      </c>
      <c r="AF510" s="175">
        <v>122</v>
      </c>
      <c r="AG510" s="180">
        <v>25216</v>
      </c>
      <c r="AH510" s="176">
        <v>25220</v>
      </c>
      <c r="AI510" s="179" t="s">
        <v>292</v>
      </c>
      <c r="AJ510" s="181">
        <v>0.53</v>
      </c>
      <c r="AK510" s="201">
        <f>AE510*100/AG510</f>
        <v>0.53140862944162437</v>
      </c>
      <c r="AL510" s="181" t="s">
        <v>276</v>
      </c>
      <c r="AM510" s="181" t="s">
        <v>276</v>
      </c>
      <c r="AN510" s="181">
        <v>0.48</v>
      </c>
      <c r="AO510" s="201">
        <f>AF510*100/AH510</f>
        <v>0.48374306106264869</v>
      </c>
      <c r="AP510" s="181" t="s">
        <v>276</v>
      </c>
      <c r="AQ510" s="181" t="s">
        <v>276</v>
      </c>
      <c r="AR510" s="175" t="s">
        <v>270</v>
      </c>
      <c r="AS510" s="181">
        <v>1.1000000000000001</v>
      </c>
      <c r="AT510" s="201" t="s">
        <v>98</v>
      </c>
      <c r="AU510" s="181">
        <v>0.86</v>
      </c>
      <c r="AV510" s="181">
        <v>1.4</v>
      </c>
      <c r="AW510" s="175">
        <v>0.45</v>
      </c>
      <c r="AX510" s="175" t="s">
        <v>282</v>
      </c>
      <c r="AY510" s="175" t="s">
        <v>276</v>
      </c>
      <c r="AZ510" s="175" t="s">
        <v>276</v>
      </c>
      <c r="BA510" s="175" t="s">
        <v>276</v>
      </c>
      <c r="BB510" s="175" t="s">
        <v>276</v>
      </c>
      <c r="BC510" s="176" t="s">
        <v>4812</v>
      </c>
      <c r="BD510" s="176"/>
      <c r="BE510" s="33" t="s">
        <v>100</v>
      </c>
      <c r="BF510" s="33" t="s">
        <v>98</v>
      </c>
    </row>
    <row r="511" spans="1:58" s="358" customFormat="1" ht="117" x14ac:dyDescent="0.3">
      <c r="A511" s="347">
        <v>10547</v>
      </c>
      <c r="B511" s="347" t="s">
        <v>4985</v>
      </c>
      <c r="C511" s="347" t="s">
        <v>88</v>
      </c>
      <c r="D511" s="348" t="s">
        <v>4986</v>
      </c>
      <c r="E511" s="347" t="s">
        <v>43</v>
      </c>
      <c r="F511" s="348" t="s">
        <v>4987</v>
      </c>
      <c r="G511" s="348" t="s">
        <v>225</v>
      </c>
      <c r="H511" s="347" t="s">
        <v>125</v>
      </c>
      <c r="I511" s="347" t="s">
        <v>114</v>
      </c>
      <c r="J511" s="348" t="s">
        <v>24</v>
      </c>
      <c r="K511" s="348" t="s">
        <v>4988</v>
      </c>
      <c r="L511" s="348" t="s">
        <v>4989</v>
      </c>
      <c r="M511" s="348" t="s">
        <v>259</v>
      </c>
      <c r="N511" s="348" t="s">
        <v>4990</v>
      </c>
      <c r="O511" s="349" t="s">
        <v>207</v>
      </c>
      <c r="P511" s="350" t="s">
        <v>4991</v>
      </c>
      <c r="Q511" s="350" t="s">
        <v>98</v>
      </c>
      <c r="R511" s="351" t="s">
        <v>4992</v>
      </c>
      <c r="S511" s="351" t="s">
        <v>4993</v>
      </c>
      <c r="T511" s="348" t="s">
        <v>276</v>
      </c>
      <c r="U511" s="352">
        <v>72890</v>
      </c>
      <c r="V511" s="353">
        <v>89353</v>
      </c>
      <c r="W511" s="347" t="s">
        <v>276</v>
      </c>
      <c r="X511" s="347" t="s">
        <v>276</v>
      </c>
      <c r="Y511" s="348" t="s">
        <v>276</v>
      </c>
      <c r="Z511" s="348" t="s">
        <v>1562</v>
      </c>
      <c r="AA511" s="348" t="s">
        <v>276</v>
      </c>
      <c r="AB511" s="348" t="s">
        <v>1562</v>
      </c>
      <c r="AC511" s="348" t="s">
        <v>4994</v>
      </c>
      <c r="AD511" s="348" t="s">
        <v>1674</v>
      </c>
      <c r="AE511" s="347">
        <v>214</v>
      </c>
      <c r="AF511" s="347">
        <v>326</v>
      </c>
      <c r="AG511" s="354">
        <f>316389+191542+135470</f>
        <v>643401</v>
      </c>
      <c r="AH511" s="354">
        <f>402062+221113+162410</f>
        <v>785585</v>
      </c>
      <c r="AI511" s="355" t="s">
        <v>4995</v>
      </c>
      <c r="AJ511" s="356" t="s">
        <v>276</v>
      </c>
      <c r="AK511" s="356">
        <f>(AE511/AG511)*1000</f>
        <v>0.33260750294140046</v>
      </c>
      <c r="AL511" s="356" t="s">
        <v>276</v>
      </c>
      <c r="AM511" s="356" t="s">
        <v>276</v>
      </c>
      <c r="AN511" s="356" t="s">
        <v>276</v>
      </c>
      <c r="AO511" s="356">
        <f>(AF511/AH511)*1000</f>
        <v>0.4149773735496477</v>
      </c>
      <c r="AP511" s="356" t="s">
        <v>276</v>
      </c>
      <c r="AQ511" s="356" t="s">
        <v>276</v>
      </c>
      <c r="AR511" s="357" t="s">
        <v>269</v>
      </c>
      <c r="AS511" s="356">
        <v>0.8</v>
      </c>
      <c r="AT511" s="356">
        <f>AK511/AO511</f>
        <v>0.80150756195773032</v>
      </c>
      <c r="AU511" s="356">
        <v>0.67</v>
      </c>
      <c r="AV511" s="356">
        <v>0.95</v>
      </c>
      <c r="AW511" s="357">
        <v>0.01</v>
      </c>
      <c r="AX511" s="351" t="s">
        <v>4996</v>
      </c>
      <c r="AY511" s="356">
        <v>0.8</v>
      </c>
      <c r="AZ511" s="357">
        <v>0.65</v>
      </c>
      <c r="BA511" s="357">
        <v>0.98</v>
      </c>
      <c r="BB511" s="357">
        <v>0.04</v>
      </c>
      <c r="BC511" s="351" t="s">
        <v>4997</v>
      </c>
      <c r="BD511" s="348" t="s">
        <v>4998</v>
      </c>
      <c r="BE511" s="33" t="s">
        <v>100</v>
      </c>
      <c r="BF511" s="33" t="s">
        <v>98</v>
      </c>
    </row>
    <row r="512" spans="1:58" s="358" customFormat="1" ht="91" x14ac:dyDescent="0.3">
      <c r="A512" s="347">
        <v>10547</v>
      </c>
      <c r="B512" s="347" t="s">
        <v>4985</v>
      </c>
      <c r="C512" s="347" t="s">
        <v>88</v>
      </c>
      <c r="D512" s="348" t="s">
        <v>4999</v>
      </c>
      <c r="E512" s="347" t="s">
        <v>43</v>
      </c>
      <c r="F512" s="348" t="s">
        <v>4987</v>
      </c>
      <c r="G512" s="348" t="s">
        <v>225</v>
      </c>
      <c r="H512" s="347" t="s">
        <v>125</v>
      </c>
      <c r="I512" s="347" t="s">
        <v>114</v>
      </c>
      <c r="J512" s="348" t="s">
        <v>24</v>
      </c>
      <c r="K512" s="348" t="s">
        <v>4988</v>
      </c>
      <c r="L512" s="348" t="s">
        <v>4989</v>
      </c>
      <c r="M512" s="348" t="s">
        <v>261</v>
      </c>
      <c r="N512" s="349" t="s">
        <v>5000</v>
      </c>
      <c r="O512" s="349" t="s">
        <v>207</v>
      </c>
      <c r="P512" s="350" t="s">
        <v>4991</v>
      </c>
      <c r="Q512" s="350" t="s">
        <v>98</v>
      </c>
      <c r="R512" s="355" t="s">
        <v>5001</v>
      </c>
      <c r="S512" s="355" t="s">
        <v>5002</v>
      </c>
      <c r="T512" s="348" t="s">
        <v>276</v>
      </c>
      <c r="U512" s="354">
        <v>82816</v>
      </c>
      <c r="V512" s="354">
        <v>99184</v>
      </c>
      <c r="W512" s="347" t="s">
        <v>276</v>
      </c>
      <c r="X512" s="347" t="s">
        <v>276</v>
      </c>
      <c r="Y512" s="348" t="s">
        <v>276</v>
      </c>
      <c r="Z512" s="348" t="s">
        <v>1562</v>
      </c>
      <c r="AA512" s="348" t="s">
        <v>276</v>
      </c>
      <c r="AB512" s="348" t="s">
        <v>1562</v>
      </c>
      <c r="AC512" s="348" t="s">
        <v>4994</v>
      </c>
      <c r="AD512" s="348" t="s">
        <v>1674</v>
      </c>
      <c r="AE512" s="347">
        <v>261</v>
      </c>
      <c r="AF512" s="347">
        <v>363</v>
      </c>
      <c r="AG512" s="352">
        <v>737397</v>
      </c>
      <c r="AH512" s="352">
        <v>878547</v>
      </c>
      <c r="AI512" s="355" t="s">
        <v>4995</v>
      </c>
      <c r="AJ512" s="359">
        <v>0.35</v>
      </c>
      <c r="AK512" s="356">
        <f>(AE512/AG512)*1000</f>
        <v>0.35394773778575178</v>
      </c>
      <c r="AL512" s="359" t="s">
        <v>276</v>
      </c>
      <c r="AM512" s="359" t="s">
        <v>276</v>
      </c>
      <c r="AN512" s="356">
        <v>0.41</v>
      </c>
      <c r="AO512" s="359">
        <f>(AF512/AH512)*1000</f>
        <v>0.41318222018856132</v>
      </c>
      <c r="AP512" s="359" t="s">
        <v>276</v>
      </c>
      <c r="AQ512" s="359" t="s">
        <v>276</v>
      </c>
      <c r="AR512" s="359" t="s">
        <v>269</v>
      </c>
      <c r="AS512" s="359" t="s">
        <v>276</v>
      </c>
      <c r="AT512" s="359">
        <f>AK512/AO512</f>
        <v>0.85663835589107129</v>
      </c>
      <c r="AU512" s="359" t="s">
        <v>276</v>
      </c>
      <c r="AV512" s="359" t="s">
        <v>276</v>
      </c>
      <c r="AW512" s="359" t="s">
        <v>276</v>
      </c>
      <c r="AX512" s="359" t="s">
        <v>5003</v>
      </c>
      <c r="AY512" s="359">
        <v>0.85</v>
      </c>
      <c r="AZ512" s="359">
        <v>0.73</v>
      </c>
      <c r="BA512" s="359">
        <v>1</v>
      </c>
      <c r="BB512" s="359" t="s">
        <v>276</v>
      </c>
      <c r="BC512" s="348" t="s">
        <v>298</v>
      </c>
      <c r="BD512" s="348"/>
      <c r="BE512" s="33" t="s">
        <v>100</v>
      </c>
      <c r="BF512" s="33" t="s">
        <v>98</v>
      </c>
    </row>
    <row r="513" spans="1:147" s="358" customFormat="1" ht="91" x14ac:dyDescent="0.3">
      <c r="A513" s="347">
        <v>10547</v>
      </c>
      <c r="B513" s="347" t="s">
        <v>4985</v>
      </c>
      <c r="C513" s="347" t="s">
        <v>88</v>
      </c>
      <c r="D513" s="348" t="s">
        <v>5004</v>
      </c>
      <c r="E513" s="347" t="s">
        <v>43</v>
      </c>
      <c r="F513" s="348" t="s">
        <v>4987</v>
      </c>
      <c r="G513" s="348" t="s">
        <v>225</v>
      </c>
      <c r="H513" s="347" t="s">
        <v>125</v>
      </c>
      <c r="I513" s="347" t="s">
        <v>114</v>
      </c>
      <c r="J513" s="348" t="s">
        <v>24</v>
      </c>
      <c r="K513" s="348" t="s">
        <v>4988</v>
      </c>
      <c r="L513" s="348" t="s">
        <v>4989</v>
      </c>
      <c r="M513" s="357" t="s">
        <v>259</v>
      </c>
      <c r="N513" s="360" t="s">
        <v>5005</v>
      </c>
      <c r="O513" s="349" t="s">
        <v>207</v>
      </c>
      <c r="P513" s="350" t="s">
        <v>4991</v>
      </c>
      <c r="Q513" s="350" t="s">
        <v>98</v>
      </c>
      <c r="R513" s="351" t="s">
        <v>5006</v>
      </c>
      <c r="S513" s="351" t="s">
        <v>5007</v>
      </c>
      <c r="T513" s="348" t="s">
        <v>276</v>
      </c>
      <c r="U513" s="347" t="s">
        <v>276</v>
      </c>
      <c r="V513" s="347" t="s">
        <v>276</v>
      </c>
      <c r="W513" s="347" t="s">
        <v>276</v>
      </c>
      <c r="X513" s="347" t="s">
        <v>276</v>
      </c>
      <c r="Y513" s="348" t="s">
        <v>276</v>
      </c>
      <c r="Z513" s="348" t="s">
        <v>1562</v>
      </c>
      <c r="AA513" s="348" t="s">
        <v>276</v>
      </c>
      <c r="AB513" s="348" t="s">
        <v>1562</v>
      </c>
      <c r="AC513" s="348" t="s">
        <v>4994</v>
      </c>
      <c r="AD513" s="348" t="s">
        <v>1674</v>
      </c>
      <c r="AE513" s="347">
        <v>6</v>
      </c>
      <c r="AF513" s="347">
        <v>4</v>
      </c>
      <c r="AG513" s="352">
        <v>55241</v>
      </c>
      <c r="AH513" s="352">
        <v>53734</v>
      </c>
      <c r="AI513" s="355" t="s">
        <v>4995</v>
      </c>
      <c r="AJ513" s="359">
        <v>0.11</v>
      </c>
      <c r="AK513" s="359">
        <f>(AE513/AG513)*1000</f>
        <v>0.10861497800546695</v>
      </c>
      <c r="AL513" s="359" t="s">
        <v>276</v>
      </c>
      <c r="AM513" s="359" t="s">
        <v>276</v>
      </c>
      <c r="AN513" s="359">
        <v>7.0000000000000007E-2</v>
      </c>
      <c r="AO513" s="359">
        <f>(AF513/AH513)*1000</f>
        <v>7.4440763762236212E-2</v>
      </c>
      <c r="AP513" s="359" t="s">
        <v>276</v>
      </c>
      <c r="AQ513" s="359" t="s">
        <v>276</v>
      </c>
      <c r="AR513" s="359" t="s">
        <v>269</v>
      </c>
      <c r="AS513" s="359" t="s">
        <v>276</v>
      </c>
      <c r="AT513" s="359">
        <f t="shared" ref="AT513:AT534" si="63">AK513/AO513</f>
        <v>1.4590793070364401</v>
      </c>
      <c r="AU513" s="359" t="s">
        <v>276</v>
      </c>
      <c r="AV513" s="359" t="s">
        <v>276</v>
      </c>
      <c r="AW513" s="359" t="s">
        <v>276</v>
      </c>
      <c r="AX513" s="359" t="s">
        <v>5003</v>
      </c>
      <c r="AY513" s="359">
        <v>1.47</v>
      </c>
      <c r="AZ513" s="359">
        <v>0.41</v>
      </c>
      <c r="BA513" s="359">
        <v>5.19</v>
      </c>
      <c r="BB513" s="359" t="s">
        <v>276</v>
      </c>
      <c r="BC513" s="348" t="s">
        <v>298</v>
      </c>
      <c r="BD513" s="348"/>
      <c r="BE513" s="33" t="s">
        <v>100</v>
      </c>
      <c r="BF513" s="33" t="s">
        <v>98</v>
      </c>
    </row>
    <row r="514" spans="1:147" s="358" customFormat="1" ht="91" x14ac:dyDescent="0.3">
      <c r="A514" s="347">
        <v>10547</v>
      </c>
      <c r="B514" s="347" t="s">
        <v>4985</v>
      </c>
      <c r="C514" s="347" t="s">
        <v>88</v>
      </c>
      <c r="D514" s="348" t="s">
        <v>5008</v>
      </c>
      <c r="E514" s="347" t="s">
        <v>43</v>
      </c>
      <c r="F514" s="348" t="s">
        <v>4987</v>
      </c>
      <c r="G514" s="348" t="s">
        <v>225</v>
      </c>
      <c r="H514" s="347" t="s">
        <v>125</v>
      </c>
      <c r="I514" s="347" t="s">
        <v>114</v>
      </c>
      <c r="J514" s="348" t="s">
        <v>24</v>
      </c>
      <c r="K514" s="348" t="s">
        <v>4988</v>
      </c>
      <c r="L514" s="348" t="s">
        <v>4989</v>
      </c>
      <c r="M514" s="357" t="s">
        <v>259</v>
      </c>
      <c r="N514" s="360" t="s">
        <v>5009</v>
      </c>
      <c r="O514" s="349" t="s">
        <v>207</v>
      </c>
      <c r="P514" s="350" t="s">
        <v>4991</v>
      </c>
      <c r="Q514" s="350" t="s">
        <v>98</v>
      </c>
      <c r="R514" s="351" t="s">
        <v>5010</v>
      </c>
      <c r="S514" s="351" t="s">
        <v>5011</v>
      </c>
      <c r="T514" s="348" t="s">
        <v>276</v>
      </c>
      <c r="U514" s="347" t="s">
        <v>276</v>
      </c>
      <c r="V514" s="347" t="s">
        <v>276</v>
      </c>
      <c r="W514" s="347" t="s">
        <v>276</v>
      </c>
      <c r="X514" s="347" t="s">
        <v>276</v>
      </c>
      <c r="Y514" s="348" t="s">
        <v>276</v>
      </c>
      <c r="Z514" s="348" t="s">
        <v>1562</v>
      </c>
      <c r="AA514" s="348" t="s">
        <v>276</v>
      </c>
      <c r="AB514" s="348" t="s">
        <v>1562</v>
      </c>
      <c r="AC514" s="348" t="s">
        <v>4994</v>
      </c>
      <c r="AD514" s="361" t="s">
        <v>1674</v>
      </c>
      <c r="AE514" s="347">
        <v>60</v>
      </c>
      <c r="AF514" s="347">
        <v>102</v>
      </c>
      <c r="AG514" s="352">
        <v>316389</v>
      </c>
      <c r="AH514" s="352">
        <v>402062</v>
      </c>
      <c r="AI514" s="355" t="s">
        <v>4995</v>
      </c>
      <c r="AJ514" s="359">
        <v>0.19</v>
      </c>
      <c r="AK514" s="359">
        <f t="shared" ref="AK514:AK541" si="64">(AE514/AG514)*1000</f>
        <v>0.18963996851976522</v>
      </c>
      <c r="AL514" s="359" t="s">
        <v>276</v>
      </c>
      <c r="AM514" s="359" t="s">
        <v>276</v>
      </c>
      <c r="AN514" s="359">
        <v>0.25</v>
      </c>
      <c r="AO514" s="359">
        <f t="shared" ref="AO514:AO534" si="65">(AF514/AH514)*1000</f>
        <v>0.25369221662330682</v>
      </c>
      <c r="AP514" s="359" t="s">
        <v>276</v>
      </c>
      <c r="AQ514" s="359" t="s">
        <v>276</v>
      </c>
      <c r="AR514" s="359" t="s">
        <v>269</v>
      </c>
      <c r="AS514" s="359" t="s">
        <v>276</v>
      </c>
      <c r="AT514" s="359">
        <f t="shared" si="63"/>
        <v>0.74751985316660641</v>
      </c>
      <c r="AU514" s="359" t="s">
        <v>276</v>
      </c>
      <c r="AV514" s="359" t="s">
        <v>276</v>
      </c>
      <c r="AW514" s="359" t="s">
        <v>276</v>
      </c>
      <c r="AX514" s="359" t="s">
        <v>5003</v>
      </c>
      <c r="AY514" s="359">
        <v>0.73</v>
      </c>
      <c r="AZ514" s="359">
        <v>0.53</v>
      </c>
      <c r="BA514" s="359">
        <v>1</v>
      </c>
      <c r="BB514" s="359" t="s">
        <v>276</v>
      </c>
      <c r="BC514" s="348" t="s">
        <v>298</v>
      </c>
      <c r="BD514" s="348"/>
      <c r="BE514" s="33" t="s">
        <v>100</v>
      </c>
      <c r="BF514" s="33" t="s">
        <v>98</v>
      </c>
    </row>
    <row r="515" spans="1:147" s="358" customFormat="1" ht="91" x14ac:dyDescent="0.3">
      <c r="A515" s="347">
        <v>10547</v>
      </c>
      <c r="B515" s="347" t="s">
        <v>4985</v>
      </c>
      <c r="C515" s="347" t="s">
        <v>88</v>
      </c>
      <c r="D515" s="348" t="s">
        <v>5012</v>
      </c>
      <c r="E515" s="347" t="s">
        <v>43</v>
      </c>
      <c r="F515" s="348" t="s">
        <v>4987</v>
      </c>
      <c r="G515" s="348" t="s">
        <v>225</v>
      </c>
      <c r="H515" s="347" t="s">
        <v>125</v>
      </c>
      <c r="I515" s="347" t="s">
        <v>114</v>
      </c>
      <c r="J515" s="348" t="s">
        <v>24</v>
      </c>
      <c r="K515" s="348" t="s">
        <v>4988</v>
      </c>
      <c r="L515" s="348" t="s">
        <v>4989</v>
      </c>
      <c r="M515" s="357" t="s">
        <v>259</v>
      </c>
      <c r="N515" s="360" t="s">
        <v>5013</v>
      </c>
      <c r="O515" s="349" t="s">
        <v>207</v>
      </c>
      <c r="P515" s="350" t="s">
        <v>4991</v>
      </c>
      <c r="Q515" s="350" t="s">
        <v>98</v>
      </c>
      <c r="R515" s="351" t="s">
        <v>5014</v>
      </c>
      <c r="S515" s="351" t="s">
        <v>5015</v>
      </c>
      <c r="T515" s="348" t="s">
        <v>276</v>
      </c>
      <c r="U515" s="347" t="s">
        <v>276</v>
      </c>
      <c r="V515" s="347" t="s">
        <v>276</v>
      </c>
      <c r="W515" s="347" t="s">
        <v>276</v>
      </c>
      <c r="X515" s="347" t="s">
        <v>276</v>
      </c>
      <c r="Y515" s="348" t="s">
        <v>276</v>
      </c>
      <c r="Z515" s="348" t="s">
        <v>1562</v>
      </c>
      <c r="AA515" s="348" t="s">
        <v>276</v>
      </c>
      <c r="AB515" s="348" t="s">
        <v>1562</v>
      </c>
      <c r="AC515" s="348" t="s">
        <v>4994</v>
      </c>
      <c r="AD515" s="348" t="s">
        <v>1674</v>
      </c>
      <c r="AE515" s="347">
        <v>76</v>
      </c>
      <c r="AF515" s="347">
        <v>95</v>
      </c>
      <c r="AG515" s="362">
        <v>191542</v>
      </c>
      <c r="AH515" s="352">
        <v>221113</v>
      </c>
      <c r="AI515" s="355" t="s">
        <v>4995</v>
      </c>
      <c r="AJ515" s="359">
        <v>0.4</v>
      </c>
      <c r="AK515" s="359">
        <f t="shared" si="64"/>
        <v>0.39677981852544086</v>
      </c>
      <c r="AL515" s="359" t="s">
        <v>276</v>
      </c>
      <c r="AM515" s="359" t="s">
        <v>276</v>
      </c>
      <c r="AN515" s="359">
        <v>0.43</v>
      </c>
      <c r="AO515" s="359">
        <f t="shared" si="65"/>
        <v>0.42964457087552521</v>
      </c>
      <c r="AP515" s="359" t="s">
        <v>276</v>
      </c>
      <c r="AQ515" s="359" t="s">
        <v>276</v>
      </c>
      <c r="AR515" s="359" t="s">
        <v>269</v>
      </c>
      <c r="AS515" s="359" t="s">
        <v>276</v>
      </c>
      <c r="AT515" s="359">
        <f t="shared" si="63"/>
        <v>0.92350711593279788</v>
      </c>
      <c r="AU515" s="359" t="s">
        <v>276</v>
      </c>
      <c r="AV515" s="359" t="s">
        <v>276</v>
      </c>
      <c r="AW515" s="359" t="s">
        <v>276</v>
      </c>
      <c r="AX515" s="359" t="s">
        <v>5003</v>
      </c>
      <c r="AY515" s="359">
        <v>0.94</v>
      </c>
      <c r="AZ515" s="359">
        <v>0.69</v>
      </c>
      <c r="BA515" s="359">
        <v>1.27</v>
      </c>
      <c r="BB515" s="359" t="s">
        <v>276</v>
      </c>
      <c r="BC515" s="348" t="s">
        <v>298</v>
      </c>
      <c r="BD515" s="348"/>
      <c r="BE515" s="33" t="s">
        <v>100</v>
      </c>
      <c r="BF515" s="33" t="s">
        <v>98</v>
      </c>
    </row>
    <row r="516" spans="1:147" s="358" customFormat="1" ht="91" x14ac:dyDescent="0.3">
      <c r="A516" s="347">
        <v>10547</v>
      </c>
      <c r="B516" s="347" t="s">
        <v>4985</v>
      </c>
      <c r="C516" s="347" t="s">
        <v>88</v>
      </c>
      <c r="D516" s="348" t="s">
        <v>5016</v>
      </c>
      <c r="E516" s="347" t="s">
        <v>43</v>
      </c>
      <c r="F516" s="348" t="s">
        <v>4987</v>
      </c>
      <c r="G516" s="348" t="s">
        <v>225</v>
      </c>
      <c r="H516" s="347" t="s">
        <v>125</v>
      </c>
      <c r="I516" s="347" t="s">
        <v>114</v>
      </c>
      <c r="J516" s="348" t="s">
        <v>24</v>
      </c>
      <c r="K516" s="348" t="s">
        <v>4988</v>
      </c>
      <c r="L516" s="348" t="s">
        <v>4989</v>
      </c>
      <c r="M516" s="357" t="s">
        <v>259</v>
      </c>
      <c r="N516" s="360" t="s">
        <v>5017</v>
      </c>
      <c r="O516" s="349" t="s">
        <v>207</v>
      </c>
      <c r="P516" s="350" t="s">
        <v>4991</v>
      </c>
      <c r="Q516" s="350" t="s">
        <v>98</v>
      </c>
      <c r="R516" s="351" t="s">
        <v>5018</v>
      </c>
      <c r="S516" s="351" t="s">
        <v>5019</v>
      </c>
      <c r="T516" s="348" t="s">
        <v>276</v>
      </c>
      <c r="U516" s="347" t="s">
        <v>276</v>
      </c>
      <c r="V516" s="347" t="s">
        <v>276</v>
      </c>
      <c r="W516" s="347" t="s">
        <v>276</v>
      </c>
      <c r="X516" s="347" t="s">
        <v>276</v>
      </c>
      <c r="Y516" s="348" t="s">
        <v>276</v>
      </c>
      <c r="Z516" s="348" t="s">
        <v>1562</v>
      </c>
      <c r="AA516" s="348" t="s">
        <v>276</v>
      </c>
      <c r="AB516" s="348" t="s">
        <v>1562</v>
      </c>
      <c r="AC516" s="348" t="s">
        <v>4994</v>
      </c>
      <c r="AD516" s="348" t="s">
        <v>1674</v>
      </c>
      <c r="AE516" s="347">
        <v>78</v>
      </c>
      <c r="AF516" s="347">
        <v>129</v>
      </c>
      <c r="AG516" s="352">
        <v>135470</v>
      </c>
      <c r="AH516" s="352">
        <v>162410</v>
      </c>
      <c r="AI516" s="355" t="s">
        <v>4995</v>
      </c>
      <c r="AJ516" s="359">
        <v>0.57999999999999996</v>
      </c>
      <c r="AK516" s="359">
        <f t="shared" si="64"/>
        <v>0.57577323392633062</v>
      </c>
      <c r="AL516" s="359" t="s">
        <v>276</v>
      </c>
      <c r="AM516" s="359" t="s">
        <v>276</v>
      </c>
      <c r="AN516" s="359">
        <v>0.79</v>
      </c>
      <c r="AO516" s="359">
        <f t="shared" si="65"/>
        <v>0.79428606612893293</v>
      </c>
      <c r="AP516" s="359" t="s">
        <v>276</v>
      </c>
      <c r="AQ516" s="359" t="s">
        <v>276</v>
      </c>
      <c r="AR516" s="359" t="s">
        <v>269</v>
      </c>
      <c r="AS516" s="359" t="s">
        <v>276</v>
      </c>
      <c r="AT516" s="359">
        <f t="shared" si="63"/>
        <v>0.72489403815484776</v>
      </c>
      <c r="AU516" s="359" t="s">
        <v>276</v>
      </c>
      <c r="AV516" s="359" t="s">
        <v>276</v>
      </c>
      <c r="AW516" s="359" t="s">
        <v>276</v>
      </c>
      <c r="AX516" s="359" t="s">
        <v>5003</v>
      </c>
      <c r="AY516" s="359">
        <v>0.74</v>
      </c>
      <c r="AZ516" s="359">
        <v>0.56000000000000005</v>
      </c>
      <c r="BA516" s="359">
        <v>0.99</v>
      </c>
      <c r="BB516" s="359" t="s">
        <v>276</v>
      </c>
      <c r="BC516" s="348" t="s">
        <v>298</v>
      </c>
      <c r="BD516" s="348"/>
      <c r="BE516" s="33" t="s">
        <v>100</v>
      </c>
      <c r="BF516" s="33" t="s">
        <v>98</v>
      </c>
    </row>
    <row r="517" spans="1:147" s="358" customFormat="1" ht="91" x14ac:dyDescent="0.3">
      <c r="A517" s="347">
        <v>10547</v>
      </c>
      <c r="B517" s="347" t="s">
        <v>4985</v>
      </c>
      <c r="C517" s="347" t="s">
        <v>88</v>
      </c>
      <c r="D517" s="348" t="s">
        <v>5020</v>
      </c>
      <c r="E517" s="347" t="s">
        <v>43</v>
      </c>
      <c r="F517" s="348" t="s">
        <v>4987</v>
      </c>
      <c r="G517" s="348" t="s">
        <v>225</v>
      </c>
      <c r="H517" s="347" t="s">
        <v>125</v>
      </c>
      <c r="I517" s="347" t="s">
        <v>114</v>
      </c>
      <c r="J517" s="348" t="s">
        <v>24</v>
      </c>
      <c r="K517" s="348" t="s">
        <v>4988</v>
      </c>
      <c r="L517" s="348" t="s">
        <v>4989</v>
      </c>
      <c r="M517" s="357" t="s">
        <v>259</v>
      </c>
      <c r="N517" s="360" t="s">
        <v>5021</v>
      </c>
      <c r="O517" s="349" t="s">
        <v>207</v>
      </c>
      <c r="P517" s="350" t="s">
        <v>4991</v>
      </c>
      <c r="Q517" s="350" t="s">
        <v>98</v>
      </c>
      <c r="R517" s="348" t="s">
        <v>5022</v>
      </c>
      <c r="S517" s="347" t="s">
        <v>5023</v>
      </c>
      <c r="T517" s="348" t="s">
        <v>276</v>
      </c>
      <c r="U517" s="347" t="s">
        <v>276</v>
      </c>
      <c r="V517" s="347" t="s">
        <v>276</v>
      </c>
      <c r="W517" s="347" t="s">
        <v>276</v>
      </c>
      <c r="X517" s="347" t="s">
        <v>276</v>
      </c>
      <c r="Y517" s="348" t="s">
        <v>276</v>
      </c>
      <c r="Z517" s="348" t="s">
        <v>1562</v>
      </c>
      <c r="AA517" s="348" t="s">
        <v>276</v>
      </c>
      <c r="AB517" s="348" t="s">
        <v>1562</v>
      </c>
      <c r="AC517" s="348" t="s">
        <v>4994</v>
      </c>
      <c r="AD517" s="348" t="s">
        <v>1674</v>
      </c>
      <c r="AE517" s="347">
        <v>41</v>
      </c>
      <c r="AF517" s="347">
        <v>33</v>
      </c>
      <c r="AG517" s="352">
        <v>38755</v>
      </c>
      <c r="AH517" s="352">
        <v>39228</v>
      </c>
      <c r="AI517" s="355" t="s">
        <v>4995</v>
      </c>
      <c r="AJ517" s="359">
        <v>1.06</v>
      </c>
      <c r="AK517" s="359">
        <f t="shared" si="64"/>
        <v>1.0579280092891241</v>
      </c>
      <c r="AL517" s="359" t="s">
        <v>276</v>
      </c>
      <c r="AM517" s="359" t="s">
        <v>276</v>
      </c>
      <c r="AN517" s="359">
        <v>0.84</v>
      </c>
      <c r="AO517" s="359">
        <f t="shared" si="65"/>
        <v>0.84123585194249006</v>
      </c>
      <c r="AP517" s="359" t="s">
        <v>276</v>
      </c>
      <c r="AQ517" s="359" t="s">
        <v>276</v>
      </c>
      <c r="AR517" s="359" t="s">
        <v>269</v>
      </c>
      <c r="AS517" s="359" t="s">
        <v>276</v>
      </c>
      <c r="AT517" s="359">
        <f t="shared" si="63"/>
        <v>1.2575878772240534</v>
      </c>
      <c r="AU517" s="359" t="s">
        <v>276</v>
      </c>
      <c r="AV517" s="359" t="s">
        <v>276</v>
      </c>
      <c r="AW517" s="359" t="s">
        <v>276</v>
      </c>
      <c r="AX517" s="359" t="s">
        <v>5003</v>
      </c>
      <c r="AY517" s="359">
        <v>1.26</v>
      </c>
      <c r="AZ517" s="359">
        <v>0.8</v>
      </c>
      <c r="BA517" s="359">
        <v>1.99</v>
      </c>
      <c r="BB517" s="359" t="s">
        <v>276</v>
      </c>
      <c r="BC517" s="348" t="s">
        <v>298</v>
      </c>
      <c r="BD517" s="348"/>
      <c r="BE517" s="33" t="s">
        <v>100</v>
      </c>
      <c r="BF517" s="33" t="s">
        <v>98</v>
      </c>
    </row>
    <row r="518" spans="1:147" s="366" customFormat="1" ht="91" x14ac:dyDescent="0.3">
      <c r="A518" s="357">
        <v>10547</v>
      </c>
      <c r="B518" s="357" t="s">
        <v>4985</v>
      </c>
      <c r="C518" s="357" t="s">
        <v>88</v>
      </c>
      <c r="D518" s="351" t="s">
        <v>5024</v>
      </c>
      <c r="E518" s="357" t="s">
        <v>43</v>
      </c>
      <c r="F518" s="351" t="s">
        <v>4987</v>
      </c>
      <c r="G518" s="357" t="s">
        <v>225</v>
      </c>
      <c r="H518" s="357" t="s">
        <v>125</v>
      </c>
      <c r="I518" s="357" t="s">
        <v>114</v>
      </c>
      <c r="J518" s="351" t="s">
        <v>23</v>
      </c>
      <c r="K518" s="351" t="s">
        <v>5025</v>
      </c>
      <c r="L518" s="351" t="s">
        <v>4989</v>
      </c>
      <c r="M518" s="357" t="s">
        <v>259</v>
      </c>
      <c r="N518" s="360" t="s">
        <v>4990</v>
      </c>
      <c r="O518" s="360" t="s">
        <v>207</v>
      </c>
      <c r="P518" s="363" t="s">
        <v>4991</v>
      </c>
      <c r="Q518" s="350" t="s">
        <v>98</v>
      </c>
      <c r="R518" s="351" t="s">
        <v>5026</v>
      </c>
      <c r="S518" s="351" t="s">
        <v>5027</v>
      </c>
      <c r="T518" s="351" t="s">
        <v>276</v>
      </c>
      <c r="U518" s="354">
        <v>72890</v>
      </c>
      <c r="V518" s="355">
        <v>89353</v>
      </c>
      <c r="W518" s="357" t="s">
        <v>276</v>
      </c>
      <c r="X518" s="357" t="s">
        <v>276</v>
      </c>
      <c r="Y518" s="357">
        <v>0</v>
      </c>
      <c r="Z518" s="351" t="s">
        <v>98</v>
      </c>
      <c r="AA518" s="357">
        <v>0</v>
      </c>
      <c r="AB518" s="351" t="s">
        <v>98</v>
      </c>
      <c r="AC518" s="351" t="s">
        <v>5028</v>
      </c>
      <c r="AD518" s="351" t="s">
        <v>1674</v>
      </c>
      <c r="AE518" s="357" t="s">
        <v>276</v>
      </c>
      <c r="AF518" s="357" t="s">
        <v>276</v>
      </c>
      <c r="AG518" s="354">
        <f>316389+191542+135470</f>
        <v>643401</v>
      </c>
      <c r="AH518" s="354">
        <f>402062+221113+162410</f>
        <v>785585</v>
      </c>
      <c r="AI518" s="355" t="s">
        <v>4995</v>
      </c>
      <c r="AJ518" s="356" t="s">
        <v>276</v>
      </c>
      <c r="AK518" s="356" t="s">
        <v>98</v>
      </c>
      <c r="AL518" s="356" t="s">
        <v>276</v>
      </c>
      <c r="AM518" s="356" t="s">
        <v>276</v>
      </c>
      <c r="AN518" s="356" t="s">
        <v>98</v>
      </c>
      <c r="AO518" s="356" t="s">
        <v>276</v>
      </c>
      <c r="AP518" s="356" t="s">
        <v>276</v>
      </c>
      <c r="AQ518" s="356" t="s">
        <v>276</v>
      </c>
      <c r="AR518" s="357" t="s">
        <v>269</v>
      </c>
      <c r="AS518" s="356" t="s">
        <v>276</v>
      </c>
      <c r="AT518" s="356" t="s">
        <v>98</v>
      </c>
      <c r="AU518" s="356" t="s">
        <v>276</v>
      </c>
      <c r="AV518" s="356" t="s">
        <v>276</v>
      </c>
      <c r="AW518" s="357" t="s">
        <v>276</v>
      </c>
      <c r="AX518" s="351" t="s">
        <v>5003</v>
      </c>
      <c r="AY518" s="356">
        <v>0.99</v>
      </c>
      <c r="AZ518" s="357">
        <v>0.97</v>
      </c>
      <c r="BA518" s="357">
        <v>1.02</v>
      </c>
      <c r="BB518" s="356">
        <v>0.5</v>
      </c>
      <c r="BC518" s="351" t="s">
        <v>426</v>
      </c>
      <c r="BD518" s="364"/>
      <c r="BE518" s="33" t="s">
        <v>100</v>
      </c>
      <c r="BF518" s="33" t="s">
        <v>98</v>
      </c>
      <c r="BG518" s="365"/>
      <c r="BH518" s="365"/>
      <c r="BI518" s="365"/>
      <c r="BJ518" s="365"/>
      <c r="BK518" s="365"/>
      <c r="BL518" s="365"/>
      <c r="BM518" s="365"/>
      <c r="BN518" s="365"/>
      <c r="BO518" s="365"/>
      <c r="BP518" s="365"/>
      <c r="BQ518" s="365"/>
      <c r="BR518" s="365"/>
      <c r="BS518" s="365"/>
      <c r="BT518" s="365"/>
      <c r="BU518" s="365"/>
      <c r="BV518" s="365"/>
      <c r="BW518" s="365"/>
      <c r="BX518" s="365"/>
      <c r="BY518" s="365"/>
      <c r="BZ518" s="365"/>
      <c r="CA518" s="365"/>
      <c r="CB518" s="365"/>
      <c r="CC518" s="365"/>
      <c r="CD518" s="365"/>
      <c r="CE518" s="365"/>
      <c r="CF518" s="365"/>
      <c r="CG518" s="365"/>
      <c r="CH518" s="365"/>
      <c r="CI518" s="365"/>
      <c r="CJ518" s="365"/>
      <c r="CK518" s="365"/>
      <c r="CL518" s="365"/>
      <c r="CM518" s="365"/>
      <c r="CN518" s="365"/>
      <c r="CO518" s="365"/>
      <c r="CP518" s="365"/>
      <c r="CQ518" s="365"/>
      <c r="CR518" s="365"/>
      <c r="CS518" s="365"/>
      <c r="CT518" s="365"/>
      <c r="CU518" s="365"/>
      <c r="CV518" s="365"/>
      <c r="CW518" s="365"/>
      <c r="CX518" s="365"/>
      <c r="CY518" s="365"/>
      <c r="CZ518" s="365"/>
      <c r="DA518" s="365"/>
      <c r="DB518" s="365"/>
      <c r="DC518" s="365"/>
      <c r="DD518" s="365"/>
      <c r="DE518" s="365"/>
      <c r="DF518" s="365"/>
      <c r="DG518" s="365"/>
      <c r="DH518" s="365"/>
      <c r="DI518" s="365"/>
      <c r="DJ518" s="365"/>
      <c r="DK518" s="365"/>
      <c r="DL518" s="365"/>
      <c r="DM518" s="365"/>
      <c r="DN518" s="365"/>
      <c r="DO518" s="365"/>
      <c r="DP518" s="365"/>
      <c r="DQ518" s="365"/>
      <c r="DR518" s="365"/>
      <c r="DS518" s="365"/>
      <c r="DT518" s="365"/>
      <c r="DU518" s="365"/>
      <c r="DV518" s="365"/>
      <c r="DW518" s="365"/>
      <c r="DX518" s="365"/>
      <c r="DY518" s="365"/>
      <c r="DZ518" s="365"/>
      <c r="EA518" s="365"/>
      <c r="EB518" s="365"/>
      <c r="EC518" s="365"/>
      <c r="ED518" s="365"/>
      <c r="EE518" s="365"/>
      <c r="EF518" s="365"/>
      <c r="EG518" s="365"/>
      <c r="EH518" s="365"/>
      <c r="EI518" s="365"/>
      <c r="EJ518" s="365"/>
      <c r="EK518" s="365"/>
      <c r="EL518" s="365"/>
      <c r="EM518" s="365"/>
      <c r="EN518" s="365"/>
      <c r="EO518" s="365"/>
      <c r="EP518" s="365"/>
      <c r="EQ518" s="365"/>
    </row>
    <row r="519" spans="1:147" s="358" customFormat="1" ht="65" x14ac:dyDescent="0.3">
      <c r="A519" s="357">
        <v>10548</v>
      </c>
      <c r="B519" s="357" t="s">
        <v>5029</v>
      </c>
      <c r="C519" s="357" t="s">
        <v>88</v>
      </c>
      <c r="D519" s="351" t="s">
        <v>5030</v>
      </c>
      <c r="E519" s="357" t="s">
        <v>43</v>
      </c>
      <c r="F519" s="351" t="s">
        <v>4987</v>
      </c>
      <c r="G519" s="357" t="s">
        <v>225</v>
      </c>
      <c r="H519" s="357" t="s">
        <v>125</v>
      </c>
      <c r="I519" s="357" t="s">
        <v>114</v>
      </c>
      <c r="J519" s="351" t="s">
        <v>23</v>
      </c>
      <c r="K519" s="351" t="s">
        <v>5031</v>
      </c>
      <c r="L519" s="351" t="s">
        <v>5032</v>
      </c>
      <c r="M519" s="357" t="s">
        <v>259</v>
      </c>
      <c r="N519" s="360" t="s">
        <v>5033</v>
      </c>
      <c r="O519" s="360" t="s">
        <v>207</v>
      </c>
      <c r="P519" s="363" t="s">
        <v>5034</v>
      </c>
      <c r="Q519" s="363" t="s">
        <v>98</v>
      </c>
      <c r="R519" s="351" t="s">
        <v>5035</v>
      </c>
      <c r="S519" s="351" t="s">
        <v>5036</v>
      </c>
      <c r="T519" s="348" t="s">
        <v>276</v>
      </c>
      <c r="U519" s="354">
        <v>72891</v>
      </c>
      <c r="V519" s="355">
        <v>89352</v>
      </c>
      <c r="W519" s="347" t="s">
        <v>276</v>
      </c>
      <c r="X519" s="347" t="s">
        <v>276</v>
      </c>
      <c r="Y519" s="357">
        <v>0</v>
      </c>
      <c r="Z519" s="351" t="s">
        <v>98</v>
      </c>
      <c r="AA519" s="357">
        <v>0</v>
      </c>
      <c r="AB519" s="351" t="s">
        <v>98</v>
      </c>
      <c r="AC519" s="351" t="s">
        <v>5037</v>
      </c>
      <c r="AD519" s="348" t="s">
        <v>1674</v>
      </c>
      <c r="AE519" s="347">
        <v>13917</v>
      </c>
      <c r="AF519" s="347">
        <v>17256</v>
      </c>
      <c r="AG519" s="352">
        <v>764233</v>
      </c>
      <c r="AH519" s="352">
        <v>933053</v>
      </c>
      <c r="AI519" s="355" t="s">
        <v>4995</v>
      </c>
      <c r="AJ519" s="367">
        <v>18.2</v>
      </c>
      <c r="AK519" s="359">
        <f t="shared" si="64"/>
        <v>18.210414886559466</v>
      </c>
      <c r="AL519" s="359" t="s">
        <v>276</v>
      </c>
      <c r="AM519" s="359" t="s">
        <v>276</v>
      </c>
      <c r="AN519" s="367">
        <v>18.5</v>
      </c>
      <c r="AO519" s="359">
        <f t="shared" si="65"/>
        <v>18.494126271497976</v>
      </c>
      <c r="AP519" s="359" t="s">
        <v>276</v>
      </c>
      <c r="AQ519" s="359" t="s">
        <v>276</v>
      </c>
      <c r="AR519" s="357" t="s">
        <v>269</v>
      </c>
      <c r="AS519" s="356" t="s">
        <v>276</v>
      </c>
      <c r="AT519" s="356">
        <f t="shared" si="63"/>
        <v>0.9846593788333895</v>
      </c>
      <c r="AU519" s="356" t="s">
        <v>276</v>
      </c>
      <c r="AV519" s="356" t="s">
        <v>276</v>
      </c>
      <c r="AW519" s="356" t="s">
        <v>276</v>
      </c>
      <c r="AX519" s="351" t="s">
        <v>5038</v>
      </c>
      <c r="AY519" s="356">
        <v>0.99</v>
      </c>
      <c r="AZ519" s="356">
        <v>0.97</v>
      </c>
      <c r="BA519" s="356">
        <v>1.01</v>
      </c>
      <c r="BB519" s="356">
        <v>0.5</v>
      </c>
      <c r="BC519" s="351" t="s">
        <v>5039</v>
      </c>
      <c r="BD519" s="348"/>
      <c r="BE519" s="33" t="s">
        <v>100</v>
      </c>
      <c r="BF519" s="33" t="s">
        <v>98</v>
      </c>
    </row>
    <row r="520" spans="1:147" s="358" customFormat="1" ht="65" x14ac:dyDescent="0.3">
      <c r="A520" s="357">
        <v>10548</v>
      </c>
      <c r="B520" s="357" t="s">
        <v>5029</v>
      </c>
      <c r="C520" s="357" t="s">
        <v>88</v>
      </c>
      <c r="D520" s="351" t="s">
        <v>5040</v>
      </c>
      <c r="E520" s="357" t="s">
        <v>43</v>
      </c>
      <c r="F520" s="351" t="s">
        <v>4987</v>
      </c>
      <c r="G520" s="357" t="s">
        <v>225</v>
      </c>
      <c r="H520" s="357" t="s">
        <v>125</v>
      </c>
      <c r="I520" s="357" t="s">
        <v>114</v>
      </c>
      <c r="J520" s="351" t="s">
        <v>23</v>
      </c>
      <c r="K520" s="351" t="s">
        <v>5031</v>
      </c>
      <c r="L520" s="351" t="s">
        <v>5032</v>
      </c>
      <c r="M520" s="357" t="s">
        <v>261</v>
      </c>
      <c r="N520" s="360" t="s">
        <v>5000</v>
      </c>
      <c r="O520" s="360" t="s">
        <v>207</v>
      </c>
      <c r="P520" s="363" t="s">
        <v>5034</v>
      </c>
      <c r="Q520" s="363" t="s">
        <v>98</v>
      </c>
      <c r="R520" s="351" t="s">
        <v>5041</v>
      </c>
      <c r="S520" s="351" t="s">
        <v>5042</v>
      </c>
      <c r="T520" s="351" t="s">
        <v>276</v>
      </c>
      <c r="U520" s="354">
        <v>82816</v>
      </c>
      <c r="V520" s="354">
        <v>99183</v>
      </c>
      <c r="W520" s="357" t="s">
        <v>276</v>
      </c>
      <c r="X520" s="357" t="s">
        <v>276</v>
      </c>
      <c r="Y520" s="357">
        <v>0</v>
      </c>
      <c r="Z520" s="351" t="s">
        <v>98</v>
      </c>
      <c r="AA520" s="357">
        <v>0</v>
      </c>
      <c r="AB520" s="351" t="s">
        <v>98</v>
      </c>
      <c r="AC520" s="351" t="s">
        <v>5043</v>
      </c>
      <c r="AD520" s="351" t="s">
        <v>1674</v>
      </c>
      <c r="AE520" s="357">
        <v>16737</v>
      </c>
      <c r="AF520" s="357">
        <v>20026</v>
      </c>
      <c r="AG520" s="354">
        <v>874644</v>
      </c>
      <c r="AH520" s="354">
        <v>1042672</v>
      </c>
      <c r="AI520" s="355" t="s">
        <v>4995</v>
      </c>
      <c r="AJ520" s="368">
        <v>19.100000000000001</v>
      </c>
      <c r="AK520" s="369">
        <f t="shared" si="64"/>
        <v>19.13578553102748</v>
      </c>
      <c r="AL520" s="356" t="s">
        <v>276</v>
      </c>
      <c r="AM520" s="356" t="s">
        <v>276</v>
      </c>
      <c r="AN520" s="368">
        <v>19.2</v>
      </c>
      <c r="AO520" s="369">
        <f t="shared" si="65"/>
        <v>19.206423496555004</v>
      </c>
      <c r="AP520" s="356" t="s">
        <v>276</v>
      </c>
      <c r="AQ520" s="356" t="s">
        <v>276</v>
      </c>
      <c r="AR520" s="357" t="s">
        <v>269</v>
      </c>
      <c r="AS520" s="356" t="s">
        <v>276</v>
      </c>
      <c r="AT520" s="356">
        <f t="shared" si="63"/>
        <v>0.99632216973971266</v>
      </c>
      <c r="AU520" s="356" t="s">
        <v>276</v>
      </c>
      <c r="AV520" s="356" t="s">
        <v>276</v>
      </c>
      <c r="AW520" s="356" t="s">
        <v>276</v>
      </c>
      <c r="AX520" s="351" t="s">
        <v>5038</v>
      </c>
      <c r="AY520" s="356">
        <v>1</v>
      </c>
      <c r="AZ520" s="356">
        <v>0.98</v>
      </c>
      <c r="BA520" s="356">
        <v>1.02</v>
      </c>
      <c r="BB520" s="357">
        <v>0.85</v>
      </c>
      <c r="BC520" s="348" t="s">
        <v>5044</v>
      </c>
      <c r="BD520" s="348"/>
      <c r="BE520" s="33" t="s">
        <v>100</v>
      </c>
      <c r="BF520" s="33" t="s">
        <v>98</v>
      </c>
    </row>
    <row r="521" spans="1:147" s="358" customFormat="1" ht="65" x14ac:dyDescent="0.3">
      <c r="A521" s="357">
        <v>10548</v>
      </c>
      <c r="B521" s="357" t="s">
        <v>5029</v>
      </c>
      <c r="C521" s="357" t="s">
        <v>88</v>
      </c>
      <c r="D521" s="351" t="s">
        <v>5045</v>
      </c>
      <c r="E521" s="357" t="s">
        <v>43</v>
      </c>
      <c r="F521" s="351" t="s">
        <v>4987</v>
      </c>
      <c r="G521" s="357" t="s">
        <v>225</v>
      </c>
      <c r="H521" s="357" t="s">
        <v>125</v>
      </c>
      <c r="I521" s="357" t="s">
        <v>114</v>
      </c>
      <c r="J521" s="351" t="s">
        <v>23</v>
      </c>
      <c r="K521" s="351" t="s">
        <v>5031</v>
      </c>
      <c r="L521" s="351" t="s">
        <v>5032</v>
      </c>
      <c r="M521" s="357" t="s">
        <v>259</v>
      </c>
      <c r="N521" s="360" t="s">
        <v>5046</v>
      </c>
      <c r="O521" s="360" t="s">
        <v>207</v>
      </c>
      <c r="P521" s="363" t="s">
        <v>5034</v>
      </c>
      <c r="Q521" s="363" t="s">
        <v>98</v>
      </c>
      <c r="R521" s="351" t="s">
        <v>5047</v>
      </c>
      <c r="S521" s="351" t="s">
        <v>5048</v>
      </c>
      <c r="T521" s="348" t="s">
        <v>276</v>
      </c>
      <c r="U521" s="347" t="s">
        <v>276</v>
      </c>
      <c r="V521" s="347" t="s">
        <v>276</v>
      </c>
      <c r="W521" s="347" t="s">
        <v>276</v>
      </c>
      <c r="X521" s="347" t="s">
        <v>276</v>
      </c>
      <c r="Y521" s="357">
        <v>0</v>
      </c>
      <c r="Z521" s="351" t="s">
        <v>98</v>
      </c>
      <c r="AA521" s="357">
        <v>0</v>
      </c>
      <c r="AB521" s="351" t="s">
        <v>98</v>
      </c>
      <c r="AC521" s="351" t="s">
        <v>5049</v>
      </c>
      <c r="AD521" s="351" t="s">
        <v>1674</v>
      </c>
      <c r="AE521" s="357">
        <v>574</v>
      </c>
      <c r="AF521" s="357">
        <v>555</v>
      </c>
      <c r="AG521" s="351">
        <v>66010</v>
      </c>
      <c r="AH521" s="351">
        <v>64334</v>
      </c>
      <c r="AI521" s="355" t="s">
        <v>4995</v>
      </c>
      <c r="AJ521" s="356">
        <v>8.6999999999999993</v>
      </c>
      <c r="AK521" s="356">
        <f>(AE521/AG521)*1000</f>
        <v>8.695652173913043</v>
      </c>
      <c r="AL521" s="356" t="s">
        <v>276</v>
      </c>
      <c r="AM521" s="356" t="s">
        <v>276</v>
      </c>
      <c r="AN521" s="356">
        <v>8.6300000000000008</v>
      </c>
      <c r="AO521" s="356">
        <f>(AF521/AH521)*1000</f>
        <v>8.6268536077346347</v>
      </c>
      <c r="AP521" s="356" t="s">
        <v>276</v>
      </c>
      <c r="AQ521" s="356" t="s">
        <v>276</v>
      </c>
      <c r="AR521" s="357" t="s">
        <v>269</v>
      </c>
      <c r="AS521" s="356" t="s">
        <v>276</v>
      </c>
      <c r="AT521" s="356">
        <f>AK521/AO521</f>
        <v>1.0079749314531923</v>
      </c>
      <c r="AU521" s="356" t="s">
        <v>276</v>
      </c>
      <c r="AV521" s="356" t="s">
        <v>276</v>
      </c>
      <c r="AW521" s="357" t="s">
        <v>276</v>
      </c>
      <c r="AX521" s="351" t="s">
        <v>5038</v>
      </c>
      <c r="AY521" s="356">
        <v>1.02</v>
      </c>
      <c r="AZ521" s="356">
        <v>0.9</v>
      </c>
      <c r="BA521" s="356">
        <v>1.1399999999999999</v>
      </c>
      <c r="BB521" s="357" t="s">
        <v>276</v>
      </c>
      <c r="BC521" s="348" t="s">
        <v>5050</v>
      </c>
      <c r="BD521" s="348"/>
      <c r="BE521" s="33" t="s">
        <v>100</v>
      </c>
      <c r="BF521" s="33" t="s">
        <v>98</v>
      </c>
    </row>
    <row r="522" spans="1:147" s="358" customFormat="1" ht="65" x14ac:dyDescent="0.3">
      <c r="A522" s="357">
        <v>10548</v>
      </c>
      <c r="B522" s="357" t="s">
        <v>5029</v>
      </c>
      <c r="C522" s="357" t="s">
        <v>88</v>
      </c>
      <c r="D522" s="351" t="s">
        <v>5051</v>
      </c>
      <c r="E522" s="357" t="s">
        <v>43</v>
      </c>
      <c r="F522" s="351" t="s">
        <v>4987</v>
      </c>
      <c r="G522" s="357" t="s">
        <v>225</v>
      </c>
      <c r="H522" s="357" t="s">
        <v>125</v>
      </c>
      <c r="I522" s="357" t="s">
        <v>114</v>
      </c>
      <c r="J522" s="351" t="s">
        <v>23</v>
      </c>
      <c r="K522" s="351" t="s">
        <v>5031</v>
      </c>
      <c r="L522" s="351" t="s">
        <v>5032</v>
      </c>
      <c r="M522" s="357" t="s">
        <v>259</v>
      </c>
      <c r="N522" s="360" t="s">
        <v>5052</v>
      </c>
      <c r="O522" s="360" t="s">
        <v>207</v>
      </c>
      <c r="P522" s="363" t="s">
        <v>5034</v>
      </c>
      <c r="Q522" s="363" t="s">
        <v>98</v>
      </c>
      <c r="R522" s="351" t="s">
        <v>5053</v>
      </c>
      <c r="S522" s="351" t="s">
        <v>5054</v>
      </c>
      <c r="T522" s="348" t="s">
        <v>276</v>
      </c>
      <c r="U522" s="347" t="s">
        <v>276</v>
      </c>
      <c r="V522" s="347" t="s">
        <v>276</v>
      </c>
      <c r="W522" s="347" t="s">
        <v>276</v>
      </c>
      <c r="X522" s="347" t="s">
        <v>276</v>
      </c>
      <c r="Y522" s="357">
        <v>0</v>
      </c>
      <c r="Z522" s="351" t="s">
        <v>98</v>
      </c>
      <c r="AA522" s="357">
        <v>0</v>
      </c>
      <c r="AB522" s="351" t="s">
        <v>98</v>
      </c>
      <c r="AC522" s="351" t="s">
        <v>5055</v>
      </c>
      <c r="AD522" s="351" t="s">
        <v>1674</v>
      </c>
      <c r="AE522" s="357">
        <v>4635</v>
      </c>
      <c r="AF522" s="357">
        <v>6034</v>
      </c>
      <c r="AG522" s="354">
        <v>378539</v>
      </c>
      <c r="AH522" s="354">
        <v>480748</v>
      </c>
      <c r="AI522" s="355" t="s">
        <v>4995</v>
      </c>
      <c r="AJ522" s="356">
        <v>12.24</v>
      </c>
      <c r="AK522" s="356">
        <f>(AE522/AG522)*1000</f>
        <v>12.244445090202065</v>
      </c>
      <c r="AL522" s="356" t="s">
        <v>276</v>
      </c>
      <c r="AM522" s="356" t="s">
        <v>276</v>
      </c>
      <c r="AN522" s="356">
        <v>12.55</v>
      </c>
      <c r="AO522" s="356">
        <f>(AF522/AH522)*1000</f>
        <v>12.551274264271511</v>
      </c>
      <c r="AP522" s="356" t="s">
        <v>276</v>
      </c>
      <c r="AQ522" s="356" t="s">
        <v>276</v>
      </c>
      <c r="AR522" s="357" t="s">
        <v>269</v>
      </c>
      <c r="AS522" s="356" t="s">
        <v>276</v>
      </c>
      <c r="AT522" s="356">
        <f>AK522/AO522</f>
        <v>0.97555394236401427</v>
      </c>
      <c r="AU522" s="356" t="s">
        <v>276</v>
      </c>
      <c r="AV522" s="356" t="s">
        <v>276</v>
      </c>
      <c r="AW522" s="357" t="s">
        <v>276</v>
      </c>
      <c r="AX522" s="351" t="s">
        <v>5038</v>
      </c>
      <c r="AY522" s="356">
        <v>1</v>
      </c>
      <c r="AZ522" s="356">
        <v>0.96</v>
      </c>
      <c r="BA522" s="356">
        <v>1.04</v>
      </c>
      <c r="BB522" s="357" t="s">
        <v>276</v>
      </c>
      <c r="BC522" s="348" t="s">
        <v>5050</v>
      </c>
      <c r="BD522" s="348"/>
      <c r="BE522" s="33" t="s">
        <v>100</v>
      </c>
      <c r="BF522" s="33" t="s">
        <v>98</v>
      </c>
    </row>
    <row r="523" spans="1:147" s="358" customFormat="1" ht="65" x14ac:dyDescent="0.3">
      <c r="A523" s="357">
        <v>10548</v>
      </c>
      <c r="B523" s="357" t="s">
        <v>5029</v>
      </c>
      <c r="C523" s="357" t="s">
        <v>88</v>
      </c>
      <c r="D523" s="351" t="s">
        <v>5056</v>
      </c>
      <c r="E523" s="357" t="s">
        <v>43</v>
      </c>
      <c r="F523" s="351" t="s">
        <v>4987</v>
      </c>
      <c r="G523" s="357" t="s">
        <v>225</v>
      </c>
      <c r="H523" s="357" t="s">
        <v>125</v>
      </c>
      <c r="I523" s="357" t="s">
        <v>114</v>
      </c>
      <c r="J523" s="351" t="s">
        <v>23</v>
      </c>
      <c r="K523" s="351" t="s">
        <v>5031</v>
      </c>
      <c r="L523" s="351" t="s">
        <v>5032</v>
      </c>
      <c r="M523" s="357" t="s">
        <v>259</v>
      </c>
      <c r="N523" s="360" t="s">
        <v>5057</v>
      </c>
      <c r="O523" s="360" t="s">
        <v>207</v>
      </c>
      <c r="P523" s="363" t="s">
        <v>5034</v>
      </c>
      <c r="Q523" s="363" t="s">
        <v>98</v>
      </c>
      <c r="R523" s="351" t="s">
        <v>5058</v>
      </c>
      <c r="S523" s="351" t="s">
        <v>5059</v>
      </c>
      <c r="T523" s="348" t="s">
        <v>276</v>
      </c>
      <c r="U523" s="347" t="s">
        <v>276</v>
      </c>
      <c r="V523" s="347" t="s">
        <v>276</v>
      </c>
      <c r="W523" s="347" t="s">
        <v>276</v>
      </c>
      <c r="X523" s="347" t="s">
        <v>276</v>
      </c>
      <c r="Y523" s="357">
        <v>0</v>
      </c>
      <c r="Z523" s="351" t="s">
        <v>98</v>
      </c>
      <c r="AA523" s="357">
        <v>0</v>
      </c>
      <c r="AB523" s="351" t="s">
        <v>98</v>
      </c>
      <c r="AC523" s="351" t="s">
        <v>5060</v>
      </c>
      <c r="AD523" s="351" t="s">
        <v>1674</v>
      </c>
      <c r="AE523" s="357">
        <v>4481</v>
      </c>
      <c r="AF523" s="357">
        <v>5206</v>
      </c>
      <c r="AG523" s="354">
        <v>226339</v>
      </c>
      <c r="AH523" s="354">
        <v>261588</v>
      </c>
      <c r="AI523" s="355" t="s">
        <v>4995</v>
      </c>
      <c r="AJ523" s="356">
        <v>19.8</v>
      </c>
      <c r="AK523" s="356">
        <f>(AE523/AG523)*1000</f>
        <v>19.79773702278441</v>
      </c>
      <c r="AL523" s="356" t="s">
        <v>276</v>
      </c>
      <c r="AM523" s="356" t="s">
        <v>276</v>
      </c>
      <c r="AN523" s="356">
        <v>19.899999999999999</v>
      </c>
      <c r="AO523" s="356">
        <f>(AF523/AH523)*1000</f>
        <v>19.90152453476459</v>
      </c>
      <c r="AP523" s="356" t="s">
        <v>276</v>
      </c>
      <c r="AQ523" s="356" t="s">
        <v>276</v>
      </c>
      <c r="AR523" s="357" t="s">
        <v>269</v>
      </c>
      <c r="AS523" s="356" t="s">
        <v>276</v>
      </c>
      <c r="AT523" s="356">
        <f>AK523/AO523</f>
        <v>0.99478494666080075</v>
      </c>
      <c r="AU523" s="356" t="s">
        <v>276</v>
      </c>
      <c r="AV523" s="356" t="s">
        <v>276</v>
      </c>
      <c r="AW523" s="357" t="s">
        <v>276</v>
      </c>
      <c r="AX523" s="351" t="s">
        <v>5038</v>
      </c>
      <c r="AY523" s="356">
        <v>1.01</v>
      </c>
      <c r="AZ523" s="356">
        <v>0.97</v>
      </c>
      <c r="BA523" s="356">
        <v>1.05</v>
      </c>
      <c r="BB523" s="357" t="s">
        <v>276</v>
      </c>
      <c r="BC523" s="348" t="s">
        <v>5050</v>
      </c>
      <c r="BD523" s="348"/>
      <c r="BE523" s="33" t="s">
        <v>100</v>
      </c>
      <c r="BF523" s="33" t="s">
        <v>98</v>
      </c>
    </row>
    <row r="524" spans="1:147" s="358" customFormat="1" ht="65" x14ac:dyDescent="0.3">
      <c r="A524" s="357">
        <v>10548</v>
      </c>
      <c r="B524" s="357" t="s">
        <v>5029</v>
      </c>
      <c r="C524" s="357" t="s">
        <v>88</v>
      </c>
      <c r="D524" s="351" t="s">
        <v>5061</v>
      </c>
      <c r="E524" s="357" t="s">
        <v>43</v>
      </c>
      <c r="F524" s="351" t="s">
        <v>4987</v>
      </c>
      <c r="G524" s="357" t="s">
        <v>225</v>
      </c>
      <c r="H524" s="357" t="s">
        <v>125</v>
      </c>
      <c r="I524" s="357" t="s">
        <v>114</v>
      </c>
      <c r="J524" s="351" t="s">
        <v>23</v>
      </c>
      <c r="K524" s="351" t="s">
        <v>5031</v>
      </c>
      <c r="L524" s="351" t="s">
        <v>5032</v>
      </c>
      <c r="M524" s="357" t="s">
        <v>259</v>
      </c>
      <c r="N524" s="360" t="s">
        <v>5062</v>
      </c>
      <c r="O524" s="360" t="s">
        <v>207</v>
      </c>
      <c r="P524" s="363" t="s">
        <v>5034</v>
      </c>
      <c r="Q524" s="363" t="s">
        <v>98</v>
      </c>
      <c r="R524" s="351" t="s">
        <v>5063</v>
      </c>
      <c r="S524" s="351" t="s">
        <v>5064</v>
      </c>
      <c r="T524" s="348" t="s">
        <v>276</v>
      </c>
      <c r="U524" s="347" t="s">
        <v>276</v>
      </c>
      <c r="V524" s="347" t="s">
        <v>276</v>
      </c>
      <c r="W524" s="347" t="s">
        <v>276</v>
      </c>
      <c r="X524" s="347" t="s">
        <v>276</v>
      </c>
      <c r="Y524" s="357">
        <v>0</v>
      </c>
      <c r="Z524" s="351" t="s">
        <v>98</v>
      </c>
      <c r="AA524" s="357">
        <v>0</v>
      </c>
      <c r="AB524" s="351" t="s">
        <v>98</v>
      </c>
      <c r="AC524" s="351" t="s">
        <v>5065</v>
      </c>
      <c r="AD524" s="351" t="s">
        <v>1674</v>
      </c>
      <c r="AE524" s="357">
        <v>4801</v>
      </c>
      <c r="AF524" s="357">
        <v>6016</v>
      </c>
      <c r="AG524" s="354">
        <v>159355</v>
      </c>
      <c r="AH524" s="354">
        <v>190717</v>
      </c>
      <c r="AI524" s="355" t="s">
        <v>4995</v>
      </c>
      <c r="AJ524" s="356">
        <v>30.13</v>
      </c>
      <c r="AK524" s="356">
        <f>(AE524/AG524)*1000</f>
        <v>30.127702299896459</v>
      </c>
      <c r="AL524" s="356" t="s">
        <v>276</v>
      </c>
      <c r="AM524" s="356" t="s">
        <v>276</v>
      </c>
      <c r="AN524" s="356">
        <v>31.54</v>
      </c>
      <c r="AO524" s="356">
        <f>(AF524/AH524)*1000</f>
        <v>31.544120345852757</v>
      </c>
      <c r="AP524" s="356" t="s">
        <v>276</v>
      </c>
      <c r="AQ524" s="356" t="s">
        <v>276</v>
      </c>
      <c r="AR524" s="357" t="s">
        <v>269</v>
      </c>
      <c r="AS524" s="356" t="s">
        <v>276</v>
      </c>
      <c r="AT524" s="356">
        <f>AK524/AO524</f>
        <v>0.95509724061325674</v>
      </c>
      <c r="AU524" s="356" t="s">
        <v>276</v>
      </c>
      <c r="AV524" s="356" t="s">
        <v>276</v>
      </c>
      <c r="AW524" s="357" t="s">
        <v>276</v>
      </c>
      <c r="AX524" s="351" t="s">
        <v>5038</v>
      </c>
      <c r="AY524" s="356">
        <v>0.97</v>
      </c>
      <c r="AZ524" s="356">
        <v>0.93</v>
      </c>
      <c r="BA524" s="356">
        <v>1.01</v>
      </c>
      <c r="BB524" s="357" t="s">
        <v>276</v>
      </c>
      <c r="BC524" s="348" t="s">
        <v>5050</v>
      </c>
      <c r="BD524" s="348"/>
      <c r="BE524" s="33" t="s">
        <v>100</v>
      </c>
      <c r="BF524" s="33" t="s">
        <v>98</v>
      </c>
    </row>
    <row r="525" spans="1:147" s="358" customFormat="1" ht="65" x14ac:dyDescent="0.3">
      <c r="A525" s="357">
        <v>10548</v>
      </c>
      <c r="B525" s="357" t="s">
        <v>5029</v>
      </c>
      <c r="C525" s="357" t="s">
        <v>88</v>
      </c>
      <c r="D525" s="351" t="s">
        <v>5066</v>
      </c>
      <c r="E525" s="357" t="s">
        <v>43</v>
      </c>
      <c r="F525" s="351" t="s">
        <v>4987</v>
      </c>
      <c r="G525" s="357" t="s">
        <v>225</v>
      </c>
      <c r="H525" s="357" t="s">
        <v>125</v>
      </c>
      <c r="I525" s="357" t="s">
        <v>114</v>
      </c>
      <c r="J525" s="351" t="s">
        <v>23</v>
      </c>
      <c r="K525" s="351" t="s">
        <v>5031</v>
      </c>
      <c r="L525" s="351" t="s">
        <v>5032</v>
      </c>
      <c r="M525" s="357" t="s">
        <v>259</v>
      </c>
      <c r="N525" s="360" t="s">
        <v>5067</v>
      </c>
      <c r="O525" s="360" t="s">
        <v>207</v>
      </c>
      <c r="P525" s="363" t="s">
        <v>5034</v>
      </c>
      <c r="Q525" s="363" t="s">
        <v>98</v>
      </c>
      <c r="R525" s="351" t="s">
        <v>5068</v>
      </c>
      <c r="S525" s="351" t="s">
        <v>5069</v>
      </c>
      <c r="T525" s="351" t="s">
        <v>276</v>
      </c>
      <c r="U525" s="357" t="s">
        <v>276</v>
      </c>
      <c r="V525" s="357" t="s">
        <v>276</v>
      </c>
      <c r="W525" s="347" t="s">
        <v>276</v>
      </c>
      <c r="X525" s="347" t="s">
        <v>276</v>
      </c>
      <c r="Y525" s="357">
        <v>0</v>
      </c>
      <c r="Z525" s="351" t="s">
        <v>98</v>
      </c>
      <c r="AA525" s="357">
        <v>0</v>
      </c>
      <c r="AB525" s="351" t="s">
        <v>98</v>
      </c>
      <c r="AC525" s="351" t="s">
        <v>5070</v>
      </c>
      <c r="AD525" s="351" t="s">
        <v>1674</v>
      </c>
      <c r="AE525" s="357">
        <v>2246</v>
      </c>
      <c r="AF525" s="357">
        <v>2215</v>
      </c>
      <c r="AG525" s="354">
        <v>44402</v>
      </c>
      <c r="AH525" s="354">
        <v>45285</v>
      </c>
      <c r="AI525" s="355" t="s">
        <v>4995</v>
      </c>
      <c r="AJ525" s="356">
        <v>50.58</v>
      </c>
      <c r="AK525" s="356">
        <f>(AE525/AG525)*1000</f>
        <v>50.583307058240621</v>
      </c>
      <c r="AL525" s="356" t="s">
        <v>276</v>
      </c>
      <c r="AM525" s="356" t="s">
        <v>276</v>
      </c>
      <c r="AN525" s="356">
        <v>48.91</v>
      </c>
      <c r="AO525" s="356">
        <f>(AF525/AH525)*1000</f>
        <v>48.912443413933971</v>
      </c>
      <c r="AP525" s="356" t="s">
        <v>276</v>
      </c>
      <c r="AQ525" s="356" t="s">
        <v>276</v>
      </c>
      <c r="AR525" s="357" t="s">
        <v>269</v>
      </c>
      <c r="AS525" s="356" t="s">
        <v>276</v>
      </c>
      <c r="AT525" s="356">
        <f>AK525/AO525</f>
        <v>1.0341602980281837</v>
      </c>
      <c r="AU525" s="356" t="s">
        <v>276</v>
      </c>
      <c r="AV525" s="356" t="s">
        <v>276</v>
      </c>
      <c r="AW525" s="357" t="s">
        <v>276</v>
      </c>
      <c r="AX525" s="351" t="s">
        <v>5038</v>
      </c>
      <c r="AY525" s="356">
        <v>1.03</v>
      </c>
      <c r="AZ525" s="356">
        <v>0.97</v>
      </c>
      <c r="BA525" s="356">
        <v>1.0900000000000001</v>
      </c>
      <c r="BB525" s="357" t="s">
        <v>276</v>
      </c>
      <c r="BC525" s="348" t="s">
        <v>5050</v>
      </c>
      <c r="BD525" s="348"/>
      <c r="BE525" s="33" t="s">
        <v>100</v>
      </c>
      <c r="BF525" s="33" t="s">
        <v>98</v>
      </c>
    </row>
    <row r="526" spans="1:147" s="358" customFormat="1" ht="65" x14ac:dyDescent="0.3">
      <c r="A526" s="357">
        <v>10548</v>
      </c>
      <c r="B526" s="357" t="s">
        <v>5029</v>
      </c>
      <c r="C526" s="357" t="s">
        <v>88</v>
      </c>
      <c r="D526" s="351" t="s">
        <v>5071</v>
      </c>
      <c r="E526" s="357" t="s">
        <v>43</v>
      </c>
      <c r="F526" s="351" t="s">
        <v>4987</v>
      </c>
      <c r="G526" s="357" t="s">
        <v>225</v>
      </c>
      <c r="H526" s="357" t="s">
        <v>125</v>
      </c>
      <c r="I526" s="357" t="s">
        <v>114</v>
      </c>
      <c r="J526" s="351" t="s">
        <v>24</v>
      </c>
      <c r="K526" s="351" t="s">
        <v>5031</v>
      </c>
      <c r="L526" s="351" t="s">
        <v>5032</v>
      </c>
      <c r="M526" s="357" t="s">
        <v>259</v>
      </c>
      <c r="N526" s="360" t="s">
        <v>5072</v>
      </c>
      <c r="O526" s="360" t="s">
        <v>207</v>
      </c>
      <c r="P526" s="363" t="s">
        <v>5034</v>
      </c>
      <c r="Q526" s="363" t="s">
        <v>98</v>
      </c>
      <c r="R526" s="351" t="s">
        <v>5073</v>
      </c>
      <c r="S526" s="351" t="s">
        <v>5074</v>
      </c>
      <c r="T526" s="351" t="s">
        <v>276</v>
      </c>
      <c r="U526" s="354">
        <v>17443</v>
      </c>
      <c r="V526" s="355">
        <v>17390</v>
      </c>
      <c r="W526" s="347" t="s">
        <v>276</v>
      </c>
      <c r="X526" s="347" t="s">
        <v>276</v>
      </c>
      <c r="Y526" s="357" t="s">
        <v>276</v>
      </c>
      <c r="Z526" s="351" t="s">
        <v>1562</v>
      </c>
      <c r="AA526" s="357" t="s">
        <v>276</v>
      </c>
      <c r="AB526" s="351" t="s">
        <v>1562</v>
      </c>
      <c r="AC526" s="351" t="s">
        <v>5075</v>
      </c>
      <c r="AD526" s="348" t="s">
        <v>1674</v>
      </c>
      <c r="AE526" s="357">
        <v>69</v>
      </c>
      <c r="AF526" s="357">
        <v>97</v>
      </c>
      <c r="AG526" s="355">
        <v>186082</v>
      </c>
      <c r="AH526" s="355">
        <v>184999</v>
      </c>
      <c r="AI526" s="355" t="s">
        <v>4995</v>
      </c>
      <c r="AJ526" s="356">
        <v>0.37</v>
      </c>
      <c r="AK526" s="369">
        <f t="shared" si="64"/>
        <v>0.37080426908567188</v>
      </c>
      <c r="AL526" s="356" t="s">
        <v>276</v>
      </c>
      <c r="AM526" s="356" t="s">
        <v>276</v>
      </c>
      <c r="AN526" s="356">
        <v>0.52</v>
      </c>
      <c r="AO526" s="369">
        <f t="shared" si="65"/>
        <v>0.5243271585251813</v>
      </c>
      <c r="AP526" s="356" t="s">
        <v>276</v>
      </c>
      <c r="AQ526" s="356" t="s">
        <v>276</v>
      </c>
      <c r="AR526" s="357" t="s">
        <v>269</v>
      </c>
      <c r="AS526" s="356">
        <v>0.71</v>
      </c>
      <c r="AT526" s="356">
        <f t="shared" si="63"/>
        <v>0.70720019563484748</v>
      </c>
      <c r="AU526" s="359">
        <v>0.52</v>
      </c>
      <c r="AV526" s="359">
        <v>0.96</v>
      </c>
      <c r="AW526" s="356" t="s">
        <v>276</v>
      </c>
      <c r="AX526" s="357" t="s">
        <v>282</v>
      </c>
      <c r="AY526" s="357" t="s">
        <v>98</v>
      </c>
      <c r="AZ526" s="357" t="s">
        <v>98</v>
      </c>
      <c r="BA526" s="357" t="s">
        <v>98</v>
      </c>
      <c r="BB526" s="357" t="s">
        <v>98</v>
      </c>
      <c r="BC526" s="351" t="s">
        <v>5076</v>
      </c>
      <c r="BD526" s="348"/>
      <c r="BE526" s="33" t="s">
        <v>100</v>
      </c>
      <c r="BF526" s="33" t="s">
        <v>98</v>
      </c>
    </row>
    <row r="527" spans="1:147" s="358" customFormat="1" ht="65" x14ac:dyDescent="0.3">
      <c r="A527" s="357">
        <v>10548</v>
      </c>
      <c r="B527" s="357" t="s">
        <v>5029</v>
      </c>
      <c r="C527" s="357" t="s">
        <v>88</v>
      </c>
      <c r="D527" s="351" t="s">
        <v>5077</v>
      </c>
      <c r="E527" s="357" t="s">
        <v>43</v>
      </c>
      <c r="F527" s="351" t="s">
        <v>4987</v>
      </c>
      <c r="G527" s="357" t="s">
        <v>225</v>
      </c>
      <c r="H527" s="357" t="s">
        <v>125</v>
      </c>
      <c r="I527" s="357" t="s">
        <v>114</v>
      </c>
      <c r="J527" s="351" t="s">
        <v>24</v>
      </c>
      <c r="K527" s="351" t="s">
        <v>5031</v>
      </c>
      <c r="L527" s="351" t="s">
        <v>5032</v>
      </c>
      <c r="M527" s="357" t="s">
        <v>259</v>
      </c>
      <c r="N527" s="360" t="s">
        <v>5078</v>
      </c>
      <c r="O527" s="360" t="s">
        <v>207</v>
      </c>
      <c r="P527" s="363" t="s">
        <v>5034</v>
      </c>
      <c r="Q527" s="363" t="s">
        <v>98</v>
      </c>
      <c r="R527" s="351" t="s">
        <v>5079</v>
      </c>
      <c r="S527" s="351" t="s">
        <v>5080</v>
      </c>
      <c r="T527" s="351" t="s">
        <v>276</v>
      </c>
      <c r="U527" s="354">
        <v>4307</v>
      </c>
      <c r="V527" s="351">
        <v>4255</v>
      </c>
      <c r="W527" s="347" t="s">
        <v>276</v>
      </c>
      <c r="X527" s="347" t="s">
        <v>276</v>
      </c>
      <c r="Y527" s="357" t="s">
        <v>276</v>
      </c>
      <c r="Z527" s="351" t="s">
        <v>1562</v>
      </c>
      <c r="AA527" s="357" t="s">
        <v>276</v>
      </c>
      <c r="AB527" s="351" t="s">
        <v>1562</v>
      </c>
      <c r="AC527" s="351" t="s">
        <v>5075</v>
      </c>
      <c r="AD527" s="348" t="s">
        <v>1674</v>
      </c>
      <c r="AE527" s="357">
        <v>22</v>
      </c>
      <c r="AF527" s="357">
        <v>25</v>
      </c>
      <c r="AG527" s="351">
        <v>48270</v>
      </c>
      <c r="AH527" s="351">
        <v>47102</v>
      </c>
      <c r="AI527" s="355" t="s">
        <v>4995</v>
      </c>
      <c r="AJ527" s="356">
        <v>0.46</v>
      </c>
      <c r="AK527" s="369">
        <f t="shared" si="64"/>
        <v>0.45576962916925629</v>
      </c>
      <c r="AL527" s="356" t="s">
        <v>276</v>
      </c>
      <c r="AM527" s="356" t="s">
        <v>276</v>
      </c>
      <c r="AN527" s="356">
        <v>0.53</v>
      </c>
      <c r="AO527" s="369">
        <f t="shared" si="65"/>
        <v>0.53076302492463168</v>
      </c>
      <c r="AP527" s="356" t="s">
        <v>276</v>
      </c>
      <c r="AQ527" s="356" t="s">
        <v>276</v>
      </c>
      <c r="AR527" s="357" t="s">
        <v>269</v>
      </c>
      <c r="AS527" s="356">
        <v>0.86</v>
      </c>
      <c r="AT527" s="356">
        <f t="shared" si="63"/>
        <v>0.85870644292521237</v>
      </c>
      <c r="AU527" s="359">
        <v>0.48</v>
      </c>
      <c r="AV527" s="359">
        <v>1.52</v>
      </c>
      <c r="AW527" s="356" t="s">
        <v>276</v>
      </c>
      <c r="AX527" s="357" t="s">
        <v>282</v>
      </c>
      <c r="AY527" s="357" t="s">
        <v>98</v>
      </c>
      <c r="AZ527" s="357" t="s">
        <v>98</v>
      </c>
      <c r="BA527" s="357" t="s">
        <v>98</v>
      </c>
      <c r="BB527" s="357" t="s">
        <v>98</v>
      </c>
      <c r="BC527" s="351" t="s">
        <v>5076</v>
      </c>
      <c r="BD527" s="348"/>
      <c r="BE527" s="33" t="s">
        <v>100</v>
      </c>
      <c r="BF527" s="33" t="s">
        <v>98</v>
      </c>
    </row>
    <row r="528" spans="1:147" s="358" customFormat="1" ht="65" x14ac:dyDescent="0.3">
      <c r="A528" s="357">
        <v>10548</v>
      </c>
      <c r="B528" s="357" t="s">
        <v>5029</v>
      </c>
      <c r="C528" s="357" t="s">
        <v>88</v>
      </c>
      <c r="D528" s="351" t="s">
        <v>5081</v>
      </c>
      <c r="E528" s="357" t="s">
        <v>43</v>
      </c>
      <c r="F528" s="351" t="s">
        <v>4987</v>
      </c>
      <c r="G528" s="357" t="s">
        <v>225</v>
      </c>
      <c r="H528" s="357" t="s">
        <v>125</v>
      </c>
      <c r="I528" s="357" t="s">
        <v>114</v>
      </c>
      <c r="J528" s="351" t="s">
        <v>24</v>
      </c>
      <c r="K528" s="351" t="s">
        <v>5031</v>
      </c>
      <c r="L528" s="351" t="s">
        <v>5032</v>
      </c>
      <c r="M528" s="357" t="s">
        <v>259</v>
      </c>
      <c r="N528" s="360" t="s">
        <v>5082</v>
      </c>
      <c r="O528" s="360" t="s">
        <v>207</v>
      </c>
      <c r="P528" s="363" t="s">
        <v>5034</v>
      </c>
      <c r="Q528" s="363" t="s">
        <v>98</v>
      </c>
      <c r="R528" s="351" t="s">
        <v>5083</v>
      </c>
      <c r="S528" s="351" t="s">
        <v>5084</v>
      </c>
      <c r="T528" s="351" t="s">
        <v>276</v>
      </c>
      <c r="U528" s="354">
        <v>5901</v>
      </c>
      <c r="V528" s="351">
        <v>5951</v>
      </c>
      <c r="W528" s="347" t="s">
        <v>276</v>
      </c>
      <c r="X528" s="347" t="s">
        <v>276</v>
      </c>
      <c r="Y528" s="357" t="s">
        <v>276</v>
      </c>
      <c r="Z528" s="351" t="s">
        <v>1562</v>
      </c>
      <c r="AA528" s="357" t="s">
        <v>276</v>
      </c>
      <c r="AB528" s="351" t="s">
        <v>1562</v>
      </c>
      <c r="AC528" s="351" t="s">
        <v>5075</v>
      </c>
      <c r="AD528" s="348" t="s">
        <v>1674</v>
      </c>
      <c r="AE528" s="357">
        <v>39</v>
      </c>
      <c r="AF528" s="357">
        <v>70</v>
      </c>
      <c r="AG528" s="351">
        <v>73663</v>
      </c>
      <c r="AH528" s="351">
        <v>74031</v>
      </c>
      <c r="AI528" s="355" t="s">
        <v>4995</v>
      </c>
      <c r="AJ528" s="356">
        <v>0.53</v>
      </c>
      <c r="AK528" s="369">
        <f t="shared" si="64"/>
        <v>0.52943811682934439</v>
      </c>
      <c r="AL528" s="356" t="s">
        <v>276</v>
      </c>
      <c r="AM528" s="356" t="s">
        <v>276</v>
      </c>
      <c r="AN528" s="356">
        <v>0.95</v>
      </c>
      <c r="AO528" s="369">
        <f t="shared" si="65"/>
        <v>0.94554983723034947</v>
      </c>
      <c r="AP528" s="356" t="s">
        <v>276</v>
      </c>
      <c r="AQ528" s="356" t="s">
        <v>276</v>
      </c>
      <c r="AR528" s="357" t="s">
        <v>269</v>
      </c>
      <c r="AS528" s="356">
        <v>0.56000000000000005</v>
      </c>
      <c r="AT528" s="356">
        <f t="shared" si="63"/>
        <v>0.5599261889570456</v>
      </c>
      <c r="AU528" s="359">
        <v>0.48</v>
      </c>
      <c r="AV528" s="359">
        <v>1.52</v>
      </c>
      <c r="AW528" s="356" t="s">
        <v>276</v>
      </c>
      <c r="AX528" s="357" t="s">
        <v>282</v>
      </c>
      <c r="AY528" s="357" t="s">
        <v>98</v>
      </c>
      <c r="AZ528" s="357" t="s">
        <v>98</v>
      </c>
      <c r="BA528" s="357" t="s">
        <v>98</v>
      </c>
      <c r="BB528" s="357" t="s">
        <v>98</v>
      </c>
      <c r="BC528" s="351" t="s">
        <v>5076</v>
      </c>
      <c r="BD528" s="348"/>
      <c r="BE528" s="33" t="s">
        <v>100</v>
      </c>
      <c r="BF528" s="33" t="s">
        <v>98</v>
      </c>
    </row>
    <row r="529" spans="1:58" s="358" customFormat="1" ht="65" x14ac:dyDescent="0.3">
      <c r="A529" s="357">
        <v>10548</v>
      </c>
      <c r="B529" s="357" t="s">
        <v>5029</v>
      </c>
      <c r="C529" s="357" t="s">
        <v>88</v>
      </c>
      <c r="D529" s="351" t="s">
        <v>5085</v>
      </c>
      <c r="E529" s="357" t="s">
        <v>43</v>
      </c>
      <c r="F529" s="351" t="s">
        <v>4987</v>
      </c>
      <c r="G529" s="357" t="s">
        <v>225</v>
      </c>
      <c r="H529" s="357" t="s">
        <v>125</v>
      </c>
      <c r="I529" s="357" t="s">
        <v>114</v>
      </c>
      <c r="J529" s="351" t="s">
        <v>24</v>
      </c>
      <c r="K529" s="351" t="s">
        <v>5031</v>
      </c>
      <c r="L529" s="351" t="s">
        <v>5032</v>
      </c>
      <c r="M529" s="357" t="s">
        <v>259</v>
      </c>
      <c r="N529" s="360" t="s">
        <v>5086</v>
      </c>
      <c r="O529" s="360" t="s">
        <v>207</v>
      </c>
      <c r="P529" s="363" t="s">
        <v>5034</v>
      </c>
      <c r="Q529" s="363" t="s">
        <v>98</v>
      </c>
      <c r="R529" s="351" t="s">
        <v>5087</v>
      </c>
      <c r="S529" s="351" t="s">
        <v>5088</v>
      </c>
      <c r="T529" s="351" t="s">
        <v>276</v>
      </c>
      <c r="U529" s="354">
        <v>31970</v>
      </c>
      <c r="V529" s="355">
        <v>48409</v>
      </c>
      <c r="W529" s="347" t="s">
        <v>276</v>
      </c>
      <c r="X529" s="347" t="s">
        <v>276</v>
      </c>
      <c r="Y529" s="357" t="s">
        <v>276</v>
      </c>
      <c r="Z529" s="351" t="s">
        <v>1562</v>
      </c>
      <c r="AA529" s="357" t="s">
        <v>276</v>
      </c>
      <c r="AB529" s="351" t="s">
        <v>1562</v>
      </c>
      <c r="AC529" s="351" t="s">
        <v>5075</v>
      </c>
      <c r="AD529" s="348" t="s">
        <v>1674</v>
      </c>
      <c r="AE529" s="357">
        <v>139</v>
      </c>
      <c r="AF529" s="357">
        <v>237</v>
      </c>
      <c r="AG529" s="351">
        <v>333535</v>
      </c>
      <c r="AH529" s="351">
        <v>504263</v>
      </c>
      <c r="AI529" s="355" t="s">
        <v>4995</v>
      </c>
      <c r="AJ529" s="356">
        <v>0.42</v>
      </c>
      <c r="AK529" s="369">
        <f t="shared" si="64"/>
        <v>0.41674786754013821</v>
      </c>
      <c r="AL529" s="356" t="s">
        <v>276</v>
      </c>
      <c r="AM529" s="356" t="s">
        <v>276</v>
      </c>
      <c r="AN529" s="356">
        <v>0.47</v>
      </c>
      <c r="AO529" s="369">
        <f t="shared" si="65"/>
        <v>0.46999284103731581</v>
      </c>
      <c r="AP529" s="356" t="s">
        <v>276</v>
      </c>
      <c r="AQ529" s="356" t="s">
        <v>276</v>
      </c>
      <c r="AR529" s="357" t="s">
        <v>269</v>
      </c>
      <c r="AS529" s="356">
        <v>0.89</v>
      </c>
      <c r="AT529" s="356">
        <f t="shared" si="63"/>
        <v>0.88671109674849247</v>
      </c>
      <c r="AU529" s="359">
        <v>0.48</v>
      </c>
      <c r="AV529" s="359">
        <v>1.52</v>
      </c>
      <c r="AW529" s="356" t="s">
        <v>276</v>
      </c>
      <c r="AX529" s="357" t="s">
        <v>282</v>
      </c>
      <c r="AY529" s="357" t="s">
        <v>98</v>
      </c>
      <c r="AZ529" s="357" t="s">
        <v>98</v>
      </c>
      <c r="BA529" s="357" t="s">
        <v>98</v>
      </c>
      <c r="BB529" s="357" t="s">
        <v>98</v>
      </c>
      <c r="BC529" s="351" t="s">
        <v>5076</v>
      </c>
      <c r="BD529" s="348"/>
      <c r="BE529" s="33" t="s">
        <v>100</v>
      </c>
      <c r="BF529" s="33" t="s">
        <v>98</v>
      </c>
    </row>
    <row r="530" spans="1:58" s="358" customFormat="1" ht="65" x14ac:dyDescent="0.3">
      <c r="A530" s="357">
        <v>10548</v>
      </c>
      <c r="B530" s="357" t="s">
        <v>5029</v>
      </c>
      <c r="C530" s="357" t="s">
        <v>88</v>
      </c>
      <c r="D530" s="351" t="s">
        <v>5089</v>
      </c>
      <c r="E530" s="357" t="s">
        <v>43</v>
      </c>
      <c r="F530" s="351" t="s">
        <v>4987</v>
      </c>
      <c r="G530" s="357" t="s">
        <v>225</v>
      </c>
      <c r="H530" s="357" t="s">
        <v>125</v>
      </c>
      <c r="I530" s="357" t="s">
        <v>114</v>
      </c>
      <c r="J530" s="351" t="s">
        <v>24</v>
      </c>
      <c r="K530" s="351" t="s">
        <v>5031</v>
      </c>
      <c r="L530" s="351" t="s">
        <v>5032</v>
      </c>
      <c r="M530" s="357" t="s">
        <v>259</v>
      </c>
      <c r="N530" s="360" t="s">
        <v>5090</v>
      </c>
      <c r="O530" s="360" t="s">
        <v>207</v>
      </c>
      <c r="P530" s="363" t="s">
        <v>5034</v>
      </c>
      <c r="Q530" s="363" t="s">
        <v>98</v>
      </c>
      <c r="R530" s="351" t="s">
        <v>5091</v>
      </c>
      <c r="S530" s="351" t="s">
        <v>5092</v>
      </c>
      <c r="T530" s="351" t="s">
        <v>276</v>
      </c>
      <c r="U530" s="354">
        <v>7266</v>
      </c>
      <c r="V530" s="355">
        <v>7251</v>
      </c>
      <c r="W530" s="347" t="s">
        <v>276</v>
      </c>
      <c r="X530" s="347" t="s">
        <v>276</v>
      </c>
      <c r="Y530" s="357" t="s">
        <v>276</v>
      </c>
      <c r="Z530" s="351" t="s">
        <v>1562</v>
      </c>
      <c r="AA530" s="357" t="s">
        <v>276</v>
      </c>
      <c r="AB530" s="351" t="s">
        <v>1562</v>
      </c>
      <c r="AC530" s="351" t="s">
        <v>5075</v>
      </c>
      <c r="AD530" s="348" t="s">
        <v>1674</v>
      </c>
      <c r="AE530" s="357">
        <v>19</v>
      </c>
      <c r="AF530" s="357">
        <v>22</v>
      </c>
      <c r="AG530" s="351">
        <v>72315</v>
      </c>
      <c r="AH530" s="351">
        <v>71691</v>
      </c>
      <c r="AI530" s="355" t="s">
        <v>4995</v>
      </c>
      <c r="AJ530" s="356">
        <v>0.26</v>
      </c>
      <c r="AK530" s="369">
        <f t="shared" si="64"/>
        <v>0.26273940399640466</v>
      </c>
      <c r="AL530" s="356" t="s">
        <v>276</v>
      </c>
      <c r="AM530" s="356" t="s">
        <v>276</v>
      </c>
      <c r="AN530" s="356">
        <v>0.31</v>
      </c>
      <c r="AO530" s="369">
        <f t="shared" si="65"/>
        <v>0.30687255025038013</v>
      </c>
      <c r="AP530" s="356" t="s">
        <v>276</v>
      </c>
      <c r="AQ530" s="356" t="s">
        <v>276</v>
      </c>
      <c r="AR530" s="357" t="s">
        <v>269</v>
      </c>
      <c r="AS530" s="356">
        <v>0.86</v>
      </c>
      <c r="AT530" s="356">
        <f t="shared" si="63"/>
        <v>0.85618411872301114</v>
      </c>
      <c r="AU530" s="359">
        <v>0.48</v>
      </c>
      <c r="AV530" s="359">
        <v>1.52</v>
      </c>
      <c r="AW530" s="356" t="s">
        <v>276</v>
      </c>
      <c r="AX530" s="357" t="s">
        <v>282</v>
      </c>
      <c r="AY530" s="357" t="s">
        <v>98</v>
      </c>
      <c r="AZ530" s="357" t="s">
        <v>98</v>
      </c>
      <c r="BA530" s="357" t="s">
        <v>98</v>
      </c>
      <c r="BB530" s="357" t="s">
        <v>98</v>
      </c>
      <c r="BC530" s="351" t="s">
        <v>5076</v>
      </c>
      <c r="BD530" s="348"/>
      <c r="BE530" s="33" t="s">
        <v>100</v>
      </c>
      <c r="BF530" s="33" t="s">
        <v>98</v>
      </c>
    </row>
    <row r="531" spans="1:58" s="358" customFormat="1" ht="65" x14ac:dyDescent="0.3">
      <c r="A531" s="357">
        <v>10548</v>
      </c>
      <c r="B531" s="357" t="s">
        <v>5029</v>
      </c>
      <c r="C531" s="357" t="s">
        <v>88</v>
      </c>
      <c r="D531" s="351" t="s">
        <v>5093</v>
      </c>
      <c r="E531" s="357" t="s">
        <v>43</v>
      </c>
      <c r="F531" s="351" t="s">
        <v>4987</v>
      </c>
      <c r="G531" s="357" t="s">
        <v>225</v>
      </c>
      <c r="H531" s="357" t="s">
        <v>125</v>
      </c>
      <c r="I531" s="357" t="s">
        <v>114</v>
      </c>
      <c r="J531" s="351" t="s">
        <v>24</v>
      </c>
      <c r="K531" s="351" t="s">
        <v>5031</v>
      </c>
      <c r="L531" s="351" t="s">
        <v>5032</v>
      </c>
      <c r="M531" s="357" t="s">
        <v>259</v>
      </c>
      <c r="N531" s="360" t="s">
        <v>5094</v>
      </c>
      <c r="O531" s="360" t="s">
        <v>207</v>
      </c>
      <c r="P531" s="363" t="s">
        <v>5034</v>
      </c>
      <c r="Q531" s="363" t="s">
        <v>98</v>
      </c>
      <c r="R531" s="351" t="s">
        <v>5095</v>
      </c>
      <c r="S531" s="351" t="s">
        <v>5096</v>
      </c>
      <c r="T531" s="351" t="s">
        <v>276</v>
      </c>
      <c r="U531" s="354">
        <v>1056</v>
      </c>
      <c r="V531" s="355">
        <v>1141</v>
      </c>
      <c r="W531" s="347" t="s">
        <v>276</v>
      </c>
      <c r="X531" s="347" t="s">
        <v>276</v>
      </c>
      <c r="Y531" s="357" t="s">
        <v>276</v>
      </c>
      <c r="Z531" s="351" t="s">
        <v>1562</v>
      </c>
      <c r="AA531" s="357" t="s">
        <v>276</v>
      </c>
      <c r="AB531" s="351" t="s">
        <v>1562</v>
      </c>
      <c r="AC531" s="351" t="s">
        <v>5075</v>
      </c>
      <c r="AD531" s="348" t="s">
        <v>1674</v>
      </c>
      <c r="AE531" s="357">
        <v>2</v>
      </c>
      <c r="AF531" s="357">
        <v>1</v>
      </c>
      <c r="AG531" s="351">
        <v>10969</v>
      </c>
      <c r="AH531" s="351">
        <v>11819</v>
      </c>
      <c r="AI531" s="355" t="s">
        <v>4995</v>
      </c>
      <c r="AJ531" s="356">
        <v>0.18</v>
      </c>
      <c r="AK531" s="369">
        <f t="shared" si="64"/>
        <v>0.1823320266204759</v>
      </c>
      <c r="AL531" s="356" t="s">
        <v>276</v>
      </c>
      <c r="AM531" s="356" t="s">
        <v>276</v>
      </c>
      <c r="AN531" s="356">
        <v>0.08</v>
      </c>
      <c r="AO531" s="369">
        <f t="shared" si="65"/>
        <v>8.4609527032743895E-2</v>
      </c>
      <c r="AP531" s="356" t="s">
        <v>276</v>
      </c>
      <c r="AQ531" s="356" t="s">
        <v>276</v>
      </c>
      <c r="AR531" s="357" t="s">
        <v>269</v>
      </c>
      <c r="AS531" s="356">
        <v>2.15</v>
      </c>
      <c r="AT531" s="356">
        <f t="shared" si="63"/>
        <v>2.1549822226274045</v>
      </c>
      <c r="AU531" s="359">
        <v>0.48</v>
      </c>
      <c r="AV531" s="359">
        <v>1.52</v>
      </c>
      <c r="AW531" s="356" t="s">
        <v>276</v>
      </c>
      <c r="AX531" s="357" t="s">
        <v>282</v>
      </c>
      <c r="AY531" s="357" t="s">
        <v>98</v>
      </c>
      <c r="AZ531" s="357" t="s">
        <v>98</v>
      </c>
      <c r="BA531" s="357" t="s">
        <v>98</v>
      </c>
      <c r="BB531" s="357" t="s">
        <v>98</v>
      </c>
      <c r="BC531" s="351" t="s">
        <v>5076</v>
      </c>
      <c r="BD531" s="348"/>
      <c r="BE531" s="33" t="s">
        <v>100</v>
      </c>
      <c r="BF531" s="33" t="s">
        <v>98</v>
      </c>
    </row>
    <row r="532" spans="1:58" s="358" customFormat="1" ht="65" x14ac:dyDescent="0.3">
      <c r="A532" s="357">
        <v>10548</v>
      </c>
      <c r="B532" s="357" t="s">
        <v>5029</v>
      </c>
      <c r="C532" s="357" t="s">
        <v>88</v>
      </c>
      <c r="D532" s="351" t="s">
        <v>5097</v>
      </c>
      <c r="E532" s="357" t="s">
        <v>43</v>
      </c>
      <c r="F532" s="351" t="s">
        <v>4987</v>
      </c>
      <c r="G532" s="357" t="s">
        <v>225</v>
      </c>
      <c r="H532" s="357" t="s">
        <v>125</v>
      </c>
      <c r="I532" s="357" t="s">
        <v>114</v>
      </c>
      <c r="J532" s="351" t="s">
        <v>24</v>
      </c>
      <c r="K532" s="351" t="s">
        <v>5031</v>
      </c>
      <c r="L532" s="351" t="s">
        <v>5032</v>
      </c>
      <c r="M532" s="357" t="s">
        <v>259</v>
      </c>
      <c r="N532" s="360" t="s">
        <v>5098</v>
      </c>
      <c r="O532" s="360" t="s">
        <v>207</v>
      </c>
      <c r="P532" s="363" t="s">
        <v>5034</v>
      </c>
      <c r="Q532" s="363" t="s">
        <v>98</v>
      </c>
      <c r="R532" s="351" t="s">
        <v>5099</v>
      </c>
      <c r="S532" s="351" t="s">
        <v>5100</v>
      </c>
      <c r="T532" s="351" t="s">
        <v>276</v>
      </c>
      <c r="U532" s="354">
        <v>4948</v>
      </c>
      <c r="V532" s="355">
        <v>4955</v>
      </c>
      <c r="W532" s="347" t="s">
        <v>276</v>
      </c>
      <c r="X532" s="347" t="s">
        <v>276</v>
      </c>
      <c r="Y532" s="357" t="s">
        <v>276</v>
      </c>
      <c r="Z532" s="351" t="s">
        <v>1562</v>
      </c>
      <c r="AA532" s="357" t="s">
        <v>276</v>
      </c>
      <c r="AB532" s="351" t="s">
        <v>1562</v>
      </c>
      <c r="AC532" s="351" t="s">
        <v>5075</v>
      </c>
      <c r="AD532" s="348" t="s">
        <v>1674</v>
      </c>
      <c r="AE532" s="357">
        <v>9</v>
      </c>
      <c r="AF532" s="357">
        <v>10</v>
      </c>
      <c r="AG532" s="351">
        <v>39398</v>
      </c>
      <c r="AH532" s="351">
        <v>39147</v>
      </c>
      <c r="AI532" s="355" t="s">
        <v>4995</v>
      </c>
      <c r="AJ532" s="356">
        <v>0.23</v>
      </c>
      <c r="AK532" s="369">
        <f t="shared" si="64"/>
        <v>0.22843799177623231</v>
      </c>
      <c r="AL532" s="356" t="s">
        <v>276</v>
      </c>
      <c r="AM532" s="356" t="s">
        <v>276</v>
      </c>
      <c r="AN532" s="356">
        <v>0.26</v>
      </c>
      <c r="AO532" s="369">
        <f t="shared" si="65"/>
        <v>0.25544741614938565</v>
      </c>
      <c r="AP532" s="356" t="s">
        <v>276</v>
      </c>
      <c r="AQ532" s="356" t="s">
        <v>276</v>
      </c>
      <c r="AR532" s="357" t="s">
        <v>269</v>
      </c>
      <c r="AS532" s="356">
        <v>0.89</v>
      </c>
      <c r="AT532" s="356">
        <f t="shared" si="63"/>
        <v>0.89426620640641663</v>
      </c>
      <c r="AU532" s="359">
        <v>0.48</v>
      </c>
      <c r="AV532" s="359">
        <v>1.52</v>
      </c>
      <c r="AW532" s="356" t="s">
        <v>276</v>
      </c>
      <c r="AX532" s="357" t="s">
        <v>282</v>
      </c>
      <c r="AY532" s="357" t="s">
        <v>98</v>
      </c>
      <c r="AZ532" s="357" t="s">
        <v>98</v>
      </c>
      <c r="BA532" s="357" t="s">
        <v>98</v>
      </c>
      <c r="BB532" s="357" t="s">
        <v>98</v>
      </c>
      <c r="BC532" s="351" t="s">
        <v>5076</v>
      </c>
      <c r="BD532" s="348"/>
      <c r="BE532" s="33" t="s">
        <v>100</v>
      </c>
      <c r="BF532" s="33" t="s">
        <v>98</v>
      </c>
    </row>
    <row r="533" spans="1:58" s="358" customFormat="1" ht="78" x14ac:dyDescent="0.3">
      <c r="A533" s="357">
        <v>10548</v>
      </c>
      <c r="B533" s="357" t="s">
        <v>5029</v>
      </c>
      <c r="C533" s="357" t="s">
        <v>88</v>
      </c>
      <c r="D533" s="351" t="s">
        <v>5101</v>
      </c>
      <c r="E533" s="357" t="s">
        <v>43</v>
      </c>
      <c r="F533" s="351" t="s">
        <v>4987</v>
      </c>
      <c r="G533" s="357" t="s">
        <v>225</v>
      </c>
      <c r="H533" s="357" t="s">
        <v>125</v>
      </c>
      <c r="I533" s="357" t="s">
        <v>114</v>
      </c>
      <c r="J533" s="351" t="s">
        <v>24</v>
      </c>
      <c r="K533" s="351" t="s">
        <v>5031</v>
      </c>
      <c r="L533" s="351" t="s">
        <v>5032</v>
      </c>
      <c r="M533" s="357" t="s">
        <v>259</v>
      </c>
      <c r="N533" s="360" t="s">
        <v>5033</v>
      </c>
      <c r="O533" s="360" t="s">
        <v>207</v>
      </c>
      <c r="P533" s="363" t="s">
        <v>5034</v>
      </c>
      <c r="Q533" s="363" t="s">
        <v>98</v>
      </c>
      <c r="R533" s="351" t="s">
        <v>5102</v>
      </c>
      <c r="S533" s="351" t="s">
        <v>5103</v>
      </c>
      <c r="T533" s="351" t="s">
        <v>276</v>
      </c>
      <c r="U533" s="354">
        <v>72981</v>
      </c>
      <c r="V533" s="354">
        <v>89352</v>
      </c>
      <c r="W533" s="347" t="s">
        <v>276</v>
      </c>
      <c r="X533" s="357" t="s">
        <v>276</v>
      </c>
      <c r="Y533" s="357" t="s">
        <v>276</v>
      </c>
      <c r="Z533" s="351" t="s">
        <v>1562</v>
      </c>
      <c r="AA533" s="357" t="s">
        <v>276</v>
      </c>
      <c r="AB533" s="351" t="s">
        <v>1562</v>
      </c>
      <c r="AC533" s="351" t="s">
        <v>5104</v>
      </c>
      <c r="AD533" s="348" t="s">
        <v>1674</v>
      </c>
      <c r="AE533" s="347">
        <v>299</v>
      </c>
      <c r="AF533" s="347">
        <v>462</v>
      </c>
      <c r="AG533" s="352">
        <v>764233</v>
      </c>
      <c r="AH533" s="352">
        <v>933052</v>
      </c>
      <c r="AI533" s="355" t="s">
        <v>4995</v>
      </c>
      <c r="AJ533" s="359">
        <v>0.39</v>
      </c>
      <c r="AK533" s="359">
        <f t="shared" si="64"/>
        <v>0.39124193799534962</v>
      </c>
      <c r="AL533" s="359" t="s">
        <v>276</v>
      </c>
      <c r="AM533" s="359" t="s">
        <v>276</v>
      </c>
      <c r="AN533" s="359">
        <v>0.5</v>
      </c>
      <c r="AO533" s="369">
        <f t="shared" si="65"/>
        <v>0.49514925213171401</v>
      </c>
      <c r="AP533" s="356" t="s">
        <v>276</v>
      </c>
      <c r="AQ533" s="356" t="s">
        <v>276</v>
      </c>
      <c r="AR533" s="357" t="s">
        <v>269</v>
      </c>
      <c r="AS533" s="356" t="s">
        <v>276</v>
      </c>
      <c r="AT533" s="356">
        <f t="shared" si="63"/>
        <v>0.79014950807453888</v>
      </c>
      <c r="AU533" s="356" t="s">
        <v>276</v>
      </c>
      <c r="AV533" s="356" t="s">
        <v>276</v>
      </c>
      <c r="AW533" s="357" t="s">
        <v>276</v>
      </c>
      <c r="AX533" s="351" t="s">
        <v>5038</v>
      </c>
      <c r="AY533" s="356">
        <v>0.79</v>
      </c>
      <c r="AZ533" s="356">
        <v>0.68</v>
      </c>
      <c r="BA533" s="356">
        <v>0.91</v>
      </c>
      <c r="BB533" s="357">
        <v>1E-3</v>
      </c>
      <c r="BC533" s="351" t="s">
        <v>5105</v>
      </c>
      <c r="BD533" s="348"/>
      <c r="BE533" s="33" t="s">
        <v>99</v>
      </c>
      <c r="BF533" s="399" t="s">
        <v>11162</v>
      </c>
    </row>
    <row r="534" spans="1:58" s="365" customFormat="1" ht="65" x14ac:dyDescent="0.3">
      <c r="A534" s="357">
        <v>10548</v>
      </c>
      <c r="B534" s="357" t="s">
        <v>5029</v>
      </c>
      <c r="C534" s="357" t="s">
        <v>88</v>
      </c>
      <c r="D534" s="351" t="s">
        <v>5106</v>
      </c>
      <c r="E534" s="357" t="s">
        <v>43</v>
      </c>
      <c r="F534" s="351" t="s">
        <v>4987</v>
      </c>
      <c r="G534" s="357" t="s">
        <v>225</v>
      </c>
      <c r="H534" s="357" t="s">
        <v>125</v>
      </c>
      <c r="I534" s="357" t="s">
        <v>114</v>
      </c>
      <c r="J534" s="351" t="s">
        <v>24</v>
      </c>
      <c r="K534" s="351" t="s">
        <v>5031</v>
      </c>
      <c r="L534" s="351" t="s">
        <v>5032</v>
      </c>
      <c r="M534" s="357" t="s">
        <v>261</v>
      </c>
      <c r="N534" s="360" t="s">
        <v>5000</v>
      </c>
      <c r="O534" s="360" t="s">
        <v>207</v>
      </c>
      <c r="P534" s="363" t="s">
        <v>5034</v>
      </c>
      <c r="Q534" s="350" t="s">
        <v>98</v>
      </c>
      <c r="R534" s="351" t="s">
        <v>5041</v>
      </c>
      <c r="S534" s="351" t="s">
        <v>5042</v>
      </c>
      <c r="T534" s="351" t="s">
        <v>276</v>
      </c>
      <c r="U534" s="354">
        <v>82816</v>
      </c>
      <c r="V534" s="354">
        <v>99183</v>
      </c>
      <c r="W534" s="357" t="s">
        <v>276</v>
      </c>
      <c r="X534" s="357" t="s">
        <v>276</v>
      </c>
      <c r="Y534" s="357" t="s">
        <v>276</v>
      </c>
      <c r="Z534" s="351" t="s">
        <v>1562</v>
      </c>
      <c r="AA534" s="357" t="s">
        <v>276</v>
      </c>
      <c r="AB534" s="351" t="s">
        <v>1562</v>
      </c>
      <c r="AC534" s="351" t="s">
        <v>5107</v>
      </c>
      <c r="AD534" s="351" t="s">
        <v>1674</v>
      </c>
      <c r="AE534" s="357">
        <v>364</v>
      </c>
      <c r="AF534" s="357">
        <v>522</v>
      </c>
      <c r="AG534" s="354">
        <v>874644</v>
      </c>
      <c r="AH534" s="354">
        <v>1042672</v>
      </c>
      <c r="AI534" s="355" t="s">
        <v>4995</v>
      </c>
      <c r="AJ534" s="356">
        <v>0.42</v>
      </c>
      <c r="AK534" s="369">
        <f t="shared" si="64"/>
        <v>0.41616932146107444</v>
      </c>
      <c r="AL534" s="356" t="s">
        <v>276</v>
      </c>
      <c r="AM534" s="356" t="s">
        <v>276</v>
      </c>
      <c r="AN534" s="356">
        <v>0.5</v>
      </c>
      <c r="AO534" s="369">
        <f t="shared" si="65"/>
        <v>0.50063682538708243</v>
      </c>
      <c r="AP534" s="356" t="s">
        <v>276</v>
      </c>
      <c r="AQ534" s="356" t="s">
        <v>276</v>
      </c>
      <c r="AR534" s="357" t="s">
        <v>269</v>
      </c>
      <c r="AS534" s="356" t="s">
        <v>276</v>
      </c>
      <c r="AT534" s="356">
        <f t="shared" si="63"/>
        <v>0.83127988265605635</v>
      </c>
      <c r="AU534" s="356" t="s">
        <v>276</v>
      </c>
      <c r="AV534" s="356" t="s">
        <v>276</v>
      </c>
      <c r="AW534" s="356" t="s">
        <v>276</v>
      </c>
      <c r="AX534" s="351" t="s">
        <v>5038</v>
      </c>
      <c r="AY534" s="356">
        <v>0.83</v>
      </c>
      <c r="AZ534" s="356">
        <v>0.72</v>
      </c>
      <c r="BA534" s="356">
        <v>0.94</v>
      </c>
      <c r="BB534" s="357">
        <v>5.0000000000000001E-3</v>
      </c>
      <c r="BC534" s="351" t="s">
        <v>5044</v>
      </c>
      <c r="BD534" s="364"/>
      <c r="BE534" s="33" t="s">
        <v>100</v>
      </c>
      <c r="BF534" s="33" t="s">
        <v>98</v>
      </c>
    </row>
    <row r="535" spans="1:58" s="365" customFormat="1" ht="65" x14ac:dyDescent="0.3">
      <c r="A535" s="357">
        <v>10548</v>
      </c>
      <c r="B535" s="357" t="s">
        <v>5029</v>
      </c>
      <c r="C535" s="357" t="s">
        <v>88</v>
      </c>
      <c r="D535" s="351" t="s">
        <v>5108</v>
      </c>
      <c r="E535" s="357" t="s">
        <v>43</v>
      </c>
      <c r="F535" s="351" t="s">
        <v>4987</v>
      </c>
      <c r="G535" s="357" t="s">
        <v>225</v>
      </c>
      <c r="H535" s="357" t="s">
        <v>125</v>
      </c>
      <c r="I535" s="357" t="s">
        <v>114</v>
      </c>
      <c r="J535" s="351" t="s">
        <v>24</v>
      </c>
      <c r="K535" s="351" t="s">
        <v>5031</v>
      </c>
      <c r="L535" s="351" t="s">
        <v>5032</v>
      </c>
      <c r="M535" s="357" t="s">
        <v>259</v>
      </c>
      <c r="N535" s="360" t="s">
        <v>5046</v>
      </c>
      <c r="O535" s="360" t="s">
        <v>207</v>
      </c>
      <c r="P535" s="363" t="s">
        <v>5034</v>
      </c>
      <c r="Q535" s="350" t="s">
        <v>98</v>
      </c>
      <c r="R535" s="351" t="s">
        <v>5047</v>
      </c>
      <c r="S535" s="351" t="s">
        <v>5048</v>
      </c>
      <c r="T535" s="351" t="s">
        <v>276</v>
      </c>
      <c r="U535" s="357" t="s">
        <v>276</v>
      </c>
      <c r="V535" s="357" t="s">
        <v>276</v>
      </c>
      <c r="W535" s="357" t="s">
        <v>276</v>
      </c>
      <c r="X535" s="357" t="s">
        <v>276</v>
      </c>
      <c r="Y535" s="357" t="s">
        <v>276</v>
      </c>
      <c r="Z535" s="351" t="s">
        <v>1562</v>
      </c>
      <c r="AA535" s="357" t="s">
        <v>276</v>
      </c>
      <c r="AB535" s="351" t="s">
        <v>1562</v>
      </c>
      <c r="AC535" s="351" t="s">
        <v>5109</v>
      </c>
      <c r="AD535" s="351" t="s">
        <v>1674</v>
      </c>
      <c r="AE535" s="357">
        <v>6</v>
      </c>
      <c r="AF535" s="357">
        <v>9</v>
      </c>
      <c r="AG535" s="351">
        <v>66010</v>
      </c>
      <c r="AH535" s="351">
        <v>64334</v>
      </c>
      <c r="AI535" s="355" t="s">
        <v>4995</v>
      </c>
      <c r="AJ535" s="356">
        <v>0.09</v>
      </c>
      <c r="AK535" s="356">
        <f t="shared" si="64"/>
        <v>9.0895318891077104E-2</v>
      </c>
      <c r="AL535" s="356" t="s">
        <v>276</v>
      </c>
      <c r="AM535" s="356" t="s">
        <v>276</v>
      </c>
      <c r="AN535" s="356">
        <v>0.14000000000000001</v>
      </c>
      <c r="AO535" s="356">
        <f>(AF535/AH535)*1000</f>
        <v>0.13989492336866974</v>
      </c>
      <c r="AP535" s="356" t="s">
        <v>276</v>
      </c>
      <c r="AQ535" s="356" t="s">
        <v>276</v>
      </c>
      <c r="AR535" s="357" t="s">
        <v>269</v>
      </c>
      <c r="AS535" s="356" t="s">
        <v>276</v>
      </c>
      <c r="AT535" s="356">
        <f>AK535/AO535</f>
        <v>0.64973993839317279</v>
      </c>
      <c r="AU535" s="356" t="s">
        <v>276</v>
      </c>
      <c r="AV535" s="356" t="s">
        <v>276</v>
      </c>
      <c r="AW535" s="357" t="s">
        <v>276</v>
      </c>
      <c r="AX535" s="351" t="s">
        <v>5038</v>
      </c>
      <c r="AY535" s="356">
        <v>0.65</v>
      </c>
      <c r="AZ535" s="356">
        <v>0.23</v>
      </c>
      <c r="BA535" s="356">
        <v>1.83</v>
      </c>
      <c r="BB535" s="357" t="s">
        <v>276</v>
      </c>
      <c r="BC535" s="351" t="s">
        <v>5044</v>
      </c>
      <c r="BD535" s="364"/>
      <c r="BE535" s="33" t="s">
        <v>100</v>
      </c>
      <c r="BF535" s="33" t="s">
        <v>98</v>
      </c>
    </row>
    <row r="536" spans="1:58" s="365" customFormat="1" ht="65" x14ac:dyDescent="0.3">
      <c r="A536" s="357">
        <v>10548</v>
      </c>
      <c r="B536" s="357" t="s">
        <v>5029</v>
      </c>
      <c r="C536" s="357" t="s">
        <v>88</v>
      </c>
      <c r="D536" s="351" t="s">
        <v>5110</v>
      </c>
      <c r="E536" s="357" t="s">
        <v>43</v>
      </c>
      <c r="F536" s="351" t="s">
        <v>4987</v>
      </c>
      <c r="G536" s="357" t="s">
        <v>225</v>
      </c>
      <c r="H536" s="357" t="s">
        <v>125</v>
      </c>
      <c r="I536" s="357" t="s">
        <v>114</v>
      </c>
      <c r="J536" s="351" t="s">
        <v>24</v>
      </c>
      <c r="K536" s="351" t="s">
        <v>5031</v>
      </c>
      <c r="L536" s="351" t="s">
        <v>5032</v>
      </c>
      <c r="M536" s="357" t="s">
        <v>259</v>
      </c>
      <c r="N536" s="360" t="s">
        <v>5052</v>
      </c>
      <c r="O536" s="360" t="s">
        <v>207</v>
      </c>
      <c r="P536" s="363" t="s">
        <v>5034</v>
      </c>
      <c r="Q536" s="350" t="s">
        <v>98</v>
      </c>
      <c r="R536" s="351" t="s">
        <v>5053</v>
      </c>
      <c r="S536" s="351" t="s">
        <v>5054</v>
      </c>
      <c r="T536" s="351" t="s">
        <v>276</v>
      </c>
      <c r="U536" s="357" t="s">
        <v>276</v>
      </c>
      <c r="V536" s="357" t="s">
        <v>276</v>
      </c>
      <c r="W536" s="357" t="s">
        <v>276</v>
      </c>
      <c r="X536" s="357" t="s">
        <v>276</v>
      </c>
      <c r="Y536" s="357" t="s">
        <v>276</v>
      </c>
      <c r="Z536" s="351" t="s">
        <v>1562</v>
      </c>
      <c r="AA536" s="357" t="s">
        <v>276</v>
      </c>
      <c r="AB536" s="351" t="s">
        <v>1562</v>
      </c>
      <c r="AC536" s="351" t="s">
        <v>5111</v>
      </c>
      <c r="AD536" s="351" t="s">
        <v>1674</v>
      </c>
      <c r="AE536" s="357">
        <v>94</v>
      </c>
      <c r="AF536" s="357">
        <v>144</v>
      </c>
      <c r="AG536" s="354">
        <v>378539</v>
      </c>
      <c r="AH536" s="354">
        <v>480748</v>
      </c>
      <c r="AI536" s="355" t="s">
        <v>4995</v>
      </c>
      <c r="AJ536" s="356">
        <v>0.25</v>
      </c>
      <c r="AK536" s="356">
        <f t="shared" si="64"/>
        <v>0.24832315824789519</v>
      </c>
      <c r="AL536" s="356" t="s">
        <v>276</v>
      </c>
      <c r="AM536" s="356" t="s">
        <v>276</v>
      </c>
      <c r="AN536" s="356">
        <v>0.3</v>
      </c>
      <c r="AO536" s="356">
        <f>(AF536/AH536)*1000</f>
        <v>0.29953322738732141</v>
      </c>
      <c r="AP536" s="356" t="s">
        <v>276</v>
      </c>
      <c r="AQ536" s="356" t="s">
        <v>276</v>
      </c>
      <c r="AR536" s="357" t="s">
        <v>269</v>
      </c>
      <c r="AS536" s="356" t="s">
        <v>276</v>
      </c>
      <c r="AT536" s="356">
        <f>AK536/AO536</f>
        <v>0.82903376167610499</v>
      </c>
      <c r="AU536" s="356" t="s">
        <v>276</v>
      </c>
      <c r="AV536" s="356" t="s">
        <v>276</v>
      </c>
      <c r="AW536" s="357" t="s">
        <v>276</v>
      </c>
      <c r="AX536" s="351" t="s">
        <v>5038</v>
      </c>
      <c r="AY536" s="356">
        <v>0.81</v>
      </c>
      <c r="AZ536" s="356">
        <v>0.62</v>
      </c>
      <c r="BA536" s="356">
        <v>1.05</v>
      </c>
      <c r="BB536" s="357" t="s">
        <v>276</v>
      </c>
      <c r="BC536" s="351" t="s">
        <v>5044</v>
      </c>
      <c r="BD536" s="364"/>
      <c r="BE536" s="33" t="s">
        <v>100</v>
      </c>
      <c r="BF536" s="33" t="s">
        <v>98</v>
      </c>
    </row>
    <row r="537" spans="1:58" s="365" customFormat="1" ht="65" x14ac:dyDescent="0.3">
      <c r="A537" s="357">
        <v>10548</v>
      </c>
      <c r="B537" s="357" t="s">
        <v>5029</v>
      </c>
      <c r="C537" s="357" t="s">
        <v>88</v>
      </c>
      <c r="D537" s="351" t="s">
        <v>5112</v>
      </c>
      <c r="E537" s="357" t="s">
        <v>43</v>
      </c>
      <c r="F537" s="351" t="s">
        <v>4987</v>
      </c>
      <c r="G537" s="357" t="s">
        <v>225</v>
      </c>
      <c r="H537" s="357" t="s">
        <v>125</v>
      </c>
      <c r="I537" s="357" t="s">
        <v>114</v>
      </c>
      <c r="J537" s="351" t="s">
        <v>24</v>
      </c>
      <c r="K537" s="351" t="s">
        <v>5031</v>
      </c>
      <c r="L537" s="351" t="s">
        <v>5032</v>
      </c>
      <c r="M537" s="357" t="s">
        <v>259</v>
      </c>
      <c r="N537" s="360" t="s">
        <v>5057</v>
      </c>
      <c r="O537" s="360" t="s">
        <v>207</v>
      </c>
      <c r="P537" s="363" t="s">
        <v>5034</v>
      </c>
      <c r="Q537" s="350" t="s">
        <v>98</v>
      </c>
      <c r="R537" s="351" t="s">
        <v>5058</v>
      </c>
      <c r="S537" s="351" t="s">
        <v>5059</v>
      </c>
      <c r="T537" s="351" t="s">
        <v>276</v>
      </c>
      <c r="U537" s="357" t="s">
        <v>276</v>
      </c>
      <c r="V537" s="357" t="s">
        <v>276</v>
      </c>
      <c r="W537" s="357" t="s">
        <v>276</v>
      </c>
      <c r="X537" s="357" t="s">
        <v>276</v>
      </c>
      <c r="Y537" s="357" t="s">
        <v>276</v>
      </c>
      <c r="Z537" s="351" t="s">
        <v>1562</v>
      </c>
      <c r="AA537" s="357" t="s">
        <v>276</v>
      </c>
      <c r="AB537" s="351" t="s">
        <v>1562</v>
      </c>
      <c r="AC537" s="351" t="s">
        <v>5113</v>
      </c>
      <c r="AD537" s="351" t="s">
        <v>1674</v>
      </c>
      <c r="AE537" s="357">
        <v>106</v>
      </c>
      <c r="AF537" s="357">
        <v>136</v>
      </c>
      <c r="AG537" s="354">
        <v>226339</v>
      </c>
      <c r="AH537" s="354">
        <v>261588</v>
      </c>
      <c r="AI537" s="355" t="s">
        <v>4995</v>
      </c>
      <c r="AJ537" s="356">
        <v>0.47</v>
      </c>
      <c r="AK537" s="356">
        <f t="shared" si="64"/>
        <v>0.46832406257869835</v>
      </c>
      <c r="AL537" s="356" t="s">
        <v>276</v>
      </c>
      <c r="AM537" s="356" t="s">
        <v>276</v>
      </c>
      <c r="AN537" s="356">
        <v>0.52</v>
      </c>
      <c r="AO537" s="356">
        <f>(AF537/AH537)*1000</f>
        <v>0.51990152453476457</v>
      </c>
      <c r="AP537" s="356" t="s">
        <v>276</v>
      </c>
      <c r="AQ537" s="356" t="s">
        <v>276</v>
      </c>
      <c r="AR537" s="357" t="s">
        <v>269</v>
      </c>
      <c r="AS537" s="356" t="s">
        <v>276</v>
      </c>
      <c r="AT537" s="356">
        <f>AK537/AO537</f>
        <v>0.90079378589585701</v>
      </c>
      <c r="AU537" s="356" t="s">
        <v>276</v>
      </c>
      <c r="AV537" s="356" t="s">
        <v>276</v>
      </c>
      <c r="AW537" s="357" t="s">
        <v>276</v>
      </c>
      <c r="AX537" s="351" t="s">
        <v>5038</v>
      </c>
      <c r="AY537" s="356">
        <v>0.92</v>
      </c>
      <c r="AZ537" s="356">
        <v>0.71</v>
      </c>
      <c r="BA537" s="356">
        <v>1.18</v>
      </c>
      <c r="BB537" s="357" t="s">
        <v>276</v>
      </c>
      <c r="BC537" s="351" t="s">
        <v>5044</v>
      </c>
      <c r="BD537" s="364"/>
      <c r="BE537" s="33" t="s">
        <v>100</v>
      </c>
      <c r="BF537" s="33" t="s">
        <v>98</v>
      </c>
    </row>
    <row r="538" spans="1:58" s="365" customFormat="1" ht="65" x14ac:dyDescent="0.3">
      <c r="A538" s="357">
        <v>10548</v>
      </c>
      <c r="B538" s="357" t="s">
        <v>5029</v>
      </c>
      <c r="C538" s="357" t="s">
        <v>88</v>
      </c>
      <c r="D538" s="351" t="s">
        <v>5114</v>
      </c>
      <c r="E538" s="357" t="s">
        <v>43</v>
      </c>
      <c r="F538" s="351" t="s">
        <v>4987</v>
      </c>
      <c r="G538" s="357" t="s">
        <v>225</v>
      </c>
      <c r="H538" s="357" t="s">
        <v>125</v>
      </c>
      <c r="I538" s="357" t="s">
        <v>114</v>
      </c>
      <c r="J538" s="351" t="s">
        <v>24</v>
      </c>
      <c r="K538" s="351" t="s">
        <v>5031</v>
      </c>
      <c r="L538" s="351" t="s">
        <v>5032</v>
      </c>
      <c r="M538" s="357" t="s">
        <v>259</v>
      </c>
      <c r="N538" s="360" t="s">
        <v>5062</v>
      </c>
      <c r="O538" s="360" t="s">
        <v>207</v>
      </c>
      <c r="P538" s="363" t="s">
        <v>5034</v>
      </c>
      <c r="Q538" s="350" t="s">
        <v>98</v>
      </c>
      <c r="R538" s="351" t="s">
        <v>5063</v>
      </c>
      <c r="S538" s="351" t="s">
        <v>5064</v>
      </c>
      <c r="T538" s="351" t="s">
        <v>276</v>
      </c>
      <c r="U538" s="357" t="s">
        <v>276</v>
      </c>
      <c r="V538" s="357" t="s">
        <v>276</v>
      </c>
      <c r="W538" s="357" t="s">
        <v>276</v>
      </c>
      <c r="X538" s="357" t="s">
        <v>276</v>
      </c>
      <c r="Y538" s="357" t="s">
        <v>276</v>
      </c>
      <c r="Z538" s="351" t="s">
        <v>1562</v>
      </c>
      <c r="AA538" s="357" t="s">
        <v>276</v>
      </c>
      <c r="AB538" s="351" t="s">
        <v>1562</v>
      </c>
      <c r="AC538" s="351" t="s">
        <v>5115</v>
      </c>
      <c r="AD538" s="351" t="s">
        <v>1674</v>
      </c>
      <c r="AE538" s="357">
        <v>99</v>
      </c>
      <c r="AF538" s="357">
        <v>182</v>
      </c>
      <c r="AG538" s="354">
        <v>159355</v>
      </c>
      <c r="AH538" s="354">
        <v>190717</v>
      </c>
      <c r="AI538" s="355" t="s">
        <v>4995</v>
      </c>
      <c r="AJ538" s="356">
        <v>0.62</v>
      </c>
      <c r="AK538" s="356">
        <f t="shared" si="64"/>
        <v>0.62125443192871266</v>
      </c>
      <c r="AL538" s="356" t="s">
        <v>276</v>
      </c>
      <c r="AM538" s="356" t="s">
        <v>276</v>
      </c>
      <c r="AN538" s="356">
        <v>0.95</v>
      </c>
      <c r="AO538" s="356">
        <f>(AF538/AH538)*1000</f>
        <v>0.95429353439913589</v>
      </c>
      <c r="AP538" s="356" t="s">
        <v>276</v>
      </c>
      <c r="AQ538" s="356" t="s">
        <v>276</v>
      </c>
      <c r="AR538" s="357" t="s">
        <v>269</v>
      </c>
      <c r="AS538" s="356" t="s">
        <v>276</v>
      </c>
      <c r="AT538" s="356">
        <f>AK538/AO538</f>
        <v>0.65100978842938617</v>
      </c>
      <c r="AU538" s="356" t="s">
        <v>276</v>
      </c>
      <c r="AV538" s="356" t="s">
        <v>276</v>
      </c>
      <c r="AW538" s="357" t="s">
        <v>276</v>
      </c>
      <c r="AX538" s="351" t="s">
        <v>5038</v>
      </c>
      <c r="AY538" s="356">
        <v>0.67</v>
      </c>
      <c r="AZ538" s="356">
        <v>0.53</v>
      </c>
      <c r="BA538" s="356">
        <v>0.86</v>
      </c>
      <c r="BB538" s="357" t="s">
        <v>276</v>
      </c>
      <c r="BC538" s="351" t="s">
        <v>5044</v>
      </c>
      <c r="BD538" s="364"/>
      <c r="BE538" s="33" t="s">
        <v>100</v>
      </c>
      <c r="BF538" s="33" t="s">
        <v>98</v>
      </c>
    </row>
    <row r="539" spans="1:58" s="365" customFormat="1" ht="65" x14ac:dyDescent="0.3">
      <c r="A539" s="357">
        <v>10548</v>
      </c>
      <c r="B539" s="357" t="s">
        <v>5029</v>
      </c>
      <c r="C539" s="357" t="s">
        <v>88</v>
      </c>
      <c r="D539" s="351" t="s">
        <v>5116</v>
      </c>
      <c r="E539" s="357" t="s">
        <v>43</v>
      </c>
      <c r="F539" s="351" t="s">
        <v>4987</v>
      </c>
      <c r="G539" s="357" t="s">
        <v>225</v>
      </c>
      <c r="H539" s="357" t="s">
        <v>125</v>
      </c>
      <c r="I539" s="357" t="s">
        <v>114</v>
      </c>
      <c r="J539" s="351" t="s">
        <v>24</v>
      </c>
      <c r="K539" s="351" t="s">
        <v>5031</v>
      </c>
      <c r="L539" s="351" t="s">
        <v>5032</v>
      </c>
      <c r="M539" s="357" t="s">
        <v>259</v>
      </c>
      <c r="N539" s="360" t="s">
        <v>5067</v>
      </c>
      <c r="O539" s="360" t="s">
        <v>207</v>
      </c>
      <c r="P539" s="363" t="s">
        <v>5034</v>
      </c>
      <c r="Q539" s="350" t="s">
        <v>98</v>
      </c>
      <c r="R539" s="351" t="s">
        <v>5068</v>
      </c>
      <c r="S539" s="351" t="s">
        <v>5069</v>
      </c>
      <c r="T539" s="351" t="s">
        <v>276</v>
      </c>
      <c r="U539" s="357" t="s">
        <v>276</v>
      </c>
      <c r="V539" s="357" t="s">
        <v>276</v>
      </c>
      <c r="W539" s="357" t="s">
        <v>276</v>
      </c>
      <c r="X539" s="357" t="s">
        <v>276</v>
      </c>
      <c r="Y539" s="357">
        <v>0</v>
      </c>
      <c r="Z539" s="351" t="s">
        <v>98</v>
      </c>
      <c r="AA539" s="357">
        <v>0</v>
      </c>
      <c r="AB539" s="351" t="s">
        <v>98</v>
      </c>
      <c r="AC539" s="351" t="s">
        <v>5070</v>
      </c>
      <c r="AD539" s="351" t="s">
        <v>1674</v>
      </c>
      <c r="AE539" s="357">
        <v>59</v>
      </c>
      <c r="AF539" s="357">
        <v>51</v>
      </c>
      <c r="AG539" s="354">
        <v>44402</v>
      </c>
      <c r="AH539" s="354">
        <v>45285</v>
      </c>
      <c r="AI539" s="355" t="s">
        <v>4995</v>
      </c>
      <c r="AJ539" s="356">
        <v>1.33</v>
      </c>
      <c r="AK539" s="356">
        <f t="shared" si="64"/>
        <v>1.3287689743705238</v>
      </c>
      <c r="AL539" s="356" t="s">
        <v>276</v>
      </c>
      <c r="AM539" s="356" t="s">
        <v>276</v>
      </c>
      <c r="AN539" s="356">
        <v>1.1299999999999999</v>
      </c>
      <c r="AO539" s="356">
        <f>(AF539/AH539)*1000</f>
        <v>1.1262007287181186</v>
      </c>
      <c r="AP539" s="356" t="s">
        <v>276</v>
      </c>
      <c r="AQ539" s="356" t="s">
        <v>276</v>
      </c>
      <c r="AR539" s="357" t="s">
        <v>269</v>
      </c>
      <c r="AS539" s="356" t="s">
        <v>276</v>
      </c>
      <c r="AT539" s="356">
        <f>AK539/AO539</f>
        <v>1.1798686863601797</v>
      </c>
      <c r="AU539" s="356" t="s">
        <v>276</v>
      </c>
      <c r="AV539" s="356" t="s">
        <v>276</v>
      </c>
      <c r="AW539" s="357" t="s">
        <v>276</v>
      </c>
      <c r="AX539" s="351" t="s">
        <v>5038</v>
      </c>
      <c r="AY539" s="356">
        <v>1.18</v>
      </c>
      <c r="AZ539" s="356">
        <v>0.81</v>
      </c>
      <c r="BA539" s="356">
        <v>1.72</v>
      </c>
      <c r="BB539" s="357" t="s">
        <v>276</v>
      </c>
      <c r="BC539" s="351" t="s">
        <v>5044</v>
      </c>
      <c r="BD539" s="364"/>
      <c r="BE539" s="33" t="s">
        <v>100</v>
      </c>
      <c r="BF539" s="33" t="s">
        <v>98</v>
      </c>
    </row>
    <row r="540" spans="1:58" s="365" customFormat="1" ht="65" x14ac:dyDescent="0.3">
      <c r="A540" s="357">
        <v>10548</v>
      </c>
      <c r="B540" s="357" t="s">
        <v>5029</v>
      </c>
      <c r="C540" s="357" t="s">
        <v>88</v>
      </c>
      <c r="D540" s="351" t="s">
        <v>5117</v>
      </c>
      <c r="E540" s="357" t="s">
        <v>43</v>
      </c>
      <c r="F540" s="351" t="s">
        <v>4987</v>
      </c>
      <c r="G540" s="357" t="s">
        <v>225</v>
      </c>
      <c r="H540" s="357" t="s">
        <v>125</v>
      </c>
      <c r="I540" s="357" t="s">
        <v>114</v>
      </c>
      <c r="J540" s="351" t="s">
        <v>24</v>
      </c>
      <c r="K540" s="351" t="s">
        <v>5031</v>
      </c>
      <c r="L540" s="351" t="s">
        <v>5032</v>
      </c>
      <c r="M540" s="357" t="s">
        <v>259</v>
      </c>
      <c r="N540" s="360" t="s">
        <v>5033</v>
      </c>
      <c r="O540" s="360" t="s">
        <v>207</v>
      </c>
      <c r="P540" s="363" t="s">
        <v>98</v>
      </c>
      <c r="Q540" s="351" t="s">
        <v>752</v>
      </c>
      <c r="R540" s="351" t="s">
        <v>5118</v>
      </c>
      <c r="S540" s="351" t="s">
        <v>5119</v>
      </c>
      <c r="T540" s="351" t="s">
        <v>276</v>
      </c>
      <c r="U540" s="354">
        <v>72981</v>
      </c>
      <c r="V540" s="354">
        <v>89352</v>
      </c>
      <c r="W540" s="357" t="s">
        <v>276</v>
      </c>
      <c r="X540" s="357" t="s">
        <v>276</v>
      </c>
      <c r="Y540" s="357" t="s">
        <v>276</v>
      </c>
      <c r="Z540" s="351" t="s">
        <v>1562</v>
      </c>
      <c r="AA540" s="357" t="s">
        <v>276</v>
      </c>
      <c r="AB540" s="351" t="s">
        <v>1562</v>
      </c>
      <c r="AC540" s="351" t="s">
        <v>5120</v>
      </c>
      <c r="AD540" s="351" t="s">
        <v>1674</v>
      </c>
      <c r="AE540" s="357">
        <v>189</v>
      </c>
      <c r="AF540" s="357">
        <v>274</v>
      </c>
      <c r="AG540" s="351">
        <v>608852</v>
      </c>
      <c r="AH540" s="351">
        <v>745912</v>
      </c>
      <c r="AI540" s="355" t="s">
        <v>4995</v>
      </c>
      <c r="AJ540" s="356">
        <v>0.31</v>
      </c>
      <c r="AK540" s="356">
        <f t="shared" si="64"/>
        <v>0.31042026633730369</v>
      </c>
      <c r="AL540" s="356" t="s">
        <v>276</v>
      </c>
      <c r="AM540" s="356" t="s">
        <v>276</v>
      </c>
      <c r="AN540" s="356">
        <v>0.37</v>
      </c>
      <c r="AO540" s="369">
        <f t="shared" ref="AO540:AO541" si="66">(AF540/AH540)*1000</f>
        <v>0.36733555700940596</v>
      </c>
      <c r="AP540" s="356" t="s">
        <v>276</v>
      </c>
      <c r="AQ540" s="356" t="s">
        <v>276</v>
      </c>
      <c r="AR540" s="357" t="s">
        <v>269</v>
      </c>
      <c r="AS540" s="356" t="s">
        <v>276</v>
      </c>
      <c r="AT540" s="356">
        <f t="shared" ref="AT540:AT541" si="67">AK540/AO540</f>
        <v>0.84505913030726587</v>
      </c>
      <c r="AU540" s="356" t="s">
        <v>276</v>
      </c>
      <c r="AV540" s="356" t="s">
        <v>276</v>
      </c>
      <c r="AW540" s="357" t="s">
        <v>276</v>
      </c>
      <c r="AX540" s="351" t="s">
        <v>5038</v>
      </c>
      <c r="AY540" s="356">
        <v>0.85</v>
      </c>
      <c r="AZ540" s="356">
        <v>0.71</v>
      </c>
      <c r="BA540" s="356">
        <v>1.03</v>
      </c>
      <c r="BB540" s="357">
        <v>0.09</v>
      </c>
      <c r="BC540" s="351" t="s">
        <v>5121</v>
      </c>
      <c r="BD540" s="364"/>
      <c r="BE540" s="33" t="s">
        <v>100</v>
      </c>
      <c r="BF540" s="33" t="s">
        <v>98</v>
      </c>
    </row>
    <row r="541" spans="1:58" s="365" customFormat="1" ht="65" x14ac:dyDescent="0.3">
      <c r="A541" s="357">
        <v>10548</v>
      </c>
      <c r="B541" s="357" t="s">
        <v>5029</v>
      </c>
      <c r="C541" s="357" t="s">
        <v>88</v>
      </c>
      <c r="D541" s="351" t="s">
        <v>5122</v>
      </c>
      <c r="E541" s="357" t="s">
        <v>43</v>
      </c>
      <c r="F541" s="351" t="s">
        <v>4987</v>
      </c>
      <c r="G541" s="357" t="s">
        <v>225</v>
      </c>
      <c r="H541" s="357" t="s">
        <v>125</v>
      </c>
      <c r="I541" s="357" t="s">
        <v>114</v>
      </c>
      <c r="J541" s="351" t="s">
        <v>24</v>
      </c>
      <c r="K541" s="351" t="s">
        <v>5031</v>
      </c>
      <c r="L541" s="351" t="s">
        <v>5032</v>
      </c>
      <c r="M541" s="357" t="s">
        <v>259</v>
      </c>
      <c r="N541" s="360" t="s">
        <v>5033</v>
      </c>
      <c r="O541" s="360" t="s">
        <v>207</v>
      </c>
      <c r="P541" s="363" t="s">
        <v>98</v>
      </c>
      <c r="Q541" s="351" t="s">
        <v>770</v>
      </c>
      <c r="R541" s="351">
        <v>706846</v>
      </c>
      <c r="S541" s="351">
        <v>866812</v>
      </c>
      <c r="T541" s="351" t="s">
        <v>276</v>
      </c>
      <c r="U541" s="354">
        <v>72981</v>
      </c>
      <c r="V541" s="354">
        <v>89352</v>
      </c>
      <c r="W541" s="357" t="s">
        <v>276</v>
      </c>
      <c r="X541" s="357" t="s">
        <v>276</v>
      </c>
      <c r="Y541" s="357" t="s">
        <v>276</v>
      </c>
      <c r="Z541" s="351" t="s">
        <v>1562</v>
      </c>
      <c r="AA541" s="357" t="s">
        <v>276</v>
      </c>
      <c r="AB541" s="351" t="s">
        <v>1562</v>
      </c>
      <c r="AC541" s="351" t="s">
        <v>5123</v>
      </c>
      <c r="AD541" s="351" t="s">
        <v>1674</v>
      </c>
      <c r="AE541" s="357">
        <v>245</v>
      </c>
      <c r="AF541" s="357">
        <v>385</v>
      </c>
      <c r="AG541" s="351">
        <v>706846</v>
      </c>
      <c r="AH541" s="351">
        <v>866812</v>
      </c>
      <c r="AI541" s="355" t="s">
        <v>4995</v>
      </c>
      <c r="AJ541" s="356">
        <v>0.35</v>
      </c>
      <c r="AK541" s="356">
        <f t="shared" si="64"/>
        <v>0.34661015270653012</v>
      </c>
      <c r="AL541" s="356" t="s">
        <v>276</v>
      </c>
      <c r="AM541" s="356" t="s">
        <v>276</v>
      </c>
      <c r="AN541" s="356">
        <v>0.44</v>
      </c>
      <c r="AO541" s="369">
        <f t="shared" si="66"/>
        <v>0.4441562876379192</v>
      </c>
      <c r="AP541" s="356" t="s">
        <v>276</v>
      </c>
      <c r="AQ541" s="356" t="s">
        <v>276</v>
      </c>
      <c r="AR541" s="357" t="s">
        <v>269</v>
      </c>
      <c r="AS541" s="356" t="s">
        <v>276</v>
      </c>
      <c r="AT541" s="356">
        <f t="shared" si="67"/>
        <v>0.78037880438403318</v>
      </c>
      <c r="AU541" s="356" t="s">
        <v>276</v>
      </c>
      <c r="AV541" s="356" t="s">
        <v>276</v>
      </c>
      <c r="AW541" s="357" t="s">
        <v>276</v>
      </c>
      <c r="AX541" s="351" t="s">
        <v>5038</v>
      </c>
      <c r="AY541" s="356">
        <v>0.79</v>
      </c>
      <c r="AZ541" s="356">
        <v>0.67</v>
      </c>
      <c r="BA541" s="356">
        <v>0.92</v>
      </c>
      <c r="BB541" s="357">
        <v>3.0000000000000001E-3</v>
      </c>
      <c r="BC541" s="351" t="s">
        <v>5124</v>
      </c>
      <c r="BD541" s="364"/>
      <c r="BE541" s="33" t="s">
        <v>100</v>
      </c>
      <c r="BF541" s="33" t="s">
        <v>98</v>
      </c>
    </row>
    <row r="542" spans="1:58" s="365" customFormat="1" ht="65" x14ac:dyDescent="0.3">
      <c r="A542" s="357">
        <v>10548</v>
      </c>
      <c r="B542" s="357" t="s">
        <v>5029</v>
      </c>
      <c r="C542" s="357" t="s">
        <v>88</v>
      </c>
      <c r="D542" s="351" t="s">
        <v>5125</v>
      </c>
      <c r="E542" s="357" t="s">
        <v>43</v>
      </c>
      <c r="F542" s="351" t="s">
        <v>4987</v>
      </c>
      <c r="G542" s="357" t="s">
        <v>225</v>
      </c>
      <c r="H542" s="357" t="s">
        <v>125</v>
      </c>
      <c r="I542" s="357" t="s">
        <v>114</v>
      </c>
      <c r="J542" s="351" t="s">
        <v>24</v>
      </c>
      <c r="K542" s="351" t="s">
        <v>5031</v>
      </c>
      <c r="L542" s="351" t="s">
        <v>5032</v>
      </c>
      <c r="M542" s="357" t="s">
        <v>259</v>
      </c>
      <c r="N542" s="360" t="s">
        <v>5072</v>
      </c>
      <c r="O542" s="360" t="s">
        <v>207</v>
      </c>
      <c r="P542" s="363" t="s">
        <v>98</v>
      </c>
      <c r="Q542" s="351" t="s">
        <v>752</v>
      </c>
      <c r="R542" s="351" t="s">
        <v>5126</v>
      </c>
      <c r="S542" s="351" t="s">
        <v>5126</v>
      </c>
      <c r="T542" s="351" t="s">
        <v>276</v>
      </c>
      <c r="U542" s="354">
        <v>17443</v>
      </c>
      <c r="V542" s="355">
        <v>17390</v>
      </c>
      <c r="W542" s="357" t="s">
        <v>276</v>
      </c>
      <c r="X542" s="357" t="s">
        <v>276</v>
      </c>
      <c r="Y542" s="357" t="s">
        <v>276</v>
      </c>
      <c r="Z542" s="351" t="s">
        <v>1562</v>
      </c>
      <c r="AA542" s="357" t="s">
        <v>276</v>
      </c>
      <c r="AB542" s="351" t="s">
        <v>1562</v>
      </c>
      <c r="AC542" s="351" t="s">
        <v>5120</v>
      </c>
      <c r="AD542" s="351" t="s">
        <v>1674</v>
      </c>
      <c r="AE542" s="357" t="s">
        <v>276</v>
      </c>
      <c r="AF542" s="357" t="s">
        <v>276</v>
      </c>
      <c r="AG542" s="357" t="s">
        <v>276</v>
      </c>
      <c r="AH542" s="357" t="s">
        <v>276</v>
      </c>
      <c r="AI542" s="355" t="s">
        <v>4995</v>
      </c>
      <c r="AJ542" s="356" t="s">
        <v>276</v>
      </c>
      <c r="AK542" s="356" t="s">
        <v>98</v>
      </c>
      <c r="AL542" s="356" t="s">
        <v>276</v>
      </c>
      <c r="AM542" s="356" t="s">
        <v>276</v>
      </c>
      <c r="AN542" s="356" t="s">
        <v>276</v>
      </c>
      <c r="AO542" s="356" t="s">
        <v>98</v>
      </c>
      <c r="AP542" s="356" t="s">
        <v>276</v>
      </c>
      <c r="AQ542" s="356" t="s">
        <v>276</v>
      </c>
      <c r="AR542" s="357" t="s">
        <v>269</v>
      </c>
      <c r="AS542" s="356">
        <v>0.76</v>
      </c>
      <c r="AT542" s="356" t="s">
        <v>98</v>
      </c>
      <c r="AU542" s="356">
        <v>0.52</v>
      </c>
      <c r="AV542" s="356">
        <v>1.1200000000000001</v>
      </c>
      <c r="AW542" s="357" t="s">
        <v>276</v>
      </c>
      <c r="AX542" s="351" t="s">
        <v>282</v>
      </c>
      <c r="AY542" s="356" t="s">
        <v>98</v>
      </c>
      <c r="AZ542" s="356" t="s">
        <v>98</v>
      </c>
      <c r="BA542" s="356" t="s">
        <v>98</v>
      </c>
      <c r="BB542" s="356" t="s">
        <v>98</v>
      </c>
      <c r="BC542" s="351" t="s">
        <v>5127</v>
      </c>
      <c r="BD542" s="364"/>
      <c r="BE542" s="33" t="s">
        <v>100</v>
      </c>
      <c r="BF542" s="33" t="s">
        <v>98</v>
      </c>
    </row>
    <row r="543" spans="1:58" s="365" customFormat="1" ht="65" x14ac:dyDescent="0.3">
      <c r="A543" s="357">
        <v>10548</v>
      </c>
      <c r="B543" s="357" t="s">
        <v>5029</v>
      </c>
      <c r="C543" s="357" t="s">
        <v>88</v>
      </c>
      <c r="D543" s="351" t="s">
        <v>5128</v>
      </c>
      <c r="E543" s="357" t="s">
        <v>43</v>
      </c>
      <c r="F543" s="351" t="s">
        <v>4987</v>
      </c>
      <c r="G543" s="357" t="s">
        <v>225</v>
      </c>
      <c r="H543" s="357" t="s">
        <v>125</v>
      </c>
      <c r="I543" s="357" t="s">
        <v>114</v>
      </c>
      <c r="J543" s="351" t="s">
        <v>24</v>
      </c>
      <c r="K543" s="351" t="s">
        <v>5031</v>
      </c>
      <c r="L543" s="351" t="s">
        <v>5032</v>
      </c>
      <c r="M543" s="357" t="s">
        <v>259</v>
      </c>
      <c r="N543" s="360" t="s">
        <v>5072</v>
      </c>
      <c r="O543" s="360" t="s">
        <v>207</v>
      </c>
      <c r="P543" s="363" t="s">
        <v>98</v>
      </c>
      <c r="Q543" s="351" t="s">
        <v>770</v>
      </c>
      <c r="R543" s="351" t="s">
        <v>5126</v>
      </c>
      <c r="S543" s="351" t="s">
        <v>5126</v>
      </c>
      <c r="T543" s="351" t="s">
        <v>276</v>
      </c>
      <c r="U543" s="354">
        <v>17443</v>
      </c>
      <c r="V543" s="355">
        <v>17390</v>
      </c>
      <c r="W543" s="357" t="s">
        <v>276</v>
      </c>
      <c r="X543" s="357" t="s">
        <v>276</v>
      </c>
      <c r="Y543" s="357" t="s">
        <v>276</v>
      </c>
      <c r="Z543" s="351" t="s">
        <v>1562</v>
      </c>
      <c r="AA543" s="357" t="s">
        <v>276</v>
      </c>
      <c r="AB543" s="351" t="s">
        <v>1562</v>
      </c>
      <c r="AC543" s="351" t="s">
        <v>5123</v>
      </c>
      <c r="AD543" s="351" t="s">
        <v>1674</v>
      </c>
      <c r="AE543" s="357" t="s">
        <v>276</v>
      </c>
      <c r="AF543" s="357" t="s">
        <v>276</v>
      </c>
      <c r="AG543" s="357" t="s">
        <v>276</v>
      </c>
      <c r="AH543" s="357" t="s">
        <v>276</v>
      </c>
      <c r="AI543" s="355" t="s">
        <v>4995</v>
      </c>
      <c r="AJ543" s="356" t="s">
        <v>276</v>
      </c>
      <c r="AK543" s="356" t="s">
        <v>98</v>
      </c>
      <c r="AL543" s="356" t="s">
        <v>276</v>
      </c>
      <c r="AM543" s="356" t="s">
        <v>276</v>
      </c>
      <c r="AN543" s="356" t="s">
        <v>276</v>
      </c>
      <c r="AO543" s="356" t="s">
        <v>98</v>
      </c>
      <c r="AP543" s="356" t="s">
        <v>276</v>
      </c>
      <c r="AQ543" s="356" t="s">
        <v>276</v>
      </c>
      <c r="AR543" s="357" t="s">
        <v>269</v>
      </c>
      <c r="AS543" s="356">
        <v>0.64</v>
      </c>
      <c r="AT543" s="356" t="s">
        <v>98</v>
      </c>
      <c r="AU543" s="356">
        <v>0.46</v>
      </c>
      <c r="AV543" s="356">
        <v>0.9</v>
      </c>
      <c r="AW543" s="357" t="s">
        <v>276</v>
      </c>
      <c r="AX543" s="351" t="s">
        <v>282</v>
      </c>
      <c r="AY543" s="356" t="s">
        <v>98</v>
      </c>
      <c r="AZ543" s="356" t="s">
        <v>98</v>
      </c>
      <c r="BA543" s="356" t="s">
        <v>98</v>
      </c>
      <c r="BB543" s="356" t="s">
        <v>98</v>
      </c>
      <c r="BC543" s="351" t="s">
        <v>5127</v>
      </c>
      <c r="BD543" s="364"/>
      <c r="BE543" s="33" t="s">
        <v>100</v>
      </c>
      <c r="BF543" s="33" t="s">
        <v>98</v>
      </c>
    </row>
    <row r="544" spans="1:58" s="365" customFormat="1" ht="65" x14ac:dyDescent="0.3">
      <c r="A544" s="357">
        <v>10548</v>
      </c>
      <c r="B544" s="357" t="s">
        <v>5029</v>
      </c>
      <c r="C544" s="357" t="s">
        <v>88</v>
      </c>
      <c r="D544" s="351" t="s">
        <v>5129</v>
      </c>
      <c r="E544" s="357" t="s">
        <v>43</v>
      </c>
      <c r="F544" s="351" t="s">
        <v>4987</v>
      </c>
      <c r="G544" s="357" t="s">
        <v>225</v>
      </c>
      <c r="H544" s="357" t="s">
        <v>125</v>
      </c>
      <c r="I544" s="357" t="s">
        <v>114</v>
      </c>
      <c r="J544" s="351" t="s">
        <v>24</v>
      </c>
      <c r="K544" s="351" t="s">
        <v>5031</v>
      </c>
      <c r="L544" s="351" t="s">
        <v>5032</v>
      </c>
      <c r="M544" s="357" t="s">
        <v>259</v>
      </c>
      <c r="N544" s="360" t="s">
        <v>5130</v>
      </c>
      <c r="O544" s="360" t="s">
        <v>207</v>
      </c>
      <c r="P544" s="363" t="s">
        <v>98</v>
      </c>
      <c r="Q544" s="351" t="s">
        <v>752</v>
      </c>
      <c r="R544" s="351" t="s">
        <v>5126</v>
      </c>
      <c r="S544" s="351" t="s">
        <v>5126</v>
      </c>
      <c r="T544" s="351" t="s">
        <v>276</v>
      </c>
      <c r="U544" s="354">
        <v>4307</v>
      </c>
      <c r="V544" s="351">
        <v>4255</v>
      </c>
      <c r="W544" s="357" t="s">
        <v>276</v>
      </c>
      <c r="X544" s="357" t="s">
        <v>276</v>
      </c>
      <c r="Y544" s="357" t="s">
        <v>276</v>
      </c>
      <c r="Z544" s="351" t="s">
        <v>1562</v>
      </c>
      <c r="AA544" s="357" t="s">
        <v>276</v>
      </c>
      <c r="AB544" s="351" t="s">
        <v>1562</v>
      </c>
      <c r="AC544" s="351" t="s">
        <v>5120</v>
      </c>
      <c r="AD544" s="351" t="s">
        <v>1674</v>
      </c>
      <c r="AE544" s="357" t="s">
        <v>276</v>
      </c>
      <c r="AF544" s="357" t="s">
        <v>276</v>
      </c>
      <c r="AG544" s="357" t="s">
        <v>276</v>
      </c>
      <c r="AH544" s="357" t="s">
        <v>276</v>
      </c>
      <c r="AI544" s="355" t="s">
        <v>4995</v>
      </c>
      <c r="AJ544" s="356" t="s">
        <v>276</v>
      </c>
      <c r="AK544" s="356" t="s">
        <v>98</v>
      </c>
      <c r="AL544" s="356" t="s">
        <v>276</v>
      </c>
      <c r="AM544" s="356" t="s">
        <v>276</v>
      </c>
      <c r="AN544" s="356" t="s">
        <v>276</v>
      </c>
      <c r="AO544" s="356" t="s">
        <v>98</v>
      </c>
      <c r="AP544" s="356" t="s">
        <v>276</v>
      </c>
      <c r="AQ544" s="356" t="s">
        <v>276</v>
      </c>
      <c r="AR544" s="357" t="s">
        <v>269</v>
      </c>
      <c r="AS544" s="356">
        <v>1.18</v>
      </c>
      <c r="AT544" s="356" t="s">
        <v>98</v>
      </c>
      <c r="AU544" s="356">
        <v>0.51</v>
      </c>
      <c r="AV544" s="356">
        <v>2.72</v>
      </c>
      <c r="AW544" s="357" t="s">
        <v>276</v>
      </c>
      <c r="AX544" s="351" t="s">
        <v>282</v>
      </c>
      <c r="AY544" s="356" t="s">
        <v>98</v>
      </c>
      <c r="AZ544" s="356" t="s">
        <v>98</v>
      </c>
      <c r="BA544" s="356" t="s">
        <v>98</v>
      </c>
      <c r="BB544" s="356" t="s">
        <v>98</v>
      </c>
      <c r="BC544" s="351" t="s">
        <v>5127</v>
      </c>
      <c r="BD544" s="364"/>
      <c r="BE544" s="33" t="s">
        <v>100</v>
      </c>
      <c r="BF544" s="33" t="s">
        <v>98</v>
      </c>
    </row>
    <row r="545" spans="1:58" s="365" customFormat="1" ht="65" x14ac:dyDescent="0.3">
      <c r="A545" s="357">
        <v>10548</v>
      </c>
      <c r="B545" s="357" t="s">
        <v>5029</v>
      </c>
      <c r="C545" s="357" t="s">
        <v>88</v>
      </c>
      <c r="D545" s="351" t="s">
        <v>5131</v>
      </c>
      <c r="E545" s="357" t="s">
        <v>43</v>
      </c>
      <c r="F545" s="351" t="s">
        <v>4987</v>
      </c>
      <c r="G545" s="357" t="s">
        <v>225</v>
      </c>
      <c r="H545" s="357" t="s">
        <v>125</v>
      </c>
      <c r="I545" s="357" t="s">
        <v>114</v>
      </c>
      <c r="J545" s="351" t="s">
        <v>24</v>
      </c>
      <c r="K545" s="351" t="s">
        <v>5031</v>
      </c>
      <c r="L545" s="351" t="s">
        <v>5032</v>
      </c>
      <c r="M545" s="357" t="s">
        <v>259</v>
      </c>
      <c r="N545" s="360" t="s">
        <v>5130</v>
      </c>
      <c r="O545" s="360" t="s">
        <v>207</v>
      </c>
      <c r="P545" s="363" t="s">
        <v>98</v>
      </c>
      <c r="Q545" s="351" t="s">
        <v>770</v>
      </c>
      <c r="R545" s="351" t="s">
        <v>5126</v>
      </c>
      <c r="S545" s="351" t="s">
        <v>5126</v>
      </c>
      <c r="T545" s="351" t="s">
        <v>276</v>
      </c>
      <c r="U545" s="354">
        <v>4307</v>
      </c>
      <c r="V545" s="351">
        <v>4255</v>
      </c>
      <c r="W545" s="357" t="s">
        <v>276</v>
      </c>
      <c r="X545" s="357" t="s">
        <v>276</v>
      </c>
      <c r="Y545" s="357" t="s">
        <v>276</v>
      </c>
      <c r="Z545" s="351" t="s">
        <v>1562</v>
      </c>
      <c r="AA545" s="357" t="s">
        <v>276</v>
      </c>
      <c r="AB545" s="351" t="s">
        <v>1562</v>
      </c>
      <c r="AC545" s="351" t="s">
        <v>5123</v>
      </c>
      <c r="AD545" s="351" t="s">
        <v>1674</v>
      </c>
      <c r="AE545" s="357" t="s">
        <v>276</v>
      </c>
      <c r="AF545" s="357" t="s">
        <v>276</v>
      </c>
      <c r="AG545" s="357" t="s">
        <v>276</v>
      </c>
      <c r="AH545" s="357" t="s">
        <v>276</v>
      </c>
      <c r="AI545" s="355" t="s">
        <v>4995</v>
      </c>
      <c r="AJ545" s="356" t="s">
        <v>276</v>
      </c>
      <c r="AK545" s="356" t="s">
        <v>98</v>
      </c>
      <c r="AL545" s="356" t="s">
        <v>276</v>
      </c>
      <c r="AM545" s="356" t="s">
        <v>276</v>
      </c>
      <c r="AN545" s="356" t="s">
        <v>276</v>
      </c>
      <c r="AO545" s="356" t="s">
        <v>98</v>
      </c>
      <c r="AP545" s="356" t="s">
        <v>276</v>
      </c>
      <c r="AQ545" s="356" t="s">
        <v>276</v>
      </c>
      <c r="AR545" s="357" t="s">
        <v>269</v>
      </c>
      <c r="AS545" s="356">
        <v>0.79</v>
      </c>
      <c r="AT545" s="356" t="s">
        <v>98</v>
      </c>
      <c r="AU545" s="356">
        <v>0.38</v>
      </c>
      <c r="AV545" s="356">
        <v>1.65</v>
      </c>
      <c r="AW545" s="357" t="s">
        <v>276</v>
      </c>
      <c r="AX545" s="351" t="s">
        <v>282</v>
      </c>
      <c r="AY545" s="356" t="s">
        <v>98</v>
      </c>
      <c r="AZ545" s="356" t="s">
        <v>98</v>
      </c>
      <c r="BA545" s="356" t="s">
        <v>98</v>
      </c>
      <c r="BB545" s="356" t="s">
        <v>98</v>
      </c>
      <c r="BC545" s="351" t="s">
        <v>5127</v>
      </c>
      <c r="BD545" s="364"/>
      <c r="BE545" s="33" t="s">
        <v>100</v>
      </c>
      <c r="BF545" s="33" t="s">
        <v>98</v>
      </c>
    </row>
    <row r="546" spans="1:58" s="365" customFormat="1" ht="65" x14ac:dyDescent="0.3">
      <c r="A546" s="357">
        <v>10548</v>
      </c>
      <c r="B546" s="357" t="s">
        <v>5029</v>
      </c>
      <c r="C546" s="357" t="s">
        <v>88</v>
      </c>
      <c r="D546" s="351" t="s">
        <v>5132</v>
      </c>
      <c r="E546" s="357" t="s">
        <v>43</v>
      </c>
      <c r="F546" s="351" t="s">
        <v>4987</v>
      </c>
      <c r="G546" s="357" t="s">
        <v>225</v>
      </c>
      <c r="H546" s="357" t="s">
        <v>125</v>
      </c>
      <c r="I546" s="357" t="s">
        <v>114</v>
      </c>
      <c r="J546" s="351" t="s">
        <v>24</v>
      </c>
      <c r="K546" s="351" t="s">
        <v>5031</v>
      </c>
      <c r="L546" s="351" t="s">
        <v>5032</v>
      </c>
      <c r="M546" s="357" t="s">
        <v>259</v>
      </c>
      <c r="N546" s="360" t="s">
        <v>5133</v>
      </c>
      <c r="O546" s="360" t="s">
        <v>207</v>
      </c>
      <c r="P546" s="363" t="s">
        <v>98</v>
      </c>
      <c r="Q546" s="351" t="s">
        <v>752</v>
      </c>
      <c r="R546" s="351" t="s">
        <v>5126</v>
      </c>
      <c r="S546" s="351" t="s">
        <v>5126</v>
      </c>
      <c r="T546" s="351" t="s">
        <v>276</v>
      </c>
      <c r="U546" s="354">
        <v>5901</v>
      </c>
      <c r="V546" s="351">
        <v>5951</v>
      </c>
      <c r="W546" s="357" t="s">
        <v>276</v>
      </c>
      <c r="X546" s="357" t="s">
        <v>276</v>
      </c>
      <c r="Y546" s="357" t="s">
        <v>276</v>
      </c>
      <c r="Z546" s="351" t="s">
        <v>1562</v>
      </c>
      <c r="AA546" s="357" t="s">
        <v>276</v>
      </c>
      <c r="AB546" s="351" t="s">
        <v>1562</v>
      </c>
      <c r="AC546" s="351" t="s">
        <v>5120</v>
      </c>
      <c r="AD546" s="351" t="s">
        <v>1674</v>
      </c>
      <c r="AE546" s="357" t="s">
        <v>276</v>
      </c>
      <c r="AF546" s="357" t="s">
        <v>276</v>
      </c>
      <c r="AG546" s="357" t="s">
        <v>276</v>
      </c>
      <c r="AH546" s="357" t="s">
        <v>276</v>
      </c>
      <c r="AI546" s="355" t="s">
        <v>4995</v>
      </c>
      <c r="AJ546" s="356" t="s">
        <v>276</v>
      </c>
      <c r="AK546" s="356" t="s">
        <v>98</v>
      </c>
      <c r="AL546" s="356" t="s">
        <v>276</v>
      </c>
      <c r="AM546" s="356" t="s">
        <v>276</v>
      </c>
      <c r="AN546" s="356" t="s">
        <v>276</v>
      </c>
      <c r="AO546" s="356" t="s">
        <v>98</v>
      </c>
      <c r="AP546" s="356" t="s">
        <v>276</v>
      </c>
      <c r="AQ546" s="356" t="s">
        <v>276</v>
      </c>
      <c r="AR546" s="357" t="s">
        <v>269</v>
      </c>
      <c r="AS546" s="356">
        <v>0.7</v>
      </c>
      <c r="AT546" s="356" t="s">
        <v>98</v>
      </c>
      <c r="AU546" s="359">
        <v>0.38</v>
      </c>
      <c r="AV546" s="359">
        <v>1.27</v>
      </c>
      <c r="AW546" s="357" t="s">
        <v>276</v>
      </c>
      <c r="AX546" s="351" t="s">
        <v>282</v>
      </c>
      <c r="AY546" s="356" t="s">
        <v>98</v>
      </c>
      <c r="AZ546" s="356" t="s">
        <v>98</v>
      </c>
      <c r="BA546" s="356" t="s">
        <v>98</v>
      </c>
      <c r="BB546" s="356" t="s">
        <v>98</v>
      </c>
      <c r="BC546" s="351" t="s">
        <v>5127</v>
      </c>
      <c r="BD546" s="364"/>
      <c r="BE546" s="33" t="s">
        <v>100</v>
      </c>
      <c r="BF546" s="33" t="s">
        <v>98</v>
      </c>
    </row>
    <row r="547" spans="1:58" s="365" customFormat="1" ht="65" x14ac:dyDescent="0.3">
      <c r="A547" s="357">
        <v>10548</v>
      </c>
      <c r="B547" s="357" t="s">
        <v>5029</v>
      </c>
      <c r="C547" s="357" t="s">
        <v>88</v>
      </c>
      <c r="D547" s="351" t="s">
        <v>5134</v>
      </c>
      <c r="E547" s="357" t="s">
        <v>43</v>
      </c>
      <c r="F547" s="351" t="s">
        <v>4987</v>
      </c>
      <c r="G547" s="357" t="s">
        <v>225</v>
      </c>
      <c r="H547" s="357" t="s">
        <v>125</v>
      </c>
      <c r="I547" s="357" t="s">
        <v>114</v>
      </c>
      <c r="J547" s="351" t="s">
        <v>24</v>
      </c>
      <c r="K547" s="351" t="s">
        <v>5031</v>
      </c>
      <c r="L547" s="351" t="s">
        <v>5032</v>
      </c>
      <c r="M547" s="357" t="s">
        <v>259</v>
      </c>
      <c r="N547" s="360" t="s">
        <v>5133</v>
      </c>
      <c r="O547" s="360" t="s">
        <v>207</v>
      </c>
      <c r="P547" s="363" t="s">
        <v>98</v>
      </c>
      <c r="Q547" s="351" t="s">
        <v>770</v>
      </c>
      <c r="R547" s="351" t="s">
        <v>5126</v>
      </c>
      <c r="S547" s="351" t="s">
        <v>5126</v>
      </c>
      <c r="T547" s="351" t="s">
        <v>276</v>
      </c>
      <c r="U547" s="354">
        <v>5901</v>
      </c>
      <c r="V547" s="351">
        <v>5951</v>
      </c>
      <c r="W547" s="357" t="s">
        <v>276</v>
      </c>
      <c r="X547" s="357" t="s">
        <v>276</v>
      </c>
      <c r="Y547" s="357" t="s">
        <v>276</v>
      </c>
      <c r="Z547" s="351" t="s">
        <v>1562</v>
      </c>
      <c r="AA547" s="357" t="s">
        <v>276</v>
      </c>
      <c r="AB547" s="351" t="s">
        <v>1562</v>
      </c>
      <c r="AC547" s="351" t="s">
        <v>5123</v>
      </c>
      <c r="AD547" s="351" t="s">
        <v>1674</v>
      </c>
      <c r="AE547" s="357" t="s">
        <v>276</v>
      </c>
      <c r="AF547" s="357" t="s">
        <v>276</v>
      </c>
      <c r="AG547" s="357" t="s">
        <v>276</v>
      </c>
      <c r="AH547" s="357" t="s">
        <v>276</v>
      </c>
      <c r="AI547" s="355" t="s">
        <v>4995</v>
      </c>
      <c r="AJ547" s="356" t="s">
        <v>276</v>
      </c>
      <c r="AK547" s="356" t="s">
        <v>98</v>
      </c>
      <c r="AL547" s="356" t="s">
        <v>276</v>
      </c>
      <c r="AM547" s="356" t="s">
        <v>276</v>
      </c>
      <c r="AN547" s="356" t="s">
        <v>276</v>
      </c>
      <c r="AO547" s="356" t="s">
        <v>98</v>
      </c>
      <c r="AP547" s="356" t="s">
        <v>276</v>
      </c>
      <c r="AQ547" s="356" t="s">
        <v>276</v>
      </c>
      <c r="AR547" s="357" t="s">
        <v>269</v>
      </c>
      <c r="AS547" s="356">
        <v>0.68</v>
      </c>
      <c r="AT547" s="356" t="s">
        <v>98</v>
      </c>
      <c r="AU547" s="356">
        <v>0.42</v>
      </c>
      <c r="AV547" s="356">
        <v>1.0900000000000001</v>
      </c>
      <c r="AW547" s="357" t="s">
        <v>276</v>
      </c>
      <c r="AX547" s="351" t="s">
        <v>282</v>
      </c>
      <c r="AY547" s="356" t="s">
        <v>98</v>
      </c>
      <c r="AZ547" s="356" t="s">
        <v>98</v>
      </c>
      <c r="BA547" s="356" t="s">
        <v>98</v>
      </c>
      <c r="BB547" s="356" t="s">
        <v>98</v>
      </c>
      <c r="BC547" s="351" t="s">
        <v>5127</v>
      </c>
      <c r="BD547" s="364"/>
      <c r="BE547" s="33" t="s">
        <v>100</v>
      </c>
      <c r="BF547" s="33" t="s">
        <v>98</v>
      </c>
    </row>
    <row r="548" spans="1:58" s="365" customFormat="1" ht="65" x14ac:dyDescent="0.3">
      <c r="A548" s="357">
        <v>10548</v>
      </c>
      <c r="B548" s="357" t="s">
        <v>5029</v>
      </c>
      <c r="C548" s="357" t="s">
        <v>88</v>
      </c>
      <c r="D548" s="351" t="s">
        <v>5135</v>
      </c>
      <c r="E548" s="357" t="s">
        <v>43</v>
      </c>
      <c r="F548" s="351" t="s">
        <v>4987</v>
      </c>
      <c r="G548" s="357" t="s">
        <v>225</v>
      </c>
      <c r="H548" s="357" t="s">
        <v>125</v>
      </c>
      <c r="I548" s="357" t="s">
        <v>114</v>
      </c>
      <c r="J548" s="351" t="s">
        <v>24</v>
      </c>
      <c r="K548" s="351" t="s">
        <v>5031</v>
      </c>
      <c r="L548" s="351" t="s">
        <v>5032</v>
      </c>
      <c r="M548" s="357" t="s">
        <v>259</v>
      </c>
      <c r="N548" s="360" t="s">
        <v>5136</v>
      </c>
      <c r="O548" s="360" t="s">
        <v>207</v>
      </c>
      <c r="P548" s="363" t="s">
        <v>98</v>
      </c>
      <c r="Q548" s="351" t="s">
        <v>752</v>
      </c>
      <c r="R548" s="351" t="s">
        <v>5126</v>
      </c>
      <c r="S548" s="351" t="s">
        <v>5126</v>
      </c>
      <c r="T548" s="351" t="s">
        <v>276</v>
      </c>
      <c r="U548" s="354">
        <v>31970</v>
      </c>
      <c r="V548" s="355">
        <v>48409</v>
      </c>
      <c r="W548" s="357" t="s">
        <v>276</v>
      </c>
      <c r="X548" s="357" t="s">
        <v>276</v>
      </c>
      <c r="Y548" s="357" t="s">
        <v>276</v>
      </c>
      <c r="Z548" s="351" t="s">
        <v>1562</v>
      </c>
      <c r="AA548" s="357" t="s">
        <v>276</v>
      </c>
      <c r="AB548" s="351" t="s">
        <v>1562</v>
      </c>
      <c r="AC548" s="351" t="s">
        <v>5120</v>
      </c>
      <c r="AD548" s="351" t="s">
        <v>1674</v>
      </c>
      <c r="AE548" s="357" t="s">
        <v>276</v>
      </c>
      <c r="AF548" s="357" t="s">
        <v>276</v>
      </c>
      <c r="AG548" s="357" t="s">
        <v>276</v>
      </c>
      <c r="AH548" s="357" t="s">
        <v>276</v>
      </c>
      <c r="AI548" s="355" t="s">
        <v>4995</v>
      </c>
      <c r="AJ548" s="356" t="s">
        <v>276</v>
      </c>
      <c r="AK548" s="356" t="s">
        <v>98</v>
      </c>
      <c r="AL548" s="356" t="s">
        <v>276</v>
      </c>
      <c r="AM548" s="356" t="s">
        <v>276</v>
      </c>
      <c r="AN548" s="356" t="s">
        <v>276</v>
      </c>
      <c r="AO548" s="356" t="s">
        <v>98</v>
      </c>
      <c r="AP548" s="356" t="s">
        <v>276</v>
      </c>
      <c r="AQ548" s="356" t="s">
        <v>276</v>
      </c>
      <c r="AR548" s="357" t="s">
        <v>269</v>
      </c>
      <c r="AS548" s="356">
        <v>0.91</v>
      </c>
      <c r="AT548" s="356" t="s">
        <v>98</v>
      </c>
      <c r="AU548" s="356">
        <v>0.7</v>
      </c>
      <c r="AV548" s="356">
        <v>1.18</v>
      </c>
      <c r="AW548" s="357" t="s">
        <v>276</v>
      </c>
      <c r="AX548" s="351" t="s">
        <v>282</v>
      </c>
      <c r="AY548" s="356" t="s">
        <v>98</v>
      </c>
      <c r="AZ548" s="356" t="s">
        <v>98</v>
      </c>
      <c r="BA548" s="356" t="s">
        <v>98</v>
      </c>
      <c r="BB548" s="356" t="s">
        <v>98</v>
      </c>
      <c r="BC548" s="351" t="s">
        <v>5127</v>
      </c>
      <c r="BD548" s="364"/>
      <c r="BE548" s="33" t="s">
        <v>100</v>
      </c>
      <c r="BF548" s="33" t="s">
        <v>98</v>
      </c>
    </row>
    <row r="549" spans="1:58" s="365" customFormat="1" ht="65" x14ac:dyDescent="0.3">
      <c r="A549" s="357">
        <v>10548</v>
      </c>
      <c r="B549" s="357" t="s">
        <v>5029</v>
      </c>
      <c r="C549" s="357" t="s">
        <v>88</v>
      </c>
      <c r="D549" s="351" t="s">
        <v>5137</v>
      </c>
      <c r="E549" s="357" t="s">
        <v>43</v>
      </c>
      <c r="F549" s="351" t="s">
        <v>4987</v>
      </c>
      <c r="G549" s="357" t="s">
        <v>225</v>
      </c>
      <c r="H549" s="357" t="s">
        <v>125</v>
      </c>
      <c r="I549" s="357" t="s">
        <v>114</v>
      </c>
      <c r="J549" s="351" t="s">
        <v>24</v>
      </c>
      <c r="K549" s="351" t="s">
        <v>5031</v>
      </c>
      <c r="L549" s="351" t="s">
        <v>5032</v>
      </c>
      <c r="M549" s="357" t="s">
        <v>259</v>
      </c>
      <c r="N549" s="360" t="s">
        <v>5136</v>
      </c>
      <c r="O549" s="360" t="s">
        <v>207</v>
      </c>
      <c r="P549" s="363" t="s">
        <v>98</v>
      </c>
      <c r="Q549" s="351" t="s">
        <v>770</v>
      </c>
      <c r="R549" s="351" t="s">
        <v>5126</v>
      </c>
      <c r="S549" s="351" t="s">
        <v>5126</v>
      </c>
      <c r="T549" s="351" t="s">
        <v>276</v>
      </c>
      <c r="U549" s="354">
        <v>31970</v>
      </c>
      <c r="V549" s="355">
        <v>48409</v>
      </c>
      <c r="W549" s="357" t="s">
        <v>276</v>
      </c>
      <c r="X549" s="357" t="s">
        <v>276</v>
      </c>
      <c r="Y549" s="357" t="s">
        <v>276</v>
      </c>
      <c r="Z549" s="351" t="s">
        <v>1562</v>
      </c>
      <c r="AA549" s="357" t="s">
        <v>276</v>
      </c>
      <c r="AB549" s="351" t="s">
        <v>1562</v>
      </c>
      <c r="AC549" s="351" t="s">
        <v>5123</v>
      </c>
      <c r="AD549" s="351" t="s">
        <v>1674</v>
      </c>
      <c r="AE549" s="357" t="s">
        <v>276</v>
      </c>
      <c r="AF549" s="357" t="s">
        <v>276</v>
      </c>
      <c r="AG549" s="357" t="s">
        <v>276</v>
      </c>
      <c r="AH549" s="357" t="s">
        <v>276</v>
      </c>
      <c r="AI549" s="355" t="s">
        <v>4995</v>
      </c>
      <c r="AJ549" s="356" t="s">
        <v>276</v>
      </c>
      <c r="AK549" s="356" t="s">
        <v>98</v>
      </c>
      <c r="AL549" s="356" t="s">
        <v>276</v>
      </c>
      <c r="AM549" s="356" t="s">
        <v>276</v>
      </c>
      <c r="AN549" s="356" t="s">
        <v>276</v>
      </c>
      <c r="AO549" s="356" t="s">
        <v>98</v>
      </c>
      <c r="AP549" s="356" t="s">
        <v>276</v>
      </c>
      <c r="AQ549" s="356" t="s">
        <v>276</v>
      </c>
      <c r="AR549" s="357" t="s">
        <v>269</v>
      </c>
      <c r="AS549" s="356">
        <v>0.85</v>
      </c>
      <c r="AT549" s="356" t="s">
        <v>98</v>
      </c>
      <c r="AU549" s="356">
        <v>0.68</v>
      </c>
      <c r="AV549" s="356">
        <v>1.07</v>
      </c>
      <c r="AW549" s="357" t="s">
        <v>276</v>
      </c>
      <c r="AX549" s="351" t="s">
        <v>282</v>
      </c>
      <c r="AY549" s="356" t="s">
        <v>98</v>
      </c>
      <c r="AZ549" s="356" t="s">
        <v>98</v>
      </c>
      <c r="BA549" s="356" t="s">
        <v>98</v>
      </c>
      <c r="BB549" s="356" t="s">
        <v>98</v>
      </c>
      <c r="BC549" s="351" t="s">
        <v>5127</v>
      </c>
      <c r="BD549" s="364"/>
      <c r="BE549" s="33" t="s">
        <v>100</v>
      </c>
      <c r="BF549" s="33" t="s">
        <v>98</v>
      </c>
    </row>
    <row r="550" spans="1:58" s="365" customFormat="1" ht="65" x14ac:dyDescent="0.3">
      <c r="A550" s="357">
        <v>10548</v>
      </c>
      <c r="B550" s="357" t="s">
        <v>5029</v>
      </c>
      <c r="C550" s="357" t="s">
        <v>88</v>
      </c>
      <c r="D550" s="351" t="s">
        <v>5138</v>
      </c>
      <c r="E550" s="357" t="s">
        <v>43</v>
      </c>
      <c r="F550" s="351" t="s">
        <v>4987</v>
      </c>
      <c r="G550" s="357" t="s">
        <v>225</v>
      </c>
      <c r="H550" s="357" t="s">
        <v>125</v>
      </c>
      <c r="I550" s="357" t="s">
        <v>114</v>
      </c>
      <c r="J550" s="351" t="s">
        <v>24</v>
      </c>
      <c r="K550" s="351" t="s">
        <v>5031</v>
      </c>
      <c r="L550" s="351" t="s">
        <v>5032</v>
      </c>
      <c r="M550" s="357" t="s">
        <v>259</v>
      </c>
      <c r="N550" s="360" t="s">
        <v>5139</v>
      </c>
      <c r="O550" s="360" t="s">
        <v>207</v>
      </c>
      <c r="P550" s="363" t="s">
        <v>98</v>
      </c>
      <c r="Q550" s="351" t="s">
        <v>752</v>
      </c>
      <c r="R550" s="351" t="s">
        <v>5126</v>
      </c>
      <c r="S550" s="351" t="s">
        <v>5126</v>
      </c>
      <c r="T550" s="351" t="s">
        <v>276</v>
      </c>
      <c r="U550" s="354">
        <v>7266</v>
      </c>
      <c r="V550" s="355">
        <v>7251</v>
      </c>
      <c r="W550" s="357" t="s">
        <v>276</v>
      </c>
      <c r="X550" s="357" t="s">
        <v>276</v>
      </c>
      <c r="Y550" s="357" t="s">
        <v>276</v>
      </c>
      <c r="Z550" s="351" t="s">
        <v>1562</v>
      </c>
      <c r="AA550" s="357" t="s">
        <v>276</v>
      </c>
      <c r="AB550" s="351" t="s">
        <v>1562</v>
      </c>
      <c r="AC550" s="351" t="s">
        <v>5120</v>
      </c>
      <c r="AD550" s="351" t="s">
        <v>1674</v>
      </c>
      <c r="AE550" s="357" t="s">
        <v>276</v>
      </c>
      <c r="AF550" s="357" t="s">
        <v>276</v>
      </c>
      <c r="AG550" s="357" t="s">
        <v>276</v>
      </c>
      <c r="AH550" s="357" t="s">
        <v>276</v>
      </c>
      <c r="AI550" s="355" t="s">
        <v>4995</v>
      </c>
      <c r="AJ550" s="356" t="s">
        <v>276</v>
      </c>
      <c r="AK550" s="356" t="s">
        <v>98</v>
      </c>
      <c r="AL550" s="356" t="s">
        <v>276</v>
      </c>
      <c r="AM550" s="356" t="s">
        <v>276</v>
      </c>
      <c r="AN550" s="356" t="s">
        <v>276</v>
      </c>
      <c r="AO550" s="356" t="s">
        <v>98</v>
      </c>
      <c r="AP550" s="356" t="s">
        <v>276</v>
      </c>
      <c r="AQ550" s="356" t="s">
        <v>276</v>
      </c>
      <c r="AR550" s="357" t="s">
        <v>269</v>
      </c>
      <c r="AS550" s="356">
        <v>0.7</v>
      </c>
      <c r="AT550" s="356" t="s">
        <v>98</v>
      </c>
      <c r="AU550" s="356">
        <v>0.33</v>
      </c>
      <c r="AV550" s="356">
        <v>1.46</v>
      </c>
      <c r="AW550" s="357" t="s">
        <v>276</v>
      </c>
      <c r="AX550" s="351" t="s">
        <v>282</v>
      </c>
      <c r="AY550" s="356" t="s">
        <v>98</v>
      </c>
      <c r="AZ550" s="356" t="s">
        <v>98</v>
      </c>
      <c r="BA550" s="356" t="s">
        <v>98</v>
      </c>
      <c r="BB550" s="356" t="s">
        <v>98</v>
      </c>
      <c r="BC550" s="351" t="s">
        <v>5127</v>
      </c>
      <c r="BD550" s="364"/>
      <c r="BE550" s="33" t="s">
        <v>100</v>
      </c>
      <c r="BF550" s="33" t="s">
        <v>98</v>
      </c>
    </row>
    <row r="551" spans="1:58" s="365" customFormat="1" ht="65" x14ac:dyDescent="0.3">
      <c r="A551" s="357">
        <v>10548</v>
      </c>
      <c r="B551" s="357" t="s">
        <v>5029</v>
      </c>
      <c r="C551" s="357" t="s">
        <v>88</v>
      </c>
      <c r="D551" s="351" t="s">
        <v>5140</v>
      </c>
      <c r="E551" s="357" t="s">
        <v>43</v>
      </c>
      <c r="F551" s="351" t="s">
        <v>4987</v>
      </c>
      <c r="G551" s="357" t="s">
        <v>225</v>
      </c>
      <c r="H551" s="357" t="s">
        <v>125</v>
      </c>
      <c r="I551" s="357" t="s">
        <v>114</v>
      </c>
      <c r="J551" s="351" t="s">
        <v>24</v>
      </c>
      <c r="K551" s="351" t="s">
        <v>5031</v>
      </c>
      <c r="L551" s="351" t="s">
        <v>5032</v>
      </c>
      <c r="M551" s="357" t="s">
        <v>259</v>
      </c>
      <c r="N551" s="360" t="s">
        <v>5139</v>
      </c>
      <c r="O551" s="360" t="s">
        <v>207</v>
      </c>
      <c r="P551" s="363" t="s">
        <v>98</v>
      </c>
      <c r="Q551" s="351" t="s">
        <v>770</v>
      </c>
      <c r="R551" s="351" t="s">
        <v>5126</v>
      </c>
      <c r="S551" s="351" t="s">
        <v>5126</v>
      </c>
      <c r="T551" s="351" t="s">
        <v>276</v>
      </c>
      <c r="U551" s="354">
        <v>7266</v>
      </c>
      <c r="V551" s="355">
        <v>7251</v>
      </c>
      <c r="W551" s="357" t="s">
        <v>276</v>
      </c>
      <c r="X551" s="357" t="s">
        <v>276</v>
      </c>
      <c r="Y551" s="357" t="s">
        <v>276</v>
      </c>
      <c r="Z551" s="351" t="s">
        <v>1562</v>
      </c>
      <c r="AA551" s="357" t="s">
        <v>276</v>
      </c>
      <c r="AB551" s="351" t="s">
        <v>1562</v>
      </c>
      <c r="AC551" s="351" t="s">
        <v>5123</v>
      </c>
      <c r="AD551" s="351" t="s">
        <v>1674</v>
      </c>
      <c r="AE551" s="357" t="s">
        <v>276</v>
      </c>
      <c r="AF551" s="357" t="s">
        <v>276</v>
      </c>
      <c r="AG551" s="357" t="s">
        <v>276</v>
      </c>
      <c r="AH551" s="357" t="s">
        <v>276</v>
      </c>
      <c r="AI551" s="355" t="s">
        <v>4995</v>
      </c>
      <c r="AJ551" s="356" t="s">
        <v>276</v>
      </c>
      <c r="AK551" s="356" t="s">
        <v>98</v>
      </c>
      <c r="AL551" s="356" t="s">
        <v>276</v>
      </c>
      <c r="AM551" s="356" t="s">
        <v>276</v>
      </c>
      <c r="AN551" s="356" t="s">
        <v>276</v>
      </c>
      <c r="AO551" s="356" t="s">
        <v>98</v>
      </c>
      <c r="AP551" s="356" t="s">
        <v>276</v>
      </c>
      <c r="AQ551" s="356" t="s">
        <v>276</v>
      </c>
      <c r="AR551" s="357" t="s">
        <v>269</v>
      </c>
      <c r="AS551" s="356">
        <v>0.94</v>
      </c>
      <c r="AT551" s="356" t="s">
        <v>98</v>
      </c>
      <c r="AU551" s="356">
        <v>0.49</v>
      </c>
      <c r="AV551" s="356">
        <v>1.79</v>
      </c>
      <c r="AW551" s="357" t="s">
        <v>276</v>
      </c>
      <c r="AX551" s="351" t="s">
        <v>282</v>
      </c>
      <c r="AY551" s="356" t="s">
        <v>98</v>
      </c>
      <c r="AZ551" s="356" t="s">
        <v>98</v>
      </c>
      <c r="BA551" s="356" t="s">
        <v>98</v>
      </c>
      <c r="BB551" s="356" t="s">
        <v>98</v>
      </c>
      <c r="BC551" s="351" t="s">
        <v>5127</v>
      </c>
      <c r="BD551" s="364"/>
      <c r="BE551" s="33" t="s">
        <v>100</v>
      </c>
      <c r="BF551" s="33" t="s">
        <v>98</v>
      </c>
    </row>
    <row r="552" spans="1:58" s="365" customFormat="1" ht="65" x14ac:dyDescent="0.3">
      <c r="A552" s="357">
        <v>10548</v>
      </c>
      <c r="B552" s="357" t="s">
        <v>5029</v>
      </c>
      <c r="C552" s="357" t="s">
        <v>88</v>
      </c>
      <c r="D552" s="351" t="s">
        <v>5141</v>
      </c>
      <c r="E552" s="357" t="s">
        <v>43</v>
      </c>
      <c r="F552" s="351" t="s">
        <v>4987</v>
      </c>
      <c r="G552" s="357" t="s">
        <v>225</v>
      </c>
      <c r="H552" s="357" t="s">
        <v>125</v>
      </c>
      <c r="I552" s="357" t="s">
        <v>114</v>
      </c>
      <c r="J552" s="351" t="s">
        <v>24</v>
      </c>
      <c r="K552" s="351" t="s">
        <v>5031</v>
      </c>
      <c r="L552" s="351" t="s">
        <v>5032</v>
      </c>
      <c r="M552" s="357" t="s">
        <v>259</v>
      </c>
      <c r="N552" s="360" t="s">
        <v>5142</v>
      </c>
      <c r="O552" s="360" t="s">
        <v>207</v>
      </c>
      <c r="P552" s="363" t="s">
        <v>98</v>
      </c>
      <c r="Q552" s="351" t="s">
        <v>752</v>
      </c>
      <c r="R552" s="351" t="s">
        <v>5126</v>
      </c>
      <c r="S552" s="351" t="s">
        <v>5126</v>
      </c>
      <c r="T552" s="351" t="s">
        <v>276</v>
      </c>
      <c r="U552" s="354">
        <v>1056</v>
      </c>
      <c r="V552" s="355">
        <v>1141</v>
      </c>
      <c r="W552" s="357" t="s">
        <v>276</v>
      </c>
      <c r="X552" s="357" t="s">
        <v>276</v>
      </c>
      <c r="Y552" s="357" t="s">
        <v>276</v>
      </c>
      <c r="Z552" s="351" t="s">
        <v>1562</v>
      </c>
      <c r="AA552" s="357" t="s">
        <v>276</v>
      </c>
      <c r="AB552" s="351" t="s">
        <v>1562</v>
      </c>
      <c r="AC552" s="351" t="s">
        <v>5120</v>
      </c>
      <c r="AD552" s="351" t="s">
        <v>1674</v>
      </c>
      <c r="AE552" s="357" t="s">
        <v>276</v>
      </c>
      <c r="AF552" s="357" t="s">
        <v>276</v>
      </c>
      <c r="AG552" s="357" t="s">
        <v>276</v>
      </c>
      <c r="AH552" s="357" t="s">
        <v>276</v>
      </c>
      <c r="AI552" s="355" t="s">
        <v>4995</v>
      </c>
      <c r="AJ552" s="356" t="s">
        <v>276</v>
      </c>
      <c r="AK552" s="356" t="s">
        <v>98</v>
      </c>
      <c r="AL552" s="356" t="s">
        <v>276</v>
      </c>
      <c r="AM552" s="356" t="s">
        <v>276</v>
      </c>
      <c r="AN552" s="356" t="s">
        <v>276</v>
      </c>
      <c r="AO552" s="356" t="s">
        <v>98</v>
      </c>
      <c r="AP552" s="356" t="s">
        <v>276</v>
      </c>
      <c r="AQ552" s="356" t="s">
        <v>276</v>
      </c>
      <c r="AR552" s="357" t="s">
        <v>269</v>
      </c>
      <c r="AS552" s="356">
        <v>2.16</v>
      </c>
      <c r="AT552" s="356" t="s">
        <v>98</v>
      </c>
      <c r="AU552" s="356">
        <v>0.2</v>
      </c>
      <c r="AV552" s="356">
        <v>23.78</v>
      </c>
      <c r="AW552" s="357" t="s">
        <v>276</v>
      </c>
      <c r="AX552" s="351" t="s">
        <v>282</v>
      </c>
      <c r="AY552" s="356" t="s">
        <v>98</v>
      </c>
      <c r="AZ552" s="356" t="s">
        <v>98</v>
      </c>
      <c r="BA552" s="356" t="s">
        <v>98</v>
      </c>
      <c r="BB552" s="356" t="s">
        <v>98</v>
      </c>
      <c r="BC552" s="351" t="s">
        <v>5127</v>
      </c>
      <c r="BD552" s="364"/>
      <c r="BE552" s="33" t="s">
        <v>100</v>
      </c>
      <c r="BF552" s="33" t="s">
        <v>98</v>
      </c>
    </row>
    <row r="553" spans="1:58" s="365" customFormat="1" ht="65" x14ac:dyDescent="0.3">
      <c r="A553" s="357">
        <v>10548</v>
      </c>
      <c r="B553" s="357" t="s">
        <v>5029</v>
      </c>
      <c r="C553" s="357" t="s">
        <v>88</v>
      </c>
      <c r="D553" s="351" t="s">
        <v>5143</v>
      </c>
      <c r="E553" s="357" t="s">
        <v>43</v>
      </c>
      <c r="F553" s="351" t="s">
        <v>4987</v>
      </c>
      <c r="G553" s="357" t="s">
        <v>225</v>
      </c>
      <c r="H553" s="357" t="s">
        <v>125</v>
      </c>
      <c r="I553" s="357" t="s">
        <v>114</v>
      </c>
      <c r="J553" s="351" t="s">
        <v>24</v>
      </c>
      <c r="K553" s="351" t="s">
        <v>5031</v>
      </c>
      <c r="L553" s="351" t="s">
        <v>5032</v>
      </c>
      <c r="M553" s="357" t="s">
        <v>259</v>
      </c>
      <c r="N553" s="360" t="s">
        <v>5142</v>
      </c>
      <c r="O553" s="360" t="s">
        <v>207</v>
      </c>
      <c r="P553" s="363" t="s">
        <v>98</v>
      </c>
      <c r="Q553" s="351" t="s">
        <v>770</v>
      </c>
      <c r="R553" s="351" t="s">
        <v>5126</v>
      </c>
      <c r="S553" s="351" t="s">
        <v>5126</v>
      </c>
      <c r="T553" s="351" t="s">
        <v>276</v>
      </c>
      <c r="U553" s="354">
        <v>1056</v>
      </c>
      <c r="V553" s="355">
        <v>1141</v>
      </c>
      <c r="W553" s="357" t="s">
        <v>276</v>
      </c>
      <c r="X553" s="357" t="s">
        <v>276</v>
      </c>
      <c r="Y553" s="357" t="s">
        <v>276</v>
      </c>
      <c r="Z553" s="351" t="s">
        <v>1562</v>
      </c>
      <c r="AA553" s="357" t="s">
        <v>276</v>
      </c>
      <c r="AB553" s="351" t="s">
        <v>1562</v>
      </c>
      <c r="AC553" s="351" t="s">
        <v>5123</v>
      </c>
      <c r="AD553" s="351" t="s">
        <v>1674</v>
      </c>
      <c r="AE553" s="357" t="s">
        <v>276</v>
      </c>
      <c r="AF553" s="357" t="s">
        <v>276</v>
      </c>
      <c r="AG553" s="357" t="s">
        <v>276</v>
      </c>
      <c r="AH553" s="357" t="s">
        <v>276</v>
      </c>
      <c r="AI553" s="355" t="s">
        <v>4995</v>
      </c>
      <c r="AJ553" s="356" t="s">
        <v>276</v>
      </c>
      <c r="AK553" s="356" t="s">
        <v>98</v>
      </c>
      <c r="AL553" s="356" t="s">
        <v>276</v>
      </c>
      <c r="AM553" s="356" t="s">
        <v>276</v>
      </c>
      <c r="AN553" s="356" t="s">
        <v>276</v>
      </c>
      <c r="AO553" s="356" t="s">
        <v>98</v>
      </c>
      <c r="AP553" s="356" t="s">
        <v>276</v>
      </c>
      <c r="AQ553" s="356" t="s">
        <v>276</v>
      </c>
      <c r="AR553" s="357" t="s">
        <v>269</v>
      </c>
      <c r="AS553" s="356">
        <v>2.15</v>
      </c>
      <c r="AT553" s="356" t="s">
        <v>98</v>
      </c>
      <c r="AU553" s="356">
        <v>0.2</v>
      </c>
      <c r="AV553" s="356">
        <v>23.76</v>
      </c>
      <c r="AW553" s="357" t="s">
        <v>276</v>
      </c>
      <c r="AX553" s="351" t="s">
        <v>282</v>
      </c>
      <c r="AY553" s="356" t="s">
        <v>98</v>
      </c>
      <c r="AZ553" s="356" t="s">
        <v>98</v>
      </c>
      <c r="BA553" s="356" t="s">
        <v>98</v>
      </c>
      <c r="BB553" s="356" t="s">
        <v>98</v>
      </c>
      <c r="BC553" s="351" t="s">
        <v>5127</v>
      </c>
      <c r="BD553" s="364"/>
      <c r="BE553" s="33" t="s">
        <v>100</v>
      </c>
      <c r="BF553" s="33" t="s">
        <v>98</v>
      </c>
    </row>
    <row r="554" spans="1:58" s="365" customFormat="1" ht="65" x14ac:dyDescent="0.3">
      <c r="A554" s="357">
        <v>10548</v>
      </c>
      <c r="B554" s="357" t="s">
        <v>5029</v>
      </c>
      <c r="C554" s="357" t="s">
        <v>88</v>
      </c>
      <c r="D554" s="351" t="s">
        <v>5144</v>
      </c>
      <c r="E554" s="357" t="s">
        <v>43</v>
      </c>
      <c r="F554" s="351" t="s">
        <v>4987</v>
      </c>
      <c r="G554" s="357" t="s">
        <v>225</v>
      </c>
      <c r="H554" s="357" t="s">
        <v>125</v>
      </c>
      <c r="I554" s="357" t="s">
        <v>114</v>
      </c>
      <c r="J554" s="351" t="s">
        <v>24</v>
      </c>
      <c r="K554" s="351" t="s">
        <v>5031</v>
      </c>
      <c r="L554" s="351" t="s">
        <v>5032</v>
      </c>
      <c r="M554" s="357" t="s">
        <v>259</v>
      </c>
      <c r="N554" s="360" t="s">
        <v>5145</v>
      </c>
      <c r="O554" s="360" t="s">
        <v>207</v>
      </c>
      <c r="P554" s="363" t="s">
        <v>98</v>
      </c>
      <c r="Q554" s="351" t="s">
        <v>752</v>
      </c>
      <c r="R554" s="351" t="s">
        <v>5126</v>
      </c>
      <c r="S554" s="351" t="s">
        <v>5126</v>
      </c>
      <c r="T554" s="351" t="s">
        <v>276</v>
      </c>
      <c r="U554" s="354">
        <v>4948</v>
      </c>
      <c r="V554" s="355">
        <v>4955</v>
      </c>
      <c r="W554" s="357" t="s">
        <v>276</v>
      </c>
      <c r="X554" s="357" t="s">
        <v>276</v>
      </c>
      <c r="Y554" s="357" t="s">
        <v>276</v>
      </c>
      <c r="Z554" s="351" t="s">
        <v>1562</v>
      </c>
      <c r="AA554" s="357" t="s">
        <v>276</v>
      </c>
      <c r="AB554" s="351" t="s">
        <v>1562</v>
      </c>
      <c r="AC554" s="351" t="s">
        <v>5120</v>
      </c>
      <c r="AD554" s="351" t="s">
        <v>1674</v>
      </c>
      <c r="AE554" s="357" t="s">
        <v>276</v>
      </c>
      <c r="AF554" s="357" t="s">
        <v>276</v>
      </c>
      <c r="AG554" s="357" t="s">
        <v>276</v>
      </c>
      <c r="AH554" s="357" t="s">
        <v>276</v>
      </c>
      <c r="AI554" s="355" t="s">
        <v>4995</v>
      </c>
      <c r="AJ554" s="356" t="s">
        <v>276</v>
      </c>
      <c r="AK554" s="356" t="s">
        <v>98</v>
      </c>
      <c r="AL554" s="356" t="s">
        <v>276</v>
      </c>
      <c r="AM554" s="356" t="s">
        <v>276</v>
      </c>
      <c r="AN554" s="356" t="s">
        <v>276</v>
      </c>
      <c r="AO554" s="356" t="s">
        <v>98</v>
      </c>
      <c r="AP554" s="356" t="s">
        <v>276</v>
      </c>
      <c r="AQ554" s="356" t="s">
        <v>276</v>
      </c>
      <c r="AR554" s="357" t="s">
        <v>269</v>
      </c>
      <c r="AS554" s="356">
        <v>0.89</v>
      </c>
      <c r="AT554" s="356" t="s">
        <v>98</v>
      </c>
      <c r="AU554" s="356">
        <v>0.34</v>
      </c>
      <c r="AV554" s="356">
        <v>2.31</v>
      </c>
      <c r="AW554" s="357" t="s">
        <v>276</v>
      </c>
      <c r="AX554" s="351" t="s">
        <v>282</v>
      </c>
      <c r="AY554" s="356" t="s">
        <v>98</v>
      </c>
      <c r="AZ554" s="356" t="s">
        <v>98</v>
      </c>
      <c r="BA554" s="356" t="s">
        <v>98</v>
      </c>
      <c r="BB554" s="356" t="s">
        <v>98</v>
      </c>
      <c r="BC554" s="351" t="s">
        <v>5127</v>
      </c>
      <c r="BD554" s="364"/>
      <c r="BE554" s="33" t="s">
        <v>100</v>
      </c>
      <c r="BF554" s="33" t="s">
        <v>98</v>
      </c>
    </row>
    <row r="555" spans="1:58" s="365" customFormat="1" ht="65" x14ac:dyDescent="0.3">
      <c r="A555" s="357">
        <v>10548</v>
      </c>
      <c r="B555" s="357" t="s">
        <v>5029</v>
      </c>
      <c r="C555" s="357" t="s">
        <v>88</v>
      </c>
      <c r="D555" s="351" t="s">
        <v>5146</v>
      </c>
      <c r="E555" s="357" t="s">
        <v>43</v>
      </c>
      <c r="F555" s="351" t="s">
        <v>4987</v>
      </c>
      <c r="G555" s="357" t="s">
        <v>225</v>
      </c>
      <c r="H555" s="357" t="s">
        <v>125</v>
      </c>
      <c r="I555" s="357" t="s">
        <v>114</v>
      </c>
      <c r="J555" s="351" t="s">
        <v>24</v>
      </c>
      <c r="K555" s="351" t="s">
        <v>5031</v>
      </c>
      <c r="L555" s="351" t="s">
        <v>5032</v>
      </c>
      <c r="M555" s="357" t="s">
        <v>259</v>
      </c>
      <c r="N555" s="360" t="s">
        <v>5145</v>
      </c>
      <c r="O555" s="360" t="s">
        <v>207</v>
      </c>
      <c r="P555" s="363" t="s">
        <v>98</v>
      </c>
      <c r="Q555" s="351" t="s">
        <v>770</v>
      </c>
      <c r="R555" s="351" t="s">
        <v>5126</v>
      </c>
      <c r="S555" s="351" t="s">
        <v>5126</v>
      </c>
      <c r="T555" s="351" t="s">
        <v>276</v>
      </c>
      <c r="U555" s="354">
        <v>4948</v>
      </c>
      <c r="V555" s="355">
        <v>4955</v>
      </c>
      <c r="W555" s="357" t="s">
        <v>276</v>
      </c>
      <c r="X555" s="357" t="s">
        <v>276</v>
      </c>
      <c r="Y555" s="357" t="s">
        <v>276</v>
      </c>
      <c r="Z555" s="351" t="s">
        <v>1562</v>
      </c>
      <c r="AA555" s="357" t="s">
        <v>276</v>
      </c>
      <c r="AB555" s="351" t="s">
        <v>1562</v>
      </c>
      <c r="AC555" s="351" t="s">
        <v>5123</v>
      </c>
      <c r="AD555" s="351" t="s">
        <v>1674</v>
      </c>
      <c r="AE555" s="357" t="s">
        <v>276</v>
      </c>
      <c r="AF555" s="357" t="s">
        <v>276</v>
      </c>
      <c r="AG555" s="357" t="s">
        <v>276</v>
      </c>
      <c r="AH555" s="357" t="s">
        <v>276</v>
      </c>
      <c r="AI555" s="355" t="s">
        <v>4995</v>
      </c>
      <c r="AJ555" s="356" t="s">
        <v>276</v>
      </c>
      <c r="AK555" s="356" t="s">
        <v>98</v>
      </c>
      <c r="AL555" s="356" t="s">
        <v>276</v>
      </c>
      <c r="AM555" s="356" t="s">
        <v>276</v>
      </c>
      <c r="AN555" s="356" t="s">
        <v>276</v>
      </c>
      <c r="AO555" s="356" t="s">
        <v>98</v>
      </c>
      <c r="AP555" s="356" t="s">
        <v>276</v>
      </c>
      <c r="AQ555" s="356" t="s">
        <v>276</v>
      </c>
      <c r="AR555" s="357" t="s">
        <v>269</v>
      </c>
      <c r="AS555" s="356">
        <v>0.89</v>
      </c>
      <c r="AT555" s="356" t="s">
        <v>98</v>
      </c>
      <c r="AU555" s="356">
        <v>0.36</v>
      </c>
      <c r="AV555" s="356">
        <v>2.2000000000000002</v>
      </c>
      <c r="AW555" s="357" t="s">
        <v>276</v>
      </c>
      <c r="AX555" s="351" t="s">
        <v>282</v>
      </c>
      <c r="AY555" s="356" t="s">
        <v>98</v>
      </c>
      <c r="AZ555" s="356" t="s">
        <v>98</v>
      </c>
      <c r="BA555" s="356" t="s">
        <v>98</v>
      </c>
      <c r="BB555" s="356" t="s">
        <v>98</v>
      </c>
      <c r="BC555" s="351" t="s">
        <v>5127</v>
      </c>
      <c r="BD555" s="364"/>
      <c r="BE555" s="33" t="s">
        <v>100</v>
      </c>
      <c r="BF555" s="33" t="s">
        <v>98</v>
      </c>
    </row>
    <row r="556" spans="1:58" s="365" customFormat="1" ht="65" x14ac:dyDescent="0.3">
      <c r="A556" s="357">
        <v>10548</v>
      </c>
      <c r="B556" s="357" t="s">
        <v>5029</v>
      </c>
      <c r="C556" s="357" t="s">
        <v>88</v>
      </c>
      <c r="D556" s="351" t="s">
        <v>5147</v>
      </c>
      <c r="E556" s="357" t="s">
        <v>43</v>
      </c>
      <c r="F556" s="351" t="s">
        <v>4987</v>
      </c>
      <c r="G556" s="357" t="s">
        <v>225</v>
      </c>
      <c r="H556" s="357" t="s">
        <v>125</v>
      </c>
      <c r="I556" s="357" t="s">
        <v>114</v>
      </c>
      <c r="J556" s="351" t="s">
        <v>24</v>
      </c>
      <c r="K556" s="351" t="s">
        <v>5031</v>
      </c>
      <c r="L556" s="351" t="s">
        <v>5032</v>
      </c>
      <c r="M556" s="357" t="s">
        <v>261</v>
      </c>
      <c r="N556" s="360" t="s">
        <v>5000</v>
      </c>
      <c r="O556" s="360" t="s">
        <v>207</v>
      </c>
      <c r="P556" s="363" t="s">
        <v>98</v>
      </c>
      <c r="Q556" s="351" t="s">
        <v>752</v>
      </c>
      <c r="R556" s="351" t="s">
        <v>5126</v>
      </c>
      <c r="S556" s="351" t="s">
        <v>5126</v>
      </c>
      <c r="T556" s="351" t="s">
        <v>276</v>
      </c>
      <c r="U556" s="354">
        <v>82816</v>
      </c>
      <c r="V556" s="354">
        <v>99183</v>
      </c>
      <c r="W556" s="357" t="s">
        <v>276</v>
      </c>
      <c r="X556" s="357" t="s">
        <v>276</v>
      </c>
      <c r="Y556" s="357" t="s">
        <v>276</v>
      </c>
      <c r="Z556" s="351" t="s">
        <v>1562</v>
      </c>
      <c r="AA556" s="357" t="s">
        <v>276</v>
      </c>
      <c r="AB556" s="351" t="s">
        <v>1562</v>
      </c>
      <c r="AC556" s="351" t="s">
        <v>5148</v>
      </c>
      <c r="AD556" s="351" t="s">
        <v>1674</v>
      </c>
      <c r="AE556" s="357" t="s">
        <v>276</v>
      </c>
      <c r="AF556" s="357" t="s">
        <v>276</v>
      </c>
      <c r="AG556" s="357" t="s">
        <v>276</v>
      </c>
      <c r="AH556" s="357" t="s">
        <v>276</v>
      </c>
      <c r="AI556" s="355" t="s">
        <v>4995</v>
      </c>
      <c r="AJ556" s="356" t="s">
        <v>276</v>
      </c>
      <c r="AK556" s="356" t="s">
        <v>98</v>
      </c>
      <c r="AL556" s="356" t="s">
        <v>276</v>
      </c>
      <c r="AM556" s="356" t="s">
        <v>276</v>
      </c>
      <c r="AN556" s="356" t="s">
        <v>276</v>
      </c>
      <c r="AO556" s="356" t="s">
        <v>98</v>
      </c>
      <c r="AP556" s="356" t="s">
        <v>276</v>
      </c>
      <c r="AQ556" s="356" t="s">
        <v>276</v>
      </c>
      <c r="AR556" s="357" t="s">
        <v>269</v>
      </c>
      <c r="AS556" s="356" t="s">
        <v>276</v>
      </c>
      <c r="AT556" s="356" t="s">
        <v>98</v>
      </c>
      <c r="AU556" s="356" t="s">
        <v>276</v>
      </c>
      <c r="AV556" s="356" t="s">
        <v>276</v>
      </c>
      <c r="AW556" s="357" t="s">
        <v>276</v>
      </c>
      <c r="AX556" s="351" t="s">
        <v>5038</v>
      </c>
      <c r="AY556" s="356">
        <v>0.87</v>
      </c>
      <c r="AZ556" s="356">
        <v>0.73</v>
      </c>
      <c r="BA556" s="356">
        <v>1.03</v>
      </c>
      <c r="BB556" s="356" t="s">
        <v>276</v>
      </c>
      <c r="BC556" s="351" t="s">
        <v>5149</v>
      </c>
      <c r="BD556" s="364"/>
      <c r="BE556" s="33" t="s">
        <v>100</v>
      </c>
      <c r="BF556" s="33" t="s">
        <v>98</v>
      </c>
    </row>
    <row r="557" spans="1:58" s="365" customFormat="1" ht="65" x14ac:dyDescent="0.3">
      <c r="A557" s="357">
        <v>10548</v>
      </c>
      <c r="B557" s="357" t="s">
        <v>5029</v>
      </c>
      <c r="C557" s="357" t="s">
        <v>88</v>
      </c>
      <c r="D557" s="351" t="s">
        <v>5150</v>
      </c>
      <c r="E557" s="357" t="s">
        <v>43</v>
      </c>
      <c r="F557" s="351" t="s">
        <v>4987</v>
      </c>
      <c r="G557" s="357" t="s">
        <v>225</v>
      </c>
      <c r="H557" s="357" t="s">
        <v>125</v>
      </c>
      <c r="I557" s="357" t="s">
        <v>114</v>
      </c>
      <c r="J557" s="351" t="s">
        <v>24</v>
      </c>
      <c r="K557" s="351" t="s">
        <v>5031</v>
      </c>
      <c r="L557" s="351" t="s">
        <v>5032</v>
      </c>
      <c r="M557" s="357" t="s">
        <v>261</v>
      </c>
      <c r="N557" s="360" t="s">
        <v>5000</v>
      </c>
      <c r="O557" s="360" t="s">
        <v>207</v>
      </c>
      <c r="P557" s="363" t="s">
        <v>98</v>
      </c>
      <c r="Q557" s="351" t="s">
        <v>770</v>
      </c>
      <c r="R557" s="351" t="s">
        <v>5126</v>
      </c>
      <c r="S557" s="351" t="s">
        <v>5126</v>
      </c>
      <c r="T557" s="351" t="s">
        <v>276</v>
      </c>
      <c r="U557" s="354">
        <v>82816</v>
      </c>
      <c r="V557" s="354">
        <v>99183</v>
      </c>
      <c r="W557" s="357" t="s">
        <v>276</v>
      </c>
      <c r="X557" s="357" t="s">
        <v>276</v>
      </c>
      <c r="Y557" s="357" t="s">
        <v>276</v>
      </c>
      <c r="Z557" s="351" t="s">
        <v>1562</v>
      </c>
      <c r="AA557" s="357" t="s">
        <v>276</v>
      </c>
      <c r="AB557" s="351" t="s">
        <v>1562</v>
      </c>
      <c r="AC557" s="351" t="s">
        <v>5151</v>
      </c>
      <c r="AD557" s="351" t="s">
        <v>1674</v>
      </c>
      <c r="AE557" s="357" t="s">
        <v>276</v>
      </c>
      <c r="AF557" s="357" t="s">
        <v>276</v>
      </c>
      <c r="AG557" s="357" t="s">
        <v>276</v>
      </c>
      <c r="AH557" s="357" t="s">
        <v>276</v>
      </c>
      <c r="AI557" s="355" t="s">
        <v>4995</v>
      </c>
      <c r="AJ557" s="356" t="s">
        <v>276</v>
      </c>
      <c r="AK557" s="356" t="s">
        <v>98</v>
      </c>
      <c r="AL557" s="356" t="s">
        <v>276</v>
      </c>
      <c r="AM557" s="356" t="s">
        <v>276</v>
      </c>
      <c r="AN557" s="356" t="s">
        <v>276</v>
      </c>
      <c r="AO557" s="356" t="s">
        <v>98</v>
      </c>
      <c r="AP557" s="356" t="s">
        <v>276</v>
      </c>
      <c r="AQ557" s="356" t="s">
        <v>276</v>
      </c>
      <c r="AR557" s="357" t="s">
        <v>269</v>
      </c>
      <c r="AS557" s="356" t="s">
        <v>276</v>
      </c>
      <c r="AT557" s="356" t="s">
        <v>98</v>
      </c>
      <c r="AU557" s="356" t="s">
        <v>276</v>
      </c>
      <c r="AV557" s="356" t="s">
        <v>276</v>
      </c>
      <c r="AW557" s="357" t="s">
        <v>276</v>
      </c>
      <c r="AX557" s="351" t="s">
        <v>5038</v>
      </c>
      <c r="AY557" s="356">
        <v>0.82</v>
      </c>
      <c r="AZ557" s="356">
        <v>0.7</v>
      </c>
      <c r="BA557" s="356">
        <v>0.95</v>
      </c>
      <c r="BB557" s="356" t="s">
        <v>276</v>
      </c>
      <c r="BC557" s="351" t="s">
        <v>5149</v>
      </c>
      <c r="BD557" s="364"/>
      <c r="BE557" s="33" t="s">
        <v>100</v>
      </c>
      <c r="BF557" s="33" t="s">
        <v>98</v>
      </c>
    </row>
    <row r="558" spans="1:58" s="365" customFormat="1" ht="65" x14ac:dyDescent="0.3">
      <c r="A558" s="357">
        <v>10548</v>
      </c>
      <c r="B558" s="357" t="s">
        <v>5029</v>
      </c>
      <c r="C558" s="357" t="s">
        <v>88</v>
      </c>
      <c r="D558" s="351" t="s">
        <v>5152</v>
      </c>
      <c r="E558" s="357" t="s">
        <v>43</v>
      </c>
      <c r="F558" s="351" t="s">
        <v>4987</v>
      </c>
      <c r="G558" s="357" t="s">
        <v>225</v>
      </c>
      <c r="H558" s="357" t="s">
        <v>125</v>
      </c>
      <c r="I558" s="357" t="s">
        <v>114</v>
      </c>
      <c r="J558" s="351" t="s">
        <v>24</v>
      </c>
      <c r="K558" s="351" t="s">
        <v>5031</v>
      </c>
      <c r="L558" s="351" t="s">
        <v>5032</v>
      </c>
      <c r="M558" s="357" t="s">
        <v>261</v>
      </c>
      <c r="N558" s="360" t="s">
        <v>5153</v>
      </c>
      <c r="O558" s="360" t="s">
        <v>207</v>
      </c>
      <c r="P558" s="363" t="s">
        <v>98</v>
      </c>
      <c r="Q558" s="351" t="s">
        <v>752</v>
      </c>
      <c r="R558" s="351" t="s">
        <v>5126</v>
      </c>
      <c r="S558" s="351" t="s">
        <v>5126</v>
      </c>
      <c r="T558" s="351" t="s">
        <v>276</v>
      </c>
      <c r="U558" s="354">
        <v>21206</v>
      </c>
      <c r="V558" s="355">
        <v>21162</v>
      </c>
      <c r="W558" s="357" t="s">
        <v>276</v>
      </c>
      <c r="X558" s="357" t="s">
        <v>276</v>
      </c>
      <c r="Y558" s="357" t="s">
        <v>276</v>
      </c>
      <c r="Z558" s="351" t="s">
        <v>1562</v>
      </c>
      <c r="AA558" s="357" t="s">
        <v>276</v>
      </c>
      <c r="AB558" s="351" t="s">
        <v>1562</v>
      </c>
      <c r="AC558" s="351" t="s">
        <v>5148</v>
      </c>
      <c r="AD558" s="351" t="s">
        <v>1674</v>
      </c>
      <c r="AE558" s="357" t="s">
        <v>276</v>
      </c>
      <c r="AF558" s="357" t="s">
        <v>276</v>
      </c>
      <c r="AG558" s="357" t="s">
        <v>276</v>
      </c>
      <c r="AH558" s="357" t="s">
        <v>276</v>
      </c>
      <c r="AI558" s="355" t="s">
        <v>4995</v>
      </c>
      <c r="AJ558" s="356" t="s">
        <v>276</v>
      </c>
      <c r="AK558" s="356" t="s">
        <v>98</v>
      </c>
      <c r="AL558" s="356" t="s">
        <v>276</v>
      </c>
      <c r="AM558" s="356" t="s">
        <v>276</v>
      </c>
      <c r="AN558" s="356" t="s">
        <v>276</v>
      </c>
      <c r="AO558" s="356" t="s">
        <v>98</v>
      </c>
      <c r="AP558" s="356" t="s">
        <v>276</v>
      </c>
      <c r="AQ558" s="356" t="s">
        <v>276</v>
      </c>
      <c r="AR558" s="357" t="s">
        <v>269</v>
      </c>
      <c r="AS558" s="356">
        <v>0.76</v>
      </c>
      <c r="AT558" s="356" t="s">
        <v>98</v>
      </c>
      <c r="AU558" s="356">
        <v>0.52</v>
      </c>
      <c r="AV558" s="356">
        <v>1.1200000000000001</v>
      </c>
      <c r="AW558" s="357" t="s">
        <v>276</v>
      </c>
      <c r="AX558" s="351" t="s">
        <v>282</v>
      </c>
      <c r="AY558" s="356" t="s">
        <v>98</v>
      </c>
      <c r="AZ558" s="356" t="s">
        <v>98</v>
      </c>
      <c r="BA558" s="356" t="s">
        <v>98</v>
      </c>
      <c r="BB558" s="356" t="s">
        <v>98</v>
      </c>
      <c r="BC558" s="351" t="s">
        <v>5149</v>
      </c>
      <c r="BD558" s="364"/>
      <c r="BE558" s="33" t="s">
        <v>100</v>
      </c>
      <c r="BF558" s="33" t="s">
        <v>98</v>
      </c>
    </row>
    <row r="559" spans="1:58" s="365" customFormat="1" ht="65" x14ac:dyDescent="0.3">
      <c r="A559" s="357">
        <v>10548</v>
      </c>
      <c r="B559" s="357" t="s">
        <v>5029</v>
      </c>
      <c r="C559" s="357" t="s">
        <v>88</v>
      </c>
      <c r="D559" s="351" t="s">
        <v>5154</v>
      </c>
      <c r="E559" s="357" t="s">
        <v>43</v>
      </c>
      <c r="F559" s="351" t="s">
        <v>4987</v>
      </c>
      <c r="G559" s="357" t="s">
        <v>225</v>
      </c>
      <c r="H559" s="357" t="s">
        <v>125</v>
      </c>
      <c r="I559" s="357" t="s">
        <v>114</v>
      </c>
      <c r="J559" s="351" t="s">
        <v>24</v>
      </c>
      <c r="K559" s="351" t="s">
        <v>5031</v>
      </c>
      <c r="L559" s="351" t="s">
        <v>5032</v>
      </c>
      <c r="M559" s="357" t="s">
        <v>261</v>
      </c>
      <c r="N559" s="360" t="s">
        <v>5153</v>
      </c>
      <c r="O559" s="360" t="s">
        <v>207</v>
      </c>
      <c r="P559" s="363" t="s">
        <v>98</v>
      </c>
      <c r="Q559" s="351" t="s">
        <v>770</v>
      </c>
      <c r="R559" s="351" t="s">
        <v>5126</v>
      </c>
      <c r="S559" s="351" t="s">
        <v>5126</v>
      </c>
      <c r="T559" s="351" t="s">
        <v>276</v>
      </c>
      <c r="U559" s="354">
        <v>21206</v>
      </c>
      <c r="V559" s="355">
        <v>21162</v>
      </c>
      <c r="W559" s="357" t="s">
        <v>276</v>
      </c>
      <c r="X559" s="357" t="s">
        <v>276</v>
      </c>
      <c r="Y559" s="357" t="s">
        <v>276</v>
      </c>
      <c r="Z559" s="351" t="s">
        <v>1562</v>
      </c>
      <c r="AA559" s="357" t="s">
        <v>276</v>
      </c>
      <c r="AB559" s="351" t="s">
        <v>1562</v>
      </c>
      <c r="AC559" s="351" t="s">
        <v>5151</v>
      </c>
      <c r="AD559" s="351" t="s">
        <v>1674</v>
      </c>
      <c r="AE559" s="357" t="s">
        <v>276</v>
      </c>
      <c r="AF559" s="357" t="s">
        <v>276</v>
      </c>
      <c r="AG559" s="357" t="s">
        <v>276</v>
      </c>
      <c r="AH559" s="357" t="s">
        <v>276</v>
      </c>
      <c r="AI559" s="355" t="s">
        <v>4995</v>
      </c>
      <c r="AJ559" s="356" t="s">
        <v>276</v>
      </c>
      <c r="AK559" s="356" t="s">
        <v>98</v>
      </c>
      <c r="AL559" s="356" t="s">
        <v>276</v>
      </c>
      <c r="AM559" s="356" t="s">
        <v>276</v>
      </c>
      <c r="AN559" s="356" t="s">
        <v>276</v>
      </c>
      <c r="AO559" s="356" t="s">
        <v>98</v>
      </c>
      <c r="AP559" s="356" t="s">
        <v>276</v>
      </c>
      <c r="AQ559" s="356" t="s">
        <v>276</v>
      </c>
      <c r="AR559" s="357" t="s">
        <v>269</v>
      </c>
      <c r="AS559" s="356">
        <v>0.77</v>
      </c>
      <c r="AT559" s="356" t="s">
        <v>98</v>
      </c>
      <c r="AU559" s="356">
        <v>0.57999999999999996</v>
      </c>
      <c r="AV559" s="356">
        <v>1.03</v>
      </c>
      <c r="AW559" s="357" t="s">
        <v>276</v>
      </c>
      <c r="AX559" s="351" t="s">
        <v>282</v>
      </c>
      <c r="AY559" s="356" t="s">
        <v>98</v>
      </c>
      <c r="AZ559" s="356" t="s">
        <v>98</v>
      </c>
      <c r="BA559" s="356" t="s">
        <v>98</v>
      </c>
      <c r="BB559" s="356" t="s">
        <v>98</v>
      </c>
      <c r="BC559" s="351" t="s">
        <v>5149</v>
      </c>
      <c r="BD559" s="364"/>
      <c r="BE559" s="33" t="s">
        <v>100</v>
      </c>
      <c r="BF559" s="33" t="s">
        <v>98</v>
      </c>
    </row>
    <row r="560" spans="1:58" s="365" customFormat="1" ht="65" x14ac:dyDescent="0.3">
      <c r="A560" s="357">
        <v>10548</v>
      </c>
      <c r="B560" s="357" t="s">
        <v>5029</v>
      </c>
      <c r="C560" s="357" t="s">
        <v>88</v>
      </c>
      <c r="D560" s="351" t="s">
        <v>5155</v>
      </c>
      <c r="E560" s="357" t="s">
        <v>43</v>
      </c>
      <c r="F560" s="351" t="s">
        <v>4987</v>
      </c>
      <c r="G560" s="357" t="s">
        <v>225</v>
      </c>
      <c r="H560" s="357" t="s">
        <v>125</v>
      </c>
      <c r="I560" s="357" t="s">
        <v>114</v>
      </c>
      <c r="J560" s="351" t="s">
        <v>24</v>
      </c>
      <c r="K560" s="351" t="s">
        <v>5031</v>
      </c>
      <c r="L560" s="351" t="s">
        <v>5032</v>
      </c>
      <c r="M560" s="357" t="s">
        <v>261</v>
      </c>
      <c r="N560" s="360" t="s">
        <v>5156</v>
      </c>
      <c r="O560" s="360" t="s">
        <v>207</v>
      </c>
      <c r="P560" s="363" t="s">
        <v>98</v>
      </c>
      <c r="Q560" s="351" t="s">
        <v>752</v>
      </c>
      <c r="R560" s="351" t="s">
        <v>5126</v>
      </c>
      <c r="S560" s="351" t="s">
        <v>5126</v>
      </c>
      <c r="T560" s="351" t="s">
        <v>276</v>
      </c>
      <c r="U560" s="354">
        <v>5188</v>
      </c>
      <c r="V560" s="351">
        <v>5171</v>
      </c>
      <c r="W560" s="357" t="s">
        <v>276</v>
      </c>
      <c r="X560" s="357" t="s">
        <v>276</v>
      </c>
      <c r="Y560" s="357" t="s">
        <v>276</v>
      </c>
      <c r="Z560" s="351" t="s">
        <v>1562</v>
      </c>
      <c r="AA560" s="357" t="s">
        <v>276</v>
      </c>
      <c r="AB560" s="351" t="s">
        <v>1562</v>
      </c>
      <c r="AC560" s="351" t="s">
        <v>5148</v>
      </c>
      <c r="AD560" s="351" t="s">
        <v>1674</v>
      </c>
      <c r="AE560" s="357" t="s">
        <v>276</v>
      </c>
      <c r="AF560" s="357" t="s">
        <v>276</v>
      </c>
      <c r="AG560" s="357" t="s">
        <v>276</v>
      </c>
      <c r="AH560" s="357" t="s">
        <v>276</v>
      </c>
      <c r="AI560" s="355" t="s">
        <v>4995</v>
      </c>
      <c r="AJ560" s="356" t="s">
        <v>276</v>
      </c>
      <c r="AK560" s="356" t="s">
        <v>98</v>
      </c>
      <c r="AL560" s="356" t="s">
        <v>276</v>
      </c>
      <c r="AM560" s="356" t="s">
        <v>276</v>
      </c>
      <c r="AN560" s="356" t="s">
        <v>276</v>
      </c>
      <c r="AO560" s="356" t="s">
        <v>98</v>
      </c>
      <c r="AP560" s="356" t="s">
        <v>276</v>
      </c>
      <c r="AQ560" s="356" t="s">
        <v>276</v>
      </c>
      <c r="AR560" s="357" t="s">
        <v>269</v>
      </c>
      <c r="AS560" s="356">
        <v>1.18</v>
      </c>
      <c r="AT560" s="356" t="s">
        <v>98</v>
      </c>
      <c r="AU560" s="356">
        <v>0.51</v>
      </c>
      <c r="AV560" s="356">
        <v>2.72</v>
      </c>
      <c r="AW560" s="357" t="s">
        <v>276</v>
      </c>
      <c r="AX560" s="351" t="s">
        <v>282</v>
      </c>
      <c r="AY560" s="356" t="s">
        <v>98</v>
      </c>
      <c r="AZ560" s="356" t="s">
        <v>98</v>
      </c>
      <c r="BA560" s="356" t="s">
        <v>98</v>
      </c>
      <c r="BB560" s="356" t="s">
        <v>98</v>
      </c>
      <c r="BC560" s="351" t="s">
        <v>5149</v>
      </c>
      <c r="BD560" s="364"/>
      <c r="BE560" s="33" t="s">
        <v>100</v>
      </c>
      <c r="BF560" s="33" t="s">
        <v>98</v>
      </c>
    </row>
    <row r="561" spans="1:58" s="365" customFormat="1" ht="65" x14ac:dyDescent="0.3">
      <c r="A561" s="357">
        <v>10548</v>
      </c>
      <c r="B561" s="357" t="s">
        <v>5029</v>
      </c>
      <c r="C561" s="357" t="s">
        <v>88</v>
      </c>
      <c r="D561" s="351" t="s">
        <v>5157</v>
      </c>
      <c r="E561" s="357" t="s">
        <v>43</v>
      </c>
      <c r="F561" s="351" t="s">
        <v>4987</v>
      </c>
      <c r="G561" s="357" t="s">
        <v>225</v>
      </c>
      <c r="H561" s="357" t="s">
        <v>125</v>
      </c>
      <c r="I561" s="357" t="s">
        <v>114</v>
      </c>
      <c r="J561" s="351" t="s">
        <v>24</v>
      </c>
      <c r="K561" s="351" t="s">
        <v>5031</v>
      </c>
      <c r="L561" s="351" t="s">
        <v>5032</v>
      </c>
      <c r="M561" s="357" t="s">
        <v>261</v>
      </c>
      <c r="N561" s="360" t="s">
        <v>5156</v>
      </c>
      <c r="O561" s="360" t="s">
        <v>207</v>
      </c>
      <c r="P561" s="363" t="s">
        <v>98</v>
      </c>
      <c r="Q561" s="351" t="s">
        <v>770</v>
      </c>
      <c r="R561" s="351" t="s">
        <v>5126</v>
      </c>
      <c r="S561" s="351" t="s">
        <v>5126</v>
      </c>
      <c r="T561" s="351" t="s">
        <v>276</v>
      </c>
      <c r="U561" s="354">
        <v>5188</v>
      </c>
      <c r="V561" s="351">
        <v>5171</v>
      </c>
      <c r="W561" s="357" t="s">
        <v>276</v>
      </c>
      <c r="X561" s="357" t="s">
        <v>276</v>
      </c>
      <c r="Y561" s="357" t="s">
        <v>276</v>
      </c>
      <c r="Z561" s="351" t="s">
        <v>1562</v>
      </c>
      <c r="AA561" s="357" t="s">
        <v>276</v>
      </c>
      <c r="AB561" s="351" t="s">
        <v>1562</v>
      </c>
      <c r="AC561" s="351" t="s">
        <v>5151</v>
      </c>
      <c r="AD561" s="351" t="s">
        <v>1674</v>
      </c>
      <c r="AE561" s="357" t="s">
        <v>276</v>
      </c>
      <c r="AF561" s="357" t="s">
        <v>276</v>
      </c>
      <c r="AG561" s="357" t="s">
        <v>276</v>
      </c>
      <c r="AH561" s="357" t="s">
        <v>276</v>
      </c>
      <c r="AI561" s="355" t="s">
        <v>4995</v>
      </c>
      <c r="AJ561" s="356" t="s">
        <v>276</v>
      </c>
      <c r="AK561" s="356" t="s">
        <v>98</v>
      </c>
      <c r="AL561" s="356" t="s">
        <v>276</v>
      </c>
      <c r="AM561" s="356" t="s">
        <v>276</v>
      </c>
      <c r="AN561" s="356" t="s">
        <v>276</v>
      </c>
      <c r="AO561" s="356" t="s">
        <v>98</v>
      </c>
      <c r="AP561" s="356" t="s">
        <v>276</v>
      </c>
      <c r="AQ561" s="356" t="s">
        <v>276</v>
      </c>
      <c r="AR561" s="357" t="s">
        <v>269</v>
      </c>
      <c r="AS561" s="356">
        <v>0.87</v>
      </c>
      <c r="AT561" s="356" t="s">
        <v>98</v>
      </c>
      <c r="AU561" s="356">
        <v>0.49</v>
      </c>
      <c r="AV561" s="356">
        <v>1.54</v>
      </c>
      <c r="AW561" s="357" t="s">
        <v>276</v>
      </c>
      <c r="AX561" s="351" t="s">
        <v>282</v>
      </c>
      <c r="AY561" s="356" t="s">
        <v>98</v>
      </c>
      <c r="AZ561" s="356" t="s">
        <v>98</v>
      </c>
      <c r="BA561" s="356" t="s">
        <v>98</v>
      </c>
      <c r="BB561" s="356" t="s">
        <v>98</v>
      </c>
      <c r="BC561" s="351" t="s">
        <v>5149</v>
      </c>
      <c r="BD561" s="364"/>
      <c r="BE561" s="33" t="s">
        <v>100</v>
      </c>
      <c r="BF561" s="33" t="s">
        <v>98</v>
      </c>
    </row>
    <row r="562" spans="1:58" s="365" customFormat="1" ht="65" x14ac:dyDescent="0.3">
      <c r="A562" s="357">
        <v>10548</v>
      </c>
      <c r="B562" s="357" t="s">
        <v>5029</v>
      </c>
      <c r="C562" s="357" t="s">
        <v>88</v>
      </c>
      <c r="D562" s="351" t="s">
        <v>5158</v>
      </c>
      <c r="E562" s="357" t="s">
        <v>43</v>
      </c>
      <c r="F562" s="351" t="s">
        <v>4987</v>
      </c>
      <c r="G562" s="357" t="s">
        <v>225</v>
      </c>
      <c r="H562" s="357" t="s">
        <v>125</v>
      </c>
      <c r="I562" s="357" t="s">
        <v>114</v>
      </c>
      <c r="J562" s="351" t="s">
        <v>24</v>
      </c>
      <c r="K562" s="351" t="s">
        <v>5031</v>
      </c>
      <c r="L562" s="351" t="s">
        <v>5032</v>
      </c>
      <c r="M562" s="357" t="s">
        <v>261</v>
      </c>
      <c r="N562" s="360" t="s">
        <v>5159</v>
      </c>
      <c r="O562" s="360" t="s">
        <v>207</v>
      </c>
      <c r="P562" s="363" t="s">
        <v>98</v>
      </c>
      <c r="Q562" s="351" t="s">
        <v>752</v>
      </c>
      <c r="R562" s="351" t="s">
        <v>5126</v>
      </c>
      <c r="S562" s="351" t="s">
        <v>5126</v>
      </c>
      <c r="T562" s="351" t="s">
        <v>276</v>
      </c>
      <c r="U562" s="354">
        <v>9957</v>
      </c>
      <c r="V562" s="351">
        <v>9954</v>
      </c>
      <c r="W562" s="357" t="s">
        <v>276</v>
      </c>
      <c r="X562" s="357" t="s">
        <v>276</v>
      </c>
      <c r="Y562" s="357" t="s">
        <v>276</v>
      </c>
      <c r="Z562" s="351" t="s">
        <v>1562</v>
      </c>
      <c r="AA562" s="357" t="s">
        <v>276</v>
      </c>
      <c r="AB562" s="351" t="s">
        <v>1562</v>
      </c>
      <c r="AC562" s="351" t="s">
        <v>5148</v>
      </c>
      <c r="AD562" s="351" t="s">
        <v>1674</v>
      </c>
      <c r="AE562" s="357" t="s">
        <v>276</v>
      </c>
      <c r="AF562" s="357" t="s">
        <v>276</v>
      </c>
      <c r="AG562" s="357" t="s">
        <v>276</v>
      </c>
      <c r="AH562" s="357" t="s">
        <v>276</v>
      </c>
      <c r="AI562" s="355" t="s">
        <v>4995</v>
      </c>
      <c r="AJ562" s="356" t="s">
        <v>276</v>
      </c>
      <c r="AK562" s="356" t="s">
        <v>98</v>
      </c>
      <c r="AL562" s="356" t="s">
        <v>276</v>
      </c>
      <c r="AM562" s="356" t="s">
        <v>276</v>
      </c>
      <c r="AN562" s="356" t="s">
        <v>276</v>
      </c>
      <c r="AO562" s="356" t="s">
        <v>98</v>
      </c>
      <c r="AP562" s="356" t="s">
        <v>276</v>
      </c>
      <c r="AQ562" s="356" t="s">
        <v>276</v>
      </c>
      <c r="AR562" s="357" t="s">
        <v>269</v>
      </c>
      <c r="AS562" s="356">
        <v>0.7</v>
      </c>
      <c r="AT562" s="356" t="s">
        <v>98</v>
      </c>
      <c r="AU562" s="356">
        <v>0.38</v>
      </c>
      <c r="AV562" s="356">
        <v>1.27</v>
      </c>
      <c r="AW562" s="357" t="s">
        <v>276</v>
      </c>
      <c r="AX562" s="351" t="s">
        <v>282</v>
      </c>
      <c r="AY562" s="356" t="s">
        <v>98</v>
      </c>
      <c r="AZ562" s="356" t="s">
        <v>98</v>
      </c>
      <c r="BA562" s="356" t="s">
        <v>98</v>
      </c>
      <c r="BB562" s="356" t="s">
        <v>98</v>
      </c>
      <c r="BC562" s="351" t="s">
        <v>5149</v>
      </c>
      <c r="BD562" s="364"/>
      <c r="BE562" s="33" t="s">
        <v>100</v>
      </c>
      <c r="BF562" s="33" t="s">
        <v>98</v>
      </c>
    </row>
    <row r="563" spans="1:58" s="365" customFormat="1" ht="65" x14ac:dyDescent="0.3">
      <c r="A563" s="357">
        <v>10548</v>
      </c>
      <c r="B563" s="357" t="s">
        <v>5029</v>
      </c>
      <c r="C563" s="357" t="s">
        <v>88</v>
      </c>
      <c r="D563" s="351" t="s">
        <v>5160</v>
      </c>
      <c r="E563" s="357" t="s">
        <v>43</v>
      </c>
      <c r="F563" s="351" t="s">
        <v>4987</v>
      </c>
      <c r="G563" s="357" t="s">
        <v>225</v>
      </c>
      <c r="H563" s="357" t="s">
        <v>125</v>
      </c>
      <c r="I563" s="357" t="s">
        <v>114</v>
      </c>
      <c r="J563" s="351" t="s">
        <v>24</v>
      </c>
      <c r="K563" s="351" t="s">
        <v>5031</v>
      </c>
      <c r="L563" s="351" t="s">
        <v>5032</v>
      </c>
      <c r="M563" s="357" t="s">
        <v>261</v>
      </c>
      <c r="N563" s="360" t="s">
        <v>5159</v>
      </c>
      <c r="O563" s="360" t="s">
        <v>207</v>
      </c>
      <c r="P563" s="363" t="s">
        <v>98</v>
      </c>
      <c r="Q563" s="351" t="s">
        <v>770</v>
      </c>
      <c r="R563" s="351" t="s">
        <v>5126</v>
      </c>
      <c r="S563" s="351" t="s">
        <v>5126</v>
      </c>
      <c r="T563" s="351" t="s">
        <v>276</v>
      </c>
      <c r="U563" s="354">
        <v>9957</v>
      </c>
      <c r="V563" s="351">
        <v>9954</v>
      </c>
      <c r="W563" s="357" t="s">
        <v>276</v>
      </c>
      <c r="X563" s="357" t="s">
        <v>276</v>
      </c>
      <c r="Y563" s="357" t="s">
        <v>276</v>
      </c>
      <c r="Z563" s="351" t="s">
        <v>1562</v>
      </c>
      <c r="AA563" s="357" t="s">
        <v>276</v>
      </c>
      <c r="AB563" s="351" t="s">
        <v>1562</v>
      </c>
      <c r="AC563" s="351" t="s">
        <v>5151</v>
      </c>
      <c r="AD563" s="351" t="s">
        <v>1674</v>
      </c>
      <c r="AE563" s="357" t="s">
        <v>276</v>
      </c>
      <c r="AF563" s="357" t="s">
        <v>276</v>
      </c>
      <c r="AG563" s="357" t="s">
        <v>276</v>
      </c>
      <c r="AH563" s="357" t="s">
        <v>276</v>
      </c>
      <c r="AI563" s="355" t="s">
        <v>4995</v>
      </c>
      <c r="AJ563" s="356" t="s">
        <v>276</v>
      </c>
      <c r="AK563" s="356" t="s">
        <v>98</v>
      </c>
      <c r="AL563" s="356" t="s">
        <v>276</v>
      </c>
      <c r="AM563" s="356" t="s">
        <v>276</v>
      </c>
      <c r="AN563" s="356" t="s">
        <v>276</v>
      </c>
      <c r="AO563" s="356" t="s">
        <v>98</v>
      </c>
      <c r="AP563" s="356" t="s">
        <v>276</v>
      </c>
      <c r="AQ563" s="356" t="s">
        <v>276</v>
      </c>
      <c r="AR563" s="357" t="s">
        <v>269</v>
      </c>
      <c r="AS563" s="356">
        <v>0.72</v>
      </c>
      <c r="AT563" s="356" t="s">
        <v>98</v>
      </c>
      <c r="AU563" s="356">
        <v>0.47</v>
      </c>
      <c r="AV563" s="356">
        <v>1.1200000000000001</v>
      </c>
      <c r="AW563" s="357" t="s">
        <v>276</v>
      </c>
      <c r="AX563" s="351" t="s">
        <v>282</v>
      </c>
      <c r="AY563" s="356" t="s">
        <v>98</v>
      </c>
      <c r="AZ563" s="356" t="s">
        <v>98</v>
      </c>
      <c r="BA563" s="356" t="s">
        <v>98</v>
      </c>
      <c r="BB563" s="356" t="s">
        <v>98</v>
      </c>
      <c r="BC563" s="351" t="s">
        <v>5149</v>
      </c>
      <c r="BD563" s="364"/>
      <c r="BE563" s="33" t="s">
        <v>100</v>
      </c>
      <c r="BF563" s="33" t="s">
        <v>98</v>
      </c>
    </row>
    <row r="564" spans="1:58" s="365" customFormat="1" ht="65" x14ac:dyDescent="0.3">
      <c r="A564" s="357">
        <v>10548</v>
      </c>
      <c r="B564" s="357" t="s">
        <v>5029</v>
      </c>
      <c r="C564" s="357" t="s">
        <v>88</v>
      </c>
      <c r="D564" s="351" t="s">
        <v>5161</v>
      </c>
      <c r="E564" s="357" t="s">
        <v>43</v>
      </c>
      <c r="F564" s="351" t="s">
        <v>4987</v>
      </c>
      <c r="G564" s="357" t="s">
        <v>225</v>
      </c>
      <c r="H564" s="357" t="s">
        <v>125</v>
      </c>
      <c r="I564" s="357" t="s">
        <v>114</v>
      </c>
      <c r="J564" s="351" t="s">
        <v>24</v>
      </c>
      <c r="K564" s="351" t="s">
        <v>5031</v>
      </c>
      <c r="L564" s="351" t="s">
        <v>5032</v>
      </c>
      <c r="M564" s="357" t="s">
        <v>261</v>
      </c>
      <c r="N564" s="360" t="s">
        <v>5162</v>
      </c>
      <c r="O564" s="360" t="s">
        <v>207</v>
      </c>
      <c r="P564" s="363" t="s">
        <v>98</v>
      </c>
      <c r="Q564" s="351" t="s">
        <v>752</v>
      </c>
      <c r="R564" s="351" t="s">
        <v>5126</v>
      </c>
      <c r="S564" s="351" t="s">
        <v>5126</v>
      </c>
      <c r="T564" s="351" t="s">
        <v>276</v>
      </c>
      <c r="U564" s="354">
        <v>31970</v>
      </c>
      <c r="V564" s="355">
        <v>48409</v>
      </c>
      <c r="W564" s="357" t="s">
        <v>276</v>
      </c>
      <c r="X564" s="357" t="s">
        <v>276</v>
      </c>
      <c r="Y564" s="357" t="s">
        <v>276</v>
      </c>
      <c r="Z564" s="351" t="s">
        <v>1562</v>
      </c>
      <c r="AA564" s="357" t="s">
        <v>276</v>
      </c>
      <c r="AB564" s="351" t="s">
        <v>1562</v>
      </c>
      <c r="AC564" s="351" t="s">
        <v>5148</v>
      </c>
      <c r="AD564" s="351" t="s">
        <v>1674</v>
      </c>
      <c r="AE564" s="357" t="s">
        <v>276</v>
      </c>
      <c r="AF564" s="357" t="s">
        <v>276</v>
      </c>
      <c r="AG564" s="357" t="s">
        <v>276</v>
      </c>
      <c r="AH564" s="357" t="s">
        <v>276</v>
      </c>
      <c r="AI564" s="355" t="s">
        <v>4995</v>
      </c>
      <c r="AJ564" s="356" t="s">
        <v>276</v>
      </c>
      <c r="AK564" s="356" t="s">
        <v>98</v>
      </c>
      <c r="AL564" s="356" t="s">
        <v>276</v>
      </c>
      <c r="AM564" s="356" t="s">
        <v>276</v>
      </c>
      <c r="AN564" s="356" t="s">
        <v>276</v>
      </c>
      <c r="AO564" s="356" t="s">
        <v>98</v>
      </c>
      <c r="AP564" s="356" t="s">
        <v>276</v>
      </c>
      <c r="AQ564" s="356" t="s">
        <v>276</v>
      </c>
      <c r="AR564" s="357" t="s">
        <v>269</v>
      </c>
      <c r="AS564" s="356">
        <v>0.91</v>
      </c>
      <c r="AT564" s="356" t="s">
        <v>98</v>
      </c>
      <c r="AU564" s="356">
        <v>0.7</v>
      </c>
      <c r="AV564" s="356">
        <v>1.18</v>
      </c>
      <c r="AW564" s="357" t="s">
        <v>276</v>
      </c>
      <c r="AX564" s="351" t="s">
        <v>282</v>
      </c>
      <c r="AY564" s="356" t="s">
        <v>98</v>
      </c>
      <c r="AZ564" s="356" t="s">
        <v>98</v>
      </c>
      <c r="BA564" s="356" t="s">
        <v>98</v>
      </c>
      <c r="BB564" s="356" t="s">
        <v>98</v>
      </c>
      <c r="BC564" s="351" t="s">
        <v>5149</v>
      </c>
      <c r="BD564" s="364"/>
      <c r="BE564" s="33" t="s">
        <v>100</v>
      </c>
      <c r="BF564" s="33" t="s">
        <v>98</v>
      </c>
    </row>
    <row r="565" spans="1:58" s="365" customFormat="1" ht="65" x14ac:dyDescent="0.3">
      <c r="A565" s="357">
        <v>10548</v>
      </c>
      <c r="B565" s="357" t="s">
        <v>5029</v>
      </c>
      <c r="C565" s="357" t="s">
        <v>88</v>
      </c>
      <c r="D565" s="351" t="s">
        <v>5163</v>
      </c>
      <c r="E565" s="357" t="s">
        <v>43</v>
      </c>
      <c r="F565" s="351" t="s">
        <v>4987</v>
      </c>
      <c r="G565" s="357" t="s">
        <v>225</v>
      </c>
      <c r="H565" s="357" t="s">
        <v>125</v>
      </c>
      <c r="I565" s="357" t="s">
        <v>114</v>
      </c>
      <c r="J565" s="351" t="s">
        <v>24</v>
      </c>
      <c r="K565" s="351" t="s">
        <v>5031</v>
      </c>
      <c r="L565" s="351" t="s">
        <v>5032</v>
      </c>
      <c r="M565" s="357" t="s">
        <v>261</v>
      </c>
      <c r="N565" s="360" t="s">
        <v>5162</v>
      </c>
      <c r="O565" s="360" t="s">
        <v>207</v>
      </c>
      <c r="P565" s="363" t="s">
        <v>98</v>
      </c>
      <c r="Q565" s="351" t="s">
        <v>770</v>
      </c>
      <c r="R565" s="351" t="s">
        <v>5126</v>
      </c>
      <c r="S565" s="351" t="s">
        <v>5126</v>
      </c>
      <c r="T565" s="351" t="s">
        <v>276</v>
      </c>
      <c r="U565" s="354">
        <v>31970</v>
      </c>
      <c r="V565" s="355">
        <v>48409</v>
      </c>
      <c r="W565" s="357" t="s">
        <v>276</v>
      </c>
      <c r="X565" s="357" t="s">
        <v>276</v>
      </c>
      <c r="Y565" s="357" t="s">
        <v>276</v>
      </c>
      <c r="Z565" s="351" t="s">
        <v>1562</v>
      </c>
      <c r="AA565" s="357" t="s">
        <v>276</v>
      </c>
      <c r="AB565" s="351" t="s">
        <v>1562</v>
      </c>
      <c r="AC565" s="351" t="s">
        <v>5151</v>
      </c>
      <c r="AD565" s="351" t="s">
        <v>1674</v>
      </c>
      <c r="AE565" s="357" t="s">
        <v>276</v>
      </c>
      <c r="AF565" s="357" t="s">
        <v>276</v>
      </c>
      <c r="AG565" s="357" t="s">
        <v>276</v>
      </c>
      <c r="AH565" s="357" t="s">
        <v>276</v>
      </c>
      <c r="AI565" s="355" t="s">
        <v>4995</v>
      </c>
      <c r="AJ565" s="356" t="s">
        <v>276</v>
      </c>
      <c r="AK565" s="356" t="s">
        <v>98</v>
      </c>
      <c r="AL565" s="356" t="s">
        <v>276</v>
      </c>
      <c r="AM565" s="356" t="s">
        <v>276</v>
      </c>
      <c r="AN565" s="356" t="s">
        <v>276</v>
      </c>
      <c r="AO565" s="356" t="s">
        <v>98</v>
      </c>
      <c r="AP565" s="356" t="s">
        <v>276</v>
      </c>
      <c r="AQ565" s="356" t="s">
        <v>276</v>
      </c>
      <c r="AR565" s="357" t="s">
        <v>269</v>
      </c>
      <c r="AS565" s="356">
        <v>0.85</v>
      </c>
      <c r="AT565" s="356" t="s">
        <v>98</v>
      </c>
      <c r="AU565" s="356">
        <v>0.68</v>
      </c>
      <c r="AV565" s="356">
        <v>1.07</v>
      </c>
      <c r="AW565" s="357" t="s">
        <v>276</v>
      </c>
      <c r="AX565" s="351" t="s">
        <v>282</v>
      </c>
      <c r="AY565" s="356" t="s">
        <v>98</v>
      </c>
      <c r="AZ565" s="356" t="s">
        <v>98</v>
      </c>
      <c r="BA565" s="356" t="s">
        <v>98</v>
      </c>
      <c r="BB565" s="356" t="s">
        <v>98</v>
      </c>
      <c r="BC565" s="351" t="s">
        <v>5149</v>
      </c>
      <c r="BD565" s="364"/>
      <c r="BE565" s="33" t="s">
        <v>100</v>
      </c>
      <c r="BF565" s="33" t="s">
        <v>98</v>
      </c>
    </row>
    <row r="566" spans="1:58" s="365" customFormat="1" ht="65" x14ac:dyDescent="0.3">
      <c r="A566" s="357">
        <v>10548</v>
      </c>
      <c r="B566" s="357" t="s">
        <v>5029</v>
      </c>
      <c r="C566" s="357" t="s">
        <v>88</v>
      </c>
      <c r="D566" s="351" t="s">
        <v>5164</v>
      </c>
      <c r="E566" s="357" t="s">
        <v>43</v>
      </c>
      <c r="F566" s="351" t="s">
        <v>4987</v>
      </c>
      <c r="G566" s="357" t="s">
        <v>225</v>
      </c>
      <c r="H566" s="357" t="s">
        <v>125</v>
      </c>
      <c r="I566" s="357" t="s">
        <v>114</v>
      </c>
      <c r="J566" s="351" t="s">
        <v>24</v>
      </c>
      <c r="K566" s="351" t="s">
        <v>5031</v>
      </c>
      <c r="L566" s="351" t="s">
        <v>5032</v>
      </c>
      <c r="M566" s="357" t="s">
        <v>261</v>
      </c>
      <c r="N566" s="360" t="s">
        <v>5165</v>
      </c>
      <c r="O566" s="360" t="s">
        <v>207</v>
      </c>
      <c r="P566" s="363" t="s">
        <v>98</v>
      </c>
      <c r="Q566" s="351" t="s">
        <v>752</v>
      </c>
      <c r="R566" s="351" t="s">
        <v>5126</v>
      </c>
      <c r="S566" s="351" t="s">
        <v>5126</v>
      </c>
      <c r="T566" s="351" t="s">
        <v>276</v>
      </c>
      <c r="U566" s="354">
        <v>7497</v>
      </c>
      <c r="V566" s="355">
        <v>7474</v>
      </c>
      <c r="W566" s="357" t="s">
        <v>276</v>
      </c>
      <c r="X566" s="357" t="s">
        <v>276</v>
      </c>
      <c r="Y566" s="357" t="s">
        <v>276</v>
      </c>
      <c r="Z566" s="351" t="s">
        <v>1562</v>
      </c>
      <c r="AA566" s="357" t="s">
        <v>276</v>
      </c>
      <c r="AB566" s="351" t="s">
        <v>1562</v>
      </c>
      <c r="AC566" s="351" t="s">
        <v>5148</v>
      </c>
      <c r="AD566" s="351" t="s">
        <v>1674</v>
      </c>
      <c r="AE566" s="357" t="s">
        <v>276</v>
      </c>
      <c r="AF566" s="357" t="s">
        <v>276</v>
      </c>
      <c r="AG566" s="357" t="s">
        <v>276</v>
      </c>
      <c r="AH566" s="357" t="s">
        <v>276</v>
      </c>
      <c r="AI566" s="355" t="s">
        <v>4995</v>
      </c>
      <c r="AJ566" s="356" t="s">
        <v>276</v>
      </c>
      <c r="AK566" s="356" t="s">
        <v>98</v>
      </c>
      <c r="AL566" s="356" t="s">
        <v>276</v>
      </c>
      <c r="AM566" s="356" t="s">
        <v>276</v>
      </c>
      <c r="AN566" s="356" t="s">
        <v>276</v>
      </c>
      <c r="AO566" s="356" t="s">
        <v>98</v>
      </c>
      <c r="AP566" s="356" t="s">
        <v>276</v>
      </c>
      <c r="AQ566" s="356" t="s">
        <v>276</v>
      </c>
      <c r="AR566" s="357" t="s">
        <v>269</v>
      </c>
      <c r="AS566" s="356">
        <v>0.7</v>
      </c>
      <c r="AT566" s="356" t="s">
        <v>98</v>
      </c>
      <c r="AU566" s="356">
        <v>0.33</v>
      </c>
      <c r="AV566" s="356">
        <v>1.46</v>
      </c>
      <c r="AW566" s="357" t="s">
        <v>276</v>
      </c>
      <c r="AX566" s="351" t="s">
        <v>282</v>
      </c>
      <c r="AY566" s="356" t="s">
        <v>98</v>
      </c>
      <c r="AZ566" s="356" t="s">
        <v>98</v>
      </c>
      <c r="BA566" s="356" t="s">
        <v>98</v>
      </c>
      <c r="BB566" s="356" t="s">
        <v>98</v>
      </c>
      <c r="BC566" s="351" t="s">
        <v>5149</v>
      </c>
      <c r="BD566" s="364"/>
      <c r="BE566" s="33" t="s">
        <v>100</v>
      </c>
      <c r="BF566" s="33" t="s">
        <v>98</v>
      </c>
    </row>
    <row r="567" spans="1:58" s="365" customFormat="1" ht="65" x14ac:dyDescent="0.3">
      <c r="A567" s="357">
        <v>10548</v>
      </c>
      <c r="B567" s="357" t="s">
        <v>5029</v>
      </c>
      <c r="C567" s="357" t="s">
        <v>88</v>
      </c>
      <c r="D567" s="351" t="s">
        <v>5166</v>
      </c>
      <c r="E567" s="357" t="s">
        <v>43</v>
      </c>
      <c r="F567" s="351" t="s">
        <v>4987</v>
      </c>
      <c r="G567" s="357" t="s">
        <v>225</v>
      </c>
      <c r="H567" s="357" t="s">
        <v>125</v>
      </c>
      <c r="I567" s="357" t="s">
        <v>114</v>
      </c>
      <c r="J567" s="351" t="s">
        <v>24</v>
      </c>
      <c r="K567" s="351" t="s">
        <v>5031</v>
      </c>
      <c r="L567" s="351" t="s">
        <v>5032</v>
      </c>
      <c r="M567" s="357" t="s">
        <v>261</v>
      </c>
      <c r="N567" s="360" t="s">
        <v>5165</v>
      </c>
      <c r="O567" s="360" t="s">
        <v>207</v>
      </c>
      <c r="P567" s="363" t="s">
        <v>98</v>
      </c>
      <c r="Q567" s="351" t="s">
        <v>770</v>
      </c>
      <c r="R567" s="351" t="s">
        <v>5126</v>
      </c>
      <c r="S567" s="351" t="s">
        <v>5126</v>
      </c>
      <c r="T567" s="351" t="s">
        <v>276</v>
      </c>
      <c r="U567" s="354">
        <v>7497</v>
      </c>
      <c r="V567" s="355">
        <v>7474</v>
      </c>
      <c r="W567" s="357" t="s">
        <v>276</v>
      </c>
      <c r="X567" s="357" t="s">
        <v>276</v>
      </c>
      <c r="Y567" s="357" t="s">
        <v>276</v>
      </c>
      <c r="Z567" s="351" t="s">
        <v>1562</v>
      </c>
      <c r="AA567" s="357" t="s">
        <v>276</v>
      </c>
      <c r="AB567" s="351" t="s">
        <v>1562</v>
      </c>
      <c r="AC567" s="351" t="s">
        <v>5151</v>
      </c>
      <c r="AD567" s="351" t="s">
        <v>1674</v>
      </c>
      <c r="AE567" s="357" t="s">
        <v>276</v>
      </c>
      <c r="AF567" s="357" t="s">
        <v>276</v>
      </c>
      <c r="AG567" s="357" t="s">
        <v>276</v>
      </c>
      <c r="AH567" s="357" t="s">
        <v>276</v>
      </c>
      <c r="AI567" s="355" t="s">
        <v>4995</v>
      </c>
      <c r="AJ567" s="356" t="s">
        <v>276</v>
      </c>
      <c r="AK567" s="356" t="s">
        <v>98</v>
      </c>
      <c r="AL567" s="356" t="s">
        <v>276</v>
      </c>
      <c r="AM567" s="356" t="s">
        <v>276</v>
      </c>
      <c r="AN567" s="356" t="s">
        <v>276</v>
      </c>
      <c r="AO567" s="356" t="s">
        <v>98</v>
      </c>
      <c r="AP567" s="356" t="s">
        <v>276</v>
      </c>
      <c r="AQ567" s="356" t="s">
        <v>276</v>
      </c>
      <c r="AR567" s="357" t="s">
        <v>269</v>
      </c>
      <c r="AS567" s="356">
        <v>0.89</v>
      </c>
      <c r="AT567" s="356" t="s">
        <v>98</v>
      </c>
      <c r="AU567" s="356">
        <v>0.47</v>
      </c>
      <c r="AV567" s="356">
        <v>1.68</v>
      </c>
      <c r="AW567" s="357" t="s">
        <v>276</v>
      </c>
      <c r="AX567" s="351" t="s">
        <v>282</v>
      </c>
      <c r="AY567" s="356" t="s">
        <v>98</v>
      </c>
      <c r="AZ567" s="356" t="s">
        <v>98</v>
      </c>
      <c r="BA567" s="356" t="s">
        <v>98</v>
      </c>
      <c r="BB567" s="356" t="s">
        <v>98</v>
      </c>
      <c r="BC567" s="351" t="s">
        <v>5149</v>
      </c>
      <c r="BD567" s="364"/>
      <c r="BE567" s="33" t="s">
        <v>100</v>
      </c>
      <c r="BF567" s="33" t="s">
        <v>98</v>
      </c>
    </row>
    <row r="568" spans="1:58" s="365" customFormat="1" ht="65" x14ac:dyDescent="0.3">
      <c r="A568" s="357">
        <v>10548</v>
      </c>
      <c r="B568" s="357" t="s">
        <v>5029</v>
      </c>
      <c r="C568" s="357" t="s">
        <v>88</v>
      </c>
      <c r="D568" s="351" t="s">
        <v>5167</v>
      </c>
      <c r="E568" s="357" t="s">
        <v>43</v>
      </c>
      <c r="F568" s="351" t="s">
        <v>4987</v>
      </c>
      <c r="G568" s="357" t="s">
        <v>225</v>
      </c>
      <c r="H568" s="357" t="s">
        <v>125</v>
      </c>
      <c r="I568" s="357" t="s">
        <v>114</v>
      </c>
      <c r="J568" s="351" t="s">
        <v>24</v>
      </c>
      <c r="K568" s="351" t="s">
        <v>5031</v>
      </c>
      <c r="L568" s="351" t="s">
        <v>5032</v>
      </c>
      <c r="M568" s="357" t="s">
        <v>261</v>
      </c>
      <c r="N568" s="360" t="s">
        <v>5168</v>
      </c>
      <c r="O568" s="360" t="s">
        <v>207</v>
      </c>
      <c r="P568" s="363" t="s">
        <v>98</v>
      </c>
      <c r="Q568" s="351" t="s">
        <v>752</v>
      </c>
      <c r="R568" s="351" t="s">
        <v>5126</v>
      </c>
      <c r="S568" s="351" t="s">
        <v>5126</v>
      </c>
      <c r="T568" s="351" t="s">
        <v>276</v>
      </c>
      <c r="U568" s="354">
        <v>1840</v>
      </c>
      <c r="V568" s="355">
        <v>1862</v>
      </c>
      <c r="W568" s="357" t="s">
        <v>276</v>
      </c>
      <c r="X568" s="357" t="s">
        <v>276</v>
      </c>
      <c r="Y568" s="357" t="s">
        <v>276</v>
      </c>
      <c r="Z568" s="351" t="s">
        <v>1562</v>
      </c>
      <c r="AA568" s="357" t="s">
        <v>276</v>
      </c>
      <c r="AB568" s="351" t="s">
        <v>1562</v>
      </c>
      <c r="AC568" s="351" t="s">
        <v>5148</v>
      </c>
      <c r="AD568" s="351" t="s">
        <v>1674</v>
      </c>
      <c r="AE568" s="357" t="s">
        <v>276</v>
      </c>
      <c r="AF568" s="357" t="s">
        <v>276</v>
      </c>
      <c r="AG568" s="357" t="s">
        <v>276</v>
      </c>
      <c r="AH568" s="357" t="s">
        <v>276</v>
      </c>
      <c r="AI568" s="355" t="s">
        <v>4995</v>
      </c>
      <c r="AJ568" s="356" t="s">
        <v>276</v>
      </c>
      <c r="AK568" s="356" t="s">
        <v>98</v>
      </c>
      <c r="AL568" s="356" t="s">
        <v>276</v>
      </c>
      <c r="AM568" s="356" t="s">
        <v>276</v>
      </c>
      <c r="AN568" s="356" t="s">
        <v>276</v>
      </c>
      <c r="AO568" s="356" t="s">
        <v>98</v>
      </c>
      <c r="AP568" s="356" t="s">
        <v>276</v>
      </c>
      <c r="AQ568" s="356" t="s">
        <v>276</v>
      </c>
      <c r="AR568" s="357" t="s">
        <v>269</v>
      </c>
      <c r="AS568" s="356">
        <v>2.16</v>
      </c>
      <c r="AT568" s="356" t="s">
        <v>98</v>
      </c>
      <c r="AU568" s="356">
        <v>0.2</v>
      </c>
      <c r="AV568" s="356">
        <v>23.78</v>
      </c>
      <c r="AW568" s="357" t="s">
        <v>276</v>
      </c>
      <c r="AX568" s="351" t="s">
        <v>282</v>
      </c>
      <c r="AY568" s="356" t="s">
        <v>98</v>
      </c>
      <c r="AZ568" s="356" t="s">
        <v>98</v>
      </c>
      <c r="BA568" s="356" t="s">
        <v>98</v>
      </c>
      <c r="BB568" s="356" t="s">
        <v>98</v>
      </c>
      <c r="BC568" s="351" t="s">
        <v>5149</v>
      </c>
      <c r="BD568" s="364"/>
      <c r="BE568" s="33" t="s">
        <v>100</v>
      </c>
      <c r="BF568" s="33" t="s">
        <v>98</v>
      </c>
    </row>
    <row r="569" spans="1:58" s="365" customFormat="1" ht="65" x14ac:dyDescent="0.3">
      <c r="A569" s="357">
        <v>10548</v>
      </c>
      <c r="B569" s="357" t="s">
        <v>5029</v>
      </c>
      <c r="C569" s="357" t="s">
        <v>88</v>
      </c>
      <c r="D569" s="351" t="s">
        <v>5169</v>
      </c>
      <c r="E569" s="357" t="s">
        <v>43</v>
      </c>
      <c r="F569" s="351" t="s">
        <v>4987</v>
      </c>
      <c r="G569" s="357" t="s">
        <v>225</v>
      </c>
      <c r="H569" s="357" t="s">
        <v>125</v>
      </c>
      <c r="I569" s="357" t="s">
        <v>114</v>
      </c>
      <c r="J569" s="351" t="s">
        <v>24</v>
      </c>
      <c r="K569" s="351" t="s">
        <v>5031</v>
      </c>
      <c r="L569" s="351" t="s">
        <v>5032</v>
      </c>
      <c r="M569" s="357" t="s">
        <v>261</v>
      </c>
      <c r="N569" s="360" t="s">
        <v>5168</v>
      </c>
      <c r="O569" s="360" t="s">
        <v>207</v>
      </c>
      <c r="P569" s="363" t="s">
        <v>98</v>
      </c>
      <c r="Q569" s="351" t="s">
        <v>770</v>
      </c>
      <c r="R569" s="351" t="s">
        <v>5126</v>
      </c>
      <c r="S569" s="351" t="s">
        <v>5126</v>
      </c>
      <c r="T569" s="351" t="s">
        <v>276</v>
      </c>
      <c r="U569" s="354">
        <v>1840</v>
      </c>
      <c r="V569" s="355">
        <v>1862</v>
      </c>
      <c r="W569" s="357" t="s">
        <v>276</v>
      </c>
      <c r="X569" s="357" t="s">
        <v>276</v>
      </c>
      <c r="Y569" s="357" t="s">
        <v>276</v>
      </c>
      <c r="Z569" s="351" t="s">
        <v>1562</v>
      </c>
      <c r="AA569" s="357" t="s">
        <v>276</v>
      </c>
      <c r="AB569" s="351" t="s">
        <v>1562</v>
      </c>
      <c r="AC569" s="351" t="s">
        <v>5151</v>
      </c>
      <c r="AD569" s="351" t="s">
        <v>1674</v>
      </c>
      <c r="AE569" s="357" t="s">
        <v>276</v>
      </c>
      <c r="AF569" s="357" t="s">
        <v>276</v>
      </c>
      <c r="AG569" s="357" t="s">
        <v>276</v>
      </c>
      <c r="AH569" s="357" t="s">
        <v>276</v>
      </c>
      <c r="AI569" s="355" t="s">
        <v>4995</v>
      </c>
      <c r="AJ569" s="356" t="s">
        <v>276</v>
      </c>
      <c r="AK569" s="356" t="s">
        <v>98</v>
      </c>
      <c r="AL569" s="356" t="s">
        <v>276</v>
      </c>
      <c r="AM569" s="356" t="s">
        <v>276</v>
      </c>
      <c r="AN569" s="356" t="s">
        <v>276</v>
      </c>
      <c r="AO569" s="356" t="s">
        <v>98</v>
      </c>
      <c r="AP569" s="356" t="s">
        <v>276</v>
      </c>
      <c r="AQ569" s="356" t="s">
        <v>276</v>
      </c>
      <c r="AR569" s="357" t="s">
        <v>269</v>
      </c>
      <c r="AS569" s="356">
        <v>1.51</v>
      </c>
      <c r="AT569" s="356" t="s">
        <v>98</v>
      </c>
      <c r="AU569" s="356">
        <v>0.25</v>
      </c>
      <c r="AV569" s="356">
        <v>9.01</v>
      </c>
      <c r="AW569" s="357" t="s">
        <v>276</v>
      </c>
      <c r="AX569" s="351" t="s">
        <v>282</v>
      </c>
      <c r="AY569" s="356" t="s">
        <v>98</v>
      </c>
      <c r="AZ569" s="356" t="s">
        <v>98</v>
      </c>
      <c r="BA569" s="356" t="s">
        <v>98</v>
      </c>
      <c r="BB569" s="356" t="s">
        <v>98</v>
      </c>
      <c r="BC569" s="351" t="s">
        <v>5149</v>
      </c>
      <c r="BD569" s="364"/>
      <c r="BE569" s="33" t="s">
        <v>100</v>
      </c>
      <c r="BF569" s="33" t="s">
        <v>98</v>
      </c>
    </row>
    <row r="570" spans="1:58" s="365" customFormat="1" ht="65" x14ac:dyDescent="0.3">
      <c r="A570" s="357">
        <v>10548</v>
      </c>
      <c r="B570" s="357" t="s">
        <v>5029</v>
      </c>
      <c r="C570" s="357" t="s">
        <v>88</v>
      </c>
      <c r="D570" s="351" t="s">
        <v>5170</v>
      </c>
      <c r="E570" s="357" t="s">
        <v>43</v>
      </c>
      <c r="F570" s="351" t="s">
        <v>4987</v>
      </c>
      <c r="G570" s="357" t="s">
        <v>225</v>
      </c>
      <c r="H570" s="357" t="s">
        <v>125</v>
      </c>
      <c r="I570" s="357" t="s">
        <v>114</v>
      </c>
      <c r="J570" s="351" t="s">
        <v>24</v>
      </c>
      <c r="K570" s="351" t="s">
        <v>5031</v>
      </c>
      <c r="L570" s="351" t="s">
        <v>5032</v>
      </c>
      <c r="M570" s="357" t="s">
        <v>261</v>
      </c>
      <c r="N570" s="360" t="s">
        <v>5171</v>
      </c>
      <c r="O570" s="360" t="s">
        <v>207</v>
      </c>
      <c r="P570" s="363" t="s">
        <v>98</v>
      </c>
      <c r="Q570" s="351" t="s">
        <v>752</v>
      </c>
      <c r="R570" s="351" t="s">
        <v>5126</v>
      </c>
      <c r="S570" s="351" t="s">
        <v>5126</v>
      </c>
      <c r="T570" s="351" t="s">
        <v>276</v>
      </c>
      <c r="U570" s="354">
        <v>5158</v>
      </c>
      <c r="V570" s="355">
        <v>5151</v>
      </c>
      <c r="W570" s="357" t="s">
        <v>276</v>
      </c>
      <c r="X570" s="357" t="s">
        <v>276</v>
      </c>
      <c r="Y570" s="357" t="s">
        <v>276</v>
      </c>
      <c r="Z570" s="351" t="s">
        <v>1562</v>
      </c>
      <c r="AA570" s="357" t="s">
        <v>276</v>
      </c>
      <c r="AB570" s="351" t="s">
        <v>1562</v>
      </c>
      <c r="AC570" s="351" t="s">
        <v>5148</v>
      </c>
      <c r="AD570" s="351" t="s">
        <v>1674</v>
      </c>
      <c r="AE570" s="357" t="s">
        <v>276</v>
      </c>
      <c r="AF570" s="357" t="s">
        <v>276</v>
      </c>
      <c r="AG570" s="357" t="s">
        <v>276</v>
      </c>
      <c r="AH570" s="357" t="s">
        <v>276</v>
      </c>
      <c r="AI570" s="355" t="s">
        <v>4995</v>
      </c>
      <c r="AJ570" s="356" t="s">
        <v>276</v>
      </c>
      <c r="AK570" s="356" t="s">
        <v>98</v>
      </c>
      <c r="AL570" s="356" t="s">
        <v>276</v>
      </c>
      <c r="AM570" s="356" t="s">
        <v>276</v>
      </c>
      <c r="AN570" s="356" t="s">
        <v>276</v>
      </c>
      <c r="AO570" s="356" t="s">
        <v>98</v>
      </c>
      <c r="AP570" s="356" t="s">
        <v>276</v>
      </c>
      <c r="AQ570" s="356" t="s">
        <v>276</v>
      </c>
      <c r="AR570" s="357" t="s">
        <v>269</v>
      </c>
      <c r="AS570" s="356">
        <v>0.9</v>
      </c>
      <c r="AT570" s="356" t="s">
        <v>98</v>
      </c>
      <c r="AU570" s="356">
        <v>0.34</v>
      </c>
      <c r="AV570" s="356">
        <v>2.31</v>
      </c>
      <c r="AW570" s="357" t="s">
        <v>276</v>
      </c>
      <c r="AX570" s="351" t="s">
        <v>282</v>
      </c>
      <c r="AY570" s="356" t="s">
        <v>98</v>
      </c>
      <c r="AZ570" s="356" t="s">
        <v>98</v>
      </c>
      <c r="BA570" s="356" t="s">
        <v>98</v>
      </c>
      <c r="BB570" s="356" t="s">
        <v>98</v>
      </c>
      <c r="BC570" s="351" t="s">
        <v>5149</v>
      </c>
      <c r="BD570" s="364"/>
      <c r="BE570" s="33" t="s">
        <v>100</v>
      </c>
      <c r="BF570" s="33" t="s">
        <v>98</v>
      </c>
    </row>
    <row r="571" spans="1:58" s="365" customFormat="1" ht="65" x14ac:dyDescent="0.3">
      <c r="A571" s="357">
        <v>10548</v>
      </c>
      <c r="B571" s="357" t="s">
        <v>5029</v>
      </c>
      <c r="C571" s="357" t="s">
        <v>88</v>
      </c>
      <c r="D571" s="351" t="s">
        <v>5172</v>
      </c>
      <c r="E571" s="357" t="s">
        <v>43</v>
      </c>
      <c r="F571" s="351" t="s">
        <v>4987</v>
      </c>
      <c r="G571" s="357" t="s">
        <v>225</v>
      </c>
      <c r="H571" s="357" t="s">
        <v>125</v>
      </c>
      <c r="I571" s="357" t="s">
        <v>114</v>
      </c>
      <c r="J571" s="351" t="s">
        <v>24</v>
      </c>
      <c r="K571" s="351" t="s">
        <v>5031</v>
      </c>
      <c r="L571" s="351" t="s">
        <v>5032</v>
      </c>
      <c r="M571" s="357" t="s">
        <v>261</v>
      </c>
      <c r="N571" s="360" t="s">
        <v>5171</v>
      </c>
      <c r="O571" s="360" t="s">
        <v>207</v>
      </c>
      <c r="P571" s="363" t="s">
        <v>98</v>
      </c>
      <c r="Q571" s="351" t="s">
        <v>770</v>
      </c>
      <c r="R571" s="351" t="s">
        <v>5126</v>
      </c>
      <c r="S571" s="351" t="s">
        <v>5126</v>
      </c>
      <c r="T571" s="351" t="s">
        <v>276</v>
      </c>
      <c r="U571" s="354">
        <v>5158</v>
      </c>
      <c r="V571" s="355">
        <v>5151</v>
      </c>
      <c r="W571" s="357" t="s">
        <v>276</v>
      </c>
      <c r="X571" s="357" t="s">
        <v>276</v>
      </c>
      <c r="Y571" s="357" t="s">
        <v>276</v>
      </c>
      <c r="Z571" s="351" t="s">
        <v>1562</v>
      </c>
      <c r="AA571" s="357" t="s">
        <v>276</v>
      </c>
      <c r="AB571" s="351" t="s">
        <v>1562</v>
      </c>
      <c r="AC571" s="351" t="s">
        <v>5151</v>
      </c>
      <c r="AD571" s="351" t="s">
        <v>1674</v>
      </c>
      <c r="AE571" s="357" t="s">
        <v>276</v>
      </c>
      <c r="AF571" s="357" t="s">
        <v>276</v>
      </c>
      <c r="AG571" s="357" t="s">
        <v>276</v>
      </c>
      <c r="AH571" s="357" t="s">
        <v>276</v>
      </c>
      <c r="AI571" s="355" t="s">
        <v>4995</v>
      </c>
      <c r="AJ571" s="356" t="s">
        <v>276</v>
      </c>
      <c r="AK571" s="356" t="s">
        <v>98</v>
      </c>
      <c r="AL571" s="356" t="s">
        <v>276</v>
      </c>
      <c r="AM571" s="356" t="s">
        <v>276</v>
      </c>
      <c r="AN571" s="356" t="s">
        <v>276</v>
      </c>
      <c r="AO571" s="356" t="s">
        <v>98</v>
      </c>
      <c r="AP571" s="356" t="s">
        <v>276</v>
      </c>
      <c r="AQ571" s="356" t="s">
        <v>276</v>
      </c>
      <c r="AR571" s="357" t="s">
        <v>269</v>
      </c>
      <c r="AS571" s="356">
        <v>0.82</v>
      </c>
      <c r="AT571" s="356" t="s">
        <v>98</v>
      </c>
      <c r="AU571" s="356">
        <v>0.36</v>
      </c>
      <c r="AV571" s="356">
        <v>1.91</v>
      </c>
      <c r="AW571" s="357" t="s">
        <v>276</v>
      </c>
      <c r="AX571" s="351" t="s">
        <v>282</v>
      </c>
      <c r="AY571" s="356" t="s">
        <v>98</v>
      </c>
      <c r="AZ571" s="356" t="s">
        <v>98</v>
      </c>
      <c r="BA571" s="356" t="s">
        <v>98</v>
      </c>
      <c r="BB571" s="356" t="s">
        <v>98</v>
      </c>
      <c r="BC571" s="351" t="s">
        <v>5149</v>
      </c>
      <c r="BD571" s="364"/>
      <c r="BE571" s="33" t="s">
        <v>100</v>
      </c>
      <c r="BF571" s="33" t="s">
        <v>98</v>
      </c>
    </row>
    <row r="572" spans="1:58" s="365" customFormat="1" ht="104" x14ac:dyDescent="0.3">
      <c r="A572" s="357">
        <v>10549</v>
      </c>
      <c r="B572" s="357" t="s">
        <v>5173</v>
      </c>
      <c r="C572" s="357" t="s">
        <v>88</v>
      </c>
      <c r="D572" s="351" t="s">
        <v>5174</v>
      </c>
      <c r="E572" s="357" t="s">
        <v>43</v>
      </c>
      <c r="F572" s="351" t="s">
        <v>4987</v>
      </c>
      <c r="G572" s="357" t="s">
        <v>225</v>
      </c>
      <c r="H572" s="357" t="s">
        <v>125</v>
      </c>
      <c r="I572" s="357" t="s">
        <v>114</v>
      </c>
      <c r="J572" s="351" t="s">
        <v>24</v>
      </c>
      <c r="K572" s="351" t="s">
        <v>5175</v>
      </c>
      <c r="L572" s="351" t="s">
        <v>5176</v>
      </c>
      <c r="M572" s="357" t="s">
        <v>259</v>
      </c>
      <c r="N572" s="360" t="s">
        <v>5177</v>
      </c>
      <c r="O572" s="360" t="s">
        <v>207</v>
      </c>
      <c r="P572" s="363">
        <v>40543</v>
      </c>
      <c r="Q572" s="351" t="s">
        <v>752</v>
      </c>
      <c r="R572" s="354" t="s">
        <v>5178</v>
      </c>
      <c r="S572" s="354" t="s">
        <v>5179</v>
      </c>
      <c r="T572" s="351" t="s">
        <v>276</v>
      </c>
      <c r="U572" s="354">
        <v>72891</v>
      </c>
      <c r="V572" s="354">
        <v>89352</v>
      </c>
      <c r="W572" s="357" t="s">
        <v>276</v>
      </c>
      <c r="X572" s="357" t="s">
        <v>276</v>
      </c>
      <c r="Y572" s="357" t="s">
        <v>276</v>
      </c>
      <c r="Z572" s="351" t="s">
        <v>1562</v>
      </c>
      <c r="AA572" s="357" t="s">
        <v>276</v>
      </c>
      <c r="AB572" s="351" t="s">
        <v>1562</v>
      </c>
      <c r="AC572" s="351" t="s">
        <v>5180</v>
      </c>
      <c r="AD572" s="351" t="s">
        <v>1674</v>
      </c>
      <c r="AE572" s="357">
        <v>193</v>
      </c>
      <c r="AF572" s="357">
        <v>278</v>
      </c>
      <c r="AG572" s="354">
        <v>614590</v>
      </c>
      <c r="AH572" s="354">
        <v>751777</v>
      </c>
      <c r="AI572" s="355" t="s">
        <v>4995</v>
      </c>
      <c r="AJ572" s="356">
        <v>0.31</v>
      </c>
      <c r="AK572" s="356">
        <f t="shared" ref="AK572:AK603" si="68">(AE572/AG572)*1000</f>
        <v>0.31403049187263055</v>
      </c>
      <c r="AL572" s="356" t="s">
        <v>276</v>
      </c>
      <c r="AM572" s="356" t="s">
        <v>276</v>
      </c>
      <c r="AN572" s="356">
        <v>0.37</v>
      </c>
      <c r="AO572" s="356">
        <f t="shared" ref="AO572:AO603" si="69">(AF572/AH572)*1000</f>
        <v>0.36979050968571797</v>
      </c>
      <c r="AP572" s="356" t="s">
        <v>276</v>
      </c>
      <c r="AQ572" s="356" t="s">
        <v>276</v>
      </c>
      <c r="AR572" s="357" t="s">
        <v>269</v>
      </c>
      <c r="AS572" s="356" t="s">
        <v>276</v>
      </c>
      <c r="AT572" s="356">
        <f t="shared" ref="AT572:AT603" si="70">AK572/AO572</f>
        <v>0.84921187441917467</v>
      </c>
      <c r="AU572" s="356" t="s">
        <v>276</v>
      </c>
      <c r="AV572" s="356" t="s">
        <v>276</v>
      </c>
      <c r="AW572" s="356" t="s">
        <v>276</v>
      </c>
      <c r="AX572" s="351" t="s">
        <v>5038</v>
      </c>
      <c r="AY572" s="356">
        <v>0.85</v>
      </c>
      <c r="AZ572" s="356">
        <v>0.7</v>
      </c>
      <c r="BA572" s="356">
        <v>1.03</v>
      </c>
      <c r="BB572" s="356">
        <v>0.1</v>
      </c>
      <c r="BC572" s="351" t="s">
        <v>5181</v>
      </c>
      <c r="BD572" s="364"/>
      <c r="BE572" s="33" t="s">
        <v>100</v>
      </c>
      <c r="BF572" s="33" t="s">
        <v>98</v>
      </c>
    </row>
    <row r="573" spans="1:58" s="365" customFormat="1" ht="104" x14ac:dyDescent="0.3">
      <c r="A573" s="357">
        <v>10549</v>
      </c>
      <c r="B573" s="357" t="s">
        <v>5173</v>
      </c>
      <c r="C573" s="357" t="s">
        <v>88</v>
      </c>
      <c r="D573" s="351" t="s">
        <v>5182</v>
      </c>
      <c r="E573" s="357" t="s">
        <v>43</v>
      </c>
      <c r="F573" s="351" t="s">
        <v>4987</v>
      </c>
      <c r="G573" s="357" t="s">
        <v>225</v>
      </c>
      <c r="H573" s="357" t="s">
        <v>125</v>
      </c>
      <c r="I573" s="357" t="s">
        <v>114</v>
      </c>
      <c r="J573" s="351" t="s">
        <v>24</v>
      </c>
      <c r="K573" s="351" t="s">
        <v>5175</v>
      </c>
      <c r="L573" s="351" t="s">
        <v>5183</v>
      </c>
      <c r="M573" s="357" t="s">
        <v>259</v>
      </c>
      <c r="N573" s="360" t="s">
        <v>5177</v>
      </c>
      <c r="O573" s="360" t="s">
        <v>207</v>
      </c>
      <c r="P573" s="363">
        <v>40543</v>
      </c>
      <c r="Q573" s="351" t="s">
        <v>770</v>
      </c>
      <c r="R573" s="354" t="s">
        <v>5184</v>
      </c>
      <c r="S573" s="354" t="s">
        <v>5185</v>
      </c>
      <c r="T573" s="351" t="s">
        <v>276</v>
      </c>
      <c r="U573" s="354">
        <v>72891</v>
      </c>
      <c r="V573" s="354">
        <v>89352</v>
      </c>
      <c r="W573" s="357" t="s">
        <v>276</v>
      </c>
      <c r="X573" s="357" t="s">
        <v>276</v>
      </c>
      <c r="Y573" s="357" t="s">
        <v>276</v>
      </c>
      <c r="Z573" s="351" t="s">
        <v>1562</v>
      </c>
      <c r="AA573" s="357" t="s">
        <v>276</v>
      </c>
      <c r="AB573" s="351" t="s">
        <v>1562</v>
      </c>
      <c r="AC573" s="351" t="s">
        <v>5186</v>
      </c>
      <c r="AD573" s="351" t="s">
        <v>1674</v>
      </c>
      <c r="AE573" s="357">
        <v>265</v>
      </c>
      <c r="AF573" s="357">
        <v>415</v>
      </c>
      <c r="AG573" s="354">
        <v>732133</v>
      </c>
      <c r="AH573" s="354">
        <v>896367</v>
      </c>
      <c r="AI573" s="355" t="s">
        <v>4995</v>
      </c>
      <c r="AJ573" s="356">
        <v>0.35</v>
      </c>
      <c r="AK573" s="356">
        <f t="shared" si="68"/>
        <v>0.36195609267715018</v>
      </c>
      <c r="AL573" s="356" t="s">
        <v>276</v>
      </c>
      <c r="AM573" s="356" t="s">
        <v>276</v>
      </c>
      <c r="AN573" s="356">
        <v>0.46</v>
      </c>
      <c r="AO573" s="356">
        <f t="shared" si="69"/>
        <v>0.46298000707299575</v>
      </c>
      <c r="AP573" s="356" t="s">
        <v>276</v>
      </c>
      <c r="AQ573" s="356" t="s">
        <v>276</v>
      </c>
      <c r="AR573" s="357" t="s">
        <v>269</v>
      </c>
      <c r="AS573" s="356" t="s">
        <v>276</v>
      </c>
      <c r="AT573" s="356">
        <f t="shared" si="70"/>
        <v>0.78179637813190139</v>
      </c>
      <c r="AU573" s="356" t="s">
        <v>276</v>
      </c>
      <c r="AV573" s="356" t="s">
        <v>276</v>
      </c>
      <c r="AW573" s="356" t="s">
        <v>276</v>
      </c>
      <c r="AX573" s="351" t="s">
        <v>5038</v>
      </c>
      <c r="AY573" s="356">
        <v>0.78</v>
      </c>
      <c r="AZ573" s="356">
        <v>0.66</v>
      </c>
      <c r="BA573" s="356">
        <v>0.91</v>
      </c>
      <c r="BB573" s="357">
        <v>2E-3</v>
      </c>
      <c r="BC573" s="351" t="s">
        <v>5187</v>
      </c>
      <c r="BD573" s="364"/>
      <c r="BE573" s="33" t="s">
        <v>100</v>
      </c>
      <c r="BF573" s="33" t="s">
        <v>98</v>
      </c>
    </row>
    <row r="574" spans="1:58" s="365" customFormat="1" ht="104" x14ac:dyDescent="0.3">
      <c r="A574" s="357">
        <v>10549</v>
      </c>
      <c r="B574" s="357" t="s">
        <v>5173</v>
      </c>
      <c r="C574" s="357" t="s">
        <v>88</v>
      </c>
      <c r="D574" s="351" t="s">
        <v>5188</v>
      </c>
      <c r="E574" s="357" t="s">
        <v>43</v>
      </c>
      <c r="F574" s="351" t="s">
        <v>4987</v>
      </c>
      <c r="G574" s="357" t="s">
        <v>225</v>
      </c>
      <c r="H574" s="357" t="s">
        <v>125</v>
      </c>
      <c r="I574" s="357" t="s">
        <v>114</v>
      </c>
      <c r="J574" s="351" t="s">
        <v>24</v>
      </c>
      <c r="K574" s="351" t="s">
        <v>5175</v>
      </c>
      <c r="L574" s="351" t="s">
        <v>5189</v>
      </c>
      <c r="M574" s="351" t="s">
        <v>259</v>
      </c>
      <c r="N574" s="360" t="s">
        <v>5177</v>
      </c>
      <c r="O574" s="360" t="s">
        <v>207</v>
      </c>
      <c r="P574" s="363">
        <v>40543</v>
      </c>
      <c r="Q574" s="351" t="s">
        <v>776</v>
      </c>
      <c r="R574" s="354" t="s">
        <v>5190</v>
      </c>
      <c r="S574" s="354" t="s">
        <v>5191</v>
      </c>
      <c r="T574" s="351" t="s">
        <v>276</v>
      </c>
      <c r="U574" s="354">
        <v>72891</v>
      </c>
      <c r="V574" s="354">
        <v>89352</v>
      </c>
      <c r="W574" s="357" t="s">
        <v>276</v>
      </c>
      <c r="X574" s="357" t="s">
        <v>276</v>
      </c>
      <c r="Y574" s="357" t="s">
        <v>276</v>
      </c>
      <c r="Z574" s="351" t="s">
        <v>1562</v>
      </c>
      <c r="AA574" s="357" t="s">
        <v>276</v>
      </c>
      <c r="AB574" s="351" t="s">
        <v>1562</v>
      </c>
      <c r="AC574" s="351" t="s">
        <v>5192</v>
      </c>
      <c r="AD574" s="351" t="s">
        <v>1674</v>
      </c>
      <c r="AE574" s="357">
        <v>355</v>
      </c>
      <c r="AF574" s="357">
        <v>545</v>
      </c>
      <c r="AG574" s="354">
        <v>825018</v>
      </c>
      <c r="AH574" s="354">
        <v>1011192</v>
      </c>
      <c r="AI574" s="355" t="s">
        <v>4995</v>
      </c>
      <c r="AJ574" s="356">
        <v>0.43</v>
      </c>
      <c r="AK574" s="356">
        <f t="shared" si="68"/>
        <v>0.43029364207811227</v>
      </c>
      <c r="AL574" s="356" t="s">
        <v>276</v>
      </c>
      <c r="AM574" s="356" t="s">
        <v>276</v>
      </c>
      <c r="AN574" s="356">
        <v>0.54</v>
      </c>
      <c r="AO574" s="356">
        <f t="shared" si="69"/>
        <v>0.53896787158126247</v>
      </c>
      <c r="AP574" s="356" t="s">
        <v>276</v>
      </c>
      <c r="AQ574" s="356" t="s">
        <v>276</v>
      </c>
      <c r="AR574" s="357" t="s">
        <v>269</v>
      </c>
      <c r="AS574" s="356" t="s">
        <v>276</v>
      </c>
      <c r="AT574" s="356">
        <f t="shared" si="70"/>
        <v>0.79836603398211103</v>
      </c>
      <c r="AU574" s="356" t="s">
        <v>276</v>
      </c>
      <c r="AV574" s="356" t="s">
        <v>276</v>
      </c>
      <c r="AW574" s="356" t="s">
        <v>276</v>
      </c>
      <c r="AX574" s="351" t="s">
        <v>5038</v>
      </c>
      <c r="AY574" s="356">
        <v>0.79</v>
      </c>
      <c r="AZ574" s="356">
        <v>0.69</v>
      </c>
      <c r="BA574" s="356">
        <v>0.91</v>
      </c>
      <c r="BB574" s="357">
        <v>1E-3</v>
      </c>
      <c r="BC574" s="351" t="s">
        <v>5193</v>
      </c>
      <c r="BD574" s="364"/>
      <c r="BE574" s="33" t="s">
        <v>100</v>
      </c>
      <c r="BF574" s="33" t="s">
        <v>98</v>
      </c>
    </row>
    <row r="575" spans="1:58" s="365" customFormat="1" ht="104" x14ac:dyDescent="0.3">
      <c r="A575" s="357">
        <v>10549</v>
      </c>
      <c r="B575" s="357" t="s">
        <v>5173</v>
      </c>
      <c r="C575" s="357" t="s">
        <v>88</v>
      </c>
      <c r="D575" s="351" t="s">
        <v>5194</v>
      </c>
      <c r="E575" s="357" t="s">
        <v>43</v>
      </c>
      <c r="F575" s="351" t="s">
        <v>4987</v>
      </c>
      <c r="G575" s="357" t="s">
        <v>225</v>
      </c>
      <c r="H575" s="357" t="s">
        <v>125</v>
      </c>
      <c r="I575" s="357" t="s">
        <v>114</v>
      </c>
      <c r="J575" s="351" t="s">
        <v>24</v>
      </c>
      <c r="K575" s="351" t="s">
        <v>5175</v>
      </c>
      <c r="L575" s="351" t="s">
        <v>5176</v>
      </c>
      <c r="M575" s="351" t="s">
        <v>14</v>
      </c>
      <c r="N575" s="360" t="s">
        <v>98</v>
      </c>
      <c r="O575" s="360" t="s">
        <v>207</v>
      </c>
      <c r="P575" s="363">
        <v>40543</v>
      </c>
      <c r="Q575" s="351" t="s">
        <v>752</v>
      </c>
      <c r="R575" s="354">
        <v>696395</v>
      </c>
      <c r="S575" s="354">
        <v>832917</v>
      </c>
      <c r="T575" s="351" t="s">
        <v>276</v>
      </c>
      <c r="U575" s="354">
        <v>125263</v>
      </c>
      <c r="V575" s="354">
        <v>141248</v>
      </c>
      <c r="W575" s="357" t="s">
        <v>276</v>
      </c>
      <c r="X575" s="357" t="s">
        <v>276</v>
      </c>
      <c r="Y575" s="357" t="s">
        <v>276</v>
      </c>
      <c r="Z575" s="351" t="s">
        <v>1562</v>
      </c>
      <c r="AA575" s="357" t="s">
        <v>276</v>
      </c>
      <c r="AB575" s="351" t="s">
        <v>1562</v>
      </c>
      <c r="AC575" s="351" t="s">
        <v>5195</v>
      </c>
      <c r="AD575" s="351" t="s">
        <v>1674</v>
      </c>
      <c r="AE575" s="357">
        <v>226</v>
      </c>
      <c r="AF575" s="357">
        <v>313</v>
      </c>
      <c r="AG575" s="354">
        <v>696395</v>
      </c>
      <c r="AH575" s="354">
        <v>832917</v>
      </c>
      <c r="AI575" s="355" t="s">
        <v>4995</v>
      </c>
      <c r="AJ575" s="356">
        <v>0.32</v>
      </c>
      <c r="AK575" s="356">
        <f t="shared" si="68"/>
        <v>0.32452846444905548</v>
      </c>
      <c r="AL575" s="356" t="s">
        <v>276</v>
      </c>
      <c r="AM575" s="356" t="s">
        <v>276</v>
      </c>
      <c r="AN575" s="356">
        <v>0.38</v>
      </c>
      <c r="AO575" s="356">
        <f t="shared" si="69"/>
        <v>0.37578774355668088</v>
      </c>
      <c r="AP575" s="356" t="s">
        <v>276</v>
      </c>
      <c r="AQ575" s="356" t="s">
        <v>276</v>
      </c>
      <c r="AR575" s="357" t="s">
        <v>269</v>
      </c>
      <c r="AS575" s="356" t="s">
        <v>276</v>
      </c>
      <c r="AT575" s="356">
        <f t="shared" si="70"/>
        <v>0.86359512787065162</v>
      </c>
      <c r="AU575" s="356" t="s">
        <v>276</v>
      </c>
      <c r="AV575" s="356" t="s">
        <v>276</v>
      </c>
      <c r="AW575" s="356" t="s">
        <v>276</v>
      </c>
      <c r="AX575" s="351" t="s">
        <v>5038</v>
      </c>
      <c r="AY575" s="356">
        <v>0.86</v>
      </c>
      <c r="AZ575" s="356">
        <v>0.72</v>
      </c>
      <c r="BA575" s="356">
        <v>1.03</v>
      </c>
      <c r="BB575" s="356">
        <v>0.1</v>
      </c>
      <c r="BC575" s="351" t="s">
        <v>5196</v>
      </c>
      <c r="BD575" s="364"/>
      <c r="BE575" s="33" t="s">
        <v>100</v>
      </c>
      <c r="BF575" s="33" t="s">
        <v>98</v>
      </c>
    </row>
    <row r="576" spans="1:58" s="365" customFormat="1" ht="104" x14ac:dyDescent="0.3">
      <c r="A576" s="357">
        <v>10549</v>
      </c>
      <c r="B576" s="357" t="s">
        <v>5173</v>
      </c>
      <c r="C576" s="357" t="s">
        <v>88</v>
      </c>
      <c r="D576" s="351" t="s">
        <v>5197</v>
      </c>
      <c r="E576" s="357" t="s">
        <v>43</v>
      </c>
      <c r="F576" s="351" t="s">
        <v>4987</v>
      </c>
      <c r="G576" s="357" t="s">
        <v>225</v>
      </c>
      <c r="H576" s="357" t="s">
        <v>125</v>
      </c>
      <c r="I576" s="357" t="s">
        <v>114</v>
      </c>
      <c r="J576" s="351" t="s">
        <v>24</v>
      </c>
      <c r="K576" s="351" t="s">
        <v>5175</v>
      </c>
      <c r="L576" s="351" t="s">
        <v>5183</v>
      </c>
      <c r="M576" s="351" t="s">
        <v>261</v>
      </c>
      <c r="N576" s="360" t="s">
        <v>5198</v>
      </c>
      <c r="O576" s="360" t="s">
        <v>207</v>
      </c>
      <c r="P576" s="363">
        <v>40543</v>
      </c>
      <c r="Q576" s="351" t="s">
        <v>770</v>
      </c>
      <c r="R576" s="354">
        <v>829341</v>
      </c>
      <c r="S576" s="354">
        <v>992742</v>
      </c>
      <c r="T576" s="351" t="s">
        <v>276</v>
      </c>
      <c r="U576" s="354">
        <v>82816</v>
      </c>
      <c r="V576" s="354">
        <v>99183</v>
      </c>
      <c r="W576" s="357" t="s">
        <v>276</v>
      </c>
      <c r="X576" s="357" t="s">
        <v>276</v>
      </c>
      <c r="Y576" s="357" t="s">
        <v>276</v>
      </c>
      <c r="Z576" s="351" t="s">
        <v>1562</v>
      </c>
      <c r="AA576" s="357" t="s">
        <v>276</v>
      </c>
      <c r="AB576" s="351" t="s">
        <v>1562</v>
      </c>
      <c r="AC576" s="351" t="s">
        <v>5199</v>
      </c>
      <c r="AD576" s="351" t="s">
        <v>1674</v>
      </c>
      <c r="AE576" s="357">
        <v>314</v>
      </c>
      <c r="AF576" s="357">
        <v>465</v>
      </c>
      <c r="AG576" s="354">
        <v>829341</v>
      </c>
      <c r="AH576" s="354">
        <v>992742</v>
      </c>
      <c r="AI576" s="355" t="s">
        <v>4995</v>
      </c>
      <c r="AJ576" s="356">
        <v>0.38</v>
      </c>
      <c r="AK576" s="356">
        <f t="shared" si="68"/>
        <v>0.37861386329627983</v>
      </c>
      <c r="AL576" s="356" t="s">
        <v>276</v>
      </c>
      <c r="AM576" s="356" t="s">
        <v>276</v>
      </c>
      <c r="AN576" s="356">
        <v>0.47</v>
      </c>
      <c r="AO576" s="356">
        <f t="shared" si="69"/>
        <v>0.46839964462065675</v>
      </c>
      <c r="AP576" s="356" t="s">
        <v>276</v>
      </c>
      <c r="AQ576" s="356" t="s">
        <v>276</v>
      </c>
      <c r="AR576" s="357" t="s">
        <v>269</v>
      </c>
      <c r="AS576" s="356" t="s">
        <v>276</v>
      </c>
      <c r="AT576" s="356">
        <f t="shared" si="70"/>
        <v>0.80831372876661378</v>
      </c>
      <c r="AU576" s="356" t="s">
        <v>276</v>
      </c>
      <c r="AV576" s="356" t="s">
        <v>276</v>
      </c>
      <c r="AW576" s="356" t="s">
        <v>276</v>
      </c>
      <c r="AX576" s="351" t="s">
        <v>5038</v>
      </c>
      <c r="AY576" s="356">
        <v>0.8</v>
      </c>
      <c r="AZ576" s="356">
        <v>0.69</v>
      </c>
      <c r="BA576" s="356">
        <v>0.93</v>
      </c>
      <c r="BB576" s="357">
        <v>4.0000000000000001E-3</v>
      </c>
      <c r="BC576" s="351" t="s">
        <v>5196</v>
      </c>
      <c r="BD576" s="364"/>
      <c r="BE576" s="33" t="s">
        <v>100</v>
      </c>
      <c r="BF576" s="33" t="s">
        <v>98</v>
      </c>
    </row>
    <row r="577" spans="1:58" s="358" customFormat="1" ht="104" x14ac:dyDescent="0.3">
      <c r="A577" s="357">
        <v>10549</v>
      </c>
      <c r="B577" s="357" t="s">
        <v>5173</v>
      </c>
      <c r="C577" s="357" t="s">
        <v>88</v>
      </c>
      <c r="D577" s="351" t="s">
        <v>5200</v>
      </c>
      <c r="E577" s="357" t="s">
        <v>43</v>
      </c>
      <c r="F577" s="351" t="s">
        <v>4987</v>
      </c>
      <c r="G577" s="357" t="s">
        <v>225</v>
      </c>
      <c r="H577" s="357" t="s">
        <v>125</v>
      </c>
      <c r="I577" s="357" t="s">
        <v>114</v>
      </c>
      <c r="J577" s="351" t="s">
        <v>24</v>
      </c>
      <c r="K577" s="351" t="s">
        <v>5175</v>
      </c>
      <c r="L577" s="351" t="s">
        <v>5189</v>
      </c>
      <c r="M577" s="347" t="s">
        <v>261</v>
      </c>
      <c r="N577" s="370" t="s">
        <v>5198</v>
      </c>
      <c r="O577" s="349" t="s">
        <v>207</v>
      </c>
      <c r="P577" s="350" t="s">
        <v>5201</v>
      </c>
      <c r="Q577" s="351" t="s">
        <v>776</v>
      </c>
      <c r="R577" s="354" t="s">
        <v>5202</v>
      </c>
      <c r="S577" s="354" t="s">
        <v>5203</v>
      </c>
      <c r="T577" s="351" t="s">
        <v>276</v>
      </c>
      <c r="U577" s="354">
        <v>82816</v>
      </c>
      <c r="V577" s="354">
        <v>99183</v>
      </c>
      <c r="W577" s="357" t="s">
        <v>276</v>
      </c>
      <c r="X577" s="357" t="s">
        <v>276</v>
      </c>
      <c r="Y577" s="357" t="s">
        <v>276</v>
      </c>
      <c r="Z577" s="351" t="s">
        <v>1562</v>
      </c>
      <c r="AA577" s="357" t="s">
        <v>276</v>
      </c>
      <c r="AB577" s="351" t="s">
        <v>1562</v>
      </c>
      <c r="AC577" s="351" t="s">
        <v>5204</v>
      </c>
      <c r="AD577" s="351" t="s">
        <v>1674</v>
      </c>
      <c r="AE577" s="347">
        <v>427</v>
      </c>
      <c r="AF577" s="347">
        <v>610</v>
      </c>
      <c r="AG577" s="352">
        <v>935185</v>
      </c>
      <c r="AH577" s="352">
        <v>1120432</v>
      </c>
      <c r="AI577" s="355" t="s">
        <v>4995</v>
      </c>
      <c r="AJ577" s="359">
        <v>0.46</v>
      </c>
      <c r="AK577" s="371">
        <f t="shared" si="68"/>
        <v>0.45659414982062374</v>
      </c>
      <c r="AL577" s="359" t="s">
        <v>276</v>
      </c>
      <c r="AM577" s="359" t="s">
        <v>276</v>
      </c>
      <c r="AN577" s="359">
        <v>0.54</v>
      </c>
      <c r="AO577" s="371">
        <f t="shared" si="69"/>
        <v>0.54443286161052162</v>
      </c>
      <c r="AP577" s="356" t="s">
        <v>276</v>
      </c>
      <c r="AQ577" s="356" t="s">
        <v>276</v>
      </c>
      <c r="AR577" s="357" t="s">
        <v>269</v>
      </c>
      <c r="AS577" s="356" t="s">
        <v>276</v>
      </c>
      <c r="AT577" s="356">
        <f t="shared" si="70"/>
        <v>0.83866015815052641</v>
      </c>
      <c r="AU577" s="356" t="s">
        <v>276</v>
      </c>
      <c r="AV577" s="356" t="s">
        <v>276</v>
      </c>
      <c r="AW577" s="356" t="s">
        <v>276</v>
      </c>
      <c r="AX577" s="351" t="s">
        <v>5038</v>
      </c>
      <c r="AY577" s="356">
        <v>0.83</v>
      </c>
      <c r="AZ577" s="356">
        <v>0.73</v>
      </c>
      <c r="BA577" s="356">
        <v>0.94</v>
      </c>
      <c r="BB577" s="357">
        <v>4.0000000000000001E-3</v>
      </c>
      <c r="BC577" s="351" t="s">
        <v>5205</v>
      </c>
      <c r="BD577" s="348"/>
      <c r="BE577" s="33" t="s">
        <v>100</v>
      </c>
      <c r="BF577" s="33" t="s">
        <v>98</v>
      </c>
    </row>
    <row r="578" spans="1:58" s="358" customFormat="1" ht="65" x14ac:dyDescent="0.3">
      <c r="A578" s="357">
        <v>10549</v>
      </c>
      <c r="B578" s="357" t="s">
        <v>5173</v>
      </c>
      <c r="C578" s="357" t="s">
        <v>88</v>
      </c>
      <c r="D578" s="351" t="s">
        <v>5206</v>
      </c>
      <c r="E578" s="357" t="s">
        <v>43</v>
      </c>
      <c r="F578" s="351" t="s">
        <v>4987</v>
      </c>
      <c r="G578" s="357" t="s">
        <v>225</v>
      </c>
      <c r="H578" s="357" t="s">
        <v>125</v>
      </c>
      <c r="I578" s="357" t="s">
        <v>114</v>
      </c>
      <c r="J578" s="351" t="s">
        <v>23</v>
      </c>
      <c r="K578" s="351" t="s">
        <v>5031</v>
      </c>
      <c r="L578" s="351" t="s">
        <v>5207</v>
      </c>
      <c r="M578" s="347" t="s">
        <v>259</v>
      </c>
      <c r="N578" s="349" t="s">
        <v>5033</v>
      </c>
      <c r="O578" s="349" t="s">
        <v>207</v>
      </c>
      <c r="P578" s="350" t="s">
        <v>5201</v>
      </c>
      <c r="Q578" s="351" t="s">
        <v>776</v>
      </c>
      <c r="R578" s="354" t="s">
        <v>5190</v>
      </c>
      <c r="S578" s="354" t="s">
        <v>5191</v>
      </c>
      <c r="T578" s="351" t="s">
        <v>276</v>
      </c>
      <c r="U578" s="354">
        <v>72891</v>
      </c>
      <c r="V578" s="354">
        <v>89352</v>
      </c>
      <c r="W578" s="357" t="s">
        <v>276</v>
      </c>
      <c r="X578" s="357" t="s">
        <v>276</v>
      </c>
      <c r="Y578" s="357">
        <v>0</v>
      </c>
      <c r="Z578" s="351" t="s">
        <v>98</v>
      </c>
      <c r="AA578" s="357">
        <v>0</v>
      </c>
      <c r="AB578" s="351" t="s">
        <v>98</v>
      </c>
      <c r="AC578" s="351" t="s">
        <v>5208</v>
      </c>
      <c r="AD578" s="351" t="s">
        <v>1674</v>
      </c>
      <c r="AE578" s="347">
        <v>15369</v>
      </c>
      <c r="AF578" s="347">
        <v>19108</v>
      </c>
      <c r="AG578" s="352">
        <v>825018</v>
      </c>
      <c r="AH578" s="352">
        <v>1011192</v>
      </c>
      <c r="AI578" s="355" t="s">
        <v>4995</v>
      </c>
      <c r="AJ578" s="367">
        <v>18.600000000000001</v>
      </c>
      <c r="AK578" s="371">
        <f>(AE578/AG578)*1000</f>
        <v>18.628684465066218</v>
      </c>
      <c r="AL578" s="359" t="s">
        <v>276</v>
      </c>
      <c r="AM578" s="359" t="s">
        <v>276</v>
      </c>
      <c r="AN578" s="367">
        <v>18.899999999999999</v>
      </c>
      <c r="AO578" s="371">
        <f>(AF578/AH578)*1000</f>
        <v>18.896510257201403</v>
      </c>
      <c r="AP578" s="359" t="s">
        <v>276</v>
      </c>
      <c r="AQ578" s="359" t="s">
        <v>276</v>
      </c>
      <c r="AR578" s="357" t="s">
        <v>269</v>
      </c>
      <c r="AS578" s="356" t="s">
        <v>276</v>
      </c>
      <c r="AT578" s="356">
        <f>AK578/AO578</f>
        <v>0.98582670617538404</v>
      </c>
      <c r="AU578" s="356" t="s">
        <v>276</v>
      </c>
      <c r="AV578" s="356" t="s">
        <v>276</v>
      </c>
      <c r="AW578" s="356" t="s">
        <v>276</v>
      </c>
      <c r="AX578" s="351" t="s">
        <v>5038</v>
      </c>
      <c r="AY578" s="356">
        <v>1</v>
      </c>
      <c r="AZ578" s="356">
        <v>0.98</v>
      </c>
      <c r="BA578" s="356">
        <v>1.02</v>
      </c>
      <c r="BB578" s="356">
        <v>0.82</v>
      </c>
      <c r="BC578" s="351" t="s">
        <v>5209</v>
      </c>
      <c r="BD578" s="348"/>
      <c r="BE578" s="33" t="s">
        <v>100</v>
      </c>
      <c r="BF578" s="33" t="s">
        <v>98</v>
      </c>
    </row>
    <row r="579" spans="1:58" s="358" customFormat="1" ht="65" x14ac:dyDescent="0.3">
      <c r="A579" s="357">
        <v>10549</v>
      </c>
      <c r="B579" s="357" t="s">
        <v>5173</v>
      </c>
      <c r="C579" s="357" t="s">
        <v>88</v>
      </c>
      <c r="D579" s="351" t="s">
        <v>5210</v>
      </c>
      <c r="E579" s="357" t="s">
        <v>43</v>
      </c>
      <c r="F579" s="351" t="s">
        <v>4987</v>
      </c>
      <c r="G579" s="357" t="s">
        <v>225</v>
      </c>
      <c r="H579" s="357" t="s">
        <v>125</v>
      </c>
      <c r="I579" s="357" t="s">
        <v>114</v>
      </c>
      <c r="J579" s="351" t="s">
        <v>23</v>
      </c>
      <c r="K579" s="351" t="s">
        <v>5031</v>
      </c>
      <c r="L579" s="351" t="s">
        <v>5207</v>
      </c>
      <c r="M579" s="347" t="s">
        <v>261</v>
      </c>
      <c r="N579" s="349" t="s">
        <v>5211</v>
      </c>
      <c r="O579" s="349" t="s">
        <v>207</v>
      </c>
      <c r="P579" s="350" t="s">
        <v>5201</v>
      </c>
      <c r="Q579" s="351" t="s">
        <v>776</v>
      </c>
      <c r="R579" s="354" t="s">
        <v>5202</v>
      </c>
      <c r="S579" s="354" t="s">
        <v>5203</v>
      </c>
      <c r="T579" s="351" t="s">
        <v>276</v>
      </c>
      <c r="U579" s="354">
        <v>82816</v>
      </c>
      <c r="V579" s="354">
        <v>99183</v>
      </c>
      <c r="W579" s="357" t="s">
        <v>276</v>
      </c>
      <c r="X579" s="357" t="s">
        <v>276</v>
      </c>
      <c r="Y579" s="357">
        <v>0</v>
      </c>
      <c r="Z579" s="351" t="s">
        <v>98</v>
      </c>
      <c r="AA579" s="357">
        <v>0</v>
      </c>
      <c r="AB579" s="351" t="s">
        <v>98</v>
      </c>
      <c r="AC579" s="351" t="s">
        <v>5212</v>
      </c>
      <c r="AD579" s="351" t="s">
        <v>1674</v>
      </c>
      <c r="AE579" s="347">
        <v>18251</v>
      </c>
      <c r="AF579" s="347">
        <v>21992</v>
      </c>
      <c r="AG579" s="352">
        <v>935185</v>
      </c>
      <c r="AH579" s="352">
        <v>1120432</v>
      </c>
      <c r="AI579" s="355" t="s">
        <v>4995</v>
      </c>
      <c r="AJ579" s="367">
        <v>19.5</v>
      </c>
      <c r="AK579" s="371">
        <f t="shared" ref="AK579" si="71">(AE579/AG579)*1000</f>
        <v>19.515924656618743</v>
      </c>
      <c r="AL579" s="359" t="s">
        <v>276</v>
      </c>
      <c r="AM579" s="359" t="s">
        <v>276</v>
      </c>
      <c r="AN579" s="367">
        <v>19.600000000000001</v>
      </c>
      <c r="AO579" s="371">
        <f t="shared" ref="AO579" si="72">(AF579/AH579)*1000</f>
        <v>19.628143430391134</v>
      </c>
      <c r="AP579" s="359" t="s">
        <v>276</v>
      </c>
      <c r="AQ579" s="359" t="s">
        <v>276</v>
      </c>
      <c r="AR579" s="357" t="s">
        <v>269</v>
      </c>
      <c r="AS579" s="356" t="s">
        <v>276</v>
      </c>
      <c r="AT579" s="356">
        <f>AK579/AO579</f>
        <v>0.99428276167991325</v>
      </c>
      <c r="AU579" s="356" t="s">
        <v>276</v>
      </c>
      <c r="AV579" s="356" t="s">
        <v>276</v>
      </c>
      <c r="AW579" s="356" t="s">
        <v>276</v>
      </c>
      <c r="AX579" s="351" t="s">
        <v>5038</v>
      </c>
      <c r="AY579" s="356">
        <v>1</v>
      </c>
      <c r="AZ579" s="356">
        <v>0.98</v>
      </c>
      <c r="BA579" s="356">
        <v>1.02</v>
      </c>
      <c r="BB579" s="356">
        <v>0.98</v>
      </c>
      <c r="BC579" s="348" t="s">
        <v>1029</v>
      </c>
      <c r="BD579" s="348"/>
      <c r="BE579" s="33" t="s">
        <v>100</v>
      </c>
      <c r="BF579" s="33" t="s">
        <v>98</v>
      </c>
    </row>
    <row r="580" spans="1:58" s="358" customFormat="1" ht="104" x14ac:dyDescent="0.3">
      <c r="A580" s="357">
        <v>10549</v>
      </c>
      <c r="B580" s="357" t="s">
        <v>5173</v>
      </c>
      <c r="C580" s="357" t="s">
        <v>88</v>
      </c>
      <c r="D580" s="351" t="s">
        <v>5213</v>
      </c>
      <c r="E580" s="357" t="s">
        <v>43</v>
      </c>
      <c r="F580" s="351" t="s">
        <v>4987</v>
      </c>
      <c r="G580" s="357" t="s">
        <v>225</v>
      </c>
      <c r="H580" s="357" t="s">
        <v>125</v>
      </c>
      <c r="I580" s="357" t="s">
        <v>114</v>
      </c>
      <c r="J580" s="351" t="s">
        <v>24</v>
      </c>
      <c r="K580" s="351" t="s">
        <v>5175</v>
      </c>
      <c r="L580" s="351" t="s">
        <v>5189</v>
      </c>
      <c r="M580" s="347" t="s">
        <v>259</v>
      </c>
      <c r="N580" s="349" t="s">
        <v>5214</v>
      </c>
      <c r="O580" s="349" t="s">
        <v>207</v>
      </c>
      <c r="P580" s="350" t="s">
        <v>5201</v>
      </c>
      <c r="Q580" s="351" t="s">
        <v>776</v>
      </c>
      <c r="R580" s="354" t="s">
        <v>5215</v>
      </c>
      <c r="S580" s="354" t="s">
        <v>5216</v>
      </c>
      <c r="T580" s="348" t="s">
        <v>276</v>
      </c>
      <c r="U580" s="347" t="s">
        <v>276</v>
      </c>
      <c r="V580" s="347" t="s">
        <v>276</v>
      </c>
      <c r="W580" s="357" t="s">
        <v>276</v>
      </c>
      <c r="X580" s="357" t="s">
        <v>276</v>
      </c>
      <c r="Y580" s="357" t="s">
        <v>276</v>
      </c>
      <c r="Z580" s="351" t="s">
        <v>1562</v>
      </c>
      <c r="AA580" s="357" t="s">
        <v>276</v>
      </c>
      <c r="AB580" s="351" t="s">
        <v>1562</v>
      </c>
      <c r="AC580" s="351" t="s">
        <v>5217</v>
      </c>
      <c r="AD580" s="351" t="s">
        <v>1674</v>
      </c>
      <c r="AE580" s="347">
        <v>6</v>
      </c>
      <c r="AF580" s="347">
        <v>7</v>
      </c>
      <c r="AG580" s="352">
        <v>64265</v>
      </c>
      <c r="AH580" s="352">
        <v>62312</v>
      </c>
      <c r="AI580" s="355" t="s">
        <v>4995</v>
      </c>
      <c r="AJ580" s="359">
        <v>0.09</v>
      </c>
      <c r="AK580" s="371">
        <f t="shared" si="68"/>
        <v>9.336341710106591E-2</v>
      </c>
      <c r="AL580" s="359" t="s">
        <v>276</v>
      </c>
      <c r="AM580" s="359" t="s">
        <v>276</v>
      </c>
      <c r="AN580" s="359">
        <v>0.11</v>
      </c>
      <c r="AO580" s="371">
        <f t="shared" si="69"/>
        <v>0.11233791244062138</v>
      </c>
      <c r="AP580" s="359" t="s">
        <v>276</v>
      </c>
      <c r="AQ580" s="359" t="s">
        <v>276</v>
      </c>
      <c r="AR580" s="357" t="s">
        <v>269</v>
      </c>
      <c r="AS580" s="356" t="s">
        <v>276</v>
      </c>
      <c r="AT580" s="356">
        <f t="shared" si="70"/>
        <v>0.83109446377165985</v>
      </c>
      <c r="AU580" s="356" t="s">
        <v>276</v>
      </c>
      <c r="AV580" s="356" t="s">
        <v>276</v>
      </c>
      <c r="AW580" s="356" t="s">
        <v>276</v>
      </c>
      <c r="AX580" s="351" t="s">
        <v>5038</v>
      </c>
      <c r="AY580" s="356">
        <v>0.84</v>
      </c>
      <c r="AZ580" s="356">
        <v>0.28000000000000003</v>
      </c>
      <c r="BA580" s="356">
        <v>2.4900000000000002</v>
      </c>
      <c r="BB580" s="357">
        <v>0.75</v>
      </c>
      <c r="BC580" s="348" t="s">
        <v>1029</v>
      </c>
      <c r="BD580" s="348"/>
      <c r="BE580" s="33" t="s">
        <v>100</v>
      </c>
      <c r="BF580" s="33" t="s">
        <v>98</v>
      </c>
    </row>
    <row r="581" spans="1:58" s="358" customFormat="1" ht="104" x14ac:dyDescent="0.3">
      <c r="A581" s="357">
        <v>10549</v>
      </c>
      <c r="B581" s="357" t="s">
        <v>5173</v>
      </c>
      <c r="C581" s="357" t="s">
        <v>88</v>
      </c>
      <c r="D581" s="351" t="s">
        <v>5218</v>
      </c>
      <c r="E581" s="357" t="s">
        <v>43</v>
      </c>
      <c r="F581" s="351" t="s">
        <v>4987</v>
      </c>
      <c r="G581" s="357" t="s">
        <v>225</v>
      </c>
      <c r="H581" s="357" t="s">
        <v>125</v>
      </c>
      <c r="I581" s="357" t="s">
        <v>114</v>
      </c>
      <c r="J581" s="351" t="s">
        <v>24</v>
      </c>
      <c r="K581" s="351" t="s">
        <v>5175</v>
      </c>
      <c r="L581" s="351" t="s">
        <v>5189</v>
      </c>
      <c r="M581" s="347" t="s">
        <v>259</v>
      </c>
      <c r="N581" s="349" t="s">
        <v>5009</v>
      </c>
      <c r="O581" s="349" t="s">
        <v>207</v>
      </c>
      <c r="P581" s="350" t="s">
        <v>5201</v>
      </c>
      <c r="Q581" s="351" t="s">
        <v>776</v>
      </c>
      <c r="R581" s="354" t="s">
        <v>5219</v>
      </c>
      <c r="S581" s="354" t="s">
        <v>5220</v>
      </c>
      <c r="T581" s="348" t="s">
        <v>276</v>
      </c>
      <c r="U581" s="347" t="s">
        <v>276</v>
      </c>
      <c r="V581" s="347" t="s">
        <v>276</v>
      </c>
      <c r="W581" s="357" t="s">
        <v>276</v>
      </c>
      <c r="X581" s="357" t="s">
        <v>276</v>
      </c>
      <c r="Y581" s="357" t="s">
        <v>276</v>
      </c>
      <c r="Z581" s="351" t="s">
        <v>1562</v>
      </c>
      <c r="AA581" s="357" t="s">
        <v>276</v>
      </c>
      <c r="AB581" s="351" t="s">
        <v>1562</v>
      </c>
      <c r="AC581" s="351" t="s">
        <v>5221</v>
      </c>
      <c r="AD581" s="351" t="s">
        <v>1674</v>
      </c>
      <c r="AE581" s="347">
        <v>114</v>
      </c>
      <c r="AF581" s="347">
        <v>174</v>
      </c>
      <c r="AG581" s="352">
        <v>411834</v>
      </c>
      <c r="AH581" s="352">
        <v>524314</v>
      </c>
      <c r="AI581" s="355" t="s">
        <v>4995</v>
      </c>
      <c r="AJ581" s="359">
        <v>0.28000000000000003</v>
      </c>
      <c r="AK581" s="371">
        <f t="shared" si="68"/>
        <v>0.27681055959439971</v>
      </c>
      <c r="AL581" s="359" t="s">
        <v>276</v>
      </c>
      <c r="AM581" s="359" t="s">
        <v>276</v>
      </c>
      <c r="AN581" s="359">
        <v>0.33</v>
      </c>
      <c r="AO581" s="371">
        <f t="shared" si="69"/>
        <v>0.33186220470939171</v>
      </c>
      <c r="AP581" s="359" t="s">
        <v>276</v>
      </c>
      <c r="AQ581" s="359" t="s">
        <v>276</v>
      </c>
      <c r="AR581" s="357" t="s">
        <v>269</v>
      </c>
      <c r="AS581" s="356" t="s">
        <v>276</v>
      </c>
      <c r="AT581" s="356">
        <f t="shared" si="70"/>
        <v>0.83411294105274758</v>
      </c>
      <c r="AU581" s="356" t="s">
        <v>276</v>
      </c>
      <c r="AV581" s="356" t="s">
        <v>276</v>
      </c>
      <c r="AW581" s="356" t="s">
        <v>276</v>
      </c>
      <c r="AX581" s="351" t="s">
        <v>5038</v>
      </c>
      <c r="AY581" s="356">
        <v>0.81</v>
      </c>
      <c r="AZ581" s="356">
        <v>0.93</v>
      </c>
      <c r="BA581" s="356">
        <v>1.03</v>
      </c>
      <c r="BB581" s="357">
        <v>0.09</v>
      </c>
      <c r="BC581" s="348" t="s">
        <v>1029</v>
      </c>
      <c r="BD581" s="348"/>
      <c r="BE581" s="33" t="s">
        <v>100</v>
      </c>
      <c r="BF581" s="33" t="s">
        <v>98</v>
      </c>
    </row>
    <row r="582" spans="1:58" s="358" customFormat="1" ht="104" x14ac:dyDescent="0.3">
      <c r="A582" s="357">
        <v>10549</v>
      </c>
      <c r="B582" s="357" t="s">
        <v>5173</v>
      </c>
      <c r="C582" s="357" t="s">
        <v>88</v>
      </c>
      <c r="D582" s="351" t="s">
        <v>5222</v>
      </c>
      <c r="E582" s="357" t="s">
        <v>43</v>
      </c>
      <c r="F582" s="351" t="s">
        <v>4987</v>
      </c>
      <c r="G582" s="357" t="s">
        <v>225</v>
      </c>
      <c r="H582" s="357" t="s">
        <v>125</v>
      </c>
      <c r="I582" s="357" t="s">
        <v>114</v>
      </c>
      <c r="J582" s="351" t="s">
        <v>24</v>
      </c>
      <c r="K582" s="351" t="s">
        <v>5175</v>
      </c>
      <c r="L582" s="351" t="s">
        <v>5189</v>
      </c>
      <c r="M582" s="347" t="s">
        <v>259</v>
      </c>
      <c r="N582" s="349" t="s">
        <v>5013</v>
      </c>
      <c r="O582" s="349" t="s">
        <v>207</v>
      </c>
      <c r="P582" s="350" t="s">
        <v>5201</v>
      </c>
      <c r="Q582" s="351" t="s">
        <v>776</v>
      </c>
      <c r="R582" s="354" t="s">
        <v>5223</v>
      </c>
      <c r="S582" s="354" t="s">
        <v>5224</v>
      </c>
      <c r="T582" s="348" t="s">
        <v>276</v>
      </c>
      <c r="U582" s="347" t="s">
        <v>276</v>
      </c>
      <c r="V582" s="347" t="s">
        <v>276</v>
      </c>
      <c r="W582" s="357" t="s">
        <v>276</v>
      </c>
      <c r="X582" s="357" t="s">
        <v>276</v>
      </c>
      <c r="Y582" s="357" t="s">
        <v>276</v>
      </c>
      <c r="Z582" s="351" t="s">
        <v>1562</v>
      </c>
      <c r="AA582" s="357" t="s">
        <v>276</v>
      </c>
      <c r="AB582" s="351" t="s">
        <v>1562</v>
      </c>
      <c r="AC582" s="351" t="s">
        <v>5225</v>
      </c>
      <c r="AD582" s="351" t="s">
        <v>1674</v>
      </c>
      <c r="AE582" s="347">
        <v>121</v>
      </c>
      <c r="AF582" s="347">
        <v>159</v>
      </c>
      <c r="AG582" s="352">
        <v>240895</v>
      </c>
      <c r="AH582" s="352">
        <v>280404</v>
      </c>
      <c r="AI582" s="355" t="s">
        <v>4995</v>
      </c>
      <c r="AJ582" s="359">
        <v>0.5</v>
      </c>
      <c r="AK582" s="371">
        <f t="shared" si="68"/>
        <v>0.50229353037630509</v>
      </c>
      <c r="AL582" s="359" t="s">
        <v>276</v>
      </c>
      <c r="AM582" s="359" t="s">
        <v>276</v>
      </c>
      <c r="AN582" s="359">
        <v>0.56999999999999995</v>
      </c>
      <c r="AO582" s="371">
        <f t="shared" si="69"/>
        <v>0.56703898660504137</v>
      </c>
      <c r="AP582" s="359" t="s">
        <v>276</v>
      </c>
      <c r="AQ582" s="359" t="s">
        <v>276</v>
      </c>
      <c r="AR582" s="357" t="s">
        <v>269</v>
      </c>
      <c r="AS582" s="356" t="s">
        <v>276</v>
      </c>
      <c r="AT582" s="356">
        <f t="shared" si="70"/>
        <v>0.88581833390966935</v>
      </c>
      <c r="AU582" s="356" t="s">
        <v>276</v>
      </c>
      <c r="AV582" s="356" t="s">
        <v>276</v>
      </c>
      <c r="AW582" s="356" t="s">
        <v>276</v>
      </c>
      <c r="AX582" s="351" t="s">
        <v>5038</v>
      </c>
      <c r="AY582" s="356">
        <v>0.9</v>
      </c>
      <c r="AZ582" s="356">
        <v>0.71</v>
      </c>
      <c r="BA582" s="356">
        <v>1.1499999999999999</v>
      </c>
      <c r="BB582" s="357">
        <v>0.41</v>
      </c>
      <c r="BC582" s="348" t="s">
        <v>1029</v>
      </c>
      <c r="BD582" s="348"/>
      <c r="BE582" s="33" t="s">
        <v>100</v>
      </c>
      <c r="BF582" s="33" t="s">
        <v>98</v>
      </c>
    </row>
    <row r="583" spans="1:58" s="358" customFormat="1" ht="104" x14ac:dyDescent="0.3">
      <c r="A583" s="357">
        <v>10549</v>
      </c>
      <c r="B583" s="357" t="s">
        <v>5173</v>
      </c>
      <c r="C583" s="357" t="s">
        <v>88</v>
      </c>
      <c r="D583" s="351" t="s">
        <v>5226</v>
      </c>
      <c r="E583" s="357" t="s">
        <v>43</v>
      </c>
      <c r="F583" s="351" t="s">
        <v>4987</v>
      </c>
      <c r="G583" s="357" t="s">
        <v>225</v>
      </c>
      <c r="H583" s="357" t="s">
        <v>125</v>
      </c>
      <c r="I583" s="357" t="s">
        <v>114</v>
      </c>
      <c r="J583" s="351" t="s">
        <v>24</v>
      </c>
      <c r="K583" s="351" t="s">
        <v>5175</v>
      </c>
      <c r="L583" s="351" t="s">
        <v>5189</v>
      </c>
      <c r="M583" s="347" t="s">
        <v>259</v>
      </c>
      <c r="N583" s="349" t="s">
        <v>5017</v>
      </c>
      <c r="O583" s="349" t="s">
        <v>207</v>
      </c>
      <c r="P583" s="350" t="s">
        <v>5201</v>
      </c>
      <c r="Q583" s="351" t="s">
        <v>776</v>
      </c>
      <c r="R583" s="354" t="s">
        <v>5227</v>
      </c>
      <c r="S583" s="354" t="s">
        <v>5228</v>
      </c>
      <c r="T583" s="348" t="s">
        <v>276</v>
      </c>
      <c r="U583" s="347" t="s">
        <v>276</v>
      </c>
      <c r="V583" s="347" t="s">
        <v>276</v>
      </c>
      <c r="W583" s="357" t="s">
        <v>276</v>
      </c>
      <c r="X583" s="357" t="s">
        <v>276</v>
      </c>
      <c r="Y583" s="357" t="s">
        <v>276</v>
      </c>
      <c r="Z583" s="351" t="s">
        <v>1562</v>
      </c>
      <c r="AA583" s="357" t="s">
        <v>276</v>
      </c>
      <c r="AB583" s="351" t="s">
        <v>1562</v>
      </c>
      <c r="AC583" s="351" t="s">
        <v>5229</v>
      </c>
      <c r="AD583" s="351" t="s">
        <v>1674</v>
      </c>
      <c r="AE583" s="347">
        <v>120</v>
      </c>
      <c r="AF583" s="347">
        <v>212</v>
      </c>
      <c r="AG583" s="352">
        <v>172289</v>
      </c>
      <c r="AH583" s="354">
        <v>206474</v>
      </c>
      <c r="AI583" s="355" t="s">
        <v>4995</v>
      </c>
      <c r="AJ583" s="359">
        <v>0.7</v>
      </c>
      <c r="AK583" s="371">
        <f t="shared" si="68"/>
        <v>0.69650412968906894</v>
      </c>
      <c r="AL583" s="359" t="s">
        <v>276</v>
      </c>
      <c r="AM583" s="359" t="s">
        <v>276</v>
      </c>
      <c r="AN583" s="359">
        <v>1.03</v>
      </c>
      <c r="AO583" s="371">
        <f t="shared" si="69"/>
        <v>1.0267636603155845</v>
      </c>
      <c r="AP583" s="359" t="s">
        <v>276</v>
      </c>
      <c r="AQ583" s="359" t="s">
        <v>276</v>
      </c>
      <c r="AR583" s="357" t="s">
        <v>269</v>
      </c>
      <c r="AS583" s="356" t="s">
        <v>276</v>
      </c>
      <c r="AT583" s="356">
        <f t="shared" si="70"/>
        <v>0.67834902676141895</v>
      </c>
      <c r="AU583" s="356" t="s">
        <v>276</v>
      </c>
      <c r="AV583" s="356" t="s">
        <v>276</v>
      </c>
      <c r="AW583" s="356" t="s">
        <v>276</v>
      </c>
      <c r="AX583" s="351" t="s">
        <v>5038</v>
      </c>
      <c r="AY583" s="356">
        <v>0.69</v>
      </c>
      <c r="AZ583" s="356">
        <v>0.55000000000000004</v>
      </c>
      <c r="BA583" s="356">
        <v>0.87</v>
      </c>
      <c r="BB583" s="357">
        <v>2E-3</v>
      </c>
      <c r="BC583" s="348" t="s">
        <v>1029</v>
      </c>
      <c r="BD583" s="348"/>
      <c r="BE583" s="33" t="s">
        <v>100</v>
      </c>
      <c r="BF583" s="33" t="s">
        <v>98</v>
      </c>
    </row>
    <row r="584" spans="1:58" s="358" customFormat="1" ht="104" x14ac:dyDescent="0.3">
      <c r="A584" s="357">
        <v>10549</v>
      </c>
      <c r="B584" s="357" t="s">
        <v>5173</v>
      </c>
      <c r="C584" s="357" t="s">
        <v>88</v>
      </c>
      <c r="D584" s="351" t="s">
        <v>5230</v>
      </c>
      <c r="E584" s="357" t="s">
        <v>43</v>
      </c>
      <c r="F584" s="351" t="s">
        <v>4987</v>
      </c>
      <c r="G584" s="357" t="s">
        <v>225</v>
      </c>
      <c r="H584" s="357" t="s">
        <v>125</v>
      </c>
      <c r="I584" s="357" t="s">
        <v>114</v>
      </c>
      <c r="J584" s="351" t="s">
        <v>24</v>
      </c>
      <c r="K584" s="351" t="s">
        <v>5175</v>
      </c>
      <c r="L584" s="351" t="s">
        <v>5189</v>
      </c>
      <c r="M584" s="347" t="s">
        <v>259</v>
      </c>
      <c r="N584" s="349" t="s">
        <v>5231</v>
      </c>
      <c r="O584" s="349" t="s">
        <v>207</v>
      </c>
      <c r="P584" s="350" t="s">
        <v>5201</v>
      </c>
      <c r="Q584" s="351" t="s">
        <v>776</v>
      </c>
      <c r="R584" s="354" t="s">
        <v>5232</v>
      </c>
      <c r="S584" s="354" t="s">
        <v>5233</v>
      </c>
      <c r="T584" s="348" t="s">
        <v>276</v>
      </c>
      <c r="U584" s="347" t="s">
        <v>276</v>
      </c>
      <c r="V584" s="347" t="s">
        <v>276</v>
      </c>
      <c r="W584" s="357" t="s">
        <v>276</v>
      </c>
      <c r="X584" s="357" t="s">
        <v>276</v>
      </c>
      <c r="Y584" s="357" t="s">
        <v>276</v>
      </c>
      <c r="Z584" s="351" t="s">
        <v>1562</v>
      </c>
      <c r="AA584" s="357" t="s">
        <v>276</v>
      </c>
      <c r="AB584" s="351" t="s">
        <v>1562</v>
      </c>
      <c r="AC584" s="351" t="s">
        <v>5234</v>
      </c>
      <c r="AD584" s="351" t="s">
        <v>1674</v>
      </c>
      <c r="AE584" s="347">
        <v>66</v>
      </c>
      <c r="AF584" s="347">
        <v>58</v>
      </c>
      <c r="AG584" s="352">
        <v>45903</v>
      </c>
      <c r="AH584" s="352">
        <v>46928</v>
      </c>
      <c r="AI584" s="355" t="s">
        <v>4995</v>
      </c>
      <c r="AJ584" s="359">
        <v>1.44</v>
      </c>
      <c r="AK584" s="371">
        <f t="shared" si="68"/>
        <v>1.4378145219266716</v>
      </c>
      <c r="AL584" s="359" t="s">
        <v>276</v>
      </c>
      <c r="AM584" s="359" t="s">
        <v>276</v>
      </c>
      <c r="AN584" s="356">
        <v>1.24</v>
      </c>
      <c r="AO584" s="371">
        <f t="shared" si="69"/>
        <v>1.2359359018070235</v>
      </c>
      <c r="AP584" s="359" t="s">
        <v>276</v>
      </c>
      <c r="AQ584" s="359" t="s">
        <v>276</v>
      </c>
      <c r="AR584" s="357" t="s">
        <v>269</v>
      </c>
      <c r="AS584" s="356" t="s">
        <v>276</v>
      </c>
      <c r="AT584" s="356">
        <f t="shared" si="70"/>
        <v>1.1633406876719801</v>
      </c>
      <c r="AU584" s="356" t="s">
        <v>276</v>
      </c>
      <c r="AV584" s="356" t="s">
        <v>276</v>
      </c>
      <c r="AW584" s="356" t="s">
        <v>276</v>
      </c>
      <c r="AX584" s="351" t="s">
        <v>5038</v>
      </c>
      <c r="AY584" s="356">
        <v>1.17</v>
      </c>
      <c r="AZ584" s="356">
        <v>0.82</v>
      </c>
      <c r="BA584" s="356">
        <v>1.66</v>
      </c>
      <c r="BB584" s="356">
        <v>0.4</v>
      </c>
      <c r="BC584" s="348" t="s">
        <v>1029</v>
      </c>
      <c r="BD584" s="348"/>
      <c r="BE584" s="33" t="s">
        <v>100</v>
      </c>
      <c r="BF584" s="33" t="s">
        <v>98</v>
      </c>
    </row>
    <row r="585" spans="1:58" s="365" customFormat="1" ht="104" x14ac:dyDescent="0.3">
      <c r="A585" s="357">
        <v>10549</v>
      </c>
      <c r="B585" s="357" t="s">
        <v>5173</v>
      </c>
      <c r="C585" s="357" t="s">
        <v>88</v>
      </c>
      <c r="D585" s="351" t="s">
        <v>5235</v>
      </c>
      <c r="E585" s="357" t="s">
        <v>43</v>
      </c>
      <c r="F585" s="351" t="s">
        <v>4987</v>
      </c>
      <c r="G585" s="357" t="s">
        <v>225</v>
      </c>
      <c r="H585" s="357" t="s">
        <v>125</v>
      </c>
      <c r="I585" s="357" t="s">
        <v>114</v>
      </c>
      <c r="J585" s="351" t="s">
        <v>24</v>
      </c>
      <c r="K585" s="351" t="s">
        <v>5175</v>
      </c>
      <c r="L585" s="351" t="s">
        <v>5189</v>
      </c>
      <c r="M585" s="357" t="s">
        <v>259</v>
      </c>
      <c r="N585" s="360" t="s">
        <v>5072</v>
      </c>
      <c r="O585" s="360" t="s">
        <v>207</v>
      </c>
      <c r="P585" s="363" t="s">
        <v>5201</v>
      </c>
      <c r="Q585" s="351" t="s">
        <v>776</v>
      </c>
      <c r="R585" s="351" t="s">
        <v>5236</v>
      </c>
      <c r="S585" s="351" t="s">
        <v>5237</v>
      </c>
      <c r="T585" s="351" t="s">
        <v>276</v>
      </c>
      <c r="U585" s="354">
        <v>17443</v>
      </c>
      <c r="V585" s="355">
        <v>17390</v>
      </c>
      <c r="W585" s="357" t="s">
        <v>276</v>
      </c>
      <c r="X585" s="357" t="s">
        <v>276</v>
      </c>
      <c r="Y585" s="357" t="s">
        <v>276</v>
      </c>
      <c r="Z585" s="351" t="s">
        <v>1562</v>
      </c>
      <c r="AA585" s="357" t="s">
        <v>276</v>
      </c>
      <c r="AB585" s="351" t="s">
        <v>1562</v>
      </c>
      <c r="AC585" s="351" t="s">
        <v>5238</v>
      </c>
      <c r="AD585" s="351" t="s">
        <v>1674</v>
      </c>
      <c r="AE585" s="357">
        <v>85</v>
      </c>
      <c r="AF585" s="357">
        <v>126</v>
      </c>
      <c r="AG585" s="351">
        <v>199958</v>
      </c>
      <c r="AH585" s="351">
        <v>199165</v>
      </c>
      <c r="AI585" s="355" t="s">
        <v>4995</v>
      </c>
      <c r="AJ585" s="356">
        <v>0.43</v>
      </c>
      <c r="AK585" s="369">
        <f t="shared" si="68"/>
        <v>0.42508926874643677</v>
      </c>
      <c r="AL585" s="356" t="s">
        <v>276</v>
      </c>
      <c r="AM585" s="356" t="s">
        <v>276</v>
      </c>
      <c r="AN585" s="356">
        <v>0.63</v>
      </c>
      <c r="AO585" s="369">
        <f t="shared" si="69"/>
        <v>0.63264127733286468</v>
      </c>
      <c r="AP585" s="356" t="s">
        <v>276</v>
      </c>
      <c r="AQ585" s="356" t="s">
        <v>276</v>
      </c>
      <c r="AR585" s="357" t="s">
        <v>269</v>
      </c>
      <c r="AS585" s="356">
        <v>0.67</v>
      </c>
      <c r="AT585" s="356">
        <f t="shared" si="70"/>
        <v>0.67192781118955625</v>
      </c>
      <c r="AU585" s="356">
        <v>0.51</v>
      </c>
      <c r="AV585" s="356">
        <v>0.88</v>
      </c>
      <c r="AW585" s="356" t="s">
        <v>844</v>
      </c>
      <c r="AX585" s="357" t="s">
        <v>282</v>
      </c>
      <c r="AY585" s="357" t="s">
        <v>98</v>
      </c>
      <c r="AZ585" s="357" t="s">
        <v>98</v>
      </c>
      <c r="BA585" s="357" t="s">
        <v>98</v>
      </c>
      <c r="BB585" s="357" t="s">
        <v>98</v>
      </c>
      <c r="BC585" s="351" t="s">
        <v>5239</v>
      </c>
      <c r="BD585" s="364"/>
      <c r="BE585" s="33" t="s">
        <v>100</v>
      </c>
      <c r="BF585" s="33" t="s">
        <v>98</v>
      </c>
    </row>
    <row r="586" spans="1:58" s="365" customFormat="1" ht="104" x14ac:dyDescent="0.3">
      <c r="A586" s="357">
        <v>10549</v>
      </c>
      <c r="B586" s="357" t="s">
        <v>5173</v>
      </c>
      <c r="C586" s="357" t="s">
        <v>88</v>
      </c>
      <c r="D586" s="351" t="s">
        <v>5240</v>
      </c>
      <c r="E586" s="357" t="s">
        <v>43</v>
      </c>
      <c r="F586" s="351" t="s">
        <v>4987</v>
      </c>
      <c r="G586" s="357" t="s">
        <v>225</v>
      </c>
      <c r="H586" s="357" t="s">
        <v>125</v>
      </c>
      <c r="I586" s="357" t="s">
        <v>114</v>
      </c>
      <c r="J586" s="351" t="s">
        <v>24</v>
      </c>
      <c r="K586" s="351" t="s">
        <v>5175</v>
      </c>
      <c r="L586" s="351" t="s">
        <v>5189</v>
      </c>
      <c r="M586" s="357" t="s">
        <v>259</v>
      </c>
      <c r="N586" s="360" t="s">
        <v>5130</v>
      </c>
      <c r="O586" s="360" t="s">
        <v>207</v>
      </c>
      <c r="P586" s="363" t="s">
        <v>5201</v>
      </c>
      <c r="Q586" s="351" t="s">
        <v>776</v>
      </c>
      <c r="R586" s="351" t="s">
        <v>5241</v>
      </c>
      <c r="S586" s="351" t="s">
        <v>5242</v>
      </c>
      <c r="T586" s="351" t="s">
        <v>276</v>
      </c>
      <c r="U586" s="354">
        <v>4307</v>
      </c>
      <c r="V586" s="351">
        <v>4255</v>
      </c>
      <c r="W586" s="357" t="s">
        <v>276</v>
      </c>
      <c r="X586" s="357" t="s">
        <v>276</v>
      </c>
      <c r="Y586" s="357" t="s">
        <v>276</v>
      </c>
      <c r="Z586" s="351" t="s">
        <v>1562</v>
      </c>
      <c r="AA586" s="357" t="s">
        <v>276</v>
      </c>
      <c r="AB586" s="351" t="s">
        <v>1562</v>
      </c>
      <c r="AC586" s="351" t="s">
        <v>5238</v>
      </c>
      <c r="AD586" s="351" t="s">
        <v>1674</v>
      </c>
      <c r="AE586" s="357">
        <v>18</v>
      </c>
      <c r="AF586" s="357">
        <v>23</v>
      </c>
      <c r="AG586" s="351">
        <v>46939</v>
      </c>
      <c r="AH586" s="351">
        <v>45932</v>
      </c>
      <c r="AI586" s="355" t="s">
        <v>4995</v>
      </c>
      <c r="AJ586" s="356">
        <v>0.38</v>
      </c>
      <c r="AK586" s="369">
        <f t="shared" si="68"/>
        <v>0.38347642685187155</v>
      </c>
      <c r="AL586" s="356" t="s">
        <v>276</v>
      </c>
      <c r="AM586" s="356" t="s">
        <v>276</v>
      </c>
      <c r="AN586" s="356">
        <v>0.5</v>
      </c>
      <c r="AO586" s="369">
        <f t="shared" si="69"/>
        <v>0.50074022467996171</v>
      </c>
      <c r="AP586" s="356" t="s">
        <v>276</v>
      </c>
      <c r="AQ586" s="356" t="s">
        <v>276</v>
      </c>
      <c r="AR586" s="357" t="s">
        <v>269</v>
      </c>
      <c r="AS586" s="356">
        <v>0.77</v>
      </c>
      <c r="AT586" s="356">
        <f t="shared" si="70"/>
        <v>0.76581909731131148</v>
      </c>
      <c r="AU586" s="356">
        <v>0.41</v>
      </c>
      <c r="AV586" s="356">
        <v>1.42</v>
      </c>
      <c r="AW586" s="356" t="s">
        <v>276</v>
      </c>
      <c r="AX586" s="357" t="s">
        <v>282</v>
      </c>
      <c r="AY586" s="357" t="s">
        <v>98</v>
      </c>
      <c r="AZ586" s="357" t="s">
        <v>98</v>
      </c>
      <c r="BA586" s="357" t="s">
        <v>98</v>
      </c>
      <c r="BB586" s="357" t="s">
        <v>98</v>
      </c>
      <c r="BC586" s="351" t="s">
        <v>5243</v>
      </c>
      <c r="BD586" s="364"/>
      <c r="BE586" s="33" t="s">
        <v>100</v>
      </c>
      <c r="BF586" s="33" t="s">
        <v>98</v>
      </c>
    </row>
    <row r="587" spans="1:58" s="365" customFormat="1" ht="104" x14ac:dyDescent="0.3">
      <c r="A587" s="357">
        <v>10549</v>
      </c>
      <c r="B587" s="357" t="s">
        <v>5173</v>
      </c>
      <c r="C587" s="357" t="s">
        <v>88</v>
      </c>
      <c r="D587" s="351" t="s">
        <v>5244</v>
      </c>
      <c r="E587" s="357" t="s">
        <v>43</v>
      </c>
      <c r="F587" s="351" t="s">
        <v>4987</v>
      </c>
      <c r="G587" s="357" t="s">
        <v>225</v>
      </c>
      <c r="H587" s="357" t="s">
        <v>125</v>
      </c>
      <c r="I587" s="357" t="s">
        <v>114</v>
      </c>
      <c r="J587" s="351" t="s">
        <v>24</v>
      </c>
      <c r="K587" s="351" t="s">
        <v>5175</v>
      </c>
      <c r="L587" s="351" t="s">
        <v>5189</v>
      </c>
      <c r="M587" s="357" t="s">
        <v>259</v>
      </c>
      <c r="N587" s="360" t="s">
        <v>5133</v>
      </c>
      <c r="O587" s="360" t="s">
        <v>207</v>
      </c>
      <c r="P587" s="363" t="s">
        <v>5201</v>
      </c>
      <c r="Q587" s="351" t="s">
        <v>776</v>
      </c>
      <c r="R587" s="351" t="s">
        <v>5245</v>
      </c>
      <c r="S587" s="351" t="s">
        <v>5246</v>
      </c>
      <c r="T587" s="351" t="s">
        <v>276</v>
      </c>
      <c r="U587" s="354">
        <v>5901</v>
      </c>
      <c r="V587" s="351">
        <v>5951</v>
      </c>
      <c r="W587" s="357" t="s">
        <v>276</v>
      </c>
      <c r="X587" s="357" t="s">
        <v>276</v>
      </c>
      <c r="Y587" s="357" t="s">
        <v>276</v>
      </c>
      <c r="Z587" s="351" t="s">
        <v>1562</v>
      </c>
      <c r="AA587" s="357" t="s">
        <v>276</v>
      </c>
      <c r="AB587" s="351" t="s">
        <v>1562</v>
      </c>
      <c r="AC587" s="351" t="s">
        <v>5238</v>
      </c>
      <c r="AD587" s="351" t="s">
        <v>1674</v>
      </c>
      <c r="AE587" s="357">
        <v>38</v>
      </c>
      <c r="AF587" s="357">
        <v>62</v>
      </c>
      <c r="AG587" s="351">
        <v>69152</v>
      </c>
      <c r="AH587" s="351">
        <v>69498</v>
      </c>
      <c r="AI587" s="355" t="s">
        <v>4995</v>
      </c>
      <c r="AJ587" s="356">
        <v>0.55000000000000004</v>
      </c>
      <c r="AK587" s="369">
        <f t="shared" si="68"/>
        <v>0.54951411383618698</v>
      </c>
      <c r="AL587" s="356" t="s">
        <v>276</v>
      </c>
      <c r="AM587" s="356" t="s">
        <v>276</v>
      </c>
      <c r="AN587" s="356">
        <v>0.89</v>
      </c>
      <c r="AO587" s="369">
        <f t="shared" si="69"/>
        <v>0.89211200322311435</v>
      </c>
      <c r="AP587" s="356" t="s">
        <v>276</v>
      </c>
      <c r="AQ587" s="356" t="s">
        <v>276</v>
      </c>
      <c r="AR587" s="357" t="s">
        <v>269</v>
      </c>
      <c r="AS587" s="356">
        <v>0.62</v>
      </c>
      <c r="AT587" s="356">
        <f t="shared" si="70"/>
        <v>0.61596986908689233</v>
      </c>
      <c r="AU587" s="356">
        <v>0.41</v>
      </c>
      <c r="AV587" s="356">
        <v>0.92</v>
      </c>
      <c r="AW587" s="356" t="s">
        <v>844</v>
      </c>
      <c r="AX587" s="357" t="s">
        <v>282</v>
      </c>
      <c r="AY587" s="357" t="s">
        <v>98</v>
      </c>
      <c r="AZ587" s="357" t="s">
        <v>98</v>
      </c>
      <c r="BA587" s="357" t="s">
        <v>98</v>
      </c>
      <c r="BB587" s="357" t="s">
        <v>98</v>
      </c>
      <c r="BC587" s="351" t="s">
        <v>5239</v>
      </c>
      <c r="BD587" s="364"/>
      <c r="BE587" s="33" t="s">
        <v>100</v>
      </c>
      <c r="BF587" s="33" t="s">
        <v>98</v>
      </c>
    </row>
    <row r="588" spans="1:58" s="365" customFormat="1" ht="104" x14ac:dyDescent="0.3">
      <c r="A588" s="357">
        <v>10549</v>
      </c>
      <c r="B588" s="357" t="s">
        <v>5173</v>
      </c>
      <c r="C588" s="357" t="s">
        <v>88</v>
      </c>
      <c r="D588" s="351" t="s">
        <v>5247</v>
      </c>
      <c r="E588" s="357" t="s">
        <v>43</v>
      </c>
      <c r="F588" s="351" t="s">
        <v>4987</v>
      </c>
      <c r="G588" s="357" t="s">
        <v>225</v>
      </c>
      <c r="H588" s="357" t="s">
        <v>125</v>
      </c>
      <c r="I588" s="357" t="s">
        <v>114</v>
      </c>
      <c r="J588" s="351" t="s">
        <v>24</v>
      </c>
      <c r="K588" s="351" t="s">
        <v>5175</v>
      </c>
      <c r="L588" s="351" t="s">
        <v>5189</v>
      </c>
      <c r="M588" s="357" t="s">
        <v>259</v>
      </c>
      <c r="N588" s="360" t="s">
        <v>5136</v>
      </c>
      <c r="O588" s="360" t="s">
        <v>207</v>
      </c>
      <c r="P588" s="363" t="s">
        <v>5201</v>
      </c>
      <c r="Q588" s="351" t="s">
        <v>776</v>
      </c>
      <c r="R588" s="351" t="s">
        <v>5248</v>
      </c>
      <c r="S588" s="351" t="s">
        <v>5249</v>
      </c>
      <c r="T588" s="351" t="s">
        <v>276</v>
      </c>
      <c r="U588" s="354">
        <v>31970</v>
      </c>
      <c r="V588" s="355">
        <v>48409</v>
      </c>
      <c r="W588" s="357" t="s">
        <v>276</v>
      </c>
      <c r="X588" s="357" t="s">
        <v>276</v>
      </c>
      <c r="Y588" s="357" t="s">
        <v>276</v>
      </c>
      <c r="Z588" s="351" t="s">
        <v>1562</v>
      </c>
      <c r="AA588" s="357" t="s">
        <v>276</v>
      </c>
      <c r="AB588" s="351" t="s">
        <v>1562</v>
      </c>
      <c r="AC588" s="351" t="s">
        <v>5238</v>
      </c>
      <c r="AD588" s="351" t="s">
        <v>1674</v>
      </c>
      <c r="AE588" s="357">
        <v>170</v>
      </c>
      <c r="AF588" s="357">
        <v>284</v>
      </c>
      <c r="AG588" s="351">
        <v>365529</v>
      </c>
      <c r="AH588" s="351">
        <v>553046</v>
      </c>
      <c r="AI588" s="355" t="s">
        <v>4995</v>
      </c>
      <c r="AJ588" s="356">
        <v>0.47</v>
      </c>
      <c r="AK588" s="369">
        <f t="shared" si="68"/>
        <v>0.46507937810679867</v>
      </c>
      <c r="AL588" s="356" t="s">
        <v>276</v>
      </c>
      <c r="AM588" s="356" t="s">
        <v>276</v>
      </c>
      <c r="AN588" s="356">
        <v>0.51</v>
      </c>
      <c r="AO588" s="369">
        <f t="shared" si="69"/>
        <v>0.5135196710581037</v>
      </c>
      <c r="AP588" s="356" t="s">
        <v>276</v>
      </c>
      <c r="AQ588" s="356" t="s">
        <v>276</v>
      </c>
      <c r="AR588" s="357" t="s">
        <v>269</v>
      </c>
      <c r="AS588" s="356">
        <v>0.91</v>
      </c>
      <c r="AT588" s="356">
        <f t="shared" si="70"/>
        <v>0.90567003431145265</v>
      </c>
      <c r="AU588" s="356">
        <v>0.75</v>
      </c>
      <c r="AV588" s="356">
        <v>1.1000000000000001</v>
      </c>
      <c r="AW588" s="356" t="s">
        <v>276</v>
      </c>
      <c r="AX588" s="357" t="s">
        <v>282</v>
      </c>
      <c r="AY588" s="357" t="s">
        <v>98</v>
      </c>
      <c r="AZ588" s="357" t="s">
        <v>98</v>
      </c>
      <c r="BA588" s="357" t="s">
        <v>98</v>
      </c>
      <c r="BB588" s="357" t="s">
        <v>98</v>
      </c>
      <c r="BC588" s="351" t="s">
        <v>5243</v>
      </c>
      <c r="BD588" s="364"/>
      <c r="BE588" s="33" t="s">
        <v>100</v>
      </c>
      <c r="BF588" s="33" t="s">
        <v>98</v>
      </c>
    </row>
    <row r="589" spans="1:58" s="365" customFormat="1" ht="104" x14ac:dyDescent="0.3">
      <c r="A589" s="357">
        <v>10549</v>
      </c>
      <c r="B589" s="357" t="s">
        <v>5173</v>
      </c>
      <c r="C589" s="357" t="s">
        <v>88</v>
      </c>
      <c r="D589" s="351" t="s">
        <v>5250</v>
      </c>
      <c r="E589" s="357" t="s">
        <v>43</v>
      </c>
      <c r="F589" s="351" t="s">
        <v>4987</v>
      </c>
      <c r="G589" s="357" t="s">
        <v>225</v>
      </c>
      <c r="H589" s="357" t="s">
        <v>125</v>
      </c>
      <c r="I589" s="357" t="s">
        <v>114</v>
      </c>
      <c r="J589" s="351" t="s">
        <v>24</v>
      </c>
      <c r="K589" s="351" t="s">
        <v>5175</v>
      </c>
      <c r="L589" s="351" t="s">
        <v>5189</v>
      </c>
      <c r="M589" s="357" t="s">
        <v>259</v>
      </c>
      <c r="N589" s="360" t="s">
        <v>5139</v>
      </c>
      <c r="O589" s="360" t="s">
        <v>207</v>
      </c>
      <c r="P589" s="363" t="s">
        <v>5201</v>
      </c>
      <c r="Q589" s="351" t="s">
        <v>776</v>
      </c>
      <c r="R589" s="351" t="s">
        <v>5251</v>
      </c>
      <c r="S589" s="351" t="s">
        <v>5252</v>
      </c>
      <c r="T589" s="351" t="s">
        <v>276</v>
      </c>
      <c r="U589" s="354">
        <v>7266</v>
      </c>
      <c r="V589" s="355">
        <v>7251</v>
      </c>
      <c r="W589" s="357" t="s">
        <v>276</v>
      </c>
      <c r="X589" s="357" t="s">
        <v>276</v>
      </c>
      <c r="Y589" s="357" t="s">
        <v>276</v>
      </c>
      <c r="Z589" s="351" t="s">
        <v>1562</v>
      </c>
      <c r="AA589" s="357" t="s">
        <v>276</v>
      </c>
      <c r="AB589" s="351" t="s">
        <v>1562</v>
      </c>
      <c r="AC589" s="351" t="s">
        <v>5238</v>
      </c>
      <c r="AD589" s="351" t="s">
        <v>1674</v>
      </c>
      <c r="AE589" s="357">
        <v>26</v>
      </c>
      <c r="AF589" s="357">
        <v>32</v>
      </c>
      <c r="AG589" s="351">
        <v>82457</v>
      </c>
      <c r="AH589" s="351">
        <v>81715</v>
      </c>
      <c r="AI589" s="355" t="s">
        <v>4995</v>
      </c>
      <c r="AJ589" s="356">
        <v>0.32</v>
      </c>
      <c r="AK589" s="369">
        <f t="shared" si="68"/>
        <v>0.31531586160059183</v>
      </c>
      <c r="AL589" s="356" t="s">
        <v>276</v>
      </c>
      <c r="AM589" s="356" t="s">
        <v>276</v>
      </c>
      <c r="AN589" s="356">
        <v>0.39</v>
      </c>
      <c r="AO589" s="369">
        <f t="shared" si="69"/>
        <v>0.39160496848803772</v>
      </c>
      <c r="AP589" s="356" t="s">
        <v>276</v>
      </c>
      <c r="AQ589" s="356" t="s">
        <v>276</v>
      </c>
      <c r="AR589" s="357" t="s">
        <v>269</v>
      </c>
      <c r="AS589" s="356">
        <v>0.81</v>
      </c>
      <c r="AT589" s="356">
        <f t="shared" si="70"/>
        <v>0.80518861345913628</v>
      </c>
      <c r="AU589" s="356">
        <v>0.48</v>
      </c>
      <c r="AV589" s="356">
        <v>1.35</v>
      </c>
      <c r="AW589" s="356" t="s">
        <v>276</v>
      </c>
      <c r="AX589" s="357" t="s">
        <v>282</v>
      </c>
      <c r="AY589" s="357" t="s">
        <v>98</v>
      </c>
      <c r="AZ589" s="357" t="s">
        <v>98</v>
      </c>
      <c r="BA589" s="357" t="s">
        <v>98</v>
      </c>
      <c r="BB589" s="357" t="s">
        <v>98</v>
      </c>
      <c r="BC589" s="351" t="s">
        <v>5243</v>
      </c>
      <c r="BD589" s="364"/>
      <c r="BE589" s="33" t="s">
        <v>100</v>
      </c>
      <c r="BF589" s="33" t="s">
        <v>98</v>
      </c>
    </row>
    <row r="590" spans="1:58" s="365" customFormat="1" ht="104" x14ac:dyDescent="0.3">
      <c r="A590" s="357">
        <v>10549</v>
      </c>
      <c r="B590" s="357" t="s">
        <v>5173</v>
      </c>
      <c r="C590" s="357" t="s">
        <v>88</v>
      </c>
      <c r="D590" s="351" t="s">
        <v>5253</v>
      </c>
      <c r="E590" s="357" t="s">
        <v>43</v>
      </c>
      <c r="F590" s="351" t="s">
        <v>4987</v>
      </c>
      <c r="G590" s="357" t="s">
        <v>225</v>
      </c>
      <c r="H590" s="357" t="s">
        <v>125</v>
      </c>
      <c r="I590" s="357" t="s">
        <v>114</v>
      </c>
      <c r="J590" s="351" t="s">
        <v>24</v>
      </c>
      <c r="K590" s="351" t="s">
        <v>5175</v>
      </c>
      <c r="L590" s="351" t="s">
        <v>5189</v>
      </c>
      <c r="M590" s="357" t="s">
        <v>259</v>
      </c>
      <c r="N590" s="360" t="s">
        <v>5142</v>
      </c>
      <c r="O590" s="360" t="s">
        <v>207</v>
      </c>
      <c r="P590" s="363" t="s">
        <v>5201</v>
      </c>
      <c r="Q590" s="351" t="s">
        <v>776</v>
      </c>
      <c r="R590" s="351" t="s">
        <v>5254</v>
      </c>
      <c r="S590" s="351" t="s">
        <v>5255</v>
      </c>
      <c r="T590" s="351" t="s">
        <v>276</v>
      </c>
      <c r="U590" s="354">
        <v>1056</v>
      </c>
      <c r="V590" s="355">
        <v>1141</v>
      </c>
      <c r="W590" s="357" t="s">
        <v>276</v>
      </c>
      <c r="X590" s="357" t="s">
        <v>276</v>
      </c>
      <c r="Y590" s="357" t="s">
        <v>276</v>
      </c>
      <c r="Z590" s="351" t="s">
        <v>1562</v>
      </c>
      <c r="AA590" s="357" t="s">
        <v>276</v>
      </c>
      <c r="AB590" s="351" t="s">
        <v>1562</v>
      </c>
      <c r="AC590" s="351" t="s">
        <v>5238</v>
      </c>
      <c r="AD590" s="351" t="s">
        <v>1674</v>
      </c>
      <c r="AE590" s="357">
        <v>2</v>
      </c>
      <c r="AF590" s="357">
        <v>4</v>
      </c>
      <c r="AG590" s="351">
        <v>12594</v>
      </c>
      <c r="AH590" s="351">
        <v>13583</v>
      </c>
      <c r="AI590" s="355" t="s">
        <v>4995</v>
      </c>
      <c r="AJ590" s="356">
        <v>0.16</v>
      </c>
      <c r="AK590" s="369">
        <f t="shared" si="68"/>
        <v>0.15880578053041131</v>
      </c>
      <c r="AL590" s="356" t="s">
        <v>276</v>
      </c>
      <c r="AM590" s="356" t="s">
        <v>276</v>
      </c>
      <c r="AN590" s="356">
        <v>0.28999999999999998</v>
      </c>
      <c r="AO590" s="369">
        <f t="shared" si="69"/>
        <v>0.29448575425163809</v>
      </c>
      <c r="AP590" s="356" t="s">
        <v>276</v>
      </c>
      <c r="AQ590" s="356" t="s">
        <v>276</v>
      </c>
      <c r="AR590" s="357" t="s">
        <v>269</v>
      </c>
      <c r="AS590" s="356">
        <v>0.54</v>
      </c>
      <c r="AT590" s="356">
        <f t="shared" si="70"/>
        <v>0.53926472923614421</v>
      </c>
      <c r="AU590" s="356">
        <v>0.1</v>
      </c>
      <c r="AV590" s="356">
        <v>2.94</v>
      </c>
      <c r="AW590" s="356" t="s">
        <v>276</v>
      </c>
      <c r="AX590" s="357" t="s">
        <v>282</v>
      </c>
      <c r="AY590" s="357" t="s">
        <v>98</v>
      </c>
      <c r="AZ590" s="357" t="s">
        <v>98</v>
      </c>
      <c r="BA590" s="357" t="s">
        <v>98</v>
      </c>
      <c r="BB590" s="357" t="s">
        <v>98</v>
      </c>
      <c r="BC590" s="351" t="s">
        <v>5243</v>
      </c>
      <c r="BD590" s="364"/>
      <c r="BE590" s="33" t="s">
        <v>100</v>
      </c>
      <c r="BF590" s="33" t="s">
        <v>98</v>
      </c>
    </row>
    <row r="591" spans="1:58" s="365" customFormat="1" ht="104" x14ac:dyDescent="0.3">
      <c r="A591" s="357">
        <v>10549</v>
      </c>
      <c r="B591" s="357" t="s">
        <v>5173</v>
      </c>
      <c r="C591" s="357" t="s">
        <v>88</v>
      </c>
      <c r="D591" s="351" t="s">
        <v>5256</v>
      </c>
      <c r="E591" s="357" t="s">
        <v>43</v>
      </c>
      <c r="F591" s="351" t="s">
        <v>4987</v>
      </c>
      <c r="G591" s="357" t="s">
        <v>225</v>
      </c>
      <c r="H591" s="357" t="s">
        <v>125</v>
      </c>
      <c r="I591" s="357" t="s">
        <v>114</v>
      </c>
      <c r="J591" s="351" t="s">
        <v>24</v>
      </c>
      <c r="K591" s="351" t="s">
        <v>5175</v>
      </c>
      <c r="L591" s="351" t="s">
        <v>5189</v>
      </c>
      <c r="M591" s="357" t="s">
        <v>259</v>
      </c>
      <c r="N591" s="360" t="s">
        <v>5145</v>
      </c>
      <c r="O591" s="360" t="s">
        <v>207</v>
      </c>
      <c r="P591" s="363" t="s">
        <v>5201</v>
      </c>
      <c r="Q591" s="351" t="s">
        <v>776</v>
      </c>
      <c r="R591" s="351" t="s">
        <v>5257</v>
      </c>
      <c r="S591" s="351" t="s">
        <v>5258</v>
      </c>
      <c r="T591" s="351" t="s">
        <v>276</v>
      </c>
      <c r="U591" s="354">
        <v>4948</v>
      </c>
      <c r="V591" s="355">
        <v>4955</v>
      </c>
      <c r="W591" s="357" t="s">
        <v>276</v>
      </c>
      <c r="X591" s="357" t="s">
        <v>276</v>
      </c>
      <c r="Y591" s="357" t="s">
        <v>276</v>
      </c>
      <c r="Z591" s="351" t="s">
        <v>1562</v>
      </c>
      <c r="AA591" s="357" t="s">
        <v>276</v>
      </c>
      <c r="AB591" s="351" t="s">
        <v>1562</v>
      </c>
      <c r="AC591" s="351" t="s">
        <v>5238</v>
      </c>
      <c r="AD591" s="351" t="s">
        <v>1674</v>
      </c>
      <c r="AE591" s="357">
        <v>16</v>
      </c>
      <c r="AF591" s="357">
        <v>14</v>
      </c>
      <c r="AG591" s="351">
        <v>48388</v>
      </c>
      <c r="AH591" s="351">
        <v>48253</v>
      </c>
      <c r="AI591" s="355" t="s">
        <v>4995</v>
      </c>
      <c r="AJ591" s="356">
        <v>0.33</v>
      </c>
      <c r="AK591" s="369">
        <f t="shared" si="68"/>
        <v>0.33066049433743905</v>
      </c>
      <c r="AL591" s="356" t="s">
        <v>276</v>
      </c>
      <c r="AM591" s="356" t="s">
        <v>276</v>
      </c>
      <c r="AN591" s="356">
        <v>0.28999999999999998</v>
      </c>
      <c r="AO591" s="369">
        <f t="shared" si="69"/>
        <v>0.29013740078337102</v>
      </c>
      <c r="AP591" s="356" t="s">
        <v>276</v>
      </c>
      <c r="AQ591" s="356" t="s">
        <v>276</v>
      </c>
      <c r="AR591" s="357" t="s">
        <v>269</v>
      </c>
      <c r="AS591" s="356">
        <v>1.1399999999999999</v>
      </c>
      <c r="AT591" s="356">
        <f t="shared" si="70"/>
        <v>1.1396686309474602</v>
      </c>
      <c r="AU591" s="356">
        <v>0.56000000000000005</v>
      </c>
      <c r="AV591" s="356">
        <v>2.33</v>
      </c>
      <c r="AW591" s="356" t="s">
        <v>276</v>
      </c>
      <c r="AX591" s="357" t="s">
        <v>282</v>
      </c>
      <c r="AY591" s="357" t="s">
        <v>98</v>
      </c>
      <c r="AZ591" s="357" t="s">
        <v>98</v>
      </c>
      <c r="BA591" s="357" t="s">
        <v>98</v>
      </c>
      <c r="BB591" s="357" t="s">
        <v>98</v>
      </c>
      <c r="BC591" s="351" t="s">
        <v>5243</v>
      </c>
      <c r="BD591" s="364"/>
      <c r="BE591" s="33" t="s">
        <v>100</v>
      </c>
      <c r="BF591" s="33" t="s">
        <v>98</v>
      </c>
    </row>
    <row r="592" spans="1:58" s="358" customFormat="1" ht="91" x14ac:dyDescent="0.3">
      <c r="A592" s="357">
        <v>10213</v>
      </c>
      <c r="B592" s="357" t="s">
        <v>5259</v>
      </c>
      <c r="C592" s="357" t="s">
        <v>88</v>
      </c>
      <c r="D592" s="351" t="s">
        <v>5260</v>
      </c>
      <c r="E592" s="357" t="s">
        <v>43</v>
      </c>
      <c r="F592" s="351" t="s">
        <v>4987</v>
      </c>
      <c r="G592" s="357" t="s">
        <v>225</v>
      </c>
      <c r="H592" s="357" t="s">
        <v>125</v>
      </c>
      <c r="I592" s="357" t="s">
        <v>114</v>
      </c>
      <c r="J592" s="351" t="s">
        <v>24</v>
      </c>
      <c r="K592" s="351" t="s">
        <v>5261</v>
      </c>
      <c r="L592" s="351" t="s">
        <v>5262</v>
      </c>
      <c r="M592" s="357" t="s">
        <v>259</v>
      </c>
      <c r="N592" s="360" t="s">
        <v>4990</v>
      </c>
      <c r="O592" s="360" t="s">
        <v>207</v>
      </c>
      <c r="P592" s="363" t="s">
        <v>5263</v>
      </c>
      <c r="Q592" s="351" t="s">
        <v>1252</v>
      </c>
      <c r="R592" s="351" t="s">
        <v>5264</v>
      </c>
      <c r="S592" s="351" t="s">
        <v>5265</v>
      </c>
      <c r="T592" s="351" t="s">
        <v>276</v>
      </c>
      <c r="U592" s="354">
        <v>72890</v>
      </c>
      <c r="V592" s="354">
        <v>89351</v>
      </c>
      <c r="W592" s="357" t="s">
        <v>276</v>
      </c>
      <c r="X592" s="357" t="s">
        <v>276</v>
      </c>
      <c r="Y592" s="357" t="s">
        <v>276</v>
      </c>
      <c r="Z592" s="351" t="s">
        <v>1562</v>
      </c>
      <c r="AA592" s="357" t="s">
        <v>276</v>
      </c>
      <c r="AB592" s="351" t="s">
        <v>1562</v>
      </c>
      <c r="AC592" s="351" t="s">
        <v>5266</v>
      </c>
      <c r="AD592" s="351" t="s">
        <v>1674</v>
      </c>
      <c r="AE592" s="347">
        <v>520</v>
      </c>
      <c r="AF592" s="347">
        <v>793</v>
      </c>
      <c r="AG592" s="352">
        <v>985382</v>
      </c>
      <c r="AH592" s="352">
        <v>1207411</v>
      </c>
      <c r="AI592" s="355" t="s">
        <v>4995</v>
      </c>
      <c r="AJ592" s="359">
        <v>0.53</v>
      </c>
      <c r="AK592" s="371">
        <f t="shared" si="68"/>
        <v>0.5277141250804257</v>
      </c>
      <c r="AL592" s="359" t="s">
        <v>276</v>
      </c>
      <c r="AM592" s="359" t="s">
        <v>276</v>
      </c>
      <c r="AN592" s="359">
        <v>0.66</v>
      </c>
      <c r="AO592" s="371">
        <f t="shared" si="69"/>
        <v>0.65677718688996545</v>
      </c>
      <c r="AP592" s="359" t="s">
        <v>276</v>
      </c>
      <c r="AQ592" s="359" t="s">
        <v>276</v>
      </c>
      <c r="AR592" s="357" t="s">
        <v>269</v>
      </c>
      <c r="AS592" s="356" t="s">
        <v>276</v>
      </c>
      <c r="AT592" s="356">
        <f t="shared" si="70"/>
        <v>0.80349033982027973</v>
      </c>
      <c r="AU592" s="356" t="s">
        <v>276</v>
      </c>
      <c r="AV592" s="356" t="s">
        <v>276</v>
      </c>
      <c r="AW592" s="356" t="s">
        <v>276</v>
      </c>
      <c r="AX592" s="351" t="s">
        <v>5267</v>
      </c>
      <c r="AY592" s="356">
        <v>0.8</v>
      </c>
      <c r="AZ592" s="356">
        <v>0.72</v>
      </c>
      <c r="BA592" s="356">
        <v>0.89</v>
      </c>
      <c r="BB592" s="357" t="s">
        <v>431</v>
      </c>
      <c r="BC592" s="351" t="s">
        <v>5268</v>
      </c>
      <c r="BD592" s="348"/>
      <c r="BE592" s="33" t="s">
        <v>100</v>
      </c>
      <c r="BF592" s="33" t="s">
        <v>98</v>
      </c>
    </row>
    <row r="593" spans="1:58" s="365" customFormat="1" ht="91" x14ac:dyDescent="0.3">
      <c r="A593" s="357">
        <v>10213</v>
      </c>
      <c r="B593" s="357" t="s">
        <v>5259</v>
      </c>
      <c r="C593" s="357" t="s">
        <v>88</v>
      </c>
      <c r="D593" s="351" t="s">
        <v>5269</v>
      </c>
      <c r="E593" s="357" t="s">
        <v>43</v>
      </c>
      <c r="F593" s="351" t="s">
        <v>4987</v>
      </c>
      <c r="G593" s="357" t="s">
        <v>225</v>
      </c>
      <c r="H593" s="357" t="s">
        <v>125</v>
      </c>
      <c r="I593" s="357" t="s">
        <v>114</v>
      </c>
      <c r="J593" s="351" t="s">
        <v>24</v>
      </c>
      <c r="K593" s="351" t="s">
        <v>5261</v>
      </c>
      <c r="L593" s="351" t="s">
        <v>5270</v>
      </c>
      <c r="M593" s="357" t="s">
        <v>259</v>
      </c>
      <c r="N593" s="360" t="s">
        <v>4990</v>
      </c>
      <c r="O593" s="360" t="s">
        <v>207</v>
      </c>
      <c r="P593" s="363" t="s">
        <v>98</v>
      </c>
      <c r="Q593" s="351" t="s">
        <v>776</v>
      </c>
      <c r="R593" s="351" t="s">
        <v>5271</v>
      </c>
      <c r="S593" s="351" t="s">
        <v>5272</v>
      </c>
      <c r="T593" s="351" t="s">
        <v>276</v>
      </c>
      <c r="U593" s="354">
        <v>72890</v>
      </c>
      <c r="V593" s="354">
        <v>89351</v>
      </c>
      <c r="W593" s="357" t="s">
        <v>276</v>
      </c>
      <c r="X593" s="357" t="s">
        <v>276</v>
      </c>
      <c r="Y593" s="357" t="s">
        <v>276</v>
      </c>
      <c r="Z593" s="351" t="s">
        <v>1562</v>
      </c>
      <c r="AA593" s="357" t="s">
        <v>276</v>
      </c>
      <c r="AB593" s="351" t="s">
        <v>1562</v>
      </c>
      <c r="AC593" s="351" t="s">
        <v>5273</v>
      </c>
      <c r="AD593" s="351" t="s">
        <v>1674</v>
      </c>
      <c r="AE593" s="357">
        <v>371</v>
      </c>
      <c r="AF593" s="357">
        <v>570</v>
      </c>
      <c r="AG593" s="351">
        <v>848802</v>
      </c>
      <c r="AH593" s="351">
        <v>1038723</v>
      </c>
      <c r="AI593" s="355" t="s">
        <v>4995</v>
      </c>
      <c r="AJ593" s="356">
        <v>0.44</v>
      </c>
      <c r="AK593" s="369">
        <f t="shared" si="68"/>
        <v>0.43708662326431841</v>
      </c>
      <c r="AL593" s="356" t="s">
        <v>276</v>
      </c>
      <c r="AM593" s="356" t="s">
        <v>276</v>
      </c>
      <c r="AN593" s="356">
        <v>0.55000000000000004</v>
      </c>
      <c r="AO593" s="369">
        <f t="shared" si="69"/>
        <v>0.54875072565063054</v>
      </c>
      <c r="AP593" s="356" t="s">
        <v>276</v>
      </c>
      <c r="AQ593" s="356" t="s">
        <v>276</v>
      </c>
      <c r="AR593" s="357" t="s">
        <v>269</v>
      </c>
      <c r="AS593" s="356" t="s">
        <v>276</v>
      </c>
      <c r="AT593" s="356">
        <f t="shared" si="70"/>
        <v>0.79651215539821518</v>
      </c>
      <c r="AU593" s="356" t="s">
        <v>276</v>
      </c>
      <c r="AV593" s="356" t="s">
        <v>276</v>
      </c>
      <c r="AW593" s="356" t="s">
        <v>276</v>
      </c>
      <c r="AX593" s="351" t="s">
        <v>5267</v>
      </c>
      <c r="AY593" s="356">
        <v>0.79</v>
      </c>
      <c r="AZ593" s="356">
        <v>0.69</v>
      </c>
      <c r="BA593" s="356">
        <v>0.9</v>
      </c>
      <c r="BB593" s="357" t="s">
        <v>431</v>
      </c>
      <c r="BC593" s="351" t="s">
        <v>426</v>
      </c>
      <c r="BD593" s="364"/>
      <c r="BE593" s="33" t="s">
        <v>100</v>
      </c>
      <c r="BF593" s="33" t="s">
        <v>98</v>
      </c>
    </row>
    <row r="594" spans="1:58" s="365" customFormat="1" ht="91" x14ac:dyDescent="0.3">
      <c r="A594" s="357">
        <v>10213</v>
      </c>
      <c r="B594" s="357" t="s">
        <v>5259</v>
      </c>
      <c r="C594" s="357" t="s">
        <v>88</v>
      </c>
      <c r="D594" s="351" t="s">
        <v>5274</v>
      </c>
      <c r="E594" s="357" t="s">
        <v>43</v>
      </c>
      <c r="F594" s="351" t="s">
        <v>4987</v>
      </c>
      <c r="G594" s="357" t="s">
        <v>225</v>
      </c>
      <c r="H594" s="357" t="s">
        <v>125</v>
      </c>
      <c r="I594" s="357" t="s">
        <v>114</v>
      </c>
      <c r="J594" s="351" t="s">
        <v>24</v>
      </c>
      <c r="K594" s="351" t="s">
        <v>5261</v>
      </c>
      <c r="L594" s="351" t="s">
        <v>5275</v>
      </c>
      <c r="M594" s="357" t="s">
        <v>259</v>
      </c>
      <c r="N594" s="360" t="s">
        <v>4990</v>
      </c>
      <c r="O594" s="360" t="s">
        <v>207</v>
      </c>
      <c r="P594" s="363" t="s">
        <v>98</v>
      </c>
      <c r="Q594" s="351" t="s">
        <v>770</v>
      </c>
      <c r="R594" s="351" t="s">
        <v>5276</v>
      </c>
      <c r="S594" s="355" t="s">
        <v>5277</v>
      </c>
      <c r="T594" s="351" t="s">
        <v>276</v>
      </c>
      <c r="U594" s="354">
        <v>72890</v>
      </c>
      <c r="V594" s="354">
        <v>89351</v>
      </c>
      <c r="W594" s="357" t="s">
        <v>276</v>
      </c>
      <c r="X594" s="357" t="s">
        <v>276</v>
      </c>
      <c r="Y594" s="357" t="s">
        <v>276</v>
      </c>
      <c r="Z594" s="351" t="s">
        <v>1562</v>
      </c>
      <c r="AA594" s="357" t="s">
        <v>276</v>
      </c>
      <c r="AB594" s="351" t="s">
        <v>1562</v>
      </c>
      <c r="AC594" s="351" t="s">
        <v>5278</v>
      </c>
      <c r="AD594" s="351" t="s">
        <v>1674</v>
      </c>
      <c r="AE594" s="357">
        <v>268</v>
      </c>
      <c r="AF594" s="357">
        <v>419</v>
      </c>
      <c r="AG594" s="351">
        <v>735205</v>
      </c>
      <c r="AH594" s="355">
        <v>899370</v>
      </c>
      <c r="AI594" s="355" t="s">
        <v>4995</v>
      </c>
      <c r="AJ594" s="356">
        <v>0.36</v>
      </c>
      <c r="AK594" s="369">
        <f t="shared" si="68"/>
        <v>0.36452418033065609</v>
      </c>
      <c r="AL594" s="356" t="s">
        <v>276</v>
      </c>
      <c r="AM594" s="356" t="s">
        <v>276</v>
      </c>
      <c r="AN594" s="356">
        <v>0.47</v>
      </c>
      <c r="AO594" s="369">
        <f t="shared" si="69"/>
        <v>0.46588167272646408</v>
      </c>
      <c r="AP594" s="356" t="s">
        <v>276</v>
      </c>
      <c r="AQ594" s="356" t="s">
        <v>276</v>
      </c>
      <c r="AR594" s="357" t="s">
        <v>269</v>
      </c>
      <c r="AS594" s="356" t="s">
        <v>276</v>
      </c>
      <c r="AT594" s="356">
        <f t="shared" si="70"/>
        <v>0.78243940826726055</v>
      </c>
      <c r="AU594" s="356" t="s">
        <v>276</v>
      </c>
      <c r="AV594" s="356" t="s">
        <v>276</v>
      </c>
      <c r="AW594" s="356" t="s">
        <v>276</v>
      </c>
      <c r="AX594" s="351" t="s">
        <v>5267</v>
      </c>
      <c r="AY594" s="356">
        <v>0.78</v>
      </c>
      <c r="AZ594" s="356">
        <v>0.67</v>
      </c>
      <c r="BA594" s="356">
        <v>0.91</v>
      </c>
      <c r="BB594" s="357">
        <v>1E-3</v>
      </c>
      <c r="BC594" s="351" t="s">
        <v>426</v>
      </c>
      <c r="BD594" s="364"/>
      <c r="BE594" s="33" t="s">
        <v>100</v>
      </c>
      <c r="BF594" s="33" t="s">
        <v>98</v>
      </c>
    </row>
    <row r="595" spans="1:58" s="365" customFormat="1" ht="91" x14ac:dyDescent="0.3">
      <c r="A595" s="357">
        <v>10213</v>
      </c>
      <c r="B595" s="357" t="s">
        <v>5259</v>
      </c>
      <c r="C595" s="357" t="s">
        <v>88</v>
      </c>
      <c r="D595" s="351" t="s">
        <v>5279</v>
      </c>
      <c r="E595" s="357" t="s">
        <v>43</v>
      </c>
      <c r="F595" s="351" t="s">
        <v>4987</v>
      </c>
      <c r="G595" s="357" t="s">
        <v>225</v>
      </c>
      <c r="H595" s="357" t="s">
        <v>125</v>
      </c>
      <c r="I595" s="357" t="s">
        <v>114</v>
      </c>
      <c r="J595" s="351" t="s">
        <v>24</v>
      </c>
      <c r="K595" s="351" t="s">
        <v>5261</v>
      </c>
      <c r="L595" s="351" t="s">
        <v>5280</v>
      </c>
      <c r="M595" s="357" t="s">
        <v>259</v>
      </c>
      <c r="N595" s="360" t="s">
        <v>4990</v>
      </c>
      <c r="O595" s="360" t="s">
        <v>207</v>
      </c>
      <c r="P595" s="363" t="s">
        <v>98</v>
      </c>
      <c r="Q595" s="351" t="s">
        <v>752</v>
      </c>
      <c r="R595" s="355" t="s">
        <v>5281</v>
      </c>
      <c r="S595" s="355" t="s">
        <v>5282</v>
      </c>
      <c r="T595" s="351" t="s">
        <v>276</v>
      </c>
      <c r="U595" s="354">
        <v>72890</v>
      </c>
      <c r="V595" s="354">
        <v>89351</v>
      </c>
      <c r="W595" s="357" t="s">
        <v>276</v>
      </c>
      <c r="X595" s="357" t="s">
        <v>276</v>
      </c>
      <c r="Y595" s="357" t="s">
        <v>276</v>
      </c>
      <c r="Z595" s="351" t="s">
        <v>1562</v>
      </c>
      <c r="AA595" s="357" t="s">
        <v>276</v>
      </c>
      <c r="AB595" s="351" t="s">
        <v>1562</v>
      </c>
      <c r="AC595" s="351" t="s">
        <v>5283</v>
      </c>
      <c r="AD595" s="351" t="s">
        <v>1674</v>
      </c>
      <c r="AE595" s="357">
        <v>191</v>
      </c>
      <c r="AF595" s="357">
        <v>280</v>
      </c>
      <c r="AG595" s="355">
        <v>612723</v>
      </c>
      <c r="AH595" s="355">
        <v>749801</v>
      </c>
      <c r="AI595" s="355" t="s">
        <v>4995</v>
      </c>
      <c r="AJ595" s="356">
        <v>0.31</v>
      </c>
      <c r="AK595" s="369">
        <f t="shared" si="68"/>
        <v>0.31172324198699902</v>
      </c>
      <c r="AL595" s="356" t="s">
        <v>276</v>
      </c>
      <c r="AM595" s="356" t="s">
        <v>276</v>
      </c>
      <c r="AN595" s="356">
        <v>0.37</v>
      </c>
      <c r="AO595" s="369">
        <f t="shared" si="69"/>
        <v>0.37343241740141719</v>
      </c>
      <c r="AP595" s="356" t="s">
        <v>276</v>
      </c>
      <c r="AQ595" s="356" t="s">
        <v>276</v>
      </c>
      <c r="AR595" s="357" t="s">
        <v>269</v>
      </c>
      <c r="AS595" s="356" t="s">
        <v>276</v>
      </c>
      <c r="AT595" s="356">
        <f t="shared" si="70"/>
        <v>0.83475142344676367</v>
      </c>
      <c r="AU595" s="356" t="s">
        <v>276</v>
      </c>
      <c r="AV595" s="356" t="s">
        <v>276</v>
      </c>
      <c r="AW595" s="356" t="s">
        <v>276</v>
      </c>
      <c r="AX595" s="351" t="s">
        <v>5267</v>
      </c>
      <c r="AY595" s="356">
        <v>0.84</v>
      </c>
      <c r="AZ595" s="356">
        <v>0.7</v>
      </c>
      <c r="BA595" s="356">
        <v>1</v>
      </c>
      <c r="BB595" s="357">
        <v>5.2999999999999999E-2</v>
      </c>
      <c r="BC595" s="351" t="s">
        <v>426</v>
      </c>
      <c r="BD595" s="364"/>
      <c r="BE595" s="33" t="s">
        <v>100</v>
      </c>
      <c r="BF595" s="33" t="s">
        <v>98</v>
      </c>
    </row>
    <row r="596" spans="1:58" s="358" customFormat="1" ht="91" x14ac:dyDescent="0.3">
      <c r="A596" s="357">
        <v>10213</v>
      </c>
      <c r="B596" s="357" t="s">
        <v>5259</v>
      </c>
      <c r="C596" s="357" t="s">
        <v>88</v>
      </c>
      <c r="D596" s="351" t="s">
        <v>5284</v>
      </c>
      <c r="E596" s="357" t="s">
        <v>43</v>
      </c>
      <c r="F596" s="351" t="s">
        <v>4987</v>
      </c>
      <c r="G596" s="357" t="s">
        <v>225</v>
      </c>
      <c r="H596" s="357" t="s">
        <v>125</v>
      </c>
      <c r="I596" s="357" t="s">
        <v>114</v>
      </c>
      <c r="J596" s="351" t="s">
        <v>24</v>
      </c>
      <c r="K596" s="351" t="s">
        <v>5261</v>
      </c>
      <c r="L596" s="351" t="s">
        <v>5262</v>
      </c>
      <c r="M596" s="357" t="s">
        <v>261</v>
      </c>
      <c r="N596" s="372" t="s">
        <v>5198</v>
      </c>
      <c r="O596" s="360" t="s">
        <v>207</v>
      </c>
      <c r="P596" s="363" t="s">
        <v>5263</v>
      </c>
      <c r="Q596" s="351" t="s">
        <v>1252</v>
      </c>
      <c r="R596" s="351" t="s">
        <v>5285</v>
      </c>
      <c r="S596" s="351" t="s">
        <v>5286</v>
      </c>
      <c r="T596" s="351" t="s">
        <v>276</v>
      </c>
      <c r="U596" s="357" t="s">
        <v>276</v>
      </c>
      <c r="V596" s="357" t="s">
        <v>276</v>
      </c>
      <c r="W596" s="357" t="s">
        <v>276</v>
      </c>
      <c r="X596" s="357" t="s">
        <v>276</v>
      </c>
      <c r="Y596" s="357" t="s">
        <v>276</v>
      </c>
      <c r="Z596" s="351" t="s">
        <v>1562</v>
      </c>
      <c r="AA596" s="357" t="s">
        <v>276</v>
      </c>
      <c r="AB596" s="351" t="s">
        <v>1562</v>
      </c>
      <c r="AC596" s="351" t="s">
        <v>5266</v>
      </c>
      <c r="AD596" s="351" t="s">
        <v>1674</v>
      </c>
      <c r="AE596" s="347">
        <v>615</v>
      </c>
      <c r="AF596" s="347">
        <v>891</v>
      </c>
      <c r="AG596" s="352">
        <v>1115179</v>
      </c>
      <c r="AH596" s="352">
        <v>1336046</v>
      </c>
      <c r="AI596" s="355" t="s">
        <v>4995</v>
      </c>
      <c r="AJ596" s="359">
        <v>0.55000000000000004</v>
      </c>
      <c r="AK596" s="371">
        <f t="shared" si="68"/>
        <v>0.55148097300971421</v>
      </c>
      <c r="AL596" s="359" t="s">
        <v>276</v>
      </c>
      <c r="AM596" s="359" t="s">
        <v>276</v>
      </c>
      <c r="AN596" s="359">
        <v>0.67</v>
      </c>
      <c r="AO596" s="371">
        <f t="shared" si="69"/>
        <v>0.66689320577285516</v>
      </c>
      <c r="AP596" s="359" t="s">
        <v>276</v>
      </c>
      <c r="AQ596" s="356" t="s">
        <v>276</v>
      </c>
      <c r="AR596" s="357" t="s">
        <v>269</v>
      </c>
      <c r="AS596" s="356" t="s">
        <v>276</v>
      </c>
      <c r="AT596" s="356">
        <f t="shared" si="70"/>
        <v>0.82694045798623639</v>
      </c>
      <c r="AU596" s="356" t="s">
        <v>276</v>
      </c>
      <c r="AV596" s="356" t="s">
        <v>276</v>
      </c>
      <c r="AW596" s="356" t="s">
        <v>276</v>
      </c>
      <c r="AX596" s="351" t="s">
        <v>5267</v>
      </c>
      <c r="AY596" s="356">
        <v>0.82</v>
      </c>
      <c r="AZ596" s="356">
        <v>0.74</v>
      </c>
      <c r="BA596" s="356">
        <v>0.91</v>
      </c>
      <c r="BB596" s="357" t="s">
        <v>431</v>
      </c>
      <c r="BC596" s="348" t="s">
        <v>3634</v>
      </c>
      <c r="BD596" s="348"/>
      <c r="BE596" s="33" t="s">
        <v>100</v>
      </c>
      <c r="BF596" s="33" t="s">
        <v>98</v>
      </c>
    </row>
    <row r="597" spans="1:58" s="358" customFormat="1" ht="91" x14ac:dyDescent="0.3">
      <c r="A597" s="357">
        <v>10213</v>
      </c>
      <c r="B597" s="357" t="s">
        <v>5259</v>
      </c>
      <c r="C597" s="357" t="s">
        <v>88</v>
      </c>
      <c r="D597" s="351" t="s">
        <v>5287</v>
      </c>
      <c r="E597" s="357" t="s">
        <v>43</v>
      </c>
      <c r="F597" s="351" t="s">
        <v>4987</v>
      </c>
      <c r="G597" s="357" t="s">
        <v>225</v>
      </c>
      <c r="H597" s="357" t="s">
        <v>125</v>
      </c>
      <c r="I597" s="357" t="s">
        <v>114</v>
      </c>
      <c r="J597" s="351" t="s">
        <v>24</v>
      </c>
      <c r="K597" s="351" t="s">
        <v>5261</v>
      </c>
      <c r="L597" s="351" t="s">
        <v>5262</v>
      </c>
      <c r="M597" s="357" t="s">
        <v>259</v>
      </c>
      <c r="N597" s="360" t="s">
        <v>5288</v>
      </c>
      <c r="O597" s="360" t="s">
        <v>207</v>
      </c>
      <c r="P597" s="363" t="s">
        <v>5263</v>
      </c>
      <c r="Q597" s="351" t="s">
        <v>1252</v>
      </c>
      <c r="R597" s="351" t="s">
        <v>5289</v>
      </c>
      <c r="S597" s="351" t="s">
        <v>5290</v>
      </c>
      <c r="T597" s="351" t="s">
        <v>276</v>
      </c>
      <c r="U597" s="357" t="s">
        <v>276</v>
      </c>
      <c r="V597" s="357" t="s">
        <v>276</v>
      </c>
      <c r="W597" s="357" t="s">
        <v>276</v>
      </c>
      <c r="X597" s="357" t="s">
        <v>276</v>
      </c>
      <c r="Y597" s="357" t="s">
        <v>276</v>
      </c>
      <c r="Z597" s="351" t="s">
        <v>1562</v>
      </c>
      <c r="AA597" s="357" t="s">
        <v>276</v>
      </c>
      <c r="AB597" s="351" t="s">
        <v>1562</v>
      </c>
      <c r="AC597" s="351" t="s">
        <v>5266</v>
      </c>
      <c r="AD597" s="351" t="s">
        <v>1674</v>
      </c>
      <c r="AE597" s="347">
        <v>8</v>
      </c>
      <c r="AF597" s="347">
        <v>14</v>
      </c>
      <c r="AG597" s="352">
        <v>78103</v>
      </c>
      <c r="AH597" s="352">
        <v>75684</v>
      </c>
      <c r="AI597" s="355" t="s">
        <v>4995</v>
      </c>
      <c r="AJ597" s="359">
        <v>0.1</v>
      </c>
      <c r="AK597" s="371">
        <f t="shared" si="68"/>
        <v>0.10242884396245983</v>
      </c>
      <c r="AL597" s="359" t="s">
        <v>276</v>
      </c>
      <c r="AM597" s="359" t="s">
        <v>276</v>
      </c>
      <c r="AN597" s="359">
        <v>0.18</v>
      </c>
      <c r="AO597" s="371">
        <f t="shared" si="69"/>
        <v>0.1849796522382538</v>
      </c>
      <c r="AP597" s="359" t="s">
        <v>276</v>
      </c>
      <c r="AQ597" s="359" t="s">
        <v>276</v>
      </c>
      <c r="AR597" s="357" t="s">
        <v>269</v>
      </c>
      <c r="AS597" s="356" t="s">
        <v>276</v>
      </c>
      <c r="AT597" s="356">
        <f t="shared" si="70"/>
        <v>0.5537303304610578</v>
      </c>
      <c r="AU597" s="356" t="s">
        <v>276</v>
      </c>
      <c r="AV597" s="356" t="s">
        <v>276</v>
      </c>
      <c r="AW597" s="356" t="s">
        <v>276</v>
      </c>
      <c r="AX597" s="351" t="s">
        <v>5267</v>
      </c>
      <c r="AY597" s="356">
        <v>0.55000000000000004</v>
      </c>
      <c r="AZ597" s="356">
        <v>0.23</v>
      </c>
      <c r="BA597" s="356">
        <v>1.24</v>
      </c>
      <c r="BB597" s="357">
        <v>0.16200000000000001</v>
      </c>
      <c r="BC597" s="351" t="s">
        <v>3634</v>
      </c>
      <c r="BD597" s="348"/>
      <c r="BE597" s="33" t="s">
        <v>100</v>
      </c>
      <c r="BF597" s="33" t="s">
        <v>98</v>
      </c>
    </row>
    <row r="598" spans="1:58" s="358" customFormat="1" ht="91" x14ac:dyDescent="0.3">
      <c r="A598" s="357">
        <v>10213</v>
      </c>
      <c r="B598" s="357" t="s">
        <v>5259</v>
      </c>
      <c r="C598" s="357" t="s">
        <v>88</v>
      </c>
      <c r="D598" s="351" t="s">
        <v>5291</v>
      </c>
      <c r="E598" s="357" t="s">
        <v>43</v>
      </c>
      <c r="F598" s="351" t="s">
        <v>4987</v>
      </c>
      <c r="G598" s="357" t="s">
        <v>225</v>
      </c>
      <c r="H598" s="357" t="s">
        <v>125</v>
      </c>
      <c r="I598" s="357" t="s">
        <v>114</v>
      </c>
      <c r="J598" s="351" t="s">
        <v>24</v>
      </c>
      <c r="K598" s="351" t="s">
        <v>5261</v>
      </c>
      <c r="L598" s="351" t="s">
        <v>5262</v>
      </c>
      <c r="M598" s="357" t="s">
        <v>259</v>
      </c>
      <c r="N598" s="360" t="s">
        <v>5292</v>
      </c>
      <c r="O598" s="360" t="s">
        <v>207</v>
      </c>
      <c r="P598" s="363" t="s">
        <v>5263</v>
      </c>
      <c r="Q598" s="351" t="s">
        <v>1252</v>
      </c>
      <c r="R598" s="351" t="s">
        <v>5293</v>
      </c>
      <c r="S598" s="357" t="s">
        <v>5294</v>
      </c>
      <c r="T598" s="351" t="s">
        <v>276</v>
      </c>
      <c r="U598" s="357" t="s">
        <v>276</v>
      </c>
      <c r="V598" s="357" t="s">
        <v>276</v>
      </c>
      <c r="W598" s="357" t="s">
        <v>276</v>
      </c>
      <c r="X598" s="357" t="s">
        <v>276</v>
      </c>
      <c r="Y598" s="357" t="s">
        <v>276</v>
      </c>
      <c r="Z598" s="351" t="s">
        <v>1562</v>
      </c>
      <c r="AA598" s="357" t="s">
        <v>276</v>
      </c>
      <c r="AB598" s="351" t="s">
        <v>1562</v>
      </c>
      <c r="AC598" s="351" t="s">
        <v>5266</v>
      </c>
      <c r="AD598" s="351" t="s">
        <v>1674</v>
      </c>
      <c r="AE598" s="347">
        <v>161</v>
      </c>
      <c r="AF598" s="347">
        <v>265</v>
      </c>
      <c r="AG598" s="352">
        <v>498452</v>
      </c>
      <c r="AH598" s="352">
        <v>633581</v>
      </c>
      <c r="AI598" s="355" t="s">
        <v>4995</v>
      </c>
      <c r="AJ598" s="359">
        <v>0.32</v>
      </c>
      <c r="AK598" s="371">
        <f t="shared" si="68"/>
        <v>0.32300000802484496</v>
      </c>
      <c r="AL598" s="359" t="s">
        <v>276</v>
      </c>
      <c r="AM598" s="359" t="s">
        <v>276</v>
      </c>
      <c r="AN598" s="359">
        <v>0.42</v>
      </c>
      <c r="AO598" s="371">
        <f t="shared" si="69"/>
        <v>0.41825749193867873</v>
      </c>
      <c r="AP598" s="359" t="s">
        <v>276</v>
      </c>
      <c r="AQ598" s="359" t="s">
        <v>276</v>
      </c>
      <c r="AR598" s="357" t="s">
        <v>269</v>
      </c>
      <c r="AS598" s="356" t="s">
        <v>276</v>
      </c>
      <c r="AT598" s="356">
        <f t="shared" si="70"/>
        <v>0.77225157767694075</v>
      </c>
      <c r="AU598" s="356" t="s">
        <v>276</v>
      </c>
      <c r="AV598" s="356" t="s">
        <v>276</v>
      </c>
      <c r="AW598" s="356" t="s">
        <v>276</v>
      </c>
      <c r="AX598" s="351" t="s">
        <v>5267</v>
      </c>
      <c r="AY598" s="356">
        <v>0.76</v>
      </c>
      <c r="AZ598" s="356">
        <v>0.62</v>
      </c>
      <c r="BA598" s="356">
        <v>0.92</v>
      </c>
      <c r="BB598" s="357">
        <v>5.0000000000000001E-3</v>
      </c>
      <c r="BC598" s="351" t="s">
        <v>3634</v>
      </c>
      <c r="BD598" s="348"/>
      <c r="BE598" s="33" t="s">
        <v>100</v>
      </c>
      <c r="BF598" s="33" t="s">
        <v>98</v>
      </c>
    </row>
    <row r="599" spans="1:58" s="358" customFormat="1" ht="91" x14ac:dyDescent="0.3">
      <c r="A599" s="357">
        <v>10213</v>
      </c>
      <c r="B599" s="357" t="s">
        <v>5259</v>
      </c>
      <c r="C599" s="357" t="s">
        <v>88</v>
      </c>
      <c r="D599" s="351" t="s">
        <v>5295</v>
      </c>
      <c r="E599" s="357" t="s">
        <v>43</v>
      </c>
      <c r="F599" s="351" t="s">
        <v>4987</v>
      </c>
      <c r="G599" s="357" t="s">
        <v>225</v>
      </c>
      <c r="H599" s="357" t="s">
        <v>125</v>
      </c>
      <c r="I599" s="357" t="s">
        <v>114</v>
      </c>
      <c r="J599" s="351" t="s">
        <v>24</v>
      </c>
      <c r="K599" s="351" t="s">
        <v>5261</v>
      </c>
      <c r="L599" s="351" t="s">
        <v>5262</v>
      </c>
      <c r="M599" s="357" t="s">
        <v>259</v>
      </c>
      <c r="N599" s="360" t="s">
        <v>5296</v>
      </c>
      <c r="O599" s="360" t="s">
        <v>207</v>
      </c>
      <c r="P599" s="363" t="s">
        <v>5263</v>
      </c>
      <c r="Q599" s="351" t="s">
        <v>1252</v>
      </c>
      <c r="R599" s="351" t="s">
        <v>5297</v>
      </c>
      <c r="S599" s="351" t="s">
        <v>5298</v>
      </c>
      <c r="T599" s="351" t="s">
        <v>276</v>
      </c>
      <c r="U599" s="357" t="s">
        <v>276</v>
      </c>
      <c r="V599" s="357" t="s">
        <v>276</v>
      </c>
      <c r="W599" s="357" t="s">
        <v>276</v>
      </c>
      <c r="X599" s="357" t="s">
        <v>276</v>
      </c>
      <c r="Y599" s="357" t="s">
        <v>276</v>
      </c>
      <c r="Z599" s="351" t="s">
        <v>1562</v>
      </c>
      <c r="AA599" s="357" t="s">
        <v>276</v>
      </c>
      <c r="AB599" s="351" t="s">
        <v>1562</v>
      </c>
      <c r="AC599" s="351" t="s">
        <v>5266</v>
      </c>
      <c r="AD599" s="351" t="s">
        <v>1674</v>
      </c>
      <c r="AE599" s="347">
        <v>181</v>
      </c>
      <c r="AF599" s="347">
        <v>233</v>
      </c>
      <c r="AG599" s="352">
        <v>286709</v>
      </c>
      <c r="AH599" s="352">
        <v>334022</v>
      </c>
      <c r="AI599" s="355" t="s">
        <v>4995</v>
      </c>
      <c r="AJ599" s="359">
        <v>0.63</v>
      </c>
      <c r="AK599" s="371">
        <f t="shared" si="68"/>
        <v>0.63130212166342881</v>
      </c>
      <c r="AL599" s="359" t="s">
        <v>276</v>
      </c>
      <c r="AM599" s="359" t="s">
        <v>276</v>
      </c>
      <c r="AN599" s="359">
        <v>0.7</v>
      </c>
      <c r="AO599" s="371">
        <f t="shared" si="69"/>
        <v>0.69755884342947472</v>
      </c>
      <c r="AP599" s="359" t="s">
        <v>276</v>
      </c>
      <c r="AQ599" s="359" t="s">
        <v>276</v>
      </c>
      <c r="AR599" s="357" t="s">
        <v>269</v>
      </c>
      <c r="AS599" s="356" t="s">
        <v>276</v>
      </c>
      <c r="AT599" s="356">
        <f t="shared" si="70"/>
        <v>0.9050162973487631</v>
      </c>
      <c r="AU599" s="356" t="s">
        <v>276</v>
      </c>
      <c r="AV599" s="356" t="s">
        <v>276</v>
      </c>
      <c r="AW599" s="356" t="s">
        <v>276</v>
      </c>
      <c r="AX599" s="351" t="s">
        <v>5267</v>
      </c>
      <c r="AY599" s="356">
        <v>0.93</v>
      </c>
      <c r="AZ599" s="356">
        <v>0.76</v>
      </c>
      <c r="BA599" s="356">
        <v>1.1200000000000001</v>
      </c>
      <c r="BB599" s="357">
        <v>0.43099999999999999</v>
      </c>
      <c r="BC599" s="351" t="s">
        <v>3634</v>
      </c>
      <c r="BD599" s="348"/>
      <c r="BE599" s="33" t="s">
        <v>100</v>
      </c>
      <c r="BF599" s="33" t="s">
        <v>98</v>
      </c>
    </row>
    <row r="600" spans="1:58" s="358" customFormat="1" ht="91" x14ac:dyDescent="0.3">
      <c r="A600" s="357">
        <v>10213</v>
      </c>
      <c r="B600" s="357" t="s">
        <v>5259</v>
      </c>
      <c r="C600" s="357" t="s">
        <v>88</v>
      </c>
      <c r="D600" s="351" t="s">
        <v>5299</v>
      </c>
      <c r="E600" s="357" t="s">
        <v>43</v>
      </c>
      <c r="F600" s="351" t="s">
        <v>4987</v>
      </c>
      <c r="G600" s="357" t="s">
        <v>225</v>
      </c>
      <c r="H600" s="357" t="s">
        <v>125</v>
      </c>
      <c r="I600" s="357" t="s">
        <v>114</v>
      </c>
      <c r="J600" s="351" t="s">
        <v>24</v>
      </c>
      <c r="K600" s="351" t="s">
        <v>5261</v>
      </c>
      <c r="L600" s="351" t="s">
        <v>5262</v>
      </c>
      <c r="M600" s="357" t="s">
        <v>259</v>
      </c>
      <c r="N600" s="360" t="s">
        <v>5300</v>
      </c>
      <c r="O600" s="360" t="s">
        <v>207</v>
      </c>
      <c r="P600" s="363" t="s">
        <v>5263</v>
      </c>
      <c r="Q600" s="351" t="s">
        <v>1252</v>
      </c>
      <c r="R600" s="351" t="s">
        <v>5301</v>
      </c>
      <c r="S600" s="351" t="s">
        <v>5302</v>
      </c>
      <c r="T600" s="351" t="s">
        <v>276</v>
      </c>
      <c r="U600" s="357" t="s">
        <v>276</v>
      </c>
      <c r="V600" s="357" t="s">
        <v>276</v>
      </c>
      <c r="W600" s="357" t="s">
        <v>276</v>
      </c>
      <c r="X600" s="357" t="s">
        <v>276</v>
      </c>
      <c r="Y600" s="357" t="s">
        <v>276</v>
      </c>
      <c r="Z600" s="351" t="s">
        <v>1562</v>
      </c>
      <c r="AA600" s="357" t="s">
        <v>276</v>
      </c>
      <c r="AB600" s="351" t="s">
        <v>1562</v>
      </c>
      <c r="AC600" s="351" t="s">
        <v>5266</v>
      </c>
      <c r="AD600" s="351" t="s">
        <v>1674</v>
      </c>
      <c r="AE600" s="347">
        <v>178</v>
      </c>
      <c r="AF600" s="347">
        <v>295</v>
      </c>
      <c r="AG600" s="352">
        <v>200221</v>
      </c>
      <c r="AH600" s="352">
        <v>239808</v>
      </c>
      <c r="AI600" s="355" t="s">
        <v>4995</v>
      </c>
      <c r="AJ600" s="359">
        <v>0.89</v>
      </c>
      <c r="AK600" s="371">
        <f t="shared" si="68"/>
        <v>0.88901763551275836</v>
      </c>
      <c r="AL600" s="359" t="s">
        <v>276</v>
      </c>
      <c r="AM600" s="359" t="s">
        <v>276</v>
      </c>
      <c r="AN600" s="359">
        <v>1.23</v>
      </c>
      <c r="AO600" s="371">
        <f t="shared" si="69"/>
        <v>1.2301507872965038</v>
      </c>
      <c r="AP600" s="359" t="s">
        <v>276</v>
      </c>
      <c r="AQ600" s="359" t="s">
        <v>276</v>
      </c>
      <c r="AR600" s="357" t="s">
        <v>269</v>
      </c>
      <c r="AS600" s="356" t="s">
        <v>276</v>
      </c>
      <c r="AT600" s="356">
        <f t="shared" si="70"/>
        <v>0.72268996995607993</v>
      </c>
      <c r="AU600" s="356" t="s">
        <v>276</v>
      </c>
      <c r="AV600" s="356" t="s">
        <v>276</v>
      </c>
      <c r="AW600" s="356" t="s">
        <v>276</v>
      </c>
      <c r="AX600" s="351" t="s">
        <v>5267</v>
      </c>
      <c r="AY600" s="356">
        <v>0.74</v>
      </c>
      <c r="AZ600" s="356">
        <v>0.62</v>
      </c>
      <c r="BA600" s="356">
        <v>0.9</v>
      </c>
      <c r="BB600" s="357">
        <v>2E-3</v>
      </c>
      <c r="BC600" s="351" t="s">
        <v>3634</v>
      </c>
      <c r="BD600" s="348"/>
      <c r="BE600" s="33" t="s">
        <v>100</v>
      </c>
      <c r="BF600" s="33" t="s">
        <v>98</v>
      </c>
    </row>
    <row r="601" spans="1:58" s="358" customFormat="1" ht="91" x14ac:dyDescent="0.3">
      <c r="A601" s="357">
        <v>10213</v>
      </c>
      <c r="B601" s="357" t="s">
        <v>5259</v>
      </c>
      <c r="C601" s="357" t="s">
        <v>88</v>
      </c>
      <c r="D601" s="351" t="s">
        <v>5303</v>
      </c>
      <c r="E601" s="357" t="s">
        <v>43</v>
      </c>
      <c r="F601" s="351" t="s">
        <v>4987</v>
      </c>
      <c r="G601" s="357" t="s">
        <v>225</v>
      </c>
      <c r="H601" s="357" t="s">
        <v>125</v>
      </c>
      <c r="I601" s="357" t="s">
        <v>114</v>
      </c>
      <c r="J601" s="351" t="s">
        <v>24</v>
      </c>
      <c r="K601" s="351" t="s">
        <v>5261</v>
      </c>
      <c r="L601" s="351" t="s">
        <v>5262</v>
      </c>
      <c r="M601" s="357" t="s">
        <v>259</v>
      </c>
      <c r="N601" s="360" t="s">
        <v>5304</v>
      </c>
      <c r="O601" s="360" t="s">
        <v>207</v>
      </c>
      <c r="P601" s="363" t="s">
        <v>5263</v>
      </c>
      <c r="Q601" s="351" t="s">
        <v>1252</v>
      </c>
      <c r="R601" s="351" t="s">
        <v>5305</v>
      </c>
      <c r="S601" s="351" t="s">
        <v>5306</v>
      </c>
      <c r="T601" s="351" t="s">
        <v>276</v>
      </c>
      <c r="U601" s="357" t="s">
        <v>276</v>
      </c>
      <c r="V601" s="357" t="s">
        <v>276</v>
      </c>
      <c r="W601" s="357" t="s">
        <v>276</v>
      </c>
      <c r="X601" s="357" t="s">
        <v>276</v>
      </c>
      <c r="Y601" s="357" t="s">
        <v>276</v>
      </c>
      <c r="Z601" s="351" t="s">
        <v>1562</v>
      </c>
      <c r="AA601" s="357" t="s">
        <v>276</v>
      </c>
      <c r="AB601" s="351" t="s">
        <v>1562</v>
      </c>
      <c r="AC601" s="351" t="s">
        <v>5266</v>
      </c>
      <c r="AD601" s="351" t="s">
        <v>1674</v>
      </c>
      <c r="AE601" s="347">
        <v>87</v>
      </c>
      <c r="AF601" s="347">
        <v>84</v>
      </c>
      <c r="AG601" s="352">
        <v>51694</v>
      </c>
      <c r="AH601" s="352">
        <v>52952</v>
      </c>
      <c r="AI601" s="355" t="s">
        <v>4995</v>
      </c>
      <c r="AJ601" s="359">
        <v>1.68</v>
      </c>
      <c r="AK601" s="371">
        <f t="shared" si="68"/>
        <v>1.6829806167060006</v>
      </c>
      <c r="AL601" s="359" t="s">
        <v>276</v>
      </c>
      <c r="AM601" s="359" t="s">
        <v>276</v>
      </c>
      <c r="AN601" s="359">
        <v>1.59</v>
      </c>
      <c r="AO601" s="371">
        <f t="shared" si="69"/>
        <v>1.5863423477866747</v>
      </c>
      <c r="AP601" s="359" t="s">
        <v>276</v>
      </c>
      <c r="AQ601" s="359" t="s">
        <v>276</v>
      </c>
      <c r="AR601" s="357" t="s">
        <v>269</v>
      </c>
      <c r="AS601" s="356" t="s">
        <v>276</v>
      </c>
      <c r="AT601" s="356">
        <f t="shared" si="70"/>
        <v>1.0609189239978112</v>
      </c>
      <c r="AU601" s="356" t="s">
        <v>276</v>
      </c>
      <c r="AV601" s="356" t="s">
        <v>276</v>
      </c>
      <c r="AW601" s="356" t="s">
        <v>276</v>
      </c>
      <c r="AX601" s="351" t="s">
        <v>5267</v>
      </c>
      <c r="AY601" s="356">
        <v>1.06</v>
      </c>
      <c r="AZ601" s="356">
        <v>0.8</v>
      </c>
      <c r="BA601" s="356">
        <v>1.41</v>
      </c>
      <c r="BB601" s="357">
        <v>0.68500000000000005</v>
      </c>
      <c r="BC601" s="351" t="s">
        <v>3634</v>
      </c>
      <c r="BD601" s="348"/>
      <c r="BE601" s="33" t="s">
        <v>100</v>
      </c>
      <c r="BF601" s="33" t="s">
        <v>98</v>
      </c>
    </row>
    <row r="602" spans="1:58" s="358" customFormat="1" ht="91" x14ac:dyDescent="0.3">
      <c r="A602" s="357">
        <v>10213</v>
      </c>
      <c r="B602" s="357" t="s">
        <v>5259</v>
      </c>
      <c r="C602" s="357" t="s">
        <v>88</v>
      </c>
      <c r="D602" s="351" t="s">
        <v>5307</v>
      </c>
      <c r="E602" s="357" t="s">
        <v>43</v>
      </c>
      <c r="F602" s="351" t="s">
        <v>4987</v>
      </c>
      <c r="G602" s="357" t="s">
        <v>225</v>
      </c>
      <c r="H602" s="357" t="s">
        <v>125</v>
      </c>
      <c r="I602" s="357" t="s">
        <v>114</v>
      </c>
      <c r="J602" s="351" t="s">
        <v>23</v>
      </c>
      <c r="K602" s="351" t="s">
        <v>5031</v>
      </c>
      <c r="L602" s="351" t="s">
        <v>5262</v>
      </c>
      <c r="M602" s="357" t="s">
        <v>259</v>
      </c>
      <c r="N602" s="360" t="s">
        <v>5308</v>
      </c>
      <c r="O602" s="360" t="s">
        <v>207</v>
      </c>
      <c r="P602" s="363" t="s">
        <v>5263</v>
      </c>
      <c r="Q602" s="351" t="s">
        <v>1252</v>
      </c>
      <c r="R602" s="351" t="s">
        <v>5264</v>
      </c>
      <c r="S602" s="351" t="s">
        <v>5265</v>
      </c>
      <c r="T602" s="351" t="s">
        <v>276</v>
      </c>
      <c r="U602" s="357" t="s">
        <v>276</v>
      </c>
      <c r="V602" s="357" t="s">
        <v>276</v>
      </c>
      <c r="W602" s="357" t="s">
        <v>276</v>
      </c>
      <c r="X602" s="357" t="s">
        <v>276</v>
      </c>
      <c r="Y602" s="357">
        <v>0</v>
      </c>
      <c r="Z602" s="357" t="s">
        <v>98</v>
      </c>
      <c r="AA602" s="357">
        <v>0</v>
      </c>
      <c r="AB602" s="357" t="s">
        <v>98</v>
      </c>
      <c r="AC602" s="351" t="s">
        <v>5309</v>
      </c>
      <c r="AD602" s="351" t="s">
        <v>1674</v>
      </c>
      <c r="AE602" s="347">
        <v>20352</v>
      </c>
      <c r="AF602" s="347">
        <v>25365</v>
      </c>
      <c r="AG602" s="352">
        <v>985382</v>
      </c>
      <c r="AH602" s="352">
        <v>1207411</v>
      </c>
      <c r="AI602" s="355" t="s">
        <v>4995</v>
      </c>
      <c r="AJ602" s="359">
        <v>20.65</v>
      </c>
      <c r="AK602" s="371">
        <f t="shared" si="68"/>
        <v>20.65391898776312</v>
      </c>
      <c r="AL602" s="359" t="s">
        <v>276</v>
      </c>
      <c r="AM602" s="359" t="s">
        <v>276</v>
      </c>
      <c r="AN602" s="359">
        <v>21.01</v>
      </c>
      <c r="AO602" s="371">
        <f t="shared" si="69"/>
        <v>21.007759578138682</v>
      </c>
      <c r="AP602" s="359" t="s">
        <v>276</v>
      </c>
      <c r="AQ602" s="359" t="s">
        <v>276</v>
      </c>
      <c r="AR602" s="357" t="s">
        <v>269</v>
      </c>
      <c r="AS602" s="356" t="s">
        <v>276</v>
      </c>
      <c r="AT602" s="356">
        <f t="shared" si="70"/>
        <v>0.9831566717498148</v>
      </c>
      <c r="AU602" s="356" t="s">
        <v>276</v>
      </c>
      <c r="AV602" s="356" t="s">
        <v>276</v>
      </c>
      <c r="AW602" s="356" t="s">
        <v>276</v>
      </c>
      <c r="AX602" s="351" t="s">
        <v>5267</v>
      </c>
      <c r="AY602" s="356">
        <v>0.99</v>
      </c>
      <c r="AZ602" s="356">
        <v>0.97</v>
      </c>
      <c r="BA602" s="356">
        <v>1.01</v>
      </c>
      <c r="BB602" s="357">
        <v>0.33800000000000002</v>
      </c>
      <c r="BC602" s="348" t="s">
        <v>3634</v>
      </c>
      <c r="BD602" s="348"/>
      <c r="BE602" s="33" t="s">
        <v>100</v>
      </c>
      <c r="BF602" s="33" t="s">
        <v>98</v>
      </c>
    </row>
    <row r="603" spans="1:58" s="358" customFormat="1" ht="91" x14ac:dyDescent="0.3">
      <c r="A603" s="357">
        <v>10213</v>
      </c>
      <c r="B603" s="357" t="s">
        <v>5259</v>
      </c>
      <c r="C603" s="357" t="s">
        <v>88</v>
      </c>
      <c r="D603" s="351" t="s">
        <v>5310</v>
      </c>
      <c r="E603" s="357" t="s">
        <v>43</v>
      </c>
      <c r="F603" s="351" t="s">
        <v>4987</v>
      </c>
      <c r="G603" s="357" t="s">
        <v>225</v>
      </c>
      <c r="H603" s="357" t="s">
        <v>125</v>
      </c>
      <c r="I603" s="357" t="s">
        <v>114</v>
      </c>
      <c r="J603" s="351" t="s">
        <v>23</v>
      </c>
      <c r="K603" s="351" t="s">
        <v>5031</v>
      </c>
      <c r="L603" s="351" t="s">
        <v>5262</v>
      </c>
      <c r="M603" s="357" t="s">
        <v>261</v>
      </c>
      <c r="N603" s="360" t="s">
        <v>5211</v>
      </c>
      <c r="O603" s="360" t="s">
        <v>207</v>
      </c>
      <c r="P603" s="363" t="s">
        <v>5263</v>
      </c>
      <c r="Q603" s="351" t="s">
        <v>1252</v>
      </c>
      <c r="R603" s="351" t="s">
        <v>5285</v>
      </c>
      <c r="S603" s="351" t="s">
        <v>5286</v>
      </c>
      <c r="T603" s="351" t="s">
        <v>276</v>
      </c>
      <c r="U603" s="357" t="s">
        <v>276</v>
      </c>
      <c r="V603" s="357" t="s">
        <v>276</v>
      </c>
      <c r="W603" s="357" t="s">
        <v>276</v>
      </c>
      <c r="X603" s="357" t="s">
        <v>276</v>
      </c>
      <c r="Y603" s="357">
        <v>0</v>
      </c>
      <c r="Z603" s="357" t="s">
        <v>98</v>
      </c>
      <c r="AA603" s="357">
        <v>0</v>
      </c>
      <c r="AB603" s="357" t="s">
        <v>98</v>
      </c>
      <c r="AC603" s="351" t="s">
        <v>5309</v>
      </c>
      <c r="AD603" s="351" t="s">
        <v>1674</v>
      </c>
      <c r="AE603" s="347">
        <v>24041</v>
      </c>
      <c r="AF603" s="347">
        <v>29002</v>
      </c>
      <c r="AG603" s="352">
        <v>1115179</v>
      </c>
      <c r="AH603" s="352">
        <v>1336046</v>
      </c>
      <c r="AI603" s="355" t="s">
        <v>4995</v>
      </c>
      <c r="AJ603" s="359">
        <v>21.56</v>
      </c>
      <c r="AK603" s="371">
        <f t="shared" si="68"/>
        <v>21.557974101018761</v>
      </c>
      <c r="AL603" s="359" t="s">
        <v>276</v>
      </c>
      <c r="AM603" s="359" t="s">
        <v>276</v>
      </c>
      <c r="AN603" s="359">
        <v>21.71</v>
      </c>
      <c r="AO603" s="371">
        <f t="shared" si="69"/>
        <v>21.70733642404528</v>
      </c>
      <c r="AP603" s="359" t="s">
        <v>276</v>
      </c>
      <c r="AQ603" s="359" t="s">
        <v>276</v>
      </c>
      <c r="AR603" s="357" t="s">
        <v>269</v>
      </c>
      <c r="AS603" s="356" t="s">
        <v>276</v>
      </c>
      <c r="AT603" s="356">
        <f t="shared" si="70"/>
        <v>0.99311926990447941</v>
      </c>
      <c r="AU603" s="356" t="s">
        <v>276</v>
      </c>
      <c r="AV603" s="356" t="s">
        <v>276</v>
      </c>
      <c r="AW603" s="356" t="s">
        <v>276</v>
      </c>
      <c r="AX603" s="351" t="s">
        <v>5267</v>
      </c>
      <c r="AY603" s="356">
        <v>0.99</v>
      </c>
      <c r="AZ603" s="356">
        <v>0.98</v>
      </c>
      <c r="BA603" s="356">
        <v>1.01</v>
      </c>
      <c r="BB603" s="369">
        <v>0.46</v>
      </c>
      <c r="BC603" s="348" t="s">
        <v>3634</v>
      </c>
      <c r="BD603" s="348"/>
      <c r="BE603" s="33" t="s">
        <v>100</v>
      </c>
      <c r="BF603" s="33" t="s">
        <v>98</v>
      </c>
    </row>
    <row r="604" spans="1:58" s="358" customFormat="1" ht="65" x14ac:dyDescent="0.3">
      <c r="A604" s="357">
        <v>10213</v>
      </c>
      <c r="B604" s="357" t="s">
        <v>5259</v>
      </c>
      <c r="C604" s="357" t="s">
        <v>88</v>
      </c>
      <c r="D604" s="351" t="s">
        <v>5311</v>
      </c>
      <c r="E604" s="357" t="s">
        <v>43</v>
      </c>
      <c r="F604" s="351" t="s">
        <v>4987</v>
      </c>
      <c r="G604" s="357" t="s">
        <v>225</v>
      </c>
      <c r="H604" s="357" t="s">
        <v>125</v>
      </c>
      <c r="I604" s="357" t="s">
        <v>114</v>
      </c>
      <c r="J604" s="351" t="s">
        <v>24</v>
      </c>
      <c r="K604" s="351" t="s">
        <v>5261</v>
      </c>
      <c r="L604" s="351" t="s">
        <v>5262</v>
      </c>
      <c r="M604" s="357" t="s">
        <v>259</v>
      </c>
      <c r="N604" s="360" t="s">
        <v>5130</v>
      </c>
      <c r="O604" s="360" t="s">
        <v>207</v>
      </c>
      <c r="P604" s="363" t="s">
        <v>5263</v>
      </c>
      <c r="Q604" s="351" t="s">
        <v>1252</v>
      </c>
      <c r="R604" s="348" t="s">
        <v>5126</v>
      </c>
      <c r="S604" s="348" t="s">
        <v>5126</v>
      </c>
      <c r="T604" s="348" t="s">
        <v>276</v>
      </c>
      <c r="U604" s="354">
        <v>4307</v>
      </c>
      <c r="V604" s="354">
        <v>4255</v>
      </c>
      <c r="W604" s="357" t="s">
        <v>276</v>
      </c>
      <c r="X604" s="357" t="s">
        <v>276</v>
      </c>
      <c r="Y604" s="357" t="s">
        <v>276</v>
      </c>
      <c r="Z604" s="351" t="s">
        <v>1562</v>
      </c>
      <c r="AA604" s="357" t="s">
        <v>276</v>
      </c>
      <c r="AB604" s="351" t="s">
        <v>1562</v>
      </c>
      <c r="AC604" s="351" t="s">
        <v>5266</v>
      </c>
      <c r="AD604" s="351" t="s">
        <v>1674</v>
      </c>
      <c r="AE604" s="347" t="s">
        <v>276</v>
      </c>
      <c r="AF604" s="347" t="s">
        <v>276</v>
      </c>
      <c r="AG604" s="347" t="s">
        <v>276</v>
      </c>
      <c r="AH604" s="347" t="s">
        <v>276</v>
      </c>
      <c r="AI604" s="357" t="s">
        <v>276</v>
      </c>
      <c r="AJ604" s="347" t="s">
        <v>276</v>
      </c>
      <c r="AK604" s="347" t="s">
        <v>276</v>
      </c>
      <c r="AL604" s="347" t="s">
        <v>276</v>
      </c>
      <c r="AM604" s="347" t="s">
        <v>276</v>
      </c>
      <c r="AN604" s="347" t="s">
        <v>276</v>
      </c>
      <c r="AO604" s="347" t="s">
        <v>276</v>
      </c>
      <c r="AP604" s="347" t="s">
        <v>276</v>
      </c>
      <c r="AQ604" s="347" t="s">
        <v>276</v>
      </c>
      <c r="AR604" s="357" t="s">
        <v>269</v>
      </c>
      <c r="AS604" s="356">
        <v>0.78</v>
      </c>
      <c r="AT604" s="356" t="s">
        <v>98</v>
      </c>
      <c r="AU604" s="356">
        <v>0.44</v>
      </c>
      <c r="AV604" s="356">
        <v>1.34</v>
      </c>
      <c r="AW604" s="357">
        <v>0.36399999999999999</v>
      </c>
      <c r="AX604" s="357" t="s">
        <v>282</v>
      </c>
      <c r="AY604" s="357" t="s">
        <v>98</v>
      </c>
      <c r="AZ604" s="357" t="s">
        <v>98</v>
      </c>
      <c r="BA604" s="357" t="s">
        <v>98</v>
      </c>
      <c r="BB604" s="357" t="s">
        <v>98</v>
      </c>
      <c r="BC604" s="351" t="s">
        <v>5312</v>
      </c>
      <c r="BD604" s="348"/>
      <c r="BE604" s="33" t="s">
        <v>100</v>
      </c>
      <c r="BF604" s="33" t="s">
        <v>98</v>
      </c>
    </row>
    <row r="605" spans="1:58" s="358" customFormat="1" ht="65" x14ac:dyDescent="0.3">
      <c r="A605" s="357">
        <v>10213</v>
      </c>
      <c r="B605" s="357" t="s">
        <v>5259</v>
      </c>
      <c r="C605" s="357" t="s">
        <v>88</v>
      </c>
      <c r="D605" s="351" t="s">
        <v>5313</v>
      </c>
      <c r="E605" s="357" t="s">
        <v>43</v>
      </c>
      <c r="F605" s="351" t="s">
        <v>4987</v>
      </c>
      <c r="G605" s="357" t="s">
        <v>225</v>
      </c>
      <c r="H605" s="357" t="s">
        <v>125</v>
      </c>
      <c r="I605" s="357" t="s">
        <v>114</v>
      </c>
      <c r="J605" s="351" t="s">
        <v>24</v>
      </c>
      <c r="K605" s="351" t="s">
        <v>5261</v>
      </c>
      <c r="L605" s="351" t="s">
        <v>5262</v>
      </c>
      <c r="M605" s="357" t="s">
        <v>259</v>
      </c>
      <c r="N605" s="360" t="s">
        <v>5136</v>
      </c>
      <c r="O605" s="360" t="s">
        <v>207</v>
      </c>
      <c r="P605" s="363" t="s">
        <v>5263</v>
      </c>
      <c r="Q605" s="351" t="s">
        <v>1252</v>
      </c>
      <c r="R605" s="348" t="s">
        <v>5126</v>
      </c>
      <c r="S605" s="348" t="s">
        <v>5126</v>
      </c>
      <c r="T605" s="348" t="s">
        <v>276</v>
      </c>
      <c r="U605" s="354">
        <v>31970</v>
      </c>
      <c r="V605" s="354">
        <v>48409</v>
      </c>
      <c r="W605" s="357" t="s">
        <v>276</v>
      </c>
      <c r="X605" s="357" t="s">
        <v>276</v>
      </c>
      <c r="Y605" s="357" t="s">
        <v>276</v>
      </c>
      <c r="Z605" s="351" t="s">
        <v>1562</v>
      </c>
      <c r="AA605" s="357" t="s">
        <v>276</v>
      </c>
      <c r="AB605" s="351" t="s">
        <v>1562</v>
      </c>
      <c r="AC605" s="351" t="s">
        <v>5266</v>
      </c>
      <c r="AD605" s="351" t="s">
        <v>1674</v>
      </c>
      <c r="AE605" s="347" t="s">
        <v>276</v>
      </c>
      <c r="AF605" s="347" t="s">
        <v>276</v>
      </c>
      <c r="AG605" s="347" t="s">
        <v>276</v>
      </c>
      <c r="AH605" s="347" t="s">
        <v>276</v>
      </c>
      <c r="AI605" s="357" t="s">
        <v>276</v>
      </c>
      <c r="AJ605" s="347" t="s">
        <v>276</v>
      </c>
      <c r="AK605" s="347" t="s">
        <v>276</v>
      </c>
      <c r="AL605" s="347" t="s">
        <v>276</v>
      </c>
      <c r="AM605" s="347" t="s">
        <v>276</v>
      </c>
      <c r="AN605" s="347" t="s">
        <v>276</v>
      </c>
      <c r="AO605" s="347" t="s">
        <v>276</v>
      </c>
      <c r="AP605" s="347" t="s">
        <v>276</v>
      </c>
      <c r="AQ605" s="347" t="s">
        <v>276</v>
      </c>
      <c r="AR605" s="357" t="s">
        <v>269</v>
      </c>
      <c r="AS605" s="356">
        <v>0.91</v>
      </c>
      <c r="AT605" s="356" t="s">
        <v>98</v>
      </c>
      <c r="AU605" s="356">
        <v>0.77</v>
      </c>
      <c r="AV605" s="356">
        <v>1.06</v>
      </c>
      <c r="AW605" s="369">
        <v>0.21</v>
      </c>
      <c r="AX605" s="357" t="s">
        <v>282</v>
      </c>
      <c r="AY605" s="357" t="s">
        <v>98</v>
      </c>
      <c r="AZ605" s="357" t="s">
        <v>98</v>
      </c>
      <c r="BA605" s="357" t="s">
        <v>98</v>
      </c>
      <c r="BB605" s="357" t="s">
        <v>98</v>
      </c>
      <c r="BC605" s="351" t="s">
        <v>5312</v>
      </c>
      <c r="BD605" s="348"/>
      <c r="BE605" s="33" t="s">
        <v>100</v>
      </c>
      <c r="BF605" s="33" t="s">
        <v>98</v>
      </c>
    </row>
    <row r="606" spans="1:58" s="358" customFormat="1" ht="65" x14ac:dyDescent="0.3">
      <c r="A606" s="357">
        <v>10213</v>
      </c>
      <c r="B606" s="357" t="s">
        <v>5259</v>
      </c>
      <c r="C606" s="357" t="s">
        <v>88</v>
      </c>
      <c r="D606" s="351" t="s">
        <v>5314</v>
      </c>
      <c r="E606" s="357" t="s">
        <v>43</v>
      </c>
      <c r="F606" s="351" t="s">
        <v>4987</v>
      </c>
      <c r="G606" s="357" t="s">
        <v>225</v>
      </c>
      <c r="H606" s="357" t="s">
        <v>125</v>
      </c>
      <c r="I606" s="357" t="s">
        <v>114</v>
      </c>
      <c r="J606" s="351" t="s">
        <v>24</v>
      </c>
      <c r="K606" s="351" t="s">
        <v>5261</v>
      </c>
      <c r="L606" s="351" t="s">
        <v>5262</v>
      </c>
      <c r="M606" s="357" t="s">
        <v>259</v>
      </c>
      <c r="N606" s="360" t="s">
        <v>5139</v>
      </c>
      <c r="O606" s="360" t="s">
        <v>207</v>
      </c>
      <c r="P606" s="363" t="s">
        <v>5263</v>
      </c>
      <c r="Q606" s="351" t="s">
        <v>1252</v>
      </c>
      <c r="R606" s="348" t="s">
        <v>5126</v>
      </c>
      <c r="S606" s="348" t="s">
        <v>5126</v>
      </c>
      <c r="T606" s="348" t="s">
        <v>276</v>
      </c>
      <c r="U606" s="357">
        <v>7265</v>
      </c>
      <c r="V606" s="357">
        <v>7250</v>
      </c>
      <c r="W606" s="357" t="s">
        <v>276</v>
      </c>
      <c r="X606" s="357" t="s">
        <v>276</v>
      </c>
      <c r="Y606" s="357" t="s">
        <v>276</v>
      </c>
      <c r="Z606" s="351" t="s">
        <v>1562</v>
      </c>
      <c r="AA606" s="357" t="s">
        <v>276</v>
      </c>
      <c r="AB606" s="351" t="s">
        <v>1562</v>
      </c>
      <c r="AC606" s="351" t="s">
        <v>5266</v>
      </c>
      <c r="AD606" s="351" t="s">
        <v>1674</v>
      </c>
      <c r="AE606" s="347" t="s">
        <v>276</v>
      </c>
      <c r="AF606" s="347" t="s">
        <v>276</v>
      </c>
      <c r="AG606" s="347" t="s">
        <v>276</v>
      </c>
      <c r="AH606" s="347" t="s">
        <v>276</v>
      </c>
      <c r="AI606" s="357" t="s">
        <v>276</v>
      </c>
      <c r="AJ606" s="347" t="s">
        <v>276</v>
      </c>
      <c r="AK606" s="347" t="s">
        <v>276</v>
      </c>
      <c r="AL606" s="347" t="s">
        <v>276</v>
      </c>
      <c r="AM606" s="347" t="s">
        <v>276</v>
      </c>
      <c r="AN606" s="347" t="s">
        <v>276</v>
      </c>
      <c r="AO606" s="347" t="s">
        <v>276</v>
      </c>
      <c r="AP606" s="347" t="s">
        <v>276</v>
      </c>
      <c r="AQ606" s="347" t="s">
        <v>276</v>
      </c>
      <c r="AR606" s="357" t="s">
        <v>269</v>
      </c>
      <c r="AS606" s="356">
        <v>0.99</v>
      </c>
      <c r="AT606" s="356" t="s">
        <v>98</v>
      </c>
      <c r="AU606" s="356">
        <v>0.66</v>
      </c>
      <c r="AV606" s="356">
        <v>1.49</v>
      </c>
      <c r="AW606" s="357">
        <v>0.95799999999999996</v>
      </c>
      <c r="AX606" s="357" t="s">
        <v>282</v>
      </c>
      <c r="AY606" s="357" t="s">
        <v>98</v>
      </c>
      <c r="AZ606" s="357" t="s">
        <v>98</v>
      </c>
      <c r="BA606" s="357" t="s">
        <v>98</v>
      </c>
      <c r="BB606" s="357" t="s">
        <v>98</v>
      </c>
      <c r="BC606" s="351" t="s">
        <v>5312</v>
      </c>
      <c r="BD606" s="348"/>
      <c r="BE606" s="33" t="s">
        <v>100</v>
      </c>
      <c r="BF606" s="33" t="s">
        <v>98</v>
      </c>
    </row>
    <row r="607" spans="1:58" s="358" customFormat="1" ht="65" x14ac:dyDescent="0.3">
      <c r="A607" s="357">
        <v>10213</v>
      </c>
      <c r="B607" s="357" t="s">
        <v>5259</v>
      </c>
      <c r="C607" s="357" t="s">
        <v>88</v>
      </c>
      <c r="D607" s="351" t="s">
        <v>5315</v>
      </c>
      <c r="E607" s="357" t="s">
        <v>43</v>
      </c>
      <c r="F607" s="351" t="s">
        <v>4987</v>
      </c>
      <c r="G607" s="357" t="s">
        <v>225</v>
      </c>
      <c r="H607" s="357" t="s">
        <v>125</v>
      </c>
      <c r="I607" s="357" t="s">
        <v>114</v>
      </c>
      <c r="J607" s="351" t="s">
        <v>24</v>
      </c>
      <c r="K607" s="351" t="s">
        <v>5261</v>
      </c>
      <c r="L607" s="351" t="s">
        <v>5262</v>
      </c>
      <c r="M607" s="357" t="s">
        <v>259</v>
      </c>
      <c r="N607" s="360" t="s">
        <v>5072</v>
      </c>
      <c r="O607" s="360" t="s">
        <v>207</v>
      </c>
      <c r="P607" s="363" t="s">
        <v>5263</v>
      </c>
      <c r="Q607" s="351" t="s">
        <v>1252</v>
      </c>
      <c r="R607" s="348" t="s">
        <v>5126</v>
      </c>
      <c r="S607" s="348" t="s">
        <v>5126</v>
      </c>
      <c r="T607" s="348" t="s">
        <v>276</v>
      </c>
      <c r="U607" s="354">
        <v>17443</v>
      </c>
      <c r="V607" s="354">
        <v>17390</v>
      </c>
      <c r="W607" s="357" t="s">
        <v>276</v>
      </c>
      <c r="X607" s="357" t="s">
        <v>276</v>
      </c>
      <c r="Y607" s="357" t="s">
        <v>276</v>
      </c>
      <c r="Z607" s="351" t="s">
        <v>1562</v>
      </c>
      <c r="AA607" s="357" t="s">
        <v>276</v>
      </c>
      <c r="AB607" s="351" t="s">
        <v>1562</v>
      </c>
      <c r="AC607" s="351" t="s">
        <v>5266</v>
      </c>
      <c r="AD607" s="351" t="s">
        <v>1674</v>
      </c>
      <c r="AE607" s="347" t="s">
        <v>276</v>
      </c>
      <c r="AF607" s="347" t="s">
        <v>276</v>
      </c>
      <c r="AG607" s="347" t="s">
        <v>276</v>
      </c>
      <c r="AH607" s="347" t="s">
        <v>276</v>
      </c>
      <c r="AI607" s="357" t="s">
        <v>276</v>
      </c>
      <c r="AJ607" s="347" t="s">
        <v>276</v>
      </c>
      <c r="AK607" s="347" t="s">
        <v>276</v>
      </c>
      <c r="AL607" s="347" t="s">
        <v>276</v>
      </c>
      <c r="AM607" s="347" t="s">
        <v>276</v>
      </c>
      <c r="AN607" s="347" t="s">
        <v>276</v>
      </c>
      <c r="AO607" s="347" t="s">
        <v>276</v>
      </c>
      <c r="AP607" s="347" t="s">
        <v>276</v>
      </c>
      <c r="AQ607" s="347" t="s">
        <v>276</v>
      </c>
      <c r="AR607" s="357" t="s">
        <v>269</v>
      </c>
      <c r="AS607" s="356">
        <v>0.67</v>
      </c>
      <c r="AT607" s="356" t="s">
        <v>98</v>
      </c>
      <c r="AU607" s="356">
        <v>0.53</v>
      </c>
      <c r="AV607" s="356">
        <v>0.85</v>
      </c>
      <c r="AW607" s="357">
        <v>1E-3</v>
      </c>
      <c r="AX607" s="357" t="s">
        <v>282</v>
      </c>
      <c r="AY607" s="357" t="s">
        <v>98</v>
      </c>
      <c r="AZ607" s="357" t="s">
        <v>98</v>
      </c>
      <c r="BA607" s="357" t="s">
        <v>98</v>
      </c>
      <c r="BB607" s="357" t="s">
        <v>98</v>
      </c>
      <c r="BC607" s="351" t="s">
        <v>5312</v>
      </c>
      <c r="BD607" s="348"/>
      <c r="BE607" s="33" t="s">
        <v>100</v>
      </c>
      <c r="BF607" s="33" t="s">
        <v>98</v>
      </c>
    </row>
    <row r="608" spans="1:58" s="358" customFormat="1" ht="65" x14ac:dyDescent="0.3">
      <c r="A608" s="357">
        <v>10213</v>
      </c>
      <c r="B608" s="357" t="s">
        <v>5259</v>
      </c>
      <c r="C608" s="357" t="s">
        <v>88</v>
      </c>
      <c r="D608" s="351" t="s">
        <v>5316</v>
      </c>
      <c r="E608" s="357" t="s">
        <v>43</v>
      </c>
      <c r="F608" s="351" t="s">
        <v>4987</v>
      </c>
      <c r="G608" s="357" t="s">
        <v>225</v>
      </c>
      <c r="H608" s="357" t="s">
        <v>125</v>
      </c>
      <c r="I608" s="357" t="s">
        <v>114</v>
      </c>
      <c r="J608" s="351" t="s">
        <v>24</v>
      </c>
      <c r="K608" s="351" t="s">
        <v>5261</v>
      </c>
      <c r="L608" s="351" t="s">
        <v>5262</v>
      </c>
      <c r="M608" s="357" t="s">
        <v>259</v>
      </c>
      <c r="N608" s="360" t="s">
        <v>5142</v>
      </c>
      <c r="O608" s="360" t="s">
        <v>207</v>
      </c>
      <c r="P608" s="363" t="s">
        <v>5263</v>
      </c>
      <c r="Q608" s="351" t="s">
        <v>1252</v>
      </c>
      <c r="R608" s="348" t="s">
        <v>5126</v>
      </c>
      <c r="S608" s="348" t="s">
        <v>5126</v>
      </c>
      <c r="T608" s="348" t="s">
        <v>276</v>
      </c>
      <c r="U608" s="354">
        <v>1056</v>
      </c>
      <c r="V608" s="354">
        <v>1141</v>
      </c>
      <c r="W608" s="357" t="s">
        <v>276</v>
      </c>
      <c r="X608" s="357" t="s">
        <v>276</v>
      </c>
      <c r="Y608" s="357" t="s">
        <v>276</v>
      </c>
      <c r="Z608" s="351" t="s">
        <v>1562</v>
      </c>
      <c r="AA608" s="357" t="s">
        <v>276</v>
      </c>
      <c r="AB608" s="351" t="s">
        <v>1562</v>
      </c>
      <c r="AC608" s="351" t="s">
        <v>5266</v>
      </c>
      <c r="AD608" s="351" t="s">
        <v>1674</v>
      </c>
      <c r="AE608" s="347" t="s">
        <v>276</v>
      </c>
      <c r="AF608" s="347" t="s">
        <v>276</v>
      </c>
      <c r="AG608" s="347" t="s">
        <v>276</v>
      </c>
      <c r="AH608" s="347" t="s">
        <v>276</v>
      </c>
      <c r="AI608" s="357" t="s">
        <v>276</v>
      </c>
      <c r="AJ608" s="347" t="s">
        <v>276</v>
      </c>
      <c r="AK608" s="347" t="s">
        <v>276</v>
      </c>
      <c r="AL608" s="347" t="s">
        <v>276</v>
      </c>
      <c r="AM608" s="347" t="s">
        <v>276</v>
      </c>
      <c r="AN608" s="347" t="s">
        <v>276</v>
      </c>
      <c r="AO608" s="347" t="s">
        <v>276</v>
      </c>
      <c r="AP608" s="347" t="s">
        <v>276</v>
      </c>
      <c r="AQ608" s="347" t="s">
        <v>276</v>
      </c>
      <c r="AR608" s="357" t="s">
        <v>269</v>
      </c>
      <c r="AS608" s="356">
        <v>0.65</v>
      </c>
      <c r="AT608" s="356" t="s">
        <v>98</v>
      </c>
      <c r="AU608" s="356">
        <v>0.13</v>
      </c>
      <c r="AV608" s="356">
        <v>2.63</v>
      </c>
      <c r="AW608" s="369">
        <v>0.55000000000000004</v>
      </c>
      <c r="AX608" s="357" t="s">
        <v>282</v>
      </c>
      <c r="AY608" s="357" t="s">
        <v>98</v>
      </c>
      <c r="AZ608" s="357" t="s">
        <v>98</v>
      </c>
      <c r="BA608" s="357" t="s">
        <v>98</v>
      </c>
      <c r="BB608" s="357" t="s">
        <v>98</v>
      </c>
      <c r="BC608" s="351" t="s">
        <v>5312</v>
      </c>
      <c r="BD608" s="348"/>
      <c r="BE608" s="33" t="s">
        <v>100</v>
      </c>
      <c r="BF608" s="33" t="s">
        <v>98</v>
      </c>
    </row>
    <row r="609" spans="1:58" s="358" customFormat="1" ht="65" x14ac:dyDescent="0.3">
      <c r="A609" s="357">
        <v>10213</v>
      </c>
      <c r="B609" s="357" t="s">
        <v>5259</v>
      </c>
      <c r="C609" s="357" t="s">
        <v>88</v>
      </c>
      <c r="D609" s="351" t="s">
        <v>5317</v>
      </c>
      <c r="E609" s="357" t="s">
        <v>43</v>
      </c>
      <c r="F609" s="351" t="s">
        <v>4987</v>
      </c>
      <c r="G609" s="357" t="s">
        <v>225</v>
      </c>
      <c r="H609" s="357" t="s">
        <v>125</v>
      </c>
      <c r="I609" s="357" t="s">
        <v>114</v>
      </c>
      <c r="J609" s="351" t="s">
        <v>24</v>
      </c>
      <c r="K609" s="351" t="s">
        <v>5261</v>
      </c>
      <c r="L609" s="351" t="s">
        <v>5262</v>
      </c>
      <c r="M609" s="357" t="s">
        <v>259</v>
      </c>
      <c r="N609" s="360" t="s">
        <v>5133</v>
      </c>
      <c r="O609" s="360" t="s">
        <v>207</v>
      </c>
      <c r="P609" s="363" t="s">
        <v>5263</v>
      </c>
      <c r="Q609" s="351" t="s">
        <v>1252</v>
      </c>
      <c r="R609" s="348" t="s">
        <v>5126</v>
      </c>
      <c r="S609" s="348" t="s">
        <v>5126</v>
      </c>
      <c r="T609" s="348" t="s">
        <v>276</v>
      </c>
      <c r="U609" s="354">
        <v>5901</v>
      </c>
      <c r="V609" s="354">
        <v>5951</v>
      </c>
      <c r="W609" s="357" t="s">
        <v>276</v>
      </c>
      <c r="X609" s="357" t="s">
        <v>276</v>
      </c>
      <c r="Y609" s="357" t="s">
        <v>276</v>
      </c>
      <c r="Z609" s="351" t="s">
        <v>1562</v>
      </c>
      <c r="AA609" s="357" t="s">
        <v>276</v>
      </c>
      <c r="AB609" s="351" t="s">
        <v>1562</v>
      </c>
      <c r="AC609" s="351" t="s">
        <v>5266</v>
      </c>
      <c r="AD609" s="351" t="s">
        <v>1674</v>
      </c>
      <c r="AE609" s="347" t="s">
        <v>276</v>
      </c>
      <c r="AF609" s="347" t="s">
        <v>276</v>
      </c>
      <c r="AG609" s="347" t="s">
        <v>276</v>
      </c>
      <c r="AH609" s="347" t="s">
        <v>276</v>
      </c>
      <c r="AI609" s="357" t="s">
        <v>276</v>
      </c>
      <c r="AJ609" s="347" t="s">
        <v>276</v>
      </c>
      <c r="AK609" s="347" t="s">
        <v>276</v>
      </c>
      <c r="AL609" s="347" t="s">
        <v>276</v>
      </c>
      <c r="AM609" s="347" t="s">
        <v>276</v>
      </c>
      <c r="AN609" s="347" t="s">
        <v>276</v>
      </c>
      <c r="AO609" s="347" t="s">
        <v>276</v>
      </c>
      <c r="AP609" s="347" t="s">
        <v>276</v>
      </c>
      <c r="AQ609" s="347" t="s">
        <v>276</v>
      </c>
      <c r="AR609" s="357" t="s">
        <v>269</v>
      </c>
      <c r="AS609" s="356">
        <v>0.63</v>
      </c>
      <c r="AT609" s="356" t="s">
        <v>98</v>
      </c>
      <c r="AU609" s="356">
        <v>0.44</v>
      </c>
      <c r="AV609" s="356">
        <v>0.88</v>
      </c>
      <c r="AW609" s="357">
        <v>8.0000000000000002E-3</v>
      </c>
      <c r="AX609" s="357" t="s">
        <v>282</v>
      </c>
      <c r="AY609" s="357" t="s">
        <v>98</v>
      </c>
      <c r="AZ609" s="357" t="s">
        <v>98</v>
      </c>
      <c r="BA609" s="357" t="s">
        <v>98</v>
      </c>
      <c r="BB609" s="357" t="s">
        <v>98</v>
      </c>
      <c r="BC609" s="351" t="s">
        <v>5312</v>
      </c>
      <c r="BD609" s="348"/>
      <c r="BE609" s="33" t="s">
        <v>100</v>
      </c>
      <c r="BF609" s="33" t="s">
        <v>98</v>
      </c>
    </row>
    <row r="610" spans="1:58" s="358" customFormat="1" ht="65" x14ac:dyDescent="0.3">
      <c r="A610" s="357">
        <v>10213</v>
      </c>
      <c r="B610" s="357" t="s">
        <v>5259</v>
      </c>
      <c r="C610" s="357" t="s">
        <v>88</v>
      </c>
      <c r="D610" s="351" t="s">
        <v>5318</v>
      </c>
      <c r="E610" s="357" t="s">
        <v>43</v>
      </c>
      <c r="F610" s="351" t="s">
        <v>4987</v>
      </c>
      <c r="G610" s="357" t="s">
        <v>225</v>
      </c>
      <c r="H610" s="357" t="s">
        <v>125</v>
      </c>
      <c r="I610" s="357" t="s">
        <v>114</v>
      </c>
      <c r="J610" s="351" t="s">
        <v>24</v>
      </c>
      <c r="K610" s="351" t="s">
        <v>5261</v>
      </c>
      <c r="L610" s="351" t="s">
        <v>5262</v>
      </c>
      <c r="M610" s="357" t="s">
        <v>259</v>
      </c>
      <c r="N610" s="360" t="s">
        <v>5145</v>
      </c>
      <c r="O610" s="360" t="s">
        <v>207</v>
      </c>
      <c r="P610" s="363" t="s">
        <v>5263</v>
      </c>
      <c r="Q610" s="351" t="s">
        <v>1252</v>
      </c>
      <c r="R610" s="348" t="s">
        <v>5126</v>
      </c>
      <c r="S610" s="348" t="s">
        <v>5126</v>
      </c>
      <c r="T610" s="348" t="s">
        <v>276</v>
      </c>
      <c r="U610" s="354">
        <v>4948</v>
      </c>
      <c r="V610" s="354">
        <v>4955</v>
      </c>
      <c r="W610" s="357" t="s">
        <v>276</v>
      </c>
      <c r="X610" s="357" t="s">
        <v>276</v>
      </c>
      <c r="Y610" s="357" t="s">
        <v>276</v>
      </c>
      <c r="Z610" s="351" t="s">
        <v>1562</v>
      </c>
      <c r="AA610" s="357" t="s">
        <v>276</v>
      </c>
      <c r="AB610" s="351" t="s">
        <v>1562</v>
      </c>
      <c r="AC610" s="351" t="s">
        <v>5266</v>
      </c>
      <c r="AD610" s="351" t="s">
        <v>1674</v>
      </c>
      <c r="AE610" s="347" t="s">
        <v>276</v>
      </c>
      <c r="AF610" s="347" t="s">
        <v>276</v>
      </c>
      <c r="AG610" s="347" t="s">
        <v>276</v>
      </c>
      <c r="AH610" s="347" t="s">
        <v>276</v>
      </c>
      <c r="AI610" s="357" t="s">
        <v>276</v>
      </c>
      <c r="AJ610" s="347" t="s">
        <v>276</v>
      </c>
      <c r="AK610" s="347" t="s">
        <v>276</v>
      </c>
      <c r="AL610" s="347" t="s">
        <v>276</v>
      </c>
      <c r="AM610" s="347" t="s">
        <v>276</v>
      </c>
      <c r="AN610" s="347" t="s">
        <v>276</v>
      </c>
      <c r="AO610" s="347" t="s">
        <v>276</v>
      </c>
      <c r="AP610" s="347" t="s">
        <v>276</v>
      </c>
      <c r="AQ610" s="347" t="s">
        <v>276</v>
      </c>
      <c r="AR610" s="357" t="s">
        <v>269</v>
      </c>
      <c r="AS610" s="356">
        <v>0.84</v>
      </c>
      <c r="AT610" s="356" t="s">
        <v>98</v>
      </c>
      <c r="AU610" s="356">
        <v>0.47</v>
      </c>
      <c r="AV610" s="356">
        <v>1.5</v>
      </c>
      <c r="AW610" s="357">
        <v>0.55600000000000005</v>
      </c>
      <c r="AX610" s="357" t="s">
        <v>282</v>
      </c>
      <c r="AY610" s="357" t="s">
        <v>98</v>
      </c>
      <c r="AZ610" s="357" t="s">
        <v>98</v>
      </c>
      <c r="BA610" s="357" t="s">
        <v>98</v>
      </c>
      <c r="BB610" s="357" t="s">
        <v>98</v>
      </c>
      <c r="BC610" s="351" t="s">
        <v>5312</v>
      </c>
      <c r="BD610" s="348"/>
      <c r="BE610" s="33" t="s">
        <v>100</v>
      </c>
      <c r="BF610" s="33" t="s">
        <v>98</v>
      </c>
    </row>
    <row r="611" spans="1:58" s="358" customFormat="1" ht="91" x14ac:dyDescent="0.3">
      <c r="A611" s="357">
        <v>10327</v>
      </c>
      <c r="B611" s="357" t="s">
        <v>5319</v>
      </c>
      <c r="C611" s="357" t="s">
        <v>88</v>
      </c>
      <c r="D611" s="351" t="s">
        <v>5320</v>
      </c>
      <c r="E611" s="357" t="s">
        <v>43</v>
      </c>
      <c r="F611" s="351" t="s">
        <v>4987</v>
      </c>
      <c r="G611" s="357" t="s">
        <v>225</v>
      </c>
      <c r="H611" s="357" t="s">
        <v>125</v>
      </c>
      <c r="I611" s="357" t="s">
        <v>114</v>
      </c>
      <c r="J611" s="351" t="s">
        <v>23</v>
      </c>
      <c r="K611" s="351" t="s">
        <v>5321</v>
      </c>
      <c r="L611" s="351" t="s">
        <v>5322</v>
      </c>
      <c r="M611" s="357" t="s">
        <v>261</v>
      </c>
      <c r="N611" s="372" t="s">
        <v>5168</v>
      </c>
      <c r="O611" s="360" t="s">
        <v>207</v>
      </c>
      <c r="P611" s="363">
        <v>41473</v>
      </c>
      <c r="Q611" s="351" t="s">
        <v>5323</v>
      </c>
      <c r="R611" s="373" t="s">
        <v>5324</v>
      </c>
      <c r="S611" s="373" t="s">
        <v>5325</v>
      </c>
      <c r="T611" s="351" t="s">
        <v>276</v>
      </c>
      <c r="U611" s="352">
        <v>2415</v>
      </c>
      <c r="V611" s="353">
        <v>1861</v>
      </c>
      <c r="W611" s="357" t="s">
        <v>276</v>
      </c>
      <c r="X611" s="357" t="s">
        <v>276</v>
      </c>
      <c r="Y611" s="357">
        <v>0</v>
      </c>
      <c r="Z611" s="357" t="s">
        <v>98</v>
      </c>
      <c r="AA611" s="357">
        <v>0</v>
      </c>
      <c r="AB611" s="357" t="s">
        <v>98</v>
      </c>
      <c r="AC611" s="351" t="s">
        <v>5326</v>
      </c>
      <c r="AD611" s="351" t="s">
        <v>1674</v>
      </c>
      <c r="AE611" s="347">
        <v>303</v>
      </c>
      <c r="AF611" s="347">
        <v>251</v>
      </c>
      <c r="AG611" s="352" t="s">
        <v>276</v>
      </c>
      <c r="AH611" s="352" t="s">
        <v>276</v>
      </c>
      <c r="AI611" s="355" t="s">
        <v>4995</v>
      </c>
      <c r="AJ611" s="359">
        <v>8.6</v>
      </c>
      <c r="AK611" s="369" t="s">
        <v>98</v>
      </c>
      <c r="AL611" s="354" t="s">
        <v>276</v>
      </c>
      <c r="AM611" s="354" t="s">
        <v>276</v>
      </c>
      <c r="AN611" s="356">
        <v>9.3800000000000008</v>
      </c>
      <c r="AO611" s="369" t="s">
        <v>98</v>
      </c>
      <c r="AP611" s="354" t="s">
        <v>276</v>
      </c>
      <c r="AQ611" s="354" t="s">
        <v>276</v>
      </c>
      <c r="AR611" s="357" t="s">
        <v>269</v>
      </c>
      <c r="AS611" s="356">
        <v>0.92</v>
      </c>
      <c r="AT611" s="356">
        <f>AJ611/AN611</f>
        <v>0.91684434968017048</v>
      </c>
      <c r="AU611" s="356">
        <v>0.78</v>
      </c>
      <c r="AV611" s="356">
        <v>1.08</v>
      </c>
      <c r="AW611" s="357" t="s">
        <v>276</v>
      </c>
      <c r="AX611" s="357" t="s">
        <v>282</v>
      </c>
      <c r="AY611" s="357" t="s">
        <v>98</v>
      </c>
      <c r="AZ611" s="357" t="s">
        <v>98</v>
      </c>
      <c r="BA611" s="357" t="s">
        <v>98</v>
      </c>
      <c r="BB611" s="357" t="s">
        <v>98</v>
      </c>
      <c r="BC611" s="351" t="s">
        <v>5327</v>
      </c>
      <c r="BD611" s="348"/>
      <c r="BE611" s="33" t="s">
        <v>100</v>
      </c>
      <c r="BF611" s="33" t="s">
        <v>98</v>
      </c>
    </row>
    <row r="612" spans="1:58" s="365" customFormat="1" ht="52" x14ac:dyDescent="0.3">
      <c r="A612" s="357">
        <v>10327</v>
      </c>
      <c r="B612" s="357" t="s">
        <v>5319</v>
      </c>
      <c r="C612" s="357" t="s">
        <v>88</v>
      </c>
      <c r="D612" s="351" t="s">
        <v>5328</v>
      </c>
      <c r="E612" s="357" t="s">
        <v>43</v>
      </c>
      <c r="F612" s="351" t="s">
        <v>4987</v>
      </c>
      <c r="G612" s="357" t="s">
        <v>225</v>
      </c>
      <c r="H612" s="357" t="s">
        <v>125</v>
      </c>
      <c r="I612" s="357" t="s">
        <v>114</v>
      </c>
      <c r="J612" s="351" t="s">
        <v>23</v>
      </c>
      <c r="K612" s="351" t="s">
        <v>5321</v>
      </c>
      <c r="L612" s="351" t="s">
        <v>5322</v>
      </c>
      <c r="M612" s="357" t="s">
        <v>261</v>
      </c>
      <c r="N612" s="372" t="s">
        <v>5168</v>
      </c>
      <c r="O612" s="360" t="s">
        <v>207</v>
      </c>
      <c r="P612" s="363">
        <v>41473</v>
      </c>
      <c r="Q612" s="351" t="s">
        <v>5323</v>
      </c>
      <c r="R612" s="373" t="s">
        <v>5324</v>
      </c>
      <c r="S612" s="373" t="s">
        <v>5325</v>
      </c>
      <c r="T612" s="351" t="s">
        <v>276</v>
      </c>
      <c r="U612" s="354">
        <v>2415</v>
      </c>
      <c r="V612" s="355">
        <v>1861</v>
      </c>
      <c r="W612" s="357" t="s">
        <v>276</v>
      </c>
      <c r="X612" s="357" t="s">
        <v>276</v>
      </c>
      <c r="Y612" s="357">
        <v>0</v>
      </c>
      <c r="Z612" s="357" t="s">
        <v>98</v>
      </c>
      <c r="AA612" s="357">
        <v>0</v>
      </c>
      <c r="AB612" s="357" t="s">
        <v>98</v>
      </c>
      <c r="AC612" s="351" t="s">
        <v>5326</v>
      </c>
      <c r="AD612" s="351" t="s">
        <v>5329</v>
      </c>
      <c r="AE612" s="357">
        <v>303</v>
      </c>
      <c r="AF612" s="357">
        <v>251</v>
      </c>
      <c r="AG612" s="354">
        <v>2415</v>
      </c>
      <c r="AH612" s="355">
        <v>1861</v>
      </c>
      <c r="AI612" s="355" t="s">
        <v>292</v>
      </c>
      <c r="AJ612" s="368">
        <v>12.5</v>
      </c>
      <c r="AK612" s="369">
        <f>AE612*100/AG612</f>
        <v>12.546583850931677</v>
      </c>
      <c r="AL612" s="354" t="s">
        <v>276</v>
      </c>
      <c r="AM612" s="354" t="s">
        <v>276</v>
      </c>
      <c r="AN612" s="368">
        <v>13.5</v>
      </c>
      <c r="AO612" s="369">
        <f>AF612*100/AH612</f>
        <v>13.487372380440624</v>
      </c>
      <c r="AP612" s="354" t="s">
        <v>276</v>
      </c>
      <c r="AQ612" s="354" t="s">
        <v>276</v>
      </c>
      <c r="AR612" s="357" t="s">
        <v>268</v>
      </c>
      <c r="AS612" s="356" t="s">
        <v>276</v>
      </c>
      <c r="AT612" s="356">
        <f>AK612/AO612</f>
        <v>0.93024671500334066</v>
      </c>
      <c r="AU612" s="356" t="s">
        <v>276</v>
      </c>
      <c r="AV612" s="356" t="s">
        <v>276</v>
      </c>
      <c r="AW612" s="357">
        <v>0.34</v>
      </c>
      <c r="AX612" s="357" t="s">
        <v>282</v>
      </c>
      <c r="AY612" s="357" t="s">
        <v>98</v>
      </c>
      <c r="AZ612" s="357" t="s">
        <v>98</v>
      </c>
      <c r="BA612" s="357" t="s">
        <v>98</v>
      </c>
      <c r="BB612" s="357" t="s">
        <v>98</v>
      </c>
      <c r="BC612" s="351" t="s">
        <v>5330</v>
      </c>
      <c r="BD612" s="364"/>
      <c r="BE612" s="33" t="s">
        <v>100</v>
      </c>
      <c r="BF612" s="33" t="s">
        <v>98</v>
      </c>
    </row>
    <row r="613" spans="1:58" s="358" customFormat="1" ht="117" x14ac:dyDescent="0.3">
      <c r="A613" s="357">
        <v>10327</v>
      </c>
      <c r="B613" s="357" t="s">
        <v>5319</v>
      </c>
      <c r="C613" s="357" t="s">
        <v>88</v>
      </c>
      <c r="D613" s="351" t="s">
        <v>5331</v>
      </c>
      <c r="E613" s="357" t="s">
        <v>43</v>
      </c>
      <c r="F613" s="351" t="s">
        <v>4987</v>
      </c>
      <c r="G613" s="357" t="s">
        <v>225</v>
      </c>
      <c r="H613" s="357" t="s">
        <v>125</v>
      </c>
      <c r="I613" s="357" t="s">
        <v>114</v>
      </c>
      <c r="J613" s="351" t="s">
        <v>24</v>
      </c>
      <c r="K613" s="351" t="s">
        <v>5321</v>
      </c>
      <c r="L613" s="351" t="s">
        <v>5322</v>
      </c>
      <c r="M613" s="357" t="s">
        <v>261</v>
      </c>
      <c r="N613" s="372" t="s">
        <v>5168</v>
      </c>
      <c r="O613" s="360" t="s">
        <v>207</v>
      </c>
      <c r="P613" s="363">
        <v>41473</v>
      </c>
      <c r="Q613" s="351" t="s">
        <v>5323</v>
      </c>
      <c r="R613" s="373" t="s">
        <v>5324</v>
      </c>
      <c r="S613" s="373" t="s">
        <v>5325</v>
      </c>
      <c r="T613" s="351" t="s">
        <v>276</v>
      </c>
      <c r="U613" s="354">
        <v>2415</v>
      </c>
      <c r="V613" s="355">
        <v>1861</v>
      </c>
      <c r="W613" s="357" t="s">
        <v>276</v>
      </c>
      <c r="X613" s="357" t="s">
        <v>276</v>
      </c>
      <c r="Y613" s="357" t="s">
        <v>276</v>
      </c>
      <c r="Z613" s="351" t="s">
        <v>1562</v>
      </c>
      <c r="AA613" s="357" t="s">
        <v>276</v>
      </c>
      <c r="AB613" s="351" t="s">
        <v>1562</v>
      </c>
      <c r="AC613" s="351" t="s">
        <v>5332</v>
      </c>
      <c r="AD613" s="351" t="s">
        <v>1674</v>
      </c>
      <c r="AE613" s="357">
        <v>5</v>
      </c>
      <c r="AF613" s="357">
        <v>5</v>
      </c>
      <c r="AG613" s="354" t="s">
        <v>276</v>
      </c>
      <c r="AH613" s="354" t="s">
        <v>276</v>
      </c>
      <c r="AI613" s="355" t="s">
        <v>4995</v>
      </c>
      <c r="AJ613" s="359">
        <v>0.14000000000000001</v>
      </c>
      <c r="AK613" s="369" t="s">
        <v>98</v>
      </c>
      <c r="AL613" s="356" t="s">
        <v>276</v>
      </c>
      <c r="AM613" s="356" t="s">
        <v>276</v>
      </c>
      <c r="AN613" s="356">
        <v>0.19</v>
      </c>
      <c r="AO613" s="369" t="s">
        <v>98</v>
      </c>
      <c r="AP613" s="356" t="s">
        <v>276</v>
      </c>
      <c r="AQ613" s="356" t="s">
        <v>276</v>
      </c>
      <c r="AR613" s="357" t="s">
        <v>269</v>
      </c>
      <c r="AS613" s="356">
        <v>0.76</v>
      </c>
      <c r="AT613" s="356">
        <f>AJ613/AN613</f>
        <v>0.73684210526315796</v>
      </c>
      <c r="AU613" s="356">
        <v>0.22</v>
      </c>
      <c r="AV613" s="356">
        <v>2.62</v>
      </c>
      <c r="AW613" s="357" t="s">
        <v>276</v>
      </c>
      <c r="AX613" s="357" t="s">
        <v>282</v>
      </c>
      <c r="AY613" s="357" t="s">
        <v>98</v>
      </c>
      <c r="AZ613" s="357" t="s">
        <v>98</v>
      </c>
      <c r="BA613" s="357" t="s">
        <v>98</v>
      </c>
      <c r="BB613" s="357" t="s">
        <v>98</v>
      </c>
      <c r="BC613" s="351" t="s">
        <v>5333</v>
      </c>
      <c r="BD613" s="348"/>
      <c r="BE613" s="33" t="s">
        <v>100</v>
      </c>
      <c r="BF613" s="33" t="s">
        <v>98</v>
      </c>
    </row>
    <row r="614" spans="1:58" s="365" customFormat="1" ht="117" x14ac:dyDescent="0.3">
      <c r="A614" s="357">
        <v>10327</v>
      </c>
      <c r="B614" s="357" t="s">
        <v>5319</v>
      </c>
      <c r="C614" s="357" t="s">
        <v>88</v>
      </c>
      <c r="D614" s="351" t="s">
        <v>5334</v>
      </c>
      <c r="E614" s="357" t="s">
        <v>43</v>
      </c>
      <c r="F614" s="351" t="s">
        <v>4987</v>
      </c>
      <c r="G614" s="357" t="s">
        <v>225</v>
      </c>
      <c r="H614" s="357" t="s">
        <v>125</v>
      </c>
      <c r="I614" s="357" t="s">
        <v>114</v>
      </c>
      <c r="J614" s="351" t="s">
        <v>24</v>
      </c>
      <c r="K614" s="351" t="s">
        <v>5321</v>
      </c>
      <c r="L614" s="351" t="s">
        <v>5322</v>
      </c>
      <c r="M614" s="357" t="s">
        <v>261</v>
      </c>
      <c r="N614" s="372" t="s">
        <v>5168</v>
      </c>
      <c r="O614" s="360" t="s">
        <v>207</v>
      </c>
      <c r="P614" s="363">
        <v>41473</v>
      </c>
      <c r="Q614" s="351" t="s">
        <v>5323</v>
      </c>
      <c r="R614" s="373" t="s">
        <v>5324</v>
      </c>
      <c r="S614" s="373" t="s">
        <v>5325</v>
      </c>
      <c r="T614" s="351" t="s">
        <v>276</v>
      </c>
      <c r="U614" s="354">
        <v>2415</v>
      </c>
      <c r="V614" s="355">
        <v>1861</v>
      </c>
      <c r="W614" s="357" t="s">
        <v>276</v>
      </c>
      <c r="X614" s="357" t="s">
        <v>276</v>
      </c>
      <c r="Y614" s="357" t="s">
        <v>276</v>
      </c>
      <c r="Z614" s="351" t="s">
        <v>1562</v>
      </c>
      <c r="AA614" s="357" t="s">
        <v>276</v>
      </c>
      <c r="AB614" s="351" t="s">
        <v>1562</v>
      </c>
      <c r="AC614" s="351" t="s">
        <v>5332</v>
      </c>
      <c r="AD614" s="351" t="s">
        <v>5329</v>
      </c>
      <c r="AE614" s="357">
        <v>5</v>
      </c>
      <c r="AF614" s="357">
        <v>5</v>
      </c>
      <c r="AG614" s="354">
        <v>2415</v>
      </c>
      <c r="AH614" s="355">
        <v>1861</v>
      </c>
      <c r="AI614" s="355" t="s">
        <v>292</v>
      </c>
      <c r="AJ614" s="356">
        <v>0.21</v>
      </c>
      <c r="AK614" s="369">
        <f>AE614*100/AG614</f>
        <v>0.20703933747412009</v>
      </c>
      <c r="AL614" s="354" t="s">
        <v>276</v>
      </c>
      <c r="AM614" s="354" t="s">
        <v>276</v>
      </c>
      <c r="AN614" s="356">
        <v>0.27</v>
      </c>
      <c r="AO614" s="369">
        <f>AF614*100/AH614</f>
        <v>0.26867275658248252</v>
      </c>
      <c r="AP614" s="356" t="s">
        <v>276</v>
      </c>
      <c r="AQ614" s="356" t="s">
        <v>276</v>
      </c>
      <c r="AR614" s="357" t="s">
        <v>268</v>
      </c>
      <c r="AS614" s="356" t="s">
        <v>276</v>
      </c>
      <c r="AT614" s="356">
        <f>AK614/AO614</f>
        <v>0.77060041407867508</v>
      </c>
      <c r="AU614" s="356" t="s">
        <v>276</v>
      </c>
      <c r="AV614" s="356" t="s">
        <v>276</v>
      </c>
      <c r="AW614" s="357">
        <v>0.67</v>
      </c>
      <c r="AX614" s="357" t="s">
        <v>282</v>
      </c>
      <c r="AY614" s="357" t="s">
        <v>98</v>
      </c>
      <c r="AZ614" s="357" t="s">
        <v>98</v>
      </c>
      <c r="BA614" s="357" t="s">
        <v>98</v>
      </c>
      <c r="BB614" s="357" t="s">
        <v>98</v>
      </c>
      <c r="BC614" s="351" t="s">
        <v>5333</v>
      </c>
      <c r="BD614" s="364"/>
      <c r="BE614" s="33" t="s">
        <v>100</v>
      </c>
      <c r="BF614" s="33" t="s">
        <v>98</v>
      </c>
    </row>
    <row r="615" spans="1:58" s="358" customFormat="1" ht="52" x14ac:dyDescent="0.3">
      <c r="A615" s="357">
        <v>10326</v>
      </c>
      <c r="B615" s="357" t="s">
        <v>5335</v>
      </c>
      <c r="C615" s="357" t="s">
        <v>88</v>
      </c>
      <c r="D615" s="351" t="s">
        <v>5336</v>
      </c>
      <c r="E615" s="357" t="s">
        <v>43</v>
      </c>
      <c r="F615" s="351" t="s">
        <v>4987</v>
      </c>
      <c r="G615" s="357" t="s">
        <v>225</v>
      </c>
      <c r="H615" s="357" t="s">
        <v>125</v>
      </c>
      <c r="I615" s="357" t="s">
        <v>114</v>
      </c>
      <c r="J615" s="351" t="s">
        <v>23</v>
      </c>
      <c r="K615" s="351" t="s">
        <v>5337</v>
      </c>
      <c r="L615" s="351" t="s">
        <v>5338</v>
      </c>
      <c r="M615" s="357" t="s">
        <v>261</v>
      </c>
      <c r="N615" s="372" t="s">
        <v>5168</v>
      </c>
      <c r="O615" s="360" t="s">
        <v>207</v>
      </c>
      <c r="P615" s="363">
        <v>41721</v>
      </c>
      <c r="Q615" s="351" t="s">
        <v>5339</v>
      </c>
      <c r="R615" s="373" t="s">
        <v>5340</v>
      </c>
      <c r="S615" s="373" t="s">
        <v>5341</v>
      </c>
      <c r="T615" s="351">
        <v>3</v>
      </c>
      <c r="U615" s="354">
        <v>2415</v>
      </c>
      <c r="V615" s="355">
        <v>1861</v>
      </c>
      <c r="W615" s="357" t="s">
        <v>276</v>
      </c>
      <c r="X615" s="357" t="s">
        <v>276</v>
      </c>
      <c r="Y615" s="357">
        <v>0</v>
      </c>
      <c r="Z615" s="357" t="s">
        <v>98</v>
      </c>
      <c r="AA615" s="357">
        <v>0</v>
      </c>
      <c r="AB615" s="357" t="s">
        <v>98</v>
      </c>
      <c r="AC615" s="351" t="s">
        <v>5342</v>
      </c>
      <c r="AD615" s="351" t="s">
        <v>1704</v>
      </c>
      <c r="AE615" s="357">
        <v>340</v>
      </c>
      <c r="AF615" s="357">
        <v>278</v>
      </c>
      <c r="AG615" s="354">
        <v>2415</v>
      </c>
      <c r="AH615" s="355">
        <v>1861</v>
      </c>
      <c r="AI615" s="354" t="s">
        <v>292</v>
      </c>
      <c r="AJ615" s="369">
        <v>0.14099999999999999</v>
      </c>
      <c r="AK615" s="369">
        <f>AE615/AG615</f>
        <v>0.14078674948240166</v>
      </c>
      <c r="AL615" s="356" t="s">
        <v>276</v>
      </c>
      <c r="AM615" s="356" t="s">
        <v>276</v>
      </c>
      <c r="AN615" s="369">
        <v>0.14899999999999999</v>
      </c>
      <c r="AO615" s="369">
        <f>AF615/AH615</f>
        <v>0.14938205265986029</v>
      </c>
      <c r="AP615" s="356" t="s">
        <v>276</v>
      </c>
      <c r="AQ615" s="356" t="s">
        <v>276</v>
      </c>
      <c r="AR615" s="357" t="s">
        <v>268</v>
      </c>
      <c r="AS615" s="356" t="s">
        <v>276</v>
      </c>
      <c r="AT615" s="356">
        <f t="shared" ref="AT615:AT619" si="73">AK615/AO615</f>
        <v>0.94246093808183273</v>
      </c>
      <c r="AU615" s="356" t="s">
        <v>276</v>
      </c>
      <c r="AV615" s="356" t="s">
        <v>276</v>
      </c>
      <c r="AW615" s="356" t="s">
        <v>276</v>
      </c>
      <c r="AX615" s="356" t="s">
        <v>282</v>
      </c>
      <c r="AY615" s="357" t="s">
        <v>98</v>
      </c>
      <c r="AZ615" s="357" t="s">
        <v>98</v>
      </c>
      <c r="BA615" s="357" t="s">
        <v>98</v>
      </c>
      <c r="BB615" s="357" t="s">
        <v>98</v>
      </c>
      <c r="BC615" s="351" t="s">
        <v>5343</v>
      </c>
      <c r="BD615" s="348"/>
      <c r="BE615" s="33" t="s">
        <v>100</v>
      </c>
      <c r="BF615" s="33" t="s">
        <v>98</v>
      </c>
    </row>
    <row r="616" spans="1:58" s="365" customFormat="1" ht="52" x14ac:dyDescent="0.3">
      <c r="A616" s="357">
        <v>10326</v>
      </c>
      <c r="B616" s="357" t="s">
        <v>5335</v>
      </c>
      <c r="C616" s="357" t="s">
        <v>88</v>
      </c>
      <c r="D616" s="351" t="s">
        <v>5344</v>
      </c>
      <c r="E616" s="357" t="s">
        <v>43</v>
      </c>
      <c r="F616" s="351" t="s">
        <v>4987</v>
      </c>
      <c r="G616" s="357" t="s">
        <v>225</v>
      </c>
      <c r="H616" s="357" t="s">
        <v>125</v>
      </c>
      <c r="I616" s="357" t="s">
        <v>114</v>
      </c>
      <c r="J616" s="351" t="s">
        <v>24</v>
      </c>
      <c r="K616" s="351" t="s">
        <v>5337</v>
      </c>
      <c r="L616" s="351" t="s">
        <v>5338</v>
      </c>
      <c r="M616" s="357" t="s">
        <v>261</v>
      </c>
      <c r="N616" s="372" t="s">
        <v>5168</v>
      </c>
      <c r="O616" s="360" t="s">
        <v>207</v>
      </c>
      <c r="P616" s="363">
        <v>41721</v>
      </c>
      <c r="Q616" s="351" t="s">
        <v>5339</v>
      </c>
      <c r="R616" s="373" t="s">
        <v>5340</v>
      </c>
      <c r="S616" s="373" t="s">
        <v>5341</v>
      </c>
      <c r="T616" s="351">
        <v>3</v>
      </c>
      <c r="U616" s="354">
        <v>2415</v>
      </c>
      <c r="V616" s="355">
        <v>1861</v>
      </c>
      <c r="W616" s="357" t="s">
        <v>276</v>
      </c>
      <c r="X616" s="357" t="s">
        <v>276</v>
      </c>
      <c r="Y616" s="357" t="s">
        <v>276</v>
      </c>
      <c r="Z616" s="351" t="s">
        <v>1562</v>
      </c>
      <c r="AA616" s="357" t="s">
        <v>276</v>
      </c>
      <c r="AB616" s="351" t="s">
        <v>1562</v>
      </c>
      <c r="AC616" s="351" t="s">
        <v>5345</v>
      </c>
      <c r="AD616" s="351" t="s">
        <v>1704</v>
      </c>
      <c r="AE616" s="357">
        <v>7</v>
      </c>
      <c r="AF616" s="357">
        <v>5</v>
      </c>
      <c r="AG616" s="354">
        <v>2415</v>
      </c>
      <c r="AH616" s="355">
        <v>1861</v>
      </c>
      <c r="AI616" s="354" t="s">
        <v>292</v>
      </c>
      <c r="AJ616" s="369" t="s">
        <v>276</v>
      </c>
      <c r="AK616" s="369">
        <f>AE616/AG616</f>
        <v>2.8985507246376812E-3</v>
      </c>
      <c r="AL616" s="356" t="s">
        <v>276</v>
      </c>
      <c r="AM616" s="356" t="s">
        <v>276</v>
      </c>
      <c r="AN616" s="369" t="s">
        <v>276</v>
      </c>
      <c r="AO616" s="369">
        <f>AF616/AH616</f>
        <v>2.6867275658248252E-3</v>
      </c>
      <c r="AP616" s="356" t="s">
        <v>276</v>
      </c>
      <c r="AQ616" s="356" t="s">
        <v>276</v>
      </c>
      <c r="AR616" s="357" t="s">
        <v>268</v>
      </c>
      <c r="AS616" s="356" t="s">
        <v>276</v>
      </c>
      <c r="AT616" s="356">
        <f t="shared" si="73"/>
        <v>1.078840579710145</v>
      </c>
      <c r="AU616" s="356" t="s">
        <v>276</v>
      </c>
      <c r="AV616" s="356" t="s">
        <v>276</v>
      </c>
      <c r="AW616" s="356" t="s">
        <v>276</v>
      </c>
      <c r="AX616" s="356" t="s">
        <v>282</v>
      </c>
      <c r="AY616" s="357" t="s">
        <v>98</v>
      </c>
      <c r="AZ616" s="357" t="s">
        <v>98</v>
      </c>
      <c r="BA616" s="357" t="s">
        <v>98</v>
      </c>
      <c r="BB616" s="357" t="s">
        <v>98</v>
      </c>
      <c r="BC616" s="351" t="s">
        <v>5346</v>
      </c>
      <c r="BD616" s="364"/>
      <c r="BE616" s="33" t="s">
        <v>100</v>
      </c>
      <c r="BF616" s="33" t="s">
        <v>98</v>
      </c>
    </row>
    <row r="617" spans="1:58" s="358" customFormat="1" ht="65" x14ac:dyDescent="0.3">
      <c r="A617" s="357">
        <v>10323</v>
      </c>
      <c r="B617" s="357" t="s">
        <v>5347</v>
      </c>
      <c r="C617" s="357" t="s">
        <v>88</v>
      </c>
      <c r="D617" s="351" t="s">
        <v>5348</v>
      </c>
      <c r="E617" s="357" t="s">
        <v>43</v>
      </c>
      <c r="F617" s="351" t="s">
        <v>4987</v>
      </c>
      <c r="G617" s="357" t="s">
        <v>225</v>
      </c>
      <c r="H617" s="357" t="s">
        <v>125</v>
      </c>
      <c r="I617" s="357" t="s">
        <v>114</v>
      </c>
      <c r="J617" s="351" t="s">
        <v>24</v>
      </c>
      <c r="K617" s="351" t="s">
        <v>5349</v>
      </c>
      <c r="L617" s="351" t="s">
        <v>5350</v>
      </c>
      <c r="M617" s="357" t="s">
        <v>261</v>
      </c>
      <c r="N617" s="372" t="s">
        <v>5168</v>
      </c>
      <c r="O617" s="360" t="s">
        <v>207</v>
      </c>
      <c r="P617" s="363">
        <v>43677</v>
      </c>
      <c r="Q617" s="351" t="s">
        <v>5351</v>
      </c>
      <c r="R617" s="373" t="s">
        <v>5352</v>
      </c>
      <c r="S617" s="373" t="s">
        <v>5353</v>
      </c>
      <c r="T617" s="348" t="s">
        <v>276</v>
      </c>
      <c r="U617" s="352">
        <v>2415</v>
      </c>
      <c r="V617" s="353">
        <v>1861</v>
      </c>
      <c r="W617" s="357" t="s">
        <v>276</v>
      </c>
      <c r="X617" s="357" t="s">
        <v>276</v>
      </c>
      <c r="Y617" s="357">
        <v>0</v>
      </c>
      <c r="Z617" s="357" t="s">
        <v>98</v>
      </c>
      <c r="AA617" s="357">
        <v>0</v>
      </c>
      <c r="AB617" s="357" t="s">
        <v>98</v>
      </c>
      <c r="AC617" s="351" t="s">
        <v>5354</v>
      </c>
      <c r="AD617" s="351" t="s">
        <v>1704</v>
      </c>
      <c r="AE617" s="347">
        <v>12</v>
      </c>
      <c r="AF617" s="347">
        <v>8</v>
      </c>
      <c r="AG617" s="352">
        <v>2415</v>
      </c>
      <c r="AH617" s="353">
        <v>1861</v>
      </c>
      <c r="AI617" s="354" t="s">
        <v>292</v>
      </c>
      <c r="AJ617" s="354" t="s">
        <v>276</v>
      </c>
      <c r="AK617" s="369">
        <f>AE617/AG617</f>
        <v>4.9689440993788822E-3</v>
      </c>
      <c r="AL617" s="356" t="s">
        <v>276</v>
      </c>
      <c r="AM617" s="356" t="s">
        <v>276</v>
      </c>
      <c r="AN617" s="369" t="s">
        <v>276</v>
      </c>
      <c r="AO617" s="369">
        <f>AF617/AH617</f>
        <v>4.2987641053197209E-3</v>
      </c>
      <c r="AP617" s="356" t="s">
        <v>276</v>
      </c>
      <c r="AQ617" s="356" t="s">
        <v>276</v>
      </c>
      <c r="AR617" s="357" t="s">
        <v>268</v>
      </c>
      <c r="AS617" s="356" t="s">
        <v>276</v>
      </c>
      <c r="AT617" s="356">
        <f t="shared" si="73"/>
        <v>1.1559006211180123</v>
      </c>
      <c r="AU617" s="356" t="s">
        <v>276</v>
      </c>
      <c r="AV617" s="356" t="s">
        <v>276</v>
      </c>
      <c r="AW617" s="369">
        <v>0.76800000000000002</v>
      </c>
      <c r="AX617" s="356" t="s">
        <v>282</v>
      </c>
      <c r="AY617" s="357" t="s">
        <v>98</v>
      </c>
      <c r="AZ617" s="357" t="s">
        <v>98</v>
      </c>
      <c r="BA617" s="357" t="s">
        <v>98</v>
      </c>
      <c r="BB617" s="357" t="s">
        <v>98</v>
      </c>
      <c r="BC617" s="351" t="s">
        <v>5355</v>
      </c>
      <c r="BD617" s="348"/>
      <c r="BE617" s="33" t="s">
        <v>100</v>
      </c>
      <c r="BF617" s="33" t="s">
        <v>98</v>
      </c>
    </row>
    <row r="618" spans="1:58" s="358" customFormat="1" ht="78" x14ac:dyDescent="0.3">
      <c r="A618" s="357">
        <v>10323</v>
      </c>
      <c r="B618" s="357" t="s">
        <v>5347</v>
      </c>
      <c r="C618" s="357" t="s">
        <v>88</v>
      </c>
      <c r="D618" s="351" t="s">
        <v>5356</v>
      </c>
      <c r="E618" s="357" t="s">
        <v>43</v>
      </c>
      <c r="F618" s="351" t="s">
        <v>4987</v>
      </c>
      <c r="G618" s="357" t="s">
        <v>225</v>
      </c>
      <c r="H618" s="357" t="s">
        <v>125</v>
      </c>
      <c r="I618" s="357" t="s">
        <v>114</v>
      </c>
      <c r="J618" s="351" t="s">
        <v>23</v>
      </c>
      <c r="K618" s="351" t="s">
        <v>5349</v>
      </c>
      <c r="L618" s="348" t="s">
        <v>5350</v>
      </c>
      <c r="M618" s="357" t="s">
        <v>261</v>
      </c>
      <c r="N618" s="372" t="s">
        <v>5168</v>
      </c>
      <c r="O618" s="360" t="s">
        <v>207</v>
      </c>
      <c r="P618" s="363">
        <v>43677</v>
      </c>
      <c r="Q618" s="351" t="s">
        <v>5351</v>
      </c>
      <c r="R618" s="373" t="s">
        <v>5352</v>
      </c>
      <c r="S618" s="373" t="s">
        <v>5353</v>
      </c>
      <c r="T618" s="348" t="s">
        <v>276</v>
      </c>
      <c r="U618" s="352">
        <v>2415</v>
      </c>
      <c r="V618" s="353">
        <v>1861</v>
      </c>
      <c r="W618" s="357" t="s">
        <v>276</v>
      </c>
      <c r="X618" s="357" t="s">
        <v>276</v>
      </c>
      <c r="Y618" s="357" t="s">
        <v>276</v>
      </c>
      <c r="Z618" s="351" t="s">
        <v>1562</v>
      </c>
      <c r="AA618" s="357" t="s">
        <v>276</v>
      </c>
      <c r="AB618" s="351" t="s">
        <v>1562</v>
      </c>
      <c r="AC618" s="351" t="s">
        <v>5357</v>
      </c>
      <c r="AD618" s="351" t="s">
        <v>1704</v>
      </c>
      <c r="AE618" s="347">
        <v>544</v>
      </c>
      <c r="AF618" s="347">
        <v>450</v>
      </c>
      <c r="AG618" s="352">
        <v>2415</v>
      </c>
      <c r="AH618" s="353">
        <v>1861</v>
      </c>
      <c r="AI618" s="354" t="s">
        <v>292</v>
      </c>
      <c r="AJ618" s="371">
        <v>0.22500000000000001</v>
      </c>
      <c r="AK618" s="369">
        <f>AE618/AG618</f>
        <v>0.22525879917184266</v>
      </c>
      <c r="AL618" s="356" t="s">
        <v>276</v>
      </c>
      <c r="AM618" s="356" t="s">
        <v>276</v>
      </c>
      <c r="AN618" s="369">
        <v>0.24199999999999999</v>
      </c>
      <c r="AO618" s="369">
        <f>AF618/AH618</f>
        <v>0.24180548092423429</v>
      </c>
      <c r="AP618" s="356" t="s">
        <v>276</v>
      </c>
      <c r="AQ618" s="356" t="s">
        <v>276</v>
      </c>
      <c r="AR618" s="357" t="s">
        <v>268</v>
      </c>
      <c r="AS618" s="356" t="s">
        <v>276</v>
      </c>
      <c r="AT618" s="356">
        <f t="shared" si="73"/>
        <v>0.93157027835288708</v>
      </c>
      <c r="AU618" s="356" t="s">
        <v>276</v>
      </c>
      <c r="AV618" s="356" t="s">
        <v>276</v>
      </c>
      <c r="AW618" s="357">
        <v>0.192</v>
      </c>
      <c r="AX618" s="356" t="s">
        <v>282</v>
      </c>
      <c r="AY618" s="357" t="s">
        <v>98</v>
      </c>
      <c r="AZ618" s="357" t="s">
        <v>98</v>
      </c>
      <c r="BA618" s="357" t="s">
        <v>98</v>
      </c>
      <c r="BB618" s="357" t="s">
        <v>98</v>
      </c>
      <c r="BC618" s="351" t="s">
        <v>5358</v>
      </c>
      <c r="BD618" s="348"/>
      <c r="BE618" s="33" t="s">
        <v>100</v>
      </c>
      <c r="BF618" s="33" t="s">
        <v>98</v>
      </c>
    </row>
    <row r="619" spans="1:58" s="358" customFormat="1" ht="52" x14ac:dyDescent="0.3">
      <c r="A619" s="357">
        <v>9995</v>
      </c>
      <c r="B619" s="357" t="s">
        <v>5359</v>
      </c>
      <c r="C619" s="357" t="s">
        <v>88</v>
      </c>
      <c r="D619" s="351" t="s">
        <v>5360</v>
      </c>
      <c r="E619" s="357" t="s">
        <v>43</v>
      </c>
      <c r="F619" s="351" t="s">
        <v>4987</v>
      </c>
      <c r="G619" s="357" t="s">
        <v>225</v>
      </c>
      <c r="H619" s="357" t="s">
        <v>125</v>
      </c>
      <c r="I619" s="357" t="s">
        <v>114</v>
      </c>
      <c r="J619" s="351" t="s">
        <v>23</v>
      </c>
      <c r="K619" s="351" t="s">
        <v>5361</v>
      </c>
      <c r="L619" s="374" t="s">
        <v>276</v>
      </c>
      <c r="M619" s="357" t="s">
        <v>261</v>
      </c>
      <c r="N619" s="372" t="s">
        <v>5168</v>
      </c>
      <c r="O619" s="360" t="s">
        <v>207</v>
      </c>
      <c r="P619" s="375" t="s">
        <v>5362</v>
      </c>
      <c r="Q619" s="351" t="s">
        <v>3010</v>
      </c>
      <c r="R619" s="348" t="s">
        <v>276</v>
      </c>
      <c r="S619" s="348" t="s">
        <v>276</v>
      </c>
      <c r="T619" s="351">
        <v>2</v>
      </c>
      <c r="U619" s="352">
        <v>2416</v>
      </c>
      <c r="V619" s="353">
        <v>1862</v>
      </c>
      <c r="W619" s="357" t="s">
        <v>276</v>
      </c>
      <c r="X619" s="357" t="s">
        <v>276</v>
      </c>
      <c r="Y619" s="357">
        <v>0</v>
      </c>
      <c r="Z619" s="357" t="s">
        <v>98</v>
      </c>
      <c r="AA619" s="357">
        <v>0</v>
      </c>
      <c r="AB619" s="357" t="s">
        <v>98</v>
      </c>
      <c r="AC619" s="351" t="s">
        <v>5363</v>
      </c>
      <c r="AD619" s="351" t="s">
        <v>1704</v>
      </c>
      <c r="AE619" s="347">
        <v>53</v>
      </c>
      <c r="AF619" s="347">
        <v>32</v>
      </c>
      <c r="AG619" s="352">
        <v>2416</v>
      </c>
      <c r="AH619" s="353">
        <v>1862</v>
      </c>
      <c r="AI619" s="354" t="s">
        <v>276</v>
      </c>
      <c r="AJ619" s="354" t="s">
        <v>276</v>
      </c>
      <c r="AK619" s="376">
        <f>AE619/AG619</f>
        <v>2.1937086092715233E-2</v>
      </c>
      <c r="AL619" s="354" t="s">
        <v>276</v>
      </c>
      <c r="AM619" s="354" t="s">
        <v>276</v>
      </c>
      <c r="AN619" s="354" t="s">
        <v>276</v>
      </c>
      <c r="AO619" s="376">
        <f>AF619/AH619</f>
        <v>1.7185821697099892E-2</v>
      </c>
      <c r="AP619" s="354" t="s">
        <v>276</v>
      </c>
      <c r="AQ619" s="354" t="s">
        <v>276</v>
      </c>
      <c r="AR619" s="357" t="s">
        <v>268</v>
      </c>
      <c r="AS619" s="354" t="s">
        <v>276</v>
      </c>
      <c r="AT619" s="377">
        <f t="shared" si="73"/>
        <v>1.2764641970198676</v>
      </c>
      <c r="AU619" s="354" t="s">
        <v>276</v>
      </c>
      <c r="AV619" s="354" t="s">
        <v>276</v>
      </c>
      <c r="AW619" s="354" t="s">
        <v>276</v>
      </c>
      <c r="AX619" s="354" t="s">
        <v>276</v>
      </c>
      <c r="AY619" s="354" t="s">
        <v>276</v>
      </c>
      <c r="AZ619" s="354" t="s">
        <v>276</v>
      </c>
      <c r="BA619" s="354" t="s">
        <v>276</v>
      </c>
      <c r="BB619" s="354" t="s">
        <v>276</v>
      </c>
      <c r="BC619" s="351" t="s">
        <v>5364</v>
      </c>
      <c r="BD619" s="348"/>
      <c r="BE619" s="33" t="s">
        <v>100</v>
      </c>
      <c r="BF619" s="33" t="s">
        <v>98</v>
      </c>
    </row>
    <row r="620" spans="1:58" s="358" customFormat="1" ht="52" x14ac:dyDescent="0.3">
      <c r="A620" s="357">
        <v>10639</v>
      </c>
      <c r="B620" s="357" t="s">
        <v>5365</v>
      </c>
      <c r="C620" s="357" t="s">
        <v>88</v>
      </c>
      <c r="D620" s="351" t="s">
        <v>5366</v>
      </c>
      <c r="E620" s="357" t="s">
        <v>43</v>
      </c>
      <c r="F620" s="351" t="s">
        <v>4987</v>
      </c>
      <c r="G620" s="357" t="s">
        <v>225</v>
      </c>
      <c r="H620" s="357" t="s">
        <v>125</v>
      </c>
      <c r="I620" s="357" t="s">
        <v>114</v>
      </c>
      <c r="J620" s="351" t="s">
        <v>23</v>
      </c>
      <c r="K620" s="351" t="s">
        <v>5367</v>
      </c>
      <c r="L620" s="348" t="s">
        <v>5368</v>
      </c>
      <c r="M620" s="357" t="s">
        <v>261</v>
      </c>
      <c r="N620" s="372" t="s">
        <v>5153</v>
      </c>
      <c r="O620" s="360" t="s">
        <v>207</v>
      </c>
      <c r="P620" s="363" t="s">
        <v>4991</v>
      </c>
      <c r="Q620" s="351" t="s">
        <v>98</v>
      </c>
      <c r="R620" s="348" t="s">
        <v>5126</v>
      </c>
      <c r="S620" s="348" t="s">
        <v>5126</v>
      </c>
      <c r="T620" s="348" t="s">
        <v>276</v>
      </c>
      <c r="U620" s="352">
        <v>21175</v>
      </c>
      <c r="V620" s="353">
        <v>21142</v>
      </c>
      <c r="W620" s="357" t="s">
        <v>276</v>
      </c>
      <c r="X620" s="357" t="s">
        <v>276</v>
      </c>
      <c r="Y620" s="357">
        <v>0</v>
      </c>
      <c r="Z620" s="357" t="s">
        <v>98</v>
      </c>
      <c r="AA620" s="357">
        <v>0</v>
      </c>
      <c r="AB620" s="357" t="s">
        <v>98</v>
      </c>
      <c r="AC620" s="351" t="s">
        <v>5369</v>
      </c>
      <c r="AD620" s="351" t="s">
        <v>1704</v>
      </c>
      <c r="AE620" s="347">
        <v>4077</v>
      </c>
      <c r="AF620" s="347">
        <v>3977</v>
      </c>
      <c r="AG620" s="352">
        <v>21175</v>
      </c>
      <c r="AH620" s="353">
        <v>21142</v>
      </c>
      <c r="AI620" s="354" t="s">
        <v>292</v>
      </c>
      <c r="AJ620" s="367">
        <v>19.2</v>
      </c>
      <c r="AK620" s="378">
        <f t="shared" ref="AK620" si="74">(AE620/AG620)*100</f>
        <v>19.253837072018889</v>
      </c>
      <c r="AL620" s="359" t="s">
        <v>276</v>
      </c>
      <c r="AM620" s="359" t="s">
        <v>276</v>
      </c>
      <c r="AN620" s="367">
        <v>18.8</v>
      </c>
      <c r="AO620" s="371">
        <f t="shared" ref="AO620" si="75">(AF620/AH620)*100</f>
        <v>18.81089773909753</v>
      </c>
      <c r="AP620" s="359" t="s">
        <v>276</v>
      </c>
      <c r="AQ620" s="359" t="s">
        <v>276</v>
      </c>
      <c r="AR620" s="357" t="s">
        <v>268</v>
      </c>
      <c r="AS620" s="356" t="s">
        <v>276</v>
      </c>
      <c r="AT620" s="356" t="s">
        <v>276</v>
      </c>
      <c r="AU620" s="356" t="s">
        <v>276</v>
      </c>
      <c r="AV620" s="356" t="s">
        <v>276</v>
      </c>
      <c r="AW620" s="356" t="s">
        <v>276</v>
      </c>
      <c r="AX620" s="356" t="s">
        <v>276</v>
      </c>
      <c r="AY620" s="356" t="s">
        <v>276</v>
      </c>
      <c r="AZ620" s="356" t="s">
        <v>276</v>
      </c>
      <c r="BA620" s="356" t="s">
        <v>276</v>
      </c>
      <c r="BB620" s="356" t="s">
        <v>276</v>
      </c>
      <c r="BC620" s="351" t="s">
        <v>5370</v>
      </c>
      <c r="BD620" s="348"/>
      <c r="BE620" s="33" t="s">
        <v>100</v>
      </c>
      <c r="BF620" s="33" t="s">
        <v>98</v>
      </c>
    </row>
    <row r="621" spans="1:58" s="358" customFormat="1" ht="117" x14ac:dyDescent="0.3">
      <c r="A621" s="357">
        <v>10639</v>
      </c>
      <c r="B621" s="357" t="s">
        <v>5365</v>
      </c>
      <c r="C621" s="357" t="s">
        <v>88</v>
      </c>
      <c r="D621" s="351" t="s">
        <v>5371</v>
      </c>
      <c r="E621" s="357" t="s">
        <v>43</v>
      </c>
      <c r="F621" s="351" t="s">
        <v>4987</v>
      </c>
      <c r="G621" s="357" t="s">
        <v>225</v>
      </c>
      <c r="H621" s="357" t="s">
        <v>125</v>
      </c>
      <c r="I621" s="357" t="s">
        <v>114</v>
      </c>
      <c r="J621" s="351" t="s">
        <v>23</v>
      </c>
      <c r="K621" s="351" t="s">
        <v>5367</v>
      </c>
      <c r="L621" s="348" t="s">
        <v>5368</v>
      </c>
      <c r="M621" s="357" t="s">
        <v>261</v>
      </c>
      <c r="N621" s="372" t="s">
        <v>5153</v>
      </c>
      <c r="O621" s="360" t="s">
        <v>207</v>
      </c>
      <c r="P621" s="363" t="s">
        <v>4991</v>
      </c>
      <c r="Q621" s="351" t="s">
        <v>98</v>
      </c>
      <c r="R621" s="348" t="s">
        <v>5126</v>
      </c>
      <c r="S621" s="348" t="s">
        <v>5126</v>
      </c>
      <c r="T621" s="348" t="s">
        <v>276</v>
      </c>
      <c r="U621" s="352">
        <v>21175</v>
      </c>
      <c r="V621" s="353">
        <v>21142</v>
      </c>
      <c r="W621" s="357" t="s">
        <v>276</v>
      </c>
      <c r="X621" s="357" t="s">
        <v>276</v>
      </c>
      <c r="Y621" s="357">
        <v>0</v>
      </c>
      <c r="Z621" s="357" t="s">
        <v>98</v>
      </c>
      <c r="AA621" s="357">
        <v>0</v>
      </c>
      <c r="AB621" s="357" t="s">
        <v>98</v>
      </c>
      <c r="AC621" s="351" t="s">
        <v>5369</v>
      </c>
      <c r="AD621" s="351" t="s">
        <v>1674</v>
      </c>
      <c r="AE621" s="357">
        <v>4077</v>
      </c>
      <c r="AF621" s="357">
        <v>3977</v>
      </c>
      <c r="AG621" s="354" t="s">
        <v>276</v>
      </c>
      <c r="AH621" s="354" t="s">
        <v>276</v>
      </c>
      <c r="AI621" s="355" t="s">
        <v>4995</v>
      </c>
      <c r="AJ621" s="356">
        <v>21.67</v>
      </c>
      <c r="AK621" s="379" t="s">
        <v>98</v>
      </c>
      <c r="AL621" s="356" t="s">
        <v>276</v>
      </c>
      <c r="AM621" s="356" t="s">
        <v>276</v>
      </c>
      <c r="AN621" s="356">
        <v>21.2</v>
      </c>
      <c r="AO621" s="379" t="s">
        <v>98</v>
      </c>
      <c r="AP621" s="356" t="s">
        <v>276</v>
      </c>
      <c r="AQ621" s="356" t="s">
        <v>276</v>
      </c>
      <c r="AR621" s="357" t="s">
        <v>269</v>
      </c>
      <c r="AS621" s="356">
        <v>1.02</v>
      </c>
      <c r="AT621" s="356">
        <f>AJ621/AN621</f>
        <v>1.0221698113207549</v>
      </c>
      <c r="AU621" s="356">
        <v>0.98</v>
      </c>
      <c r="AV621" s="356">
        <v>1.07</v>
      </c>
      <c r="AW621" s="357" t="s">
        <v>691</v>
      </c>
      <c r="AX621" s="357" t="s">
        <v>276</v>
      </c>
      <c r="AY621" s="357" t="s">
        <v>276</v>
      </c>
      <c r="AZ621" s="357" t="s">
        <v>276</v>
      </c>
      <c r="BA621" s="357" t="s">
        <v>276</v>
      </c>
      <c r="BB621" s="357" t="s">
        <v>276</v>
      </c>
      <c r="BC621" s="351" t="s">
        <v>5372</v>
      </c>
      <c r="BD621" s="348"/>
      <c r="BE621" s="33" t="s">
        <v>100</v>
      </c>
      <c r="BF621" s="33" t="s">
        <v>98</v>
      </c>
    </row>
    <row r="622" spans="1:58" s="358" customFormat="1" ht="104" x14ac:dyDescent="0.3">
      <c r="A622" s="357">
        <v>10639</v>
      </c>
      <c r="B622" s="357" t="s">
        <v>5365</v>
      </c>
      <c r="C622" s="357" t="s">
        <v>88</v>
      </c>
      <c r="D622" s="351" t="s">
        <v>5373</v>
      </c>
      <c r="E622" s="357" t="s">
        <v>43</v>
      </c>
      <c r="F622" s="351" t="s">
        <v>4987</v>
      </c>
      <c r="G622" s="357" t="s">
        <v>225</v>
      </c>
      <c r="H622" s="357" t="s">
        <v>125</v>
      </c>
      <c r="I622" s="357" t="s">
        <v>114</v>
      </c>
      <c r="J622" s="351" t="s">
        <v>24</v>
      </c>
      <c r="K622" s="351" t="s">
        <v>5374</v>
      </c>
      <c r="L622" s="351" t="s">
        <v>5368</v>
      </c>
      <c r="M622" s="357" t="s">
        <v>261</v>
      </c>
      <c r="N622" s="372" t="s">
        <v>5153</v>
      </c>
      <c r="O622" s="360" t="s">
        <v>207</v>
      </c>
      <c r="P622" s="363" t="s">
        <v>4991</v>
      </c>
      <c r="Q622" s="351" t="s">
        <v>98</v>
      </c>
      <c r="R622" s="348" t="s">
        <v>276</v>
      </c>
      <c r="S622" s="348" t="s">
        <v>276</v>
      </c>
      <c r="T622" s="348" t="s">
        <v>276</v>
      </c>
      <c r="U622" s="352">
        <v>21175</v>
      </c>
      <c r="V622" s="353">
        <v>21142</v>
      </c>
      <c r="W622" s="357" t="s">
        <v>276</v>
      </c>
      <c r="X622" s="357" t="s">
        <v>276</v>
      </c>
      <c r="Y622" s="357" t="s">
        <v>276</v>
      </c>
      <c r="Z622" s="351" t="s">
        <v>894</v>
      </c>
      <c r="AA622" s="357" t="s">
        <v>276</v>
      </c>
      <c r="AB622" s="351" t="s">
        <v>894</v>
      </c>
      <c r="AC622" s="351" t="s">
        <v>5375</v>
      </c>
      <c r="AD622" s="351" t="s">
        <v>1674</v>
      </c>
      <c r="AE622" s="354" t="s">
        <v>276</v>
      </c>
      <c r="AF622" s="354" t="s">
        <v>276</v>
      </c>
      <c r="AG622" s="354" t="s">
        <v>276</v>
      </c>
      <c r="AH622" s="354" t="s">
        <v>276</v>
      </c>
      <c r="AI622" s="355" t="s">
        <v>4995</v>
      </c>
      <c r="AJ622" s="356">
        <v>0.42</v>
      </c>
      <c r="AK622" s="379" t="s">
        <v>98</v>
      </c>
      <c r="AL622" s="356" t="s">
        <v>276</v>
      </c>
      <c r="AM622" s="356" t="s">
        <v>276</v>
      </c>
      <c r="AN622" s="356">
        <v>0.48</v>
      </c>
      <c r="AO622" s="379" t="s">
        <v>98</v>
      </c>
      <c r="AP622" s="356" t="s">
        <v>276</v>
      </c>
      <c r="AQ622" s="356" t="s">
        <v>276</v>
      </c>
      <c r="AR622" s="357" t="s">
        <v>269</v>
      </c>
      <c r="AS622" s="356">
        <v>0.86</v>
      </c>
      <c r="AT622" s="356">
        <f>AJ622/AN622</f>
        <v>0.875</v>
      </c>
      <c r="AU622" s="356">
        <v>0.64</v>
      </c>
      <c r="AV622" s="356">
        <v>1.17</v>
      </c>
      <c r="AW622" s="357" t="s">
        <v>691</v>
      </c>
      <c r="AX622" s="357" t="s">
        <v>276</v>
      </c>
      <c r="AY622" s="357" t="s">
        <v>276</v>
      </c>
      <c r="AZ622" s="357" t="s">
        <v>276</v>
      </c>
      <c r="BA622" s="357" t="s">
        <v>276</v>
      </c>
      <c r="BB622" s="357" t="s">
        <v>276</v>
      </c>
      <c r="BC622" s="351" t="s">
        <v>5376</v>
      </c>
      <c r="BD622" s="348"/>
      <c r="BE622" s="33" t="s">
        <v>100</v>
      </c>
      <c r="BF622" s="33" t="s">
        <v>98</v>
      </c>
    </row>
    <row r="623" spans="1:58" s="365" customFormat="1" ht="78" x14ac:dyDescent="0.3">
      <c r="A623" s="357">
        <v>10639</v>
      </c>
      <c r="B623" s="357" t="s">
        <v>5365</v>
      </c>
      <c r="C623" s="357" t="s">
        <v>88</v>
      </c>
      <c r="D623" s="351" t="s">
        <v>5377</v>
      </c>
      <c r="E623" s="357" t="s">
        <v>43</v>
      </c>
      <c r="F623" s="351" t="s">
        <v>4987</v>
      </c>
      <c r="G623" s="357" t="s">
        <v>225</v>
      </c>
      <c r="H623" s="357" t="s">
        <v>125</v>
      </c>
      <c r="I623" s="357" t="s">
        <v>114</v>
      </c>
      <c r="J623" s="351" t="s">
        <v>24</v>
      </c>
      <c r="K623" s="351" t="s">
        <v>5374</v>
      </c>
      <c r="L623" s="351" t="s">
        <v>5368</v>
      </c>
      <c r="M623" s="357" t="s">
        <v>259</v>
      </c>
      <c r="N623" s="360" t="s">
        <v>5378</v>
      </c>
      <c r="O623" s="360" t="s">
        <v>207</v>
      </c>
      <c r="P623" s="363" t="s">
        <v>4991</v>
      </c>
      <c r="Q623" s="351" t="s">
        <v>98</v>
      </c>
      <c r="R623" s="351" t="s">
        <v>5126</v>
      </c>
      <c r="S623" s="351" t="s">
        <v>5126</v>
      </c>
      <c r="T623" s="351" t="s">
        <v>276</v>
      </c>
      <c r="U623" s="354">
        <v>13653</v>
      </c>
      <c r="V623" s="355">
        <v>13598</v>
      </c>
      <c r="W623" s="357" t="s">
        <v>276</v>
      </c>
      <c r="X623" s="357" t="s">
        <v>276</v>
      </c>
      <c r="Y623" s="357" t="s">
        <v>276</v>
      </c>
      <c r="Z623" s="351" t="s">
        <v>894</v>
      </c>
      <c r="AA623" s="357" t="s">
        <v>276</v>
      </c>
      <c r="AB623" s="351" t="s">
        <v>894</v>
      </c>
      <c r="AC623" s="351" t="s">
        <v>5379</v>
      </c>
      <c r="AD623" s="351" t="s">
        <v>1674</v>
      </c>
      <c r="AE623" s="354" t="s">
        <v>276</v>
      </c>
      <c r="AF623" s="354" t="s">
        <v>276</v>
      </c>
      <c r="AG623" s="354" t="s">
        <v>276</v>
      </c>
      <c r="AH623" s="354" t="s">
        <v>276</v>
      </c>
      <c r="AI623" s="355" t="s">
        <v>4995</v>
      </c>
      <c r="AJ623" s="356">
        <v>0.19</v>
      </c>
      <c r="AK623" s="379" t="s">
        <v>98</v>
      </c>
      <c r="AL623" s="356" t="s">
        <v>276</v>
      </c>
      <c r="AM623" s="356" t="s">
        <v>276</v>
      </c>
      <c r="AN623" s="356">
        <v>0.25</v>
      </c>
      <c r="AO623" s="379" t="s">
        <v>98</v>
      </c>
      <c r="AP623" s="356" t="s">
        <v>276</v>
      </c>
      <c r="AQ623" s="356" t="s">
        <v>276</v>
      </c>
      <c r="AR623" s="357" t="s">
        <v>269</v>
      </c>
      <c r="AS623" s="356" t="s">
        <v>276</v>
      </c>
      <c r="AT623" s="356">
        <f>AJ623/AN623</f>
        <v>0.76</v>
      </c>
      <c r="AU623" s="356" t="s">
        <v>276</v>
      </c>
      <c r="AV623" s="356" t="s">
        <v>276</v>
      </c>
      <c r="AW623" s="357" t="s">
        <v>276</v>
      </c>
      <c r="AX623" s="357" t="s">
        <v>276</v>
      </c>
      <c r="AY623" s="357" t="s">
        <v>276</v>
      </c>
      <c r="AZ623" s="357" t="s">
        <v>276</v>
      </c>
      <c r="BA623" s="357" t="s">
        <v>276</v>
      </c>
      <c r="BB623" s="357" t="s">
        <v>276</v>
      </c>
      <c r="BC623" s="351" t="s">
        <v>1029</v>
      </c>
      <c r="BD623" s="364"/>
      <c r="BE623" s="33" t="s">
        <v>100</v>
      </c>
      <c r="BF623" s="33" t="s">
        <v>98</v>
      </c>
    </row>
    <row r="624" spans="1:58" s="365" customFormat="1" ht="78" x14ac:dyDescent="0.3">
      <c r="A624" s="357">
        <v>10639</v>
      </c>
      <c r="B624" s="357" t="s">
        <v>5365</v>
      </c>
      <c r="C624" s="357" t="s">
        <v>88</v>
      </c>
      <c r="D624" s="351" t="s">
        <v>5380</v>
      </c>
      <c r="E624" s="357" t="s">
        <v>43</v>
      </c>
      <c r="F624" s="351" t="s">
        <v>4987</v>
      </c>
      <c r="G624" s="357" t="s">
        <v>225</v>
      </c>
      <c r="H624" s="357" t="s">
        <v>125</v>
      </c>
      <c r="I624" s="357" t="s">
        <v>114</v>
      </c>
      <c r="J624" s="351" t="s">
        <v>24</v>
      </c>
      <c r="K624" s="351" t="s">
        <v>5374</v>
      </c>
      <c r="L624" s="351" t="s">
        <v>5368</v>
      </c>
      <c r="M624" s="357" t="s">
        <v>259</v>
      </c>
      <c r="N624" s="360" t="s">
        <v>5381</v>
      </c>
      <c r="O624" s="360" t="s">
        <v>207</v>
      </c>
      <c r="P624" s="363" t="s">
        <v>4991</v>
      </c>
      <c r="Q624" s="351" t="s">
        <v>98</v>
      </c>
      <c r="R624" s="351" t="s">
        <v>5126</v>
      </c>
      <c r="S624" s="351" t="s">
        <v>5126</v>
      </c>
      <c r="T624" s="351" t="s">
        <v>276</v>
      </c>
      <c r="U624" s="354">
        <v>7522</v>
      </c>
      <c r="V624" s="355">
        <v>7544</v>
      </c>
      <c r="W624" s="357" t="s">
        <v>276</v>
      </c>
      <c r="X624" s="357" t="s">
        <v>276</v>
      </c>
      <c r="Y624" s="357" t="s">
        <v>276</v>
      </c>
      <c r="Z624" s="351" t="s">
        <v>894</v>
      </c>
      <c r="AA624" s="357" t="s">
        <v>276</v>
      </c>
      <c r="AB624" s="351" t="s">
        <v>894</v>
      </c>
      <c r="AC624" s="351" t="s">
        <v>5382</v>
      </c>
      <c r="AD624" s="351" t="s">
        <v>1674</v>
      </c>
      <c r="AE624" s="354" t="s">
        <v>276</v>
      </c>
      <c r="AF624" s="354" t="s">
        <v>276</v>
      </c>
      <c r="AG624" s="354" t="s">
        <v>276</v>
      </c>
      <c r="AH624" s="354" t="s">
        <v>276</v>
      </c>
      <c r="AI624" s="355" t="s">
        <v>4995</v>
      </c>
      <c r="AJ624" s="356">
        <v>0.83</v>
      </c>
      <c r="AK624" s="379" t="s">
        <v>98</v>
      </c>
      <c r="AL624" s="356" t="s">
        <v>276</v>
      </c>
      <c r="AM624" s="356" t="s">
        <v>276</v>
      </c>
      <c r="AN624" s="356">
        <v>0.89</v>
      </c>
      <c r="AO624" s="379" t="s">
        <v>98</v>
      </c>
      <c r="AP624" s="356" t="s">
        <v>276</v>
      </c>
      <c r="AQ624" s="356" t="s">
        <v>276</v>
      </c>
      <c r="AR624" s="357" t="s">
        <v>269</v>
      </c>
      <c r="AS624" s="356" t="s">
        <v>276</v>
      </c>
      <c r="AT624" s="356">
        <f>AJ624/AN624</f>
        <v>0.93258426966292129</v>
      </c>
      <c r="AU624" s="356" t="s">
        <v>276</v>
      </c>
      <c r="AV624" s="356" t="s">
        <v>276</v>
      </c>
      <c r="AW624" s="357" t="s">
        <v>276</v>
      </c>
      <c r="AX624" s="357" t="s">
        <v>276</v>
      </c>
      <c r="AY624" s="357" t="s">
        <v>276</v>
      </c>
      <c r="AZ624" s="357" t="s">
        <v>276</v>
      </c>
      <c r="BA624" s="357" t="s">
        <v>276</v>
      </c>
      <c r="BB624" s="357" t="s">
        <v>276</v>
      </c>
      <c r="BC624" s="351" t="s">
        <v>1029</v>
      </c>
      <c r="BD624" s="364"/>
      <c r="BE624" s="33" t="s">
        <v>100</v>
      </c>
      <c r="BF624" s="33" t="s">
        <v>98</v>
      </c>
    </row>
    <row r="625" spans="1:58" s="365" customFormat="1" ht="65" x14ac:dyDescent="0.3">
      <c r="A625" s="357">
        <v>10483</v>
      </c>
      <c r="B625" s="357" t="s">
        <v>5383</v>
      </c>
      <c r="C625" s="357" t="s">
        <v>88</v>
      </c>
      <c r="D625" s="351" t="s">
        <v>5384</v>
      </c>
      <c r="E625" s="357" t="s">
        <v>43</v>
      </c>
      <c r="F625" s="351" t="s">
        <v>4987</v>
      </c>
      <c r="G625" s="357" t="s">
        <v>225</v>
      </c>
      <c r="H625" s="357" t="s">
        <v>125</v>
      </c>
      <c r="I625" s="357" t="s">
        <v>114</v>
      </c>
      <c r="J625" s="351" t="s">
        <v>24</v>
      </c>
      <c r="K625" s="351" t="s">
        <v>5385</v>
      </c>
      <c r="L625" s="351" t="s">
        <v>276</v>
      </c>
      <c r="M625" s="357" t="s">
        <v>259</v>
      </c>
      <c r="N625" s="360" t="s">
        <v>5386</v>
      </c>
      <c r="O625" s="360" t="s">
        <v>207</v>
      </c>
      <c r="P625" s="363" t="s">
        <v>5201</v>
      </c>
      <c r="Q625" s="351" t="s">
        <v>98</v>
      </c>
      <c r="R625" s="806" t="s">
        <v>5387</v>
      </c>
      <c r="S625" s="806"/>
      <c r="T625" s="351" t="s">
        <v>276</v>
      </c>
      <c r="U625" s="354">
        <v>20985</v>
      </c>
      <c r="V625" s="351">
        <v>20917</v>
      </c>
      <c r="W625" s="357" t="s">
        <v>276</v>
      </c>
      <c r="X625" s="357" t="s">
        <v>276</v>
      </c>
      <c r="Y625" s="357" t="s">
        <v>276</v>
      </c>
      <c r="Z625" s="351" t="s">
        <v>894</v>
      </c>
      <c r="AA625" s="357" t="s">
        <v>276</v>
      </c>
      <c r="AB625" s="351" t="s">
        <v>894</v>
      </c>
      <c r="AC625" s="351" t="s">
        <v>5388</v>
      </c>
      <c r="AD625" s="351" t="s">
        <v>1704</v>
      </c>
      <c r="AE625" s="354">
        <v>151</v>
      </c>
      <c r="AF625" s="354">
        <v>188</v>
      </c>
      <c r="AG625" s="354">
        <v>20985</v>
      </c>
      <c r="AH625" s="351">
        <v>20917</v>
      </c>
      <c r="AI625" s="355" t="s">
        <v>690</v>
      </c>
      <c r="AJ625" s="381">
        <v>7</v>
      </c>
      <c r="AK625" s="382">
        <f>AE625*1000/AG625</f>
        <v>7.1956159161305697</v>
      </c>
      <c r="AL625" s="356" t="s">
        <v>276</v>
      </c>
      <c r="AM625" s="356" t="s">
        <v>276</v>
      </c>
      <c r="AN625" s="381">
        <v>9</v>
      </c>
      <c r="AO625" s="382">
        <f>AF625*1000/AH625</f>
        <v>8.9879045752258921</v>
      </c>
      <c r="AP625" s="356" t="s">
        <v>276</v>
      </c>
      <c r="AQ625" s="356" t="s">
        <v>276</v>
      </c>
      <c r="AR625" s="357" t="s">
        <v>268</v>
      </c>
      <c r="AS625" s="369">
        <v>0.8</v>
      </c>
      <c r="AT625" s="356">
        <f>AK625/AO625</f>
        <v>0.80058881977501672</v>
      </c>
      <c r="AU625" s="369">
        <v>0.64600000000000002</v>
      </c>
      <c r="AV625" s="369">
        <v>0.99199999999999999</v>
      </c>
      <c r="AW625" s="369">
        <v>4.2000000000000003E-2</v>
      </c>
      <c r="AX625" s="357" t="s">
        <v>282</v>
      </c>
      <c r="AY625" s="357" t="s">
        <v>98</v>
      </c>
      <c r="AZ625" s="357" t="s">
        <v>98</v>
      </c>
      <c r="BA625" s="357" t="s">
        <v>98</v>
      </c>
      <c r="BB625" s="357" t="s">
        <v>98</v>
      </c>
      <c r="BC625" s="351" t="s">
        <v>5389</v>
      </c>
      <c r="BD625" s="364"/>
      <c r="BE625" s="33" t="s">
        <v>100</v>
      </c>
      <c r="BF625" s="33" t="s">
        <v>98</v>
      </c>
    </row>
    <row r="626" spans="1:58" s="365" customFormat="1" ht="52" x14ac:dyDescent="0.3">
      <c r="A626" s="357">
        <v>10483</v>
      </c>
      <c r="B626" s="357" t="s">
        <v>5383</v>
      </c>
      <c r="C626" s="357" t="s">
        <v>88</v>
      </c>
      <c r="D626" s="351" t="s">
        <v>5390</v>
      </c>
      <c r="E626" s="357" t="s">
        <v>43</v>
      </c>
      <c r="F626" s="351" t="s">
        <v>4987</v>
      </c>
      <c r="G626" s="357" t="s">
        <v>225</v>
      </c>
      <c r="H626" s="357" t="s">
        <v>125</v>
      </c>
      <c r="I626" s="357" t="s">
        <v>114</v>
      </c>
      <c r="J626" s="351" t="s">
        <v>24</v>
      </c>
      <c r="K626" s="351" t="s">
        <v>5385</v>
      </c>
      <c r="L626" s="351" t="s">
        <v>276</v>
      </c>
      <c r="M626" s="357" t="s">
        <v>259</v>
      </c>
      <c r="N626" s="360" t="s">
        <v>5072</v>
      </c>
      <c r="O626" s="360" t="s">
        <v>207</v>
      </c>
      <c r="P626" s="363" t="s">
        <v>5201</v>
      </c>
      <c r="Q626" s="351" t="s">
        <v>98</v>
      </c>
      <c r="R626" s="806" t="s">
        <v>5126</v>
      </c>
      <c r="S626" s="806"/>
      <c r="T626" s="351" t="s">
        <v>276</v>
      </c>
      <c r="U626" s="354">
        <v>17443</v>
      </c>
      <c r="V626" s="351">
        <v>17390</v>
      </c>
      <c r="W626" s="357" t="s">
        <v>276</v>
      </c>
      <c r="X626" s="357" t="s">
        <v>276</v>
      </c>
      <c r="Y626" s="357" t="s">
        <v>276</v>
      </c>
      <c r="Z626" s="351" t="s">
        <v>894</v>
      </c>
      <c r="AA626" s="357" t="s">
        <v>276</v>
      </c>
      <c r="AB626" s="351" t="s">
        <v>894</v>
      </c>
      <c r="AC626" s="351" t="s">
        <v>5391</v>
      </c>
      <c r="AD626" s="351" t="s">
        <v>1704</v>
      </c>
      <c r="AE626" s="354" t="s">
        <v>276</v>
      </c>
      <c r="AF626" s="354" t="s">
        <v>276</v>
      </c>
      <c r="AG626" s="354">
        <v>17443</v>
      </c>
      <c r="AH626" s="351">
        <v>17390</v>
      </c>
      <c r="AI626" s="355" t="s">
        <v>690</v>
      </c>
      <c r="AJ626" s="381" t="s">
        <v>276</v>
      </c>
      <c r="AK626" s="382" t="s">
        <v>98</v>
      </c>
      <c r="AL626" s="356" t="s">
        <v>276</v>
      </c>
      <c r="AM626" s="356" t="s">
        <v>276</v>
      </c>
      <c r="AN626" s="381" t="s">
        <v>276</v>
      </c>
      <c r="AO626" s="382" t="s">
        <v>98</v>
      </c>
      <c r="AP626" s="356" t="s">
        <v>276</v>
      </c>
      <c r="AQ626" s="356" t="s">
        <v>276</v>
      </c>
      <c r="AR626" s="357" t="s">
        <v>268</v>
      </c>
      <c r="AS626" s="369">
        <v>0.68400000000000005</v>
      </c>
      <c r="AT626" s="356" t="s">
        <v>98</v>
      </c>
      <c r="AU626" s="369">
        <v>0.52700000000000002</v>
      </c>
      <c r="AV626" s="369">
        <v>0.88600000000000001</v>
      </c>
      <c r="AW626" s="369">
        <v>4.0000000000000001E-3</v>
      </c>
      <c r="AX626" s="357" t="s">
        <v>282</v>
      </c>
      <c r="AY626" s="357" t="s">
        <v>98</v>
      </c>
      <c r="AZ626" s="357" t="s">
        <v>98</v>
      </c>
      <c r="BA626" s="357" t="s">
        <v>98</v>
      </c>
      <c r="BB626" s="357" t="s">
        <v>98</v>
      </c>
      <c r="BC626" s="351" t="s">
        <v>5392</v>
      </c>
      <c r="BD626" s="364"/>
      <c r="BE626" s="33" t="s">
        <v>100</v>
      </c>
      <c r="BF626" s="33" t="s">
        <v>98</v>
      </c>
    </row>
    <row r="627" spans="1:58" s="365" customFormat="1" ht="52" x14ac:dyDescent="0.3">
      <c r="A627" s="357">
        <v>10483</v>
      </c>
      <c r="B627" s="357" t="s">
        <v>5383</v>
      </c>
      <c r="C627" s="357" t="s">
        <v>88</v>
      </c>
      <c r="D627" s="351" t="s">
        <v>5393</v>
      </c>
      <c r="E627" s="357" t="s">
        <v>43</v>
      </c>
      <c r="F627" s="351" t="s">
        <v>4987</v>
      </c>
      <c r="G627" s="357" t="s">
        <v>225</v>
      </c>
      <c r="H627" s="357" t="s">
        <v>125</v>
      </c>
      <c r="I627" s="357" t="s">
        <v>114</v>
      </c>
      <c r="J627" s="351" t="s">
        <v>24</v>
      </c>
      <c r="K627" s="351" t="s">
        <v>5385</v>
      </c>
      <c r="L627" s="351" t="s">
        <v>276</v>
      </c>
      <c r="M627" s="357" t="s">
        <v>259</v>
      </c>
      <c r="N627" s="360" t="s">
        <v>5394</v>
      </c>
      <c r="O627" s="360" t="s">
        <v>207</v>
      </c>
      <c r="P627" s="363" t="s">
        <v>5201</v>
      </c>
      <c r="Q627" s="351" t="s">
        <v>98</v>
      </c>
      <c r="R627" s="806" t="s">
        <v>5126</v>
      </c>
      <c r="S627" s="806"/>
      <c r="T627" s="351" t="s">
        <v>276</v>
      </c>
      <c r="U627" s="354">
        <f>20985-17443</f>
        <v>3542</v>
      </c>
      <c r="V627" s="351">
        <f>20917-17390</f>
        <v>3527</v>
      </c>
      <c r="W627" s="357" t="s">
        <v>276</v>
      </c>
      <c r="X627" s="357" t="s">
        <v>276</v>
      </c>
      <c r="Y627" s="357" t="s">
        <v>276</v>
      </c>
      <c r="Z627" s="351" t="s">
        <v>894</v>
      </c>
      <c r="AA627" s="357" t="s">
        <v>276</v>
      </c>
      <c r="AB627" s="351" t="s">
        <v>894</v>
      </c>
      <c r="AC627" s="351" t="s">
        <v>5395</v>
      </c>
      <c r="AD627" s="351" t="s">
        <v>1704</v>
      </c>
      <c r="AE627" s="354" t="s">
        <v>276</v>
      </c>
      <c r="AF627" s="354" t="s">
        <v>276</v>
      </c>
      <c r="AG627" s="354">
        <f>20985-17443</f>
        <v>3542</v>
      </c>
      <c r="AH627" s="351">
        <f>20917-17390</f>
        <v>3527</v>
      </c>
      <c r="AI627" s="355" t="s">
        <v>690</v>
      </c>
      <c r="AJ627" s="381" t="s">
        <v>276</v>
      </c>
      <c r="AK627" s="382" t="s">
        <v>98</v>
      </c>
      <c r="AL627" s="356" t="s">
        <v>276</v>
      </c>
      <c r="AM627" s="356" t="s">
        <v>276</v>
      </c>
      <c r="AN627" s="381" t="s">
        <v>276</v>
      </c>
      <c r="AO627" s="382" t="s">
        <v>98</v>
      </c>
      <c r="AP627" s="356" t="s">
        <v>276</v>
      </c>
      <c r="AQ627" s="356" t="s">
        <v>276</v>
      </c>
      <c r="AR627" s="357" t="s">
        <v>268</v>
      </c>
      <c r="AS627" s="369">
        <v>1.141</v>
      </c>
      <c r="AT627" s="356" t="s">
        <v>98</v>
      </c>
      <c r="AU627" s="369">
        <v>0.77500000000000002</v>
      </c>
      <c r="AV627" s="369">
        <v>1.68</v>
      </c>
      <c r="AW627" s="369">
        <v>0.504</v>
      </c>
      <c r="AX627" s="357" t="s">
        <v>282</v>
      </c>
      <c r="AY627" s="357" t="s">
        <v>98</v>
      </c>
      <c r="AZ627" s="357" t="s">
        <v>98</v>
      </c>
      <c r="BA627" s="357" t="s">
        <v>98</v>
      </c>
      <c r="BB627" s="357" t="s">
        <v>98</v>
      </c>
      <c r="BC627" s="351" t="s">
        <v>1020</v>
      </c>
      <c r="BD627" s="364"/>
      <c r="BE627" s="33" t="s">
        <v>100</v>
      </c>
      <c r="BF627" s="33" t="s">
        <v>98</v>
      </c>
    </row>
    <row r="628" spans="1:58" s="358" customFormat="1" ht="91" x14ac:dyDescent="0.3">
      <c r="A628" s="357">
        <v>10256</v>
      </c>
      <c r="B628" s="357" t="s">
        <v>5396</v>
      </c>
      <c r="C628" s="357" t="s">
        <v>88</v>
      </c>
      <c r="D628" s="351" t="s">
        <v>5397</v>
      </c>
      <c r="E628" s="357" t="s">
        <v>43</v>
      </c>
      <c r="F628" s="351" t="s">
        <v>4987</v>
      </c>
      <c r="G628" s="357" t="s">
        <v>225</v>
      </c>
      <c r="H628" s="357" t="s">
        <v>125</v>
      </c>
      <c r="I628" s="357" t="s">
        <v>114</v>
      </c>
      <c r="J628" s="351" t="s">
        <v>23</v>
      </c>
      <c r="K628" s="351" t="s">
        <v>5398</v>
      </c>
      <c r="L628" s="351" t="s">
        <v>5399</v>
      </c>
      <c r="M628" s="357" t="s">
        <v>261</v>
      </c>
      <c r="N628" s="372" t="s">
        <v>5162</v>
      </c>
      <c r="O628" s="360" t="s">
        <v>207</v>
      </c>
      <c r="P628" s="374" t="s">
        <v>5201</v>
      </c>
      <c r="Q628" s="363" t="s">
        <v>773</v>
      </c>
      <c r="R628" s="351" t="s">
        <v>5400</v>
      </c>
      <c r="S628" s="351" t="s">
        <v>5400</v>
      </c>
      <c r="T628" s="375" t="s">
        <v>5401</v>
      </c>
      <c r="U628" s="354">
        <v>31866</v>
      </c>
      <c r="V628" s="355">
        <v>48278</v>
      </c>
      <c r="W628" s="357" t="s">
        <v>276</v>
      </c>
      <c r="X628" s="357" t="s">
        <v>276</v>
      </c>
      <c r="Y628" s="357">
        <v>0</v>
      </c>
      <c r="Z628" s="357" t="s">
        <v>98</v>
      </c>
      <c r="AA628" s="357">
        <v>0</v>
      </c>
      <c r="AB628" s="357" t="s">
        <v>98</v>
      </c>
      <c r="AC628" s="351" t="s">
        <v>5402</v>
      </c>
      <c r="AD628" s="351" t="s">
        <v>1704</v>
      </c>
      <c r="AE628" s="347">
        <v>6618</v>
      </c>
      <c r="AF628" s="347">
        <v>10079</v>
      </c>
      <c r="AG628" s="352">
        <v>31866</v>
      </c>
      <c r="AH628" s="353">
        <v>48278</v>
      </c>
      <c r="AI628" s="354" t="s">
        <v>292</v>
      </c>
      <c r="AJ628" s="368">
        <v>20.8</v>
      </c>
      <c r="AK628" s="371">
        <f>(AE628/AG628)*100</f>
        <v>20.768216908303522</v>
      </c>
      <c r="AL628" s="359" t="s">
        <v>276</v>
      </c>
      <c r="AM628" s="359" t="s">
        <v>276</v>
      </c>
      <c r="AN628" s="368">
        <v>20.9</v>
      </c>
      <c r="AO628" s="359">
        <f>(AF628/AH628)*100</f>
        <v>20.877004018393471</v>
      </c>
      <c r="AP628" s="359" t="s">
        <v>276</v>
      </c>
      <c r="AQ628" s="359" t="s">
        <v>276</v>
      </c>
      <c r="AR628" s="357" t="s">
        <v>270</v>
      </c>
      <c r="AS628" s="359">
        <v>0.99</v>
      </c>
      <c r="AT628" s="356" t="s">
        <v>98</v>
      </c>
      <c r="AU628" s="359">
        <v>0.96</v>
      </c>
      <c r="AV628" s="359">
        <v>1.02</v>
      </c>
      <c r="AW628" s="347">
        <v>0.69</v>
      </c>
      <c r="AX628" s="357" t="s">
        <v>276</v>
      </c>
      <c r="AY628" s="357" t="s">
        <v>276</v>
      </c>
      <c r="AZ628" s="357" t="s">
        <v>276</v>
      </c>
      <c r="BA628" s="357" t="s">
        <v>276</v>
      </c>
      <c r="BB628" s="357" t="s">
        <v>276</v>
      </c>
      <c r="BC628" s="351" t="s">
        <v>5403</v>
      </c>
      <c r="BD628" s="348"/>
      <c r="BE628" s="33" t="s">
        <v>100</v>
      </c>
      <c r="BF628" s="33" t="s">
        <v>98</v>
      </c>
    </row>
    <row r="629" spans="1:58" s="358" customFormat="1" ht="91" x14ac:dyDescent="0.3">
      <c r="A629" s="357">
        <v>10256</v>
      </c>
      <c r="B629" s="357" t="s">
        <v>5396</v>
      </c>
      <c r="C629" s="357" t="s">
        <v>88</v>
      </c>
      <c r="D629" s="351" t="s">
        <v>5404</v>
      </c>
      <c r="E629" s="357" t="s">
        <v>43</v>
      </c>
      <c r="F629" s="351" t="s">
        <v>4987</v>
      </c>
      <c r="G629" s="357" t="s">
        <v>225</v>
      </c>
      <c r="H629" s="357" t="s">
        <v>125</v>
      </c>
      <c r="I629" s="357" t="s">
        <v>114</v>
      </c>
      <c r="J629" s="351" t="s">
        <v>24</v>
      </c>
      <c r="K629" s="351" t="s">
        <v>5405</v>
      </c>
      <c r="L629" s="351" t="s">
        <v>5399</v>
      </c>
      <c r="M629" s="357" t="s">
        <v>261</v>
      </c>
      <c r="N629" s="372" t="s">
        <v>5162</v>
      </c>
      <c r="O629" s="360" t="s">
        <v>207</v>
      </c>
      <c r="P629" s="374" t="s">
        <v>5201</v>
      </c>
      <c r="Q629" s="363" t="s">
        <v>773</v>
      </c>
      <c r="R629" s="351" t="s">
        <v>5400</v>
      </c>
      <c r="S629" s="351" t="s">
        <v>5400</v>
      </c>
      <c r="T629" s="375" t="s">
        <v>5401</v>
      </c>
      <c r="U629" s="354">
        <v>31866</v>
      </c>
      <c r="V629" s="355">
        <v>48278</v>
      </c>
      <c r="W629" s="357" t="s">
        <v>276</v>
      </c>
      <c r="X629" s="357" t="s">
        <v>276</v>
      </c>
      <c r="Y629" s="357">
        <v>182</v>
      </c>
      <c r="Z629" s="351" t="s">
        <v>5406</v>
      </c>
      <c r="AA629" s="357">
        <v>284</v>
      </c>
      <c r="AB629" s="351" t="s">
        <v>5406</v>
      </c>
      <c r="AC629" s="351" t="s">
        <v>5407</v>
      </c>
      <c r="AD629" s="351" t="s">
        <v>1704</v>
      </c>
      <c r="AE629" s="347">
        <v>149</v>
      </c>
      <c r="AF629" s="347">
        <v>266</v>
      </c>
      <c r="AG629" s="352">
        <v>31866</v>
      </c>
      <c r="AH629" s="353">
        <v>48278</v>
      </c>
      <c r="AI629" s="354" t="s">
        <v>292</v>
      </c>
      <c r="AJ629" s="356">
        <v>0.47</v>
      </c>
      <c r="AK629" s="371">
        <f>(AE629/AG629)*100</f>
        <v>0.46758300382853202</v>
      </c>
      <c r="AL629" s="359" t="s">
        <v>276</v>
      </c>
      <c r="AM629" s="359" t="s">
        <v>276</v>
      </c>
      <c r="AN629" s="356">
        <v>0.55000000000000004</v>
      </c>
      <c r="AO629" s="359">
        <f>(AF629/AH629)*100</f>
        <v>0.55097559965201548</v>
      </c>
      <c r="AP629" s="359" t="s">
        <v>276</v>
      </c>
      <c r="AQ629" s="359" t="s">
        <v>276</v>
      </c>
      <c r="AR629" s="357" t="s">
        <v>270</v>
      </c>
      <c r="AS629" s="359">
        <v>0.85</v>
      </c>
      <c r="AT629" s="356" t="s">
        <v>98</v>
      </c>
      <c r="AU629" s="359">
        <v>0.69</v>
      </c>
      <c r="AV629" s="359">
        <v>1.04</v>
      </c>
      <c r="AW629" s="359">
        <v>0.1</v>
      </c>
      <c r="AX629" s="357" t="s">
        <v>276</v>
      </c>
      <c r="AY629" s="357" t="s">
        <v>276</v>
      </c>
      <c r="AZ629" s="357" t="s">
        <v>276</v>
      </c>
      <c r="BA629" s="357" t="s">
        <v>276</v>
      </c>
      <c r="BB629" s="357" t="s">
        <v>276</v>
      </c>
      <c r="BC629" s="351" t="s">
        <v>5408</v>
      </c>
      <c r="BD629" s="348"/>
      <c r="BE629" s="33" t="s">
        <v>100</v>
      </c>
      <c r="BF629" s="33" t="s">
        <v>98</v>
      </c>
    </row>
    <row r="630" spans="1:58" s="358" customFormat="1" ht="52" x14ac:dyDescent="0.3">
      <c r="A630" s="357">
        <v>10405</v>
      </c>
      <c r="B630" s="357" t="s">
        <v>5409</v>
      </c>
      <c r="C630" s="357" t="s">
        <v>88</v>
      </c>
      <c r="D630" s="351" t="s">
        <v>5410</v>
      </c>
      <c r="E630" s="357" t="s">
        <v>43</v>
      </c>
      <c r="F630" s="351" t="s">
        <v>4987</v>
      </c>
      <c r="G630" s="357" t="s">
        <v>225</v>
      </c>
      <c r="H630" s="357" t="s">
        <v>125</v>
      </c>
      <c r="I630" s="357" t="s">
        <v>114</v>
      </c>
      <c r="J630" s="351" t="s">
        <v>23</v>
      </c>
      <c r="K630" s="351" t="s">
        <v>5398</v>
      </c>
      <c r="L630" s="351" t="s">
        <v>5411</v>
      </c>
      <c r="M630" s="357" t="s">
        <v>261</v>
      </c>
      <c r="N630" s="372" t="s">
        <v>5162</v>
      </c>
      <c r="O630" s="360" t="s">
        <v>207</v>
      </c>
      <c r="P630" s="363" t="s">
        <v>5412</v>
      </c>
      <c r="Q630" s="351" t="s">
        <v>3296</v>
      </c>
      <c r="R630" s="351" t="s">
        <v>276</v>
      </c>
      <c r="S630" s="351" t="s">
        <v>276</v>
      </c>
      <c r="T630" s="351">
        <v>3</v>
      </c>
      <c r="U630" s="354">
        <v>31867</v>
      </c>
      <c r="V630" s="355">
        <v>48282</v>
      </c>
      <c r="W630" s="357" t="s">
        <v>276</v>
      </c>
      <c r="X630" s="357" t="s">
        <v>276</v>
      </c>
      <c r="Y630" s="357">
        <v>0</v>
      </c>
      <c r="Z630" s="357" t="s">
        <v>98</v>
      </c>
      <c r="AA630" s="357">
        <v>0</v>
      </c>
      <c r="AB630" s="357" t="s">
        <v>98</v>
      </c>
      <c r="AC630" s="351" t="s">
        <v>5413</v>
      </c>
      <c r="AD630" s="351" t="s">
        <v>1674</v>
      </c>
      <c r="AE630" s="357" t="s">
        <v>276</v>
      </c>
      <c r="AF630" s="357" t="s">
        <v>276</v>
      </c>
      <c r="AG630" s="354" t="s">
        <v>276</v>
      </c>
      <c r="AH630" s="354" t="s">
        <v>276</v>
      </c>
      <c r="AI630" s="355" t="s">
        <v>1019</v>
      </c>
      <c r="AJ630" s="354" t="s">
        <v>276</v>
      </c>
      <c r="AK630" s="354" t="s">
        <v>276</v>
      </c>
      <c r="AL630" s="354" t="s">
        <v>276</v>
      </c>
      <c r="AM630" s="354" t="s">
        <v>276</v>
      </c>
      <c r="AN630" s="354" t="s">
        <v>276</v>
      </c>
      <c r="AO630" s="354" t="s">
        <v>276</v>
      </c>
      <c r="AP630" s="354" t="s">
        <v>276</v>
      </c>
      <c r="AQ630" s="354" t="s">
        <v>276</v>
      </c>
      <c r="AR630" s="357" t="s">
        <v>270</v>
      </c>
      <c r="AS630" s="354" t="s">
        <v>276</v>
      </c>
      <c r="AT630" s="354" t="s">
        <v>276</v>
      </c>
      <c r="AU630" s="354" t="s">
        <v>276</v>
      </c>
      <c r="AV630" s="354" t="s">
        <v>276</v>
      </c>
      <c r="AW630" s="354" t="s">
        <v>276</v>
      </c>
      <c r="AX630" s="357" t="s">
        <v>5414</v>
      </c>
      <c r="AY630" s="356">
        <v>1</v>
      </c>
      <c r="AZ630" s="357">
        <v>0.97</v>
      </c>
      <c r="BA630" s="357">
        <v>1.02</v>
      </c>
      <c r="BB630" s="357" t="s">
        <v>276</v>
      </c>
      <c r="BC630" s="351" t="s">
        <v>1029</v>
      </c>
      <c r="BD630" s="348"/>
      <c r="BE630" s="33" t="s">
        <v>100</v>
      </c>
      <c r="BF630" s="33" t="s">
        <v>98</v>
      </c>
    </row>
    <row r="631" spans="1:58" s="358" customFormat="1" ht="52" x14ac:dyDescent="0.3">
      <c r="A631" s="357">
        <v>10405</v>
      </c>
      <c r="B631" s="357" t="s">
        <v>5409</v>
      </c>
      <c r="C631" s="357" t="s">
        <v>88</v>
      </c>
      <c r="D631" s="351" t="s">
        <v>5415</v>
      </c>
      <c r="E631" s="357" t="s">
        <v>43</v>
      </c>
      <c r="F631" s="351" t="s">
        <v>4987</v>
      </c>
      <c r="G631" s="357" t="s">
        <v>225</v>
      </c>
      <c r="H631" s="357" t="s">
        <v>125</v>
      </c>
      <c r="I631" s="357" t="s">
        <v>114</v>
      </c>
      <c r="J631" s="351" t="s">
        <v>24</v>
      </c>
      <c r="K631" s="351" t="s">
        <v>5398</v>
      </c>
      <c r="L631" s="351" t="s">
        <v>5411</v>
      </c>
      <c r="M631" s="357" t="s">
        <v>261</v>
      </c>
      <c r="N631" s="372" t="s">
        <v>5162</v>
      </c>
      <c r="O631" s="360" t="s">
        <v>207</v>
      </c>
      <c r="P631" s="363" t="s">
        <v>5412</v>
      </c>
      <c r="Q631" s="351" t="s">
        <v>3296</v>
      </c>
      <c r="R631" s="351" t="s">
        <v>276</v>
      </c>
      <c r="S631" s="351" t="s">
        <v>276</v>
      </c>
      <c r="T631" s="351">
        <v>3</v>
      </c>
      <c r="U631" s="354">
        <v>31867</v>
      </c>
      <c r="V631" s="355">
        <v>48282</v>
      </c>
      <c r="W631" s="357" t="s">
        <v>276</v>
      </c>
      <c r="X631" s="357" t="s">
        <v>276</v>
      </c>
      <c r="Y631" s="357" t="s">
        <v>276</v>
      </c>
      <c r="Z631" s="351" t="s">
        <v>894</v>
      </c>
      <c r="AA631" s="357" t="s">
        <v>276</v>
      </c>
      <c r="AB631" s="351" t="s">
        <v>894</v>
      </c>
      <c r="AC631" s="351" t="s">
        <v>5416</v>
      </c>
      <c r="AD631" s="351" t="s">
        <v>1674</v>
      </c>
      <c r="AE631" s="357">
        <v>229</v>
      </c>
      <c r="AF631" s="357">
        <v>383</v>
      </c>
      <c r="AG631" s="354" t="s">
        <v>276</v>
      </c>
      <c r="AH631" s="354" t="s">
        <v>276</v>
      </c>
      <c r="AI631" s="355" t="s">
        <v>1019</v>
      </c>
      <c r="AJ631" s="354" t="s">
        <v>276</v>
      </c>
      <c r="AK631" s="354" t="s">
        <v>276</v>
      </c>
      <c r="AL631" s="354" t="s">
        <v>276</v>
      </c>
      <c r="AM631" s="354" t="s">
        <v>276</v>
      </c>
      <c r="AN631" s="354" t="s">
        <v>276</v>
      </c>
      <c r="AO631" s="354" t="s">
        <v>276</v>
      </c>
      <c r="AP631" s="354" t="s">
        <v>276</v>
      </c>
      <c r="AQ631" s="354" t="s">
        <v>276</v>
      </c>
      <c r="AR631" s="357" t="s">
        <v>270</v>
      </c>
      <c r="AS631" s="356">
        <v>0.9</v>
      </c>
      <c r="AT631" s="356" t="s">
        <v>98</v>
      </c>
      <c r="AU631" s="356">
        <v>0.77</v>
      </c>
      <c r="AV631" s="356">
        <v>1.06</v>
      </c>
      <c r="AW631" s="357" t="s">
        <v>276</v>
      </c>
      <c r="AX631" s="357" t="s">
        <v>5414</v>
      </c>
      <c r="AY631" s="356">
        <v>0.9</v>
      </c>
      <c r="AZ631" s="357">
        <v>0.77</v>
      </c>
      <c r="BA631" s="357">
        <v>1.06</v>
      </c>
      <c r="BB631" s="357" t="s">
        <v>276</v>
      </c>
      <c r="BC631" s="351" t="s">
        <v>5417</v>
      </c>
      <c r="BD631" s="348"/>
      <c r="BE631" s="33" t="s">
        <v>100</v>
      </c>
      <c r="BF631" s="33" t="s">
        <v>98</v>
      </c>
    </row>
    <row r="632" spans="1:58" s="365" customFormat="1" ht="52" x14ac:dyDescent="0.3">
      <c r="A632" s="357">
        <v>10405</v>
      </c>
      <c r="B632" s="357" t="s">
        <v>5409</v>
      </c>
      <c r="C632" s="357" t="s">
        <v>88</v>
      </c>
      <c r="D632" s="351" t="s">
        <v>5418</v>
      </c>
      <c r="E632" s="357" t="s">
        <v>43</v>
      </c>
      <c r="F632" s="351" t="s">
        <v>4987</v>
      </c>
      <c r="G632" s="357" t="s">
        <v>225</v>
      </c>
      <c r="H632" s="357" t="s">
        <v>125</v>
      </c>
      <c r="I632" s="357" t="s">
        <v>114</v>
      </c>
      <c r="J632" s="351" t="s">
        <v>24</v>
      </c>
      <c r="K632" s="351" t="s">
        <v>5398</v>
      </c>
      <c r="L632" s="351" t="s">
        <v>5419</v>
      </c>
      <c r="M632" s="357" t="s">
        <v>261</v>
      </c>
      <c r="N632" s="372" t="s">
        <v>5162</v>
      </c>
      <c r="O632" s="360" t="s">
        <v>207</v>
      </c>
      <c r="P632" s="363" t="s">
        <v>98</v>
      </c>
      <c r="Q632" s="351" t="s">
        <v>721</v>
      </c>
      <c r="R632" s="351" t="s">
        <v>276</v>
      </c>
      <c r="S632" s="351" t="s">
        <v>276</v>
      </c>
      <c r="T632" s="351">
        <v>1</v>
      </c>
      <c r="U632" s="354">
        <v>31867</v>
      </c>
      <c r="V632" s="355">
        <v>48282</v>
      </c>
      <c r="W632" s="357" t="s">
        <v>276</v>
      </c>
      <c r="X632" s="357" t="s">
        <v>276</v>
      </c>
      <c r="Y632" s="357" t="s">
        <v>276</v>
      </c>
      <c r="Z632" s="351" t="s">
        <v>894</v>
      </c>
      <c r="AA632" s="357" t="s">
        <v>276</v>
      </c>
      <c r="AB632" s="351" t="s">
        <v>894</v>
      </c>
      <c r="AC632" s="351" t="s">
        <v>5420</v>
      </c>
      <c r="AD632" s="351" t="s">
        <v>1674</v>
      </c>
      <c r="AE632" s="357" t="s">
        <v>276</v>
      </c>
      <c r="AF632" s="357" t="s">
        <v>276</v>
      </c>
      <c r="AG632" s="354" t="s">
        <v>276</v>
      </c>
      <c r="AH632" s="354" t="s">
        <v>276</v>
      </c>
      <c r="AI632" s="355" t="s">
        <v>1019</v>
      </c>
      <c r="AJ632" s="354" t="s">
        <v>276</v>
      </c>
      <c r="AK632" s="354" t="s">
        <v>276</v>
      </c>
      <c r="AL632" s="354" t="s">
        <v>276</v>
      </c>
      <c r="AM632" s="354" t="s">
        <v>276</v>
      </c>
      <c r="AN632" s="354" t="s">
        <v>276</v>
      </c>
      <c r="AO632" s="354" t="s">
        <v>276</v>
      </c>
      <c r="AP632" s="354" t="s">
        <v>276</v>
      </c>
      <c r="AQ632" s="354" t="s">
        <v>276</v>
      </c>
      <c r="AR632" s="357" t="s">
        <v>270</v>
      </c>
      <c r="AS632" s="356" t="s">
        <v>276</v>
      </c>
      <c r="AT632" s="356" t="s">
        <v>98</v>
      </c>
      <c r="AU632" s="356" t="s">
        <v>276</v>
      </c>
      <c r="AV632" s="356" t="s">
        <v>276</v>
      </c>
      <c r="AW632" s="357" t="s">
        <v>276</v>
      </c>
      <c r="AX632" s="357" t="s">
        <v>5414</v>
      </c>
      <c r="AY632" s="356">
        <v>0.75</v>
      </c>
      <c r="AZ632" s="357">
        <v>0.42</v>
      </c>
      <c r="BA632" s="357">
        <v>1.35</v>
      </c>
      <c r="BB632" s="357" t="s">
        <v>276</v>
      </c>
      <c r="BC632" s="351" t="s">
        <v>426</v>
      </c>
      <c r="BD632" s="364"/>
      <c r="BE632" s="33" t="s">
        <v>100</v>
      </c>
      <c r="BF632" s="33" t="s">
        <v>98</v>
      </c>
    </row>
    <row r="633" spans="1:58" s="347" customFormat="1" ht="91" x14ac:dyDescent="0.35">
      <c r="A633" s="357">
        <v>2813</v>
      </c>
      <c r="B633" s="357" t="s">
        <v>5421</v>
      </c>
      <c r="C633" s="357" t="s">
        <v>88</v>
      </c>
      <c r="D633" s="351" t="s">
        <v>5422</v>
      </c>
      <c r="E633" s="357" t="s">
        <v>43</v>
      </c>
      <c r="F633" s="351" t="s">
        <v>4987</v>
      </c>
      <c r="G633" s="357" t="s">
        <v>225</v>
      </c>
      <c r="H633" s="357" t="s">
        <v>125</v>
      </c>
      <c r="I633" s="357" t="s">
        <v>114</v>
      </c>
      <c r="J633" s="351" t="s">
        <v>23</v>
      </c>
      <c r="K633" s="351" t="s">
        <v>5423</v>
      </c>
      <c r="L633" s="351" t="s">
        <v>5424</v>
      </c>
      <c r="M633" s="351" t="s">
        <v>261</v>
      </c>
      <c r="N633" s="357" t="s">
        <v>5159</v>
      </c>
      <c r="O633" s="360" t="s">
        <v>207</v>
      </c>
      <c r="P633" s="357" t="s">
        <v>5425</v>
      </c>
      <c r="Q633" s="357" t="s">
        <v>779</v>
      </c>
      <c r="R633" s="357" t="s">
        <v>5426</v>
      </c>
      <c r="S633" s="357" t="s">
        <v>5426</v>
      </c>
      <c r="T633" s="357">
        <v>7</v>
      </c>
      <c r="U633" s="357">
        <v>9952</v>
      </c>
      <c r="V633" s="357">
        <v>9952</v>
      </c>
      <c r="W633" s="357" t="s">
        <v>276</v>
      </c>
      <c r="X633" s="357" t="s">
        <v>276</v>
      </c>
      <c r="Y633" s="357">
        <v>0</v>
      </c>
      <c r="Z633" s="357" t="s">
        <v>98</v>
      </c>
      <c r="AA633" s="357">
        <v>0</v>
      </c>
      <c r="AB633" s="357" t="s">
        <v>98</v>
      </c>
      <c r="AC633" s="351" t="s">
        <v>5427</v>
      </c>
      <c r="AD633" s="351" t="s">
        <v>5428</v>
      </c>
      <c r="AE633" s="347">
        <v>1981</v>
      </c>
      <c r="AF633" s="347">
        <v>1982</v>
      </c>
      <c r="AG633" s="354">
        <v>9952</v>
      </c>
      <c r="AH633" s="354">
        <v>9952</v>
      </c>
      <c r="AI633" s="355" t="s">
        <v>690</v>
      </c>
      <c r="AJ633" s="354" t="s">
        <v>276</v>
      </c>
      <c r="AK633" s="377">
        <f>AE633*1000/AG633</f>
        <v>199.05546623794211</v>
      </c>
      <c r="AL633" s="354" t="s">
        <v>276</v>
      </c>
      <c r="AM633" s="354" t="s">
        <v>276</v>
      </c>
      <c r="AN633" s="354" t="s">
        <v>276</v>
      </c>
      <c r="AO633" s="377">
        <f>AF633*1000/AH633</f>
        <v>199.15594855305466</v>
      </c>
      <c r="AP633" s="354" t="s">
        <v>276</v>
      </c>
      <c r="AQ633" s="354" t="s">
        <v>276</v>
      </c>
      <c r="AR633" s="357" t="s">
        <v>268</v>
      </c>
      <c r="AS633" s="354" t="s">
        <v>276</v>
      </c>
      <c r="AT633" s="356">
        <f>AK633/AO633</f>
        <v>0.99949545913218973</v>
      </c>
      <c r="AU633" s="354" t="s">
        <v>276</v>
      </c>
      <c r="AV633" s="354" t="s">
        <v>276</v>
      </c>
      <c r="AW633" s="354" t="s">
        <v>276</v>
      </c>
      <c r="AX633" s="357" t="s">
        <v>276</v>
      </c>
      <c r="AY633" s="347" t="s">
        <v>276</v>
      </c>
      <c r="AZ633" s="347" t="s">
        <v>276</v>
      </c>
      <c r="BA633" s="347" t="s">
        <v>276</v>
      </c>
      <c r="BB633" s="347" t="s">
        <v>276</v>
      </c>
      <c r="BC633" s="348" t="s">
        <v>3856</v>
      </c>
      <c r="BD633" s="348"/>
      <c r="BE633" s="33" t="s">
        <v>100</v>
      </c>
      <c r="BF633" s="33" t="s">
        <v>98</v>
      </c>
    </row>
    <row r="634" spans="1:58" s="347" customFormat="1" ht="104" x14ac:dyDescent="0.35">
      <c r="A634" s="357">
        <v>2813</v>
      </c>
      <c r="B634" s="357" t="s">
        <v>5421</v>
      </c>
      <c r="C634" s="357" t="s">
        <v>88</v>
      </c>
      <c r="D634" s="351" t="s">
        <v>5429</v>
      </c>
      <c r="E634" s="357" t="s">
        <v>43</v>
      </c>
      <c r="F634" s="351" t="s">
        <v>4987</v>
      </c>
      <c r="G634" s="357" t="s">
        <v>225</v>
      </c>
      <c r="H634" s="357" t="s">
        <v>125</v>
      </c>
      <c r="I634" s="357" t="s">
        <v>114</v>
      </c>
      <c r="J634" s="351" t="s">
        <v>24</v>
      </c>
      <c r="K634" s="351" t="s">
        <v>5423</v>
      </c>
      <c r="L634" s="351" t="s">
        <v>5424</v>
      </c>
      <c r="M634" s="351" t="s">
        <v>261</v>
      </c>
      <c r="N634" s="357" t="s">
        <v>5159</v>
      </c>
      <c r="O634" s="360" t="s">
        <v>207</v>
      </c>
      <c r="P634" s="357" t="s">
        <v>5425</v>
      </c>
      <c r="Q634" s="357" t="s">
        <v>779</v>
      </c>
      <c r="R634" s="357" t="s">
        <v>5426</v>
      </c>
      <c r="S634" s="357" t="s">
        <v>5426</v>
      </c>
      <c r="T634" s="351">
        <v>7</v>
      </c>
      <c r="U634" s="357">
        <v>9952</v>
      </c>
      <c r="V634" s="357">
        <v>9952</v>
      </c>
      <c r="W634" s="357" t="s">
        <v>276</v>
      </c>
      <c r="X634" s="357" t="s">
        <v>276</v>
      </c>
      <c r="Y634" s="357" t="s">
        <v>276</v>
      </c>
      <c r="Z634" s="351" t="s">
        <v>894</v>
      </c>
      <c r="AA634" s="357" t="s">
        <v>276</v>
      </c>
      <c r="AB634" s="351" t="s">
        <v>894</v>
      </c>
      <c r="AC634" s="351" t="s">
        <v>5430</v>
      </c>
      <c r="AD634" s="351" t="s">
        <v>5428</v>
      </c>
      <c r="AE634" s="347">
        <f>27+17</f>
        <v>44</v>
      </c>
      <c r="AF634" s="347">
        <v>78</v>
      </c>
      <c r="AG634" s="354">
        <v>9952</v>
      </c>
      <c r="AH634" s="354">
        <v>9952</v>
      </c>
      <c r="AI634" s="355" t="s">
        <v>690</v>
      </c>
      <c r="AJ634" s="354" t="s">
        <v>276</v>
      </c>
      <c r="AK634" s="377">
        <f>AE634*1000/AG634</f>
        <v>4.4212218649517681</v>
      </c>
      <c r="AL634" s="354" t="s">
        <v>276</v>
      </c>
      <c r="AM634" s="354" t="s">
        <v>276</v>
      </c>
      <c r="AN634" s="354" t="s">
        <v>276</v>
      </c>
      <c r="AO634" s="377">
        <f>AF634*1000/AH634</f>
        <v>7.837620578778135</v>
      </c>
      <c r="AP634" s="354" t="s">
        <v>276</v>
      </c>
      <c r="AQ634" s="354" t="s">
        <v>276</v>
      </c>
      <c r="AR634" s="357" t="s">
        <v>268</v>
      </c>
      <c r="AS634" s="356">
        <v>0.56000000000000005</v>
      </c>
      <c r="AT634" s="356">
        <f>AK634/AO634</f>
        <v>0.5641025641025641</v>
      </c>
      <c r="AU634" s="356">
        <v>0.39</v>
      </c>
      <c r="AV634" s="356">
        <v>0.82</v>
      </c>
      <c r="AW634" s="357">
        <v>2E-3</v>
      </c>
      <c r="AX634" s="357" t="s">
        <v>276</v>
      </c>
      <c r="AY634" s="347" t="s">
        <v>276</v>
      </c>
      <c r="AZ634" s="347" t="s">
        <v>276</v>
      </c>
      <c r="BA634" s="347" t="s">
        <v>276</v>
      </c>
      <c r="BB634" s="347" t="s">
        <v>276</v>
      </c>
      <c r="BC634" s="351" t="s">
        <v>5431</v>
      </c>
      <c r="BD634" s="348"/>
      <c r="BE634" s="33" t="s">
        <v>100</v>
      </c>
      <c r="BF634" s="33" t="s">
        <v>98</v>
      </c>
    </row>
    <row r="635" spans="1:58" s="347" customFormat="1" ht="52" x14ac:dyDescent="0.35">
      <c r="A635" s="357">
        <v>2812</v>
      </c>
      <c r="B635" s="357" t="s">
        <v>5432</v>
      </c>
      <c r="C635" s="357" t="s">
        <v>88</v>
      </c>
      <c r="D635" s="351" t="s">
        <v>5433</v>
      </c>
      <c r="E635" s="357" t="s">
        <v>43</v>
      </c>
      <c r="F635" s="351" t="s">
        <v>4987</v>
      </c>
      <c r="G635" s="357" t="s">
        <v>225</v>
      </c>
      <c r="H635" s="357" t="s">
        <v>125</v>
      </c>
      <c r="I635" s="357" t="s">
        <v>114</v>
      </c>
      <c r="J635" s="351" t="s">
        <v>23</v>
      </c>
      <c r="K635" s="351" t="s">
        <v>5434</v>
      </c>
      <c r="L635" s="351" t="s">
        <v>5435</v>
      </c>
      <c r="M635" s="357" t="s">
        <v>261</v>
      </c>
      <c r="N635" s="357" t="s">
        <v>5159</v>
      </c>
      <c r="O635" s="360" t="s">
        <v>207</v>
      </c>
      <c r="P635" s="383" t="s">
        <v>5436</v>
      </c>
      <c r="Q635" s="351" t="s">
        <v>1258</v>
      </c>
      <c r="R635" s="355" t="s">
        <v>5437</v>
      </c>
      <c r="S635" s="355" t="s">
        <v>5438</v>
      </c>
      <c r="T635" s="375" t="s">
        <v>5439</v>
      </c>
      <c r="U635" s="357">
        <v>9950</v>
      </c>
      <c r="V635" s="357">
        <v>9949</v>
      </c>
      <c r="W635" s="354" t="s">
        <v>276</v>
      </c>
      <c r="X635" s="354" t="s">
        <v>276</v>
      </c>
      <c r="Y635" s="357">
        <v>0</v>
      </c>
      <c r="Z635" s="357" t="s">
        <v>98</v>
      </c>
      <c r="AA635" s="357">
        <v>0</v>
      </c>
      <c r="AB635" s="357" t="s">
        <v>98</v>
      </c>
      <c r="AC635" s="351" t="s">
        <v>5440</v>
      </c>
      <c r="AD635" s="351" t="s">
        <v>1674</v>
      </c>
      <c r="AE635" s="347">
        <f>79+2765</f>
        <v>2844</v>
      </c>
      <c r="AF635" s="347">
        <f>122+2735</f>
        <v>2857</v>
      </c>
      <c r="AG635" s="355">
        <v>155374</v>
      </c>
      <c r="AH635" s="355">
        <v>155245</v>
      </c>
      <c r="AI635" s="354" t="s">
        <v>5441</v>
      </c>
      <c r="AJ635" s="356">
        <v>18.3</v>
      </c>
      <c r="AK635" s="369">
        <f>AE635*1000/AG635</f>
        <v>18.304220783400055</v>
      </c>
      <c r="AL635" s="356" t="s">
        <v>276</v>
      </c>
      <c r="AM635" s="356" t="s">
        <v>276</v>
      </c>
      <c r="AN635" s="356">
        <v>18.399999999999999</v>
      </c>
      <c r="AO635" s="369">
        <f>AF635*1000/AH635</f>
        <v>18.403169184192727</v>
      </c>
      <c r="AP635" s="356" t="s">
        <v>276</v>
      </c>
      <c r="AQ635" s="356" t="s">
        <v>276</v>
      </c>
      <c r="AR635" s="357" t="s">
        <v>269</v>
      </c>
      <c r="AS635" s="356">
        <v>0.99</v>
      </c>
      <c r="AT635" s="369">
        <f>AK635/AO635</f>
        <v>0.99462329559640938</v>
      </c>
      <c r="AU635" s="356">
        <v>0.94</v>
      </c>
      <c r="AV635" s="356">
        <v>1.05</v>
      </c>
      <c r="AW635" s="354" t="s">
        <v>276</v>
      </c>
      <c r="AX635" s="357" t="s">
        <v>282</v>
      </c>
      <c r="AY635" s="357" t="s">
        <v>98</v>
      </c>
      <c r="AZ635" s="357" t="s">
        <v>98</v>
      </c>
      <c r="BA635" s="357" t="s">
        <v>98</v>
      </c>
      <c r="BB635" s="357" t="s">
        <v>98</v>
      </c>
      <c r="BC635" s="351" t="s">
        <v>5442</v>
      </c>
      <c r="BD635" s="348"/>
      <c r="BE635" s="33" t="s">
        <v>100</v>
      </c>
      <c r="BF635" s="33" t="s">
        <v>98</v>
      </c>
    </row>
    <row r="636" spans="1:58" s="347" customFormat="1" ht="52" x14ac:dyDescent="0.35">
      <c r="A636" s="357">
        <v>2812</v>
      </c>
      <c r="B636" s="357" t="s">
        <v>5432</v>
      </c>
      <c r="C636" s="357" t="s">
        <v>88</v>
      </c>
      <c r="D636" s="351" t="s">
        <v>5443</v>
      </c>
      <c r="E636" s="357" t="s">
        <v>43</v>
      </c>
      <c r="F636" s="351" t="s">
        <v>4987</v>
      </c>
      <c r="G636" s="357" t="s">
        <v>225</v>
      </c>
      <c r="H636" s="357" t="s">
        <v>125</v>
      </c>
      <c r="I636" s="357" t="s">
        <v>114</v>
      </c>
      <c r="J636" s="351" t="s">
        <v>23</v>
      </c>
      <c r="K636" s="351" t="s">
        <v>5434</v>
      </c>
      <c r="L636" s="351" t="s">
        <v>5435</v>
      </c>
      <c r="M636" s="357" t="s">
        <v>259</v>
      </c>
      <c r="N636" s="351" t="s">
        <v>5444</v>
      </c>
      <c r="O636" s="360" t="s">
        <v>207</v>
      </c>
      <c r="P636" s="383" t="s">
        <v>5436</v>
      </c>
      <c r="Q636" s="351" t="s">
        <v>1258</v>
      </c>
      <c r="R636" s="351" t="s">
        <v>276</v>
      </c>
      <c r="S636" s="351" t="s">
        <v>276</v>
      </c>
      <c r="T636" s="351" t="s">
        <v>276</v>
      </c>
      <c r="U636" s="354">
        <v>4047</v>
      </c>
      <c r="V636" s="354">
        <v>3998</v>
      </c>
      <c r="W636" s="357" t="s">
        <v>276</v>
      </c>
      <c r="X636" s="357" t="s">
        <v>276</v>
      </c>
      <c r="Y636" s="357">
        <v>0</v>
      </c>
      <c r="Z636" s="357" t="s">
        <v>98</v>
      </c>
      <c r="AA636" s="357">
        <v>0</v>
      </c>
      <c r="AB636" s="357" t="s">
        <v>98</v>
      </c>
      <c r="AC636" s="351" t="s">
        <v>5445</v>
      </c>
      <c r="AD636" s="351" t="s">
        <v>1674</v>
      </c>
      <c r="AE636" s="347">
        <v>751</v>
      </c>
      <c r="AF636" s="347">
        <v>703</v>
      </c>
      <c r="AG636" s="354" t="s">
        <v>276</v>
      </c>
      <c r="AH636" s="354" t="s">
        <v>276</v>
      </c>
      <c r="AI636" s="354" t="s">
        <v>5441</v>
      </c>
      <c r="AJ636" s="368">
        <v>11.3</v>
      </c>
      <c r="AK636" s="356" t="s">
        <v>98</v>
      </c>
      <c r="AL636" s="356" t="s">
        <v>276</v>
      </c>
      <c r="AM636" s="356" t="s">
        <v>276</v>
      </c>
      <c r="AN636" s="368">
        <v>10.7</v>
      </c>
      <c r="AO636" s="356" t="s">
        <v>98</v>
      </c>
      <c r="AP636" s="356" t="s">
        <v>276</v>
      </c>
      <c r="AQ636" s="356" t="s">
        <v>276</v>
      </c>
      <c r="AR636" s="357" t="s">
        <v>269</v>
      </c>
      <c r="AS636" s="359">
        <v>1.06</v>
      </c>
      <c r="AT636" s="369">
        <f t="shared" ref="AT636:AT637" si="76">AJ636/AN636</f>
        <v>1.0560747663551404</v>
      </c>
      <c r="AU636" s="359">
        <v>0.96</v>
      </c>
      <c r="AV636" s="359">
        <v>1.18</v>
      </c>
      <c r="AW636" s="354" t="s">
        <v>276</v>
      </c>
      <c r="AX636" s="357" t="s">
        <v>282</v>
      </c>
      <c r="AY636" s="357" t="s">
        <v>98</v>
      </c>
      <c r="AZ636" s="357" t="s">
        <v>98</v>
      </c>
      <c r="BA636" s="357" t="s">
        <v>98</v>
      </c>
      <c r="BB636" s="357" t="s">
        <v>98</v>
      </c>
      <c r="BC636" s="351" t="s">
        <v>5446</v>
      </c>
      <c r="BD636" s="348"/>
      <c r="BE636" s="33" t="s">
        <v>100</v>
      </c>
      <c r="BF636" s="33" t="s">
        <v>98</v>
      </c>
    </row>
    <row r="637" spans="1:58" s="347" customFormat="1" ht="52" x14ac:dyDescent="0.35">
      <c r="A637" s="357">
        <v>2812</v>
      </c>
      <c r="B637" s="357" t="s">
        <v>5432</v>
      </c>
      <c r="C637" s="357" t="s">
        <v>88</v>
      </c>
      <c r="D637" s="351" t="s">
        <v>5447</v>
      </c>
      <c r="E637" s="357" t="s">
        <v>43</v>
      </c>
      <c r="F637" s="351" t="s">
        <v>4987</v>
      </c>
      <c r="G637" s="357" t="s">
        <v>225</v>
      </c>
      <c r="H637" s="357" t="s">
        <v>125</v>
      </c>
      <c r="I637" s="357" t="s">
        <v>114</v>
      </c>
      <c r="J637" s="351" t="s">
        <v>23</v>
      </c>
      <c r="K637" s="351" t="s">
        <v>5434</v>
      </c>
      <c r="L637" s="351" t="s">
        <v>5435</v>
      </c>
      <c r="M637" s="357" t="s">
        <v>259</v>
      </c>
      <c r="N637" s="351" t="s">
        <v>5448</v>
      </c>
      <c r="O637" s="360" t="s">
        <v>207</v>
      </c>
      <c r="P637" s="383" t="s">
        <v>5436</v>
      </c>
      <c r="Q637" s="351" t="s">
        <v>1258</v>
      </c>
      <c r="R637" s="351" t="s">
        <v>276</v>
      </c>
      <c r="S637" s="351" t="s">
        <v>276</v>
      </c>
      <c r="T637" s="351" t="s">
        <v>276</v>
      </c>
      <c r="U637" s="354">
        <v>3127</v>
      </c>
      <c r="V637" s="354">
        <v>3164</v>
      </c>
      <c r="W637" s="357" t="s">
        <v>276</v>
      </c>
      <c r="X637" s="357" t="s">
        <v>276</v>
      </c>
      <c r="Y637" s="357">
        <v>0</v>
      </c>
      <c r="Z637" s="357" t="s">
        <v>98</v>
      </c>
      <c r="AA637" s="357">
        <v>0</v>
      </c>
      <c r="AB637" s="357" t="s">
        <v>98</v>
      </c>
      <c r="AC637" s="351" t="s">
        <v>5449</v>
      </c>
      <c r="AD637" s="351" t="s">
        <v>1674</v>
      </c>
      <c r="AE637" s="347">
        <v>910</v>
      </c>
      <c r="AF637" s="347">
        <v>930</v>
      </c>
      <c r="AG637" s="354" t="s">
        <v>276</v>
      </c>
      <c r="AH637" s="354" t="s">
        <v>276</v>
      </c>
      <c r="AI637" s="354" t="s">
        <v>5441</v>
      </c>
      <c r="AJ637" s="368">
        <v>18.7</v>
      </c>
      <c r="AK637" s="356" t="s">
        <v>98</v>
      </c>
      <c r="AL637" s="356" t="s">
        <v>276</v>
      </c>
      <c r="AM637" s="356" t="s">
        <v>276</v>
      </c>
      <c r="AN637" s="368">
        <v>18.899999999999999</v>
      </c>
      <c r="AO637" s="356" t="s">
        <v>98</v>
      </c>
      <c r="AP637" s="356" t="s">
        <v>276</v>
      </c>
      <c r="AQ637" s="356" t="s">
        <v>276</v>
      </c>
      <c r="AR637" s="357" t="s">
        <v>269</v>
      </c>
      <c r="AS637" s="359">
        <v>0.99</v>
      </c>
      <c r="AT637" s="369">
        <f t="shared" si="76"/>
        <v>0.98941798941798942</v>
      </c>
      <c r="AU637" s="359">
        <v>0.9</v>
      </c>
      <c r="AV637" s="359">
        <v>1.08</v>
      </c>
      <c r="AW637" s="354" t="s">
        <v>276</v>
      </c>
      <c r="AX637" s="357" t="s">
        <v>282</v>
      </c>
      <c r="AY637" s="357" t="s">
        <v>98</v>
      </c>
      <c r="AZ637" s="357" t="s">
        <v>98</v>
      </c>
      <c r="BA637" s="357" t="s">
        <v>98</v>
      </c>
      <c r="BB637" s="357" t="s">
        <v>98</v>
      </c>
      <c r="BC637" s="351" t="s">
        <v>5446</v>
      </c>
      <c r="BD637" s="348"/>
      <c r="BE637" s="33" t="s">
        <v>100</v>
      </c>
      <c r="BF637" s="33" t="s">
        <v>98</v>
      </c>
    </row>
    <row r="638" spans="1:58" s="384" customFormat="1" ht="52" x14ac:dyDescent="0.35">
      <c r="A638" s="357">
        <v>2812</v>
      </c>
      <c r="B638" s="357" t="s">
        <v>5432</v>
      </c>
      <c r="C638" s="357" t="s">
        <v>88</v>
      </c>
      <c r="D638" s="351" t="s">
        <v>5450</v>
      </c>
      <c r="E638" s="357" t="s">
        <v>43</v>
      </c>
      <c r="F638" s="351" t="s">
        <v>4987</v>
      </c>
      <c r="G638" s="357" t="s">
        <v>225</v>
      </c>
      <c r="H638" s="357" t="s">
        <v>125</v>
      </c>
      <c r="I638" s="357" t="s">
        <v>114</v>
      </c>
      <c r="J638" s="351" t="s">
        <v>23</v>
      </c>
      <c r="K638" s="351" t="s">
        <v>5434</v>
      </c>
      <c r="L638" s="351" t="s">
        <v>5435</v>
      </c>
      <c r="M638" s="357" t="s">
        <v>259</v>
      </c>
      <c r="N638" s="351" t="s">
        <v>5451</v>
      </c>
      <c r="O638" s="360" t="s">
        <v>207</v>
      </c>
      <c r="P638" s="383" t="s">
        <v>5436</v>
      </c>
      <c r="Q638" s="351" t="s">
        <v>1258</v>
      </c>
      <c r="R638" s="351" t="s">
        <v>276</v>
      </c>
      <c r="S638" s="351" t="s">
        <v>276</v>
      </c>
      <c r="T638" s="351" t="s">
        <v>276</v>
      </c>
      <c r="U638" s="354">
        <v>2776</v>
      </c>
      <c r="V638" s="354">
        <v>2787</v>
      </c>
      <c r="W638" s="357" t="s">
        <v>276</v>
      </c>
      <c r="X638" s="357" t="s">
        <v>276</v>
      </c>
      <c r="Y638" s="357">
        <v>0</v>
      </c>
      <c r="Z638" s="357" t="s">
        <v>98</v>
      </c>
      <c r="AA638" s="357">
        <v>0</v>
      </c>
      <c r="AB638" s="357" t="s">
        <v>98</v>
      </c>
      <c r="AC638" s="351" t="s">
        <v>5452</v>
      </c>
      <c r="AD638" s="351" t="s">
        <v>1674</v>
      </c>
      <c r="AE638" s="347">
        <v>1183</v>
      </c>
      <c r="AF638" s="347">
        <v>1224</v>
      </c>
      <c r="AG638" s="354" t="s">
        <v>276</v>
      </c>
      <c r="AH638" s="354" t="s">
        <v>276</v>
      </c>
      <c r="AI638" s="354" t="s">
        <v>5441</v>
      </c>
      <c r="AJ638" s="368">
        <v>29.4</v>
      </c>
      <c r="AK638" s="356" t="s">
        <v>98</v>
      </c>
      <c r="AL638" s="356" t="s">
        <v>276</v>
      </c>
      <c r="AM638" s="356" t="s">
        <v>276</v>
      </c>
      <c r="AN638" s="368">
        <v>30.5</v>
      </c>
      <c r="AO638" s="356" t="s">
        <v>98</v>
      </c>
      <c r="AP638" s="356" t="s">
        <v>276</v>
      </c>
      <c r="AQ638" s="356" t="s">
        <v>276</v>
      </c>
      <c r="AR638" s="357" t="s">
        <v>269</v>
      </c>
      <c r="AS638" s="359">
        <v>0.96</v>
      </c>
      <c r="AT638" s="369">
        <f>AJ638/AN638</f>
        <v>0.9639344262295082</v>
      </c>
      <c r="AU638" s="359">
        <v>0.89</v>
      </c>
      <c r="AV638" s="359">
        <v>1.04</v>
      </c>
      <c r="AW638" s="354" t="s">
        <v>276</v>
      </c>
      <c r="AX638" s="357" t="s">
        <v>282</v>
      </c>
      <c r="AY638" s="357" t="s">
        <v>98</v>
      </c>
      <c r="AZ638" s="357" t="s">
        <v>98</v>
      </c>
      <c r="BA638" s="357" t="s">
        <v>98</v>
      </c>
      <c r="BB638" s="357" t="s">
        <v>98</v>
      </c>
      <c r="BC638" s="351" t="s">
        <v>5446</v>
      </c>
      <c r="BD638" s="364"/>
      <c r="BE638" s="33" t="s">
        <v>100</v>
      </c>
      <c r="BF638" s="33" t="s">
        <v>98</v>
      </c>
    </row>
    <row r="639" spans="1:58" s="8" customFormat="1" ht="130" x14ac:dyDescent="0.35">
      <c r="A639" s="357">
        <v>2812</v>
      </c>
      <c r="B639" s="357" t="s">
        <v>5432</v>
      </c>
      <c r="C639" s="357" t="s">
        <v>88</v>
      </c>
      <c r="D639" s="351" t="s">
        <v>5453</v>
      </c>
      <c r="E639" s="357" t="s">
        <v>43</v>
      </c>
      <c r="F639" s="351" t="s">
        <v>4987</v>
      </c>
      <c r="G639" s="357" t="s">
        <v>225</v>
      </c>
      <c r="H639" s="357" t="s">
        <v>125</v>
      </c>
      <c r="I639" s="357" t="s">
        <v>114</v>
      </c>
      <c r="J639" s="351" t="s">
        <v>24</v>
      </c>
      <c r="K639" s="351" t="s">
        <v>5434</v>
      </c>
      <c r="L639" s="351" t="s">
        <v>5454</v>
      </c>
      <c r="M639" s="357" t="s">
        <v>261</v>
      </c>
      <c r="N639" s="357" t="s">
        <v>5159</v>
      </c>
      <c r="O639" s="360" t="s">
        <v>207</v>
      </c>
      <c r="P639" s="383" t="s">
        <v>5436</v>
      </c>
      <c r="Q639" s="351" t="s">
        <v>1258</v>
      </c>
      <c r="R639" s="355" t="s">
        <v>5455</v>
      </c>
      <c r="S639" s="355" t="s">
        <v>5456</v>
      </c>
      <c r="T639" s="375" t="s">
        <v>5439</v>
      </c>
      <c r="U639" s="357">
        <v>9950</v>
      </c>
      <c r="V639" s="357">
        <v>9949</v>
      </c>
      <c r="W639" s="354" t="s">
        <v>276</v>
      </c>
      <c r="X639" s="354" t="s">
        <v>276</v>
      </c>
      <c r="Y639" s="354" t="s">
        <v>276</v>
      </c>
      <c r="Z639" s="351" t="s">
        <v>894</v>
      </c>
      <c r="AA639" s="354" t="s">
        <v>276</v>
      </c>
      <c r="AB639" s="351" t="s">
        <v>894</v>
      </c>
      <c r="AC639" s="351" t="s">
        <v>5457</v>
      </c>
      <c r="AD639" s="351" t="s">
        <v>1674</v>
      </c>
      <c r="AE639" s="357">
        <f>51+28</f>
        <v>79</v>
      </c>
      <c r="AF639" s="357">
        <v>122</v>
      </c>
      <c r="AG639" s="355">
        <v>155374</v>
      </c>
      <c r="AH639" s="355">
        <v>155245</v>
      </c>
      <c r="AI639" s="354" t="s">
        <v>5441</v>
      </c>
      <c r="AJ639" s="356">
        <v>0.51</v>
      </c>
      <c r="AK639" s="369">
        <f>AE639*1000/AG639</f>
        <v>0.50845057731666821</v>
      </c>
      <c r="AL639" s="356" t="s">
        <v>276</v>
      </c>
      <c r="AM639" s="356" t="s">
        <v>276</v>
      </c>
      <c r="AN639" s="356">
        <v>0.79</v>
      </c>
      <c r="AO639" s="369">
        <f>AF639*1000/AH639</f>
        <v>0.78585461689587421</v>
      </c>
      <c r="AP639" s="356" t="s">
        <v>276</v>
      </c>
      <c r="AQ639" s="356" t="s">
        <v>276</v>
      </c>
      <c r="AR639" s="357" t="s">
        <v>269</v>
      </c>
      <c r="AS639" s="357">
        <v>0.65</v>
      </c>
      <c r="AT639" s="369">
        <f>AK639/AO639</f>
        <v>0.6470033596354603</v>
      </c>
      <c r="AU639" s="357">
        <v>0.49</v>
      </c>
      <c r="AV639" s="357">
        <v>0.87</v>
      </c>
      <c r="AW639" s="354">
        <v>3.0000000000000001E-3</v>
      </c>
      <c r="AX639" s="357" t="s">
        <v>282</v>
      </c>
      <c r="AY639" s="357" t="s">
        <v>98</v>
      </c>
      <c r="AZ639" s="357" t="s">
        <v>98</v>
      </c>
      <c r="BA639" s="357" t="s">
        <v>98</v>
      </c>
      <c r="BB639" s="357" t="s">
        <v>98</v>
      </c>
      <c r="BC639" s="351" t="s">
        <v>5458</v>
      </c>
      <c r="BD639" s="9"/>
      <c r="BE639" s="33" t="s">
        <v>100</v>
      </c>
      <c r="BF639" s="33" t="s">
        <v>98</v>
      </c>
    </row>
    <row r="640" spans="1:58" s="8" customFormat="1" ht="52" x14ac:dyDescent="0.35">
      <c r="A640" s="357">
        <v>2812</v>
      </c>
      <c r="B640" s="357" t="s">
        <v>5432</v>
      </c>
      <c r="C640" s="357" t="s">
        <v>88</v>
      </c>
      <c r="D640" s="351" t="s">
        <v>5459</v>
      </c>
      <c r="E640" s="357" t="s">
        <v>43</v>
      </c>
      <c r="F640" s="351" t="s">
        <v>4987</v>
      </c>
      <c r="G640" s="357" t="s">
        <v>225</v>
      </c>
      <c r="H640" s="357" t="s">
        <v>125</v>
      </c>
      <c r="I640" s="357" t="s">
        <v>114</v>
      </c>
      <c r="J640" s="351" t="s">
        <v>24</v>
      </c>
      <c r="K640" s="351" t="s">
        <v>5434</v>
      </c>
      <c r="L640" s="351" t="s">
        <v>5435</v>
      </c>
      <c r="M640" s="357" t="s">
        <v>259</v>
      </c>
      <c r="N640" s="351" t="s">
        <v>5444</v>
      </c>
      <c r="O640" s="360" t="s">
        <v>207</v>
      </c>
      <c r="P640" s="383" t="s">
        <v>5436</v>
      </c>
      <c r="Q640" s="351" t="s">
        <v>1258</v>
      </c>
      <c r="R640" s="351" t="s">
        <v>276</v>
      </c>
      <c r="S640" s="351" t="s">
        <v>276</v>
      </c>
      <c r="T640" s="351" t="s">
        <v>276</v>
      </c>
      <c r="U640" s="354">
        <v>4047</v>
      </c>
      <c r="V640" s="354">
        <v>3998</v>
      </c>
      <c r="W640" s="357" t="s">
        <v>276</v>
      </c>
      <c r="X640" s="357" t="s">
        <v>276</v>
      </c>
      <c r="Y640" s="354" t="s">
        <v>276</v>
      </c>
      <c r="Z640" s="351" t="s">
        <v>894</v>
      </c>
      <c r="AA640" s="354" t="s">
        <v>276</v>
      </c>
      <c r="AB640" s="351" t="s">
        <v>894</v>
      </c>
      <c r="AC640" s="351" t="s">
        <v>5460</v>
      </c>
      <c r="AD640" s="351" t="s">
        <v>1674</v>
      </c>
      <c r="AE640" s="357">
        <v>9</v>
      </c>
      <c r="AF640" s="357">
        <v>18</v>
      </c>
      <c r="AG640" s="354" t="s">
        <v>276</v>
      </c>
      <c r="AH640" s="354" t="s">
        <v>276</v>
      </c>
      <c r="AI640" s="354" t="s">
        <v>5441</v>
      </c>
      <c r="AJ640" s="356">
        <v>0.14000000000000001</v>
      </c>
      <c r="AK640" s="356" t="s">
        <v>98</v>
      </c>
      <c r="AL640" s="356" t="s">
        <v>276</v>
      </c>
      <c r="AM640" s="356" t="s">
        <v>276</v>
      </c>
      <c r="AN640" s="356">
        <v>0.27</v>
      </c>
      <c r="AO640" s="356" t="s">
        <v>98</v>
      </c>
      <c r="AP640" s="356" t="s">
        <v>276</v>
      </c>
      <c r="AQ640" s="356" t="s">
        <v>276</v>
      </c>
      <c r="AR640" s="357" t="s">
        <v>269</v>
      </c>
      <c r="AS640" s="356">
        <v>0.5</v>
      </c>
      <c r="AT640" s="369">
        <f>AJ640/AN640</f>
        <v>0.51851851851851849</v>
      </c>
      <c r="AU640" s="356">
        <v>0.2</v>
      </c>
      <c r="AV640" s="357">
        <v>1.1599999999999999</v>
      </c>
      <c r="AW640" s="354" t="s">
        <v>276</v>
      </c>
      <c r="AX640" s="357" t="s">
        <v>282</v>
      </c>
      <c r="AY640" s="357" t="s">
        <v>98</v>
      </c>
      <c r="AZ640" s="357" t="s">
        <v>98</v>
      </c>
      <c r="BA640" s="357" t="s">
        <v>98</v>
      </c>
      <c r="BB640" s="357" t="s">
        <v>98</v>
      </c>
      <c r="BC640" s="351" t="s">
        <v>5461</v>
      </c>
      <c r="BD640" s="9"/>
      <c r="BE640" s="33" t="s">
        <v>100</v>
      </c>
      <c r="BF640" s="33" t="s">
        <v>98</v>
      </c>
    </row>
    <row r="641" spans="1:58" s="8" customFormat="1" ht="52" x14ac:dyDescent="0.35">
      <c r="A641" s="357">
        <v>2812</v>
      </c>
      <c r="B641" s="357" t="s">
        <v>5432</v>
      </c>
      <c r="C641" s="357" t="s">
        <v>88</v>
      </c>
      <c r="D641" s="351" t="s">
        <v>5462</v>
      </c>
      <c r="E641" s="357" t="s">
        <v>43</v>
      </c>
      <c r="F641" s="351" t="s">
        <v>4987</v>
      </c>
      <c r="G641" s="357" t="s">
        <v>225</v>
      </c>
      <c r="H641" s="357" t="s">
        <v>125</v>
      </c>
      <c r="I641" s="357" t="s">
        <v>114</v>
      </c>
      <c r="J641" s="351" t="s">
        <v>24</v>
      </c>
      <c r="K641" s="351" t="s">
        <v>5434</v>
      </c>
      <c r="L641" s="351" t="s">
        <v>5454</v>
      </c>
      <c r="M641" s="357" t="s">
        <v>259</v>
      </c>
      <c r="N641" s="351" t="s">
        <v>5448</v>
      </c>
      <c r="O641" s="360" t="s">
        <v>207</v>
      </c>
      <c r="P641" s="383" t="s">
        <v>5436</v>
      </c>
      <c r="Q641" s="351" t="s">
        <v>1258</v>
      </c>
      <c r="R641" s="351" t="s">
        <v>276</v>
      </c>
      <c r="S641" s="351" t="s">
        <v>276</v>
      </c>
      <c r="T641" s="351" t="s">
        <v>276</v>
      </c>
      <c r="U641" s="354">
        <v>3127</v>
      </c>
      <c r="V641" s="354">
        <v>3164</v>
      </c>
      <c r="W641" s="357" t="s">
        <v>276</v>
      </c>
      <c r="X641" s="357" t="s">
        <v>276</v>
      </c>
      <c r="Y641" s="354" t="s">
        <v>276</v>
      </c>
      <c r="Z641" s="351" t="s">
        <v>894</v>
      </c>
      <c r="AA641" s="354" t="s">
        <v>276</v>
      </c>
      <c r="AB641" s="351" t="s">
        <v>894</v>
      </c>
      <c r="AC641" s="351" t="s">
        <v>5463</v>
      </c>
      <c r="AD641" s="351" t="s">
        <v>1674</v>
      </c>
      <c r="AE641" s="357">
        <v>23</v>
      </c>
      <c r="AF641" s="357">
        <v>49</v>
      </c>
      <c r="AG641" s="354" t="s">
        <v>276</v>
      </c>
      <c r="AH641" s="354" t="s">
        <v>276</v>
      </c>
      <c r="AI641" s="354" t="s">
        <v>5441</v>
      </c>
      <c r="AJ641" s="356">
        <v>0.47</v>
      </c>
      <c r="AK641" s="356" t="s">
        <v>98</v>
      </c>
      <c r="AL641" s="356" t="s">
        <v>276</v>
      </c>
      <c r="AM641" s="356" t="s">
        <v>276</v>
      </c>
      <c r="AN641" s="356">
        <v>1</v>
      </c>
      <c r="AO641" s="356" t="s">
        <v>98</v>
      </c>
      <c r="AP641" s="356" t="s">
        <v>276</v>
      </c>
      <c r="AQ641" s="356" t="s">
        <v>276</v>
      </c>
      <c r="AR641" s="357" t="s">
        <v>269</v>
      </c>
      <c r="AS641" s="357">
        <v>0.47</v>
      </c>
      <c r="AT641" s="369">
        <f>AJ641/AN641</f>
        <v>0.47</v>
      </c>
      <c r="AU641" s="357">
        <v>0.28000000000000003</v>
      </c>
      <c r="AV641" s="357">
        <v>0.79</v>
      </c>
      <c r="AW641" s="354" t="s">
        <v>276</v>
      </c>
      <c r="AX641" s="357" t="s">
        <v>282</v>
      </c>
      <c r="AY641" s="357" t="s">
        <v>98</v>
      </c>
      <c r="AZ641" s="357" t="s">
        <v>98</v>
      </c>
      <c r="BA641" s="357" t="s">
        <v>98</v>
      </c>
      <c r="BB641" s="357" t="s">
        <v>98</v>
      </c>
      <c r="BC641" s="351" t="s">
        <v>5464</v>
      </c>
      <c r="BD641" s="9"/>
      <c r="BE641" s="33" t="s">
        <v>100</v>
      </c>
      <c r="BF641" s="33" t="s">
        <v>98</v>
      </c>
    </row>
    <row r="642" spans="1:58" s="8" customFormat="1" ht="52" x14ac:dyDescent="0.35">
      <c r="A642" s="357">
        <v>2812</v>
      </c>
      <c r="B642" s="357" t="s">
        <v>5432</v>
      </c>
      <c r="C642" s="357" t="s">
        <v>88</v>
      </c>
      <c r="D642" s="351" t="s">
        <v>5465</v>
      </c>
      <c r="E642" s="357" t="s">
        <v>43</v>
      </c>
      <c r="F642" s="351" t="s">
        <v>4987</v>
      </c>
      <c r="G642" s="357" t="s">
        <v>225</v>
      </c>
      <c r="H642" s="357" t="s">
        <v>125</v>
      </c>
      <c r="I642" s="357" t="s">
        <v>114</v>
      </c>
      <c r="J642" s="351" t="s">
        <v>24</v>
      </c>
      <c r="K642" s="351" t="s">
        <v>5434</v>
      </c>
      <c r="L642" s="351" t="s">
        <v>5454</v>
      </c>
      <c r="M642" s="357" t="s">
        <v>259</v>
      </c>
      <c r="N642" s="351" t="s">
        <v>5451</v>
      </c>
      <c r="O642" s="360" t="s">
        <v>207</v>
      </c>
      <c r="P642" s="383" t="s">
        <v>5436</v>
      </c>
      <c r="Q642" s="351" t="s">
        <v>1258</v>
      </c>
      <c r="R642" s="351" t="s">
        <v>276</v>
      </c>
      <c r="S642" s="351" t="s">
        <v>276</v>
      </c>
      <c r="T642" s="351" t="s">
        <v>276</v>
      </c>
      <c r="U642" s="354">
        <v>2776</v>
      </c>
      <c r="V642" s="354">
        <v>2787</v>
      </c>
      <c r="W642" s="357" t="s">
        <v>276</v>
      </c>
      <c r="X642" s="357" t="s">
        <v>276</v>
      </c>
      <c r="Y642" s="354" t="s">
        <v>276</v>
      </c>
      <c r="Z642" s="351" t="s">
        <v>894</v>
      </c>
      <c r="AA642" s="354" t="s">
        <v>276</v>
      </c>
      <c r="AB642" s="351" t="s">
        <v>894</v>
      </c>
      <c r="AC642" s="351" t="s">
        <v>5466</v>
      </c>
      <c r="AD642" s="351" t="s">
        <v>1674</v>
      </c>
      <c r="AE642" s="357">
        <v>47</v>
      </c>
      <c r="AF642" s="357">
        <v>55</v>
      </c>
      <c r="AG642" s="354" t="s">
        <v>276</v>
      </c>
      <c r="AH642" s="354" t="s">
        <v>276</v>
      </c>
      <c r="AI642" s="354" t="s">
        <v>5441</v>
      </c>
      <c r="AJ642" s="356">
        <v>1.17</v>
      </c>
      <c r="AK642" s="356" t="s">
        <v>98</v>
      </c>
      <c r="AL642" s="356" t="s">
        <v>276</v>
      </c>
      <c r="AM642" s="356" t="s">
        <v>276</v>
      </c>
      <c r="AN642" s="356">
        <v>1.37</v>
      </c>
      <c r="AO642" s="356" t="s">
        <v>98</v>
      </c>
      <c r="AP642" s="356" t="s">
        <v>276</v>
      </c>
      <c r="AQ642" s="356" t="s">
        <v>276</v>
      </c>
      <c r="AR642" s="357" t="s">
        <v>269</v>
      </c>
      <c r="AS642" s="357">
        <v>0.85</v>
      </c>
      <c r="AT642" s="369">
        <f>AJ642/AN642</f>
        <v>0.85401459854014583</v>
      </c>
      <c r="AU642" s="357">
        <v>0.56000000000000005</v>
      </c>
      <c r="AV642" s="357">
        <v>1.28</v>
      </c>
      <c r="AW642" s="354" t="s">
        <v>276</v>
      </c>
      <c r="AX642" s="357" t="s">
        <v>282</v>
      </c>
      <c r="AY642" s="357" t="s">
        <v>98</v>
      </c>
      <c r="AZ642" s="357" t="s">
        <v>98</v>
      </c>
      <c r="BA642" s="357" t="s">
        <v>98</v>
      </c>
      <c r="BB642" s="357" t="s">
        <v>98</v>
      </c>
      <c r="BC642" s="351" t="s">
        <v>5467</v>
      </c>
      <c r="BD642" s="9"/>
      <c r="BE642" s="33" t="s">
        <v>100</v>
      </c>
      <c r="BF642" s="33" t="s">
        <v>98</v>
      </c>
    </row>
    <row r="643" spans="1:58" s="384" customFormat="1" ht="52" x14ac:dyDescent="0.35">
      <c r="A643" s="357">
        <v>2812</v>
      </c>
      <c r="B643" s="357" t="s">
        <v>5432</v>
      </c>
      <c r="C643" s="357" t="s">
        <v>88</v>
      </c>
      <c r="D643" s="351" t="s">
        <v>5468</v>
      </c>
      <c r="E643" s="357" t="s">
        <v>43</v>
      </c>
      <c r="F643" s="351" t="s">
        <v>4987</v>
      </c>
      <c r="G643" s="357" t="s">
        <v>225</v>
      </c>
      <c r="H643" s="357" t="s">
        <v>125</v>
      </c>
      <c r="I643" s="357" t="s">
        <v>114</v>
      </c>
      <c r="J643" s="351" t="s">
        <v>24</v>
      </c>
      <c r="K643" s="351" t="s">
        <v>5434</v>
      </c>
      <c r="L643" s="351" t="s">
        <v>5435</v>
      </c>
      <c r="M643" s="357" t="s">
        <v>261</v>
      </c>
      <c r="N643" s="357" t="s">
        <v>5159</v>
      </c>
      <c r="O643" s="360" t="s">
        <v>207</v>
      </c>
      <c r="P643" s="383" t="s">
        <v>5436</v>
      </c>
      <c r="Q643" s="351" t="s">
        <v>1252</v>
      </c>
      <c r="R643" s="355" t="s">
        <v>5469</v>
      </c>
      <c r="S643" s="355" t="s">
        <v>5470</v>
      </c>
      <c r="T643" s="375" t="s">
        <v>276</v>
      </c>
      <c r="U643" s="357">
        <v>9950</v>
      </c>
      <c r="V643" s="357">
        <v>9949</v>
      </c>
      <c r="W643" s="354" t="s">
        <v>276</v>
      </c>
      <c r="X643" s="354" t="s">
        <v>276</v>
      </c>
      <c r="Y643" s="354" t="s">
        <v>276</v>
      </c>
      <c r="Z643" s="351" t="s">
        <v>894</v>
      </c>
      <c r="AA643" s="354" t="s">
        <v>276</v>
      </c>
      <c r="AB643" s="351" t="s">
        <v>894</v>
      </c>
      <c r="AC643" s="351" t="s">
        <v>5471</v>
      </c>
      <c r="AD643" s="351" t="s">
        <v>1674</v>
      </c>
      <c r="AE643" s="357">
        <v>60</v>
      </c>
      <c r="AF643" s="357">
        <v>98</v>
      </c>
      <c r="AG643" s="355">
        <v>141118</v>
      </c>
      <c r="AH643" s="355">
        <v>141035</v>
      </c>
      <c r="AI643" s="354" t="s">
        <v>5441</v>
      </c>
      <c r="AJ643" s="356">
        <v>0.43</v>
      </c>
      <c r="AK643" s="369">
        <f>AE643*1000/AG643</f>
        <v>0.4251760937655012</v>
      </c>
      <c r="AL643" s="356" t="s">
        <v>276</v>
      </c>
      <c r="AM643" s="356" t="s">
        <v>276</v>
      </c>
      <c r="AN643" s="356">
        <v>0.69</v>
      </c>
      <c r="AO643" s="369">
        <f>AF643*1000/AH643</f>
        <v>0.69486297727514446</v>
      </c>
      <c r="AP643" s="356" t="s">
        <v>276</v>
      </c>
      <c r="AQ643" s="356" t="s">
        <v>276</v>
      </c>
      <c r="AR643" s="357" t="s">
        <v>269</v>
      </c>
      <c r="AS643" s="357">
        <v>0.61</v>
      </c>
      <c r="AT643" s="369">
        <f t="shared" ref="AT643:AT668" si="77">AK643/AO643</f>
        <v>0.61188479983895372</v>
      </c>
      <c r="AU643" s="357">
        <v>0.44</v>
      </c>
      <c r="AV643" s="357">
        <v>0.85</v>
      </c>
      <c r="AW643" s="354" t="s">
        <v>276</v>
      </c>
      <c r="AX643" s="357" t="s">
        <v>282</v>
      </c>
      <c r="AY643" s="357" t="s">
        <v>98</v>
      </c>
      <c r="AZ643" s="357" t="s">
        <v>98</v>
      </c>
      <c r="BA643" s="357" t="s">
        <v>98</v>
      </c>
      <c r="BB643" s="357" t="s">
        <v>98</v>
      </c>
      <c r="BC643" s="351" t="s">
        <v>298</v>
      </c>
      <c r="BD643" s="364"/>
      <c r="BE643" s="33" t="s">
        <v>100</v>
      </c>
      <c r="BF643" s="33" t="s">
        <v>98</v>
      </c>
    </row>
    <row r="644" spans="1:58" s="384" customFormat="1" ht="52" x14ac:dyDescent="0.35">
      <c r="A644" s="357">
        <v>2812</v>
      </c>
      <c r="B644" s="357" t="s">
        <v>5432</v>
      </c>
      <c r="C644" s="357" t="s">
        <v>88</v>
      </c>
      <c r="D644" s="351" t="s">
        <v>5472</v>
      </c>
      <c r="E644" s="357" t="s">
        <v>43</v>
      </c>
      <c r="F644" s="351" t="s">
        <v>4987</v>
      </c>
      <c r="G644" s="357" t="s">
        <v>225</v>
      </c>
      <c r="H644" s="357" t="s">
        <v>125</v>
      </c>
      <c r="I644" s="357" t="s">
        <v>114</v>
      </c>
      <c r="J644" s="351" t="s">
        <v>24</v>
      </c>
      <c r="K644" s="351" t="s">
        <v>5434</v>
      </c>
      <c r="L644" s="351" t="s">
        <v>5435</v>
      </c>
      <c r="M644" s="357" t="s">
        <v>261</v>
      </c>
      <c r="N644" s="357" t="s">
        <v>5159</v>
      </c>
      <c r="O644" s="360" t="s">
        <v>207</v>
      </c>
      <c r="P644" s="383" t="s">
        <v>5436</v>
      </c>
      <c r="Q644" s="351" t="s">
        <v>779</v>
      </c>
      <c r="R644" s="355" t="s">
        <v>5473</v>
      </c>
      <c r="S644" s="355" t="s">
        <v>5474</v>
      </c>
      <c r="T644" s="375" t="s">
        <v>276</v>
      </c>
      <c r="U644" s="357">
        <v>9950</v>
      </c>
      <c r="V644" s="357">
        <v>9949</v>
      </c>
      <c r="W644" s="354" t="s">
        <v>276</v>
      </c>
      <c r="X644" s="354" t="s">
        <v>276</v>
      </c>
      <c r="Y644" s="354" t="s">
        <v>276</v>
      </c>
      <c r="Z644" s="351" t="s">
        <v>894</v>
      </c>
      <c r="AA644" s="354" t="s">
        <v>276</v>
      </c>
      <c r="AB644" s="351" t="s">
        <v>894</v>
      </c>
      <c r="AC644" s="351" t="s">
        <v>5475</v>
      </c>
      <c r="AD644" s="351" t="s">
        <v>1674</v>
      </c>
      <c r="AE644" s="357">
        <v>44</v>
      </c>
      <c r="AF644" s="357">
        <v>78</v>
      </c>
      <c r="AG644" s="355">
        <v>125973</v>
      </c>
      <c r="AH644" s="355">
        <v>125914</v>
      </c>
      <c r="AI644" s="354" t="s">
        <v>5441</v>
      </c>
      <c r="AJ644" s="356">
        <v>0.35</v>
      </c>
      <c r="AK644" s="369">
        <f>AE644*1000/AG644</f>
        <v>0.34928119517674422</v>
      </c>
      <c r="AL644" s="356" t="s">
        <v>276</v>
      </c>
      <c r="AM644" s="356" t="s">
        <v>276</v>
      </c>
      <c r="AN644" s="356">
        <v>0.62</v>
      </c>
      <c r="AO644" s="369">
        <f>AF644*1000/AH644</f>
        <v>0.61947043219975539</v>
      </c>
      <c r="AP644" s="356" t="s">
        <v>276</v>
      </c>
      <c r="AQ644" s="356" t="s">
        <v>276</v>
      </c>
      <c r="AR644" s="357" t="s">
        <v>269</v>
      </c>
      <c r="AS644" s="357">
        <v>0.56000000000000005</v>
      </c>
      <c r="AT644" s="369">
        <f t="shared" si="77"/>
        <v>0.56383836422416111</v>
      </c>
      <c r="AU644" s="357">
        <v>0.38</v>
      </c>
      <c r="AV644" s="357">
        <v>0.83</v>
      </c>
      <c r="AW644" s="354" t="s">
        <v>276</v>
      </c>
      <c r="AX644" s="357" t="s">
        <v>282</v>
      </c>
      <c r="AY644" s="357" t="s">
        <v>98</v>
      </c>
      <c r="AZ644" s="357" t="s">
        <v>98</v>
      </c>
      <c r="BA644" s="357" t="s">
        <v>98</v>
      </c>
      <c r="BB644" s="357" t="s">
        <v>98</v>
      </c>
      <c r="BC644" s="351" t="s">
        <v>298</v>
      </c>
      <c r="BD644" s="364"/>
      <c r="BE644" s="33" t="s">
        <v>100</v>
      </c>
      <c r="BF644" s="33" t="s">
        <v>98</v>
      </c>
    </row>
    <row r="645" spans="1:58" s="357" customFormat="1" ht="52" x14ac:dyDescent="0.35">
      <c r="A645" s="357">
        <v>6325</v>
      </c>
      <c r="B645" s="357" t="s">
        <v>5476</v>
      </c>
      <c r="C645" s="357" t="s">
        <v>88</v>
      </c>
      <c r="D645" s="351" t="s">
        <v>5477</v>
      </c>
      <c r="E645" s="357" t="s">
        <v>43</v>
      </c>
      <c r="F645" s="351" t="s">
        <v>4987</v>
      </c>
      <c r="G645" s="357" t="s">
        <v>225</v>
      </c>
      <c r="H645" s="357" t="s">
        <v>125</v>
      </c>
      <c r="I645" s="357" t="s">
        <v>114</v>
      </c>
      <c r="J645" s="351" t="s">
        <v>23</v>
      </c>
      <c r="K645" s="351" t="s">
        <v>5478</v>
      </c>
      <c r="L645" s="351" t="s">
        <v>5479</v>
      </c>
      <c r="M645" s="351" t="s">
        <v>261</v>
      </c>
      <c r="N645" s="360" t="s">
        <v>5159</v>
      </c>
      <c r="O645" s="360" t="s">
        <v>207</v>
      </c>
      <c r="P645" s="351" t="s">
        <v>5480</v>
      </c>
      <c r="Q645" s="351" t="s">
        <v>5481</v>
      </c>
      <c r="R645" s="354" t="s">
        <v>5482</v>
      </c>
      <c r="S645" s="354" t="s">
        <v>5483</v>
      </c>
      <c r="T645" s="351" t="s">
        <v>5484</v>
      </c>
      <c r="U645" s="354">
        <v>9945</v>
      </c>
      <c r="V645" s="354">
        <v>9949</v>
      </c>
      <c r="W645" s="354" t="s">
        <v>276</v>
      </c>
      <c r="X645" s="354" t="s">
        <v>276</v>
      </c>
      <c r="Y645" s="357">
        <v>0</v>
      </c>
      <c r="Z645" s="357" t="s">
        <v>98</v>
      </c>
      <c r="AA645" s="357">
        <v>0</v>
      </c>
      <c r="AB645" s="357" t="s">
        <v>98</v>
      </c>
      <c r="AC645" s="351" t="s">
        <v>5485</v>
      </c>
      <c r="AD645" s="351" t="s">
        <v>1507</v>
      </c>
      <c r="AE645" s="357">
        <v>3806</v>
      </c>
      <c r="AF645" s="357">
        <v>3735</v>
      </c>
      <c r="AG645" s="354">
        <v>177091</v>
      </c>
      <c r="AH645" s="354">
        <v>177152</v>
      </c>
      <c r="AI645" s="354" t="s">
        <v>5441</v>
      </c>
      <c r="AJ645" s="369" t="s">
        <v>276</v>
      </c>
      <c r="AK645" s="369">
        <f t="shared" ref="AK645:AK668" si="78">AE645*1000/AG645</f>
        <v>21.491775414899685</v>
      </c>
      <c r="AL645" s="369" t="s">
        <v>276</v>
      </c>
      <c r="AM645" s="369" t="s">
        <v>276</v>
      </c>
      <c r="AN645" s="369" t="s">
        <v>276</v>
      </c>
      <c r="AO645" s="369">
        <f t="shared" ref="AO645:AO668" si="79">AF645*1000/AH645</f>
        <v>21.083589234104046</v>
      </c>
      <c r="AP645" s="369" t="s">
        <v>276</v>
      </c>
      <c r="AQ645" s="369" t="s">
        <v>276</v>
      </c>
      <c r="AR645" s="357" t="s">
        <v>269</v>
      </c>
      <c r="AS645" s="356">
        <v>1.02</v>
      </c>
      <c r="AT645" s="369">
        <f t="shared" si="77"/>
        <v>1.0193603743775927</v>
      </c>
      <c r="AU645" s="357">
        <v>0.97</v>
      </c>
      <c r="AV645" s="357">
        <v>1.07</v>
      </c>
      <c r="AW645" s="357" t="s">
        <v>276</v>
      </c>
      <c r="AX645" s="357" t="s">
        <v>276</v>
      </c>
      <c r="AY645" s="357" t="s">
        <v>276</v>
      </c>
      <c r="AZ645" s="357" t="s">
        <v>276</v>
      </c>
      <c r="BA645" s="357" t="s">
        <v>276</v>
      </c>
      <c r="BB645" s="357" t="s">
        <v>276</v>
      </c>
      <c r="BC645" s="357" t="s">
        <v>426</v>
      </c>
      <c r="BD645" s="351"/>
      <c r="BE645" s="33" t="s">
        <v>100</v>
      </c>
      <c r="BF645" s="33" t="s">
        <v>98</v>
      </c>
    </row>
    <row r="646" spans="1:58" s="357" customFormat="1" ht="52" x14ac:dyDescent="0.35">
      <c r="A646" s="357">
        <v>6325</v>
      </c>
      <c r="B646" s="357" t="s">
        <v>5476</v>
      </c>
      <c r="C646" s="357" t="s">
        <v>88</v>
      </c>
      <c r="D646" s="351" t="s">
        <v>5486</v>
      </c>
      <c r="E646" s="357" t="s">
        <v>43</v>
      </c>
      <c r="F646" s="351" t="s">
        <v>4987</v>
      </c>
      <c r="G646" s="357" t="s">
        <v>225</v>
      </c>
      <c r="H646" s="357" t="s">
        <v>125</v>
      </c>
      <c r="I646" s="357" t="s">
        <v>114</v>
      </c>
      <c r="J646" s="351" t="s">
        <v>24</v>
      </c>
      <c r="K646" s="351" t="s">
        <v>5478</v>
      </c>
      <c r="L646" s="351" t="s">
        <v>5479</v>
      </c>
      <c r="M646" s="351" t="s">
        <v>261</v>
      </c>
      <c r="N646" s="360" t="s">
        <v>5159</v>
      </c>
      <c r="O646" s="360" t="s">
        <v>207</v>
      </c>
      <c r="P646" s="351" t="s">
        <v>5480</v>
      </c>
      <c r="Q646" s="351" t="s">
        <v>5481</v>
      </c>
      <c r="R646" s="354" t="s">
        <v>5482</v>
      </c>
      <c r="S646" s="354" t="s">
        <v>5483</v>
      </c>
      <c r="T646" s="351" t="s">
        <v>5484</v>
      </c>
      <c r="U646" s="354">
        <v>9945</v>
      </c>
      <c r="V646" s="354">
        <v>9949</v>
      </c>
      <c r="W646" s="354" t="s">
        <v>276</v>
      </c>
      <c r="X646" s="354" t="s">
        <v>276</v>
      </c>
      <c r="Y646" s="354" t="s">
        <v>276</v>
      </c>
      <c r="Z646" s="351" t="s">
        <v>894</v>
      </c>
      <c r="AA646" s="354" t="s">
        <v>276</v>
      </c>
      <c r="AB646" s="351" t="s">
        <v>894</v>
      </c>
      <c r="AC646" s="351" t="s">
        <v>5487</v>
      </c>
      <c r="AD646" s="351" t="s">
        <v>1507</v>
      </c>
      <c r="AE646" s="357">
        <v>112</v>
      </c>
      <c r="AF646" s="357">
        <v>158</v>
      </c>
      <c r="AG646" s="354">
        <v>177091</v>
      </c>
      <c r="AH646" s="354">
        <v>177152</v>
      </c>
      <c r="AI646" s="354" t="s">
        <v>5441</v>
      </c>
      <c r="AJ646" s="369" t="s">
        <v>276</v>
      </c>
      <c r="AK646" s="369">
        <f t="shared" si="78"/>
        <v>0.63244320716467806</v>
      </c>
      <c r="AL646" s="369" t="s">
        <v>276</v>
      </c>
      <c r="AM646" s="369" t="s">
        <v>276</v>
      </c>
      <c r="AN646" s="369" t="s">
        <v>276</v>
      </c>
      <c r="AO646" s="369">
        <f t="shared" si="79"/>
        <v>0.89188945086705207</v>
      </c>
      <c r="AP646" s="369" t="s">
        <v>276</v>
      </c>
      <c r="AQ646" s="369" t="s">
        <v>276</v>
      </c>
      <c r="AR646" s="357" t="s">
        <v>269</v>
      </c>
      <c r="AS646" s="356">
        <v>0.71</v>
      </c>
      <c r="AT646" s="369">
        <f t="shared" si="77"/>
        <v>0.70910493060529778</v>
      </c>
      <c r="AU646" s="356">
        <v>0.55000000000000004</v>
      </c>
      <c r="AV646" s="356">
        <v>0.91</v>
      </c>
      <c r="AW646" s="357">
        <v>5.0000000000000001E-3</v>
      </c>
      <c r="AX646" s="357" t="s">
        <v>282</v>
      </c>
      <c r="AY646" s="357" t="s">
        <v>98</v>
      </c>
      <c r="AZ646" s="357" t="s">
        <v>98</v>
      </c>
      <c r="BA646" s="357" t="s">
        <v>98</v>
      </c>
      <c r="BB646" s="357" t="s">
        <v>98</v>
      </c>
      <c r="BC646" s="351" t="s">
        <v>5488</v>
      </c>
      <c r="BD646" s="351"/>
      <c r="BE646" s="33" t="s">
        <v>100</v>
      </c>
      <c r="BF646" s="33" t="s">
        <v>98</v>
      </c>
    </row>
    <row r="647" spans="1:58" s="384" customFormat="1" ht="52" x14ac:dyDescent="0.35">
      <c r="A647" s="357">
        <v>6325</v>
      </c>
      <c r="B647" s="357" t="s">
        <v>5476</v>
      </c>
      <c r="C647" s="357" t="s">
        <v>88</v>
      </c>
      <c r="D647" s="351" t="s">
        <v>5489</v>
      </c>
      <c r="E647" s="357" t="s">
        <v>43</v>
      </c>
      <c r="F647" s="351" t="s">
        <v>4987</v>
      </c>
      <c r="G647" s="357" t="s">
        <v>225</v>
      </c>
      <c r="H647" s="357" t="s">
        <v>125</v>
      </c>
      <c r="I647" s="357" t="s">
        <v>114</v>
      </c>
      <c r="J647" s="351" t="s">
        <v>23</v>
      </c>
      <c r="K647" s="351" t="s">
        <v>5478</v>
      </c>
      <c r="L647" s="351" t="s">
        <v>5490</v>
      </c>
      <c r="M647" s="351" t="s">
        <v>261</v>
      </c>
      <c r="N647" s="360" t="s">
        <v>5159</v>
      </c>
      <c r="O647" s="360" t="s">
        <v>207</v>
      </c>
      <c r="P647" s="351" t="s">
        <v>98</v>
      </c>
      <c r="Q647" s="351" t="s">
        <v>1258</v>
      </c>
      <c r="R647" s="354" t="s">
        <v>5491</v>
      </c>
      <c r="S647" s="354" t="s">
        <v>5492</v>
      </c>
      <c r="T647" s="351" t="s">
        <v>276</v>
      </c>
      <c r="U647" s="354">
        <v>9945</v>
      </c>
      <c r="V647" s="354">
        <v>9949</v>
      </c>
      <c r="W647" s="354" t="s">
        <v>276</v>
      </c>
      <c r="X647" s="354" t="s">
        <v>276</v>
      </c>
      <c r="Y647" s="357">
        <v>0</v>
      </c>
      <c r="Z647" s="357" t="s">
        <v>98</v>
      </c>
      <c r="AA647" s="357">
        <v>0</v>
      </c>
      <c r="AB647" s="357" t="s">
        <v>98</v>
      </c>
      <c r="AC647" s="351" t="s">
        <v>5440</v>
      </c>
      <c r="AD647" s="351" t="s">
        <v>1507</v>
      </c>
      <c r="AE647" s="357">
        <v>2788</v>
      </c>
      <c r="AF647" s="357">
        <v>2782</v>
      </c>
      <c r="AG647" s="354">
        <v>152760</v>
      </c>
      <c r="AH647" s="354">
        <v>152620</v>
      </c>
      <c r="AI647" s="354" t="s">
        <v>5441</v>
      </c>
      <c r="AJ647" s="369" t="s">
        <v>276</v>
      </c>
      <c r="AK647" s="369">
        <f t="shared" si="78"/>
        <v>18.250851008117309</v>
      </c>
      <c r="AL647" s="369" t="s">
        <v>276</v>
      </c>
      <c r="AM647" s="369" t="s">
        <v>276</v>
      </c>
      <c r="AN647" s="369" t="s">
        <v>276</v>
      </c>
      <c r="AO647" s="369">
        <f t="shared" si="79"/>
        <v>18.228279386712096</v>
      </c>
      <c r="AP647" s="369" t="s">
        <v>276</v>
      </c>
      <c r="AQ647" s="369" t="s">
        <v>276</v>
      </c>
      <c r="AR647" s="357" t="s">
        <v>269</v>
      </c>
      <c r="AS647" s="356">
        <v>1</v>
      </c>
      <c r="AT647" s="369">
        <f t="shared" si="77"/>
        <v>1.0012382749312954</v>
      </c>
      <c r="AU647" s="357">
        <v>0.95</v>
      </c>
      <c r="AV647" s="357">
        <v>1.06</v>
      </c>
      <c r="AW647" s="357" t="s">
        <v>276</v>
      </c>
      <c r="AX647" s="357" t="s">
        <v>276</v>
      </c>
      <c r="AY647" s="357" t="s">
        <v>276</v>
      </c>
      <c r="AZ647" s="357" t="s">
        <v>276</v>
      </c>
      <c r="BA647" s="357" t="s">
        <v>276</v>
      </c>
      <c r="BB647" s="357" t="s">
        <v>276</v>
      </c>
      <c r="BC647" s="357" t="s">
        <v>426</v>
      </c>
      <c r="BD647" s="364"/>
      <c r="BE647" s="33" t="s">
        <v>100</v>
      </c>
      <c r="BF647" s="33" t="s">
        <v>98</v>
      </c>
    </row>
    <row r="648" spans="1:58" s="384" customFormat="1" ht="52" x14ac:dyDescent="0.35">
      <c r="A648" s="357">
        <v>6325</v>
      </c>
      <c r="B648" s="357" t="s">
        <v>5476</v>
      </c>
      <c r="C648" s="357" t="s">
        <v>88</v>
      </c>
      <c r="D648" s="351" t="s">
        <v>5493</v>
      </c>
      <c r="E648" s="357" t="s">
        <v>43</v>
      </c>
      <c r="F648" s="351" t="s">
        <v>4987</v>
      </c>
      <c r="G648" s="357" t="s">
        <v>225</v>
      </c>
      <c r="H648" s="357" t="s">
        <v>125</v>
      </c>
      <c r="I648" s="357" t="s">
        <v>114</v>
      </c>
      <c r="J648" s="351" t="s">
        <v>24</v>
      </c>
      <c r="K648" s="351" t="s">
        <v>5478</v>
      </c>
      <c r="L648" s="351" t="s">
        <v>5490</v>
      </c>
      <c r="M648" s="351" t="s">
        <v>261</v>
      </c>
      <c r="N648" s="360" t="s">
        <v>5159</v>
      </c>
      <c r="O648" s="360" t="s">
        <v>207</v>
      </c>
      <c r="P648" s="351" t="s">
        <v>98</v>
      </c>
      <c r="Q648" s="351" t="s">
        <v>1258</v>
      </c>
      <c r="R648" s="354" t="s">
        <v>5491</v>
      </c>
      <c r="S648" s="354" t="s">
        <v>5492</v>
      </c>
      <c r="T648" s="351" t="s">
        <v>276</v>
      </c>
      <c r="U648" s="354">
        <v>9945</v>
      </c>
      <c r="V648" s="354">
        <v>9949</v>
      </c>
      <c r="W648" s="354" t="s">
        <v>276</v>
      </c>
      <c r="X648" s="354" t="s">
        <v>276</v>
      </c>
      <c r="Y648" s="354" t="s">
        <v>276</v>
      </c>
      <c r="Z648" s="351" t="s">
        <v>894</v>
      </c>
      <c r="AA648" s="354" t="s">
        <v>276</v>
      </c>
      <c r="AB648" s="351" t="s">
        <v>894</v>
      </c>
      <c r="AC648" s="351" t="s">
        <v>5494</v>
      </c>
      <c r="AD648" s="351" t="s">
        <v>1507</v>
      </c>
      <c r="AE648" s="357">
        <v>77</v>
      </c>
      <c r="AF648" s="357">
        <v>118</v>
      </c>
      <c r="AG648" s="354">
        <v>152760</v>
      </c>
      <c r="AH648" s="354">
        <v>152620</v>
      </c>
      <c r="AI648" s="354" t="s">
        <v>5441</v>
      </c>
      <c r="AJ648" s="369" t="s">
        <v>276</v>
      </c>
      <c r="AK648" s="369">
        <f t="shared" si="78"/>
        <v>0.50405865409793138</v>
      </c>
      <c r="AL648" s="369" t="s">
        <v>276</v>
      </c>
      <c r="AM648" s="369" t="s">
        <v>276</v>
      </c>
      <c r="AN648" s="356">
        <v>0.77</v>
      </c>
      <c r="AO648" s="369">
        <f t="shared" si="79"/>
        <v>0.77316210195256196</v>
      </c>
      <c r="AP648" s="369" t="s">
        <v>276</v>
      </c>
      <c r="AQ648" s="369" t="s">
        <v>276</v>
      </c>
      <c r="AR648" s="357" t="s">
        <v>269</v>
      </c>
      <c r="AS648" s="356">
        <v>0.65</v>
      </c>
      <c r="AT648" s="369">
        <f t="shared" si="77"/>
        <v>0.65194433719005329</v>
      </c>
      <c r="AU648" s="356">
        <v>0.48</v>
      </c>
      <c r="AV648" s="356">
        <v>0.88</v>
      </c>
      <c r="AW648" s="357">
        <v>3.0000000000000001E-3</v>
      </c>
      <c r="AX648" s="357" t="s">
        <v>282</v>
      </c>
      <c r="AY648" s="357" t="s">
        <v>98</v>
      </c>
      <c r="AZ648" s="357" t="s">
        <v>98</v>
      </c>
      <c r="BA648" s="357" t="s">
        <v>98</v>
      </c>
      <c r="BB648" s="357" t="s">
        <v>98</v>
      </c>
      <c r="BC648" s="351" t="s">
        <v>5488</v>
      </c>
      <c r="BD648" s="364"/>
      <c r="BE648" s="33" t="s">
        <v>100</v>
      </c>
      <c r="BF648" s="33" t="s">
        <v>98</v>
      </c>
    </row>
    <row r="649" spans="1:58" s="384" customFormat="1" ht="52" x14ac:dyDescent="0.35">
      <c r="A649" s="357">
        <v>6325</v>
      </c>
      <c r="B649" s="357" t="s">
        <v>5476</v>
      </c>
      <c r="C649" s="357" t="s">
        <v>88</v>
      </c>
      <c r="D649" s="351" t="s">
        <v>5495</v>
      </c>
      <c r="E649" s="357" t="s">
        <v>43</v>
      </c>
      <c r="F649" s="351" t="s">
        <v>4987</v>
      </c>
      <c r="G649" s="357" t="s">
        <v>225</v>
      </c>
      <c r="H649" s="357" t="s">
        <v>125</v>
      </c>
      <c r="I649" s="357" t="s">
        <v>114</v>
      </c>
      <c r="J649" s="351" t="s">
        <v>23</v>
      </c>
      <c r="K649" s="351" t="s">
        <v>5478</v>
      </c>
      <c r="L649" s="351" t="s">
        <v>5490</v>
      </c>
      <c r="M649" s="351" t="s">
        <v>261</v>
      </c>
      <c r="N649" s="360" t="s">
        <v>5159</v>
      </c>
      <c r="O649" s="360" t="s">
        <v>207</v>
      </c>
      <c r="P649" s="351" t="s">
        <v>98</v>
      </c>
      <c r="Q649" s="351" t="s">
        <v>779</v>
      </c>
      <c r="R649" s="354" t="s">
        <v>5496</v>
      </c>
      <c r="S649" s="354" t="s">
        <v>5497</v>
      </c>
      <c r="T649" s="351" t="s">
        <v>276</v>
      </c>
      <c r="U649" s="354">
        <v>9945</v>
      </c>
      <c r="V649" s="354">
        <v>9949</v>
      </c>
      <c r="W649" s="354" t="s">
        <v>276</v>
      </c>
      <c r="X649" s="354" t="s">
        <v>276</v>
      </c>
      <c r="Y649" s="357">
        <v>0</v>
      </c>
      <c r="Z649" s="357" t="s">
        <v>98</v>
      </c>
      <c r="AA649" s="357">
        <v>0</v>
      </c>
      <c r="AB649" s="357" t="s">
        <v>98</v>
      </c>
      <c r="AC649" s="351" t="s">
        <v>5498</v>
      </c>
      <c r="AD649" s="351" t="s">
        <v>1507</v>
      </c>
      <c r="AE649" s="357">
        <v>1956</v>
      </c>
      <c r="AF649" s="357">
        <v>1945</v>
      </c>
      <c r="AG649" s="354">
        <v>124217</v>
      </c>
      <c r="AH649" s="354">
        <v>124139</v>
      </c>
      <c r="AI649" s="354" t="s">
        <v>5441</v>
      </c>
      <c r="AJ649" s="369" t="s">
        <v>276</v>
      </c>
      <c r="AK649" s="369">
        <f t="shared" si="78"/>
        <v>15.746636933753029</v>
      </c>
      <c r="AL649" s="369" t="s">
        <v>276</v>
      </c>
      <c r="AM649" s="369" t="s">
        <v>276</v>
      </c>
      <c r="AN649" s="369" t="s">
        <v>276</v>
      </c>
      <c r="AO649" s="369">
        <f t="shared" si="79"/>
        <v>15.667920637350067</v>
      </c>
      <c r="AP649" s="369" t="s">
        <v>276</v>
      </c>
      <c r="AQ649" s="369" t="s">
        <v>276</v>
      </c>
      <c r="AR649" s="357" t="s">
        <v>269</v>
      </c>
      <c r="AS649" s="356">
        <v>1.01</v>
      </c>
      <c r="AT649" s="369">
        <f t="shared" si="77"/>
        <v>1.0050240423234793</v>
      </c>
      <c r="AU649" s="357">
        <v>0.94</v>
      </c>
      <c r="AV649" s="357">
        <v>1.07</v>
      </c>
      <c r="AW649" s="357" t="s">
        <v>276</v>
      </c>
      <c r="AX649" s="357" t="s">
        <v>276</v>
      </c>
      <c r="AY649" s="357" t="s">
        <v>276</v>
      </c>
      <c r="AZ649" s="357" t="s">
        <v>276</v>
      </c>
      <c r="BA649" s="357" t="s">
        <v>276</v>
      </c>
      <c r="BB649" s="357" t="s">
        <v>276</v>
      </c>
      <c r="BC649" s="357" t="s">
        <v>426</v>
      </c>
      <c r="BD649" s="364"/>
      <c r="BE649" s="33" t="s">
        <v>100</v>
      </c>
      <c r="BF649" s="33" t="s">
        <v>98</v>
      </c>
    </row>
    <row r="650" spans="1:58" s="384" customFormat="1" ht="52" x14ac:dyDescent="0.35">
      <c r="A650" s="357">
        <v>6325</v>
      </c>
      <c r="B650" s="357" t="s">
        <v>5476</v>
      </c>
      <c r="C650" s="357" t="s">
        <v>88</v>
      </c>
      <c r="D650" s="351" t="s">
        <v>5499</v>
      </c>
      <c r="E650" s="357" t="s">
        <v>43</v>
      </c>
      <c r="F650" s="351" t="s">
        <v>4987</v>
      </c>
      <c r="G650" s="357" t="s">
        <v>225</v>
      </c>
      <c r="H650" s="357" t="s">
        <v>125</v>
      </c>
      <c r="I650" s="357" t="s">
        <v>114</v>
      </c>
      <c r="J650" s="351" t="s">
        <v>24</v>
      </c>
      <c r="K650" s="351" t="s">
        <v>5478</v>
      </c>
      <c r="L650" s="351" t="s">
        <v>5490</v>
      </c>
      <c r="M650" s="351" t="s">
        <v>261</v>
      </c>
      <c r="N650" s="360" t="s">
        <v>5159</v>
      </c>
      <c r="O650" s="360" t="s">
        <v>207</v>
      </c>
      <c r="P650" s="351" t="s">
        <v>98</v>
      </c>
      <c r="Q650" s="351" t="s">
        <v>779</v>
      </c>
      <c r="R650" s="354" t="s">
        <v>5496</v>
      </c>
      <c r="S650" s="354" t="s">
        <v>5497</v>
      </c>
      <c r="T650" s="351" t="s">
        <v>276</v>
      </c>
      <c r="U650" s="354">
        <v>9945</v>
      </c>
      <c r="V650" s="354">
        <v>9949</v>
      </c>
      <c r="W650" s="354" t="s">
        <v>276</v>
      </c>
      <c r="X650" s="354" t="s">
        <v>276</v>
      </c>
      <c r="Y650" s="354" t="s">
        <v>276</v>
      </c>
      <c r="Z650" s="351" t="s">
        <v>894</v>
      </c>
      <c r="AA650" s="354" t="s">
        <v>276</v>
      </c>
      <c r="AB650" s="351" t="s">
        <v>894</v>
      </c>
      <c r="AC650" s="351" t="s">
        <v>5500</v>
      </c>
      <c r="AD650" s="351" t="s">
        <v>1507</v>
      </c>
      <c r="AE650" s="357">
        <v>42</v>
      </c>
      <c r="AF650" s="357">
        <v>76</v>
      </c>
      <c r="AG650" s="354">
        <v>124217</v>
      </c>
      <c r="AH650" s="354">
        <v>124139</v>
      </c>
      <c r="AI650" s="354" t="s">
        <v>5441</v>
      </c>
      <c r="AJ650" s="369" t="s">
        <v>276</v>
      </c>
      <c r="AK650" s="369">
        <f t="shared" si="78"/>
        <v>0.33811797097015706</v>
      </c>
      <c r="AL650" s="369" t="s">
        <v>276</v>
      </c>
      <c r="AM650" s="369" t="s">
        <v>276</v>
      </c>
      <c r="AN650" s="369" t="s">
        <v>276</v>
      </c>
      <c r="AO650" s="369">
        <f t="shared" si="79"/>
        <v>0.61221695035403867</v>
      </c>
      <c r="AP650" s="369" t="s">
        <v>276</v>
      </c>
      <c r="AQ650" s="369" t="s">
        <v>276</v>
      </c>
      <c r="AR650" s="357" t="s">
        <v>269</v>
      </c>
      <c r="AS650" s="356">
        <v>0.55000000000000004</v>
      </c>
      <c r="AT650" s="369">
        <f t="shared" si="77"/>
        <v>0.55228456313505692</v>
      </c>
      <c r="AU650" s="356">
        <v>0.37</v>
      </c>
      <c r="AV650" s="356">
        <v>0.82</v>
      </c>
      <c r="AW650" s="357">
        <v>2E-3</v>
      </c>
      <c r="AX650" s="357" t="s">
        <v>282</v>
      </c>
      <c r="AY650" s="357" t="s">
        <v>98</v>
      </c>
      <c r="AZ650" s="357" t="s">
        <v>98</v>
      </c>
      <c r="BA650" s="357" t="s">
        <v>98</v>
      </c>
      <c r="BB650" s="357" t="s">
        <v>98</v>
      </c>
      <c r="BC650" s="351" t="s">
        <v>5488</v>
      </c>
      <c r="BD650" s="364"/>
      <c r="BE650" s="33" t="s">
        <v>100</v>
      </c>
      <c r="BF650" s="33" t="s">
        <v>98</v>
      </c>
    </row>
    <row r="651" spans="1:58" s="7" customFormat="1" ht="65" x14ac:dyDescent="0.3">
      <c r="A651" s="357">
        <v>10679</v>
      </c>
      <c r="B651" s="357" t="s">
        <v>5501</v>
      </c>
      <c r="C651" s="357" t="s">
        <v>88</v>
      </c>
      <c r="D651" s="351" t="s">
        <v>5502</v>
      </c>
      <c r="E651" s="357" t="s">
        <v>43</v>
      </c>
      <c r="F651" s="351" t="s">
        <v>4987</v>
      </c>
      <c r="G651" s="357" t="s">
        <v>225</v>
      </c>
      <c r="H651" s="357" t="s">
        <v>125</v>
      </c>
      <c r="I651" s="357" t="s">
        <v>114</v>
      </c>
      <c r="J651" s="351" t="s">
        <v>23</v>
      </c>
      <c r="K651" s="373" t="s">
        <v>5503</v>
      </c>
      <c r="L651" s="351" t="s">
        <v>276</v>
      </c>
      <c r="M651" s="357" t="s">
        <v>261</v>
      </c>
      <c r="N651" s="360" t="s">
        <v>5504</v>
      </c>
      <c r="O651" s="360" t="s">
        <v>207</v>
      </c>
      <c r="P651" s="383">
        <v>41639</v>
      </c>
      <c r="Q651" s="351" t="s">
        <v>1702</v>
      </c>
      <c r="R651" s="351" t="s">
        <v>5505</v>
      </c>
      <c r="S651" s="351" t="s">
        <v>5505</v>
      </c>
      <c r="T651" s="351">
        <v>2</v>
      </c>
      <c r="U651" s="354">
        <v>38474</v>
      </c>
      <c r="V651" s="354">
        <v>38161</v>
      </c>
      <c r="W651" s="354" t="s">
        <v>276</v>
      </c>
      <c r="X651" s="354" t="s">
        <v>276</v>
      </c>
      <c r="Y651" s="357">
        <v>0</v>
      </c>
      <c r="Z651" s="357" t="s">
        <v>98</v>
      </c>
      <c r="AA651" s="357">
        <v>0</v>
      </c>
      <c r="AB651" s="357" t="s">
        <v>98</v>
      </c>
      <c r="AC651" s="351" t="s">
        <v>5506</v>
      </c>
      <c r="AD651" s="351" t="s">
        <v>1507</v>
      </c>
      <c r="AE651" s="357">
        <v>5249</v>
      </c>
      <c r="AF651" s="357">
        <v>5028</v>
      </c>
      <c r="AG651" s="354">
        <v>351090</v>
      </c>
      <c r="AH651" s="354">
        <v>348291</v>
      </c>
      <c r="AI651" s="354" t="s">
        <v>5441</v>
      </c>
      <c r="AJ651" s="368">
        <v>14.9</v>
      </c>
      <c r="AK651" s="369">
        <f t="shared" si="78"/>
        <v>14.950582471730895</v>
      </c>
      <c r="AL651" s="369" t="s">
        <v>276</v>
      </c>
      <c r="AM651" s="369" t="s">
        <v>276</v>
      </c>
      <c r="AN651" s="368">
        <v>14.4</v>
      </c>
      <c r="AO651" s="369">
        <f t="shared" si="79"/>
        <v>14.436204208549746</v>
      </c>
      <c r="AP651" s="369" t="s">
        <v>276</v>
      </c>
      <c r="AQ651" s="369" t="s">
        <v>276</v>
      </c>
      <c r="AR651" s="357" t="s">
        <v>269</v>
      </c>
      <c r="AS651" s="356">
        <v>1.03</v>
      </c>
      <c r="AT651" s="369">
        <f t="shared" si="77"/>
        <v>1.0356311296065286</v>
      </c>
      <c r="AU651" s="357">
        <v>0.99</v>
      </c>
      <c r="AV651" s="357">
        <v>1.08</v>
      </c>
      <c r="AW651" s="357">
        <v>0.1</v>
      </c>
      <c r="AX651" s="357" t="s">
        <v>282</v>
      </c>
      <c r="AY651" s="357" t="s">
        <v>98</v>
      </c>
      <c r="AZ651" s="357" t="s">
        <v>98</v>
      </c>
      <c r="BA651" s="357" t="s">
        <v>98</v>
      </c>
      <c r="BB651" s="357" t="s">
        <v>98</v>
      </c>
      <c r="BC651" s="351" t="s">
        <v>5507</v>
      </c>
      <c r="BD651" s="9"/>
      <c r="BE651" s="33" t="s">
        <v>100</v>
      </c>
      <c r="BF651" s="33" t="s">
        <v>98</v>
      </c>
    </row>
    <row r="652" spans="1:58" s="7" customFormat="1" ht="65" x14ac:dyDescent="0.3">
      <c r="A652" s="357">
        <v>10679</v>
      </c>
      <c r="B652" s="357" t="s">
        <v>5501</v>
      </c>
      <c r="C652" s="357" t="s">
        <v>88</v>
      </c>
      <c r="D652" s="351" t="s">
        <v>5508</v>
      </c>
      <c r="E652" s="357" t="s">
        <v>43</v>
      </c>
      <c r="F652" s="351" t="s">
        <v>4987</v>
      </c>
      <c r="G652" s="357" t="s">
        <v>225</v>
      </c>
      <c r="H652" s="357" t="s">
        <v>125</v>
      </c>
      <c r="I652" s="357" t="s">
        <v>114</v>
      </c>
      <c r="J652" s="351" t="s">
        <v>23</v>
      </c>
      <c r="K652" s="373" t="s">
        <v>5503</v>
      </c>
      <c r="L652" s="351" t="s">
        <v>276</v>
      </c>
      <c r="M652" s="357" t="s">
        <v>259</v>
      </c>
      <c r="N652" s="360" t="s">
        <v>5509</v>
      </c>
      <c r="O652" s="360" t="s">
        <v>207</v>
      </c>
      <c r="P652" s="383">
        <v>41639</v>
      </c>
      <c r="Q652" s="351" t="s">
        <v>1702</v>
      </c>
      <c r="R652" s="354" t="s">
        <v>5510</v>
      </c>
      <c r="S652" s="354" t="s">
        <v>5511</v>
      </c>
      <c r="T652" s="351">
        <v>2</v>
      </c>
      <c r="U652" s="354">
        <v>13690</v>
      </c>
      <c r="V652" s="354">
        <v>13715</v>
      </c>
      <c r="W652" s="354" t="s">
        <v>276</v>
      </c>
      <c r="X652" s="354" t="s">
        <v>276</v>
      </c>
      <c r="Y652" s="357">
        <v>0</v>
      </c>
      <c r="Z652" s="357" t="s">
        <v>98</v>
      </c>
      <c r="AA652" s="357">
        <v>0</v>
      </c>
      <c r="AB652" s="357" t="s">
        <v>98</v>
      </c>
      <c r="AC652" s="351" t="s">
        <v>5512</v>
      </c>
      <c r="AD652" s="351" t="s">
        <v>1507</v>
      </c>
      <c r="AE652" s="357">
        <v>1383</v>
      </c>
      <c r="AF652" s="357">
        <v>1318</v>
      </c>
      <c r="AG652" s="354">
        <v>127785</v>
      </c>
      <c r="AH652" s="354">
        <v>128170</v>
      </c>
      <c r="AI652" s="354" t="s">
        <v>5441</v>
      </c>
      <c r="AJ652" s="368">
        <v>10.8</v>
      </c>
      <c r="AK652" s="369">
        <f t="shared" si="78"/>
        <v>10.822866533630707</v>
      </c>
      <c r="AL652" s="369" t="s">
        <v>276</v>
      </c>
      <c r="AM652" s="369" t="s">
        <v>276</v>
      </c>
      <c r="AN652" s="368">
        <v>10.3</v>
      </c>
      <c r="AO652" s="369">
        <f t="shared" si="79"/>
        <v>10.283217601622844</v>
      </c>
      <c r="AP652" s="369" t="s">
        <v>276</v>
      </c>
      <c r="AQ652" s="369" t="s">
        <v>276</v>
      </c>
      <c r="AR652" s="357" t="s">
        <v>269</v>
      </c>
      <c r="AS652" s="356">
        <v>1.05</v>
      </c>
      <c r="AT652" s="369">
        <f t="shared" si="77"/>
        <v>1.0524786066885037</v>
      </c>
      <c r="AU652" s="357">
        <v>0.98</v>
      </c>
      <c r="AV652" s="357">
        <v>1.1299999999999999</v>
      </c>
      <c r="AW652" s="357" t="s">
        <v>276</v>
      </c>
      <c r="AX652" s="357" t="s">
        <v>282</v>
      </c>
      <c r="AY652" s="357" t="s">
        <v>98</v>
      </c>
      <c r="AZ652" s="357" t="s">
        <v>98</v>
      </c>
      <c r="BA652" s="357" t="s">
        <v>98</v>
      </c>
      <c r="BB652" s="357" t="s">
        <v>98</v>
      </c>
      <c r="BC652" s="357" t="s">
        <v>1020</v>
      </c>
      <c r="BD652" s="9"/>
      <c r="BE652" s="33" t="s">
        <v>100</v>
      </c>
      <c r="BF652" s="33" t="s">
        <v>98</v>
      </c>
    </row>
    <row r="653" spans="1:58" s="7" customFormat="1" ht="65" x14ac:dyDescent="0.3">
      <c r="A653" s="357">
        <v>10679</v>
      </c>
      <c r="B653" s="357" t="s">
        <v>5501</v>
      </c>
      <c r="C653" s="357" t="s">
        <v>88</v>
      </c>
      <c r="D653" s="351" t="s">
        <v>5513</v>
      </c>
      <c r="E653" s="357" t="s">
        <v>43</v>
      </c>
      <c r="F653" s="351" t="s">
        <v>4987</v>
      </c>
      <c r="G653" s="357" t="s">
        <v>225</v>
      </c>
      <c r="H653" s="357" t="s">
        <v>125</v>
      </c>
      <c r="I653" s="357" t="s">
        <v>114</v>
      </c>
      <c r="J653" s="351" t="s">
        <v>23</v>
      </c>
      <c r="K653" s="373" t="s">
        <v>5503</v>
      </c>
      <c r="L653" s="351" t="s">
        <v>276</v>
      </c>
      <c r="M653" s="357" t="s">
        <v>259</v>
      </c>
      <c r="N653" s="360" t="s">
        <v>5514</v>
      </c>
      <c r="O653" s="360" t="s">
        <v>207</v>
      </c>
      <c r="P653" s="383">
        <v>41639</v>
      </c>
      <c r="Q653" s="351" t="s">
        <v>1702</v>
      </c>
      <c r="R653" s="354" t="s">
        <v>5515</v>
      </c>
      <c r="S653" s="354" t="s">
        <v>5516</v>
      </c>
      <c r="T653" s="351">
        <v>2</v>
      </c>
      <c r="U653" s="354">
        <v>12910</v>
      </c>
      <c r="V653" s="354">
        <v>12786</v>
      </c>
      <c r="W653" s="354" t="s">
        <v>276</v>
      </c>
      <c r="X653" s="354" t="s">
        <v>276</v>
      </c>
      <c r="Y653" s="357">
        <v>0</v>
      </c>
      <c r="Z653" s="357" t="s">
        <v>98</v>
      </c>
      <c r="AA653" s="357">
        <v>0</v>
      </c>
      <c r="AB653" s="357" t="s">
        <v>98</v>
      </c>
      <c r="AC653" s="351" t="s">
        <v>5517</v>
      </c>
      <c r="AD653" s="351" t="s">
        <v>1507</v>
      </c>
      <c r="AE653" s="357">
        <v>1625</v>
      </c>
      <c r="AF653" s="357">
        <v>1589</v>
      </c>
      <c r="AG653" s="354">
        <v>117844</v>
      </c>
      <c r="AH653" s="354">
        <v>116567</v>
      </c>
      <c r="AI653" s="354" t="s">
        <v>5441</v>
      </c>
      <c r="AJ653" s="368">
        <v>13.8</v>
      </c>
      <c r="AK653" s="369">
        <f t="shared" si="78"/>
        <v>13.789416516750959</v>
      </c>
      <c r="AL653" s="369" t="s">
        <v>276</v>
      </c>
      <c r="AM653" s="369" t="s">
        <v>276</v>
      </c>
      <c r="AN653" s="368">
        <v>13.6</v>
      </c>
      <c r="AO653" s="369">
        <f t="shared" si="79"/>
        <v>13.631645319858965</v>
      </c>
      <c r="AP653" s="369" t="s">
        <v>276</v>
      </c>
      <c r="AQ653" s="369" t="s">
        <v>276</v>
      </c>
      <c r="AR653" s="357" t="s">
        <v>269</v>
      </c>
      <c r="AS653" s="356">
        <v>1.01</v>
      </c>
      <c r="AT653" s="369">
        <f t="shared" si="77"/>
        <v>1.0115738924531839</v>
      </c>
      <c r="AU653" s="357">
        <v>0.94</v>
      </c>
      <c r="AV653" s="357">
        <v>1.08</v>
      </c>
      <c r="AW653" s="357" t="s">
        <v>276</v>
      </c>
      <c r="AX653" s="357" t="s">
        <v>282</v>
      </c>
      <c r="AY653" s="357" t="s">
        <v>98</v>
      </c>
      <c r="AZ653" s="357" t="s">
        <v>98</v>
      </c>
      <c r="BA653" s="357" t="s">
        <v>98</v>
      </c>
      <c r="BB653" s="357" t="s">
        <v>98</v>
      </c>
      <c r="BC653" s="357" t="s">
        <v>1020</v>
      </c>
      <c r="BD653" s="9"/>
      <c r="BE653" s="33" t="s">
        <v>100</v>
      </c>
      <c r="BF653" s="33" t="s">
        <v>98</v>
      </c>
    </row>
    <row r="654" spans="1:58" s="7" customFormat="1" ht="65" x14ac:dyDescent="0.3">
      <c r="A654" s="357">
        <v>10679</v>
      </c>
      <c r="B654" s="357" t="s">
        <v>5501</v>
      </c>
      <c r="C654" s="357" t="s">
        <v>88</v>
      </c>
      <c r="D654" s="351" t="s">
        <v>5518</v>
      </c>
      <c r="E654" s="357" t="s">
        <v>43</v>
      </c>
      <c r="F654" s="351" t="s">
        <v>4987</v>
      </c>
      <c r="G654" s="357" t="s">
        <v>225</v>
      </c>
      <c r="H654" s="357" t="s">
        <v>125</v>
      </c>
      <c r="I654" s="357" t="s">
        <v>114</v>
      </c>
      <c r="J654" s="351" t="s">
        <v>23</v>
      </c>
      <c r="K654" s="373" t="s">
        <v>5503</v>
      </c>
      <c r="L654" s="351" t="s">
        <v>276</v>
      </c>
      <c r="M654" s="357" t="s">
        <v>259</v>
      </c>
      <c r="N654" s="360" t="s">
        <v>5519</v>
      </c>
      <c r="O654" s="360" t="s">
        <v>207</v>
      </c>
      <c r="P654" s="383">
        <v>41639</v>
      </c>
      <c r="Q654" s="351" t="s">
        <v>1702</v>
      </c>
      <c r="R654" s="354" t="s">
        <v>5520</v>
      </c>
      <c r="S654" s="354" t="s">
        <v>5521</v>
      </c>
      <c r="T654" s="351">
        <v>2</v>
      </c>
      <c r="U654" s="354">
        <v>11874</v>
      </c>
      <c r="V654" s="354">
        <v>11659</v>
      </c>
      <c r="W654" s="354" t="s">
        <v>276</v>
      </c>
      <c r="X654" s="354" t="s">
        <v>276</v>
      </c>
      <c r="Y654" s="357">
        <v>0</v>
      </c>
      <c r="Z654" s="357" t="s">
        <v>98</v>
      </c>
      <c r="AA654" s="357">
        <v>0</v>
      </c>
      <c r="AB654" s="357" t="s">
        <v>98</v>
      </c>
      <c r="AC654" s="351" t="s">
        <v>5522</v>
      </c>
      <c r="AD654" s="351" t="s">
        <v>1507</v>
      </c>
      <c r="AE654" s="357">
        <v>2241</v>
      </c>
      <c r="AF654" s="357">
        <v>2121</v>
      </c>
      <c r="AG654" s="354">
        <v>105460</v>
      </c>
      <c r="AH654" s="354">
        <v>103555</v>
      </c>
      <c r="AI654" s="354" t="s">
        <v>5441</v>
      </c>
      <c r="AJ654" s="368">
        <v>21.2</v>
      </c>
      <c r="AK654" s="369">
        <f t="shared" si="78"/>
        <v>21.249762943296037</v>
      </c>
      <c r="AL654" s="369" t="s">
        <v>276</v>
      </c>
      <c r="AM654" s="369" t="s">
        <v>276</v>
      </c>
      <c r="AN654" s="368">
        <v>20.5</v>
      </c>
      <c r="AO654" s="369">
        <f t="shared" si="79"/>
        <v>20.481869537926706</v>
      </c>
      <c r="AP654" s="369" t="s">
        <v>276</v>
      </c>
      <c r="AQ654" s="369" t="s">
        <v>276</v>
      </c>
      <c r="AR654" s="357" t="s">
        <v>269</v>
      </c>
      <c r="AS654" s="356">
        <v>1.04</v>
      </c>
      <c r="AT654" s="369">
        <f t="shared" si="77"/>
        <v>1.0374913727454131</v>
      </c>
      <c r="AU654" s="357">
        <v>0.98</v>
      </c>
      <c r="AV654" s="356">
        <v>1.1000000000000001</v>
      </c>
      <c r="AW654" s="357" t="s">
        <v>276</v>
      </c>
      <c r="AX654" s="357" t="s">
        <v>282</v>
      </c>
      <c r="AY654" s="357" t="s">
        <v>98</v>
      </c>
      <c r="AZ654" s="357" t="s">
        <v>98</v>
      </c>
      <c r="BA654" s="357" t="s">
        <v>98</v>
      </c>
      <c r="BB654" s="357" t="s">
        <v>98</v>
      </c>
      <c r="BC654" s="357" t="s">
        <v>1020</v>
      </c>
      <c r="BD654" s="9"/>
      <c r="BE654" s="33" t="s">
        <v>100</v>
      </c>
      <c r="BF654" s="33" t="s">
        <v>98</v>
      </c>
    </row>
    <row r="655" spans="1:58" s="7" customFormat="1" ht="65" x14ac:dyDescent="0.3">
      <c r="A655" s="357">
        <v>10679</v>
      </c>
      <c r="B655" s="357" t="s">
        <v>5501</v>
      </c>
      <c r="C655" s="357" t="s">
        <v>88</v>
      </c>
      <c r="D655" s="351" t="s">
        <v>5523</v>
      </c>
      <c r="E655" s="357" t="s">
        <v>43</v>
      </c>
      <c r="F655" s="351" t="s">
        <v>4987</v>
      </c>
      <c r="G655" s="357" t="s">
        <v>225</v>
      </c>
      <c r="H655" s="357" t="s">
        <v>125</v>
      </c>
      <c r="I655" s="357" t="s">
        <v>114</v>
      </c>
      <c r="J655" s="351" t="s">
        <v>24</v>
      </c>
      <c r="K655" s="373" t="s">
        <v>5503</v>
      </c>
      <c r="L655" s="351" t="s">
        <v>276</v>
      </c>
      <c r="M655" s="357" t="s">
        <v>261</v>
      </c>
      <c r="N655" s="360" t="s">
        <v>5504</v>
      </c>
      <c r="O655" s="360" t="s">
        <v>207</v>
      </c>
      <c r="P655" s="383">
        <v>41639</v>
      </c>
      <c r="Q655" s="351" t="s">
        <v>1702</v>
      </c>
      <c r="R655" s="351" t="s">
        <v>5505</v>
      </c>
      <c r="S655" s="351" t="s">
        <v>5505</v>
      </c>
      <c r="T655" s="351">
        <v>2</v>
      </c>
      <c r="U655" s="354">
        <v>38474</v>
      </c>
      <c r="V655" s="354">
        <v>38161</v>
      </c>
      <c r="W655" s="354" t="s">
        <v>276</v>
      </c>
      <c r="X655" s="354" t="s">
        <v>276</v>
      </c>
      <c r="Y655" s="357" t="s">
        <v>276</v>
      </c>
      <c r="Z655" s="351" t="s">
        <v>894</v>
      </c>
      <c r="AA655" s="357" t="s">
        <v>276</v>
      </c>
      <c r="AB655" s="351" t="s">
        <v>894</v>
      </c>
      <c r="AC655" s="351" t="s">
        <v>5524</v>
      </c>
      <c r="AD655" s="351" t="s">
        <v>1507</v>
      </c>
      <c r="AE655" s="357">
        <v>78</v>
      </c>
      <c r="AF655" s="357">
        <v>75</v>
      </c>
      <c r="AG655" s="354">
        <v>351090</v>
      </c>
      <c r="AH655" s="354">
        <v>348291</v>
      </c>
      <c r="AI655" s="354" t="s">
        <v>5441</v>
      </c>
      <c r="AJ655" s="356">
        <v>0.22</v>
      </c>
      <c r="AK655" s="369">
        <f t="shared" si="78"/>
        <v>0.22216525677176793</v>
      </c>
      <c r="AL655" s="369" t="s">
        <v>276</v>
      </c>
      <c r="AM655" s="369" t="s">
        <v>276</v>
      </c>
      <c r="AN655" s="356">
        <v>0.22</v>
      </c>
      <c r="AO655" s="369">
        <f t="shared" si="79"/>
        <v>0.21533717494853441</v>
      </c>
      <c r="AP655" s="369" t="s">
        <v>276</v>
      </c>
      <c r="AQ655" s="369" t="s">
        <v>276</v>
      </c>
      <c r="AR655" s="357" t="s">
        <v>269</v>
      </c>
      <c r="AS655" s="356">
        <v>1.03</v>
      </c>
      <c r="AT655" s="369">
        <f t="shared" si="77"/>
        <v>1.0317087926172777</v>
      </c>
      <c r="AU655" s="357">
        <v>0.75</v>
      </c>
      <c r="AV655" s="357">
        <v>1.42</v>
      </c>
      <c r="AW655" s="357">
        <v>0.9</v>
      </c>
      <c r="AX655" s="357" t="s">
        <v>282</v>
      </c>
      <c r="AY655" s="357" t="s">
        <v>98</v>
      </c>
      <c r="AZ655" s="357" t="s">
        <v>98</v>
      </c>
      <c r="BA655" s="357" t="s">
        <v>98</v>
      </c>
      <c r="BB655" s="357" t="s">
        <v>98</v>
      </c>
      <c r="BC655" s="351" t="s">
        <v>5525</v>
      </c>
      <c r="BD655" s="9"/>
      <c r="BE655" s="33" t="s">
        <v>100</v>
      </c>
      <c r="BF655" s="33" t="s">
        <v>98</v>
      </c>
    </row>
    <row r="656" spans="1:58" s="7" customFormat="1" ht="65" x14ac:dyDescent="0.3">
      <c r="A656" s="357">
        <v>10679</v>
      </c>
      <c r="B656" s="357" t="s">
        <v>5501</v>
      </c>
      <c r="C656" s="357" t="s">
        <v>88</v>
      </c>
      <c r="D656" s="351" t="s">
        <v>5526</v>
      </c>
      <c r="E656" s="357" t="s">
        <v>43</v>
      </c>
      <c r="F656" s="351" t="s">
        <v>4987</v>
      </c>
      <c r="G656" s="357" t="s">
        <v>225</v>
      </c>
      <c r="H656" s="357" t="s">
        <v>125</v>
      </c>
      <c r="I656" s="357" t="s">
        <v>114</v>
      </c>
      <c r="J656" s="351" t="s">
        <v>24</v>
      </c>
      <c r="K656" s="373" t="s">
        <v>5503</v>
      </c>
      <c r="L656" s="351" t="s">
        <v>276</v>
      </c>
      <c r="M656" s="357" t="s">
        <v>259</v>
      </c>
      <c r="N656" s="360" t="s">
        <v>5509</v>
      </c>
      <c r="O656" s="360" t="s">
        <v>207</v>
      </c>
      <c r="P656" s="383">
        <v>41639</v>
      </c>
      <c r="Q656" s="351" t="s">
        <v>1702</v>
      </c>
      <c r="R656" s="354" t="s">
        <v>5510</v>
      </c>
      <c r="S656" s="354" t="s">
        <v>5511</v>
      </c>
      <c r="T656" s="351">
        <v>2</v>
      </c>
      <c r="U656" s="354">
        <v>13690</v>
      </c>
      <c r="V656" s="354">
        <v>13715</v>
      </c>
      <c r="W656" s="354" t="s">
        <v>276</v>
      </c>
      <c r="X656" s="354" t="s">
        <v>276</v>
      </c>
      <c r="Y656" s="357" t="s">
        <v>276</v>
      </c>
      <c r="Z656" s="351" t="s">
        <v>894</v>
      </c>
      <c r="AA656" s="357" t="s">
        <v>276</v>
      </c>
      <c r="AB656" s="351" t="s">
        <v>894</v>
      </c>
      <c r="AC656" s="351" t="s">
        <v>5527</v>
      </c>
      <c r="AD656" s="351" t="s">
        <v>1507</v>
      </c>
      <c r="AE656" s="357">
        <v>15</v>
      </c>
      <c r="AF656" s="357">
        <v>14</v>
      </c>
      <c r="AG656" s="354">
        <v>127785</v>
      </c>
      <c r="AH656" s="354">
        <v>128170</v>
      </c>
      <c r="AI656" s="354" t="s">
        <v>5441</v>
      </c>
      <c r="AJ656" s="356">
        <v>0.12</v>
      </c>
      <c r="AK656" s="369">
        <f t="shared" si="78"/>
        <v>0.11738466956215518</v>
      </c>
      <c r="AL656" s="369" t="s">
        <v>276</v>
      </c>
      <c r="AM656" s="369" t="s">
        <v>276</v>
      </c>
      <c r="AN656" s="356">
        <v>0.11</v>
      </c>
      <c r="AO656" s="369">
        <f t="shared" si="79"/>
        <v>0.10922992900054615</v>
      </c>
      <c r="AP656" s="369" t="s">
        <v>276</v>
      </c>
      <c r="AQ656" s="369" t="s">
        <v>276</v>
      </c>
      <c r="AR656" s="357" t="s">
        <v>269</v>
      </c>
      <c r="AS656" s="356">
        <v>1.07</v>
      </c>
      <c r="AT656" s="369">
        <f t="shared" si="77"/>
        <v>1.0746566498415306</v>
      </c>
      <c r="AU656" s="357">
        <v>0.52</v>
      </c>
      <c r="AV656" s="357">
        <v>2.25</v>
      </c>
      <c r="AW656" s="357" t="s">
        <v>276</v>
      </c>
      <c r="AX656" s="357" t="s">
        <v>282</v>
      </c>
      <c r="AY656" s="357" t="s">
        <v>98</v>
      </c>
      <c r="AZ656" s="357" t="s">
        <v>98</v>
      </c>
      <c r="BA656" s="357" t="s">
        <v>98</v>
      </c>
      <c r="BB656" s="357" t="s">
        <v>98</v>
      </c>
      <c r="BC656" s="357" t="s">
        <v>1029</v>
      </c>
      <c r="BD656" s="9"/>
      <c r="BE656" s="33" t="s">
        <v>100</v>
      </c>
      <c r="BF656" s="33" t="s">
        <v>98</v>
      </c>
    </row>
    <row r="657" spans="1:58" s="7" customFormat="1" ht="65" x14ac:dyDescent="0.3">
      <c r="A657" s="357">
        <v>10679</v>
      </c>
      <c r="B657" s="357" t="s">
        <v>5501</v>
      </c>
      <c r="C657" s="357" t="s">
        <v>88</v>
      </c>
      <c r="D657" s="351" t="s">
        <v>5528</v>
      </c>
      <c r="E657" s="357" t="s">
        <v>43</v>
      </c>
      <c r="F657" s="351" t="s">
        <v>4987</v>
      </c>
      <c r="G657" s="357" t="s">
        <v>225</v>
      </c>
      <c r="H657" s="357" t="s">
        <v>125</v>
      </c>
      <c r="I657" s="357" t="s">
        <v>114</v>
      </c>
      <c r="J657" s="351" t="s">
        <v>24</v>
      </c>
      <c r="K657" s="373" t="s">
        <v>5503</v>
      </c>
      <c r="L657" s="351" t="s">
        <v>276</v>
      </c>
      <c r="M657" s="357" t="s">
        <v>259</v>
      </c>
      <c r="N657" s="360" t="s">
        <v>5514</v>
      </c>
      <c r="O657" s="360" t="s">
        <v>207</v>
      </c>
      <c r="P657" s="383">
        <v>41639</v>
      </c>
      <c r="Q657" s="351" t="s">
        <v>1702</v>
      </c>
      <c r="R657" s="354" t="s">
        <v>5515</v>
      </c>
      <c r="S657" s="354" t="s">
        <v>5516</v>
      </c>
      <c r="T657" s="351">
        <v>2</v>
      </c>
      <c r="U657" s="354">
        <v>12910</v>
      </c>
      <c r="V657" s="354">
        <v>12786</v>
      </c>
      <c r="W657" s="354" t="s">
        <v>276</v>
      </c>
      <c r="X657" s="354" t="s">
        <v>276</v>
      </c>
      <c r="Y657" s="357" t="s">
        <v>276</v>
      </c>
      <c r="Z657" s="351" t="s">
        <v>894</v>
      </c>
      <c r="AA657" s="357" t="s">
        <v>276</v>
      </c>
      <c r="AB657" s="351" t="s">
        <v>894</v>
      </c>
      <c r="AC657" s="351" t="s">
        <v>5529</v>
      </c>
      <c r="AD657" s="351" t="s">
        <v>1507</v>
      </c>
      <c r="AE657" s="357">
        <v>31</v>
      </c>
      <c r="AF657" s="357">
        <v>22</v>
      </c>
      <c r="AG657" s="354">
        <v>117844</v>
      </c>
      <c r="AH657" s="354">
        <v>116567</v>
      </c>
      <c r="AI657" s="354" t="s">
        <v>5441</v>
      </c>
      <c r="AJ657" s="356">
        <v>0.26</v>
      </c>
      <c r="AK657" s="369">
        <f t="shared" si="78"/>
        <v>0.2630596381657106</v>
      </c>
      <c r="AL657" s="369" t="s">
        <v>276</v>
      </c>
      <c r="AM657" s="369" t="s">
        <v>276</v>
      </c>
      <c r="AN657" s="356">
        <v>0.19</v>
      </c>
      <c r="AO657" s="369">
        <f t="shared" si="79"/>
        <v>0.18873266018684534</v>
      </c>
      <c r="AP657" s="369" t="s">
        <v>276</v>
      </c>
      <c r="AQ657" s="369" t="s">
        <v>276</v>
      </c>
      <c r="AR657" s="357" t="s">
        <v>269</v>
      </c>
      <c r="AS657" s="356">
        <v>1.39</v>
      </c>
      <c r="AT657" s="369">
        <f t="shared" si="77"/>
        <v>1.3938214928210175</v>
      </c>
      <c r="AU657" s="357">
        <v>0.81</v>
      </c>
      <c r="AV657" s="357">
        <v>2.44</v>
      </c>
      <c r="AW657" s="357" t="s">
        <v>276</v>
      </c>
      <c r="AX657" s="357" t="s">
        <v>282</v>
      </c>
      <c r="AY657" s="357" t="s">
        <v>98</v>
      </c>
      <c r="AZ657" s="357" t="s">
        <v>98</v>
      </c>
      <c r="BA657" s="357" t="s">
        <v>98</v>
      </c>
      <c r="BB657" s="357" t="s">
        <v>98</v>
      </c>
      <c r="BC657" s="357" t="s">
        <v>1029</v>
      </c>
      <c r="BD657" s="9"/>
      <c r="BE657" s="33" t="s">
        <v>100</v>
      </c>
      <c r="BF657" s="33" t="s">
        <v>98</v>
      </c>
    </row>
    <row r="658" spans="1:58" s="7" customFormat="1" ht="65" x14ac:dyDescent="0.3">
      <c r="A658" s="357">
        <v>10679</v>
      </c>
      <c r="B658" s="357" t="s">
        <v>5501</v>
      </c>
      <c r="C658" s="357" t="s">
        <v>88</v>
      </c>
      <c r="D658" s="351" t="s">
        <v>5530</v>
      </c>
      <c r="E658" s="357" t="s">
        <v>43</v>
      </c>
      <c r="F658" s="351" t="s">
        <v>4987</v>
      </c>
      <c r="G658" s="357" t="s">
        <v>225</v>
      </c>
      <c r="H658" s="357" t="s">
        <v>125</v>
      </c>
      <c r="I658" s="357" t="s">
        <v>114</v>
      </c>
      <c r="J658" s="351" t="s">
        <v>24</v>
      </c>
      <c r="K658" s="373" t="s">
        <v>5503</v>
      </c>
      <c r="L658" s="351" t="s">
        <v>276</v>
      </c>
      <c r="M658" s="357" t="s">
        <v>259</v>
      </c>
      <c r="N658" s="360" t="s">
        <v>5519</v>
      </c>
      <c r="O658" s="360" t="s">
        <v>207</v>
      </c>
      <c r="P658" s="383">
        <v>41639</v>
      </c>
      <c r="Q658" s="351" t="s">
        <v>1702</v>
      </c>
      <c r="R658" s="354" t="s">
        <v>5520</v>
      </c>
      <c r="S658" s="354" t="s">
        <v>5521</v>
      </c>
      <c r="T658" s="351">
        <v>2</v>
      </c>
      <c r="U658" s="354">
        <v>11874</v>
      </c>
      <c r="V658" s="354">
        <v>11659</v>
      </c>
      <c r="W658" s="354" t="s">
        <v>276</v>
      </c>
      <c r="X658" s="354" t="s">
        <v>276</v>
      </c>
      <c r="Y658" s="357" t="s">
        <v>276</v>
      </c>
      <c r="Z658" s="351" t="s">
        <v>894</v>
      </c>
      <c r="AA658" s="357" t="s">
        <v>276</v>
      </c>
      <c r="AB658" s="351" t="s">
        <v>894</v>
      </c>
      <c r="AC658" s="351" t="s">
        <v>5531</v>
      </c>
      <c r="AD658" s="351" t="s">
        <v>1507</v>
      </c>
      <c r="AE658" s="357">
        <v>32</v>
      </c>
      <c r="AF658" s="357">
        <v>39</v>
      </c>
      <c r="AG658" s="354">
        <v>105460</v>
      </c>
      <c r="AH658" s="354">
        <v>103555</v>
      </c>
      <c r="AI658" s="354" t="s">
        <v>5441</v>
      </c>
      <c r="AJ658" s="356">
        <v>0.3</v>
      </c>
      <c r="AK658" s="369">
        <f t="shared" si="78"/>
        <v>0.30343258107339277</v>
      </c>
      <c r="AL658" s="369" t="s">
        <v>276</v>
      </c>
      <c r="AM658" s="369" t="s">
        <v>276</v>
      </c>
      <c r="AN658" s="356">
        <v>0.38</v>
      </c>
      <c r="AO658" s="369">
        <f t="shared" si="79"/>
        <v>0.37661146250784605</v>
      </c>
      <c r="AP658" s="369" t="s">
        <v>276</v>
      </c>
      <c r="AQ658" s="369" t="s">
        <v>276</v>
      </c>
      <c r="AR658" s="357" t="s">
        <v>269</v>
      </c>
      <c r="AS658" s="356">
        <v>0.81</v>
      </c>
      <c r="AT658" s="369">
        <f t="shared" si="77"/>
        <v>0.8056913059757741</v>
      </c>
      <c r="AU658" s="357">
        <v>0.5</v>
      </c>
      <c r="AV658" s="357">
        <v>1.28</v>
      </c>
      <c r="AW658" s="357" t="s">
        <v>276</v>
      </c>
      <c r="AX658" s="357" t="s">
        <v>282</v>
      </c>
      <c r="AY658" s="357" t="s">
        <v>98</v>
      </c>
      <c r="AZ658" s="357" t="s">
        <v>98</v>
      </c>
      <c r="BA658" s="357" t="s">
        <v>98</v>
      </c>
      <c r="BB658" s="357" t="s">
        <v>98</v>
      </c>
      <c r="BC658" s="357" t="s">
        <v>1029</v>
      </c>
      <c r="BD658" s="9"/>
      <c r="BE658" s="33" t="s">
        <v>100</v>
      </c>
      <c r="BF658" s="33" t="s">
        <v>98</v>
      </c>
    </row>
    <row r="659" spans="1:58" s="365" customFormat="1" ht="65" x14ac:dyDescent="0.3">
      <c r="A659" s="357">
        <v>10679</v>
      </c>
      <c r="B659" s="357" t="s">
        <v>5501</v>
      </c>
      <c r="C659" s="357" t="s">
        <v>88</v>
      </c>
      <c r="D659" s="351" t="s">
        <v>5532</v>
      </c>
      <c r="E659" s="357" t="s">
        <v>43</v>
      </c>
      <c r="F659" s="351" t="s">
        <v>4987</v>
      </c>
      <c r="G659" s="357" t="s">
        <v>225</v>
      </c>
      <c r="H659" s="357" t="s">
        <v>125</v>
      </c>
      <c r="I659" s="357" t="s">
        <v>114</v>
      </c>
      <c r="J659" s="351" t="s">
        <v>24</v>
      </c>
      <c r="K659" s="373" t="s">
        <v>5503</v>
      </c>
      <c r="L659" s="351" t="s">
        <v>276</v>
      </c>
      <c r="M659" s="357" t="s">
        <v>261</v>
      </c>
      <c r="N659" s="360" t="s">
        <v>5504</v>
      </c>
      <c r="O659" s="360" t="s">
        <v>207</v>
      </c>
      <c r="P659" s="383" t="s">
        <v>98</v>
      </c>
      <c r="Q659" s="351" t="s">
        <v>705</v>
      </c>
      <c r="R659" s="351" t="s">
        <v>5533</v>
      </c>
      <c r="S659" s="351" t="s">
        <v>5534</v>
      </c>
      <c r="T659" s="351">
        <v>1</v>
      </c>
      <c r="U659" s="354">
        <v>38474</v>
      </c>
      <c r="V659" s="354">
        <v>38161</v>
      </c>
      <c r="W659" s="354" t="s">
        <v>276</v>
      </c>
      <c r="X659" s="354" t="s">
        <v>276</v>
      </c>
      <c r="Y659" s="357" t="s">
        <v>276</v>
      </c>
      <c r="Z659" s="351" t="s">
        <v>894</v>
      </c>
      <c r="AA659" s="357" t="s">
        <v>276</v>
      </c>
      <c r="AB659" s="351" t="s">
        <v>894</v>
      </c>
      <c r="AC659" s="351" t="s">
        <v>5535</v>
      </c>
      <c r="AD659" s="351" t="s">
        <v>1507</v>
      </c>
      <c r="AE659" s="357">
        <v>4</v>
      </c>
      <c r="AF659" s="357">
        <v>1</v>
      </c>
      <c r="AG659" s="355">
        <v>38065</v>
      </c>
      <c r="AH659" s="355">
        <v>37729</v>
      </c>
      <c r="AI659" s="354" t="s">
        <v>5441</v>
      </c>
      <c r="AJ659" s="356" t="s">
        <v>276</v>
      </c>
      <c r="AK659" s="369">
        <f t="shared" si="78"/>
        <v>0.10508340995665309</v>
      </c>
      <c r="AL659" s="369" t="s">
        <v>276</v>
      </c>
      <c r="AM659" s="369" t="s">
        <v>276</v>
      </c>
      <c r="AN659" s="356" t="s">
        <v>276</v>
      </c>
      <c r="AO659" s="369">
        <f t="shared" si="79"/>
        <v>2.6504810623128098E-2</v>
      </c>
      <c r="AP659" s="369" t="s">
        <v>276</v>
      </c>
      <c r="AQ659" s="369" t="s">
        <v>276</v>
      </c>
      <c r="AR659" s="357" t="s">
        <v>269</v>
      </c>
      <c r="AS659" s="356" t="s">
        <v>276</v>
      </c>
      <c r="AT659" s="369">
        <f t="shared" si="77"/>
        <v>3.9646919742545643</v>
      </c>
      <c r="AU659" s="357" t="s">
        <v>276</v>
      </c>
      <c r="AV659" s="357" t="s">
        <v>276</v>
      </c>
      <c r="AW659" s="357" t="s">
        <v>276</v>
      </c>
      <c r="AX659" s="357" t="s">
        <v>282</v>
      </c>
      <c r="AY659" s="357" t="s">
        <v>98</v>
      </c>
      <c r="AZ659" s="357" t="s">
        <v>98</v>
      </c>
      <c r="BA659" s="357" t="s">
        <v>98</v>
      </c>
      <c r="BB659" s="357" t="s">
        <v>98</v>
      </c>
      <c r="BC659" s="357" t="s">
        <v>5536</v>
      </c>
      <c r="BD659" s="364"/>
      <c r="BE659" s="33" t="s">
        <v>100</v>
      </c>
      <c r="BF659" s="33" t="s">
        <v>98</v>
      </c>
    </row>
    <row r="660" spans="1:58" s="365" customFormat="1" ht="65" x14ac:dyDescent="0.3">
      <c r="A660" s="357">
        <v>10679</v>
      </c>
      <c r="B660" s="357" t="s">
        <v>5501</v>
      </c>
      <c r="C660" s="357" t="s">
        <v>88</v>
      </c>
      <c r="D660" s="351" t="s">
        <v>5537</v>
      </c>
      <c r="E660" s="357" t="s">
        <v>43</v>
      </c>
      <c r="F660" s="351" t="s">
        <v>4987</v>
      </c>
      <c r="G660" s="357" t="s">
        <v>225</v>
      </c>
      <c r="H660" s="357" t="s">
        <v>125</v>
      </c>
      <c r="I660" s="357" t="s">
        <v>114</v>
      </c>
      <c r="J660" s="351" t="s">
        <v>24</v>
      </c>
      <c r="K660" s="373" t="s">
        <v>5503</v>
      </c>
      <c r="L660" s="351" t="s">
        <v>276</v>
      </c>
      <c r="M660" s="357" t="s">
        <v>261</v>
      </c>
      <c r="N660" s="360" t="s">
        <v>5504</v>
      </c>
      <c r="O660" s="360" t="s">
        <v>207</v>
      </c>
      <c r="P660" s="383" t="s">
        <v>98</v>
      </c>
      <c r="Q660" s="351" t="s">
        <v>710</v>
      </c>
      <c r="R660" s="355" t="s">
        <v>5538</v>
      </c>
      <c r="S660" s="355" t="s">
        <v>5539</v>
      </c>
      <c r="T660" s="351">
        <v>1</v>
      </c>
      <c r="U660" s="354">
        <v>38474</v>
      </c>
      <c r="V660" s="354">
        <v>38161</v>
      </c>
      <c r="W660" s="354" t="s">
        <v>276</v>
      </c>
      <c r="X660" s="354" t="s">
        <v>276</v>
      </c>
      <c r="Y660" s="357" t="s">
        <v>276</v>
      </c>
      <c r="Z660" s="351" t="s">
        <v>894</v>
      </c>
      <c r="AA660" s="357" t="s">
        <v>276</v>
      </c>
      <c r="AB660" s="351" t="s">
        <v>894</v>
      </c>
      <c r="AC660" s="351" t="s">
        <v>5540</v>
      </c>
      <c r="AD660" s="351" t="s">
        <v>1507</v>
      </c>
      <c r="AE660" s="357">
        <f>4+3</f>
        <v>7</v>
      </c>
      <c r="AF660" s="357">
        <f>1+3</f>
        <v>4</v>
      </c>
      <c r="AG660" s="355">
        <f>38065+37625</f>
        <v>75690</v>
      </c>
      <c r="AH660" s="355">
        <f>37729+37291</f>
        <v>75020</v>
      </c>
      <c r="AI660" s="354" t="s">
        <v>5441</v>
      </c>
      <c r="AJ660" s="356" t="s">
        <v>276</v>
      </c>
      <c r="AK660" s="369">
        <f t="shared" si="78"/>
        <v>9.2482494384991412E-2</v>
      </c>
      <c r="AL660" s="369" t="s">
        <v>276</v>
      </c>
      <c r="AM660" s="369" t="s">
        <v>276</v>
      </c>
      <c r="AN660" s="356" t="s">
        <v>276</v>
      </c>
      <c r="AO660" s="369">
        <f t="shared" si="79"/>
        <v>5.3319114902692616E-2</v>
      </c>
      <c r="AP660" s="369" t="s">
        <v>276</v>
      </c>
      <c r="AQ660" s="369" t="s">
        <v>276</v>
      </c>
      <c r="AR660" s="357" t="s">
        <v>269</v>
      </c>
      <c r="AS660" s="356" t="s">
        <v>276</v>
      </c>
      <c r="AT660" s="369">
        <f t="shared" si="77"/>
        <v>1.7345091821905139</v>
      </c>
      <c r="AU660" s="357" t="s">
        <v>276</v>
      </c>
      <c r="AV660" s="357" t="s">
        <v>276</v>
      </c>
      <c r="AW660" s="357" t="s">
        <v>276</v>
      </c>
      <c r="AX660" s="357" t="s">
        <v>282</v>
      </c>
      <c r="AY660" s="357" t="s">
        <v>98</v>
      </c>
      <c r="AZ660" s="357" t="s">
        <v>98</v>
      </c>
      <c r="BA660" s="357" t="s">
        <v>98</v>
      </c>
      <c r="BB660" s="357" t="s">
        <v>98</v>
      </c>
      <c r="BC660" s="357" t="s">
        <v>5536</v>
      </c>
      <c r="BD660" s="364"/>
      <c r="BE660" s="33" t="s">
        <v>100</v>
      </c>
      <c r="BF660" s="33" t="s">
        <v>98</v>
      </c>
    </row>
    <row r="661" spans="1:58" s="365" customFormat="1" ht="65" x14ac:dyDescent="0.3">
      <c r="A661" s="357">
        <v>10679</v>
      </c>
      <c r="B661" s="357" t="s">
        <v>5501</v>
      </c>
      <c r="C661" s="357" t="s">
        <v>88</v>
      </c>
      <c r="D661" s="351" t="s">
        <v>5541</v>
      </c>
      <c r="E661" s="357" t="s">
        <v>43</v>
      </c>
      <c r="F661" s="351" t="s">
        <v>4987</v>
      </c>
      <c r="G661" s="357" t="s">
        <v>225</v>
      </c>
      <c r="H661" s="357" t="s">
        <v>125</v>
      </c>
      <c r="I661" s="357" t="s">
        <v>114</v>
      </c>
      <c r="J661" s="351" t="s">
        <v>24</v>
      </c>
      <c r="K661" s="373" t="s">
        <v>5503</v>
      </c>
      <c r="L661" s="351" t="s">
        <v>276</v>
      </c>
      <c r="M661" s="357" t="s">
        <v>261</v>
      </c>
      <c r="N661" s="360" t="s">
        <v>5504</v>
      </c>
      <c r="O661" s="360" t="s">
        <v>207</v>
      </c>
      <c r="P661" s="383" t="s">
        <v>98</v>
      </c>
      <c r="Q661" s="351" t="s">
        <v>686</v>
      </c>
      <c r="R661" s="355" t="s">
        <v>5542</v>
      </c>
      <c r="S661" s="355" t="s">
        <v>5543</v>
      </c>
      <c r="T661" s="351">
        <v>1</v>
      </c>
      <c r="U661" s="354">
        <v>38474</v>
      </c>
      <c r="V661" s="354">
        <v>38161</v>
      </c>
      <c r="W661" s="354" t="s">
        <v>276</v>
      </c>
      <c r="X661" s="354" t="s">
        <v>276</v>
      </c>
      <c r="Y661" s="357" t="s">
        <v>276</v>
      </c>
      <c r="Z661" s="351" t="s">
        <v>894</v>
      </c>
      <c r="AA661" s="357" t="s">
        <v>276</v>
      </c>
      <c r="AB661" s="351" t="s">
        <v>894</v>
      </c>
      <c r="AC661" s="351" t="s">
        <v>5544</v>
      </c>
      <c r="AD661" s="351" t="s">
        <v>1507</v>
      </c>
      <c r="AE661" s="357">
        <f>4+3+7</f>
        <v>14</v>
      </c>
      <c r="AF661" s="357">
        <f>1+3+3</f>
        <v>7</v>
      </c>
      <c r="AG661" s="355">
        <f>38065+37625+37155</f>
        <v>112845</v>
      </c>
      <c r="AH661" s="355">
        <f>37729+37291+36834</f>
        <v>111854</v>
      </c>
      <c r="AI661" s="354" t="s">
        <v>5441</v>
      </c>
      <c r="AJ661" s="356" t="s">
        <v>276</v>
      </c>
      <c r="AK661" s="369">
        <f t="shared" si="78"/>
        <v>0.12406398156763702</v>
      </c>
      <c r="AL661" s="369" t="s">
        <v>276</v>
      </c>
      <c r="AM661" s="369" t="s">
        <v>276</v>
      </c>
      <c r="AN661" s="356" t="s">
        <v>276</v>
      </c>
      <c r="AO661" s="369">
        <f t="shared" si="79"/>
        <v>6.2581579559068068E-2</v>
      </c>
      <c r="AP661" s="369" t="s">
        <v>276</v>
      </c>
      <c r="AQ661" s="369" t="s">
        <v>276</v>
      </c>
      <c r="AR661" s="357" t="s">
        <v>269</v>
      </c>
      <c r="AS661" s="356" t="s">
        <v>276</v>
      </c>
      <c r="AT661" s="369">
        <f t="shared" si="77"/>
        <v>1.9824360848952103</v>
      </c>
      <c r="AU661" s="357" t="s">
        <v>276</v>
      </c>
      <c r="AV661" s="357" t="s">
        <v>276</v>
      </c>
      <c r="AW661" s="357" t="s">
        <v>276</v>
      </c>
      <c r="AX661" s="357" t="s">
        <v>282</v>
      </c>
      <c r="AY661" s="357" t="s">
        <v>98</v>
      </c>
      <c r="AZ661" s="357" t="s">
        <v>98</v>
      </c>
      <c r="BA661" s="357" t="s">
        <v>98</v>
      </c>
      <c r="BB661" s="357" t="s">
        <v>98</v>
      </c>
      <c r="BC661" s="357" t="s">
        <v>5536</v>
      </c>
      <c r="BD661" s="364"/>
      <c r="BE661" s="33" t="s">
        <v>100</v>
      </c>
      <c r="BF661" s="33" t="s">
        <v>98</v>
      </c>
    </row>
    <row r="662" spans="1:58" s="365" customFormat="1" ht="65" x14ac:dyDescent="0.3">
      <c r="A662" s="357">
        <v>10679</v>
      </c>
      <c r="B662" s="357" t="s">
        <v>5501</v>
      </c>
      <c r="C662" s="357" t="s">
        <v>88</v>
      </c>
      <c r="D662" s="351" t="s">
        <v>5545</v>
      </c>
      <c r="E662" s="357" t="s">
        <v>43</v>
      </c>
      <c r="F662" s="351" t="s">
        <v>4987</v>
      </c>
      <c r="G662" s="357" t="s">
        <v>225</v>
      </c>
      <c r="H662" s="357" t="s">
        <v>125</v>
      </c>
      <c r="I662" s="357" t="s">
        <v>114</v>
      </c>
      <c r="J662" s="351" t="s">
        <v>24</v>
      </c>
      <c r="K662" s="373" t="s">
        <v>5503</v>
      </c>
      <c r="L662" s="351" t="s">
        <v>276</v>
      </c>
      <c r="M662" s="357" t="s">
        <v>261</v>
      </c>
      <c r="N662" s="360" t="s">
        <v>5504</v>
      </c>
      <c r="O662" s="360" t="s">
        <v>207</v>
      </c>
      <c r="P662" s="383" t="s">
        <v>98</v>
      </c>
      <c r="Q662" s="351" t="s">
        <v>721</v>
      </c>
      <c r="R662" s="355" t="s">
        <v>5546</v>
      </c>
      <c r="S662" s="355" t="s">
        <v>5547</v>
      </c>
      <c r="T662" s="351">
        <v>1</v>
      </c>
      <c r="U662" s="354">
        <v>38474</v>
      </c>
      <c r="V662" s="354">
        <v>38161</v>
      </c>
      <c r="W662" s="357" t="s">
        <v>276</v>
      </c>
      <c r="X662" s="354" t="s">
        <v>276</v>
      </c>
      <c r="Y662" s="357" t="s">
        <v>276</v>
      </c>
      <c r="Z662" s="351" t="s">
        <v>894</v>
      </c>
      <c r="AA662" s="357" t="s">
        <v>276</v>
      </c>
      <c r="AB662" s="351" t="s">
        <v>894</v>
      </c>
      <c r="AC662" s="351" t="s">
        <v>5548</v>
      </c>
      <c r="AD662" s="351" t="s">
        <v>1507</v>
      </c>
      <c r="AE662" s="357">
        <f>4+3+7+7</f>
        <v>21</v>
      </c>
      <c r="AF662" s="357">
        <f>1+3+3+7</f>
        <v>14</v>
      </c>
      <c r="AG662" s="355">
        <f>38065+37625+37155+36612</f>
        <v>149457</v>
      </c>
      <c r="AH662" s="355">
        <f>37729+37291+36834+36384</f>
        <v>148238</v>
      </c>
      <c r="AI662" s="354" t="s">
        <v>5441</v>
      </c>
      <c r="AJ662" s="356" t="s">
        <v>276</v>
      </c>
      <c r="AK662" s="369">
        <f t="shared" si="78"/>
        <v>0.14050864128143881</v>
      </c>
      <c r="AL662" s="369" t="s">
        <v>276</v>
      </c>
      <c r="AM662" s="369" t="s">
        <v>276</v>
      </c>
      <c r="AN662" s="356" t="s">
        <v>276</v>
      </c>
      <c r="AO662" s="369">
        <f t="shared" si="79"/>
        <v>9.4442720490022808E-2</v>
      </c>
      <c r="AP662" s="369" t="s">
        <v>276</v>
      </c>
      <c r="AQ662" s="369" t="s">
        <v>276</v>
      </c>
      <c r="AR662" s="357" t="s">
        <v>269</v>
      </c>
      <c r="AS662" s="356" t="s">
        <v>276</v>
      </c>
      <c r="AT662" s="369">
        <f t="shared" si="77"/>
        <v>1.4877657118769947</v>
      </c>
      <c r="AU662" s="357" t="s">
        <v>276</v>
      </c>
      <c r="AV662" s="357" t="s">
        <v>276</v>
      </c>
      <c r="AW662" s="357" t="s">
        <v>276</v>
      </c>
      <c r="AX662" s="357" t="s">
        <v>282</v>
      </c>
      <c r="AY662" s="357" t="s">
        <v>98</v>
      </c>
      <c r="AZ662" s="357" t="s">
        <v>98</v>
      </c>
      <c r="BA662" s="357" t="s">
        <v>98</v>
      </c>
      <c r="BB662" s="357" t="s">
        <v>98</v>
      </c>
      <c r="BC662" s="357" t="s">
        <v>5536</v>
      </c>
      <c r="BD662" s="364"/>
      <c r="BE662" s="33" t="s">
        <v>100</v>
      </c>
      <c r="BF662" s="33" t="s">
        <v>98</v>
      </c>
    </row>
    <row r="663" spans="1:58" s="365" customFormat="1" ht="65" x14ac:dyDescent="0.3">
      <c r="A663" s="357">
        <v>10679</v>
      </c>
      <c r="B663" s="357" t="s">
        <v>5501</v>
      </c>
      <c r="C663" s="357" t="s">
        <v>88</v>
      </c>
      <c r="D663" s="351" t="s">
        <v>5549</v>
      </c>
      <c r="E663" s="357" t="s">
        <v>43</v>
      </c>
      <c r="F663" s="351" t="s">
        <v>4987</v>
      </c>
      <c r="G663" s="357" t="s">
        <v>225</v>
      </c>
      <c r="H663" s="357" t="s">
        <v>125</v>
      </c>
      <c r="I663" s="357" t="s">
        <v>114</v>
      </c>
      <c r="J663" s="351" t="s">
        <v>24</v>
      </c>
      <c r="K663" s="373" t="s">
        <v>5503</v>
      </c>
      <c r="L663" s="351" t="s">
        <v>276</v>
      </c>
      <c r="M663" s="357" t="s">
        <v>261</v>
      </c>
      <c r="N663" s="360" t="s">
        <v>5504</v>
      </c>
      <c r="O663" s="360" t="s">
        <v>207</v>
      </c>
      <c r="P663" s="383" t="s">
        <v>98</v>
      </c>
      <c r="Q663" s="351" t="s">
        <v>728</v>
      </c>
      <c r="R663" s="355" t="s">
        <v>5550</v>
      </c>
      <c r="S663" s="355" t="s">
        <v>5551</v>
      </c>
      <c r="T663" s="375" t="s">
        <v>2331</v>
      </c>
      <c r="U663" s="354">
        <v>38474</v>
      </c>
      <c r="V663" s="354">
        <v>38161</v>
      </c>
      <c r="W663" s="357" t="s">
        <v>276</v>
      </c>
      <c r="X663" s="354" t="s">
        <v>276</v>
      </c>
      <c r="Y663" s="357" t="s">
        <v>276</v>
      </c>
      <c r="Z663" s="351" t="s">
        <v>894</v>
      </c>
      <c r="AA663" s="357" t="s">
        <v>276</v>
      </c>
      <c r="AB663" s="351" t="s">
        <v>894</v>
      </c>
      <c r="AC663" s="351" t="s">
        <v>5552</v>
      </c>
      <c r="AD663" s="351" t="s">
        <v>1507</v>
      </c>
      <c r="AE663" s="357">
        <f>4+3+7+7+7</f>
        <v>28</v>
      </c>
      <c r="AF663" s="357">
        <f>1+3+3+7+7</f>
        <v>21</v>
      </c>
      <c r="AG663" s="355">
        <f>38065+37625+37155+36612+36118</f>
        <v>185575</v>
      </c>
      <c r="AH663" s="355">
        <f>37729+37291+36834+36384+35874</f>
        <v>184112</v>
      </c>
      <c r="AI663" s="354" t="s">
        <v>5441</v>
      </c>
      <c r="AJ663" s="356" t="s">
        <v>276</v>
      </c>
      <c r="AK663" s="369">
        <f t="shared" si="78"/>
        <v>0.15088239256365352</v>
      </c>
      <c r="AL663" s="369" t="s">
        <v>276</v>
      </c>
      <c r="AM663" s="369" t="s">
        <v>276</v>
      </c>
      <c r="AN663" s="356" t="s">
        <v>276</v>
      </c>
      <c r="AO663" s="369">
        <f t="shared" si="79"/>
        <v>0.11406100634396454</v>
      </c>
      <c r="AP663" s="369" t="s">
        <v>276</v>
      </c>
      <c r="AQ663" s="369" t="s">
        <v>276</v>
      </c>
      <c r="AR663" s="357" t="s">
        <v>269</v>
      </c>
      <c r="AS663" s="356" t="s">
        <v>276</v>
      </c>
      <c r="AT663" s="369">
        <f t="shared" si="77"/>
        <v>1.3228218599847321</v>
      </c>
      <c r="AU663" s="357" t="s">
        <v>276</v>
      </c>
      <c r="AV663" s="357" t="s">
        <v>276</v>
      </c>
      <c r="AW663" s="357" t="s">
        <v>276</v>
      </c>
      <c r="AX663" s="357" t="s">
        <v>282</v>
      </c>
      <c r="AY663" s="357" t="s">
        <v>98</v>
      </c>
      <c r="AZ663" s="357" t="s">
        <v>98</v>
      </c>
      <c r="BA663" s="357" t="s">
        <v>98</v>
      </c>
      <c r="BB663" s="357" t="s">
        <v>98</v>
      </c>
      <c r="BC663" s="357" t="s">
        <v>5536</v>
      </c>
      <c r="BD663" s="364"/>
      <c r="BE663" s="33" t="s">
        <v>100</v>
      </c>
      <c r="BF663" s="33" t="s">
        <v>98</v>
      </c>
    </row>
    <row r="664" spans="1:58" s="365" customFormat="1" ht="65" x14ac:dyDescent="0.3">
      <c r="A664" s="357">
        <v>10679</v>
      </c>
      <c r="B664" s="357" t="s">
        <v>5501</v>
      </c>
      <c r="C664" s="357" t="s">
        <v>88</v>
      </c>
      <c r="D664" s="351" t="s">
        <v>5553</v>
      </c>
      <c r="E664" s="357" t="s">
        <v>43</v>
      </c>
      <c r="F664" s="351" t="s">
        <v>4987</v>
      </c>
      <c r="G664" s="357" t="s">
        <v>225</v>
      </c>
      <c r="H664" s="357" t="s">
        <v>125</v>
      </c>
      <c r="I664" s="357" t="s">
        <v>114</v>
      </c>
      <c r="J664" s="351" t="s">
        <v>24</v>
      </c>
      <c r="K664" s="373" t="s">
        <v>5503</v>
      </c>
      <c r="L664" s="351" t="s">
        <v>276</v>
      </c>
      <c r="M664" s="357" t="s">
        <v>261</v>
      </c>
      <c r="N664" s="360" t="s">
        <v>5504</v>
      </c>
      <c r="O664" s="360" t="s">
        <v>207</v>
      </c>
      <c r="P664" s="383" t="s">
        <v>98</v>
      </c>
      <c r="Q664" s="351" t="s">
        <v>733</v>
      </c>
      <c r="R664" s="355" t="s">
        <v>276</v>
      </c>
      <c r="S664" s="355" t="s">
        <v>5554</v>
      </c>
      <c r="T664" s="375" t="s">
        <v>2331</v>
      </c>
      <c r="U664" s="354">
        <v>38474</v>
      </c>
      <c r="V664" s="354">
        <v>38161</v>
      </c>
      <c r="W664" s="357" t="s">
        <v>276</v>
      </c>
      <c r="X664" s="354" t="s">
        <v>276</v>
      </c>
      <c r="Y664" s="357" t="s">
        <v>276</v>
      </c>
      <c r="Z664" s="351" t="s">
        <v>894</v>
      </c>
      <c r="AA664" s="357" t="s">
        <v>276</v>
      </c>
      <c r="AB664" s="351" t="s">
        <v>894</v>
      </c>
      <c r="AC664" s="351" t="s">
        <v>5555</v>
      </c>
      <c r="AD664" s="351" t="s">
        <v>5556</v>
      </c>
      <c r="AE664" s="357">
        <f>4+3+7+7+7+7</f>
        <v>35</v>
      </c>
      <c r="AF664" s="357">
        <f>1+3+3+7+7+8</f>
        <v>29</v>
      </c>
      <c r="AG664" s="354">
        <v>38474</v>
      </c>
      <c r="AH664" s="354">
        <v>38161</v>
      </c>
      <c r="AI664" s="354" t="s">
        <v>690</v>
      </c>
      <c r="AJ664" s="356" t="s">
        <v>276</v>
      </c>
      <c r="AK664" s="369">
        <f t="shared" si="78"/>
        <v>0.90970525549721892</v>
      </c>
      <c r="AL664" s="369" t="s">
        <v>276</v>
      </c>
      <c r="AM664" s="369" t="s">
        <v>276</v>
      </c>
      <c r="AN664" s="356" t="s">
        <v>276</v>
      </c>
      <c r="AO664" s="369">
        <f t="shared" si="79"/>
        <v>0.75993815675689835</v>
      </c>
      <c r="AP664" s="369" t="s">
        <v>276</v>
      </c>
      <c r="AQ664" s="369" t="s">
        <v>276</v>
      </c>
      <c r="AR664" s="357" t="s">
        <v>268</v>
      </c>
      <c r="AS664" s="356" t="s">
        <v>276</v>
      </c>
      <c r="AT664" s="369">
        <f t="shared" si="77"/>
        <v>1.1970780087941164</v>
      </c>
      <c r="AU664" s="357" t="s">
        <v>276</v>
      </c>
      <c r="AV664" s="357" t="s">
        <v>276</v>
      </c>
      <c r="AW664" s="357" t="s">
        <v>276</v>
      </c>
      <c r="AX664" s="357" t="s">
        <v>282</v>
      </c>
      <c r="AY664" s="357" t="s">
        <v>98</v>
      </c>
      <c r="AZ664" s="357" t="s">
        <v>98</v>
      </c>
      <c r="BA664" s="357" t="s">
        <v>98</v>
      </c>
      <c r="BB664" s="357" t="s">
        <v>98</v>
      </c>
      <c r="BC664" s="357" t="s">
        <v>5536</v>
      </c>
      <c r="BD664" s="351" t="s">
        <v>5557</v>
      </c>
      <c r="BE664" s="33" t="s">
        <v>100</v>
      </c>
      <c r="BF664" s="33" t="s">
        <v>98</v>
      </c>
    </row>
    <row r="665" spans="1:58" s="365" customFormat="1" ht="65" x14ac:dyDescent="0.3">
      <c r="A665" s="357">
        <v>10679</v>
      </c>
      <c r="B665" s="357" t="s">
        <v>5501</v>
      </c>
      <c r="C665" s="357" t="s">
        <v>88</v>
      </c>
      <c r="D665" s="351" t="s">
        <v>5558</v>
      </c>
      <c r="E665" s="357" t="s">
        <v>43</v>
      </c>
      <c r="F665" s="351" t="s">
        <v>4987</v>
      </c>
      <c r="G665" s="357" t="s">
        <v>225</v>
      </c>
      <c r="H665" s="357" t="s">
        <v>125</v>
      </c>
      <c r="I665" s="357" t="s">
        <v>114</v>
      </c>
      <c r="J665" s="351" t="s">
        <v>24</v>
      </c>
      <c r="K665" s="373" t="s">
        <v>5503</v>
      </c>
      <c r="L665" s="351" t="s">
        <v>276</v>
      </c>
      <c r="M665" s="357" t="s">
        <v>261</v>
      </c>
      <c r="N665" s="360" t="s">
        <v>5504</v>
      </c>
      <c r="O665" s="360" t="s">
        <v>207</v>
      </c>
      <c r="P665" s="383" t="s">
        <v>98</v>
      </c>
      <c r="Q665" s="351" t="s">
        <v>741</v>
      </c>
      <c r="R665" s="355" t="s">
        <v>276</v>
      </c>
      <c r="S665" s="355" t="s">
        <v>5559</v>
      </c>
      <c r="T665" s="375" t="s">
        <v>2331</v>
      </c>
      <c r="U665" s="354">
        <v>38474</v>
      </c>
      <c r="V665" s="354">
        <v>38161</v>
      </c>
      <c r="W665" s="357" t="s">
        <v>276</v>
      </c>
      <c r="X665" s="354" t="s">
        <v>276</v>
      </c>
      <c r="Y665" s="357" t="s">
        <v>276</v>
      </c>
      <c r="Z665" s="351" t="s">
        <v>894</v>
      </c>
      <c r="AA665" s="357" t="s">
        <v>276</v>
      </c>
      <c r="AB665" s="351" t="s">
        <v>894</v>
      </c>
      <c r="AC665" s="351" t="s">
        <v>5560</v>
      </c>
      <c r="AD665" s="351" t="s">
        <v>5556</v>
      </c>
      <c r="AE665" s="357">
        <f>4+3+7+7+7+7+13</f>
        <v>48</v>
      </c>
      <c r="AF665" s="357">
        <f>1+3+3+7+7+8+11</f>
        <v>40</v>
      </c>
      <c r="AG665" s="354">
        <v>38474</v>
      </c>
      <c r="AH665" s="354">
        <v>38161</v>
      </c>
      <c r="AI665" s="354" t="s">
        <v>690</v>
      </c>
      <c r="AJ665" s="356" t="s">
        <v>276</v>
      </c>
      <c r="AK665" s="369">
        <f t="shared" si="78"/>
        <v>1.2475957789676144</v>
      </c>
      <c r="AL665" s="369" t="s">
        <v>276</v>
      </c>
      <c r="AM665" s="369" t="s">
        <v>276</v>
      </c>
      <c r="AN665" s="356" t="s">
        <v>276</v>
      </c>
      <c r="AO665" s="369">
        <f t="shared" si="79"/>
        <v>1.0481905610439979</v>
      </c>
      <c r="AP665" s="369" t="s">
        <v>276</v>
      </c>
      <c r="AQ665" s="369" t="s">
        <v>276</v>
      </c>
      <c r="AR665" s="357" t="s">
        <v>268</v>
      </c>
      <c r="AS665" s="356" t="s">
        <v>276</v>
      </c>
      <c r="AT665" s="369">
        <f t="shared" si="77"/>
        <v>1.1902375630295783</v>
      </c>
      <c r="AU665" s="357" t="s">
        <v>276</v>
      </c>
      <c r="AV665" s="357" t="s">
        <v>276</v>
      </c>
      <c r="AW665" s="357" t="s">
        <v>276</v>
      </c>
      <c r="AX665" s="357" t="s">
        <v>282</v>
      </c>
      <c r="AY665" s="357" t="s">
        <v>98</v>
      </c>
      <c r="AZ665" s="357" t="s">
        <v>98</v>
      </c>
      <c r="BA665" s="357" t="s">
        <v>98</v>
      </c>
      <c r="BB665" s="357" t="s">
        <v>98</v>
      </c>
      <c r="BC665" s="357" t="s">
        <v>5536</v>
      </c>
      <c r="BD665" s="351" t="s">
        <v>5557</v>
      </c>
      <c r="BE665" s="33" t="s">
        <v>100</v>
      </c>
      <c r="BF665" s="33" t="s">
        <v>98</v>
      </c>
    </row>
    <row r="666" spans="1:58" s="365" customFormat="1" ht="65" x14ac:dyDescent="0.3">
      <c r="A666" s="357">
        <v>10679</v>
      </c>
      <c r="B666" s="357" t="s">
        <v>5501</v>
      </c>
      <c r="C666" s="357" t="s">
        <v>88</v>
      </c>
      <c r="D666" s="351" t="s">
        <v>5561</v>
      </c>
      <c r="E666" s="357" t="s">
        <v>43</v>
      </c>
      <c r="F666" s="351" t="s">
        <v>4987</v>
      </c>
      <c r="G666" s="357" t="s">
        <v>225</v>
      </c>
      <c r="H666" s="357" t="s">
        <v>125</v>
      </c>
      <c r="I666" s="357" t="s">
        <v>114</v>
      </c>
      <c r="J666" s="351" t="s">
        <v>24</v>
      </c>
      <c r="K666" s="373" t="s">
        <v>5503</v>
      </c>
      <c r="L666" s="351" t="s">
        <v>276</v>
      </c>
      <c r="M666" s="357" t="s">
        <v>261</v>
      </c>
      <c r="N666" s="360" t="s">
        <v>5504</v>
      </c>
      <c r="O666" s="360" t="s">
        <v>207</v>
      </c>
      <c r="P666" s="383" t="s">
        <v>98</v>
      </c>
      <c r="Q666" s="351" t="s">
        <v>746</v>
      </c>
      <c r="R666" s="355" t="s">
        <v>276</v>
      </c>
      <c r="S666" s="355" t="s">
        <v>5562</v>
      </c>
      <c r="T666" s="375" t="s">
        <v>1191</v>
      </c>
      <c r="U666" s="354">
        <v>38474</v>
      </c>
      <c r="V666" s="354">
        <v>38161</v>
      </c>
      <c r="W666" s="357" t="s">
        <v>276</v>
      </c>
      <c r="X666" s="354" t="s">
        <v>276</v>
      </c>
      <c r="Y666" s="357" t="s">
        <v>276</v>
      </c>
      <c r="Z666" s="351" t="s">
        <v>894</v>
      </c>
      <c r="AA666" s="357" t="s">
        <v>276</v>
      </c>
      <c r="AB666" s="351" t="s">
        <v>894</v>
      </c>
      <c r="AC666" s="351" t="s">
        <v>5563</v>
      </c>
      <c r="AD666" s="351" t="s">
        <v>5556</v>
      </c>
      <c r="AE666" s="357">
        <f>4+3+7+7+7+7+13+11</f>
        <v>59</v>
      </c>
      <c r="AF666" s="357">
        <f>1+3+3+7+7+8+11+12</f>
        <v>52</v>
      </c>
      <c r="AG666" s="354">
        <v>38474</v>
      </c>
      <c r="AH666" s="354">
        <v>38161</v>
      </c>
      <c r="AI666" s="354" t="s">
        <v>690</v>
      </c>
      <c r="AJ666" s="356" t="s">
        <v>276</v>
      </c>
      <c r="AK666" s="369">
        <f t="shared" si="78"/>
        <v>1.5335031449810261</v>
      </c>
      <c r="AL666" s="369" t="s">
        <v>276</v>
      </c>
      <c r="AM666" s="369" t="s">
        <v>276</v>
      </c>
      <c r="AN666" s="356" t="s">
        <v>276</v>
      </c>
      <c r="AO666" s="369">
        <f t="shared" si="79"/>
        <v>1.3626477293571972</v>
      </c>
      <c r="AP666" s="369" t="s">
        <v>276</v>
      </c>
      <c r="AQ666" s="369" t="s">
        <v>276</v>
      </c>
      <c r="AR666" s="357" t="s">
        <v>268</v>
      </c>
      <c r="AS666" s="356" t="s">
        <v>276</v>
      </c>
      <c r="AT666" s="369">
        <f t="shared" si="77"/>
        <v>1.1253848753004025</v>
      </c>
      <c r="AU666" s="357" t="s">
        <v>276</v>
      </c>
      <c r="AV666" s="357" t="s">
        <v>276</v>
      </c>
      <c r="AW666" s="357" t="s">
        <v>276</v>
      </c>
      <c r="AX666" s="357" t="s">
        <v>282</v>
      </c>
      <c r="AY666" s="357" t="s">
        <v>98</v>
      </c>
      <c r="AZ666" s="357" t="s">
        <v>98</v>
      </c>
      <c r="BA666" s="357" t="s">
        <v>98</v>
      </c>
      <c r="BB666" s="357" t="s">
        <v>98</v>
      </c>
      <c r="BC666" s="357" t="s">
        <v>5536</v>
      </c>
      <c r="BD666" s="351" t="s">
        <v>5557</v>
      </c>
      <c r="BE666" s="33" t="s">
        <v>100</v>
      </c>
      <c r="BF666" s="33" t="s">
        <v>98</v>
      </c>
    </row>
    <row r="667" spans="1:58" s="365" customFormat="1" ht="65" x14ac:dyDescent="0.3">
      <c r="A667" s="357">
        <v>10679</v>
      </c>
      <c r="B667" s="357" t="s">
        <v>5501</v>
      </c>
      <c r="C667" s="357" t="s">
        <v>88</v>
      </c>
      <c r="D667" s="351" t="s">
        <v>5564</v>
      </c>
      <c r="E667" s="357" t="s">
        <v>43</v>
      </c>
      <c r="F667" s="351" t="s">
        <v>4987</v>
      </c>
      <c r="G667" s="357" t="s">
        <v>225</v>
      </c>
      <c r="H667" s="357" t="s">
        <v>125</v>
      </c>
      <c r="I667" s="357" t="s">
        <v>114</v>
      </c>
      <c r="J667" s="351" t="s">
        <v>24</v>
      </c>
      <c r="K667" s="373" t="s">
        <v>5503</v>
      </c>
      <c r="L667" s="351" t="s">
        <v>276</v>
      </c>
      <c r="M667" s="357" t="s">
        <v>261</v>
      </c>
      <c r="N667" s="360" t="s">
        <v>5504</v>
      </c>
      <c r="O667" s="360" t="s">
        <v>207</v>
      </c>
      <c r="P667" s="383" t="s">
        <v>98</v>
      </c>
      <c r="Q667" s="351" t="s">
        <v>752</v>
      </c>
      <c r="R667" s="355" t="s">
        <v>276</v>
      </c>
      <c r="S667" s="355" t="s">
        <v>5565</v>
      </c>
      <c r="T667" s="375" t="s">
        <v>1191</v>
      </c>
      <c r="U667" s="354">
        <v>38474</v>
      </c>
      <c r="V667" s="354">
        <v>38161</v>
      </c>
      <c r="W667" s="357" t="s">
        <v>276</v>
      </c>
      <c r="X667" s="354" t="s">
        <v>276</v>
      </c>
      <c r="Y667" s="357" t="s">
        <v>276</v>
      </c>
      <c r="Z667" s="351" t="s">
        <v>894</v>
      </c>
      <c r="AA667" s="357" t="s">
        <v>276</v>
      </c>
      <c r="AB667" s="351" t="s">
        <v>894</v>
      </c>
      <c r="AC667" s="351" t="s">
        <v>5566</v>
      </c>
      <c r="AD667" s="351" t="s">
        <v>5556</v>
      </c>
      <c r="AE667" s="357">
        <f>4+3+7+7+7+7+13+11+11</f>
        <v>70</v>
      </c>
      <c r="AF667" s="357">
        <f>1+3+3+7+7+8+11+12+13</f>
        <v>65</v>
      </c>
      <c r="AG667" s="354">
        <v>38474</v>
      </c>
      <c r="AH667" s="354">
        <v>38161</v>
      </c>
      <c r="AI667" s="354" t="s">
        <v>690</v>
      </c>
      <c r="AJ667" s="356" t="s">
        <v>276</v>
      </c>
      <c r="AK667" s="369">
        <f t="shared" si="78"/>
        <v>1.8194105109944378</v>
      </c>
      <c r="AL667" s="369" t="s">
        <v>276</v>
      </c>
      <c r="AM667" s="369" t="s">
        <v>276</v>
      </c>
      <c r="AN667" s="356" t="s">
        <v>276</v>
      </c>
      <c r="AO667" s="369">
        <f t="shared" si="79"/>
        <v>1.7033096616964964</v>
      </c>
      <c r="AP667" s="369" t="s">
        <v>276</v>
      </c>
      <c r="AQ667" s="369" t="s">
        <v>276</v>
      </c>
      <c r="AR667" s="357" t="s">
        <v>268</v>
      </c>
      <c r="AS667" s="356" t="s">
        <v>276</v>
      </c>
      <c r="AT667" s="369">
        <f t="shared" si="77"/>
        <v>1.0681619155393653</v>
      </c>
      <c r="AU667" s="357" t="s">
        <v>276</v>
      </c>
      <c r="AV667" s="357" t="s">
        <v>276</v>
      </c>
      <c r="AW667" s="357" t="s">
        <v>276</v>
      </c>
      <c r="AX667" s="357" t="s">
        <v>282</v>
      </c>
      <c r="AY667" s="357" t="s">
        <v>98</v>
      </c>
      <c r="AZ667" s="357" t="s">
        <v>98</v>
      </c>
      <c r="BA667" s="357" t="s">
        <v>98</v>
      </c>
      <c r="BB667" s="357" t="s">
        <v>98</v>
      </c>
      <c r="BC667" s="357" t="s">
        <v>5536</v>
      </c>
      <c r="BD667" s="351" t="s">
        <v>5557</v>
      </c>
      <c r="BE667" s="33" t="s">
        <v>100</v>
      </c>
      <c r="BF667" s="33" t="s">
        <v>98</v>
      </c>
    </row>
    <row r="668" spans="1:58" s="365" customFormat="1" ht="65" x14ac:dyDescent="0.3">
      <c r="A668" s="357">
        <v>10679</v>
      </c>
      <c r="B668" s="357" t="s">
        <v>5501</v>
      </c>
      <c r="C668" s="357" t="s">
        <v>88</v>
      </c>
      <c r="D668" s="351" t="s">
        <v>5567</v>
      </c>
      <c r="E668" s="357" t="s">
        <v>43</v>
      </c>
      <c r="F668" s="351" t="s">
        <v>4987</v>
      </c>
      <c r="G668" s="357" t="s">
        <v>225</v>
      </c>
      <c r="H668" s="357" t="s">
        <v>125</v>
      </c>
      <c r="I668" s="357" t="s">
        <v>114</v>
      </c>
      <c r="J668" s="351" t="s">
        <v>24</v>
      </c>
      <c r="K668" s="373" t="s">
        <v>5503</v>
      </c>
      <c r="L668" s="351" t="s">
        <v>276</v>
      </c>
      <c r="M668" s="357" t="s">
        <v>261</v>
      </c>
      <c r="N668" s="360" t="s">
        <v>5504</v>
      </c>
      <c r="O668" s="360" t="s">
        <v>207</v>
      </c>
      <c r="P668" s="383" t="s">
        <v>98</v>
      </c>
      <c r="Q668" s="351" t="s">
        <v>766</v>
      </c>
      <c r="R668" s="355" t="s">
        <v>276</v>
      </c>
      <c r="S668" s="355" t="s">
        <v>5568</v>
      </c>
      <c r="T668" s="375" t="s">
        <v>1191</v>
      </c>
      <c r="U668" s="354">
        <v>38474</v>
      </c>
      <c r="V668" s="354">
        <v>38161</v>
      </c>
      <c r="W668" s="357" t="s">
        <v>276</v>
      </c>
      <c r="X668" s="354" t="s">
        <v>276</v>
      </c>
      <c r="Y668" s="357" t="s">
        <v>276</v>
      </c>
      <c r="Z668" s="351" t="s">
        <v>894</v>
      </c>
      <c r="AA668" s="357" t="s">
        <v>276</v>
      </c>
      <c r="AB668" s="351" t="s">
        <v>894</v>
      </c>
      <c r="AC668" s="351" t="s">
        <v>5569</v>
      </c>
      <c r="AD668" s="351" t="s">
        <v>5556</v>
      </c>
      <c r="AE668" s="357">
        <f>4+3+7+7+7+7+13+11+11+5</f>
        <v>75</v>
      </c>
      <c r="AF668" s="357">
        <f>1+3+3+7+7+8+11+12+13+8</f>
        <v>73</v>
      </c>
      <c r="AG668" s="354">
        <v>38474</v>
      </c>
      <c r="AH668" s="354">
        <v>38161</v>
      </c>
      <c r="AI668" s="354" t="s">
        <v>690</v>
      </c>
      <c r="AJ668" s="356" t="s">
        <v>276</v>
      </c>
      <c r="AK668" s="369">
        <f t="shared" si="78"/>
        <v>1.9493684046368978</v>
      </c>
      <c r="AL668" s="369" t="s">
        <v>276</v>
      </c>
      <c r="AM668" s="369" t="s">
        <v>276</v>
      </c>
      <c r="AN668" s="356" t="s">
        <v>276</v>
      </c>
      <c r="AO668" s="369">
        <f t="shared" si="79"/>
        <v>1.912947773905296</v>
      </c>
      <c r="AP668" s="369" t="s">
        <v>276</v>
      </c>
      <c r="AQ668" s="369" t="s">
        <v>276</v>
      </c>
      <c r="AR668" s="357" t="s">
        <v>268</v>
      </c>
      <c r="AS668" s="356" t="s">
        <v>276</v>
      </c>
      <c r="AT668" s="369">
        <f t="shared" si="77"/>
        <v>1.0190390094431323</v>
      </c>
      <c r="AU668" s="357" t="s">
        <v>276</v>
      </c>
      <c r="AV668" s="357" t="s">
        <v>276</v>
      </c>
      <c r="AW668" s="357" t="s">
        <v>276</v>
      </c>
      <c r="AX668" s="357" t="s">
        <v>282</v>
      </c>
      <c r="AY668" s="357" t="s">
        <v>98</v>
      </c>
      <c r="AZ668" s="357" t="s">
        <v>98</v>
      </c>
      <c r="BA668" s="357" t="s">
        <v>98</v>
      </c>
      <c r="BB668" s="357" t="s">
        <v>98</v>
      </c>
      <c r="BC668" s="357" t="s">
        <v>5536</v>
      </c>
      <c r="BD668" s="351" t="s">
        <v>5557</v>
      </c>
      <c r="BE668" s="33" t="s">
        <v>100</v>
      </c>
      <c r="BF668" s="33" t="s">
        <v>98</v>
      </c>
    </row>
    <row r="669" spans="1:58" s="7" customFormat="1" ht="65" x14ac:dyDescent="0.3">
      <c r="A669" s="8">
        <v>10394</v>
      </c>
      <c r="B669" s="8" t="s">
        <v>6422</v>
      </c>
      <c r="C669" s="8" t="s">
        <v>6423</v>
      </c>
      <c r="D669" s="9" t="s">
        <v>6424</v>
      </c>
      <c r="E669" s="8" t="s">
        <v>43</v>
      </c>
      <c r="F669" s="9" t="s">
        <v>6425</v>
      </c>
      <c r="G669" s="8" t="s">
        <v>225</v>
      </c>
      <c r="H669" s="8" t="s">
        <v>125</v>
      </c>
      <c r="I669" s="8" t="s">
        <v>114</v>
      </c>
      <c r="J669" s="9" t="s">
        <v>24</v>
      </c>
      <c r="K669" s="9" t="s">
        <v>276</v>
      </c>
      <c r="L669" s="9" t="s">
        <v>276</v>
      </c>
      <c r="M669" s="8" t="s">
        <v>14</v>
      </c>
      <c r="N669" s="11" t="s">
        <v>98</v>
      </c>
      <c r="O669" s="12" t="s">
        <v>207</v>
      </c>
      <c r="P669" s="41" t="s">
        <v>6426</v>
      </c>
      <c r="Q669" s="9" t="s">
        <v>4782</v>
      </c>
      <c r="R669" s="9" t="s">
        <v>6427</v>
      </c>
      <c r="S669" s="9" t="s">
        <v>6427</v>
      </c>
      <c r="T669" s="69" t="s">
        <v>6428</v>
      </c>
      <c r="U669" s="13">
        <v>553</v>
      </c>
      <c r="V669" s="38">
        <v>581</v>
      </c>
      <c r="W669" s="8">
        <f>553-187</f>
        <v>366</v>
      </c>
      <c r="X669" s="8">
        <f>581-222</f>
        <v>359</v>
      </c>
      <c r="Y669" s="8" t="s">
        <v>276</v>
      </c>
      <c r="Z669" s="9" t="s">
        <v>1562</v>
      </c>
      <c r="AA669" s="8" t="s">
        <v>276</v>
      </c>
      <c r="AB669" s="9" t="s">
        <v>1562</v>
      </c>
      <c r="AC669" s="9" t="s">
        <v>6429</v>
      </c>
      <c r="AD669" s="9" t="s">
        <v>5993</v>
      </c>
      <c r="AE669" s="8">
        <v>5</v>
      </c>
      <c r="AF669" s="8">
        <v>11</v>
      </c>
      <c r="AG669" s="13">
        <v>553</v>
      </c>
      <c r="AH669" s="13">
        <v>581</v>
      </c>
      <c r="AI669" s="38" t="s">
        <v>690</v>
      </c>
      <c r="AJ669" s="49" t="s">
        <v>276</v>
      </c>
      <c r="AK669" s="31">
        <f>AE669*1000/AG669</f>
        <v>9.0415913200723335</v>
      </c>
      <c r="AL669" s="14" t="s">
        <v>276</v>
      </c>
      <c r="AM669" s="14" t="s">
        <v>276</v>
      </c>
      <c r="AN669" s="49" t="s">
        <v>276</v>
      </c>
      <c r="AO669" s="31">
        <f>AF669*1000/AH669</f>
        <v>18.9328743545611</v>
      </c>
      <c r="AP669" s="14" t="s">
        <v>276</v>
      </c>
      <c r="AQ669" s="14" t="s">
        <v>276</v>
      </c>
      <c r="AR669" s="8" t="s">
        <v>268</v>
      </c>
      <c r="AS669" s="14">
        <v>0.48</v>
      </c>
      <c r="AT669" s="31">
        <f>AK669/AO669</f>
        <v>0.47756041426927509</v>
      </c>
      <c r="AU669" s="14">
        <v>0.17</v>
      </c>
      <c r="AV669" s="14">
        <v>1.36</v>
      </c>
      <c r="AW669" s="8" t="s">
        <v>276</v>
      </c>
      <c r="AX669" s="8" t="s">
        <v>6430</v>
      </c>
      <c r="AY669" s="8">
        <v>0.47</v>
      </c>
      <c r="AZ669" s="8">
        <v>0.14000000000000001</v>
      </c>
      <c r="BA669" s="14">
        <v>1.5</v>
      </c>
      <c r="BB669" s="8" t="s">
        <v>276</v>
      </c>
      <c r="BC669" s="9" t="s">
        <v>6431</v>
      </c>
      <c r="BD669" s="9"/>
      <c r="BE669" s="33" t="s">
        <v>99</v>
      </c>
      <c r="BF669" s="33" t="s">
        <v>11162</v>
      </c>
    </row>
    <row r="670" spans="1:58" s="7" customFormat="1" ht="26" x14ac:dyDescent="0.3">
      <c r="A670" s="8">
        <v>10394</v>
      </c>
      <c r="B670" s="8" t="s">
        <v>6422</v>
      </c>
      <c r="C670" s="8" t="s">
        <v>6423</v>
      </c>
      <c r="D670" s="9" t="s">
        <v>6432</v>
      </c>
      <c r="E670" s="8" t="s">
        <v>43</v>
      </c>
      <c r="F670" s="9" t="s">
        <v>6425</v>
      </c>
      <c r="G670" s="8" t="s">
        <v>225</v>
      </c>
      <c r="H670" s="8" t="s">
        <v>125</v>
      </c>
      <c r="I670" s="8" t="s">
        <v>114</v>
      </c>
      <c r="J670" s="9" t="s">
        <v>23</v>
      </c>
      <c r="K670" s="9" t="s">
        <v>276</v>
      </c>
      <c r="L670" s="9" t="s">
        <v>276</v>
      </c>
      <c r="M670" s="8" t="s">
        <v>14</v>
      </c>
      <c r="N670" s="11" t="s">
        <v>98</v>
      </c>
      <c r="O670" s="12" t="s">
        <v>207</v>
      </c>
      <c r="P670" s="41" t="s">
        <v>6426</v>
      </c>
      <c r="Q670" s="9" t="s">
        <v>4782</v>
      </c>
      <c r="R670" s="9" t="s">
        <v>6427</v>
      </c>
      <c r="S670" s="9" t="s">
        <v>6427</v>
      </c>
      <c r="T670" s="69" t="s">
        <v>6428</v>
      </c>
      <c r="U670" s="13">
        <v>553</v>
      </c>
      <c r="V670" s="38">
        <v>581</v>
      </c>
      <c r="W670" s="8" t="s">
        <v>276</v>
      </c>
      <c r="X670" s="8" t="s">
        <v>276</v>
      </c>
      <c r="Y670" s="8">
        <v>0</v>
      </c>
      <c r="Z670" s="9" t="s">
        <v>98</v>
      </c>
      <c r="AA670" s="8">
        <v>0</v>
      </c>
      <c r="AB670" s="9" t="s">
        <v>98</v>
      </c>
      <c r="AC670" s="9" t="s">
        <v>6429</v>
      </c>
      <c r="AD670" s="9" t="s">
        <v>5993</v>
      </c>
      <c r="AE670" s="8">
        <f>359+5</f>
        <v>364</v>
      </c>
      <c r="AF670" s="8">
        <f>11+343</f>
        <v>354</v>
      </c>
      <c r="AG670" s="13">
        <v>553</v>
      </c>
      <c r="AH670" s="13">
        <v>581</v>
      </c>
      <c r="AI670" s="38" t="s">
        <v>690</v>
      </c>
      <c r="AJ670" s="49" t="s">
        <v>276</v>
      </c>
      <c r="AK670" s="31">
        <f>AE670*1000/AG670</f>
        <v>658.22784810126586</v>
      </c>
      <c r="AL670" s="14" t="s">
        <v>276</v>
      </c>
      <c r="AM670" s="14" t="s">
        <v>276</v>
      </c>
      <c r="AN670" s="49" t="s">
        <v>276</v>
      </c>
      <c r="AO670" s="31">
        <f>AF670*1000/AH670</f>
        <v>609.2943201376936</v>
      </c>
      <c r="AP670" s="14" t="s">
        <v>276</v>
      </c>
      <c r="AQ670" s="14" t="s">
        <v>276</v>
      </c>
      <c r="AR670" s="8" t="s">
        <v>268</v>
      </c>
      <c r="AS670" s="14" t="s">
        <v>276</v>
      </c>
      <c r="AT670" s="31">
        <f>AK670/AO670</f>
        <v>1.0803118071944504</v>
      </c>
      <c r="AU670" s="14" t="s">
        <v>276</v>
      </c>
      <c r="AV670" s="14" t="s">
        <v>276</v>
      </c>
      <c r="AW670" s="8" t="s">
        <v>276</v>
      </c>
      <c r="AX670" s="8" t="s">
        <v>282</v>
      </c>
      <c r="AY670" s="8" t="s">
        <v>98</v>
      </c>
      <c r="AZ670" s="8" t="s">
        <v>98</v>
      </c>
      <c r="BA670" s="14" t="s">
        <v>98</v>
      </c>
      <c r="BB670" s="8" t="s">
        <v>98</v>
      </c>
      <c r="BC670" s="9" t="s">
        <v>1358</v>
      </c>
      <c r="BD670" s="9"/>
      <c r="BE670" s="33" t="s">
        <v>100</v>
      </c>
      <c r="BF670" s="33" t="s">
        <v>98</v>
      </c>
    </row>
    <row r="671" spans="1:58" s="253" customFormat="1" ht="65" x14ac:dyDescent="0.3">
      <c r="A671" s="244">
        <v>270</v>
      </c>
      <c r="B671" s="245" t="s">
        <v>6466</v>
      </c>
      <c r="C671" s="245" t="s">
        <v>47</v>
      </c>
      <c r="D671" s="245" t="s">
        <v>6467</v>
      </c>
      <c r="E671" s="244" t="s">
        <v>36</v>
      </c>
      <c r="F671" s="244" t="s">
        <v>123</v>
      </c>
      <c r="G671" s="244" t="s">
        <v>225</v>
      </c>
      <c r="H671" s="244" t="s">
        <v>125</v>
      </c>
      <c r="I671" s="244" t="s">
        <v>114</v>
      </c>
      <c r="J671" s="245" t="s">
        <v>24</v>
      </c>
      <c r="K671" s="245" t="s">
        <v>6468</v>
      </c>
      <c r="L671" s="245" t="s">
        <v>6469</v>
      </c>
      <c r="M671" s="244" t="s">
        <v>14</v>
      </c>
      <c r="N671" s="247" t="s">
        <v>6470</v>
      </c>
      <c r="O671" s="247" t="s">
        <v>207</v>
      </c>
      <c r="P671" s="248">
        <v>41274</v>
      </c>
      <c r="Q671" s="245" t="s">
        <v>6471</v>
      </c>
      <c r="R671" s="245" t="s">
        <v>6472</v>
      </c>
      <c r="S671" s="245" t="s">
        <v>6472</v>
      </c>
      <c r="T671" s="245" t="s">
        <v>276</v>
      </c>
      <c r="U671" s="249">
        <v>180210</v>
      </c>
      <c r="V671" s="250">
        <v>180282</v>
      </c>
      <c r="W671" s="244" t="s">
        <v>276</v>
      </c>
      <c r="X671" s="244" t="s">
        <v>276</v>
      </c>
      <c r="Y671" s="244" t="s">
        <v>276</v>
      </c>
      <c r="Z671" s="245" t="s">
        <v>6473</v>
      </c>
      <c r="AA671" s="244" t="s">
        <v>276</v>
      </c>
      <c r="AB671" s="245" t="s">
        <v>6473</v>
      </c>
      <c r="AC671" s="245" t="s">
        <v>6474</v>
      </c>
      <c r="AD671" s="245" t="s">
        <v>6475</v>
      </c>
      <c r="AE671" s="244">
        <v>170</v>
      </c>
      <c r="AF671" s="244">
        <v>164</v>
      </c>
      <c r="AG671" s="249">
        <v>805480</v>
      </c>
      <c r="AH671" s="249">
        <v>805693</v>
      </c>
      <c r="AI671" s="250" t="s">
        <v>1019</v>
      </c>
      <c r="AJ671" s="330">
        <v>21.1</v>
      </c>
      <c r="AK671" s="252">
        <f t="shared" ref="AK671:AK676" si="80">AE671*100000/AG671</f>
        <v>21.105427819436859</v>
      </c>
      <c r="AL671" s="251" t="s">
        <v>276</v>
      </c>
      <c r="AM671" s="251" t="s">
        <v>276</v>
      </c>
      <c r="AN671" s="330">
        <v>20.399999999999999</v>
      </c>
      <c r="AO671" s="252">
        <f t="shared" ref="AO671:AO676" si="81">AF671*100000/AH671</f>
        <v>20.355147680319924</v>
      </c>
      <c r="AP671" s="251" t="s">
        <v>276</v>
      </c>
      <c r="AQ671" s="251" t="s">
        <v>276</v>
      </c>
      <c r="AR671" s="244" t="s">
        <v>269</v>
      </c>
      <c r="AS671" s="251">
        <v>1.04</v>
      </c>
      <c r="AT671" s="251">
        <f t="shared" ref="AT671:AT699" si="82">AK671/AO671</f>
        <v>1.0368594790320451</v>
      </c>
      <c r="AU671" s="251">
        <v>0.84</v>
      </c>
      <c r="AV671" s="251">
        <v>1.28</v>
      </c>
      <c r="AW671" s="244" t="s">
        <v>276</v>
      </c>
      <c r="AX671" s="244" t="s">
        <v>282</v>
      </c>
      <c r="AY671" s="244" t="s">
        <v>276</v>
      </c>
      <c r="AZ671" s="244" t="s">
        <v>276</v>
      </c>
      <c r="BA671" s="244" t="s">
        <v>276</v>
      </c>
      <c r="BB671" s="244" t="s">
        <v>276</v>
      </c>
      <c r="BC671" s="245" t="s">
        <v>6476</v>
      </c>
      <c r="BD671" s="245"/>
      <c r="BE671" s="33" t="s">
        <v>99</v>
      </c>
      <c r="BF671" s="277" t="s">
        <v>11163</v>
      </c>
    </row>
    <row r="672" spans="1:58" s="253" customFormat="1" ht="39" x14ac:dyDescent="0.3">
      <c r="A672" s="244">
        <v>270</v>
      </c>
      <c r="B672" s="245" t="s">
        <v>6466</v>
      </c>
      <c r="C672" s="245" t="s">
        <v>47</v>
      </c>
      <c r="D672" s="245" t="s">
        <v>6477</v>
      </c>
      <c r="E672" s="244" t="s">
        <v>36</v>
      </c>
      <c r="F672" s="244" t="s">
        <v>123</v>
      </c>
      <c r="G672" s="244" t="s">
        <v>225</v>
      </c>
      <c r="H672" s="244" t="s">
        <v>125</v>
      </c>
      <c r="I672" s="244" t="s">
        <v>114</v>
      </c>
      <c r="J672" s="245" t="s">
        <v>24</v>
      </c>
      <c r="K672" s="245" t="s">
        <v>6468</v>
      </c>
      <c r="L672" s="245" t="s">
        <v>6469</v>
      </c>
      <c r="M672" s="244" t="s">
        <v>16</v>
      </c>
      <c r="N672" s="247" t="s">
        <v>170</v>
      </c>
      <c r="O672" s="247" t="s">
        <v>207</v>
      </c>
      <c r="P672" s="248">
        <v>41274</v>
      </c>
      <c r="Q672" s="245" t="s">
        <v>6471</v>
      </c>
      <c r="R672" s="245" t="s">
        <v>6478</v>
      </c>
      <c r="S672" s="245" t="s">
        <v>6479</v>
      </c>
      <c r="T672" s="245" t="s">
        <v>276</v>
      </c>
      <c r="U672" s="249">
        <v>89712</v>
      </c>
      <c r="V672" s="250">
        <v>89807</v>
      </c>
      <c r="W672" s="244" t="s">
        <v>276</v>
      </c>
      <c r="X672" s="244" t="s">
        <v>276</v>
      </c>
      <c r="Y672" s="244" t="s">
        <v>276</v>
      </c>
      <c r="Z672" s="245" t="s">
        <v>6473</v>
      </c>
      <c r="AA672" s="244" t="s">
        <v>276</v>
      </c>
      <c r="AB672" s="245" t="s">
        <v>6473</v>
      </c>
      <c r="AC672" s="245" t="s">
        <v>6480</v>
      </c>
      <c r="AD672" s="245" t="s">
        <v>6481</v>
      </c>
      <c r="AE672" s="244">
        <v>93</v>
      </c>
      <c r="AF672" s="244">
        <v>106</v>
      </c>
      <c r="AG672" s="249">
        <v>395614</v>
      </c>
      <c r="AH672" s="249">
        <v>395851</v>
      </c>
      <c r="AI672" s="250" t="s">
        <v>1019</v>
      </c>
      <c r="AJ672" s="330">
        <v>23.5</v>
      </c>
      <c r="AK672" s="252">
        <f t="shared" si="80"/>
        <v>23.507762617096464</v>
      </c>
      <c r="AL672" s="251" t="s">
        <v>276</v>
      </c>
      <c r="AM672" s="251" t="s">
        <v>276</v>
      </c>
      <c r="AN672" s="330">
        <v>26.8</v>
      </c>
      <c r="AO672" s="252">
        <f t="shared" si="81"/>
        <v>26.777752235058141</v>
      </c>
      <c r="AP672" s="251" t="s">
        <v>276</v>
      </c>
      <c r="AQ672" s="251" t="s">
        <v>276</v>
      </c>
      <c r="AR672" s="244" t="s">
        <v>269</v>
      </c>
      <c r="AS672" s="251">
        <v>0.88</v>
      </c>
      <c r="AT672" s="251">
        <f t="shared" si="82"/>
        <v>0.87788408865474077</v>
      </c>
      <c r="AU672" s="251">
        <v>0.66</v>
      </c>
      <c r="AV672" s="251">
        <v>1.1599999999999999</v>
      </c>
      <c r="AW672" s="244" t="s">
        <v>276</v>
      </c>
      <c r="AX672" s="244" t="s">
        <v>282</v>
      </c>
      <c r="AY672" s="244" t="s">
        <v>276</v>
      </c>
      <c r="AZ672" s="244" t="s">
        <v>276</v>
      </c>
      <c r="BA672" s="244" t="s">
        <v>276</v>
      </c>
      <c r="BB672" s="244" t="s">
        <v>276</v>
      </c>
      <c r="BC672" s="245" t="s">
        <v>6482</v>
      </c>
      <c r="BD672" s="245"/>
      <c r="BE672" s="33" t="s">
        <v>100</v>
      </c>
      <c r="BF672" s="277" t="s">
        <v>98</v>
      </c>
    </row>
    <row r="673" spans="1:58" s="253" customFormat="1" ht="39" x14ac:dyDescent="0.3">
      <c r="A673" s="244">
        <v>270</v>
      </c>
      <c r="B673" s="245" t="s">
        <v>6466</v>
      </c>
      <c r="C673" s="245" t="s">
        <v>47</v>
      </c>
      <c r="D673" s="245" t="s">
        <v>6483</v>
      </c>
      <c r="E673" s="244" t="s">
        <v>36</v>
      </c>
      <c r="F673" s="244" t="s">
        <v>123</v>
      </c>
      <c r="G673" s="244" t="s">
        <v>225</v>
      </c>
      <c r="H673" s="244" t="s">
        <v>125</v>
      </c>
      <c r="I673" s="244" t="s">
        <v>114</v>
      </c>
      <c r="J673" s="245" t="s">
        <v>24</v>
      </c>
      <c r="K673" s="245" t="s">
        <v>6468</v>
      </c>
      <c r="L673" s="245" t="s">
        <v>6469</v>
      </c>
      <c r="M673" s="244" t="s">
        <v>16</v>
      </c>
      <c r="N673" s="247" t="s">
        <v>171</v>
      </c>
      <c r="O673" s="247" t="s">
        <v>207</v>
      </c>
      <c r="P673" s="248">
        <v>41274</v>
      </c>
      <c r="Q673" s="245" t="s">
        <v>6471</v>
      </c>
      <c r="R673" s="245" t="s">
        <v>6484</v>
      </c>
      <c r="S673" s="245" t="s">
        <v>6485</v>
      </c>
      <c r="T673" s="245" t="s">
        <v>276</v>
      </c>
      <c r="U673" s="249">
        <v>90498</v>
      </c>
      <c r="V673" s="250">
        <v>90475</v>
      </c>
      <c r="W673" s="244" t="s">
        <v>276</v>
      </c>
      <c r="X673" s="244" t="s">
        <v>276</v>
      </c>
      <c r="Y673" s="244" t="s">
        <v>276</v>
      </c>
      <c r="Z673" s="245" t="s">
        <v>6473</v>
      </c>
      <c r="AA673" s="244" t="s">
        <v>276</v>
      </c>
      <c r="AB673" s="245" t="s">
        <v>6473</v>
      </c>
      <c r="AC673" s="245" t="s">
        <v>6486</v>
      </c>
      <c r="AD673" s="245" t="s">
        <v>6487</v>
      </c>
      <c r="AE673" s="244">
        <v>77</v>
      </c>
      <c r="AF673" s="244">
        <v>58</v>
      </c>
      <c r="AG673" s="249">
        <v>409866</v>
      </c>
      <c r="AH673" s="249">
        <v>409843</v>
      </c>
      <c r="AI673" s="250" t="s">
        <v>1019</v>
      </c>
      <c r="AJ673" s="330">
        <v>18.8</v>
      </c>
      <c r="AK673" s="252">
        <f t="shared" si="80"/>
        <v>18.786627824703682</v>
      </c>
      <c r="AL673" s="251" t="s">
        <v>276</v>
      </c>
      <c r="AM673" s="251" t="s">
        <v>276</v>
      </c>
      <c r="AN673" s="330">
        <v>14.2</v>
      </c>
      <c r="AO673" s="252">
        <f t="shared" si="81"/>
        <v>14.151760552211456</v>
      </c>
      <c r="AP673" s="251" t="s">
        <v>276</v>
      </c>
      <c r="AQ673" s="251" t="s">
        <v>276</v>
      </c>
      <c r="AR673" s="244" t="s">
        <v>269</v>
      </c>
      <c r="AS673" s="251">
        <v>1.33</v>
      </c>
      <c r="AT673" s="251">
        <f t="shared" si="82"/>
        <v>1.3275117082000054</v>
      </c>
      <c r="AU673" s="251">
        <v>0.94</v>
      </c>
      <c r="AV673" s="251">
        <v>1.87</v>
      </c>
      <c r="AW673" s="244" t="s">
        <v>276</v>
      </c>
      <c r="AX673" s="244" t="s">
        <v>282</v>
      </c>
      <c r="AY673" s="244" t="s">
        <v>276</v>
      </c>
      <c r="AZ673" s="244" t="s">
        <v>276</v>
      </c>
      <c r="BA673" s="244" t="s">
        <v>276</v>
      </c>
      <c r="BB673" s="244" t="s">
        <v>276</v>
      </c>
      <c r="BC673" s="245" t="s">
        <v>6482</v>
      </c>
      <c r="BD673" s="245"/>
      <c r="BE673" s="33" t="s">
        <v>100</v>
      </c>
      <c r="BF673" s="277" t="s">
        <v>98</v>
      </c>
    </row>
    <row r="674" spans="1:58" s="263" customFormat="1" ht="65" x14ac:dyDescent="0.3">
      <c r="A674" s="254">
        <v>270</v>
      </c>
      <c r="B674" s="255" t="s">
        <v>6466</v>
      </c>
      <c r="C674" s="255" t="s">
        <v>47</v>
      </c>
      <c r="D674" s="255" t="s">
        <v>6488</v>
      </c>
      <c r="E674" s="254" t="s">
        <v>36</v>
      </c>
      <c r="F674" s="254" t="s">
        <v>123</v>
      </c>
      <c r="G674" s="254" t="s">
        <v>225</v>
      </c>
      <c r="H674" s="254" t="s">
        <v>125</v>
      </c>
      <c r="I674" s="254" t="s">
        <v>114</v>
      </c>
      <c r="J674" s="255" t="s">
        <v>23</v>
      </c>
      <c r="K674" s="255" t="s">
        <v>6468</v>
      </c>
      <c r="L674" s="255" t="s">
        <v>6469</v>
      </c>
      <c r="M674" s="254" t="s">
        <v>14</v>
      </c>
      <c r="N674" s="257" t="s">
        <v>6470</v>
      </c>
      <c r="O674" s="257" t="s">
        <v>207</v>
      </c>
      <c r="P674" s="258">
        <v>41274</v>
      </c>
      <c r="Q674" s="255" t="s">
        <v>6471</v>
      </c>
      <c r="R674" s="255" t="s">
        <v>6472</v>
      </c>
      <c r="S674" s="255" t="s">
        <v>6472</v>
      </c>
      <c r="T674" s="255" t="s">
        <v>276</v>
      </c>
      <c r="U674" s="259">
        <v>180210</v>
      </c>
      <c r="V674" s="260">
        <v>180282</v>
      </c>
      <c r="W674" s="254" t="s">
        <v>276</v>
      </c>
      <c r="X674" s="254" t="s">
        <v>276</v>
      </c>
      <c r="Y674" s="255" t="s">
        <v>98</v>
      </c>
      <c r="Z674" s="255" t="s">
        <v>98</v>
      </c>
      <c r="AA674" s="255" t="s">
        <v>98</v>
      </c>
      <c r="AB674" s="255" t="s">
        <v>98</v>
      </c>
      <c r="AC674" s="255" t="s">
        <v>6489</v>
      </c>
      <c r="AD674" s="255" t="s">
        <v>6475</v>
      </c>
      <c r="AE674" s="254">
        <v>8000</v>
      </c>
      <c r="AF674" s="254">
        <v>7963</v>
      </c>
      <c r="AG674" s="259">
        <v>805480</v>
      </c>
      <c r="AH674" s="259">
        <v>805693</v>
      </c>
      <c r="AI674" s="260" t="s">
        <v>1019</v>
      </c>
      <c r="AJ674" s="414">
        <v>993</v>
      </c>
      <c r="AK674" s="262">
        <f t="shared" si="80"/>
        <v>993.19660326761687</v>
      </c>
      <c r="AL674" s="261" t="s">
        <v>276</v>
      </c>
      <c r="AM674" s="261" t="s">
        <v>276</v>
      </c>
      <c r="AN674" s="414">
        <v>988</v>
      </c>
      <c r="AO674" s="262">
        <f t="shared" si="81"/>
        <v>988.34171328285095</v>
      </c>
      <c r="AP674" s="261" t="s">
        <v>276</v>
      </c>
      <c r="AQ674" s="261" t="s">
        <v>276</v>
      </c>
      <c r="AR674" s="254" t="s">
        <v>269</v>
      </c>
      <c r="AS674" s="261">
        <v>1</v>
      </c>
      <c r="AT674" s="261">
        <f t="shared" si="82"/>
        <v>1.00491215732324</v>
      </c>
      <c r="AU674" s="261">
        <v>0.97</v>
      </c>
      <c r="AV674" s="261">
        <v>1.04</v>
      </c>
      <c r="AW674" s="254" t="s">
        <v>276</v>
      </c>
      <c r="AX674" s="254" t="s">
        <v>282</v>
      </c>
      <c r="AY674" s="254" t="s">
        <v>276</v>
      </c>
      <c r="AZ674" s="254" t="s">
        <v>276</v>
      </c>
      <c r="BA674" s="254" t="s">
        <v>276</v>
      </c>
      <c r="BB674" s="254" t="s">
        <v>276</v>
      </c>
      <c r="BC674" s="255" t="s">
        <v>6490</v>
      </c>
      <c r="BD674" s="255"/>
      <c r="BE674" s="33" t="s">
        <v>100</v>
      </c>
      <c r="BF674" s="277" t="s">
        <v>98</v>
      </c>
    </row>
    <row r="675" spans="1:58" s="263" customFormat="1" ht="39" x14ac:dyDescent="0.3">
      <c r="A675" s="254">
        <v>270</v>
      </c>
      <c r="B675" s="255" t="s">
        <v>6466</v>
      </c>
      <c r="C675" s="255" t="s">
        <v>47</v>
      </c>
      <c r="D675" s="255" t="s">
        <v>6491</v>
      </c>
      <c r="E675" s="254" t="s">
        <v>36</v>
      </c>
      <c r="F675" s="254" t="s">
        <v>123</v>
      </c>
      <c r="G675" s="254" t="s">
        <v>225</v>
      </c>
      <c r="H675" s="254" t="s">
        <v>125</v>
      </c>
      <c r="I675" s="254" t="s">
        <v>114</v>
      </c>
      <c r="J675" s="255" t="s">
        <v>23</v>
      </c>
      <c r="K675" s="255" t="s">
        <v>6468</v>
      </c>
      <c r="L675" s="255" t="s">
        <v>6469</v>
      </c>
      <c r="M675" s="254" t="s">
        <v>16</v>
      </c>
      <c r="N675" s="257" t="s">
        <v>170</v>
      </c>
      <c r="O675" s="257" t="s">
        <v>207</v>
      </c>
      <c r="P675" s="258">
        <v>41274</v>
      </c>
      <c r="Q675" s="255" t="s">
        <v>6471</v>
      </c>
      <c r="R675" s="255" t="s">
        <v>6478</v>
      </c>
      <c r="S675" s="255" t="s">
        <v>6479</v>
      </c>
      <c r="T675" s="255" t="s">
        <v>276</v>
      </c>
      <c r="U675" s="259">
        <v>89712</v>
      </c>
      <c r="V675" s="260">
        <v>89807</v>
      </c>
      <c r="W675" s="254" t="s">
        <v>276</v>
      </c>
      <c r="X675" s="254" t="s">
        <v>276</v>
      </c>
      <c r="Y675" s="255" t="s">
        <v>98</v>
      </c>
      <c r="Z675" s="255" t="s">
        <v>98</v>
      </c>
      <c r="AA675" s="255" t="s">
        <v>98</v>
      </c>
      <c r="AB675" s="255" t="s">
        <v>98</v>
      </c>
      <c r="AC675" s="255" t="s">
        <v>6492</v>
      </c>
      <c r="AD675" s="255" t="s">
        <v>6481</v>
      </c>
      <c r="AE675" s="254">
        <v>5486</v>
      </c>
      <c r="AF675" s="254">
        <v>5453</v>
      </c>
      <c r="AG675" s="259">
        <v>395614</v>
      </c>
      <c r="AH675" s="259">
        <v>395851</v>
      </c>
      <c r="AI675" s="260" t="s">
        <v>1019</v>
      </c>
      <c r="AJ675" s="414">
        <v>1387</v>
      </c>
      <c r="AK675" s="262">
        <f t="shared" si="80"/>
        <v>1386.7052227676472</v>
      </c>
      <c r="AL675" s="261" t="s">
        <v>276</v>
      </c>
      <c r="AM675" s="261" t="s">
        <v>276</v>
      </c>
      <c r="AN675" s="414">
        <v>1378</v>
      </c>
      <c r="AO675" s="262">
        <f t="shared" si="81"/>
        <v>1377.5385182808684</v>
      </c>
      <c r="AP675" s="261" t="s">
        <v>276</v>
      </c>
      <c r="AQ675" s="261" t="s">
        <v>276</v>
      </c>
      <c r="AR675" s="254" t="s">
        <v>269</v>
      </c>
      <c r="AS675" s="261">
        <v>1.01</v>
      </c>
      <c r="AT675" s="261">
        <f t="shared" si="82"/>
        <v>1.006654408835129</v>
      </c>
      <c r="AU675" s="261">
        <v>0.97</v>
      </c>
      <c r="AV675" s="261">
        <v>1.05</v>
      </c>
      <c r="AW675" s="254" t="s">
        <v>276</v>
      </c>
      <c r="AX675" s="254" t="s">
        <v>282</v>
      </c>
      <c r="AY675" s="254" t="s">
        <v>276</v>
      </c>
      <c r="AZ675" s="254" t="s">
        <v>276</v>
      </c>
      <c r="BA675" s="254" t="s">
        <v>276</v>
      </c>
      <c r="BB675" s="254" t="s">
        <v>276</v>
      </c>
      <c r="BC675" s="255" t="s">
        <v>6493</v>
      </c>
      <c r="BD675" s="255"/>
      <c r="BE675" s="33" t="s">
        <v>100</v>
      </c>
      <c r="BF675" s="277" t="s">
        <v>98</v>
      </c>
    </row>
    <row r="676" spans="1:58" s="263" customFormat="1" ht="39" x14ac:dyDescent="0.3">
      <c r="A676" s="254">
        <v>270</v>
      </c>
      <c r="B676" s="255" t="s">
        <v>6466</v>
      </c>
      <c r="C676" s="255" t="s">
        <v>47</v>
      </c>
      <c r="D676" s="255" t="s">
        <v>6494</v>
      </c>
      <c r="E676" s="254" t="s">
        <v>36</v>
      </c>
      <c r="F676" s="254" t="s">
        <v>123</v>
      </c>
      <c r="G676" s="254" t="s">
        <v>225</v>
      </c>
      <c r="H676" s="254" t="s">
        <v>125</v>
      </c>
      <c r="I676" s="254" t="s">
        <v>114</v>
      </c>
      <c r="J676" s="255" t="s">
        <v>23</v>
      </c>
      <c r="K676" s="255" t="s">
        <v>6468</v>
      </c>
      <c r="L676" s="255" t="s">
        <v>6469</v>
      </c>
      <c r="M676" s="254" t="s">
        <v>16</v>
      </c>
      <c r="N676" s="257" t="s">
        <v>171</v>
      </c>
      <c r="O676" s="257" t="s">
        <v>207</v>
      </c>
      <c r="P676" s="258">
        <v>41274</v>
      </c>
      <c r="Q676" s="255" t="s">
        <v>6471</v>
      </c>
      <c r="R676" s="255" t="s">
        <v>6484</v>
      </c>
      <c r="S676" s="255" t="s">
        <v>6485</v>
      </c>
      <c r="T676" s="255" t="s">
        <v>276</v>
      </c>
      <c r="U676" s="259">
        <v>90498</v>
      </c>
      <c r="V676" s="260">
        <v>90475</v>
      </c>
      <c r="W676" s="254" t="s">
        <v>276</v>
      </c>
      <c r="X676" s="254" t="s">
        <v>276</v>
      </c>
      <c r="Y676" s="255" t="s">
        <v>98</v>
      </c>
      <c r="Z676" s="255" t="s">
        <v>98</v>
      </c>
      <c r="AA676" s="255" t="s">
        <v>98</v>
      </c>
      <c r="AB676" s="255" t="s">
        <v>98</v>
      </c>
      <c r="AC676" s="255" t="s">
        <v>6495</v>
      </c>
      <c r="AD676" s="255" t="s">
        <v>6487</v>
      </c>
      <c r="AE676" s="254">
        <v>2514</v>
      </c>
      <c r="AF676" s="254">
        <v>2510</v>
      </c>
      <c r="AG676" s="259">
        <v>409866</v>
      </c>
      <c r="AH676" s="259">
        <v>409843</v>
      </c>
      <c r="AI676" s="260" t="s">
        <v>1019</v>
      </c>
      <c r="AJ676" s="414">
        <v>613</v>
      </c>
      <c r="AK676" s="262">
        <f t="shared" si="80"/>
        <v>613.37119936759814</v>
      </c>
      <c r="AL676" s="261" t="s">
        <v>276</v>
      </c>
      <c r="AM676" s="261" t="s">
        <v>276</v>
      </c>
      <c r="AN676" s="414">
        <v>612</v>
      </c>
      <c r="AO676" s="262">
        <f t="shared" si="81"/>
        <v>612.42963769053028</v>
      </c>
      <c r="AP676" s="261" t="s">
        <v>276</v>
      </c>
      <c r="AQ676" s="261" t="s">
        <v>276</v>
      </c>
      <c r="AR676" s="254" t="s">
        <v>269</v>
      </c>
      <c r="AS676" s="261">
        <v>1</v>
      </c>
      <c r="AT676" s="261">
        <f t="shared" si="82"/>
        <v>1.0015374201689822</v>
      </c>
      <c r="AU676" s="261">
        <v>0.95</v>
      </c>
      <c r="AV676" s="261">
        <v>1.06</v>
      </c>
      <c r="AW676" s="254" t="s">
        <v>276</v>
      </c>
      <c r="AX676" s="254" t="s">
        <v>282</v>
      </c>
      <c r="AY676" s="254" t="s">
        <v>276</v>
      </c>
      <c r="AZ676" s="254" t="s">
        <v>276</v>
      </c>
      <c r="BA676" s="254" t="s">
        <v>276</v>
      </c>
      <c r="BB676" s="254" t="s">
        <v>276</v>
      </c>
      <c r="BC676" s="255" t="s">
        <v>6493</v>
      </c>
      <c r="BD676" s="255"/>
      <c r="BE676" s="33" t="s">
        <v>100</v>
      </c>
      <c r="BF676" s="277" t="s">
        <v>98</v>
      </c>
    </row>
    <row r="677" spans="1:58" s="677" customFormat="1" ht="117" x14ac:dyDescent="0.3">
      <c r="A677" s="545">
        <v>7850</v>
      </c>
      <c r="B677" s="545" t="s">
        <v>6621</v>
      </c>
      <c r="C677" s="545" t="s">
        <v>46</v>
      </c>
      <c r="D677" s="546" t="s">
        <v>6622</v>
      </c>
      <c r="E677" s="545" t="s">
        <v>36</v>
      </c>
      <c r="F677" s="545" t="s">
        <v>123</v>
      </c>
      <c r="G677" s="545" t="s">
        <v>225</v>
      </c>
      <c r="H677" s="545" t="s">
        <v>125</v>
      </c>
      <c r="I677" s="545" t="s">
        <v>114</v>
      </c>
      <c r="J677" s="546" t="s">
        <v>24</v>
      </c>
      <c r="K677" s="546" t="s">
        <v>6623</v>
      </c>
      <c r="L677" s="546" t="s">
        <v>276</v>
      </c>
      <c r="M677" s="545" t="s">
        <v>14</v>
      </c>
      <c r="N677" s="547" t="s">
        <v>98</v>
      </c>
      <c r="O677" s="548" t="s">
        <v>207</v>
      </c>
      <c r="P677" s="549">
        <v>31656</v>
      </c>
      <c r="Q677" s="546" t="s">
        <v>6624</v>
      </c>
      <c r="R677" s="546" t="s">
        <v>276</v>
      </c>
      <c r="S677" s="546" t="s">
        <v>276</v>
      </c>
      <c r="T677" s="546">
        <v>1</v>
      </c>
      <c r="U677" s="550">
        <v>30970</v>
      </c>
      <c r="V677" s="546">
        <v>30968</v>
      </c>
      <c r="W677" s="545" t="s">
        <v>276</v>
      </c>
      <c r="X677" s="545" t="s">
        <v>276</v>
      </c>
      <c r="Y677" s="545">
        <v>4</v>
      </c>
      <c r="Z677" s="546" t="s">
        <v>6625</v>
      </c>
      <c r="AA677" s="545">
        <v>0</v>
      </c>
      <c r="AB677" s="546" t="s">
        <v>6625</v>
      </c>
      <c r="AC677" s="546" t="s">
        <v>6626</v>
      </c>
      <c r="AD677" s="546" t="s">
        <v>6506</v>
      </c>
      <c r="AE677" s="545">
        <v>7</v>
      </c>
      <c r="AF677" s="545">
        <v>5</v>
      </c>
      <c r="AG677" s="550">
        <v>30970</v>
      </c>
      <c r="AH677" s="546">
        <v>30968</v>
      </c>
      <c r="AI677" s="551" t="s">
        <v>2047</v>
      </c>
      <c r="AJ677" s="553" t="s">
        <v>276</v>
      </c>
      <c r="AK677" s="554">
        <f t="shared" ref="AK677:AK697" si="83">AE677*1000/AG677</f>
        <v>0.22602518566354537</v>
      </c>
      <c r="AL677" s="553" t="s">
        <v>276</v>
      </c>
      <c r="AM677" s="553" t="s">
        <v>276</v>
      </c>
      <c r="AN677" s="553" t="s">
        <v>276</v>
      </c>
      <c r="AO677" s="554">
        <f t="shared" ref="AO677:AO697" si="84">AF677*1000/AH677</f>
        <v>0.16145698785843451</v>
      </c>
      <c r="AP677" s="553" t="s">
        <v>276</v>
      </c>
      <c r="AQ677" s="553" t="s">
        <v>276</v>
      </c>
      <c r="AR677" s="545" t="s">
        <v>268</v>
      </c>
      <c r="AS677" s="553" t="s">
        <v>276</v>
      </c>
      <c r="AT677" s="553">
        <f t="shared" si="82"/>
        <v>1.3999095899257346</v>
      </c>
      <c r="AU677" s="553" t="s">
        <v>276</v>
      </c>
      <c r="AV677" s="553" t="s">
        <v>276</v>
      </c>
      <c r="AW677" s="545" t="s">
        <v>276</v>
      </c>
      <c r="AX677" s="545" t="s">
        <v>282</v>
      </c>
      <c r="AY677" s="545" t="s">
        <v>276</v>
      </c>
      <c r="AZ677" s="545" t="s">
        <v>276</v>
      </c>
      <c r="BA677" s="545" t="s">
        <v>276</v>
      </c>
      <c r="BB677" s="545" t="s">
        <v>276</v>
      </c>
      <c r="BC677" s="546" t="s">
        <v>6627</v>
      </c>
      <c r="BD677" s="546" t="s">
        <v>6628</v>
      </c>
      <c r="BE677" s="33" t="s">
        <v>100</v>
      </c>
      <c r="BF677" s="33" t="s">
        <v>98</v>
      </c>
    </row>
    <row r="678" spans="1:58" s="677" customFormat="1" ht="78" x14ac:dyDescent="0.3">
      <c r="A678" s="545">
        <v>7850</v>
      </c>
      <c r="B678" s="545" t="s">
        <v>6621</v>
      </c>
      <c r="C678" s="545" t="s">
        <v>46</v>
      </c>
      <c r="D678" s="546" t="s">
        <v>6629</v>
      </c>
      <c r="E678" s="545" t="s">
        <v>36</v>
      </c>
      <c r="F678" s="545" t="s">
        <v>123</v>
      </c>
      <c r="G678" s="545" t="s">
        <v>225</v>
      </c>
      <c r="H678" s="545" t="s">
        <v>125</v>
      </c>
      <c r="I678" s="545" t="s">
        <v>114</v>
      </c>
      <c r="J678" s="546" t="s">
        <v>23</v>
      </c>
      <c r="K678" s="546" t="s">
        <v>6623</v>
      </c>
      <c r="L678" s="546" t="s">
        <v>276</v>
      </c>
      <c r="M678" s="545" t="s">
        <v>14</v>
      </c>
      <c r="N678" s="547" t="s">
        <v>98</v>
      </c>
      <c r="O678" s="548" t="s">
        <v>207</v>
      </c>
      <c r="P678" s="549">
        <v>31656</v>
      </c>
      <c r="Q678" s="546" t="s">
        <v>6624</v>
      </c>
      <c r="R678" s="546" t="s">
        <v>276</v>
      </c>
      <c r="S678" s="546" t="s">
        <v>276</v>
      </c>
      <c r="T678" s="546">
        <v>1</v>
      </c>
      <c r="U678" s="550">
        <v>30970</v>
      </c>
      <c r="V678" s="546">
        <v>30968</v>
      </c>
      <c r="W678" s="545" t="s">
        <v>276</v>
      </c>
      <c r="X678" s="545" t="s">
        <v>276</v>
      </c>
      <c r="Y678" s="545" t="s">
        <v>98</v>
      </c>
      <c r="Z678" s="545" t="s">
        <v>98</v>
      </c>
      <c r="AA678" s="545" t="s">
        <v>98</v>
      </c>
      <c r="AB678" s="545" t="s">
        <v>98</v>
      </c>
      <c r="AC678" s="546" t="s">
        <v>6630</v>
      </c>
      <c r="AD678" s="546" t="s">
        <v>6506</v>
      </c>
      <c r="AE678" s="545">
        <v>451</v>
      </c>
      <c r="AF678" s="545">
        <v>471</v>
      </c>
      <c r="AG678" s="550">
        <v>30970</v>
      </c>
      <c r="AH678" s="546">
        <v>30968</v>
      </c>
      <c r="AI678" s="551" t="s">
        <v>2047</v>
      </c>
      <c r="AJ678" s="553" t="s">
        <v>276</v>
      </c>
      <c r="AK678" s="554">
        <f t="shared" si="83"/>
        <v>14.562479819179851</v>
      </c>
      <c r="AL678" s="553" t="s">
        <v>276</v>
      </c>
      <c r="AM678" s="553" t="s">
        <v>276</v>
      </c>
      <c r="AN678" s="553" t="s">
        <v>276</v>
      </c>
      <c r="AO678" s="554">
        <f t="shared" si="84"/>
        <v>15.209248256264532</v>
      </c>
      <c r="AP678" s="553" t="s">
        <v>276</v>
      </c>
      <c r="AQ678" s="553" t="s">
        <v>276</v>
      </c>
      <c r="AR678" s="545" t="s">
        <v>268</v>
      </c>
      <c r="AS678" s="553" t="s">
        <v>276</v>
      </c>
      <c r="AT678" s="553">
        <f t="shared" si="82"/>
        <v>0.95747531855703094</v>
      </c>
      <c r="AU678" s="553" t="s">
        <v>276</v>
      </c>
      <c r="AV678" s="553" t="s">
        <v>276</v>
      </c>
      <c r="AW678" s="545" t="s">
        <v>276</v>
      </c>
      <c r="AX678" s="545" t="s">
        <v>282</v>
      </c>
      <c r="AY678" s="545" t="s">
        <v>276</v>
      </c>
      <c r="AZ678" s="545" t="s">
        <v>276</v>
      </c>
      <c r="BA678" s="545" t="s">
        <v>276</v>
      </c>
      <c r="BB678" s="545" t="s">
        <v>276</v>
      </c>
      <c r="BC678" s="546" t="s">
        <v>6631</v>
      </c>
      <c r="BD678" s="546"/>
      <c r="BE678" s="33" t="s">
        <v>100</v>
      </c>
      <c r="BF678" s="33" t="s">
        <v>98</v>
      </c>
    </row>
    <row r="679" spans="1:58" s="679" customFormat="1" ht="78" x14ac:dyDescent="0.3">
      <c r="A679" s="577">
        <v>229</v>
      </c>
      <c r="B679" s="577" t="s">
        <v>6632</v>
      </c>
      <c r="C679" s="577" t="s">
        <v>46</v>
      </c>
      <c r="D679" s="578" t="s">
        <v>6633</v>
      </c>
      <c r="E679" s="577" t="s">
        <v>36</v>
      </c>
      <c r="F679" s="577" t="s">
        <v>123</v>
      </c>
      <c r="G679" s="577" t="s">
        <v>225</v>
      </c>
      <c r="H679" s="577" t="s">
        <v>125</v>
      </c>
      <c r="I679" s="577" t="s">
        <v>114</v>
      </c>
      <c r="J679" s="578" t="s">
        <v>24</v>
      </c>
      <c r="K679" s="578" t="s">
        <v>6623</v>
      </c>
      <c r="L679" s="578" t="s">
        <v>276</v>
      </c>
      <c r="M679" s="577" t="s">
        <v>14</v>
      </c>
      <c r="N679" s="579" t="s">
        <v>98</v>
      </c>
      <c r="O679" s="580" t="s">
        <v>207</v>
      </c>
      <c r="P679" s="581">
        <v>32417</v>
      </c>
      <c r="Q679" s="578" t="s">
        <v>6634</v>
      </c>
      <c r="R679" s="578" t="s">
        <v>276</v>
      </c>
      <c r="S679" s="578" t="s">
        <v>276</v>
      </c>
      <c r="T679" s="578">
        <v>2</v>
      </c>
      <c r="U679" s="582">
        <v>30970</v>
      </c>
      <c r="V679" s="578">
        <v>30968</v>
      </c>
      <c r="W679" s="577" t="s">
        <v>276</v>
      </c>
      <c r="X679" s="577" t="s">
        <v>276</v>
      </c>
      <c r="Y679" s="577" t="s">
        <v>276</v>
      </c>
      <c r="Z679" s="578" t="s">
        <v>1562</v>
      </c>
      <c r="AA679" s="577" t="s">
        <v>276</v>
      </c>
      <c r="AB679" s="578" t="s">
        <v>1562</v>
      </c>
      <c r="AC679" s="578" t="s">
        <v>6635</v>
      </c>
      <c r="AD679" s="578" t="s">
        <v>6506</v>
      </c>
      <c r="AE679" s="577">
        <v>37</v>
      </c>
      <c r="AF679" s="577">
        <v>51</v>
      </c>
      <c r="AG679" s="582">
        <v>30970</v>
      </c>
      <c r="AH679" s="578">
        <v>30968</v>
      </c>
      <c r="AI679" s="583" t="s">
        <v>2047</v>
      </c>
      <c r="AJ679" s="678">
        <v>1.2</v>
      </c>
      <c r="AK679" s="586">
        <f t="shared" si="83"/>
        <v>1.1947045527930256</v>
      </c>
      <c r="AL679" s="585" t="s">
        <v>276</v>
      </c>
      <c r="AM679" s="585" t="s">
        <v>276</v>
      </c>
      <c r="AN679" s="678">
        <v>1.6</v>
      </c>
      <c r="AO679" s="586">
        <f t="shared" si="84"/>
        <v>1.646861276156032</v>
      </c>
      <c r="AP679" s="585" t="s">
        <v>276</v>
      </c>
      <c r="AQ679" s="585" t="s">
        <v>276</v>
      </c>
      <c r="AR679" s="577" t="s">
        <v>268</v>
      </c>
      <c r="AS679" s="585">
        <v>0.72</v>
      </c>
      <c r="AT679" s="585">
        <f t="shared" si="82"/>
        <v>0.72544334491949836</v>
      </c>
      <c r="AU679" s="585">
        <v>0.47</v>
      </c>
      <c r="AV679" s="585">
        <v>1.1100000000000001</v>
      </c>
      <c r="AW679" s="577">
        <v>0.16</v>
      </c>
      <c r="AX679" s="577" t="s">
        <v>282</v>
      </c>
      <c r="AY679" s="577" t="s">
        <v>276</v>
      </c>
      <c r="AZ679" s="577" t="s">
        <v>276</v>
      </c>
      <c r="BA679" s="577" t="s">
        <v>276</v>
      </c>
      <c r="BB679" s="577" t="s">
        <v>276</v>
      </c>
      <c r="BC679" s="578" t="s">
        <v>6636</v>
      </c>
      <c r="BD679" s="578"/>
      <c r="BE679" s="33" t="s">
        <v>100</v>
      </c>
      <c r="BF679" s="33" t="s">
        <v>98</v>
      </c>
    </row>
    <row r="680" spans="1:58" s="679" customFormat="1" ht="78" x14ac:dyDescent="0.3">
      <c r="A680" s="577">
        <v>229</v>
      </c>
      <c r="B680" s="577" t="s">
        <v>6632</v>
      </c>
      <c r="C680" s="577" t="s">
        <v>46</v>
      </c>
      <c r="D680" s="578" t="s">
        <v>6637</v>
      </c>
      <c r="E680" s="577" t="s">
        <v>36</v>
      </c>
      <c r="F680" s="577" t="s">
        <v>123</v>
      </c>
      <c r="G680" s="577" t="s">
        <v>225</v>
      </c>
      <c r="H680" s="577" t="s">
        <v>125</v>
      </c>
      <c r="I680" s="577" t="s">
        <v>114</v>
      </c>
      <c r="J680" s="578" t="s">
        <v>23</v>
      </c>
      <c r="K680" s="578" t="s">
        <v>6623</v>
      </c>
      <c r="L680" s="578" t="s">
        <v>276</v>
      </c>
      <c r="M680" s="577" t="s">
        <v>14</v>
      </c>
      <c r="N680" s="579" t="s">
        <v>98</v>
      </c>
      <c r="O680" s="580" t="s">
        <v>207</v>
      </c>
      <c r="P680" s="581">
        <v>32417</v>
      </c>
      <c r="Q680" s="578" t="s">
        <v>6634</v>
      </c>
      <c r="R680" s="578" t="s">
        <v>276</v>
      </c>
      <c r="S680" s="578" t="s">
        <v>276</v>
      </c>
      <c r="T680" s="578">
        <v>2</v>
      </c>
      <c r="U680" s="582">
        <v>30970</v>
      </c>
      <c r="V680" s="578">
        <v>30968</v>
      </c>
      <c r="W680" s="577" t="s">
        <v>276</v>
      </c>
      <c r="X680" s="577" t="s">
        <v>276</v>
      </c>
      <c r="Y680" s="577" t="s">
        <v>98</v>
      </c>
      <c r="Z680" s="578" t="s">
        <v>98</v>
      </c>
      <c r="AA680" s="577" t="s">
        <v>98</v>
      </c>
      <c r="AB680" s="578" t="s">
        <v>98</v>
      </c>
      <c r="AC680" s="578" t="s">
        <v>6638</v>
      </c>
      <c r="AD680" s="578" t="s">
        <v>6506</v>
      </c>
      <c r="AE680" s="577">
        <v>1570</v>
      </c>
      <c r="AF680" s="577">
        <v>1593</v>
      </c>
      <c r="AG680" s="582">
        <v>30970</v>
      </c>
      <c r="AH680" s="578">
        <v>30968</v>
      </c>
      <c r="AI680" s="583" t="s">
        <v>2047</v>
      </c>
      <c r="AJ680" s="678" t="s">
        <v>276</v>
      </c>
      <c r="AK680" s="586">
        <f t="shared" si="83"/>
        <v>50.69422021310946</v>
      </c>
      <c r="AL680" s="585" t="s">
        <v>276</v>
      </c>
      <c r="AM680" s="585" t="s">
        <v>276</v>
      </c>
      <c r="AN680" s="678" t="s">
        <v>276</v>
      </c>
      <c r="AO680" s="586">
        <f t="shared" si="84"/>
        <v>51.440196331697237</v>
      </c>
      <c r="AP680" s="585" t="s">
        <v>276</v>
      </c>
      <c r="AQ680" s="585" t="s">
        <v>276</v>
      </c>
      <c r="AR680" s="577" t="s">
        <v>268</v>
      </c>
      <c r="AS680" s="585" t="s">
        <v>276</v>
      </c>
      <c r="AT680" s="585">
        <f t="shared" si="82"/>
        <v>0.98549818679194834</v>
      </c>
      <c r="AU680" s="585" t="s">
        <v>276</v>
      </c>
      <c r="AV680" s="585" t="s">
        <v>276</v>
      </c>
      <c r="AW680" s="577" t="s">
        <v>276</v>
      </c>
      <c r="AX680" s="577" t="s">
        <v>282</v>
      </c>
      <c r="AY680" s="577" t="s">
        <v>276</v>
      </c>
      <c r="AZ680" s="577" t="s">
        <v>276</v>
      </c>
      <c r="BA680" s="577" t="s">
        <v>276</v>
      </c>
      <c r="BB680" s="577" t="s">
        <v>276</v>
      </c>
      <c r="BC680" s="578" t="s">
        <v>6636</v>
      </c>
      <c r="BD680" s="578"/>
      <c r="BE680" s="33" t="s">
        <v>100</v>
      </c>
      <c r="BF680" s="33" t="s">
        <v>98</v>
      </c>
    </row>
    <row r="681" spans="1:58" s="689" customFormat="1" ht="78" x14ac:dyDescent="0.3">
      <c r="A681" s="680">
        <v>228</v>
      </c>
      <c r="B681" s="680" t="s">
        <v>6639</v>
      </c>
      <c r="C681" s="680" t="s">
        <v>46</v>
      </c>
      <c r="D681" s="681" t="s">
        <v>6640</v>
      </c>
      <c r="E681" s="680" t="s">
        <v>36</v>
      </c>
      <c r="F681" s="680" t="s">
        <v>123</v>
      </c>
      <c r="G681" s="680" t="s">
        <v>225</v>
      </c>
      <c r="H681" s="680" t="s">
        <v>125</v>
      </c>
      <c r="I681" s="680" t="s">
        <v>114</v>
      </c>
      <c r="J681" s="681" t="s">
        <v>24</v>
      </c>
      <c r="K681" s="681" t="s">
        <v>6641</v>
      </c>
      <c r="L681" s="681" t="s">
        <v>276</v>
      </c>
      <c r="M681" s="680" t="s">
        <v>14</v>
      </c>
      <c r="N681" s="682" t="s">
        <v>98</v>
      </c>
      <c r="O681" s="683" t="s">
        <v>207</v>
      </c>
      <c r="P681" s="684">
        <v>1990</v>
      </c>
      <c r="Q681" s="681" t="s">
        <v>2977</v>
      </c>
      <c r="R681" s="681" t="s">
        <v>276</v>
      </c>
      <c r="S681" s="681" t="s">
        <v>276</v>
      </c>
      <c r="T681" s="681">
        <v>3</v>
      </c>
      <c r="U681" s="685">
        <v>30970</v>
      </c>
      <c r="V681" s="681">
        <v>30968</v>
      </c>
      <c r="W681" s="680" t="s">
        <v>276</v>
      </c>
      <c r="X681" s="680" t="s">
        <v>276</v>
      </c>
      <c r="Y681" s="680">
        <v>0</v>
      </c>
      <c r="Z681" s="681" t="s">
        <v>11334</v>
      </c>
      <c r="AA681" s="680">
        <v>0</v>
      </c>
      <c r="AB681" s="681" t="s">
        <v>11334</v>
      </c>
      <c r="AC681" s="681" t="s">
        <v>6642</v>
      </c>
      <c r="AD681" s="681" t="s">
        <v>6506</v>
      </c>
      <c r="AE681" s="680">
        <v>74</v>
      </c>
      <c r="AF681" s="680">
        <v>91</v>
      </c>
      <c r="AG681" s="685">
        <v>30970</v>
      </c>
      <c r="AH681" s="681">
        <v>30968</v>
      </c>
      <c r="AI681" s="686" t="s">
        <v>2047</v>
      </c>
      <c r="AJ681" s="687" t="s">
        <v>276</v>
      </c>
      <c r="AK681" s="688">
        <f t="shared" si="83"/>
        <v>2.3894091055860511</v>
      </c>
      <c r="AL681" s="687" t="s">
        <v>276</v>
      </c>
      <c r="AM681" s="687" t="s">
        <v>276</v>
      </c>
      <c r="AN681" s="687" t="s">
        <v>276</v>
      </c>
      <c r="AO681" s="688">
        <f t="shared" si="84"/>
        <v>2.9385171790235081</v>
      </c>
      <c r="AP681" s="687" t="s">
        <v>276</v>
      </c>
      <c r="AQ681" s="687" t="s">
        <v>276</v>
      </c>
      <c r="AR681" s="680" t="s">
        <v>268</v>
      </c>
      <c r="AS681" s="687" t="s">
        <v>276</v>
      </c>
      <c r="AT681" s="687">
        <f t="shared" si="82"/>
        <v>0.8131342987009762</v>
      </c>
      <c r="AU681" s="687" t="s">
        <v>276</v>
      </c>
      <c r="AV681" s="687" t="s">
        <v>276</v>
      </c>
      <c r="AW681" s="680">
        <v>0.24</v>
      </c>
      <c r="AX681" s="680" t="s">
        <v>282</v>
      </c>
      <c r="AY681" s="680" t="s">
        <v>276</v>
      </c>
      <c r="AZ681" s="680" t="s">
        <v>276</v>
      </c>
      <c r="BA681" s="680" t="s">
        <v>276</v>
      </c>
      <c r="BB681" s="680" t="s">
        <v>276</v>
      </c>
      <c r="BC681" s="681" t="s">
        <v>6643</v>
      </c>
      <c r="BD681" s="681" t="s">
        <v>6644</v>
      </c>
      <c r="BE681" s="33" t="s">
        <v>100</v>
      </c>
      <c r="BF681" s="33" t="s">
        <v>98</v>
      </c>
    </row>
    <row r="682" spans="1:58" s="689" customFormat="1" ht="78" x14ac:dyDescent="0.3">
      <c r="A682" s="680">
        <v>228</v>
      </c>
      <c r="B682" s="680" t="s">
        <v>6639</v>
      </c>
      <c r="C682" s="680" t="s">
        <v>46</v>
      </c>
      <c r="D682" s="681" t="s">
        <v>6645</v>
      </c>
      <c r="E682" s="680" t="s">
        <v>36</v>
      </c>
      <c r="F682" s="680" t="s">
        <v>123</v>
      </c>
      <c r="G682" s="680" t="s">
        <v>225</v>
      </c>
      <c r="H682" s="680" t="s">
        <v>125</v>
      </c>
      <c r="I682" s="680" t="s">
        <v>114</v>
      </c>
      <c r="J682" s="681" t="s">
        <v>24</v>
      </c>
      <c r="K682" s="681" t="s">
        <v>6641</v>
      </c>
      <c r="L682" s="681" t="s">
        <v>276</v>
      </c>
      <c r="M682" s="680" t="s">
        <v>14</v>
      </c>
      <c r="N682" s="682" t="s">
        <v>98</v>
      </c>
      <c r="O682" s="683" t="s">
        <v>207</v>
      </c>
      <c r="P682" s="684">
        <v>1990</v>
      </c>
      <c r="Q682" s="681" t="s">
        <v>2977</v>
      </c>
      <c r="R682" s="681" t="s">
        <v>276</v>
      </c>
      <c r="S682" s="681" t="s">
        <v>276</v>
      </c>
      <c r="T682" s="681">
        <v>3</v>
      </c>
      <c r="U682" s="685">
        <v>30970</v>
      </c>
      <c r="V682" s="681">
        <v>30968</v>
      </c>
      <c r="W682" s="680" t="s">
        <v>276</v>
      </c>
      <c r="X682" s="680" t="s">
        <v>276</v>
      </c>
      <c r="Y682" s="680">
        <v>0</v>
      </c>
      <c r="Z682" s="681" t="s">
        <v>11334</v>
      </c>
      <c r="AA682" s="680">
        <v>0</v>
      </c>
      <c r="AB682" s="681" t="s">
        <v>11334</v>
      </c>
      <c r="AC682" s="780" t="s">
        <v>6648</v>
      </c>
      <c r="AD682" s="681" t="s">
        <v>6506</v>
      </c>
      <c r="AE682" s="680">
        <v>93</v>
      </c>
      <c r="AF682" s="680">
        <v>103</v>
      </c>
      <c r="AG682" s="685">
        <v>30970</v>
      </c>
      <c r="AH682" s="681">
        <v>30968</v>
      </c>
      <c r="AI682" s="686" t="s">
        <v>2047</v>
      </c>
      <c r="AJ682" s="687" t="s">
        <v>276</v>
      </c>
      <c r="AK682" s="688">
        <f t="shared" si="83"/>
        <v>3.0029060381013886</v>
      </c>
      <c r="AL682" s="687" t="s">
        <v>276</v>
      </c>
      <c r="AM682" s="687" t="s">
        <v>276</v>
      </c>
      <c r="AN682" s="687" t="s">
        <v>276</v>
      </c>
      <c r="AO682" s="688">
        <f t="shared" si="84"/>
        <v>3.3260139498837509</v>
      </c>
      <c r="AP682" s="687" t="s">
        <v>276</v>
      </c>
      <c r="AQ682" s="687" t="s">
        <v>276</v>
      </c>
      <c r="AR682" s="680" t="s">
        <v>268</v>
      </c>
      <c r="AS682" s="687" t="s">
        <v>276</v>
      </c>
      <c r="AT682" s="687">
        <f t="shared" si="82"/>
        <v>0.90285431250411463</v>
      </c>
      <c r="AU682" s="687" t="s">
        <v>276</v>
      </c>
      <c r="AV682" s="687" t="s">
        <v>276</v>
      </c>
      <c r="AW682" s="680" t="s">
        <v>276</v>
      </c>
      <c r="AX682" s="680" t="s">
        <v>282</v>
      </c>
      <c r="AY682" s="680" t="s">
        <v>276</v>
      </c>
      <c r="AZ682" s="680" t="s">
        <v>276</v>
      </c>
      <c r="BA682" s="680" t="s">
        <v>276</v>
      </c>
      <c r="BB682" s="680" t="s">
        <v>276</v>
      </c>
      <c r="BC682" s="681" t="s">
        <v>4694</v>
      </c>
      <c r="BD682" s="681" t="s">
        <v>6644</v>
      </c>
      <c r="BE682" s="33" t="s">
        <v>100</v>
      </c>
      <c r="BF682" s="33" t="s">
        <v>98</v>
      </c>
    </row>
    <row r="683" spans="1:58" s="689" customFormat="1" ht="78" x14ac:dyDescent="0.3">
      <c r="A683" s="680">
        <v>228</v>
      </c>
      <c r="B683" s="680" t="s">
        <v>6639</v>
      </c>
      <c r="C683" s="680" t="s">
        <v>46</v>
      </c>
      <c r="D683" s="681" t="s">
        <v>6647</v>
      </c>
      <c r="E683" s="680" t="s">
        <v>36</v>
      </c>
      <c r="F683" s="680" t="s">
        <v>123</v>
      </c>
      <c r="G683" s="680" t="s">
        <v>225</v>
      </c>
      <c r="H683" s="680" t="s">
        <v>125</v>
      </c>
      <c r="I683" s="680" t="s">
        <v>114</v>
      </c>
      <c r="J683" s="681" t="s">
        <v>24</v>
      </c>
      <c r="K683" s="681" t="s">
        <v>6641</v>
      </c>
      <c r="L683" s="681" t="s">
        <v>276</v>
      </c>
      <c r="M683" s="680" t="s">
        <v>14</v>
      </c>
      <c r="N683" s="682" t="s">
        <v>98</v>
      </c>
      <c r="O683" s="683" t="s">
        <v>207</v>
      </c>
      <c r="P683" s="684">
        <v>1990</v>
      </c>
      <c r="Q683" s="681" t="s">
        <v>2977</v>
      </c>
      <c r="R683" s="681" t="s">
        <v>276</v>
      </c>
      <c r="S683" s="681" t="s">
        <v>276</v>
      </c>
      <c r="T683" s="681">
        <v>3</v>
      </c>
      <c r="U683" s="685">
        <v>30970</v>
      </c>
      <c r="V683" s="681">
        <v>30968</v>
      </c>
      <c r="W683" s="680" t="s">
        <v>276</v>
      </c>
      <c r="X683" s="680" t="s">
        <v>276</v>
      </c>
      <c r="Y683" s="680">
        <v>0</v>
      </c>
      <c r="Z683" s="681" t="s">
        <v>11334</v>
      </c>
      <c r="AA683" s="680">
        <v>0</v>
      </c>
      <c r="AB683" s="681" t="s">
        <v>11334</v>
      </c>
      <c r="AC683" s="780" t="s">
        <v>6646</v>
      </c>
      <c r="AD683" s="681" t="s">
        <v>6506</v>
      </c>
      <c r="AE683" s="680">
        <v>101</v>
      </c>
      <c r="AF683" s="680">
        <v>106</v>
      </c>
      <c r="AG683" s="685">
        <v>30970</v>
      </c>
      <c r="AH683" s="681">
        <v>30968</v>
      </c>
      <c r="AI683" s="686" t="s">
        <v>2047</v>
      </c>
      <c r="AJ683" s="687" t="s">
        <v>276</v>
      </c>
      <c r="AK683" s="688">
        <f t="shared" si="83"/>
        <v>3.261220536002583</v>
      </c>
      <c r="AL683" s="687" t="s">
        <v>276</v>
      </c>
      <c r="AM683" s="687" t="s">
        <v>276</v>
      </c>
      <c r="AN683" s="687" t="s">
        <v>276</v>
      </c>
      <c r="AO683" s="688">
        <f t="shared" si="84"/>
        <v>3.4228881425988118</v>
      </c>
      <c r="AP683" s="687" t="s">
        <v>276</v>
      </c>
      <c r="AQ683" s="687" t="s">
        <v>276</v>
      </c>
      <c r="AR683" s="680" t="s">
        <v>268</v>
      </c>
      <c r="AS683" s="687" t="s">
        <v>276</v>
      </c>
      <c r="AT683" s="687">
        <f t="shared" si="82"/>
        <v>0.9527686562163018</v>
      </c>
      <c r="AU683" s="687" t="s">
        <v>276</v>
      </c>
      <c r="AV683" s="687" t="s">
        <v>276</v>
      </c>
      <c r="AW683" s="680" t="s">
        <v>276</v>
      </c>
      <c r="AX683" s="680" t="s">
        <v>282</v>
      </c>
      <c r="AY683" s="680" t="s">
        <v>276</v>
      </c>
      <c r="AZ683" s="680" t="s">
        <v>276</v>
      </c>
      <c r="BA683" s="680" t="s">
        <v>276</v>
      </c>
      <c r="BB683" s="680" t="s">
        <v>276</v>
      </c>
      <c r="BC683" s="681" t="s">
        <v>4694</v>
      </c>
      <c r="BD683" s="681" t="s">
        <v>6644</v>
      </c>
      <c r="BE683" s="33" t="s">
        <v>100</v>
      </c>
      <c r="BF683" s="33" t="s">
        <v>98</v>
      </c>
    </row>
    <row r="684" spans="1:58" s="689" customFormat="1" ht="78" x14ac:dyDescent="0.3">
      <c r="A684" s="680">
        <v>228</v>
      </c>
      <c r="B684" s="680" t="s">
        <v>6639</v>
      </c>
      <c r="C684" s="680" t="s">
        <v>46</v>
      </c>
      <c r="D684" s="681" t="s">
        <v>6649</v>
      </c>
      <c r="E684" s="680" t="s">
        <v>36</v>
      </c>
      <c r="F684" s="680" t="s">
        <v>123</v>
      </c>
      <c r="G684" s="680" t="s">
        <v>225</v>
      </c>
      <c r="H684" s="680" t="s">
        <v>125</v>
      </c>
      <c r="I684" s="680" t="s">
        <v>114</v>
      </c>
      <c r="J684" s="681" t="s">
        <v>23</v>
      </c>
      <c r="K684" s="681" t="s">
        <v>6641</v>
      </c>
      <c r="L684" s="681" t="s">
        <v>276</v>
      </c>
      <c r="M684" s="680" t="s">
        <v>14</v>
      </c>
      <c r="N684" s="682" t="s">
        <v>98</v>
      </c>
      <c r="O684" s="683" t="s">
        <v>207</v>
      </c>
      <c r="P684" s="684">
        <v>1990</v>
      </c>
      <c r="Q684" s="681" t="s">
        <v>2977</v>
      </c>
      <c r="R684" s="681" t="s">
        <v>276</v>
      </c>
      <c r="S684" s="681" t="s">
        <v>276</v>
      </c>
      <c r="T684" s="681">
        <v>3</v>
      </c>
      <c r="U684" s="685">
        <v>30970</v>
      </c>
      <c r="V684" s="681">
        <v>30968</v>
      </c>
      <c r="W684" s="680" t="s">
        <v>276</v>
      </c>
      <c r="X684" s="680" t="s">
        <v>276</v>
      </c>
      <c r="Y684" s="680" t="s">
        <v>98</v>
      </c>
      <c r="Z684" s="681" t="s">
        <v>98</v>
      </c>
      <c r="AA684" s="680" t="s">
        <v>98</v>
      </c>
      <c r="AB684" s="681" t="s">
        <v>98</v>
      </c>
      <c r="AC684" s="681" t="s">
        <v>6650</v>
      </c>
      <c r="AD684" s="681" t="s">
        <v>6506</v>
      </c>
      <c r="AE684" s="680">
        <v>2669</v>
      </c>
      <c r="AF684" s="680">
        <v>2775</v>
      </c>
      <c r="AG684" s="685">
        <v>30970</v>
      </c>
      <c r="AH684" s="681">
        <v>30968</v>
      </c>
      <c r="AI684" s="686" t="s">
        <v>2047</v>
      </c>
      <c r="AJ684" s="687" t="s">
        <v>276</v>
      </c>
      <c r="AK684" s="688">
        <f t="shared" si="83"/>
        <v>86.180174362286081</v>
      </c>
      <c r="AL684" s="687" t="s">
        <v>276</v>
      </c>
      <c r="AM684" s="687" t="s">
        <v>276</v>
      </c>
      <c r="AN684" s="687" t="s">
        <v>276</v>
      </c>
      <c r="AO684" s="688">
        <f t="shared" si="84"/>
        <v>89.60862826143115</v>
      </c>
      <c r="AP684" s="687" t="s">
        <v>276</v>
      </c>
      <c r="AQ684" s="687" t="s">
        <v>276</v>
      </c>
      <c r="AR684" s="680" t="s">
        <v>268</v>
      </c>
      <c r="AS684" s="687" t="s">
        <v>276</v>
      </c>
      <c r="AT684" s="687">
        <f t="shared" si="82"/>
        <v>0.96173968996442361</v>
      </c>
      <c r="AU684" s="687" t="s">
        <v>276</v>
      </c>
      <c r="AV684" s="687" t="s">
        <v>276</v>
      </c>
      <c r="AW684" s="680" t="s">
        <v>276</v>
      </c>
      <c r="AX684" s="680" t="s">
        <v>282</v>
      </c>
      <c r="AY684" s="680" t="s">
        <v>276</v>
      </c>
      <c r="AZ684" s="680" t="s">
        <v>276</v>
      </c>
      <c r="BA684" s="680" t="s">
        <v>276</v>
      </c>
      <c r="BB684" s="680" t="s">
        <v>276</v>
      </c>
      <c r="BC684" s="681" t="s">
        <v>4694</v>
      </c>
      <c r="BD684" s="681"/>
      <c r="BE684" s="33" t="s">
        <v>100</v>
      </c>
      <c r="BF684" s="33" t="s">
        <v>98</v>
      </c>
    </row>
    <row r="685" spans="1:58" s="694" customFormat="1" ht="52" x14ac:dyDescent="0.3">
      <c r="A685" s="655">
        <v>226</v>
      </c>
      <c r="B685" s="655" t="s">
        <v>6651</v>
      </c>
      <c r="C685" s="655" t="s">
        <v>46</v>
      </c>
      <c r="D685" s="656" t="s">
        <v>6652</v>
      </c>
      <c r="E685" s="655" t="s">
        <v>36</v>
      </c>
      <c r="F685" s="655" t="s">
        <v>123</v>
      </c>
      <c r="G685" s="655" t="s">
        <v>225</v>
      </c>
      <c r="H685" s="655" t="s">
        <v>125</v>
      </c>
      <c r="I685" s="655" t="s">
        <v>114</v>
      </c>
      <c r="J685" s="656" t="s">
        <v>23</v>
      </c>
      <c r="K685" s="656" t="s">
        <v>6653</v>
      </c>
      <c r="L685" s="656" t="s">
        <v>276</v>
      </c>
      <c r="M685" s="655" t="s">
        <v>14</v>
      </c>
      <c r="N685" s="690" t="s">
        <v>98</v>
      </c>
      <c r="O685" s="691" t="s">
        <v>207</v>
      </c>
      <c r="P685" s="692" t="s">
        <v>6654</v>
      </c>
      <c r="Q685" s="656" t="s">
        <v>1702</v>
      </c>
      <c r="R685" s="656" t="s">
        <v>6655</v>
      </c>
      <c r="S685" s="656" t="s">
        <v>6656</v>
      </c>
      <c r="T685" s="656">
        <v>5</v>
      </c>
      <c r="U685" s="658">
        <v>30967</v>
      </c>
      <c r="V685" s="659">
        <v>30966</v>
      </c>
      <c r="W685" s="655" t="s">
        <v>276</v>
      </c>
      <c r="X685" s="655" t="s">
        <v>276</v>
      </c>
      <c r="Y685" s="655">
        <v>464</v>
      </c>
      <c r="Z685" s="656" t="s">
        <v>1562</v>
      </c>
      <c r="AA685" s="655">
        <v>488</v>
      </c>
      <c r="AB685" s="656" t="s">
        <v>1562</v>
      </c>
      <c r="AC685" s="656" t="s">
        <v>6657</v>
      </c>
      <c r="AD685" s="656" t="s">
        <v>6658</v>
      </c>
      <c r="AE685" s="655">
        <v>6228</v>
      </c>
      <c r="AF685" s="655">
        <v>6303</v>
      </c>
      <c r="AG685" s="658">
        <v>281883</v>
      </c>
      <c r="AH685" s="658">
        <v>281328</v>
      </c>
      <c r="AI685" s="659" t="s">
        <v>425</v>
      </c>
      <c r="AJ685" s="660">
        <v>22.09</v>
      </c>
      <c r="AK685" s="693">
        <f t="shared" si="83"/>
        <v>22.094273155883823</v>
      </c>
      <c r="AL685" s="660" t="s">
        <v>276</v>
      </c>
      <c r="AM685" s="660" t="s">
        <v>276</v>
      </c>
      <c r="AN685" s="660">
        <v>22.4</v>
      </c>
      <c r="AO685" s="693">
        <f t="shared" si="84"/>
        <v>22.404453164988908</v>
      </c>
      <c r="AP685" s="660" t="s">
        <v>276</v>
      </c>
      <c r="AQ685" s="660" t="s">
        <v>276</v>
      </c>
      <c r="AR685" s="655" t="s">
        <v>269</v>
      </c>
      <c r="AS685" s="660">
        <v>0.99</v>
      </c>
      <c r="AT685" s="660">
        <f t="shared" si="82"/>
        <v>0.98615543049317544</v>
      </c>
      <c r="AU685" s="660">
        <v>0.95</v>
      </c>
      <c r="AV685" s="660">
        <v>1.02</v>
      </c>
      <c r="AW685" s="655" t="s">
        <v>691</v>
      </c>
      <c r="AX685" s="655" t="s">
        <v>282</v>
      </c>
      <c r="AY685" s="655" t="s">
        <v>276</v>
      </c>
      <c r="AZ685" s="655" t="s">
        <v>276</v>
      </c>
      <c r="BA685" s="655" t="s">
        <v>276</v>
      </c>
      <c r="BB685" s="655" t="s">
        <v>276</v>
      </c>
      <c r="BC685" s="656" t="s">
        <v>6659</v>
      </c>
      <c r="BD685" s="656"/>
      <c r="BE685" s="33" t="s">
        <v>100</v>
      </c>
      <c r="BF685" s="33" t="s">
        <v>98</v>
      </c>
    </row>
    <row r="686" spans="1:58" s="694" customFormat="1" ht="52" x14ac:dyDescent="0.3">
      <c r="A686" s="655">
        <v>226</v>
      </c>
      <c r="B686" s="655" t="s">
        <v>6651</v>
      </c>
      <c r="C686" s="655" t="s">
        <v>46</v>
      </c>
      <c r="D686" s="656" t="s">
        <v>6660</v>
      </c>
      <c r="E686" s="655" t="s">
        <v>36</v>
      </c>
      <c r="F686" s="655" t="s">
        <v>123</v>
      </c>
      <c r="G686" s="655" t="s">
        <v>225</v>
      </c>
      <c r="H686" s="655" t="s">
        <v>125</v>
      </c>
      <c r="I686" s="655" t="s">
        <v>114</v>
      </c>
      <c r="J686" s="656" t="s">
        <v>24</v>
      </c>
      <c r="K686" s="656" t="s">
        <v>6653</v>
      </c>
      <c r="L686" s="656" t="s">
        <v>276</v>
      </c>
      <c r="M686" s="655" t="s">
        <v>14</v>
      </c>
      <c r="N686" s="690" t="s">
        <v>98</v>
      </c>
      <c r="O686" s="691" t="s">
        <v>207</v>
      </c>
      <c r="P686" s="692" t="s">
        <v>6654</v>
      </c>
      <c r="Q686" s="656" t="s">
        <v>1702</v>
      </c>
      <c r="R686" s="656" t="s">
        <v>6655</v>
      </c>
      <c r="S686" s="656" t="s">
        <v>6656</v>
      </c>
      <c r="T686" s="656">
        <v>5</v>
      </c>
      <c r="U686" s="658">
        <v>30967</v>
      </c>
      <c r="V686" s="659">
        <v>30966</v>
      </c>
      <c r="W686" s="655" t="s">
        <v>276</v>
      </c>
      <c r="X686" s="655" t="s">
        <v>276</v>
      </c>
      <c r="Y686" s="655">
        <v>464</v>
      </c>
      <c r="Z686" s="656" t="s">
        <v>1562</v>
      </c>
      <c r="AA686" s="655">
        <v>488</v>
      </c>
      <c r="AB686" s="656" t="s">
        <v>1562</v>
      </c>
      <c r="AC686" s="656" t="s">
        <v>6661</v>
      </c>
      <c r="AD686" s="656" t="s">
        <v>6658</v>
      </c>
      <c r="AE686" s="655">
        <v>182</v>
      </c>
      <c r="AF686" s="655">
        <v>230</v>
      </c>
      <c r="AG686" s="658">
        <v>281883</v>
      </c>
      <c r="AH686" s="658">
        <v>281328</v>
      </c>
      <c r="AI686" s="659" t="s">
        <v>425</v>
      </c>
      <c r="AJ686" s="660">
        <v>0.65</v>
      </c>
      <c r="AK686" s="693">
        <f t="shared" si="83"/>
        <v>0.64565795028433781</v>
      </c>
      <c r="AL686" s="660" t="s">
        <v>276</v>
      </c>
      <c r="AM686" s="660" t="s">
        <v>276</v>
      </c>
      <c r="AN686" s="660">
        <v>0.82</v>
      </c>
      <c r="AO686" s="693">
        <f t="shared" si="84"/>
        <v>0.81755104362168007</v>
      </c>
      <c r="AP686" s="660" t="s">
        <v>276</v>
      </c>
      <c r="AQ686" s="660" t="s">
        <v>276</v>
      </c>
      <c r="AR686" s="655" t="s">
        <v>269</v>
      </c>
      <c r="AS686" s="660">
        <v>0.79</v>
      </c>
      <c r="AT686" s="660">
        <f t="shared" si="82"/>
        <v>0.78974634711996594</v>
      </c>
      <c r="AU686" s="660">
        <v>0.65</v>
      </c>
      <c r="AV686" s="660">
        <v>0.96</v>
      </c>
      <c r="AW686" s="655" t="s">
        <v>844</v>
      </c>
      <c r="AX686" s="655" t="s">
        <v>282</v>
      </c>
      <c r="AY686" s="655" t="s">
        <v>276</v>
      </c>
      <c r="AZ686" s="655" t="s">
        <v>276</v>
      </c>
      <c r="BA686" s="655" t="s">
        <v>276</v>
      </c>
      <c r="BB686" s="655" t="s">
        <v>276</v>
      </c>
      <c r="BC686" s="656" t="s">
        <v>6662</v>
      </c>
      <c r="BD686" s="656"/>
      <c r="BE686" s="33" t="s">
        <v>100</v>
      </c>
      <c r="BF686" s="33" t="s">
        <v>98</v>
      </c>
    </row>
    <row r="687" spans="1:58" s="694" customFormat="1" ht="65" x14ac:dyDescent="0.3">
      <c r="A687" s="655">
        <v>226</v>
      </c>
      <c r="B687" s="655" t="s">
        <v>6651</v>
      </c>
      <c r="C687" s="655" t="s">
        <v>46</v>
      </c>
      <c r="D687" s="656" t="s">
        <v>6663</v>
      </c>
      <c r="E687" s="655" t="s">
        <v>36</v>
      </c>
      <c r="F687" s="655" t="s">
        <v>123</v>
      </c>
      <c r="G687" s="655" t="s">
        <v>225</v>
      </c>
      <c r="H687" s="655" t="s">
        <v>125</v>
      </c>
      <c r="I687" s="655" t="s">
        <v>114</v>
      </c>
      <c r="J687" s="656" t="s">
        <v>24</v>
      </c>
      <c r="K687" s="656" t="s">
        <v>6653</v>
      </c>
      <c r="L687" s="656" t="s">
        <v>276</v>
      </c>
      <c r="M687" s="655" t="s">
        <v>14</v>
      </c>
      <c r="N687" s="690" t="s">
        <v>98</v>
      </c>
      <c r="O687" s="691" t="s">
        <v>207</v>
      </c>
      <c r="P687" s="692" t="s">
        <v>6654</v>
      </c>
      <c r="Q687" s="656" t="s">
        <v>1702</v>
      </c>
      <c r="R687" s="656" t="s">
        <v>6655</v>
      </c>
      <c r="S687" s="656" t="s">
        <v>6656</v>
      </c>
      <c r="T687" s="656">
        <v>5</v>
      </c>
      <c r="U687" s="658">
        <v>30967</v>
      </c>
      <c r="V687" s="659">
        <v>30966</v>
      </c>
      <c r="W687" s="655" t="s">
        <v>276</v>
      </c>
      <c r="X687" s="655" t="s">
        <v>276</v>
      </c>
      <c r="Y687" s="655">
        <v>464</v>
      </c>
      <c r="Z687" s="656" t="s">
        <v>1562</v>
      </c>
      <c r="AA687" s="655">
        <v>488</v>
      </c>
      <c r="AB687" s="656" t="s">
        <v>1562</v>
      </c>
      <c r="AC687" s="656" t="s">
        <v>6664</v>
      </c>
      <c r="AD687" s="656" t="s">
        <v>6658</v>
      </c>
      <c r="AE687" s="655">
        <v>205</v>
      </c>
      <c r="AF687" s="655">
        <v>249</v>
      </c>
      <c r="AG687" s="658">
        <v>281883</v>
      </c>
      <c r="AH687" s="658">
        <v>281328</v>
      </c>
      <c r="AI687" s="659" t="s">
        <v>425</v>
      </c>
      <c r="AJ687" s="660">
        <v>0.73</v>
      </c>
      <c r="AK687" s="693">
        <f t="shared" si="83"/>
        <v>0.72725208685873222</v>
      </c>
      <c r="AL687" s="660" t="s">
        <v>276</v>
      </c>
      <c r="AM687" s="660" t="s">
        <v>276</v>
      </c>
      <c r="AN687" s="660">
        <v>0.89</v>
      </c>
      <c r="AO687" s="693">
        <f t="shared" si="84"/>
        <v>0.88508786896434055</v>
      </c>
      <c r="AP687" s="660" t="s">
        <v>276</v>
      </c>
      <c r="AQ687" s="660" t="s">
        <v>276</v>
      </c>
      <c r="AR687" s="655" t="s">
        <v>269</v>
      </c>
      <c r="AS687" s="660">
        <v>0.82</v>
      </c>
      <c r="AT687" s="660">
        <f t="shared" si="82"/>
        <v>0.82167218912366835</v>
      </c>
      <c r="AU687" s="660">
        <v>0.68</v>
      </c>
      <c r="AV687" s="660">
        <v>0.99</v>
      </c>
      <c r="AW687" s="655" t="s">
        <v>844</v>
      </c>
      <c r="AX687" s="655" t="s">
        <v>282</v>
      </c>
      <c r="AY687" s="655" t="s">
        <v>276</v>
      </c>
      <c r="AZ687" s="655" t="s">
        <v>276</v>
      </c>
      <c r="BA687" s="655" t="s">
        <v>276</v>
      </c>
      <c r="BB687" s="655" t="s">
        <v>276</v>
      </c>
      <c r="BC687" s="656" t="s">
        <v>6665</v>
      </c>
      <c r="BD687" s="656"/>
      <c r="BE687" s="33" t="s">
        <v>99</v>
      </c>
      <c r="BF687" s="33" t="s">
        <v>11162</v>
      </c>
    </row>
    <row r="688" spans="1:58" s="677" customFormat="1" ht="52" x14ac:dyDescent="0.3">
      <c r="A688" s="545">
        <v>234</v>
      </c>
      <c r="B688" s="545" t="s">
        <v>6666</v>
      </c>
      <c r="C688" s="545" t="s">
        <v>46</v>
      </c>
      <c r="D688" s="546" t="s">
        <v>6667</v>
      </c>
      <c r="E688" s="545" t="s">
        <v>36</v>
      </c>
      <c r="F688" s="545" t="s">
        <v>123</v>
      </c>
      <c r="G688" s="545" t="s">
        <v>225</v>
      </c>
      <c r="H688" s="545" t="s">
        <v>125</v>
      </c>
      <c r="I688" s="545" t="s">
        <v>114</v>
      </c>
      <c r="J688" s="546" t="s">
        <v>23</v>
      </c>
      <c r="K688" s="546" t="s">
        <v>6668</v>
      </c>
      <c r="L688" s="546" t="s">
        <v>6669</v>
      </c>
      <c r="M688" s="545" t="s">
        <v>14</v>
      </c>
      <c r="N688" s="547" t="s">
        <v>98</v>
      </c>
      <c r="O688" s="548" t="s">
        <v>207</v>
      </c>
      <c r="P688" s="616" t="s">
        <v>6670</v>
      </c>
      <c r="Q688" s="546" t="s">
        <v>6671</v>
      </c>
      <c r="R688" s="546" t="s">
        <v>6672</v>
      </c>
      <c r="S688" s="546" t="s">
        <v>6673</v>
      </c>
      <c r="T688" s="546">
        <v>7</v>
      </c>
      <c r="U688" s="550">
        <v>30967</v>
      </c>
      <c r="V688" s="551">
        <v>30966</v>
      </c>
      <c r="W688" s="545" t="s">
        <v>276</v>
      </c>
      <c r="X688" s="545" t="s">
        <v>276</v>
      </c>
      <c r="Y688" s="545" t="s">
        <v>98</v>
      </c>
      <c r="Z688" s="546" t="s">
        <v>98</v>
      </c>
      <c r="AA688" s="545" t="s">
        <v>98</v>
      </c>
      <c r="AB688" s="546" t="s">
        <v>98</v>
      </c>
      <c r="AC688" s="546" t="s">
        <v>6674</v>
      </c>
      <c r="AD688" s="546" t="s">
        <v>6675</v>
      </c>
      <c r="AE688" s="545">
        <v>8732</v>
      </c>
      <c r="AF688" s="545">
        <v>8724</v>
      </c>
      <c r="AG688" s="550">
        <v>352343</v>
      </c>
      <c r="AH688" s="550">
        <v>351670</v>
      </c>
      <c r="AI688" s="551" t="s">
        <v>425</v>
      </c>
      <c r="AJ688" s="553">
        <v>24.78</v>
      </c>
      <c r="AK688" s="554">
        <f t="shared" si="83"/>
        <v>24.782669160448766</v>
      </c>
      <c r="AL688" s="553" t="s">
        <v>276</v>
      </c>
      <c r="AM688" s="553" t="s">
        <v>276</v>
      </c>
      <c r="AN688" s="553">
        <v>24.8</v>
      </c>
      <c r="AO688" s="554">
        <f t="shared" si="84"/>
        <v>24.807347797651207</v>
      </c>
      <c r="AP688" s="553" t="s">
        <v>276</v>
      </c>
      <c r="AQ688" s="553" t="s">
        <v>276</v>
      </c>
      <c r="AR688" s="545" t="s">
        <v>269</v>
      </c>
      <c r="AS688" s="553">
        <v>1</v>
      </c>
      <c r="AT688" s="553">
        <f t="shared" si="82"/>
        <v>0.99900518840612307</v>
      </c>
      <c r="AU688" s="553">
        <v>1</v>
      </c>
      <c r="AV688" s="553">
        <v>1</v>
      </c>
      <c r="AW688" s="545" t="s">
        <v>276</v>
      </c>
      <c r="AX688" s="545" t="s">
        <v>282</v>
      </c>
      <c r="AY688" s="545" t="s">
        <v>276</v>
      </c>
      <c r="AZ688" s="545" t="s">
        <v>276</v>
      </c>
      <c r="BA688" s="545" t="s">
        <v>276</v>
      </c>
      <c r="BB688" s="545" t="s">
        <v>276</v>
      </c>
      <c r="BC688" s="546" t="s">
        <v>6676</v>
      </c>
      <c r="BD688" s="546"/>
      <c r="BE688" s="33" t="s">
        <v>100</v>
      </c>
      <c r="BF688" s="33" t="s">
        <v>98</v>
      </c>
    </row>
    <row r="689" spans="1:58" s="677" customFormat="1" ht="52" x14ac:dyDescent="0.3">
      <c r="A689" s="545">
        <v>234</v>
      </c>
      <c r="B689" s="545" t="s">
        <v>6666</v>
      </c>
      <c r="C689" s="545" t="s">
        <v>46</v>
      </c>
      <c r="D689" s="546" t="s">
        <v>6677</v>
      </c>
      <c r="E689" s="545" t="s">
        <v>36</v>
      </c>
      <c r="F689" s="545" t="s">
        <v>123</v>
      </c>
      <c r="G689" s="545" t="s">
        <v>225</v>
      </c>
      <c r="H689" s="545" t="s">
        <v>125</v>
      </c>
      <c r="I689" s="545" t="s">
        <v>114</v>
      </c>
      <c r="J689" s="546" t="s">
        <v>24</v>
      </c>
      <c r="K689" s="546" t="s">
        <v>6668</v>
      </c>
      <c r="L689" s="546" t="s">
        <v>6669</v>
      </c>
      <c r="M689" s="545" t="s">
        <v>14</v>
      </c>
      <c r="N689" s="547" t="s">
        <v>98</v>
      </c>
      <c r="O689" s="548" t="s">
        <v>207</v>
      </c>
      <c r="P689" s="616" t="s">
        <v>6670</v>
      </c>
      <c r="Q689" s="546" t="s">
        <v>6671</v>
      </c>
      <c r="R689" s="546" t="s">
        <v>6672</v>
      </c>
      <c r="S689" s="546" t="s">
        <v>6673</v>
      </c>
      <c r="T689" s="546">
        <v>7</v>
      </c>
      <c r="U689" s="550">
        <v>30967</v>
      </c>
      <c r="V689" s="551">
        <v>30966</v>
      </c>
      <c r="W689" s="545" t="s">
        <v>276</v>
      </c>
      <c r="X689" s="545" t="s">
        <v>276</v>
      </c>
      <c r="Y689" s="545" t="s">
        <v>276</v>
      </c>
      <c r="Z689" s="546" t="s">
        <v>1562</v>
      </c>
      <c r="AA689" s="545" t="s">
        <v>276</v>
      </c>
      <c r="AB689" s="546" t="s">
        <v>1562</v>
      </c>
      <c r="AC689" s="546" t="s">
        <v>6678</v>
      </c>
      <c r="AD689" s="546" t="s">
        <v>6675</v>
      </c>
      <c r="AE689" s="545">
        <v>255</v>
      </c>
      <c r="AF689" s="545">
        <v>310</v>
      </c>
      <c r="AG689" s="550">
        <v>352343</v>
      </c>
      <c r="AH689" s="550">
        <v>351670</v>
      </c>
      <c r="AI689" s="551" t="s">
        <v>425</v>
      </c>
      <c r="AJ689" s="553">
        <v>0.72</v>
      </c>
      <c r="AK689" s="554">
        <f t="shared" si="83"/>
        <v>0.72372659595905131</v>
      </c>
      <c r="AL689" s="553" t="s">
        <v>276</v>
      </c>
      <c r="AM689" s="553" t="s">
        <v>276</v>
      </c>
      <c r="AN689" s="553">
        <v>0.88</v>
      </c>
      <c r="AO689" s="554">
        <f t="shared" si="84"/>
        <v>0.88150823214945828</v>
      </c>
      <c r="AP689" s="553" t="s">
        <v>276</v>
      </c>
      <c r="AQ689" s="553" t="s">
        <v>276</v>
      </c>
      <c r="AR689" s="545" t="s">
        <v>269</v>
      </c>
      <c r="AS689" s="553">
        <v>0.82</v>
      </c>
      <c r="AT689" s="553">
        <f t="shared" si="82"/>
        <v>0.82100945806748249</v>
      </c>
      <c r="AU689" s="553">
        <v>0.69</v>
      </c>
      <c r="AV689" s="553">
        <v>0.97</v>
      </c>
      <c r="AW689" s="545" t="s">
        <v>844</v>
      </c>
      <c r="AX689" s="545" t="s">
        <v>282</v>
      </c>
      <c r="AY689" s="545" t="s">
        <v>276</v>
      </c>
      <c r="AZ689" s="545" t="s">
        <v>276</v>
      </c>
      <c r="BA689" s="545" t="s">
        <v>276</v>
      </c>
      <c r="BB689" s="545" t="s">
        <v>276</v>
      </c>
      <c r="BC689" s="546" t="s">
        <v>6679</v>
      </c>
      <c r="BD689" s="546"/>
      <c r="BE689" s="33" t="s">
        <v>100</v>
      </c>
      <c r="BF689" s="33" t="s">
        <v>98</v>
      </c>
    </row>
    <row r="690" spans="1:58" s="677" customFormat="1" ht="65" x14ac:dyDescent="0.3">
      <c r="A690" s="545">
        <v>234</v>
      </c>
      <c r="B690" s="545" t="s">
        <v>6666</v>
      </c>
      <c r="C690" s="545" t="s">
        <v>46</v>
      </c>
      <c r="D690" s="546" t="s">
        <v>6680</v>
      </c>
      <c r="E690" s="545" t="s">
        <v>36</v>
      </c>
      <c r="F690" s="545" t="s">
        <v>123</v>
      </c>
      <c r="G690" s="545" t="s">
        <v>225</v>
      </c>
      <c r="H690" s="545" t="s">
        <v>125</v>
      </c>
      <c r="I690" s="545" t="s">
        <v>114</v>
      </c>
      <c r="J690" s="546" t="s">
        <v>24</v>
      </c>
      <c r="K690" s="546" t="s">
        <v>6668</v>
      </c>
      <c r="L690" s="546" t="s">
        <v>6669</v>
      </c>
      <c r="M690" s="545" t="s">
        <v>14</v>
      </c>
      <c r="N690" s="547" t="s">
        <v>98</v>
      </c>
      <c r="O690" s="548" t="s">
        <v>207</v>
      </c>
      <c r="P690" s="616" t="s">
        <v>6670</v>
      </c>
      <c r="Q690" s="546" t="s">
        <v>6671</v>
      </c>
      <c r="R690" s="546" t="s">
        <v>6672</v>
      </c>
      <c r="S690" s="546" t="s">
        <v>6673</v>
      </c>
      <c r="T690" s="546">
        <v>7</v>
      </c>
      <c r="U690" s="550">
        <v>30967</v>
      </c>
      <c r="V690" s="551">
        <v>30966</v>
      </c>
      <c r="W690" s="545" t="s">
        <v>276</v>
      </c>
      <c r="X690" s="545" t="s">
        <v>276</v>
      </c>
      <c r="Y690" s="545" t="s">
        <v>276</v>
      </c>
      <c r="Z690" s="546" t="s">
        <v>1562</v>
      </c>
      <c r="AA690" s="545" t="s">
        <v>276</v>
      </c>
      <c r="AB690" s="546" t="s">
        <v>1562</v>
      </c>
      <c r="AC690" s="546" t="s">
        <v>6681</v>
      </c>
      <c r="AD690" s="546" t="s">
        <v>6675</v>
      </c>
      <c r="AE690" s="545">
        <v>292</v>
      </c>
      <c r="AF690" s="545">
        <v>341</v>
      </c>
      <c r="AG690" s="550">
        <v>352343</v>
      </c>
      <c r="AH690" s="550">
        <v>351670</v>
      </c>
      <c r="AI690" s="551" t="s">
        <v>425</v>
      </c>
      <c r="AJ690" s="553">
        <v>0.83</v>
      </c>
      <c r="AK690" s="554">
        <f t="shared" si="83"/>
        <v>0.82873790596095287</v>
      </c>
      <c r="AL690" s="553" t="s">
        <v>276</v>
      </c>
      <c r="AM690" s="553" t="s">
        <v>276</v>
      </c>
      <c r="AN690" s="553">
        <v>0.97</v>
      </c>
      <c r="AO690" s="554">
        <f t="shared" si="84"/>
        <v>0.96965905536440411</v>
      </c>
      <c r="AP690" s="553" t="s">
        <v>276</v>
      </c>
      <c r="AQ690" s="553" t="s">
        <v>276</v>
      </c>
      <c r="AR690" s="545" t="s">
        <v>269</v>
      </c>
      <c r="AS690" s="553">
        <v>0.85</v>
      </c>
      <c r="AT690" s="553">
        <f t="shared" si="82"/>
        <v>0.8546693823732795</v>
      </c>
      <c r="AU690" s="553">
        <v>0.73</v>
      </c>
      <c r="AV690" s="553">
        <v>1</v>
      </c>
      <c r="AW690" s="545" t="s">
        <v>276</v>
      </c>
      <c r="AX690" s="545" t="s">
        <v>6682</v>
      </c>
      <c r="AY690" s="545">
        <v>0.86</v>
      </c>
      <c r="AZ690" s="545">
        <v>0.73</v>
      </c>
      <c r="BA690" s="553">
        <v>1</v>
      </c>
      <c r="BB690" s="545" t="s">
        <v>276</v>
      </c>
      <c r="BC690" s="546" t="s">
        <v>6683</v>
      </c>
      <c r="BD690" s="546"/>
      <c r="BE690" s="33" t="s">
        <v>100</v>
      </c>
      <c r="BF690" s="33" t="s">
        <v>98</v>
      </c>
    </row>
    <row r="691" spans="1:58" s="677" customFormat="1" ht="65" x14ac:dyDescent="0.3">
      <c r="A691" s="545">
        <v>234</v>
      </c>
      <c r="B691" s="545" t="s">
        <v>6666</v>
      </c>
      <c r="C691" s="545" t="s">
        <v>46</v>
      </c>
      <c r="D691" s="546" t="s">
        <v>6684</v>
      </c>
      <c r="E691" s="545" t="s">
        <v>36</v>
      </c>
      <c r="F691" s="545" t="s">
        <v>123</v>
      </c>
      <c r="G691" s="545" t="s">
        <v>225</v>
      </c>
      <c r="H691" s="545" t="s">
        <v>125</v>
      </c>
      <c r="I691" s="545" t="s">
        <v>114</v>
      </c>
      <c r="J691" s="546" t="s">
        <v>24</v>
      </c>
      <c r="K691" s="546" t="s">
        <v>6668</v>
      </c>
      <c r="L691" s="546" t="s">
        <v>6669</v>
      </c>
      <c r="M691" s="545" t="s">
        <v>14</v>
      </c>
      <c r="N691" s="547" t="s">
        <v>98</v>
      </c>
      <c r="O691" s="548" t="s">
        <v>207</v>
      </c>
      <c r="P691" s="616" t="s">
        <v>6670</v>
      </c>
      <c r="Q691" s="546" t="s">
        <v>6671</v>
      </c>
      <c r="R691" s="546" t="s">
        <v>6672</v>
      </c>
      <c r="S691" s="546" t="s">
        <v>6673</v>
      </c>
      <c r="T691" s="546">
        <v>7</v>
      </c>
      <c r="U691" s="550">
        <v>30967</v>
      </c>
      <c r="V691" s="551">
        <v>30966</v>
      </c>
      <c r="W691" s="545" t="s">
        <v>276</v>
      </c>
      <c r="X691" s="545" t="s">
        <v>276</v>
      </c>
      <c r="Y691" s="545" t="s">
        <v>276</v>
      </c>
      <c r="Z691" s="546" t="s">
        <v>1562</v>
      </c>
      <c r="AA691" s="545" t="s">
        <v>276</v>
      </c>
      <c r="AB691" s="546" t="s">
        <v>1562</v>
      </c>
      <c r="AC691" s="546" t="s">
        <v>6685</v>
      </c>
      <c r="AD691" s="546" t="s">
        <v>6675</v>
      </c>
      <c r="AE691" s="545">
        <v>89</v>
      </c>
      <c r="AF691" s="545">
        <v>123</v>
      </c>
      <c r="AG691" s="550">
        <v>352343</v>
      </c>
      <c r="AH691" s="550">
        <v>351670</v>
      </c>
      <c r="AI691" s="551" t="s">
        <v>425</v>
      </c>
      <c r="AJ691" s="553">
        <v>0.25</v>
      </c>
      <c r="AK691" s="554">
        <f t="shared" si="83"/>
        <v>0.2525947727072767</v>
      </c>
      <c r="AL691" s="553" t="s">
        <v>276</v>
      </c>
      <c r="AM691" s="553" t="s">
        <v>276</v>
      </c>
      <c r="AN691" s="553">
        <v>0.35</v>
      </c>
      <c r="AO691" s="554">
        <f t="shared" si="84"/>
        <v>0.34975971791736571</v>
      </c>
      <c r="AP691" s="553" t="s">
        <v>276</v>
      </c>
      <c r="AQ691" s="553" t="s">
        <v>276</v>
      </c>
      <c r="AR691" s="545" t="s">
        <v>269</v>
      </c>
      <c r="AS691" s="553">
        <v>0.72</v>
      </c>
      <c r="AT691" s="553">
        <f t="shared" si="82"/>
        <v>0.72219515217860164</v>
      </c>
      <c r="AU691" s="553">
        <v>0.55000000000000004</v>
      </c>
      <c r="AV691" s="553">
        <v>0.95</v>
      </c>
      <c r="AW691" s="545" t="s">
        <v>276</v>
      </c>
      <c r="AX691" s="545" t="s">
        <v>282</v>
      </c>
      <c r="AY691" s="545" t="s">
        <v>276</v>
      </c>
      <c r="AZ691" s="545" t="s">
        <v>276</v>
      </c>
      <c r="BA691" s="553" t="s">
        <v>276</v>
      </c>
      <c r="BB691" s="545" t="s">
        <v>276</v>
      </c>
      <c r="BC691" s="546" t="s">
        <v>6686</v>
      </c>
      <c r="BD691" s="546"/>
      <c r="BE691" s="33" t="s">
        <v>100</v>
      </c>
      <c r="BF691" s="33" t="s">
        <v>98</v>
      </c>
    </row>
    <row r="692" spans="1:58" s="677" customFormat="1" ht="65" x14ac:dyDescent="0.3">
      <c r="A692" s="545">
        <v>234</v>
      </c>
      <c r="B692" s="545" t="s">
        <v>6666</v>
      </c>
      <c r="C692" s="545" t="s">
        <v>46</v>
      </c>
      <c r="D692" s="546" t="s">
        <v>6687</v>
      </c>
      <c r="E692" s="545" t="s">
        <v>36</v>
      </c>
      <c r="F692" s="545" t="s">
        <v>123</v>
      </c>
      <c r="G692" s="545" t="s">
        <v>225</v>
      </c>
      <c r="H692" s="545" t="s">
        <v>125</v>
      </c>
      <c r="I692" s="545" t="s">
        <v>114</v>
      </c>
      <c r="J692" s="546" t="s">
        <v>24</v>
      </c>
      <c r="K692" s="546" t="s">
        <v>6668</v>
      </c>
      <c r="L692" s="546" t="s">
        <v>6669</v>
      </c>
      <c r="M692" s="545" t="s">
        <v>14</v>
      </c>
      <c r="N692" s="547" t="s">
        <v>98</v>
      </c>
      <c r="O692" s="548" t="s">
        <v>207</v>
      </c>
      <c r="P692" s="616" t="s">
        <v>6670</v>
      </c>
      <c r="Q692" s="546" t="s">
        <v>6671</v>
      </c>
      <c r="R692" s="546" t="s">
        <v>6672</v>
      </c>
      <c r="S692" s="546" t="s">
        <v>6673</v>
      </c>
      <c r="T692" s="546">
        <v>7</v>
      </c>
      <c r="U692" s="550">
        <v>30967</v>
      </c>
      <c r="V692" s="551">
        <v>30966</v>
      </c>
      <c r="W692" s="545" t="s">
        <v>276</v>
      </c>
      <c r="X692" s="545" t="s">
        <v>276</v>
      </c>
      <c r="Y692" s="545" t="s">
        <v>276</v>
      </c>
      <c r="Z692" s="546" t="s">
        <v>1562</v>
      </c>
      <c r="AA692" s="545" t="s">
        <v>276</v>
      </c>
      <c r="AB692" s="546" t="s">
        <v>1562</v>
      </c>
      <c r="AC692" s="546" t="s">
        <v>6688</v>
      </c>
      <c r="AD692" s="546" t="s">
        <v>6675</v>
      </c>
      <c r="AE692" s="545">
        <v>196</v>
      </c>
      <c r="AF692" s="545">
        <v>212</v>
      </c>
      <c r="AG692" s="550">
        <v>352343</v>
      </c>
      <c r="AH692" s="550">
        <v>351670</v>
      </c>
      <c r="AI692" s="551" t="s">
        <v>425</v>
      </c>
      <c r="AJ692" s="553">
        <v>0.56000000000000005</v>
      </c>
      <c r="AK692" s="554">
        <f t="shared" si="83"/>
        <v>0.55627612865872178</v>
      </c>
      <c r="AL692" s="553" t="s">
        <v>276</v>
      </c>
      <c r="AM692" s="553" t="s">
        <v>276</v>
      </c>
      <c r="AN692" s="553">
        <v>0.6</v>
      </c>
      <c r="AO692" s="554">
        <f t="shared" si="84"/>
        <v>0.60283788779253278</v>
      </c>
      <c r="AP692" s="553" t="s">
        <v>276</v>
      </c>
      <c r="AQ692" s="553" t="s">
        <v>276</v>
      </c>
      <c r="AR692" s="545" t="s">
        <v>269</v>
      </c>
      <c r="AS692" s="553">
        <v>0.92</v>
      </c>
      <c r="AT692" s="553">
        <f t="shared" si="82"/>
        <v>0.92276238757270135</v>
      </c>
      <c r="AU692" s="553">
        <v>0.76</v>
      </c>
      <c r="AV692" s="553">
        <v>1.1200000000000001</v>
      </c>
      <c r="AW692" s="545" t="s">
        <v>276</v>
      </c>
      <c r="AX692" s="545" t="s">
        <v>282</v>
      </c>
      <c r="AY692" s="545" t="s">
        <v>276</v>
      </c>
      <c r="AZ692" s="545" t="s">
        <v>276</v>
      </c>
      <c r="BA692" s="553" t="s">
        <v>276</v>
      </c>
      <c r="BB692" s="545" t="s">
        <v>276</v>
      </c>
      <c r="BC692" s="546" t="s">
        <v>6686</v>
      </c>
      <c r="BD692" s="546"/>
      <c r="BE692" s="33" t="s">
        <v>100</v>
      </c>
      <c r="BF692" s="33" t="s">
        <v>98</v>
      </c>
    </row>
    <row r="693" spans="1:58" s="696" customFormat="1" ht="52" x14ac:dyDescent="0.3">
      <c r="A693" s="589">
        <v>224</v>
      </c>
      <c r="B693" s="589" t="s">
        <v>6689</v>
      </c>
      <c r="C693" s="589" t="s">
        <v>46</v>
      </c>
      <c r="D693" s="590" t="s">
        <v>6690</v>
      </c>
      <c r="E693" s="589" t="s">
        <v>36</v>
      </c>
      <c r="F693" s="589" t="s">
        <v>123</v>
      </c>
      <c r="G693" s="589" t="s">
        <v>225</v>
      </c>
      <c r="H693" s="589" t="s">
        <v>125</v>
      </c>
      <c r="I693" s="589" t="s">
        <v>114</v>
      </c>
      <c r="J693" s="590" t="s">
        <v>23</v>
      </c>
      <c r="K693" s="590" t="s">
        <v>6668</v>
      </c>
      <c r="L693" s="590" t="s">
        <v>6691</v>
      </c>
      <c r="M693" s="589" t="s">
        <v>14</v>
      </c>
      <c r="N693" s="591" t="s">
        <v>98</v>
      </c>
      <c r="O693" s="592" t="s">
        <v>207</v>
      </c>
      <c r="P693" s="695" t="s">
        <v>6692</v>
      </c>
      <c r="Q693" s="590" t="s">
        <v>5323</v>
      </c>
      <c r="R693" s="590" t="s">
        <v>6693</v>
      </c>
      <c r="S693" s="590" t="s">
        <v>6694</v>
      </c>
      <c r="T693" s="590">
        <v>9</v>
      </c>
      <c r="U693" s="594">
        <v>30967</v>
      </c>
      <c r="V693" s="595">
        <v>30966</v>
      </c>
      <c r="W693" s="589" t="s">
        <v>276</v>
      </c>
      <c r="X693" s="589" t="s">
        <v>276</v>
      </c>
      <c r="Y693" s="589" t="s">
        <v>98</v>
      </c>
      <c r="Z693" s="590" t="s">
        <v>98</v>
      </c>
      <c r="AA693" s="589" t="s">
        <v>98</v>
      </c>
      <c r="AB693" s="590" t="s">
        <v>98</v>
      </c>
      <c r="AC693" s="590" t="s">
        <v>6695</v>
      </c>
      <c r="AD693" s="590" t="s">
        <v>6696</v>
      </c>
      <c r="AE693" s="589">
        <v>12205</v>
      </c>
      <c r="AF693" s="589">
        <v>12248</v>
      </c>
      <c r="AG693" s="594">
        <v>431190</v>
      </c>
      <c r="AH693" s="594">
        <v>430755</v>
      </c>
      <c r="AI693" s="595" t="s">
        <v>425</v>
      </c>
      <c r="AJ693" s="600">
        <v>28.3</v>
      </c>
      <c r="AK693" s="599">
        <f t="shared" si="83"/>
        <v>28.305387416220228</v>
      </c>
      <c r="AL693" s="598" t="s">
        <v>276</v>
      </c>
      <c r="AM693" s="598" t="s">
        <v>276</v>
      </c>
      <c r="AN693" s="600">
        <v>28.4</v>
      </c>
      <c r="AO693" s="599">
        <f t="shared" si="84"/>
        <v>28.433796473633503</v>
      </c>
      <c r="AP693" s="598" t="s">
        <v>276</v>
      </c>
      <c r="AQ693" s="598" t="s">
        <v>276</v>
      </c>
      <c r="AR693" s="589" t="s">
        <v>269</v>
      </c>
      <c r="AS693" s="598">
        <v>0.99</v>
      </c>
      <c r="AT693" s="598">
        <f t="shared" si="82"/>
        <v>0.99548392851681455</v>
      </c>
      <c r="AU693" s="598">
        <v>0.97</v>
      </c>
      <c r="AV693" s="598">
        <v>1.02</v>
      </c>
      <c r="AW693" s="589" t="s">
        <v>276</v>
      </c>
      <c r="AX693" s="589" t="s">
        <v>282</v>
      </c>
      <c r="AY693" s="589" t="s">
        <v>276</v>
      </c>
      <c r="AZ693" s="589" t="s">
        <v>276</v>
      </c>
      <c r="BA693" s="589" t="s">
        <v>276</v>
      </c>
      <c r="BB693" s="589" t="s">
        <v>276</v>
      </c>
      <c r="BC693" s="590" t="s">
        <v>6697</v>
      </c>
      <c r="BD693" s="590"/>
      <c r="BE693" s="33" t="s">
        <v>100</v>
      </c>
      <c r="BF693" s="33" t="s">
        <v>98</v>
      </c>
    </row>
    <row r="694" spans="1:58" s="696" customFormat="1" ht="52" x14ac:dyDescent="0.3">
      <c r="A694" s="589">
        <v>224</v>
      </c>
      <c r="B694" s="589" t="s">
        <v>6689</v>
      </c>
      <c r="C694" s="589" t="s">
        <v>46</v>
      </c>
      <c r="D694" s="590" t="s">
        <v>6698</v>
      </c>
      <c r="E694" s="589" t="s">
        <v>36</v>
      </c>
      <c r="F694" s="589" t="s">
        <v>123</v>
      </c>
      <c r="G694" s="589" t="s">
        <v>225</v>
      </c>
      <c r="H694" s="589" t="s">
        <v>125</v>
      </c>
      <c r="I694" s="589" t="s">
        <v>114</v>
      </c>
      <c r="J694" s="590" t="s">
        <v>24</v>
      </c>
      <c r="K694" s="590" t="s">
        <v>6668</v>
      </c>
      <c r="L694" s="590" t="s">
        <v>6691</v>
      </c>
      <c r="M694" s="589" t="s">
        <v>14</v>
      </c>
      <c r="N694" s="591" t="s">
        <v>98</v>
      </c>
      <c r="O694" s="592" t="s">
        <v>207</v>
      </c>
      <c r="P694" s="695" t="s">
        <v>6692</v>
      </c>
      <c r="Q694" s="590" t="s">
        <v>5323</v>
      </c>
      <c r="R694" s="590" t="s">
        <v>6693</v>
      </c>
      <c r="S694" s="590" t="s">
        <v>6694</v>
      </c>
      <c r="T694" s="590">
        <v>9</v>
      </c>
      <c r="U694" s="594">
        <v>30967</v>
      </c>
      <c r="V694" s="595">
        <v>30966</v>
      </c>
      <c r="W694" s="589" t="s">
        <v>276</v>
      </c>
      <c r="X694" s="589" t="s">
        <v>276</v>
      </c>
      <c r="Y694" s="589" t="s">
        <v>276</v>
      </c>
      <c r="Z694" s="590" t="s">
        <v>1562</v>
      </c>
      <c r="AA694" s="589" t="s">
        <v>276</v>
      </c>
      <c r="AB694" s="590" t="s">
        <v>1562</v>
      </c>
      <c r="AC694" s="590" t="s">
        <v>6699</v>
      </c>
      <c r="AD694" s="590" t="s">
        <v>6696</v>
      </c>
      <c r="AE694" s="589">
        <v>362</v>
      </c>
      <c r="AF694" s="589">
        <v>431</v>
      </c>
      <c r="AG694" s="594">
        <v>431190</v>
      </c>
      <c r="AH694" s="594">
        <v>430755</v>
      </c>
      <c r="AI694" s="595" t="s">
        <v>425</v>
      </c>
      <c r="AJ694" s="598">
        <v>0.84</v>
      </c>
      <c r="AK694" s="599">
        <f t="shared" si="83"/>
        <v>0.83953709501611817</v>
      </c>
      <c r="AL694" s="598" t="s">
        <v>276</v>
      </c>
      <c r="AM694" s="598" t="s">
        <v>276</v>
      </c>
      <c r="AN694" s="598">
        <v>1</v>
      </c>
      <c r="AO694" s="599">
        <f t="shared" si="84"/>
        <v>1.0005687687896831</v>
      </c>
      <c r="AP694" s="598" t="s">
        <v>276</v>
      </c>
      <c r="AQ694" s="598" t="s">
        <v>276</v>
      </c>
      <c r="AR694" s="589" t="s">
        <v>269</v>
      </c>
      <c r="AS694" s="598">
        <v>0.84</v>
      </c>
      <c r="AT694" s="598">
        <f t="shared" si="82"/>
        <v>0.83905986395282606</v>
      </c>
      <c r="AU694" s="598">
        <v>0.73</v>
      </c>
      <c r="AV694" s="598">
        <v>0.96</v>
      </c>
      <c r="AW694" s="589" t="s">
        <v>844</v>
      </c>
      <c r="AX694" s="589" t="s">
        <v>282</v>
      </c>
      <c r="AY694" s="589" t="s">
        <v>276</v>
      </c>
      <c r="AZ694" s="589" t="s">
        <v>276</v>
      </c>
      <c r="BA694" s="589" t="s">
        <v>276</v>
      </c>
      <c r="BB694" s="589" t="s">
        <v>276</v>
      </c>
      <c r="BC694" s="590" t="s">
        <v>6700</v>
      </c>
      <c r="BD694" s="590"/>
      <c r="BE694" s="33" t="s">
        <v>100</v>
      </c>
      <c r="BF694" s="33" t="s">
        <v>98</v>
      </c>
    </row>
    <row r="695" spans="1:58" s="696" customFormat="1" ht="65" x14ac:dyDescent="0.3">
      <c r="A695" s="589">
        <v>224</v>
      </c>
      <c r="B695" s="589" t="s">
        <v>6689</v>
      </c>
      <c r="C695" s="589" t="s">
        <v>46</v>
      </c>
      <c r="D695" s="590" t="s">
        <v>6701</v>
      </c>
      <c r="E695" s="589" t="s">
        <v>36</v>
      </c>
      <c r="F695" s="589" t="s">
        <v>123</v>
      </c>
      <c r="G695" s="589" t="s">
        <v>225</v>
      </c>
      <c r="H695" s="589" t="s">
        <v>125</v>
      </c>
      <c r="I695" s="589" t="s">
        <v>114</v>
      </c>
      <c r="J695" s="590" t="s">
        <v>24</v>
      </c>
      <c r="K695" s="590" t="s">
        <v>6668</v>
      </c>
      <c r="L695" s="590" t="s">
        <v>6691</v>
      </c>
      <c r="M695" s="589" t="s">
        <v>14</v>
      </c>
      <c r="N695" s="591" t="s">
        <v>98</v>
      </c>
      <c r="O695" s="592" t="s">
        <v>207</v>
      </c>
      <c r="P695" s="695" t="s">
        <v>6692</v>
      </c>
      <c r="Q695" s="590" t="s">
        <v>5323</v>
      </c>
      <c r="R695" s="590" t="s">
        <v>6693</v>
      </c>
      <c r="S695" s="590" t="s">
        <v>6694</v>
      </c>
      <c r="T695" s="590">
        <v>9</v>
      </c>
      <c r="U695" s="594">
        <v>30967</v>
      </c>
      <c r="V695" s="595">
        <v>30966</v>
      </c>
      <c r="W695" s="589" t="s">
        <v>276</v>
      </c>
      <c r="X695" s="589" t="s">
        <v>276</v>
      </c>
      <c r="Y695" s="589" t="s">
        <v>276</v>
      </c>
      <c r="Z695" s="590" t="s">
        <v>1562</v>
      </c>
      <c r="AA695" s="589" t="s">
        <v>276</v>
      </c>
      <c r="AB695" s="590" t="s">
        <v>1562</v>
      </c>
      <c r="AC695" s="590" t="s">
        <v>6702</v>
      </c>
      <c r="AD695" s="590" t="s">
        <v>6696</v>
      </c>
      <c r="AE695" s="589">
        <v>427</v>
      </c>
      <c r="AF695" s="589">
        <v>479</v>
      </c>
      <c r="AG695" s="594">
        <v>431190</v>
      </c>
      <c r="AH695" s="594">
        <v>430755</v>
      </c>
      <c r="AI695" s="595" t="s">
        <v>425</v>
      </c>
      <c r="AJ695" s="598">
        <v>0.99</v>
      </c>
      <c r="AK695" s="599">
        <f t="shared" si="83"/>
        <v>0.99028270599967527</v>
      </c>
      <c r="AL695" s="598" t="s">
        <v>276</v>
      </c>
      <c r="AM695" s="598" t="s">
        <v>276</v>
      </c>
      <c r="AN695" s="598">
        <v>1.1000000000000001</v>
      </c>
      <c r="AO695" s="599">
        <f t="shared" si="84"/>
        <v>1.1120010214623162</v>
      </c>
      <c r="AP695" s="598" t="s">
        <v>276</v>
      </c>
      <c r="AQ695" s="598" t="s">
        <v>276</v>
      </c>
      <c r="AR695" s="589" t="s">
        <v>269</v>
      </c>
      <c r="AS695" s="598">
        <v>0.89</v>
      </c>
      <c r="AT695" s="598">
        <f t="shared" si="82"/>
        <v>0.89054118376386249</v>
      </c>
      <c r="AU695" s="598">
        <v>0.78</v>
      </c>
      <c r="AV695" s="598">
        <v>1.01</v>
      </c>
      <c r="AW695" s="589" t="s">
        <v>691</v>
      </c>
      <c r="AX695" s="589" t="s">
        <v>6682</v>
      </c>
      <c r="AY695" s="589">
        <v>0.89</v>
      </c>
      <c r="AZ695" s="589">
        <v>0.78</v>
      </c>
      <c r="BA695" s="598">
        <v>1.02</v>
      </c>
      <c r="BB695" s="589" t="s">
        <v>276</v>
      </c>
      <c r="BC695" s="590" t="s">
        <v>6703</v>
      </c>
      <c r="BD695" s="590"/>
      <c r="BE695" s="33" t="s">
        <v>100</v>
      </c>
      <c r="BF695" s="33" t="s">
        <v>98</v>
      </c>
    </row>
    <row r="696" spans="1:58" s="418" customFormat="1" ht="39" x14ac:dyDescent="0.3">
      <c r="A696" s="627">
        <v>7796</v>
      </c>
      <c r="B696" s="627" t="s">
        <v>6705</v>
      </c>
      <c r="C696" s="627" t="s">
        <v>46</v>
      </c>
      <c r="D696" s="625" t="s">
        <v>6706</v>
      </c>
      <c r="E696" s="627" t="s">
        <v>36</v>
      </c>
      <c r="F696" s="627" t="s">
        <v>123</v>
      </c>
      <c r="G696" s="627" t="s">
        <v>225</v>
      </c>
      <c r="H696" s="627" t="s">
        <v>125</v>
      </c>
      <c r="I696" s="627" t="s">
        <v>114</v>
      </c>
      <c r="J696" s="625" t="s">
        <v>23</v>
      </c>
      <c r="K696" s="625" t="s">
        <v>6707</v>
      </c>
      <c r="L696" s="625" t="s">
        <v>6708</v>
      </c>
      <c r="M696" s="627" t="s">
        <v>14</v>
      </c>
      <c r="N696" s="697" t="s">
        <v>98</v>
      </c>
      <c r="O696" s="698" t="s">
        <v>207</v>
      </c>
      <c r="P696" s="626" t="s">
        <v>276</v>
      </c>
      <c r="Q696" s="625" t="s">
        <v>6709</v>
      </c>
      <c r="R696" s="561" t="s">
        <v>6710</v>
      </c>
      <c r="S696" s="624" t="s">
        <v>6711</v>
      </c>
      <c r="T696" s="625">
        <v>9</v>
      </c>
      <c r="U696" s="623">
        <v>30966</v>
      </c>
      <c r="V696" s="624">
        <v>30964</v>
      </c>
      <c r="W696" s="627" t="s">
        <v>276</v>
      </c>
      <c r="X696" s="627" t="s">
        <v>276</v>
      </c>
      <c r="Y696" s="627" t="s">
        <v>98</v>
      </c>
      <c r="Z696" s="625" t="s">
        <v>98</v>
      </c>
      <c r="AA696" s="627" t="s">
        <v>98</v>
      </c>
      <c r="AB696" s="625" t="s">
        <v>98</v>
      </c>
      <c r="AC696" s="625" t="s">
        <v>6712</v>
      </c>
      <c r="AD696" s="625" t="s">
        <v>6713</v>
      </c>
      <c r="AE696" s="623">
        <v>22474</v>
      </c>
      <c r="AF696" s="623">
        <v>22535</v>
      </c>
      <c r="AG696" s="623">
        <v>605023</v>
      </c>
      <c r="AH696" s="623">
        <v>603953</v>
      </c>
      <c r="AI696" s="624" t="s">
        <v>425</v>
      </c>
      <c r="AJ696" s="699" t="s">
        <v>276</v>
      </c>
      <c r="AK696" s="700">
        <f t="shared" si="83"/>
        <v>37.145695287617166</v>
      </c>
      <c r="AL696" s="699" t="s">
        <v>276</v>
      </c>
      <c r="AM696" s="699" t="s">
        <v>276</v>
      </c>
      <c r="AN696" s="699" t="s">
        <v>276</v>
      </c>
      <c r="AO696" s="700">
        <f t="shared" si="84"/>
        <v>37.312506105607554</v>
      </c>
      <c r="AP696" s="699" t="s">
        <v>276</v>
      </c>
      <c r="AQ696" s="699" t="s">
        <v>276</v>
      </c>
      <c r="AR696" s="627" t="s">
        <v>269</v>
      </c>
      <c r="AS696" s="699" t="s">
        <v>276</v>
      </c>
      <c r="AT696" s="699">
        <f t="shared" si="82"/>
        <v>0.99552935904336592</v>
      </c>
      <c r="AU696" s="699" t="s">
        <v>276</v>
      </c>
      <c r="AV696" s="699" t="s">
        <v>276</v>
      </c>
      <c r="AW696" s="627" t="s">
        <v>276</v>
      </c>
      <c r="AX696" s="627" t="s">
        <v>282</v>
      </c>
      <c r="AY696" s="627" t="s">
        <v>276</v>
      </c>
      <c r="AZ696" s="627" t="s">
        <v>276</v>
      </c>
      <c r="BA696" s="627" t="s">
        <v>276</v>
      </c>
      <c r="BB696" s="627" t="s">
        <v>276</v>
      </c>
      <c r="BC696" s="625" t="s">
        <v>1358</v>
      </c>
      <c r="BD696" s="625"/>
      <c r="BE696" s="33" t="s">
        <v>100</v>
      </c>
      <c r="BF696" s="33" t="s">
        <v>98</v>
      </c>
    </row>
    <row r="697" spans="1:58" s="418" customFormat="1" ht="39" x14ac:dyDescent="0.3">
      <c r="A697" s="627">
        <v>7796</v>
      </c>
      <c r="B697" s="627" t="s">
        <v>6705</v>
      </c>
      <c r="C697" s="627" t="s">
        <v>46</v>
      </c>
      <c r="D697" s="625" t="s">
        <v>6714</v>
      </c>
      <c r="E697" s="627" t="s">
        <v>36</v>
      </c>
      <c r="F697" s="627" t="s">
        <v>123</v>
      </c>
      <c r="G697" s="627" t="s">
        <v>225</v>
      </c>
      <c r="H697" s="627" t="s">
        <v>125</v>
      </c>
      <c r="I697" s="627" t="s">
        <v>114</v>
      </c>
      <c r="J697" s="625" t="s">
        <v>24</v>
      </c>
      <c r="K697" s="625" t="s">
        <v>6707</v>
      </c>
      <c r="L697" s="625" t="s">
        <v>6708</v>
      </c>
      <c r="M697" s="627" t="s">
        <v>14</v>
      </c>
      <c r="N697" s="697" t="s">
        <v>98</v>
      </c>
      <c r="O697" s="698" t="s">
        <v>207</v>
      </c>
      <c r="P697" s="626" t="s">
        <v>276</v>
      </c>
      <c r="Q697" s="625" t="s">
        <v>6709</v>
      </c>
      <c r="R697" s="624" t="s">
        <v>6710</v>
      </c>
      <c r="S697" s="624" t="s">
        <v>6711</v>
      </c>
      <c r="T697" s="625">
        <v>9</v>
      </c>
      <c r="U697" s="623">
        <v>30966</v>
      </c>
      <c r="V697" s="624">
        <v>30964</v>
      </c>
      <c r="W697" s="627" t="s">
        <v>276</v>
      </c>
      <c r="X697" s="627" t="s">
        <v>276</v>
      </c>
      <c r="Y697" s="627" t="s">
        <v>276</v>
      </c>
      <c r="Z697" s="625" t="s">
        <v>1562</v>
      </c>
      <c r="AA697" s="627" t="s">
        <v>276</v>
      </c>
      <c r="AB697" s="625" t="s">
        <v>1562</v>
      </c>
      <c r="AC697" s="625" t="s">
        <v>6715</v>
      </c>
      <c r="AD697" s="625" t="s">
        <v>6713</v>
      </c>
      <c r="AE697" s="627">
        <v>786</v>
      </c>
      <c r="AF697" s="627">
        <v>851</v>
      </c>
      <c r="AG697" s="623">
        <v>605023</v>
      </c>
      <c r="AH697" s="623">
        <v>603953</v>
      </c>
      <c r="AI697" s="624" t="s">
        <v>425</v>
      </c>
      <c r="AJ697" s="699" t="s">
        <v>276</v>
      </c>
      <c r="AK697" s="700">
        <f t="shared" si="83"/>
        <v>1.2991241655275916</v>
      </c>
      <c r="AL697" s="699" t="s">
        <v>276</v>
      </c>
      <c r="AM697" s="699" t="s">
        <v>276</v>
      </c>
      <c r="AN697" s="699" t="s">
        <v>276</v>
      </c>
      <c r="AO697" s="700">
        <f t="shared" si="84"/>
        <v>1.4090500419734648</v>
      </c>
      <c r="AP697" s="699" t="s">
        <v>276</v>
      </c>
      <c r="AQ697" s="699" t="s">
        <v>276</v>
      </c>
      <c r="AR697" s="627" t="s">
        <v>269</v>
      </c>
      <c r="AS697" s="699" t="s">
        <v>276</v>
      </c>
      <c r="AT697" s="699">
        <f t="shared" si="82"/>
        <v>0.92198582507977145</v>
      </c>
      <c r="AU697" s="699" t="s">
        <v>276</v>
      </c>
      <c r="AV697" s="699" t="s">
        <v>276</v>
      </c>
      <c r="AW697" s="699" t="s">
        <v>276</v>
      </c>
      <c r="AX697" s="627" t="s">
        <v>282</v>
      </c>
      <c r="AY697" s="627" t="s">
        <v>276</v>
      </c>
      <c r="AZ697" s="627" t="s">
        <v>276</v>
      </c>
      <c r="BA697" s="627" t="s">
        <v>276</v>
      </c>
      <c r="BB697" s="627" t="s">
        <v>276</v>
      </c>
      <c r="BC697" s="625" t="s">
        <v>1358</v>
      </c>
      <c r="BD697" s="625"/>
      <c r="BE697" s="33" t="s">
        <v>100</v>
      </c>
      <c r="BF697" s="33" t="s">
        <v>98</v>
      </c>
    </row>
    <row r="698" spans="1:58" s="423" customFormat="1" ht="39" x14ac:dyDescent="0.3">
      <c r="A698" s="701">
        <v>7796</v>
      </c>
      <c r="B698" s="701" t="s">
        <v>6705</v>
      </c>
      <c r="C698" s="701" t="s">
        <v>46</v>
      </c>
      <c r="D698" s="702" t="s">
        <v>6716</v>
      </c>
      <c r="E698" s="701" t="s">
        <v>36</v>
      </c>
      <c r="F698" s="701" t="s">
        <v>123</v>
      </c>
      <c r="G698" s="701" t="s">
        <v>225</v>
      </c>
      <c r="H698" s="701" t="s">
        <v>125</v>
      </c>
      <c r="I698" s="701" t="s">
        <v>114</v>
      </c>
      <c r="J698" s="702" t="s">
        <v>23</v>
      </c>
      <c r="K698" s="702" t="s">
        <v>6707</v>
      </c>
      <c r="L698" s="702" t="s">
        <v>6708</v>
      </c>
      <c r="M698" s="701" t="s">
        <v>14</v>
      </c>
      <c r="N698" s="703" t="s">
        <v>98</v>
      </c>
      <c r="O698" s="704" t="s">
        <v>207</v>
      </c>
      <c r="P698" s="705" t="s">
        <v>276</v>
      </c>
      <c r="Q698" s="702" t="s">
        <v>6709</v>
      </c>
      <c r="R698" s="706" t="s">
        <v>6710</v>
      </c>
      <c r="S698" s="706" t="s">
        <v>6711</v>
      </c>
      <c r="T698" s="702">
        <v>9</v>
      </c>
      <c r="U698" s="707">
        <v>30966</v>
      </c>
      <c r="V698" s="706">
        <v>30964</v>
      </c>
      <c r="W698" s="701" t="s">
        <v>276</v>
      </c>
      <c r="X698" s="701" t="s">
        <v>276</v>
      </c>
      <c r="Y698" s="701" t="s">
        <v>98</v>
      </c>
      <c r="Z698" s="702" t="s">
        <v>98</v>
      </c>
      <c r="AA698" s="701" t="s">
        <v>98</v>
      </c>
      <c r="AB698" s="702" t="s">
        <v>98</v>
      </c>
      <c r="AC698" s="702" t="s">
        <v>6712</v>
      </c>
      <c r="AD698" s="702" t="s">
        <v>6506</v>
      </c>
      <c r="AE698" s="707">
        <v>22474</v>
      </c>
      <c r="AF698" s="707">
        <v>22535</v>
      </c>
      <c r="AG698" s="707">
        <v>30966</v>
      </c>
      <c r="AH698" s="706">
        <v>30964</v>
      </c>
      <c r="AI698" s="706" t="s">
        <v>292</v>
      </c>
      <c r="AJ698" s="708">
        <v>72.599999999999994</v>
      </c>
      <c r="AK698" s="709">
        <f>AE698*100/AG698</f>
        <v>72.576374087709098</v>
      </c>
      <c r="AL698" s="710" t="s">
        <v>276</v>
      </c>
      <c r="AM698" s="710" t="s">
        <v>276</v>
      </c>
      <c r="AN698" s="708">
        <v>72.8</v>
      </c>
      <c r="AO698" s="709">
        <f>AF698*100/AH698</f>
        <v>72.778064849502641</v>
      </c>
      <c r="AP698" s="710" t="s">
        <v>276</v>
      </c>
      <c r="AQ698" s="710" t="s">
        <v>276</v>
      </c>
      <c r="AR698" s="701" t="s">
        <v>268</v>
      </c>
      <c r="AS698" s="710">
        <v>1</v>
      </c>
      <c r="AT698" s="710">
        <f t="shared" si="82"/>
        <v>0.99722868748694238</v>
      </c>
      <c r="AU698" s="710">
        <v>0.99</v>
      </c>
      <c r="AV698" s="710">
        <v>1.01</v>
      </c>
      <c r="AW698" s="701" t="s">
        <v>276</v>
      </c>
      <c r="AX698" s="701" t="s">
        <v>6717</v>
      </c>
      <c r="AY698" s="701">
        <v>0.98</v>
      </c>
      <c r="AZ698" s="701">
        <v>0.96</v>
      </c>
      <c r="BA698" s="701">
        <v>0.99</v>
      </c>
      <c r="BB698" s="701" t="s">
        <v>276</v>
      </c>
      <c r="BC698" s="702" t="s">
        <v>6718</v>
      </c>
      <c r="BD698" s="702"/>
      <c r="BE698" s="33" t="s">
        <v>100</v>
      </c>
      <c r="BF698" s="33" t="s">
        <v>98</v>
      </c>
    </row>
    <row r="699" spans="1:58" s="423" customFormat="1" ht="65" x14ac:dyDescent="0.3">
      <c r="A699" s="701">
        <v>7796</v>
      </c>
      <c r="B699" s="701" t="s">
        <v>6705</v>
      </c>
      <c r="C699" s="701" t="s">
        <v>46</v>
      </c>
      <c r="D699" s="702" t="s">
        <v>6719</v>
      </c>
      <c r="E699" s="701" t="s">
        <v>36</v>
      </c>
      <c r="F699" s="701" t="s">
        <v>123</v>
      </c>
      <c r="G699" s="701" t="s">
        <v>225</v>
      </c>
      <c r="H699" s="701" t="s">
        <v>125</v>
      </c>
      <c r="I699" s="701" t="s">
        <v>114</v>
      </c>
      <c r="J699" s="702" t="s">
        <v>24</v>
      </c>
      <c r="K699" s="702" t="s">
        <v>6707</v>
      </c>
      <c r="L699" s="702" t="s">
        <v>6708</v>
      </c>
      <c r="M699" s="701" t="s">
        <v>14</v>
      </c>
      <c r="N699" s="703" t="s">
        <v>98</v>
      </c>
      <c r="O699" s="704" t="s">
        <v>207</v>
      </c>
      <c r="P699" s="705" t="s">
        <v>276</v>
      </c>
      <c r="Q699" s="702" t="s">
        <v>6709</v>
      </c>
      <c r="R699" s="706" t="s">
        <v>6710</v>
      </c>
      <c r="S699" s="706" t="s">
        <v>6711</v>
      </c>
      <c r="T699" s="702">
        <v>9</v>
      </c>
      <c r="U699" s="707">
        <v>30966</v>
      </c>
      <c r="V699" s="706">
        <v>30964</v>
      </c>
      <c r="W699" s="701" t="s">
        <v>276</v>
      </c>
      <c r="X699" s="701" t="s">
        <v>276</v>
      </c>
      <c r="Y699" s="701" t="s">
        <v>276</v>
      </c>
      <c r="Z699" s="702" t="s">
        <v>1562</v>
      </c>
      <c r="AA699" s="701" t="s">
        <v>276</v>
      </c>
      <c r="AB699" s="702" t="s">
        <v>1562</v>
      </c>
      <c r="AC699" s="702" t="s">
        <v>6715</v>
      </c>
      <c r="AD699" s="702" t="s">
        <v>6506</v>
      </c>
      <c r="AE699" s="701">
        <v>786</v>
      </c>
      <c r="AF699" s="701">
        <v>851</v>
      </c>
      <c r="AG699" s="707">
        <v>30966</v>
      </c>
      <c r="AH699" s="706">
        <v>30964</v>
      </c>
      <c r="AI699" s="706" t="s">
        <v>292</v>
      </c>
      <c r="AJ699" s="708">
        <v>2.5</v>
      </c>
      <c r="AK699" s="709">
        <f>AE699*100/AG699</f>
        <v>2.538267777562488</v>
      </c>
      <c r="AL699" s="710" t="s">
        <v>276</v>
      </c>
      <c r="AM699" s="710" t="s">
        <v>276</v>
      </c>
      <c r="AN699" s="708">
        <v>2.7</v>
      </c>
      <c r="AO699" s="709">
        <f>AF699*100/AH699</f>
        <v>2.7483529259785557</v>
      </c>
      <c r="AP699" s="710" t="s">
        <v>276</v>
      </c>
      <c r="AQ699" s="710" t="s">
        <v>276</v>
      </c>
      <c r="AR699" s="701" t="s">
        <v>268</v>
      </c>
      <c r="AS699" s="710">
        <v>0.94</v>
      </c>
      <c r="AT699" s="710">
        <f t="shared" si="82"/>
        <v>0.92355961767855321</v>
      </c>
      <c r="AU699" s="710">
        <v>0.85</v>
      </c>
      <c r="AV699" s="710">
        <v>1.04</v>
      </c>
      <c r="AW699" s="710" t="s">
        <v>276</v>
      </c>
      <c r="AX699" s="701" t="s">
        <v>6717</v>
      </c>
      <c r="AY699" s="701">
        <v>0.91</v>
      </c>
      <c r="AZ699" s="701">
        <v>0.77</v>
      </c>
      <c r="BA699" s="701">
        <v>1.08</v>
      </c>
      <c r="BB699" s="701" t="s">
        <v>276</v>
      </c>
      <c r="BC699" s="702" t="s">
        <v>6720</v>
      </c>
      <c r="BD699" s="702"/>
      <c r="BE699" s="33" t="s">
        <v>100</v>
      </c>
      <c r="BF699" s="33" t="s">
        <v>98</v>
      </c>
    </row>
    <row r="700" spans="1:58" s="202" customFormat="1" ht="52" x14ac:dyDescent="0.3">
      <c r="A700" s="175"/>
      <c r="B700" s="175"/>
      <c r="C700" s="175"/>
      <c r="D700" s="176"/>
      <c r="E700" s="175"/>
      <c r="F700" s="175"/>
      <c r="G700" s="175"/>
      <c r="H700" s="175"/>
      <c r="I700" s="175"/>
      <c r="J700" s="176"/>
      <c r="K700" s="176" t="s">
        <v>6704</v>
      </c>
      <c r="L700" s="176" t="s">
        <v>6691</v>
      </c>
      <c r="M700" s="175"/>
      <c r="N700" s="198"/>
      <c r="O700" s="199"/>
      <c r="P700" s="200"/>
      <c r="Q700" s="176"/>
      <c r="R700" s="176"/>
      <c r="S700" s="176"/>
      <c r="T700" s="176"/>
      <c r="U700" s="180"/>
      <c r="V700" s="179"/>
      <c r="W700" s="175"/>
      <c r="X700" s="175"/>
      <c r="Y700" s="175"/>
      <c r="Z700" s="175"/>
      <c r="AA700" s="175"/>
      <c r="AB700" s="175"/>
      <c r="AC700" s="176"/>
      <c r="AD700" s="176"/>
      <c r="AE700" s="175"/>
      <c r="AF700" s="175"/>
      <c r="AG700" s="180"/>
      <c r="AH700" s="180"/>
      <c r="AI700" s="180"/>
      <c r="AJ700" s="181"/>
      <c r="AK700" s="201"/>
      <c r="AL700" s="181"/>
      <c r="AM700" s="181"/>
      <c r="AN700" s="181"/>
      <c r="AO700" s="201"/>
      <c r="AP700" s="181"/>
      <c r="AQ700" s="181"/>
      <c r="AR700" s="175"/>
      <c r="AS700" s="181"/>
      <c r="AT700" s="181"/>
      <c r="AU700" s="181"/>
      <c r="AV700" s="181"/>
      <c r="AW700" s="175"/>
      <c r="AX700" s="175"/>
      <c r="AY700" s="175"/>
      <c r="AZ700" s="175"/>
      <c r="BA700" s="175"/>
      <c r="BB700" s="175"/>
      <c r="BC700" s="176"/>
      <c r="BD700" s="176"/>
      <c r="BE700" s="33" t="s">
        <v>100</v>
      </c>
      <c r="BF700" s="33" t="s">
        <v>98</v>
      </c>
    </row>
    <row r="701" spans="1:58" s="7" customFormat="1" ht="78" x14ac:dyDescent="0.3">
      <c r="A701" s="8">
        <v>4017</v>
      </c>
      <c r="B701" s="9" t="s">
        <v>6819</v>
      </c>
      <c r="C701" s="9" t="s">
        <v>58</v>
      </c>
      <c r="D701" s="9" t="s">
        <v>6820</v>
      </c>
      <c r="E701" s="8" t="s">
        <v>35</v>
      </c>
      <c r="F701" s="9" t="s">
        <v>97</v>
      </c>
      <c r="G701" s="8" t="s">
        <v>225</v>
      </c>
      <c r="H701" s="8" t="s">
        <v>125</v>
      </c>
      <c r="I701" s="8" t="s">
        <v>105</v>
      </c>
      <c r="J701" s="9" t="s">
        <v>24</v>
      </c>
      <c r="K701" s="9" t="s">
        <v>6821</v>
      </c>
      <c r="L701" s="9" t="s">
        <v>276</v>
      </c>
      <c r="M701" s="8" t="s">
        <v>15</v>
      </c>
      <c r="N701" s="12" t="s">
        <v>6822</v>
      </c>
      <c r="O701" s="12" t="s">
        <v>207</v>
      </c>
      <c r="P701" s="41">
        <v>32873</v>
      </c>
      <c r="Q701" s="9" t="s">
        <v>276</v>
      </c>
      <c r="R701" s="38" t="s">
        <v>6823</v>
      </c>
      <c r="S701" s="38" t="s">
        <v>6824</v>
      </c>
      <c r="T701" s="9" t="s">
        <v>6825</v>
      </c>
      <c r="U701" s="13">
        <v>20724</v>
      </c>
      <c r="V701" s="38">
        <v>28809</v>
      </c>
      <c r="W701" s="8" t="s">
        <v>276</v>
      </c>
      <c r="X701" s="8" t="s">
        <v>276</v>
      </c>
      <c r="Y701" s="8" t="s">
        <v>276</v>
      </c>
      <c r="Z701" s="9" t="s">
        <v>1562</v>
      </c>
      <c r="AA701" s="8" t="s">
        <v>276</v>
      </c>
      <c r="AB701" s="9" t="s">
        <v>1562</v>
      </c>
      <c r="AC701" s="9" t="s">
        <v>6826</v>
      </c>
      <c r="AD701" s="9" t="s">
        <v>1674</v>
      </c>
      <c r="AE701" s="8">
        <v>27</v>
      </c>
      <c r="AF701" s="8">
        <v>47</v>
      </c>
      <c r="AG701" s="13">
        <v>129000</v>
      </c>
      <c r="AH701" s="13">
        <v>181000</v>
      </c>
      <c r="AI701" s="13" t="s">
        <v>425</v>
      </c>
      <c r="AJ701" s="14" t="s">
        <v>276</v>
      </c>
      <c r="AK701" s="31">
        <f t="shared" ref="AK701:AK723" si="85">AE701*1000/AG701</f>
        <v>0.20930232558139536</v>
      </c>
      <c r="AL701" s="14" t="s">
        <v>276</v>
      </c>
      <c r="AM701" s="14" t="s">
        <v>276</v>
      </c>
      <c r="AN701" s="14" t="s">
        <v>276</v>
      </c>
      <c r="AO701" s="31">
        <f t="shared" ref="AO701:AO723" si="86">AF701*1000/AH701</f>
        <v>0.25966850828729282</v>
      </c>
      <c r="AP701" s="14" t="s">
        <v>276</v>
      </c>
      <c r="AQ701" s="14" t="s">
        <v>276</v>
      </c>
      <c r="AR701" s="8" t="s">
        <v>269</v>
      </c>
      <c r="AS701" s="14">
        <v>0.86</v>
      </c>
      <c r="AT701" s="31">
        <f t="shared" ref="AT701:AT723" si="87">AK701/AO701</f>
        <v>0.80603661553686301</v>
      </c>
      <c r="AU701" s="14">
        <v>0.54</v>
      </c>
      <c r="AV701" s="14">
        <v>1.37</v>
      </c>
      <c r="AW701" s="8" t="s">
        <v>276</v>
      </c>
      <c r="AX701" s="9" t="s">
        <v>282</v>
      </c>
      <c r="AY701" s="14" t="s">
        <v>98</v>
      </c>
      <c r="AZ701" s="14" t="s">
        <v>98</v>
      </c>
      <c r="BA701" s="14" t="s">
        <v>98</v>
      </c>
      <c r="BB701" s="14" t="s">
        <v>98</v>
      </c>
      <c r="BC701" s="9" t="s">
        <v>6828</v>
      </c>
      <c r="BD701" s="9" t="s">
        <v>6829</v>
      </c>
      <c r="BE701" s="33" t="s">
        <v>100</v>
      </c>
      <c r="BF701" s="33" t="s">
        <v>98</v>
      </c>
    </row>
    <row r="702" spans="1:58" s="7" customFormat="1" ht="78" x14ac:dyDescent="0.3">
      <c r="A702" s="8">
        <v>4017</v>
      </c>
      <c r="B702" s="9" t="s">
        <v>6819</v>
      </c>
      <c r="C702" s="9" t="s">
        <v>58</v>
      </c>
      <c r="D702" s="9" t="s">
        <v>6830</v>
      </c>
      <c r="E702" s="8" t="s">
        <v>35</v>
      </c>
      <c r="F702" s="9" t="s">
        <v>97</v>
      </c>
      <c r="G702" s="8" t="s">
        <v>225</v>
      </c>
      <c r="H702" s="8" t="s">
        <v>125</v>
      </c>
      <c r="I702" s="8" t="s">
        <v>105</v>
      </c>
      <c r="J702" s="9" t="s">
        <v>24</v>
      </c>
      <c r="K702" s="9" t="s">
        <v>6821</v>
      </c>
      <c r="L702" s="9" t="s">
        <v>276</v>
      </c>
      <c r="M702" s="8" t="s">
        <v>15</v>
      </c>
      <c r="N702" s="12" t="s">
        <v>6822</v>
      </c>
      <c r="O702" s="12" t="s">
        <v>207</v>
      </c>
      <c r="P702" s="41">
        <v>32873</v>
      </c>
      <c r="Q702" s="9" t="s">
        <v>276</v>
      </c>
      <c r="R702" s="38" t="s">
        <v>6823</v>
      </c>
      <c r="S702" s="9" t="s">
        <v>6824</v>
      </c>
      <c r="T702" s="9" t="s">
        <v>6825</v>
      </c>
      <c r="U702" s="13">
        <v>20724</v>
      </c>
      <c r="V702" s="38">
        <v>28809</v>
      </c>
      <c r="W702" s="8" t="s">
        <v>276</v>
      </c>
      <c r="X702" s="8" t="s">
        <v>276</v>
      </c>
      <c r="Y702" s="8" t="s">
        <v>276</v>
      </c>
      <c r="Z702" s="9" t="s">
        <v>1562</v>
      </c>
      <c r="AA702" s="8" t="s">
        <v>276</v>
      </c>
      <c r="AB702" s="9" t="s">
        <v>1562</v>
      </c>
      <c r="AC702" s="9" t="s">
        <v>6831</v>
      </c>
      <c r="AD702" s="9" t="s">
        <v>1674</v>
      </c>
      <c r="AE702" s="8">
        <v>25</v>
      </c>
      <c r="AF702" s="8">
        <v>44</v>
      </c>
      <c r="AG702" s="13">
        <v>129000</v>
      </c>
      <c r="AH702" s="13">
        <v>181000</v>
      </c>
      <c r="AI702" s="13" t="s">
        <v>425</v>
      </c>
      <c r="AJ702" s="14" t="s">
        <v>276</v>
      </c>
      <c r="AK702" s="31">
        <f t="shared" si="85"/>
        <v>0.19379844961240311</v>
      </c>
      <c r="AL702" s="14" t="s">
        <v>276</v>
      </c>
      <c r="AM702" s="14" t="s">
        <v>276</v>
      </c>
      <c r="AN702" s="14" t="s">
        <v>276</v>
      </c>
      <c r="AO702" s="31">
        <f t="shared" si="86"/>
        <v>0.24309392265193369</v>
      </c>
      <c r="AP702" s="14" t="s">
        <v>276</v>
      </c>
      <c r="AQ702" s="14" t="s">
        <v>276</v>
      </c>
      <c r="AR702" s="8" t="s">
        <v>269</v>
      </c>
      <c r="AS702" s="14">
        <v>0.84</v>
      </c>
      <c r="AT702" s="31">
        <f t="shared" si="87"/>
        <v>0.79721634954193099</v>
      </c>
      <c r="AU702" s="14">
        <v>0.51</v>
      </c>
      <c r="AV702" s="14">
        <v>1.39</v>
      </c>
      <c r="AW702" s="8" t="s">
        <v>276</v>
      </c>
      <c r="AX702" s="9" t="s">
        <v>282</v>
      </c>
      <c r="AY702" s="14" t="s">
        <v>98</v>
      </c>
      <c r="AZ702" s="14" t="s">
        <v>98</v>
      </c>
      <c r="BA702" s="14" t="s">
        <v>98</v>
      </c>
      <c r="BB702" s="14" t="s">
        <v>98</v>
      </c>
      <c r="BC702" s="9" t="s">
        <v>763</v>
      </c>
      <c r="BD702" s="9" t="s">
        <v>6832</v>
      </c>
      <c r="BE702" s="33" t="s">
        <v>100</v>
      </c>
      <c r="BF702" s="33" t="s">
        <v>98</v>
      </c>
    </row>
    <row r="703" spans="1:58" s="103" customFormat="1" ht="78" x14ac:dyDescent="0.3">
      <c r="A703" s="94">
        <v>4055</v>
      </c>
      <c r="B703" s="95" t="s">
        <v>6833</v>
      </c>
      <c r="C703" s="95" t="s">
        <v>58</v>
      </c>
      <c r="D703" s="95" t="s">
        <v>6834</v>
      </c>
      <c r="E703" s="94" t="s">
        <v>35</v>
      </c>
      <c r="F703" s="95" t="s">
        <v>97</v>
      </c>
      <c r="G703" s="94" t="s">
        <v>225</v>
      </c>
      <c r="H703" s="94" t="s">
        <v>125</v>
      </c>
      <c r="I703" s="94" t="s">
        <v>113</v>
      </c>
      <c r="J703" s="95" t="s">
        <v>24</v>
      </c>
      <c r="K703" s="95" t="s">
        <v>6835</v>
      </c>
      <c r="L703" s="95" t="s">
        <v>276</v>
      </c>
      <c r="M703" s="94" t="s">
        <v>15</v>
      </c>
      <c r="N703" s="96" t="s">
        <v>6836</v>
      </c>
      <c r="O703" s="96" t="s">
        <v>207</v>
      </c>
      <c r="P703" s="97">
        <v>34699</v>
      </c>
      <c r="Q703" s="95" t="s">
        <v>276</v>
      </c>
      <c r="R703" s="95" t="s">
        <v>6837</v>
      </c>
      <c r="S703" s="95" t="s">
        <v>6838</v>
      </c>
      <c r="T703" s="95" t="s">
        <v>6825</v>
      </c>
      <c r="U703" s="98">
        <v>11724</v>
      </c>
      <c r="V703" s="99">
        <v>14217</v>
      </c>
      <c r="W703" s="94" t="s">
        <v>276</v>
      </c>
      <c r="X703" s="94" t="s">
        <v>276</v>
      </c>
      <c r="Y703" s="94" t="s">
        <v>276</v>
      </c>
      <c r="Z703" s="95" t="s">
        <v>1562</v>
      </c>
      <c r="AA703" s="94" t="s">
        <v>276</v>
      </c>
      <c r="AB703" s="95" t="s">
        <v>1562</v>
      </c>
      <c r="AC703" s="95" t="s">
        <v>6839</v>
      </c>
      <c r="AD703" s="95" t="s">
        <v>1674</v>
      </c>
      <c r="AE703" s="94">
        <v>18</v>
      </c>
      <c r="AF703" s="94">
        <v>40</v>
      </c>
      <c r="AG703" s="98">
        <v>138402</v>
      </c>
      <c r="AH703" s="98">
        <v>168025</v>
      </c>
      <c r="AI703" s="98" t="s">
        <v>425</v>
      </c>
      <c r="AJ703" s="102" t="s">
        <v>276</v>
      </c>
      <c r="AK703" s="101">
        <f t="shared" si="85"/>
        <v>0.13005592404734034</v>
      </c>
      <c r="AL703" s="102" t="s">
        <v>276</v>
      </c>
      <c r="AM703" s="102" t="s">
        <v>276</v>
      </c>
      <c r="AN703" s="102" t="s">
        <v>276</v>
      </c>
      <c r="AO703" s="101">
        <f t="shared" si="86"/>
        <v>0.23805981252789762</v>
      </c>
      <c r="AP703" s="102" t="s">
        <v>276</v>
      </c>
      <c r="AQ703" s="102" t="s">
        <v>276</v>
      </c>
      <c r="AR703" s="94" t="s">
        <v>269</v>
      </c>
      <c r="AS703" s="102">
        <v>0.55000000000000004</v>
      </c>
      <c r="AT703" s="101">
        <f t="shared" si="87"/>
        <v>0.54631616595135901</v>
      </c>
      <c r="AU703" s="102">
        <v>0.31</v>
      </c>
      <c r="AV703" s="102">
        <v>0.96</v>
      </c>
      <c r="AW703" s="94">
        <v>3.5000000000000003E-2</v>
      </c>
      <c r="AX703" s="95" t="s">
        <v>282</v>
      </c>
      <c r="AY703" s="94" t="s">
        <v>98</v>
      </c>
      <c r="AZ703" s="94" t="s">
        <v>98</v>
      </c>
      <c r="BA703" s="94" t="s">
        <v>98</v>
      </c>
      <c r="BB703" s="94" t="s">
        <v>98</v>
      </c>
      <c r="BC703" s="95" t="s">
        <v>6840</v>
      </c>
      <c r="BD703" s="95" t="s">
        <v>6841</v>
      </c>
      <c r="BE703" s="33" t="s">
        <v>100</v>
      </c>
      <c r="BF703" s="33" t="s">
        <v>98</v>
      </c>
    </row>
    <row r="704" spans="1:58" s="103" customFormat="1" ht="169" x14ac:dyDescent="0.3">
      <c r="A704" s="94">
        <v>4055</v>
      </c>
      <c r="B704" s="95" t="s">
        <v>6833</v>
      </c>
      <c r="C704" s="95" t="s">
        <v>58</v>
      </c>
      <c r="D704" s="95" t="s">
        <v>6842</v>
      </c>
      <c r="E704" s="94" t="s">
        <v>35</v>
      </c>
      <c r="F704" s="95" t="s">
        <v>97</v>
      </c>
      <c r="G704" s="94" t="s">
        <v>225</v>
      </c>
      <c r="H704" s="94" t="s">
        <v>125</v>
      </c>
      <c r="I704" s="94" t="s">
        <v>113</v>
      </c>
      <c r="J704" s="95" t="s">
        <v>24</v>
      </c>
      <c r="K704" s="95" t="s">
        <v>6835</v>
      </c>
      <c r="L704" s="95" t="s">
        <v>276</v>
      </c>
      <c r="M704" s="94" t="s">
        <v>15</v>
      </c>
      <c r="N704" s="96" t="s">
        <v>6836</v>
      </c>
      <c r="O704" s="96" t="s">
        <v>207</v>
      </c>
      <c r="P704" s="97">
        <v>34699</v>
      </c>
      <c r="Q704" s="95" t="s">
        <v>276</v>
      </c>
      <c r="R704" s="95" t="s">
        <v>6837</v>
      </c>
      <c r="S704" s="95" t="s">
        <v>6838</v>
      </c>
      <c r="T704" s="95" t="s">
        <v>6825</v>
      </c>
      <c r="U704" s="98">
        <v>11724</v>
      </c>
      <c r="V704" s="99">
        <v>14217</v>
      </c>
      <c r="W704" s="94" t="s">
        <v>276</v>
      </c>
      <c r="X704" s="94" t="s">
        <v>276</v>
      </c>
      <c r="Y704" s="94" t="s">
        <v>276</v>
      </c>
      <c r="Z704" s="95" t="s">
        <v>1562</v>
      </c>
      <c r="AA704" s="94" t="s">
        <v>276</v>
      </c>
      <c r="AB704" s="95" t="s">
        <v>1562</v>
      </c>
      <c r="AC704" s="95" t="s">
        <v>6843</v>
      </c>
      <c r="AD704" s="95" t="s">
        <v>1674</v>
      </c>
      <c r="AE704" s="94">
        <v>18</v>
      </c>
      <c r="AF704" s="94">
        <v>36</v>
      </c>
      <c r="AG704" s="98">
        <v>138402</v>
      </c>
      <c r="AH704" s="98">
        <v>168025</v>
      </c>
      <c r="AI704" s="98" t="s">
        <v>425</v>
      </c>
      <c r="AJ704" s="102" t="s">
        <v>276</v>
      </c>
      <c r="AK704" s="101">
        <f t="shared" si="85"/>
        <v>0.13005592404734034</v>
      </c>
      <c r="AL704" s="102" t="s">
        <v>276</v>
      </c>
      <c r="AM704" s="102" t="s">
        <v>276</v>
      </c>
      <c r="AN704" s="102" t="s">
        <v>276</v>
      </c>
      <c r="AO704" s="101">
        <f t="shared" si="86"/>
        <v>0.21425383127510786</v>
      </c>
      <c r="AP704" s="102" t="s">
        <v>276</v>
      </c>
      <c r="AQ704" s="102" t="s">
        <v>276</v>
      </c>
      <c r="AR704" s="94" t="s">
        <v>269</v>
      </c>
      <c r="AS704" s="102" t="s">
        <v>276</v>
      </c>
      <c r="AT704" s="101">
        <f t="shared" si="87"/>
        <v>0.60701796216817672</v>
      </c>
      <c r="AU704" s="102" t="s">
        <v>276</v>
      </c>
      <c r="AV704" s="102" t="s">
        <v>276</v>
      </c>
      <c r="AW704" s="94" t="s">
        <v>276</v>
      </c>
      <c r="AX704" s="95" t="s">
        <v>6844</v>
      </c>
      <c r="AY704" s="94">
        <v>0.56000000000000005</v>
      </c>
      <c r="AZ704" s="94">
        <v>0.31</v>
      </c>
      <c r="BA704" s="94">
        <v>0.99</v>
      </c>
      <c r="BB704" s="94">
        <v>4.5999999999999999E-2</v>
      </c>
      <c r="BC704" s="95" t="s">
        <v>6845</v>
      </c>
      <c r="BD704" s="95" t="s">
        <v>6841</v>
      </c>
      <c r="BE704" s="33" t="s">
        <v>100</v>
      </c>
      <c r="BF704" s="33" t="s">
        <v>98</v>
      </c>
    </row>
    <row r="705" spans="1:58" s="208" customFormat="1" ht="52" x14ac:dyDescent="0.3">
      <c r="A705" s="112">
        <v>4055</v>
      </c>
      <c r="B705" s="113" t="s">
        <v>6833</v>
      </c>
      <c r="C705" s="113" t="s">
        <v>58</v>
      </c>
      <c r="D705" s="113" t="s">
        <v>6846</v>
      </c>
      <c r="E705" s="112" t="s">
        <v>35</v>
      </c>
      <c r="F705" s="113" t="s">
        <v>97</v>
      </c>
      <c r="G705" s="112" t="s">
        <v>225</v>
      </c>
      <c r="H705" s="112" t="s">
        <v>125</v>
      </c>
      <c r="I705" s="112" t="s">
        <v>113</v>
      </c>
      <c r="J705" s="113" t="s">
        <v>23</v>
      </c>
      <c r="K705" s="113" t="s">
        <v>6835</v>
      </c>
      <c r="L705" s="113" t="s">
        <v>276</v>
      </c>
      <c r="M705" s="112" t="s">
        <v>15</v>
      </c>
      <c r="N705" s="117" t="s">
        <v>6836</v>
      </c>
      <c r="O705" s="117" t="s">
        <v>207</v>
      </c>
      <c r="P705" s="205">
        <v>34699</v>
      </c>
      <c r="Q705" s="113" t="s">
        <v>276</v>
      </c>
      <c r="R705" s="113" t="s">
        <v>6837</v>
      </c>
      <c r="S705" s="113" t="s">
        <v>6838</v>
      </c>
      <c r="T705" s="113" t="s">
        <v>6825</v>
      </c>
      <c r="U705" s="118">
        <v>11724</v>
      </c>
      <c r="V705" s="119">
        <v>14217</v>
      </c>
      <c r="W705" s="112" t="s">
        <v>276</v>
      </c>
      <c r="X705" s="112" t="s">
        <v>276</v>
      </c>
      <c r="Y705" s="112">
        <v>0</v>
      </c>
      <c r="Z705" s="113" t="s">
        <v>98</v>
      </c>
      <c r="AA705" s="112">
        <v>0</v>
      </c>
      <c r="AB705" s="113" t="s">
        <v>98</v>
      </c>
      <c r="AC705" s="113" t="s">
        <v>6847</v>
      </c>
      <c r="AD705" s="113" t="s">
        <v>1674</v>
      </c>
      <c r="AE705" s="112">
        <v>409</v>
      </c>
      <c r="AF705" s="112">
        <v>506</v>
      </c>
      <c r="AG705" s="118">
        <v>138402</v>
      </c>
      <c r="AH705" s="118">
        <v>168025</v>
      </c>
      <c r="AI705" s="118" t="s">
        <v>425</v>
      </c>
      <c r="AJ705" s="121">
        <v>2.96</v>
      </c>
      <c r="AK705" s="207">
        <f t="shared" si="85"/>
        <v>2.9551596075201227</v>
      </c>
      <c r="AL705" s="121" t="s">
        <v>276</v>
      </c>
      <c r="AM705" s="121" t="s">
        <v>276</v>
      </c>
      <c r="AN705" s="121">
        <v>3.03</v>
      </c>
      <c r="AO705" s="207">
        <f t="shared" si="86"/>
        <v>3.0114566284779052</v>
      </c>
      <c r="AP705" s="121" t="s">
        <v>276</v>
      </c>
      <c r="AQ705" s="121" t="s">
        <v>276</v>
      </c>
      <c r="AR705" s="112" t="s">
        <v>269</v>
      </c>
      <c r="AS705" s="121">
        <v>0.98</v>
      </c>
      <c r="AT705" s="207">
        <f t="shared" si="87"/>
        <v>0.9813057174971711</v>
      </c>
      <c r="AU705" s="121">
        <v>0.86</v>
      </c>
      <c r="AV705" s="121">
        <v>1.1200000000000001</v>
      </c>
      <c r="AW705" s="112" t="s">
        <v>691</v>
      </c>
      <c r="AX705" s="113" t="s">
        <v>282</v>
      </c>
      <c r="AY705" s="112" t="s">
        <v>98</v>
      </c>
      <c r="AZ705" s="112" t="s">
        <v>98</v>
      </c>
      <c r="BA705" s="112" t="s">
        <v>98</v>
      </c>
      <c r="BB705" s="112" t="s">
        <v>98</v>
      </c>
      <c r="BC705" s="113" t="s">
        <v>6848</v>
      </c>
      <c r="BD705" s="113" t="s">
        <v>6841</v>
      </c>
      <c r="BE705" s="33" t="s">
        <v>100</v>
      </c>
      <c r="BF705" s="33" t="s">
        <v>98</v>
      </c>
    </row>
    <row r="706" spans="1:58" s="202" customFormat="1" ht="78" x14ac:dyDescent="0.3">
      <c r="A706" s="175">
        <v>4021</v>
      </c>
      <c r="B706" s="176" t="s">
        <v>6849</v>
      </c>
      <c r="C706" s="176" t="s">
        <v>58</v>
      </c>
      <c r="D706" s="176" t="s">
        <v>6850</v>
      </c>
      <c r="E706" s="175" t="s">
        <v>35</v>
      </c>
      <c r="F706" s="176" t="s">
        <v>97</v>
      </c>
      <c r="G706" s="175" t="s">
        <v>225</v>
      </c>
      <c r="H706" s="175" t="s">
        <v>125</v>
      </c>
      <c r="I706" s="175" t="s">
        <v>113</v>
      </c>
      <c r="J706" s="176" t="s">
        <v>24</v>
      </c>
      <c r="K706" s="176" t="s">
        <v>6851</v>
      </c>
      <c r="L706" s="176" t="s">
        <v>276</v>
      </c>
      <c r="M706" s="175" t="s">
        <v>15</v>
      </c>
      <c r="N706" s="198" t="s">
        <v>3032</v>
      </c>
      <c r="O706" s="199" t="s">
        <v>207</v>
      </c>
      <c r="P706" s="200">
        <v>34334</v>
      </c>
      <c r="Q706" s="176" t="s">
        <v>276</v>
      </c>
      <c r="R706" s="176" t="s">
        <v>6852</v>
      </c>
      <c r="S706" s="176" t="s">
        <v>6852</v>
      </c>
      <c r="T706" s="176" t="s">
        <v>6825</v>
      </c>
      <c r="U706" s="180">
        <v>10821</v>
      </c>
      <c r="V706" s="179">
        <v>13101</v>
      </c>
      <c r="W706" s="175" t="s">
        <v>276</v>
      </c>
      <c r="X706" s="175" t="s">
        <v>276</v>
      </c>
      <c r="Y706" s="175" t="s">
        <v>276</v>
      </c>
      <c r="Z706" s="176" t="s">
        <v>1562</v>
      </c>
      <c r="AA706" s="175" t="s">
        <v>276</v>
      </c>
      <c r="AB706" s="176" t="s">
        <v>1562</v>
      </c>
      <c r="AC706" s="176" t="s">
        <v>6853</v>
      </c>
      <c r="AD706" s="176" t="s">
        <v>1674</v>
      </c>
      <c r="AE706" s="175">
        <v>16</v>
      </c>
      <c r="AF706" s="175">
        <v>33</v>
      </c>
      <c r="AG706" s="180">
        <v>106000</v>
      </c>
      <c r="AH706" s="180">
        <v>129000</v>
      </c>
      <c r="AI706" s="180" t="s">
        <v>425</v>
      </c>
      <c r="AJ706" s="181" t="s">
        <v>276</v>
      </c>
      <c r="AK706" s="201">
        <f t="shared" si="85"/>
        <v>0.15094339622641509</v>
      </c>
      <c r="AL706" s="181" t="s">
        <v>276</v>
      </c>
      <c r="AM706" s="181" t="s">
        <v>276</v>
      </c>
      <c r="AN706" s="181" t="s">
        <v>276</v>
      </c>
      <c r="AO706" s="201">
        <f t="shared" si="86"/>
        <v>0.2558139534883721</v>
      </c>
      <c r="AP706" s="181" t="s">
        <v>276</v>
      </c>
      <c r="AQ706" s="181" t="s">
        <v>276</v>
      </c>
      <c r="AR706" s="175" t="s">
        <v>269</v>
      </c>
      <c r="AS706" s="181">
        <v>0.59</v>
      </c>
      <c r="AT706" s="201">
        <f t="shared" si="87"/>
        <v>0.59005145797598624</v>
      </c>
      <c r="AU706" s="181">
        <v>0.33</v>
      </c>
      <c r="AV706" s="181">
        <v>1.06</v>
      </c>
      <c r="AW706" s="175" t="s">
        <v>276</v>
      </c>
      <c r="AX706" s="176" t="s">
        <v>282</v>
      </c>
      <c r="AY706" s="175" t="s">
        <v>98</v>
      </c>
      <c r="AZ706" s="175" t="s">
        <v>98</v>
      </c>
      <c r="BA706" s="175" t="s">
        <v>98</v>
      </c>
      <c r="BB706" s="175" t="s">
        <v>98</v>
      </c>
      <c r="BC706" s="176" t="s">
        <v>426</v>
      </c>
      <c r="BD706" s="176" t="s">
        <v>6827</v>
      </c>
      <c r="BE706" s="33" t="s">
        <v>100</v>
      </c>
      <c r="BF706" s="33" t="s">
        <v>98</v>
      </c>
    </row>
    <row r="707" spans="1:58" s="253" customFormat="1" ht="65" x14ac:dyDescent="0.3">
      <c r="A707" s="244">
        <v>4981</v>
      </c>
      <c r="B707" s="245" t="s">
        <v>6854</v>
      </c>
      <c r="C707" s="245" t="s">
        <v>58</v>
      </c>
      <c r="D707" s="245" t="s">
        <v>6855</v>
      </c>
      <c r="E707" s="244" t="s">
        <v>35</v>
      </c>
      <c r="F707" s="245" t="s">
        <v>97</v>
      </c>
      <c r="G707" s="244" t="s">
        <v>225</v>
      </c>
      <c r="H707" s="244" t="s">
        <v>125</v>
      </c>
      <c r="I707" s="244" t="s">
        <v>113</v>
      </c>
      <c r="J707" s="245" t="s">
        <v>24</v>
      </c>
      <c r="K707" s="245" t="s">
        <v>6856</v>
      </c>
      <c r="L707" s="245" t="s">
        <v>276</v>
      </c>
      <c r="M707" s="244" t="s">
        <v>15</v>
      </c>
      <c r="N707" s="247" t="s">
        <v>6822</v>
      </c>
      <c r="O707" s="247" t="s">
        <v>207</v>
      </c>
      <c r="P707" s="248">
        <v>35430</v>
      </c>
      <c r="Q707" s="245" t="s">
        <v>276</v>
      </c>
      <c r="R707" s="245" t="s">
        <v>6857</v>
      </c>
      <c r="S707" s="245" t="s">
        <v>6858</v>
      </c>
      <c r="T707" s="245" t="s">
        <v>6859</v>
      </c>
      <c r="U707" s="249">
        <v>21000</v>
      </c>
      <c r="V707" s="250">
        <v>29200</v>
      </c>
      <c r="W707" s="244" t="s">
        <v>276</v>
      </c>
      <c r="X707" s="244" t="s">
        <v>276</v>
      </c>
      <c r="Y707" s="244" t="s">
        <v>276</v>
      </c>
      <c r="Z707" s="245" t="s">
        <v>1562</v>
      </c>
      <c r="AA707" s="244" t="s">
        <v>276</v>
      </c>
      <c r="AB707" s="245" t="s">
        <v>1562</v>
      </c>
      <c r="AC707" s="245" t="s">
        <v>6860</v>
      </c>
      <c r="AD707" s="245" t="s">
        <v>1674</v>
      </c>
      <c r="AE707" s="244">
        <v>62</v>
      </c>
      <c r="AF707" s="244">
        <v>113</v>
      </c>
      <c r="AG707" s="249">
        <v>268000</v>
      </c>
      <c r="AH707" s="249">
        <v>373000</v>
      </c>
      <c r="AI707" s="249" t="s">
        <v>425</v>
      </c>
      <c r="AJ707" s="251" t="s">
        <v>276</v>
      </c>
      <c r="AK707" s="252">
        <f t="shared" si="85"/>
        <v>0.23134328358208955</v>
      </c>
      <c r="AL707" s="251" t="s">
        <v>276</v>
      </c>
      <c r="AM707" s="251" t="s">
        <v>276</v>
      </c>
      <c r="AN707" s="251" t="s">
        <v>276</v>
      </c>
      <c r="AO707" s="252">
        <f t="shared" si="86"/>
        <v>0.30294906166219837</v>
      </c>
      <c r="AP707" s="251" t="s">
        <v>276</v>
      </c>
      <c r="AQ707" s="251" t="s">
        <v>276</v>
      </c>
      <c r="AR707" s="244" t="s">
        <v>269</v>
      </c>
      <c r="AS707" s="251">
        <v>0.76</v>
      </c>
      <c r="AT707" s="252">
        <f t="shared" si="87"/>
        <v>0.76363756439043728</v>
      </c>
      <c r="AU707" s="251">
        <v>0.56000000000000005</v>
      </c>
      <c r="AV707" s="251">
        <v>1.04</v>
      </c>
      <c r="AW707" s="244" t="s">
        <v>276</v>
      </c>
      <c r="AX707" s="346" t="s">
        <v>5414</v>
      </c>
      <c r="AY707" s="251">
        <v>0.78</v>
      </c>
      <c r="AZ707" s="251">
        <v>0.56999999999999995</v>
      </c>
      <c r="BA707" s="251">
        <v>1.07</v>
      </c>
      <c r="BB707" s="244" t="s">
        <v>276</v>
      </c>
      <c r="BC707" s="245" t="s">
        <v>1020</v>
      </c>
      <c r="BD707" s="245" t="s">
        <v>6827</v>
      </c>
      <c r="BE707" s="33" t="s">
        <v>100</v>
      </c>
      <c r="BF707" s="33" t="s">
        <v>98</v>
      </c>
    </row>
    <row r="708" spans="1:58" s="263" customFormat="1" ht="52" x14ac:dyDescent="0.3">
      <c r="A708" s="254">
        <v>4981</v>
      </c>
      <c r="B708" s="255" t="s">
        <v>6854</v>
      </c>
      <c r="C708" s="255" t="s">
        <v>58</v>
      </c>
      <c r="D708" s="255" t="s">
        <v>6861</v>
      </c>
      <c r="E708" s="254" t="s">
        <v>35</v>
      </c>
      <c r="F708" s="255" t="s">
        <v>97</v>
      </c>
      <c r="G708" s="254" t="s">
        <v>225</v>
      </c>
      <c r="H708" s="254" t="s">
        <v>125</v>
      </c>
      <c r="I708" s="254" t="s">
        <v>113</v>
      </c>
      <c r="J708" s="255" t="s">
        <v>23</v>
      </c>
      <c r="K708" s="255" t="s">
        <v>6862</v>
      </c>
      <c r="L708" s="255" t="s">
        <v>276</v>
      </c>
      <c r="M708" s="254" t="s">
        <v>15</v>
      </c>
      <c r="N708" s="257" t="s">
        <v>6822</v>
      </c>
      <c r="O708" s="257" t="s">
        <v>207</v>
      </c>
      <c r="P708" s="258">
        <v>35430</v>
      </c>
      <c r="Q708" s="255" t="s">
        <v>276</v>
      </c>
      <c r="R708" s="255" t="s">
        <v>6857</v>
      </c>
      <c r="S708" s="255" t="s">
        <v>6858</v>
      </c>
      <c r="T708" s="255" t="s">
        <v>6859</v>
      </c>
      <c r="U708" s="259">
        <v>21000</v>
      </c>
      <c r="V708" s="260">
        <v>29200</v>
      </c>
      <c r="W708" s="254" t="s">
        <v>276</v>
      </c>
      <c r="X708" s="254" t="s">
        <v>276</v>
      </c>
      <c r="Y708" s="254">
        <v>0</v>
      </c>
      <c r="Z708" s="255" t="s">
        <v>98</v>
      </c>
      <c r="AA708" s="254">
        <v>0</v>
      </c>
      <c r="AB708" s="255" t="s">
        <v>98</v>
      </c>
      <c r="AC708" s="255" t="s">
        <v>6863</v>
      </c>
      <c r="AD708" s="255" t="s">
        <v>1674</v>
      </c>
      <c r="AE708" s="254">
        <v>1430</v>
      </c>
      <c r="AF708" s="254">
        <v>2241</v>
      </c>
      <c r="AG708" s="259">
        <v>268000</v>
      </c>
      <c r="AH708" s="259">
        <v>373000</v>
      </c>
      <c r="AI708" s="259" t="s">
        <v>425</v>
      </c>
      <c r="AJ708" s="261" t="s">
        <v>276</v>
      </c>
      <c r="AK708" s="262">
        <f t="shared" si="85"/>
        <v>5.3358208955223878</v>
      </c>
      <c r="AL708" s="261" t="s">
        <v>276</v>
      </c>
      <c r="AM708" s="261" t="s">
        <v>276</v>
      </c>
      <c r="AN708" s="261" t="s">
        <v>276</v>
      </c>
      <c r="AO708" s="262">
        <f t="shared" si="86"/>
        <v>6.008042895442359</v>
      </c>
      <c r="AP708" s="261" t="s">
        <v>276</v>
      </c>
      <c r="AQ708" s="261" t="s">
        <v>276</v>
      </c>
      <c r="AR708" s="254" t="s">
        <v>269</v>
      </c>
      <c r="AS708" s="261">
        <v>0.94</v>
      </c>
      <c r="AT708" s="262">
        <f t="shared" si="87"/>
        <v>0.88811298261037519</v>
      </c>
      <c r="AU708" s="261">
        <v>0.88</v>
      </c>
      <c r="AV708" s="261">
        <v>1</v>
      </c>
      <c r="AW708" s="254" t="s">
        <v>276</v>
      </c>
      <c r="AX708" s="255" t="s">
        <v>282</v>
      </c>
      <c r="AY708" s="254" t="s">
        <v>98</v>
      </c>
      <c r="AZ708" s="254" t="s">
        <v>98</v>
      </c>
      <c r="BA708" s="254" t="s">
        <v>98</v>
      </c>
      <c r="BB708" s="254" t="s">
        <v>98</v>
      </c>
      <c r="BC708" s="255" t="s">
        <v>3834</v>
      </c>
      <c r="BD708" s="255" t="s">
        <v>6827</v>
      </c>
      <c r="BE708" s="33" t="s">
        <v>100</v>
      </c>
      <c r="BF708" s="33" t="s">
        <v>98</v>
      </c>
    </row>
    <row r="709" spans="1:58" s="7" customFormat="1" ht="91" x14ac:dyDescent="0.3">
      <c r="A709" s="8">
        <v>4053</v>
      </c>
      <c r="B709" s="9" t="s">
        <v>6864</v>
      </c>
      <c r="C709" s="9" t="s">
        <v>58</v>
      </c>
      <c r="D709" s="9" t="s">
        <v>6865</v>
      </c>
      <c r="E709" s="8" t="s">
        <v>35</v>
      </c>
      <c r="F709" s="9" t="s">
        <v>97</v>
      </c>
      <c r="G709" s="8" t="s">
        <v>225</v>
      </c>
      <c r="H709" s="8" t="s">
        <v>125</v>
      </c>
      <c r="I709" s="8" t="s">
        <v>113</v>
      </c>
      <c r="J709" s="9" t="s">
        <v>24</v>
      </c>
      <c r="K709" s="9" t="s">
        <v>6866</v>
      </c>
      <c r="L709" s="9" t="s">
        <v>276</v>
      </c>
      <c r="M709" s="8" t="s">
        <v>14</v>
      </c>
      <c r="N709" s="11" t="s">
        <v>98</v>
      </c>
      <c r="O709" s="12" t="s">
        <v>207</v>
      </c>
      <c r="P709" s="41">
        <v>35430</v>
      </c>
      <c r="Q709" s="9" t="s">
        <v>419</v>
      </c>
      <c r="R709" s="9" t="s">
        <v>276</v>
      </c>
      <c r="S709" s="9" t="s">
        <v>276</v>
      </c>
      <c r="T709" s="9" t="s">
        <v>6859</v>
      </c>
      <c r="U709" s="13">
        <v>21650</v>
      </c>
      <c r="V709" s="38">
        <v>29961</v>
      </c>
      <c r="W709" s="8" t="s">
        <v>276</v>
      </c>
      <c r="X709" s="8" t="s">
        <v>276</v>
      </c>
      <c r="Y709" s="8" t="s">
        <v>276</v>
      </c>
      <c r="Z709" s="9" t="s">
        <v>894</v>
      </c>
      <c r="AA709" s="9" t="s">
        <v>276</v>
      </c>
      <c r="AB709" s="9" t="s">
        <v>894</v>
      </c>
      <c r="AC709" s="9" t="s">
        <v>6867</v>
      </c>
      <c r="AD709" s="9" t="s">
        <v>2034</v>
      </c>
      <c r="AE709" s="8">
        <v>63</v>
      </c>
      <c r="AF709" s="8">
        <v>112</v>
      </c>
      <c r="AG709" s="13">
        <v>21650</v>
      </c>
      <c r="AH709" s="38">
        <v>29961</v>
      </c>
      <c r="AI709" s="38" t="s">
        <v>281</v>
      </c>
      <c r="AJ709" s="14" t="s">
        <v>276</v>
      </c>
      <c r="AK709" s="31">
        <f t="shared" si="85"/>
        <v>2.9099307159353347</v>
      </c>
      <c r="AL709" s="14" t="s">
        <v>276</v>
      </c>
      <c r="AM709" s="14" t="s">
        <v>276</v>
      </c>
      <c r="AN709" s="14" t="s">
        <v>276</v>
      </c>
      <c r="AO709" s="31">
        <f t="shared" si="86"/>
        <v>3.7381929842128101</v>
      </c>
      <c r="AP709" s="14" t="s">
        <v>276</v>
      </c>
      <c r="AQ709" s="14" t="s">
        <v>276</v>
      </c>
      <c r="AR709" s="8" t="s">
        <v>268</v>
      </c>
      <c r="AS709" s="14" t="s">
        <v>276</v>
      </c>
      <c r="AT709" s="31">
        <f t="shared" si="87"/>
        <v>0.77843244803695144</v>
      </c>
      <c r="AU709" s="14" t="s">
        <v>276</v>
      </c>
      <c r="AV709" s="14" t="s">
        <v>276</v>
      </c>
      <c r="AW709" s="8" t="s">
        <v>276</v>
      </c>
      <c r="AX709" s="9" t="s">
        <v>6868</v>
      </c>
      <c r="AY709" s="8">
        <v>0.79</v>
      </c>
      <c r="AZ709" s="8">
        <v>0.57999999999999996</v>
      </c>
      <c r="BA709" s="8">
        <v>1.08</v>
      </c>
      <c r="BB709" s="8">
        <v>0.14000000000000001</v>
      </c>
      <c r="BC709" s="9" t="s">
        <v>6869</v>
      </c>
      <c r="BD709" s="9" t="s">
        <v>6870</v>
      </c>
      <c r="BE709" s="33" t="s">
        <v>99</v>
      </c>
      <c r="BF709" s="33" t="s">
        <v>11163</v>
      </c>
    </row>
    <row r="710" spans="1:58" s="7" customFormat="1" ht="91" x14ac:dyDescent="0.3">
      <c r="A710" s="8">
        <v>4053</v>
      </c>
      <c r="B710" s="9" t="s">
        <v>6864</v>
      </c>
      <c r="C710" s="9" t="s">
        <v>58</v>
      </c>
      <c r="D710" s="9" t="s">
        <v>6871</v>
      </c>
      <c r="E710" s="8" t="s">
        <v>35</v>
      </c>
      <c r="F710" s="9" t="s">
        <v>97</v>
      </c>
      <c r="G710" s="8" t="s">
        <v>225</v>
      </c>
      <c r="H710" s="8" t="s">
        <v>125</v>
      </c>
      <c r="I710" s="8" t="s">
        <v>113</v>
      </c>
      <c r="J710" s="9" t="s">
        <v>24</v>
      </c>
      <c r="K710" s="9" t="s">
        <v>6866</v>
      </c>
      <c r="L710" s="9" t="s">
        <v>276</v>
      </c>
      <c r="M710" s="8" t="s">
        <v>15</v>
      </c>
      <c r="N710" s="11" t="s">
        <v>6872</v>
      </c>
      <c r="O710" s="12" t="s">
        <v>207</v>
      </c>
      <c r="P710" s="41">
        <v>35430</v>
      </c>
      <c r="Q710" s="9" t="s">
        <v>419</v>
      </c>
      <c r="R710" s="9" t="s">
        <v>276</v>
      </c>
      <c r="S710" s="9" t="s">
        <v>276</v>
      </c>
      <c r="T710" s="9" t="s">
        <v>6859</v>
      </c>
      <c r="U710" s="13">
        <v>6567</v>
      </c>
      <c r="V710" s="38">
        <v>8222</v>
      </c>
      <c r="W710" s="8" t="s">
        <v>276</v>
      </c>
      <c r="X710" s="8" t="s">
        <v>276</v>
      </c>
      <c r="Y710" s="8" t="s">
        <v>276</v>
      </c>
      <c r="Z710" s="9" t="s">
        <v>894</v>
      </c>
      <c r="AA710" s="9" t="s">
        <v>276</v>
      </c>
      <c r="AB710" s="9" t="s">
        <v>894</v>
      </c>
      <c r="AC710" s="9" t="s">
        <v>6873</v>
      </c>
      <c r="AD710" s="9" t="s">
        <v>6874</v>
      </c>
      <c r="AE710" s="8">
        <v>15</v>
      </c>
      <c r="AF710" s="8">
        <v>24</v>
      </c>
      <c r="AG710" s="13">
        <v>6567</v>
      </c>
      <c r="AH710" s="38">
        <v>8222</v>
      </c>
      <c r="AI710" s="38" t="s">
        <v>281</v>
      </c>
      <c r="AJ710" s="14" t="s">
        <v>276</v>
      </c>
      <c r="AK710" s="31">
        <f t="shared" si="85"/>
        <v>2.284148012791229</v>
      </c>
      <c r="AL710" s="14" t="s">
        <v>276</v>
      </c>
      <c r="AM710" s="14" t="s">
        <v>276</v>
      </c>
      <c r="AN710" s="14" t="s">
        <v>276</v>
      </c>
      <c r="AO710" s="31">
        <f t="shared" si="86"/>
        <v>2.9189978107516419</v>
      </c>
      <c r="AP710" s="14" t="s">
        <v>276</v>
      </c>
      <c r="AQ710" s="14" t="s">
        <v>276</v>
      </c>
      <c r="AR710" s="8" t="s">
        <v>268</v>
      </c>
      <c r="AS710" s="14" t="s">
        <v>276</v>
      </c>
      <c r="AT710" s="31">
        <f t="shared" si="87"/>
        <v>0.78251104004872851</v>
      </c>
      <c r="AU710" s="14" t="s">
        <v>276</v>
      </c>
      <c r="AV710" s="14" t="s">
        <v>276</v>
      </c>
      <c r="AW710" s="8" t="s">
        <v>276</v>
      </c>
      <c r="AX710" s="9" t="s">
        <v>6868</v>
      </c>
      <c r="AY710" s="8">
        <v>0.78</v>
      </c>
      <c r="AZ710" s="8">
        <v>0.41</v>
      </c>
      <c r="BA710" s="8">
        <v>1.48</v>
      </c>
      <c r="BB710" s="8" t="s">
        <v>276</v>
      </c>
      <c r="BC710" s="9" t="s">
        <v>426</v>
      </c>
      <c r="BD710" s="9" t="s">
        <v>6870</v>
      </c>
      <c r="BE710" s="33" t="s">
        <v>100</v>
      </c>
      <c r="BF710" s="33" t="s">
        <v>98</v>
      </c>
    </row>
    <row r="711" spans="1:58" s="7" customFormat="1" ht="91" x14ac:dyDescent="0.3">
      <c r="A711" s="8">
        <v>4053</v>
      </c>
      <c r="B711" s="9" t="s">
        <v>6864</v>
      </c>
      <c r="C711" s="9" t="s">
        <v>58</v>
      </c>
      <c r="D711" s="9" t="s">
        <v>6875</v>
      </c>
      <c r="E711" s="8" t="s">
        <v>35</v>
      </c>
      <c r="F711" s="9" t="s">
        <v>97</v>
      </c>
      <c r="G711" s="8" t="s">
        <v>225</v>
      </c>
      <c r="H711" s="8" t="s">
        <v>125</v>
      </c>
      <c r="I711" s="8" t="s">
        <v>113</v>
      </c>
      <c r="J711" s="9" t="s">
        <v>24</v>
      </c>
      <c r="K711" s="9" t="s">
        <v>6866</v>
      </c>
      <c r="L711" s="9" t="s">
        <v>276</v>
      </c>
      <c r="M711" s="8" t="s">
        <v>15</v>
      </c>
      <c r="N711" s="11" t="s">
        <v>6876</v>
      </c>
      <c r="O711" s="12" t="s">
        <v>207</v>
      </c>
      <c r="P711" s="41">
        <v>35430</v>
      </c>
      <c r="Q711" s="9" t="s">
        <v>419</v>
      </c>
      <c r="R711" s="9" t="s">
        <v>276</v>
      </c>
      <c r="S711" s="9" t="s">
        <v>276</v>
      </c>
      <c r="T711" s="9" t="s">
        <v>6859</v>
      </c>
      <c r="U711" s="13">
        <v>5157</v>
      </c>
      <c r="V711" s="38">
        <v>5995</v>
      </c>
      <c r="W711" s="8" t="s">
        <v>276</v>
      </c>
      <c r="X711" s="8" t="s">
        <v>276</v>
      </c>
      <c r="Y711" s="8" t="s">
        <v>276</v>
      </c>
      <c r="Z711" s="9" t="s">
        <v>894</v>
      </c>
      <c r="AA711" s="9" t="s">
        <v>276</v>
      </c>
      <c r="AB711" s="9" t="s">
        <v>894</v>
      </c>
      <c r="AC711" s="9" t="s">
        <v>6877</v>
      </c>
      <c r="AD711" s="9" t="s">
        <v>6878</v>
      </c>
      <c r="AE711" s="8">
        <v>10</v>
      </c>
      <c r="AF711" s="8">
        <v>22</v>
      </c>
      <c r="AG711" s="13">
        <v>5157</v>
      </c>
      <c r="AH711" s="38">
        <v>5995</v>
      </c>
      <c r="AI711" s="38" t="s">
        <v>281</v>
      </c>
      <c r="AJ711" s="14" t="s">
        <v>276</v>
      </c>
      <c r="AK711" s="31">
        <f t="shared" si="85"/>
        <v>1.9391118867558659</v>
      </c>
      <c r="AL711" s="14" t="s">
        <v>276</v>
      </c>
      <c r="AM711" s="14" t="s">
        <v>276</v>
      </c>
      <c r="AN711" s="14" t="s">
        <v>276</v>
      </c>
      <c r="AO711" s="31">
        <f t="shared" si="86"/>
        <v>3.669724770642202</v>
      </c>
      <c r="AP711" s="14" t="s">
        <v>276</v>
      </c>
      <c r="AQ711" s="14" t="s">
        <v>276</v>
      </c>
      <c r="AR711" s="8" t="s">
        <v>268</v>
      </c>
      <c r="AS711" s="14" t="s">
        <v>276</v>
      </c>
      <c r="AT711" s="31">
        <f t="shared" si="87"/>
        <v>0.52840798914097342</v>
      </c>
      <c r="AU711" s="14" t="s">
        <v>276</v>
      </c>
      <c r="AV711" s="14" t="s">
        <v>276</v>
      </c>
      <c r="AW711" s="8" t="s">
        <v>276</v>
      </c>
      <c r="AX711" s="9" t="s">
        <v>6868</v>
      </c>
      <c r="AY711" s="8">
        <v>0.51</v>
      </c>
      <c r="AZ711" s="8">
        <v>0.24</v>
      </c>
      <c r="BA711" s="8">
        <v>1.08</v>
      </c>
      <c r="BB711" s="8" t="s">
        <v>276</v>
      </c>
      <c r="BC711" s="9" t="s">
        <v>426</v>
      </c>
      <c r="BD711" s="9" t="s">
        <v>6870</v>
      </c>
      <c r="BE711" s="33" t="s">
        <v>100</v>
      </c>
      <c r="BF711" s="33" t="s">
        <v>98</v>
      </c>
    </row>
    <row r="712" spans="1:58" s="7" customFormat="1" ht="91" x14ac:dyDescent="0.3">
      <c r="A712" s="8">
        <v>4053</v>
      </c>
      <c r="B712" s="9" t="s">
        <v>6864</v>
      </c>
      <c r="C712" s="9" t="s">
        <v>58</v>
      </c>
      <c r="D712" s="9" t="s">
        <v>6879</v>
      </c>
      <c r="E712" s="8" t="s">
        <v>35</v>
      </c>
      <c r="F712" s="9" t="s">
        <v>97</v>
      </c>
      <c r="G712" s="8" t="s">
        <v>225</v>
      </c>
      <c r="H712" s="8" t="s">
        <v>125</v>
      </c>
      <c r="I712" s="8" t="s">
        <v>113</v>
      </c>
      <c r="J712" s="9" t="s">
        <v>24</v>
      </c>
      <c r="K712" s="9" t="s">
        <v>6866</v>
      </c>
      <c r="L712" s="9" t="s">
        <v>276</v>
      </c>
      <c r="M712" s="8" t="s">
        <v>15</v>
      </c>
      <c r="N712" s="11" t="s">
        <v>6880</v>
      </c>
      <c r="O712" s="12" t="s">
        <v>207</v>
      </c>
      <c r="P712" s="41">
        <v>35430</v>
      </c>
      <c r="Q712" s="9" t="s">
        <v>419</v>
      </c>
      <c r="R712" s="9" t="s">
        <v>276</v>
      </c>
      <c r="S712" s="9" t="s">
        <v>276</v>
      </c>
      <c r="T712" s="9" t="s">
        <v>6859</v>
      </c>
      <c r="U712" s="13">
        <v>4752</v>
      </c>
      <c r="V712" s="38">
        <v>7353</v>
      </c>
      <c r="W712" s="8" t="s">
        <v>276</v>
      </c>
      <c r="X712" s="8" t="s">
        <v>276</v>
      </c>
      <c r="Y712" s="8" t="s">
        <v>276</v>
      </c>
      <c r="Z712" s="9" t="s">
        <v>894</v>
      </c>
      <c r="AA712" s="9" t="s">
        <v>276</v>
      </c>
      <c r="AB712" s="9" t="s">
        <v>894</v>
      </c>
      <c r="AC712" s="9" t="s">
        <v>6881</v>
      </c>
      <c r="AD712" s="9" t="s">
        <v>6882</v>
      </c>
      <c r="AE712" s="8">
        <v>21</v>
      </c>
      <c r="AF712" s="8">
        <v>25</v>
      </c>
      <c r="AG712" s="13">
        <v>4752</v>
      </c>
      <c r="AH712" s="38">
        <v>7353</v>
      </c>
      <c r="AI712" s="38" t="s">
        <v>281</v>
      </c>
      <c r="AJ712" s="14" t="s">
        <v>276</v>
      </c>
      <c r="AK712" s="31">
        <f t="shared" si="85"/>
        <v>4.4191919191919196</v>
      </c>
      <c r="AL712" s="14" t="s">
        <v>276</v>
      </c>
      <c r="AM712" s="14" t="s">
        <v>276</v>
      </c>
      <c r="AN712" s="14" t="s">
        <v>276</v>
      </c>
      <c r="AO712" s="31">
        <f t="shared" si="86"/>
        <v>3.3999728002175984</v>
      </c>
      <c r="AP712" s="14" t="s">
        <v>276</v>
      </c>
      <c r="AQ712" s="14" t="s">
        <v>276</v>
      </c>
      <c r="AR712" s="8" t="s">
        <v>268</v>
      </c>
      <c r="AS712" s="14" t="s">
        <v>276</v>
      </c>
      <c r="AT712" s="31">
        <f t="shared" si="87"/>
        <v>1.2997727272727273</v>
      </c>
      <c r="AU712" s="14" t="s">
        <v>276</v>
      </c>
      <c r="AV712" s="14" t="s">
        <v>276</v>
      </c>
      <c r="AW712" s="8" t="s">
        <v>276</v>
      </c>
      <c r="AX712" s="9" t="s">
        <v>6868</v>
      </c>
      <c r="AY712" s="8">
        <v>1.31</v>
      </c>
      <c r="AZ712" s="8">
        <v>0.73</v>
      </c>
      <c r="BA712" s="8">
        <v>2.33</v>
      </c>
      <c r="BB712" s="8" t="s">
        <v>276</v>
      </c>
      <c r="BC712" s="9" t="s">
        <v>426</v>
      </c>
      <c r="BD712" s="9" t="s">
        <v>6870</v>
      </c>
      <c r="BE712" s="33" t="s">
        <v>100</v>
      </c>
      <c r="BF712" s="33" t="s">
        <v>98</v>
      </c>
    </row>
    <row r="713" spans="1:58" s="7" customFormat="1" ht="91" x14ac:dyDescent="0.3">
      <c r="A713" s="8">
        <v>4053</v>
      </c>
      <c r="B713" s="9" t="s">
        <v>6864</v>
      </c>
      <c r="C713" s="9" t="s">
        <v>58</v>
      </c>
      <c r="D713" s="9" t="s">
        <v>6883</v>
      </c>
      <c r="E713" s="8" t="s">
        <v>35</v>
      </c>
      <c r="F713" s="9" t="s">
        <v>97</v>
      </c>
      <c r="G713" s="8" t="s">
        <v>225</v>
      </c>
      <c r="H713" s="8" t="s">
        <v>125</v>
      </c>
      <c r="I713" s="8" t="s">
        <v>113</v>
      </c>
      <c r="J713" s="9" t="s">
        <v>24</v>
      </c>
      <c r="K713" s="9" t="s">
        <v>6866</v>
      </c>
      <c r="L713" s="9" t="s">
        <v>276</v>
      </c>
      <c r="M713" s="8" t="s">
        <v>15</v>
      </c>
      <c r="N713" s="11" t="s">
        <v>3432</v>
      </c>
      <c r="O713" s="12" t="s">
        <v>207</v>
      </c>
      <c r="P713" s="41">
        <v>35430</v>
      </c>
      <c r="Q713" s="9" t="s">
        <v>419</v>
      </c>
      <c r="R713" s="9" t="s">
        <v>276</v>
      </c>
      <c r="S713" s="9" t="s">
        <v>276</v>
      </c>
      <c r="T713" s="9" t="s">
        <v>6859</v>
      </c>
      <c r="U713" s="13">
        <v>5174</v>
      </c>
      <c r="V713" s="38">
        <v>8391</v>
      </c>
      <c r="W713" s="8" t="s">
        <v>276</v>
      </c>
      <c r="X713" s="8" t="s">
        <v>276</v>
      </c>
      <c r="Y713" s="8" t="s">
        <v>276</v>
      </c>
      <c r="Z713" s="9" t="s">
        <v>894</v>
      </c>
      <c r="AA713" s="9" t="s">
        <v>276</v>
      </c>
      <c r="AB713" s="9" t="s">
        <v>894</v>
      </c>
      <c r="AC713" s="9" t="s">
        <v>6884</v>
      </c>
      <c r="AD713" s="9" t="s">
        <v>6885</v>
      </c>
      <c r="AE713" s="8">
        <v>17</v>
      </c>
      <c r="AF713" s="8">
        <v>41</v>
      </c>
      <c r="AG713" s="13">
        <v>5174</v>
      </c>
      <c r="AH713" s="38">
        <v>8391</v>
      </c>
      <c r="AI713" s="38" t="s">
        <v>281</v>
      </c>
      <c r="AJ713" s="14" t="s">
        <v>276</v>
      </c>
      <c r="AK713" s="31">
        <f t="shared" si="85"/>
        <v>3.2856590645535371</v>
      </c>
      <c r="AL713" s="14" t="s">
        <v>276</v>
      </c>
      <c r="AM713" s="14" t="s">
        <v>276</v>
      </c>
      <c r="AN713" s="14" t="s">
        <v>276</v>
      </c>
      <c r="AO713" s="31">
        <f t="shared" si="86"/>
        <v>4.8861875819330232</v>
      </c>
      <c r="AP713" s="14" t="s">
        <v>276</v>
      </c>
      <c r="AQ713" s="14" t="s">
        <v>276</v>
      </c>
      <c r="AR713" s="8" t="s">
        <v>268</v>
      </c>
      <c r="AS713" s="14" t="s">
        <v>276</v>
      </c>
      <c r="AT713" s="31">
        <f t="shared" si="87"/>
        <v>0.67243817586996901</v>
      </c>
      <c r="AU713" s="14" t="s">
        <v>276</v>
      </c>
      <c r="AV713" s="14" t="s">
        <v>276</v>
      </c>
      <c r="AW713" s="8" t="s">
        <v>276</v>
      </c>
      <c r="AX713" s="9" t="s">
        <v>6868</v>
      </c>
      <c r="AY713" s="8">
        <v>0.67</v>
      </c>
      <c r="AZ713" s="8">
        <v>0.38</v>
      </c>
      <c r="BA713" s="8">
        <v>1.18</v>
      </c>
      <c r="BB713" s="8" t="s">
        <v>276</v>
      </c>
      <c r="BC713" s="9" t="s">
        <v>426</v>
      </c>
      <c r="BD713" s="9" t="s">
        <v>6870</v>
      </c>
      <c r="BE713" s="33" t="s">
        <v>100</v>
      </c>
      <c r="BF713" s="33" t="s">
        <v>98</v>
      </c>
    </row>
    <row r="714" spans="1:58" s="87" customFormat="1" ht="65" x14ac:dyDescent="0.3">
      <c r="A714" s="72">
        <v>4053</v>
      </c>
      <c r="B714" s="73" t="s">
        <v>6864</v>
      </c>
      <c r="C714" s="73" t="s">
        <v>58</v>
      </c>
      <c r="D714" s="73" t="s">
        <v>6886</v>
      </c>
      <c r="E714" s="72" t="s">
        <v>35</v>
      </c>
      <c r="F714" s="73" t="s">
        <v>97</v>
      </c>
      <c r="G714" s="72" t="s">
        <v>225</v>
      </c>
      <c r="H714" s="72" t="s">
        <v>125</v>
      </c>
      <c r="I714" s="72" t="s">
        <v>113</v>
      </c>
      <c r="J714" s="73" t="s">
        <v>24</v>
      </c>
      <c r="K714" s="73" t="s">
        <v>6887</v>
      </c>
      <c r="L714" s="73" t="s">
        <v>276</v>
      </c>
      <c r="M714" s="72" t="s">
        <v>14</v>
      </c>
      <c r="N714" s="84" t="s">
        <v>98</v>
      </c>
      <c r="O714" s="85" t="s">
        <v>207</v>
      </c>
      <c r="P714" s="88">
        <v>35430</v>
      </c>
      <c r="Q714" s="73" t="s">
        <v>419</v>
      </c>
      <c r="R714" s="73" t="s">
        <v>276</v>
      </c>
      <c r="S714" s="73" t="s">
        <v>276</v>
      </c>
      <c r="T714" s="73" t="s">
        <v>6859</v>
      </c>
      <c r="U714" s="74">
        <v>21650</v>
      </c>
      <c r="V714" s="75">
        <v>29961</v>
      </c>
      <c r="W714" s="72" t="s">
        <v>276</v>
      </c>
      <c r="X714" s="72" t="s">
        <v>276</v>
      </c>
      <c r="Y714" s="72" t="s">
        <v>276</v>
      </c>
      <c r="Z714" s="73" t="s">
        <v>894</v>
      </c>
      <c r="AA714" s="73" t="s">
        <v>276</v>
      </c>
      <c r="AB714" s="73" t="s">
        <v>894</v>
      </c>
      <c r="AC714" s="73" t="s">
        <v>6867</v>
      </c>
      <c r="AD714" s="73" t="s">
        <v>2034</v>
      </c>
      <c r="AE714" s="72">
        <v>63</v>
      </c>
      <c r="AF714" s="72">
        <v>117</v>
      </c>
      <c r="AG714" s="74">
        <v>21650</v>
      </c>
      <c r="AH714" s="75">
        <v>29961</v>
      </c>
      <c r="AI714" s="75" t="s">
        <v>281</v>
      </c>
      <c r="AJ714" s="76" t="s">
        <v>276</v>
      </c>
      <c r="AK714" s="86">
        <f t="shared" si="85"/>
        <v>2.9099307159353347</v>
      </c>
      <c r="AL714" s="76" t="s">
        <v>276</v>
      </c>
      <c r="AM714" s="76" t="s">
        <v>276</v>
      </c>
      <c r="AN714" s="76" t="s">
        <v>276</v>
      </c>
      <c r="AO714" s="86">
        <f t="shared" si="86"/>
        <v>3.9050765995794534</v>
      </c>
      <c r="AP714" s="76" t="s">
        <v>276</v>
      </c>
      <c r="AQ714" s="76" t="s">
        <v>276</v>
      </c>
      <c r="AR714" s="72" t="s">
        <v>268</v>
      </c>
      <c r="AS714" s="76" t="s">
        <v>276</v>
      </c>
      <c r="AT714" s="86">
        <f t="shared" si="87"/>
        <v>0.74516610410374839</v>
      </c>
      <c r="AU714" s="76" t="s">
        <v>276</v>
      </c>
      <c r="AV714" s="76" t="s">
        <v>276</v>
      </c>
      <c r="AW714" s="72" t="s">
        <v>276</v>
      </c>
      <c r="AX714" s="73" t="s">
        <v>6868</v>
      </c>
      <c r="AY714" s="72">
        <v>0.76</v>
      </c>
      <c r="AZ714" s="72">
        <v>0.56000000000000005</v>
      </c>
      <c r="BA714" s="72">
        <v>1.03</v>
      </c>
      <c r="BB714" s="72">
        <v>0.08</v>
      </c>
      <c r="BC714" s="73" t="s">
        <v>6888</v>
      </c>
      <c r="BD714" s="73" t="s">
        <v>6889</v>
      </c>
      <c r="BE714" s="33" t="s">
        <v>99</v>
      </c>
      <c r="BF714" s="33" t="s">
        <v>11163</v>
      </c>
    </row>
    <row r="715" spans="1:58" s="87" customFormat="1" ht="78" x14ac:dyDescent="0.3">
      <c r="A715" s="72">
        <v>4053</v>
      </c>
      <c r="B715" s="73" t="s">
        <v>6864</v>
      </c>
      <c r="C715" s="73" t="s">
        <v>58</v>
      </c>
      <c r="D715" s="73" t="s">
        <v>6890</v>
      </c>
      <c r="E715" s="72" t="s">
        <v>35</v>
      </c>
      <c r="F715" s="73" t="s">
        <v>97</v>
      </c>
      <c r="G715" s="72" t="s">
        <v>225</v>
      </c>
      <c r="H715" s="72" t="s">
        <v>125</v>
      </c>
      <c r="I715" s="72" t="s">
        <v>113</v>
      </c>
      <c r="J715" s="73" t="s">
        <v>24</v>
      </c>
      <c r="K715" s="73" t="s">
        <v>6887</v>
      </c>
      <c r="L715" s="73" t="s">
        <v>276</v>
      </c>
      <c r="M715" s="72" t="s">
        <v>15</v>
      </c>
      <c r="N715" s="84" t="s">
        <v>6872</v>
      </c>
      <c r="O715" s="85" t="s">
        <v>207</v>
      </c>
      <c r="P715" s="88">
        <v>35430</v>
      </c>
      <c r="Q715" s="73" t="s">
        <v>419</v>
      </c>
      <c r="R715" s="73" t="s">
        <v>276</v>
      </c>
      <c r="S715" s="73" t="s">
        <v>276</v>
      </c>
      <c r="T715" s="73" t="s">
        <v>6859</v>
      </c>
      <c r="U715" s="74">
        <v>6567</v>
      </c>
      <c r="V715" s="75">
        <v>8222</v>
      </c>
      <c r="W715" s="72" t="s">
        <v>276</v>
      </c>
      <c r="X715" s="72" t="s">
        <v>276</v>
      </c>
      <c r="Y715" s="72" t="s">
        <v>276</v>
      </c>
      <c r="Z715" s="73" t="s">
        <v>894</v>
      </c>
      <c r="AA715" s="73" t="s">
        <v>276</v>
      </c>
      <c r="AB715" s="73" t="s">
        <v>894</v>
      </c>
      <c r="AC715" s="73" t="s">
        <v>6873</v>
      </c>
      <c r="AD715" s="73" t="s">
        <v>6874</v>
      </c>
      <c r="AE715" s="72">
        <v>14</v>
      </c>
      <c r="AF715" s="72">
        <v>26</v>
      </c>
      <c r="AG715" s="74">
        <v>6567</v>
      </c>
      <c r="AH715" s="75">
        <v>8222</v>
      </c>
      <c r="AI715" s="75" t="s">
        <v>281</v>
      </c>
      <c r="AJ715" s="76" t="s">
        <v>276</v>
      </c>
      <c r="AK715" s="86">
        <f t="shared" si="85"/>
        <v>2.1318714786051469</v>
      </c>
      <c r="AL715" s="76" t="s">
        <v>276</v>
      </c>
      <c r="AM715" s="76" t="s">
        <v>276</v>
      </c>
      <c r="AN715" s="76" t="s">
        <v>276</v>
      </c>
      <c r="AO715" s="86">
        <f t="shared" si="86"/>
        <v>3.1622476283142786</v>
      </c>
      <c r="AP715" s="76" t="s">
        <v>276</v>
      </c>
      <c r="AQ715" s="76" t="s">
        <v>276</v>
      </c>
      <c r="AR715" s="72" t="s">
        <v>268</v>
      </c>
      <c r="AS715" s="76" t="s">
        <v>276</v>
      </c>
      <c r="AT715" s="86">
        <f t="shared" si="87"/>
        <v>0.67416335758044299</v>
      </c>
      <c r="AU715" s="76" t="s">
        <v>276</v>
      </c>
      <c r="AV715" s="76" t="s">
        <v>276</v>
      </c>
      <c r="AW715" s="72" t="s">
        <v>276</v>
      </c>
      <c r="AX715" s="73" t="s">
        <v>6868</v>
      </c>
      <c r="AY715" s="72">
        <v>0.67</v>
      </c>
      <c r="AZ715" s="72">
        <v>0.35</v>
      </c>
      <c r="BA715" s="72">
        <v>1.28</v>
      </c>
      <c r="BB715" s="72" t="s">
        <v>276</v>
      </c>
      <c r="BC715" s="73" t="s">
        <v>426</v>
      </c>
      <c r="BD715" s="73" t="s">
        <v>6889</v>
      </c>
      <c r="BE715" s="33" t="s">
        <v>100</v>
      </c>
      <c r="BF715" s="33" t="s">
        <v>98</v>
      </c>
    </row>
    <row r="716" spans="1:58" s="87" customFormat="1" ht="78" x14ac:dyDescent="0.3">
      <c r="A716" s="72">
        <v>4053</v>
      </c>
      <c r="B716" s="73" t="s">
        <v>6864</v>
      </c>
      <c r="C716" s="73" t="s">
        <v>58</v>
      </c>
      <c r="D716" s="73" t="s">
        <v>6891</v>
      </c>
      <c r="E716" s="72" t="s">
        <v>35</v>
      </c>
      <c r="F716" s="73" t="s">
        <v>97</v>
      </c>
      <c r="G716" s="72" t="s">
        <v>225</v>
      </c>
      <c r="H716" s="72" t="s">
        <v>125</v>
      </c>
      <c r="I716" s="72" t="s">
        <v>113</v>
      </c>
      <c r="J716" s="73" t="s">
        <v>24</v>
      </c>
      <c r="K716" s="73" t="s">
        <v>6887</v>
      </c>
      <c r="L716" s="73" t="s">
        <v>276</v>
      </c>
      <c r="M716" s="72" t="s">
        <v>15</v>
      </c>
      <c r="N716" s="84" t="s">
        <v>6876</v>
      </c>
      <c r="O716" s="85" t="s">
        <v>207</v>
      </c>
      <c r="P716" s="88">
        <v>35430</v>
      </c>
      <c r="Q716" s="73" t="s">
        <v>419</v>
      </c>
      <c r="R716" s="73" t="s">
        <v>276</v>
      </c>
      <c r="S716" s="73" t="s">
        <v>276</v>
      </c>
      <c r="T716" s="73" t="s">
        <v>6859</v>
      </c>
      <c r="U716" s="74">
        <v>5157</v>
      </c>
      <c r="V716" s="75">
        <v>5995</v>
      </c>
      <c r="W716" s="72" t="s">
        <v>276</v>
      </c>
      <c r="X716" s="72" t="s">
        <v>276</v>
      </c>
      <c r="Y716" s="72" t="s">
        <v>276</v>
      </c>
      <c r="Z716" s="73" t="s">
        <v>894</v>
      </c>
      <c r="AA716" s="73" t="s">
        <v>276</v>
      </c>
      <c r="AB716" s="73" t="s">
        <v>894</v>
      </c>
      <c r="AC716" s="73" t="s">
        <v>6877</v>
      </c>
      <c r="AD716" s="73" t="s">
        <v>6878</v>
      </c>
      <c r="AE716" s="72">
        <v>9</v>
      </c>
      <c r="AF716" s="72">
        <v>23</v>
      </c>
      <c r="AG716" s="74">
        <v>5157</v>
      </c>
      <c r="AH716" s="75">
        <v>5995</v>
      </c>
      <c r="AI716" s="75" t="s">
        <v>281</v>
      </c>
      <c r="AJ716" s="76" t="s">
        <v>276</v>
      </c>
      <c r="AK716" s="86">
        <f t="shared" si="85"/>
        <v>1.7452006980802792</v>
      </c>
      <c r="AL716" s="76" t="s">
        <v>276</v>
      </c>
      <c r="AM716" s="76" t="s">
        <v>276</v>
      </c>
      <c r="AN716" s="76" t="s">
        <v>276</v>
      </c>
      <c r="AO716" s="86">
        <f t="shared" si="86"/>
        <v>3.8365304420350292</v>
      </c>
      <c r="AP716" s="76" t="s">
        <v>276</v>
      </c>
      <c r="AQ716" s="76" t="s">
        <v>276</v>
      </c>
      <c r="AR716" s="72" t="s">
        <v>268</v>
      </c>
      <c r="AS716" s="76" t="s">
        <v>276</v>
      </c>
      <c r="AT716" s="86">
        <f t="shared" si="87"/>
        <v>0.4548903558691858</v>
      </c>
      <c r="AU716" s="76" t="s">
        <v>276</v>
      </c>
      <c r="AV716" s="76" t="s">
        <v>276</v>
      </c>
      <c r="AW716" s="72" t="s">
        <v>276</v>
      </c>
      <c r="AX716" s="73" t="s">
        <v>6868</v>
      </c>
      <c r="AY716" s="72">
        <v>0.44</v>
      </c>
      <c r="AZ716" s="76">
        <v>0.2</v>
      </c>
      <c r="BA716" s="72">
        <v>0.95</v>
      </c>
      <c r="BB716" s="72" t="s">
        <v>844</v>
      </c>
      <c r="BC716" s="73" t="s">
        <v>6892</v>
      </c>
      <c r="BD716" s="73" t="s">
        <v>6889</v>
      </c>
      <c r="BE716" s="33" t="s">
        <v>100</v>
      </c>
      <c r="BF716" s="33" t="s">
        <v>98</v>
      </c>
    </row>
    <row r="717" spans="1:58" s="87" customFormat="1" ht="78" x14ac:dyDescent="0.3">
      <c r="A717" s="72">
        <v>4053</v>
      </c>
      <c r="B717" s="73" t="s">
        <v>6864</v>
      </c>
      <c r="C717" s="73" t="s">
        <v>58</v>
      </c>
      <c r="D717" s="73" t="s">
        <v>6893</v>
      </c>
      <c r="E717" s="72" t="s">
        <v>35</v>
      </c>
      <c r="F717" s="73" t="s">
        <v>97</v>
      </c>
      <c r="G717" s="72" t="s">
        <v>225</v>
      </c>
      <c r="H717" s="72" t="s">
        <v>125</v>
      </c>
      <c r="I717" s="72" t="s">
        <v>113</v>
      </c>
      <c r="J717" s="73" t="s">
        <v>24</v>
      </c>
      <c r="K717" s="73" t="s">
        <v>6887</v>
      </c>
      <c r="L717" s="73" t="s">
        <v>276</v>
      </c>
      <c r="M717" s="72" t="s">
        <v>15</v>
      </c>
      <c r="N717" s="84" t="s">
        <v>6880</v>
      </c>
      <c r="O717" s="85" t="s">
        <v>207</v>
      </c>
      <c r="P717" s="88">
        <v>35430</v>
      </c>
      <c r="Q717" s="73" t="s">
        <v>419</v>
      </c>
      <c r="R717" s="73" t="s">
        <v>276</v>
      </c>
      <c r="S717" s="73" t="s">
        <v>276</v>
      </c>
      <c r="T717" s="73" t="s">
        <v>6859</v>
      </c>
      <c r="U717" s="74">
        <v>4752</v>
      </c>
      <c r="V717" s="75">
        <v>7353</v>
      </c>
      <c r="W717" s="72" t="s">
        <v>276</v>
      </c>
      <c r="X717" s="72" t="s">
        <v>276</v>
      </c>
      <c r="Y717" s="72" t="s">
        <v>276</v>
      </c>
      <c r="Z717" s="73" t="s">
        <v>894</v>
      </c>
      <c r="AA717" s="73" t="s">
        <v>276</v>
      </c>
      <c r="AB717" s="73" t="s">
        <v>894</v>
      </c>
      <c r="AC717" s="73" t="s">
        <v>6881</v>
      </c>
      <c r="AD717" s="73" t="s">
        <v>6882</v>
      </c>
      <c r="AE717" s="72">
        <v>21</v>
      </c>
      <c r="AF717" s="72">
        <v>25</v>
      </c>
      <c r="AG717" s="74">
        <v>4752</v>
      </c>
      <c r="AH717" s="75">
        <v>7353</v>
      </c>
      <c r="AI717" s="75" t="s">
        <v>281</v>
      </c>
      <c r="AJ717" s="76" t="s">
        <v>276</v>
      </c>
      <c r="AK717" s="86">
        <f t="shared" si="85"/>
        <v>4.4191919191919196</v>
      </c>
      <c r="AL717" s="76" t="s">
        <v>276</v>
      </c>
      <c r="AM717" s="76" t="s">
        <v>276</v>
      </c>
      <c r="AN717" s="76" t="s">
        <v>276</v>
      </c>
      <c r="AO717" s="86">
        <f t="shared" si="86"/>
        <v>3.3999728002175984</v>
      </c>
      <c r="AP717" s="76" t="s">
        <v>276</v>
      </c>
      <c r="AQ717" s="76" t="s">
        <v>276</v>
      </c>
      <c r="AR717" s="72" t="s">
        <v>268</v>
      </c>
      <c r="AS717" s="76" t="s">
        <v>276</v>
      </c>
      <c r="AT717" s="86">
        <f t="shared" si="87"/>
        <v>1.2997727272727273</v>
      </c>
      <c r="AU717" s="76" t="s">
        <v>276</v>
      </c>
      <c r="AV717" s="76" t="s">
        <v>276</v>
      </c>
      <c r="AW717" s="72" t="s">
        <v>276</v>
      </c>
      <c r="AX717" s="73" t="s">
        <v>6868</v>
      </c>
      <c r="AY717" s="72">
        <v>1.31</v>
      </c>
      <c r="AZ717" s="72">
        <v>0.73</v>
      </c>
      <c r="BA717" s="72">
        <v>2.34</v>
      </c>
      <c r="BB717" s="72" t="s">
        <v>276</v>
      </c>
      <c r="BC717" s="73" t="s">
        <v>426</v>
      </c>
      <c r="BD717" s="73" t="s">
        <v>6889</v>
      </c>
      <c r="BE717" s="33" t="s">
        <v>100</v>
      </c>
      <c r="BF717" s="33" t="s">
        <v>98</v>
      </c>
    </row>
    <row r="718" spans="1:58" s="87" customFormat="1" ht="78" x14ac:dyDescent="0.3">
      <c r="A718" s="72">
        <v>4053</v>
      </c>
      <c r="B718" s="73" t="s">
        <v>6864</v>
      </c>
      <c r="C718" s="73" t="s">
        <v>58</v>
      </c>
      <c r="D718" s="73" t="s">
        <v>6894</v>
      </c>
      <c r="E718" s="72" t="s">
        <v>35</v>
      </c>
      <c r="F718" s="73" t="s">
        <v>97</v>
      </c>
      <c r="G718" s="72" t="s">
        <v>225</v>
      </c>
      <c r="H718" s="72" t="s">
        <v>125</v>
      </c>
      <c r="I718" s="72" t="s">
        <v>113</v>
      </c>
      <c r="J718" s="73" t="s">
        <v>24</v>
      </c>
      <c r="K718" s="73" t="s">
        <v>6887</v>
      </c>
      <c r="L718" s="73" t="s">
        <v>276</v>
      </c>
      <c r="M718" s="72" t="s">
        <v>15</v>
      </c>
      <c r="N718" s="84" t="s">
        <v>3432</v>
      </c>
      <c r="O718" s="85" t="s">
        <v>207</v>
      </c>
      <c r="P718" s="88">
        <v>35430</v>
      </c>
      <c r="Q718" s="73" t="s">
        <v>419</v>
      </c>
      <c r="R718" s="73" t="s">
        <v>276</v>
      </c>
      <c r="S718" s="73" t="s">
        <v>276</v>
      </c>
      <c r="T718" s="73" t="s">
        <v>6859</v>
      </c>
      <c r="U718" s="74">
        <v>5174</v>
      </c>
      <c r="V718" s="75">
        <v>8391</v>
      </c>
      <c r="W718" s="72" t="s">
        <v>276</v>
      </c>
      <c r="X718" s="72" t="s">
        <v>276</v>
      </c>
      <c r="Y718" s="72" t="s">
        <v>276</v>
      </c>
      <c r="Z718" s="73" t="s">
        <v>894</v>
      </c>
      <c r="AA718" s="73" t="s">
        <v>276</v>
      </c>
      <c r="AB718" s="73" t="s">
        <v>894</v>
      </c>
      <c r="AC718" s="73" t="s">
        <v>6884</v>
      </c>
      <c r="AD718" s="73" t="s">
        <v>6885</v>
      </c>
      <c r="AE718" s="72">
        <v>19</v>
      </c>
      <c r="AF718" s="72">
        <v>43</v>
      </c>
      <c r="AG718" s="74">
        <v>5174</v>
      </c>
      <c r="AH718" s="75">
        <v>8391</v>
      </c>
      <c r="AI718" s="75" t="s">
        <v>281</v>
      </c>
      <c r="AJ718" s="76" t="s">
        <v>276</v>
      </c>
      <c r="AK718" s="86">
        <f t="shared" si="85"/>
        <v>3.6722071897951296</v>
      </c>
      <c r="AL718" s="76" t="s">
        <v>276</v>
      </c>
      <c r="AM718" s="76" t="s">
        <v>276</v>
      </c>
      <c r="AN718" s="76" t="s">
        <v>276</v>
      </c>
      <c r="AO718" s="86">
        <f t="shared" si="86"/>
        <v>5.1245381956858536</v>
      </c>
      <c r="AP718" s="76" t="s">
        <v>276</v>
      </c>
      <c r="AQ718" s="76" t="s">
        <v>276</v>
      </c>
      <c r="AR718" s="72" t="s">
        <v>268</v>
      </c>
      <c r="AS718" s="76" t="s">
        <v>276</v>
      </c>
      <c r="AT718" s="86">
        <f t="shared" si="87"/>
        <v>0.71659280301327755</v>
      </c>
      <c r="AU718" s="76" t="s">
        <v>276</v>
      </c>
      <c r="AV718" s="76" t="s">
        <v>276</v>
      </c>
      <c r="AW718" s="72" t="s">
        <v>276</v>
      </c>
      <c r="AX718" s="73" t="s">
        <v>6868</v>
      </c>
      <c r="AY718" s="72">
        <v>0.71</v>
      </c>
      <c r="AZ718" s="72">
        <v>0.41</v>
      </c>
      <c r="BA718" s="72">
        <v>1.22</v>
      </c>
      <c r="BB718" s="72" t="s">
        <v>276</v>
      </c>
      <c r="BC718" s="73" t="s">
        <v>426</v>
      </c>
      <c r="BD718" s="73" t="s">
        <v>6889</v>
      </c>
      <c r="BE718" s="33" t="s">
        <v>100</v>
      </c>
      <c r="BF718" s="33" t="s">
        <v>98</v>
      </c>
    </row>
    <row r="719" spans="1:58" s="7" customFormat="1" ht="65" x14ac:dyDescent="0.3">
      <c r="A719" s="8">
        <v>4053</v>
      </c>
      <c r="B719" s="9" t="s">
        <v>6864</v>
      </c>
      <c r="C719" s="9" t="s">
        <v>58</v>
      </c>
      <c r="D719" s="9" t="s">
        <v>6895</v>
      </c>
      <c r="E719" s="8" t="s">
        <v>35</v>
      </c>
      <c r="F719" s="9" t="s">
        <v>97</v>
      </c>
      <c r="G719" s="8" t="s">
        <v>225</v>
      </c>
      <c r="H719" s="8" t="s">
        <v>125</v>
      </c>
      <c r="I719" s="8" t="s">
        <v>113</v>
      </c>
      <c r="J719" s="9" t="s">
        <v>24</v>
      </c>
      <c r="K719" s="9" t="s">
        <v>6887</v>
      </c>
      <c r="L719" s="9" t="s">
        <v>276</v>
      </c>
      <c r="M719" s="8" t="s">
        <v>14</v>
      </c>
      <c r="N719" s="11" t="s">
        <v>98</v>
      </c>
      <c r="O719" s="12" t="s">
        <v>207</v>
      </c>
      <c r="P719" s="41">
        <v>35430</v>
      </c>
      <c r="Q719" s="9" t="s">
        <v>419</v>
      </c>
      <c r="R719" s="9" t="s">
        <v>276</v>
      </c>
      <c r="S719" s="9" t="s">
        <v>276</v>
      </c>
      <c r="T719" s="9" t="s">
        <v>6859</v>
      </c>
      <c r="U719" s="13">
        <v>21650</v>
      </c>
      <c r="V719" s="38">
        <v>29961</v>
      </c>
      <c r="W719" s="8" t="s">
        <v>276</v>
      </c>
      <c r="X719" s="8" t="s">
        <v>276</v>
      </c>
      <c r="Y719" s="8" t="s">
        <v>276</v>
      </c>
      <c r="Z719" s="9" t="s">
        <v>894</v>
      </c>
      <c r="AA719" s="9" t="s">
        <v>276</v>
      </c>
      <c r="AB719" s="9" t="s">
        <v>894</v>
      </c>
      <c r="AC719" s="9" t="s">
        <v>6896</v>
      </c>
      <c r="AD719" s="9" t="s">
        <v>2034</v>
      </c>
      <c r="AE719" s="8">
        <v>88</v>
      </c>
      <c r="AF719" s="8">
        <v>162</v>
      </c>
      <c r="AG719" s="13">
        <v>21650</v>
      </c>
      <c r="AH719" s="38">
        <v>29961</v>
      </c>
      <c r="AI719" s="38" t="s">
        <v>281</v>
      </c>
      <c r="AJ719" s="14" t="s">
        <v>276</v>
      </c>
      <c r="AK719" s="31">
        <f t="shared" si="85"/>
        <v>4.0646651270207856</v>
      </c>
      <c r="AL719" s="14" t="s">
        <v>276</v>
      </c>
      <c r="AM719" s="14" t="s">
        <v>276</v>
      </c>
      <c r="AN719" s="14" t="s">
        <v>276</v>
      </c>
      <c r="AO719" s="31">
        <f t="shared" si="86"/>
        <v>5.4070291378792428</v>
      </c>
      <c r="AP719" s="14" t="s">
        <v>276</v>
      </c>
      <c r="AQ719" s="14" t="s">
        <v>276</v>
      </c>
      <c r="AR719" s="8" t="s">
        <v>268</v>
      </c>
      <c r="AS719" s="14" t="s">
        <v>276</v>
      </c>
      <c r="AT719" s="31">
        <f t="shared" si="87"/>
        <v>0.75173723376956647</v>
      </c>
      <c r="AU719" s="14" t="s">
        <v>276</v>
      </c>
      <c r="AV719" s="14" t="s">
        <v>276</v>
      </c>
      <c r="AW719" s="8" t="s">
        <v>276</v>
      </c>
      <c r="AX719" s="9" t="s">
        <v>6868</v>
      </c>
      <c r="AY719" s="8">
        <v>0.77</v>
      </c>
      <c r="AZ719" s="14">
        <v>0.6</v>
      </c>
      <c r="BA719" s="14">
        <v>1</v>
      </c>
      <c r="BB719" s="8">
        <v>0.05</v>
      </c>
      <c r="BC719" s="9" t="s">
        <v>6897</v>
      </c>
      <c r="BD719" s="9" t="s">
        <v>6898</v>
      </c>
      <c r="BE719" s="33" t="s">
        <v>99</v>
      </c>
      <c r="BF719" s="33" t="s">
        <v>11163</v>
      </c>
    </row>
    <row r="720" spans="1:58" s="7" customFormat="1" ht="78" x14ac:dyDescent="0.3">
      <c r="A720" s="8">
        <v>4053</v>
      </c>
      <c r="B720" s="9" t="s">
        <v>6864</v>
      </c>
      <c r="C720" s="9" t="s">
        <v>58</v>
      </c>
      <c r="D720" s="9" t="s">
        <v>6899</v>
      </c>
      <c r="E720" s="8" t="s">
        <v>35</v>
      </c>
      <c r="F720" s="9" t="s">
        <v>97</v>
      </c>
      <c r="G720" s="8" t="s">
        <v>225</v>
      </c>
      <c r="H720" s="8" t="s">
        <v>125</v>
      </c>
      <c r="I720" s="8" t="s">
        <v>113</v>
      </c>
      <c r="J720" s="9" t="s">
        <v>24</v>
      </c>
      <c r="K720" s="9" t="s">
        <v>6887</v>
      </c>
      <c r="L720" s="9" t="s">
        <v>276</v>
      </c>
      <c r="M720" s="8" t="s">
        <v>15</v>
      </c>
      <c r="N720" s="11" t="s">
        <v>6872</v>
      </c>
      <c r="O720" s="12" t="s">
        <v>207</v>
      </c>
      <c r="P720" s="41">
        <v>35430</v>
      </c>
      <c r="Q720" s="9" t="s">
        <v>419</v>
      </c>
      <c r="R720" s="9" t="s">
        <v>276</v>
      </c>
      <c r="S720" s="9" t="s">
        <v>276</v>
      </c>
      <c r="T720" s="9" t="s">
        <v>6859</v>
      </c>
      <c r="U720" s="13">
        <v>6567</v>
      </c>
      <c r="V720" s="38">
        <v>8222</v>
      </c>
      <c r="W720" s="8" t="s">
        <v>276</v>
      </c>
      <c r="X720" s="8" t="s">
        <v>276</v>
      </c>
      <c r="Y720" s="8" t="s">
        <v>276</v>
      </c>
      <c r="Z720" s="9" t="s">
        <v>894</v>
      </c>
      <c r="AA720" s="9" t="s">
        <v>276</v>
      </c>
      <c r="AB720" s="9" t="s">
        <v>894</v>
      </c>
      <c r="AC720" s="9" t="s">
        <v>6900</v>
      </c>
      <c r="AD720" s="9" t="s">
        <v>6874</v>
      </c>
      <c r="AE720" s="8">
        <v>17</v>
      </c>
      <c r="AF720" s="8">
        <v>30</v>
      </c>
      <c r="AG720" s="13">
        <v>6567</v>
      </c>
      <c r="AH720" s="38">
        <v>8222</v>
      </c>
      <c r="AI720" s="38" t="s">
        <v>281</v>
      </c>
      <c r="AJ720" s="14" t="s">
        <v>276</v>
      </c>
      <c r="AK720" s="31">
        <f t="shared" si="85"/>
        <v>2.5887010811633928</v>
      </c>
      <c r="AL720" s="14" t="s">
        <v>276</v>
      </c>
      <c r="AM720" s="14" t="s">
        <v>276</v>
      </c>
      <c r="AN720" s="14" t="s">
        <v>276</v>
      </c>
      <c r="AO720" s="31">
        <f t="shared" si="86"/>
        <v>3.6487472634395526</v>
      </c>
      <c r="AP720" s="14" t="s">
        <v>276</v>
      </c>
      <c r="AQ720" s="14" t="s">
        <v>276</v>
      </c>
      <c r="AR720" s="8" t="s">
        <v>268</v>
      </c>
      <c r="AS720" s="14" t="s">
        <v>276</v>
      </c>
      <c r="AT720" s="31">
        <f t="shared" si="87"/>
        <v>0.70947667631084721</v>
      </c>
      <c r="AU720" s="14" t="s">
        <v>276</v>
      </c>
      <c r="AV720" s="14" t="s">
        <v>276</v>
      </c>
      <c r="AW720" s="8" t="s">
        <v>276</v>
      </c>
      <c r="AX720" s="9" t="s">
        <v>6868</v>
      </c>
      <c r="AY720" s="14">
        <v>0.7</v>
      </c>
      <c r="AZ720" s="8">
        <v>0.39</v>
      </c>
      <c r="BA720" s="8">
        <v>1.28</v>
      </c>
      <c r="BB720" s="8" t="s">
        <v>276</v>
      </c>
      <c r="BC720" s="9" t="s">
        <v>426</v>
      </c>
      <c r="BD720" s="9" t="s">
        <v>6898</v>
      </c>
      <c r="BE720" s="33" t="s">
        <v>100</v>
      </c>
      <c r="BF720" s="33" t="s">
        <v>98</v>
      </c>
    </row>
    <row r="721" spans="1:58" s="7" customFormat="1" ht="78" x14ac:dyDescent="0.3">
      <c r="A721" s="8">
        <v>4053</v>
      </c>
      <c r="B721" s="9" t="s">
        <v>6864</v>
      </c>
      <c r="C721" s="9" t="s">
        <v>58</v>
      </c>
      <c r="D721" s="9" t="s">
        <v>6901</v>
      </c>
      <c r="E721" s="8" t="s">
        <v>35</v>
      </c>
      <c r="F721" s="9" t="s">
        <v>97</v>
      </c>
      <c r="G721" s="8" t="s">
        <v>225</v>
      </c>
      <c r="H721" s="8" t="s">
        <v>125</v>
      </c>
      <c r="I721" s="8" t="s">
        <v>113</v>
      </c>
      <c r="J721" s="9" t="s">
        <v>24</v>
      </c>
      <c r="K721" s="9" t="s">
        <v>6887</v>
      </c>
      <c r="L721" s="9" t="s">
        <v>276</v>
      </c>
      <c r="M721" s="8" t="s">
        <v>15</v>
      </c>
      <c r="N721" s="11" t="s">
        <v>6876</v>
      </c>
      <c r="O721" s="12" t="s">
        <v>207</v>
      </c>
      <c r="P721" s="41">
        <v>35430</v>
      </c>
      <c r="Q721" s="9" t="s">
        <v>419</v>
      </c>
      <c r="R721" s="9" t="s">
        <v>276</v>
      </c>
      <c r="S721" s="9" t="s">
        <v>276</v>
      </c>
      <c r="T721" s="9" t="s">
        <v>6859</v>
      </c>
      <c r="U721" s="13">
        <v>5157</v>
      </c>
      <c r="V721" s="38">
        <v>5995</v>
      </c>
      <c r="W721" s="8" t="s">
        <v>276</v>
      </c>
      <c r="X721" s="8" t="s">
        <v>276</v>
      </c>
      <c r="Y721" s="8" t="s">
        <v>276</v>
      </c>
      <c r="Z721" s="9" t="s">
        <v>894</v>
      </c>
      <c r="AA721" s="9" t="s">
        <v>276</v>
      </c>
      <c r="AB721" s="9" t="s">
        <v>894</v>
      </c>
      <c r="AC721" s="9" t="s">
        <v>6902</v>
      </c>
      <c r="AD721" s="9" t="s">
        <v>6878</v>
      </c>
      <c r="AE721" s="8">
        <v>17</v>
      </c>
      <c r="AF721" s="8">
        <v>29</v>
      </c>
      <c r="AG721" s="13">
        <v>5157</v>
      </c>
      <c r="AH721" s="38">
        <v>5995</v>
      </c>
      <c r="AI721" s="38" t="s">
        <v>281</v>
      </c>
      <c r="AJ721" s="14" t="s">
        <v>276</v>
      </c>
      <c r="AK721" s="31">
        <f t="shared" si="85"/>
        <v>3.2964902074849718</v>
      </c>
      <c r="AL721" s="14" t="s">
        <v>276</v>
      </c>
      <c r="AM721" s="14" t="s">
        <v>276</v>
      </c>
      <c r="AN721" s="14" t="s">
        <v>276</v>
      </c>
      <c r="AO721" s="31">
        <f t="shared" si="86"/>
        <v>4.8373644703919929</v>
      </c>
      <c r="AP721" s="14" t="s">
        <v>276</v>
      </c>
      <c r="AQ721" s="14" t="s">
        <v>276</v>
      </c>
      <c r="AR721" s="8" t="s">
        <v>268</v>
      </c>
      <c r="AS721" s="14" t="s">
        <v>276</v>
      </c>
      <c r="AT721" s="31">
        <f t="shared" si="87"/>
        <v>0.68146409634042782</v>
      </c>
      <c r="AU721" s="14" t="s">
        <v>276</v>
      </c>
      <c r="AV721" s="14" t="s">
        <v>276</v>
      </c>
      <c r="AW721" s="8" t="s">
        <v>276</v>
      </c>
      <c r="AX721" s="9" t="s">
        <v>6868</v>
      </c>
      <c r="AY721" s="8">
        <v>0.67</v>
      </c>
      <c r="AZ721" s="14">
        <v>0.37</v>
      </c>
      <c r="BA721" s="8">
        <v>1.23</v>
      </c>
      <c r="BB721" s="8" t="s">
        <v>276</v>
      </c>
      <c r="BC721" s="9" t="s">
        <v>426</v>
      </c>
      <c r="BD721" s="9" t="s">
        <v>6898</v>
      </c>
      <c r="BE721" s="33" t="s">
        <v>100</v>
      </c>
      <c r="BF721" s="33" t="s">
        <v>98</v>
      </c>
    </row>
    <row r="722" spans="1:58" s="7" customFormat="1" ht="78" x14ac:dyDescent="0.3">
      <c r="A722" s="8">
        <v>4053</v>
      </c>
      <c r="B722" s="9" t="s">
        <v>6864</v>
      </c>
      <c r="C722" s="9" t="s">
        <v>58</v>
      </c>
      <c r="D722" s="9" t="s">
        <v>6903</v>
      </c>
      <c r="E722" s="8" t="s">
        <v>35</v>
      </c>
      <c r="F722" s="9" t="s">
        <v>97</v>
      </c>
      <c r="G722" s="8" t="s">
        <v>225</v>
      </c>
      <c r="H722" s="8" t="s">
        <v>125</v>
      </c>
      <c r="I722" s="8" t="s">
        <v>113</v>
      </c>
      <c r="J722" s="9" t="s">
        <v>24</v>
      </c>
      <c r="K722" s="9" t="s">
        <v>6887</v>
      </c>
      <c r="L722" s="9" t="s">
        <v>276</v>
      </c>
      <c r="M722" s="8" t="s">
        <v>15</v>
      </c>
      <c r="N722" s="11" t="s">
        <v>6880</v>
      </c>
      <c r="O722" s="12" t="s">
        <v>207</v>
      </c>
      <c r="P722" s="41">
        <v>35430</v>
      </c>
      <c r="Q722" s="9" t="s">
        <v>419</v>
      </c>
      <c r="R722" s="9" t="s">
        <v>276</v>
      </c>
      <c r="S722" s="9" t="s">
        <v>276</v>
      </c>
      <c r="T722" s="9" t="s">
        <v>6859</v>
      </c>
      <c r="U722" s="13">
        <v>4752</v>
      </c>
      <c r="V722" s="38">
        <v>7353</v>
      </c>
      <c r="W722" s="8" t="s">
        <v>276</v>
      </c>
      <c r="X722" s="8" t="s">
        <v>276</v>
      </c>
      <c r="Y722" s="8" t="s">
        <v>276</v>
      </c>
      <c r="Z722" s="9" t="s">
        <v>894</v>
      </c>
      <c r="AA722" s="9" t="s">
        <v>276</v>
      </c>
      <c r="AB722" s="9" t="s">
        <v>894</v>
      </c>
      <c r="AC722" s="9" t="s">
        <v>6904</v>
      </c>
      <c r="AD722" s="9" t="s">
        <v>6882</v>
      </c>
      <c r="AE722" s="8">
        <v>28</v>
      </c>
      <c r="AF722" s="8">
        <v>41</v>
      </c>
      <c r="AG722" s="13">
        <v>4752</v>
      </c>
      <c r="AH722" s="38">
        <v>7353</v>
      </c>
      <c r="AI722" s="38" t="s">
        <v>281</v>
      </c>
      <c r="AJ722" s="14" t="s">
        <v>276</v>
      </c>
      <c r="AK722" s="31">
        <f t="shared" si="85"/>
        <v>5.8922558922558919</v>
      </c>
      <c r="AL722" s="14" t="s">
        <v>276</v>
      </c>
      <c r="AM722" s="14" t="s">
        <v>276</v>
      </c>
      <c r="AN722" s="14" t="s">
        <v>276</v>
      </c>
      <c r="AO722" s="31">
        <f t="shared" si="86"/>
        <v>5.5759553923568612</v>
      </c>
      <c r="AP722" s="14" t="s">
        <v>276</v>
      </c>
      <c r="AQ722" s="14" t="s">
        <v>276</v>
      </c>
      <c r="AR722" s="8" t="s">
        <v>268</v>
      </c>
      <c r="AS722" s="14" t="s">
        <v>276</v>
      </c>
      <c r="AT722" s="31">
        <f t="shared" si="87"/>
        <v>1.0567257945306725</v>
      </c>
      <c r="AU722" s="14" t="s">
        <v>276</v>
      </c>
      <c r="AV722" s="14" t="s">
        <v>276</v>
      </c>
      <c r="AW722" s="8" t="s">
        <v>276</v>
      </c>
      <c r="AX722" s="9" t="s">
        <v>6868</v>
      </c>
      <c r="AY722" s="8">
        <v>1.06</v>
      </c>
      <c r="AZ722" s="8">
        <v>0.66</v>
      </c>
      <c r="BA722" s="8">
        <v>1.72</v>
      </c>
      <c r="BB722" s="8" t="s">
        <v>276</v>
      </c>
      <c r="BC722" s="9" t="s">
        <v>426</v>
      </c>
      <c r="BD722" s="9" t="s">
        <v>6898</v>
      </c>
      <c r="BE722" s="33" t="s">
        <v>100</v>
      </c>
      <c r="BF722" s="33" t="s">
        <v>98</v>
      </c>
    </row>
    <row r="723" spans="1:58" s="7" customFormat="1" ht="78" x14ac:dyDescent="0.3">
      <c r="A723" s="8">
        <v>4053</v>
      </c>
      <c r="B723" s="9" t="s">
        <v>6864</v>
      </c>
      <c r="C723" s="9" t="s">
        <v>58</v>
      </c>
      <c r="D723" s="9" t="s">
        <v>6905</v>
      </c>
      <c r="E723" s="8" t="s">
        <v>35</v>
      </c>
      <c r="F723" s="9" t="s">
        <v>97</v>
      </c>
      <c r="G723" s="8" t="s">
        <v>225</v>
      </c>
      <c r="H723" s="8" t="s">
        <v>125</v>
      </c>
      <c r="I723" s="8" t="s">
        <v>113</v>
      </c>
      <c r="J723" s="9" t="s">
        <v>24</v>
      </c>
      <c r="K723" s="9" t="s">
        <v>6887</v>
      </c>
      <c r="L723" s="9" t="s">
        <v>276</v>
      </c>
      <c r="M723" s="8" t="s">
        <v>15</v>
      </c>
      <c r="N723" s="11" t="s">
        <v>3432</v>
      </c>
      <c r="O723" s="12" t="s">
        <v>207</v>
      </c>
      <c r="P723" s="41">
        <v>35430</v>
      </c>
      <c r="Q723" s="9" t="s">
        <v>419</v>
      </c>
      <c r="R723" s="9" t="s">
        <v>276</v>
      </c>
      <c r="S723" s="9" t="s">
        <v>276</v>
      </c>
      <c r="T723" s="9" t="s">
        <v>6859</v>
      </c>
      <c r="U723" s="13">
        <v>5174</v>
      </c>
      <c r="V723" s="38">
        <v>8391</v>
      </c>
      <c r="W723" s="8" t="s">
        <v>276</v>
      </c>
      <c r="X723" s="8" t="s">
        <v>276</v>
      </c>
      <c r="Y723" s="8" t="s">
        <v>276</v>
      </c>
      <c r="Z723" s="9" t="s">
        <v>894</v>
      </c>
      <c r="AA723" s="9" t="s">
        <v>276</v>
      </c>
      <c r="AB723" s="9" t="s">
        <v>894</v>
      </c>
      <c r="AC723" s="9" t="s">
        <v>6906</v>
      </c>
      <c r="AD723" s="9" t="s">
        <v>6885</v>
      </c>
      <c r="AE723" s="8">
        <v>26</v>
      </c>
      <c r="AF723" s="8">
        <v>62</v>
      </c>
      <c r="AG723" s="13">
        <v>5174</v>
      </c>
      <c r="AH723" s="38">
        <v>8391</v>
      </c>
      <c r="AI723" s="38" t="s">
        <v>281</v>
      </c>
      <c r="AJ723" s="14" t="s">
        <v>276</v>
      </c>
      <c r="AK723" s="31">
        <f t="shared" si="85"/>
        <v>5.025125628140704</v>
      </c>
      <c r="AL723" s="14" t="s">
        <v>276</v>
      </c>
      <c r="AM723" s="14" t="s">
        <v>276</v>
      </c>
      <c r="AN723" s="14" t="s">
        <v>276</v>
      </c>
      <c r="AO723" s="31">
        <f t="shared" si="86"/>
        <v>7.3888690263377432</v>
      </c>
      <c r="AP723" s="14" t="s">
        <v>276</v>
      </c>
      <c r="AQ723" s="14" t="s">
        <v>276</v>
      </c>
      <c r="AR723" s="8" t="s">
        <v>268</v>
      </c>
      <c r="AS723" s="14" t="s">
        <v>276</v>
      </c>
      <c r="AT723" s="31">
        <f t="shared" si="87"/>
        <v>0.68009401847949424</v>
      </c>
      <c r="AU723" s="14" t="s">
        <v>276</v>
      </c>
      <c r="AV723" s="14" t="s">
        <v>276</v>
      </c>
      <c r="AW723" s="8" t="s">
        <v>276</v>
      </c>
      <c r="AX723" s="9" t="s">
        <v>6868</v>
      </c>
      <c r="AY723" s="8">
        <v>0.67</v>
      </c>
      <c r="AZ723" s="8">
        <v>0.43</v>
      </c>
      <c r="BA723" s="8">
        <v>1.06</v>
      </c>
      <c r="BB723" s="8" t="s">
        <v>276</v>
      </c>
      <c r="BC723" s="9" t="s">
        <v>426</v>
      </c>
      <c r="BD723" s="9" t="s">
        <v>6898</v>
      </c>
      <c r="BE723" s="33" t="s">
        <v>100</v>
      </c>
      <c r="BF723" s="33" t="s">
        <v>98</v>
      </c>
    </row>
    <row r="724" spans="1:58" s="87" customFormat="1" ht="52" x14ac:dyDescent="0.3">
      <c r="A724" s="72">
        <v>4053</v>
      </c>
      <c r="B724" s="73" t="s">
        <v>6864</v>
      </c>
      <c r="C724" s="73" t="s">
        <v>58</v>
      </c>
      <c r="D724" s="73" t="s">
        <v>6907</v>
      </c>
      <c r="E724" s="72" t="s">
        <v>35</v>
      </c>
      <c r="F724" s="73" t="s">
        <v>97</v>
      </c>
      <c r="G724" s="72" t="s">
        <v>225</v>
      </c>
      <c r="H724" s="72" t="s">
        <v>125</v>
      </c>
      <c r="I724" s="72" t="s">
        <v>113</v>
      </c>
      <c r="J724" s="73" t="s">
        <v>23</v>
      </c>
      <c r="K724" s="73" t="s">
        <v>6887</v>
      </c>
      <c r="L724" s="73" t="s">
        <v>276</v>
      </c>
      <c r="M724" s="72" t="s">
        <v>14</v>
      </c>
      <c r="N724" s="84" t="s">
        <v>98</v>
      </c>
      <c r="O724" s="85" t="s">
        <v>207</v>
      </c>
      <c r="P724" s="88">
        <v>35430</v>
      </c>
      <c r="Q724" s="73" t="s">
        <v>419</v>
      </c>
      <c r="R724" s="73" t="s">
        <v>276</v>
      </c>
      <c r="S724" s="73" t="s">
        <v>276</v>
      </c>
      <c r="T724" s="73" t="s">
        <v>6859</v>
      </c>
      <c r="U724" s="74">
        <v>21650</v>
      </c>
      <c r="V724" s="75">
        <v>29961</v>
      </c>
      <c r="W724" s="72" t="s">
        <v>276</v>
      </c>
      <c r="X724" s="72" t="s">
        <v>276</v>
      </c>
      <c r="Y724" s="72">
        <v>0</v>
      </c>
      <c r="Z724" s="73" t="s">
        <v>98</v>
      </c>
      <c r="AA724" s="73">
        <v>0</v>
      </c>
      <c r="AB724" s="73" t="s">
        <v>98</v>
      </c>
      <c r="AC724" s="73" t="s">
        <v>6908</v>
      </c>
      <c r="AD724" s="73" t="s">
        <v>2034</v>
      </c>
      <c r="AE724" s="72" t="s">
        <v>276</v>
      </c>
      <c r="AF724" s="72" t="s">
        <v>276</v>
      </c>
      <c r="AG724" s="74">
        <v>21650</v>
      </c>
      <c r="AH724" s="75">
        <v>29961</v>
      </c>
      <c r="AI724" s="75" t="s">
        <v>281</v>
      </c>
      <c r="AJ724" s="76" t="s">
        <v>276</v>
      </c>
      <c r="AK724" s="86" t="s">
        <v>98</v>
      </c>
      <c r="AL724" s="76" t="s">
        <v>276</v>
      </c>
      <c r="AM724" s="76" t="s">
        <v>276</v>
      </c>
      <c r="AN724" s="76" t="s">
        <v>276</v>
      </c>
      <c r="AO724" s="86" t="s">
        <v>98</v>
      </c>
      <c r="AP724" s="76" t="s">
        <v>276</v>
      </c>
      <c r="AQ724" s="76" t="s">
        <v>276</v>
      </c>
      <c r="AR724" s="72" t="s">
        <v>268</v>
      </c>
      <c r="AS724" s="76" t="s">
        <v>276</v>
      </c>
      <c r="AT724" s="86" t="s">
        <v>98</v>
      </c>
      <c r="AU724" s="76" t="s">
        <v>276</v>
      </c>
      <c r="AV724" s="76" t="s">
        <v>276</v>
      </c>
      <c r="AW724" s="72" t="s">
        <v>276</v>
      </c>
      <c r="AX724" s="73" t="s">
        <v>6868</v>
      </c>
      <c r="AY724" s="76">
        <v>0.95</v>
      </c>
      <c r="AZ724" s="76">
        <v>0.89</v>
      </c>
      <c r="BA724" s="76">
        <v>1.02</v>
      </c>
      <c r="BB724" s="72" t="s">
        <v>691</v>
      </c>
      <c r="BC724" s="73" t="s">
        <v>6909</v>
      </c>
      <c r="BD724" s="73"/>
      <c r="BE724" s="33" t="s">
        <v>100</v>
      </c>
      <c r="BF724" s="33" t="s">
        <v>98</v>
      </c>
    </row>
    <row r="725" spans="1:58" s="202" customFormat="1" ht="65" x14ac:dyDescent="0.3">
      <c r="A725" s="175">
        <v>4052</v>
      </c>
      <c r="B725" s="176" t="s">
        <v>6910</v>
      </c>
      <c r="C725" s="176" t="s">
        <v>58</v>
      </c>
      <c r="D725" s="176" t="s">
        <v>6911</v>
      </c>
      <c r="E725" s="175" t="s">
        <v>35</v>
      </c>
      <c r="F725" s="176" t="s">
        <v>97</v>
      </c>
      <c r="G725" s="175" t="s">
        <v>225</v>
      </c>
      <c r="H725" s="175" t="s">
        <v>125</v>
      </c>
      <c r="I725" s="175" t="s">
        <v>113</v>
      </c>
      <c r="J725" s="176" t="s">
        <v>24</v>
      </c>
      <c r="K725" s="176" t="s">
        <v>6912</v>
      </c>
      <c r="L725" s="176" t="s">
        <v>276</v>
      </c>
      <c r="M725" s="175" t="s">
        <v>14</v>
      </c>
      <c r="N725" s="198" t="s">
        <v>98</v>
      </c>
      <c r="O725" s="199" t="s">
        <v>207</v>
      </c>
      <c r="P725" s="200">
        <v>39447</v>
      </c>
      <c r="Q725" s="176" t="s">
        <v>276</v>
      </c>
      <c r="R725" s="176" t="s">
        <v>6913</v>
      </c>
      <c r="S725" s="176" t="s">
        <v>6913</v>
      </c>
      <c r="T725" s="176" t="s">
        <v>6859</v>
      </c>
      <c r="U725" s="180">
        <v>21904</v>
      </c>
      <c r="V725" s="179">
        <v>30318</v>
      </c>
      <c r="W725" s="175" t="s">
        <v>276</v>
      </c>
      <c r="X725" s="175" t="s">
        <v>276</v>
      </c>
      <c r="Y725" s="175" t="s">
        <v>276</v>
      </c>
      <c r="Z725" s="176" t="s">
        <v>894</v>
      </c>
      <c r="AA725" s="176" t="s">
        <v>276</v>
      </c>
      <c r="AB725" s="176" t="s">
        <v>894</v>
      </c>
      <c r="AC725" s="176" t="s">
        <v>6867</v>
      </c>
      <c r="AD725" s="176" t="s">
        <v>2034</v>
      </c>
      <c r="AE725" s="175">
        <v>79</v>
      </c>
      <c r="AF725" s="175">
        <v>156</v>
      </c>
      <c r="AG725" s="180">
        <v>21904</v>
      </c>
      <c r="AH725" s="179">
        <v>30318</v>
      </c>
      <c r="AI725" s="179" t="s">
        <v>281</v>
      </c>
      <c r="AJ725" s="181" t="s">
        <v>276</v>
      </c>
      <c r="AK725" s="201">
        <f t="shared" ref="AK725:AK731" si="88">AE725*1000/AG725</f>
        <v>3.6066471877282686</v>
      </c>
      <c r="AL725" s="181" t="s">
        <v>276</v>
      </c>
      <c r="AM725" s="181" t="s">
        <v>276</v>
      </c>
      <c r="AN725" s="181" t="s">
        <v>276</v>
      </c>
      <c r="AO725" s="201">
        <f t="shared" ref="AO725:AO731" si="89">AF725*1000/AH725</f>
        <v>5.1454581436770237</v>
      </c>
      <c r="AP725" s="181" t="s">
        <v>276</v>
      </c>
      <c r="AQ725" s="181" t="s">
        <v>276</v>
      </c>
      <c r="AR725" s="175" t="s">
        <v>268</v>
      </c>
      <c r="AS725" s="181" t="s">
        <v>276</v>
      </c>
      <c r="AT725" s="201">
        <f t="shared" ref="AT725:AT731" si="90">AK725/AO725</f>
        <v>0.70093800921503624</v>
      </c>
      <c r="AU725" s="181" t="s">
        <v>276</v>
      </c>
      <c r="AV725" s="181" t="s">
        <v>276</v>
      </c>
      <c r="AW725" s="175" t="s">
        <v>276</v>
      </c>
      <c r="AX725" s="176" t="s">
        <v>6914</v>
      </c>
      <c r="AY725" s="181">
        <v>0.7</v>
      </c>
      <c r="AZ725" s="175">
        <v>0.53</v>
      </c>
      <c r="BA725" s="175">
        <v>0.93</v>
      </c>
      <c r="BB725" s="175">
        <v>0.01</v>
      </c>
      <c r="BC725" s="176" t="s">
        <v>6915</v>
      </c>
      <c r="BD725" s="176"/>
      <c r="BE725" s="33" t="s">
        <v>100</v>
      </c>
      <c r="BF725" s="33" t="s">
        <v>98</v>
      </c>
    </row>
    <row r="726" spans="1:58" s="202" customFormat="1" ht="78" x14ac:dyDescent="0.3">
      <c r="A726" s="175">
        <v>4052</v>
      </c>
      <c r="B726" s="176" t="s">
        <v>6910</v>
      </c>
      <c r="C726" s="176" t="s">
        <v>58</v>
      </c>
      <c r="D726" s="176" t="s">
        <v>6916</v>
      </c>
      <c r="E726" s="175" t="s">
        <v>35</v>
      </c>
      <c r="F726" s="176" t="s">
        <v>97</v>
      </c>
      <c r="G726" s="175" t="s">
        <v>225</v>
      </c>
      <c r="H726" s="175" t="s">
        <v>125</v>
      </c>
      <c r="I726" s="175" t="s">
        <v>113</v>
      </c>
      <c r="J726" s="176" t="s">
        <v>24</v>
      </c>
      <c r="K726" s="176" t="s">
        <v>6912</v>
      </c>
      <c r="L726" s="176" t="s">
        <v>276</v>
      </c>
      <c r="M726" s="175" t="s">
        <v>15</v>
      </c>
      <c r="N726" s="198" t="s">
        <v>6836</v>
      </c>
      <c r="O726" s="199" t="s">
        <v>207</v>
      </c>
      <c r="P726" s="200">
        <v>39447</v>
      </c>
      <c r="Q726" s="176" t="s">
        <v>276</v>
      </c>
      <c r="R726" s="176" t="s">
        <v>276</v>
      </c>
      <c r="S726" s="176" t="s">
        <v>276</v>
      </c>
      <c r="T726" s="176" t="s">
        <v>6859</v>
      </c>
      <c r="U726" s="180">
        <v>11792</v>
      </c>
      <c r="V726" s="179">
        <v>14321</v>
      </c>
      <c r="W726" s="175" t="s">
        <v>276</v>
      </c>
      <c r="X726" s="175" t="s">
        <v>276</v>
      </c>
      <c r="Y726" s="175" t="s">
        <v>276</v>
      </c>
      <c r="Z726" s="176" t="s">
        <v>894</v>
      </c>
      <c r="AA726" s="176" t="s">
        <v>276</v>
      </c>
      <c r="AB726" s="176" t="s">
        <v>894</v>
      </c>
      <c r="AC726" s="176" t="s">
        <v>6917</v>
      </c>
      <c r="AD726" s="176" t="s">
        <v>6918</v>
      </c>
      <c r="AE726" s="175">
        <v>33</v>
      </c>
      <c r="AF726" s="175">
        <v>68</v>
      </c>
      <c r="AG726" s="180">
        <v>11792</v>
      </c>
      <c r="AH726" s="179">
        <v>14321</v>
      </c>
      <c r="AI726" s="179" t="s">
        <v>281</v>
      </c>
      <c r="AJ726" s="181" t="s">
        <v>276</v>
      </c>
      <c r="AK726" s="201">
        <f t="shared" si="88"/>
        <v>2.7985074626865671</v>
      </c>
      <c r="AL726" s="181" t="s">
        <v>276</v>
      </c>
      <c r="AM726" s="181" t="s">
        <v>276</v>
      </c>
      <c r="AN726" s="181" t="s">
        <v>276</v>
      </c>
      <c r="AO726" s="201">
        <f t="shared" si="89"/>
        <v>4.7482717687312341</v>
      </c>
      <c r="AP726" s="181" t="s">
        <v>276</v>
      </c>
      <c r="AQ726" s="181" t="s">
        <v>276</v>
      </c>
      <c r="AR726" s="175" t="s">
        <v>268</v>
      </c>
      <c r="AS726" s="181" t="s">
        <v>276</v>
      </c>
      <c r="AT726" s="201">
        <f t="shared" si="90"/>
        <v>0.58937390254609301</v>
      </c>
      <c r="AU726" s="181" t="s">
        <v>276</v>
      </c>
      <c r="AV726" s="181" t="s">
        <v>276</v>
      </c>
      <c r="AW726" s="175" t="s">
        <v>276</v>
      </c>
      <c r="AX726" s="176" t="s">
        <v>6914</v>
      </c>
      <c r="AY726" s="181">
        <v>0.6</v>
      </c>
      <c r="AZ726" s="175">
        <v>0.43</v>
      </c>
      <c r="BA726" s="175">
        <v>0.85</v>
      </c>
      <c r="BB726" s="175">
        <v>3.0000000000000001E-3</v>
      </c>
      <c r="BC726" s="176" t="s">
        <v>6919</v>
      </c>
      <c r="BD726" s="176"/>
      <c r="BE726" s="33" t="s">
        <v>100</v>
      </c>
      <c r="BF726" s="33" t="s">
        <v>98</v>
      </c>
    </row>
    <row r="727" spans="1:58" s="202" customFormat="1" ht="78" x14ac:dyDescent="0.3">
      <c r="A727" s="175">
        <v>4052</v>
      </c>
      <c r="B727" s="176" t="s">
        <v>6910</v>
      </c>
      <c r="C727" s="176" t="s">
        <v>58</v>
      </c>
      <c r="D727" s="176" t="s">
        <v>6920</v>
      </c>
      <c r="E727" s="175" t="s">
        <v>35</v>
      </c>
      <c r="F727" s="176" t="s">
        <v>97</v>
      </c>
      <c r="G727" s="175" t="s">
        <v>225</v>
      </c>
      <c r="H727" s="175" t="s">
        <v>125</v>
      </c>
      <c r="I727" s="175" t="s">
        <v>113</v>
      </c>
      <c r="J727" s="176" t="s">
        <v>24</v>
      </c>
      <c r="K727" s="176" t="s">
        <v>6912</v>
      </c>
      <c r="L727" s="176" t="s">
        <v>276</v>
      </c>
      <c r="M727" s="175" t="s">
        <v>15</v>
      </c>
      <c r="N727" s="198" t="s">
        <v>3038</v>
      </c>
      <c r="O727" s="199" t="s">
        <v>207</v>
      </c>
      <c r="P727" s="200">
        <v>39447</v>
      </c>
      <c r="Q727" s="176" t="s">
        <v>276</v>
      </c>
      <c r="R727" s="176" t="s">
        <v>276</v>
      </c>
      <c r="S727" s="176" t="s">
        <v>276</v>
      </c>
      <c r="T727" s="176" t="s">
        <v>6859</v>
      </c>
      <c r="U727" s="180">
        <v>10112</v>
      </c>
      <c r="V727" s="179">
        <v>15997</v>
      </c>
      <c r="W727" s="175" t="s">
        <v>276</v>
      </c>
      <c r="X727" s="175" t="s">
        <v>276</v>
      </c>
      <c r="Y727" s="175" t="s">
        <v>276</v>
      </c>
      <c r="Z727" s="176" t="s">
        <v>894</v>
      </c>
      <c r="AA727" s="176" t="s">
        <v>276</v>
      </c>
      <c r="AB727" s="176" t="s">
        <v>894</v>
      </c>
      <c r="AC727" s="176" t="s">
        <v>6921</v>
      </c>
      <c r="AD727" s="176" t="s">
        <v>6922</v>
      </c>
      <c r="AE727" s="175">
        <v>46</v>
      </c>
      <c r="AF727" s="175">
        <v>88</v>
      </c>
      <c r="AG727" s="180">
        <v>10112</v>
      </c>
      <c r="AH727" s="179">
        <v>15997</v>
      </c>
      <c r="AI727" s="179" t="s">
        <v>281</v>
      </c>
      <c r="AJ727" s="181" t="s">
        <v>276</v>
      </c>
      <c r="AK727" s="201">
        <f t="shared" si="88"/>
        <v>4.549050632911392</v>
      </c>
      <c r="AL727" s="181" t="s">
        <v>276</v>
      </c>
      <c r="AM727" s="181" t="s">
        <v>276</v>
      </c>
      <c r="AN727" s="181" t="s">
        <v>276</v>
      </c>
      <c r="AO727" s="201">
        <f t="shared" si="89"/>
        <v>5.5010314433956369</v>
      </c>
      <c r="AP727" s="181" t="s">
        <v>276</v>
      </c>
      <c r="AQ727" s="181" t="s">
        <v>276</v>
      </c>
      <c r="AR727" s="175" t="s">
        <v>268</v>
      </c>
      <c r="AS727" s="181" t="s">
        <v>276</v>
      </c>
      <c r="AT727" s="201">
        <f t="shared" si="90"/>
        <v>0.82694503380322204</v>
      </c>
      <c r="AU727" s="181" t="s">
        <v>276</v>
      </c>
      <c r="AV727" s="181" t="s">
        <v>276</v>
      </c>
      <c r="AW727" s="175" t="s">
        <v>276</v>
      </c>
      <c r="AX727" s="176" t="s">
        <v>6914</v>
      </c>
      <c r="AY727" s="181">
        <v>0.82</v>
      </c>
      <c r="AZ727" s="175">
        <v>0.54</v>
      </c>
      <c r="BA727" s="175">
        <v>1.26</v>
      </c>
      <c r="BB727" s="175">
        <v>0.4</v>
      </c>
      <c r="BC727" s="176" t="s">
        <v>6923</v>
      </c>
      <c r="BD727" s="176"/>
      <c r="BE727" s="33" t="s">
        <v>100</v>
      </c>
      <c r="BF727" s="33" t="s">
        <v>98</v>
      </c>
    </row>
    <row r="728" spans="1:58" s="202" customFormat="1" ht="65" x14ac:dyDescent="0.3">
      <c r="A728" s="175">
        <v>243</v>
      </c>
      <c r="B728" s="175" t="s">
        <v>7059</v>
      </c>
      <c r="C728" s="176" t="s">
        <v>59</v>
      </c>
      <c r="D728" s="176" t="s">
        <v>7060</v>
      </c>
      <c r="E728" s="175" t="s">
        <v>36</v>
      </c>
      <c r="F728" s="175" t="s">
        <v>123</v>
      </c>
      <c r="G728" s="175" t="s">
        <v>225</v>
      </c>
      <c r="H728" s="175" t="s">
        <v>125</v>
      </c>
      <c r="I728" s="175" t="s">
        <v>114</v>
      </c>
      <c r="J728" s="176" t="s">
        <v>24</v>
      </c>
      <c r="K728" s="176" t="s">
        <v>7061</v>
      </c>
      <c r="L728" s="176" t="s">
        <v>7062</v>
      </c>
      <c r="M728" s="175" t="s">
        <v>14</v>
      </c>
      <c r="N728" s="198" t="s">
        <v>98</v>
      </c>
      <c r="O728" s="199" t="s">
        <v>207</v>
      </c>
      <c r="P728" s="200">
        <v>37256</v>
      </c>
      <c r="Q728" s="176" t="s">
        <v>7063</v>
      </c>
      <c r="R728" s="176" t="s">
        <v>7064</v>
      </c>
      <c r="S728" s="176" t="s">
        <v>7064</v>
      </c>
      <c r="T728" s="178" t="s">
        <v>5401</v>
      </c>
      <c r="U728" s="180">
        <v>34144</v>
      </c>
      <c r="V728" s="179">
        <v>34164</v>
      </c>
      <c r="W728" s="176" t="s">
        <v>276</v>
      </c>
      <c r="X728" s="176" t="s">
        <v>276</v>
      </c>
      <c r="Y728" s="176" t="s">
        <v>7065</v>
      </c>
      <c r="Z728" s="176" t="s">
        <v>1562</v>
      </c>
      <c r="AA728" s="176" t="s">
        <v>7065</v>
      </c>
      <c r="AB728" s="176" t="s">
        <v>1562</v>
      </c>
      <c r="AC728" s="176" t="s">
        <v>7066</v>
      </c>
      <c r="AD728" s="176" t="s">
        <v>7067</v>
      </c>
      <c r="AE728" s="175">
        <v>252</v>
      </c>
      <c r="AF728" s="175">
        <v>300</v>
      </c>
      <c r="AG728" s="317">
        <v>471072</v>
      </c>
      <c r="AH728" s="179">
        <v>471980</v>
      </c>
      <c r="AI728" s="179" t="s">
        <v>425</v>
      </c>
      <c r="AJ728" s="181">
        <v>0.53</v>
      </c>
      <c r="AK728" s="201">
        <f t="shared" si="88"/>
        <v>0.53495007132667616</v>
      </c>
      <c r="AL728" s="181" t="s">
        <v>276</v>
      </c>
      <c r="AM728" s="181" t="s">
        <v>276</v>
      </c>
      <c r="AN728" s="181">
        <v>0.64</v>
      </c>
      <c r="AO728" s="201">
        <f t="shared" si="89"/>
        <v>0.63562015339633038</v>
      </c>
      <c r="AP728" s="181" t="s">
        <v>276</v>
      </c>
      <c r="AQ728" s="181" t="s">
        <v>276</v>
      </c>
      <c r="AR728" s="175" t="s">
        <v>269</v>
      </c>
      <c r="AS728" s="181">
        <v>0.84</v>
      </c>
      <c r="AT728" s="201">
        <f t="shared" si="90"/>
        <v>0.84161911554921531</v>
      </c>
      <c r="AU728" s="181">
        <v>0.71</v>
      </c>
      <c r="AV728" s="181">
        <v>0.99</v>
      </c>
      <c r="AW728" s="175" t="s">
        <v>844</v>
      </c>
      <c r="AX728" s="175" t="s">
        <v>282</v>
      </c>
      <c r="AY728" s="175" t="s">
        <v>98</v>
      </c>
      <c r="AZ728" s="175" t="s">
        <v>98</v>
      </c>
      <c r="BA728" s="175" t="s">
        <v>98</v>
      </c>
      <c r="BB728" s="175" t="s">
        <v>98</v>
      </c>
      <c r="BC728" s="176" t="s">
        <v>7068</v>
      </c>
      <c r="BD728" s="176" t="s">
        <v>7069</v>
      </c>
      <c r="BE728" s="33" t="s">
        <v>99</v>
      </c>
      <c r="BF728" s="183" t="s">
        <v>11162</v>
      </c>
    </row>
    <row r="729" spans="1:58" s="202" customFormat="1" ht="52" x14ac:dyDescent="0.3">
      <c r="A729" s="175">
        <v>243</v>
      </c>
      <c r="B729" s="175" t="s">
        <v>7059</v>
      </c>
      <c r="C729" s="176" t="s">
        <v>59</v>
      </c>
      <c r="D729" s="176" t="s">
        <v>7070</v>
      </c>
      <c r="E729" s="175" t="s">
        <v>36</v>
      </c>
      <c r="F729" s="175" t="s">
        <v>123</v>
      </c>
      <c r="G729" s="175" t="s">
        <v>225</v>
      </c>
      <c r="H729" s="175" t="s">
        <v>125</v>
      </c>
      <c r="I729" s="175" t="s">
        <v>114</v>
      </c>
      <c r="J729" s="176" t="s">
        <v>24</v>
      </c>
      <c r="K729" s="176" t="s">
        <v>7061</v>
      </c>
      <c r="L729" s="176" t="s">
        <v>7062</v>
      </c>
      <c r="M729" s="175" t="s">
        <v>14</v>
      </c>
      <c r="N729" s="198" t="s">
        <v>98</v>
      </c>
      <c r="O729" s="199" t="s">
        <v>207</v>
      </c>
      <c r="P729" s="200">
        <v>37256</v>
      </c>
      <c r="Q729" s="176" t="s">
        <v>7063</v>
      </c>
      <c r="R729" s="176" t="s">
        <v>7064</v>
      </c>
      <c r="S729" s="176" t="s">
        <v>7064</v>
      </c>
      <c r="T729" s="178" t="s">
        <v>5401</v>
      </c>
      <c r="U729" s="180">
        <v>34144</v>
      </c>
      <c r="V729" s="179">
        <v>34164</v>
      </c>
      <c r="W729" s="176" t="s">
        <v>276</v>
      </c>
      <c r="X729" s="176" t="s">
        <v>276</v>
      </c>
      <c r="Y729" s="176" t="s">
        <v>7065</v>
      </c>
      <c r="Z729" s="176" t="s">
        <v>1562</v>
      </c>
      <c r="AA729" s="176" t="s">
        <v>7065</v>
      </c>
      <c r="AB729" s="176" t="s">
        <v>1562</v>
      </c>
      <c r="AC729" s="176" t="s">
        <v>7066</v>
      </c>
      <c r="AD729" s="176" t="s">
        <v>7071</v>
      </c>
      <c r="AE729" s="175">
        <v>252</v>
      </c>
      <c r="AF729" s="175">
        <v>300</v>
      </c>
      <c r="AG729" s="180">
        <v>34144</v>
      </c>
      <c r="AH729" s="179">
        <v>34164</v>
      </c>
      <c r="AI729" s="179" t="s">
        <v>2047</v>
      </c>
      <c r="AJ729" s="181" t="s">
        <v>276</v>
      </c>
      <c r="AK729" s="201">
        <f t="shared" si="88"/>
        <v>7.3805060918462981</v>
      </c>
      <c r="AL729" s="181" t="s">
        <v>276</v>
      </c>
      <c r="AM729" s="181" t="s">
        <v>276</v>
      </c>
      <c r="AN729" s="181" t="s">
        <v>276</v>
      </c>
      <c r="AO729" s="201">
        <f t="shared" si="89"/>
        <v>8.7811731647348079</v>
      </c>
      <c r="AP729" s="181" t="s">
        <v>276</v>
      </c>
      <c r="AQ729" s="181" t="s">
        <v>276</v>
      </c>
      <c r="AR729" s="175" t="s">
        <v>268</v>
      </c>
      <c r="AS729" s="181" t="s">
        <v>276</v>
      </c>
      <c r="AT729" s="201">
        <f t="shared" si="90"/>
        <v>0.84049203373945647</v>
      </c>
      <c r="AU729" s="181" t="s">
        <v>276</v>
      </c>
      <c r="AV729" s="181" t="s">
        <v>276</v>
      </c>
      <c r="AW729" s="175" t="s">
        <v>276</v>
      </c>
      <c r="AX729" s="175" t="s">
        <v>282</v>
      </c>
      <c r="AY729" s="175" t="s">
        <v>98</v>
      </c>
      <c r="AZ729" s="175" t="s">
        <v>98</v>
      </c>
      <c r="BA729" s="175" t="s">
        <v>98</v>
      </c>
      <c r="BB729" s="175" t="s">
        <v>98</v>
      </c>
      <c r="BC729" s="176" t="s">
        <v>1029</v>
      </c>
      <c r="BD729" s="176" t="s">
        <v>7069</v>
      </c>
      <c r="BE729" s="33" t="s">
        <v>99</v>
      </c>
      <c r="BF729" s="183" t="s">
        <v>11162</v>
      </c>
    </row>
    <row r="730" spans="1:58" s="339" customFormat="1" ht="65" x14ac:dyDescent="0.3">
      <c r="A730" s="184">
        <v>243</v>
      </c>
      <c r="B730" s="184" t="s">
        <v>7059</v>
      </c>
      <c r="C730" s="185" t="s">
        <v>59</v>
      </c>
      <c r="D730" s="185" t="s">
        <v>7072</v>
      </c>
      <c r="E730" s="184" t="s">
        <v>36</v>
      </c>
      <c r="F730" s="184" t="s">
        <v>123</v>
      </c>
      <c r="G730" s="184" t="s">
        <v>225</v>
      </c>
      <c r="H730" s="184" t="s">
        <v>125</v>
      </c>
      <c r="I730" s="184" t="s">
        <v>114</v>
      </c>
      <c r="J730" s="346" t="s">
        <v>23</v>
      </c>
      <c r="K730" s="185" t="s">
        <v>7061</v>
      </c>
      <c r="L730" s="185" t="s">
        <v>7062</v>
      </c>
      <c r="M730" s="184" t="s">
        <v>14</v>
      </c>
      <c r="N730" s="336" t="s">
        <v>98</v>
      </c>
      <c r="O730" s="337" t="s">
        <v>207</v>
      </c>
      <c r="P730" s="322">
        <v>37256</v>
      </c>
      <c r="Q730" s="185" t="s">
        <v>7063</v>
      </c>
      <c r="R730" s="185" t="s">
        <v>7064</v>
      </c>
      <c r="S730" s="185" t="s">
        <v>7064</v>
      </c>
      <c r="T730" s="187" t="s">
        <v>5401</v>
      </c>
      <c r="U730" s="189">
        <v>34144</v>
      </c>
      <c r="V730" s="188">
        <v>34164</v>
      </c>
      <c r="W730" s="185" t="s">
        <v>276</v>
      </c>
      <c r="X730" s="185" t="s">
        <v>276</v>
      </c>
      <c r="Y730" s="184" t="s">
        <v>98</v>
      </c>
      <c r="Z730" s="185" t="s">
        <v>98</v>
      </c>
      <c r="AA730" s="184" t="s">
        <v>98</v>
      </c>
      <c r="AB730" s="185" t="s">
        <v>98</v>
      </c>
      <c r="AC730" s="185" t="s">
        <v>7073</v>
      </c>
      <c r="AD730" s="185" t="s">
        <v>7067</v>
      </c>
      <c r="AE730" s="189">
        <v>10591</v>
      </c>
      <c r="AF730" s="189">
        <v>10432</v>
      </c>
      <c r="AG730" s="324">
        <v>471072</v>
      </c>
      <c r="AH730" s="188">
        <v>471980</v>
      </c>
      <c r="AI730" s="188" t="s">
        <v>425</v>
      </c>
      <c r="AJ730" s="192">
        <v>22.48</v>
      </c>
      <c r="AK730" s="338">
        <f t="shared" si="88"/>
        <v>22.482762719923919</v>
      </c>
      <c r="AL730" s="192" t="s">
        <v>276</v>
      </c>
      <c r="AM730" s="192" t="s">
        <v>276</v>
      </c>
      <c r="AN730" s="192">
        <v>22.1</v>
      </c>
      <c r="AO730" s="338">
        <f t="shared" si="89"/>
        <v>22.10263146743506</v>
      </c>
      <c r="AP730" s="192" t="s">
        <v>276</v>
      </c>
      <c r="AQ730" s="192" t="s">
        <v>276</v>
      </c>
      <c r="AR730" s="184" t="s">
        <v>269</v>
      </c>
      <c r="AS730" s="192">
        <v>1.02</v>
      </c>
      <c r="AT730" s="338">
        <f t="shared" si="90"/>
        <v>1.017198461325699</v>
      </c>
      <c r="AU730" s="192">
        <v>0.99</v>
      </c>
      <c r="AV730" s="192">
        <v>1.06</v>
      </c>
      <c r="AW730" s="184">
        <v>0.17399999999999999</v>
      </c>
      <c r="AX730" s="184" t="s">
        <v>282</v>
      </c>
      <c r="AY730" s="184" t="s">
        <v>98</v>
      </c>
      <c r="AZ730" s="184" t="s">
        <v>98</v>
      </c>
      <c r="BA730" s="184" t="s">
        <v>98</v>
      </c>
      <c r="BB730" s="184" t="s">
        <v>98</v>
      </c>
      <c r="BC730" s="185" t="s">
        <v>7074</v>
      </c>
      <c r="BD730" s="185"/>
      <c r="BE730" s="33" t="s">
        <v>100</v>
      </c>
      <c r="BF730" s="194" t="s">
        <v>98</v>
      </c>
    </row>
    <row r="731" spans="1:58" s="339" customFormat="1" ht="52" x14ac:dyDescent="0.3">
      <c r="A731" s="184">
        <v>243</v>
      </c>
      <c r="B731" s="184" t="s">
        <v>7059</v>
      </c>
      <c r="C731" s="185" t="s">
        <v>59</v>
      </c>
      <c r="D731" s="185" t="s">
        <v>7075</v>
      </c>
      <c r="E731" s="184" t="s">
        <v>36</v>
      </c>
      <c r="F731" s="184" t="s">
        <v>123</v>
      </c>
      <c r="G731" s="184" t="s">
        <v>225</v>
      </c>
      <c r="H731" s="184" t="s">
        <v>125</v>
      </c>
      <c r="I731" s="184" t="s">
        <v>114</v>
      </c>
      <c r="J731" s="346" t="s">
        <v>23</v>
      </c>
      <c r="K731" s="185" t="s">
        <v>7061</v>
      </c>
      <c r="L731" s="185" t="s">
        <v>7062</v>
      </c>
      <c r="M731" s="184" t="s">
        <v>14</v>
      </c>
      <c r="N731" s="336" t="s">
        <v>98</v>
      </c>
      <c r="O731" s="337" t="s">
        <v>207</v>
      </c>
      <c r="P731" s="322">
        <v>37256</v>
      </c>
      <c r="Q731" s="185" t="s">
        <v>7063</v>
      </c>
      <c r="R731" s="185" t="s">
        <v>7064</v>
      </c>
      <c r="S731" s="185" t="s">
        <v>7064</v>
      </c>
      <c r="T731" s="187" t="s">
        <v>5401</v>
      </c>
      <c r="U731" s="189">
        <v>34144</v>
      </c>
      <c r="V731" s="188">
        <v>34164</v>
      </c>
      <c r="W731" s="185" t="s">
        <v>276</v>
      </c>
      <c r="X731" s="185" t="s">
        <v>276</v>
      </c>
      <c r="Y731" s="184" t="s">
        <v>98</v>
      </c>
      <c r="Z731" s="185" t="s">
        <v>98</v>
      </c>
      <c r="AA731" s="184" t="s">
        <v>98</v>
      </c>
      <c r="AB731" s="185" t="s">
        <v>98</v>
      </c>
      <c r="AC731" s="185" t="s">
        <v>7073</v>
      </c>
      <c r="AD731" s="185" t="s">
        <v>7071</v>
      </c>
      <c r="AE731" s="189">
        <v>10591</v>
      </c>
      <c r="AF731" s="189">
        <v>10432</v>
      </c>
      <c r="AG731" s="189">
        <v>34144</v>
      </c>
      <c r="AH731" s="188">
        <v>34164</v>
      </c>
      <c r="AI731" s="188" t="s">
        <v>2047</v>
      </c>
      <c r="AJ731" s="192" t="s">
        <v>276</v>
      </c>
      <c r="AK731" s="338">
        <f t="shared" si="88"/>
        <v>310.18626991565134</v>
      </c>
      <c r="AL731" s="192" t="s">
        <v>276</v>
      </c>
      <c r="AM731" s="192" t="s">
        <v>276</v>
      </c>
      <c r="AN731" s="192" t="s">
        <v>276</v>
      </c>
      <c r="AO731" s="338">
        <f t="shared" si="89"/>
        <v>305.35066151504509</v>
      </c>
      <c r="AP731" s="192" t="s">
        <v>276</v>
      </c>
      <c r="AQ731" s="192" t="s">
        <v>276</v>
      </c>
      <c r="AR731" s="184" t="s">
        <v>268</v>
      </c>
      <c r="AS731" s="192" t="s">
        <v>276</v>
      </c>
      <c r="AT731" s="338">
        <f t="shared" si="90"/>
        <v>1.0158362466831203</v>
      </c>
      <c r="AU731" s="192" t="s">
        <v>276</v>
      </c>
      <c r="AV731" s="192" t="s">
        <v>276</v>
      </c>
      <c r="AW731" s="184" t="s">
        <v>276</v>
      </c>
      <c r="AX731" s="184" t="s">
        <v>282</v>
      </c>
      <c r="AY731" s="184" t="s">
        <v>98</v>
      </c>
      <c r="AZ731" s="184" t="s">
        <v>98</v>
      </c>
      <c r="BA731" s="184" t="s">
        <v>98</v>
      </c>
      <c r="BB731" s="184" t="s">
        <v>98</v>
      </c>
      <c r="BC731" s="185" t="s">
        <v>1029</v>
      </c>
      <c r="BD731" s="185"/>
      <c r="BE731" s="33" t="s">
        <v>100</v>
      </c>
      <c r="BF731" s="194" t="s">
        <v>98</v>
      </c>
    </row>
    <row r="732" spans="1:58" s="87" customFormat="1" ht="65" x14ac:dyDescent="0.3">
      <c r="A732" s="72">
        <v>11149</v>
      </c>
      <c r="B732" s="72" t="s">
        <v>7336</v>
      </c>
      <c r="C732" s="72" t="s">
        <v>64</v>
      </c>
      <c r="D732" s="73" t="s">
        <v>7337</v>
      </c>
      <c r="E732" s="72" t="s">
        <v>35</v>
      </c>
      <c r="F732" s="73" t="s">
        <v>131</v>
      </c>
      <c r="G732" s="72" t="s">
        <v>225</v>
      </c>
      <c r="H732" s="72" t="s">
        <v>125</v>
      </c>
      <c r="I732" s="72" t="s">
        <v>114</v>
      </c>
      <c r="J732" s="73" t="s">
        <v>24</v>
      </c>
      <c r="K732" s="73" t="s">
        <v>276</v>
      </c>
      <c r="L732" s="73" t="s">
        <v>276</v>
      </c>
      <c r="M732" s="72" t="s">
        <v>14</v>
      </c>
      <c r="N732" s="84" t="s">
        <v>98</v>
      </c>
      <c r="O732" s="85" t="s">
        <v>207</v>
      </c>
      <c r="P732" s="88">
        <v>25507</v>
      </c>
      <c r="Q732" s="73" t="s">
        <v>7338</v>
      </c>
      <c r="R732" s="439" t="s">
        <v>276</v>
      </c>
      <c r="S732" s="439" t="s">
        <v>276</v>
      </c>
      <c r="T732" s="73" t="s">
        <v>276</v>
      </c>
      <c r="U732" s="74">
        <v>31000</v>
      </c>
      <c r="V732" s="75">
        <v>31000</v>
      </c>
      <c r="W732" s="72" t="s">
        <v>276</v>
      </c>
      <c r="X732" s="72" t="s">
        <v>276</v>
      </c>
      <c r="Y732" s="72" t="s">
        <v>276</v>
      </c>
      <c r="Z732" s="73" t="s">
        <v>1562</v>
      </c>
      <c r="AA732" s="72" t="s">
        <v>276</v>
      </c>
      <c r="AB732" s="73" t="s">
        <v>1562</v>
      </c>
      <c r="AC732" s="73" t="s">
        <v>7339</v>
      </c>
      <c r="AD732" s="73" t="s">
        <v>4658</v>
      </c>
      <c r="AE732" s="72">
        <v>31</v>
      </c>
      <c r="AF732" s="72">
        <v>52</v>
      </c>
      <c r="AG732" s="74">
        <v>31000</v>
      </c>
      <c r="AH732" s="74">
        <v>31000</v>
      </c>
      <c r="AI732" s="75" t="s">
        <v>281</v>
      </c>
      <c r="AJ732" s="93" t="s">
        <v>276</v>
      </c>
      <c r="AK732" s="86">
        <f>AE732*1000/AG732</f>
        <v>1</v>
      </c>
      <c r="AL732" s="76" t="s">
        <v>276</v>
      </c>
      <c r="AM732" s="76" t="s">
        <v>276</v>
      </c>
      <c r="AN732" s="93" t="s">
        <v>276</v>
      </c>
      <c r="AO732" s="86">
        <f>AF732*1000/AH732</f>
        <v>1.6774193548387097</v>
      </c>
      <c r="AP732" s="76" t="s">
        <v>276</v>
      </c>
      <c r="AQ732" s="76" t="s">
        <v>276</v>
      </c>
      <c r="AR732" s="72" t="s">
        <v>268</v>
      </c>
      <c r="AS732" s="76" t="s">
        <v>276</v>
      </c>
      <c r="AT732" s="76">
        <f>AK732/AO732</f>
        <v>0.59615384615384615</v>
      </c>
      <c r="AU732" s="76" t="s">
        <v>276</v>
      </c>
      <c r="AV732" s="76" t="s">
        <v>276</v>
      </c>
      <c r="AW732" s="72" t="s">
        <v>276</v>
      </c>
      <c r="AX732" s="72" t="s">
        <v>282</v>
      </c>
      <c r="AY732" s="72" t="s">
        <v>98</v>
      </c>
      <c r="AZ732" s="72" t="s">
        <v>98</v>
      </c>
      <c r="BA732" s="72" t="s">
        <v>98</v>
      </c>
      <c r="BB732" s="72" t="s">
        <v>98</v>
      </c>
      <c r="BC732" s="73" t="s">
        <v>7340</v>
      </c>
      <c r="BD732" s="73"/>
      <c r="BE732" s="79" t="s">
        <v>100</v>
      </c>
      <c r="BF732" s="79" t="s">
        <v>98</v>
      </c>
    </row>
    <row r="733" spans="1:58" s="7" customFormat="1" ht="39" x14ac:dyDescent="0.3">
      <c r="A733" s="8">
        <v>4888</v>
      </c>
      <c r="B733" s="8" t="s">
        <v>7341</v>
      </c>
      <c r="C733" s="8" t="s">
        <v>64</v>
      </c>
      <c r="D733" s="9" t="s">
        <v>7342</v>
      </c>
      <c r="E733" s="8" t="s">
        <v>35</v>
      </c>
      <c r="F733" s="9" t="s">
        <v>131</v>
      </c>
      <c r="G733" s="8" t="s">
        <v>225</v>
      </c>
      <c r="H733" s="8" t="s">
        <v>125</v>
      </c>
      <c r="I733" s="8" t="s">
        <v>114</v>
      </c>
      <c r="J733" s="9" t="s">
        <v>24</v>
      </c>
      <c r="K733" s="9" t="s">
        <v>276</v>
      </c>
      <c r="L733" s="9" t="s">
        <v>276</v>
      </c>
      <c r="M733" s="8" t="s">
        <v>14</v>
      </c>
      <c r="N733" s="11" t="s">
        <v>98</v>
      </c>
      <c r="O733" s="12" t="s">
        <v>207</v>
      </c>
      <c r="P733" s="41" t="s">
        <v>98</v>
      </c>
      <c r="Q733" s="9" t="s">
        <v>728</v>
      </c>
      <c r="R733" s="91" t="s">
        <v>7343</v>
      </c>
      <c r="S733" s="91" t="s">
        <v>7344</v>
      </c>
      <c r="T733" s="9">
        <v>4</v>
      </c>
      <c r="U733" s="13">
        <v>31000</v>
      </c>
      <c r="V733" s="38">
        <v>31000</v>
      </c>
      <c r="W733" s="8" t="s">
        <v>276</v>
      </c>
      <c r="X733" s="8" t="s">
        <v>276</v>
      </c>
      <c r="Y733" s="8" t="s">
        <v>276</v>
      </c>
      <c r="Z733" s="9" t="s">
        <v>1562</v>
      </c>
      <c r="AA733" s="8" t="s">
        <v>276</v>
      </c>
      <c r="AB733" s="9" t="s">
        <v>1562</v>
      </c>
      <c r="AC733" s="9" t="s">
        <v>7345</v>
      </c>
      <c r="AD733" s="9" t="s">
        <v>1674</v>
      </c>
      <c r="AE733" s="8">
        <v>40</v>
      </c>
      <c r="AF733" s="8">
        <v>63</v>
      </c>
      <c r="AG733" s="13">
        <f>AE733/AJ733*10000</f>
        <v>153846.15384615384</v>
      </c>
      <c r="AH733" s="13">
        <f>AF733*10000/AN733</f>
        <v>153658.53658536586</v>
      </c>
      <c r="AI733" s="38" t="s">
        <v>4702</v>
      </c>
      <c r="AJ733" s="43">
        <v>2.6</v>
      </c>
      <c r="AK733" s="31">
        <f>AE733*10000/AG733</f>
        <v>2.6</v>
      </c>
      <c r="AL733" s="14" t="s">
        <v>276</v>
      </c>
      <c r="AM733" s="14" t="s">
        <v>276</v>
      </c>
      <c r="AN733" s="43">
        <v>4.0999999999999996</v>
      </c>
      <c r="AO733" s="31">
        <f>AF733*10000/AH733</f>
        <v>4.0999999999999996</v>
      </c>
      <c r="AP733" s="14" t="s">
        <v>276</v>
      </c>
      <c r="AQ733" s="14" t="s">
        <v>276</v>
      </c>
      <c r="AR733" s="8" t="s">
        <v>269</v>
      </c>
      <c r="AS733" s="14" t="s">
        <v>276</v>
      </c>
      <c r="AT733" s="14">
        <f>AJ733/AN733</f>
        <v>0.63414634146341475</v>
      </c>
      <c r="AU733" s="14" t="s">
        <v>276</v>
      </c>
      <c r="AV733" s="14" t="s">
        <v>276</v>
      </c>
      <c r="AW733" s="8" t="s">
        <v>276</v>
      </c>
      <c r="AX733" s="8" t="s">
        <v>282</v>
      </c>
      <c r="AY733" s="8" t="s">
        <v>98</v>
      </c>
      <c r="AZ733" s="8" t="s">
        <v>98</v>
      </c>
      <c r="BA733" s="8" t="s">
        <v>98</v>
      </c>
      <c r="BB733" s="8" t="s">
        <v>98</v>
      </c>
      <c r="BC733" s="9" t="s">
        <v>3863</v>
      </c>
      <c r="BD733" s="9"/>
      <c r="BE733" s="79" t="s">
        <v>100</v>
      </c>
      <c r="BF733" s="79" t="s">
        <v>98</v>
      </c>
    </row>
    <row r="734" spans="1:58" s="7" customFormat="1" ht="52" x14ac:dyDescent="0.3">
      <c r="A734" s="8">
        <v>4888</v>
      </c>
      <c r="B734" s="8" t="s">
        <v>7341</v>
      </c>
      <c r="C734" s="8" t="s">
        <v>64</v>
      </c>
      <c r="D734" s="9" t="s">
        <v>7342</v>
      </c>
      <c r="E734" s="8" t="s">
        <v>35</v>
      </c>
      <c r="F734" s="9" t="s">
        <v>131</v>
      </c>
      <c r="G734" s="8" t="s">
        <v>225</v>
      </c>
      <c r="H734" s="8" t="s">
        <v>125</v>
      </c>
      <c r="I734" s="8" t="s">
        <v>114</v>
      </c>
      <c r="J734" s="9" t="s">
        <v>24</v>
      </c>
      <c r="K734" s="9" t="s">
        <v>276</v>
      </c>
      <c r="L734" s="9" t="s">
        <v>276</v>
      </c>
      <c r="M734" s="8" t="s">
        <v>14</v>
      </c>
      <c r="N734" s="11" t="s">
        <v>98</v>
      </c>
      <c r="O734" s="12" t="s">
        <v>207</v>
      </c>
      <c r="P734" s="41" t="s">
        <v>98</v>
      </c>
      <c r="Q734" s="9" t="s">
        <v>728</v>
      </c>
      <c r="R734" s="91" t="s">
        <v>7343</v>
      </c>
      <c r="S734" s="91" t="s">
        <v>7344</v>
      </c>
      <c r="T734" s="9">
        <v>4</v>
      </c>
      <c r="U734" s="13">
        <v>31000</v>
      </c>
      <c r="V734" s="38">
        <v>31000</v>
      </c>
      <c r="W734" s="8" t="s">
        <v>276</v>
      </c>
      <c r="X734" s="8" t="s">
        <v>276</v>
      </c>
      <c r="Y734" s="8" t="s">
        <v>276</v>
      </c>
      <c r="Z734" s="9" t="s">
        <v>1562</v>
      </c>
      <c r="AA734" s="8" t="s">
        <v>276</v>
      </c>
      <c r="AB734" s="9" t="s">
        <v>1562</v>
      </c>
      <c r="AC734" s="9" t="s">
        <v>7345</v>
      </c>
      <c r="AD734" s="9" t="s">
        <v>1674</v>
      </c>
      <c r="AE734" s="8">
        <v>40</v>
      </c>
      <c r="AF734" s="8">
        <v>63</v>
      </c>
      <c r="AG734" s="13">
        <f>AE734/AJ734*10000</f>
        <v>153846.15384615384</v>
      </c>
      <c r="AH734" s="13">
        <f>AF734*10000/AN734</f>
        <v>153658.53658536586</v>
      </c>
      <c r="AI734" s="38" t="s">
        <v>4702</v>
      </c>
      <c r="AJ734" s="43">
        <v>2.6</v>
      </c>
      <c r="AK734" s="31">
        <f>AE734*10000/AG734</f>
        <v>2.6</v>
      </c>
      <c r="AL734" s="14" t="s">
        <v>276</v>
      </c>
      <c r="AM734" s="14" t="s">
        <v>276</v>
      </c>
      <c r="AN734" s="43">
        <v>4.0999999999999996</v>
      </c>
      <c r="AO734" s="31">
        <f>AF734*10000/AH734</f>
        <v>4.0999999999999996</v>
      </c>
      <c r="AP734" s="14" t="s">
        <v>276</v>
      </c>
      <c r="AQ734" s="14" t="s">
        <v>276</v>
      </c>
      <c r="AR734" s="8" t="s">
        <v>269</v>
      </c>
      <c r="AS734" s="14" t="s">
        <v>276</v>
      </c>
      <c r="AT734" s="14">
        <f>AJ734/AN734</f>
        <v>0.63414634146341475</v>
      </c>
      <c r="AU734" s="14" t="s">
        <v>276</v>
      </c>
      <c r="AV734" s="14" t="s">
        <v>276</v>
      </c>
      <c r="AW734" s="8" t="s">
        <v>276</v>
      </c>
      <c r="AX734" s="8" t="s">
        <v>282</v>
      </c>
      <c r="AY734" s="8" t="s">
        <v>98</v>
      </c>
      <c r="AZ734" s="8" t="s">
        <v>98</v>
      </c>
      <c r="BA734" s="8" t="s">
        <v>98</v>
      </c>
      <c r="BB734" s="8" t="s">
        <v>98</v>
      </c>
      <c r="BC734" s="9" t="s">
        <v>7346</v>
      </c>
      <c r="BD734" s="9"/>
      <c r="BE734" s="79" t="s">
        <v>100</v>
      </c>
      <c r="BF734" s="79" t="s">
        <v>98</v>
      </c>
    </row>
    <row r="735" spans="1:58" s="149" customFormat="1" ht="52" x14ac:dyDescent="0.3">
      <c r="A735" s="126">
        <v>4886</v>
      </c>
      <c r="B735" s="126" t="s">
        <v>7347</v>
      </c>
      <c r="C735" s="126" t="s">
        <v>64</v>
      </c>
      <c r="D735" s="127" t="s">
        <v>7348</v>
      </c>
      <c r="E735" s="126" t="s">
        <v>35</v>
      </c>
      <c r="F735" s="127" t="s">
        <v>131</v>
      </c>
      <c r="G735" s="126" t="s">
        <v>225</v>
      </c>
      <c r="H735" s="126" t="s">
        <v>125</v>
      </c>
      <c r="I735" s="126" t="s">
        <v>114</v>
      </c>
      <c r="J735" s="127" t="s">
        <v>24</v>
      </c>
      <c r="K735" s="127" t="s">
        <v>276</v>
      </c>
      <c r="L735" s="127" t="s">
        <v>276</v>
      </c>
      <c r="M735" s="126" t="s">
        <v>14</v>
      </c>
      <c r="N735" s="145" t="s">
        <v>98</v>
      </c>
      <c r="O735" s="131" t="s">
        <v>207</v>
      </c>
      <c r="P735" s="197" t="s">
        <v>98</v>
      </c>
      <c r="Q735" s="127" t="s">
        <v>710</v>
      </c>
      <c r="R735" s="174" t="s">
        <v>7349</v>
      </c>
      <c r="S735" s="174" t="s">
        <v>7350</v>
      </c>
      <c r="T735" s="127">
        <v>2</v>
      </c>
      <c r="U735" s="132">
        <v>31000</v>
      </c>
      <c r="V735" s="134">
        <v>31000</v>
      </c>
      <c r="W735" s="126" t="s">
        <v>276</v>
      </c>
      <c r="X735" s="126" t="s">
        <v>276</v>
      </c>
      <c r="Y735" s="126" t="s">
        <v>276</v>
      </c>
      <c r="Z735" s="127" t="s">
        <v>1562</v>
      </c>
      <c r="AA735" s="126" t="s">
        <v>276</v>
      </c>
      <c r="AB735" s="127" t="s">
        <v>1562</v>
      </c>
      <c r="AC735" s="127" t="s">
        <v>7351</v>
      </c>
      <c r="AD735" s="127" t="s">
        <v>4658</v>
      </c>
      <c r="AE735" s="126">
        <v>11</v>
      </c>
      <c r="AF735" s="126">
        <v>8</v>
      </c>
      <c r="AG735" s="132">
        <v>31000</v>
      </c>
      <c r="AH735" s="132">
        <v>31000</v>
      </c>
      <c r="AI735" s="134" t="s">
        <v>281</v>
      </c>
      <c r="AJ735" s="147" t="s">
        <v>276</v>
      </c>
      <c r="AK735" s="148">
        <f t="shared" ref="AK735:AK740" si="91">AE735*1000/AG735</f>
        <v>0.35483870967741937</v>
      </c>
      <c r="AL735" s="135" t="s">
        <v>276</v>
      </c>
      <c r="AM735" s="135" t="s">
        <v>276</v>
      </c>
      <c r="AN735" s="147" t="s">
        <v>276</v>
      </c>
      <c r="AO735" s="148">
        <f t="shared" ref="AO735:AO740" si="92">AF735*1000/AH735</f>
        <v>0.25806451612903225</v>
      </c>
      <c r="AP735" s="135" t="s">
        <v>276</v>
      </c>
      <c r="AQ735" s="135" t="s">
        <v>276</v>
      </c>
      <c r="AR735" s="126" t="s">
        <v>268</v>
      </c>
      <c r="AS735" s="135" t="s">
        <v>276</v>
      </c>
      <c r="AT735" s="135">
        <f t="shared" ref="AT735:AT798" si="93">AK735/AO735</f>
        <v>1.375</v>
      </c>
      <c r="AU735" s="135" t="s">
        <v>276</v>
      </c>
      <c r="AV735" s="135" t="s">
        <v>276</v>
      </c>
      <c r="AW735" s="126" t="s">
        <v>276</v>
      </c>
      <c r="AX735" s="126" t="s">
        <v>282</v>
      </c>
      <c r="AY735" s="126" t="s">
        <v>98</v>
      </c>
      <c r="AZ735" s="126" t="s">
        <v>98</v>
      </c>
      <c r="BA735" s="126" t="s">
        <v>98</v>
      </c>
      <c r="BB735" s="126" t="s">
        <v>98</v>
      </c>
      <c r="BC735" s="127" t="s">
        <v>1358</v>
      </c>
      <c r="BD735" s="127"/>
      <c r="BE735" s="79" t="s">
        <v>100</v>
      </c>
      <c r="BF735" s="79" t="s">
        <v>98</v>
      </c>
    </row>
    <row r="736" spans="1:58" s="149" customFormat="1" ht="52" x14ac:dyDescent="0.3">
      <c r="A736" s="126">
        <v>4886</v>
      </c>
      <c r="B736" s="126" t="s">
        <v>7347</v>
      </c>
      <c r="C736" s="126" t="s">
        <v>64</v>
      </c>
      <c r="D736" s="127" t="s">
        <v>7352</v>
      </c>
      <c r="E736" s="126" t="s">
        <v>35</v>
      </c>
      <c r="F736" s="127" t="s">
        <v>131</v>
      </c>
      <c r="G736" s="126" t="s">
        <v>225</v>
      </c>
      <c r="H736" s="126" t="s">
        <v>125</v>
      </c>
      <c r="I736" s="126" t="s">
        <v>114</v>
      </c>
      <c r="J736" s="127" t="s">
        <v>24</v>
      </c>
      <c r="K736" s="127" t="s">
        <v>276</v>
      </c>
      <c r="L736" s="127" t="s">
        <v>276</v>
      </c>
      <c r="M736" s="126" t="s">
        <v>14</v>
      </c>
      <c r="N736" s="145" t="s">
        <v>98</v>
      </c>
      <c r="O736" s="131" t="s">
        <v>207</v>
      </c>
      <c r="P736" s="197" t="s">
        <v>98</v>
      </c>
      <c r="Q736" s="127" t="s">
        <v>686</v>
      </c>
      <c r="R736" s="174" t="s">
        <v>7353</v>
      </c>
      <c r="S736" s="174" t="s">
        <v>7354</v>
      </c>
      <c r="T736" s="127">
        <v>3</v>
      </c>
      <c r="U736" s="132">
        <v>31000</v>
      </c>
      <c r="V736" s="134">
        <v>31000</v>
      </c>
      <c r="W736" s="126" t="s">
        <v>276</v>
      </c>
      <c r="X736" s="126" t="s">
        <v>276</v>
      </c>
      <c r="Y736" s="126" t="s">
        <v>276</v>
      </c>
      <c r="Z736" s="127" t="s">
        <v>1562</v>
      </c>
      <c r="AA736" s="126" t="s">
        <v>276</v>
      </c>
      <c r="AB736" s="127" t="s">
        <v>1562</v>
      </c>
      <c r="AC736" s="127" t="s">
        <v>7355</v>
      </c>
      <c r="AD736" s="127" t="s">
        <v>4658</v>
      </c>
      <c r="AE736" s="126">
        <v>17</v>
      </c>
      <c r="AF736" s="126">
        <v>20</v>
      </c>
      <c r="AG736" s="132">
        <v>31000</v>
      </c>
      <c r="AH736" s="132">
        <v>31000</v>
      </c>
      <c r="AI736" s="134" t="s">
        <v>281</v>
      </c>
      <c r="AJ736" s="147" t="s">
        <v>276</v>
      </c>
      <c r="AK736" s="148">
        <f t="shared" si="91"/>
        <v>0.54838709677419351</v>
      </c>
      <c r="AL736" s="135" t="s">
        <v>276</v>
      </c>
      <c r="AM736" s="135" t="s">
        <v>276</v>
      </c>
      <c r="AN736" s="147" t="s">
        <v>276</v>
      </c>
      <c r="AO736" s="148">
        <f t="shared" si="92"/>
        <v>0.64516129032258063</v>
      </c>
      <c r="AP736" s="135" t="s">
        <v>276</v>
      </c>
      <c r="AQ736" s="135" t="s">
        <v>276</v>
      </c>
      <c r="AR736" s="126" t="s">
        <v>268</v>
      </c>
      <c r="AS736" s="135" t="s">
        <v>276</v>
      </c>
      <c r="AT736" s="135">
        <f t="shared" si="93"/>
        <v>0.85</v>
      </c>
      <c r="AU736" s="135" t="s">
        <v>276</v>
      </c>
      <c r="AV736" s="135" t="s">
        <v>276</v>
      </c>
      <c r="AW736" s="126" t="s">
        <v>276</v>
      </c>
      <c r="AX736" s="126" t="s">
        <v>282</v>
      </c>
      <c r="AY736" s="126" t="s">
        <v>98</v>
      </c>
      <c r="AZ736" s="126" t="s">
        <v>98</v>
      </c>
      <c r="BA736" s="126" t="s">
        <v>98</v>
      </c>
      <c r="BB736" s="126" t="s">
        <v>98</v>
      </c>
      <c r="BC736" s="127" t="s">
        <v>1358</v>
      </c>
      <c r="BD736" s="127"/>
      <c r="BE736" s="79" t="s">
        <v>100</v>
      </c>
      <c r="BF736" s="79" t="s">
        <v>98</v>
      </c>
    </row>
    <row r="737" spans="1:58" s="149" customFormat="1" ht="52" x14ac:dyDescent="0.3">
      <c r="A737" s="126">
        <v>4886</v>
      </c>
      <c r="B737" s="126" t="s">
        <v>7347</v>
      </c>
      <c r="C737" s="126" t="s">
        <v>64</v>
      </c>
      <c r="D737" s="127" t="s">
        <v>7356</v>
      </c>
      <c r="E737" s="126" t="s">
        <v>35</v>
      </c>
      <c r="F737" s="127" t="s">
        <v>131</v>
      </c>
      <c r="G737" s="126" t="s">
        <v>225</v>
      </c>
      <c r="H737" s="126" t="s">
        <v>125</v>
      </c>
      <c r="I737" s="126" t="s">
        <v>114</v>
      </c>
      <c r="J737" s="127" t="s">
        <v>24</v>
      </c>
      <c r="K737" s="127" t="s">
        <v>276</v>
      </c>
      <c r="L737" s="127" t="s">
        <v>276</v>
      </c>
      <c r="M737" s="126" t="s">
        <v>14</v>
      </c>
      <c r="N737" s="145" t="s">
        <v>98</v>
      </c>
      <c r="O737" s="131" t="s">
        <v>207</v>
      </c>
      <c r="P737" s="197" t="s">
        <v>98</v>
      </c>
      <c r="Q737" s="127" t="s">
        <v>721</v>
      </c>
      <c r="R737" s="174" t="s">
        <v>7357</v>
      </c>
      <c r="S737" s="174" t="s">
        <v>7358</v>
      </c>
      <c r="T737" s="127">
        <v>4</v>
      </c>
      <c r="U737" s="132">
        <v>31000</v>
      </c>
      <c r="V737" s="134">
        <v>31000</v>
      </c>
      <c r="W737" s="126" t="s">
        <v>276</v>
      </c>
      <c r="X737" s="126" t="s">
        <v>276</v>
      </c>
      <c r="Y737" s="126" t="s">
        <v>276</v>
      </c>
      <c r="Z737" s="127" t="s">
        <v>1562</v>
      </c>
      <c r="AA737" s="126" t="s">
        <v>276</v>
      </c>
      <c r="AB737" s="127" t="s">
        <v>1562</v>
      </c>
      <c r="AC737" s="127" t="s">
        <v>7359</v>
      </c>
      <c r="AD737" s="127" t="s">
        <v>4658</v>
      </c>
      <c r="AE737" s="126">
        <v>25</v>
      </c>
      <c r="AF737" s="126">
        <v>39</v>
      </c>
      <c r="AG737" s="132">
        <v>31000</v>
      </c>
      <c r="AH737" s="132">
        <v>31000</v>
      </c>
      <c r="AI737" s="134" t="s">
        <v>281</v>
      </c>
      <c r="AJ737" s="147" t="s">
        <v>276</v>
      </c>
      <c r="AK737" s="148">
        <f t="shared" si="91"/>
        <v>0.80645161290322576</v>
      </c>
      <c r="AL737" s="135" t="s">
        <v>276</v>
      </c>
      <c r="AM737" s="135" t="s">
        <v>276</v>
      </c>
      <c r="AN737" s="147" t="s">
        <v>276</v>
      </c>
      <c r="AO737" s="148">
        <f t="shared" si="92"/>
        <v>1.2580645161290323</v>
      </c>
      <c r="AP737" s="135" t="s">
        <v>276</v>
      </c>
      <c r="AQ737" s="135" t="s">
        <v>276</v>
      </c>
      <c r="AR737" s="126" t="s">
        <v>268</v>
      </c>
      <c r="AS737" s="135" t="s">
        <v>276</v>
      </c>
      <c r="AT737" s="135">
        <f t="shared" si="93"/>
        <v>0.64102564102564097</v>
      </c>
      <c r="AU737" s="135" t="s">
        <v>276</v>
      </c>
      <c r="AV737" s="135" t="s">
        <v>276</v>
      </c>
      <c r="AW737" s="126" t="s">
        <v>276</v>
      </c>
      <c r="AX737" s="126" t="s">
        <v>282</v>
      </c>
      <c r="AY737" s="126" t="s">
        <v>98</v>
      </c>
      <c r="AZ737" s="126" t="s">
        <v>98</v>
      </c>
      <c r="BA737" s="126" t="s">
        <v>98</v>
      </c>
      <c r="BB737" s="126" t="s">
        <v>98</v>
      </c>
      <c r="BC737" s="127" t="s">
        <v>1358</v>
      </c>
      <c r="BD737" s="127"/>
      <c r="BE737" s="79" t="s">
        <v>100</v>
      </c>
      <c r="BF737" s="79" t="s">
        <v>98</v>
      </c>
    </row>
    <row r="738" spans="1:58" s="149" customFormat="1" ht="52" x14ac:dyDescent="0.3">
      <c r="A738" s="126">
        <v>4886</v>
      </c>
      <c r="B738" s="126" t="s">
        <v>7347</v>
      </c>
      <c r="C738" s="126" t="s">
        <v>64</v>
      </c>
      <c r="D738" s="127" t="s">
        <v>7360</v>
      </c>
      <c r="E738" s="126" t="s">
        <v>35</v>
      </c>
      <c r="F738" s="127" t="s">
        <v>131</v>
      </c>
      <c r="G738" s="126" t="s">
        <v>225</v>
      </c>
      <c r="H738" s="126" t="s">
        <v>125</v>
      </c>
      <c r="I738" s="126" t="s">
        <v>114</v>
      </c>
      <c r="J738" s="127" t="s">
        <v>24</v>
      </c>
      <c r="K738" s="127" t="s">
        <v>276</v>
      </c>
      <c r="L738" s="127" t="s">
        <v>276</v>
      </c>
      <c r="M738" s="126" t="s">
        <v>14</v>
      </c>
      <c r="N738" s="145" t="s">
        <v>98</v>
      </c>
      <c r="O738" s="131" t="s">
        <v>207</v>
      </c>
      <c r="P738" s="197" t="s">
        <v>98</v>
      </c>
      <c r="Q738" s="127" t="s">
        <v>728</v>
      </c>
      <c r="R738" s="174" t="s">
        <v>7343</v>
      </c>
      <c r="S738" s="174" t="s">
        <v>7344</v>
      </c>
      <c r="T738" s="127">
        <v>4</v>
      </c>
      <c r="U738" s="132">
        <v>31000</v>
      </c>
      <c r="V738" s="134">
        <v>31000</v>
      </c>
      <c r="W738" s="126" t="s">
        <v>276</v>
      </c>
      <c r="X738" s="126" t="s">
        <v>276</v>
      </c>
      <c r="Y738" s="126" t="s">
        <v>276</v>
      </c>
      <c r="Z738" s="127" t="s">
        <v>1562</v>
      </c>
      <c r="AA738" s="126" t="s">
        <v>276</v>
      </c>
      <c r="AB738" s="127" t="s">
        <v>1562</v>
      </c>
      <c r="AC738" s="127" t="s">
        <v>7361</v>
      </c>
      <c r="AD738" s="127" t="s">
        <v>4658</v>
      </c>
      <c r="AE738" s="126">
        <v>40</v>
      </c>
      <c r="AF738" s="126">
        <v>63</v>
      </c>
      <c r="AG738" s="132">
        <v>31000</v>
      </c>
      <c r="AH738" s="132">
        <v>31000</v>
      </c>
      <c r="AI738" s="134" t="s">
        <v>281</v>
      </c>
      <c r="AJ738" s="147" t="s">
        <v>276</v>
      </c>
      <c r="AK738" s="148">
        <f t="shared" si="91"/>
        <v>1.2903225806451613</v>
      </c>
      <c r="AL738" s="135" t="s">
        <v>276</v>
      </c>
      <c r="AM738" s="135" t="s">
        <v>276</v>
      </c>
      <c r="AN738" s="147" t="s">
        <v>276</v>
      </c>
      <c r="AO738" s="148">
        <f t="shared" si="92"/>
        <v>2.032258064516129</v>
      </c>
      <c r="AP738" s="135" t="s">
        <v>276</v>
      </c>
      <c r="AQ738" s="135" t="s">
        <v>276</v>
      </c>
      <c r="AR738" s="126" t="s">
        <v>268</v>
      </c>
      <c r="AS738" s="135" t="s">
        <v>276</v>
      </c>
      <c r="AT738" s="135">
        <f t="shared" si="93"/>
        <v>0.63492063492063489</v>
      </c>
      <c r="AU738" s="135" t="s">
        <v>276</v>
      </c>
      <c r="AV738" s="135" t="s">
        <v>276</v>
      </c>
      <c r="AW738" s="126" t="s">
        <v>276</v>
      </c>
      <c r="AX738" s="126" t="s">
        <v>282</v>
      </c>
      <c r="AY738" s="126" t="s">
        <v>98</v>
      </c>
      <c r="AZ738" s="126" t="s">
        <v>98</v>
      </c>
      <c r="BA738" s="126" t="s">
        <v>98</v>
      </c>
      <c r="BB738" s="126" t="s">
        <v>98</v>
      </c>
      <c r="BC738" s="127" t="s">
        <v>1358</v>
      </c>
      <c r="BD738" s="127"/>
      <c r="BE738" s="79" t="s">
        <v>100</v>
      </c>
      <c r="BF738" s="79" t="s">
        <v>98</v>
      </c>
    </row>
    <row r="739" spans="1:58" s="149" customFormat="1" ht="78" x14ac:dyDescent="0.3">
      <c r="A739" s="126">
        <v>4886</v>
      </c>
      <c r="B739" s="126" t="s">
        <v>7347</v>
      </c>
      <c r="C739" s="126" t="s">
        <v>64</v>
      </c>
      <c r="D739" s="127" t="s">
        <v>7362</v>
      </c>
      <c r="E739" s="126" t="s">
        <v>35</v>
      </c>
      <c r="F739" s="127" t="s">
        <v>131</v>
      </c>
      <c r="G739" s="126" t="s">
        <v>225</v>
      </c>
      <c r="H739" s="126" t="s">
        <v>125</v>
      </c>
      <c r="I739" s="126" t="s">
        <v>114</v>
      </c>
      <c r="J739" s="127" t="s">
        <v>24</v>
      </c>
      <c r="K739" s="127" t="s">
        <v>276</v>
      </c>
      <c r="L739" s="127" t="s">
        <v>276</v>
      </c>
      <c r="M739" s="126" t="s">
        <v>14</v>
      </c>
      <c r="N739" s="145" t="s">
        <v>98</v>
      </c>
      <c r="O739" s="131" t="s">
        <v>207</v>
      </c>
      <c r="P739" s="197">
        <v>27029</v>
      </c>
      <c r="Q739" s="127" t="s">
        <v>733</v>
      </c>
      <c r="R739" s="174" t="s">
        <v>7363</v>
      </c>
      <c r="S739" s="174" t="s">
        <v>7364</v>
      </c>
      <c r="T739" s="127">
        <v>4</v>
      </c>
      <c r="U739" s="132">
        <v>31000</v>
      </c>
      <c r="V739" s="134">
        <v>31000</v>
      </c>
      <c r="W739" s="126" t="s">
        <v>276</v>
      </c>
      <c r="X739" s="126" t="s">
        <v>276</v>
      </c>
      <c r="Y739" s="126" t="s">
        <v>276</v>
      </c>
      <c r="Z739" s="127" t="s">
        <v>1562</v>
      </c>
      <c r="AA739" s="126" t="s">
        <v>276</v>
      </c>
      <c r="AB739" s="127" t="s">
        <v>1562</v>
      </c>
      <c r="AC739" s="127" t="s">
        <v>7365</v>
      </c>
      <c r="AD739" s="127" t="s">
        <v>4658</v>
      </c>
      <c r="AE739" s="126">
        <v>56</v>
      </c>
      <c r="AF739" s="126">
        <v>88</v>
      </c>
      <c r="AG739" s="132">
        <v>31000</v>
      </c>
      <c r="AH739" s="132">
        <v>31000</v>
      </c>
      <c r="AI739" s="134" t="s">
        <v>281</v>
      </c>
      <c r="AJ739" s="147" t="s">
        <v>276</v>
      </c>
      <c r="AK739" s="148">
        <f t="shared" si="91"/>
        <v>1.8064516129032258</v>
      </c>
      <c r="AL739" s="135" t="s">
        <v>276</v>
      </c>
      <c r="AM739" s="135" t="s">
        <v>276</v>
      </c>
      <c r="AN739" s="147" t="s">
        <v>276</v>
      </c>
      <c r="AO739" s="148">
        <f t="shared" si="92"/>
        <v>2.838709677419355</v>
      </c>
      <c r="AP739" s="135" t="s">
        <v>276</v>
      </c>
      <c r="AQ739" s="135" t="s">
        <v>276</v>
      </c>
      <c r="AR739" s="126" t="s">
        <v>268</v>
      </c>
      <c r="AS739" s="135" t="s">
        <v>276</v>
      </c>
      <c r="AT739" s="135">
        <f t="shared" si="93"/>
        <v>0.63636363636363635</v>
      </c>
      <c r="AU739" s="135" t="s">
        <v>276</v>
      </c>
      <c r="AV739" s="135" t="s">
        <v>276</v>
      </c>
      <c r="AW739" s="126" t="s">
        <v>276</v>
      </c>
      <c r="AX739" s="126" t="s">
        <v>282</v>
      </c>
      <c r="AY739" s="126" t="s">
        <v>98</v>
      </c>
      <c r="AZ739" s="126" t="s">
        <v>98</v>
      </c>
      <c r="BA739" s="126" t="s">
        <v>98</v>
      </c>
      <c r="BB739" s="126" t="s">
        <v>98</v>
      </c>
      <c r="BC739" s="127" t="s">
        <v>1358</v>
      </c>
      <c r="BD739" s="127" t="s">
        <v>7366</v>
      </c>
      <c r="BE739" s="79" t="s">
        <v>100</v>
      </c>
      <c r="BF739" s="79" t="s">
        <v>98</v>
      </c>
    </row>
    <row r="740" spans="1:58" s="149" customFormat="1" ht="78" x14ac:dyDescent="0.3">
      <c r="A740" s="126">
        <v>4886</v>
      </c>
      <c r="B740" s="126" t="s">
        <v>7347</v>
      </c>
      <c r="C740" s="126" t="s">
        <v>64</v>
      </c>
      <c r="D740" s="127" t="s">
        <v>7367</v>
      </c>
      <c r="E740" s="126" t="s">
        <v>35</v>
      </c>
      <c r="F740" s="127" t="s">
        <v>131</v>
      </c>
      <c r="G740" s="126" t="s">
        <v>225</v>
      </c>
      <c r="H740" s="126" t="s">
        <v>125</v>
      </c>
      <c r="I740" s="126" t="s">
        <v>114</v>
      </c>
      <c r="J740" s="127" t="s">
        <v>24</v>
      </c>
      <c r="K740" s="127" t="s">
        <v>276</v>
      </c>
      <c r="L740" s="127" t="s">
        <v>276</v>
      </c>
      <c r="M740" s="126" t="s">
        <v>14</v>
      </c>
      <c r="N740" s="145" t="s">
        <v>98</v>
      </c>
      <c r="O740" s="131" t="s">
        <v>207</v>
      </c>
      <c r="P740" s="197">
        <v>27029</v>
      </c>
      <c r="Q740" s="127" t="s">
        <v>741</v>
      </c>
      <c r="R740" s="174" t="s">
        <v>7368</v>
      </c>
      <c r="S740" s="174" t="s">
        <v>7369</v>
      </c>
      <c r="T740" s="127">
        <v>4</v>
      </c>
      <c r="U740" s="132">
        <v>31000</v>
      </c>
      <c r="V740" s="134">
        <v>31000</v>
      </c>
      <c r="W740" s="126" t="s">
        <v>276</v>
      </c>
      <c r="X740" s="126" t="s">
        <v>276</v>
      </c>
      <c r="Y740" s="126" t="s">
        <v>276</v>
      </c>
      <c r="Z740" s="127" t="s">
        <v>1562</v>
      </c>
      <c r="AA740" s="126" t="s">
        <v>276</v>
      </c>
      <c r="AB740" s="127" t="s">
        <v>1562</v>
      </c>
      <c r="AC740" s="127" t="s">
        <v>7370</v>
      </c>
      <c r="AD740" s="127" t="s">
        <v>4658</v>
      </c>
      <c r="AE740" s="126">
        <v>70</v>
      </c>
      <c r="AF740" s="126">
        <v>108</v>
      </c>
      <c r="AG740" s="132">
        <v>31000</v>
      </c>
      <c r="AH740" s="132">
        <v>31000</v>
      </c>
      <c r="AI740" s="134" t="s">
        <v>281</v>
      </c>
      <c r="AJ740" s="147" t="s">
        <v>276</v>
      </c>
      <c r="AK740" s="148">
        <f t="shared" si="91"/>
        <v>2.2580645161290325</v>
      </c>
      <c r="AL740" s="135" t="s">
        <v>276</v>
      </c>
      <c r="AM740" s="135" t="s">
        <v>276</v>
      </c>
      <c r="AN740" s="147" t="s">
        <v>276</v>
      </c>
      <c r="AO740" s="148">
        <f t="shared" si="92"/>
        <v>3.4838709677419355</v>
      </c>
      <c r="AP740" s="135" t="s">
        <v>276</v>
      </c>
      <c r="AQ740" s="135" t="s">
        <v>276</v>
      </c>
      <c r="AR740" s="126" t="s">
        <v>268</v>
      </c>
      <c r="AS740" s="135" t="s">
        <v>276</v>
      </c>
      <c r="AT740" s="135">
        <f t="shared" si="93"/>
        <v>0.64814814814814825</v>
      </c>
      <c r="AU740" s="135" t="s">
        <v>276</v>
      </c>
      <c r="AV740" s="135" t="s">
        <v>276</v>
      </c>
      <c r="AW740" s="126" t="s">
        <v>276</v>
      </c>
      <c r="AX740" s="126" t="s">
        <v>282</v>
      </c>
      <c r="AY740" s="126" t="s">
        <v>98</v>
      </c>
      <c r="AZ740" s="126" t="s">
        <v>98</v>
      </c>
      <c r="BA740" s="126" t="s">
        <v>98</v>
      </c>
      <c r="BB740" s="126" t="s">
        <v>98</v>
      </c>
      <c r="BC740" s="127" t="s">
        <v>1358</v>
      </c>
      <c r="BD740" s="127" t="s">
        <v>7366</v>
      </c>
      <c r="BE740" s="79" t="s">
        <v>100</v>
      </c>
      <c r="BF740" s="79" t="s">
        <v>98</v>
      </c>
    </row>
    <row r="741" spans="1:58" s="202" customFormat="1" ht="52" x14ac:dyDescent="0.3">
      <c r="A741" s="175">
        <v>4878</v>
      </c>
      <c r="B741" s="175" t="s">
        <v>7371</v>
      </c>
      <c r="C741" s="175" t="s">
        <v>64</v>
      </c>
      <c r="D741" s="176" t="s">
        <v>7372</v>
      </c>
      <c r="E741" s="175" t="s">
        <v>35</v>
      </c>
      <c r="F741" s="176" t="s">
        <v>131</v>
      </c>
      <c r="G741" s="175" t="s">
        <v>225</v>
      </c>
      <c r="H741" s="175" t="s">
        <v>125</v>
      </c>
      <c r="I741" s="175" t="s">
        <v>114</v>
      </c>
      <c r="J741" s="176" t="s">
        <v>23</v>
      </c>
      <c r="K741" s="176" t="s">
        <v>276</v>
      </c>
      <c r="L741" s="176" t="s">
        <v>276</v>
      </c>
      <c r="M741" s="175" t="s">
        <v>14</v>
      </c>
      <c r="N741" s="198" t="s">
        <v>98</v>
      </c>
      <c r="O741" s="199" t="s">
        <v>207</v>
      </c>
      <c r="P741" s="200" t="s">
        <v>98</v>
      </c>
      <c r="Q741" s="176" t="s">
        <v>728</v>
      </c>
      <c r="R741" s="179" t="s">
        <v>7373</v>
      </c>
      <c r="S741" s="176" t="s">
        <v>7374</v>
      </c>
      <c r="T741" s="176">
        <v>4</v>
      </c>
      <c r="U741" s="180">
        <v>31000</v>
      </c>
      <c r="V741" s="179">
        <v>31000</v>
      </c>
      <c r="W741" s="175" t="s">
        <v>276</v>
      </c>
      <c r="X741" s="175" t="s">
        <v>276</v>
      </c>
      <c r="Y741" s="175">
        <v>0</v>
      </c>
      <c r="Z741" s="176" t="s">
        <v>98</v>
      </c>
      <c r="AA741" s="175">
        <v>0</v>
      </c>
      <c r="AB741" s="176" t="s">
        <v>98</v>
      </c>
      <c r="AC741" s="176" t="s">
        <v>7375</v>
      </c>
      <c r="AD741" s="176" t="s">
        <v>1674</v>
      </c>
      <c r="AE741" s="175">
        <f>850+40</f>
        <v>890</v>
      </c>
      <c r="AF741" s="175">
        <f>877+63</f>
        <v>940</v>
      </c>
      <c r="AG741" s="179">
        <v>149483</v>
      </c>
      <c r="AH741" s="176">
        <v>152356</v>
      </c>
      <c r="AI741" s="179" t="s">
        <v>4702</v>
      </c>
      <c r="AJ741" s="195" t="s">
        <v>276</v>
      </c>
      <c r="AK741" s="201">
        <f>AE741*10000/AG741</f>
        <v>59.538542844336817</v>
      </c>
      <c r="AL741" s="181" t="s">
        <v>276</v>
      </c>
      <c r="AM741" s="181" t="s">
        <v>276</v>
      </c>
      <c r="AN741" s="195" t="s">
        <v>276</v>
      </c>
      <c r="AO741" s="201">
        <f>AF741*10000/AH741</f>
        <v>61.697602982488384</v>
      </c>
      <c r="AP741" s="181" t="s">
        <v>276</v>
      </c>
      <c r="AQ741" s="181" t="s">
        <v>276</v>
      </c>
      <c r="AR741" s="175" t="s">
        <v>268</v>
      </c>
      <c r="AS741" s="181" t="s">
        <v>276</v>
      </c>
      <c r="AT741" s="181">
        <f t="shared" si="93"/>
        <v>0.96500576953104045</v>
      </c>
      <c r="AU741" s="181" t="s">
        <v>276</v>
      </c>
      <c r="AV741" s="181" t="s">
        <v>276</v>
      </c>
      <c r="AW741" s="175" t="s">
        <v>276</v>
      </c>
      <c r="AX741" s="175" t="s">
        <v>282</v>
      </c>
      <c r="AY741" s="175" t="s">
        <v>98</v>
      </c>
      <c r="AZ741" s="175" t="s">
        <v>98</v>
      </c>
      <c r="BA741" s="175" t="s">
        <v>98</v>
      </c>
      <c r="BB741" s="175" t="s">
        <v>98</v>
      </c>
      <c r="BC741" s="176" t="s">
        <v>7376</v>
      </c>
      <c r="BD741" s="176"/>
      <c r="BE741" s="79" t="s">
        <v>100</v>
      </c>
      <c r="BF741" s="79" t="s">
        <v>98</v>
      </c>
    </row>
    <row r="742" spans="1:58" s="339" customFormat="1" ht="65" x14ac:dyDescent="0.3">
      <c r="A742" s="184">
        <v>4878</v>
      </c>
      <c r="B742" s="184" t="s">
        <v>7371</v>
      </c>
      <c r="C742" s="184" t="s">
        <v>64</v>
      </c>
      <c r="D742" s="185" t="s">
        <v>7377</v>
      </c>
      <c r="E742" s="184" t="s">
        <v>35</v>
      </c>
      <c r="F742" s="185" t="s">
        <v>131</v>
      </c>
      <c r="G742" s="184" t="s">
        <v>225</v>
      </c>
      <c r="H742" s="184" t="s">
        <v>125</v>
      </c>
      <c r="I742" s="184" t="s">
        <v>114</v>
      </c>
      <c r="J742" s="185" t="s">
        <v>24</v>
      </c>
      <c r="K742" s="185" t="s">
        <v>276</v>
      </c>
      <c r="L742" s="185" t="s">
        <v>276</v>
      </c>
      <c r="M742" s="184" t="s">
        <v>14</v>
      </c>
      <c r="N742" s="336" t="s">
        <v>98</v>
      </c>
      <c r="O742" s="337" t="s">
        <v>207</v>
      </c>
      <c r="P742" s="322">
        <v>27759</v>
      </c>
      <c r="Q742" s="185" t="s">
        <v>746</v>
      </c>
      <c r="R742" s="191" t="s">
        <v>7378</v>
      </c>
      <c r="S742" s="191" t="s">
        <v>7379</v>
      </c>
      <c r="T742" s="185">
        <v>4</v>
      </c>
      <c r="U742" s="189">
        <v>31000</v>
      </c>
      <c r="V742" s="188">
        <v>31000</v>
      </c>
      <c r="W742" s="184" t="s">
        <v>276</v>
      </c>
      <c r="X742" s="184" t="s">
        <v>276</v>
      </c>
      <c r="Y742" s="184" t="s">
        <v>276</v>
      </c>
      <c r="Z742" s="185" t="s">
        <v>1562</v>
      </c>
      <c r="AA742" s="184" t="s">
        <v>276</v>
      </c>
      <c r="AB742" s="185" t="s">
        <v>1562</v>
      </c>
      <c r="AC742" s="185" t="s">
        <v>7380</v>
      </c>
      <c r="AD742" s="185" t="s">
        <v>4658</v>
      </c>
      <c r="AE742" s="184">
        <v>85</v>
      </c>
      <c r="AF742" s="184">
        <v>118</v>
      </c>
      <c r="AG742" s="189">
        <v>31000</v>
      </c>
      <c r="AH742" s="189">
        <v>31000</v>
      </c>
      <c r="AI742" s="188" t="s">
        <v>281</v>
      </c>
      <c r="AJ742" s="190" t="s">
        <v>276</v>
      </c>
      <c r="AK742" s="338">
        <f t="shared" ref="AK742:AK800" si="94">AE742*1000/AG742</f>
        <v>2.7419354838709675</v>
      </c>
      <c r="AL742" s="192" t="s">
        <v>276</v>
      </c>
      <c r="AM742" s="192" t="s">
        <v>276</v>
      </c>
      <c r="AN742" s="190" t="s">
        <v>276</v>
      </c>
      <c r="AO742" s="338">
        <f t="shared" ref="AO742:AO800" si="95">AF742*1000/AH742</f>
        <v>3.806451612903226</v>
      </c>
      <c r="AP742" s="192" t="s">
        <v>276</v>
      </c>
      <c r="AQ742" s="192" t="s">
        <v>276</v>
      </c>
      <c r="AR742" s="184" t="s">
        <v>268</v>
      </c>
      <c r="AS742" s="192" t="s">
        <v>276</v>
      </c>
      <c r="AT742" s="192">
        <f t="shared" si="93"/>
        <v>0.72033898305084731</v>
      </c>
      <c r="AU742" s="192" t="s">
        <v>276</v>
      </c>
      <c r="AV742" s="192" t="s">
        <v>276</v>
      </c>
      <c r="AW742" s="184" t="s">
        <v>276</v>
      </c>
      <c r="AX742" s="184" t="s">
        <v>282</v>
      </c>
      <c r="AY742" s="184" t="s">
        <v>98</v>
      </c>
      <c r="AZ742" s="184" t="s">
        <v>98</v>
      </c>
      <c r="BA742" s="184" t="s">
        <v>98</v>
      </c>
      <c r="BB742" s="184" t="s">
        <v>98</v>
      </c>
      <c r="BC742" s="185" t="s">
        <v>3834</v>
      </c>
      <c r="BD742" s="185" t="s">
        <v>7381</v>
      </c>
      <c r="BE742" s="79" t="s">
        <v>100</v>
      </c>
      <c r="BF742" s="79" t="s">
        <v>98</v>
      </c>
    </row>
    <row r="743" spans="1:58" s="339" customFormat="1" ht="65" x14ac:dyDescent="0.3">
      <c r="A743" s="184">
        <v>4878</v>
      </c>
      <c r="B743" s="184" t="s">
        <v>7371</v>
      </c>
      <c r="C743" s="184" t="s">
        <v>64</v>
      </c>
      <c r="D743" s="185" t="s">
        <v>7382</v>
      </c>
      <c r="E743" s="184" t="s">
        <v>35</v>
      </c>
      <c r="F743" s="185" t="s">
        <v>131</v>
      </c>
      <c r="G743" s="184" t="s">
        <v>225</v>
      </c>
      <c r="H743" s="184" t="s">
        <v>125</v>
      </c>
      <c r="I743" s="184" t="s">
        <v>114</v>
      </c>
      <c r="J743" s="185" t="s">
        <v>24</v>
      </c>
      <c r="K743" s="185" t="s">
        <v>276</v>
      </c>
      <c r="L743" s="185" t="s">
        <v>276</v>
      </c>
      <c r="M743" s="184" t="s">
        <v>14</v>
      </c>
      <c r="N743" s="336" t="s">
        <v>98</v>
      </c>
      <c r="O743" s="337" t="s">
        <v>207</v>
      </c>
      <c r="P743" s="322">
        <v>27759</v>
      </c>
      <c r="Q743" s="185" t="s">
        <v>752</v>
      </c>
      <c r="R743" s="191" t="s">
        <v>7383</v>
      </c>
      <c r="S743" s="191" t="s">
        <v>7384</v>
      </c>
      <c r="T743" s="185">
        <v>4</v>
      </c>
      <c r="U743" s="189">
        <v>31000</v>
      </c>
      <c r="V743" s="188">
        <v>31000</v>
      </c>
      <c r="W743" s="184" t="s">
        <v>276</v>
      </c>
      <c r="X743" s="184" t="s">
        <v>276</v>
      </c>
      <c r="Y743" s="184" t="s">
        <v>276</v>
      </c>
      <c r="Z743" s="185" t="s">
        <v>1562</v>
      </c>
      <c r="AA743" s="184" t="s">
        <v>276</v>
      </c>
      <c r="AB743" s="185" t="s">
        <v>1562</v>
      </c>
      <c r="AC743" s="185" t="s">
        <v>7385</v>
      </c>
      <c r="AD743" s="185" t="s">
        <v>4658</v>
      </c>
      <c r="AE743" s="184">
        <v>91</v>
      </c>
      <c r="AF743" s="184">
        <v>128</v>
      </c>
      <c r="AG743" s="189">
        <v>31000</v>
      </c>
      <c r="AH743" s="189">
        <v>31000</v>
      </c>
      <c r="AI743" s="188" t="s">
        <v>281</v>
      </c>
      <c r="AJ743" s="190" t="s">
        <v>276</v>
      </c>
      <c r="AK743" s="338">
        <f t="shared" si="94"/>
        <v>2.935483870967742</v>
      </c>
      <c r="AL743" s="192" t="s">
        <v>276</v>
      </c>
      <c r="AM743" s="192" t="s">
        <v>276</v>
      </c>
      <c r="AN743" s="190" t="s">
        <v>276</v>
      </c>
      <c r="AO743" s="338">
        <f t="shared" si="95"/>
        <v>4.129032258064516</v>
      </c>
      <c r="AP743" s="192" t="s">
        <v>276</v>
      </c>
      <c r="AQ743" s="192" t="s">
        <v>276</v>
      </c>
      <c r="AR743" s="184" t="s">
        <v>268</v>
      </c>
      <c r="AS743" s="192" t="s">
        <v>276</v>
      </c>
      <c r="AT743" s="192">
        <f t="shared" si="93"/>
        <v>0.7109375</v>
      </c>
      <c r="AU743" s="192" t="s">
        <v>276</v>
      </c>
      <c r="AV743" s="192" t="s">
        <v>276</v>
      </c>
      <c r="AW743" s="184" t="s">
        <v>276</v>
      </c>
      <c r="AX743" s="184" t="s">
        <v>282</v>
      </c>
      <c r="AY743" s="184" t="s">
        <v>98</v>
      </c>
      <c r="AZ743" s="184" t="s">
        <v>98</v>
      </c>
      <c r="BA743" s="184" t="s">
        <v>98</v>
      </c>
      <c r="BB743" s="184" t="s">
        <v>98</v>
      </c>
      <c r="BC743" s="185" t="s">
        <v>7386</v>
      </c>
      <c r="BD743" s="185" t="s">
        <v>7381</v>
      </c>
      <c r="BE743" s="79" t="s">
        <v>100</v>
      </c>
      <c r="BF743" s="79" t="s">
        <v>98</v>
      </c>
    </row>
    <row r="744" spans="1:58" s="202" customFormat="1" ht="78" x14ac:dyDescent="0.3">
      <c r="A744" s="175">
        <v>4878</v>
      </c>
      <c r="B744" s="175" t="s">
        <v>7371</v>
      </c>
      <c r="C744" s="175" t="s">
        <v>64</v>
      </c>
      <c r="D744" s="176" t="s">
        <v>7387</v>
      </c>
      <c r="E744" s="175" t="s">
        <v>35</v>
      </c>
      <c r="F744" s="176" t="s">
        <v>131</v>
      </c>
      <c r="G744" s="175" t="s">
        <v>225</v>
      </c>
      <c r="H744" s="175" t="s">
        <v>125</v>
      </c>
      <c r="I744" s="175" t="s">
        <v>114</v>
      </c>
      <c r="J744" s="176" t="s">
        <v>24</v>
      </c>
      <c r="K744" s="176" t="s">
        <v>276</v>
      </c>
      <c r="L744" s="176" t="s">
        <v>276</v>
      </c>
      <c r="M744" s="175" t="s">
        <v>15</v>
      </c>
      <c r="N744" s="198" t="s">
        <v>3032</v>
      </c>
      <c r="O744" s="199" t="s">
        <v>207</v>
      </c>
      <c r="P744" s="200">
        <v>27759</v>
      </c>
      <c r="Q744" s="176" t="s">
        <v>752</v>
      </c>
      <c r="R744" s="176" t="s">
        <v>276</v>
      </c>
      <c r="S744" s="176" t="s">
        <v>276</v>
      </c>
      <c r="T744" s="176">
        <v>4</v>
      </c>
      <c r="U744" s="180">
        <v>14849</v>
      </c>
      <c r="V744" s="179">
        <v>14911</v>
      </c>
      <c r="W744" s="175" t="s">
        <v>276</v>
      </c>
      <c r="X744" s="175" t="s">
        <v>276</v>
      </c>
      <c r="Y744" s="175" t="s">
        <v>276</v>
      </c>
      <c r="Z744" s="176" t="s">
        <v>1562</v>
      </c>
      <c r="AA744" s="175" t="s">
        <v>276</v>
      </c>
      <c r="AB744" s="176" t="s">
        <v>1562</v>
      </c>
      <c r="AC744" s="176" t="s">
        <v>7388</v>
      </c>
      <c r="AD744" s="176" t="s">
        <v>7389</v>
      </c>
      <c r="AE744" s="175">
        <v>39</v>
      </c>
      <c r="AF744" s="175">
        <v>48</v>
      </c>
      <c r="AG744" s="180">
        <v>14849</v>
      </c>
      <c r="AH744" s="179">
        <v>14911</v>
      </c>
      <c r="AI744" s="179" t="s">
        <v>281</v>
      </c>
      <c r="AJ744" s="195" t="s">
        <v>276</v>
      </c>
      <c r="AK744" s="201">
        <f t="shared" si="94"/>
        <v>2.6264394908748065</v>
      </c>
      <c r="AL744" s="181" t="s">
        <v>276</v>
      </c>
      <c r="AM744" s="181" t="s">
        <v>276</v>
      </c>
      <c r="AN744" s="195" t="s">
        <v>276</v>
      </c>
      <c r="AO744" s="201">
        <f t="shared" si="95"/>
        <v>3.2190999932935416</v>
      </c>
      <c r="AP744" s="181" t="s">
        <v>276</v>
      </c>
      <c r="AQ744" s="181" t="s">
        <v>276</v>
      </c>
      <c r="AR744" s="175" t="s">
        <v>268</v>
      </c>
      <c r="AS744" s="181" t="s">
        <v>276</v>
      </c>
      <c r="AT744" s="181">
        <f t="shared" si="93"/>
        <v>0.81589248434238004</v>
      </c>
      <c r="AU744" s="181" t="s">
        <v>276</v>
      </c>
      <c r="AV744" s="181" t="s">
        <v>276</v>
      </c>
      <c r="AW744" s="175" t="s">
        <v>276</v>
      </c>
      <c r="AX744" s="175" t="s">
        <v>282</v>
      </c>
      <c r="AY744" s="175" t="s">
        <v>98</v>
      </c>
      <c r="AZ744" s="175" t="s">
        <v>98</v>
      </c>
      <c r="BA744" s="175" t="s">
        <v>98</v>
      </c>
      <c r="BB744" s="175" t="s">
        <v>98</v>
      </c>
      <c r="BC744" s="176" t="s">
        <v>7390</v>
      </c>
      <c r="BD744" s="176" t="s">
        <v>7381</v>
      </c>
      <c r="BE744" s="79" t="s">
        <v>100</v>
      </c>
      <c r="BF744" s="79" t="s">
        <v>98</v>
      </c>
    </row>
    <row r="745" spans="1:58" s="202" customFormat="1" ht="78" x14ac:dyDescent="0.3">
      <c r="A745" s="175">
        <v>4878</v>
      </c>
      <c r="B745" s="175" t="s">
        <v>7371</v>
      </c>
      <c r="C745" s="175" t="s">
        <v>64</v>
      </c>
      <c r="D745" s="176" t="s">
        <v>7391</v>
      </c>
      <c r="E745" s="175" t="s">
        <v>35</v>
      </c>
      <c r="F745" s="176" t="s">
        <v>131</v>
      </c>
      <c r="G745" s="175" t="s">
        <v>225</v>
      </c>
      <c r="H745" s="175" t="s">
        <v>125</v>
      </c>
      <c r="I745" s="175" t="s">
        <v>114</v>
      </c>
      <c r="J745" s="176" t="s">
        <v>24</v>
      </c>
      <c r="K745" s="176" t="s">
        <v>276</v>
      </c>
      <c r="L745" s="176" t="s">
        <v>276</v>
      </c>
      <c r="M745" s="175" t="s">
        <v>15</v>
      </c>
      <c r="N745" s="198" t="s">
        <v>3038</v>
      </c>
      <c r="O745" s="199" t="s">
        <v>207</v>
      </c>
      <c r="P745" s="200">
        <v>27759</v>
      </c>
      <c r="Q745" s="176" t="s">
        <v>752</v>
      </c>
      <c r="R745" s="176" t="s">
        <v>276</v>
      </c>
      <c r="S745" s="176" t="s">
        <v>276</v>
      </c>
      <c r="T745" s="176">
        <v>4</v>
      </c>
      <c r="U745" s="180">
        <v>12679</v>
      </c>
      <c r="V745" s="179">
        <v>12586</v>
      </c>
      <c r="W745" s="175" t="s">
        <v>276</v>
      </c>
      <c r="X745" s="175" t="s">
        <v>276</v>
      </c>
      <c r="Y745" s="175" t="s">
        <v>276</v>
      </c>
      <c r="Z745" s="176" t="s">
        <v>1562</v>
      </c>
      <c r="AA745" s="175" t="s">
        <v>276</v>
      </c>
      <c r="AB745" s="176" t="s">
        <v>1562</v>
      </c>
      <c r="AC745" s="176" t="s">
        <v>7392</v>
      </c>
      <c r="AD745" s="176" t="s">
        <v>7393</v>
      </c>
      <c r="AE745" s="175">
        <v>40</v>
      </c>
      <c r="AF745" s="175">
        <v>60</v>
      </c>
      <c r="AG745" s="180">
        <v>12679</v>
      </c>
      <c r="AH745" s="179">
        <v>12586</v>
      </c>
      <c r="AI745" s="179" t="s">
        <v>281</v>
      </c>
      <c r="AJ745" s="195" t="s">
        <v>276</v>
      </c>
      <c r="AK745" s="201">
        <f t="shared" si="94"/>
        <v>3.1548229355627417</v>
      </c>
      <c r="AL745" s="181" t="s">
        <v>276</v>
      </c>
      <c r="AM745" s="181" t="s">
        <v>276</v>
      </c>
      <c r="AN745" s="195" t="s">
        <v>276</v>
      </c>
      <c r="AO745" s="201">
        <f t="shared" si="95"/>
        <v>4.7672016526299066</v>
      </c>
      <c r="AP745" s="181" t="s">
        <v>276</v>
      </c>
      <c r="AQ745" s="181" t="s">
        <v>276</v>
      </c>
      <c r="AR745" s="175" t="s">
        <v>268</v>
      </c>
      <c r="AS745" s="181" t="s">
        <v>276</v>
      </c>
      <c r="AT745" s="181">
        <f t="shared" si="93"/>
        <v>0.66177669111654436</v>
      </c>
      <c r="AU745" s="181" t="s">
        <v>276</v>
      </c>
      <c r="AV745" s="181" t="s">
        <v>276</v>
      </c>
      <c r="AW745" s="175" t="s">
        <v>276</v>
      </c>
      <c r="AX745" s="175" t="s">
        <v>282</v>
      </c>
      <c r="AY745" s="175" t="s">
        <v>98</v>
      </c>
      <c r="AZ745" s="175" t="s">
        <v>98</v>
      </c>
      <c r="BA745" s="175" t="s">
        <v>98</v>
      </c>
      <c r="BB745" s="175" t="s">
        <v>98</v>
      </c>
      <c r="BC745" s="176" t="s">
        <v>7390</v>
      </c>
      <c r="BD745" s="176" t="s">
        <v>7381</v>
      </c>
      <c r="BE745" s="79" t="s">
        <v>100</v>
      </c>
      <c r="BF745" s="79" t="s">
        <v>98</v>
      </c>
    </row>
    <row r="746" spans="1:58" s="202" customFormat="1" ht="78" x14ac:dyDescent="0.3">
      <c r="A746" s="175">
        <v>4878</v>
      </c>
      <c r="B746" s="175" t="s">
        <v>7371</v>
      </c>
      <c r="C746" s="175" t="s">
        <v>64</v>
      </c>
      <c r="D746" s="176" t="s">
        <v>7394</v>
      </c>
      <c r="E746" s="175" t="s">
        <v>35</v>
      </c>
      <c r="F746" s="176" t="s">
        <v>131</v>
      </c>
      <c r="G746" s="175" t="s">
        <v>225</v>
      </c>
      <c r="H746" s="175" t="s">
        <v>125</v>
      </c>
      <c r="I746" s="175" t="s">
        <v>114</v>
      </c>
      <c r="J746" s="176" t="s">
        <v>24</v>
      </c>
      <c r="K746" s="176" t="s">
        <v>276</v>
      </c>
      <c r="L746" s="176" t="s">
        <v>276</v>
      </c>
      <c r="M746" s="175" t="s">
        <v>15</v>
      </c>
      <c r="N746" s="198" t="s">
        <v>3442</v>
      </c>
      <c r="O746" s="199" t="s">
        <v>207</v>
      </c>
      <c r="P746" s="200">
        <v>27759</v>
      </c>
      <c r="Q746" s="176" t="s">
        <v>752</v>
      </c>
      <c r="R746" s="176" t="s">
        <v>276</v>
      </c>
      <c r="S746" s="176" t="s">
        <v>276</v>
      </c>
      <c r="T746" s="176">
        <v>4</v>
      </c>
      <c r="U746" s="180">
        <v>3472</v>
      </c>
      <c r="V746" s="179">
        <v>3503</v>
      </c>
      <c r="W746" s="175" t="s">
        <v>276</v>
      </c>
      <c r="X746" s="175" t="s">
        <v>276</v>
      </c>
      <c r="Y746" s="175" t="s">
        <v>276</v>
      </c>
      <c r="Z746" s="176" t="s">
        <v>1562</v>
      </c>
      <c r="AA746" s="175" t="s">
        <v>276</v>
      </c>
      <c r="AB746" s="176" t="s">
        <v>1562</v>
      </c>
      <c r="AC746" s="176" t="s">
        <v>7395</v>
      </c>
      <c r="AD746" s="176" t="s">
        <v>7396</v>
      </c>
      <c r="AE746" s="175">
        <v>12</v>
      </c>
      <c r="AF746" s="175">
        <v>20</v>
      </c>
      <c r="AG746" s="180">
        <v>3472</v>
      </c>
      <c r="AH746" s="179">
        <v>3503</v>
      </c>
      <c r="AI746" s="179" t="s">
        <v>281</v>
      </c>
      <c r="AJ746" s="195" t="s">
        <v>276</v>
      </c>
      <c r="AK746" s="201">
        <f t="shared" si="94"/>
        <v>3.4562211981566819</v>
      </c>
      <c r="AL746" s="181" t="s">
        <v>276</v>
      </c>
      <c r="AM746" s="181" t="s">
        <v>276</v>
      </c>
      <c r="AN746" s="195" t="s">
        <v>276</v>
      </c>
      <c r="AO746" s="201">
        <f t="shared" si="95"/>
        <v>5.7093919497573511</v>
      </c>
      <c r="AP746" s="181" t="s">
        <v>276</v>
      </c>
      <c r="AQ746" s="181" t="s">
        <v>276</v>
      </c>
      <c r="AR746" s="175" t="s">
        <v>268</v>
      </c>
      <c r="AS746" s="181" t="s">
        <v>276</v>
      </c>
      <c r="AT746" s="181">
        <f t="shared" si="93"/>
        <v>0.60535714285714282</v>
      </c>
      <c r="AU746" s="181" t="s">
        <v>276</v>
      </c>
      <c r="AV746" s="181" t="s">
        <v>276</v>
      </c>
      <c r="AW746" s="175" t="s">
        <v>276</v>
      </c>
      <c r="AX746" s="175" t="s">
        <v>282</v>
      </c>
      <c r="AY746" s="175" t="s">
        <v>98</v>
      </c>
      <c r="AZ746" s="175" t="s">
        <v>98</v>
      </c>
      <c r="BA746" s="175" t="s">
        <v>98</v>
      </c>
      <c r="BB746" s="175" t="s">
        <v>98</v>
      </c>
      <c r="BC746" s="176" t="s">
        <v>7390</v>
      </c>
      <c r="BD746" s="176" t="s">
        <v>7381</v>
      </c>
      <c r="BE746" s="79" t="s">
        <v>100</v>
      </c>
      <c r="BF746" s="79" t="s">
        <v>98</v>
      </c>
    </row>
    <row r="747" spans="1:58" s="253" customFormat="1" ht="52" x14ac:dyDescent="0.3">
      <c r="A747" s="244">
        <v>4870</v>
      </c>
      <c r="B747" s="244" t="s">
        <v>7397</v>
      </c>
      <c r="C747" s="244" t="s">
        <v>64</v>
      </c>
      <c r="D747" s="245" t="s">
        <v>7398</v>
      </c>
      <c r="E747" s="244" t="s">
        <v>35</v>
      </c>
      <c r="F747" s="245" t="s">
        <v>131</v>
      </c>
      <c r="G747" s="244" t="s">
        <v>225</v>
      </c>
      <c r="H747" s="244" t="s">
        <v>125</v>
      </c>
      <c r="I747" s="244" t="s">
        <v>114</v>
      </c>
      <c r="J747" s="245" t="s">
        <v>24</v>
      </c>
      <c r="K747" s="245" t="s">
        <v>276</v>
      </c>
      <c r="L747" s="245" t="s">
        <v>276</v>
      </c>
      <c r="M747" s="244" t="s">
        <v>14</v>
      </c>
      <c r="N747" s="246" t="s">
        <v>98</v>
      </c>
      <c r="O747" s="247" t="s">
        <v>207</v>
      </c>
      <c r="P747" s="248" t="s">
        <v>98</v>
      </c>
      <c r="Q747" s="245" t="s">
        <v>686</v>
      </c>
      <c r="R747" s="782" t="s">
        <v>7353</v>
      </c>
      <c r="S747" s="782" t="s">
        <v>7354</v>
      </c>
      <c r="T747" s="245">
        <v>2</v>
      </c>
      <c r="U747" s="249">
        <v>31000</v>
      </c>
      <c r="V747" s="250">
        <v>31000</v>
      </c>
      <c r="W747" s="244" t="s">
        <v>276</v>
      </c>
      <c r="X747" s="244" t="s">
        <v>276</v>
      </c>
      <c r="Y747" s="244" t="s">
        <v>276</v>
      </c>
      <c r="Z747" s="245" t="s">
        <v>1562</v>
      </c>
      <c r="AA747" s="244" t="s">
        <v>276</v>
      </c>
      <c r="AB747" s="245" t="s">
        <v>1562</v>
      </c>
      <c r="AC747" s="245" t="s">
        <v>7399</v>
      </c>
      <c r="AD747" s="245" t="s">
        <v>4658</v>
      </c>
      <c r="AE747" s="244">
        <v>17</v>
      </c>
      <c r="AF747" s="244">
        <v>19</v>
      </c>
      <c r="AG747" s="249">
        <v>31000</v>
      </c>
      <c r="AH747" s="249">
        <v>31000</v>
      </c>
      <c r="AI747" s="250" t="s">
        <v>281</v>
      </c>
      <c r="AJ747" s="330" t="s">
        <v>276</v>
      </c>
      <c r="AK747" s="252">
        <f t="shared" si="94"/>
        <v>0.54838709677419351</v>
      </c>
      <c r="AL747" s="251" t="s">
        <v>276</v>
      </c>
      <c r="AM747" s="251" t="s">
        <v>276</v>
      </c>
      <c r="AN747" s="330" t="s">
        <v>276</v>
      </c>
      <c r="AO747" s="252">
        <f t="shared" si="95"/>
        <v>0.61290322580645162</v>
      </c>
      <c r="AP747" s="251" t="s">
        <v>276</v>
      </c>
      <c r="AQ747" s="251" t="s">
        <v>276</v>
      </c>
      <c r="AR747" s="244" t="s">
        <v>268</v>
      </c>
      <c r="AS747" s="251" t="s">
        <v>276</v>
      </c>
      <c r="AT747" s="251">
        <f t="shared" si="93"/>
        <v>0.89473684210526305</v>
      </c>
      <c r="AU747" s="251" t="s">
        <v>276</v>
      </c>
      <c r="AV747" s="251" t="s">
        <v>276</v>
      </c>
      <c r="AW747" s="244" t="s">
        <v>276</v>
      </c>
      <c r="AX747" s="244" t="s">
        <v>282</v>
      </c>
      <c r="AY747" s="244" t="s">
        <v>98</v>
      </c>
      <c r="AZ747" s="244" t="s">
        <v>98</v>
      </c>
      <c r="BA747" s="244" t="s">
        <v>98</v>
      </c>
      <c r="BB747" s="244" t="s">
        <v>98</v>
      </c>
      <c r="BC747" s="245" t="s">
        <v>1358</v>
      </c>
      <c r="BD747" s="245"/>
      <c r="BE747" s="79" t="s">
        <v>100</v>
      </c>
      <c r="BF747" s="79" t="s">
        <v>98</v>
      </c>
    </row>
    <row r="748" spans="1:58" s="253" customFormat="1" ht="52" x14ac:dyDescent="0.3">
      <c r="A748" s="244">
        <v>4870</v>
      </c>
      <c r="B748" s="244" t="s">
        <v>7397</v>
      </c>
      <c r="C748" s="244" t="s">
        <v>64</v>
      </c>
      <c r="D748" s="245" t="s">
        <v>7400</v>
      </c>
      <c r="E748" s="244" t="s">
        <v>35</v>
      </c>
      <c r="F748" s="245" t="s">
        <v>131</v>
      </c>
      <c r="G748" s="244" t="s">
        <v>225</v>
      </c>
      <c r="H748" s="244" t="s">
        <v>125</v>
      </c>
      <c r="I748" s="244" t="s">
        <v>114</v>
      </c>
      <c r="J748" s="245" t="s">
        <v>24</v>
      </c>
      <c r="K748" s="245" t="s">
        <v>276</v>
      </c>
      <c r="L748" s="245" t="s">
        <v>276</v>
      </c>
      <c r="M748" s="244" t="s">
        <v>14</v>
      </c>
      <c r="N748" s="246" t="s">
        <v>98</v>
      </c>
      <c r="O748" s="247" t="s">
        <v>207</v>
      </c>
      <c r="P748" s="248" t="s">
        <v>98</v>
      </c>
      <c r="Q748" s="245" t="s">
        <v>721</v>
      </c>
      <c r="R748" s="782" t="s">
        <v>7357</v>
      </c>
      <c r="S748" s="782" t="s">
        <v>7358</v>
      </c>
      <c r="T748" s="245">
        <v>3</v>
      </c>
      <c r="U748" s="249">
        <v>31000</v>
      </c>
      <c r="V748" s="250">
        <v>31000</v>
      </c>
      <c r="W748" s="244" t="s">
        <v>276</v>
      </c>
      <c r="X748" s="244" t="s">
        <v>276</v>
      </c>
      <c r="Y748" s="244" t="s">
        <v>276</v>
      </c>
      <c r="Z748" s="245" t="s">
        <v>1562</v>
      </c>
      <c r="AA748" s="244" t="s">
        <v>276</v>
      </c>
      <c r="AB748" s="245" t="s">
        <v>1562</v>
      </c>
      <c r="AC748" s="245" t="s">
        <v>7401</v>
      </c>
      <c r="AD748" s="245" t="s">
        <v>4658</v>
      </c>
      <c r="AE748" s="244">
        <v>24</v>
      </c>
      <c r="AF748" s="244">
        <v>38</v>
      </c>
      <c r="AG748" s="249">
        <v>31000</v>
      </c>
      <c r="AH748" s="249">
        <v>31000</v>
      </c>
      <c r="AI748" s="250" t="s">
        <v>281</v>
      </c>
      <c r="AJ748" s="330" t="s">
        <v>276</v>
      </c>
      <c r="AK748" s="252">
        <f t="shared" si="94"/>
        <v>0.77419354838709675</v>
      </c>
      <c r="AL748" s="251" t="s">
        <v>276</v>
      </c>
      <c r="AM748" s="251" t="s">
        <v>276</v>
      </c>
      <c r="AN748" s="330" t="s">
        <v>276</v>
      </c>
      <c r="AO748" s="252">
        <f t="shared" si="95"/>
        <v>1.2258064516129032</v>
      </c>
      <c r="AP748" s="251" t="s">
        <v>276</v>
      </c>
      <c r="AQ748" s="251" t="s">
        <v>276</v>
      </c>
      <c r="AR748" s="244" t="s">
        <v>268</v>
      </c>
      <c r="AS748" s="251" t="s">
        <v>276</v>
      </c>
      <c r="AT748" s="251">
        <f t="shared" si="93"/>
        <v>0.63157894736842102</v>
      </c>
      <c r="AU748" s="251" t="s">
        <v>276</v>
      </c>
      <c r="AV748" s="251" t="s">
        <v>276</v>
      </c>
      <c r="AW748" s="244" t="s">
        <v>276</v>
      </c>
      <c r="AX748" s="244" t="s">
        <v>282</v>
      </c>
      <c r="AY748" s="244" t="s">
        <v>98</v>
      </c>
      <c r="AZ748" s="244" t="s">
        <v>98</v>
      </c>
      <c r="BA748" s="244" t="s">
        <v>98</v>
      </c>
      <c r="BB748" s="244" t="s">
        <v>98</v>
      </c>
      <c r="BC748" s="245" t="s">
        <v>1358</v>
      </c>
      <c r="BD748" s="245"/>
      <c r="BE748" s="79" t="s">
        <v>100</v>
      </c>
      <c r="BF748" s="79" t="s">
        <v>98</v>
      </c>
    </row>
    <row r="749" spans="1:58" s="253" customFormat="1" ht="52" x14ac:dyDescent="0.3">
      <c r="A749" s="244">
        <v>4870</v>
      </c>
      <c r="B749" s="244" t="s">
        <v>7397</v>
      </c>
      <c r="C749" s="244" t="s">
        <v>64</v>
      </c>
      <c r="D749" s="245" t="s">
        <v>7402</v>
      </c>
      <c r="E749" s="244" t="s">
        <v>35</v>
      </c>
      <c r="F749" s="245" t="s">
        <v>131</v>
      </c>
      <c r="G749" s="244" t="s">
        <v>225</v>
      </c>
      <c r="H749" s="244" t="s">
        <v>125</v>
      </c>
      <c r="I749" s="244" t="s">
        <v>114</v>
      </c>
      <c r="J749" s="245" t="s">
        <v>24</v>
      </c>
      <c r="K749" s="245" t="s">
        <v>276</v>
      </c>
      <c r="L749" s="245" t="s">
        <v>276</v>
      </c>
      <c r="M749" s="244" t="s">
        <v>14</v>
      </c>
      <c r="N749" s="246" t="s">
        <v>98</v>
      </c>
      <c r="O749" s="247" t="s">
        <v>207</v>
      </c>
      <c r="P749" s="248" t="s">
        <v>98</v>
      </c>
      <c r="Q749" s="245" t="s">
        <v>728</v>
      </c>
      <c r="R749" s="782" t="s">
        <v>7343</v>
      </c>
      <c r="S749" s="782" t="s">
        <v>7344</v>
      </c>
      <c r="T749" s="245">
        <v>4</v>
      </c>
      <c r="U749" s="249">
        <v>31000</v>
      </c>
      <c r="V749" s="250">
        <v>31000</v>
      </c>
      <c r="W749" s="244" t="s">
        <v>276</v>
      </c>
      <c r="X749" s="244" t="s">
        <v>276</v>
      </c>
      <c r="Y749" s="244" t="s">
        <v>276</v>
      </c>
      <c r="Z749" s="245" t="s">
        <v>1562</v>
      </c>
      <c r="AA749" s="244" t="s">
        <v>276</v>
      </c>
      <c r="AB749" s="245" t="s">
        <v>1562</v>
      </c>
      <c r="AC749" s="245" t="s">
        <v>7403</v>
      </c>
      <c r="AD749" s="245" t="s">
        <v>4658</v>
      </c>
      <c r="AE749" s="244">
        <v>39</v>
      </c>
      <c r="AF749" s="244">
        <v>63</v>
      </c>
      <c r="AG749" s="249">
        <v>31000</v>
      </c>
      <c r="AH749" s="249">
        <v>31000</v>
      </c>
      <c r="AI749" s="250" t="s">
        <v>281</v>
      </c>
      <c r="AJ749" s="330" t="s">
        <v>276</v>
      </c>
      <c r="AK749" s="252">
        <f t="shared" si="94"/>
        <v>1.2580645161290323</v>
      </c>
      <c r="AL749" s="251" t="s">
        <v>276</v>
      </c>
      <c r="AM749" s="251" t="s">
        <v>276</v>
      </c>
      <c r="AN749" s="330" t="s">
        <v>276</v>
      </c>
      <c r="AO749" s="252">
        <f t="shared" si="95"/>
        <v>2.032258064516129</v>
      </c>
      <c r="AP749" s="251" t="s">
        <v>276</v>
      </c>
      <c r="AQ749" s="251" t="s">
        <v>276</v>
      </c>
      <c r="AR749" s="244" t="s">
        <v>268</v>
      </c>
      <c r="AS749" s="251" t="s">
        <v>276</v>
      </c>
      <c r="AT749" s="251">
        <f t="shared" si="93"/>
        <v>0.61904761904761907</v>
      </c>
      <c r="AU749" s="251" t="s">
        <v>276</v>
      </c>
      <c r="AV749" s="251" t="s">
        <v>276</v>
      </c>
      <c r="AW749" s="244" t="s">
        <v>276</v>
      </c>
      <c r="AX749" s="244" t="s">
        <v>282</v>
      </c>
      <c r="AY749" s="244" t="s">
        <v>98</v>
      </c>
      <c r="AZ749" s="244" t="s">
        <v>98</v>
      </c>
      <c r="BA749" s="244" t="s">
        <v>98</v>
      </c>
      <c r="BB749" s="244" t="s">
        <v>98</v>
      </c>
      <c r="BC749" s="245" t="s">
        <v>1358</v>
      </c>
      <c r="BD749" s="245"/>
      <c r="BE749" s="79" t="s">
        <v>100</v>
      </c>
      <c r="BF749" s="79" t="s">
        <v>98</v>
      </c>
    </row>
    <row r="750" spans="1:58" s="253" customFormat="1" ht="65" x14ac:dyDescent="0.3">
      <c r="A750" s="244">
        <v>4870</v>
      </c>
      <c r="B750" s="244" t="s">
        <v>7397</v>
      </c>
      <c r="C750" s="244" t="s">
        <v>64</v>
      </c>
      <c r="D750" s="245" t="s">
        <v>7404</v>
      </c>
      <c r="E750" s="244" t="s">
        <v>35</v>
      </c>
      <c r="F750" s="245" t="s">
        <v>131</v>
      </c>
      <c r="G750" s="244" t="s">
        <v>225</v>
      </c>
      <c r="H750" s="244" t="s">
        <v>125</v>
      </c>
      <c r="I750" s="244" t="s">
        <v>114</v>
      </c>
      <c r="J750" s="245" t="s">
        <v>24</v>
      </c>
      <c r="K750" s="245" t="s">
        <v>276</v>
      </c>
      <c r="L750" s="245" t="s">
        <v>276</v>
      </c>
      <c r="M750" s="244" t="s">
        <v>14</v>
      </c>
      <c r="N750" s="246" t="s">
        <v>98</v>
      </c>
      <c r="O750" s="247" t="s">
        <v>207</v>
      </c>
      <c r="P750" s="248" t="s">
        <v>98</v>
      </c>
      <c r="Q750" s="245" t="s">
        <v>733</v>
      </c>
      <c r="R750" s="782" t="s">
        <v>7363</v>
      </c>
      <c r="S750" s="782" t="s">
        <v>7364</v>
      </c>
      <c r="T750" s="245">
        <v>4</v>
      </c>
      <c r="U750" s="249">
        <v>31000</v>
      </c>
      <c r="V750" s="250">
        <v>31000</v>
      </c>
      <c r="W750" s="244" t="s">
        <v>276</v>
      </c>
      <c r="X750" s="244" t="s">
        <v>276</v>
      </c>
      <c r="Y750" s="244" t="s">
        <v>276</v>
      </c>
      <c r="Z750" s="245" t="s">
        <v>1562</v>
      </c>
      <c r="AA750" s="244" t="s">
        <v>276</v>
      </c>
      <c r="AB750" s="245" t="s">
        <v>1562</v>
      </c>
      <c r="AC750" s="245" t="s">
        <v>7405</v>
      </c>
      <c r="AD750" s="245" t="s">
        <v>4658</v>
      </c>
      <c r="AE750" s="244">
        <v>56</v>
      </c>
      <c r="AF750" s="244">
        <v>89</v>
      </c>
      <c r="AG750" s="249">
        <v>31000</v>
      </c>
      <c r="AH750" s="249">
        <v>31000</v>
      </c>
      <c r="AI750" s="250" t="s">
        <v>281</v>
      </c>
      <c r="AJ750" s="330" t="s">
        <v>276</v>
      </c>
      <c r="AK750" s="252">
        <f t="shared" si="94"/>
        <v>1.8064516129032258</v>
      </c>
      <c r="AL750" s="251" t="s">
        <v>276</v>
      </c>
      <c r="AM750" s="251" t="s">
        <v>276</v>
      </c>
      <c r="AN750" s="330" t="s">
        <v>276</v>
      </c>
      <c r="AO750" s="252">
        <f t="shared" si="95"/>
        <v>2.870967741935484</v>
      </c>
      <c r="AP750" s="251" t="s">
        <v>276</v>
      </c>
      <c r="AQ750" s="251" t="s">
        <v>276</v>
      </c>
      <c r="AR750" s="244" t="s">
        <v>268</v>
      </c>
      <c r="AS750" s="251" t="s">
        <v>276</v>
      </c>
      <c r="AT750" s="251">
        <f t="shared" si="93"/>
        <v>0.6292134831460674</v>
      </c>
      <c r="AU750" s="251" t="s">
        <v>276</v>
      </c>
      <c r="AV750" s="251" t="s">
        <v>276</v>
      </c>
      <c r="AW750" s="244" t="s">
        <v>276</v>
      </c>
      <c r="AX750" s="244" t="s">
        <v>282</v>
      </c>
      <c r="AY750" s="244" t="s">
        <v>98</v>
      </c>
      <c r="AZ750" s="244" t="s">
        <v>98</v>
      </c>
      <c r="BA750" s="244" t="s">
        <v>98</v>
      </c>
      <c r="BB750" s="244" t="s">
        <v>98</v>
      </c>
      <c r="BC750" s="245" t="s">
        <v>1358</v>
      </c>
      <c r="BD750" s="245"/>
      <c r="BE750" s="79" t="s">
        <v>100</v>
      </c>
      <c r="BF750" s="79" t="s">
        <v>98</v>
      </c>
    </row>
    <row r="751" spans="1:58" s="253" customFormat="1" ht="65" x14ac:dyDescent="0.3">
      <c r="A751" s="244">
        <v>4870</v>
      </c>
      <c r="B751" s="244" t="s">
        <v>7397</v>
      </c>
      <c r="C751" s="244" t="s">
        <v>64</v>
      </c>
      <c r="D751" s="245" t="s">
        <v>7406</v>
      </c>
      <c r="E751" s="244" t="s">
        <v>35</v>
      </c>
      <c r="F751" s="245" t="s">
        <v>131</v>
      </c>
      <c r="G751" s="244" t="s">
        <v>225</v>
      </c>
      <c r="H751" s="244" t="s">
        <v>125</v>
      </c>
      <c r="I751" s="244" t="s">
        <v>114</v>
      </c>
      <c r="J751" s="245" t="s">
        <v>24</v>
      </c>
      <c r="K751" s="245" t="s">
        <v>276</v>
      </c>
      <c r="L751" s="245" t="s">
        <v>276</v>
      </c>
      <c r="M751" s="244" t="s">
        <v>14</v>
      </c>
      <c r="N751" s="246" t="s">
        <v>98</v>
      </c>
      <c r="O751" s="247" t="s">
        <v>207</v>
      </c>
      <c r="P751" s="248" t="s">
        <v>98</v>
      </c>
      <c r="Q751" s="245" t="s">
        <v>741</v>
      </c>
      <c r="R751" s="782" t="s">
        <v>7368</v>
      </c>
      <c r="S751" s="782" t="s">
        <v>7369</v>
      </c>
      <c r="T751" s="245">
        <v>4</v>
      </c>
      <c r="U751" s="249">
        <v>31000</v>
      </c>
      <c r="V751" s="250">
        <v>31000</v>
      </c>
      <c r="W751" s="244" t="s">
        <v>276</v>
      </c>
      <c r="X751" s="244" t="s">
        <v>276</v>
      </c>
      <c r="Y751" s="244" t="s">
        <v>276</v>
      </c>
      <c r="Z751" s="245" t="s">
        <v>1562</v>
      </c>
      <c r="AA751" s="244" t="s">
        <v>276</v>
      </c>
      <c r="AB751" s="245" t="s">
        <v>1562</v>
      </c>
      <c r="AC751" s="245" t="s">
        <v>7407</v>
      </c>
      <c r="AD751" s="245" t="s">
        <v>4658</v>
      </c>
      <c r="AE751" s="244">
        <v>70</v>
      </c>
      <c r="AF751" s="244">
        <v>109</v>
      </c>
      <c r="AG751" s="249">
        <v>31000</v>
      </c>
      <c r="AH751" s="249">
        <v>31000</v>
      </c>
      <c r="AI751" s="250" t="s">
        <v>281</v>
      </c>
      <c r="AJ751" s="330" t="s">
        <v>276</v>
      </c>
      <c r="AK751" s="252">
        <f t="shared" si="94"/>
        <v>2.2580645161290325</v>
      </c>
      <c r="AL751" s="251" t="s">
        <v>276</v>
      </c>
      <c r="AM751" s="251" t="s">
        <v>276</v>
      </c>
      <c r="AN751" s="330" t="s">
        <v>276</v>
      </c>
      <c r="AO751" s="252">
        <f t="shared" si="95"/>
        <v>3.5161290322580645</v>
      </c>
      <c r="AP751" s="251" t="s">
        <v>276</v>
      </c>
      <c r="AQ751" s="251" t="s">
        <v>276</v>
      </c>
      <c r="AR751" s="244" t="s">
        <v>268</v>
      </c>
      <c r="AS751" s="251" t="s">
        <v>276</v>
      </c>
      <c r="AT751" s="251">
        <f t="shared" si="93"/>
        <v>0.64220183486238536</v>
      </c>
      <c r="AU751" s="251" t="s">
        <v>276</v>
      </c>
      <c r="AV751" s="251" t="s">
        <v>276</v>
      </c>
      <c r="AW751" s="244" t="s">
        <v>276</v>
      </c>
      <c r="AX751" s="244" t="s">
        <v>282</v>
      </c>
      <c r="AY751" s="244" t="s">
        <v>98</v>
      </c>
      <c r="AZ751" s="244" t="s">
        <v>98</v>
      </c>
      <c r="BA751" s="244" t="s">
        <v>98</v>
      </c>
      <c r="BB751" s="244" t="s">
        <v>98</v>
      </c>
      <c r="BC751" s="245" t="s">
        <v>1358</v>
      </c>
      <c r="BD751" s="245"/>
      <c r="BE751" s="79" t="s">
        <v>100</v>
      </c>
      <c r="BF751" s="79" t="s">
        <v>98</v>
      </c>
    </row>
    <row r="752" spans="1:58" s="253" customFormat="1" ht="65" x14ac:dyDescent="0.3">
      <c r="A752" s="244">
        <v>4870</v>
      </c>
      <c r="B752" s="244" t="s">
        <v>7397</v>
      </c>
      <c r="C752" s="244" t="s">
        <v>64</v>
      </c>
      <c r="D752" s="245" t="s">
        <v>7408</v>
      </c>
      <c r="E752" s="244" t="s">
        <v>35</v>
      </c>
      <c r="F752" s="245" t="s">
        <v>131</v>
      </c>
      <c r="G752" s="244" t="s">
        <v>225</v>
      </c>
      <c r="H752" s="244" t="s">
        <v>125</v>
      </c>
      <c r="I752" s="244" t="s">
        <v>114</v>
      </c>
      <c r="J752" s="245" t="s">
        <v>24</v>
      </c>
      <c r="K752" s="245" t="s">
        <v>276</v>
      </c>
      <c r="L752" s="245" t="s">
        <v>276</v>
      </c>
      <c r="M752" s="244" t="s">
        <v>14</v>
      </c>
      <c r="N752" s="246" t="s">
        <v>98</v>
      </c>
      <c r="O752" s="247" t="s">
        <v>207</v>
      </c>
      <c r="P752" s="248">
        <v>28125</v>
      </c>
      <c r="Q752" s="245" t="s">
        <v>746</v>
      </c>
      <c r="R752" s="782" t="s">
        <v>7378</v>
      </c>
      <c r="S752" s="782" t="s">
        <v>7379</v>
      </c>
      <c r="T752" s="245">
        <v>4</v>
      </c>
      <c r="U752" s="249">
        <v>31000</v>
      </c>
      <c r="V752" s="250">
        <v>31000</v>
      </c>
      <c r="W752" s="244" t="s">
        <v>276</v>
      </c>
      <c r="X752" s="244" t="s">
        <v>276</v>
      </c>
      <c r="Y752" s="244" t="s">
        <v>276</v>
      </c>
      <c r="Z752" s="245" t="s">
        <v>1562</v>
      </c>
      <c r="AA752" s="244" t="s">
        <v>276</v>
      </c>
      <c r="AB752" s="245" t="s">
        <v>1562</v>
      </c>
      <c r="AC752" s="245" t="s">
        <v>7380</v>
      </c>
      <c r="AD752" s="245" t="s">
        <v>4658</v>
      </c>
      <c r="AE752" s="244">
        <v>85</v>
      </c>
      <c r="AF752" s="244">
        <v>120</v>
      </c>
      <c r="AG752" s="249">
        <v>31000</v>
      </c>
      <c r="AH752" s="249">
        <v>31000</v>
      </c>
      <c r="AI752" s="250" t="s">
        <v>281</v>
      </c>
      <c r="AJ752" s="330" t="s">
        <v>276</v>
      </c>
      <c r="AK752" s="252">
        <f t="shared" si="94"/>
        <v>2.7419354838709675</v>
      </c>
      <c r="AL752" s="251" t="s">
        <v>276</v>
      </c>
      <c r="AM752" s="251" t="s">
        <v>276</v>
      </c>
      <c r="AN752" s="330" t="s">
        <v>276</v>
      </c>
      <c r="AO752" s="252">
        <f t="shared" si="95"/>
        <v>3.870967741935484</v>
      </c>
      <c r="AP752" s="251" t="s">
        <v>276</v>
      </c>
      <c r="AQ752" s="251" t="s">
        <v>276</v>
      </c>
      <c r="AR752" s="244" t="s">
        <v>268</v>
      </c>
      <c r="AS752" s="251" t="s">
        <v>276</v>
      </c>
      <c r="AT752" s="251">
        <f t="shared" si="93"/>
        <v>0.70833333333333326</v>
      </c>
      <c r="AU752" s="251" t="s">
        <v>276</v>
      </c>
      <c r="AV752" s="251" t="s">
        <v>276</v>
      </c>
      <c r="AW752" s="244" t="s">
        <v>276</v>
      </c>
      <c r="AX752" s="244" t="s">
        <v>282</v>
      </c>
      <c r="AY752" s="244" t="s">
        <v>98</v>
      </c>
      <c r="AZ752" s="244" t="s">
        <v>98</v>
      </c>
      <c r="BA752" s="244" t="s">
        <v>98</v>
      </c>
      <c r="BB752" s="244" t="s">
        <v>98</v>
      </c>
      <c r="BC752" s="245" t="s">
        <v>1358</v>
      </c>
      <c r="BD752" s="245" t="s">
        <v>7409</v>
      </c>
      <c r="BE752" s="79" t="s">
        <v>100</v>
      </c>
      <c r="BF752" s="79" t="s">
        <v>98</v>
      </c>
    </row>
    <row r="753" spans="1:58" s="253" customFormat="1" ht="65" x14ac:dyDescent="0.3">
      <c r="A753" s="244">
        <v>4870</v>
      </c>
      <c r="B753" s="244" t="s">
        <v>7397</v>
      </c>
      <c r="C753" s="244" t="s">
        <v>64</v>
      </c>
      <c r="D753" s="245" t="s">
        <v>7410</v>
      </c>
      <c r="E753" s="244" t="s">
        <v>35</v>
      </c>
      <c r="F753" s="245" t="s">
        <v>131</v>
      </c>
      <c r="G753" s="244" t="s">
        <v>225</v>
      </c>
      <c r="H753" s="244" t="s">
        <v>125</v>
      </c>
      <c r="I753" s="244" t="s">
        <v>114</v>
      </c>
      <c r="J753" s="245" t="s">
        <v>24</v>
      </c>
      <c r="K753" s="245" t="s">
        <v>276</v>
      </c>
      <c r="L753" s="245" t="s">
        <v>276</v>
      </c>
      <c r="M753" s="244" t="s">
        <v>14</v>
      </c>
      <c r="N753" s="246" t="s">
        <v>98</v>
      </c>
      <c r="O753" s="247" t="s">
        <v>207</v>
      </c>
      <c r="P753" s="248">
        <v>28125</v>
      </c>
      <c r="Q753" s="245" t="s">
        <v>752</v>
      </c>
      <c r="R753" s="782" t="s">
        <v>7383</v>
      </c>
      <c r="S753" s="782" t="s">
        <v>7384</v>
      </c>
      <c r="T753" s="245">
        <v>4</v>
      </c>
      <c r="U753" s="249">
        <v>31000</v>
      </c>
      <c r="V753" s="250">
        <v>31000</v>
      </c>
      <c r="W753" s="244" t="s">
        <v>276</v>
      </c>
      <c r="X753" s="244" t="s">
        <v>276</v>
      </c>
      <c r="Y753" s="244" t="s">
        <v>276</v>
      </c>
      <c r="Z753" s="245" t="s">
        <v>1562</v>
      </c>
      <c r="AA753" s="244" t="s">
        <v>276</v>
      </c>
      <c r="AB753" s="245" t="s">
        <v>1562</v>
      </c>
      <c r="AC753" s="245" t="s">
        <v>7385</v>
      </c>
      <c r="AD753" s="245" t="s">
        <v>4658</v>
      </c>
      <c r="AE753" s="244">
        <v>91</v>
      </c>
      <c r="AF753" s="244">
        <v>130</v>
      </c>
      <c r="AG753" s="249">
        <v>31000</v>
      </c>
      <c r="AH753" s="249">
        <v>31000</v>
      </c>
      <c r="AI753" s="250" t="s">
        <v>281</v>
      </c>
      <c r="AJ753" s="330" t="s">
        <v>276</v>
      </c>
      <c r="AK753" s="252">
        <f t="shared" si="94"/>
        <v>2.935483870967742</v>
      </c>
      <c r="AL753" s="251" t="s">
        <v>276</v>
      </c>
      <c r="AM753" s="251" t="s">
        <v>276</v>
      </c>
      <c r="AN753" s="330" t="s">
        <v>276</v>
      </c>
      <c r="AO753" s="252">
        <f t="shared" si="95"/>
        <v>4.193548387096774</v>
      </c>
      <c r="AP753" s="251" t="s">
        <v>276</v>
      </c>
      <c r="AQ753" s="251" t="s">
        <v>276</v>
      </c>
      <c r="AR753" s="244" t="s">
        <v>268</v>
      </c>
      <c r="AS753" s="251" t="s">
        <v>276</v>
      </c>
      <c r="AT753" s="251">
        <f t="shared" si="93"/>
        <v>0.70000000000000007</v>
      </c>
      <c r="AU753" s="251" t="s">
        <v>276</v>
      </c>
      <c r="AV753" s="251" t="s">
        <v>276</v>
      </c>
      <c r="AW753" s="244" t="s">
        <v>276</v>
      </c>
      <c r="AX753" s="244" t="s">
        <v>282</v>
      </c>
      <c r="AY753" s="244" t="s">
        <v>98</v>
      </c>
      <c r="AZ753" s="244" t="s">
        <v>98</v>
      </c>
      <c r="BA753" s="244" t="s">
        <v>98</v>
      </c>
      <c r="BB753" s="244" t="s">
        <v>98</v>
      </c>
      <c r="BC753" s="245" t="s">
        <v>1358</v>
      </c>
      <c r="BD753" s="245" t="s">
        <v>7409</v>
      </c>
      <c r="BE753" s="79" t="s">
        <v>100</v>
      </c>
      <c r="BF753" s="79" t="s">
        <v>98</v>
      </c>
    </row>
    <row r="754" spans="1:58" s="253" customFormat="1" ht="65" x14ac:dyDescent="0.3">
      <c r="A754" s="244">
        <v>4870</v>
      </c>
      <c r="B754" s="244" t="s">
        <v>7397</v>
      </c>
      <c r="C754" s="244" t="s">
        <v>64</v>
      </c>
      <c r="D754" s="245" t="s">
        <v>7411</v>
      </c>
      <c r="E754" s="244" t="s">
        <v>35</v>
      </c>
      <c r="F754" s="245" t="s">
        <v>131</v>
      </c>
      <c r="G754" s="244" t="s">
        <v>225</v>
      </c>
      <c r="H754" s="244" t="s">
        <v>125</v>
      </c>
      <c r="I754" s="244" t="s">
        <v>114</v>
      </c>
      <c r="J754" s="245" t="s">
        <v>24</v>
      </c>
      <c r="K754" s="245" t="s">
        <v>276</v>
      </c>
      <c r="L754" s="245" t="s">
        <v>276</v>
      </c>
      <c r="M754" s="244" t="s">
        <v>14</v>
      </c>
      <c r="N754" s="246" t="s">
        <v>98</v>
      </c>
      <c r="O754" s="247" t="s">
        <v>207</v>
      </c>
      <c r="P754" s="248">
        <v>28125</v>
      </c>
      <c r="Q754" s="245" t="s">
        <v>766</v>
      </c>
      <c r="R754" s="782" t="s">
        <v>7412</v>
      </c>
      <c r="S754" s="782" t="s">
        <v>7413</v>
      </c>
      <c r="T754" s="245">
        <v>4</v>
      </c>
      <c r="U754" s="249">
        <v>31000</v>
      </c>
      <c r="V754" s="250">
        <v>31000</v>
      </c>
      <c r="W754" s="244" t="s">
        <v>276</v>
      </c>
      <c r="X754" s="244" t="s">
        <v>276</v>
      </c>
      <c r="Y754" s="244" t="s">
        <v>276</v>
      </c>
      <c r="Z754" s="245" t="s">
        <v>1562</v>
      </c>
      <c r="AA754" s="244" t="s">
        <v>276</v>
      </c>
      <c r="AB754" s="245" t="s">
        <v>1562</v>
      </c>
      <c r="AC754" s="245" t="s">
        <v>7414</v>
      </c>
      <c r="AD754" s="245" t="s">
        <v>4658</v>
      </c>
      <c r="AE754" s="244">
        <v>97</v>
      </c>
      <c r="AF754" s="244">
        <v>137</v>
      </c>
      <c r="AG754" s="249">
        <v>31000</v>
      </c>
      <c r="AH754" s="249">
        <v>31000</v>
      </c>
      <c r="AI754" s="250" t="s">
        <v>281</v>
      </c>
      <c r="AJ754" s="330" t="s">
        <v>276</v>
      </c>
      <c r="AK754" s="252">
        <f t="shared" si="94"/>
        <v>3.129032258064516</v>
      </c>
      <c r="AL754" s="251" t="s">
        <v>276</v>
      </c>
      <c r="AM754" s="251" t="s">
        <v>276</v>
      </c>
      <c r="AN754" s="330" t="s">
        <v>276</v>
      </c>
      <c r="AO754" s="252">
        <f t="shared" si="95"/>
        <v>4.419354838709677</v>
      </c>
      <c r="AP754" s="251" t="s">
        <v>276</v>
      </c>
      <c r="AQ754" s="251" t="s">
        <v>276</v>
      </c>
      <c r="AR754" s="244" t="s">
        <v>268</v>
      </c>
      <c r="AS754" s="251" t="s">
        <v>276</v>
      </c>
      <c r="AT754" s="251">
        <f t="shared" si="93"/>
        <v>0.70802919708029199</v>
      </c>
      <c r="AU754" s="251" t="s">
        <v>276</v>
      </c>
      <c r="AV754" s="251" t="s">
        <v>276</v>
      </c>
      <c r="AW754" s="244" t="s">
        <v>844</v>
      </c>
      <c r="AX754" s="244" t="s">
        <v>282</v>
      </c>
      <c r="AY754" s="244" t="s">
        <v>98</v>
      </c>
      <c r="AZ754" s="244" t="s">
        <v>98</v>
      </c>
      <c r="BA754" s="244" t="s">
        <v>98</v>
      </c>
      <c r="BB754" s="244" t="s">
        <v>98</v>
      </c>
      <c r="BC754" s="245" t="s">
        <v>7415</v>
      </c>
      <c r="BD754" s="245" t="s">
        <v>7409</v>
      </c>
      <c r="BE754" s="79" t="s">
        <v>100</v>
      </c>
      <c r="BF754" s="79" t="s">
        <v>98</v>
      </c>
    </row>
    <row r="755" spans="1:58" s="263" customFormat="1" ht="65" x14ac:dyDescent="0.3">
      <c r="A755" s="254">
        <v>4870</v>
      </c>
      <c r="B755" s="254" t="s">
        <v>7397</v>
      </c>
      <c r="C755" s="254" t="s">
        <v>64</v>
      </c>
      <c r="D755" s="255" t="s">
        <v>7416</v>
      </c>
      <c r="E755" s="254" t="s">
        <v>35</v>
      </c>
      <c r="F755" s="255" t="s">
        <v>131</v>
      </c>
      <c r="G755" s="254" t="s">
        <v>225</v>
      </c>
      <c r="H755" s="254" t="s">
        <v>125</v>
      </c>
      <c r="I755" s="254" t="s">
        <v>114</v>
      </c>
      <c r="J755" s="255" t="s">
        <v>24</v>
      </c>
      <c r="K755" s="255" t="s">
        <v>276</v>
      </c>
      <c r="L755" s="255" t="s">
        <v>276</v>
      </c>
      <c r="M755" s="254" t="s">
        <v>15</v>
      </c>
      <c r="N755" s="256" t="s">
        <v>3032</v>
      </c>
      <c r="O755" s="257" t="s">
        <v>207</v>
      </c>
      <c r="P755" s="258">
        <v>28125</v>
      </c>
      <c r="Q755" s="255" t="s">
        <v>766</v>
      </c>
      <c r="R755" s="255" t="s">
        <v>276</v>
      </c>
      <c r="S755" s="255" t="s">
        <v>276</v>
      </c>
      <c r="T755" s="255">
        <v>4</v>
      </c>
      <c r="U755" s="259">
        <v>13740</v>
      </c>
      <c r="V755" s="260">
        <v>13740</v>
      </c>
      <c r="W755" s="254" t="s">
        <v>276</v>
      </c>
      <c r="X755" s="254" t="s">
        <v>276</v>
      </c>
      <c r="Y755" s="254" t="s">
        <v>276</v>
      </c>
      <c r="Z755" s="255" t="s">
        <v>1562</v>
      </c>
      <c r="AA755" s="254" t="s">
        <v>276</v>
      </c>
      <c r="AB755" s="255" t="s">
        <v>1562</v>
      </c>
      <c r="AC755" s="255" t="s">
        <v>7417</v>
      </c>
      <c r="AD755" s="255" t="s">
        <v>7418</v>
      </c>
      <c r="AE755" s="254">
        <v>42</v>
      </c>
      <c r="AF755" s="254">
        <v>52</v>
      </c>
      <c r="AG755" s="259">
        <v>13740</v>
      </c>
      <c r="AH755" s="260">
        <v>13740</v>
      </c>
      <c r="AI755" s="260" t="s">
        <v>281</v>
      </c>
      <c r="AJ755" s="331" t="s">
        <v>276</v>
      </c>
      <c r="AK755" s="262">
        <f t="shared" si="94"/>
        <v>3.0567685589519651</v>
      </c>
      <c r="AL755" s="261" t="s">
        <v>276</v>
      </c>
      <c r="AM755" s="261" t="s">
        <v>276</v>
      </c>
      <c r="AN755" s="331" t="s">
        <v>276</v>
      </c>
      <c r="AO755" s="262">
        <f t="shared" si="95"/>
        <v>3.7845705967976708</v>
      </c>
      <c r="AP755" s="261" t="s">
        <v>276</v>
      </c>
      <c r="AQ755" s="261" t="s">
        <v>276</v>
      </c>
      <c r="AR755" s="254" t="s">
        <v>268</v>
      </c>
      <c r="AS755" s="261" t="s">
        <v>276</v>
      </c>
      <c r="AT755" s="261">
        <f t="shared" si="93"/>
        <v>0.80769230769230771</v>
      </c>
      <c r="AU755" s="261" t="s">
        <v>276</v>
      </c>
      <c r="AV755" s="261" t="s">
        <v>276</v>
      </c>
      <c r="AW755" s="254" t="s">
        <v>276</v>
      </c>
      <c r="AX755" s="254" t="s">
        <v>282</v>
      </c>
      <c r="AY755" s="254" t="s">
        <v>98</v>
      </c>
      <c r="AZ755" s="254" t="s">
        <v>98</v>
      </c>
      <c r="BA755" s="254" t="s">
        <v>98</v>
      </c>
      <c r="BB755" s="254" t="s">
        <v>98</v>
      </c>
      <c r="BC755" s="255" t="s">
        <v>298</v>
      </c>
      <c r="BD755" s="255" t="s">
        <v>7409</v>
      </c>
      <c r="BE755" s="79" t="s">
        <v>100</v>
      </c>
      <c r="BF755" s="79" t="s">
        <v>98</v>
      </c>
    </row>
    <row r="756" spans="1:58" s="263" customFormat="1" ht="65" x14ac:dyDescent="0.3">
      <c r="A756" s="254">
        <v>4870</v>
      </c>
      <c r="B756" s="254" t="s">
        <v>7397</v>
      </c>
      <c r="C756" s="254" t="s">
        <v>64</v>
      </c>
      <c r="D756" s="255" t="s">
        <v>7419</v>
      </c>
      <c r="E756" s="254" t="s">
        <v>35</v>
      </c>
      <c r="F756" s="255" t="s">
        <v>131</v>
      </c>
      <c r="G756" s="254" t="s">
        <v>225</v>
      </c>
      <c r="H756" s="254" t="s">
        <v>125</v>
      </c>
      <c r="I756" s="254" t="s">
        <v>114</v>
      </c>
      <c r="J756" s="255" t="s">
        <v>24</v>
      </c>
      <c r="K756" s="255" t="s">
        <v>276</v>
      </c>
      <c r="L756" s="255" t="s">
        <v>276</v>
      </c>
      <c r="M756" s="254" t="s">
        <v>15</v>
      </c>
      <c r="N756" s="256" t="s">
        <v>3038</v>
      </c>
      <c r="O756" s="257" t="s">
        <v>207</v>
      </c>
      <c r="P756" s="258">
        <v>28125</v>
      </c>
      <c r="Q756" s="255" t="s">
        <v>766</v>
      </c>
      <c r="R756" s="255" t="s">
        <v>276</v>
      </c>
      <c r="S756" s="255" t="s">
        <v>276</v>
      </c>
      <c r="T756" s="255">
        <v>4</v>
      </c>
      <c r="U756" s="259">
        <v>12855</v>
      </c>
      <c r="V756" s="260">
        <v>12855</v>
      </c>
      <c r="W756" s="254" t="s">
        <v>276</v>
      </c>
      <c r="X756" s="254" t="s">
        <v>276</v>
      </c>
      <c r="Y756" s="254" t="s">
        <v>276</v>
      </c>
      <c r="Z756" s="255" t="s">
        <v>1562</v>
      </c>
      <c r="AA756" s="254" t="s">
        <v>276</v>
      </c>
      <c r="AB756" s="255" t="s">
        <v>1562</v>
      </c>
      <c r="AC756" s="255" t="s">
        <v>7420</v>
      </c>
      <c r="AD756" s="255" t="s">
        <v>7421</v>
      </c>
      <c r="AE756" s="254">
        <v>43</v>
      </c>
      <c r="AF756" s="254">
        <v>63</v>
      </c>
      <c r="AG756" s="259">
        <v>12855</v>
      </c>
      <c r="AH756" s="260">
        <v>12855</v>
      </c>
      <c r="AI756" s="260" t="s">
        <v>281</v>
      </c>
      <c r="AJ756" s="331" t="s">
        <v>276</v>
      </c>
      <c r="AK756" s="262">
        <f t="shared" si="94"/>
        <v>3.3450019447685726</v>
      </c>
      <c r="AL756" s="261" t="s">
        <v>276</v>
      </c>
      <c r="AM756" s="261" t="s">
        <v>276</v>
      </c>
      <c r="AN756" s="331" t="s">
        <v>276</v>
      </c>
      <c r="AO756" s="262">
        <f t="shared" si="95"/>
        <v>4.9008168028004668</v>
      </c>
      <c r="AP756" s="261" t="s">
        <v>276</v>
      </c>
      <c r="AQ756" s="261" t="s">
        <v>276</v>
      </c>
      <c r="AR756" s="254" t="s">
        <v>268</v>
      </c>
      <c r="AS756" s="261" t="s">
        <v>276</v>
      </c>
      <c r="AT756" s="261">
        <f t="shared" si="93"/>
        <v>0.68253968253968256</v>
      </c>
      <c r="AU756" s="261" t="s">
        <v>276</v>
      </c>
      <c r="AV756" s="261" t="s">
        <v>276</v>
      </c>
      <c r="AW756" s="254" t="s">
        <v>844</v>
      </c>
      <c r="AX756" s="254" t="s">
        <v>282</v>
      </c>
      <c r="AY756" s="254" t="s">
        <v>98</v>
      </c>
      <c r="AZ756" s="254" t="s">
        <v>98</v>
      </c>
      <c r="BA756" s="254" t="s">
        <v>98</v>
      </c>
      <c r="BB756" s="254" t="s">
        <v>98</v>
      </c>
      <c r="BC756" s="255" t="s">
        <v>7422</v>
      </c>
      <c r="BD756" s="255" t="s">
        <v>7409</v>
      </c>
      <c r="BE756" s="79" t="s">
        <v>100</v>
      </c>
      <c r="BF756" s="79" t="s">
        <v>98</v>
      </c>
    </row>
    <row r="757" spans="1:58" s="263" customFormat="1" ht="65" x14ac:dyDescent="0.3">
      <c r="A757" s="254">
        <v>4870</v>
      </c>
      <c r="B757" s="254" t="s">
        <v>7397</v>
      </c>
      <c r="C757" s="254" t="s">
        <v>64</v>
      </c>
      <c r="D757" s="255" t="s">
        <v>7423</v>
      </c>
      <c r="E757" s="254" t="s">
        <v>35</v>
      </c>
      <c r="F757" s="255" t="s">
        <v>131</v>
      </c>
      <c r="G757" s="254" t="s">
        <v>225</v>
      </c>
      <c r="H757" s="254" t="s">
        <v>125</v>
      </c>
      <c r="I757" s="254" t="s">
        <v>114</v>
      </c>
      <c r="J757" s="255" t="s">
        <v>24</v>
      </c>
      <c r="K757" s="255" t="s">
        <v>276</v>
      </c>
      <c r="L757" s="255" t="s">
        <v>276</v>
      </c>
      <c r="M757" s="254" t="s">
        <v>15</v>
      </c>
      <c r="N757" s="256" t="s">
        <v>3442</v>
      </c>
      <c r="O757" s="257" t="s">
        <v>207</v>
      </c>
      <c r="P757" s="258">
        <v>28125</v>
      </c>
      <c r="Q757" s="255" t="s">
        <v>766</v>
      </c>
      <c r="R757" s="255" t="s">
        <v>276</v>
      </c>
      <c r="S757" s="255" t="s">
        <v>276</v>
      </c>
      <c r="T757" s="255">
        <v>4</v>
      </c>
      <c r="U757" s="259">
        <v>3650</v>
      </c>
      <c r="V757" s="260">
        <v>3650</v>
      </c>
      <c r="W757" s="254" t="s">
        <v>276</v>
      </c>
      <c r="X757" s="254" t="s">
        <v>276</v>
      </c>
      <c r="Y757" s="254" t="s">
        <v>276</v>
      </c>
      <c r="Z757" s="255" t="s">
        <v>1562</v>
      </c>
      <c r="AA757" s="254" t="s">
        <v>276</v>
      </c>
      <c r="AB757" s="255" t="s">
        <v>1562</v>
      </c>
      <c r="AC757" s="255" t="s">
        <v>7424</v>
      </c>
      <c r="AD757" s="255" t="s">
        <v>7425</v>
      </c>
      <c r="AE757" s="254">
        <v>12</v>
      </c>
      <c r="AF757" s="254">
        <v>22</v>
      </c>
      <c r="AG757" s="259">
        <v>3650</v>
      </c>
      <c r="AH757" s="260">
        <v>3650</v>
      </c>
      <c r="AI757" s="260" t="s">
        <v>281</v>
      </c>
      <c r="AJ757" s="331" t="s">
        <v>276</v>
      </c>
      <c r="AK757" s="262">
        <f t="shared" si="94"/>
        <v>3.2876712328767121</v>
      </c>
      <c r="AL757" s="261" t="s">
        <v>276</v>
      </c>
      <c r="AM757" s="261" t="s">
        <v>276</v>
      </c>
      <c r="AN757" s="331" t="s">
        <v>276</v>
      </c>
      <c r="AO757" s="262">
        <f t="shared" si="95"/>
        <v>6.0273972602739727</v>
      </c>
      <c r="AP757" s="261" t="s">
        <v>276</v>
      </c>
      <c r="AQ757" s="261" t="s">
        <v>276</v>
      </c>
      <c r="AR757" s="254" t="s">
        <v>268</v>
      </c>
      <c r="AS757" s="261" t="s">
        <v>276</v>
      </c>
      <c r="AT757" s="261">
        <f t="shared" si="93"/>
        <v>0.54545454545454541</v>
      </c>
      <c r="AU757" s="261" t="s">
        <v>276</v>
      </c>
      <c r="AV757" s="261" t="s">
        <v>276</v>
      </c>
      <c r="AW757" s="254">
        <v>0.1</v>
      </c>
      <c r="AX757" s="254" t="s">
        <v>282</v>
      </c>
      <c r="AY757" s="254" t="s">
        <v>98</v>
      </c>
      <c r="AZ757" s="254" t="s">
        <v>98</v>
      </c>
      <c r="BA757" s="254" t="s">
        <v>98</v>
      </c>
      <c r="BB757" s="254" t="s">
        <v>98</v>
      </c>
      <c r="BC757" s="255" t="s">
        <v>7426</v>
      </c>
      <c r="BD757" s="255" t="s">
        <v>7409</v>
      </c>
      <c r="BE757" s="79" t="s">
        <v>100</v>
      </c>
      <c r="BF757" s="79" t="s">
        <v>98</v>
      </c>
    </row>
    <row r="758" spans="1:58" s="7" customFormat="1" ht="130" x14ac:dyDescent="0.3">
      <c r="A758" s="8">
        <v>3896</v>
      </c>
      <c r="B758" s="8" t="s">
        <v>7427</v>
      </c>
      <c r="C758" s="8" t="s">
        <v>64</v>
      </c>
      <c r="D758" s="9" t="s">
        <v>7428</v>
      </c>
      <c r="E758" s="8" t="s">
        <v>35</v>
      </c>
      <c r="F758" s="9" t="s">
        <v>131</v>
      </c>
      <c r="G758" s="8" t="s">
        <v>225</v>
      </c>
      <c r="H758" s="8" t="s">
        <v>125</v>
      </c>
      <c r="I758" s="8" t="s">
        <v>114</v>
      </c>
      <c r="J758" s="9" t="s">
        <v>24</v>
      </c>
      <c r="K758" s="9" t="s">
        <v>7429</v>
      </c>
      <c r="L758" s="9" t="s">
        <v>276</v>
      </c>
      <c r="M758" s="8" t="s">
        <v>14</v>
      </c>
      <c r="N758" s="11" t="s">
        <v>98</v>
      </c>
      <c r="O758" s="12" t="s">
        <v>207</v>
      </c>
      <c r="P758" s="41" t="s">
        <v>98</v>
      </c>
      <c r="Q758" s="9" t="s">
        <v>741</v>
      </c>
      <c r="R758" s="91" t="s">
        <v>7368</v>
      </c>
      <c r="S758" s="91" t="s">
        <v>7369</v>
      </c>
      <c r="T758" s="9">
        <v>4</v>
      </c>
      <c r="U758" s="13">
        <v>31000</v>
      </c>
      <c r="V758" s="38">
        <v>31000</v>
      </c>
      <c r="W758" s="8" t="s">
        <v>276</v>
      </c>
      <c r="X758" s="8" t="s">
        <v>276</v>
      </c>
      <c r="Y758" s="8">
        <v>0</v>
      </c>
      <c r="Z758" s="9" t="s">
        <v>1562</v>
      </c>
      <c r="AA758" s="8">
        <v>0</v>
      </c>
      <c r="AB758" s="9" t="s">
        <v>1562</v>
      </c>
      <c r="AC758" s="9" t="s">
        <v>7407</v>
      </c>
      <c r="AD758" s="9" t="s">
        <v>4658</v>
      </c>
      <c r="AE758" s="8">
        <v>71</v>
      </c>
      <c r="AF758" s="8">
        <v>106</v>
      </c>
      <c r="AG758" s="13">
        <v>31000</v>
      </c>
      <c r="AH758" s="13">
        <v>31000</v>
      </c>
      <c r="AI758" s="38" t="s">
        <v>281</v>
      </c>
      <c r="AJ758" s="43" t="s">
        <v>276</v>
      </c>
      <c r="AK758" s="31">
        <f t="shared" si="94"/>
        <v>2.2903225806451615</v>
      </c>
      <c r="AL758" s="14" t="s">
        <v>276</v>
      </c>
      <c r="AM758" s="14" t="s">
        <v>276</v>
      </c>
      <c r="AN758" s="43" t="s">
        <v>276</v>
      </c>
      <c r="AO758" s="31">
        <f t="shared" si="95"/>
        <v>3.4193548387096775</v>
      </c>
      <c r="AP758" s="14" t="s">
        <v>276</v>
      </c>
      <c r="AQ758" s="14" t="s">
        <v>276</v>
      </c>
      <c r="AR758" s="8" t="s">
        <v>268</v>
      </c>
      <c r="AS758" s="14">
        <f>1-0.33</f>
        <v>0.66999999999999993</v>
      </c>
      <c r="AT758" s="14">
        <f t="shared" si="93"/>
        <v>0.66981132075471705</v>
      </c>
      <c r="AU758" s="14" t="s">
        <v>276</v>
      </c>
      <c r="AV758" s="14" t="s">
        <v>276</v>
      </c>
      <c r="AW758" s="8" t="s">
        <v>7430</v>
      </c>
      <c r="AX758" s="8" t="s">
        <v>282</v>
      </c>
      <c r="AY758" s="8" t="s">
        <v>98</v>
      </c>
      <c r="AZ758" s="8" t="s">
        <v>98</v>
      </c>
      <c r="BA758" s="8" t="s">
        <v>98</v>
      </c>
      <c r="BB758" s="8" t="s">
        <v>98</v>
      </c>
      <c r="BC758" s="9" t="s">
        <v>298</v>
      </c>
      <c r="BD758" s="9" t="s">
        <v>7431</v>
      </c>
      <c r="BE758" s="79" t="s">
        <v>100</v>
      </c>
      <c r="BF758" s="79" t="s">
        <v>98</v>
      </c>
    </row>
    <row r="759" spans="1:58" s="7" customFormat="1" ht="130" x14ac:dyDescent="0.3">
      <c r="A759" s="8">
        <v>3896</v>
      </c>
      <c r="B759" s="8" t="s">
        <v>7427</v>
      </c>
      <c r="C759" s="8" t="s">
        <v>64</v>
      </c>
      <c r="D759" s="9" t="s">
        <v>7432</v>
      </c>
      <c r="E759" s="8" t="s">
        <v>35</v>
      </c>
      <c r="F759" s="9" t="s">
        <v>131</v>
      </c>
      <c r="G759" s="8" t="s">
        <v>225</v>
      </c>
      <c r="H759" s="8" t="s">
        <v>125</v>
      </c>
      <c r="I759" s="8" t="s">
        <v>114</v>
      </c>
      <c r="J759" s="9" t="s">
        <v>24</v>
      </c>
      <c r="K759" s="9" t="s">
        <v>7433</v>
      </c>
      <c r="L759" s="9" t="s">
        <v>276</v>
      </c>
      <c r="M759" s="8" t="s">
        <v>14</v>
      </c>
      <c r="N759" s="11" t="s">
        <v>98</v>
      </c>
      <c r="O759" s="12" t="s">
        <v>207</v>
      </c>
      <c r="P759" s="41" t="s">
        <v>98</v>
      </c>
      <c r="Q759" s="9" t="s">
        <v>766</v>
      </c>
      <c r="R759" s="91" t="s">
        <v>7412</v>
      </c>
      <c r="S759" s="91" t="s">
        <v>7413</v>
      </c>
      <c r="T759" s="9">
        <v>4</v>
      </c>
      <c r="U759" s="13">
        <v>31000</v>
      </c>
      <c r="V759" s="38">
        <v>31000</v>
      </c>
      <c r="W759" s="8" t="s">
        <v>276</v>
      </c>
      <c r="X759" s="8" t="s">
        <v>276</v>
      </c>
      <c r="Y759" s="8">
        <v>0</v>
      </c>
      <c r="Z759" s="9" t="s">
        <v>1562</v>
      </c>
      <c r="AA759" s="8">
        <v>0</v>
      </c>
      <c r="AB759" s="9" t="s">
        <v>1562</v>
      </c>
      <c r="AC759" s="9" t="s">
        <v>7414</v>
      </c>
      <c r="AD759" s="9" t="s">
        <v>4658</v>
      </c>
      <c r="AE759" s="8">
        <v>95</v>
      </c>
      <c r="AF759" s="8">
        <v>133</v>
      </c>
      <c r="AG759" s="13">
        <v>31000</v>
      </c>
      <c r="AH759" s="13">
        <v>31000</v>
      </c>
      <c r="AI759" s="38" t="s">
        <v>281</v>
      </c>
      <c r="AJ759" s="43" t="s">
        <v>276</v>
      </c>
      <c r="AK759" s="31">
        <f t="shared" si="94"/>
        <v>3.064516129032258</v>
      </c>
      <c r="AL759" s="14" t="s">
        <v>276</v>
      </c>
      <c r="AM759" s="14" t="s">
        <v>276</v>
      </c>
      <c r="AN759" s="43" t="s">
        <v>276</v>
      </c>
      <c r="AO759" s="31">
        <f t="shared" si="95"/>
        <v>4.290322580645161</v>
      </c>
      <c r="AP759" s="14" t="s">
        <v>276</v>
      </c>
      <c r="AQ759" s="14" t="s">
        <v>276</v>
      </c>
      <c r="AR759" s="8" t="s">
        <v>268</v>
      </c>
      <c r="AS759" s="14">
        <f>1-0.286</f>
        <v>0.71399999999999997</v>
      </c>
      <c r="AT759" s="14">
        <f t="shared" si="93"/>
        <v>0.7142857142857143</v>
      </c>
      <c r="AU759" s="14" t="s">
        <v>276</v>
      </c>
      <c r="AV759" s="14" t="s">
        <v>276</v>
      </c>
      <c r="AW759" s="8" t="s">
        <v>844</v>
      </c>
      <c r="AX759" s="8" t="s">
        <v>282</v>
      </c>
      <c r="AY759" s="8" t="s">
        <v>98</v>
      </c>
      <c r="AZ759" s="8" t="s">
        <v>98</v>
      </c>
      <c r="BA759" s="8" t="s">
        <v>98</v>
      </c>
      <c r="BB759" s="8" t="s">
        <v>98</v>
      </c>
      <c r="BC759" s="9" t="s">
        <v>298</v>
      </c>
      <c r="BD759" s="9" t="s">
        <v>7431</v>
      </c>
      <c r="BE759" s="79" t="s">
        <v>100</v>
      </c>
      <c r="BF759" s="79" t="s">
        <v>98</v>
      </c>
    </row>
    <row r="760" spans="1:58" s="7" customFormat="1" ht="130" x14ac:dyDescent="0.3">
      <c r="A760" s="8">
        <v>3896</v>
      </c>
      <c r="B760" s="8" t="s">
        <v>7427</v>
      </c>
      <c r="C760" s="8" t="s">
        <v>64</v>
      </c>
      <c r="D760" s="9" t="s">
        <v>7434</v>
      </c>
      <c r="E760" s="8" t="s">
        <v>35</v>
      </c>
      <c r="F760" s="9" t="s">
        <v>131</v>
      </c>
      <c r="G760" s="8" t="s">
        <v>225</v>
      </c>
      <c r="H760" s="8" t="s">
        <v>125</v>
      </c>
      <c r="I760" s="8" t="s">
        <v>114</v>
      </c>
      <c r="J760" s="9" t="s">
        <v>24</v>
      </c>
      <c r="K760" s="9" t="s">
        <v>7429</v>
      </c>
      <c r="L760" s="9" t="s">
        <v>276</v>
      </c>
      <c r="M760" s="8" t="s">
        <v>14</v>
      </c>
      <c r="N760" s="11" t="s">
        <v>98</v>
      </c>
      <c r="O760" s="12" t="s">
        <v>207</v>
      </c>
      <c r="P760" s="41">
        <v>29586</v>
      </c>
      <c r="Q760" s="9" t="s">
        <v>779</v>
      </c>
      <c r="R760" s="9" t="s">
        <v>276</v>
      </c>
      <c r="S760" s="9" t="s">
        <v>276</v>
      </c>
      <c r="T760" s="9">
        <v>4</v>
      </c>
      <c r="U760" s="13">
        <v>31000</v>
      </c>
      <c r="V760" s="38">
        <v>31000</v>
      </c>
      <c r="W760" s="8" t="s">
        <v>276</v>
      </c>
      <c r="X760" s="8" t="s">
        <v>276</v>
      </c>
      <c r="Y760" s="8">
        <v>0</v>
      </c>
      <c r="Z760" s="9" t="s">
        <v>1562</v>
      </c>
      <c r="AA760" s="8">
        <v>0</v>
      </c>
      <c r="AB760" s="9" t="s">
        <v>1562</v>
      </c>
      <c r="AC760" s="9" t="s">
        <v>7435</v>
      </c>
      <c r="AD760" s="9" t="s">
        <v>4658</v>
      </c>
      <c r="AE760" s="8">
        <v>118</v>
      </c>
      <c r="AF760" s="8">
        <v>153</v>
      </c>
      <c r="AG760" s="13">
        <v>31000</v>
      </c>
      <c r="AH760" s="13">
        <v>31000</v>
      </c>
      <c r="AI760" s="38" t="s">
        <v>281</v>
      </c>
      <c r="AJ760" s="43" t="s">
        <v>276</v>
      </c>
      <c r="AK760" s="31">
        <f t="shared" si="94"/>
        <v>3.806451612903226</v>
      </c>
      <c r="AL760" s="14" t="s">
        <v>276</v>
      </c>
      <c r="AM760" s="14" t="s">
        <v>276</v>
      </c>
      <c r="AN760" s="43" t="s">
        <v>276</v>
      </c>
      <c r="AO760" s="31">
        <f t="shared" si="95"/>
        <v>4.935483870967742</v>
      </c>
      <c r="AP760" s="14" t="s">
        <v>276</v>
      </c>
      <c r="AQ760" s="14" t="s">
        <v>276</v>
      </c>
      <c r="AR760" s="8" t="s">
        <v>268</v>
      </c>
      <c r="AS760" s="14">
        <f>1-0.229</f>
        <v>0.77100000000000002</v>
      </c>
      <c r="AT760" s="14">
        <f t="shared" si="93"/>
        <v>0.77124183006535951</v>
      </c>
      <c r="AU760" s="14" t="s">
        <v>276</v>
      </c>
      <c r="AV760" s="14" t="s">
        <v>276</v>
      </c>
      <c r="AW760" s="8" t="s">
        <v>844</v>
      </c>
      <c r="AX760" s="8" t="s">
        <v>282</v>
      </c>
      <c r="AY760" s="8" t="s">
        <v>98</v>
      </c>
      <c r="AZ760" s="8" t="s">
        <v>98</v>
      </c>
      <c r="BA760" s="8" t="s">
        <v>98</v>
      </c>
      <c r="BB760" s="8" t="s">
        <v>98</v>
      </c>
      <c r="BC760" s="9" t="s">
        <v>298</v>
      </c>
      <c r="BD760" s="9" t="s">
        <v>7431</v>
      </c>
      <c r="BE760" s="79" t="s">
        <v>100</v>
      </c>
      <c r="BF760" s="79" t="s">
        <v>98</v>
      </c>
    </row>
    <row r="761" spans="1:58" s="87" customFormat="1" ht="130" x14ac:dyDescent="0.3">
      <c r="A761" s="72">
        <v>3896</v>
      </c>
      <c r="B761" s="72" t="s">
        <v>7427</v>
      </c>
      <c r="C761" s="72" t="s">
        <v>64</v>
      </c>
      <c r="D761" s="73" t="s">
        <v>7436</v>
      </c>
      <c r="E761" s="72" t="s">
        <v>35</v>
      </c>
      <c r="F761" s="73" t="s">
        <v>131</v>
      </c>
      <c r="G761" s="72" t="s">
        <v>225</v>
      </c>
      <c r="H761" s="72" t="s">
        <v>125</v>
      </c>
      <c r="I761" s="72" t="s">
        <v>114</v>
      </c>
      <c r="J761" s="73" t="s">
        <v>24</v>
      </c>
      <c r="K761" s="73" t="s">
        <v>7429</v>
      </c>
      <c r="L761" s="73" t="s">
        <v>276</v>
      </c>
      <c r="M761" s="72" t="s">
        <v>14</v>
      </c>
      <c r="N761" s="84" t="s">
        <v>98</v>
      </c>
      <c r="O761" s="85" t="s">
        <v>207</v>
      </c>
      <c r="P761" s="88" t="s">
        <v>98</v>
      </c>
      <c r="Q761" s="73" t="s">
        <v>741</v>
      </c>
      <c r="R761" s="439" t="s">
        <v>7368</v>
      </c>
      <c r="S761" s="439" t="s">
        <v>7369</v>
      </c>
      <c r="T761" s="73">
        <v>4</v>
      </c>
      <c r="U761" s="74">
        <v>31000</v>
      </c>
      <c r="V761" s="75">
        <v>31000</v>
      </c>
      <c r="W761" s="72" t="s">
        <v>276</v>
      </c>
      <c r="X761" s="72" t="s">
        <v>276</v>
      </c>
      <c r="Y761" s="72">
        <v>0</v>
      </c>
      <c r="Z761" s="73" t="s">
        <v>1562</v>
      </c>
      <c r="AA761" s="72">
        <v>0</v>
      </c>
      <c r="AB761" s="73" t="s">
        <v>1562</v>
      </c>
      <c r="AC761" s="73" t="s">
        <v>7437</v>
      </c>
      <c r="AD761" s="73" t="s">
        <v>4658</v>
      </c>
      <c r="AE761" s="72">
        <v>81</v>
      </c>
      <c r="AF761" s="72">
        <v>124</v>
      </c>
      <c r="AG761" s="74">
        <v>31000</v>
      </c>
      <c r="AH761" s="74">
        <v>31000</v>
      </c>
      <c r="AI761" s="75" t="s">
        <v>281</v>
      </c>
      <c r="AJ761" s="93" t="s">
        <v>276</v>
      </c>
      <c r="AK761" s="86">
        <f t="shared" si="94"/>
        <v>2.6129032258064515</v>
      </c>
      <c r="AL761" s="76" t="s">
        <v>276</v>
      </c>
      <c r="AM761" s="76" t="s">
        <v>276</v>
      </c>
      <c r="AN761" s="93" t="s">
        <v>276</v>
      </c>
      <c r="AO761" s="86">
        <f t="shared" si="95"/>
        <v>4</v>
      </c>
      <c r="AP761" s="76" t="s">
        <v>276</v>
      </c>
      <c r="AQ761" s="76" t="s">
        <v>276</v>
      </c>
      <c r="AR761" s="72" t="s">
        <v>268</v>
      </c>
      <c r="AS761" s="76">
        <f>1-0.347</f>
        <v>0.65300000000000002</v>
      </c>
      <c r="AT761" s="76">
        <f t="shared" si="93"/>
        <v>0.65322580645161288</v>
      </c>
      <c r="AU761" s="76" t="s">
        <v>276</v>
      </c>
      <c r="AV761" s="76" t="s">
        <v>276</v>
      </c>
      <c r="AW761" s="72" t="s">
        <v>7430</v>
      </c>
      <c r="AX761" s="72" t="s">
        <v>282</v>
      </c>
      <c r="AY761" s="72" t="s">
        <v>98</v>
      </c>
      <c r="AZ761" s="72" t="s">
        <v>98</v>
      </c>
      <c r="BA761" s="72" t="s">
        <v>98</v>
      </c>
      <c r="BB761" s="72" t="s">
        <v>98</v>
      </c>
      <c r="BC761" s="73" t="s">
        <v>298</v>
      </c>
      <c r="BD761" s="73" t="s">
        <v>7431</v>
      </c>
      <c r="BE761" s="79" t="s">
        <v>100</v>
      </c>
      <c r="BF761" s="79" t="s">
        <v>98</v>
      </c>
    </row>
    <row r="762" spans="1:58" s="87" customFormat="1" ht="130" x14ac:dyDescent="0.3">
      <c r="A762" s="72">
        <v>3896</v>
      </c>
      <c r="B762" s="72" t="s">
        <v>7427</v>
      </c>
      <c r="C762" s="72" t="s">
        <v>64</v>
      </c>
      <c r="D762" s="73" t="s">
        <v>7438</v>
      </c>
      <c r="E762" s="72" t="s">
        <v>35</v>
      </c>
      <c r="F762" s="73" t="s">
        <v>131</v>
      </c>
      <c r="G762" s="72" t="s">
        <v>225</v>
      </c>
      <c r="H762" s="72" t="s">
        <v>125</v>
      </c>
      <c r="I762" s="72" t="s">
        <v>114</v>
      </c>
      <c r="J762" s="73" t="s">
        <v>24</v>
      </c>
      <c r="K762" s="73" t="s">
        <v>7429</v>
      </c>
      <c r="L762" s="73" t="s">
        <v>276</v>
      </c>
      <c r="M762" s="72" t="s">
        <v>14</v>
      </c>
      <c r="N762" s="84" t="s">
        <v>98</v>
      </c>
      <c r="O762" s="85" t="s">
        <v>207</v>
      </c>
      <c r="P762" s="88" t="s">
        <v>98</v>
      </c>
      <c r="Q762" s="73" t="s">
        <v>766</v>
      </c>
      <c r="R762" s="439" t="s">
        <v>7412</v>
      </c>
      <c r="S762" s="439" t="s">
        <v>7413</v>
      </c>
      <c r="T762" s="73">
        <v>4</v>
      </c>
      <c r="U762" s="74">
        <v>31000</v>
      </c>
      <c r="V762" s="75">
        <v>31000</v>
      </c>
      <c r="W762" s="72" t="s">
        <v>276</v>
      </c>
      <c r="X762" s="72" t="s">
        <v>276</v>
      </c>
      <c r="Y762" s="72">
        <v>0</v>
      </c>
      <c r="Z762" s="73" t="s">
        <v>1562</v>
      </c>
      <c r="AA762" s="72">
        <v>0</v>
      </c>
      <c r="AB762" s="73" t="s">
        <v>1562</v>
      </c>
      <c r="AC762" s="73" t="s">
        <v>7439</v>
      </c>
      <c r="AD762" s="73" t="s">
        <v>4658</v>
      </c>
      <c r="AE762" s="72">
        <v>123</v>
      </c>
      <c r="AF762" s="72">
        <v>174</v>
      </c>
      <c r="AG762" s="74">
        <v>31000</v>
      </c>
      <c r="AH762" s="74">
        <v>31000</v>
      </c>
      <c r="AI762" s="75" t="s">
        <v>281</v>
      </c>
      <c r="AJ762" s="93" t="s">
        <v>276</v>
      </c>
      <c r="AK762" s="86">
        <f t="shared" si="94"/>
        <v>3.967741935483871</v>
      </c>
      <c r="AL762" s="76" t="s">
        <v>276</v>
      </c>
      <c r="AM762" s="76" t="s">
        <v>276</v>
      </c>
      <c r="AN762" s="93" t="s">
        <v>276</v>
      </c>
      <c r="AO762" s="86">
        <f t="shared" si="95"/>
        <v>5.612903225806452</v>
      </c>
      <c r="AP762" s="76" t="s">
        <v>276</v>
      </c>
      <c r="AQ762" s="76" t="s">
        <v>276</v>
      </c>
      <c r="AR762" s="72" t="s">
        <v>268</v>
      </c>
      <c r="AS762" s="76">
        <f>1-0.293</f>
        <v>0.70700000000000007</v>
      </c>
      <c r="AT762" s="76">
        <f t="shared" si="93"/>
        <v>0.7068965517241379</v>
      </c>
      <c r="AU762" s="76" t="s">
        <v>276</v>
      </c>
      <c r="AV762" s="76" t="s">
        <v>276</v>
      </c>
      <c r="AW762" s="72" t="s">
        <v>7430</v>
      </c>
      <c r="AX762" s="72" t="s">
        <v>282</v>
      </c>
      <c r="AY762" s="72" t="s">
        <v>98</v>
      </c>
      <c r="AZ762" s="72" t="s">
        <v>98</v>
      </c>
      <c r="BA762" s="72" t="s">
        <v>98</v>
      </c>
      <c r="BB762" s="72" t="s">
        <v>98</v>
      </c>
      <c r="BC762" s="73" t="s">
        <v>298</v>
      </c>
      <c r="BD762" s="73" t="s">
        <v>7431</v>
      </c>
      <c r="BE762" s="79" t="s">
        <v>100</v>
      </c>
      <c r="BF762" s="79" t="s">
        <v>98</v>
      </c>
    </row>
    <row r="763" spans="1:58" s="87" customFormat="1" ht="130" x14ac:dyDescent="0.3">
      <c r="A763" s="72">
        <v>3896</v>
      </c>
      <c r="B763" s="72" t="s">
        <v>7427</v>
      </c>
      <c r="C763" s="72" t="s">
        <v>64</v>
      </c>
      <c r="D763" s="73" t="s">
        <v>7440</v>
      </c>
      <c r="E763" s="72" t="s">
        <v>35</v>
      </c>
      <c r="F763" s="73" t="s">
        <v>131</v>
      </c>
      <c r="G763" s="72" t="s">
        <v>225</v>
      </c>
      <c r="H763" s="72" t="s">
        <v>125</v>
      </c>
      <c r="I763" s="72" t="s">
        <v>114</v>
      </c>
      <c r="J763" s="73" t="s">
        <v>24</v>
      </c>
      <c r="K763" s="73" t="s">
        <v>7429</v>
      </c>
      <c r="L763" s="73" t="s">
        <v>276</v>
      </c>
      <c r="M763" s="72" t="s">
        <v>14</v>
      </c>
      <c r="N763" s="84" t="s">
        <v>98</v>
      </c>
      <c r="O763" s="85" t="s">
        <v>207</v>
      </c>
      <c r="P763" s="88">
        <v>29586</v>
      </c>
      <c r="Q763" s="73" t="s">
        <v>779</v>
      </c>
      <c r="R763" s="73" t="s">
        <v>276</v>
      </c>
      <c r="S763" s="73" t="s">
        <v>276</v>
      </c>
      <c r="T763" s="73">
        <v>4</v>
      </c>
      <c r="U763" s="74">
        <v>31000</v>
      </c>
      <c r="V763" s="75">
        <v>31000</v>
      </c>
      <c r="W763" s="72" t="s">
        <v>276</v>
      </c>
      <c r="X763" s="72" t="s">
        <v>276</v>
      </c>
      <c r="Y763" s="72">
        <v>0</v>
      </c>
      <c r="Z763" s="73" t="s">
        <v>1562</v>
      </c>
      <c r="AA763" s="72">
        <v>0</v>
      </c>
      <c r="AB763" s="73" t="s">
        <v>1562</v>
      </c>
      <c r="AC763" s="73" t="s">
        <v>7441</v>
      </c>
      <c r="AD763" s="73" t="s">
        <v>4658</v>
      </c>
      <c r="AE763" s="72">
        <v>165</v>
      </c>
      <c r="AF763" s="72">
        <v>212</v>
      </c>
      <c r="AG763" s="74">
        <v>31000</v>
      </c>
      <c r="AH763" s="74">
        <v>31000</v>
      </c>
      <c r="AI763" s="75" t="s">
        <v>281</v>
      </c>
      <c r="AJ763" s="93" t="s">
        <v>276</v>
      </c>
      <c r="AK763" s="86">
        <f t="shared" si="94"/>
        <v>5.32258064516129</v>
      </c>
      <c r="AL763" s="76" t="s">
        <v>276</v>
      </c>
      <c r="AM763" s="76" t="s">
        <v>276</v>
      </c>
      <c r="AN763" s="93" t="s">
        <v>276</v>
      </c>
      <c r="AO763" s="86">
        <f t="shared" si="95"/>
        <v>6.838709677419355</v>
      </c>
      <c r="AP763" s="76" t="s">
        <v>276</v>
      </c>
      <c r="AQ763" s="76" t="s">
        <v>276</v>
      </c>
      <c r="AR763" s="72" t="s">
        <v>268</v>
      </c>
      <c r="AS763" s="76">
        <f>1-0.222</f>
        <v>0.77800000000000002</v>
      </c>
      <c r="AT763" s="76">
        <f t="shared" si="93"/>
        <v>0.77830188679245282</v>
      </c>
      <c r="AU763" s="76" t="s">
        <v>276</v>
      </c>
      <c r="AV763" s="76" t="s">
        <v>276</v>
      </c>
      <c r="AW763" s="72" t="s">
        <v>844</v>
      </c>
      <c r="AX763" s="72" t="s">
        <v>282</v>
      </c>
      <c r="AY763" s="72" t="s">
        <v>98</v>
      </c>
      <c r="AZ763" s="72" t="s">
        <v>98</v>
      </c>
      <c r="BA763" s="72" t="s">
        <v>98</v>
      </c>
      <c r="BB763" s="72" t="s">
        <v>98</v>
      </c>
      <c r="BC763" s="73" t="s">
        <v>298</v>
      </c>
      <c r="BD763" s="73" t="s">
        <v>7431</v>
      </c>
      <c r="BE763" s="79" t="s">
        <v>100</v>
      </c>
      <c r="BF763" s="79" t="s">
        <v>98</v>
      </c>
    </row>
    <row r="764" spans="1:58" s="7" customFormat="1" ht="130" x14ac:dyDescent="0.3">
      <c r="A764" s="8">
        <v>3896</v>
      </c>
      <c r="B764" s="8" t="s">
        <v>7427</v>
      </c>
      <c r="C764" s="8" t="s">
        <v>64</v>
      </c>
      <c r="D764" s="9" t="s">
        <v>7442</v>
      </c>
      <c r="E764" s="8" t="s">
        <v>35</v>
      </c>
      <c r="F764" s="9" t="s">
        <v>131</v>
      </c>
      <c r="G764" s="8" t="s">
        <v>225</v>
      </c>
      <c r="H764" s="8" t="s">
        <v>125</v>
      </c>
      <c r="I764" s="8" t="s">
        <v>114</v>
      </c>
      <c r="J764" s="9" t="s">
        <v>24</v>
      </c>
      <c r="K764" s="9" t="s">
        <v>7429</v>
      </c>
      <c r="L764" s="9" t="s">
        <v>276</v>
      </c>
      <c r="M764" s="8" t="s">
        <v>14</v>
      </c>
      <c r="N764" s="11" t="s">
        <v>98</v>
      </c>
      <c r="O764" s="12" t="s">
        <v>207</v>
      </c>
      <c r="P764" s="41" t="s">
        <v>98</v>
      </c>
      <c r="Q764" s="9" t="s">
        <v>766</v>
      </c>
      <c r="R764" s="91" t="s">
        <v>7412</v>
      </c>
      <c r="S764" s="91" t="s">
        <v>7413</v>
      </c>
      <c r="T764" s="9">
        <v>4</v>
      </c>
      <c r="U764" s="13">
        <v>31000</v>
      </c>
      <c r="V764" s="38">
        <v>31000</v>
      </c>
      <c r="W764" s="8" t="s">
        <v>276</v>
      </c>
      <c r="X764" s="8" t="s">
        <v>276</v>
      </c>
      <c r="Y764" s="8">
        <v>0</v>
      </c>
      <c r="Z764" s="9" t="s">
        <v>1562</v>
      </c>
      <c r="AA764" s="8">
        <v>0</v>
      </c>
      <c r="AB764" s="9" t="s">
        <v>1562</v>
      </c>
      <c r="AC764" s="9" t="s">
        <v>7443</v>
      </c>
      <c r="AD764" s="9" t="s">
        <v>4658</v>
      </c>
      <c r="AE764" s="8">
        <v>146</v>
      </c>
      <c r="AF764" s="8">
        <v>192</v>
      </c>
      <c r="AG764" s="13">
        <v>31000</v>
      </c>
      <c r="AH764" s="13">
        <v>31000</v>
      </c>
      <c r="AI764" s="38" t="s">
        <v>281</v>
      </c>
      <c r="AJ764" s="43" t="s">
        <v>276</v>
      </c>
      <c r="AK764" s="31">
        <f t="shared" si="94"/>
        <v>4.709677419354839</v>
      </c>
      <c r="AL764" s="14" t="s">
        <v>276</v>
      </c>
      <c r="AM764" s="14" t="s">
        <v>276</v>
      </c>
      <c r="AN764" s="43" t="s">
        <v>276</v>
      </c>
      <c r="AO764" s="31">
        <f t="shared" si="95"/>
        <v>6.193548387096774</v>
      </c>
      <c r="AP764" s="14" t="s">
        <v>276</v>
      </c>
      <c r="AQ764" s="14" t="s">
        <v>276</v>
      </c>
      <c r="AR764" s="8" t="s">
        <v>268</v>
      </c>
      <c r="AS764" s="14">
        <f>1-0.24</f>
        <v>0.76</v>
      </c>
      <c r="AT764" s="14">
        <f t="shared" si="93"/>
        <v>0.76041666666666674</v>
      </c>
      <c r="AU764" s="14" t="s">
        <v>276</v>
      </c>
      <c r="AV764" s="14" t="s">
        <v>276</v>
      </c>
      <c r="AW764" s="8" t="s">
        <v>844</v>
      </c>
      <c r="AX764" s="8" t="s">
        <v>282</v>
      </c>
      <c r="AY764" s="8" t="s">
        <v>98</v>
      </c>
      <c r="AZ764" s="8" t="s">
        <v>98</v>
      </c>
      <c r="BA764" s="8" t="s">
        <v>98</v>
      </c>
      <c r="BB764" s="8" t="s">
        <v>98</v>
      </c>
      <c r="BC764" s="9" t="s">
        <v>298</v>
      </c>
      <c r="BD764" s="9" t="s">
        <v>7431</v>
      </c>
      <c r="BE764" s="79" t="s">
        <v>100</v>
      </c>
      <c r="BF764" s="79" t="s">
        <v>98</v>
      </c>
    </row>
    <row r="765" spans="1:58" s="7" customFormat="1" ht="130" x14ac:dyDescent="0.3">
      <c r="A765" s="8">
        <v>3896</v>
      </c>
      <c r="B765" s="8" t="s">
        <v>7427</v>
      </c>
      <c r="C765" s="8" t="s">
        <v>64</v>
      </c>
      <c r="D765" s="9" t="s">
        <v>7444</v>
      </c>
      <c r="E765" s="8" t="s">
        <v>35</v>
      </c>
      <c r="F765" s="9" t="s">
        <v>131</v>
      </c>
      <c r="G765" s="8" t="s">
        <v>225</v>
      </c>
      <c r="H765" s="8" t="s">
        <v>125</v>
      </c>
      <c r="I765" s="8" t="s">
        <v>114</v>
      </c>
      <c r="J765" s="9" t="s">
        <v>24</v>
      </c>
      <c r="K765" s="9" t="s">
        <v>7429</v>
      </c>
      <c r="L765" s="9" t="s">
        <v>276</v>
      </c>
      <c r="M765" s="8" t="s">
        <v>14</v>
      </c>
      <c r="N765" s="11" t="s">
        <v>98</v>
      </c>
      <c r="O765" s="12" t="s">
        <v>207</v>
      </c>
      <c r="P765" s="41">
        <v>29586</v>
      </c>
      <c r="Q765" s="9" t="s">
        <v>779</v>
      </c>
      <c r="R765" s="9" t="s">
        <v>276</v>
      </c>
      <c r="S765" s="9" t="s">
        <v>276</v>
      </c>
      <c r="T765" s="9">
        <v>4</v>
      </c>
      <c r="U765" s="13">
        <v>31000</v>
      </c>
      <c r="V765" s="38">
        <v>31000</v>
      </c>
      <c r="W765" s="8" t="s">
        <v>276</v>
      </c>
      <c r="X765" s="8" t="s">
        <v>276</v>
      </c>
      <c r="Y765" s="8">
        <v>0</v>
      </c>
      <c r="Z765" s="9" t="s">
        <v>1562</v>
      </c>
      <c r="AA765" s="8">
        <v>0</v>
      </c>
      <c r="AB765" s="9" t="s">
        <v>1562</v>
      </c>
      <c r="AC765" s="9" t="s">
        <v>7445</v>
      </c>
      <c r="AD765" s="9" t="s">
        <v>4658</v>
      </c>
      <c r="AE765" s="8">
        <v>218</v>
      </c>
      <c r="AF765" s="8">
        <v>262</v>
      </c>
      <c r="AG765" s="13">
        <v>31000</v>
      </c>
      <c r="AH765" s="13">
        <v>31000</v>
      </c>
      <c r="AI765" s="38" t="s">
        <v>281</v>
      </c>
      <c r="AJ765" s="43" t="s">
        <v>276</v>
      </c>
      <c r="AK765" s="31">
        <f t="shared" si="94"/>
        <v>7.032258064516129</v>
      </c>
      <c r="AL765" s="14" t="s">
        <v>276</v>
      </c>
      <c r="AM765" s="14" t="s">
        <v>276</v>
      </c>
      <c r="AN765" s="43" t="s">
        <v>276</v>
      </c>
      <c r="AO765" s="31">
        <f t="shared" si="95"/>
        <v>8.4516129032258061</v>
      </c>
      <c r="AP765" s="14" t="s">
        <v>276</v>
      </c>
      <c r="AQ765" s="14" t="s">
        <v>276</v>
      </c>
      <c r="AR765" s="8" t="s">
        <v>268</v>
      </c>
      <c r="AS765" s="14">
        <f>1-0.168</f>
        <v>0.83199999999999996</v>
      </c>
      <c r="AT765" s="14">
        <f t="shared" si="93"/>
        <v>0.83206106870229013</v>
      </c>
      <c r="AU765" s="14" t="s">
        <v>276</v>
      </c>
      <c r="AV765" s="14" t="s">
        <v>276</v>
      </c>
      <c r="AW765" s="8" t="s">
        <v>844</v>
      </c>
      <c r="AX765" s="8" t="s">
        <v>282</v>
      </c>
      <c r="AY765" s="8" t="s">
        <v>98</v>
      </c>
      <c r="AZ765" s="8" t="s">
        <v>98</v>
      </c>
      <c r="BA765" s="8" t="s">
        <v>98</v>
      </c>
      <c r="BB765" s="8" t="s">
        <v>98</v>
      </c>
      <c r="BC765" s="9" t="s">
        <v>298</v>
      </c>
      <c r="BD765" s="9" t="s">
        <v>7431</v>
      </c>
      <c r="BE765" s="79" t="s">
        <v>100</v>
      </c>
      <c r="BF765" s="79" t="s">
        <v>98</v>
      </c>
    </row>
    <row r="766" spans="1:58" s="87" customFormat="1" ht="78" x14ac:dyDescent="0.3">
      <c r="A766" s="416">
        <v>3896</v>
      </c>
      <c r="B766" s="72" t="s">
        <v>7427</v>
      </c>
      <c r="C766" s="72" t="s">
        <v>64</v>
      </c>
      <c r="D766" s="73" t="s">
        <v>7446</v>
      </c>
      <c r="E766" s="72" t="s">
        <v>35</v>
      </c>
      <c r="F766" s="73" t="s">
        <v>131</v>
      </c>
      <c r="G766" s="72" t="s">
        <v>225</v>
      </c>
      <c r="H766" s="72" t="s">
        <v>125</v>
      </c>
      <c r="I766" s="72" t="s">
        <v>114</v>
      </c>
      <c r="J766" s="73" t="s">
        <v>24</v>
      </c>
      <c r="K766" s="73" t="s">
        <v>276</v>
      </c>
      <c r="L766" s="73" t="s">
        <v>276</v>
      </c>
      <c r="M766" s="72" t="s">
        <v>15</v>
      </c>
      <c r="N766" s="84" t="s">
        <v>3032</v>
      </c>
      <c r="O766" s="85" t="s">
        <v>207</v>
      </c>
      <c r="P766" s="88" t="s">
        <v>98</v>
      </c>
      <c r="Q766" s="73" t="s">
        <v>728</v>
      </c>
      <c r="R766" s="73" t="s">
        <v>276</v>
      </c>
      <c r="S766" s="73" t="s">
        <v>276</v>
      </c>
      <c r="T766" s="73">
        <v>4</v>
      </c>
      <c r="U766" s="74">
        <v>13740</v>
      </c>
      <c r="V766" s="75">
        <v>13740</v>
      </c>
      <c r="W766" s="72" t="s">
        <v>276</v>
      </c>
      <c r="X766" s="72" t="s">
        <v>276</v>
      </c>
      <c r="Y766" s="72">
        <v>0</v>
      </c>
      <c r="Z766" s="73" t="s">
        <v>1562</v>
      </c>
      <c r="AA766" s="72">
        <v>0</v>
      </c>
      <c r="AB766" s="73" t="s">
        <v>1562</v>
      </c>
      <c r="AC766" s="73" t="s">
        <v>7447</v>
      </c>
      <c r="AD766" s="73" t="s">
        <v>7418</v>
      </c>
      <c r="AE766" s="72">
        <v>19</v>
      </c>
      <c r="AF766" s="72">
        <v>20</v>
      </c>
      <c r="AG766" s="74">
        <v>13740</v>
      </c>
      <c r="AH766" s="75">
        <v>13740</v>
      </c>
      <c r="AI766" s="75" t="s">
        <v>281</v>
      </c>
      <c r="AJ766" s="93" t="s">
        <v>276</v>
      </c>
      <c r="AK766" s="86">
        <f t="shared" si="94"/>
        <v>1.3828238719068413</v>
      </c>
      <c r="AL766" s="76" t="s">
        <v>276</v>
      </c>
      <c r="AM766" s="76" t="s">
        <v>276</v>
      </c>
      <c r="AN766" s="93" t="s">
        <v>276</v>
      </c>
      <c r="AO766" s="86">
        <f t="shared" si="95"/>
        <v>1.4556040756914119</v>
      </c>
      <c r="AP766" s="76" t="s">
        <v>276</v>
      </c>
      <c r="AQ766" s="76" t="s">
        <v>276</v>
      </c>
      <c r="AR766" s="72" t="s">
        <v>268</v>
      </c>
      <c r="AS766" s="76" t="s">
        <v>276</v>
      </c>
      <c r="AT766" s="76">
        <f t="shared" si="93"/>
        <v>0.95</v>
      </c>
      <c r="AU766" s="76" t="s">
        <v>276</v>
      </c>
      <c r="AV766" s="76" t="s">
        <v>276</v>
      </c>
      <c r="AW766" s="72" t="s">
        <v>276</v>
      </c>
      <c r="AX766" s="72" t="s">
        <v>282</v>
      </c>
      <c r="AY766" s="72" t="s">
        <v>98</v>
      </c>
      <c r="AZ766" s="72" t="s">
        <v>98</v>
      </c>
      <c r="BA766" s="72" t="s">
        <v>98</v>
      </c>
      <c r="BB766" s="72" t="s">
        <v>98</v>
      </c>
      <c r="BC766" s="73" t="s">
        <v>1020</v>
      </c>
      <c r="BD766" s="73" t="s">
        <v>7448</v>
      </c>
      <c r="BE766" s="79" t="s">
        <v>100</v>
      </c>
      <c r="BF766" s="79" t="s">
        <v>98</v>
      </c>
    </row>
    <row r="767" spans="1:58" s="87" customFormat="1" ht="78" x14ac:dyDescent="0.3">
      <c r="A767" s="416">
        <v>3896</v>
      </c>
      <c r="B767" s="72" t="s">
        <v>7427</v>
      </c>
      <c r="C767" s="72" t="s">
        <v>64</v>
      </c>
      <c r="D767" s="73" t="s">
        <v>7449</v>
      </c>
      <c r="E767" s="72" t="s">
        <v>35</v>
      </c>
      <c r="F767" s="73" t="s">
        <v>131</v>
      </c>
      <c r="G767" s="72" t="s">
        <v>225</v>
      </c>
      <c r="H767" s="72" t="s">
        <v>125</v>
      </c>
      <c r="I767" s="72" t="s">
        <v>114</v>
      </c>
      <c r="J767" s="73" t="s">
        <v>24</v>
      </c>
      <c r="K767" s="73" t="s">
        <v>276</v>
      </c>
      <c r="L767" s="73" t="s">
        <v>276</v>
      </c>
      <c r="M767" s="72" t="s">
        <v>15</v>
      </c>
      <c r="N767" s="84" t="s">
        <v>3038</v>
      </c>
      <c r="O767" s="85" t="s">
        <v>207</v>
      </c>
      <c r="P767" s="88" t="s">
        <v>98</v>
      </c>
      <c r="Q767" s="73" t="s">
        <v>728</v>
      </c>
      <c r="R767" s="73" t="s">
        <v>276</v>
      </c>
      <c r="S767" s="73" t="s">
        <v>276</v>
      </c>
      <c r="T767" s="73">
        <v>4</v>
      </c>
      <c r="U767" s="74">
        <v>12855</v>
      </c>
      <c r="V767" s="75">
        <v>12855</v>
      </c>
      <c r="W767" s="72" t="s">
        <v>276</v>
      </c>
      <c r="X767" s="72" t="s">
        <v>276</v>
      </c>
      <c r="Y767" s="72">
        <v>0</v>
      </c>
      <c r="Z767" s="73" t="s">
        <v>1562</v>
      </c>
      <c r="AA767" s="72">
        <v>0</v>
      </c>
      <c r="AB767" s="73" t="s">
        <v>1562</v>
      </c>
      <c r="AC767" s="73" t="s">
        <v>7450</v>
      </c>
      <c r="AD767" s="73" t="s">
        <v>7421</v>
      </c>
      <c r="AE767" s="72">
        <v>15</v>
      </c>
      <c r="AF767" s="72">
        <v>33</v>
      </c>
      <c r="AG767" s="74">
        <v>12855</v>
      </c>
      <c r="AH767" s="75">
        <v>12855</v>
      </c>
      <c r="AI767" s="75" t="s">
        <v>281</v>
      </c>
      <c r="AJ767" s="93" t="s">
        <v>276</v>
      </c>
      <c r="AK767" s="86">
        <f t="shared" si="94"/>
        <v>1.1668611435239207</v>
      </c>
      <c r="AL767" s="76" t="s">
        <v>276</v>
      </c>
      <c r="AM767" s="76" t="s">
        <v>276</v>
      </c>
      <c r="AN767" s="93" t="s">
        <v>276</v>
      </c>
      <c r="AO767" s="86">
        <f t="shared" si="95"/>
        <v>2.5670945157526255</v>
      </c>
      <c r="AP767" s="76" t="s">
        <v>276</v>
      </c>
      <c r="AQ767" s="76" t="s">
        <v>276</v>
      </c>
      <c r="AR767" s="72" t="s">
        <v>268</v>
      </c>
      <c r="AS767" s="76" t="s">
        <v>276</v>
      </c>
      <c r="AT767" s="76">
        <f t="shared" si="93"/>
        <v>0.45454545454545453</v>
      </c>
      <c r="AU767" s="76" t="s">
        <v>276</v>
      </c>
      <c r="AV767" s="76" t="s">
        <v>276</v>
      </c>
      <c r="AW767" s="72" t="s">
        <v>276</v>
      </c>
      <c r="AX767" s="72" t="s">
        <v>282</v>
      </c>
      <c r="AY767" s="72" t="s">
        <v>98</v>
      </c>
      <c r="AZ767" s="72" t="s">
        <v>98</v>
      </c>
      <c r="BA767" s="72" t="s">
        <v>98</v>
      </c>
      <c r="BB767" s="72" t="s">
        <v>98</v>
      </c>
      <c r="BC767" s="73" t="s">
        <v>1020</v>
      </c>
      <c r="BD767" s="73" t="s">
        <v>7448</v>
      </c>
      <c r="BE767" s="79" t="s">
        <v>100</v>
      </c>
      <c r="BF767" s="79" t="s">
        <v>98</v>
      </c>
    </row>
    <row r="768" spans="1:58" s="87" customFormat="1" ht="78" x14ac:dyDescent="0.3">
      <c r="A768" s="72">
        <v>3896</v>
      </c>
      <c r="B768" s="72" t="s">
        <v>7427</v>
      </c>
      <c r="C768" s="72" t="s">
        <v>64</v>
      </c>
      <c r="D768" s="73" t="s">
        <v>7451</v>
      </c>
      <c r="E768" s="72" t="s">
        <v>35</v>
      </c>
      <c r="F768" s="73" t="s">
        <v>131</v>
      </c>
      <c r="G768" s="72" t="s">
        <v>225</v>
      </c>
      <c r="H768" s="72" t="s">
        <v>125</v>
      </c>
      <c r="I768" s="72" t="s">
        <v>114</v>
      </c>
      <c r="J768" s="73" t="s">
        <v>24</v>
      </c>
      <c r="K768" s="73" t="s">
        <v>276</v>
      </c>
      <c r="L768" s="73" t="s">
        <v>276</v>
      </c>
      <c r="M768" s="72" t="s">
        <v>15</v>
      </c>
      <c r="N768" s="84" t="s">
        <v>3442</v>
      </c>
      <c r="O768" s="85" t="s">
        <v>207</v>
      </c>
      <c r="P768" s="88" t="s">
        <v>98</v>
      </c>
      <c r="Q768" s="73" t="s">
        <v>728</v>
      </c>
      <c r="R768" s="73" t="s">
        <v>276</v>
      </c>
      <c r="S768" s="73" t="s">
        <v>276</v>
      </c>
      <c r="T768" s="73">
        <v>4</v>
      </c>
      <c r="U768" s="74">
        <v>3650</v>
      </c>
      <c r="V768" s="75">
        <v>3650</v>
      </c>
      <c r="W768" s="72" t="s">
        <v>276</v>
      </c>
      <c r="X768" s="72" t="s">
        <v>276</v>
      </c>
      <c r="Y768" s="72">
        <v>0</v>
      </c>
      <c r="Z768" s="73" t="s">
        <v>1562</v>
      </c>
      <c r="AA768" s="72">
        <v>0</v>
      </c>
      <c r="AB768" s="73" t="s">
        <v>1562</v>
      </c>
      <c r="AC768" s="73" t="s">
        <v>7452</v>
      </c>
      <c r="AD768" s="73" t="s">
        <v>7425</v>
      </c>
      <c r="AE768" s="72">
        <v>5</v>
      </c>
      <c r="AF768" s="72">
        <v>10</v>
      </c>
      <c r="AG768" s="74">
        <v>3650</v>
      </c>
      <c r="AH768" s="75">
        <v>3650</v>
      </c>
      <c r="AI768" s="75" t="s">
        <v>281</v>
      </c>
      <c r="AJ768" s="93" t="s">
        <v>276</v>
      </c>
      <c r="AK768" s="86">
        <f t="shared" si="94"/>
        <v>1.3698630136986301</v>
      </c>
      <c r="AL768" s="76" t="s">
        <v>276</v>
      </c>
      <c r="AM768" s="76" t="s">
        <v>276</v>
      </c>
      <c r="AN768" s="93" t="s">
        <v>276</v>
      </c>
      <c r="AO768" s="86">
        <f t="shared" si="95"/>
        <v>2.7397260273972601</v>
      </c>
      <c r="AP768" s="76" t="s">
        <v>276</v>
      </c>
      <c r="AQ768" s="76" t="s">
        <v>276</v>
      </c>
      <c r="AR768" s="72" t="s">
        <v>268</v>
      </c>
      <c r="AS768" s="76" t="s">
        <v>276</v>
      </c>
      <c r="AT768" s="76">
        <f t="shared" si="93"/>
        <v>0.5</v>
      </c>
      <c r="AU768" s="76" t="s">
        <v>276</v>
      </c>
      <c r="AV768" s="76" t="s">
        <v>276</v>
      </c>
      <c r="AW768" s="72" t="s">
        <v>276</v>
      </c>
      <c r="AX768" s="72" t="s">
        <v>282</v>
      </c>
      <c r="AY768" s="72" t="s">
        <v>98</v>
      </c>
      <c r="AZ768" s="72" t="s">
        <v>98</v>
      </c>
      <c r="BA768" s="72" t="s">
        <v>98</v>
      </c>
      <c r="BB768" s="72" t="s">
        <v>98</v>
      </c>
      <c r="BC768" s="73" t="s">
        <v>1020</v>
      </c>
      <c r="BD768" s="73" t="s">
        <v>7448</v>
      </c>
      <c r="BE768" s="79" t="s">
        <v>100</v>
      </c>
      <c r="BF768" s="79" t="s">
        <v>98</v>
      </c>
    </row>
    <row r="769" spans="1:58" s="7" customFormat="1" ht="78" x14ac:dyDescent="0.3">
      <c r="A769" s="8">
        <v>3896</v>
      </c>
      <c r="B769" s="8" t="s">
        <v>7427</v>
      </c>
      <c r="C769" s="8" t="s">
        <v>64</v>
      </c>
      <c r="D769" s="9" t="s">
        <v>7453</v>
      </c>
      <c r="E769" s="8" t="s">
        <v>35</v>
      </c>
      <c r="F769" s="9" t="s">
        <v>131</v>
      </c>
      <c r="G769" s="8" t="s">
        <v>225</v>
      </c>
      <c r="H769" s="8" t="s">
        <v>125</v>
      </c>
      <c r="I769" s="8" t="s">
        <v>114</v>
      </c>
      <c r="J769" s="9" t="s">
        <v>24</v>
      </c>
      <c r="K769" s="9" t="s">
        <v>276</v>
      </c>
      <c r="L769" s="9" t="s">
        <v>276</v>
      </c>
      <c r="M769" s="8" t="s">
        <v>15</v>
      </c>
      <c r="N769" s="11" t="s">
        <v>3032</v>
      </c>
      <c r="O769" s="12" t="s">
        <v>207</v>
      </c>
      <c r="P769" s="41">
        <v>29586</v>
      </c>
      <c r="Q769" s="9" t="s">
        <v>779</v>
      </c>
      <c r="R769" s="9" t="s">
        <v>276</v>
      </c>
      <c r="S769" s="9" t="s">
        <v>276</v>
      </c>
      <c r="T769" s="9">
        <v>4</v>
      </c>
      <c r="U769" s="13">
        <v>13740</v>
      </c>
      <c r="V769" s="38">
        <v>13740</v>
      </c>
      <c r="W769" s="8" t="s">
        <v>276</v>
      </c>
      <c r="X769" s="8" t="s">
        <v>276</v>
      </c>
      <c r="Y769" s="8">
        <v>0</v>
      </c>
      <c r="Z769" s="9" t="s">
        <v>1562</v>
      </c>
      <c r="AA769" s="8">
        <v>0</v>
      </c>
      <c r="AB769" s="9" t="s">
        <v>1562</v>
      </c>
      <c r="AC769" s="9" t="s">
        <v>7454</v>
      </c>
      <c r="AD769" s="9" t="s">
        <v>7418</v>
      </c>
      <c r="AE769" s="8">
        <v>46</v>
      </c>
      <c r="AF769" s="8">
        <v>61</v>
      </c>
      <c r="AG769" s="13">
        <v>13740</v>
      </c>
      <c r="AH769" s="38">
        <v>13740</v>
      </c>
      <c r="AI769" s="38" t="s">
        <v>281</v>
      </c>
      <c r="AJ769" s="43" t="s">
        <v>276</v>
      </c>
      <c r="AK769" s="31">
        <f t="shared" si="94"/>
        <v>3.3478893740902476</v>
      </c>
      <c r="AL769" s="14" t="s">
        <v>276</v>
      </c>
      <c r="AM769" s="14" t="s">
        <v>276</v>
      </c>
      <c r="AN769" s="43" t="s">
        <v>276</v>
      </c>
      <c r="AO769" s="31">
        <f t="shared" si="95"/>
        <v>4.4395924308588066</v>
      </c>
      <c r="AP769" s="14" t="s">
        <v>276</v>
      </c>
      <c r="AQ769" s="14" t="s">
        <v>276</v>
      </c>
      <c r="AR769" s="8" t="s">
        <v>268</v>
      </c>
      <c r="AS769" s="14" t="s">
        <v>276</v>
      </c>
      <c r="AT769" s="14">
        <f t="shared" si="93"/>
        <v>0.75409836065573765</v>
      </c>
      <c r="AU769" s="14" t="s">
        <v>276</v>
      </c>
      <c r="AV769" s="14" t="s">
        <v>276</v>
      </c>
      <c r="AW769" s="8" t="s">
        <v>276</v>
      </c>
      <c r="AX769" s="8" t="s">
        <v>282</v>
      </c>
      <c r="AY769" s="8" t="s">
        <v>98</v>
      </c>
      <c r="AZ769" s="8" t="s">
        <v>98</v>
      </c>
      <c r="BA769" s="8" t="s">
        <v>98</v>
      </c>
      <c r="BB769" s="8" t="s">
        <v>98</v>
      </c>
      <c r="BC769" s="9" t="s">
        <v>1020</v>
      </c>
      <c r="BD769" s="9" t="s">
        <v>7448</v>
      </c>
      <c r="BE769" s="79" t="s">
        <v>100</v>
      </c>
      <c r="BF769" s="79" t="s">
        <v>98</v>
      </c>
    </row>
    <row r="770" spans="1:58" s="7" customFormat="1" ht="78" x14ac:dyDescent="0.3">
      <c r="A770" s="8">
        <v>3896</v>
      </c>
      <c r="B770" s="8" t="s">
        <v>7427</v>
      </c>
      <c r="C770" s="8" t="s">
        <v>64</v>
      </c>
      <c r="D770" s="9" t="s">
        <v>7455</v>
      </c>
      <c r="E770" s="8" t="s">
        <v>35</v>
      </c>
      <c r="F770" s="9" t="s">
        <v>131</v>
      </c>
      <c r="G770" s="8" t="s">
        <v>225</v>
      </c>
      <c r="H770" s="8" t="s">
        <v>125</v>
      </c>
      <c r="I770" s="8" t="s">
        <v>114</v>
      </c>
      <c r="J770" s="9" t="s">
        <v>24</v>
      </c>
      <c r="K770" s="9" t="s">
        <v>276</v>
      </c>
      <c r="L770" s="9" t="s">
        <v>276</v>
      </c>
      <c r="M770" s="8" t="s">
        <v>15</v>
      </c>
      <c r="N770" s="11" t="s">
        <v>3038</v>
      </c>
      <c r="O770" s="12" t="s">
        <v>207</v>
      </c>
      <c r="P770" s="41">
        <v>29586</v>
      </c>
      <c r="Q770" s="9" t="s">
        <v>779</v>
      </c>
      <c r="R770" s="9" t="s">
        <v>276</v>
      </c>
      <c r="S770" s="9" t="s">
        <v>276</v>
      </c>
      <c r="T770" s="9">
        <v>4</v>
      </c>
      <c r="U770" s="13">
        <v>12855</v>
      </c>
      <c r="V770" s="38">
        <v>12855</v>
      </c>
      <c r="W770" s="8" t="s">
        <v>276</v>
      </c>
      <c r="X770" s="8" t="s">
        <v>276</v>
      </c>
      <c r="Y770" s="8">
        <v>0</v>
      </c>
      <c r="Z770" s="9" t="s">
        <v>1562</v>
      </c>
      <c r="AA770" s="8">
        <v>0</v>
      </c>
      <c r="AB770" s="9" t="s">
        <v>1562</v>
      </c>
      <c r="AC770" s="9" t="s">
        <v>7456</v>
      </c>
      <c r="AD770" s="9" t="s">
        <v>7421</v>
      </c>
      <c r="AE770" s="8">
        <v>53</v>
      </c>
      <c r="AF770" s="8">
        <v>68</v>
      </c>
      <c r="AG770" s="13">
        <v>12855</v>
      </c>
      <c r="AH770" s="38">
        <v>12855</v>
      </c>
      <c r="AI770" s="38" t="s">
        <v>281</v>
      </c>
      <c r="AJ770" s="43" t="s">
        <v>276</v>
      </c>
      <c r="AK770" s="31">
        <f t="shared" si="94"/>
        <v>4.1229093737845197</v>
      </c>
      <c r="AL770" s="14" t="s">
        <v>276</v>
      </c>
      <c r="AM770" s="14" t="s">
        <v>276</v>
      </c>
      <c r="AN770" s="43" t="s">
        <v>276</v>
      </c>
      <c r="AO770" s="31">
        <f t="shared" si="95"/>
        <v>5.2897705173084404</v>
      </c>
      <c r="AP770" s="14" t="s">
        <v>276</v>
      </c>
      <c r="AQ770" s="14" t="s">
        <v>276</v>
      </c>
      <c r="AR770" s="8" t="s">
        <v>268</v>
      </c>
      <c r="AS770" s="14" t="s">
        <v>276</v>
      </c>
      <c r="AT770" s="14">
        <f t="shared" si="93"/>
        <v>0.77941176470588236</v>
      </c>
      <c r="AU770" s="14" t="s">
        <v>276</v>
      </c>
      <c r="AV770" s="14" t="s">
        <v>276</v>
      </c>
      <c r="AW770" s="8" t="s">
        <v>276</v>
      </c>
      <c r="AX770" s="8" t="s">
        <v>282</v>
      </c>
      <c r="AY770" s="8" t="s">
        <v>98</v>
      </c>
      <c r="AZ770" s="8" t="s">
        <v>98</v>
      </c>
      <c r="BA770" s="8" t="s">
        <v>98</v>
      </c>
      <c r="BB770" s="8" t="s">
        <v>98</v>
      </c>
      <c r="BC770" s="9" t="s">
        <v>1020</v>
      </c>
      <c r="BD770" s="9" t="s">
        <v>7448</v>
      </c>
      <c r="BE770" s="79" t="s">
        <v>100</v>
      </c>
      <c r="BF770" s="79" t="s">
        <v>98</v>
      </c>
    </row>
    <row r="771" spans="1:58" s="7" customFormat="1" ht="78" x14ac:dyDescent="0.3">
      <c r="A771" s="8">
        <v>3896</v>
      </c>
      <c r="B771" s="8" t="s">
        <v>7427</v>
      </c>
      <c r="C771" s="8" t="s">
        <v>64</v>
      </c>
      <c r="D771" s="9" t="s">
        <v>7457</v>
      </c>
      <c r="E771" s="8" t="s">
        <v>35</v>
      </c>
      <c r="F771" s="9" t="s">
        <v>131</v>
      </c>
      <c r="G771" s="8" t="s">
        <v>225</v>
      </c>
      <c r="H771" s="8" t="s">
        <v>125</v>
      </c>
      <c r="I771" s="8" t="s">
        <v>114</v>
      </c>
      <c r="J771" s="9" t="s">
        <v>24</v>
      </c>
      <c r="K771" s="9" t="s">
        <v>276</v>
      </c>
      <c r="L771" s="9" t="s">
        <v>276</v>
      </c>
      <c r="M771" s="8" t="s">
        <v>15</v>
      </c>
      <c r="N771" s="11" t="s">
        <v>3442</v>
      </c>
      <c r="O771" s="12" t="s">
        <v>207</v>
      </c>
      <c r="P771" s="41">
        <v>29586</v>
      </c>
      <c r="Q771" s="9" t="s">
        <v>779</v>
      </c>
      <c r="R771" s="9" t="s">
        <v>276</v>
      </c>
      <c r="S771" s="9" t="s">
        <v>276</v>
      </c>
      <c r="T771" s="9">
        <v>4</v>
      </c>
      <c r="U771" s="13">
        <v>3650</v>
      </c>
      <c r="V771" s="38">
        <v>3650</v>
      </c>
      <c r="W771" s="8" t="s">
        <v>276</v>
      </c>
      <c r="X771" s="8" t="s">
        <v>276</v>
      </c>
      <c r="Y771" s="8">
        <v>0</v>
      </c>
      <c r="Z771" s="9" t="s">
        <v>1562</v>
      </c>
      <c r="AA771" s="8">
        <v>0</v>
      </c>
      <c r="AB771" s="9" t="s">
        <v>1562</v>
      </c>
      <c r="AC771" s="9" t="s">
        <v>7458</v>
      </c>
      <c r="AD771" s="9" t="s">
        <v>7425</v>
      </c>
      <c r="AE771" s="8">
        <v>19</v>
      </c>
      <c r="AF771" s="8">
        <v>24</v>
      </c>
      <c r="AG771" s="13">
        <v>3650</v>
      </c>
      <c r="AH771" s="38">
        <v>3650</v>
      </c>
      <c r="AI771" s="38" t="s">
        <v>281</v>
      </c>
      <c r="AJ771" s="43" t="s">
        <v>276</v>
      </c>
      <c r="AK771" s="31">
        <f t="shared" si="94"/>
        <v>5.2054794520547949</v>
      </c>
      <c r="AL771" s="14" t="s">
        <v>276</v>
      </c>
      <c r="AM771" s="14" t="s">
        <v>276</v>
      </c>
      <c r="AN771" s="43" t="s">
        <v>276</v>
      </c>
      <c r="AO771" s="31">
        <f t="shared" si="95"/>
        <v>6.5753424657534243</v>
      </c>
      <c r="AP771" s="14" t="s">
        <v>276</v>
      </c>
      <c r="AQ771" s="14" t="s">
        <v>276</v>
      </c>
      <c r="AR771" s="8" t="s">
        <v>268</v>
      </c>
      <c r="AS771" s="14" t="s">
        <v>276</v>
      </c>
      <c r="AT771" s="14">
        <f t="shared" si="93"/>
        <v>0.79166666666666674</v>
      </c>
      <c r="AU771" s="14" t="s">
        <v>276</v>
      </c>
      <c r="AV771" s="14" t="s">
        <v>276</v>
      </c>
      <c r="AW771" s="8" t="s">
        <v>276</v>
      </c>
      <c r="AX771" s="8" t="s">
        <v>282</v>
      </c>
      <c r="AY771" s="8" t="s">
        <v>98</v>
      </c>
      <c r="AZ771" s="8" t="s">
        <v>98</v>
      </c>
      <c r="BA771" s="8" t="s">
        <v>98</v>
      </c>
      <c r="BB771" s="8" t="s">
        <v>98</v>
      </c>
      <c r="BC771" s="9" t="s">
        <v>1020</v>
      </c>
      <c r="BD771" s="9" t="s">
        <v>7448</v>
      </c>
      <c r="BE771" s="79" t="s">
        <v>100</v>
      </c>
      <c r="BF771" s="79" t="s">
        <v>98</v>
      </c>
    </row>
    <row r="772" spans="1:58" s="149" customFormat="1" ht="65" x14ac:dyDescent="0.3">
      <c r="A772" s="126">
        <v>3877</v>
      </c>
      <c r="B772" s="126" t="s">
        <v>7459</v>
      </c>
      <c r="C772" s="126" t="s">
        <v>64</v>
      </c>
      <c r="D772" s="127" t="s">
        <v>7416</v>
      </c>
      <c r="E772" s="126" t="s">
        <v>35</v>
      </c>
      <c r="F772" s="127" t="s">
        <v>131</v>
      </c>
      <c r="G772" s="126" t="s">
        <v>225</v>
      </c>
      <c r="H772" s="126" t="s">
        <v>125</v>
      </c>
      <c r="I772" s="126" t="s">
        <v>114</v>
      </c>
      <c r="J772" s="127" t="s">
        <v>24</v>
      </c>
      <c r="K772" s="127" t="s">
        <v>276</v>
      </c>
      <c r="L772" s="127" t="s">
        <v>276</v>
      </c>
      <c r="M772" s="126" t="s">
        <v>15</v>
      </c>
      <c r="N772" s="145" t="s">
        <v>3032</v>
      </c>
      <c r="O772" s="131" t="s">
        <v>207</v>
      </c>
      <c r="P772" s="197" t="s">
        <v>98</v>
      </c>
      <c r="Q772" s="127" t="s">
        <v>766</v>
      </c>
      <c r="R772" s="127" t="s">
        <v>276</v>
      </c>
      <c r="S772" s="127" t="s">
        <v>276</v>
      </c>
      <c r="T772" s="127">
        <v>4</v>
      </c>
      <c r="U772" s="132">
        <v>13740</v>
      </c>
      <c r="V772" s="134">
        <v>13740</v>
      </c>
      <c r="W772" s="126" t="s">
        <v>276</v>
      </c>
      <c r="X772" s="126" t="s">
        <v>276</v>
      </c>
      <c r="Y772" s="126" t="s">
        <v>276</v>
      </c>
      <c r="Z772" s="127" t="s">
        <v>1562</v>
      </c>
      <c r="AA772" s="126" t="s">
        <v>276</v>
      </c>
      <c r="AB772" s="127" t="s">
        <v>1562</v>
      </c>
      <c r="AC772" s="127" t="s">
        <v>7417</v>
      </c>
      <c r="AD772" s="127" t="s">
        <v>7418</v>
      </c>
      <c r="AE772" s="126">
        <v>39</v>
      </c>
      <c r="AF772" s="126">
        <v>51</v>
      </c>
      <c r="AG772" s="132">
        <v>13740</v>
      </c>
      <c r="AH772" s="134">
        <v>13740</v>
      </c>
      <c r="AI772" s="134" t="s">
        <v>281</v>
      </c>
      <c r="AJ772" s="147" t="s">
        <v>276</v>
      </c>
      <c r="AK772" s="148">
        <f t="shared" si="94"/>
        <v>2.8384279475982535</v>
      </c>
      <c r="AL772" s="135" t="s">
        <v>276</v>
      </c>
      <c r="AM772" s="135" t="s">
        <v>276</v>
      </c>
      <c r="AN772" s="147" t="s">
        <v>276</v>
      </c>
      <c r="AO772" s="148">
        <f t="shared" si="95"/>
        <v>3.7117903930131004</v>
      </c>
      <c r="AP772" s="135" t="s">
        <v>276</v>
      </c>
      <c r="AQ772" s="135" t="s">
        <v>276</v>
      </c>
      <c r="AR772" s="126" t="s">
        <v>268</v>
      </c>
      <c r="AS772" s="135" t="s">
        <v>276</v>
      </c>
      <c r="AT772" s="135">
        <f t="shared" si="93"/>
        <v>0.76470588235294124</v>
      </c>
      <c r="AU772" s="135" t="s">
        <v>276</v>
      </c>
      <c r="AV772" s="135" t="s">
        <v>276</v>
      </c>
      <c r="AW772" s="126" t="s">
        <v>276</v>
      </c>
      <c r="AX772" s="126" t="s">
        <v>282</v>
      </c>
      <c r="AY772" s="126" t="s">
        <v>98</v>
      </c>
      <c r="AZ772" s="126" t="s">
        <v>98</v>
      </c>
      <c r="BA772" s="126" t="s">
        <v>98</v>
      </c>
      <c r="BB772" s="126" t="s">
        <v>98</v>
      </c>
      <c r="BC772" s="127" t="s">
        <v>426</v>
      </c>
      <c r="BD772" s="127"/>
      <c r="BE772" s="79" t="s">
        <v>100</v>
      </c>
      <c r="BF772" s="79" t="s">
        <v>98</v>
      </c>
    </row>
    <row r="773" spans="1:58" s="160" customFormat="1" ht="65" x14ac:dyDescent="0.3">
      <c r="A773" s="150">
        <v>3877</v>
      </c>
      <c r="B773" s="150" t="s">
        <v>7459</v>
      </c>
      <c r="C773" s="150" t="s">
        <v>64</v>
      </c>
      <c r="D773" s="151" t="s">
        <v>7460</v>
      </c>
      <c r="E773" s="150" t="s">
        <v>35</v>
      </c>
      <c r="F773" s="151" t="s">
        <v>131</v>
      </c>
      <c r="G773" s="150" t="s">
        <v>225</v>
      </c>
      <c r="H773" s="150" t="s">
        <v>125</v>
      </c>
      <c r="I773" s="150" t="s">
        <v>114</v>
      </c>
      <c r="J773" s="151" t="s">
        <v>24</v>
      </c>
      <c r="K773" s="151" t="s">
        <v>276</v>
      </c>
      <c r="L773" s="151" t="s">
        <v>276</v>
      </c>
      <c r="M773" s="150" t="s">
        <v>15</v>
      </c>
      <c r="N773" s="152" t="s">
        <v>3032</v>
      </c>
      <c r="O773" s="153" t="s">
        <v>207</v>
      </c>
      <c r="P773" s="342" t="s">
        <v>98</v>
      </c>
      <c r="Q773" s="151" t="s">
        <v>766</v>
      </c>
      <c r="R773" s="151" t="s">
        <v>276</v>
      </c>
      <c r="S773" s="151" t="s">
        <v>276</v>
      </c>
      <c r="T773" s="151">
        <v>4</v>
      </c>
      <c r="U773" s="155">
        <v>13740</v>
      </c>
      <c r="V773" s="156">
        <v>13740</v>
      </c>
      <c r="W773" s="150" t="s">
        <v>276</v>
      </c>
      <c r="X773" s="150" t="s">
        <v>276</v>
      </c>
      <c r="Y773" s="150" t="s">
        <v>276</v>
      </c>
      <c r="Z773" s="151" t="s">
        <v>1562</v>
      </c>
      <c r="AA773" s="150" t="s">
        <v>276</v>
      </c>
      <c r="AB773" s="151" t="s">
        <v>1562</v>
      </c>
      <c r="AC773" s="151" t="s">
        <v>7461</v>
      </c>
      <c r="AD773" s="151" t="s">
        <v>7418</v>
      </c>
      <c r="AE773" s="150">
        <v>45</v>
      </c>
      <c r="AF773" s="150">
        <v>61</v>
      </c>
      <c r="AG773" s="155">
        <v>13740</v>
      </c>
      <c r="AH773" s="156">
        <v>13740</v>
      </c>
      <c r="AI773" s="156" t="s">
        <v>281</v>
      </c>
      <c r="AJ773" s="157" t="s">
        <v>276</v>
      </c>
      <c r="AK773" s="158">
        <f t="shared" si="94"/>
        <v>3.2751091703056767</v>
      </c>
      <c r="AL773" s="159" t="s">
        <v>276</v>
      </c>
      <c r="AM773" s="159" t="s">
        <v>276</v>
      </c>
      <c r="AN773" s="157" t="s">
        <v>276</v>
      </c>
      <c r="AO773" s="158">
        <f t="shared" si="95"/>
        <v>4.4395924308588066</v>
      </c>
      <c r="AP773" s="159" t="s">
        <v>276</v>
      </c>
      <c r="AQ773" s="159" t="s">
        <v>276</v>
      </c>
      <c r="AR773" s="150" t="s">
        <v>268</v>
      </c>
      <c r="AS773" s="159" t="s">
        <v>276</v>
      </c>
      <c r="AT773" s="159">
        <f t="shared" si="93"/>
        <v>0.73770491803278682</v>
      </c>
      <c r="AU773" s="159" t="s">
        <v>276</v>
      </c>
      <c r="AV773" s="159" t="s">
        <v>276</v>
      </c>
      <c r="AW773" s="150" t="s">
        <v>276</v>
      </c>
      <c r="AX773" s="150" t="s">
        <v>282</v>
      </c>
      <c r="AY773" s="150" t="s">
        <v>98</v>
      </c>
      <c r="AZ773" s="150" t="s">
        <v>98</v>
      </c>
      <c r="BA773" s="150" t="s">
        <v>98</v>
      </c>
      <c r="BB773" s="150" t="s">
        <v>98</v>
      </c>
      <c r="BC773" s="151" t="s">
        <v>426</v>
      </c>
      <c r="BD773" s="151"/>
      <c r="BE773" s="79" t="s">
        <v>100</v>
      </c>
      <c r="BF773" s="79" t="s">
        <v>98</v>
      </c>
    </row>
    <row r="774" spans="1:58" s="160" customFormat="1" ht="65" x14ac:dyDescent="0.3">
      <c r="A774" s="150">
        <v>3877</v>
      </c>
      <c r="B774" s="150" t="s">
        <v>7459</v>
      </c>
      <c r="C774" s="150" t="s">
        <v>64</v>
      </c>
      <c r="D774" s="151" t="s">
        <v>7462</v>
      </c>
      <c r="E774" s="150" t="s">
        <v>35</v>
      </c>
      <c r="F774" s="151" t="s">
        <v>131</v>
      </c>
      <c r="G774" s="150" t="s">
        <v>225</v>
      </c>
      <c r="H774" s="150" t="s">
        <v>125</v>
      </c>
      <c r="I774" s="150" t="s">
        <v>114</v>
      </c>
      <c r="J774" s="151" t="s">
        <v>24</v>
      </c>
      <c r="K774" s="151" t="s">
        <v>276</v>
      </c>
      <c r="L774" s="151" t="s">
        <v>276</v>
      </c>
      <c r="M774" s="150" t="s">
        <v>15</v>
      </c>
      <c r="N774" s="152" t="s">
        <v>3032</v>
      </c>
      <c r="O774" s="153" t="s">
        <v>207</v>
      </c>
      <c r="P774" s="342" t="s">
        <v>98</v>
      </c>
      <c r="Q774" s="151" t="s">
        <v>779</v>
      </c>
      <c r="R774" s="151" t="s">
        <v>276</v>
      </c>
      <c r="S774" s="151" t="s">
        <v>276</v>
      </c>
      <c r="T774" s="151">
        <v>4</v>
      </c>
      <c r="U774" s="155">
        <v>13740</v>
      </c>
      <c r="V774" s="156">
        <v>13740</v>
      </c>
      <c r="W774" s="150" t="s">
        <v>276</v>
      </c>
      <c r="X774" s="150" t="s">
        <v>276</v>
      </c>
      <c r="Y774" s="150" t="s">
        <v>276</v>
      </c>
      <c r="Z774" s="151" t="s">
        <v>1562</v>
      </c>
      <c r="AA774" s="150" t="s">
        <v>276</v>
      </c>
      <c r="AB774" s="151" t="s">
        <v>1562</v>
      </c>
      <c r="AC774" s="151" t="s">
        <v>7463</v>
      </c>
      <c r="AD774" s="151" t="s">
        <v>7418</v>
      </c>
      <c r="AE774" s="150">
        <v>54</v>
      </c>
      <c r="AF774" s="150">
        <v>72</v>
      </c>
      <c r="AG774" s="155">
        <v>13740</v>
      </c>
      <c r="AH774" s="156">
        <v>13740</v>
      </c>
      <c r="AI774" s="156" t="s">
        <v>281</v>
      </c>
      <c r="AJ774" s="157" t="s">
        <v>276</v>
      </c>
      <c r="AK774" s="158">
        <f t="shared" si="94"/>
        <v>3.9301310043668121</v>
      </c>
      <c r="AL774" s="159" t="s">
        <v>276</v>
      </c>
      <c r="AM774" s="159" t="s">
        <v>276</v>
      </c>
      <c r="AN774" s="157" t="s">
        <v>276</v>
      </c>
      <c r="AO774" s="158">
        <f t="shared" si="95"/>
        <v>5.2401746724890828</v>
      </c>
      <c r="AP774" s="159" t="s">
        <v>276</v>
      </c>
      <c r="AQ774" s="159" t="s">
        <v>276</v>
      </c>
      <c r="AR774" s="150" t="s">
        <v>268</v>
      </c>
      <c r="AS774" s="159" t="s">
        <v>276</v>
      </c>
      <c r="AT774" s="159">
        <f t="shared" si="93"/>
        <v>0.75</v>
      </c>
      <c r="AU774" s="159" t="s">
        <v>276</v>
      </c>
      <c r="AV774" s="159" t="s">
        <v>276</v>
      </c>
      <c r="AW774" s="150" t="s">
        <v>276</v>
      </c>
      <c r="AX774" s="150" t="s">
        <v>282</v>
      </c>
      <c r="AY774" s="150" t="s">
        <v>98</v>
      </c>
      <c r="AZ774" s="150" t="s">
        <v>98</v>
      </c>
      <c r="BA774" s="150" t="s">
        <v>98</v>
      </c>
      <c r="BB774" s="150" t="s">
        <v>98</v>
      </c>
      <c r="BC774" s="151" t="s">
        <v>426</v>
      </c>
      <c r="BD774" s="151"/>
      <c r="BE774" s="79" t="s">
        <v>100</v>
      </c>
      <c r="BF774" s="79" t="s">
        <v>98</v>
      </c>
    </row>
    <row r="775" spans="1:58" s="149" customFormat="1" ht="65" x14ac:dyDescent="0.3">
      <c r="A775" s="126">
        <v>3877</v>
      </c>
      <c r="B775" s="126" t="s">
        <v>7459</v>
      </c>
      <c r="C775" s="126" t="s">
        <v>64</v>
      </c>
      <c r="D775" s="127" t="s">
        <v>7464</v>
      </c>
      <c r="E775" s="126" t="s">
        <v>35</v>
      </c>
      <c r="F775" s="127" t="s">
        <v>131</v>
      </c>
      <c r="G775" s="126" t="s">
        <v>225</v>
      </c>
      <c r="H775" s="126" t="s">
        <v>125</v>
      </c>
      <c r="I775" s="126" t="s">
        <v>114</v>
      </c>
      <c r="J775" s="127" t="s">
        <v>24</v>
      </c>
      <c r="K775" s="127" t="s">
        <v>276</v>
      </c>
      <c r="L775" s="127" t="s">
        <v>276</v>
      </c>
      <c r="M775" s="126" t="s">
        <v>15</v>
      </c>
      <c r="N775" s="145" t="s">
        <v>3032</v>
      </c>
      <c r="O775" s="131" t="s">
        <v>207</v>
      </c>
      <c r="P775" s="197" t="s">
        <v>98</v>
      </c>
      <c r="Q775" s="127" t="s">
        <v>766</v>
      </c>
      <c r="R775" s="127" t="s">
        <v>276</v>
      </c>
      <c r="S775" s="127" t="s">
        <v>276</v>
      </c>
      <c r="T775" s="127">
        <v>4</v>
      </c>
      <c r="U775" s="132">
        <v>13740</v>
      </c>
      <c r="V775" s="134">
        <v>13740</v>
      </c>
      <c r="W775" s="126" t="s">
        <v>276</v>
      </c>
      <c r="X775" s="126" t="s">
        <v>276</v>
      </c>
      <c r="Y775" s="126" t="s">
        <v>276</v>
      </c>
      <c r="Z775" s="127" t="s">
        <v>1562</v>
      </c>
      <c r="AA775" s="126" t="s">
        <v>276</v>
      </c>
      <c r="AB775" s="127" t="s">
        <v>1562</v>
      </c>
      <c r="AC775" s="127" t="s">
        <v>7465</v>
      </c>
      <c r="AD775" s="127" t="s">
        <v>7418</v>
      </c>
      <c r="AE775" s="126">
        <v>54</v>
      </c>
      <c r="AF775" s="126">
        <v>67</v>
      </c>
      <c r="AG775" s="132">
        <v>13740</v>
      </c>
      <c r="AH775" s="134">
        <v>13740</v>
      </c>
      <c r="AI775" s="134" t="s">
        <v>281</v>
      </c>
      <c r="AJ775" s="147" t="s">
        <v>276</v>
      </c>
      <c r="AK775" s="148">
        <f t="shared" si="94"/>
        <v>3.9301310043668121</v>
      </c>
      <c r="AL775" s="135" t="s">
        <v>276</v>
      </c>
      <c r="AM775" s="135" t="s">
        <v>276</v>
      </c>
      <c r="AN775" s="147" t="s">
        <v>276</v>
      </c>
      <c r="AO775" s="148">
        <f t="shared" si="95"/>
        <v>4.8762736535662299</v>
      </c>
      <c r="AP775" s="135" t="s">
        <v>276</v>
      </c>
      <c r="AQ775" s="135" t="s">
        <v>276</v>
      </c>
      <c r="AR775" s="126" t="s">
        <v>268</v>
      </c>
      <c r="AS775" s="135" t="s">
        <v>276</v>
      </c>
      <c r="AT775" s="135">
        <f t="shared" si="93"/>
        <v>0.80597014925373134</v>
      </c>
      <c r="AU775" s="135" t="s">
        <v>276</v>
      </c>
      <c r="AV775" s="135" t="s">
        <v>276</v>
      </c>
      <c r="AW775" s="126" t="s">
        <v>276</v>
      </c>
      <c r="AX775" s="126" t="s">
        <v>282</v>
      </c>
      <c r="AY775" s="126" t="s">
        <v>98</v>
      </c>
      <c r="AZ775" s="126" t="s">
        <v>98</v>
      </c>
      <c r="BA775" s="126" t="s">
        <v>98</v>
      </c>
      <c r="BB775" s="126" t="s">
        <v>98</v>
      </c>
      <c r="BC775" s="127" t="s">
        <v>426</v>
      </c>
      <c r="BD775" s="127"/>
      <c r="BE775" s="79" t="s">
        <v>100</v>
      </c>
      <c r="BF775" s="79" t="s">
        <v>98</v>
      </c>
    </row>
    <row r="776" spans="1:58" s="149" customFormat="1" ht="65" x14ac:dyDescent="0.3">
      <c r="A776" s="126">
        <v>3877</v>
      </c>
      <c r="B776" s="126" t="s">
        <v>7459</v>
      </c>
      <c r="C776" s="126" t="s">
        <v>64</v>
      </c>
      <c r="D776" s="127" t="s">
        <v>7466</v>
      </c>
      <c r="E776" s="126" t="s">
        <v>35</v>
      </c>
      <c r="F776" s="127" t="s">
        <v>131</v>
      </c>
      <c r="G776" s="126" t="s">
        <v>225</v>
      </c>
      <c r="H776" s="126" t="s">
        <v>125</v>
      </c>
      <c r="I776" s="126" t="s">
        <v>114</v>
      </c>
      <c r="J776" s="127" t="s">
        <v>24</v>
      </c>
      <c r="K776" s="127" t="s">
        <v>276</v>
      </c>
      <c r="L776" s="127" t="s">
        <v>276</v>
      </c>
      <c r="M776" s="126" t="s">
        <v>15</v>
      </c>
      <c r="N776" s="145" t="s">
        <v>3032</v>
      </c>
      <c r="O776" s="131" t="s">
        <v>207</v>
      </c>
      <c r="P776" s="197" t="s">
        <v>98</v>
      </c>
      <c r="Q776" s="127" t="s">
        <v>779</v>
      </c>
      <c r="R776" s="127" t="s">
        <v>276</v>
      </c>
      <c r="S776" s="127" t="s">
        <v>276</v>
      </c>
      <c r="T776" s="127">
        <v>4</v>
      </c>
      <c r="U776" s="132">
        <v>13740</v>
      </c>
      <c r="V776" s="134">
        <v>13740</v>
      </c>
      <c r="W776" s="126" t="s">
        <v>276</v>
      </c>
      <c r="X776" s="126" t="s">
        <v>276</v>
      </c>
      <c r="Y776" s="126" t="s">
        <v>276</v>
      </c>
      <c r="Z776" s="127" t="s">
        <v>1562</v>
      </c>
      <c r="AA776" s="126" t="s">
        <v>276</v>
      </c>
      <c r="AB776" s="127" t="s">
        <v>1562</v>
      </c>
      <c r="AC776" s="127" t="s">
        <v>7467</v>
      </c>
      <c r="AD776" s="127" t="s">
        <v>7418</v>
      </c>
      <c r="AE776" s="126">
        <v>65</v>
      </c>
      <c r="AF776" s="126">
        <v>82</v>
      </c>
      <c r="AG776" s="132">
        <v>13740</v>
      </c>
      <c r="AH776" s="134">
        <v>13740</v>
      </c>
      <c r="AI776" s="134" t="s">
        <v>281</v>
      </c>
      <c r="AJ776" s="147" t="s">
        <v>276</v>
      </c>
      <c r="AK776" s="148">
        <f t="shared" si="94"/>
        <v>4.7307132459970891</v>
      </c>
      <c r="AL776" s="135" t="s">
        <v>276</v>
      </c>
      <c r="AM776" s="135" t="s">
        <v>276</v>
      </c>
      <c r="AN776" s="147" t="s">
        <v>276</v>
      </c>
      <c r="AO776" s="148">
        <f t="shared" si="95"/>
        <v>5.9679767103347894</v>
      </c>
      <c r="AP776" s="135" t="s">
        <v>276</v>
      </c>
      <c r="AQ776" s="135" t="s">
        <v>276</v>
      </c>
      <c r="AR776" s="126" t="s">
        <v>268</v>
      </c>
      <c r="AS776" s="135" t="s">
        <v>276</v>
      </c>
      <c r="AT776" s="135">
        <f t="shared" si="93"/>
        <v>0.79268292682926833</v>
      </c>
      <c r="AU776" s="135" t="s">
        <v>276</v>
      </c>
      <c r="AV776" s="135" t="s">
        <v>276</v>
      </c>
      <c r="AW776" s="126" t="s">
        <v>276</v>
      </c>
      <c r="AX776" s="126" t="s">
        <v>282</v>
      </c>
      <c r="AY776" s="126" t="s">
        <v>98</v>
      </c>
      <c r="AZ776" s="126" t="s">
        <v>98</v>
      </c>
      <c r="BA776" s="126" t="s">
        <v>98</v>
      </c>
      <c r="BB776" s="126" t="s">
        <v>98</v>
      </c>
      <c r="BC776" s="127" t="s">
        <v>426</v>
      </c>
      <c r="BD776" s="127"/>
      <c r="BE776" s="79" t="s">
        <v>100</v>
      </c>
      <c r="BF776" s="79" t="s">
        <v>98</v>
      </c>
    </row>
    <row r="777" spans="1:58" s="103" customFormat="1" ht="65" x14ac:dyDescent="0.3">
      <c r="A777" s="94">
        <v>11131</v>
      </c>
      <c r="B777" s="94" t="s">
        <v>7468</v>
      </c>
      <c r="C777" s="94" t="s">
        <v>64</v>
      </c>
      <c r="D777" s="95" t="s">
        <v>7466</v>
      </c>
      <c r="E777" s="94" t="s">
        <v>35</v>
      </c>
      <c r="F777" s="95" t="s">
        <v>131</v>
      </c>
      <c r="G777" s="94" t="s">
        <v>225</v>
      </c>
      <c r="H777" s="94" t="s">
        <v>125</v>
      </c>
      <c r="I777" s="94" t="s">
        <v>114</v>
      </c>
      <c r="J777" s="95" t="s">
        <v>24</v>
      </c>
      <c r="K777" s="95" t="s">
        <v>276</v>
      </c>
      <c r="L777" s="95" t="s">
        <v>276</v>
      </c>
      <c r="M777" s="94" t="s">
        <v>15</v>
      </c>
      <c r="N777" s="144" t="s">
        <v>3032</v>
      </c>
      <c r="O777" s="96" t="s">
        <v>207</v>
      </c>
      <c r="P777" s="97" t="s">
        <v>98</v>
      </c>
      <c r="Q777" s="95" t="s">
        <v>779</v>
      </c>
      <c r="R777" s="95" t="s">
        <v>276</v>
      </c>
      <c r="S777" s="95" t="s">
        <v>276</v>
      </c>
      <c r="T777" s="95">
        <v>4</v>
      </c>
      <c r="U777" s="98">
        <v>13740</v>
      </c>
      <c r="V777" s="99">
        <v>13740</v>
      </c>
      <c r="W777" s="94" t="s">
        <v>276</v>
      </c>
      <c r="X777" s="94" t="s">
        <v>276</v>
      </c>
      <c r="Y777" s="94" t="s">
        <v>276</v>
      </c>
      <c r="Z777" s="95" t="s">
        <v>1562</v>
      </c>
      <c r="AA777" s="94" t="s">
        <v>276</v>
      </c>
      <c r="AB777" s="95" t="s">
        <v>1562</v>
      </c>
      <c r="AC777" s="95" t="s">
        <v>7467</v>
      </c>
      <c r="AD777" s="95" t="s">
        <v>7418</v>
      </c>
      <c r="AE777" s="94">
        <f>27+37</f>
        <v>64</v>
      </c>
      <c r="AF777" s="94">
        <f>39+43</f>
        <v>82</v>
      </c>
      <c r="AG777" s="98">
        <v>13740</v>
      </c>
      <c r="AH777" s="99">
        <v>13740</v>
      </c>
      <c r="AI777" s="99" t="s">
        <v>281</v>
      </c>
      <c r="AJ777" s="100" t="s">
        <v>276</v>
      </c>
      <c r="AK777" s="101">
        <f t="shared" si="94"/>
        <v>4.6579330422125178</v>
      </c>
      <c r="AL777" s="102" t="s">
        <v>276</v>
      </c>
      <c r="AM777" s="102" t="s">
        <v>276</v>
      </c>
      <c r="AN777" s="100" t="s">
        <v>276</v>
      </c>
      <c r="AO777" s="101">
        <f t="shared" si="95"/>
        <v>5.9679767103347894</v>
      </c>
      <c r="AP777" s="102" t="s">
        <v>276</v>
      </c>
      <c r="AQ777" s="102" t="s">
        <v>276</v>
      </c>
      <c r="AR777" s="94" t="s">
        <v>268</v>
      </c>
      <c r="AS777" s="102" t="s">
        <v>276</v>
      </c>
      <c r="AT777" s="102">
        <f t="shared" si="93"/>
        <v>0.7804878048780487</v>
      </c>
      <c r="AU777" s="102" t="s">
        <v>276</v>
      </c>
      <c r="AV777" s="102" t="s">
        <v>276</v>
      </c>
      <c r="AW777" s="94" t="s">
        <v>276</v>
      </c>
      <c r="AX777" s="94" t="s">
        <v>282</v>
      </c>
      <c r="AY777" s="94" t="s">
        <v>98</v>
      </c>
      <c r="AZ777" s="94" t="s">
        <v>98</v>
      </c>
      <c r="BA777" s="94" t="s">
        <v>98</v>
      </c>
      <c r="BB777" s="94" t="s">
        <v>98</v>
      </c>
      <c r="BC777" s="95" t="s">
        <v>1358</v>
      </c>
      <c r="BD777" s="95"/>
      <c r="BE777" s="79" t="s">
        <v>100</v>
      </c>
      <c r="BF777" s="79" t="s">
        <v>98</v>
      </c>
    </row>
    <row r="778" spans="1:58" s="103" customFormat="1" ht="65" x14ac:dyDescent="0.3">
      <c r="A778" s="94">
        <v>11131</v>
      </c>
      <c r="B778" s="94" t="s">
        <v>7468</v>
      </c>
      <c r="C778" s="94" t="s">
        <v>64</v>
      </c>
      <c r="D778" s="95" t="s">
        <v>7469</v>
      </c>
      <c r="E778" s="94" t="s">
        <v>35</v>
      </c>
      <c r="F778" s="95" t="s">
        <v>131</v>
      </c>
      <c r="G778" s="94" t="s">
        <v>225</v>
      </c>
      <c r="H778" s="94" t="s">
        <v>125</v>
      </c>
      <c r="I778" s="94" t="s">
        <v>114</v>
      </c>
      <c r="J778" s="95" t="s">
        <v>24</v>
      </c>
      <c r="K778" s="95" t="s">
        <v>276</v>
      </c>
      <c r="L778" s="95" t="s">
        <v>276</v>
      </c>
      <c r="M778" s="94" t="s">
        <v>15</v>
      </c>
      <c r="N778" s="144" t="s">
        <v>3038</v>
      </c>
      <c r="O778" s="96" t="s">
        <v>207</v>
      </c>
      <c r="P778" s="97" t="s">
        <v>98</v>
      </c>
      <c r="Q778" s="95" t="s">
        <v>779</v>
      </c>
      <c r="R778" s="95" t="s">
        <v>276</v>
      </c>
      <c r="S778" s="95" t="s">
        <v>276</v>
      </c>
      <c r="T778" s="95">
        <v>4</v>
      </c>
      <c r="U778" s="98">
        <v>12855</v>
      </c>
      <c r="V778" s="99">
        <v>12855</v>
      </c>
      <c r="W778" s="94" t="s">
        <v>276</v>
      </c>
      <c r="X778" s="94" t="s">
        <v>276</v>
      </c>
      <c r="Y778" s="94" t="s">
        <v>276</v>
      </c>
      <c r="Z778" s="95" t="s">
        <v>1562</v>
      </c>
      <c r="AA778" s="94" t="s">
        <v>276</v>
      </c>
      <c r="AB778" s="95" t="s">
        <v>1562</v>
      </c>
      <c r="AC778" s="95" t="s">
        <v>7470</v>
      </c>
      <c r="AD778" s="95" t="s">
        <v>7421</v>
      </c>
      <c r="AE778" s="94">
        <f>42+35</f>
        <v>77</v>
      </c>
      <c r="AF778" s="94">
        <f>54+43</f>
        <v>97</v>
      </c>
      <c r="AG778" s="98">
        <v>12855</v>
      </c>
      <c r="AH778" s="99">
        <v>12855</v>
      </c>
      <c r="AI778" s="99" t="s">
        <v>281</v>
      </c>
      <c r="AJ778" s="100" t="s">
        <v>276</v>
      </c>
      <c r="AK778" s="101">
        <f t="shared" si="94"/>
        <v>5.9898872034227928</v>
      </c>
      <c r="AL778" s="102" t="s">
        <v>276</v>
      </c>
      <c r="AM778" s="102" t="s">
        <v>276</v>
      </c>
      <c r="AN778" s="100" t="s">
        <v>276</v>
      </c>
      <c r="AO778" s="101">
        <f t="shared" si="95"/>
        <v>7.545702061454687</v>
      </c>
      <c r="AP778" s="102" t="s">
        <v>276</v>
      </c>
      <c r="AQ778" s="102" t="s">
        <v>276</v>
      </c>
      <c r="AR778" s="94" t="s">
        <v>268</v>
      </c>
      <c r="AS778" s="102" t="s">
        <v>276</v>
      </c>
      <c r="AT778" s="102">
        <f t="shared" si="93"/>
        <v>0.79381443298969068</v>
      </c>
      <c r="AU778" s="102" t="s">
        <v>276</v>
      </c>
      <c r="AV778" s="102" t="s">
        <v>276</v>
      </c>
      <c r="AW778" s="94" t="s">
        <v>276</v>
      </c>
      <c r="AX778" s="94" t="s">
        <v>282</v>
      </c>
      <c r="AY778" s="94" t="s">
        <v>98</v>
      </c>
      <c r="AZ778" s="94" t="s">
        <v>98</v>
      </c>
      <c r="BA778" s="94" t="s">
        <v>98</v>
      </c>
      <c r="BB778" s="94" t="s">
        <v>98</v>
      </c>
      <c r="BC778" s="95" t="s">
        <v>1358</v>
      </c>
      <c r="BD778" s="95"/>
      <c r="BE778" s="79" t="s">
        <v>100</v>
      </c>
      <c r="BF778" s="79" t="s">
        <v>98</v>
      </c>
    </row>
    <row r="779" spans="1:58" s="103" customFormat="1" ht="65" x14ac:dyDescent="0.3">
      <c r="A779" s="94">
        <v>11131</v>
      </c>
      <c r="B779" s="94" t="s">
        <v>7468</v>
      </c>
      <c r="C779" s="94" t="s">
        <v>64</v>
      </c>
      <c r="D779" s="95" t="s">
        <v>7471</v>
      </c>
      <c r="E779" s="94" t="s">
        <v>35</v>
      </c>
      <c r="F779" s="95" t="s">
        <v>131</v>
      </c>
      <c r="G779" s="94" t="s">
        <v>225</v>
      </c>
      <c r="H779" s="94" t="s">
        <v>125</v>
      </c>
      <c r="I779" s="94" t="s">
        <v>114</v>
      </c>
      <c r="J779" s="95" t="s">
        <v>24</v>
      </c>
      <c r="K779" s="95" t="s">
        <v>276</v>
      </c>
      <c r="L779" s="95" t="s">
        <v>276</v>
      </c>
      <c r="M779" s="94" t="s">
        <v>15</v>
      </c>
      <c r="N779" s="144" t="s">
        <v>3442</v>
      </c>
      <c r="O779" s="96" t="s">
        <v>207</v>
      </c>
      <c r="P779" s="97" t="s">
        <v>98</v>
      </c>
      <c r="Q779" s="95" t="s">
        <v>779</v>
      </c>
      <c r="R779" s="95" t="s">
        <v>276</v>
      </c>
      <c r="S779" s="95" t="s">
        <v>276</v>
      </c>
      <c r="T779" s="95">
        <v>4</v>
      </c>
      <c r="U779" s="98">
        <v>3650</v>
      </c>
      <c r="V779" s="99">
        <v>3650</v>
      </c>
      <c r="W779" s="94" t="s">
        <v>276</v>
      </c>
      <c r="X779" s="94" t="s">
        <v>276</v>
      </c>
      <c r="Y779" s="94" t="s">
        <v>276</v>
      </c>
      <c r="Z779" s="95" t="s">
        <v>1562</v>
      </c>
      <c r="AA779" s="94" t="s">
        <v>276</v>
      </c>
      <c r="AB779" s="95" t="s">
        <v>1562</v>
      </c>
      <c r="AC779" s="95" t="s">
        <v>7472</v>
      </c>
      <c r="AD779" s="95" t="s">
        <v>7425</v>
      </c>
      <c r="AE779" s="94">
        <v>24</v>
      </c>
      <c r="AF779" s="94">
        <v>33</v>
      </c>
      <c r="AG779" s="98">
        <v>3650</v>
      </c>
      <c r="AH779" s="99">
        <v>3650</v>
      </c>
      <c r="AI779" s="99" t="s">
        <v>281</v>
      </c>
      <c r="AJ779" s="100" t="s">
        <v>276</v>
      </c>
      <c r="AK779" s="101">
        <f t="shared" si="94"/>
        <v>6.5753424657534243</v>
      </c>
      <c r="AL779" s="102" t="s">
        <v>276</v>
      </c>
      <c r="AM779" s="102" t="s">
        <v>276</v>
      </c>
      <c r="AN779" s="100" t="s">
        <v>276</v>
      </c>
      <c r="AO779" s="101">
        <f t="shared" si="95"/>
        <v>9.0410958904109595</v>
      </c>
      <c r="AP779" s="102" t="s">
        <v>276</v>
      </c>
      <c r="AQ779" s="102" t="s">
        <v>276</v>
      </c>
      <c r="AR779" s="94" t="s">
        <v>268</v>
      </c>
      <c r="AS779" s="102">
        <f>1-0.27</f>
        <v>0.73</v>
      </c>
      <c r="AT779" s="102">
        <f t="shared" si="93"/>
        <v>0.72727272727272718</v>
      </c>
      <c r="AU779" s="102">
        <f>1-0.59</f>
        <v>0.41000000000000003</v>
      </c>
      <c r="AV779" s="102">
        <f>1+0.24</f>
        <v>1.24</v>
      </c>
      <c r="AW779" s="94" t="s">
        <v>276</v>
      </c>
      <c r="AX779" s="94" t="s">
        <v>282</v>
      </c>
      <c r="AY779" s="94" t="s">
        <v>98</v>
      </c>
      <c r="AZ779" s="94" t="s">
        <v>98</v>
      </c>
      <c r="BA779" s="94" t="s">
        <v>98</v>
      </c>
      <c r="BB779" s="94" t="s">
        <v>98</v>
      </c>
      <c r="BC779" s="95" t="s">
        <v>2473</v>
      </c>
      <c r="BD779" s="95"/>
      <c r="BE779" s="79" t="s">
        <v>100</v>
      </c>
      <c r="BF779" s="79" t="s">
        <v>98</v>
      </c>
    </row>
    <row r="780" spans="1:58" s="7" customFormat="1" ht="117" x14ac:dyDescent="0.3">
      <c r="A780" s="8">
        <v>3894</v>
      </c>
      <c r="B780" s="8" t="s">
        <v>7473</v>
      </c>
      <c r="C780" s="8" t="s">
        <v>64</v>
      </c>
      <c r="D780" s="9" t="s">
        <v>7442</v>
      </c>
      <c r="E780" s="8" t="s">
        <v>35</v>
      </c>
      <c r="F780" s="9" t="s">
        <v>131</v>
      </c>
      <c r="G780" s="8" t="s">
        <v>225</v>
      </c>
      <c r="H780" s="8" t="s">
        <v>125</v>
      </c>
      <c r="I780" s="8" t="s">
        <v>114</v>
      </c>
      <c r="J780" s="9" t="s">
        <v>24</v>
      </c>
      <c r="K780" s="9" t="s">
        <v>7474</v>
      </c>
      <c r="L780" s="9" t="s">
        <v>276</v>
      </c>
      <c r="M780" s="8" t="s">
        <v>14</v>
      </c>
      <c r="N780" s="11" t="s">
        <v>98</v>
      </c>
      <c r="O780" s="12" t="s">
        <v>207</v>
      </c>
      <c r="P780" s="41" t="s">
        <v>98</v>
      </c>
      <c r="Q780" s="9" t="s">
        <v>766</v>
      </c>
      <c r="R780" s="9" t="s">
        <v>276</v>
      </c>
      <c r="S780" s="9" t="s">
        <v>276</v>
      </c>
      <c r="T780" s="9">
        <v>4</v>
      </c>
      <c r="U780" s="13">
        <v>30239</v>
      </c>
      <c r="V780" s="38">
        <v>30756</v>
      </c>
      <c r="W780" s="8" t="s">
        <v>276</v>
      </c>
      <c r="X780" s="8" t="s">
        <v>276</v>
      </c>
      <c r="Y780" s="8">
        <v>0</v>
      </c>
      <c r="Z780" s="9" t="s">
        <v>1562</v>
      </c>
      <c r="AA780" s="8">
        <v>0</v>
      </c>
      <c r="AB780" s="9" t="s">
        <v>1562</v>
      </c>
      <c r="AC780" s="9" t="s">
        <v>7443</v>
      </c>
      <c r="AD780" s="9" t="s">
        <v>4658</v>
      </c>
      <c r="AE780" s="8">
        <v>147</v>
      </c>
      <c r="AF780" s="8">
        <v>192</v>
      </c>
      <c r="AG780" s="13">
        <v>30239</v>
      </c>
      <c r="AH780" s="38">
        <v>30756</v>
      </c>
      <c r="AI780" s="38" t="s">
        <v>281</v>
      </c>
      <c r="AJ780" s="43" t="s">
        <v>276</v>
      </c>
      <c r="AK780" s="31">
        <f t="shared" si="94"/>
        <v>4.8612718674559341</v>
      </c>
      <c r="AL780" s="14" t="s">
        <v>276</v>
      </c>
      <c r="AM780" s="14" t="s">
        <v>276</v>
      </c>
      <c r="AN780" s="43" t="s">
        <v>276</v>
      </c>
      <c r="AO780" s="31">
        <f t="shared" si="95"/>
        <v>6.2426843542723374</v>
      </c>
      <c r="AP780" s="14" t="s">
        <v>276</v>
      </c>
      <c r="AQ780" s="14" t="s">
        <v>276</v>
      </c>
      <c r="AR780" s="8" t="s">
        <v>268</v>
      </c>
      <c r="AS780" s="14">
        <f>1-0.234</f>
        <v>0.76600000000000001</v>
      </c>
      <c r="AT780" s="14">
        <f t="shared" si="93"/>
        <v>0.7787149872680974</v>
      </c>
      <c r="AU780" s="14" t="s">
        <v>276</v>
      </c>
      <c r="AV780" s="14" t="s">
        <v>276</v>
      </c>
      <c r="AW780" s="8" t="s">
        <v>844</v>
      </c>
      <c r="AX780" s="8" t="s">
        <v>282</v>
      </c>
      <c r="AY780" s="8" t="s">
        <v>98</v>
      </c>
      <c r="AZ780" s="8" t="s">
        <v>98</v>
      </c>
      <c r="BA780" s="8" t="s">
        <v>98</v>
      </c>
      <c r="BB780" s="8" t="s">
        <v>98</v>
      </c>
      <c r="BC780" s="9" t="s">
        <v>426</v>
      </c>
      <c r="BD780" s="9" t="s">
        <v>7448</v>
      </c>
      <c r="BE780" s="79" t="s">
        <v>99</v>
      </c>
      <c r="BF780" s="79" t="s">
        <v>11163</v>
      </c>
    </row>
    <row r="781" spans="1:58" s="87" customFormat="1" ht="117" x14ac:dyDescent="0.3">
      <c r="A781" s="72">
        <v>3894</v>
      </c>
      <c r="B781" s="72" t="s">
        <v>7473</v>
      </c>
      <c r="C781" s="72" t="s">
        <v>64</v>
      </c>
      <c r="D781" s="73" t="s">
        <v>7475</v>
      </c>
      <c r="E781" s="72" t="s">
        <v>35</v>
      </c>
      <c r="F781" s="73" t="s">
        <v>131</v>
      </c>
      <c r="G781" s="72" t="s">
        <v>225</v>
      </c>
      <c r="H781" s="72" t="s">
        <v>125</v>
      </c>
      <c r="I781" s="72" t="s">
        <v>114</v>
      </c>
      <c r="J781" s="73" t="s">
        <v>24</v>
      </c>
      <c r="K781" s="73" t="s">
        <v>7474</v>
      </c>
      <c r="L781" s="73" t="s">
        <v>276</v>
      </c>
      <c r="M781" s="72" t="s">
        <v>14</v>
      </c>
      <c r="N781" s="84" t="s">
        <v>98</v>
      </c>
      <c r="O781" s="85" t="s">
        <v>207</v>
      </c>
      <c r="P781" s="88">
        <v>30316</v>
      </c>
      <c r="Q781" s="73" t="s">
        <v>1252</v>
      </c>
      <c r="R781" s="73" t="s">
        <v>276</v>
      </c>
      <c r="S781" s="73" t="s">
        <v>276</v>
      </c>
      <c r="T781" s="73">
        <v>4</v>
      </c>
      <c r="U781" s="74">
        <v>30239</v>
      </c>
      <c r="V781" s="75">
        <v>30756</v>
      </c>
      <c r="W781" s="72" t="s">
        <v>276</v>
      </c>
      <c r="X781" s="72" t="s">
        <v>276</v>
      </c>
      <c r="Y781" s="72">
        <v>0</v>
      </c>
      <c r="Z781" s="73" t="s">
        <v>1562</v>
      </c>
      <c r="AA781" s="72">
        <v>0</v>
      </c>
      <c r="AB781" s="73" t="s">
        <v>1562</v>
      </c>
      <c r="AC781" s="73" t="s">
        <v>7476</v>
      </c>
      <c r="AD781" s="73" t="s">
        <v>4658</v>
      </c>
      <c r="AE781" s="72">
        <v>121</v>
      </c>
      <c r="AF781" s="72">
        <v>155</v>
      </c>
      <c r="AG781" s="74">
        <v>30239</v>
      </c>
      <c r="AH781" s="75">
        <v>30756</v>
      </c>
      <c r="AI781" s="75" t="s">
        <v>281</v>
      </c>
      <c r="AJ781" s="93" t="s">
        <v>276</v>
      </c>
      <c r="AK781" s="86">
        <f t="shared" si="94"/>
        <v>4.0014550745725721</v>
      </c>
      <c r="AL781" s="76" t="s">
        <v>276</v>
      </c>
      <c r="AM781" s="76" t="s">
        <v>276</v>
      </c>
      <c r="AN781" s="93" t="s">
        <v>276</v>
      </c>
      <c r="AO781" s="86">
        <f t="shared" si="95"/>
        <v>5.0396670568344391</v>
      </c>
      <c r="AP781" s="76" t="s">
        <v>276</v>
      </c>
      <c r="AQ781" s="76" t="s">
        <v>276</v>
      </c>
      <c r="AR781" s="72" t="s">
        <v>268</v>
      </c>
      <c r="AS781" s="76">
        <f>1-0.219</f>
        <v>0.78100000000000003</v>
      </c>
      <c r="AT781" s="76">
        <f t="shared" si="93"/>
        <v>0.79399195015196145</v>
      </c>
      <c r="AU781" s="76" t="s">
        <v>276</v>
      </c>
      <c r="AV781" s="76" t="s">
        <v>276</v>
      </c>
      <c r="AW781" s="72" t="s">
        <v>844</v>
      </c>
      <c r="AX781" s="72" t="s">
        <v>282</v>
      </c>
      <c r="AY781" s="72" t="s">
        <v>98</v>
      </c>
      <c r="AZ781" s="72" t="s">
        <v>98</v>
      </c>
      <c r="BA781" s="72" t="s">
        <v>98</v>
      </c>
      <c r="BB781" s="72" t="s">
        <v>98</v>
      </c>
      <c r="BC781" s="73" t="s">
        <v>426</v>
      </c>
      <c r="BD781" s="73" t="s">
        <v>7448</v>
      </c>
      <c r="BE781" s="79" t="s">
        <v>100</v>
      </c>
      <c r="BF781" s="79" t="s">
        <v>98</v>
      </c>
    </row>
    <row r="782" spans="1:58" s="87" customFormat="1" ht="117" x14ac:dyDescent="0.3">
      <c r="A782" s="72">
        <v>3894</v>
      </c>
      <c r="B782" s="72" t="s">
        <v>7473</v>
      </c>
      <c r="C782" s="72" t="s">
        <v>64</v>
      </c>
      <c r="D782" s="73" t="s">
        <v>7477</v>
      </c>
      <c r="E782" s="72" t="s">
        <v>35</v>
      </c>
      <c r="F782" s="73" t="s">
        <v>131</v>
      </c>
      <c r="G782" s="72" t="s">
        <v>225</v>
      </c>
      <c r="H782" s="72" t="s">
        <v>125</v>
      </c>
      <c r="I782" s="72" t="s">
        <v>114</v>
      </c>
      <c r="J782" s="73" t="s">
        <v>24</v>
      </c>
      <c r="K782" s="73" t="s">
        <v>7474</v>
      </c>
      <c r="L782" s="73" t="s">
        <v>276</v>
      </c>
      <c r="M782" s="72" t="s">
        <v>14</v>
      </c>
      <c r="N782" s="84" t="s">
        <v>98</v>
      </c>
      <c r="O782" s="85" t="s">
        <v>207</v>
      </c>
      <c r="P782" s="88">
        <v>30316</v>
      </c>
      <c r="Q782" s="73" t="s">
        <v>1252</v>
      </c>
      <c r="R782" s="73" t="s">
        <v>276</v>
      </c>
      <c r="S782" s="73" t="s">
        <v>276</v>
      </c>
      <c r="T782" s="73">
        <v>4</v>
      </c>
      <c r="U782" s="74">
        <v>30239</v>
      </c>
      <c r="V782" s="75">
        <v>30756</v>
      </c>
      <c r="W782" s="72" t="s">
        <v>276</v>
      </c>
      <c r="X782" s="72" t="s">
        <v>276</v>
      </c>
      <c r="Y782" s="72">
        <v>0</v>
      </c>
      <c r="Z782" s="73" t="s">
        <v>1562</v>
      </c>
      <c r="AA782" s="72">
        <v>0</v>
      </c>
      <c r="AB782" s="73" t="s">
        <v>1562</v>
      </c>
      <c r="AC782" s="73" t="s">
        <v>7478</v>
      </c>
      <c r="AD782" s="73" t="s">
        <v>4658</v>
      </c>
      <c r="AE782" s="72">
        <v>171</v>
      </c>
      <c r="AF782" s="72">
        <v>222</v>
      </c>
      <c r="AG782" s="74">
        <v>30239</v>
      </c>
      <c r="AH782" s="75">
        <v>30756</v>
      </c>
      <c r="AI782" s="75" t="s">
        <v>281</v>
      </c>
      <c r="AJ782" s="93" t="s">
        <v>276</v>
      </c>
      <c r="AK782" s="86">
        <f t="shared" si="94"/>
        <v>5.654948907040577</v>
      </c>
      <c r="AL782" s="76" t="s">
        <v>276</v>
      </c>
      <c r="AM782" s="76" t="s">
        <v>276</v>
      </c>
      <c r="AN782" s="93" t="s">
        <v>276</v>
      </c>
      <c r="AO782" s="86">
        <f t="shared" si="95"/>
        <v>7.2181037846273899</v>
      </c>
      <c r="AP782" s="76" t="s">
        <v>276</v>
      </c>
      <c r="AQ782" s="76" t="s">
        <v>276</v>
      </c>
      <c r="AR782" s="72" t="s">
        <v>268</v>
      </c>
      <c r="AS782" s="76">
        <f>1-0.23</f>
        <v>0.77</v>
      </c>
      <c r="AT782" s="76">
        <f t="shared" si="93"/>
        <v>0.78343967831054051</v>
      </c>
      <c r="AU782" s="76" t="s">
        <v>276</v>
      </c>
      <c r="AV782" s="76" t="s">
        <v>276</v>
      </c>
      <c r="AW782" s="72" t="s">
        <v>844</v>
      </c>
      <c r="AX782" s="72" t="s">
        <v>282</v>
      </c>
      <c r="AY782" s="72" t="s">
        <v>98</v>
      </c>
      <c r="AZ782" s="72" t="s">
        <v>98</v>
      </c>
      <c r="BA782" s="72" t="s">
        <v>98</v>
      </c>
      <c r="BB782" s="72" t="s">
        <v>98</v>
      </c>
      <c r="BC782" s="73" t="s">
        <v>426</v>
      </c>
      <c r="BD782" s="73" t="s">
        <v>7448</v>
      </c>
      <c r="BE782" s="79" t="s">
        <v>100</v>
      </c>
      <c r="BF782" s="79" t="s">
        <v>98</v>
      </c>
    </row>
    <row r="783" spans="1:58" s="87" customFormat="1" ht="117" x14ac:dyDescent="0.3">
      <c r="A783" s="72">
        <v>3894</v>
      </c>
      <c r="B783" s="72" t="s">
        <v>7473</v>
      </c>
      <c r="C783" s="72" t="s">
        <v>64</v>
      </c>
      <c r="D783" s="73" t="s">
        <v>7479</v>
      </c>
      <c r="E783" s="72" t="s">
        <v>35</v>
      </c>
      <c r="F783" s="73" t="s">
        <v>131</v>
      </c>
      <c r="G783" s="72" t="s">
        <v>225</v>
      </c>
      <c r="H783" s="72" t="s">
        <v>125</v>
      </c>
      <c r="I783" s="72" t="s">
        <v>114</v>
      </c>
      <c r="J783" s="73" t="s">
        <v>24</v>
      </c>
      <c r="K783" s="73" t="s">
        <v>7474</v>
      </c>
      <c r="L783" s="73" t="s">
        <v>276</v>
      </c>
      <c r="M783" s="72" t="s">
        <v>14</v>
      </c>
      <c r="N783" s="84" t="s">
        <v>98</v>
      </c>
      <c r="O783" s="85" t="s">
        <v>207</v>
      </c>
      <c r="P783" s="88">
        <v>30316</v>
      </c>
      <c r="Q783" s="73" t="s">
        <v>1252</v>
      </c>
      <c r="R783" s="73" t="s">
        <v>276</v>
      </c>
      <c r="S783" s="73" t="s">
        <v>276</v>
      </c>
      <c r="T783" s="73">
        <v>4</v>
      </c>
      <c r="U783" s="74">
        <v>30239</v>
      </c>
      <c r="V783" s="75">
        <v>30756</v>
      </c>
      <c r="W783" s="72" t="s">
        <v>276</v>
      </c>
      <c r="X783" s="72" t="s">
        <v>276</v>
      </c>
      <c r="Y783" s="72">
        <v>0</v>
      </c>
      <c r="Z783" s="73" t="s">
        <v>1562</v>
      </c>
      <c r="AA783" s="72">
        <v>0</v>
      </c>
      <c r="AB783" s="73" t="s">
        <v>1562</v>
      </c>
      <c r="AC783" s="73" t="s">
        <v>7480</v>
      </c>
      <c r="AD783" s="73" t="s">
        <v>4658</v>
      </c>
      <c r="AE783" s="72">
        <v>236</v>
      </c>
      <c r="AF783" s="72">
        <v>281</v>
      </c>
      <c r="AG783" s="74">
        <v>30239</v>
      </c>
      <c r="AH783" s="75">
        <v>30756</v>
      </c>
      <c r="AI783" s="75" t="s">
        <v>281</v>
      </c>
      <c r="AJ783" s="93" t="s">
        <v>276</v>
      </c>
      <c r="AK783" s="86">
        <f t="shared" si="94"/>
        <v>7.8044908892489833</v>
      </c>
      <c r="AL783" s="76" t="s">
        <v>276</v>
      </c>
      <c r="AM783" s="76" t="s">
        <v>276</v>
      </c>
      <c r="AN783" s="93" t="s">
        <v>276</v>
      </c>
      <c r="AO783" s="86">
        <f t="shared" si="95"/>
        <v>9.1364286643256598</v>
      </c>
      <c r="AP783" s="76" t="s">
        <v>276</v>
      </c>
      <c r="AQ783" s="76" t="s">
        <v>276</v>
      </c>
      <c r="AR783" s="72" t="s">
        <v>268</v>
      </c>
      <c r="AS783" s="76">
        <f>1-0.16</f>
        <v>0.84</v>
      </c>
      <c r="AT783" s="76">
        <f t="shared" si="93"/>
        <v>0.85421680352221263</v>
      </c>
      <c r="AU783" s="76" t="s">
        <v>276</v>
      </c>
      <c r="AV783" s="76" t="s">
        <v>276</v>
      </c>
      <c r="AW783" s="72" t="s">
        <v>844</v>
      </c>
      <c r="AX783" s="72" t="s">
        <v>282</v>
      </c>
      <c r="AY783" s="72" t="s">
        <v>98</v>
      </c>
      <c r="AZ783" s="72" t="s">
        <v>98</v>
      </c>
      <c r="BA783" s="72" t="s">
        <v>98</v>
      </c>
      <c r="BB783" s="72" t="s">
        <v>98</v>
      </c>
      <c r="BC783" s="73" t="s">
        <v>426</v>
      </c>
      <c r="BD783" s="73" t="s">
        <v>7448</v>
      </c>
      <c r="BE783" s="79" t="s">
        <v>100</v>
      </c>
      <c r="BF783" s="79" t="s">
        <v>98</v>
      </c>
    </row>
    <row r="784" spans="1:58" s="7" customFormat="1" ht="117" x14ac:dyDescent="0.3">
      <c r="A784" s="8">
        <v>3894</v>
      </c>
      <c r="B784" s="8" t="s">
        <v>7473</v>
      </c>
      <c r="C784" s="8" t="s">
        <v>64</v>
      </c>
      <c r="D784" s="9" t="s">
        <v>7481</v>
      </c>
      <c r="E784" s="8" t="s">
        <v>35</v>
      </c>
      <c r="F784" s="9" t="s">
        <v>131</v>
      </c>
      <c r="G784" s="8" t="s">
        <v>225</v>
      </c>
      <c r="H784" s="8" t="s">
        <v>125</v>
      </c>
      <c r="I784" s="8" t="s">
        <v>114</v>
      </c>
      <c r="J784" s="9" t="s">
        <v>24</v>
      </c>
      <c r="K784" s="9" t="s">
        <v>7474</v>
      </c>
      <c r="L784" s="9" t="s">
        <v>276</v>
      </c>
      <c r="M784" s="8" t="s">
        <v>15</v>
      </c>
      <c r="N784" s="11" t="s">
        <v>3032</v>
      </c>
      <c r="O784" s="12" t="s">
        <v>207</v>
      </c>
      <c r="P784" s="41">
        <v>30316</v>
      </c>
      <c r="Q784" s="9" t="s">
        <v>1252</v>
      </c>
      <c r="R784" s="9" t="s">
        <v>276</v>
      </c>
      <c r="S784" s="9" t="s">
        <v>276</v>
      </c>
      <c r="T784" s="9">
        <v>4</v>
      </c>
      <c r="U784" s="13">
        <v>13740</v>
      </c>
      <c r="V784" s="38">
        <v>13740</v>
      </c>
      <c r="W784" s="8" t="s">
        <v>276</v>
      </c>
      <c r="X784" s="8" t="s">
        <v>276</v>
      </c>
      <c r="Y784" s="8">
        <v>0</v>
      </c>
      <c r="Z784" s="9" t="s">
        <v>1562</v>
      </c>
      <c r="AA784" s="8">
        <v>0</v>
      </c>
      <c r="AB784" s="9" t="s">
        <v>1562</v>
      </c>
      <c r="AC784" s="9" t="s">
        <v>7482</v>
      </c>
      <c r="AD784" s="9" t="s">
        <v>7418</v>
      </c>
      <c r="AE784" s="8">
        <v>49</v>
      </c>
      <c r="AF784" s="8">
        <v>61</v>
      </c>
      <c r="AG784" s="13">
        <v>13740</v>
      </c>
      <c r="AH784" s="38">
        <v>13740</v>
      </c>
      <c r="AI784" s="38" t="s">
        <v>281</v>
      </c>
      <c r="AJ784" s="43" t="s">
        <v>276</v>
      </c>
      <c r="AK784" s="31">
        <f t="shared" si="94"/>
        <v>3.5662299854439592</v>
      </c>
      <c r="AL784" s="14" t="s">
        <v>276</v>
      </c>
      <c r="AM784" s="14" t="s">
        <v>276</v>
      </c>
      <c r="AN784" s="43" t="s">
        <v>276</v>
      </c>
      <c r="AO784" s="31">
        <f t="shared" si="95"/>
        <v>4.4395924308588066</v>
      </c>
      <c r="AP784" s="14" t="s">
        <v>276</v>
      </c>
      <c r="AQ784" s="14" t="s">
        <v>276</v>
      </c>
      <c r="AR784" s="8" t="s">
        <v>268</v>
      </c>
      <c r="AS784" s="14" t="s">
        <v>276</v>
      </c>
      <c r="AT784" s="14">
        <f t="shared" si="93"/>
        <v>0.80327868852459017</v>
      </c>
      <c r="AU784" s="14" t="s">
        <v>276</v>
      </c>
      <c r="AV784" s="14" t="s">
        <v>276</v>
      </c>
      <c r="AW784" s="8" t="s">
        <v>276</v>
      </c>
      <c r="AX784" s="8" t="s">
        <v>282</v>
      </c>
      <c r="AY784" s="8" t="s">
        <v>98</v>
      </c>
      <c r="AZ784" s="8" t="s">
        <v>98</v>
      </c>
      <c r="BA784" s="8" t="s">
        <v>98</v>
      </c>
      <c r="BB784" s="8" t="s">
        <v>98</v>
      </c>
      <c r="BC784" s="9" t="s">
        <v>1020</v>
      </c>
      <c r="BD784" s="9"/>
      <c r="BE784" s="79" t="s">
        <v>100</v>
      </c>
      <c r="BF784" s="79" t="s">
        <v>98</v>
      </c>
    </row>
    <row r="785" spans="1:58" s="7" customFormat="1" ht="117" x14ac:dyDescent="0.3">
      <c r="A785" s="8">
        <v>3894</v>
      </c>
      <c r="B785" s="8" t="s">
        <v>7473</v>
      </c>
      <c r="C785" s="8" t="s">
        <v>64</v>
      </c>
      <c r="D785" s="9" t="s">
        <v>7483</v>
      </c>
      <c r="E785" s="8" t="s">
        <v>35</v>
      </c>
      <c r="F785" s="9" t="s">
        <v>131</v>
      </c>
      <c r="G785" s="8" t="s">
        <v>225</v>
      </c>
      <c r="H785" s="8" t="s">
        <v>125</v>
      </c>
      <c r="I785" s="8" t="s">
        <v>114</v>
      </c>
      <c r="J785" s="9" t="s">
        <v>24</v>
      </c>
      <c r="K785" s="9" t="s">
        <v>7474</v>
      </c>
      <c r="L785" s="9" t="s">
        <v>276</v>
      </c>
      <c r="M785" s="8" t="s">
        <v>15</v>
      </c>
      <c r="N785" s="11" t="s">
        <v>3038</v>
      </c>
      <c r="O785" s="12" t="s">
        <v>207</v>
      </c>
      <c r="P785" s="41">
        <v>30316</v>
      </c>
      <c r="Q785" s="9" t="s">
        <v>1252</v>
      </c>
      <c r="R785" s="9" t="s">
        <v>276</v>
      </c>
      <c r="S785" s="9" t="s">
        <v>276</v>
      </c>
      <c r="T785" s="9">
        <v>4</v>
      </c>
      <c r="U785" s="13">
        <v>12855</v>
      </c>
      <c r="V785" s="38">
        <v>12855</v>
      </c>
      <c r="W785" s="8" t="s">
        <v>276</v>
      </c>
      <c r="X785" s="8" t="s">
        <v>276</v>
      </c>
      <c r="Y785" s="8">
        <v>0</v>
      </c>
      <c r="Z785" s="9" t="s">
        <v>1562</v>
      </c>
      <c r="AA785" s="8">
        <v>0</v>
      </c>
      <c r="AB785" s="9" t="s">
        <v>1562</v>
      </c>
      <c r="AC785" s="9" t="s">
        <v>7484</v>
      </c>
      <c r="AD785" s="9" t="s">
        <v>7421</v>
      </c>
      <c r="AE785" s="8">
        <v>53</v>
      </c>
      <c r="AF785" s="8">
        <v>70</v>
      </c>
      <c r="AG785" s="13">
        <v>12855</v>
      </c>
      <c r="AH785" s="38">
        <v>12855</v>
      </c>
      <c r="AI785" s="38" t="s">
        <v>281</v>
      </c>
      <c r="AJ785" s="43" t="s">
        <v>276</v>
      </c>
      <c r="AK785" s="31">
        <f t="shared" si="94"/>
        <v>4.1229093737845197</v>
      </c>
      <c r="AL785" s="14" t="s">
        <v>276</v>
      </c>
      <c r="AM785" s="14" t="s">
        <v>276</v>
      </c>
      <c r="AN785" s="43" t="s">
        <v>276</v>
      </c>
      <c r="AO785" s="31">
        <f t="shared" si="95"/>
        <v>5.4453520031116298</v>
      </c>
      <c r="AP785" s="14" t="s">
        <v>276</v>
      </c>
      <c r="AQ785" s="14" t="s">
        <v>276</v>
      </c>
      <c r="AR785" s="8" t="s">
        <v>268</v>
      </c>
      <c r="AS785" s="14" t="s">
        <v>276</v>
      </c>
      <c r="AT785" s="14">
        <f t="shared" si="93"/>
        <v>0.75714285714285712</v>
      </c>
      <c r="AU785" s="14" t="s">
        <v>276</v>
      </c>
      <c r="AV785" s="14" t="s">
        <v>276</v>
      </c>
      <c r="AW785" s="8" t="s">
        <v>276</v>
      </c>
      <c r="AX785" s="8" t="s">
        <v>282</v>
      </c>
      <c r="AY785" s="8" t="s">
        <v>98</v>
      </c>
      <c r="AZ785" s="8" t="s">
        <v>98</v>
      </c>
      <c r="BA785" s="8" t="s">
        <v>98</v>
      </c>
      <c r="BB785" s="8" t="s">
        <v>98</v>
      </c>
      <c r="BC785" s="9" t="s">
        <v>1020</v>
      </c>
      <c r="BD785" s="9"/>
      <c r="BE785" s="79" t="s">
        <v>100</v>
      </c>
      <c r="BF785" s="79" t="s">
        <v>98</v>
      </c>
    </row>
    <row r="786" spans="1:58" s="7" customFormat="1" ht="117" x14ac:dyDescent="0.3">
      <c r="A786" s="8">
        <v>3894</v>
      </c>
      <c r="B786" s="8" t="s">
        <v>7473</v>
      </c>
      <c r="C786" s="8" t="s">
        <v>64</v>
      </c>
      <c r="D786" s="9" t="s">
        <v>7485</v>
      </c>
      <c r="E786" s="8" t="s">
        <v>35</v>
      </c>
      <c r="F786" s="9" t="s">
        <v>131</v>
      </c>
      <c r="G786" s="8" t="s">
        <v>225</v>
      </c>
      <c r="H786" s="8" t="s">
        <v>125</v>
      </c>
      <c r="I786" s="8" t="s">
        <v>114</v>
      </c>
      <c r="J786" s="9" t="s">
        <v>24</v>
      </c>
      <c r="K786" s="9" t="s">
        <v>7474</v>
      </c>
      <c r="L786" s="9" t="s">
        <v>276</v>
      </c>
      <c r="M786" s="8" t="s">
        <v>15</v>
      </c>
      <c r="N786" s="11" t="s">
        <v>3442</v>
      </c>
      <c r="O786" s="12" t="s">
        <v>207</v>
      </c>
      <c r="P786" s="41">
        <v>30316</v>
      </c>
      <c r="Q786" s="9" t="s">
        <v>1252</v>
      </c>
      <c r="R786" s="9" t="s">
        <v>276</v>
      </c>
      <c r="S786" s="9" t="s">
        <v>276</v>
      </c>
      <c r="T786" s="9">
        <v>4</v>
      </c>
      <c r="U786" s="13">
        <v>3650</v>
      </c>
      <c r="V786" s="38">
        <v>3650</v>
      </c>
      <c r="W786" s="8" t="s">
        <v>276</v>
      </c>
      <c r="X786" s="8" t="s">
        <v>276</v>
      </c>
      <c r="Y786" s="8">
        <v>0</v>
      </c>
      <c r="Z786" s="9" t="s">
        <v>1562</v>
      </c>
      <c r="AA786" s="8">
        <v>0</v>
      </c>
      <c r="AB786" s="9" t="s">
        <v>1562</v>
      </c>
      <c r="AC786" s="9" t="s">
        <v>7486</v>
      </c>
      <c r="AD786" s="9" t="s">
        <v>7425</v>
      </c>
      <c r="AE786" s="8">
        <v>19</v>
      </c>
      <c r="AF786" s="8">
        <v>24</v>
      </c>
      <c r="AG786" s="13">
        <v>3650</v>
      </c>
      <c r="AH786" s="38">
        <v>3650</v>
      </c>
      <c r="AI786" s="38" t="s">
        <v>281</v>
      </c>
      <c r="AJ786" s="43" t="s">
        <v>276</v>
      </c>
      <c r="AK786" s="31">
        <f t="shared" si="94"/>
        <v>5.2054794520547949</v>
      </c>
      <c r="AL786" s="14" t="s">
        <v>276</v>
      </c>
      <c r="AM786" s="14" t="s">
        <v>276</v>
      </c>
      <c r="AN786" s="43" t="s">
        <v>276</v>
      </c>
      <c r="AO786" s="31">
        <f t="shared" si="95"/>
        <v>6.5753424657534243</v>
      </c>
      <c r="AP786" s="14" t="s">
        <v>276</v>
      </c>
      <c r="AQ786" s="14" t="s">
        <v>276</v>
      </c>
      <c r="AR786" s="8" t="s">
        <v>268</v>
      </c>
      <c r="AS786" s="14" t="s">
        <v>276</v>
      </c>
      <c r="AT786" s="14">
        <f t="shared" si="93"/>
        <v>0.79166666666666674</v>
      </c>
      <c r="AU786" s="14" t="s">
        <v>276</v>
      </c>
      <c r="AV786" s="14" t="s">
        <v>276</v>
      </c>
      <c r="AW786" s="8" t="s">
        <v>276</v>
      </c>
      <c r="AX786" s="8" t="s">
        <v>282</v>
      </c>
      <c r="AY786" s="8" t="s">
        <v>98</v>
      </c>
      <c r="AZ786" s="8" t="s">
        <v>98</v>
      </c>
      <c r="BA786" s="8" t="s">
        <v>98</v>
      </c>
      <c r="BB786" s="8" t="s">
        <v>98</v>
      </c>
      <c r="BC786" s="9" t="s">
        <v>1020</v>
      </c>
      <c r="BD786" s="9"/>
      <c r="BE786" s="79" t="s">
        <v>100</v>
      </c>
      <c r="BF786" s="79" t="s">
        <v>98</v>
      </c>
    </row>
    <row r="787" spans="1:58" s="103" customFormat="1" ht="39" x14ac:dyDescent="0.3">
      <c r="A787" s="94">
        <v>11132</v>
      </c>
      <c r="B787" s="94" t="s">
        <v>7487</v>
      </c>
      <c r="C787" s="94" t="s">
        <v>64</v>
      </c>
      <c r="D787" s="95" t="s">
        <v>7488</v>
      </c>
      <c r="E787" s="94" t="s">
        <v>35</v>
      </c>
      <c r="F787" s="95" t="s">
        <v>131</v>
      </c>
      <c r="G787" s="94" t="s">
        <v>225</v>
      </c>
      <c r="H787" s="94" t="s">
        <v>125</v>
      </c>
      <c r="I787" s="94" t="s">
        <v>114</v>
      </c>
      <c r="J787" s="95" t="s">
        <v>24</v>
      </c>
      <c r="K787" s="95" t="s">
        <v>276</v>
      </c>
      <c r="L787" s="95" t="s">
        <v>276</v>
      </c>
      <c r="M787" s="94" t="s">
        <v>14</v>
      </c>
      <c r="N787" s="144" t="s">
        <v>98</v>
      </c>
      <c r="O787" s="96" t="s">
        <v>207</v>
      </c>
      <c r="P787" s="97" t="s">
        <v>98</v>
      </c>
      <c r="Q787" s="95" t="s">
        <v>705</v>
      </c>
      <c r="R787" s="95" t="s">
        <v>7489</v>
      </c>
      <c r="S787" s="95" t="s">
        <v>7490</v>
      </c>
      <c r="T787" s="95">
        <v>1</v>
      </c>
      <c r="U787" s="98">
        <v>30239</v>
      </c>
      <c r="V787" s="99">
        <v>30765</v>
      </c>
      <c r="W787" s="94" t="s">
        <v>276</v>
      </c>
      <c r="X787" s="94" t="s">
        <v>276</v>
      </c>
      <c r="Y787" s="94" t="s">
        <v>276</v>
      </c>
      <c r="Z787" s="95" t="s">
        <v>1562</v>
      </c>
      <c r="AA787" s="94" t="s">
        <v>276</v>
      </c>
      <c r="AB787" s="95" t="s">
        <v>1562</v>
      </c>
      <c r="AC787" s="95" t="s">
        <v>11703</v>
      </c>
      <c r="AD787" s="95" t="s">
        <v>1674</v>
      </c>
      <c r="AE787" s="94">
        <v>6</v>
      </c>
      <c r="AF787" s="94">
        <v>2</v>
      </c>
      <c r="AG787" s="440">
        <v>30174.5</v>
      </c>
      <c r="AH787" s="440">
        <v>30685.1</v>
      </c>
      <c r="AI787" s="99" t="s">
        <v>425</v>
      </c>
      <c r="AJ787" s="100" t="s">
        <v>276</v>
      </c>
      <c r="AK787" s="101">
        <f t="shared" si="94"/>
        <v>0.19884339425673997</v>
      </c>
      <c r="AL787" s="102" t="s">
        <v>276</v>
      </c>
      <c r="AM787" s="102" t="s">
        <v>276</v>
      </c>
      <c r="AN787" s="100" t="s">
        <v>276</v>
      </c>
      <c r="AO787" s="101">
        <f t="shared" si="95"/>
        <v>6.517821353034535E-2</v>
      </c>
      <c r="AP787" s="102" t="s">
        <v>276</v>
      </c>
      <c r="AQ787" s="102" t="s">
        <v>276</v>
      </c>
      <c r="AR787" s="94" t="s">
        <v>269</v>
      </c>
      <c r="AS787" s="102" t="s">
        <v>276</v>
      </c>
      <c r="AT787" s="102">
        <f t="shared" si="93"/>
        <v>3.0507647185537459</v>
      </c>
      <c r="AU787" s="102" t="s">
        <v>276</v>
      </c>
      <c r="AV787" s="102" t="s">
        <v>276</v>
      </c>
      <c r="AW787" s="94">
        <v>0.93</v>
      </c>
      <c r="AX787" s="94" t="s">
        <v>282</v>
      </c>
      <c r="AY787" s="94" t="s">
        <v>98</v>
      </c>
      <c r="AZ787" s="94" t="s">
        <v>98</v>
      </c>
      <c r="BA787" s="94" t="s">
        <v>98</v>
      </c>
      <c r="BB787" s="94" t="s">
        <v>98</v>
      </c>
      <c r="BC787" s="95" t="s">
        <v>1358</v>
      </c>
      <c r="BD787" s="95"/>
      <c r="BE787" s="79" t="s">
        <v>100</v>
      </c>
      <c r="BF787" s="79" t="s">
        <v>98</v>
      </c>
    </row>
    <row r="788" spans="1:58" s="103" customFormat="1" ht="39" x14ac:dyDescent="0.3">
      <c r="A788" s="94">
        <v>11132</v>
      </c>
      <c r="B788" s="94" t="s">
        <v>7487</v>
      </c>
      <c r="C788" s="94" t="s">
        <v>64</v>
      </c>
      <c r="D788" s="95" t="s">
        <v>7491</v>
      </c>
      <c r="E788" s="94" t="s">
        <v>35</v>
      </c>
      <c r="F788" s="95" t="s">
        <v>131</v>
      </c>
      <c r="G788" s="94" t="s">
        <v>225</v>
      </c>
      <c r="H788" s="94" t="s">
        <v>125</v>
      </c>
      <c r="I788" s="94" t="s">
        <v>114</v>
      </c>
      <c r="J788" s="95" t="s">
        <v>24</v>
      </c>
      <c r="K788" s="95" t="s">
        <v>276</v>
      </c>
      <c r="L788" s="95" t="s">
        <v>276</v>
      </c>
      <c r="M788" s="94" t="s">
        <v>14</v>
      </c>
      <c r="N788" s="144" t="s">
        <v>98</v>
      </c>
      <c r="O788" s="96" t="s">
        <v>207</v>
      </c>
      <c r="P788" s="97" t="s">
        <v>98</v>
      </c>
      <c r="Q788" s="95" t="s">
        <v>710</v>
      </c>
      <c r="R788" s="95" t="s">
        <v>7349</v>
      </c>
      <c r="S788" s="95" t="s">
        <v>7350</v>
      </c>
      <c r="T788" s="95">
        <v>2</v>
      </c>
      <c r="U788" s="98">
        <v>30239</v>
      </c>
      <c r="V788" s="99">
        <v>30765</v>
      </c>
      <c r="W788" s="94" t="s">
        <v>276</v>
      </c>
      <c r="X788" s="94" t="s">
        <v>276</v>
      </c>
      <c r="Y788" s="94" t="s">
        <v>276</v>
      </c>
      <c r="Z788" s="95" t="s">
        <v>1562</v>
      </c>
      <c r="AA788" s="94" t="s">
        <v>276</v>
      </c>
      <c r="AB788" s="95" t="s">
        <v>1562</v>
      </c>
      <c r="AC788" s="95" t="s">
        <v>7351</v>
      </c>
      <c r="AD788" s="95" t="s">
        <v>1674</v>
      </c>
      <c r="AE788" s="94">
        <v>11</v>
      </c>
      <c r="AF788" s="94">
        <v>8</v>
      </c>
      <c r="AG788" s="440">
        <v>60203.199999999997</v>
      </c>
      <c r="AH788" s="440">
        <v>61222.9</v>
      </c>
      <c r="AI788" s="99" t="s">
        <v>425</v>
      </c>
      <c r="AJ788" s="100" t="s">
        <v>276</v>
      </c>
      <c r="AK788" s="101">
        <f t="shared" si="94"/>
        <v>0.18271454009089219</v>
      </c>
      <c r="AL788" s="102" t="s">
        <v>276</v>
      </c>
      <c r="AM788" s="102" t="s">
        <v>276</v>
      </c>
      <c r="AN788" s="100" t="s">
        <v>276</v>
      </c>
      <c r="AO788" s="101">
        <f t="shared" si="95"/>
        <v>0.13067005973255105</v>
      </c>
      <c r="AP788" s="102" t="s">
        <v>276</v>
      </c>
      <c r="AQ788" s="102" t="s">
        <v>276</v>
      </c>
      <c r="AR788" s="94" t="s">
        <v>269</v>
      </c>
      <c r="AS788" s="102" t="s">
        <v>276</v>
      </c>
      <c r="AT788" s="102">
        <f t="shared" si="93"/>
        <v>1.3982892520663355</v>
      </c>
      <c r="AU788" s="102" t="s">
        <v>276</v>
      </c>
      <c r="AV788" s="102" t="s">
        <v>276</v>
      </c>
      <c r="AW788" s="94">
        <v>0.76</v>
      </c>
      <c r="AX788" s="94" t="s">
        <v>282</v>
      </c>
      <c r="AY788" s="94" t="s">
        <v>98</v>
      </c>
      <c r="AZ788" s="94" t="s">
        <v>98</v>
      </c>
      <c r="BA788" s="94" t="s">
        <v>98</v>
      </c>
      <c r="BB788" s="94" t="s">
        <v>98</v>
      </c>
      <c r="BC788" s="95" t="s">
        <v>1358</v>
      </c>
      <c r="BD788" s="95"/>
      <c r="BE788" s="79" t="s">
        <v>100</v>
      </c>
      <c r="BF788" s="79" t="s">
        <v>98</v>
      </c>
    </row>
    <row r="789" spans="1:58" s="103" customFormat="1" ht="39" x14ac:dyDescent="0.3">
      <c r="A789" s="94">
        <v>11132</v>
      </c>
      <c r="B789" s="94" t="s">
        <v>7487</v>
      </c>
      <c r="C789" s="94" t="s">
        <v>64</v>
      </c>
      <c r="D789" s="95" t="s">
        <v>7492</v>
      </c>
      <c r="E789" s="94" t="s">
        <v>35</v>
      </c>
      <c r="F789" s="95" t="s">
        <v>131</v>
      </c>
      <c r="G789" s="94" t="s">
        <v>225</v>
      </c>
      <c r="H789" s="94" t="s">
        <v>125</v>
      </c>
      <c r="I789" s="94" t="s">
        <v>114</v>
      </c>
      <c r="J789" s="95" t="s">
        <v>24</v>
      </c>
      <c r="K789" s="95" t="s">
        <v>276</v>
      </c>
      <c r="L789" s="95" t="s">
        <v>276</v>
      </c>
      <c r="M789" s="94" t="s">
        <v>14</v>
      </c>
      <c r="N789" s="144" t="s">
        <v>98</v>
      </c>
      <c r="O789" s="96" t="s">
        <v>207</v>
      </c>
      <c r="P789" s="97" t="s">
        <v>98</v>
      </c>
      <c r="Q789" s="95" t="s">
        <v>686</v>
      </c>
      <c r="R789" s="99" t="s">
        <v>7353</v>
      </c>
      <c r="S789" s="99" t="s">
        <v>7354</v>
      </c>
      <c r="T789" s="95">
        <v>3</v>
      </c>
      <c r="U789" s="98">
        <v>30239</v>
      </c>
      <c r="V789" s="99">
        <v>30765</v>
      </c>
      <c r="W789" s="94" t="s">
        <v>276</v>
      </c>
      <c r="X789" s="94" t="s">
        <v>276</v>
      </c>
      <c r="Y789" s="94" t="s">
        <v>276</v>
      </c>
      <c r="Z789" s="95" t="s">
        <v>1562</v>
      </c>
      <c r="AA789" s="94" t="s">
        <v>276</v>
      </c>
      <c r="AB789" s="95" t="s">
        <v>1562</v>
      </c>
      <c r="AC789" s="95" t="s">
        <v>7355</v>
      </c>
      <c r="AD789" s="95" t="s">
        <v>1674</v>
      </c>
      <c r="AE789" s="94">
        <v>17</v>
      </c>
      <c r="AF789" s="94">
        <v>19</v>
      </c>
      <c r="AG789" s="312">
        <v>90081.1</v>
      </c>
      <c r="AH789" s="312">
        <v>91580.2</v>
      </c>
      <c r="AI789" s="99" t="s">
        <v>425</v>
      </c>
      <c r="AJ789" s="100" t="s">
        <v>276</v>
      </c>
      <c r="AK789" s="101">
        <f t="shared" si="94"/>
        <v>0.18871883225227043</v>
      </c>
      <c r="AL789" s="102" t="s">
        <v>276</v>
      </c>
      <c r="AM789" s="102" t="s">
        <v>276</v>
      </c>
      <c r="AN789" s="100" t="s">
        <v>276</v>
      </c>
      <c r="AO789" s="101">
        <f t="shared" si="95"/>
        <v>0.20746842658129161</v>
      </c>
      <c r="AP789" s="102" t="s">
        <v>276</v>
      </c>
      <c r="AQ789" s="102" t="s">
        <v>276</v>
      </c>
      <c r="AR789" s="94" t="s">
        <v>269</v>
      </c>
      <c r="AS789" s="102" t="s">
        <v>276</v>
      </c>
      <c r="AT789" s="102">
        <f t="shared" si="93"/>
        <v>0.90962675796996706</v>
      </c>
      <c r="AU789" s="102" t="s">
        <v>276</v>
      </c>
      <c r="AV789" s="102" t="s">
        <v>276</v>
      </c>
      <c r="AW789" s="94">
        <v>0.39</v>
      </c>
      <c r="AX789" s="94" t="s">
        <v>282</v>
      </c>
      <c r="AY789" s="94" t="s">
        <v>98</v>
      </c>
      <c r="AZ789" s="94" t="s">
        <v>98</v>
      </c>
      <c r="BA789" s="94" t="s">
        <v>98</v>
      </c>
      <c r="BB789" s="94" t="s">
        <v>98</v>
      </c>
      <c r="BC789" s="95" t="s">
        <v>1358</v>
      </c>
      <c r="BD789" s="95"/>
      <c r="BE789" s="79" t="s">
        <v>100</v>
      </c>
      <c r="BF789" s="79" t="s">
        <v>98</v>
      </c>
    </row>
    <row r="790" spans="1:58" s="103" customFormat="1" ht="52" customHeight="1" x14ac:dyDescent="0.3">
      <c r="A790" s="94">
        <v>11132</v>
      </c>
      <c r="B790" s="94" t="s">
        <v>7487</v>
      </c>
      <c r="C790" s="94" t="s">
        <v>64</v>
      </c>
      <c r="D790" s="95" t="s">
        <v>7493</v>
      </c>
      <c r="E790" s="94" t="s">
        <v>35</v>
      </c>
      <c r="F790" s="95" t="s">
        <v>131</v>
      </c>
      <c r="G790" s="94" t="s">
        <v>225</v>
      </c>
      <c r="H790" s="94" t="s">
        <v>125</v>
      </c>
      <c r="I790" s="94" t="s">
        <v>114</v>
      </c>
      <c r="J790" s="95" t="s">
        <v>24</v>
      </c>
      <c r="K790" s="95" t="s">
        <v>276</v>
      </c>
      <c r="L790" s="95" t="s">
        <v>276</v>
      </c>
      <c r="M790" s="94" t="s">
        <v>14</v>
      </c>
      <c r="N790" s="144" t="s">
        <v>98</v>
      </c>
      <c r="O790" s="96" t="s">
        <v>207</v>
      </c>
      <c r="P790" s="97" t="s">
        <v>98</v>
      </c>
      <c r="Q790" s="95" t="s">
        <v>721</v>
      </c>
      <c r="R790" s="440" t="s">
        <v>7357</v>
      </c>
      <c r="S790" s="166" t="s">
        <v>7358</v>
      </c>
      <c r="T790" s="95">
        <v>4</v>
      </c>
      <c r="U790" s="98">
        <v>30239</v>
      </c>
      <c r="V790" s="99">
        <v>30765</v>
      </c>
      <c r="W790" s="94" t="s">
        <v>276</v>
      </c>
      <c r="X790" s="94" t="s">
        <v>276</v>
      </c>
      <c r="Y790" s="94" t="s">
        <v>276</v>
      </c>
      <c r="Z790" s="95" t="s">
        <v>1562</v>
      </c>
      <c r="AA790" s="94" t="s">
        <v>276</v>
      </c>
      <c r="AB790" s="95" t="s">
        <v>1562</v>
      </c>
      <c r="AC790" s="95" t="s">
        <v>7359</v>
      </c>
      <c r="AD790" s="95" t="s">
        <v>1674</v>
      </c>
      <c r="AE790" s="94">
        <v>24</v>
      </c>
      <c r="AF790" s="94">
        <v>38</v>
      </c>
      <c r="AG790" s="440">
        <v>119780.1</v>
      </c>
      <c r="AH790" s="440">
        <v>121754.3</v>
      </c>
      <c r="AI790" s="99" t="s">
        <v>425</v>
      </c>
      <c r="AJ790" s="100" t="s">
        <v>276</v>
      </c>
      <c r="AK790" s="101">
        <f t="shared" si="94"/>
        <v>0.20036717284423705</v>
      </c>
      <c r="AL790" s="102" t="s">
        <v>276</v>
      </c>
      <c r="AM790" s="102" t="s">
        <v>276</v>
      </c>
      <c r="AN790" s="100" t="s">
        <v>276</v>
      </c>
      <c r="AO790" s="101">
        <f t="shared" si="95"/>
        <v>0.31210396675928487</v>
      </c>
      <c r="AP790" s="102" t="s">
        <v>276</v>
      </c>
      <c r="AQ790" s="102" t="s">
        <v>276</v>
      </c>
      <c r="AR790" s="94" t="s">
        <v>269</v>
      </c>
      <c r="AS790" s="102" t="s">
        <v>276</v>
      </c>
      <c r="AT790" s="102">
        <f t="shared" si="93"/>
        <v>0.64198854927971294</v>
      </c>
      <c r="AU790" s="102" t="s">
        <v>276</v>
      </c>
      <c r="AV790" s="102" t="s">
        <v>276</v>
      </c>
      <c r="AW790" s="94">
        <v>4.3999999999999997E-2</v>
      </c>
      <c r="AX790" s="94" t="s">
        <v>282</v>
      </c>
      <c r="AY790" s="94" t="s">
        <v>98</v>
      </c>
      <c r="AZ790" s="94" t="s">
        <v>98</v>
      </c>
      <c r="BA790" s="94" t="s">
        <v>98</v>
      </c>
      <c r="BB790" s="94" t="s">
        <v>98</v>
      </c>
      <c r="BC790" s="95" t="s">
        <v>7494</v>
      </c>
      <c r="BD790" s="95"/>
      <c r="BE790" s="79" t="s">
        <v>100</v>
      </c>
      <c r="BF790" s="79" t="s">
        <v>98</v>
      </c>
    </row>
    <row r="791" spans="1:58" s="103" customFormat="1" ht="55" customHeight="1" x14ac:dyDescent="0.3">
      <c r="A791" s="94">
        <v>11132</v>
      </c>
      <c r="B791" s="94" t="s">
        <v>7487</v>
      </c>
      <c r="C791" s="94" t="s">
        <v>64</v>
      </c>
      <c r="D791" s="95" t="s">
        <v>7495</v>
      </c>
      <c r="E791" s="94" t="s">
        <v>35</v>
      </c>
      <c r="F791" s="95" t="s">
        <v>131</v>
      </c>
      <c r="G791" s="94" t="s">
        <v>225</v>
      </c>
      <c r="H791" s="94" t="s">
        <v>125</v>
      </c>
      <c r="I791" s="94" t="s">
        <v>114</v>
      </c>
      <c r="J791" s="95" t="s">
        <v>24</v>
      </c>
      <c r="K791" s="95" t="s">
        <v>276</v>
      </c>
      <c r="L791" s="95" t="s">
        <v>276</v>
      </c>
      <c r="M791" s="94" t="s">
        <v>14</v>
      </c>
      <c r="N791" s="144" t="s">
        <v>98</v>
      </c>
      <c r="O791" s="96" t="s">
        <v>207</v>
      </c>
      <c r="P791" s="97" t="s">
        <v>98</v>
      </c>
      <c r="Q791" s="95" t="s">
        <v>728</v>
      </c>
      <c r="R791" s="166" t="s">
        <v>7343</v>
      </c>
      <c r="S791" s="166" t="s">
        <v>7344</v>
      </c>
      <c r="T791" s="95">
        <v>4</v>
      </c>
      <c r="U791" s="98">
        <v>30239</v>
      </c>
      <c r="V791" s="99">
        <v>30765</v>
      </c>
      <c r="W791" s="94" t="s">
        <v>276</v>
      </c>
      <c r="X791" s="94" t="s">
        <v>276</v>
      </c>
      <c r="Y791" s="94" t="s">
        <v>276</v>
      </c>
      <c r="Z791" s="95" t="s">
        <v>1562</v>
      </c>
      <c r="AA791" s="94" t="s">
        <v>276</v>
      </c>
      <c r="AB791" s="95" t="s">
        <v>1562</v>
      </c>
      <c r="AC791" s="95" t="s">
        <v>7361</v>
      </c>
      <c r="AD791" s="95" t="s">
        <v>1674</v>
      </c>
      <c r="AE791" s="94">
        <v>39</v>
      </c>
      <c r="AF791" s="94">
        <v>63</v>
      </c>
      <c r="AG791" s="440">
        <v>149286.9</v>
      </c>
      <c r="AH791" s="440">
        <v>151718.29999999999</v>
      </c>
      <c r="AI791" s="99" t="s">
        <v>425</v>
      </c>
      <c r="AJ791" s="100" t="s">
        <v>276</v>
      </c>
      <c r="AK791" s="101">
        <f t="shared" si="94"/>
        <v>0.26124194420273983</v>
      </c>
      <c r="AL791" s="102" t="s">
        <v>276</v>
      </c>
      <c r="AM791" s="102" t="s">
        <v>276</v>
      </c>
      <c r="AN791" s="100" t="s">
        <v>276</v>
      </c>
      <c r="AO791" s="101">
        <f t="shared" si="95"/>
        <v>0.41524325015505714</v>
      </c>
      <c r="AP791" s="102" t="s">
        <v>276</v>
      </c>
      <c r="AQ791" s="102" t="s">
        <v>276</v>
      </c>
      <c r="AR791" s="94" t="s">
        <v>269</v>
      </c>
      <c r="AS791" s="102" t="s">
        <v>276</v>
      </c>
      <c r="AT791" s="102">
        <f t="shared" si="93"/>
        <v>0.62912989941483399</v>
      </c>
      <c r="AU791" s="102" t="s">
        <v>276</v>
      </c>
      <c r="AV791" s="102" t="s">
        <v>276</v>
      </c>
      <c r="AW791" s="94">
        <v>1.0999999999999999E-2</v>
      </c>
      <c r="AX791" s="94" t="s">
        <v>282</v>
      </c>
      <c r="AY791" s="94" t="s">
        <v>98</v>
      </c>
      <c r="AZ791" s="94" t="s">
        <v>98</v>
      </c>
      <c r="BA791" s="94" t="s">
        <v>98</v>
      </c>
      <c r="BB791" s="94" t="s">
        <v>98</v>
      </c>
      <c r="BC791" s="95" t="s">
        <v>7494</v>
      </c>
      <c r="BD791" s="95"/>
      <c r="BE791" s="79" t="s">
        <v>100</v>
      </c>
      <c r="BF791" s="79" t="s">
        <v>98</v>
      </c>
    </row>
    <row r="792" spans="1:58" s="103" customFormat="1" ht="55" customHeight="1" x14ac:dyDescent="0.3">
      <c r="A792" s="94">
        <v>11132</v>
      </c>
      <c r="B792" s="94" t="s">
        <v>7487</v>
      </c>
      <c r="C792" s="94" t="s">
        <v>64</v>
      </c>
      <c r="D792" s="95" t="s">
        <v>7496</v>
      </c>
      <c r="E792" s="94" t="s">
        <v>35</v>
      </c>
      <c r="F792" s="95" t="s">
        <v>131</v>
      </c>
      <c r="G792" s="94" t="s">
        <v>225</v>
      </c>
      <c r="H792" s="94" t="s">
        <v>125</v>
      </c>
      <c r="I792" s="94" t="s">
        <v>114</v>
      </c>
      <c r="J792" s="95" t="s">
        <v>24</v>
      </c>
      <c r="K792" s="95" t="s">
        <v>276</v>
      </c>
      <c r="L792" s="95" t="s">
        <v>276</v>
      </c>
      <c r="M792" s="94" t="s">
        <v>14</v>
      </c>
      <c r="N792" s="144" t="s">
        <v>98</v>
      </c>
      <c r="O792" s="96" t="s">
        <v>207</v>
      </c>
      <c r="P792" s="97" t="s">
        <v>98</v>
      </c>
      <c r="Q792" s="95" t="s">
        <v>733</v>
      </c>
      <c r="R792" s="163" t="s">
        <v>7363</v>
      </c>
      <c r="S792" s="163" t="s">
        <v>7364</v>
      </c>
      <c r="T792" s="95">
        <v>4</v>
      </c>
      <c r="U792" s="98">
        <v>30239</v>
      </c>
      <c r="V792" s="99">
        <v>30765</v>
      </c>
      <c r="W792" s="94" t="s">
        <v>276</v>
      </c>
      <c r="X792" s="94" t="s">
        <v>276</v>
      </c>
      <c r="Y792" s="94" t="s">
        <v>276</v>
      </c>
      <c r="Z792" s="95" t="s">
        <v>1562</v>
      </c>
      <c r="AA792" s="94" t="s">
        <v>276</v>
      </c>
      <c r="AB792" s="95" t="s">
        <v>1562</v>
      </c>
      <c r="AC792" s="95" t="s">
        <v>7497</v>
      </c>
      <c r="AD792" s="95" t="s">
        <v>1674</v>
      </c>
      <c r="AE792" s="94">
        <v>58</v>
      </c>
      <c r="AF792" s="94">
        <v>95</v>
      </c>
      <c r="AG792" s="440">
        <v>178567</v>
      </c>
      <c r="AH792" s="440">
        <v>181464.6</v>
      </c>
      <c r="AI792" s="99" t="s">
        <v>425</v>
      </c>
      <c r="AJ792" s="100" t="s">
        <v>276</v>
      </c>
      <c r="AK792" s="101">
        <f t="shared" si="94"/>
        <v>0.32480805523976997</v>
      </c>
      <c r="AL792" s="102" t="s">
        <v>276</v>
      </c>
      <c r="AM792" s="102" t="s">
        <v>276</v>
      </c>
      <c r="AN792" s="100" t="s">
        <v>276</v>
      </c>
      <c r="AO792" s="101">
        <f t="shared" si="95"/>
        <v>0.52351808562110735</v>
      </c>
      <c r="AP792" s="102" t="s">
        <v>276</v>
      </c>
      <c r="AQ792" s="102" t="s">
        <v>276</v>
      </c>
      <c r="AR792" s="94" t="s">
        <v>269</v>
      </c>
      <c r="AS792" s="102" t="s">
        <v>276</v>
      </c>
      <c r="AT792" s="102">
        <f t="shared" si="93"/>
        <v>0.6204333033775028</v>
      </c>
      <c r="AU792" s="102" t="s">
        <v>276</v>
      </c>
      <c r="AV792" s="102" t="s">
        <v>276</v>
      </c>
      <c r="AW792" s="94">
        <v>1.9E-3</v>
      </c>
      <c r="AX792" s="94" t="s">
        <v>282</v>
      </c>
      <c r="AY792" s="94" t="s">
        <v>98</v>
      </c>
      <c r="AZ792" s="94" t="s">
        <v>98</v>
      </c>
      <c r="BA792" s="94" t="s">
        <v>98</v>
      </c>
      <c r="BB792" s="94" t="s">
        <v>98</v>
      </c>
      <c r="BC792" s="95" t="s">
        <v>7494</v>
      </c>
      <c r="BD792" s="95"/>
      <c r="BE792" s="79" t="s">
        <v>100</v>
      </c>
      <c r="BF792" s="79" t="s">
        <v>98</v>
      </c>
    </row>
    <row r="793" spans="1:58" s="103" customFormat="1" ht="55" customHeight="1" x14ac:dyDescent="0.3">
      <c r="A793" s="94">
        <v>11132</v>
      </c>
      <c r="B793" s="94" t="s">
        <v>7487</v>
      </c>
      <c r="C793" s="94" t="s">
        <v>64</v>
      </c>
      <c r="D793" s="95" t="s">
        <v>7498</v>
      </c>
      <c r="E793" s="94" t="s">
        <v>35</v>
      </c>
      <c r="F793" s="95" t="s">
        <v>131</v>
      </c>
      <c r="G793" s="94" t="s">
        <v>225</v>
      </c>
      <c r="H793" s="94" t="s">
        <v>125</v>
      </c>
      <c r="I793" s="94" t="s">
        <v>114</v>
      </c>
      <c r="J793" s="95" t="s">
        <v>24</v>
      </c>
      <c r="K793" s="95" t="s">
        <v>276</v>
      </c>
      <c r="L793" s="95" t="s">
        <v>276</v>
      </c>
      <c r="M793" s="94" t="s">
        <v>14</v>
      </c>
      <c r="N793" s="144" t="s">
        <v>98</v>
      </c>
      <c r="O793" s="96" t="s">
        <v>207</v>
      </c>
      <c r="P793" s="97" t="s">
        <v>98</v>
      </c>
      <c r="Q793" s="95" t="s">
        <v>741</v>
      </c>
      <c r="R793" s="440" t="s">
        <v>7368</v>
      </c>
      <c r="S793" s="440" t="s">
        <v>7369</v>
      </c>
      <c r="T793" s="95">
        <v>4</v>
      </c>
      <c r="U793" s="98">
        <v>30239</v>
      </c>
      <c r="V793" s="99">
        <v>30765</v>
      </c>
      <c r="W793" s="94" t="s">
        <v>276</v>
      </c>
      <c r="X793" s="94" t="s">
        <v>276</v>
      </c>
      <c r="Y793" s="94" t="s">
        <v>276</v>
      </c>
      <c r="Z793" s="95" t="s">
        <v>1562</v>
      </c>
      <c r="AA793" s="94" t="s">
        <v>276</v>
      </c>
      <c r="AB793" s="95" t="s">
        <v>1562</v>
      </c>
      <c r="AC793" s="95" t="s">
        <v>7499</v>
      </c>
      <c r="AD793" s="95" t="s">
        <v>1674</v>
      </c>
      <c r="AE793" s="94">
        <v>81</v>
      </c>
      <c r="AF793" s="94">
        <v>124</v>
      </c>
      <c r="AG793" s="440">
        <v>207613.8</v>
      </c>
      <c r="AH793" s="440">
        <v>210969</v>
      </c>
      <c r="AI793" s="99" t="s">
        <v>425</v>
      </c>
      <c r="AJ793" s="100" t="s">
        <v>276</v>
      </c>
      <c r="AK793" s="101">
        <f t="shared" si="94"/>
        <v>0.39014747574583197</v>
      </c>
      <c r="AL793" s="102" t="s">
        <v>276</v>
      </c>
      <c r="AM793" s="102" t="s">
        <v>276</v>
      </c>
      <c r="AN793" s="100" t="s">
        <v>276</v>
      </c>
      <c r="AO793" s="101">
        <f t="shared" si="95"/>
        <v>0.58776407908270878</v>
      </c>
      <c r="AP793" s="102" t="s">
        <v>276</v>
      </c>
      <c r="AQ793" s="102" t="s">
        <v>276</v>
      </c>
      <c r="AR793" s="94" t="s">
        <v>269</v>
      </c>
      <c r="AS793" s="102" t="s">
        <v>276</v>
      </c>
      <c r="AT793" s="102">
        <f t="shared" si="93"/>
        <v>0.66378244202114867</v>
      </c>
      <c r="AU793" s="102" t="s">
        <v>276</v>
      </c>
      <c r="AV793" s="102" t="s">
        <v>276</v>
      </c>
      <c r="AW793" s="94">
        <v>1.9E-3</v>
      </c>
      <c r="AX793" s="94" t="s">
        <v>282</v>
      </c>
      <c r="AY793" s="94" t="s">
        <v>98</v>
      </c>
      <c r="AZ793" s="94" t="s">
        <v>98</v>
      </c>
      <c r="BA793" s="94" t="s">
        <v>98</v>
      </c>
      <c r="BB793" s="94" t="s">
        <v>98</v>
      </c>
      <c r="BC793" s="95" t="s">
        <v>7494</v>
      </c>
      <c r="BD793" s="95"/>
      <c r="BE793" s="79" t="s">
        <v>100</v>
      </c>
      <c r="BF793" s="79" t="s">
        <v>98</v>
      </c>
    </row>
    <row r="794" spans="1:58" s="103" customFormat="1" ht="55" customHeight="1" x14ac:dyDescent="0.3">
      <c r="A794" s="94">
        <v>11132</v>
      </c>
      <c r="B794" s="94" t="s">
        <v>7487</v>
      </c>
      <c r="C794" s="94" t="s">
        <v>64</v>
      </c>
      <c r="D794" s="95" t="s">
        <v>7500</v>
      </c>
      <c r="E794" s="94" t="s">
        <v>35</v>
      </c>
      <c r="F794" s="95" t="s">
        <v>131</v>
      </c>
      <c r="G794" s="94" t="s">
        <v>225</v>
      </c>
      <c r="H794" s="94" t="s">
        <v>125</v>
      </c>
      <c r="I794" s="94" t="s">
        <v>114</v>
      </c>
      <c r="J794" s="95" t="s">
        <v>24</v>
      </c>
      <c r="K794" s="95" t="s">
        <v>276</v>
      </c>
      <c r="L794" s="95" t="s">
        <v>276</v>
      </c>
      <c r="M794" s="94" t="s">
        <v>14</v>
      </c>
      <c r="N794" s="144" t="s">
        <v>98</v>
      </c>
      <c r="O794" s="96" t="s">
        <v>207</v>
      </c>
      <c r="P794" s="97" t="s">
        <v>98</v>
      </c>
      <c r="Q794" s="95" t="s">
        <v>746</v>
      </c>
      <c r="R794" s="440" t="s">
        <v>7378</v>
      </c>
      <c r="S794" s="440" t="s">
        <v>7379</v>
      </c>
      <c r="T794" s="95">
        <v>4</v>
      </c>
      <c r="U794" s="98">
        <v>30239</v>
      </c>
      <c r="V794" s="99">
        <v>30765</v>
      </c>
      <c r="W794" s="94" t="s">
        <v>276</v>
      </c>
      <c r="X794" s="94" t="s">
        <v>276</v>
      </c>
      <c r="Y794" s="94" t="s">
        <v>276</v>
      </c>
      <c r="Z794" s="95" t="s">
        <v>1562</v>
      </c>
      <c r="AA794" s="94" t="s">
        <v>276</v>
      </c>
      <c r="AB794" s="95" t="s">
        <v>1562</v>
      </c>
      <c r="AC794" s="95" t="s">
        <v>7501</v>
      </c>
      <c r="AD794" s="95" t="s">
        <v>1674</v>
      </c>
      <c r="AE794" s="94">
        <v>108</v>
      </c>
      <c r="AF794" s="94">
        <v>141</v>
      </c>
      <c r="AG794" s="440">
        <v>236414.8</v>
      </c>
      <c r="AH794" s="440">
        <v>240254.6</v>
      </c>
      <c r="AI794" s="99" t="s">
        <v>425</v>
      </c>
      <c r="AJ794" s="100" t="s">
        <v>276</v>
      </c>
      <c r="AK794" s="101">
        <f t="shared" si="94"/>
        <v>0.45682419205565811</v>
      </c>
      <c r="AL794" s="102" t="s">
        <v>276</v>
      </c>
      <c r="AM794" s="102" t="s">
        <v>276</v>
      </c>
      <c r="AN794" s="100" t="s">
        <v>276</v>
      </c>
      <c r="AO794" s="101">
        <f t="shared" si="95"/>
        <v>0.58687742086936112</v>
      </c>
      <c r="AP794" s="102" t="s">
        <v>276</v>
      </c>
      <c r="AQ794" s="102" t="s">
        <v>276</v>
      </c>
      <c r="AR794" s="94" t="s">
        <v>269</v>
      </c>
      <c r="AS794" s="102" t="s">
        <v>276</v>
      </c>
      <c r="AT794" s="102">
        <f t="shared" si="93"/>
        <v>0.77839796831670427</v>
      </c>
      <c r="AU794" s="102" t="s">
        <v>276</v>
      </c>
      <c r="AV794" s="102" t="s">
        <v>276</v>
      </c>
      <c r="AW794" s="94">
        <v>2.5000000000000001E-2</v>
      </c>
      <c r="AX794" s="94" t="s">
        <v>282</v>
      </c>
      <c r="AY794" s="94" t="s">
        <v>98</v>
      </c>
      <c r="AZ794" s="94" t="s">
        <v>98</v>
      </c>
      <c r="BA794" s="94" t="s">
        <v>98</v>
      </c>
      <c r="BB794" s="94" t="s">
        <v>98</v>
      </c>
      <c r="BC794" s="95" t="s">
        <v>7494</v>
      </c>
      <c r="BD794" s="95"/>
      <c r="BE794" s="79" t="s">
        <v>100</v>
      </c>
      <c r="BF794" s="79" t="s">
        <v>98</v>
      </c>
    </row>
    <row r="795" spans="1:58" s="103" customFormat="1" ht="53.15" customHeight="1" x14ac:dyDescent="0.3">
      <c r="A795" s="94">
        <v>11132</v>
      </c>
      <c r="B795" s="94" t="s">
        <v>7487</v>
      </c>
      <c r="C795" s="94" t="s">
        <v>64</v>
      </c>
      <c r="D795" s="95" t="s">
        <v>7502</v>
      </c>
      <c r="E795" s="94" t="s">
        <v>35</v>
      </c>
      <c r="F795" s="95" t="s">
        <v>131</v>
      </c>
      <c r="G795" s="94" t="s">
        <v>225</v>
      </c>
      <c r="H795" s="94" t="s">
        <v>125</v>
      </c>
      <c r="I795" s="94" t="s">
        <v>114</v>
      </c>
      <c r="J795" s="95" t="s">
        <v>24</v>
      </c>
      <c r="K795" s="95" t="s">
        <v>276</v>
      </c>
      <c r="L795" s="95" t="s">
        <v>276</v>
      </c>
      <c r="M795" s="94" t="s">
        <v>14</v>
      </c>
      <c r="N795" s="144" t="s">
        <v>98</v>
      </c>
      <c r="O795" s="96" t="s">
        <v>207</v>
      </c>
      <c r="P795" s="97" t="s">
        <v>98</v>
      </c>
      <c r="Q795" s="95" t="s">
        <v>752</v>
      </c>
      <c r="R795" s="440" t="s">
        <v>7383</v>
      </c>
      <c r="S795" s="440" t="s">
        <v>7384</v>
      </c>
      <c r="T795" s="95">
        <v>4</v>
      </c>
      <c r="U795" s="98">
        <v>30239</v>
      </c>
      <c r="V795" s="99">
        <v>30765</v>
      </c>
      <c r="W795" s="94" t="s">
        <v>276</v>
      </c>
      <c r="X795" s="94" t="s">
        <v>276</v>
      </c>
      <c r="Y795" s="94" t="s">
        <v>276</v>
      </c>
      <c r="Z795" s="95" t="s">
        <v>1562</v>
      </c>
      <c r="AA795" s="94" t="s">
        <v>276</v>
      </c>
      <c r="AB795" s="95" t="s">
        <v>1562</v>
      </c>
      <c r="AC795" s="95" t="s">
        <v>7503</v>
      </c>
      <c r="AD795" s="95" t="s">
        <v>1674</v>
      </c>
      <c r="AE795" s="94">
        <v>128</v>
      </c>
      <c r="AF795" s="94">
        <v>171</v>
      </c>
      <c r="AG795" s="440">
        <v>264972.79999999999</v>
      </c>
      <c r="AH795" s="440">
        <v>269289.3</v>
      </c>
      <c r="AI795" s="99" t="s">
        <v>425</v>
      </c>
      <c r="AJ795" s="100" t="s">
        <v>276</v>
      </c>
      <c r="AK795" s="101">
        <f t="shared" si="94"/>
        <v>0.4830684507994783</v>
      </c>
      <c r="AL795" s="102" t="s">
        <v>276</v>
      </c>
      <c r="AM795" s="102" t="s">
        <v>276</v>
      </c>
      <c r="AN795" s="100" t="s">
        <v>276</v>
      </c>
      <c r="AO795" s="101">
        <f t="shared" si="95"/>
        <v>0.63500480709779406</v>
      </c>
      <c r="AP795" s="102" t="s">
        <v>276</v>
      </c>
      <c r="AQ795" s="102" t="s">
        <v>276</v>
      </c>
      <c r="AR795" s="94" t="s">
        <v>269</v>
      </c>
      <c r="AS795" s="102" t="s">
        <v>276</v>
      </c>
      <c r="AT795" s="102">
        <f t="shared" si="93"/>
        <v>0.76073195887646761</v>
      </c>
      <c r="AU795" s="102" t="s">
        <v>276</v>
      </c>
      <c r="AV795" s="102" t="s">
        <v>276</v>
      </c>
      <c r="AW795" s="94">
        <v>9.4000000000000004E-3</v>
      </c>
      <c r="AX795" s="94" t="s">
        <v>282</v>
      </c>
      <c r="AY795" s="94" t="s">
        <v>98</v>
      </c>
      <c r="AZ795" s="94" t="s">
        <v>98</v>
      </c>
      <c r="BA795" s="94" t="s">
        <v>98</v>
      </c>
      <c r="BB795" s="94" t="s">
        <v>98</v>
      </c>
      <c r="BC795" s="95" t="s">
        <v>7494</v>
      </c>
      <c r="BD795" s="95"/>
      <c r="BE795" s="79" t="s">
        <v>100</v>
      </c>
      <c r="BF795" s="79" t="s">
        <v>98</v>
      </c>
    </row>
    <row r="796" spans="1:58" s="103" customFormat="1" ht="55" customHeight="1" x14ac:dyDescent="0.3">
      <c r="A796" s="94">
        <v>11132</v>
      </c>
      <c r="B796" s="94" t="s">
        <v>7487</v>
      </c>
      <c r="C796" s="94" t="s">
        <v>64</v>
      </c>
      <c r="D796" s="95" t="s">
        <v>7504</v>
      </c>
      <c r="E796" s="94" t="s">
        <v>35</v>
      </c>
      <c r="F796" s="95" t="s">
        <v>131</v>
      </c>
      <c r="G796" s="94" t="s">
        <v>225</v>
      </c>
      <c r="H796" s="94" t="s">
        <v>125</v>
      </c>
      <c r="I796" s="94" t="s">
        <v>114</v>
      </c>
      <c r="J796" s="95" t="s">
        <v>24</v>
      </c>
      <c r="K796" s="95" t="s">
        <v>276</v>
      </c>
      <c r="L796" s="95" t="s">
        <v>276</v>
      </c>
      <c r="M796" s="94" t="s">
        <v>14</v>
      </c>
      <c r="N796" s="144" t="s">
        <v>98</v>
      </c>
      <c r="O796" s="96" t="s">
        <v>207</v>
      </c>
      <c r="P796" s="97" t="s">
        <v>98</v>
      </c>
      <c r="Q796" s="95" t="s">
        <v>766</v>
      </c>
      <c r="R796" s="440" t="s">
        <v>7412</v>
      </c>
      <c r="S796" s="440" t="s">
        <v>7413</v>
      </c>
      <c r="T796" s="95">
        <v>4</v>
      </c>
      <c r="U796" s="98">
        <v>30239</v>
      </c>
      <c r="V796" s="99">
        <v>30765</v>
      </c>
      <c r="W796" s="94" t="s">
        <v>276</v>
      </c>
      <c r="X796" s="94" t="s">
        <v>276</v>
      </c>
      <c r="Y796" s="94" t="s">
        <v>276</v>
      </c>
      <c r="Z796" s="95" t="s">
        <v>1562</v>
      </c>
      <c r="AA796" s="94" t="s">
        <v>276</v>
      </c>
      <c r="AB796" s="95" t="s">
        <v>1562</v>
      </c>
      <c r="AC796" s="95" t="s">
        <v>7505</v>
      </c>
      <c r="AD796" s="95" t="s">
        <v>1674</v>
      </c>
      <c r="AE796" s="94">
        <v>147</v>
      </c>
      <c r="AF796" s="94">
        <v>192</v>
      </c>
      <c r="AG796" s="440">
        <v>293282.09999999998</v>
      </c>
      <c r="AH796" s="440">
        <v>298086.3</v>
      </c>
      <c r="AI796" s="99" t="s">
        <v>425</v>
      </c>
      <c r="AJ796" s="100" t="s">
        <v>276</v>
      </c>
      <c r="AK796" s="101">
        <f t="shared" si="94"/>
        <v>0.50122390694829322</v>
      </c>
      <c r="AL796" s="102" t="s">
        <v>276</v>
      </c>
      <c r="AM796" s="102" t="s">
        <v>276</v>
      </c>
      <c r="AN796" s="100" t="s">
        <v>276</v>
      </c>
      <c r="AO796" s="101">
        <f t="shared" si="95"/>
        <v>0.64410876984282739</v>
      </c>
      <c r="AP796" s="102" t="s">
        <v>276</v>
      </c>
      <c r="AQ796" s="102" t="s">
        <v>276</v>
      </c>
      <c r="AR796" s="94" t="s">
        <v>269</v>
      </c>
      <c r="AS796" s="102" t="s">
        <v>276</v>
      </c>
      <c r="AT796" s="102">
        <f t="shared" si="93"/>
        <v>0.778166561946672</v>
      </c>
      <c r="AU796" s="102" t="s">
        <v>276</v>
      </c>
      <c r="AV796" s="102" t="s">
        <v>276</v>
      </c>
      <c r="AW796" s="94">
        <v>1.0999999999999999E-2</v>
      </c>
      <c r="AX796" s="94" t="s">
        <v>282</v>
      </c>
      <c r="AY796" s="94" t="s">
        <v>98</v>
      </c>
      <c r="AZ796" s="94" t="s">
        <v>98</v>
      </c>
      <c r="BA796" s="94" t="s">
        <v>98</v>
      </c>
      <c r="BB796" s="94" t="s">
        <v>98</v>
      </c>
      <c r="BC796" s="95" t="s">
        <v>7494</v>
      </c>
      <c r="BD796" s="95"/>
      <c r="BE796" s="79" t="s">
        <v>99</v>
      </c>
      <c r="BF796" s="79" t="s">
        <v>11163</v>
      </c>
    </row>
    <row r="797" spans="1:58" s="208" customFormat="1" ht="55" customHeight="1" x14ac:dyDescent="0.3">
      <c r="A797" s="112">
        <v>11132</v>
      </c>
      <c r="B797" s="112" t="s">
        <v>7487</v>
      </c>
      <c r="C797" s="112" t="s">
        <v>64</v>
      </c>
      <c r="D797" s="113" t="s">
        <v>7506</v>
      </c>
      <c r="E797" s="112" t="s">
        <v>35</v>
      </c>
      <c r="F797" s="113" t="s">
        <v>131</v>
      </c>
      <c r="G797" s="112" t="s">
        <v>225</v>
      </c>
      <c r="H797" s="112" t="s">
        <v>125</v>
      </c>
      <c r="I797" s="112" t="s">
        <v>114</v>
      </c>
      <c r="J797" s="113" t="s">
        <v>23</v>
      </c>
      <c r="K797" s="113" t="s">
        <v>276</v>
      </c>
      <c r="L797" s="113" t="s">
        <v>276</v>
      </c>
      <c r="M797" s="112" t="s">
        <v>14</v>
      </c>
      <c r="N797" s="204" t="s">
        <v>98</v>
      </c>
      <c r="O797" s="117" t="s">
        <v>207</v>
      </c>
      <c r="P797" s="205" t="s">
        <v>98</v>
      </c>
      <c r="Q797" s="113" t="s">
        <v>766</v>
      </c>
      <c r="R797" s="441" t="s">
        <v>7412</v>
      </c>
      <c r="S797" s="441" t="s">
        <v>7413</v>
      </c>
      <c r="T797" s="113">
        <v>4</v>
      </c>
      <c r="U797" s="118">
        <v>30239</v>
      </c>
      <c r="V797" s="119">
        <v>30765</v>
      </c>
      <c r="W797" s="112" t="s">
        <v>276</v>
      </c>
      <c r="X797" s="112" t="s">
        <v>276</v>
      </c>
      <c r="Y797" s="112" t="s">
        <v>276</v>
      </c>
      <c r="Z797" s="113" t="s">
        <v>1562</v>
      </c>
      <c r="AA797" s="112" t="s">
        <v>276</v>
      </c>
      <c r="AB797" s="113" t="s">
        <v>1562</v>
      </c>
      <c r="AC797" s="113" t="s">
        <v>7507</v>
      </c>
      <c r="AD797" s="113" t="s">
        <v>1674</v>
      </c>
      <c r="AE797" s="112">
        <v>2062</v>
      </c>
      <c r="AF797" s="112">
        <v>2116</v>
      </c>
      <c r="AG797" s="441">
        <v>293282.09999999998</v>
      </c>
      <c r="AH797" s="441">
        <v>298086.3</v>
      </c>
      <c r="AI797" s="119" t="s">
        <v>425</v>
      </c>
      <c r="AJ797" s="164" t="s">
        <v>276</v>
      </c>
      <c r="AK797" s="207">
        <f t="shared" si="94"/>
        <v>7.0307734430434046</v>
      </c>
      <c r="AL797" s="121" t="s">
        <v>276</v>
      </c>
      <c r="AM797" s="121" t="s">
        <v>276</v>
      </c>
      <c r="AN797" s="164" t="s">
        <v>276</v>
      </c>
      <c r="AO797" s="207">
        <f t="shared" si="95"/>
        <v>7.0986154009761604</v>
      </c>
      <c r="AP797" s="121" t="s">
        <v>276</v>
      </c>
      <c r="AQ797" s="121" t="s">
        <v>276</v>
      </c>
      <c r="AR797" s="112" t="s">
        <v>269</v>
      </c>
      <c r="AS797" s="121" t="s">
        <v>276</v>
      </c>
      <c r="AT797" s="121">
        <f t="shared" si="93"/>
        <v>0.99044293089559032</v>
      </c>
      <c r="AU797" s="121" t="s">
        <v>276</v>
      </c>
      <c r="AV797" s="121" t="s">
        <v>276</v>
      </c>
      <c r="AW797" s="112" t="s">
        <v>691</v>
      </c>
      <c r="AX797" s="112" t="s">
        <v>282</v>
      </c>
      <c r="AY797" s="112" t="s">
        <v>98</v>
      </c>
      <c r="AZ797" s="112" t="s">
        <v>98</v>
      </c>
      <c r="BA797" s="112" t="s">
        <v>98</v>
      </c>
      <c r="BB797" s="112" t="s">
        <v>98</v>
      </c>
      <c r="BC797" s="113" t="s">
        <v>7508</v>
      </c>
      <c r="BD797" s="113"/>
      <c r="BE797" s="79" t="s">
        <v>100</v>
      </c>
      <c r="BF797" s="79" t="s">
        <v>98</v>
      </c>
    </row>
    <row r="798" spans="1:58" s="202" customFormat="1" ht="78" x14ac:dyDescent="0.3">
      <c r="A798" s="175">
        <v>3893</v>
      </c>
      <c r="B798" s="175" t="s">
        <v>7509</v>
      </c>
      <c r="C798" s="175" t="s">
        <v>64</v>
      </c>
      <c r="D798" s="176" t="s">
        <v>7510</v>
      </c>
      <c r="E798" s="175" t="s">
        <v>35</v>
      </c>
      <c r="F798" s="176" t="s">
        <v>131</v>
      </c>
      <c r="G798" s="175" t="s">
        <v>225</v>
      </c>
      <c r="H798" s="175" t="s">
        <v>125</v>
      </c>
      <c r="I798" s="175" t="s">
        <v>114</v>
      </c>
      <c r="J798" s="176" t="s">
        <v>24</v>
      </c>
      <c r="K798" s="176" t="s">
        <v>276</v>
      </c>
      <c r="L798" s="176" t="s">
        <v>276</v>
      </c>
      <c r="M798" s="175" t="s">
        <v>14</v>
      </c>
      <c r="N798" s="198" t="s">
        <v>98</v>
      </c>
      <c r="O798" s="199" t="s">
        <v>207</v>
      </c>
      <c r="P798" s="200" t="s">
        <v>276</v>
      </c>
      <c r="Q798" s="176" t="s">
        <v>1258</v>
      </c>
      <c r="R798" s="176" t="s">
        <v>276</v>
      </c>
      <c r="S798" s="176" t="s">
        <v>276</v>
      </c>
      <c r="T798" s="176">
        <v>4</v>
      </c>
      <c r="U798" s="180">
        <v>30380</v>
      </c>
      <c r="V798" s="180">
        <v>30380</v>
      </c>
      <c r="W798" s="175" t="s">
        <v>276</v>
      </c>
      <c r="X798" s="175" t="s">
        <v>276</v>
      </c>
      <c r="Y798" s="175" t="s">
        <v>276</v>
      </c>
      <c r="Z798" s="176" t="s">
        <v>1562</v>
      </c>
      <c r="AA798" s="175" t="s">
        <v>276</v>
      </c>
      <c r="AB798" s="176" t="s">
        <v>1562</v>
      </c>
      <c r="AC798" s="176" t="s">
        <v>7476</v>
      </c>
      <c r="AD798" s="176" t="s">
        <v>4658</v>
      </c>
      <c r="AE798" s="175">
        <v>126</v>
      </c>
      <c r="AF798" s="175">
        <v>163</v>
      </c>
      <c r="AG798" s="180">
        <v>30380</v>
      </c>
      <c r="AH798" s="180">
        <v>30380</v>
      </c>
      <c r="AI798" s="179" t="s">
        <v>281</v>
      </c>
      <c r="AJ798" s="195" t="s">
        <v>276</v>
      </c>
      <c r="AK798" s="201">
        <f t="shared" si="94"/>
        <v>4.1474654377880187</v>
      </c>
      <c r="AL798" s="181" t="s">
        <v>276</v>
      </c>
      <c r="AM798" s="181" t="s">
        <v>276</v>
      </c>
      <c r="AN798" s="195" t="s">
        <v>276</v>
      </c>
      <c r="AO798" s="201">
        <f t="shared" si="95"/>
        <v>5.365371955233706</v>
      </c>
      <c r="AP798" s="181" t="s">
        <v>276</v>
      </c>
      <c r="AQ798" s="181" t="s">
        <v>276</v>
      </c>
      <c r="AR798" s="175" t="s">
        <v>268</v>
      </c>
      <c r="AS798" s="181">
        <f>1-0.227</f>
        <v>0.77300000000000002</v>
      </c>
      <c r="AT798" s="181">
        <f t="shared" si="93"/>
        <v>0.77300613496932524</v>
      </c>
      <c r="AU798" s="181">
        <f>1-0.39</f>
        <v>0.61</v>
      </c>
      <c r="AV798" s="181">
        <f>1-0.027</f>
        <v>0.97299999999999998</v>
      </c>
      <c r="AW798" s="175" t="s">
        <v>844</v>
      </c>
      <c r="AX798" s="175" t="s">
        <v>282</v>
      </c>
      <c r="AY798" s="175" t="s">
        <v>98</v>
      </c>
      <c r="AZ798" s="175" t="s">
        <v>98</v>
      </c>
      <c r="BA798" s="175" t="s">
        <v>98</v>
      </c>
      <c r="BB798" s="175" t="s">
        <v>98</v>
      </c>
      <c r="BC798" s="176" t="s">
        <v>298</v>
      </c>
      <c r="BD798" s="176" t="s">
        <v>7448</v>
      </c>
      <c r="BE798" s="79" t="s">
        <v>100</v>
      </c>
      <c r="BF798" s="79" t="s">
        <v>98</v>
      </c>
    </row>
    <row r="799" spans="1:58" s="202" customFormat="1" ht="78" x14ac:dyDescent="0.3">
      <c r="A799" s="175">
        <v>3893</v>
      </c>
      <c r="B799" s="175" t="s">
        <v>7509</v>
      </c>
      <c r="C799" s="175" t="s">
        <v>64</v>
      </c>
      <c r="D799" s="176" t="s">
        <v>7511</v>
      </c>
      <c r="E799" s="175" t="s">
        <v>35</v>
      </c>
      <c r="F799" s="176" t="s">
        <v>131</v>
      </c>
      <c r="G799" s="175" t="s">
        <v>225</v>
      </c>
      <c r="H799" s="175" t="s">
        <v>125</v>
      </c>
      <c r="I799" s="175" t="s">
        <v>114</v>
      </c>
      <c r="J799" s="176" t="s">
        <v>24</v>
      </c>
      <c r="K799" s="176" t="s">
        <v>276</v>
      </c>
      <c r="L799" s="176" t="s">
        <v>276</v>
      </c>
      <c r="M799" s="175" t="s">
        <v>14</v>
      </c>
      <c r="N799" s="198" t="s">
        <v>98</v>
      </c>
      <c r="O799" s="199" t="s">
        <v>207</v>
      </c>
      <c r="P799" s="200" t="s">
        <v>276</v>
      </c>
      <c r="Q799" s="176" t="s">
        <v>1258</v>
      </c>
      <c r="R799" s="176" t="s">
        <v>276</v>
      </c>
      <c r="S799" s="176" t="s">
        <v>276</v>
      </c>
      <c r="T799" s="176">
        <v>4</v>
      </c>
      <c r="U799" s="180">
        <v>30380</v>
      </c>
      <c r="V799" s="180">
        <v>30380</v>
      </c>
      <c r="W799" s="175" t="s">
        <v>276</v>
      </c>
      <c r="X799" s="175" t="s">
        <v>276</v>
      </c>
      <c r="Y799" s="175" t="s">
        <v>276</v>
      </c>
      <c r="Z799" s="176" t="s">
        <v>1562</v>
      </c>
      <c r="AA799" s="175" t="s">
        <v>276</v>
      </c>
      <c r="AB799" s="176" t="s">
        <v>1562</v>
      </c>
      <c r="AC799" s="176" t="s">
        <v>7478</v>
      </c>
      <c r="AD799" s="176" t="s">
        <v>4658</v>
      </c>
      <c r="AE799" s="175">
        <v>180</v>
      </c>
      <c r="AF799" s="175">
        <v>236</v>
      </c>
      <c r="AG799" s="180">
        <v>30380</v>
      </c>
      <c r="AH799" s="180">
        <v>30380</v>
      </c>
      <c r="AI799" s="179" t="s">
        <v>281</v>
      </c>
      <c r="AJ799" s="195" t="s">
        <v>276</v>
      </c>
      <c r="AK799" s="201">
        <f t="shared" si="94"/>
        <v>5.924950625411455</v>
      </c>
      <c r="AL799" s="181" t="s">
        <v>276</v>
      </c>
      <c r="AM799" s="181" t="s">
        <v>276</v>
      </c>
      <c r="AN799" s="195" t="s">
        <v>276</v>
      </c>
      <c r="AO799" s="201">
        <f t="shared" si="95"/>
        <v>7.7682685977616854</v>
      </c>
      <c r="AP799" s="181" t="s">
        <v>276</v>
      </c>
      <c r="AQ799" s="181" t="s">
        <v>276</v>
      </c>
      <c r="AR799" s="175" t="s">
        <v>268</v>
      </c>
      <c r="AS799" s="181">
        <f>1-0.237</f>
        <v>0.76300000000000001</v>
      </c>
      <c r="AT799" s="181">
        <f t="shared" ref="AT799:AT800" si="96">AK799/AO799</f>
        <v>0.76271186440677963</v>
      </c>
      <c r="AU799" s="181">
        <f>1-0.374</f>
        <v>0.626</v>
      </c>
      <c r="AV799" s="181">
        <f>1-0.076</f>
        <v>0.92400000000000004</v>
      </c>
      <c r="AW799" s="175" t="s">
        <v>844</v>
      </c>
      <c r="AX799" s="175" t="s">
        <v>282</v>
      </c>
      <c r="AY799" s="175" t="s">
        <v>98</v>
      </c>
      <c r="AZ799" s="175" t="s">
        <v>98</v>
      </c>
      <c r="BA799" s="175" t="s">
        <v>98</v>
      </c>
      <c r="BB799" s="175" t="s">
        <v>98</v>
      </c>
      <c r="BC799" s="176" t="s">
        <v>298</v>
      </c>
      <c r="BD799" s="176" t="s">
        <v>7448</v>
      </c>
      <c r="BE799" s="79" t="s">
        <v>100</v>
      </c>
      <c r="BF799" s="79" t="s">
        <v>98</v>
      </c>
    </row>
    <row r="800" spans="1:58" s="202" customFormat="1" ht="78" x14ac:dyDescent="0.3">
      <c r="A800" s="175">
        <v>3893</v>
      </c>
      <c r="B800" s="175" t="s">
        <v>7509</v>
      </c>
      <c r="C800" s="175" t="s">
        <v>64</v>
      </c>
      <c r="D800" s="176" t="s">
        <v>7512</v>
      </c>
      <c r="E800" s="175" t="s">
        <v>35</v>
      </c>
      <c r="F800" s="176" t="s">
        <v>131</v>
      </c>
      <c r="G800" s="175" t="s">
        <v>225</v>
      </c>
      <c r="H800" s="175" t="s">
        <v>125</v>
      </c>
      <c r="I800" s="175" t="s">
        <v>114</v>
      </c>
      <c r="J800" s="176" t="s">
        <v>24</v>
      </c>
      <c r="K800" s="176" t="s">
        <v>276</v>
      </c>
      <c r="L800" s="176" t="s">
        <v>276</v>
      </c>
      <c r="M800" s="175" t="s">
        <v>14</v>
      </c>
      <c r="N800" s="198" t="s">
        <v>98</v>
      </c>
      <c r="O800" s="199" t="s">
        <v>207</v>
      </c>
      <c r="P800" s="200" t="s">
        <v>276</v>
      </c>
      <c r="Q800" s="176" t="s">
        <v>1258</v>
      </c>
      <c r="R800" s="176" t="s">
        <v>276</v>
      </c>
      <c r="S800" s="176" t="s">
        <v>276</v>
      </c>
      <c r="T800" s="176">
        <v>4</v>
      </c>
      <c r="U800" s="180">
        <v>30380</v>
      </c>
      <c r="V800" s="180">
        <v>30380</v>
      </c>
      <c r="W800" s="175" t="s">
        <v>276</v>
      </c>
      <c r="X800" s="175" t="s">
        <v>276</v>
      </c>
      <c r="Y800" s="175" t="s">
        <v>276</v>
      </c>
      <c r="Z800" s="176" t="s">
        <v>1562</v>
      </c>
      <c r="AA800" s="175" t="s">
        <v>276</v>
      </c>
      <c r="AB800" s="176" t="s">
        <v>1562</v>
      </c>
      <c r="AC800" s="176" t="s">
        <v>7480</v>
      </c>
      <c r="AD800" s="176" t="s">
        <v>4658</v>
      </c>
      <c r="AE800" s="175">
        <v>263</v>
      </c>
      <c r="AF800" s="175">
        <v>307</v>
      </c>
      <c r="AG800" s="180">
        <v>30380</v>
      </c>
      <c r="AH800" s="180">
        <v>30380</v>
      </c>
      <c r="AI800" s="179" t="s">
        <v>281</v>
      </c>
      <c r="AJ800" s="195" t="s">
        <v>276</v>
      </c>
      <c r="AK800" s="201">
        <f t="shared" si="94"/>
        <v>8.6570111915734032</v>
      </c>
      <c r="AL800" s="181" t="s">
        <v>276</v>
      </c>
      <c r="AM800" s="181" t="s">
        <v>276</v>
      </c>
      <c r="AN800" s="195" t="s">
        <v>276</v>
      </c>
      <c r="AO800" s="201">
        <f t="shared" si="95"/>
        <v>10.10533245556287</v>
      </c>
      <c r="AP800" s="181" t="s">
        <v>276</v>
      </c>
      <c r="AQ800" s="181" t="s">
        <v>276</v>
      </c>
      <c r="AR800" s="175" t="s">
        <v>268</v>
      </c>
      <c r="AS800" s="181">
        <f>1-0.143</f>
        <v>0.85699999999999998</v>
      </c>
      <c r="AT800" s="181">
        <f t="shared" si="96"/>
        <v>0.85667752442996747</v>
      </c>
      <c r="AU800" s="181">
        <f>1-0.277</f>
        <v>0.72299999999999998</v>
      </c>
      <c r="AV800" s="181">
        <v>1</v>
      </c>
      <c r="AW800" s="175" t="s">
        <v>276</v>
      </c>
      <c r="AX800" s="175" t="s">
        <v>282</v>
      </c>
      <c r="AY800" s="175" t="s">
        <v>98</v>
      </c>
      <c r="AZ800" s="175" t="s">
        <v>98</v>
      </c>
      <c r="BA800" s="175" t="s">
        <v>98</v>
      </c>
      <c r="BB800" s="175" t="s">
        <v>98</v>
      </c>
      <c r="BC800" s="176" t="s">
        <v>298</v>
      </c>
      <c r="BD800" s="176" t="s">
        <v>7448</v>
      </c>
      <c r="BE800" s="79" t="s">
        <v>100</v>
      </c>
      <c r="BF800" s="79" t="s">
        <v>98</v>
      </c>
    </row>
    <row r="801" spans="1:58" s="7" customFormat="1" ht="52" x14ac:dyDescent="0.3">
      <c r="A801" s="8">
        <v>9609</v>
      </c>
      <c r="B801" s="8" t="s">
        <v>7868</v>
      </c>
      <c r="C801" s="9" t="s">
        <v>81</v>
      </c>
      <c r="D801" s="9" t="s">
        <v>7869</v>
      </c>
      <c r="E801" s="8" t="s">
        <v>39</v>
      </c>
      <c r="F801" s="9" t="s">
        <v>263</v>
      </c>
      <c r="G801" s="8" t="s">
        <v>225</v>
      </c>
      <c r="H801" s="8" t="s">
        <v>125</v>
      </c>
      <c r="I801" s="8" t="s">
        <v>114</v>
      </c>
      <c r="J801" s="9" t="s">
        <v>23</v>
      </c>
      <c r="K801" s="9" t="s">
        <v>276</v>
      </c>
      <c r="L801" s="9" t="s">
        <v>3961</v>
      </c>
      <c r="M801" s="8" t="s">
        <v>14</v>
      </c>
      <c r="N801" s="11" t="s">
        <v>98</v>
      </c>
      <c r="O801" s="12" t="s">
        <v>207</v>
      </c>
      <c r="P801" s="41">
        <v>28430</v>
      </c>
      <c r="Q801" s="9" t="s">
        <v>276</v>
      </c>
      <c r="R801" s="9" t="s">
        <v>276</v>
      </c>
      <c r="S801" s="9" t="s">
        <v>276</v>
      </c>
      <c r="T801" s="9" t="s">
        <v>276</v>
      </c>
      <c r="U801" s="13" t="s">
        <v>276</v>
      </c>
      <c r="V801" s="38" t="s">
        <v>276</v>
      </c>
      <c r="W801" s="8" t="s">
        <v>276</v>
      </c>
      <c r="X801" s="8" t="s">
        <v>276</v>
      </c>
      <c r="Y801" s="8">
        <v>0</v>
      </c>
      <c r="Z801" s="8" t="s">
        <v>98</v>
      </c>
      <c r="AA801" s="8">
        <v>0</v>
      </c>
      <c r="AB801" s="8" t="s">
        <v>98</v>
      </c>
      <c r="AC801" s="9" t="s">
        <v>7870</v>
      </c>
      <c r="AD801" s="9" t="s">
        <v>7871</v>
      </c>
      <c r="AE801" s="8" t="s">
        <v>276</v>
      </c>
      <c r="AF801" s="8" t="s">
        <v>276</v>
      </c>
      <c r="AG801" s="38">
        <v>13466</v>
      </c>
      <c r="AH801" s="38">
        <v>12418</v>
      </c>
      <c r="AI801" s="13" t="s">
        <v>425</v>
      </c>
      <c r="AJ801" s="43">
        <v>19.3</v>
      </c>
      <c r="AK801" s="31" t="s">
        <v>276</v>
      </c>
      <c r="AL801" s="14" t="s">
        <v>276</v>
      </c>
      <c r="AM801" s="14" t="s">
        <v>276</v>
      </c>
      <c r="AN801" s="43">
        <v>17.899999999999999</v>
      </c>
      <c r="AO801" s="31" t="s">
        <v>276</v>
      </c>
      <c r="AP801" s="14" t="s">
        <v>276</v>
      </c>
      <c r="AQ801" s="14" t="s">
        <v>276</v>
      </c>
      <c r="AR801" s="8" t="s">
        <v>269</v>
      </c>
      <c r="AS801" s="14" t="s">
        <v>276</v>
      </c>
      <c r="AT801" s="14">
        <f>AJ801/AN801</f>
        <v>1.0782122905027933</v>
      </c>
      <c r="AU801" s="14" t="s">
        <v>276</v>
      </c>
      <c r="AV801" s="14" t="s">
        <v>276</v>
      </c>
      <c r="AW801" s="8" t="s">
        <v>276</v>
      </c>
      <c r="AX801" s="8" t="s">
        <v>282</v>
      </c>
      <c r="AY801" s="8" t="s">
        <v>276</v>
      </c>
      <c r="AZ801" s="8" t="s">
        <v>276</v>
      </c>
      <c r="BA801" s="8" t="s">
        <v>276</v>
      </c>
      <c r="BB801" s="8" t="s">
        <v>276</v>
      </c>
      <c r="BC801" s="9" t="s">
        <v>7872</v>
      </c>
      <c r="BD801" s="9" t="s">
        <v>7873</v>
      </c>
      <c r="BE801" s="33" t="s">
        <v>100</v>
      </c>
      <c r="BF801" s="33" t="s">
        <v>98</v>
      </c>
    </row>
    <row r="802" spans="1:58" s="7" customFormat="1" ht="65" x14ac:dyDescent="0.3">
      <c r="A802" s="8">
        <v>9609</v>
      </c>
      <c r="B802" s="8" t="s">
        <v>7868</v>
      </c>
      <c r="C802" s="9" t="s">
        <v>81</v>
      </c>
      <c r="D802" s="9" t="s">
        <v>7874</v>
      </c>
      <c r="E802" s="8" t="s">
        <v>39</v>
      </c>
      <c r="F802" s="9" t="s">
        <v>263</v>
      </c>
      <c r="G802" s="8" t="s">
        <v>225</v>
      </c>
      <c r="H802" s="8" t="s">
        <v>125</v>
      </c>
      <c r="I802" s="8" t="s">
        <v>114</v>
      </c>
      <c r="J802" s="9" t="s">
        <v>24</v>
      </c>
      <c r="K802" s="9" t="s">
        <v>276</v>
      </c>
      <c r="L802" s="9" t="s">
        <v>3961</v>
      </c>
      <c r="M802" s="8" t="s">
        <v>14</v>
      </c>
      <c r="N802" s="11" t="s">
        <v>98</v>
      </c>
      <c r="O802" s="12" t="s">
        <v>207</v>
      </c>
      <c r="P802" s="41">
        <v>28430</v>
      </c>
      <c r="Q802" s="9" t="s">
        <v>7338</v>
      </c>
      <c r="R802" s="9" t="s">
        <v>11432</v>
      </c>
      <c r="S802" s="9" t="s">
        <v>11433</v>
      </c>
      <c r="T802" s="9" t="s">
        <v>276</v>
      </c>
      <c r="U802" s="13" t="s">
        <v>276</v>
      </c>
      <c r="V802" s="38" t="s">
        <v>276</v>
      </c>
      <c r="W802" s="8" t="s">
        <v>276</v>
      </c>
      <c r="X802" s="8" t="s">
        <v>276</v>
      </c>
      <c r="Y802" s="8" t="s">
        <v>276</v>
      </c>
      <c r="Z802" s="8" t="s">
        <v>276</v>
      </c>
      <c r="AA802" s="8" t="s">
        <v>276</v>
      </c>
      <c r="AB802" s="8" t="s">
        <v>276</v>
      </c>
      <c r="AC802" s="9" t="s">
        <v>7875</v>
      </c>
      <c r="AD802" s="9" t="s">
        <v>7871</v>
      </c>
      <c r="AE802" s="8">
        <v>23</v>
      </c>
      <c r="AF802" s="8">
        <v>21</v>
      </c>
      <c r="AG802" s="38">
        <v>13466</v>
      </c>
      <c r="AH802" s="38">
        <v>12418</v>
      </c>
      <c r="AI802" s="13" t="s">
        <v>425</v>
      </c>
      <c r="AJ802" s="14" t="s">
        <v>276</v>
      </c>
      <c r="AK802" s="31">
        <f>AE802*1000/AG802</f>
        <v>1.7080053467993466</v>
      </c>
      <c r="AL802" s="14" t="s">
        <v>276</v>
      </c>
      <c r="AM802" s="14" t="s">
        <v>276</v>
      </c>
      <c r="AN802" s="14" t="s">
        <v>276</v>
      </c>
      <c r="AO802" s="31">
        <f>AF802*1000/AH802</f>
        <v>1.6910935738444195</v>
      </c>
      <c r="AP802" s="14" t="s">
        <v>276</v>
      </c>
      <c r="AQ802" s="14" t="s">
        <v>276</v>
      </c>
      <c r="AR802" s="8" t="s">
        <v>269</v>
      </c>
      <c r="AS802" s="14" t="s">
        <v>276</v>
      </c>
      <c r="AT802" s="14">
        <f t="shared" ref="AT802:AT807" si="97">AK802/AO802</f>
        <v>1.0100004950740136</v>
      </c>
      <c r="AU802" s="14" t="s">
        <v>276</v>
      </c>
      <c r="AV802" s="14" t="s">
        <v>276</v>
      </c>
      <c r="AW802" s="8" t="s">
        <v>276</v>
      </c>
      <c r="AX802" s="8" t="s">
        <v>282</v>
      </c>
      <c r="AY802" s="8" t="s">
        <v>276</v>
      </c>
      <c r="AZ802" s="8" t="s">
        <v>276</v>
      </c>
      <c r="BA802" s="8" t="s">
        <v>276</v>
      </c>
      <c r="BB802" s="8" t="s">
        <v>276</v>
      </c>
      <c r="BC802" s="9" t="s">
        <v>7876</v>
      </c>
      <c r="BD802" s="9" t="s">
        <v>7873</v>
      </c>
      <c r="BE802" s="33" t="s">
        <v>100</v>
      </c>
      <c r="BF802" s="33" t="s">
        <v>98</v>
      </c>
    </row>
    <row r="803" spans="1:58" s="103" customFormat="1" ht="78" x14ac:dyDescent="0.3">
      <c r="A803" s="94">
        <v>502</v>
      </c>
      <c r="B803" s="94" t="s">
        <v>7877</v>
      </c>
      <c r="C803" s="95" t="s">
        <v>81</v>
      </c>
      <c r="D803" s="95" t="s">
        <v>7878</v>
      </c>
      <c r="E803" s="94" t="s">
        <v>39</v>
      </c>
      <c r="F803" s="95" t="s">
        <v>263</v>
      </c>
      <c r="G803" s="94" t="s">
        <v>225</v>
      </c>
      <c r="H803" s="94" t="s">
        <v>125</v>
      </c>
      <c r="I803" s="94" t="s">
        <v>114</v>
      </c>
      <c r="J803" s="95" t="s">
        <v>24</v>
      </c>
      <c r="K803" s="95" t="s">
        <v>276</v>
      </c>
      <c r="L803" s="95" t="s">
        <v>276</v>
      </c>
      <c r="M803" s="94" t="s">
        <v>14</v>
      </c>
      <c r="N803" s="144" t="s">
        <v>98</v>
      </c>
      <c r="O803" s="96" t="s">
        <v>207</v>
      </c>
      <c r="P803" s="97">
        <v>29220</v>
      </c>
      <c r="Q803" s="95" t="s">
        <v>276</v>
      </c>
      <c r="R803" s="95" t="s">
        <v>276</v>
      </c>
      <c r="S803" s="95" t="s">
        <v>276</v>
      </c>
      <c r="T803" s="95" t="s">
        <v>276</v>
      </c>
      <c r="U803" s="98">
        <v>4500</v>
      </c>
      <c r="V803" s="99">
        <v>4500</v>
      </c>
      <c r="W803" s="94" t="s">
        <v>276</v>
      </c>
      <c r="X803" s="94" t="s">
        <v>276</v>
      </c>
      <c r="Y803" s="94" t="s">
        <v>276</v>
      </c>
      <c r="Z803" s="94" t="s">
        <v>276</v>
      </c>
      <c r="AA803" s="94" t="s">
        <v>276</v>
      </c>
      <c r="AB803" s="94" t="s">
        <v>276</v>
      </c>
      <c r="AC803" s="95" t="s">
        <v>7879</v>
      </c>
      <c r="AD803" s="95" t="s">
        <v>689</v>
      </c>
      <c r="AE803" s="94">
        <v>42</v>
      </c>
      <c r="AF803" s="94">
        <v>50</v>
      </c>
      <c r="AG803" s="99">
        <v>4500</v>
      </c>
      <c r="AH803" s="99">
        <v>4500</v>
      </c>
      <c r="AI803" s="98" t="s">
        <v>292</v>
      </c>
      <c r="AJ803" s="102" t="s">
        <v>276</v>
      </c>
      <c r="AK803" s="101">
        <f>AE803*100/AG803</f>
        <v>0.93333333333333335</v>
      </c>
      <c r="AL803" s="102" t="s">
        <v>276</v>
      </c>
      <c r="AM803" s="102" t="s">
        <v>276</v>
      </c>
      <c r="AN803" s="102" t="s">
        <v>276</v>
      </c>
      <c r="AO803" s="101">
        <f>AF803*100/AH803</f>
        <v>1.1111111111111112</v>
      </c>
      <c r="AP803" s="102" t="s">
        <v>276</v>
      </c>
      <c r="AQ803" s="102" t="s">
        <v>276</v>
      </c>
      <c r="AR803" s="94" t="s">
        <v>268</v>
      </c>
      <c r="AS803" s="102" t="s">
        <v>276</v>
      </c>
      <c r="AT803" s="102">
        <f t="shared" si="97"/>
        <v>0.84</v>
      </c>
      <c r="AU803" s="102" t="s">
        <v>276</v>
      </c>
      <c r="AV803" s="102" t="s">
        <v>276</v>
      </c>
      <c r="AW803" s="94" t="s">
        <v>276</v>
      </c>
      <c r="AX803" s="94" t="s">
        <v>282</v>
      </c>
      <c r="AY803" s="94" t="s">
        <v>276</v>
      </c>
      <c r="AZ803" s="94" t="s">
        <v>276</v>
      </c>
      <c r="BA803" s="94" t="s">
        <v>276</v>
      </c>
      <c r="BB803" s="94" t="s">
        <v>276</v>
      </c>
      <c r="BC803" s="95" t="s">
        <v>7880</v>
      </c>
      <c r="BD803" s="95"/>
      <c r="BE803" s="33" t="s">
        <v>100</v>
      </c>
      <c r="BF803" s="33" t="s">
        <v>98</v>
      </c>
    </row>
    <row r="804" spans="1:58" s="160" customFormat="1" ht="39" x14ac:dyDescent="0.3">
      <c r="A804" s="150">
        <v>513</v>
      </c>
      <c r="B804" s="151" t="s">
        <v>7881</v>
      </c>
      <c r="C804" s="151" t="s">
        <v>81</v>
      </c>
      <c r="D804" s="151" t="s">
        <v>7882</v>
      </c>
      <c r="E804" s="150" t="s">
        <v>39</v>
      </c>
      <c r="F804" s="151" t="s">
        <v>263</v>
      </c>
      <c r="G804" s="150" t="s">
        <v>225</v>
      </c>
      <c r="H804" s="150" t="s">
        <v>125</v>
      </c>
      <c r="I804" s="150" t="s">
        <v>114</v>
      </c>
      <c r="J804" s="151" t="s">
        <v>24</v>
      </c>
      <c r="K804" s="151" t="s">
        <v>276</v>
      </c>
      <c r="L804" s="151" t="s">
        <v>276</v>
      </c>
      <c r="M804" s="150" t="s">
        <v>14</v>
      </c>
      <c r="N804" s="152" t="s">
        <v>98</v>
      </c>
      <c r="O804" s="153" t="s">
        <v>207</v>
      </c>
      <c r="P804" s="342">
        <v>29312</v>
      </c>
      <c r="Q804" s="151" t="s">
        <v>276</v>
      </c>
      <c r="R804" s="151" t="s">
        <v>276</v>
      </c>
      <c r="S804" s="151" t="s">
        <v>276</v>
      </c>
      <c r="T804" s="151" t="s">
        <v>276</v>
      </c>
      <c r="U804" s="155">
        <v>4624</v>
      </c>
      <c r="V804" s="151">
        <v>4598</v>
      </c>
      <c r="W804" s="150" t="s">
        <v>276</v>
      </c>
      <c r="X804" s="150" t="s">
        <v>276</v>
      </c>
      <c r="Y804" s="150" t="s">
        <v>276</v>
      </c>
      <c r="Z804" s="150" t="s">
        <v>276</v>
      </c>
      <c r="AA804" s="150" t="s">
        <v>276</v>
      </c>
      <c r="AB804" s="150" t="s">
        <v>276</v>
      </c>
      <c r="AC804" s="151" t="s">
        <v>7883</v>
      </c>
      <c r="AD804" s="151" t="s">
        <v>689</v>
      </c>
      <c r="AE804" s="150">
        <v>51</v>
      </c>
      <c r="AF804" s="150">
        <v>54</v>
      </c>
      <c r="AG804" s="155">
        <v>4624</v>
      </c>
      <c r="AH804" s="151">
        <v>4598</v>
      </c>
      <c r="AI804" s="155" t="s">
        <v>292</v>
      </c>
      <c r="AJ804" s="159" t="s">
        <v>276</v>
      </c>
      <c r="AK804" s="158">
        <f>AE804*100/AG804</f>
        <v>1.1029411764705883</v>
      </c>
      <c r="AL804" s="159" t="s">
        <v>276</v>
      </c>
      <c r="AM804" s="159" t="s">
        <v>276</v>
      </c>
      <c r="AN804" s="159" t="s">
        <v>276</v>
      </c>
      <c r="AO804" s="158">
        <f>AF804*100/AH804</f>
        <v>1.17442366246194</v>
      </c>
      <c r="AP804" s="159" t="s">
        <v>276</v>
      </c>
      <c r="AQ804" s="159" t="s">
        <v>276</v>
      </c>
      <c r="AR804" s="150" t="s">
        <v>268</v>
      </c>
      <c r="AS804" s="159" t="s">
        <v>276</v>
      </c>
      <c r="AT804" s="159">
        <f t="shared" si="97"/>
        <v>0.93913398692810468</v>
      </c>
      <c r="AU804" s="159" t="s">
        <v>276</v>
      </c>
      <c r="AV804" s="159" t="s">
        <v>276</v>
      </c>
      <c r="AW804" s="150" t="s">
        <v>276</v>
      </c>
      <c r="AX804" s="150" t="s">
        <v>282</v>
      </c>
      <c r="AY804" s="150" t="s">
        <v>276</v>
      </c>
      <c r="AZ804" s="150" t="s">
        <v>276</v>
      </c>
      <c r="BA804" s="150" t="s">
        <v>276</v>
      </c>
      <c r="BB804" s="150" t="s">
        <v>276</v>
      </c>
      <c r="BC804" s="151" t="s">
        <v>7884</v>
      </c>
      <c r="BD804" s="151"/>
      <c r="BE804" s="33" t="s">
        <v>100</v>
      </c>
      <c r="BF804" s="33" t="s">
        <v>98</v>
      </c>
    </row>
    <row r="805" spans="1:58" s="149" customFormat="1" ht="39" x14ac:dyDescent="0.3">
      <c r="A805" s="126">
        <v>513</v>
      </c>
      <c r="B805" s="127" t="s">
        <v>7881</v>
      </c>
      <c r="C805" s="127" t="s">
        <v>81</v>
      </c>
      <c r="D805" s="127" t="s">
        <v>7885</v>
      </c>
      <c r="E805" s="126" t="s">
        <v>39</v>
      </c>
      <c r="F805" s="127" t="s">
        <v>263</v>
      </c>
      <c r="G805" s="126" t="s">
        <v>225</v>
      </c>
      <c r="H805" s="126" t="s">
        <v>125</v>
      </c>
      <c r="I805" s="126" t="s">
        <v>114</v>
      </c>
      <c r="J805" s="127" t="s">
        <v>24</v>
      </c>
      <c r="K805" s="127" t="s">
        <v>276</v>
      </c>
      <c r="L805" s="127" t="s">
        <v>276</v>
      </c>
      <c r="M805" s="126" t="s">
        <v>14</v>
      </c>
      <c r="N805" s="145" t="s">
        <v>98</v>
      </c>
      <c r="O805" s="131" t="s">
        <v>207</v>
      </c>
      <c r="P805" s="197">
        <v>29312</v>
      </c>
      <c r="Q805" s="127" t="s">
        <v>276</v>
      </c>
      <c r="R805" s="127" t="s">
        <v>276</v>
      </c>
      <c r="S805" s="127" t="s">
        <v>276</v>
      </c>
      <c r="T805" s="127" t="s">
        <v>276</v>
      </c>
      <c r="U805" s="132">
        <v>4624</v>
      </c>
      <c r="V805" s="127">
        <v>4598</v>
      </c>
      <c r="W805" s="126" t="s">
        <v>276</v>
      </c>
      <c r="X805" s="126" t="s">
        <v>276</v>
      </c>
      <c r="Y805" s="126" t="s">
        <v>276</v>
      </c>
      <c r="Z805" s="126" t="s">
        <v>276</v>
      </c>
      <c r="AA805" s="126" t="s">
        <v>276</v>
      </c>
      <c r="AB805" s="126" t="s">
        <v>276</v>
      </c>
      <c r="AC805" s="127" t="s">
        <v>7883</v>
      </c>
      <c r="AD805" s="127" t="s">
        <v>7886</v>
      </c>
      <c r="AE805" s="126">
        <v>51</v>
      </c>
      <c r="AF805" s="126">
        <v>54</v>
      </c>
      <c r="AG805" s="134">
        <v>23482.9</v>
      </c>
      <c r="AH805" s="134">
        <v>23036.6</v>
      </c>
      <c r="AI805" s="132" t="s">
        <v>425</v>
      </c>
      <c r="AJ805" s="147">
        <v>2.2000000000000002</v>
      </c>
      <c r="AK805" s="148">
        <f>AE805*1000/AG805</f>
        <v>2.1717930919946</v>
      </c>
      <c r="AL805" s="135" t="s">
        <v>276</v>
      </c>
      <c r="AM805" s="135" t="s">
        <v>276</v>
      </c>
      <c r="AN805" s="147">
        <v>2.2999999999999998</v>
      </c>
      <c r="AO805" s="148">
        <f>AF805*1000/AH805</f>
        <v>2.3440959169321864</v>
      </c>
      <c r="AP805" s="135" t="s">
        <v>276</v>
      </c>
      <c r="AQ805" s="135" t="s">
        <v>276</v>
      </c>
      <c r="AR805" s="126" t="s">
        <v>269</v>
      </c>
      <c r="AS805" s="135" t="s">
        <v>276</v>
      </c>
      <c r="AT805" s="135">
        <f t="shared" si="97"/>
        <v>0.92649497672301473</v>
      </c>
      <c r="AU805" s="135" t="s">
        <v>276</v>
      </c>
      <c r="AV805" s="135" t="s">
        <v>276</v>
      </c>
      <c r="AW805" s="126" t="s">
        <v>276</v>
      </c>
      <c r="AX805" s="126" t="s">
        <v>282</v>
      </c>
      <c r="AY805" s="126" t="s">
        <v>276</v>
      </c>
      <c r="AZ805" s="126" t="s">
        <v>276</v>
      </c>
      <c r="BA805" s="126" t="s">
        <v>276</v>
      </c>
      <c r="BB805" s="126" t="s">
        <v>276</v>
      </c>
      <c r="BC805" s="127" t="s">
        <v>7884</v>
      </c>
      <c r="BD805" s="127" t="s">
        <v>7887</v>
      </c>
      <c r="BE805" s="33" t="s">
        <v>100</v>
      </c>
      <c r="BF805" s="33" t="s">
        <v>98</v>
      </c>
    </row>
    <row r="806" spans="1:58" s="202" customFormat="1" ht="65" x14ac:dyDescent="0.3">
      <c r="A806" s="175">
        <v>531</v>
      </c>
      <c r="B806" s="176" t="s">
        <v>7888</v>
      </c>
      <c r="C806" s="176" t="s">
        <v>81</v>
      </c>
      <c r="D806" s="176" t="s">
        <v>7889</v>
      </c>
      <c r="E806" s="175" t="s">
        <v>39</v>
      </c>
      <c r="F806" s="176" t="s">
        <v>263</v>
      </c>
      <c r="G806" s="175" t="s">
        <v>225</v>
      </c>
      <c r="H806" s="175" t="s">
        <v>125</v>
      </c>
      <c r="I806" s="175" t="s">
        <v>114</v>
      </c>
      <c r="J806" s="176" t="s">
        <v>24</v>
      </c>
      <c r="K806" s="176" t="s">
        <v>7890</v>
      </c>
      <c r="L806" s="176" t="s">
        <v>276</v>
      </c>
      <c r="M806" s="175" t="s">
        <v>14</v>
      </c>
      <c r="N806" s="198" t="s">
        <v>98</v>
      </c>
      <c r="O806" s="199" t="s">
        <v>207</v>
      </c>
      <c r="P806" s="200" t="s">
        <v>276</v>
      </c>
      <c r="Q806" s="176" t="s">
        <v>733</v>
      </c>
      <c r="R806" s="176" t="s">
        <v>276</v>
      </c>
      <c r="S806" s="176" t="s">
        <v>276</v>
      </c>
      <c r="T806" s="176">
        <v>18</v>
      </c>
      <c r="U806" s="180">
        <v>4618</v>
      </c>
      <c r="V806" s="179">
        <v>4593</v>
      </c>
      <c r="W806" s="175" t="s">
        <v>276</v>
      </c>
      <c r="X806" s="175" t="s">
        <v>276</v>
      </c>
      <c r="Y806" s="175" t="s">
        <v>276</v>
      </c>
      <c r="Z806" s="175" t="s">
        <v>276</v>
      </c>
      <c r="AA806" s="175" t="s">
        <v>276</v>
      </c>
      <c r="AB806" s="175" t="s">
        <v>276</v>
      </c>
      <c r="AC806" s="176" t="s">
        <v>7891</v>
      </c>
      <c r="AD806" s="176" t="s">
        <v>689</v>
      </c>
      <c r="AE806" s="175">
        <v>62</v>
      </c>
      <c r="AF806" s="175">
        <v>54</v>
      </c>
      <c r="AG806" s="180">
        <v>4618</v>
      </c>
      <c r="AH806" s="180">
        <v>4593</v>
      </c>
      <c r="AI806" s="180" t="s">
        <v>292</v>
      </c>
      <c r="AJ806" s="181" t="s">
        <v>276</v>
      </c>
      <c r="AK806" s="201">
        <f>AE806*100/AG806</f>
        <v>1.3425725422260719</v>
      </c>
      <c r="AL806" s="181" t="s">
        <v>276</v>
      </c>
      <c r="AM806" s="181" t="s">
        <v>276</v>
      </c>
      <c r="AN806" s="181" t="s">
        <v>276</v>
      </c>
      <c r="AO806" s="201">
        <f>AF806*100/AH806</f>
        <v>1.1757021554539517</v>
      </c>
      <c r="AP806" s="181" t="s">
        <v>276</v>
      </c>
      <c r="AQ806" s="181" t="s">
        <v>276</v>
      </c>
      <c r="AR806" s="175" t="s">
        <v>268</v>
      </c>
      <c r="AS806" s="181" t="s">
        <v>276</v>
      </c>
      <c r="AT806" s="181">
        <f t="shared" si="97"/>
        <v>1.141932534526731</v>
      </c>
      <c r="AU806" s="181" t="s">
        <v>276</v>
      </c>
      <c r="AV806" s="181" t="s">
        <v>276</v>
      </c>
      <c r="AW806" s="175" t="s">
        <v>276</v>
      </c>
      <c r="AX806" s="175" t="s">
        <v>282</v>
      </c>
      <c r="AY806" s="175" t="s">
        <v>276</v>
      </c>
      <c r="AZ806" s="175" t="s">
        <v>276</v>
      </c>
      <c r="BA806" s="175" t="s">
        <v>276</v>
      </c>
      <c r="BB806" s="175" t="s">
        <v>276</v>
      </c>
      <c r="BC806" s="176" t="s">
        <v>7892</v>
      </c>
      <c r="BD806" s="176"/>
      <c r="BE806" s="33" t="s">
        <v>100</v>
      </c>
      <c r="BF806" s="33" t="s">
        <v>98</v>
      </c>
    </row>
    <row r="807" spans="1:58" s="202" customFormat="1" ht="65" x14ac:dyDescent="0.3">
      <c r="A807" s="175">
        <v>531</v>
      </c>
      <c r="B807" s="176" t="s">
        <v>7888</v>
      </c>
      <c r="C807" s="176" t="s">
        <v>81</v>
      </c>
      <c r="D807" s="176" t="s">
        <v>7893</v>
      </c>
      <c r="E807" s="175" t="s">
        <v>39</v>
      </c>
      <c r="F807" s="176" t="s">
        <v>263</v>
      </c>
      <c r="G807" s="175" t="s">
        <v>225</v>
      </c>
      <c r="H807" s="175" t="s">
        <v>125</v>
      </c>
      <c r="I807" s="175" t="s">
        <v>114</v>
      </c>
      <c r="J807" s="176" t="s">
        <v>24</v>
      </c>
      <c r="K807" s="176" t="s">
        <v>7890</v>
      </c>
      <c r="L807" s="176" t="s">
        <v>276</v>
      </c>
      <c r="M807" s="175" t="s">
        <v>14</v>
      </c>
      <c r="N807" s="198" t="s">
        <v>98</v>
      </c>
      <c r="O807" s="199" t="s">
        <v>207</v>
      </c>
      <c r="P807" s="200">
        <v>30498</v>
      </c>
      <c r="Q807" s="176" t="s">
        <v>276</v>
      </c>
      <c r="R807" s="176" t="s">
        <v>7894</v>
      </c>
      <c r="S807" s="176" t="s">
        <v>7894</v>
      </c>
      <c r="T807" s="176">
        <v>18</v>
      </c>
      <c r="U807" s="180">
        <v>4618</v>
      </c>
      <c r="V807" s="179">
        <v>4593</v>
      </c>
      <c r="W807" s="175" t="s">
        <v>276</v>
      </c>
      <c r="X807" s="175" t="s">
        <v>276</v>
      </c>
      <c r="Y807" s="175" t="s">
        <v>276</v>
      </c>
      <c r="Z807" s="175" t="s">
        <v>276</v>
      </c>
      <c r="AA807" s="175" t="s">
        <v>276</v>
      </c>
      <c r="AB807" s="175" t="s">
        <v>276</v>
      </c>
      <c r="AC807" s="176" t="s">
        <v>7895</v>
      </c>
      <c r="AD807" s="176" t="s">
        <v>689</v>
      </c>
      <c r="AE807" s="175">
        <v>122</v>
      </c>
      <c r="AF807" s="175">
        <v>115</v>
      </c>
      <c r="AG807" s="180">
        <v>4618</v>
      </c>
      <c r="AH807" s="180">
        <v>4593</v>
      </c>
      <c r="AI807" s="180" t="s">
        <v>292</v>
      </c>
      <c r="AJ807" s="181" t="s">
        <v>276</v>
      </c>
      <c r="AK807" s="201">
        <f>AE807*100/AG807</f>
        <v>2.6418362927674317</v>
      </c>
      <c r="AL807" s="181" t="s">
        <v>276</v>
      </c>
      <c r="AM807" s="181" t="s">
        <v>276</v>
      </c>
      <c r="AN807" s="181" t="s">
        <v>276</v>
      </c>
      <c r="AO807" s="201">
        <f>AF807*100/AH807</f>
        <v>2.5038101458741564</v>
      </c>
      <c r="AP807" s="181" t="s">
        <v>276</v>
      </c>
      <c r="AQ807" s="181" t="s">
        <v>276</v>
      </c>
      <c r="AR807" s="175" t="s">
        <v>268</v>
      </c>
      <c r="AS807" s="181" t="s">
        <v>276</v>
      </c>
      <c r="AT807" s="181">
        <f t="shared" si="97"/>
        <v>1.0551264428418099</v>
      </c>
      <c r="AU807" s="181" t="s">
        <v>276</v>
      </c>
      <c r="AV807" s="181" t="s">
        <v>276</v>
      </c>
      <c r="AW807" s="175" t="s">
        <v>276</v>
      </c>
      <c r="AX807" s="175" t="s">
        <v>282</v>
      </c>
      <c r="AY807" s="175" t="s">
        <v>276</v>
      </c>
      <c r="AZ807" s="175" t="s">
        <v>276</v>
      </c>
      <c r="BA807" s="175" t="s">
        <v>276</v>
      </c>
      <c r="BB807" s="175" t="s">
        <v>276</v>
      </c>
      <c r="BC807" s="176" t="s">
        <v>7896</v>
      </c>
      <c r="BD807" s="176" t="s">
        <v>11434</v>
      </c>
      <c r="BE807" s="33" t="s">
        <v>99</v>
      </c>
      <c r="BF807" s="33" t="s">
        <v>11162</v>
      </c>
    </row>
    <row r="808" spans="1:58" s="339" customFormat="1" ht="78" x14ac:dyDescent="0.3">
      <c r="A808" s="184">
        <v>531</v>
      </c>
      <c r="B808" s="185" t="s">
        <v>7888</v>
      </c>
      <c r="C808" s="185" t="s">
        <v>81</v>
      </c>
      <c r="D808" s="185" t="s">
        <v>7897</v>
      </c>
      <c r="E808" s="184" t="s">
        <v>39</v>
      </c>
      <c r="F808" s="185" t="s">
        <v>263</v>
      </c>
      <c r="G808" s="184" t="s">
        <v>225</v>
      </c>
      <c r="H808" s="184" t="s">
        <v>125</v>
      </c>
      <c r="I808" s="184" t="s">
        <v>114</v>
      </c>
      <c r="J808" s="185" t="s">
        <v>24</v>
      </c>
      <c r="K808" s="185" t="s">
        <v>7890</v>
      </c>
      <c r="L808" s="185" t="s">
        <v>276</v>
      </c>
      <c r="M808" s="184" t="s">
        <v>14</v>
      </c>
      <c r="N808" s="336" t="s">
        <v>98</v>
      </c>
      <c r="O808" s="337" t="s">
        <v>207</v>
      </c>
      <c r="P808" s="322">
        <v>30498</v>
      </c>
      <c r="Q808" s="185" t="s">
        <v>276</v>
      </c>
      <c r="R808" s="185" t="s">
        <v>7894</v>
      </c>
      <c r="S808" s="185" t="s">
        <v>7894</v>
      </c>
      <c r="T808" s="185">
        <v>18</v>
      </c>
      <c r="U808" s="189">
        <v>4618</v>
      </c>
      <c r="V808" s="188">
        <v>4593</v>
      </c>
      <c r="W808" s="184" t="s">
        <v>276</v>
      </c>
      <c r="X808" s="184" t="s">
        <v>276</v>
      </c>
      <c r="Y808" s="184" t="s">
        <v>276</v>
      </c>
      <c r="Z808" s="184" t="s">
        <v>276</v>
      </c>
      <c r="AA808" s="184" t="s">
        <v>276</v>
      </c>
      <c r="AB808" s="184" t="s">
        <v>276</v>
      </c>
      <c r="AC808" s="185" t="s">
        <v>7895</v>
      </c>
      <c r="AD808" s="185" t="s">
        <v>7898</v>
      </c>
      <c r="AE808" s="184">
        <v>122</v>
      </c>
      <c r="AF808" s="184">
        <v>115</v>
      </c>
      <c r="AG808" s="189" t="s">
        <v>276</v>
      </c>
      <c r="AH808" s="189" t="s">
        <v>276</v>
      </c>
      <c r="AI808" s="189" t="s">
        <v>425</v>
      </c>
      <c r="AJ808" s="190">
        <v>3.2</v>
      </c>
      <c r="AK808" s="338" t="s">
        <v>276</v>
      </c>
      <c r="AL808" s="192" t="s">
        <v>276</v>
      </c>
      <c r="AM808" s="192" t="s">
        <v>276</v>
      </c>
      <c r="AN808" s="190">
        <v>3</v>
      </c>
      <c r="AO808" s="338" t="s">
        <v>276</v>
      </c>
      <c r="AP808" s="192" t="s">
        <v>276</v>
      </c>
      <c r="AQ808" s="192" t="s">
        <v>276</v>
      </c>
      <c r="AR808" s="184" t="s">
        <v>269</v>
      </c>
      <c r="AS808" s="192" t="s">
        <v>276</v>
      </c>
      <c r="AT808" s="192">
        <f>AJ808/AN808</f>
        <v>1.0666666666666667</v>
      </c>
      <c r="AU808" s="192" t="s">
        <v>276</v>
      </c>
      <c r="AV808" s="192" t="s">
        <v>276</v>
      </c>
      <c r="AW808" s="184" t="s">
        <v>276</v>
      </c>
      <c r="AX808" s="184" t="s">
        <v>282</v>
      </c>
      <c r="AY808" s="184" t="s">
        <v>276</v>
      </c>
      <c r="AZ808" s="184" t="s">
        <v>276</v>
      </c>
      <c r="BA808" s="184" t="s">
        <v>276</v>
      </c>
      <c r="BB808" s="184" t="s">
        <v>276</v>
      </c>
      <c r="BC808" s="185" t="s">
        <v>7899</v>
      </c>
      <c r="BD808" s="185" t="s">
        <v>11434</v>
      </c>
      <c r="BE808" s="33" t="s">
        <v>99</v>
      </c>
      <c r="BF808" s="33" t="s">
        <v>11162</v>
      </c>
    </row>
    <row r="809" spans="1:58" s="87" customFormat="1" ht="169" x14ac:dyDescent="0.3">
      <c r="A809" s="72">
        <v>524</v>
      </c>
      <c r="B809" s="73" t="s">
        <v>7900</v>
      </c>
      <c r="C809" s="73" t="s">
        <v>81</v>
      </c>
      <c r="D809" s="73" t="s">
        <v>7901</v>
      </c>
      <c r="E809" s="72" t="s">
        <v>39</v>
      </c>
      <c r="F809" s="73" t="s">
        <v>263</v>
      </c>
      <c r="G809" s="72" t="s">
        <v>225</v>
      </c>
      <c r="H809" s="72" t="s">
        <v>125</v>
      </c>
      <c r="I809" s="72" t="s">
        <v>114</v>
      </c>
      <c r="J809" s="73" t="s">
        <v>24</v>
      </c>
      <c r="K809" s="73" t="s">
        <v>7902</v>
      </c>
      <c r="L809" s="73" t="s">
        <v>276</v>
      </c>
      <c r="M809" s="72" t="s">
        <v>14</v>
      </c>
      <c r="N809" s="84" t="s">
        <v>98</v>
      </c>
      <c r="O809" s="85" t="s">
        <v>207</v>
      </c>
      <c r="P809" s="88">
        <v>35430</v>
      </c>
      <c r="Q809" s="73" t="s">
        <v>276</v>
      </c>
      <c r="R809" s="73" t="s">
        <v>7903</v>
      </c>
      <c r="S809" s="73" t="s">
        <v>7903</v>
      </c>
      <c r="T809" s="73">
        <v>18</v>
      </c>
      <c r="U809" s="74">
        <v>4607</v>
      </c>
      <c r="V809" s="75">
        <v>4585</v>
      </c>
      <c r="W809" s="72" t="s">
        <v>276</v>
      </c>
      <c r="X809" s="72" t="s">
        <v>276</v>
      </c>
      <c r="Y809" s="72">
        <v>8</v>
      </c>
      <c r="Z809" s="73" t="s">
        <v>894</v>
      </c>
      <c r="AA809" s="72">
        <v>9</v>
      </c>
      <c r="AB809" s="73" t="s">
        <v>894</v>
      </c>
      <c r="AC809" s="73" t="s">
        <v>7904</v>
      </c>
      <c r="AD809" s="73" t="s">
        <v>7905</v>
      </c>
      <c r="AE809" s="72">
        <v>337</v>
      </c>
      <c r="AF809" s="72">
        <v>303</v>
      </c>
      <c r="AG809" s="451">
        <v>76760.7</v>
      </c>
      <c r="AH809" s="451">
        <v>76772.399999999994</v>
      </c>
      <c r="AI809" s="74" t="s">
        <v>425</v>
      </c>
      <c r="AJ809" s="93">
        <v>4.4000000000000004</v>
      </c>
      <c r="AK809" s="86">
        <f>AE809*1000/AG809</f>
        <v>4.3902674154873527</v>
      </c>
      <c r="AL809" s="93">
        <v>3.9</v>
      </c>
      <c r="AM809" s="93">
        <v>4.9000000000000004</v>
      </c>
      <c r="AN809" s="93">
        <v>3.9</v>
      </c>
      <c r="AO809" s="86">
        <f>AF809*1000/AH809</f>
        <v>3.9467308564015195</v>
      </c>
      <c r="AP809" s="93">
        <v>3.5</v>
      </c>
      <c r="AQ809" s="93">
        <v>4.4000000000000004</v>
      </c>
      <c r="AR809" s="72" t="s">
        <v>269</v>
      </c>
      <c r="AS809" s="76">
        <v>1.1299999999999999</v>
      </c>
      <c r="AT809" s="76">
        <f>AK809/AO809</f>
        <v>1.1123807462995419</v>
      </c>
      <c r="AU809" s="76">
        <v>0.95</v>
      </c>
      <c r="AV809" s="76">
        <v>1.3</v>
      </c>
      <c r="AW809" s="72">
        <v>0.09</v>
      </c>
      <c r="AX809" s="72" t="s">
        <v>282</v>
      </c>
      <c r="AY809" s="72" t="s">
        <v>276</v>
      </c>
      <c r="AZ809" s="72" t="s">
        <v>276</v>
      </c>
      <c r="BA809" s="72" t="s">
        <v>276</v>
      </c>
      <c r="BB809" s="72" t="s">
        <v>276</v>
      </c>
      <c r="BC809" s="73" t="s">
        <v>7906</v>
      </c>
      <c r="BD809" s="73" t="s">
        <v>7907</v>
      </c>
      <c r="BE809" s="33" t="s">
        <v>100</v>
      </c>
      <c r="BF809" s="33" t="s">
        <v>98</v>
      </c>
    </row>
    <row r="810" spans="1:58" s="87" customFormat="1" ht="91" x14ac:dyDescent="0.3">
      <c r="A810" s="72">
        <v>524</v>
      </c>
      <c r="B810" s="73" t="s">
        <v>7900</v>
      </c>
      <c r="C810" s="73" t="s">
        <v>81</v>
      </c>
      <c r="D810" s="73" t="s">
        <v>7908</v>
      </c>
      <c r="E810" s="72" t="s">
        <v>39</v>
      </c>
      <c r="F810" s="73" t="s">
        <v>263</v>
      </c>
      <c r="G810" s="72" t="s">
        <v>225</v>
      </c>
      <c r="H810" s="72" t="s">
        <v>125</v>
      </c>
      <c r="I810" s="72" t="s">
        <v>114</v>
      </c>
      <c r="J810" s="73" t="s">
        <v>24</v>
      </c>
      <c r="K810" s="73" t="s">
        <v>7902</v>
      </c>
      <c r="L810" s="73" t="s">
        <v>276</v>
      </c>
      <c r="M810" s="72" t="s">
        <v>14</v>
      </c>
      <c r="N810" s="84" t="s">
        <v>98</v>
      </c>
      <c r="O810" s="85" t="s">
        <v>207</v>
      </c>
      <c r="P810" s="88">
        <v>35430</v>
      </c>
      <c r="Q810" s="73" t="s">
        <v>276</v>
      </c>
      <c r="R810" s="73" t="s">
        <v>7903</v>
      </c>
      <c r="S810" s="73" t="s">
        <v>7903</v>
      </c>
      <c r="T810" s="73">
        <v>18</v>
      </c>
      <c r="U810" s="74">
        <v>4607</v>
      </c>
      <c r="V810" s="75">
        <v>4585</v>
      </c>
      <c r="W810" s="72" t="s">
        <v>276</v>
      </c>
      <c r="X810" s="72" t="s">
        <v>276</v>
      </c>
      <c r="Y810" s="72">
        <v>8</v>
      </c>
      <c r="Z810" s="73" t="s">
        <v>894</v>
      </c>
      <c r="AA810" s="72">
        <v>9</v>
      </c>
      <c r="AB810" s="73" t="s">
        <v>894</v>
      </c>
      <c r="AC810" s="73" t="s">
        <v>7904</v>
      </c>
      <c r="AD810" s="73" t="s">
        <v>7909</v>
      </c>
      <c r="AE810" s="72">
        <v>337</v>
      </c>
      <c r="AF810" s="72">
        <v>303</v>
      </c>
      <c r="AG810" s="74">
        <v>4607</v>
      </c>
      <c r="AH810" s="74">
        <v>4585</v>
      </c>
      <c r="AI810" s="74" t="s">
        <v>292</v>
      </c>
      <c r="AJ810" s="309">
        <v>7</v>
      </c>
      <c r="AK810" s="86">
        <f>AE810*100/AG810</f>
        <v>7.3149555024962014</v>
      </c>
      <c r="AL810" s="93" t="s">
        <v>276</v>
      </c>
      <c r="AM810" s="93" t="s">
        <v>276</v>
      </c>
      <c r="AN810" s="309">
        <v>7</v>
      </c>
      <c r="AO810" s="86">
        <f>AF810*100/AH810</f>
        <v>6.6085059978189751</v>
      </c>
      <c r="AP810" s="93" t="s">
        <v>276</v>
      </c>
      <c r="AQ810" s="93" t="s">
        <v>276</v>
      </c>
      <c r="AR810" s="72" t="s">
        <v>268</v>
      </c>
      <c r="AS810" s="76" t="s">
        <v>276</v>
      </c>
      <c r="AT810" s="76">
        <f>AK810/AO810</f>
        <v>1.1069000323084186</v>
      </c>
      <c r="AU810" s="76" t="s">
        <v>276</v>
      </c>
      <c r="AV810" s="76" t="s">
        <v>276</v>
      </c>
      <c r="AW810" s="72" t="s">
        <v>276</v>
      </c>
      <c r="AX810" s="72" t="s">
        <v>282</v>
      </c>
      <c r="AY810" s="72" t="s">
        <v>276</v>
      </c>
      <c r="AZ810" s="72" t="s">
        <v>276</v>
      </c>
      <c r="BA810" s="72" t="s">
        <v>276</v>
      </c>
      <c r="BB810" s="72" t="s">
        <v>276</v>
      </c>
      <c r="BC810" s="73" t="s">
        <v>298</v>
      </c>
      <c r="BD810" s="73"/>
      <c r="BE810" s="33" t="s">
        <v>100</v>
      </c>
      <c r="BF810" s="33" t="s">
        <v>98</v>
      </c>
    </row>
    <row r="811" spans="1:58" s="87" customFormat="1" ht="91" x14ac:dyDescent="0.3">
      <c r="A811" s="72">
        <v>524</v>
      </c>
      <c r="B811" s="73" t="s">
        <v>7900</v>
      </c>
      <c r="C811" s="73" t="s">
        <v>81</v>
      </c>
      <c r="D811" s="73" t="s">
        <v>7910</v>
      </c>
      <c r="E811" s="72" t="s">
        <v>39</v>
      </c>
      <c r="F811" s="73" t="s">
        <v>263</v>
      </c>
      <c r="G811" s="72" t="s">
        <v>225</v>
      </c>
      <c r="H811" s="72" t="s">
        <v>125</v>
      </c>
      <c r="I811" s="72" t="s">
        <v>114</v>
      </c>
      <c r="J811" s="73" t="s">
        <v>24</v>
      </c>
      <c r="K811" s="73" t="s">
        <v>7911</v>
      </c>
      <c r="L811" s="73" t="s">
        <v>276</v>
      </c>
      <c r="M811" s="72" t="s">
        <v>14</v>
      </c>
      <c r="N811" s="84" t="s">
        <v>98</v>
      </c>
      <c r="O811" s="85" t="s">
        <v>207</v>
      </c>
      <c r="P811" s="88">
        <v>35430</v>
      </c>
      <c r="Q811" s="73" t="s">
        <v>276</v>
      </c>
      <c r="R811" s="73" t="s">
        <v>7903</v>
      </c>
      <c r="S811" s="73" t="s">
        <v>7903</v>
      </c>
      <c r="T811" s="73">
        <v>18</v>
      </c>
      <c r="U811" s="74">
        <v>4607</v>
      </c>
      <c r="V811" s="75">
        <v>4585</v>
      </c>
      <c r="W811" s="72" t="s">
        <v>276</v>
      </c>
      <c r="X811" s="72" t="s">
        <v>276</v>
      </c>
      <c r="Y811" s="72">
        <v>8</v>
      </c>
      <c r="Z811" s="73" t="s">
        <v>894</v>
      </c>
      <c r="AA811" s="72">
        <v>9</v>
      </c>
      <c r="AB811" s="73" t="s">
        <v>894</v>
      </c>
      <c r="AC811" s="73" t="s">
        <v>7904</v>
      </c>
      <c r="AD811" s="73" t="s">
        <v>7905</v>
      </c>
      <c r="AE811" s="72">
        <v>337</v>
      </c>
      <c r="AF811" s="72">
        <v>303</v>
      </c>
      <c r="AG811" s="451">
        <v>76760.7</v>
      </c>
      <c r="AH811" s="451">
        <v>76772.399999999994</v>
      </c>
      <c r="AI811" s="74" t="s">
        <v>425</v>
      </c>
      <c r="AJ811" s="93">
        <v>4.4000000000000004</v>
      </c>
      <c r="AK811" s="86">
        <f>AE811*1000/AG811</f>
        <v>4.3902674154873527</v>
      </c>
      <c r="AL811" s="93">
        <v>3.9</v>
      </c>
      <c r="AM811" s="93">
        <v>4.9000000000000004</v>
      </c>
      <c r="AN811" s="93">
        <v>3.9</v>
      </c>
      <c r="AO811" s="86">
        <f>AF811*1000/AH811</f>
        <v>3.9467308564015195</v>
      </c>
      <c r="AP811" s="93">
        <v>3.5</v>
      </c>
      <c r="AQ811" s="93">
        <v>4.4000000000000004</v>
      </c>
      <c r="AR811" s="72" t="s">
        <v>270</v>
      </c>
      <c r="AS811" s="93">
        <v>1.1000000000000001</v>
      </c>
      <c r="AT811" s="76" t="s">
        <v>276</v>
      </c>
      <c r="AU811" s="93">
        <v>1</v>
      </c>
      <c r="AV811" s="93">
        <v>1.3</v>
      </c>
      <c r="AW811" s="72" t="s">
        <v>276</v>
      </c>
      <c r="AX811" s="73" t="s">
        <v>7912</v>
      </c>
      <c r="AY811" s="72">
        <v>1.1000000000000001</v>
      </c>
      <c r="AZ811" s="93">
        <v>1</v>
      </c>
      <c r="BA811" s="93">
        <v>1.3</v>
      </c>
      <c r="BB811" s="72" t="s">
        <v>276</v>
      </c>
      <c r="BC811" s="73" t="s">
        <v>7913</v>
      </c>
      <c r="BD811" s="73"/>
      <c r="BE811" s="33" t="s">
        <v>100</v>
      </c>
      <c r="BF811" s="33" t="s">
        <v>98</v>
      </c>
    </row>
    <row r="812" spans="1:58" s="87" customFormat="1" ht="104" x14ac:dyDescent="0.3">
      <c r="A812" s="72">
        <v>524</v>
      </c>
      <c r="B812" s="73" t="s">
        <v>7900</v>
      </c>
      <c r="C812" s="73" t="s">
        <v>81</v>
      </c>
      <c r="D812" s="73" t="s">
        <v>7914</v>
      </c>
      <c r="E812" s="72" t="s">
        <v>39</v>
      </c>
      <c r="F812" s="73" t="s">
        <v>263</v>
      </c>
      <c r="G812" s="72" t="s">
        <v>225</v>
      </c>
      <c r="H812" s="72" t="s">
        <v>125</v>
      </c>
      <c r="I812" s="72" t="s">
        <v>114</v>
      </c>
      <c r="J812" s="73" t="s">
        <v>24</v>
      </c>
      <c r="K812" s="73" t="s">
        <v>7915</v>
      </c>
      <c r="L812" s="73" t="s">
        <v>276</v>
      </c>
      <c r="M812" s="72" t="s">
        <v>14</v>
      </c>
      <c r="N812" s="84" t="s">
        <v>98</v>
      </c>
      <c r="O812" s="85" t="s">
        <v>207</v>
      </c>
      <c r="P812" s="88">
        <v>35430</v>
      </c>
      <c r="Q812" s="73" t="s">
        <v>276</v>
      </c>
      <c r="R812" s="73" t="s">
        <v>7903</v>
      </c>
      <c r="S812" s="73" t="s">
        <v>7903</v>
      </c>
      <c r="T812" s="73">
        <v>18</v>
      </c>
      <c r="U812" s="74">
        <v>4607</v>
      </c>
      <c r="V812" s="75">
        <v>4585</v>
      </c>
      <c r="W812" s="72" t="s">
        <v>276</v>
      </c>
      <c r="X812" s="72" t="s">
        <v>276</v>
      </c>
      <c r="Y812" s="72" t="s">
        <v>276</v>
      </c>
      <c r="Z812" s="73" t="s">
        <v>276</v>
      </c>
      <c r="AA812" s="72" t="s">
        <v>276</v>
      </c>
      <c r="AB812" s="73" t="s">
        <v>276</v>
      </c>
      <c r="AC812" s="73" t="s">
        <v>7916</v>
      </c>
      <c r="AD812" s="73" t="s">
        <v>7905</v>
      </c>
      <c r="AE812" s="72">
        <v>289</v>
      </c>
      <c r="AF812" s="72">
        <v>254</v>
      </c>
      <c r="AG812" s="451">
        <v>76760.7</v>
      </c>
      <c r="AH812" s="451">
        <v>76772.399999999994</v>
      </c>
      <c r="AI812" s="74" t="s">
        <v>425</v>
      </c>
      <c r="AJ812" s="93">
        <v>3.6</v>
      </c>
      <c r="AK812" s="86">
        <f>AE812*1000/AG812</f>
        <v>3.7649474275247621</v>
      </c>
      <c r="AL812" s="93">
        <v>3.2</v>
      </c>
      <c r="AM812" s="93">
        <v>4.0999999999999996</v>
      </c>
      <c r="AN812" s="93">
        <v>3.2</v>
      </c>
      <c r="AO812" s="86">
        <f>AF812*1000/AH812</f>
        <v>3.3084806519009438</v>
      </c>
      <c r="AP812" s="93">
        <v>2.8</v>
      </c>
      <c r="AQ812" s="93">
        <v>3.6</v>
      </c>
      <c r="AR812" s="72" t="s">
        <v>269</v>
      </c>
      <c r="AS812" s="76" t="s">
        <v>276</v>
      </c>
      <c r="AT812" s="76">
        <f t="shared" ref="AT812:AT834" si="98">AK812/AO812</f>
        <v>1.13796870033426</v>
      </c>
      <c r="AU812" s="76" t="s">
        <v>276</v>
      </c>
      <c r="AV812" s="76" t="s">
        <v>276</v>
      </c>
      <c r="AW812" s="72" t="s">
        <v>276</v>
      </c>
      <c r="AX812" s="72" t="s">
        <v>282</v>
      </c>
      <c r="AY812" s="72" t="s">
        <v>276</v>
      </c>
      <c r="AZ812" s="72" t="s">
        <v>276</v>
      </c>
      <c r="BA812" s="72" t="s">
        <v>276</v>
      </c>
      <c r="BB812" s="72" t="s">
        <v>276</v>
      </c>
      <c r="BC812" s="73" t="s">
        <v>7917</v>
      </c>
      <c r="BD812" s="73"/>
      <c r="BE812" s="33" t="s">
        <v>100</v>
      </c>
      <c r="BF812" s="33" t="s">
        <v>98</v>
      </c>
    </row>
    <row r="813" spans="1:58" s="423" customFormat="1" ht="78" x14ac:dyDescent="0.3">
      <c r="A813" s="291">
        <v>524</v>
      </c>
      <c r="B813" s="292" t="s">
        <v>7900</v>
      </c>
      <c r="C813" s="292" t="s">
        <v>81</v>
      </c>
      <c r="D813" s="292" t="s">
        <v>7918</v>
      </c>
      <c r="E813" s="291" t="s">
        <v>39</v>
      </c>
      <c r="F813" s="292" t="s">
        <v>263</v>
      </c>
      <c r="G813" s="291" t="s">
        <v>225</v>
      </c>
      <c r="H813" s="291" t="s">
        <v>125</v>
      </c>
      <c r="I813" s="291" t="s">
        <v>114</v>
      </c>
      <c r="J813" s="292" t="s">
        <v>23</v>
      </c>
      <c r="K813" s="292" t="s">
        <v>7919</v>
      </c>
      <c r="L813" s="292" t="s">
        <v>276</v>
      </c>
      <c r="M813" s="291" t="s">
        <v>14</v>
      </c>
      <c r="N813" s="419" t="s">
        <v>98</v>
      </c>
      <c r="O813" s="420" t="s">
        <v>207</v>
      </c>
      <c r="P813" s="452">
        <v>35430</v>
      </c>
      <c r="Q813" s="292" t="s">
        <v>276</v>
      </c>
      <c r="R813" s="292" t="s">
        <v>7903</v>
      </c>
      <c r="S813" s="292" t="s">
        <v>7903</v>
      </c>
      <c r="T813" s="292">
        <v>18</v>
      </c>
      <c r="U813" s="294">
        <v>4607</v>
      </c>
      <c r="V813" s="295">
        <v>4585</v>
      </c>
      <c r="W813" s="291" t="s">
        <v>276</v>
      </c>
      <c r="X813" s="291" t="s">
        <v>276</v>
      </c>
      <c r="Y813" s="291">
        <v>0</v>
      </c>
      <c r="Z813" s="291" t="s">
        <v>98</v>
      </c>
      <c r="AA813" s="291">
        <v>0</v>
      </c>
      <c r="AB813" s="291" t="s">
        <v>98</v>
      </c>
      <c r="AC813" s="292" t="s">
        <v>7920</v>
      </c>
      <c r="AD813" s="292" t="s">
        <v>7905</v>
      </c>
      <c r="AE813" s="291">
        <v>2493</v>
      </c>
      <c r="AF813" s="291">
        <v>2445</v>
      </c>
      <c r="AG813" s="453">
        <v>76760.7</v>
      </c>
      <c r="AH813" s="453">
        <v>76772.399999999994</v>
      </c>
      <c r="AI813" s="294" t="s">
        <v>425</v>
      </c>
      <c r="AJ813" s="421">
        <v>32.5</v>
      </c>
      <c r="AK813" s="422">
        <f>AE813*1000/AG813</f>
        <v>32.477556874807028</v>
      </c>
      <c r="AL813" s="421">
        <v>31.2</v>
      </c>
      <c r="AM813" s="421">
        <v>33.799999999999997</v>
      </c>
      <c r="AN813" s="421">
        <v>31.8</v>
      </c>
      <c r="AO813" s="422">
        <f>AF813*1000/AH813</f>
        <v>31.847382653140976</v>
      </c>
      <c r="AP813" s="421">
        <v>30.6</v>
      </c>
      <c r="AQ813" s="421">
        <v>33.1</v>
      </c>
      <c r="AR813" s="291" t="s">
        <v>269</v>
      </c>
      <c r="AS813" s="296" t="s">
        <v>276</v>
      </c>
      <c r="AT813" s="296">
        <f t="shared" si="98"/>
        <v>1.0197873159163333</v>
      </c>
      <c r="AU813" s="296" t="s">
        <v>276</v>
      </c>
      <c r="AV813" s="296" t="s">
        <v>276</v>
      </c>
      <c r="AW813" s="291" t="s">
        <v>691</v>
      </c>
      <c r="AX813" s="291" t="s">
        <v>282</v>
      </c>
      <c r="AY813" s="291" t="s">
        <v>276</v>
      </c>
      <c r="AZ813" s="291" t="s">
        <v>276</v>
      </c>
      <c r="BA813" s="291" t="s">
        <v>276</v>
      </c>
      <c r="BB813" s="291" t="s">
        <v>276</v>
      </c>
      <c r="BC813" s="292" t="s">
        <v>7921</v>
      </c>
      <c r="BD813" s="292"/>
      <c r="BE813" s="33" t="s">
        <v>100</v>
      </c>
      <c r="BF813" s="33" t="s">
        <v>98</v>
      </c>
    </row>
    <row r="814" spans="1:58" s="423" customFormat="1" ht="78" x14ac:dyDescent="0.3">
      <c r="A814" s="291">
        <v>524</v>
      </c>
      <c r="B814" s="292" t="s">
        <v>7900</v>
      </c>
      <c r="C814" s="292" t="s">
        <v>81</v>
      </c>
      <c r="D814" s="292" t="s">
        <v>7922</v>
      </c>
      <c r="E814" s="291" t="s">
        <v>39</v>
      </c>
      <c r="F814" s="292" t="s">
        <v>263</v>
      </c>
      <c r="G814" s="291" t="s">
        <v>225</v>
      </c>
      <c r="H814" s="291" t="s">
        <v>125</v>
      </c>
      <c r="I814" s="291" t="s">
        <v>114</v>
      </c>
      <c r="J814" s="292" t="s">
        <v>23</v>
      </c>
      <c r="K814" s="292" t="s">
        <v>7919</v>
      </c>
      <c r="L814" s="292" t="s">
        <v>276</v>
      </c>
      <c r="M814" s="291" t="s">
        <v>14</v>
      </c>
      <c r="N814" s="419" t="s">
        <v>98</v>
      </c>
      <c r="O814" s="420" t="s">
        <v>207</v>
      </c>
      <c r="P814" s="452">
        <v>35430</v>
      </c>
      <c r="Q814" s="292" t="s">
        <v>276</v>
      </c>
      <c r="R814" s="292" t="s">
        <v>7903</v>
      </c>
      <c r="S814" s="292" t="s">
        <v>7903</v>
      </c>
      <c r="T814" s="292">
        <v>18</v>
      </c>
      <c r="U814" s="294">
        <v>4607</v>
      </c>
      <c r="V814" s="295">
        <v>4585</v>
      </c>
      <c r="W814" s="291" t="s">
        <v>276</v>
      </c>
      <c r="X814" s="291" t="s">
        <v>276</v>
      </c>
      <c r="Y814" s="291">
        <v>0</v>
      </c>
      <c r="Z814" s="291" t="s">
        <v>98</v>
      </c>
      <c r="AA814" s="291">
        <v>0</v>
      </c>
      <c r="AB814" s="291" t="s">
        <v>98</v>
      </c>
      <c r="AC814" s="292" t="s">
        <v>7920</v>
      </c>
      <c r="AD814" s="292" t="s">
        <v>7909</v>
      </c>
      <c r="AE814" s="291">
        <v>2493</v>
      </c>
      <c r="AF814" s="291">
        <v>2445</v>
      </c>
      <c r="AG814" s="294">
        <v>4607</v>
      </c>
      <c r="AH814" s="294">
        <v>4585</v>
      </c>
      <c r="AI814" s="294" t="s">
        <v>292</v>
      </c>
      <c r="AJ814" s="454">
        <v>54</v>
      </c>
      <c r="AK814" s="422">
        <f>AE814*100/AG814</f>
        <v>54.11330583894074</v>
      </c>
      <c r="AL814" s="421" t="s">
        <v>276</v>
      </c>
      <c r="AM814" s="421" t="s">
        <v>276</v>
      </c>
      <c r="AN814" s="454">
        <v>53</v>
      </c>
      <c r="AO814" s="422">
        <f>AF814*100/AH814</f>
        <v>53.326063249727369</v>
      </c>
      <c r="AP814" s="421" t="s">
        <v>276</v>
      </c>
      <c r="AQ814" s="421" t="s">
        <v>276</v>
      </c>
      <c r="AR814" s="291" t="s">
        <v>268</v>
      </c>
      <c r="AS814" s="296" t="s">
        <v>276</v>
      </c>
      <c r="AT814" s="296">
        <f t="shared" si="98"/>
        <v>1.0147628109265574</v>
      </c>
      <c r="AU814" s="296" t="s">
        <v>276</v>
      </c>
      <c r="AV814" s="296" t="s">
        <v>276</v>
      </c>
      <c r="AW814" s="291" t="s">
        <v>276</v>
      </c>
      <c r="AX814" s="291" t="s">
        <v>282</v>
      </c>
      <c r="AY814" s="291" t="s">
        <v>276</v>
      </c>
      <c r="AZ814" s="291" t="s">
        <v>276</v>
      </c>
      <c r="BA814" s="291" t="s">
        <v>276</v>
      </c>
      <c r="BB814" s="291" t="s">
        <v>276</v>
      </c>
      <c r="BC814" s="292" t="s">
        <v>298</v>
      </c>
      <c r="BD814" s="292"/>
      <c r="BE814" s="33" t="s">
        <v>100</v>
      </c>
      <c r="BF814" s="33" t="s">
        <v>98</v>
      </c>
    </row>
    <row r="815" spans="1:58" s="87" customFormat="1" ht="91" x14ac:dyDescent="0.3">
      <c r="A815" s="72">
        <v>524</v>
      </c>
      <c r="B815" s="73" t="s">
        <v>7900</v>
      </c>
      <c r="C815" s="73" t="s">
        <v>81</v>
      </c>
      <c r="D815" s="73" t="s">
        <v>7923</v>
      </c>
      <c r="E815" s="72" t="s">
        <v>39</v>
      </c>
      <c r="F815" s="73" t="s">
        <v>263</v>
      </c>
      <c r="G815" s="72" t="s">
        <v>225</v>
      </c>
      <c r="H815" s="72" t="s">
        <v>125</v>
      </c>
      <c r="I815" s="72" t="s">
        <v>114</v>
      </c>
      <c r="J815" s="73" t="s">
        <v>24</v>
      </c>
      <c r="K815" s="73" t="s">
        <v>7902</v>
      </c>
      <c r="L815" s="73" t="s">
        <v>276</v>
      </c>
      <c r="M815" s="72" t="s">
        <v>14</v>
      </c>
      <c r="N815" s="84" t="s">
        <v>98</v>
      </c>
      <c r="O815" s="85" t="s">
        <v>207</v>
      </c>
      <c r="P815" s="88">
        <v>35430</v>
      </c>
      <c r="Q815" s="73" t="s">
        <v>276</v>
      </c>
      <c r="R815" s="73" t="s">
        <v>7903</v>
      </c>
      <c r="S815" s="73" t="s">
        <v>7903</v>
      </c>
      <c r="T815" s="73">
        <v>18</v>
      </c>
      <c r="U815" s="74">
        <v>4607</v>
      </c>
      <c r="V815" s="75">
        <v>4585</v>
      </c>
      <c r="W815" s="72" t="s">
        <v>276</v>
      </c>
      <c r="X815" s="72" t="s">
        <v>276</v>
      </c>
      <c r="Y815" s="72">
        <v>0</v>
      </c>
      <c r="Z815" s="73" t="s">
        <v>1562</v>
      </c>
      <c r="AA815" s="72">
        <v>0</v>
      </c>
      <c r="AB815" s="73" t="s">
        <v>1562</v>
      </c>
      <c r="AC815" s="73" t="s">
        <v>7924</v>
      </c>
      <c r="AD815" s="73" t="s">
        <v>7909</v>
      </c>
      <c r="AE815" s="72">
        <v>133</v>
      </c>
      <c r="AF815" s="72">
        <v>119</v>
      </c>
      <c r="AG815" s="74">
        <v>4607</v>
      </c>
      <c r="AH815" s="74">
        <v>4585</v>
      </c>
      <c r="AI815" s="74" t="s">
        <v>292</v>
      </c>
      <c r="AJ815" s="309" t="s">
        <v>276</v>
      </c>
      <c r="AK815" s="86">
        <f>AE815*100/AG815</f>
        <v>2.886911222053397</v>
      </c>
      <c r="AL815" s="93" t="s">
        <v>276</v>
      </c>
      <c r="AM815" s="93" t="s">
        <v>276</v>
      </c>
      <c r="AN815" s="309" t="s">
        <v>276</v>
      </c>
      <c r="AO815" s="86">
        <f>AF815*100/AH815</f>
        <v>2.5954198473282442</v>
      </c>
      <c r="AP815" s="93" t="s">
        <v>276</v>
      </c>
      <c r="AQ815" s="93" t="s">
        <v>276</v>
      </c>
      <c r="AR815" s="72" t="s">
        <v>268</v>
      </c>
      <c r="AS815" s="76" t="s">
        <v>276</v>
      </c>
      <c r="AT815" s="76">
        <f t="shared" si="98"/>
        <v>1.1123099120264559</v>
      </c>
      <c r="AU815" s="76" t="s">
        <v>276</v>
      </c>
      <c r="AV815" s="76" t="s">
        <v>276</v>
      </c>
      <c r="AW815" s="72" t="s">
        <v>276</v>
      </c>
      <c r="AX815" s="72" t="s">
        <v>282</v>
      </c>
      <c r="AY815" s="72" t="s">
        <v>276</v>
      </c>
      <c r="AZ815" s="72" t="s">
        <v>276</v>
      </c>
      <c r="BA815" s="72" t="s">
        <v>276</v>
      </c>
      <c r="BB815" s="72" t="s">
        <v>276</v>
      </c>
      <c r="BC815" s="73" t="s">
        <v>426</v>
      </c>
      <c r="BD815" s="73"/>
      <c r="BE815" s="33" t="s">
        <v>100</v>
      </c>
      <c r="BF815" s="33" t="s">
        <v>98</v>
      </c>
    </row>
    <row r="816" spans="1:58" s="87" customFormat="1" ht="91" x14ac:dyDescent="0.3">
      <c r="A816" s="72">
        <v>524</v>
      </c>
      <c r="B816" s="73" t="s">
        <v>7900</v>
      </c>
      <c r="C816" s="73" t="s">
        <v>81</v>
      </c>
      <c r="D816" s="73" t="s">
        <v>7925</v>
      </c>
      <c r="E816" s="72" t="s">
        <v>39</v>
      </c>
      <c r="F816" s="73" t="s">
        <v>263</v>
      </c>
      <c r="G816" s="72" t="s">
        <v>225</v>
      </c>
      <c r="H816" s="72" t="s">
        <v>125</v>
      </c>
      <c r="I816" s="72" t="s">
        <v>114</v>
      </c>
      <c r="J816" s="73" t="s">
        <v>24</v>
      </c>
      <c r="K816" s="73" t="s">
        <v>7902</v>
      </c>
      <c r="L816" s="73" t="s">
        <v>276</v>
      </c>
      <c r="M816" s="72" t="s">
        <v>14</v>
      </c>
      <c r="N816" s="84" t="s">
        <v>98</v>
      </c>
      <c r="O816" s="85" t="s">
        <v>207</v>
      </c>
      <c r="P816" s="88">
        <v>35430</v>
      </c>
      <c r="Q816" s="73" t="s">
        <v>276</v>
      </c>
      <c r="R816" s="73" t="s">
        <v>7903</v>
      </c>
      <c r="S816" s="73" t="s">
        <v>7903</v>
      </c>
      <c r="T816" s="73">
        <v>18</v>
      </c>
      <c r="U816" s="74">
        <v>4607</v>
      </c>
      <c r="V816" s="75">
        <v>4585</v>
      </c>
      <c r="W816" s="72" t="s">
        <v>276</v>
      </c>
      <c r="X816" s="72" t="s">
        <v>276</v>
      </c>
      <c r="Y816" s="72">
        <v>0</v>
      </c>
      <c r="Z816" s="73" t="s">
        <v>1562</v>
      </c>
      <c r="AA816" s="72">
        <v>0</v>
      </c>
      <c r="AB816" s="73" t="s">
        <v>1562</v>
      </c>
      <c r="AC816" s="73" t="s">
        <v>7924</v>
      </c>
      <c r="AD816" s="73" t="s">
        <v>7905</v>
      </c>
      <c r="AE816" s="72">
        <v>133</v>
      </c>
      <c r="AF816" s="72">
        <v>119</v>
      </c>
      <c r="AG816" s="451">
        <v>76760.7</v>
      </c>
      <c r="AH816" s="451">
        <v>76772.399999999994</v>
      </c>
      <c r="AI816" s="74" t="s">
        <v>425</v>
      </c>
      <c r="AJ816" s="309" t="s">
        <v>276</v>
      </c>
      <c r="AK816" s="86">
        <f>AE816*1000/AG816</f>
        <v>1.7326574666463439</v>
      </c>
      <c r="AL816" s="93" t="s">
        <v>276</v>
      </c>
      <c r="AM816" s="93" t="s">
        <v>276</v>
      </c>
      <c r="AN816" s="309" t="s">
        <v>276</v>
      </c>
      <c r="AO816" s="86">
        <f>AF816*1000/AH816</f>
        <v>1.5500362109299697</v>
      </c>
      <c r="AP816" s="93" t="s">
        <v>276</v>
      </c>
      <c r="AQ816" s="93" t="s">
        <v>276</v>
      </c>
      <c r="AR816" s="72" t="s">
        <v>269</v>
      </c>
      <c r="AS816" s="76" t="s">
        <v>276</v>
      </c>
      <c r="AT816" s="76">
        <f t="shared" si="98"/>
        <v>1.1178174125408384</v>
      </c>
      <c r="AU816" s="76" t="s">
        <v>276</v>
      </c>
      <c r="AV816" s="76" t="s">
        <v>276</v>
      </c>
      <c r="AW816" s="72" t="s">
        <v>276</v>
      </c>
      <c r="AX816" s="72" t="s">
        <v>282</v>
      </c>
      <c r="AY816" s="72" t="s">
        <v>276</v>
      </c>
      <c r="AZ816" s="72" t="s">
        <v>276</v>
      </c>
      <c r="BA816" s="72" t="s">
        <v>276</v>
      </c>
      <c r="BB816" s="72" t="s">
        <v>276</v>
      </c>
      <c r="BC816" s="73" t="s">
        <v>426</v>
      </c>
      <c r="BD816" s="73"/>
      <c r="BE816" s="33" t="s">
        <v>100</v>
      </c>
      <c r="BF816" s="33" t="s">
        <v>98</v>
      </c>
    </row>
    <row r="817" spans="1:58" s="253" customFormat="1" ht="52" x14ac:dyDescent="0.3">
      <c r="A817" s="244">
        <v>540</v>
      </c>
      <c r="B817" s="245" t="s">
        <v>7926</v>
      </c>
      <c r="C817" s="245" t="s">
        <v>81</v>
      </c>
      <c r="D817" s="245" t="s">
        <v>7927</v>
      </c>
      <c r="E817" s="244" t="s">
        <v>39</v>
      </c>
      <c r="F817" s="245" t="s">
        <v>263</v>
      </c>
      <c r="G817" s="244" t="s">
        <v>225</v>
      </c>
      <c r="H817" s="244" t="s">
        <v>125</v>
      </c>
      <c r="I817" s="244" t="s">
        <v>114</v>
      </c>
      <c r="J817" s="245" t="s">
        <v>24</v>
      </c>
      <c r="K817" s="245" t="s">
        <v>3124</v>
      </c>
      <c r="L817" s="245" t="s">
        <v>276</v>
      </c>
      <c r="M817" s="244" t="s">
        <v>14</v>
      </c>
      <c r="N817" s="246" t="s">
        <v>98</v>
      </c>
      <c r="O817" s="247" t="s">
        <v>207</v>
      </c>
      <c r="P817" s="248">
        <v>28855</v>
      </c>
      <c r="Q817" s="245" t="s">
        <v>276</v>
      </c>
      <c r="R817" s="245" t="s">
        <v>276</v>
      </c>
      <c r="S817" s="245" t="s">
        <v>276</v>
      </c>
      <c r="T817" s="245" t="s">
        <v>276</v>
      </c>
      <c r="U817" s="249">
        <v>4618</v>
      </c>
      <c r="V817" s="250">
        <v>4593</v>
      </c>
      <c r="W817" s="244" t="s">
        <v>276</v>
      </c>
      <c r="X817" s="244" t="s">
        <v>276</v>
      </c>
      <c r="Y817" s="244" t="s">
        <v>276</v>
      </c>
      <c r="Z817" s="245" t="s">
        <v>276</v>
      </c>
      <c r="AA817" s="244" t="s">
        <v>276</v>
      </c>
      <c r="AB817" s="245" t="s">
        <v>276</v>
      </c>
      <c r="AC817" s="245" t="s">
        <v>7928</v>
      </c>
      <c r="AD817" s="245" t="s">
        <v>689</v>
      </c>
      <c r="AE817" s="244">
        <v>37</v>
      </c>
      <c r="AF817" s="244">
        <f>2+7+10+8+7+6+3</f>
        <v>43</v>
      </c>
      <c r="AG817" s="249">
        <v>4618</v>
      </c>
      <c r="AH817" s="249">
        <v>4593</v>
      </c>
      <c r="AI817" s="249" t="s">
        <v>292</v>
      </c>
      <c r="AJ817" s="455" t="s">
        <v>276</v>
      </c>
      <c r="AK817" s="252">
        <f t="shared" ref="AK817:AK833" si="99">AE817*100/AG817</f>
        <v>0.80121264616717192</v>
      </c>
      <c r="AL817" s="330" t="s">
        <v>276</v>
      </c>
      <c r="AM817" s="330" t="s">
        <v>276</v>
      </c>
      <c r="AN817" s="455" t="s">
        <v>276</v>
      </c>
      <c r="AO817" s="252">
        <f t="shared" ref="AO817:AO833" si="100">AF817*100/AH817</f>
        <v>0.93620727193555409</v>
      </c>
      <c r="AP817" s="330" t="s">
        <v>276</v>
      </c>
      <c r="AQ817" s="330" t="s">
        <v>276</v>
      </c>
      <c r="AR817" s="244" t="s">
        <v>268</v>
      </c>
      <c r="AS817" s="251" t="s">
        <v>276</v>
      </c>
      <c r="AT817" s="251">
        <f t="shared" si="98"/>
        <v>0.85580690321995834</v>
      </c>
      <c r="AU817" s="251" t="s">
        <v>276</v>
      </c>
      <c r="AV817" s="251" t="s">
        <v>276</v>
      </c>
      <c r="AW817" s="244" t="s">
        <v>276</v>
      </c>
      <c r="AX817" s="244" t="s">
        <v>282</v>
      </c>
      <c r="AY817" s="244" t="s">
        <v>276</v>
      </c>
      <c r="AZ817" s="244" t="s">
        <v>276</v>
      </c>
      <c r="BA817" s="244" t="s">
        <v>276</v>
      </c>
      <c r="BB817" s="244" t="s">
        <v>276</v>
      </c>
      <c r="BC817" s="245" t="s">
        <v>298</v>
      </c>
      <c r="BD817" s="245" t="s">
        <v>11435</v>
      </c>
      <c r="BE817" s="33" t="s">
        <v>100</v>
      </c>
      <c r="BF817" s="33" t="s">
        <v>98</v>
      </c>
    </row>
    <row r="818" spans="1:58" s="253" customFormat="1" ht="52" x14ac:dyDescent="0.3">
      <c r="A818" s="244">
        <v>540</v>
      </c>
      <c r="B818" s="245" t="s">
        <v>7926</v>
      </c>
      <c r="C818" s="245" t="s">
        <v>81</v>
      </c>
      <c r="D818" s="245" t="s">
        <v>7929</v>
      </c>
      <c r="E818" s="244" t="s">
        <v>39</v>
      </c>
      <c r="F818" s="245" t="s">
        <v>263</v>
      </c>
      <c r="G818" s="244" t="s">
        <v>225</v>
      </c>
      <c r="H818" s="244" t="s">
        <v>125</v>
      </c>
      <c r="I818" s="244" t="s">
        <v>114</v>
      </c>
      <c r="J818" s="245" t="s">
        <v>24</v>
      </c>
      <c r="K818" s="245" t="s">
        <v>3124</v>
      </c>
      <c r="L818" s="245" t="s">
        <v>276</v>
      </c>
      <c r="M818" s="244" t="s">
        <v>14</v>
      </c>
      <c r="N818" s="246" t="s">
        <v>98</v>
      </c>
      <c r="O818" s="247" t="s">
        <v>207</v>
      </c>
      <c r="P818" s="248">
        <v>29220</v>
      </c>
      <c r="Q818" s="245" t="s">
        <v>276</v>
      </c>
      <c r="R818" s="245" t="s">
        <v>276</v>
      </c>
      <c r="S818" s="245" t="s">
        <v>276</v>
      </c>
      <c r="T818" s="245" t="s">
        <v>276</v>
      </c>
      <c r="U818" s="249">
        <v>4618</v>
      </c>
      <c r="V818" s="250">
        <v>4593</v>
      </c>
      <c r="W818" s="244" t="s">
        <v>276</v>
      </c>
      <c r="X818" s="244" t="s">
        <v>276</v>
      </c>
      <c r="Y818" s="244" t="s">
        <v>276</v>
      </c>
      <c r="Z818" s="245" t="s">
        <v>276</v>
      </c>
      <c r="AA818" s="244" t="s">
        <v>276</v>
      </c>
      <c r="AB818" s="245" t="s">
        <v>276</v>
      </c>
      <c r="AC818" s="245" t="s">
        <v>7930</v>
      </c>
      <c r="AD818" s="245" t="s">
        <v>689</v>
      </c>
      <c r="AE818" s="244">
        <v>49</v>
      </c>
      <c r="AF818" s="244">
        <v>54</v>
      </c>
      <c r="AG818" s="249">
        <v>4618</v>
      </c>
      <c r="AH818" s="249">
        <v>4593</v>
      </c>
      <c r="AI818" s="249" t="s">
        <v>292</v>
      </c>
      <c r="AJ818" s="455" t="s">
        <v>276</v>
      </c>
      <c r="AK818" s="252">
        <f t="shared" si="99"/>
        <v>1.0610653962754439</v>
      </c>
      <c r="AL818" s="330" t="s">
        <v>276</v>
      </c>
      <c r="AM818" s="330" t="s">
        <v>276</v>
      </c>
      <c r="AN818" s="455" t="s">
        <v>276</v>
      </c>
      <c r="AO818" s="252">
        <f t="shared" si="100"/>
        <v>1.1757021554539517</v>
      </c>
      <c r="AP818" s="330" t="s">
        <v>276</v>
      </c>
      <c r="AQ818" s="330" t="s">
        <v>276</v>
      </c>
      <c r="AR818" s="244" t="s">
        <v>268</v>
      </c>
      <c r="AS818" s="251" t="s">
        <v>276</v>
      </c>
      <c r="AT818" s="251">
        <f t="shared" si="98"/>
        <v>0.90249506760983589</v>
      </c>
      <c r="AU818" s="251" t="s">
        <v>276</v>
      </c>
      <c r="AV818" s="251" t="s">
        <v>276</v>
      </c>
      <c r="AW818" s="244" t="s">
        <v>276</v>
      </c>
      <c r="AX818" s="244" t="s">
        <v>282</v>
      </c>
      <c r="AY818" s="244" t="s">
        <v>276</v>
      </c>
      <c r="AZ818" s="244" t="s">
        <v>276</v>
      </c>
      <c r="BA818" s="244" t="s">
        <v>276</v>
      </c>
      <c r="BB818" s="244" t="s">
        <v>276</v>
      </c>
      <c r="BC818" s="245" t="s">
        <v>298</v>
      </c>
      <c r="BD818" s="245" t="s">
        <v>11435</v>
      </c>
      <c r="BE818" s="33" t="s">
        <v>100</v>
      </c>
      <c r="BF818" s="33" t="s">
        <v>98</v>
      </c>
    </row>
    <row r="819" spans="1:58" s="253" customFormat="1" ht="52" x14ac:dyDescent="0.3">
      <c r="A819" s="244">
        <v>540</v>
      </c>
      <c r="B819" s="245" t="s">
        <v>7926</v>
      </c>
      <c r="C819" s="245" t="s">
        <v>81</v>
      </c>
      <c r="D819" s="245" t="s">
        <v>7931</v>
      </c>
      <c r="E819" s="244" t="s">
        <v>39</v>
      </c>
      <c r="F819" s="245" t="s">
        <v>263</v>
      </c>
      <c r="G819" s="244" t="s">
        <v>225</v>
      </c>
      <c r="H819" s="244" t="s">
        <v>125</v>
      </c>
      <c r="I819" s="244" t="s">
        <v>114</v>
      </c>
      <c r="J819" s="245" t="s">
        <v>24</v>
      </c>
      <c r="K819" s="245" t="s">
        <v>3124</v>
      </c>
      <c r="L819" s="245" t="s">
        <v>276</v>
      </c>
      <c r="M819" s="244" t="s">
        <v>14</v>
      </c>
      <c r="N819" s="246" t="s">
        <v>98</v>
      </c>
      <c r="O819" s="247" t="s">
        <v>207</v>
      </c>
      <c r="P819" s="248">
        <v>29586</v>
      </c>
      <c r="Q819" s="245" t="s">
        <v>276</v>
      </c>
      <c r="R819" s="245" t="s">
        <v>276</v>
      </c>
      <c r="S819" s="245" t="s">
        <v>276</v>
      </c>
      <c r="T819" s="245" t="s">
        <v>276</v>
      </c>
      <c r="U819" s="249">
        <v>4618</v>
      </c>
      <c r="V819" s="250">
        <v>4593</v>
      </c>
      <c r="W819" s="244" t="s">
        <v>276</v>
      </c>
      <c r="X819" s="244" t="s">
        <v>276</v>
      </c>
      <c r="Y819" s="244" t="s">
        <v>276</v>
      </c>
      <c r="Z819" s="245" t="s">
        <v>276</v>
      </c>
      <c r="AA819" s="244" t="s">
        <v>276</v>
      </c>
      <c r="AB819" s="245" t="s">
        <v>276</v>
      </c>
      <c r="AC819" s="245" t="s">
        <v>7932</v>
      </c>
      <c r="AD819" s="245" t="s">
        <v>689</v>
      </c>
      <c r="AE819" s="244">
        <v>75</v>
      </c>
      <c r="AF819" s="244">
        <v>80</v>
      </c>
      <c r="AG819" s="249">
        <v>4618</v>
      </c>
      <c r="AH819" s="249">
        <v>4593</v>
      </c>
      <c r="AI819" s="249" t="s">
        <v>292</v>
      </c>
      <c r="AJ819" s="455" t="s">
        <v>276</v>
      </c>
      <c r="AK819" s="252">
        <f t="shared" si="99"/>
        <v>1.6240796881766999</v>
      </c>
      <c r="AL819" s="330" t="s">
        <v>276</v>
      </c>
      <c r="AM819" s="330" t="s">
        <v>276</v>
      </c>
      <c r="AN819" s="455" t="s">
        <v>276</v>
      </c>
      <c r="AO819" s="252">
        <f t="shared" si="100"/>
        <v>1.7417809710428913</v>
      </c>
      <c r="AP819" s="330" t="s">
        <v>276</v>
      </c>
      <c r="AQ819" s="330" t="s">
        <v>276</v>
      </c>
      <c r="AR819" s="244" t="s">
        <v>268</v>
      </c>
      <c r="AS819" s="251" t="s">
        <v>276</v>
      </c>
      <c r="AT819" s="251">
        <f t="shared" si="98"/>
        <v>0.93242475097444788</v>
      </c>
      <c r="AU819" s="251" t="s">
        <v>276</v>
      </c>
      <c r="AV819" s="251" t="s">
        <v>276</v>
      </c>
      <c r="AW819" s="244" t="s">
        <v>276</v>
      </c>
      <c r="AX819" s="244" t="s">
        <v>282</v>
      </c>
      <c r="AY819" s="244" t="s">
        <v>276</v>
      </c>
      <c r="AZ819" s="244" t="s">
        <v>276</v>
      </c>
      <c r="BA819" s="244" t="s">
        <v>276</v>
      </c>
      <c r="BB819" s="244" t="s">
        <v>276</v>
      </c>
      <c r="BC819" s="245" t="s">
        <v>298</v>
      </c>
      <c r="BD819" s="245" t="s">
        <v>11435</v>
      </c>
      <c r="BE819" s="33" t="s">
        <v>100</v>
      </c>
      <c r="BF819" s="33" t="s">
        <v>98</v>
      </c>
    </row>
    <row r="820" spans="1:58" s="253" customFormat="1" ht="59.15" customHeight="1" x14ac:dyDescent="0.3">
      <c r="A820" s="244">
        <v>540</v>
      </c>
      <c r="B820" s="245" t="s">
        <v>7926</v>
      </c>
      <c r="C820" s="245" t="s">
        <v>81</v>
      </c>
      <c r="D820" s="245" t="s">
        <v>7933</v>
      </c>
      <c r="E820" s="244" t="s">
        <v>39</v>
      </c>
      <c r="F820" s="245" t="s">
        <v>263</v>
      </c>
      <c r="G820" s="244" t="s">
        <v>225</v>
      </c>
      <c r="H820" s="244" t="s">
        <v>125</v>
      </c>
      <c r="I820" s="244" t="s">
        <v>114</v>
      </c>
      <c r="J820" s="245" t="s">
        <v>24</v>
      </c>
      <c r="K820" s="245" t="s">
        <v>3124</v>
      </c>
      <c r="L820" s="245" t="s">
        <v>276</v>
      </c>
      <c r="M820" s="244" t="s">
        <v>14</v>
      </c>
      <c r="N820" s="246" t="s">
        <v>98</v>
      </c>
      <c r="O820" s="247" t="s">
        <v>207</v>
      </c>
      <c r="P820" s="248">
        <v>29951</v>
      </c>
      <c r="Q820" s="245" t="s">
        <v>276</v>
      </c>
      <c r="R820" s="245" t="s">
        <v>276</v>
      </c>
      <c r="S820" s="245" t="s">
        <v>276</v>
      </c>
      <c r="T820" s="245" t="s">
        <v>276</v>
      </c>
      <c r="U820" s="249">
        <v>4618</v>
      </c>
      <c r="V820" s="250">
        <v>4593</v>
      </c>
      <c r="W820" s="244" t="s">
        <v>276</v>
      </c>
      <c r="X820" s="244" t="s">
        <v>276</v>
      </c>
      <c r="Y820" s="244" t="s">
        <v>276</v>
      </c>
      <c r="Z820" s="245" t="s">
        <v>276</v>
      </c>
      <c r="AA820" s="244" t="s">
        <v>276</v>
      </c>
      <c r="AB820" s="245" t="s">
        <v>276</v>
      </c>
      <c r="AC820" s="245" t="s">
        <v>7934</v>
      </c>
      <c r="AD820" s="245" t="s">
        <v>689</v>
      </c>
      <c r="AE820" s="244">
        <v>108</v>
      </c>
      <c r="AF820" s="244">
        <v>95</v>
      </c>
      <c r="AG820" s="249">
        <v>4618</v>
      </c>
      <c r="AH820" s="249">
        <v>4593</v>
      </c>
      <c r="AI820" s="249" t="s">
        <v>292</v>
      </c>
      <c r="AJ820" s="455" t="s">
        <v>276</v>
      </c>
      <c r="AK820" s="252">
        <f t="shared" si="99"/>
        <v>2.3386747509744477</v>
      </c>
      <c r="AL820" s="330" t="s">
        <v>276</v>
      </c>
      <c r="AM820" s="330" t="s">
        <v>276</v>
      </c>
      <c r="AN820" s="455" t="s">
        <v>276</v>
      </c>
      <c r="AO820" s="252">
        <f t="shared" si="100"/>
        <v>2.0683649031134337</v>
      </c>
      <c r="AP820" s="330" t="s">
        <v>276</v>
      </c>
      <c r="AQ820" s="330" t="s">
        <v>276</v>
      </c>
      <c r="AR820" s="244" t="s">
        <v>268</v>
      </c>
      <c r="AS820" s="251" t="s">
        <v>276</v>
      </c>
      <c r="AT820" s="251">
        <f t="shared" si="98"/>
        <v>1.1306876980237512</v>
      </c>
      <c r="AU820" s="251" t="s">
        <v>276</v>
      </c>
      <c r="AV820" s="251" t="s">
        <v>276</v>
      </c>
      <c r="AW820" s="244" t="s">
        <v>276</v>
      </c>
      <c r="AX820" s="244" t="s">
        <v>282</v>
      </c>
      <c r="AY820" s="244" t="s">
        <v>276</v>
      </c>
      <c r="AZ820" s="244" t="s">
        <v>276</v>
      </c>
      <c r="BA820" s="244" t="s">
        <v>276</v>
      </c>
      <c r="BB820" s="244" t="s">
        <v>276</v>
      </c>
      <c r="BC820" s="245" t="s">
        <v>298</v>
      </c>
      <c r="BD820" s="245" t="s">
        <v>11435</v>
      </c>
      <c r="BE820" s="33" t="s">
        <v>100</v>
      </c>
      <c r="BF820" s="33" t="s">
        <v>98</v>
      </c>
    </row>
    <row r="821" spans="1:58" s="253" customFormat="1" ht="59.15" customHeight="1" x14ac:dyDescent="0.3">
      <c r="A821" s="244">
        <v>540</v>
      </c>
      <c r="B821" s="245" t="s">
        <v>7926</v>
      </c>
      <c r="C821" s="245" t="s">
        <v>81</v>
      </c>
      <c r="D821" s="245" t="s">
        <v>7935</v>
      </c>
      <c r="E821" s="244" t="s">
        <v>39</v>
      </c>
      <c r="F821" s="245" t="s">
        <v>263</v>
      </c>
      <c r="G821" s="244" t="s">
        <v>225</v>
      </c>
      <c r="H821" s="244" t="s">
        <v>125</v>
      </c>
      <c r="I821" s="244" t="s">
        <v>114</v>
      </c>
      <c r="J821" s="245" t="s">
        <v>24</v>
      </c>
      <c r="K821" s="245" t="s">
        <v>3124</v>
      </c>
      <c r="L821" s="245" t="s">
        <v>276</v>
      </c>
      <c r="M821" s="244" t="s">
        <v>14</v>
      </c>
      <c r="N821" s="246" t="s">
        <v>98</v>
      </c>
      <c r="O821" s="247" t="s">
        <v>207</v>
      </c>
      <c r="P821" s="248">
        <v>30316</v>
      </c>
      <c r="Q821" s="245" t="s">
        <v>276</v>
      </c>
      <c r="R821" s="245" t="s">
        <v>276</v>
      </c>
      <c r="S821" s="245" t="s">
        <v>276</v>
      </c>
      <c r="T821" s="245" t="s">
        <v>276</v>
      </c>
      <c r="U821" s="249">
        <v>4618</v>
      </c>
      <c r="V821" s="250">
        <v>4593</v>
      </c>
      <c r="W821" s="244" t="s">
        <v>276</v>
      </c>
      <c r="X821" s="244" t="s">
        <v>276</v>
      </c>
      <c r="Y821" s="244" t="s">
        <v>276</v>
      </c>
      <c r="Z821" s="245" t="s">
        <v>276</v>
      </c>
      <c r="AA821" s="244" t="s">
        <v>276</v>
      </c>
      <c r="AB821" s="245" t="s">
        <v>276</v>
      </c>
      <c r="AC821" s="245" t="s">
        <v>7936</v>
      </c>
      <c r="AD821" s="245" t="s">
        <v>689</v>
      </c>
      <c r="AE821" s="244">
        <v>129</v>
      </c>
      <c r="AF821" s="244">
        <v>112</v>
      </c>
      <c r="AG821" s="249">
        <v>4618</v>
      </c>
      <c r="AH821" s="249">
        <v>4593</v>
      </c>
      <c r="AI821" s="249" t="s">
        <v>292</v>
      </c>
      <c r="AJ821" s="455" t="s">
        <v>276</v>
      </c>
      <c r="AK821" s="252">
        <f t="shared" si="99"/>
        <v>2.7934170636639237</v>
      </c>
      <c r="AL821" s="330" t="s">
        <v>276</v>
      </c>
      <c r="AM821" s="330" t="s">
        <v>276</v>
      </c>
      <c r="AN821" s="455" t="s">
        <v>276</v>
      </c>
      <c r="AO821" s="252">
        <f t="shared" si="100"/>
        <v>2.4384933594600477</v>
      </c>
      <c r="AP821" s="330" t="s">
        <v>276</v>
      </c>
      <c r="AQ821" s="330" t="s">
        <v>276</v>
      </c>
      <c r="AR821" s="244" t="s">
        <v>268</v>
      </c>
      <c r="AS821" s="251" t="s">
        <v>276</v>
      </c>
      <c r="AT821" s="251">
        <f t="shared" si="98"/>
        <v>1.1455504083400359</v>
      </c>
      <c r="AU821" s="251" t="s">
        <v>276</v>
      </c>
      <c r="AV821" s="251" t="s">
        <v>276</v>
      </c>
      <c r="AW821" s="244" t="s">
        <v>276</v>
      </c>
      <c r="AX821" s="244" t="s">
        <v>282</v>
      </c>
      <c r="AY821" s="244" t="s">
        <v>276</v>
      </c>
      <c r="AZ821" s="244" t="s">
        <v>276</v>
      </c>
      <c r="BA821" s="244" t="s">
        <v>276</v>
      </c>
      <c r="BB821" s="244" t="s">
        <v>276</v>
      </c>
      <c r="BC821" s="245" t="s">
        <v>298</v>
      </c>
      <c r="BD821" s="245" t="s">
        <v>11435</v>
      </c>
      <c r="BE821" s="33" t="s">
        <v>100</v>
      </c>
      <c r="BF821" s="33" t="s">
        <v>98</v>
      </c>
    </row>
    <row r="822" spans="1:58" s="253" customFormat="1" ht="59.15" customHeight="1" x14ac:dyDescent="0.3">
      <c r="A822" s="244">
        <v>540</v>
      </c>
      <c r="B822" s="245" t="s">
        <v>7926</v>
      </c>
      <c r="C822" s="245" t="s">
        <v>81</v>
      </c>
      <c r="D822" s="245" t="s">
        <v>7937</v>
      </c>
      <c r="E822" s="244" t="s">
        <v>39</v>
      </c>
      <c r="F822" s="245" t="s">
        <v>263</v>
      </c>
      <c r="G822" s="244" t="s">
        <v>225</v>
      </c>
      <c r="H822" s="244" t="s">
        <v>125</v>
      </c>
      <c r="I822" s="244" t="s">
        <v>114</v>
      </c>
      <c r="J822" s="245" t="s">
        <v>24</v>
      </c>
      <c r="K822" s="245" t="s">
        <v>3124</v>
      </c>
      <c r="L822" s="245" t="s">
        <v>276</v>
      </c>
      <c r="M822" s="244" t="s">
        <v>14</v>
      </c>
      <c r="N822" s="246" t="s">
        <v>98</v>
      </c>
      <c r="O822" s="247" t="s">
        <v>207</v>
      </c>
      <c r="P822" s="248">
        <v>30681</v>
      </c>
      <c r="Q822" s="245" t="s">
        <v>276</v>
      </c>
      <c r="R822" s="245" t="s">
        <v>276</v>
      </c>
      <c r="S822" s="245" t="s">
        <v>276</v>
      </c>
      <c r="T822" s="245" t="s">
        <v>276</v>
      </c>
      <c r="U822" s="249">
        <v>4618</v>
      </c>
      <c r="V822" s="250">
        <v>4593</v>
      </c>
      <c r="W822" s="244" t="s">
        <v>276</v>
      </c>
      <c r="X822" s="244" t="s">
        <v>276</v>
      </c>
      <c r="Y822" s="244" t="s">
        <v>276</v>
      </c>
      <c r="Z822" s="245" t="s">
        <v>276</v>
      </c>
      <c r="AA822" s="244" t="s">
        <v>276</v>
      </c>
      <c r="AB822" s="245" t="s">
        <v>276</v>
      </c>
      <c r="AC822" s="245" t="s">
        <v>7938</v>
      </c>
      <c r="AD822" s="245" t="s">
        <v>689</v>
      </c>
      <c r="AE822" s="244">
        <v>154</v>
      </c>
      <c r="AF822" s="244">
        <v>129</v>
      </c>
      <c r="AG822" s="249">
        <v>4618</v>
      </c>
      <c r="AH822" s="249">
        <v>4593</v>
      </c>
      <c r="AI822" s="249" t="s">
        <v>292</v>
      </c>
      <c r="AJ822" s="455" t="s">
        <v>276</v>
      </c>
      <c r="AK822" s="252">
        <f t="shared" si="99"/>
        <v>3.3347769597228236</v>
      </c>
      <c r="AL822" s="330" t="s">
        <v>276</v>
      </c>
      <c r="AM822" s="330" t="s">
        <v>276</v>
      </c>
      <c r="AN822" s="455" t="s">
        <v>276</v>
      </c>
      <c r="AO822" s="252">
        <f t="shared" si="100"/>
        <v>2.8086218158066623</v>
      </c>
      <c r="AP822" s="330" t="s">
        <v>276</v>
      </c>
      <c r="AQ822" s="330" t="s">
        <v>276</v>
      </c>
      <c r="AR822" s="244" t="s">
        <v>268</v>
      </c>
      <c r="AS822" s="251" t="s">
        <v>276</v>
      </c>
      <c r="AT822" s="251">
        <f t="shared" si="98"/>
        <v>1.1873357035664287</v>
      </c>
      <c r="AU822" s="251" t="s">
        <v>276</v>
      </c>
      <c r="AV822" s="251" t="s">
        <v>276</v>
      </c>
      <c r="AW822" s="244" t="s">
        <v>276</v>
      </c>
      <c r="AX822" s="244" t="s">
        <v>282</v>
      </c>
      <c r="AY822" s="244" t="s">
        <v>276</v>
      </c>
      <c r="AZ822" s="244" t="s">
        <v>276</v>
      </c>
      <c r="BA822" s="244" t="s">
        <v>276</v>
      </c>
      <c r="BB822" s="244" t="s">
        <v>276</v>
      </c>
      <c r="BC822" s="245" t="s">
        <v>298</v>
      </c>
      <c r="BD822" s="245" t="s">
        <v>11435</v>
      </c>
      <c r="BE822" s="33" t="s">
        <v>100</v>
      </c>
      <c r="BF822" s="33" t="s">
        <v>98</v>
      </c>
    </row>
    <row r="823" spans="1:58" s="263" customFormat="1" ht="65.150000000000006" customHeight="1" x14ac:dyDescent="0.3">
      <c r="A823" s="254">
        <v>540</v>
      </c>
      <c r="B823" s="255" t="s">
        <v>7926</v>
      </c>
      <c r="C823" s="255" t="s">
        <v>81</v>
      </c>
      <c r="D823" s="255" t="s">
        <v>7939</v>
      </c>
      <c r="E823" s="254" t="s">
        <v>39</v>
      </c>
      <c r="F823" s="255" t="s">
        <v>263</v>
      </c>
      <c r="G823" s="254" t="s">
        <v>225</v>
      </c>
      <c r="H823" s="254" t="s">
        <v>125</v>
      </c>
      <c r="I823" s="254" t="s">
        <v>114</v>
      </c>
      <c r="J823" s="255" t="s">
        <v>24</v>
      </c>
      <c r="K823" s="255" t="s">
        <v>3124</v>
      </c>
      <c r="L823" s="255" t="s">
        <v>276</v>
      </c>
      <c r="M823" s="254" t="s">
        <v>14</v>
      </c>
      <c r="N823" s="256" t="s">
        <v>98</v>
      </c>
      <c r="O823" s="257" t="s">
        <v>207</v>
      </c>
      <c r="P823" s="258">
        <v>30681</v>
      </c>
      <c r="Q823" s="255" t="s">
        <v>705</v>
      </c>
      <c r="R823" s="255" t="s">
        <v>705</v>
      </c>
      <c r="S823" s="255" t="s">
        <v>276</v>
      </c>
      <c r="T823" s="255" t="s">
        <v>276</v>
      </c>
      <c r="U823" s="259">
        <v>4618</v>
      </c>
      <c r="V823" s="260">
        <v>4593</v>
      </c>
      <c r="W823" s="254" t="s">
        <v>276</v>
      </c>
      <c r="X823" s="254" t="s">
        <v>276</v>
      </c>
      <c r="Y823" s="254" t="s">
        <v>276</v>
      </c>
      <c r="Z823" s="255" t="s">
        <v>276</v>
      </c>
      <c r="AA823" s="254" t="s">
        <v>276</v>
      </c>
      <c r="AB823" s="255" t="s">
        <v>276</v>
      </c>
      <c r="AC823" s="255" t="s">
        <v>7940</v>
      </c>
      <c r="AD823" s="255" t="s">
        <v>689</v>
      </c>
      <c r="AE823" s="254">
        <v>2</v>
      </c>
      <c r="AF823" s="254">
        <v>2</v>
      </c>
      <c r="AG823" s="259">
        <v>4618</v>
      </c>
      <c r="AH823" s="259">
        <v>4593</v>
      </c>
      <c r="AI823" s="259" t="s">
        <v>292</v>
      </c>
      <c r="AJ823" s="414" t="s">
        <v>276</v>
      </c>
      <c r="AK823" s="262">
        <f t="shared" si="99"/>
        <v>4.3308791684711995E-2</v>
      </c>
      <c r="AL823" s="331" t="s">
        <v>276</v>
      </c>
      <c r="AM823" s="331" t="s">
        <v>276</v>
      </c>
      <c r="AN823" s="414" t="s">
        <v>276</v>
      </c>
      <c r="AO823" s="262">
        <f t="shared" si="100"/>
        <v>4.3544524276072284E-2</v>
      </c>
      <c r="AP823" s="331" t="s">
        <v>276</v>
      </c>
      <c r="AQ823" s="331" t="s">
        <v>276</v>
      </c>
      <c r="AR823" s="254" t="s">
        <v>268</v>
      </c>
      <c r="AS823" s="261" t="s">
        <v>276</v>
      </c>
      <c r="AT823" s="261">
        <f t="shared" si="98"/>
        <v>0.99458640103941098</v>
      </c>
      <c r="AU823" s="261" t="s">
        <v>276</v>
      </c>
      <c r="AV823" s="261" t="s">
        <v>276</v>
      </c>
      <c r="AW823" s="254" t="s">
        <v>276</v>
      </c>
      <c r="AX823" s="254" t="s">
        <v>282</v>
      </c>
      <c r="AY823" s="254" t="s">
        <v>276</v>
      </c>
      <c r="AZ823" s="254" t="s">
        <v>276</v>
      </c>
      <c r="BA823" s="254" t="s">
        <v>276</v>
      </c>
      <c r="BB823" s="254" t="s">
        <v>276</v>
      </c>
      <c r="BC823" s="255" t="s">
        <v>298</v>
      </c>
      <c r="BD823" s="255" t="s">
        <v>11435</v>
      </c>
      <c r="BE823" s="33" t="s">
        <v>100</v>
      </c>
      <c r="BF823" s="33" t="s">
        <v>98</v>
      </c>
    </row>
    <row r="824" spans="1:58" s="263" customFormat="1" ht="65.150000000000006" customHeight="1" x14ac:dyDescent="0.3">
      <c r="A824" s="254">
        <v>540</v>
      </c>
      <c r="B824" s="255" t="s">
        <v>7926</v>
      </c>
      <c r="C824" s="255" t="s">
        <v>81</v>
      </c>
      <c r="D824" s="255" t="s">
        <v>7941</v>
      </c>
      <c r="E824" s="254" t="s">
        <v>39</v>
      </c>
      <c r="F824" s="255" t="s">
        <v>263</v>
      </c>
      <c r="G824" s="254" t="s">
        <v>225</v>
      </c>
      <c r="H824" s="254" t="s">
        <v>125</v>
      </c>
      <c r="I824" s="254" t="s">
        <v>114</v>
      </c>
      <c r="J824" s="255" t="s">
        <v>24</v>
      </c>
      <c r="K824" s="255" t="s">
        <v>3124</v>
      </c>
      <c r="L824" s="255" t="s">
        <v>276</v>
      </c>
      <c r="M824" s="254" t="s">
        <v>14</v>
      </c>
      <c r="N824" s="256" t="s">
        <v>98</v>
      </c>
      <c r="O824" s="257" t="s">
        <v>207</v>
      </c>
      <c r="P824" s="258">
        <v>30681</v>
      </c>
      <c r="Q824" s="255" t="s">
        <v>710</v>
      </c>
      <c r="R824" s="255" t="s">
        <v>710</v>
      </c>
      <c r="S824" s="255" t="s">
        <v>276</v>
      </c>
      <c r="T824" s="255" t="s">
        <v>276</v>
      </c>
      <c r="U824" s="259">
        <v>4618</v>
      </c>
      <c r="V824" s="260">
        <v>4593</v>
      </c>
      <c r="W824" s="254" t="s">
        <v>276</v>
      </c>
      <c r="X824" s="254" t="s">
        <v>276</v>
      </c>
      <c r="Y824" s="254" t="s">
        <v>276</v>
      </c>
      <c r="Z824" s="255" t="s">
        <v>276</v>
      </c>
      <c r="AA824" s="254" t="s">
        <v>276</v>
      </c>
      <c r="AB824" s="255" t="s">
        <v>276</v>
      </c>
      <c r="AC824" s="255" t="s">
        <v>7942</v>
      </c>
      <c r="AD824" s="255" t="s">
        <v>689</v>
      </c>
      <c r="AE824" s="254">
        <f>2+9</f>
        <v>11</v>
      </c>
      <c r="AF824" s="254">
        <f>2+7</f>
        <v>9</v>
      </c>
      <c r="AG824" s="259">
        <v>4618</v>
      </c>
      <c r="AH824" s="259">
        <v>4593</v>
      </c>
      <c r="AI824" s="259" t="s">
        <v>292</v>
      </c>
      <c r="AJ824" s="414" t="s">
        <v>276</v>
      </c>
      <c r="AK824" s="262">
        <f t="shared" si="99"/>
        <v>0.23819835426591598</v>
      </c>
      <c r="AL824" s="331" t="s">
        <v>276</v>
      </c>
      <c r="AM824" s="331" t="s">
        <v>276</v>
      </c>
      <c r="AN824" s="414" t="s">
        <v>276</v>
      </c>
      <c r="AO824" s="262">
        <f t="shared" si="100"/>
        <v>0.19595035924232529</v>
      </c>
      <c r="AP824" s="331" t="s">
        <v>276</v>
      </c>
      <c r="AQ824" s="331" t="s">
        <v>276</v>
      </c>
      <c r="AR824" s="254" t="s">
        <v>268</v>
      </c>
      <c r="AS824" s="261" t="s">
        <v>276</v>
      </c>
      <c r="AT824" s="261">
        <f t="shared" si="98"/>
        <v>1.2156056012703911</v>
      </c>
      <c r="AU824" s="261" t="s">
        <v>276</v>
      </c>
      <c r="AV824" s="261" t="s">
        <v>276</v>
      </c>
      <c r="AW824" s="254" t="s">
        <v>276</v>
      </c>
      <c r="AX824" s="254" t="s">
        <v>282</v>
      </c>
      <c r="AY824" s="254" t="s">
        <v>276</v>
      </c>
      <c r="AZ824" s="254" t="s">
        <v>276</v>
      </c>
      <c r="BA824" s="254" t="s">
        <v>276</v>
      </c>
      <c r="BB824" s="254" t="s">
        <v>276</v>
      </c>
      <c r="BC824" s="255" t="s">
        <v>298</v>
      </c>
      <c r="BD824" s="255" t="s">
        <v>11435</v>
      </c>
      <c r="BE824" s="33" t="s">
        <v>100</v>
      </c>
      <c r="BF824" s="33" t="s">
        <v>98</v>
      </c>
    </row>
    <row r="825" spans="1:58" s="263" customFormat="1" ht="65.150000000000006" customHeight="1" x14ac:dyDescent="0.3">
      <c r="A825" s="254">
        <v>540</v>
      </c>
      <c r="B825" s="255" t="s">
        <v>7926</v>
      </c>
      <c r="C825" s="255" t="s">
        <v>81</v>
      </c>
      <c r="D825" s="255" t="s">
        <v>7943</v>
      </c>
      <c r="E825" s="254" t="s">
        <v>39</v>
      </c>
      <c r="F825" s="255" t="s">
        <v>263</v>
      </c>
      <c r="G825" s="254" t="s">
        <v>225</v>
      </c>
      <c r="H825" s="254" t="s">
        <v>125</v>
      </c>
      <c r="I825" s="254" t="s">
        <v>114</v>
      </c>
      <c r="J825" s="255" t="s">
        <v>24</v>
      </c>
      <c r="K825" s="255" t="s">
        <v>3124</v>
      </c>
      <c r="L825" s="255" t="s">
        <v>276</v>
      </c>
      <c r="M825" s="254" t="s">
        <v>14</v>
      </c>
      <c r="N825" s="256" t="s">
        <v>98</v>
      </c>
      <c r="O825" s="257" t="s">
        <v>207</v>
      </c>
      <c r="P825" s="258">
        <v>30681</v>
      </c>
      <c r="Q825" s="255" t="s">
        <v>686</v>
      </c>
      <c r="R825" s="255" t="s">
        <v>686</v>
      </c>
      <c r="S825" s="255" t="s">
        <v>276</v>
      </c>
      <c r="T825" s="255" t="s">
        <v>276</v>
      </c>
      <c r="U825" s="259">
        <v>4618</v>
      </c>
      <c r="V825" s="260">
        <v>4593</v>
      </c>
      <c r="W825" s="254" t="s">
        <v>276</v>
      </c>
      <c r="X825" s="254" t="s">
        <v>276</v>
      </c>
      <c r="Y825" s="254" t="s">
        <v>276</v>
      </c>
      <c r="Z825" s="255" t="s">
        <v>276</v>
      </c>
      <c r="AA825" s="254" t="s">
        <v>276</v>
      </c>
      <c r="AB825" s="255" t="s">
        <v>276</v>
      </c>
      <c r="AC825" s="255" t="s">
        <v>7944</v>
      </c>
      <c r="AD825" s="255" t="s">
        <v>689</v>
      </c>
      <c r="AE825" s="254">
        <f>2+9+7</f>
        <v>18</v>
      </c>
      <c r="AF825" s="254">
        <f>2+7+10</f>
        <v>19</v>
      </c>
      <c r="AG825" s="259">
        <v>4618</v>
      </c>
      <c r="AH825" s="259">
        <v>4593</v>
      </c>
      <c r="AI825" s="259" t="s">
        <v>292</v>
      </c>
      <c r="AJ825" s="414" t="s">
        <v>276</v>
      </c>
      <c r="AK825" s="262">
        <f t="shared" si="99"/>
        <v>0.38977912516240798</v>
      </c>
      <c r="AL825" s="331" t="s">
        <v>276</v>
      </c>
      <c r="AM825" s="331" t="s">
        <v>276</v>
      </c>
      <c r="AN825" s="414" t="s">
        <v>276</v>
      </c>
      <c r="AO825" s="262">
        <f t="shared" si="100"/>
        <v>0.4136729806226867</v>
      </c>
      <c r="AP825" s="331" t="s">
        <v>276</v>
      </c>
      <c r="AQ825" s="331" t="s">
        <v>276</v>
      </c>
      <c r="AR825" s="254" t="s">
        <v>268</v>
      </c>
      <c r="AS825" s="261" t="s">
        <v>276</v>
      </c>
      <c r="AT825" s="261">
        <f t="shared" si="98"/>
        <v>0.94223974835312618</v>
      </c>
      <c r="AU825" s="261" t="s">
        <v>276</v>
      </c>
      <c r="AV825" s="261" t="s">
        <v>276</v>
      </c>
      <c r="AW825" s="254" t="s">
        <v>276</v>
      </c>
      <c r="AX825" s="254" t="s">
        <v>282</v>
      </c>
      <c r="AY825" s="254" t="s">
        <v>276</v>
      </c>
      <c r="AZ825" s="254" t="s">
        <v>276</v>
      </c>
      <c r="BA825" s="254" t="s">
        <v>276</v>
      </c>
      <c r="BB825" s="254" t="s">
        <v>276</v>
      </c>
      <c r="BC825" s="255" t="s">
        <v>298</v>
      </c>
      <c r="BD825" s="255" t="s">
        <v>11435</v>
      </c>
      <c r="BE825" s="33" t="s">
        <v>100</v>
      </c>
      <c r="BF825" s="33" t="s">
        <v>98</v>
      </c>
    </row>
    <row r="826" spans="1:58" s="263" customFormat="1" ht="65.150000000000006" customHeight="1" x14ac:dyDescent="0.3">
      <c r="A826" s="254">
        <v>540</v>
      </c>
      <c r="B826" s="255" t="s">
        <v>7926</v>
      </c>
      <c r="C826" s="255" t="s">
        <v>81</v>
      </c>
      <c r="D826" s="255" t="s">
        <v>7945</v>
      </c>
      <c r="E826" s="254" t="s">
        <v>39</v>
      </c>
      <c r="F826" s="255" t="s">
        <v>263</v>
      </c>
      <c r="G826" s="254" t="s">
        <v>225</v>
      </c>
      <c r="H826" s="254" t="s">
        <v>125</v>
      </c>
      <c r="I826" s="254" t="s">
        <v>114</v>
      </c>
      <c r="J826" s="255" t="s">
        <v>24</v>
      </c>
      <c r="K826" s="255" t="s">
        <v>3124</v>
      </c>
      <c r="L826" s="255" t="s">
        <v>276</v>
      </c>
      <c r="M826" s="254" t="s">
        <v>14</v>
      </c>
      <c r="N826" s="256" t="s">
        <v>98</v>
      </c>
      <c r="O826" s="257" t="s">
        <v>207</v>
      </c>
      <c r="P826" s="258">
        <v>30681</v>
      </c>
      <c r="Q826" s="255" t="s">
        <v>721</v>
      </c>
      <c r="R826" s="255" t="s">
        <v>721</v>
      </c>
      <c r="S826" s="255" t="s">
        <v>276</v>
      </c>
      <c r="T826" s="255" t="s">
        <v>276</v>
      </c>
      <c r="U826" s="259">
        <v>4618</v>
      </c>
      <c r="V826" s="260">
        <v>4593</v>
      </c>
      <c r="W826" s="254" t="s">
        <v>276</v>
      </c>
      <c r="X826" s="254" t="s">
        <v>276</v>
      </c>
      <c r="Y826" s="254" t="s">
        <v>276</v>
      </c>
      <c r="Z826" s="255" t="s">
        <v>276</v>
      </c>
      <c r="AA826" s="254" t="s">
        <v>276</v>
      </c>
      <c r="AB826" s="255" t="s">
        <v>276</v>
      </c>
      <c r="AC826" s="255" t="s">
        <v>7946</v>
      </c>
      <c r="AD826" s="255" t="s">
        <v>689</v>
      </c>
      <c r="AE826" s="254">
        <f>2+9+7+10</f>
        <v>28</v>
      </c>
      <c r="AF826" s="254">
        <f>2+7+10+13</f>
        <v>32</v>
      </c>
      <c r="AG826" s="259">
        <v>4618</v>
      </c>
      <c r="AH826" s="259">
        <v>4593</v>
      </c>
      <c r="AI826" s="259" t="s">
        <v>292</v>
      </c>
      <c r="AJ826" s="414" t="s">
        <v>276</v>
      </c>
      <c r="AK826" s="262">
        <f t="shared" si="99"/>
        <v>0.60632308358596798</v>
      </c>
      <c r="AL826" s="331" t="s">
        <v>276</v>
      </c>
      <c r="AM826" s="331" t="s">
        <v>276</v>
      </c>
      <c r="AN826" s="414" t="s">
        <v>276</v>
      </c>
      <c r="AO826" s="262">
        <f t="shared" si="100"/>
        <v>0.69671238841715655</v>
      </c>
      <c r="AP826" s="331" t="s">
        <v>276</v>
      </c>
      <c r="AQ826" s="331" t="s">
        <v>276</v>
      </c>
      <c r="AR826" s="254" t="s">
        <v>268</v>
      </c>
      <c r="AS826" s="261" t="s">
        <v>276</v>
      </c>
      <c r="AT826" s="261">
        <f t="shared" si="98"/>
        <v>0.87026310090948467</v>
      </c>
      <c r="AU826" s="261" t="s">
        <v>276</v>
      </c>
      <c r="AV826" s="261" t="s">
        <v>276</v>
      </c>
      <c r="AW826" s="254" t="s">
        <v>276</v>
      </c>
      <c r="AX826" s="254" t="s">
        <v>282</v>
      </c>
      <c r="AY826" s="254" t="s">
        <v>276</v>
      </c>
      <c r="AZ826" s="254" t="s">
        <v>276</v>
      </c>
      <c r="BA826" s="254" t="s">
        <v>276</v>
      </c>
      <c r="BB826" s="254" t="s">
        <v>276</v>
      </c>
      <c r="BC826" s="255" t="s">
        <v>298</v>
      </c>
      <c r="BD826" s="255" t="s">
        <v>11435</v>
      </c>
      <c r="BE826" s="33" t="s">
        <v>100</v>
      </c>
      <c r="BF826" s="33" t="s">
        <v>98</v>
      </c>
    </row>
    <row r="827" spans="1:58" s="263" customFormat="1" ht="65.150000000000006" customHeight="1" x14ac:dyDescent="0.3">
      <c r="A827" s="254">
        <v>540</v>
      </c>
      <c r="B827" s="255" t="s">
        <v>7926</v>
      </c>
      <c r="C827" s="255" t="s">
        <v>81</v>
      </c>
      <c r="D827" s="255" t="s">
        <v>7947</v>
      </c>
      <c r="E827" s="254" t="s">
        <v>39</v>
      </c>
      <c r="F827" s="255" t="s">
        <v>263</v>
      </c>
      <c r="G827" s="254" t="s">
        <v>225</v>
      </c>
      <c r="H827" s="254" t="s">
        <v>125</v>
      </c>
      <c r="I827" s="254" t="s">
        <v>114</v>
      </c>
      <c r="J827" s="255" t="s">
        <v>24</v>
      </c>
      <c r="K827" s="255" t="s">
        <v>3124</v>
      </c>
      <c r="L827" s="255" t="s">
        <v>276</v>
      </c>
      <c r="M827" s="254" t="s">
        <v>14</v>
      </c>
      <c r="N827" s="256" t="s">
        <v>98</v>
      </c>
      <c r="O827" s="257" t="s">
        <v>207</v>
      </c>
      <c r="P827" s="258">
        <v>30681</v>
      </c>
      <c r="Q827" s="255" t="s">
        <v>728</v>
      </c>
      <c r="R827" s="255" t="s">
        <v>728</v>
      </c>
      <c r="S827" s="255" t="s">
        <v>276</v>
      </c>
      <c r="T827" s="255" t="s">
        <v>276</v>
      </c>
      <c r="U827" s="259">
        <v>4618</v>
      </c>
      <c r="V827" s="260">
        <v>4593</v>
      </c>
      <c r="W827" s="254" t="s">
        <v>276</v>
      </c>
      <c r="X827" s="254" t="s">
        <v>276</v>
      </c>
      <c r="Y827" s="254" t="s">
        <v>276</v>
      </c>
      <c r="Z827" s="255" t="s">
        <v>276</v>
      </c>
      <c r="AA827" s="254" t="s">
        <v>276</v>
      </c>
      <c r="AB827" s="255" t="s">
        <v>276</v>
      </c>
      <c r="AC827" s="255" t="s">
        <v>7948</v>
      </c>
      <c r="AD827" s="255" t="s">
        <v>689</v>
      </c>
      <c r="AE827" s="254">
        <f>2+9+7+10+14</f>
        <v>42</v>
      </c>
      <c r="AF827" s="254">
        <f>2+7+10+13+9</f>
        <v>41</v>
      </c>
      <c r="AG827" s="259">
        <v>4618</v>
      </c>
      <c r="AH827" s="259">
        <v>4593</v>
      </c>
      <c r="AI827" s="259" t="s">
        <v>292</v>
      </c>
      <c r="AJ827" s="414" t="s">
        <v>276</v>
      </c>
      <c r="AK827" s="262">
        <f t="shared" si="99"/>
        <v>0.90948462537895192</v>
      </c>
      <c r="AL827" s="331" t="s">
        <v>276</v>
      </c>
      <c r="AM827" s="331" t="s">
        <v>276</v>
      </c>
      <c r="AN827" s="414" t="s">
        <v>276</v>
      </c>
      <c r="AO827" s="262">
        <f t="shared" si="100"/>
        <v>0.89266274765948184</v>
      </c>
      <c r="AP827" s="331" t="s">
        <v>276</v>
      </c>
      <c r="AQ827" s="331" t="s">
        <v>276</v>
      </c>
      <c r="AR827" s="254" t="s">
        <v>268</v>
      </c>
      <c r="AS827" s="261" t="s">
        <v>276</v>
      </c>
      <c r="AT827" s="261">
        <f t="shared" si="98"/>
        <v>1.0188446059428113</v>
      </c>
      <c r="AU827" s="261" t="s">
        <v>276</v>
      </c>
      <c r="AV827" s="261" t="s">
        <v>276</v>
      </c>
      <c r="AW827" s="254" t="s">
        <v>276</v>
      </c>
      <c r="AX827" s="254" t="s">
        <v>282</v>
      </c>
      <c r="AY827" s="254" t="s">
        <v>276</v>
      </c>
      <c r="AZ827" s="254" t="s">
        <v>276</v>
      </c>
      <c r="BA827" s="254" t="s">
        <v>276</v>
      </c>
      <c r="BB827" s="254" t="s">
        <v>276</v>
      </c>
      <c r="BC827" s="255" t="s">
        <v>298</v>
      </c>
      <c r="BD827" s="255" t="s">
        <v>11435</v>
      </c>
      <c r="BE827" s="33" t="s">
        <v>100</v>
      </c>
      <c r="BF827" s="33" t="s">
        <v>98</v>
      </c>
    </row>
    <row r="828" spans="1:58" s="263" customFormat="1" ht="65.150000000000006" customHeight="1" x14ac:dyDescent="0.3">
      <c r="A828" s="254">
        <v>540</v>
      </c>
      <c r="B828" s="255" t="s">
        <v>7926</v>
      </c>
      <c r="C828" s="255" t="s">
        <v>81</v>
      </c>
      <c r="D828" s="255" t="s">
        <v>7949</v>
      </c>
      <c r="E828" s="254" t="s">
        <v>39</v>
      </c>
      <c r="F828" s="255" t="s">
        <v>263</v>
      </c>
      <c r="G828" s="254" t="s">
        <v>225</v>
      </c>
      <c r="H828" s="254" t="s">
        <v>125</v>
      </c>
      <c r="I828" s="254" t="s">
        <v>114</v>
      </c>
      <c r="J828" s="255" t="s">
        <v>24</v>
      </c>
      <c r="K828" s="255" t="s">
        <v>3124</v>
      </c>
      <c r="L828" s="255" t="s">
        <v>276</v>
      </c>
      <c r="M828" s="254" t="s">
        <v>14</v>
      </c>
      <c r="N828" s="256" t="s">
        <v>98</v>
      </c>
      <c r="O828" s="257" t="s">
        <v>207</v>
      </c>
      <c r="P828" s="258">
        <v>30681</v>
      </c>
      <c r="Q828" s="255" t="s">
        <v>733</v>
      </c>
      <c r="R828" s="255" t="s">
        <v>733</v>
      </c>
      <c r="S828" s="255" t="s">
        <v>276</v>
      </c>
      <c r="T828" s="255" t="s">
        <v>276</v>
      </c>
      <c r="U828" s="259">
        <v>4618</v>
      </c>
      <c r="V828" s="260">
        <v>4593</v>
      </c>
      <c r="W828" s="254" t="s">
        <v>276</v>
      </c>
      <c r="X828" s="254" t="s">
        <v>276</v>
      </c>
      <c r="Y828" s="254" t="s">
        <v>276</v>
      </c>
      <c r="Z828" s="255" t="s">
        <v>276</v>
      </c>
      <c r="AA828" s="254" t="s">
        <v>276</v>
      </c>
      <c r="AB828" s="255" t="s">
        <v>276</v>
      </c>
      <c r="AC828" s="255" t="s">
        <v>7950</v>
      </c>
      <c r="AD828" s="255" t="s">
        <v>689</v>
      </c>
      <c r="AE828" s="254">
        <f>2+9+7+10+14+23</f>
        <v>65</v>
      </c>
      <c r="AF828" s="254">
        <f>2+7+10+13+9+14</f>
        <v>55</v>
      </c>
      <c r="AG828" s="259">
        <v>4618</v>
      </c>
      <c r="AH828" s="259">
        <v>4593</v>
      </c>
      <c r="AI828" s="259" t="s">
        <v>292</v>
      </c>
      <c r="AJ828" s="414" t="s">
        <v>276</v>
      </c>
      <c r="AK828" s="262">
        <f t="shared" si="99"/>
        <v>1.4075357297531399</v>
      </c>
      <c r="AL828" s="331" t="s">
        <v>276</v>
      </c>
      <c r="AM828" s="331" t="s">
        <v>276</v>
      </c>
      <c r="AN828" s="414" t="s">
        <v>276</v>
      </c>
      <c r="AO828" s="262">
        <f t="shared" si="100"/>
        <v>1.1974744175919878</v>
      </c>
      <c r="AP828" s="331" t="s">
        <v>276</v>
      </c>
      <c r="AQ828" s="331" t="s">
        <v>276</v>
      </c>
      <c r="AR828" s="254" t="s">
        <v>268</v>
      </c>
      <c r="AS828" s="261" t="s">
        <v>276</v>
      </c>
      <c r="AT828" s="261">
        <f t="shared" si="98"/>
        <v>1.1754202921374857</v>
      </c>
      <c r="AU828" s="261" t="s">
        <v>276</v>
      </c>
      <c r="AV828" s="261" t="s">
        <v>276</v>
      </c>
      <c r="AW828" s="254" t="s">
        <v>276</v>
      </c>
      <c r="AX828" s="254" t="s">
        <v>282</v>
      </c>
      <c r="AY828" s="254" t="s">
        <v>276</v>
      </c>
      <c r="AZ828" s="254" t="s">
        <v>276</v>
      </c>
      <c r="BA828" s="254" t="s">
        <v>276</v>
      </c>
      <c r="BB828" s="254" t="s">
        <v>276</v>
      </c>
      <c r="BC828" s="255" t="s">
        <v>298</v>
      </c>
      <c r="BD828" s="255" t="s">
        <v>11435</v>
      </c>
      <c r="BE828" s="33" t="s">
        <v>100</v>
      </c>
      <c r="BF828" s="33" t="s">
        <v>98</v>
      </c>
    </row>
    <row r="829" spans="1:58" s="263" customFormat="1" ht="65.150000000000006" customHeight="1" x14ac:dyDescent="0.3">
      <c r="A829" s="254">
        <v>540</v>
      </c>
      <c r="B829" s="255" t="s">
        <v>7926</v>
      </c>
      <c r="C829" s="255" t="s">
        <v>81</v>
      </c>
      <c r="D829" s="255" t="s">
        <v>7951</v>
      </c>
      <c r="E829" s="254" t="s">
        <v>39</v>
      </c>
      <c r="F829" s="255" t="s">
        <v>263</v>
      </c>
      <c r="G829" s="254" t="s">
        <v>225</v>
      </c>
      <c r="H829" s="254" t="s">
        <v>125</v>
      </c>
      <c r="I829" s="254" t="s">
        <v>114</v>
      </c>
      <c r="J829" s="255" t="s">
        <v>24</v>
      </c>
      <c r="K829" s="255" t="s">
        <v>3124</v>
      </c>
      <c r="L829" s="255" t="s">
        <v>276</v>
      </c>
      <c r="M829" s="254" t="s">
        <v>14</v>
      </c>
      <c r="N829" s="256" t="s">
        <v>98</v>
      </c>
      <c r="O829" s="257" t="s">
        <v>207</v>
      </c>
      <c r="P829" s="258">
        <v>30681</v>
      </c>
      <c r="Q829" s="255" t="s">
        <v>741</v>
      </c>
      <c r="R829" s="255" t="s">
        <v>741</v>
      </c>
      <c r="S829" s="255" t="s">
        <v>276</v>
      </c>
      <c r="T829" s="255" t="s">
        <v>276</v>
      </c>
      <c r="U829" s="259">
        <v>4618</v>
      </c>
      <c r="V829" s="260">
        <v>4593</v>
      </c>
      <c r="W829" s="254" t="s">
        <v>276</v>
      </c>
      <c r="X829" s="254" t="s">
        <v>276</v>
      </c>
      <c r="Y829" s="254" t="s">
        <v>276</v>
      </c>
      <c r="Z829" s="255" t="s">
        <v>276</v>
      </c>
      <c r="AA829" s="254" t="s">
        <v>276</v>
      </c>
      <c r="AB829" s="255" t="s">
        <v>276</v>
      </c>
      <c r="AC829" s="255" t="s">
        <v>7952</v>
      </c>
      <c r="AD829" s="255" t="s">
        <v>689</v>
      </c>
      <c r="AE829" s="254">
        <f>2+9+7+10+14+23+22</f>
        <v>87</v>
      </c>
      <c r="AF829" s="254">
        <f>2+7+10+13+9+14+21</f>
        <v>76</v>
      </c>
      <c r="AG829" s="259">
        <v>4618</v>
      </c>
      <c r="AH829" s="259">
        <v>4593</v>
      </c>
      <c r="AI829" s="259" t="s">
        <v>292</v>
      </c>
      <c r="AJ829" s="414" t="s">
        <v>276</v>
      </c>
      <c r="AK829" s="262">
        <f t="shared" si="99"/>
        <v>1.8839324382849718</v>
      </c>
      <c r="AL829" s="331" t="s">
        <v>276</v>
      </c>
      <c r="AM829" s="331" t="s">
        <v>276</v>
      </c>
      <c r="AN829" s="414" t="s">
        <v>276</v>
      </c>
      <c r="AO829" s="262">
        <f t="shared" si="100"/>
        <v>1.6546919224907468</v>
      </c>
      <c r="AP829" s="331" t="s">
        <v>276</v>
      </c>
      <c r="AQ829" s="331" t="s">
        <v>276</v>
      </c>
      <c r="AR829" s="254" t="s">
        <v>268</v>
      </c>
      <c r="AS829" s="261" t="s">
        <v>276</v>
      </c>
      <c r="AT829" s="261">
        <f t="shared" si="98"/>
        <v>1.1385396959266942</v>
      </c>
      <c r="AU829" s="261" t="s">
        <v>276</v>
      </c>
      <c r="AV829" s="261" t="s">
        <v>276</v>
      </c>
      <c r="AW829" s="254" t="s">
        <v>276</v>
      </c>
      <c r="AX829" s="254" t="s">
        <v>282</v>
      </c>
      <c r="AY829" s="254" t="s">
        <v>276</v>
      </c>
      <c r="AZ829" s="254" t="s">
        <v>276</v>
      </c>
      <c r="BA829" s="254" t="s">
        <v>276</v>
      </c>
      <c r="BB829" s="254" t="s">
        <v>276</v>
      </c>
      <c r="BC829" s="255" t="s">
        <v>298</v>
      </c>
      <c r="BD829" s="255" t="s">
        <v>11435</v>
      </c>
      <c r="BE829" s="33" t="s">
        <v>100</v>
      </c>
      <c r="BF829" s="33" t="s">
        <v>98</v>
      </c>
    </row>
    <row r="830" spans="1:58" s="263" customFormat="1" ht="65.150000000000006" customHeight="1" x14ac:dyDescent="0.3">
      <c r="A830" s="254">
        <v>540</v>
      </c>
      <c r="B830" s="255" t="s">
        <v>7926</v>
      </c>
      <c r="C830" s="255" t="s">
        <v>81</v>
      </c>
      <c r="D830" s="255" t="s">
        <v>7953</v>
      </c>
      <c r="E830" s="254" t="s">
        <v>39</v>
      </c>
      <c r="F830" s="255" t="s">
        <v>263</v>
      </c>
      <c r="G830" s="254" t="s">
        <v>225</v>
      </c>
      <c r="H830" s="254" t="s">
        <v>125</v>
      </c>
      <c r="I830" s="254" t="s">
        <v>114</v>
      </c>
      <c r="J830" s="255" t="s">
        <v>24</v>
      </c>
      <c r="K830" s="255" t="s">
        <v>3124</v>
      </c>
      <c r="L830" s="255" t="s">
        <v>276</v>
      </c>
      <c r="M830" s="254" t="s">
        <v>14</v>
      </c>
      <c r="N830" s="256" t="s">
        <v>98</v>
      </c>
      <c r="O830" s="257" t="s">
        <v>207</v>
      </c>
      <c r="P830" s="258">
        <v>30681</v>
      </c>
      <c r="Q830" s="255" t="s">
        <v>746</v>
      </c>
      <c r="R830" s="255" t="s">
        <v>746</v>
      </c>
      <c r="S830" s="255" t="s">
        <v>276</v>
      </c>
      <c r="T830" s="255" t="s">
        <v>276</v>
      </c>
      <c r="U830" s="259">
        <v>4618</v>
      </c>
      <c r="V830" s="260">
        <v>4593</v>
      </c>
      <c r="W830" s="254" t="s">
        <v>276</v>
      </c>
      <c r="X830" s="254" t="s">
        <v>276</v>
      </c>
      <c r="Y830" s="254" t="s">
        <v>276</v>
      </c>
      <c r="Z830" s="255" t="s">
        <v>276</v>
      </c>
      <c r="AA830" s="254" t="s">
        <v>276</v>
      </c>
      <c r="AB830" s="255" t="s">
        <v>276</v>
      </c>
      <c r="AC830" s="255" t="s">
        <v>7954</v>
      </c>
      <c r="AD830" s="255" t="s">
        <v>689</v>
      </c>
      <c r="AE830" s="254">
        <f>2+9+7+10+14+23+22+16</f>
        <v>103</v>
      </c>
      <c r="AF830" s="254">
        <f>2+7+10+13+9+14+21+23</f>
        <v>99</v>
      </c>
      <c r="AG830" s="259">
        <v>4618</v>
      </c>
      <c r="AH830" s="259">
        <v>4593</v>
      </c>
      <c r="AI830" s="259" t="s">
        <v>292</v>
      </c>
      <c r="AJ830" s="414" t="s">
        <v>276</v>
      </c>
      <c r="AK830" s="262">
        <f t="shared" si="99"/>
        <v>2.2304027717626678</v>
      </c>
      <c r="AL830" s="331" t="s">
        <v>276</v>
      </c>
      <c r="AM830" s="331" t="s">
        <v>276</v>
      </c>
      <c r="AN830" s="414" t="s">
        <v>276</v>
      </c>
      <c r="AO830" s="262">
        <f t="shared" si="100"/>
        <v>2.155453951665578</v>
      </c>
      <c r="AP830" s="331" t="s">
        <v>276</v>
      </c>
      <c r="AQ830" s="331" t="s">
        <v>276</v>
      </c>
      <c r="AR830" s="254" t="s">
        <v>268</v>
      </c>
      <c r="AS830" s="261" t="s">
        <v>276</v>
      </c>
      <c r="AT830" s="261">
        <f t="shared" si="98"/>
        <v>1.0347717101723166</v>
      </c>
      <c r="AU830" s="261" t="s">
        <v>276</v>
      </c>
      <c r="AV830" s="261" t="s">
        <v>276</v>
      </c>
      <c r="AW830" s="254" t="s">
        <v>276</v>
      </c>
      <c r="AX830" s="254" t="s">
        <v>282</v>
      </c>
      <c r="AY830" s="254" t="s">
        <v>276</v>
      </c>
      <c r="AZ830" s="254" t="s">
        <v>276</v>
      </c>
      <c r="BA830" s="254" t="s">
        <v>276</v>
      </c>
      <c r="BB830" s="254" t="s">
        <v>276</v>
      </c>
      <c r="BC830" s="255" t="s">
        <v>298</v>
      </c>
      <c r="BD830" s="255" t="s">
        <v>11435</v>
      </c>
      <c r="BE830" s="33" t="s">
        <v>100</v>
      </c>
      <c r="BF830" s="33" t="s">
        <v>98</v>
      </c>
    </row>
    <row r="831" spans="1:58" s="263" customFormat="1" ht="65.150000000000006" customHeight="1" x14ac:dyDescent="0.3">
      <c r="A831" s="254">
        <v>540</v>
      </c>
      <c r="B831" s="255" t="s">
        <v>7926</v>
      </c>
      <c r="C831" s="255" t="s">
        <v>81</v>
      </c>
      <c r="D831" s="255" t="s">
        <v>7955</v>
      </c>
      <c r="E831" s="254" t="s">
        <v>39</v>
      </c>
      <c r="F831" s="255" t="s">
        <v>263</v>
      </c>
      <c r="G831" s="254" t="s">
        <v>225</v>
      </c>
      <c r="H831" s="254" t="s">
        <v>125</v>
      </c>
      <c r="I831" s="254" t="s">
        <v>114</v>
      </c>
      <c r="J831" s="255" t="s">
        <v>24</v>
      </c>
      <c r="K831" s="255" t="s">
        <v>3124</v>
      </c>
      <c r="L831" s="255" t="s">
        <v>276</v>
      </c>
      <c r="M831" s="254" t="s">
        <v>14</v>
      </c>
      <c r="N831" s="256" t="s">
        <v>98</v>
      </c>
      <c r="O831" s="257" t="s">
        <v>207</v>
      </c>
      <c r="P831" s="258">
        <v>30681</v>
      </c>
      <c r="Q831" s="255" t="s">
        <v>752</v>
      </c>
      <c r="R831" s="255" t="s">
        <v>752</v>
      </c>
      <c r="S831" s="255" t="s">
        <v>276</v>
      </c>
      <c r="T831" s="255" t="s">
        <v>276</v>
      </c>
      <c r="U831" s="259">
        <v>4618</v>
      </c>
      <c r="V831" s="260">
        <v>4593</v>
      </c>
      <c r="W831" s="254" t="s">
        <v>276</v>
      </c>
      <c r="X831" s="254" t="s">
        <v>276</v>
      </c>
      <c r="Y831" s="254" t="s">
        <v>276</v>
      </c>
      <c r="Z831" s="255" t="s">
        <v>276</v>
      </c>
      <c r="AA831" s="254" t="s">
        <v>276</v>
      </c>
      <c r="AB831" s="255" t="s">
        <v>276</v>
      </c>
      <c r="AC831" s="255" t="s">
        <v>7956</v>
      </c>
      <c r="AD831" s="255" t="s">
        <v>689</v>
      </c>
      <c r="AE831" s="254">
        <f>2+9+7+10+14+23+22+16+21</f>
        <v>124</v>
      </c>
      <c r="AF831" s="254">
        <f>2+7+10+13+9+14+21+23+14</f>
        <v>113</v>
      </c>
      <c r="AG831" s="259">
        <v>4618</v>
      </c>
      <c r="AH831" s="259">
        <v>4593</v>
      </c>
      <c r="AI831" s="259" t="s">
        <v>292</v>
      </c>
      <c r="AJ831" s="414" t="s">
        <v>276</v>
      </c>
      <c r="AK831" s="262">
        <f t="shared" si="99"/>
        <v>2.6851450844521438</v>
      </c>
      <c r="AL831" s="331" t="s">
        <v>276</v>
      </c>
      <c r="AM831" s="331" t="s">
        <v>276</v>
      </c>
      <c r="AN831" s="414" t="s">
        <v>276</v>
      </c>
      <c r="AO831" s="262">
        <f t="shared" si="100"/>
        <v>2.4602656215980843</v>
      </c>
      <c r="AP831" s="331" t="s">
        <v>276</v>
      </c>
      <c r="AQ831" s="331" t="s">
        <v>276</v>
      </c>
      <c r="AR831" s="254" t="s">
        <v>268</v>
      </c>
      <c r="AS831" s="261" t="s">
        <v>276</v>
      </c>
      <c r="AT831" s="261">
        <f t="shared" si="98"/>
        <v>1.0914045462733359</v>
      </c>
      <c r="AU831" s="261" t="s">
        <v>276</v>
      </c>
      <c r="AV831" s="261" t="s">
        <v>276</v>
      </c>
      <c r="AW831" s="254" t="s">
        <v>276</v>
      </c>
      <c r="AX831" s="254" t="s">
        <v>282</v>
      </c>
      <c r="AY831" s="254" t="s">
        <v>276</v>
      </c>
      <c r="AZ831" s="254" t="s">
        <v>276</v>
      </c>
      <c r="BA831" s="254" t="s">
        <v>276</v>
      </c>
      <c r="BB831" s="254" t="s">
        <v>276</v>
      </c>
      <c r="BC831" s="255" t="s">
        <v>298</v>
      </c>
      <c r="BD831" s="255" t="s">
        <v>11435</v>
      </c>
      <c r="BE831" s="33" t="s">
        <v>100</v>
      </c>
      <c r="BF831" s="33" t="s">
        <v>98</v>
      </c>
    </row>
    <row r="832" spans="1:58" s="263" customFormat="1" ht="65.150000000000006" customHeight="1" x14ac:dyDescent="0.3">
      <c r="A832" s="254">
        <v>540</v>
      </c>
      <c r="B832" s="255" t="s">
        <v>7926</v>
      </c>
      <c r="C832" s="255" t="s">
        <v>81</v>
      </c>
      <c r="D832" s="255" t="s">
        <v>7957</v>
      </c>
      <c r="E832" s="254" t="s">
        <v>39</v>
      </c>
      <c r="F832" s="255" t="s">
        <v>263</v>
      </c>
      <c r="G832" s="254" t="s">
        <v>225</v>
      </c>
      <c r="H832" s="254" t="s">
        <v>125</v>
      </c>
      <c r="I832" s="254" t="s">
        <v>114</v>
      </c>
      <c r="J832" s="255" t="s">
        <v>24</v>
      </c>
      <c r="K832" s="255" t="s">
        <v>3124</v>
      </c>
      <c r="L832" s="255" t="s">
        <v>276</v>
      </c>
      <c r="M832" s="254" t="s">
        <v>14</v>
      </c>
      <c r="N832" s="256" t="s">
        <v>98</v>
      </c>
      <c r="O832" s="257" t="s">
        <v>207</v>
      </c>
      <c r="P832" s="258">
        <v>30681</v>
      </c>
      <c r="Q832" s="255" t="s">
        <v>766</v>
      </c>
      <c r="R832" s="255" t="s">
        <v>766</v>
      </c>
      <c r="S832" s="255" t="s">
        <v>276</v>
      </c>
      <c r="T832" s="255" t="s">
        <v>276</v>
      </c>
      <c r="U832" s="259">
        <v>4618</v>
      </c>
      <c r="V832" s="260">
        <v>4593</v>
      </c>
      <c r="W832" s="254" t="s">
        <v>276</v>
      </c>
      <c r="X832" s="254" t="s">
        <v>276</v>
      </c>
      <c r="Y832" s="254" t="s">
        <v>276</v>
      </c>
      <c r="Z832" s="255" t="s">
        <v>276</v>
      </c>
      <c r="AA832" s="254" t="s">
        <v>276</v>
      </c>
      <c r="AB832" s="255" t="s">
        <v>276</v>
      </c>
      <c r="AC832" s="255" t="s">
        <v>7958</v>
      </c>
      <c r="AD832" s="255" t="s">
        <v>689</v>
      </c>
      <c r="AE832" s="254">
        <f>2+9+7+10+14+23+22+16+21+18</f>
        <v>142</v>
      </c>
      <c r="AF832" s="254">
        <f>2+7+10+13+9+14+21+23+14+9</f>
        <v>122</v>
      </c>
      <c r="AG832" s="259">
        <v>4618</v>
      </c>
      <c r="AH832" s="259">
        <v>4593</v>
      </c>
      <c r="AI832" s="259" t="s">
        <v>292</v>
      </c>
      <c r="AJ832" s="414" t="s">
        <v>276</v>
      </c>
      <c r="AK832" s="262">
        <f t="shared" si="99"/>
        <v>3.0749242096145517</v>
      </c>
      <c r="AL832" s="331" t="s">
        <v>276</v>
      </c>
      <c r="AM832" s="331" t="s">
        <v>276</v>
      </c>
      <c r="AN832" s="414" t="s">
        <v>276</v>
      </c>
      <c r="AO832" s="262">
        <f t="shared" si="100"/>
        <v>2.6562159808404093</v>
      </c>
      <c r="AP832" s="331" t="s">
        <v>276</v>
      </c>
      <c r="AQ832" s="331" t="s">
        <v>276</v>
      </c>
      <c r="AR832" s="254" t="s">
        <v>268</v>
      </c>
      <c r="AS832" s="261" t="s">
        <v>276</v>
      </c>
      <c r="AT832" s="261">
        <f t="shared" si="98"/>
        <v>1.1576333520294784</v>
      </c>
      <c r="AU832" s="261" t="s">
        <v>276</v>
      </c>
      <c r="AV832" s="261" t="s">
        <v>276</v>
      </c>
      <c r="AW832" s="254" t="s">
        <v>276</v>
      </c>
      <c r="AX832" s="254" t="s">
        <v>282</v>
      </c>
      <c r="AY832" s="254" t="s">
        <v>276</v>
      </c>
      <c r="AZ832" s="254" t="s">
        <v>276</v>
      </c>
      <c r="BA832" s="254" t="s">
        <v>276</v>
      </c>
      <c r="BB832" s="254" t="s">
        <v>276</v>
      </c>
      <c r="BC832" s="255" t="s">
        <v>298</v>
      </c>
      <c r="BD832" s="255" t="s">
        <v>11435</v>
      </c>
      <c r="BE832" s="33" t="s">
        <v>100</v>
      </c>
      <c r="BF832" s="33" t="s">
        <v>98</v>
      </c>
    </row>
    <row r="833" spans="1:58" s="263" customFormat="1" ht="65.150000000000006" customHeight="1" x14ac:dyDescent="0.3">
      <c r="A833" s="254">
        <v>540</v>
      </c>
      <c r="B833" s="255" t="s">
        <v>7926</v>
      </c>
      <c r="C833" s="255" t="s">
        <v>81</v>
      </c>
      <c r="D833" s="255" t="s">
        <v>7959</v>
      </c>
      <c r="E833" s="254" t="s">
        <v>39</v>
      </c>
      <c r="F833" s="255" t="s">
        <v>263</v>
      </c>
      <c r="G833" s="254" t="s">
        <v>225</v>
      </c>
      <c r="H833" s="254" t="s">
        <v>125</v>
      </c>
      <c r="I833" s="254" t="s">
        <v>114</v>
      </c>
      <c r="J833" s="255" t="s">
        <v>24</v>
      </c>
      <c r="K833" s="255" t="s">
        <v>3124</v>
      </c>
      <c r="L833" s="255" t="s">
        <v>276</v>
      </c>
      <c r="M833" s="254" t="s">
        <v>14</v>
      </c>
      <c r="N833" s="256" t="s">
        <v>98</v>
      </c>
      <c r="O833" s="257" t="s">
        <v>207</v>
      </c>
      <c r="P833" s="258">
        <v>30681</v>
      </c>
      <c r="Q833" s="255" t="s">
        <v>770</v>
      </c>
      <c r="R833" s="255" t="s">
        <v>770</v>
      </c>
      <c r="S833" s="255" t="s">
        <v>276</v>
      </c>
      <c r="T833" s="255" t="s">
        <v>276</v>
      </c>
      <c r="U833" s="259">
        <v>4618</v>
      </c>
      <c r="V833" s="260">
        <v>4593</v>
      </c>
      <c r="W833" s="254" t="s">
        <v>276</v>
      </c>
      <c r="X833" s="254" t="s">
        <v>276</v>
      </c>
      <c r="Y833" s="254" t="s">
        <v>276</v>
      </c>
      <c r="Z833" s="255" t="s">
        <v>276</v>
      </c>
      <c r="AA833" s="254" t="s">
        <v>276</v>
      </c>
      <c r="AB833" s="255" t="s">
        <v>276</v>
      </c>
      <c r="AC833" s="255" t="s">
        <v>7960</v>
      </c>
      <c r="AD833" s="255" t="s">
        <v>689</v>
      </c>
      <c r="AE833" s="254">
        <f>2+9+7+10+14+23+22+16+21+18+9</f>
        <v>151</v>
      </c>
      <c r="AF833" s="254">
        <f>2+7+10+13+9+14+21+23+14+9+5</f>
        <v>127</v>
      </c>
      <c r="AG833" s="259">
        <v>4618</v>
      </c>
      <c r="AH833" s="259">
        <v>4593</v>
      </c>
      <c r="AI833" s="259" t="s">
        <v>292</v>
      </c>
      <c r="AJ833" s="414" t="s">
        <v>276</v>
      </c>
      <c r="AK833" s="262">
        <f t="shared" si="99"/>
        <v>3.2698137721957559</v>
      </c>
      <c r="AL833" s="331" t="s">
        <v>276</v>
      </c>
      <c r="AM833" s="331" t="s">
        <v>276</v>
      </c>
      <c r="AN833" s="414" t="s">
        <v>276</v>
      </c>
      <c r="AO833" s="262">
        <f t="shared" si="100"/>
        <v>2.7650772915305901</v>
      </c>
      <c r="AP833" s="331" t="s">
        <v>276</v>
      </c>
      <c r="AQ833" s="331" t="s">
        <v>276</v>
      </c>
      <c r="AR833" s="254" t="s">
        <v>268</v>
      </c>
      <c r="AS833" s="261" t="s">
        <v>276</v>
      </c>
      <c r="AT833" s="261">
        <f t="shared" si="98"/>
        <v>1.1825397366689061</v>
      </c>
      <c r="AU833" s="261" t="s">
        <v>276</v>
      </c>
      <c r="AV833" s="261" t="s">
        <v>276</v>
      </c>
      <c r="AW833" s="254" t="s">
        <v>276</v>
      </c>
      <c r="AX833" s="254" t="s">
        <v>282</v>
      </c>
      <c r="AY833" s="254" t="s">
        <v>276</v>
      </c>
      <c r="AZ833" s="254" t="s">
        <v>276</v>
      </c>
      <c r="BA833" s="254" t="s">
        <v>276</v>
      </c>
      <c r="BB833" s="254" t="s">
        <v>276</v>
      </c>
      <c r="BC833" s="255" t="s">
        <v>298</v>
      </c>
      <c r="BD833" s="255" t="s">
        <v>11435</v>
      </c>
      <c r="BE833" s="33" t="s">
        <v>100</v>
      </c>
      <c r="BF833" s="33" t="s">
        <v>98</v>
      </c>
    </row>
    <row r="834" spans="1:58" s="465" customFormat="1" ht="52" x14ac:dyDescent="0.3">
      <c r="A834" s="456">
        <v>537</v>
      </c>
      <c r="B834" s="457" t="s">
        <v>1011</v>
      </c>
      <c r="C834" s="457" t="s">
        <v>81</v>
      </c>
      <c r="D834" s="457" t="s">
        <v>7961</v>
      </c>
      <c r="E834" s="456" t="s">
        <v>39</v>
      </c>
      <c r="F834" s="457" t="s">
        <v>263</v>
      </c>
      <c r="G834" s="456" t="s">
        <v>225</v>
      </c>
      <c r="H834" s="456" t="s">
        <v>125</v>
      </c>
      <c r="I834" s="456" t="s">
        <v>114</v>
      </c>
      <c r="J834" s="457" t="s">
        <v>24</v>
      </c>
      <c r="K834" s="457" t="s">
        <v>7962</v>
      </c>
      <c r="L834" s="457" t="s">
        <v>276</v>
      </c>
      <c r="M834" s="456" t="s">
        <v>14</v>
      </c>
      <c r="N834" s="458" t="s">
        <v>98</v>
      </c>
      <c r="O834" s="459" t="s">
        <v>207</v>
      </c>
      <c r="P834" s="460">
        <v>30498</v>
      </c>
      <c r="Q834" s="457" t="s">
        <v>276</v>
      </c>
      <c r="R834" s="457" t="s">
        <v>7894</v>
      </c>
      <c r="S834" s="457" t="s">
        <v>7894</v>
      </c>
      <c r="T834" s="457">
        <v>18</v>
      </c>
      <c r="U834" s="461">
        <v>4618</v>
      </c>
      <c r="V834" s="462">
        <v>4593</v>
      </c>
      <c r="W834" s="456" t="s">
        <v>276</v>
      </c>
      <c r="X834" s="456" t="s">
        <v>276</v>
      </c>
      <c r="Y834" s="456" t="s">
        <v>276</v>
      </c>
      <c r="Z834" s="456" t="s">
        <v>276</v>
      </c>
      <c r="AA834" s="456" t="s">
        <v>276</v>
      </c>
      <c r="AB834" s="456" t="s">
        <v>276</v>
      </c>
      <c r="AC834" s="457" t="s">
        <v>7963</v>
      </c>
      <c r="AD834" s="457" t="s">
        <v>689</v>
      </c>
      <c r="AE834" s="456">
        <f>109+9</f>
        <v>118</v>
      </c>
      <c r="AF834" s="456">
        <f>101+5</f>
        <v>106</v>
      </c>
      <c r="AG834" s="461">
        <v>4618</v>
      </c>
      <c r="AH834" s="461">
        <v>4593</v>
      </c>
      <c r="AI834" s="461" t="s">
        <v>292</v>
      </c>
      <c r="AJ834" s="463" t="s">
        <v>276</v>
      </c>
      <c r="AK834" s="464">
        <f>AE834*100/AG834</f>
        <v>2.5552187093980079</v>
      </c>
      <c r="AL834" s="463" t="s">
        <v>276</v>
      </c>
      <c r="AM834" s="463" t="s">
        <v>276</v>
      </c>
      <c r="AN834" s="463" t="s">
        <v>276</v>
      </c>
      <c r="AO834" s="464">
        <f>AF834*100/AH834</f>
        <v>2.3078597866318309</v>
      </c>
      <c r="AP834" s="463" t="s">
        <v>276</v>
      </c>
      <c r="AQ834" s="463" t="s">
        <v>276</v>
      </c>
      <c r="AR834" s="456" t="s">
        <v>268</v>
      </c>
      <c r="AS834" s="463" t="s">
        <v>276</v>
      </c>
      <c r="AT834" s="463">
        <f t="shared" si="98"/>
        <v>1.1071810879495332</v>
      </c>
      <c r="AU834" s="463" t="s">
        <v>276</v>
      </c>
      <c r="AV834" s="463" t="s">
        <v>276</v>
      </c>
      <c r="AW834" s="456" t="s">
        <v>276</v>
      </c>
      <c r="AX834" s="456" t="s">
        <v>282</v>
      </c>
      <c r="AY834" s="456" t="s">
        <v>276</v>
      </c>
      <c r="AZ834" s="456" t="s">
        <v>276</v>
      </c>
      <c r="BA834" s="456" t="s">
        <v>276</v>
      </c>
      <c r="BB834" s="456" t="s">
        <v>276</v>
      </c>
      <c r="BC834" s="457" t="s">
        <v>7964</v>
      </c>
      <c r="BD834" s="457" t="s">
        <v>11434</v>
      </c>
      <c r="BE834" s="33" t="s">
        <v>100</v>
      </c>
      <c r="BF834" s="33" t="s">
        <v>98</v>
      </c>
    </row>
    <row r="835" spans="1:58" s="465" customFormat="1" ht="91" x14ac:dyDescent="0.3">
      <c r="A835" s="456">
        <v>537</v>
      </c>
      <c r="B835" s="457" t="s">
        <v>1011</v>
      </c>
      <c r="C835" s="457" t="s">
        <v>81</v>
      </c>
      <c r="D835" s="457" t="s">
        <v>7965</v>
      </c>
      <c r="E835" s="456" t="s">
        <v>39</v>
      </c>
      <c r="F835" s="457" t="s">
        <v>263</v>
      </c>
      <c r="G835" s="456" t="s">
        <v>225</v>
      </c>
      <c r="H835" s="456" t="s">
        <v>125</v>
      </c>
      <c r="I835" s="456" t="s">
        <v>114</v>
      </c>
      <c r="J835" s="457" t="s">
        <v>24</v>
      </c>
      <c r="K835" s="457" t="s">
        <v>7962</v>
      </c>
      <c r="L835" s="457" t="s">
        <v>276</v>
      </c>
      <c r="M835" s="456" t="s">
        <v>14</v>
      </c>
      <c r="N835" s="458" t="s">
        <v>98</v>
      </c>
      <c r="O835" s="459" t="s">
        <v>207</v>
      </c>
      <c r="P835" s="460">
        <v>30498</v>
      </c>
      <c r="Q835" s="457" t="s">
        <v>276</v>
      </c>
      <c r="R835" s="457" t="s">
        <v>7894</v>
      </c>
      <c r="S835" s="457" t="s">
        <v>7894</v>
      </c>
      <c r="T835" s="457">
        <v>18</v>
      </c>
      <c r="U835" s="461">
        <v>4618</v>
      </c>
      <c r="V835" s="462">
        <v>4593</v>
      </c>
      <c r="W835" s="456" t="s">
        <v>276</v>
      </c>
      <c r="X835" s="456" t="s">
        <v>276</v>
      </c>
      <c r="Y835" s="456" t="s">
        <v>276</v>
      </c>
      <c r="Z835" s="456" t="s">
        <v>276</v>
      </c>
      <c r="AA835" s="456" t="s">
        <v>276</v>
      </c>
      <c r="AB835" s="456" t="s">
        <v>276</v>
      </c>
      <c r="AC835" s="457" t="s">
        <v>7963</v>
      </c>
      <c r="AD835" s="457" t="s">
        <v>7898</v>
      </c>
      <c r="AE835" s="456">
        <v>118</v>
      </c>
      <c r="AF835" s="456">
        <v>106</v>
      </c>
      <c r="AG835" s="461" t="s">
        <v>276</v>
      </c>
      <c r="AH835" s="461" t="s">
        <v>276</v>
      </c>
      <c r="AI835" s="461" t="s">
        <v>425</v>
      </c>
      <c r="AJ835" s="466">
        <v>3.1</v>
      </c>
      <c r="AK835" s="464" t="s">
        <v>276</v>
      </c>
      <c r="AL835" s="463" t="s">
        <v>276</v>
      </c>
      <c r="AM835" s="463" t="s">
        <v>276</v>
      </c>
      <c r="AN835" s="466">
        <v>2.8</v>
      </c>
      <c r="AO835" s="464" t="s">
        <v>276</v>
      </c>
      <c r="AP835" s="463" t="s">
        <v>276</v>
      </c>
      <c r="AQ835" s="463" t="s">
        <v>276</v>
      </c>
      <c r="AR835" s="456" t="s">
        <v>270</v>
      </c>
      <c r="AS835" s="466">
        <v>1.1000000000000001</v>
      </c>
      <c r="AT835" s="463" t="s">
        <v>276</v>
      </c>
      <c r="AU835" s="466">
        <v>0.9</v>
      </c>
      <c r="AV835" s="466">
        <v>1.5</v>
      </c>
      <c r="AW835" s="456" t="s">
        <v>276</v>
      </c>
      <c r="AX835" s="456" t="s">
        <v>282</v>
      </c>
      <c r="AY835" s="456" t="s">
        <v>276</v>
      </c>
      <c r="AZ835" s="456" t="s">
        <v>276</v>
      </c>
      <c r="BA835" s="456" t="s">
        <v>276</v>
      </c>
      <c r="BB835" s="456" t="s">
        <v>276</v>
      </c>
      <c r="BC835" s="457" t="s">
        <v>7966</v>
      </c>
      <c r="BD835" s="457" t="s">
        <v>11434</v>
      </c>
      <c r="BE835" s="33" t="s">
        <v>100</v>
      </c>
      <c r="BF835" s="33" t="s">
        <v>98</v>
      </c>
    </row>
    <row r="836" spans="1:58" s="465" customFormat="1" ht="91" x14ac:dyDescent="0.3">
      <c r="A836" s="456">
        <v>537</v>
      </c>
      <c r="B836" s="457" t="s">
        <v>1011</v>
      </c>
      <c r="C836" s="457" t="s">
        <v>81</v>
      </c>
      <c r="D836" s="457" t="s">
        <v>7967</v>
      </c>
      <c r="E836" s="456" t="s">
        <v>39</v>
      </c>
      <c r="F836" s="457" t="s">
        <v>263</v>
      </c>
      <c r="G836" s="456" t="s">
        <v>225</v>
      </c>
      <c r="H836" s="456" t="s">
        <v>125</v>
      </c>
      <c r="I836" s="456" t="s">
        <v>114</v>
      </c>
      <c r="J836" s="457" t="s">
        <v>24</v>
      </c>
      <c r="K836" s="457" t="s">
        <v>7968</v>
      </c>
      <c r="L836" s="457" t="s">
        <v>276</v>
      </c>
      <c r="M836" s="456" t="s">
        <v>14</v>
      </c>
      <c r="N836" s="458" t="s">
        <v>98</v>
      </c>
      <c r="O836" s="459" t="s">
        <v>207</v>
      </c>
      <c r="P836" s="460">
        <v>30498</v>
      </c>
      <c r="Q836" s="457" t="s">
        <v>276</v>
      </c>
      <c r="R836" s="457" t="s">
        <v>7894</v>
      </c>
      <c r="S836" s="457" t="s">
        <v>7894</v>
      </c>
      <c r="T836" s="457">
        <v>18</v>
      </c>
      <c r="U836" s="461">
        <v>4618</v>
      </c>
      <c r="V836" s="462">
        <v>4593</v>
      </c>
      <c r="W836" s="456" t="s">
        <v>276</v>
      </c>
      <c r="X836" s="456" t="s">
        <v>276</v>
      </c>
      <c r="Y836" s="456" t="s">
        <v>276</v>
      </c>
      <c r="Z836" s="456" t="s">
        <v>276</v>
      </c>
      <c r="AA836" s="456" t="s">
        <v>276</v>
      </c>
      <c r="AB836" s="456" t="s">
        <v>276</v>
      </c>
      <c r="AC836" s="457" t="s">
        <v>7969</v>
      </c>
      <c r="AD836" s="457" t="s">
        <v>7898</v>
      </c>
      <c r="AE836" s="456">
        <v>122</v>
      </c>
      <c r="AF836" s="456">
        <v>115</v>
      </c>
      <c r="AG836" s="461" t="s">
        <v>276</v>
      </c>
      <c r="AH836" s="461" t="s">
        <v>276</v>
      </c>
      <c r="AI836" s="461" t="s">
        <v>425</v>
      </c>
      <c r="AJ836" s="466">
        <v>3.2</v>
      </c>
      <c r="AK836" s="464" t="s">
        <v>276</v>
      </c>
      <c r="AL836" s="463" t="s">
        <v>276</v>
      </c>
      <c r="AM836" s="463" t="s">
        <v>276</v>
      </c>
      <c r="AN836" s="466">
        <v>3</v>
      </c>
      <c r="AO836" s="464" t="s">
        <v>276</v>
      </c>
      <c r="AP836" s="463" t="s">
        <v>276</v>
      </c>
      <c r="AQ836" s="463" t="s">
        <v>276</v>
      </c>
      <c r="AR836" s="456" t="s">
        <v>270</v>
      </c>
      <c r="AS836" s="466">
        <v>1.1000000000000001</v>
      </c>
      <c r="AT836" s="463" t="s">
        <v>276</v>
      </c>
      <c r="AU836" s="466">
        <v>0.8</v>
      </c>
      <c r="AV836" s="466">
        <v>1.4</v>
      </c>
      <c r="AW836" s="456" t="s">
        <v>276</v>
      </c>
      <c r="AX836" s="456" t="s">
        <v>282</v>
      </c>
      <c r="AY836" s="456" t="s">
        <v>276</v>
      </c>
      <c r="AZ836" s="456" t="s">
        <v>276</v>
      </c>
      <c r="BA836" s="456" t="s">
        <v>276</v>
      </c>
      <c r="BB836" s="456" t="s">
        <v>276</v>
      </c>
      <c r="BC836" s="457" t="s">
        <v>7970</v>
      </c>
      <c r="BD836" s="457" t="s">
        <v>11434</v>
      </c>
      <c r="BE836" s="33" t="s">
        <v>100</v>
      </c>
      <c r="BF836" s="33" t="s">
        <v>98</v>
      </c>
    </row>
    <row r="837" spans="1:58" s="476" customFormat="1" ht="52" x14ac:dyDescent="0.3">
      <c r="A837" s="467">
        <v>537</v>
      </c>
      <c r="B837" s="468" t="s">
        <v>1011</v>
      </c>
      <c r="C837" s="468" t="s">
        <v>81</v>
      </c>
      <c r="D837" s="468" t="s">
        <v>7971</v>
      </c>
      <c r="E837" s="467" t="s">
        <v>39</v>
      </c>
      <c r="F837" s="468" t="s">
        <v>263</v>
      </c>
      <c r="G837" s="467" t="s">
        <v>225</v>
      </c>
      <c r="H837" s="467" t="s">
        <v>125</v>
      </c>
      <c r="I837" s="467" t="s">
        <v>114</v>
      </c>
      <c r="J837" s="468" t="s">
        <v>23</v>
      </c>
      <c r="K837" s="468" t="s">
        <v>7972</v>
      </c>
      <c r="L837" s="468" t="s">
        <v>276</v>
      </c>
      <c r="M837" s="467" t="s">
        <v>14</v>
      </c>
      <c r="N837" s="469" t="s">
        <v>98</v>
      </c>
      <c r="O837" s="470" t="s">
        <v>207</v>
      </c>
      <c r="P837" s="471">
        <v>30498</v>
      </c>
      <c r="Q837" s="468" t="s">
        <v>276</v>
      </c>
      <c r="R837" s="468" t="s">
        <v>7894</v>
      </c>
      <c r="S837" s="468" t="s">
        <v>7894</v>
      </c>
      <c r="T837" s="468">
        <v>18</v>
      </c>
      <c r="U837" s="472">
        <v>4618</v>
      </c>
      <c r="V837" s="473">
        <v>4593</v>
      </c>
      <c r="W837" s="467" t="s">
        <v>276</v>
      </c>
      <c r="X837" s="467" t="s">
        <v>276</v>
      </c>
      <c r="Y837" s="467" t="s">
        <v>276</v>
      </c>
      <c r="Z837" s="467" t="s">
        <v>276</v>
      </c>
      <c r="AA837" s="467" t="s">
        <v>276</v>
      </c>
      <c r="AB837" s="467" t="s">
        <v>276</v>
      </c>
      <c r="AC837" s="468" t="s">
        <v>7973</v>
      </c>
      <c r="AD837" s="468" t="s">
        <v>689</v>
      </c>
      <c r="AE837" s="467">
        <f>122+815</f>
        <v>937</v>
      </c>
      <c r="AF837" s="467">
        <f>115+821</f>
        <v>936</v>
      </c>
      <c r="AG837" s="472">
        <v>4618</v>
      </c>
      <c r="AH837" s="472">
        <v>4593</v>
      </c>
      <c r="AI837" s="472" t="s">
        <v>292</v>
      </c>
      <c r="AJ837" s="474" t="s">
        <v>276</v>
      </c>
      <c r="AK837" s="475">
        <f>AE837*100/AG837</f>
        <v>20.290168904287569</v>
      </c>
      <c r="AL837" s="474" t="s">
        <v>276</v>
      </c>
      <c r="AM837" s="474" t="s">
        <v>276</v>
      </c>
      <c r="AN837" s="474" t="s">
        <v>276</v>
      </c>
      <c r="AO837" s="475">
        <f>AF837*100/AH837</f>
        <v>20.378837361201828</v>
      </c>
      <c r="AP837" s="474" t="s">
        <v>276</v>
      </c>
      <c r="AQ837" s="474" t="s">
        <v>276</v>
      </c>
      <c r="AR837" s="467" t="s">
        <v>268</v>
      </c>
      <c r="AS837" s="474" t="s">
        <v>276</v>
      </c>
      <c r="AT837" s="474">
        <f t="shared" ref="AT837" si="101">AK837/AO837</f>
        <v>0.99564899334821377</v>
      </c>
      <c r="AU837" s="474" t="s">
        <v>276</v>
      </c>
      <c r="AV837" s="474" t="s">
        <v>276</v>
      </c>
      <c r="AW837" s="467" t="s">
        <v>276</v>
      </c>
      <c r="AX837" s="467" t="s">
        <v>282</v>
      </c>
      <c r="AY837" s="467" t="s">
        <v>276</v>
      </c>
      <c r="AZ837" s="467" t="s">
        <v>276</v>
      </c>
      <c r="BA837" s="467" t="s">
        <v>276</v>
      </c>
      <c r="BB837" s="467" t="s">
        <v>276</v>
      </c>
      <c r="BC837" s="468" t="s">
        <v>7974</v>
      </c>
      <c r="BD837" s="468" t="s">
        <v>11434</v>
      </c>
      <c r="BE837" s="33" t="s">
        <v>100</v>
      </c>
      <c r="BF837" s="33" t="s">
        <v>98</v>
      </c>
    </row>
    <row r="838" spans="1:58" s="103" customFormat="1" ht="39" x14ac:dyDescent="0.3">
      <c r="A838" s="94">
        <v>11143</v>
      </c>
      <c r="B838" s="95" t="s">
        <v>7975</v>
      </c>
      <c r="C838" s="95" t="s">
        <v>81</v>
      </c>
      <c r="D838" s="95" t="s">
        <v>7976</v>
      </c>
      <c r="E838" s="94" t="s">
        <v>39</v>
      </c>
      <c r="F838" s="95" t="s">
        <v>263</v>
      </c>
      <c r="G838" s="94" t="s">
        <v>225</v>
      </c>
      <c r="H838" s="94" t="s">
        <v>125</v>
      </c>
      <c r="I838" s="94" t="s">
        <v>114</v>
      </c>
      <c r="J838" s="95" t="s">
        <v>24</v>
      </c>
      <c r="K838" s="95" t="s">
        <v>276</v>
      </c>
      <c r="L838" s="95" t="s">
        <v>276</v>
      </c>
      <c r="M838" s="94" t="s">
        <v>14</v>
      </c>
      <c r="N838" s="144" t="s">
        <v>98</v>
      </c>
      <c r="O838" s="96" t="s">
        <v>207</v>
      </c>
      <c r="P838" s="97">
        <v>29952</v>
      </c>
      <c r="Q838" s="95" t="s">
        <v>276</v>
      </c>
      <c r="R838" s="95" t="s">
        <v>276</v>
      </c>
      <c r="S838" s="95" t="s">
        <v>276</v>
      </c>
      <c r="T838" s="95" t="s">
        <v>276</v>
      </c>
      <c r="U838" s="98">
        <v>4618</v>
      </c>
      <c r="V838" s="99">
        <v>4593</v>
      </c>
      <c r="W838" s="94" t="s">
        <v>276</v>
      </c>
      <c r="X838" s="94" t="s">
        <v>276</v>
      </c>
      <c r="Y838" s="94" t="s">
        <v>276</v>
      </c>
      <c r="Z838" s="94" t="s">
        <v>276</v>
      </c>
      <c r="AA838" s="94" t="s">
        <v>276</v>
      </c>
      <c r="AB838" s="94" t="s">
        <v>276</v>
      </c>
      <c r="AC838" s="95" t="s">
        <v>7977</v>
      </c>
      <c r="AD838" s="95" t="s">
        <v>7978</v>
      </c>
      <c r="AE838" s="94" t="s">
        <v>276</v>
      </c>
      <c r="AF838" s="94" t="s">
        <v>276</v>
      </c>
      <c r="AG838" s="98" t="s">
        <v>7979</v>
      </c>
      <c r="AH838" s="98" t="s">
        <v>7979</v>
      </c>
      <c r="AI838" s="98" t="s">
        <v>425</v>
      </c>
      <c r="AJ838" s="100">
        <v>2.9</v>
      </c>
      <c r="AK838" s="101" t="s">
        <v>276</v>
      </c>
      <c r="AL838" s="102" t="s">
        <v>276</v>
      </c>
      <c r="AM838" s="102" t="s">
        <v>276</v>
      </c>
      <c r="AN838" s="100">
        <v>2.8</v>
      </c>
      <c r="AO838" s="101" t="s">
        <v>276</v>
      </c>
      <c r="AP838" s="102" t="s">
        <v>276</v>
      </c>
      <c r="AQ838" s="102" t="s">
        <v>276</v>
      </c>
      <c r="AR838" s="94" t="s">
        <v>269</v>
      </c>
      <c r="AS838" s="100" t="s">
        <v>276</v>
      </c>
      <c r="AT838" s="102">
        <f>AJ838/AN838</f>
        <v>1.0357142857142858</v>
      </c>
      <c r="AU838" s="100" t="s">
        <v>276</v>
      </c>
      <c r="AV838" s="100" t="s">
        <v>276</v>
      </c>
      <c r="AW838" s="94" t="s">
        <v>276</v>
      </c>
      <c r="AX838" s="94" t="s">
        <v>282</v>
      </c>
      <c r="AY838" s="94" t="s">
        <v>276</v>
      </c>
      <c r="AZ838" s="94" t="s">
        <v>276</v>
      </c>
      <c r="BA838" s="94" t="s">
        <v>276</v>
      </c>
      <c r="BB838" s="94" t="s">
        <v>276</v>
      </c>
      <c r="BC838" s="95" t="s">
        <v>7980</v>
      </c>
      <c r="BD838" s="95" t="s">
        <v>7981</v>
      </c>
      <c r="BE838" s="33" t="s">
        <v>100</v>
      </c>
      <c r="BF838" s="33" t="s">
        <v>98</v>
      </c>
    </row>
    <row r="839" spans="1:58" s="208" customFormat="1" ht="39" x14ac:dyDescent="0.3">
      <c r="A839" s="112">
        <v>11143</v>
      </c>
      <c r="B839" s="113" t="s">
        <v>7975</v>
      </c>
      <c r="C839" s="113" t="s">
        <v>81</v>
      </c>
      <c r="D839" s="113" t="s">
        <v>7982</v>
      </c>
      <c r="E839" s="112" t="s">
        <v>39</v>
      </c>
      <c r="F839" s="113" t="s">
        <v>263</v>
      </c>
      <c r="G839" s="112" t="s">
        <v>225</v>
      </c>
      <c r="H839" s="112" t="s">
        <v>125</v>
      </c>
      <c r="I839" s="112" t="s">
        <v>114</v>
      </c>
      <c r="J839" s="113" t="s">
        <v>23</v>
      </c>
      <c r="K839" s="113" t="s">
        <v>276</v>
      </c>
      <c r="L839" s="113" t="s">
        <v>276</v>
      </c>
      <c r="M839" s="112" t="s">
        <v>14</v>
      </c>
      <c r="N839" s="204" t="s">
        <v>98</v>
      </c>
      <c r="O839" s="117" t="s">
        <v>207</v>
      </c>
      <c r="P839" s="205">
        <v>29952</v>
      </c>
      <c r="Q839" s="113" t="s">
        <v>276</v>
      </c>
      <c r="R839" s="113" t="s">
        <v>276</v>
      </c>
      <c r="S839" s="113" t="s">
        <v>276</v>
      </c>
      <c r="T839" s="113" t="s">
        <v>276</v>
      </c>
      <c r="U839" s="118">
        <v>4618</v>
      </c>
      <c r="V839" s="119">
        <v>4593</v>
      </c>
      <c r="W839" s="112" t="s">
        <v>276</v>
      </c>
      <c r="X839" s="112" t="s">
        <v>276</v>
      </c>
      <c r="Y839" s="112" t="s">
        <v>276</v>
      </c>
      <c r="Z839" s="112" t="s">
        <v>276</v>
      </c>
      <c r="AA839" s="112" t="s">
        <v>276</v>
      </c>
      <c r="AB839" s="112" t="s">
        <v>276</v>
      </c>
      <c r="AC839" s="113" t="s">
        <v>7983</v>
      </c>
      <c r="AD839" s="113" t="s">
        <v>7978</v>
      </c>
      <c r="AE839" s="112" t="s">
        <v>276</v>
      </c>
      <c r="AF839" s="112" t="s">
        <v>276</v>
      </c>
      <c r="AG839" s="118" t="s">
        <v>7979</v>
      </c>
      <c r="AH839" s="118" t="s">
        <v>7979</v>
      </c>
      <c r="AI839" s="118" t="s">
        <v>425</v>
      </c>
      <c r="AJ839" s="164">
        <v>23.5</v>
      </c>
      <c r="AK839" s="207" t="s">
        <v>276</v>
      </c>
      <c r="AL839" s="121" t="s">
        <v>276</v>
      </c>
      <c r="AM839" s="121" t="s">
        <v>276</v>
      </c>
      <c r="AN839" s="164">
        <v>23.1</v>
      </c>
      <c r="AO839" s="207" t="s">
        <v>276</v>
      </c>
      <c r="AP839" s="121" t="s">
        <v>276</v>
      </c>
      <c r="AQ839" s="121" t="s">
        <v>276</v>
      </c>
      <c r="AR839" s="112" t="s">
        <v>269</v>
      </c>
      <c r="AS839" s="164" t="s">
        <v>276</v>
      </c>
      <c r="AT839" s="121">
        <f>AJ839/AN839</f>
        <v>1.0173160173160172</v>
      </c>
      <c r="AU839" s="164" t="s">
        <v>276</v>
      </c>
      <c r="AV839" s="164" t="s">
        <v>276</v>
      </c>
      <c r="AW839" s="112" t="s">
        <v>691</v>
      </c>
      <c r="AX839" s="112" t="s">
        <v>282</v>
      </c>
      <c r="AY839" s="112" t="s">
        <v>276</v>
      </c>
      <c r="AZ839" s="112" t="s">
        <v>276</v>
      </c>
      <c r="BA839" s="112" t="s">
        <v>276</v>
      </c>
      <c r="BB839" s="112" t="s">
        <v>276</v>
      </c>
      <c r="BC839" s="113" t="s">
        <v>7984</v>
      </c>
      <c r="BD839" s="113"/>
      <c r="BE839" s="33" t="s">
        <v>100</v>
      </c>
      <c r="BF839" s="33" t="s">
        <v>98</v>
      </c>
    </row>
    <row r="840" spans="1:58" s="7" customFormat="1" ht="65" x14ac:dyDescent="0.3">
      <c r="A840" s="545">
        <v>258</v>
      </c>
      <c r="B840" s="545" t="s">
        <v>8250</v>
      </c>
      <c r="C840" s="545" t="s">
        <v>55</v>
      </c>
      <c r="D840" s="546" t="s">
        <v>8251</v>
      </c>
      <c r="E840" s="545" t="s">
        <v>36</v>
      </c>
      <c r="F840" s="546" t="s">
        <v>8252</v>
      </c>
      <c r="G840" s="545" t="s">
        <v>225</v>
      </c>
      <c r="H840" s="545" t="s">
        <v>125</v>
      </c>
      <c r="I840" s="545" t="s">
        <v>114</v>
      </c>
      <c r="J840" s="546" t="s">
        <v>24</v>
      </c>
      <c r="K840" s="546" t="s">
        <v>8253</v>
      </c>
      <c r="L840" s="546" t="s">
        <v>276</v>
      </c>
      <c r="M840" s="545" t="s">
        <v>14</v>
      </c>
      <c r="N840" s="547" t="s">
        <v>98</v>
      </c>
      <c r="O840" s="548" t="s">
        <v>207</v>
      </c>
      <c r="P840" s="549" t="s">
        <v>276</v>
      </c>
      <c r="Q840" s="546" t="s">
        <v>776</v>
      </c>
      <c r="R840" s="546" t="s">
        <v>8254</v>
      </c>
      <c r="S840" s="546" t="s">
        <v>8255</v>
      </c>
      <c r="T840" s="546">
        <v>11</v>
      </c>
      <c r="U840" s="550">
        <v>15570</v>
      </c>
      <c r="V840" s="551">
        <v>15394</v>
      </c>
      <c r="W840" s="545" t="s">
        <v>276</v>
      </c>
      <c r="X840" s="545" t="s">
        <v>276</v>
      </c>
      <c r="Y840" s="552">
        <v>0.01</v>
      </c>
      <c r="Z840" s="546" t="s">
        <v>894</v>
      </c>
      <c r="AA840" s="552">
        <v>8.9999999999999993E-3</v>
      </c>
      <c r="AB840" s="546" t="s">
        <v>894</v>
      </c>
      <c r="AC840" s="546" t="s">
        <v>8256</v>
      </c>
      <c r="AD840" s="546" t="s">
        <v>8257</v>
      </c>
      <c r="AE840" s="545">
        <v>82</v>
      </c>
      <c r="AF840" s="545">
        <v>121</v>
      </c>
      <c r="AG840" s="550">
        <v>184160</v>
      </c>
      <c r="AH840" s="550">
        <v>181966</v>
      </c>
      <c r="AI840" s="550" t="s">
        <v>425</v>
      </c>
      <c r="AJ840" s="553" t="s">
        <v>276</v>
      </c>
      <c r="AK840" s="554">
        <f t="shared" ref="AK840" si="102">AE840*1000/AG840</f>
        <v>0.44526498696785405</v>
      </c>
      <c r="AL840" s="553" t="s">
        <v>276</v>
      </c>
      <c r="AM840" s="553" t="s">
        <v>276</v>
      </c>
      <c r="AN840" s="553" t="s">
        <v>276</v>
      </c>
      <c r="AO840" s="554">
        <f t="shared" ref="AO840:AO850" si="103">AF840*1000/AH840</f>
        <v>0.66495938801754173</v>
      </c>
      <c r="AP840" s="553" t="s">
        <v>276</v>
      </c>
      <c r="AQ840" s="553" t="s">
        <v>276</v>
      </c>
      <c r="AR840" s="545" t="s">
        <v>269</v>
      </c>
      <c r="AS840" s="553" t="s">
        <v>276</v>
      </c>
      <c r="AT840" s="554">
        <f t="shared" ref="AT840:AT850" si="104">AK840/AO840</f>
        <v>0.66961230263299609</v>
      </c>
      <c r="AU840" s="553" t="s">
        <v>276</v>
      </c>
      <c r="AV840" s="553" t="s">
        <v>276</v>
      </c>
      <c r="AW840" s="545" t="s">
        <v>276</v>
      </c>
      <c r="AX840" s="546" t="s">
        <v>282</v>
      </c>
      <c r="AY840" s="545" t="s">
        <v>276</v>
      </c>
      <c r="AZ840" s="553" t="s">
        <v>276</v>
      </c>
      <c r="BA840" s="545" t="s">
        <v>276</v>
      </c>
      <c r="BB840" s="545" t="s">
        <v>276</v>
      </c>
      <c r="BC840" s="546" t="s">
        <v>1029</v>
      </c>
      <c r="BD840" s="546"/>
      <c r="BE840" s="33" t="s">
        <v>99</v>
      </c>
      <c r="BF840" s="33" t="s">
        <v>11162</v>
      </c>
    </row>
    <row r="841" spans="1:58" s="7" customFormat="1" ht="65" x14ac:dyDescent="0.3">
      <c r="A841" s="545">
        <v>258</v>
      </c>
      <c r="B841" s="545" t="s">
        <v>8250</v>
      </c>
      <c r="C841" s="545" t="s">
        <v>55</v>
      </c>
      <c r="D841" s="546" t="s">
        <v>8258</v>
      </c>
      <c r="E841" s="545" t="s">
        <v>36</v>
      </c>
      <c r="F841" s="546" t="s">
        <v>8252</v>
      </c>
      <c r="G841" s="545" t="s">
        <v>225</v>
      </c>
      <c r="H841" s="545" t="s">
        <v>125</v>
      </c>
      <c r="I841" s="545" t="s">
        <v>114</v>
      </c>
      <c r="J841" s="546" t="s">
        <v>24</v>
      </c>
      <c r="K841" s="546" t="s">
        <v>8253</v>
      </c>
      <c r="L841" s="546" t="s">
        <v>276</v>
      </c>
      <c r="M841" s="545" t="s">
        <v>14</v>
      </c>
      <c r="N841" s="547" t="s">
        <v>98</v>
      </c>
      <c r="O841" s="548" t="s">
        <v>207</v>
      </c>
      <c r="P841" s="549" t="s">
        <v>276</v>
      </c>
      <c r="Q841" s="546" t="s">
        <v>776</v>
      </c>
      <c r="R841" s="546" t="s">
        <v>8254</v>
      </c>
      <c r="S841" s="546" t="s">
        <v>8255</v>
      </c>
      <c r="T841" s="546">
        <v>11</v>
      </c>
      <c r="U841" s="550">
        <v>15570</v>
      </c>
      <c r="V841" s="551">
        <v>15394</v>
      </c>
      <c r="W841" s="545" t="s">
        <v>276</v>
      </c>
      <c r="X841" s="545" t="s">
        <v>276</v>
      </c>
      <c r="Y841" s="552">
        <v>0.01</v>
      </c>
      <c r="Z841" s="546" t="s">
        <v>894</v>
      </c>
      <c r="AA841" s="552">
        <v>8.9999999999999993E-3</v>
      </c>
      <c r="AB841" s="546" t="s">
        <v>894</v>
      </c>
      <c r="AC841" s="546" t="s">
        <v>8256</v>
      </c>
      <c r="AD841" s="546" t="s">
        <v>6506</v>
      </c>
      <c r="AE841" s="545">
        <v>82</v>
      </c>
      <c r="AF841" s="545">
        <v>121</v>
      </c>
      <c r="AG841" s="550">
        <v>15570</v>
      </c>
      <c r="AH841" s="551">
        <v>15394</v>
      </c>
      <c r="AI841" s="551" t="s">
        <v>2047</v>
      </c>
      <c r="AJ841" s="553" t="s">
        <v>276</v>
      </c>
      <c r="AK841" s="554">
        <f>AE841*1000/AG841</f>
        <v>5.2665382145150934</v>
      </c>
      <c r="AL841" s="553" t="s">
        <v>276</v>
      </c>
      <c r="AM841" s="553" t="s">
        <v>276</v>
      </c>
      <c r="AN841" s="553" t="s">
        <v>276</v>
      </c>
      <c r="AO841" s="554">
        <f t="shared" si="103"/>
        <v>7.8602052747823832</v>
      </c>
      <c r="AP841" s="553" t="s">
        <v>276</v>
      </c>
      <c r="AQ841" s="553" t="s">
        <v>276</v>
      </c>
      <c r="AR841" s="545" t="s">
        <v>268</v>
      </c>
      <c r="AS841" s="553" t="s">
        <v>276</v>
      </c>
      <c r="AT841" s="554">
        <f t="shared" si="104"/>
        <v>0.67002553119211028</v>
      </c>
      <c r="AU841" s="553" t="s">
        <v>276</v>
      </c>
      <c r="AV841" s="553" t="s">
        <v>276</v>
      </c>
      <c r="AW841" s="545" t="s">
        <v>276</v>
      </c>
      <c r="AX841" s="546" t="s">
        <v>282</v>
      </c>
      <c r="AY841" s="545" t="s">
        <v>276</v>
      </c>
      <c r="AZ841" s="553" t="s">
        <v>276</v>
      </c>
      <c r="BA841" s="545" t="s">
        <v>276</v>
      </c>
      <c r="BB841" s="545" t="s">
        <v>276</v>
      </c>
      <c r="BC841" s="546" t="s">
        <v>8259</v>
      </c>
      <c r="BD841" s="546"/>
      <c r="BE841" s="33" t="s">
        <v>99</v>
      </c>
      <c r="BF841" s="33" t="s">
        <v>11162</v>
      </c>
    </row>
    <row r="842" spans="1:58" s="7" customFormat="1" ht="91" x14ac:dyDescent="0.3">
      <c r="A842" s="545">
        <v>258</v>
      </c>
      <c r="B842" s="545" t="s">
        <v>8250</v>
      </c>
      <c r="C842" s="545" t="s">
        <v>55</v>
      </c>
      <c r="D842" s="546" t="s">
        <v>8260</v>
      </c>
      <c r="E842" s="545" t="s">
        <v>36</v>
      </c>
      <c r="F842" s="546" t="s">
        <v>8252</v>
      </c>
      <c r="G842" s="545" t="s">
        <v>225</v>
      </c>
      <c r="H842" s="545" t="s">
        <v>125</v>
      </c>
      <c r="I842" s="545" t="s">
        <v>114</v>
      </c>
      <c r="J842" s="546" t="s">
        <v>24</v>
      </c>
      <c r="K842" s="546" t="s">
        <v>8253</v>
      </c>
      <c r="L842" s="546" t="s">
        <v>276</v>
      </c>
      <c r="M842" s="545" t="s">
        <v>14</v>
      </c>
      <c r="N842" s="547" t="s">
        <v>98</v>
      </c>
      <c r="O842" s="548" t="s">
        <v>207</v>
      </c>
      <c r="P842" s="549" t="s">
        <v>276</v>
      </c>
      <c r="Q842" s="546" t="s">
        <v>776</v>
      </c>
      <c r="R842" s="546" t="s">
        <v>8254</v>
      </c>
      <c r="S842" s="546" t="s">
        <v>8255</v>
      </c>
      <c r="T842" s="546">
        <v>11</v>
      </c>
      <c r="U842" s="550">
        <v>15570</v>
      </c>
      <c r="V842" s="551">
        <v>15394</v>
      </c>
      <c r="W842" s="545" t="s">
        <v>276</v>
      </c>
      <c r="X842" s="545" t="s">
        <v>276</v>
      </c>
      <c r="Y842" s="552">
        <v>0.01</v>
      </c>
      <c r="Z842" s="546" t="s">
        <v>894</v>
      </c>
      <c r="AA842" s="552">
        <v>8.9999999999999993E-3</v>
      </c>
      <c r="AB842" s="546" t="s">
        <v>894</v>
      </c>
      <c r="AC842" s="546" t="s">
        <v>8256</v>
      </c>
      <c r="AD842" s="546" t="s">
        <v>6506</v>
      </c>
      <c r="AE842" s="545">
        <v>82</v>
      </c>
      <c r="AF842" s="545">
        <v>121</v>
      </c>
      <c r="AG842" s="550">
        <v>15570</v>
      </c>
      <c r="AH842" s="551">
        <v>15394</v>
      </c>
      <c r="AI842" s="551" t="s">
        <v>2047</v>
      </c>
      <c r="AJ842" s="553">
        <v>5.88</v>
      </c>
      <c r="AK842" s="554" t="s">
        <v>276</v>
      </c>
      <c r="AL842" s="553">
        <v>4.6100000000000003</v>
      </c>
      <c r="AM842" s="553">
        <v>7.15</v>
      </c>
      <c r="AN842" s="553">
        <v>8.83</v>
      </c>
      <c r="AO842" s="553" t="s">
        <v>276</v>
      </c>
      <c r="AP842" s="553">
        <v>7.26</v>
      </c>
      <c r="AQ842" s="553">
        <v>10.4</v>
      </c>
      <c r="AR842" s="545" t="s">
        <v>268</v>
      </c>
      <c r="AS842" s="553" t="s">
        <v>276</v>
      </c>
      <c r="AT842" s="554">
        <f>AJ842/AN842</f>
        <v>0.66591166477916197</v>
      </c>
      <c r="AU842" s="553" t="s">
        <v>276</v>
      </c>
      <c r="AV842" s="553" t="s">
        <v>276</v>
      </c>
      <c r="AW842" s="545" t="s">
        <v>276</v>
      </c>
      <c r="AX842" s="546" t="s">
        <v>8261</v>
      </c>
      <c r="AY842" s="545">
        <v>0.67</v>
      </c>
      <c r="AZ842" s="553">
        <v>0.5</v>
      </c>
      <c r="BA842" s="545">
        <v>0.87</v>
      </c>
      <c r="BB842" s="545" t="s">
        <v>276</v>
      </c>
      <c r="BC842" s="546" t="s">
        <v>8262</v>
      </c>
      <c r="BD842" s="546" t="s">
        <v>8263</v>
      </c>
      <c r="BE842" s="33" t="s">
        <v>100</v>
      </c>
      <c r="BF842" s="33" t="s">
        <v>98</v>
      </c>
    </row>
    <row r="843" spans="1:58" s="87" customFormat="1" ht="65" x14ac:dyDescent="0.3">
      <c r="A843" s="555">
        <v>258</v>
      </c>
      <c r="B843" s="555" t="s">
        <v>8250</v>
      </c>
      <c r="C843" s="555" t="s">
        <v>55</v>
      </c>
      <c r="D843" s="556" t="s">
        <v>8264</v>
      </c>
      <c r="E843" s="555" t="s">
        <v>36</v>
      </c>
      <c r="F843" s="556" t="s">
        <v>8265</v>
      </c>
      <c r="G843" s="555" t="s">
        <v>225</v>
      </c>
      <c r="H843" s="555" t="s">
        <v>125</v>
      </c>
      <c r="I843" s="555" t="s">
        <v>114</v>
      </c>
      <c r="J843" s="556" t="s">
        <v>24</v>
      </c>
      <c r="K843" s="556" t="s">
        <v>8253</v>
      </c>
      <c r="L843" s="556" t="s">
        <v>276</v>
      </c>
      <c r="M843" s="555" t="s">
        <v>14</v>
      </c>
      <c r="N843" s="557" t="s">
        <v>98</v>
      </c>
      <c r="O843" s="558" t="s">
        <v>207</v>
      </c>
      <c r="P843" s="559" t="s">
        <v>276</v>
      </c>
      <c r="Q843" s="556" t="s">
        <v>776</v>
      </c>
      <c r="R843" s="556" t="s">
        <v>8266</v>
      </c>
      <c r="S843" s="556" t="s">
        <v>8255</v>
      </c>
      <c r="T843" s="556">
        <v>6</v>
      </c>
      <c r="U843" s="560">
        <v>15587</v>
      </c>
      <c r="V843" s="561">
        <v>15394</v>
      </c>
      <c r="W843" s="555" t="s">
        <v>276</v>
      </c>
      <c r="X843" s="555" t="s">
        <v>276</v>
      </c>
      <c r="Y843" s="562">
        <v>0.01</v>
      </c>
      <c r="Z843" s="556" t="s">
        <v>894</v>
      </c>
      <c r="AA843" s="562">
        <v>8.9999999999999993E-3</v>
      </c>
      <c r="AB843" s="556" t="s">
        <v>894</v>
      </c>
      <c r="AC843" s="556" t="s">
        <v>8256</v>
      </c>
      <c r="AD843" s="556" t="s">
        <v>8257</v>
      </c>
      <c r="AE843" s="555">
        <v>117</v>
      </c>
      <c r="AF843" s="555">
        <v>121</v>
      </c>
      <c r="AG843" s="560">
        <v>183934</v>
      </c>
      <c r="AH843" s="560">
        <v>181966</v>
      </c>
      <c r="AI843" s="560" t="s">
        <v>425</v>
      </c>
      <c r="AJ843" s="563" t="s">
        <v>276</v>
      </c>
      <c r="AK843" s="563">
        <f t="shared" ref="AK843:AK850" si="105">AE843*1000/AG843</f>
        <v>0.63609773070775388</v>
      </c>
      <c r="AL843" s="563" t="s">
        <v>276</v>
      </c>
      <c r="AM843" s="563" t="s">
        <v>276</v>
      </c>
      <c r="AN843" s="563" t="s">
        <v>276</v>
      </c>
      <c r="AO843" s="563">
        <f t="shared" ref="AO843" si="106">AF843*1000/AH843</f>
        <v>0.66495938801754173</v>
      </c>
      <c r="AP843" s="563" t="s">
        <v>276</v>
      </c>
      <c r="AQ843" s="563" t="s">
        <v>276</v>
      </c>
      <c r="AR843" s="555" t="s">
        <v>269</v>
      </c>
      <c r="AS843" s="564" t="s">
        <v>276</v>
      </c>
      <c r="AT843" s="563">
        <f t="shared" ref="AT843" si="107">AK843/AO843</f>
        <v>0.9565963608757615</v>
      </c>
      <c r="AU843" s="564" t="s">
        <v>276</v>
      </c>
      <c r="AV843" s="564" t="s">
        <v>276</v>
      </c>
      <c r="AW843" s="555" t="s">
        <v>276</v>
      </c>
      <c r="AX843" s="556" t="s">
        <v>282</v>
      </c>
      <c r="AY843" s="555" t="s">
        <v>276</v>
      </c>
      <c r="AZ843" s="564" t="s">
        <v>276</v>
      </c>
      <c r="BA843" s="555" t="s">
        <v>276</v>
      </c>
      <c r="BB843" s="555" t="s">
        <v>276</v>
      </c>
      <c r="BC843" s="556" t="s">
        <v>1029</v>
      </c>
      <c r="BD843" s="556"/>
      <c r="BE843" s="33" t="s">
        <v>99</v>
      </c>
      <c r="BF843" s="33" t="s">
        <v>11162</v>
      </c>
    </row>
    <row r="844" spans="1:58" s="87" customFormat="1" ht="65" x14ac:dyDescent="0.3">
      <c r="A844" s="555">
        <v>258</v>
      </c>
      <c r="B844" s="555" t="s">
        <v>8250</v>
      </c>
      <c r="C844" s="555" t="s">
        <v>55</v>
      </c>
      <c r="D844" s="556" t="s">
        <v>8267</v>
      </c>
      <c r="E844" s="555" t="s">
        <v>36</v>
      </c>
      <c r="F844" s="556" t="s">
        <v>8265</v>
      </c>
      <c r="G844" s="555" t="s">
        <v>225</v>
      </c>
      <c r="H844" s="555" t="s">
        <v>125</v>
      </c>
      <c r="I844" s="555" t="s">
        <v>114</v>
      </c>
      <c r="J844" s="556" t="s">
        <v>24</v>
      </c>
      <c r="K844" s="556" t="s">
        <v>8253</v>
      </c>
      <c r="L844" s="556" t="s">
        <v>276</v>
      </c>
      <c r="M844" s="555" t="s">
        <v>14</v>
      </c>
      <c r="N844" s="557" t="s">
        <v>98</v>
      </c>
      <c r="O844" s="558" t="s">
        <v>207</v>
      </c>
      <c r="P844" s="559" t="s">
        <v>276</v>
      </c>
      <c r="Q844" s="556" t="s">
        <v>776</v>
      </c>
      <c r="R844" s="556" t="s">
        <v>8266</v>
      </c>
      <c r="S844" s="556" t="s">
        <v>8255</v>
      </c>
      <c r="T844" s="556">
        <v>6</v>
      </c>
      <c r="U844" s="560">
        <v>15587</v>
      </c>
      <c r="V844" s="561">
        <v>15394</v>
      </c>
      <c r="W844" s="555" t="s">
        <v>276</v>
      </c>
      <c r="X844" s="555" t="s">
        <v>276</v>
      </c>
      <c r="Y844" s="562">
        <v>0.01</v>
      </c>
      <c r="Z844" s="556" t="s">
        <v>894</v>
      </c>
      <c r="AA844" s="562">
        <v>8.9999999999999993E-3</v>
      </c>
      <c r="AB844" s="556" t="s">
        <v>894</v>
      </c>
      <c r="AC844" s="556" t="s">
        <v>8256</v>
      </c>
      <c r="AD844" s="556" t="s">
        <v>6506</v>
      </c>
      <c r="AE844" s="555">
        <v>117</v>
      </c>
      <c r="AF844" s="555">
        <v>121</v>
      </c>
      <c r="AG844" s="560">
        <v>15587</v>
      </c>
      <c r="AH844" s="561">
        <v>15394</v>
      </c>
      <c r="AI844" s="561" t="s">
        <v>2047</v>
      </c>
      <c r="AJ844" s="564" t="s">
        <v>276</v>
      </c>
      <c r="AK844" s="563">
        <f t="shared" si="105"/>
        <v>7.5062552126772308</v>
      </c>
      <c r="AL844" s="564" t="s">
        <v>276</v>
      </c>
      <c r="AM844" s="564" t="s">
        <v>276</v>
      </c>
      <c r="AN844" s="564" t="s">
        <v>276</v>
      </c>
      <c r="AO844" s="563">
        <f t="shared" si="103"/>
        <v>7.8602052747823832</v>
      </c>
      <c r="AP844" s="564" t="s">
        <v>276</v>
      </c>
      <c r="AQ844" s="564" t="s">
        <v>276</v>
      </c>
      <c r="AR844" s="555" t="s">
        <v>268</v>
      </c>
      <c r="AS844" s="564" t="s">
        <v>276</v>
      </c>
      <c r="AT844" s="563">
        <f t="shared" si="104"/>
        <v>0.95496936152027512</v>
      </c>
      <c r="AU844" s="564" t="s">
        <v>276</v>
      </c>
      <c r="AV844" s="564" t="s">
        <v>276</v>
      </c>
      <c r="AW844" s="555" t="s">
        <v>276</v>
      </c>
      <c r="AX844" s="556" t="s">
        <v>282</v>
      </c>
      <c r="AY844" s="555" t="s">
        <v>276</v>
      </c>
      <c r="AZ844" s="564" t="s">
        <v>276</v>
      </c>
      <c r="BA844" s="555" t="s">
        <v>276</v>
      </c>
      <c r="BB844" s="555" t="s">
        <v>276</v>
      </c>
      <c r="BC844" s="556" t="s">
        <v>1029</v>
      </c>
      <c r="BD844" s="556"/>
      <c r="BE844" s="33" t="s">
        <v>99</v>
      </c>
      <c r="BF844" s="33" t="s">
        <v>11162</v>
      </c>
    </row>
    <row r="845" spans="1:58" s="87" customFormat="1" ht="104" x14ac:dyDescent="0.3">
      <c r="A845" s="555">
        <v>258</v>
      </c>
      <c r="B845" s="555" t="s">
        <v>8250</v>
      </c>
      <c r="C845" s="555" t="s">
        <v>55</v>
      </c>
      <c r="D845" s="556" t="s">
        <v>8268</v>
      </c>
      <c r="E845" s="555" t="s">
        <v>36</v>
      </c>
      <c r="F845" s="556" t="s">
        <v>8265</v>
      </c>
      <c r="G845" s="555" t="s">
        <v>225</v>
      </c>
      <c r="H845" s="555" t="s">
        <v>125</v>
      </c>
      <c r="I845" s="555" t="s">
        <v>114</v>
      </c>
      <c r="J845" s="556" t="s">
        <v>24</v>
      </c>
      <c r="K845" s="556" t="s">
        <v>8253</v>
      </c>
      <c r="L845" s="556" t="s">
        <v>276</v>
      </c>
      <c r="M845" s="555" t="s">
        <v>14</v>
      </c>
      <c r="N845" s="557" t="s">
        <v>98</v>
      </c>
      <c r="O845" s="558" t="s">
        <v>207</v>
      </c>
      <c r="P845" s="559" t="s">
        <v>276</v>
      </c>
      <c r="Q845" s="556" t="s">
        <v>776</v>
      </c>
      <c r="R845" s="556" t="s">
        <v>8266</v>
      </c>
      <c r="S845" s="556" t="s">
        <v>8255</v>
      </c>
      <c r="T845" s="556">
        <v>6</v>
      </c>
      <c r="U845" s="560">
        <v>15587</v>
      </c>
      <c r="V845" s="561">
        <v>15394</v>
      </c>
      <c r="W845" s="555" t="s">
        <v>276</v>
      </c>
      <c r="X845" s="555" t="s">
        <v>276</v>
      </c>
      <c r="Y845" s="562">
        <v>0.01</v>
      </c>
      <c r="Z845" s="556" t="s">
        <v>894</v>
      </c>
      <c r="AA845" s="562">
        <v>8.9999999999999993E-3</v>
      </c>
      <c r="AB845" s="556" t="s">
        <v>894</v>
      </c>
      <c r="AC845" s="556" t="s">
        <v>8256</v>
      </c>
      <c r="AD845" s="556" t="s">
        <v>6506</v>
      </c>
      <c r="AE845" s="555">
        <v>117</v>
      </c>
      <c r="AF845" s="555">
        <v>121</v>
      </c>
      <c r="AG845" s="560">
        <v>15587</v>
      </c>
      <c r="AH845" s="561">
        <v>15394</v>
      </c>
      <c r="AI845" s="561" t="s">
        <v>2047</v>
      </c>
      <c r="AJ845" s="564">
        <v>8.33</v>
      </c>
      <c r="AK845" s="563" t="s">
        <v>276</v>
      </c>
      <c r="AL845" s="564">
        <v>6.82</v>
      </c>
      <c r="AM845" s="564">
        <v>9.84</v>
      </c>
      <c r="AN845" s="564">
        <v>8.83</v>
      </c>
      <c r="AO845" s="563" t="s">
        <v>276</v>
      </c>
      <c r="AP845" s="564">
        <v>7.26</v>
      </c>
      <c r="AQ845" s="564">
        <v>10.4</v>
      </c>
      <c r="AR845" s="555" t="s">
        <v>268</v>
      </c>
      <c r="AS845" s="564" t="s">
        <v>276</v>
      </c>
      <c r="AT845" s="563">
        <f>AJ845/AN845</f>
        <v>0.94337485843714608</v>
      </c>
      <c r="AU845" s="564" t="s">
        <v>276</v>
      </c>
      <c r="AV845" s="564" t="s">
        <v>276</v>
      </c>
      <c r="AW845" s="555" t="s">
        <v>276</v>
      </c>
      <c r="AX845" s="556" t="s">
        <v>8261</v>
      </c>
      <c r="AY845" s="555">
        <v>0.94</v>
      </c>
      <c r="AZ845" s="564">
        <v>0.68</v>
      </c>
      <c r="BA845" s="555">
        <v>1.31</v>
      </c>
      <c r="BB845" s="555" t="s">
        <v>276</v>
      </c>
      <c r="BC845" s="556" t="s">
        <v>8269</v>
      </c>
      <c r="BD845" s="556" t="s">
        <v>8263</v>
      </c>
      <c r="BE845" s="33" t="s">
        <v>100</v>
      </c>
      <c r="BF845" s="33" t="s">
        <v>98</v>
      </c>
    </row>
    <row r="846" spans="1:58" s="7" customFormat="1" ht="39" x14ac:dyDescent="0.3">
      <c r="A846" s="545">
        <v>258</v>
      </c>
      <c r="B846" s="545" t="s">
        <v>8250</v>
      </c>
      <c r="C846" s="545" t="s">
        <v>55</v>
      </c>
      <c r="D846" s="546" t="s">
        <v>8270</v>
      </c>
      <c r="E846" s="545" t="s">
        <v>36</v>
      </c>
      <c r="F846" s="546" t="s">
        <v>8252</v>
      </c>
      <c r="G846" s="545" t="s">
        <v>225</v>
      </c>
      <c r="H846" s="545" t="s">
        <v>125</v>
      </c>
      <c r="I846" s="545" t="s">
        <v>114</v>
      </c>
      <c r="J846" s="546" t="s">
        <v>23</v>
      </c>
      <c r="K846" s="546" t="s">
        <v>8271</v>
      </c>
      <c r="L846" s="546" t="s">
        <v>276</v>
      </c>
      <c r="M846" s="545" t="s">
        <v>14</v>
      </c>
      <c r="N846" s="547" t="s">
        <v>98</v>
      </c>
      <c r="O846" s="548" t="s">
        <v>207</v>
      </c>
      <c r="P846" s="549" t="s">
        <v>276</v>
      </c>
      <c r="Q846" s="546" t="s">
        <v>776</v>
      </c>
      <c r="R846" s="546" t="s">
        <v>8254</v>
      </c>
      <c r="S846" s="546" t="s">
        <v>8255</v>
      </c>
      <c r="T846" s="546">
        <v>11</v>
      </c>
      <c r="U846" s="550">
        <v>15570</v>
      </c>
      <c r="V846" s="551">
        <v>15394</v>
      </c>
      <c r="W846" s="545" t="s">
        <v>276</v>
      </c>
      <c r="X846" s="545" t="s">
        <v>276</v>
      </c>
      <c r="Y846" s="552" t="s">
        <v>98</v>
      </c>
      <c r="Z846" s="552" t="s">
        <v>98</v>
      </c>
      <c r="AA846" s="552" t="s">
        <v>98</v>
      </c>
      <c r="AB846" s="552" t="s">
        <v>98</v>
      </c>
      <c r="AC846" s="546" t="s">
        <v>8272</v>
      </c>
      <c r="AD846" s="546" t="s">
        <v>8257</v>
      </c>
      <c r="AE846" s="545">
        <v>3361</v>
      </c>
      <c r="AF846" s="545">
        <v>3340</v>
      </c>
      <c r="AG846" s="550">
        <v>184160</v>
      </c>
      <c r="AH846" s="550">
        <v>181966</v>
      </c>
      <c r="AI846" s="550" t="s">
        <v>425</v>
      </c>
      <c r="AJ846" s="565" t="s">
        <v>276</v>
      </c>
      <c r="AK846" s="554">
        <f t="shared" ref="AK846" si="108">AE846*1000/AG846</f>
        <v>18.250434404865334</v>
      </c>
      <c r="AL846" s="565" t="s">
        <v>276</v>
      </c>
      <c r="AM846" s="565" t="s">
        <v>276</v>
      </c>
      <c r="AN846" s="565" t="s">
        <v>276</v>
      </c>
      <c r="AO846" s="554">
        <f t="shared" ref="AO846" si="109">AF846*1000/AH846</f>
        <v>18.355077322137102</v>
      </c>
      <c r="AP846" s="565" t="s">
        <v>276</v>
      </c>
      <c r="AQ846" s="565" t="s">
        <v>276</v>
      </c>
      <c r="AR846" s="545" t="s">
        <v>269</v>
      </c>
      <c r="AS846" s="553" t="s">
        <v>276</v>
      </c>
      <c r="AT846" s="554">
        <f t="shared" ref="AT846" si="110">AK846/AO846</f>
        <v>0.99429896614243274</v>
      </c>
      <c r="AU846" s="553" t="s">
        <v>276</v>
      </c>
      <c r="AV846" s="553" t="s">
        <v>276</v>
      </c>
      <c r="AW846" s="545" t="s">
        <v>276</v>
      </c>
      <c r="AX846" s="545" t="s">
        <v>282</v>
      </c>
      <c r="AY846" s="545" t="s">
        <v>276</v>
      </c>
      <c r="AZ846" s="553" t="s">
        <v>276</v>
      </c>
      <c r="BA846" s="545" t="s">
        <v>276</v>
      </c>
      <c r="BB846" s="545" t="s">
        <v>276</v>
      </c>
      <c r="BC846" s="546" t="s">
        <v>1029</v>
      </c>
      <c r="BD846" s="546"/>
      <c r="BE846" s="33" t="s">
        <v>100</v>
      </c>
      <c r="BF846" s="33" t="s">
        <v>98</v>
      </c>
    </row>
    <row r="847" spans="1:58" s="7" customFormat="1" ht="52" x14ac:dyDescent="0.3">
      <c r="A847" s="545">
        <v>258</v>
      </c>
      <c r="B847" s="545" t="s">
        <v>8250</v>
      </c>
      <c r="C847" s="545" t="s">
        <v>55</v>
      </c>
      <c r="D847" s="546" t="s">
        <v>8273</v>
      </c>
      <c r="E847" s="545" t="s">
        <v>36</v>
      </c>
      <c r="F847" s="546" t="s">
        <v>8252</v>
      </c>
      <c r="G847" s="545" t="s">
        <v>225</v>
      </c>
      <c r="H847" s="545" t="s">
        <v>125</v>
      </c>
      <c r="I847" s="545" t="s">
        <v>114</v>
      </c>
      <c r="J847" s="546" t="s">
        <v>23</v>
      </c>
      <c r="K847" s="546" t="s">
        <v>8271</v>
      </c>
      <c r="L847" s="546" t="s">
        <v>276</v>
      </c>
      <c r="M847" s="545" t="s">
        <v>14</v>
      </c>
      <c r="N847" s="547" t="s">
        <v>98</v>
      </c>
      <c r="O847" s="548" t="s">
        <v>207</v>
      </c>
      <c r="P847" s="549" t="s">
        <v>276</v>
      </c>
      <c r="Q847" s="546" t="s">
        <v>776</v>
      </c>
      <c r="R847" s="546" t="s">
        <v>8254</v>
      </c>
      <c r="S847" s="546" t="s">
        <v>8255</v>
      </c>
      <c r="T847" s="546">
        <v>11</v>
      </c>
      <c r="U847" s="550">
        <v>15570</v>
      </c>
      <c r="V847" s="551">
        <v>15394</v>
      </c>
      <c r="W847" s="545" t="s">
        <v>276</v>
      </c>
      <c r="X847" s="545" t="s">
        <v>276</v>
      </c>
      <c r="Y847" s="552" t="s">
        <v>98</v>
      </c>
      <c r="Z847" s="552" t="s">
        <v>98</v>
      </c>
      <c r="AA847" s="552" t="s">
        <v>98</v>
      </c>
      <c r="AB847" s="552" t="s">
        <v>98</v>
      </c>
      <c r="AC847" s="546" t="s">
        <v>8272</v>
      </c>
      <c r="AD847" s="546" t="s">
        <v>6506</v>
      </c>
      <c r="AE847" s="545">
        <v>3361</v>
      </c>
      <c r="AF847" s="545">
        <v>3340</v>
      </c>
      <c r="AG847" s="550">
        <v>15570</v>
      </c>
      <c r="AH847" s="551">
        <v>15394</v>
      </c>
      <c r="AI847" s="551" t="s">
        <v>2047</v>
      </c>
      <c r="AJ847" s="565" t="s">
        <v>276</v>
      </c>
      <c r="AK847" s="554">
        <f t="shared" si="105"/>
        <v>215.86384071933205</v>
      </c>
      <c r="AL847" s="553" t="s">
        <v>276</v>
      </c>
      <c r="AM847" s="553" t="s">
        <v>276</v>
      </c>
      <c r="AN847" s="553" t="s">
        <v>276</v>
      </c>
      <c r="AO847" s="554">
        <f t="shared" si="103"/>
        <v>216.96764973366245</v>
      </c>
      <c r="AP847" s="553" t="s">
        <v>276</v>
      </c>
      <c r="AQ847" s="553" t="s">
        <v>276</v>
      </c>
      <c r="AR847" s="545" t="s">
        <v>268</v>
      </c>
      <c r="AS847" s="553" t="s">
        <v>276</v>
      </c>
      <c r="AT847" s="554">
        <f t="shared" si="104"/>
        <v>0.99491256408185558</v>
      </c>
      <c r="AU847" s="553" t="s">
        <v>276</v>
      </c>
      <c r="AV847" s="553" t="s">
        <v>276</v>
      </c>
      <c r="AW847" s="545" t="s">
        <v>276</v>
      </c>
      <c r="AX847" s="546" t="s">
        <v>282</v>
      </c>
      <c r="AY847" s="545" t="s">
        <v>276</v>
      </c>
      <c r="AZ847" s="553" t="s">
        <v>276</v>
      </c>
      <c r="BA847" s="545" t="s">
        <v>276</v>
      </c>
      <c r="BB847" s="545" t="s">
        <v>276</v>
      </c>
      <c r="BC847" s="546" t="s">
        <v>1029</v>
      </c>
      <c r="BD847" s="546"/>
      <c r="BE847" s="33" t="s">
        <v>100</v>
      </c>
      <c r="BF847" s="33" t="s">
        <v>98</v>
      </c>
    </row>
    <row r="848" spans="1:58" s="7" customFormat="1" ht="65" x14ac:dyDescent="0.3">
      <c r="A848" s="545">
        <v>258</v>
      </c>
      <c r="B848" s="545" t="s">
        <v>8250</v>
      </c>
      <c r="C848" s="545" t="s">
        <v>55</v>
      </c>
      <c r="D848" s="546" t="s">
        <v>8274</v>
      </c>
      <c r="E848" s="545" t="s">
        <v>36</v>
      </c>
      <c r="F848" s="546" t="s">
        <v>8252</v>
      </c>
      <c r="G848" s="545" t="s">
        <v>225</v>
      </c>
      <c r="H848" s="545" t="s">
        <v>125</v>
      </c>
      <c r="I848" s="545" t="s">
        <v>114</v>
      </c>
      <c r="J848" s="546" t="s">
        <v>23</v>
      </c>
      <c r="K848" s="546" t="s">
        <v>8271</v>
      </c>
      <c r="L848" s="546" t="s">
        <v>276</v>
      </c>
      <c r="M848" s="545" t="s">
        <v>14</v>
      </c>
      <c r="N848" s="547" t="s">
        <v>98</v>
      </c>
      <c r="O848" s="548" t="s">
        <v>207</v>
      </c>
      <c r="P848" s="549" t="s">
        <v>276</v>
      </c>
      <c r="Q848" s="546" t="s">
        <v>776</v>
      </c>
      <c r="R848" s="546" t="s">
        <v>8254</v>
      </c>
      <c r="S848" s="546" t="s">
        <v>8255</v>
      </c>
      <c r="T848" s="546">
        <v>11</v>
      </c>
      <c r="U848" s="550">
        <v>15570</v>
      </c>
      <c r="V848" s="551">
        <v>15394</v>
      </c>
      <c r="W848" s="545" t="s">
        <v>276</v>
      </c>
      <c r="X848" s="545" t="s">
        <v>276</v>
      </c>
      <c r="Y848" s="552" t="s">
        <v>98</v>
      </c>
      <c r="Z848" s="552" t="s">
        <v>98</v>
      </c>
      <c r="AA848" s="552" t="s">
        <v>98</v>
      </c>
      <c r="AB848" s="552" t="s">
        <v>98</v>
      </c>
      <c r="AC848" s="546" t="s">
        <v>8272</v>
      </c>
      <c r="AD848" s="546" t="s">
        <v>6506</v>
      </c>
      <c r="AE848" s="545">
        <v>3361</v>
      </c>
      <c r="AF848" s="545">
        <v>3340</v>
      </c>
      <c r="AG848" s="550">
        <v>15570</v>
      </c>
      <c r="AH848" s="551">
        <v>15394</v>
      </c>
      <c r="AI848" s="551" t="s">
        <v>2047</v>
      </c>
      <c r="AJ848" s="565">
        <v>216</v>
      </c>
      <c r="AK848" s="554" t="s">
        <v>276</v>
      </c>
      <c r="AL848" s="565">
        <v>209</v>
      </c>
      <c r="AM848" s="565">
        <v>222</v>
      </c>
      <c r="AN848" s="565">
        <v>216</v>
      </c>
      <c r="AO848" s="565" t="s">
        <v>276</v>
      </c>
      <c r="AP848" s="565">
        <v>210</v>
      </c>
      <c r="AQ848" s="565">
        <v>223</v>
      </c>
      <c r="AR848" s="545" t="s">
        <v>268</v>
      </c>
      <c r="AS848" s="553" t="s">
        <v>276</v>
      </c>
      <c r="AT848" s="554">
        <f>AJ848/AN848</f>
        <v>1</v>
      </c>
      <c r="AU848" s="553" t="s">
        <v>276</v>
      </c>
      <c r="AV848" s="553" t="s">
        <v>276</v>
      </c>
      <c r="AW848" s="545" t="s">
        <v>276</v>
      </c>
      <c r="AX848" s="545" t="s">
        <v>282</v>
      </c>
      <c r="AY848" s="545" t="s">
        <v>276</v>
      </c>
      <c r="AZ848" s="553" t="s">
        <v>276</v>
      </c>
      <c r="BA848" s="545" t="s">
        <v>276</v>
      </c>
      <c r="BB848" s="545" t="s">
        <v>276</v>
      </c>
      <c r="BC848" s="546" t="s">
        <v>1029</v>
      </c>
      <c r="BD848" s="546" t="s">
        <v>8263</v>
      </c>
      <c r="BE848" s="33" t="s">
        <v>100</v>
      </c>
      <c r="BF848" s="33" t="s">
        <v>98</v>
      </c>
    </row>
    <row r="849" spans="1:58" s="87" customFormat="1" ht="39" x14ac:dyDescent="0.3">
      <c r="A849" s="555">
        <v>258</v>
      </c>
      <c r="B849" s="555" t="s">
        <v>8250</v>
      </c>
      <c r="C849" s="555" t="s">
        <v>55</v>
      </c>
      <c r="D849" s="556" t="s">
        <v>8275</v>
      </c>
      <c r="E849" s="555" t="s">
        <v>36</v>
      </c>
      <c r="F849" s="556" t="s">
        <v>8265</v>
      </c>
      <c r="G849" s="555" t="s">
        <v>225</v>
      </c>
      <c r="H849" s="555" t="s">
        <v>125</v>
      </c>
      <c r="I849" s="555" t="s">
        <v>114</v>
      </c>
      <c r="J849" s="556" t="s">
        <v>23</v>
      </c>
      <c r="K849" s="556" t="s">
        <v>8271</v>
      </c>
      <c r="L849" s="556" t="s">
        <v>276</v>
      </c>
      <c r="M849" s="555" t="s">
        <v>14</v>
      </c>
      <c r="N849" s="557" t="s">
        <v>98</v>
      </c>
      <c r="O849" s="558" t="s">
        <v>207</v>
      </c>
      <c r="P849" s="559" t="s">
        <v>276</v>
      </c>
      <c r="Q849" s="556" t="s">
        <v>776</v>
      </c>
      <c r="R849" s="556" t="s">
        <v>8266</v>
      </c>
      <c r="S849" s="556" t="s">
        <v>8255</v>
      </c>
      <c r="T849" s="556">
        <v>6</v>
      </c>
      <c r="U849" s="560">
        <v>15587</v>
      </c>
      <c r="V849" s="561">
        <v>15394</v>
      </c>
      <c r="W849" s="555" t="s">
        <v>276</v>
      </c>
      <c r="X849" s="555" t="s">
        <v>276</v>
      </c>
      <c r="Y849" s="562" t="s">
        <v>98</v>
      </c>
      <c r="Z849" s="562" t="s">
        <v>98</v>
      </c>
      <c r="AA849" s="562" t="s">
        <v>98</v>
      </c>
      <c r="AB849" s="562" t="s">
        <v>98</v>
      </c>
      <c r="AC849" s="556" t="s">
        <v>8272</v>
      </c>
      <c r="AD849" s="556" t="s">
        <v>8257</v>
      </c>
      <c r="AE849" s="555">
        <v>3396</v>
      </c>
      <c r="AF849" s="555">
        <v>3340</v>
      </c>
      <c r="AG849" s="560">
        <v>183934</v>
      </c>
      <c r="AH849" s="560">
        <v>181966</v>
      </c>
      <c r="AI849" s="560" t="s">
        <v>425</v>
      </c>
      <c r="AJ849" s="564" t="s">
        <v>276</v>
      </c>
      <c r="AK849" s="563">
        <f t="shared" ref="AK849" si="111">AE849*1000/AG849</f>
        <v>18.463144388748137</v>
      </c>
      <c r="AL849" s="564" t="s">
        <v>276</v>
      </c>
      <c r="AM849" s="564" t="s">
        <v>276</v>
      </c>
      <c r="AN849" s="564" t="s">
        <v>276</v>
      </c>
      <c r="AO849" s="563">
        <f t="shared" ref="AO849" si="112">AF849*1000/AH849</f>
        <v>18.355077322137102</v>
      </c>
      <c r="AP849" s="564" t="s">
        <v>276</v>
      </c>
      <c r="AQ849" s="564" t="s">
        <v>276</v>
      </c>
      <c r="AR849" s="555" t="s">
        <v>269</v>
      </c>
      <c r="AS849" s="564" t="s">
        <v>276</v>
      </c>
      <c r="AT849" s="563">
        <f t="shared" ref="AT849" si="113">AK849/AO849</f>
        <v>1.0058875843841149</v>
      </c>
      <c r="AU849" s="564" t="s">
        <v>276</v>
      </c>
      <c r="AV849" s="564" t="s">
        <v>276</v>
      </c>
      <c r="AW849" s="555" t="s">
        <v>276</v>
      </c>
      <c r="AX849" s="555" t="s">
        <v>282</v>
      </c>
      <c r="AY849" s="555" t="s">
        <v>276</v>
      </c>
      <c r="AZ849" s="555" t="s">
        <v>276</v>
      </c>
      <c r="BA849" s="555" t="s">
        <v>276</v>
      </c>
      <c r="BB849" s="555" t="s">
        <v>276</v>
      </c>
      <c r="BC849" s="556" t="s">
        <v>1029</v>
      </c>
      <c r="BD849" s="556"/>
      <c r="BE849" s="33" t="s">
        <v>100</v>
      </c>
      <c r="BF849" s="33" t="s">
        <v>98</v>
      </c>
    </row>
    <row r="850" spans="1:58" s="87" customFormat="1" ht="52" x14ac:dyDescent="0.3">
      <c r="A850" s="555">
        <v>258</v>
      </c>
      <c r="B850" s="555" t="s">
        <v>8250</v>
      </c>
      <c r="C850" s="555" t="s">
        <v>55</v>
      </c>
      <c r="D850" s="556" t="s">
        <v>8276</v>
      </c>
      <c r="E850" s="555" t="s">
        <v>36</v>
      </c>
      <c r="F850" s="556" t="s">
        <v>8265</v>
      </c>
      <c r="G850" s="555" t="s">
        <v>225</v>
      </c>
      <c r="H850" s="555" t="s">
        <v>125</v>
      </c>
      <c r="I850" s="555" t="s">
        <v>114</v>
      </c>
      <c r="J850" s="556" t="s">
        <v>23</v>
      </c>
      <c r="K850" s="556" t="s">
        <v>8271</v>
      </c>
      <c r="L850" s="556" t="s">
        <v>276</v>
      </c>
      <c r="M850" s="555" t="s">
        <v>14</v>
      </c>
      <c r="N850" s="557" t="s">
        <v>98</v>
      </c>
      <c r="O850" s="558" t="s">
        <v>207</v>
      </c>
      <c r="P850" s="559" t="s">
        <v>276</v>
      </c>
      <c r="Q850" s="556" t="s">
        <v>776</v>
      </c>
      <c r="R850" s="556" t="s">
        <v>8266</v>
      </c>
      <c r="S850" s="556" t="s">
        <v>8255</v>
      </c>
      <c r="T850" s="556">
        <v>6</v>
      </c>
      <c r="U850" s="560">
        <v>15587</v>
      </c>
      <c r="V850" s="561">
        <v>15394</v>
      </c>
      <c r="W850" s="555" t="s">
        <v>276</v>
      </c>
      <c r="X850" s="555" t="s">
        <v>276</v>
      </c>
      <c r="Y850" s="562" t="s">
        <v>98</v>
      </c>
      <c r="Z850" s="562" t="s">
        <v>98</v>
      </c>
      <c r="AA850" s="562" t="s">
        <v>98</v>
      </c>
      <c r="AB850" s="562" t="s">
        <v>98</v>
      </c>
      <c r="AC850" s="556" t="s">
        <v>8272</v>
      </c>
      <c r="AD850" s="556" t="s">
        <v>6506</v>
      </c>
      <c r="AE850" s="555">
        <v>3396</v>
      </c>
      <c r="AF850" s="555">
        <v>3340</v>
      </c>
      <c r="AG850" s="560">
        <v>15587</v>
      </c>
      <c r="AH850" s="561">
        <v>15394</v>
      </c>
      <c r="AI850" s="561" t="s">
        <v>2047</v>
      </c>
      <c r="AJ850" s="564" t="s">
        <v>276</v>
      </c>
      <c r="AK850" s="563">
        <f t="shared" si="105"/>
        <v>217.87386925001604</v>
      </c>
      <c r="AL850" s="564" t="s">
        <v>276</v>
      </c>
      <c r="AM850" s="564" t="s">
        <v>276</v>
      </c>
      <c r="AN850" s="564" t="s">
        <v>276</v>
      </c>
      <c r="AO850" s="563">
        <f t="shared" si="103"/>
        <v>216.96764973366245</v>
      </c>
      <c r="AP850" s="564" t="s">
        <v>276</v>
      </c>
      <c r="AQ850" s="564" t="s">
        <v>276</v>
      </c>
      <c r="AR850" s="555" t="s">
        <v>268</v>
      </c>
      <c r="AS850" s="564" t="s">
        <v>276</v>
      </c>
      <c r="AT850" s="563">
        <f t="shared" si="104"/>
        <v>1.0041767494714813</v>
      </c>
      <c r="AU850" s="564" t="s">
        <v>276</v>
      </c>
      <c r="AV850" s="564" t="s">
        <v>276</v>
      </c>
      <c r="AW850" s="555" t="s">
        <v>276</v>
      </c>
      <c r="AX850" s="556" t="s">
        <v>282</v>
      </c>
      <c r="AY850" s="555" t="s">
        <v>276</v>
      </c>
      <c r="AZ850" s="564" t="s">
        <v>276</v>
      </c>
      <c r="BA850" s="555" t="s">
        <v>276</v>
      </c>
      <c r="BB850" s="555" t="s">
        <v>276</v>
      </c>
      <c r="BC850" s="556" t="s">
        <v>1029</v>
      </c>
      <c r="BD850" s="556"/>
      <c r="BE850" s="33" t="s">
        <v>100</v>
      </c>
      <c r="BF850" s="33" t="s">
        <v>98</v>
      </c>
    </row>
    <row r="851" spans="1:58" s="87" customFormat="1" ht="52" x14ac:dyDescent="0.3">
      <c r="A851" s="555">
        <v>258</v>
      </c>
      <c r="B851" s="555" t="s">
        <v>8250</v>
      </c>
      <c r="C851" s="555" t="s">
        <v>55</v>
      </c>
      <c r="D851" s="556" t="s">
        <v>8277</v>
      </c>
      <c r="E851" s="555" t="s">
        <v>36</v>
      </c>
      <c r="F851" s="556" t="s">
        <v>8265</v>
      </c>
      <c r="G851" s="555" t="s">
        <v>225</v>
      </c>
      <c r="H851" s="555" t="s">
        <v>125</v>
      </c>
      <c r="I851" s="555" t="s">
        <v>114</v>
      </c>
      <c r="J851" s="556" t="s">
        <v>23</v>
      </c>
      <c r="K851" s="556" t="s">
        <v>8271</v>
      </c>
      <c r="L851" s="556" t="s">
        <v>276</v>
      </c>
      <c r="M851" s="555" t="s">
        <v>14</v>
      </c>
      <c r="N851" s="557" t="s">
        <v>98</v>
      </c>
      <c r="O851" s="558" t="s">
        <v>207</v>
      </c>
      <c r="P851" s="559" t="s">
        <v>276</v>
      </c>
      <c r="Q851" s="556" t="s">
        <v>776</v>
      </c>
      <c r="R851" s="556" t="s">
        <v>8266</v>
      </c>
      <c r="S851" s="556" t="s">
        <v>8255</v>
      </c>
      <c r="T851" s="556">
        <v>6</v>
      </c>
      <c r="U851" s="560">
        <v>15587</v>
      </c>
      <c r="V851" s="561">
        <v>15394</v>
      </c>
      <c r="W851" s="555" t="s">
        <v>276</v>
      </c>
      <c r="X851" s="555" t="s">
        <v>276</v>
      </c>
      <c r="Y851" s="562" t="s">
        <v>98</v>
      </c>
      <c r="Z851" s="562" t="s">
        <v>98</v>
      </c>
      <c r="AA851" s="562" t="s">
        <v>98</v>
      </c>
      <c r="AB851" s="562" t="s">
        <v>98</v>
      </c>
      <c r="AC851" s="556" t="s">
        <v>8272</v>
      </c>
      <c r="AD851" s="556" t="s">
        <v>6506</v>
      </c>
      <c r="AE851" s="555">
        <v>3396</v>
      </c>
      <c r="AF851" s="555">
        <v>3340</v>
      </c>
      <c r="AG851" s="560">
        <v>15587</v>
      </c>
      <c r="AH851" s="561">
        <v>15394</v>
      </c>
      <c r="AI851" s="561" t="s">
        <v>2047</v>
      </c>
      <c r="AJ851" s="566">
        <v>218</v>
      </c>
      <c r="AK851" s="564" t="s">
        <v>276</v>
      </c>
      <c r="AL851" s="566">
        <v>211</v>
      </c>
      <c r="AM851" s="566">
        <v>224</v>
      </c>
      <c r="AN851" s="566">
        <v>216</v>
      </c>
      <c r="AO851" s="564" t="s">
        <v>276</v>
      </c>
      <c r="AP851" s="566">
        <v>210</v>
      </c>
      <c r="AQ851" s="566">
        <v>223</v>
      </c>
      <c r="AR851" s="555" t="s">
        <v>268</v>
      </c>
      <c r="AS851" s="564" t="s">
        <v>276</v>
      </c>
      <c r="AT851" s="563">
        <f>AJ851/AN851</f>
        <v>1.0092592592592593</v>
      </c>
      <c r="AU851" s="564" t="s">
        <v>276</v>
      </c>
      <c r="AV851" s="564" t="s">
        <v>276</v>
      </c>
      <c r="AW851" s="555" t="s">
        <v>276</v>
      </c>
      <c r="AX851" s="555" t="s">
        <v>282</v>
      </c>
      <c r="AY851" s="555" t="s">
        <v>276</v>
      </c>
      <c r="AZ851" s="555" t="s">
        <v>276</v>
      </c>
      <c r="BA851" s="555" t="s">
        <v>276</v>
      </c>
      <c r="BB851" s="555" t="s">
        <v>276</v>
      </c>
      <c r="BC851" s="556" t="s">
        <v>1029</v>
      </c>
      <c r="BD851" s="556" t="s">
        <v>8263</v>
      </c>
      <c r="BE851" s="33" t="s">
        <v>100</v>
      </c>
      <c r="BF851" s="33" t="s">
        <v>98</v>
      </c>
    </row>
    <row r="852" spans="1:58" s="208" customFormat="1" ht="65" x14ac:dyDescent="0.3">
      <c r="A852" s="567">
        <v>7915</v>
      </c>
      <c r="B852" s="567" t="s">
        <v>8278</v>
      </c>
      <c r="C852" s="567" t="s">
        <v>55</v>
      </c>
      <c r="D852" s="568" t="s">
        <v>8279</v>
      </c>
      <c r="E852" s="567" t="s">
        <v>36</v>
      </c>
      <c r="F852" s="568" t="s">
        <v>8252</v>
      </c>
      <c r="G852" s="567" t="s">
        <v>225</v>
      </c>
      <c r="H852" s="567" t="s">
        <v>125</v>
      </c>
      <c r="I852" s="567" t="s">
        <v>114</v>
      </c>
      <c r="J852" s="568" t="s">
        <v>24</v>
      </c>
      <c r="K852" s="568" t="s">
        <v>8280</v>
      </c>
      <c r="L852" s="568" t="s">
        <v>8281</v>
      </c>
      <c r="M852" s="567" t="s">
        <v>14</v>
      </c>
      <c r="N852" s="569" t="s">
        <v>98</v>
      </c>
      <c r="O852" s="570" t="s">
        <v>207</v>
      </c>
      <c r="P852" s="571" t="s">
        <v>276</v>
      </c>
      <c r="Q852" s="568" t="s">
        <v>1258</v>
      </c>
      <c r="R852" s="568" t="s">
        <v>8282</v>
      </c>
      <c r="S852" s="568" t="s">
        <v>8283</v>
      </c>
      <c r="T852" s="568">
        <v>11</v>
      </c>
      <c r="U852" s="572">
        <v>15570</v>
      </c>
      <c r="V852" s="573">
        <v>15394</v>
      </c>
      <c r="W852" s="567" t="s">
        <v>276</v>
      </c>
      <c r="X852" s="567" t="s">
        <v>276</v>
      </c>
      <c r="Y852" s="574">
        <v>0.01</v>
      </c>
      <c r="Z852" s="568" t="s">
        <v>894</v>
      </c>
      <c r="AA852" s="574">
        <v>0.01</v>
      </c>
      <c r="AB852" s="568" t="s">
        <v>894</v>
      </c>
      <c r="AC852" s="568" t="s">
        <v>8284</v>
      </c>
      <c r="AD852" s="568" t="s">
        <v>8285</v>
      </c>
      <c r="AE852" s="567">
        <v>121</v>
      </c>
      <c r="AF852" s="567">
        <v>177</v>
      </c>
      <c r="AG852" s="572">
        <v>240325</v>
      </c>
      <c r="AH852" s="573">
        <v>237420</v>
      </c>
      <c r="AI852" s="572" t="s">
        <v>425</v>
      </c>
      <c r="AJ852" s="575" t="s">
        <v>276</v>
      </c>
      <c r="AK852" s="576">
        <f t="shared" ref="AK852:AK862" si="114">AE852*1000/AG852</f>
        <v>0.5034848642463331</v>
      </c>
      <c r="AL852" s="575" t="s">
        <v>276</v>
      </c>
      <c r="AM852" s="575" t="s">
        <v>276</v>
      </c>
      <c r="AN852" s="575" t="s">
        <v>276</v>
      </c>
      <c r="AO852" s="576">
        <f t="shared" ref="AO852:AO862" si="115">AF852*1000/AH852</f>
        <v>0.74551427849380847</v>
      </c>
      <c r="AP852" s="575" t="s">
        <v>276</v>
      </c>
      <c r="AQ852" s="575" t="s">
        <v>276</v>
      </c>
      <c r="AR852" s="567" t="s">
        <v>269</v>
      </c>
      <c r="AS852" s="575" t="s">
        <v>276</v>
      </c>
      <c r="AT852" s="576">
        <f t="shared" ref="AT852:AT862" si="116">AK852/AO852</f>
        <v>0.67535240943143726</v>
      </c>
      <c r="AU852" s="575" t="s">
        <v>276</v>
      </c>
      <c r="AV852" s="575" t="s">
        <v>276</v>
      </c>
      <c r="AW852" s="575" t="s">
        <v>276</v>
      </c>
      <c r="AX852" s="567" t="s">
        <v>282</v>
      </c>
      <c r="AY852" s="575" t="s">
        <v>276</v>
      </c>
      <c r="AZ852" s="575" t="s">
        <v>276</v>
      </c>
      <c r="BA852" s="575" t="s">
        <v>276</v>
      </c>
      <c r="BB852" s="575" t="s">
        <v>276</v>
      </c>
      <c r="BC852" s="568" t="s">
        <v>1358</v>
      </c>
      <c r="BD852" s="568"/>
      <c r="BE852" s="33" t="s">
        <v>100</v>
      </c>
      <c r="BF852" s="33" t="s">
        <v>98</v>
      </c>
    </row>
    <row r="853" spans="1:58" s="208" customFormat="1" ht="65" x14ac:dyDescent="0.3">
      <c r="A853" s="567">
        <v>7915</v>
      </c>
      <c r="B853" s="567" t="s">
        <v>8278</v>
      </c>
      <c r="C853" s="567" t="s">
        <v>55</v>
      </c>
      <c r="D853" s="568" t="s">
        <v>8286</v>
      </c>
      <c r="E853" s="567" t="s">
        <v>36</v>
      </c>
      <c r="F853" s="568" t="s">
        <v>8252</v>
      </c>
      <c r="G853" s="567" t="s">
        <v>225</v>
      </c>
      <c r="H853" s="567" t="s">
        <v>125</v>
      </c>
      <c r="I853" s="567" t="s">
        <v>114</v>
      </c>
      <c r="J853" s="568" t="s">
        <v>24</v>
      </c>
      <c r="K853" s="568" t="s">
        <v>8280</v>
      </c>
      <c r="L853" s="568" t="s">
        <v>8281</v>
      </c>
      <c r="M853" s="567" t="s">
        <v>14</v>
      </c>
      <c r="N853" s="569" t="s">
        <v>98</v>
      </c>
      <c r="O853" s="570" t="s">
        <v>207</v>
      </c>
      <c r="P853" s="571" t="s">
        <v>276</v>
      </c>
      <c r="Q853" s="568" t="s">
        <v>1258</v>
      </c>
      <c r="R853" s="568" t="s">
        <v>8282</v>
      </c>
      <c r="S853" s="568" t="s">
        <v>8283</v>
      </c>
      <c r="T853" s="568">
        <v>11</v>
      </c>
      <c r="U853" s="572">
        <v>15570</v>
      </c>
      <c r="V853" s="573">
        <v>15394</v>
      </c>
      <c r="W853" s="567" t="s">
        <v>276</v>
      </c>
      <c r="X853" s="567" t="s">
        <v>276</v>
      </c>
      <c r="Y853" s="574">
        <v>0.01</v>
      </c>
      <c r="Z853" s="568" t="s">
        <v>894</v>
      </c>
      <c r="AA853" s="574">
        <v>0.01</v>
      </c>
      <c r="AB853" s="568" t="s">
        <v>894</v>
      </c>
      <c r="AC853" s="568" t="s">
        <v>8284</v>
      </c>
      <c r="AD853" s="568" t="s">
        <v>6506</v>
      </c>
      <c r="AE853" s="567">
        <v>121</v>
      </c>
      <c r="AF853" s="567">
        <v>177</v>
      </c>
      <c r="AG853" s="572">
        <v>15570</v>
      </c>
      <c r="AH853" s="573">
        <v>15394</v>
      </c>
      <c r="AI853" s="573" t="s">
        <v>2047</v>
      </c>
      <c r="AJ853" s="575" t="s">
        <v>276</v>
      </c>
      <c r="AK853" s="576">
        <f t="shared" si="114"/>
        <v>7.7713551701991008</v>
      </c>
      <c r="AL853" s="575" t="s">
        <v>276</v>
      </c>
      <c r="AM853" s="575" t="s">
        <v>276</v>
      </c>
      <c r="AN853" s="575" t="s">
        <v>276</v>
      </c>
      <c r="AO853" s="576">
        <f t="shared" si="115"/>
        <v>11.497986228400675</v>
      </c>
      <c r="AP853" s="575" t="s">
        <v>276</v>
      </c>
      <c r="AQ853" s="575" t="s">
        <v>276</v>
      </c>
      <c r="AR853" s="567" t="s">
        <v>268</v>
      </c>
      <c r="AS853" s="575" t="s">
        <v>276</v>
      </c>
      <c r="AT853" s="576">
        <f t="shared" si="116"/>
        <v>0.67588837000025404</v>
      </c>
      <c r="AU853" s="575" t="s">
        <v>276</v>
      </c>
      <c r="AV853" s="575" t="s">
        <v>276</v>
      </c>
      <c r="AW853" s="575" t="s">
        <v>276</v>
      </c>
      <c r="AX853" s="567" t="s">
        <v>282</v>
      </c>
      <c r="AY853" s="575" t="s">
        <v>276</v>
      </c>
      <c r="AZ853" s="575" t="s">
        <v>276</v>
      </c>
      <c r="BA853" s="575" t="s">
        <v>276</v>
      </c>
      <c r="BB853" s="575" t="s">
        <v>276</v>
      </c>
      <c r="BC853" s="568" t="s">
        <v>1358</v>
      </c>
      <c r="BD853" s="568"/>
      <c r="BE853" s="33" t="s">
        <v>100</v>
      </c>
      <c r="BF853" s="33" t="s">
        <v>98</v>
      </c>
    </row>
    <row r="854" spans="1:58" s="208" customFormat="1" ht="117" x14ac:dyDescent="0.3">
      <c r="A854" s="567">
        <v>7915</v>
      </c>
      <c r="B854" s="567" t="s">
        <v>8278</v>
      </c>
      <c r="C854" s="567" t="s">
        <v>55</v>
      </c>
      <c r="D854" s="568" t="s">
        <v>8287</v>
      </c>
      <c r="E854" s="567" t="s">
        <v>36</v>
      </c>
      <c r="F854" s="568" t="s">
        <v>8252</v>
      </c>
      <c r="G854" s="567" t="s">
        <v>225</v>
      </c>
      <c r="H854" s="567" t="s">
        <v>125</v>
      </c>
      <c r="I854" s="567" t="s">
        <v>114</v>
      </c>
      <c r="J854" s="568" t="s">
        <v>24</v>
      </c>
      <c r="K854" s="568" t="s">
        <v>8280</v>
      </c>
      <c r="L854" s="568" t="s">
        <v>8281</v>
      </c>
      <c r="M854" s="567" t="s">
        <v>14</v>
      </c>
      <c r="N854" s="569" t="s">
        <v>98</v>
      </c>
      <c r="O854" s="570" t="s">
        <v>207</v>
      </c>
      <c r="P854" s="571" t="s">
        <v>276</v>
      </c>
      <c r="Q854" s="568" t="s">
        <v>1258</v>
      </c>
      <c r="R854" s="568" t="s">
        <v>8282</v>
      </c>
      <c r="S854" s="568" t="s">
        <v>8283</v>
      </c>
      <c r="T854" s="568">
        <v>11</v>
      </c>
      <c r="U854" s="572">
        <v>15570</v>
      </c>
      <c r="V854" s="573">
        <v>15394</v>
      </c>
      <c r="W854" s="567" t="s">
        <v>276</v>
      </c>
      <c r="X854" s="567" t="s">
        <v>276</v>
      </c>
      <c r="Y854" s="574">
        <v>0.01</v>
      </c>
      <c r="Z854" s="568" t="s">
        <v>894</v>
      </c>
      <c r="AA854" s="574">
        <v>0.01</v>
      </c>
      <c r="AB854" s="568" t="s">
        <v>894</v>
      </c>
      <c r="AC854" s="568" t="s">
        <v>8284</v>
      </c>
      <c r="AD854" s="568" t="s">
        <v>6506</v>
      </c>
      <c r="AE854" s="567">
        <v>121</v>
      </c>
      <c r="AF854" s="567">
        <v>177</v>
      </c>
      <c r="AG854" s="572">
        <v>15570</v>
      </c>
      <c r="AH854" s="573">
        <v>15394</v>
      </c>
      <c r="AI854" s="573" t="s">
        <v>2047</v>
      </c>
      <c r="AJ854" s="575">
        <v>9.4600000000000009</v>
      </c>
      <c r="AK854" s="575" t="s">
        <v>276</v>
      </c>
      <c r="AL854" s="575">
        <v>7.75</v>
      </c>
      <c r="AM854" s="575">
        <v>11.17</v>
      </c>
      <c r="AN854" s="575">
        <v>14.09</v>
      </c>
      <c r="AO854" s="575" t="s">
        <v>276</v>
      </c>
      <c r="AP854" s="575">
        <v>12.01</v>
      </c>
      <c r="AQ854" s="575">
        <v>16.170000000000002</v>
      </c>
      <c r="AR854" s="567" t="s">
        <v>268</v>
      </c>
      <c r="AS854" s="575">
        <v>0.67</v>
      </c>
      <c r="AT854" s="576">
        <f>AJ854/AN854</f>
        <v>0.67139815471965936</v>
      </c>
      <c r="AU854" s="575">
        <v>0.51</v>
      </c>
      <c r="AV854" s="575">
        <v>0.83</v>
      </c>
      <c r="AW854" s="575" t="s">
        <v>276</v>
      </c>
      <c r="AX854" s="567" t="s">
        <v>282</v>
      </c>
      <c r="AY854" s="575" t="s">
        <v>276</v>
      </c>
      <c r="AZ854" s="575" t="s">
        <v>276</v>
      </c>
      <c r="BA854" s="575" t="s">
        <v>276</v>
      </c>
      <c r="BB854" s="575" t="s">
        <v>276</v>
      </c>
      <c r="BC854" s="568" t="s">
        <v>8288</v>
      </c>
      <c r="BD854" s="568" t="s">
        <v>8289</v>
      </c>
      <c r="BE854" s="33" t="s">
        <v>100</v>
      </c>
      <c r="BF854" s="33" t="s">
        <v>98</v>
      </c>
    </row>
    <row r="855" spans="1:58" s="103" customFormat="1" ht="65" x14ac:dyDescent="0.3">
      <c r="A855" s="577">
        <v>7915</v>
      </c>
      <c r="B855" s="577" t="s">
        <v>8278</v>
      </c>
      <c r="C855" s="577" t="s">
        <v>55</v>
      </c>
      <c r="D855" s="578" t="s">
        <v>8290</v>
      </c>
      <c r="E855" s="577" t="s">
        <v>36</v>
      </c>
      <c r="F855" s="578" t="s">
        <v>8265</v>
      </c>
      <c r="G855" s="577" t="s">
        <v>225</v>
      </c>
      <c r="H855" s="577" t="s">
        <v>125</v>
      </c>
      <c r="I855" s="577" t="s">
        <v>114</v>
      </c>
      <c r="J855" s="578" t="s">
        <v>24</v>
      </c>
      <c r="K855" s="578" t="s">
        <v>8280</v>
      </c>
      <c r="L855" s="578" t="s">
        <v>8281</v>
      </c>
      <c r="M855" s="577" t="s">
        <v>14</v>
      </c>
      <c r="N855" s="579" t="s">
        <v>98</v>
      </c>
      <c r="O855" s="580" t="s">
        <v>207</v>
      </c>
      <c r="P855" s="581" t="s">
        <v>276</v>
      </c>
      <c r="Q855" s="578" t="s">
        <v>1258</v>
      </c>
      <c r="R855" s="578" t="s">
        <v>8291</v>
      </c>
      <c r="S855" s="578" t="s">
        <v>8283</v>
      </c>
      <c r="T855" s="578">
        <v>6</v>
      </c>
      <c r="U855" s="582">
        <v>15587</v>
      </c>
      <c r="V855" s="583">
        <v>15394</v>
      </c>
      <c r="W855" s="577" t="s">
        <v>276</v>
      </c>
      <c r="X855" s="577" t="s">
        <v>276</v>
      </c>
      <c r="Y855" s="584">
        <v>1.0999999999999999E-2</v>
      </c>
      <c r="Z855" s="578" t="s">
        <v>894</v>
      </c>
      <c r="AA855" s="584">
        <v>0.01</v>
      </c>
      <c r="AB855" s="578" t="s">
        <v>894</v>
      </c>
      <c r="AC855" s="578" t="s">
        <v>8284</v>
      </c>
      <c r="AD855" s="578" t="s">
        <v>8285</v>
      </c>
      <c r="AE855" s="577">
        <v>148</v>
      </c>
      <c r="AF855" s="577">
        <v>177</v>
      </c>
      <c r="AG855" s="582">
        <v>240163</v>
      </c>
      <c r="AH855" s="583">
        <v>237420</v>
      </c>
      <c r="AI855" s="582" t="s">
        <v>425</v>
      </c>
      <c r="AJ855" s="585" t="s">
        <v>276</v>
      </c>
      <c r="AK855" s="586">
        <f t="shared" si="114"/>
        <v>0.61624813147737156</v>
      </c>
      <c r="AL855" s="585" t="s">
        <v>276</v>
      </c>
      <c r="AM855" s="585" t="s">
        <v>276</v>
      </c>
      <c r="AN855" s="585" t="s">
        <v>276</v>
      </c>
      <c r="AO855" s="586">
        <f t="shared" si="115"/>
        <v>0.74551427849380847</v>
      </c>
      <c r="AP855" s="585" t="s">
        <v>276</v>
      </c>
      <c r="AQ855" s="585" t="s">
        <v>276</v>
      </c>
      <c r="AR855" s="577" t="s">
        <v>269</v>
      </c>
      <c r="AS855" s="585" t="s">
        <v>276</v>
      </c>
      <c r="AT855" s="586">
        <f t="shared" si="116"/>
        <v>0.82660808686642684</v>
      </c>
      <c r="AU855" s="585" t="s">
        <v>276</v>
      </c>
      <c r="AV855" s="585" t="s">
        <v>276</v>
      </c>
      <c r="AW855" s="585" t="s">
        <v>276</v>
      </c>
      <c r="AX855" s="577" t="s">
        <v>282</v>
      </c>
      <c r="AY855" s="585" t="s">
        <v>276</v>
      </c>
      <c r="AZ855" s="585" t="s">
        <v>276</v>
      </c>
      <c r="BA855" s="585" t="s">
        <v>276</v>
      </c>
      <c r="BB855" s="585" t="s">
        <v>276</v>
      </c>
      <c r="BC855" s="578" t="s">
        <v>8292</v>
      </c>
      <c r="BD855" s="578"/>
      <c r="BE855" s="33" t="s">
        <v>100</v>
      </c>
      <c r="BF855" s="33" t="s">
        <v>98</v>
      </c>
    </row>
    <row r="856" spans="1:58" s="103" customFormat="1" ht="65" x14ac:dyDescent="0.3">
      <c r="A856" s="577">
        <v>7915</v>
      </c>
      <c r="B856" s="577" t="s">
        <v>8278</v>
      </c>
      <c r="C856" s="577" t="s">
        <v>55</v>
      </c>
      <c r="D856" s="578" t="s">
        <v>8293</v>
      </c>
      <c r="E856" s="577" t="s">
        <v>36</v>
      </c>
      <c r="F856" s="578" t="s">
        <v>8265</v>
      </c>
      <c r="G856" s="577" t="s">
        <v>225</v>
      </c>
      <c r="H856" s="577" t="s">
        <v>125</v>
      </c>
      <c r="I856" s="577" t="s">
        <v>114</v>
      </c>
      <c r="J856" s="578" t="s">
        <v>24</v>
      </c>
      <c r="K856" s="578" t="s">
        <v>8280</v>
      </c>
      <c r="L856" s="578" t="s">
        <v>8281</v>
      </c>
      <c r="M856" s="577" t="s">
        <v>14</v>
      </c>
      <c r="N856" s="579" t="s">
        <v>98</v>
      </c>
      <c r="O856" s="580" t="s">
        <v>207</v>
      </c>
      <c r="P856" s="581" t="s">
        <v>276</v>
      </c>
      <c r="Q856" s="578" t="s">
        <v>1258</v>
      </c>
      <c r="R856" s="578" t="s">
        <v>8291</v>
      </c>
      <c r="S856" s="578" t="s">
        <v>8283</v>
      </c>
      <c r="T856" s="578">
        <v>6</v>
      </c>
      <c r="U856" s="582">
        <v>15587</v>
      </c>
      <c r="V856" s="583">
        <v>15394</v>
      </c>
      <c r="W856" s="577" t="s">
        <v>276</v>
      </c>
      <c r="X856" s="577" t="s">
        <v>276</v>
      </c>
      <c r="Y856" s="584">
        <v>1.0999999999999999E-2</v>
      </c>
      <c r="Z856" s="578" t="s">
        <v>894</v>
      </c>
      <c r="AA856" s="584">
        <v>0.01</v>
      </c>
      <c r="AB856" s="578" t="s">
        <v>894</v>
      </c>
      <c r="AC856" s="578" t="s">
        <v>8284</v>
      </c>
      <c r="AD856" s="578" t="s">
        <v>6506</v>
      </c>
      <c r="AE856" s="577">
        <v>148</v>
      </c>
      <c r="AF856" s="577">
        <v>177</v>
      </c>
      <c r="AG856" s="582">
        <v>15587</v>
      </c>
      <c r="AH856" s="583">
        <v>15394</v>
      </c>
      <c r="AI856" s="583" t="s">
        <v>2047</v>
      </c>
      <c r="AJ856" s="585" t="s">
        <v>276</v>
      </c>
      <c r="AK856" s="586">
        <f t="shared" si="114"/>
        <v>9.4950920638994027</v>
      </c>
      <c r="AL856" s="585" t="s">
        <v>276</v>
      </c>
      <c r="AM856" s="585" t="s">
        <v>276</v>
      </c>
      <c r="AN856" s="585" t="s">
        <v>276</v>
      </c>
      <c r="AO856" s="586">
        <f t="shared" si="115"/>
        <v>11.497986228400675</v>
      </c>
      <c r="AP856" s="585" t="s">
        <v>276</v>
      </c>
      <c r="AQ856" s="585" t="s">
        <v>276</v>
      </c>
      <c r="AR856" s="577" t="s">
        <v>268</v>
      </c>
      <c r="AS856" s="585" t="s">
        <v>276</v>
      </c>
      <c r="AT856" s="586">
        <f t="shared" si="116"/>
        <v>0.82580478661958989</v>
      </c>
      <c r="AU856" s="585" t="s">
        <v>276</v>
      </c>
      <c r="AV856" s="585" t="s">
        <v>276</v>
      </c>
      <c r="AW856" s="585" t="s">
        <v>276</v>
      </c>
      <c r="AX856" s="577" t="s">
        <v>282</v>
      </c>
      <c r="AY856" s="585" t="s">
        <v>276</v>
      </c>
      <c r="AZ856" s="585" t="s">
        <v>276</v>
      </c>
      <c r="BA856" s="585" t="s">
        <v>276</v>
      </c>
      <c r="BB856" s="585" t="s">
        <v>276</v>
      </c>
      <c r="BC856" s="578" t="s">
        <v>1358</v>
      </c>
      <c r="BD856" s="578"/>
      <c r="BE856" s="33" t="s">
        <v>100</v>
      </c>
      <c r="BF856" s="33" t="s">
        <v>98</v>
      </c>
    </row>
    <row r="857" spans="1:58" s="103" customFormat="1" ht="117" x14ac:dyDescent="0.3">
      <c r="A857" s="577">
        <v>7915</v>
      </c>
      <c r="B857" s="577" t="s">
        <v>8278</v>
      </c>
      <c r="C857" s="577" t="s">
        <v>55</v>
      </c>
      <c r="D857" s="578" t="s">
        <v>8294</v>
      </c>
      <c r="E857" s="577" t="s">
        <v>36</v>
      </c>
      <c r="F857" s="578" t="s">
        <v>8265</v>
      </c>
      <c r="G857" s="577" t="s">
        <v>225</v>
      </c>
      <c r="H857" s="577" t="s">
        <v>125</v>
      </c>
      <c r="I857" s="577" t="s">
        <v>114</v>
      </c>
      <c r="J857" s="578" t="s">
        <v>24</v>
      </c>
      <c r="K857" s="578" t="s">
        <v>8280</v>
      </c>
      <c r="L857" s="578" t="s">
        <v>8281</v>
      </c>
      <c r="M857" s="577" t="s">
        <v>14</v>
      </c>
      <c r="N857" s="579" t="s">
        <v>98</v>
      </c>
      <c r="O857" s="580" t="s">
        <v>207</v>
      </c>
      <c r="P857" s="581" t="s">
        <v>276</v>
      </c>
      <c r="Q857" s="578" t="s">
        <v>1258</v>
      </c>
      <c r="R857" s="578" t="s">
        <v>8291</v>
      </c>
      <c r="S857" s="578" t="s">
        <v>8283</v>
      </c>
      <c r="T857" s="578">
        <v>6</v>
      </c>
      <c r="U857" s="582">
        <v>15587</v>
      </c>
      <c r="V857" s="583">
        <v>15394</v>
      </c>
      <c r="W857" s="577" t="s">
        <v>276</v>
      </c>
      <c r="X857" s="577" t="s">
        <v>276</v>
      </c>
      <c r="Y857" s="584">
        <v>1.0999999999999999E-2</v>
      </c>
      <c r="Z857" s="578" t="s">
        <v>894</v>
      </c>
      <c r="AA857" s="584">
        <v>0.01</v>
      </c>
      <c r="AB857" s="578" t="s">
        <v>894</v>
      </c>
      <c r="AC857" s="578" t="s">
        <v>8284</v>
      </c>
      <c r="AD857" s="578" t="s">
        <v>6506</v>
      </c>
      <c r="AE857" s="577">
        <v>148</v>
      </c>
      <c r="AF857" s="577">
        <v>177</v>
      </c>
      <c r="AG857" s="582">
        <v>15587</v>
      </c>
      <c r="AH857" s="583">
        <v>15394</v>
      </c>
      <c r="AI857" s="583" t="s">
        <v>2047</v>
      </c>
      <c r="AJ857" s="585">
        <v>11.19</v>
      </c>
      <c r="AK857" s="585" t="s">
        <v>276</v>
      </c>
      <c r="AL857" s="585">
        <v>9.39</v>
      </c>
      <c r="AM857" s="585">
        <v>12.99</v>
      </c>
      <c r="AN857" s="585">
        <v>14.09</v>
      </c>
      <c r="AO857" s="585" t="s">
        <v>276</v>
      </c>
      <c r="AP857" s="585">
        <v>12.01</v>
      </c>
      <c r="AQ857" s="585">
        <v>16.170000000000002</v>
      </c>
      <c r="AR857" s="577" t="s">
        <v>268</v>
      </c>
      <c r="AS857" s="585">
        <v>0.79</v>
      </c>
      <c r="AT857" s="586">
        <f>AJ857/AN857</f>
        <v>0.79418026969481903</v>
      </c>
      <c r="AU857" s="585">
        <v>0.62</v>
      </c>
      <c r="AV857" s="585">
        <v>0.97</v>
      </c>
      <c r="AW857" s="585" t="s">
        <v>276</v>
      </c>
      <c r="AX857" s="577" t="s">
        <v>282</v>
      </c>
      <c r="AY857" s="585" t="s">
        <v>276</v>
      </c>
      <c r="AZ857" s="585" t="s">
        <v>276</v>
      </c>
      <c r="BA857" s="585" t="s">
        <v>276</v>
      </c>
      <c r="BB857" s="585" t="s">
        <v>276</v>
      </c>
      <c r="BC857" s="578" t="s">
        <v>8292</v>
      </c>
      <c r="BD857" s="578" t="s">
        <v>8289</v>
      </c>
      <c r="BE857" s="33" t="s">
        <v>100</v>
      </c>
      <c r="BF857" s="33" t="s">
        <v>98</v>
      </c>
    </row>
    <row r="858" spans="1:58" s="208" customFormat="1" ht="39" x14ac:dyDescent="0.3">
      <c r="A858" s="567">
        <v>7915</v>
      </c>
      <c r="B858" s="567" t="s">
        <v>8278</v>
      </c>
      <c r="C858" s="567" t="s">
        <v>55</v>
      </c>
      <c r="D858" s="568" t="s">
        <v>8295</v>
      </c>
      <c r="E858" s="567" t="s">
        <v>36</v>
      </c>
      <c r="F858" s="568" t="s">
        <v>8252</v>
      </c>
      <c r="G858" s="567" t="s">
        <v>225</v>
      </c>
      <c r="H858" s="567" t="s">
        <v>125</v>
      </c>
      <c r="I858" s="567" t="s">
        <v>114</v>
      </c>
      <c r="J858" s="568" t="s">
        <v>23</v>
      </c>
      <c r="K858" s="568" t="s">
        <v>8296</v>
      </c>
      <c r="L858" s="568" t="s">
        <v>276</v>
      </c>
      <c r="M858" s="567" t="s">
        <v>14</v>
      </c>
      <c r="N858" s="569" t="s">
        <v>98</v>
      </c>
      <c r="O858" s="570" t="s">
        <v>207</v>
      </c>
      <c r="P858" s="571" t="s">
        <v>276</v>
      </c>
      <c r="Q858" s="568" t="s">
        <v>1258</v>
      </c>
      <c r="R858" s="568" t="s">
        <v>8282</v>
      </c>
      <c r="S858" s="568" t="s">
        <v>8283</v>
      </c>
      <c r="T858" s="568">
        <v>11</v>
      </c>
      <c r="U858" s="572">
        <v>15570</v>
      </c>
      <c r="V858" s="573">
        <v>15394</v>
      </c>
      <c r="W858" s="567" t="s">
        <v>276</v>
      </c>
      <c r="X858" s="567" t="s">
        <v>276</v>
      </c>
      <c r="Y858" s="574" t="s">
        <v>98</v>
      </c>
      <c r="Z858" s="574" t="s">
        <v>98</v>
      </c>
      <c r="AA858" s="574" t="s">
        <v>98</v>
      </c>
      <c r="AB858" s="574" t="s">
        <v>98</v>
      </c>
      <c r="AC858" s="568" t="s">
        <v>8297</v>
      </c>
      <c r="AD858" s="568" t="s">
        <v>8285</v>
      </c>
      <c r="AE858" s="567">
        <v>5236</v>
      </c>
      <c r="AF858" s="567">
        <v>5186</v>
      </c>
      <c r="AG858" s="572">
        <v>240325</v>
      </c>
      <c r="AH858" s="573">
        <v>237420</v>
      </c>
      <c r="AI858" s="572" t="s">
        <v>425</v>
      </c>
      <c r="AJ858" s="587" t="s">
        <v>276</v>
      </c>
      <c r="AK858" s="576">
        <f t="shared" si="114"/>
        <v>21.787163216477687</v>
      </c>
      <c r="AL858" s="587" t="s">
        <v>276</v>
      </c>
      <c r="AM858" s="587" t="s">
        <v>276</v>
      </c>
      <c r="AN858" s="587" t="s">
        <v>276</v>
      </c>
      <c r="AO858" s="576">
        <f t="shared" si="115"/>
        <v>21.843147165360964</v>
      </c>
      <c r="AP858" s="587" t="s">
        <v>276</v>
      </c>
      <c r="AQ858" s="587" t="s">
        <v>276</v>
      </c>
      <c r="AR858" s="567" t="s">
        <v>269</v>
      </c>
      <c r="AS858" s="575" t="s">
        <v>276</v>
      </c>
      <c r="AT858" s="576">
        <f t="shared" si="116"/>
        <v>0.9974370017077</v>
      </c>
      <c r="AU858" s="575" t="s">
        <v>276</v>
      </c>
      <c r="AV858" s="575" t="s">
        <v>276</v>
      </c>
      <c r="AW858" s="575" t="s">
        <v>276</v>
      </c>
      <c r="AX858" s="567" t="s">
        <v>282</v>
      </c>
      <c r="AY858" s="575" t="s">
        <v>276</v>
      </c>
      <c r="AZ858" s="575" t="s">
        <v>276</v>
      </c>
      <c r="BA858" s="575" t="s">
        <v>276</v>
      </c>
      <c r="BB858" s="575" t="s">
        <v>276</v>
      </c>
      <c r="BC858" s="568" t="s">
        <v>1358</v>
      </c>
      <c r="BD858" s="568"/>
      <c r="BE858" s="33" t="s">
        <v>100</v>
      </c>
      <c r="BF858" s="33" t="s">
        <v>98</v>
      </c>
    </row>
    <row r="859" spans="1:58" s="208" customFormat="1" ht="52" x14ac:dyDescent="0.3">
      <c r="A859" s="567">
        <v>7915</v>
      </c>
      <c r="B859" s="567" t="s">
        <v>8278</v>
      </c>
      <c r="C859" s="567" t="s">
        <v>55</v>
      </c>
      <c r="D859" s="568" t="s">
        <v>8298</v>
      </c>
      <c r="E859" s="567" t="s">
        <v>36</v>
      </c>
      <c r="F859" s="568" t="s">
        <v>8252</v>
      </c>
      <c r="G859" s="567" t="s">
        <v>225</v>
      </c>
      <c r="H859" s="567" t="s">
        <v>125</v>
      </c>
      <c r="I859" s="567" t="s">
        <v>114</v>
      </c>
      <c r="J859" s="568" t="s">
        <v>23</v>
      </c>
      <c r="K859" s="568" t="s">
        <v>8296</v>
      </c>
      <c r="L859" s="568" t="s">
        <v>276</v>
      </c>
      <c r="M859" s="567" t="s">
        <v>14</v>
      </c>
      <c r="N859" s="569" t="s">
        <v>98</v>
      </c>
      <c r="O859" s="570" t="s">
        <v>207</v>
      </c>
      <c r="P859" s="571" t="s">
        <v>276</v>
      </c>
      <c r="Q859" s="568" t="s">
        <v>1258</v>
      </c>
      <c r="R859" s="568" t="s">
        <v>8282</v>
      </c>
      <c r="S859" s="568" t="s">
        <v>8283</v>
      </c>
      <c r="T859" s="568">
        <v>11</v>
      </c>
      <c r="U859" s="572">
        <v>15570</v>
      </c>
      <c r="V859" s="573">
        <v>15394</v>
      </c>
      <c r="W859" s="567" t="s">
        <v>276</v>
      </c>
      <c r="X859" s="567" t="s">
        <v>276</v>
      </c>
      <c r="Y859" s="574" t="s">
        <v>98</v>
      </c>
      <c r="Z859" s="574" t="s">
        <v>98</v>
      </c>
      <c r="AA859" s="574" t="s">
        <v>98</v>
      </c>
      <c r="AB859" s="574" t="s">
        <v>98</v>
      </c>
      <c r="AC859" s="568" t="s">
        <v>8299</v>
      </c>
      <c r="AD859" s="568" t="s">
        <v>6506</v>
      </c>
      <c r="AE859" s="567">
        <v>5236</v>
      </c>
      <c r="AF859" s="567">
        <v>5186</v>
      </c>
      <c r="AG859" s="572">
        <v>15570</v>
      </c>
      <c r="AH859" s="573">
        <v>15394</v>
      </c>
      <c r="AI859" s="573" t="s">
        <v>2047</v>
      </c>
      <c r="AJ859" s="587" t="s">
        <v>276</v>
      </c>
      <c r="AK859" s="576">
        <f t="shared" si="114"/>
        <v>336.28773281952471</v>
      </c>
      <c r="AL859" s="587" t="s">
        <v>276</v>
      </c>
      <c r="AM859" s="587" t="s">
        <v>276</v>
      </c>
      <c r="AN859" s="587" t="s">
        <v>276</v>
      </c>
      <c r="AO859" s="576">
        <f t="shared" si="115"/>
        <v>336.88450045472263</v>
      </c>
      <c r="AP859" s="587" t="s">
        <v>276</v>
      </c>
      <c r="AQ859" s="587" t="s">
        <v>276</v>
      </c>
      <c r="AR859" s="567" t="s">
        <v>268</v>
      </c>
      <c r="AS859" s="575" t="s">
        <v>276</v>
      </c>
      <c r="AT859" s="576">
        <f t="shared" si="116"/>
        <v>0.99822856903659141</v>
      </c>
      <c r="AU859" s="575" t="s">
        <v>276</v>
      </c>
      <c r="AV859" s="575" t="s">
        <v>276</v>
      </c>
      <c r="AW859" s="575" t="s">
        <v>691</v>
      </c>
      <c r="AX859" s="567" t="s">
        <v>282</v>
      </c>
      <c r="AY859" s="575" t="s">
        <v>276</v>
      </c>
      <c r="AZ859" s="575" t="s">
        <v>276</v>
      </c>
      <c r="BA859" s="575" t="s">
        <v>276</v>
      </c>
      <c r="BB859" s="575" t="s">
        <v>276</v>
      </c>
      <c r="BC859" s="568" t="s">
        <v>1358</v>
      </c>
      <c r="BD859" s="568"/>
      <c r="BE859" s="33" t="s">
        <v>100</v>
      </c>
      <c r="BF859" s="33" t="s">
        <v>98</v>
      </c>
    </row>
    <row r="860" spans="1:58" s="208" customFormat="1" ht="52" x14ac:dyDescent="0.3">
      <c r="A860" s="567">
        <v>7915</v>
      </c>
      <c r="B860" s="567" t="s">
        <v>8278</v>
      </c>
      <c r="C860" s="567" t="s">
        <v>55</v>
      </c>
      <c r="D860" s="568" t="s">
        <v>8300</v>
      </c>
      <c r="E860" s="567" t="s">
        <v>36</v>
      </c>
      <c r="F860" s="568" t="s">
        <v>8252</v>
      </c>
      <c r="G860" s="567" t="s">
        <v>225</v>
      </c>
      <c r="H860" s="567" t="s">
        <v>125</v>
      </c>
      <c r="I860" s="567" t="s">
        <v>114</v>
      </c>
      <c r="J860" s="568" t="s">
        <v>23</v>
      </c>
      <c r="K860" s="568" t="s">
        <v>8296</v>
      </c>
      <c r="L860" s="568" t="s">
        <v>276</v>
      </c>
      <c r="M860" s="567" t="s">
        <v>14</v>
      </c>
      <c r="N860" s="569" t="s">
        <v>98</v>
      </c>
      <c r="O860" s="570" t="s">
        <v>207</v>
      </c>
      <c r="P860" s="571" t="s">
        <v>276</v>
      </c>
      <c r="Q860" s="568" t="s">
        <v>1258</v>
      </c>
      <c r="R860" s="568" t="s">
        <v>8282</v>
      </c>
      <c r="S860" s="568" t="s">
        <v>8283</v>
      </c>
      <c r="T860" s="568">
        <v>11</v>
      </c>
      <c r="U860" s="572">
        <v>15570</v>
      </c>
      <c r="V860" s="573">
        <v>15394</v>
      </c>
      <c r="W860" s="567" t="s">
        <v>276</v>
      </c>
      <c r="X860" s="567" t="s">
        <v>276</v>
      </c>
      <c r="Y860" s="574" t="s">
        <v>98</v>
      </c>
      <c r="Z860" s="574" t="s">
        <v>98</v>
      </c>
      <c r="AA860" s="574" t="s">
        <v>98</v>
      </c>
      <c r="AB860" s="574" t="s">
        <v>98</v>
      </c>
      <c r="AC860" s="568" t="s">
        <v>8297</v>
      </c>
      <c r="AD860" s="568" t="s">
        <v>6506</v>
      </c>
      <c r="AE860" s="567">
        <v>5236</v>
      </c>
      <c r="AF860" s="567">
        <v>5186</v>
      </c>
      <c r="AG860" s="572">
        <v>15570</v>
      </c>
      <c r="AH860" s="573">
        <v>15394</v>
      </c>
      <c r="AI860" s="573" t="s">
        <v>2047</v>
      </c>
      <c r="AJ860" s="587">
        <v>342</v>
      </c>
      <c r="AK860" s="587" t="s">
        <v>276</v>
      </c>
      <c r="AL860" s="587">
        <v>334</v>
      </c>
      <c r="AM860" s="587">
        <v>350</v>
      </c>
      <c r="AN860" s="587">
        <v>343</v>
      </c>
      <c r="AO860" s="587" t="s">
        <v>276</v>
      </c>
      <c r="AP860" s="587">
        <v>336</v>
      </c>
      <c r="AQ860" s="587">
        <v>351</v>
      </c>
      <c r="AR860" s="567" t="s">
        <v>268</v>
      </c>
      <c r="AS860" s="575" t="s">
        <v>276</v>
      </c>
      <c r="AT860" s="576">
        <f>AJ860/AN860</f>
        <v>0.99708454810495628</v>
      </c>
      <c r="AU860" s="575" t="s">
        <v>276</v>
      </c>
      <c r="AV860" s="575" t="s">
        <v>276</v>
      </c>
      <c r="AW860" s="575" t="s">
        <v>691</v>
      </c>
      <c r="AX860" s="567" t="s">
        <v>282</v>
      </c>
      <c r="AY860" s="575" t="s">
        <v>276</v>
      </c>
      <c r="AZ860" s="575" t="s">
        <v>276</v>
      </c>
      <c r="BA860" s="575" t="s">
        <v>276</v>
      </c>
      <c r="BB860" s="575" t="s">
        <v>276</v>
      </c>
      <c r="BC860" s="568" t="s">
        <v>8301</v>
      </c>
      <c r="BD860" s="568"/>
      <c r="BE860" s="33" t="s">
        <v>100</v>
      </c>
      <c r="BF860" s="33" t="s">
        <v>98</v>
      </c>
    </row>
    <row r="861" spans="1:58" s="103" customFormat="1" ht="39" x14ac:dyDescent="0.3">
      <c r="A861" s="577">
        <v>7915</v>
      </c>
      <c r="B861" s="577" t="s">
        <v>8278</v>
      </c>
      <c r="C861" s="577" t="s">
        <v>55</v>
      </c>
      <c r="D861" s="578" t="s">
        <v>8302</v>
      </c>
      <c r="E861" s="577" t="s">
        <v>36</v>
      </c>
      <c r="F861" s="578" t="s">
        <v>8265</v>
      </c>
      <c r="G861" s="577" t="s">
        <v>225</v>
      </c>
      <c r="H861" s="577" t="s">
        <v>125</v>
      </c>
      <c r="I861" s="577" t="s">
        <v>114</v>
      </c>
      <c r="J861" s="578" t="s">
        <v>23</v>
      </c>
      <c r="K861" s="578" t="s">
        <v>8296</v>
      </c>
      <c r="L861" s="578" t="s">
        <v>276</v>
      </c>
      <c r="M861" s="577" t="s">
        <v>14</v>
      </c>
      <c r="N861" s="579" t="s">
        <v>98</v>
      </c>
      <c r="O861" s="580" t="s">
        <v>207</v>
      </c>
      <c r="P861" s="581" t="s">
        <v>276</v>
      </c>
      <c r="Q861" s="578" t="s">
        <v>1258</v>
      </c>
      <c r="R861" s="578" t="s">
        <v>8291</v>
      </c>
      <c r="S861" s="578" t="s">
        <v>8283</v>
      </c>
      <c r="T861" s="578">
        <v>6</v>
      </c>
      <c r="U861" s="582">
        <v>15587</v>
      </c>
      <c r="V861" s="583">
        <v>15394</v>
      </c>
      <c r="W861" s="577" t="s">
        <v>276</v>
      </c>
      <c r="X861" s="577" t="s">
        <v>276</v>
      </c>
      <c r="Y861" s="584" t="s">
        <v>98</v>
      </c>
      <c r="Z861" s="584" t="s">
        <v>98</v>
      </c>
      <c r="AA861" s="584" t="s">
        <v>98</v>
      </c>
      <c r="AB861" s="584" t="s">
        <v>98</v>
      </c>
      <c r="AC861" s="578" t="s">
        <v>8299</v>
      </c>
      <c r="AD861" s="578" t="s">
        <v>8285</v>
      </c>
      <c r="AE861" s="577">
        <v>5213</v>
      </c>
      <c r="AF861" s="577">
        <v>5186</v>
      </c>
      <c r="AG861" s="582">
        <v>240163</v>
      </c>
      <c r="AH861" s="583">
        <v>237420</v>
      </c>
      <c r="AI861" s="582" t="s">
        <v>425</v>
      </c>
      <c r="AJ861" s="585" t="s">
        <v>276</v>
      </c>
      <c r="AK861" s="586">
        <f t="shared" si="114"/>
        <v>21.706091279672556</v>
      </c>
      <c r="AL861" s="585" t="s">
        <v>276</v>
      </c>
      <c r="AM861" s="585" t="s">
        <v>276</v>
      </c>
      <c r="AN861" s="585" t="s">
        <v>276</v>
      </c>
      <c r="AO861" s="586">
        <f t="shared" si="115"/>
        <v>21.843147165360964</v>
      </c>
      <c r="AP861" s="585" t="s">
        <v>276</v>
      </c>
      <c r="AQ861" s="585" t="s">
        <v>276</v>
      </c>
      <c r="AR861" s="577" t="s">
        <v>269</v>
      </c>
      <c r="AS861" s="585" t="s">
        <v>276</v>
      </c>
      <c r="AT861" s="586">
        <f t="shared" si="116"/>
        <v>0.99372545152716119</v>
      </c>
      <c r="AU861" s="585" t="s">
        <v>276</v>
      </c>
      <c r="AV861" s="585" t="s">
        <v>276</v>
      </c>
      <c r="AW861" s="585" t="s">
        <v>691</v>
      </c>
      <c r="AX861" s="577" t="s">
        <v>282</v>
      </c>
      <c r="AY861" s="585" t="s">
        <v>276</v>
      </c>
      <c r="AZ861" s="585" t="s">
        <v>276</v>
      </c>
      <c r="BA861" s="585" t="s">
        <v>276</v>
      </c>
      <c r="BB861" s="585" t="s">
        <v>276</v>
      </c>
      <c r="BC861" s="578" t="s">
        <v>1358</v>
      </c>
      <c r="BD861" s="578"/>
      <c r="BE861" s="33" t="s">
        <v>100</v>
      </c>
      <c r="BF861" s="33" t="s">
        <v>98</v>
      </c>
    </row>
    <row r="862" spans="1:58" s="103" customFormat="1" ht="52" x14ac:dyDescent="0.3">
      <c r="A862" s="577">
        <v>7915</v>
      </c>
      <c r="B862" s="577" t="s">
        <v>8278</v>
      </c>
      <c r="C862" s="577" t="s">
        <v>55</v>
      </c>
      <c r="D862" s="578" t="s">
        <v>8303</v>
      </c>
      <c r="E862" s="577" t="s">
        <v>36</v>
      </c>
      <c r="F862" s="578" t="s">
        <v>8265</v>
      </c>
      <c r="G862" s="577" t="s">
        <v>225</v>
      </c>
      <c r="H862" s="577" t="s">
        <v>125</v>
      </c>
      <c r="I862" s="577" t="s">
        <v>114</v>
      </c>
      <c r="J862" s="578" t="s">
        <v>23</v>
      </c>
      <c r="K862" s="578" t="s">
        <v>8296</v>
      </c>
      <c r="L862" s="578" t="s">
        <v>276</v>
      </c>
      <c r="M862" s="577" t="s">
        <v>14</v>
      </c>
      <c r="N862" s="579" t="s">
        <v>98</v>
      </c>
      <c r="O862" s="580" t="s">
        <v>207</v>
      </c>
      <c r="P862" s="581" t="s">
        <v>276</v>
      </c>
      <c r="Q862" s="578" t="s">
        <v>1258</v>
      </c>
      <c r="R862" s="578" t="s">
        <v>8291</v>
      </c>
      <c r="S862" s="578" t="s">
        <v>8283</v>
      </c>
      <c r="T862" s="578">
        <v>6</v>
      </c>
      <c r="U862" s="582">
        <v>15587</v>
      </c>
      <c r="V862" s="583">
        <v>15394</v>
      </c>
      <c r="W862" s="577" t="s">
        <v>276</v>
      </c>
      <c r="X862" s="577" t="s">
        <v>276</v>
      </c>
      <c r="Y862" s="584" t="s">
        <v>98</v>
      </c>
      <c r="Z862" s="584" t="s">
        <v>98</v>
      </c>
      <c r="AA862" s="584" t="s">
        <v>98</v>
      </c>
      <c r="AB862" s="584" t="s">
        <v>98</v>
      </c>
      <c r="AC862" s="578" t="s">
        <v>8299</v>
      </c>
      <c r="AD862" s="578" t="s">
        <v>6506</v>
      </c>
      <c r="AE862" s="577">
        <v>5213</v>
      </c>
      <c r="AF862" s="577">
        <v>5186</v>
      </c>
      <c r="AG862" s="582">
        <v>15587</v>
      </c>
      <c r="AH862" s="583">
        <v>15394</v>
      </c>
      <c r="AI862" s="583" t="s">
        <v>2047</v>
      </c>
      <c r="AJ862" s="585" t="s">
        <v>276</v>
      </c>
      <c r="AK862" s="586">
        <f t="shared" si="114"/>
        <v>334.44537114261885</v>
      </c>
      <c r="AL862" s="585" t="s">
        <v>276</v>
      </c>
      <c r="AM862" s="585" t="s">
        <v>276</v>
      </c>
      <c r="AN862" s="585" t="s">
        <v>276</v>
      </c>
      <c r="AO862" s="586">
        <f t="shared" si="115"/>
        <v>336.88450045472263</v>
      </c>
      <c r="AP862" s="585" t="s">
        <v>276</v>
      </c>
      <c r="AQ862" s="585" t="s">
        <v>276</v>
      </c>
      <c r="AR862" s="577" t="s">
        <v>268</v>
      </c>
      <c r="AS862" s="585" t="s">
        <v>276</v>
      </c>
      <c r="AT862" s="586">
        <f t="shared" si="116"/>
        <v>0.99275974611829432</v>
      </c>
      <c r="AU862" s="585" t="s">
        <v>276</v>
      </c>
      <c r="AV862" s="585" t="s">
        <v>276</v>
      </c>
      <c r="AW862" s="585" t="s">
        <v>691</v>
      </c>
      <c r="AX862" s="577" t="s">
        <v>282</v>
      </c>
      <c r="AY862" s="585" t="s">
        <v>276</v>
      </c>
      <c r="AZ862" s="585" t="s">
        <v>276</v>
      </c>
      <c r="BA862" s="585" t="s">
        <v>276</v>
      </c>
      <c r="BB862" s="585" t="s">
        <v>276</v>
      </c>
      <c r="BC862" s="578" t="s">
        <v>1358</v>
      </c>
      <c r="BD862" s="578"/>
      <c r="BE862" s="33" t="s">
        <v>100</v>
      </c>
      <c r="BF862" s="33" t="s">
        <v>98</v>
      </c>
    </row>
    <row r="863" spans="1:58" s="103" customFormat="1" ht="52" x14ac:dyDescent="0.3">
      <c r="A863" s="577">
        <v>7915</v>
      </c>
      <c r="B863" s="577" t="s">
        <v>8278</v>
      </c>
      <c r="C863" s="577" t="s">
        <v>55</v>
      </c>
      <c r="D863" s="578" t="s">
        <v>8304</v>
      </c>
      <c r="E863" s="577" t="s">
        <v>36</v>
      </c>
      <c r="F863" s="578" t="s">
        <v>8265</v>
      </c>
      <c r="G863" s="577" t="s">
        <v>225</v>
      </c>
      <c r="H863" s="577" t="s">
        <v>125</v>
      </c>
      <c r="I863" s="577" t="s">
        <v>114</v>
      </c>
      <c r="J863" s="578" t="s">
        <v>23</v>
      </c>
      <c r="K863" s="578" t="s">
        <v>8296</v>
      </c>
      <c r="L863" s="578" t="s">
        <v>276</v>
      </c>
      <c r="M863" s="577" t="s">
        <v>14</v>
      </c>
      <c r="N863" s="579" t="s">
        <v>98</v>
      </c>
      <c r="O863" s="580" t="s">
        <v>207</v>
      </c>
      <c r="P863" s="581" t="s">
        <v>276</v>
      </c>
      <c r="Q863" s="578" t="s">
        <v>1258</v>
      </c>
      <c r="R863" s="578" t="s">
        <v>8291</v>
      </c>
      <c r="S863" s="578" t="s">
        <v>8283</v>
      </c>
      <c r="T863" s="578">
        <v>6</v>
      </c>
      <c r="U863" s="582">
        <v>15587</v>
      </c>
      <c r="V863" s="583">
        <v>15394</v>
      </c>
      <c r="W863" s="577" t="s">
        <v>276</v>
      </c>
      <c r="X863" s="577" t="s">
        <v>276</v>
      </c>
      <c r="Y863" s="584" t="s">
        <v>98</v>
      </c>
      <c r="Z863" s="584" t="s">
        <v>98</v>
      </c>
      <c r="AA863" s="584" t="s">
        <v>98</v>
      </c>
      <c r="AB863" s="584" t="s">
        <v>98</v>
      </c>
      <c r="AC863" s="578" t="s">
        <v>8299</v>
      </c>
      <c r="AD863" s="578" t="s">
        <v>6506</v>
      </c>
      <c r="AE863" s="577">
        <v>5213</v>
      </c>
      <c r="AF863" s="577">
        <v>5186</v>
      </c>
      <c r="AG863" s="582">
        <v>15587</v>
      </c>
      <c r="AH863" s="583">
        <v>15394</v>
      </c>
      <c r="AI863" s="583" t="s">
        <v>2047</v>
      </c>
      <c r="AJ863" s="588">
        <v>340</v>
      </c>
      <c r="AK863" s="585" t="s">
        <v>276</v>
      </c>
      <c r="AL863" s="588">
        <v>333</v>
      </c>
      <c r="AM863" s="588">
        <v>348</v>
      </c>
      <c r="AN863" s="588">
        <v>343</v>
      </c>
      <c r="AO863" s="585" t="s">
        <v>276</v>
      </c>
      <c r="AP863" s="588">
        <v>336</v>
      </c>
      <c r="AQ863" s="588">
        <v>351</v>
      </c>
      <c r="AR863" s="577" t="s">
        <v>268</v>
      </c>
      <c r="AS863" s="585" t="s">
        <v>276</v>
      </c>
      <c r="AT863" s="586">
        <f>AJ863/AN863</f>
        <v>0.99125364431486884</v>
      </c>
      <c r="AU863" s="585" t="s">
        <v>276</v>
      </c>
      <c r="AV863" s="585" t="s">
        <v>276</v>
      </c>
      <c r="AW863" s="585" t="s">
        <v>691</v>
      </c>
      <c r="AX863" s="577" t="s">
        <v>282</v>
      </c>
      <c r="AY863" s="585" t="s">
        <v>276</v>
      </c>
      <c r="AZ863" s="585" t="s">
        <v>276</v>
      </c>
      <c r="BA863" s="585" t="s">
        <v>276</v>
      </c>
      <c r="BB863" s="585" t="s">
        <v>276</v>
      </c>
      <c r="BC863" s="578" t="s">
        <v>8301</v>
      </c>
      <c r="BD863" s="578"/>
      <c r="BE863" s="33" t="s">
        <v>100</v>
      </c>
      <c r="BF863" s="33" t="s">
        <v>98</v>
      </c>
    </row>
    <row r="864" spans="1:58" s="202" customFormat="1" ht="78" x14ac:dyDescent="0.3">
      <c r="A864" s="589">
        <v>255</v>
      </c>
      <c r="B864" s="589" t="s">
        <v>8305</v>
      </c>
      <c r="C864" s="589" t="s">
        <v>55</v>
      </c>
      <c r="D864" s="590" t="s">
        <v>8306</v>
      </c>
      <c r="E864" s="589" t="s">
        <v>36</v>
      </c>
      <c r="F864" s="590" t="s">
        <v>8252</v>
      </c>
      <c r="G864" s="589" t="s">
        <v>225</v>
      </c>
      <c r="H864" s="589" t="s">
        <v>125</v>
      </c>
      <c r="I864" s="589" t="s">
        <v>114</v>
      </c>
      <c r="J864" s="590" t="s">
        <v>24</v>
      </c>
      <c r="K864" s="590" t="s">
        <v>8307</v>
      </c>
      <c r="L864" s="590" t="s">
        <v>276</v>
      </c>
      <c r="M864" s="589" t="s">
        <v>14</v>
      </c>
      <c r="N864" s="591" t="s">
        <v>98</v>
      </c>
      <c r="O864" s="592" t="s">
        <v>207</v>
      </c>
      <c r="P864" s="593">
        <v>39813</v>
      </c>
      <c r="Q864" s="590" t="s">
        <v>8308</v>
      </c>
      <c r="R864" s="590" t="s">
        <v>8309</v>
      </c>
      <c r="S864" s="590" t="s">
        <v>8310</v>
      </c>
      <c r="T864" s="590">
        <v>11</v>
      </c>
      <c r="U864" s="594">
        <v>15570</v>
      </c>
      <c r="V864" s="595">
        <v>15394</v>
      </c>
      <c r="W864" s="589" t="s">
        <v>276</v>
      </c>
      <c r="X864" s="589" t="s">
        <v>276</v>
      </c>
      <c r="Y864" s="596">
        <v>2E-3</v>
      </c>
      <c r="Z864" s="590" t="s">
        <v>894</v>
      </c>
      <c r="AA864" s="597">
        <v>2E-3</v>
      </c>
      <c r="AB864" s="590" t="s">
        <v>894</v>
      </c>
      <c r="AC864" s="590" t="s">
        <v>8311</v>
      </c>
      <c r="AD864" s="590" t="s">
        <v>3530</v>
      </c>
      <c r="AE864" s="589">
        <v>200</v>
      </c>
      <c r="AF864" s="589">
        <v>295</v>
      </c>
      <c r="AG864" s="594">
        <v>475167</v>
      </c>
      <c r="AH864" s="595">
        <v>469897</v>
      </c>
      <c r="AI864" s="595" t="s">
        <v>425</v>
      </c>
      <c r="AJ864" s="598" t="s">
        <v>276</v>
      </c>
      <c r="AK864" s="599">
        <f t="shared" ref="AK864:AK873" si="117">AE864*1000/AG864</f>
        <v>0.42090465036502955</v>
      </c>
      <c r="AL864" s="598" t="s">
        <v>276</v>
      </c>
      <c r="AM864" s="598" t="s">
        <v>276</v>
      </c>
      <c r="AN864" s="600" t="s">
        <v>276</v>
      </c>
      <c r="AO864" s="599">
        <f t="shared" ref="AO864:AO873" si="118">AF864*1000/AH864</f>
        <v>0.62779715554685389</v>
      </c>
      <c r="AP864" s="598" t="s">
        <v>276</v>
      </c>
      <c r="AQ864" s="598" t="s">
        <v>276</v>
      </c>
      <c r="AR864" s="589" t="s">
        <v>269</v>
      </c>
      <c r="AS864" s="598" t="s">
        <v>276</v>
      </c>
      <c r="AT864" s="599">
        <f t="shared" ref="AT864:AT873" si="119">AK864/AO864</f>
        <v>0.67044688980534339</v>
      </c>
      <c r="AU864" s="598" t="s">
        <v>276</v>
      </c>
      <c r="AV864" s="598" t="s">
        <v>276</v>
      </c>
      <c r="AW864" s="589" t="s">
        <v>276</v>
      </c>
      <c r="AX864" s="589" t="s">
        <v>282</v>
      </c>
      <c r="AY864" s="589" t="s">
        <v>276</v>
      </c>
      <c r="AZ864" s="589" t="s">
        <v>276</v>
      </c>
      <c r="BA864" s="589" t="s">
        <v>276</v>
      </c>
      <c r="BB864" s="589" t="s">
        <v>276</v>
      </c>
      <c r="BC864" s="780" t="s">
        <v>11466</v>
      </c>
      <c r="BD864" s="590"/>
      <c r="BE864" s="33" t="s">
        <v>100</v>
      </c>
      <c r="BF864" s="33" t="s">
        <v>98</v>
      </c>
    </row>
    <row r="865" spans="1:58" s="202" customFormat="1" ht="78" x14ac:dyDescent="0.3">
      <c r="A865" s="589">
        <v>255</v>
      </c>
      <c r="B865" s="589" t="s">
        <v>8305</v>
      </c>
      <c r="C865" s="589" t="s">
        <v>55</v>
      </c>
      <c r="D865" s="590" t="s">
        <v>8312</v>
      </c>
      <c r="E865" s="589" t="s">
        <v>36</v>
      </c>
      <c r="F865" s="590" t="s">
        <v>8252</v>
      </c>
      <c r="G865" s="589" t="s">
        <v>225</v>
      </c>
      <c r="H865" s="589" t="s">
        <v>125</v>
      </c>
      <c r="I865" s="589" t="s">
        <v>114</v>
      </c>
      <c r="J865" s="590" t="s">
        <v>24</v>
      </c>
      <c r="K865" s="590" t="s">
        <v>8307</v>
      </c>
      <c r="L865" s="590" t="s">
        <v>276</v>
      </c>
      <c r="M865" s="589" t="s">
        <v>14</v>
      </c>
      <c r="N865" s="591" t="s">
        <v>98</v>
      </c>
      <c r="O865" s="592" t="s">
        <v>207</v>
      </c>
      <c r="P865" s="593">
        <v>39813</v>
      </c>
      <c r="Q865" s="590" t="s">
        <v>8308</v>
      </c>
      <c r="R865" s="590" t="s">
        <v>8309</v>
      </c>
      <c r="S865" s="590" t="s">
        <v>8310</v>
      </c>
      <c r="T865" s="590">
        <v>11</v>
      </c>
      <c r="U865" s="594">
        <v>15570</v>
      </c>
      <c r="V865" s="595">
        <v>15394</v>
      </c>
      <c r="W865" s="589" t="s">
        <v>276</v>
      </c>
      <c r="X865" s="589" t="s">
        <v>276</v>
      </c>
      <c r="Y865" s="596">
        <v>2E-3</v>
      </c>
      <c r="Z865" s="590" t="s">
        <v>894</v>
      </c>
      <c r="AA865" s="597">
        <v>2E-3</v>
      </c>
      <c r="AB865" s="590" t="s">
        <v>894</v>
      </c>
      <c r="AC865" s="590" t="s">
        <v>8311</v>
      </c>
      <c r="AD865" s="590" t="s">
        <v>6506</v>
      </c>
      <c r="AE865" s="589">
        <v>200</v>
      </c>
      <c r="AF865" s="589">
        <v>295</v>
      </c>
      <c r="AG865" s="594">
        <v>15570</v>
      </c>
      <c r="AH865" s="595">
        <v>15394</v>
      </c>
      <c r="AI865" s="595" t="s">
        <v>2047</v>
      </c>
      <c r="AJ865" s="598" t="s">
        <v>276</v>
      </c>
      <c r="AK865" s="599">
        <f>AE865*1000/AG865</f>
        <v>12.845215157353886</v>
      </c>
      <c r="AL865" s="598" t="s">
        <v>276</v>
      </c>
      <c r="AM865" s="598" t="s">
        <v>276</v>
      </c>
      <c r="AN865" s="600" t="s">
        <v>276</v>
      </c>
      <c r="AO865" s="599">
        <f>AF865*1000/AH865</f>
        <v>19.163310380667792</v>
      </c>
      <c r="AP865" s="598" t="s">
        <v>276</v>
      </c>
      <c r="AQ865" s="598" t="s">
        <v>276</v>
      </c>
      <c r="AR865" s="589" t="s">
        <v>268</v>
      </c>
      <c r="AS865" s="598" t="s">
        <v>276</v>
      </c>
      <c r="AT865" s="599">
        <f>AK865/AO865</f>
        <v>0.67030251570273125</v>
      </c>
      <c r="AU865" s="598" t="s">
        <v>276</v>
      </c>
      <c r="AV865" s="598" t="s">
        <v>276</v>
      </c>
      <c r="AW865" s="589" t="s">
        <v>276</v>
      </c>
      <c r="AX865" s="589" t="s">
        <v>282</v>
      </c>
      <c r="AY865" s="589" t="s">
        <v>276</v>
      </c>
      <c r="AZ865" s="589" t="s">
        <v>276</v>
      </c>
      <c r="BA865" s="598" t="s">
        <v>276</v>
      </c>
      <c r="BB865" s="589" t="s">
        <v>276</v>
      </c>
      <c r="BC865" s="780" t="s">
        <v>11466</v>
      </c>
      <c r="BD865" s="590"/>
      <c r="BE865" s="33" t="s">
        <v>100</v>
      </c>
      <c r="BF865" s="33" t="s">
        <v>98</v>
      </c>
    </row>
    <row r="866" spans="1:58" s="202" customFormat="1" ht="169" x14ac:dyDescent="0.3">
      <c r="A866" s="589">
        <v>255</v>
      </c>
      <c r="B866" s="589" t="s">
        <v>8305</v>
      </c>
      <c r="C866" s="589" t="s">
        <v>55</v>
      </c>
      <c r="D866" s="590" t="s">
        <v>8313</v>
      </c>
      <c r="E866" s="589" t="s">
        <v>36</v>
      </c>
      <c r="F866" s="590" t="s">
        <v>8252</v>
      </c>
      <c r="G866" s="589" t="s">
        <v>225</v>
      </c>
      <c r="H866" s="589" t="s">
        <v>125</v>
      </c>
      <c r="I866" s="589" t="s">
        <v>114</v>
      </c>
      <c r="J866" s="590" t="s">
        <v>24</v>
      </c>
      <c r="K866" s="590" t="s">
        <v>8307</v>
      </c>
      <c r="L866" s="590" t="s">
        <v>276</v>
      </c>
      <c r="M866" s="589" t="s">
        <v>14</v>
      </c>
      <c r="N866" s="591" t="s">
        <v>98</v>
      </c>
      <c r="O866" s="592" t="s">
        <v>207</v>
      </c>
      <c r="P866" s="593">
        <v>39813</v>
      </c>
      <c r="Q866" s="590" t="s">
        <v>8308</v>
      </c>
      <c r="R866" s="590" t="s">
        <v>8309</v>
      </c>
      <c r="S866" s="590" t="s">
        <v>8310</v>
      </c>
      <c r="T866" s="590">
        <v>11</v>
      </c>
      <c r="U866" s="594">
        <v>15570</v>
      </c>
      <c r="V866" s="595">
        <v>15394</v>
      </c>
      <c r="W866" s="589" t="s">
        <v>276</v>
      </c>
      <c r="X866" s="589" t="s">
        <v>276</v>
      </c>
      <c r="Y866" s="596">
        <v>2E-3</v>
      </c>
      <c r="Z866" s="590" t="s">
        <v>894</v>
      </c>
      <c r="AA866" s="597">
        <v>2E-3</v>
      </c>
      <c r="AB866" s="590" t="s">
        <v>894</v>
      </c>
      <c r="AC866" s="590" t="s">
        <v>8311</v>
      </c>
      <c r="AD866" s="590" t="s">
        <v>6506</v>
      </c>
      <c r="AE866" s="589">
        <v>200</v>
      </c>
      <c r="AF866" s="589">
        <v>295</v>
      </c>
      <c r="AG866" s="594">
        <v>15570</v>
      </c>
      <c r="AH866" s="595">
        <v>15394</v>
      </c>
      <c r="AI866" s="595">
        <v>1</v>
      </c>
      <c r="AJ866" s="598">
        <v>0.02</v>
      </c>
      <c r="AK866" s="598" t="s">
        <v>276</v>
      </c>
      <c r="AL866" s="598">
        <v>0.02</v>
      </c>
      <c r="AM866" s="598">
        <v>0.02</v>
      </c>
      <c r="AN866" s="598">
        <v>0.03</v>
      </c>
      <c r="AO866" s="598" t="s">
        <v>276</v>
      </c>
      <c r="AP866" s="598">
        <v>0.03</v>
      </c>
      <c r="AQ866" s="598">
        <v>0.03</v>
      </c>
      <c r="AR866" s="589" t="s">
        <v>268</v>
      </c>
      <c r="AS866" s="598">
        <v>0.68</v>
      </c>
      <c r="AT866" s="599" t="s">
        <v>98</v>
      </c>
      <c r="AU866" s="598">
        <v>0.56000000000000005</v>
      </c>
      <c r="AV866" s="598">
        <v>0.82</v>
      </c>
      <c r="AW866" s="589" t="s">
        <v>276</v>
      </c>
      <c r="AX866" s="589" t="s">
        <v>8314</v>
      </c>
      <c r="AY866" s="589">
        <v>0.65</v>
      </c>
      <c r="AZ866" s="589">
        <v>0.52</v>
      </c>
      <c r="BA866" s="598">
        <v>0.8</v>
      </c>
      <c r="BB866" s="589" t="s">
        <v>276</v>
      </c>
      <c r="BC866" s="780" t="s">
        <v>11465</v>
      </c>
      <c r="BD866" s="590" t="s">
        <v>8315</v>
      </c>
      <c r="BE866" s="33" t="s">
        <v>100</v>
      </c>
      <c r="BF866" s="33" t="s">
        <v>98</v>
      </c>
    </row>
    <row r="867" spans="1:58" s="339" customFormat="1" ht="78" x14ac:dyDescent="0.3">
      <c r="A867" s="601">
        <v>255</v>
      </c>
      <c r="B867" s="601" t="s">
        <v>8305</v>
      </c>
      <c r="C867" s="601" t="s">
        <v>55</v>
      </c>
      <c r="D867" s="602" t="s">
        <v>8316</v>
      </c>
      <c r="E867" s="601" t="s">
        <v>36</v>
      </c>
      <c r="F867" s="602" t="s">
        <v>8265</v>
      </c>
      <c r="G867" s="601" t="s">
        <v>225</v>
      </c>
      <c r="H867" s="601" t="s">
        <v>125</v>
      </c>
      <c r="I867" s="601" t="s">
        <v>114</v>
      </c>
      <c r="J867" s="602" t="s">
        <v>24</v>
      </c>
      <c r="K867" s="602" t="s">
        <v>8307</v>
      </c>
      <c r="L867" s="602" t="s">
        <v>276</v>
      </c>
      <c r="M867" s="601" t="s">
        <v>14</v>
      </c>
      <c r="N867" s="603" t="s">
        <v>98</v>
      </c>
      <c r="O867" s="604" t="s">
        <v>207</v>
      </c>
      <c r="P867" s="605">
        <v>39813</v>
      </c>
      <c r="Q867" s="602" t="s">
        <v>8308</v>
      </c>
      <c r="R867" s="602" t="s">
        <v>8317</v>
      </c>
      <c r="S867" s="602" t="s">
        <v>8310</v>
      </c>
      <c r="T867" s="602">
        <v>6</v>
      </c>
      <c r="U867" s="606">
        <v>15587</v>
      </c>
      <c r="V867" s="607">
        <v>15394</v>
      </c>
      <c r="W867" s="601" t="s">
        <v>276</v>
      </c>
      <c r="X867" s="601" t="s">
        <v>276</v>
      </c>
      <c r="Y867" s="608">
        <v>1E-3</v>
      </c>
      <c r="Z867" s="602" t="s">
        <v>894</v>
      </c>
      <c r="AA867" s="609">
        <v>2E-3</v>
      </c>
      <c r="AB867" s="602" t="s">
        <v>894</v>
      </c>
      <c r="AC867" s="602" t="s">
        <v>8311</v>
      </c>
      <c r="AD867" s="602" t="s">
        <v>3530</v>
      </c>
      <c r="AE867" s="601">
        <v>237</v>
      </c>
      <c r="AF867" s="601">
        <v>295</v>
      </c>
      <c r="AG867" s="606">
        <v>475880</v>
      </c>
      <c r="AH867" s="607">
        <v>469897</v>
      </c>
      <c r="AI867" s="607" t="s">
        <v>425</v>
      </c>
      <c r="AJ867" s="610" t="s">
        <v>276</v>
      </c>
      <c r="AK867" s="611">
        <f t="shared" si="117"/>
        <v>0.49802471211229721</v>
      </c>
      <c r="AL867" s="610" t="s">
        <v>276</v>
      </c>
      <c r="AM867" s="610" t="s">
        <v>276</v>
      </c>
      <c r="AN867" s="612" t="s">
        <v>276</v>
      </c>
      <c r="AO867" s="611">
        <f t="shared" si="118"/>
        <v>0.62779715554685389</v>
      </c>
      <c r="AP867" s="610" t="s">
        <v>276</v>
      </c>
      <c r="AQ867" s="610" t="s">
        <v>276</v>
      </c>
      <c r="AR867" s="601" t="s">
        <v>269</v>
      </c>
      <c r="AS867" s="610" t="s">
        <v>276</v>
      </c>
      <c r="AT867" s="611">
        <f t="shared" si="119"/>
        <v>0.79328921405909192</v>
      </c>
      <c r="AU867" s="610" t="s">
        <v>276</v>
      </c>
      <c r="AV867" s="610" t="s">
        <v>276</v>
      </c>
      <c r="AW867" s="601" t="s">
        <v>276</v>
      </c>
      <c r="AX867" s="601" t="s">
        <v>282</v>
      </c>
      <c r="AY867" s="601" t="s">
        <v>276</v>
      </c>
      <c r="AZ867" s="601" t="s">
        <v>276</v>
      </c>
      <c r="BA867" s="601" t="s">
        <v>276</v>
      </c>
      <c r="BB867" s="601" t="s">
        <v>276</v>
      </c>
      <c r="BC867" s="602" t="s">
        <v>8318</v>
      </c>
      <c r="BD867" s="602"/>
      <c r="BE867" s="33" t="s">
        <v>100</v>
      </c>
      <c r="BF867" s="33" t="s">
        <v>98</v>
      </c>
    </row>
    <row r="868" spans="1:58" s="339" customFormat="1" ht="78" x14ac:dyDescent="0.3">
      <c r="A868" s="601">
        <v>255</v>
      </c>
      <c r="B868" s="601" t="s">
        <v>8305</v>
      </c>
      <c r="C868" s="601" t="s">
        <v>55</v>
      </c>
      <c r="D868" s="602" t="s">
        <v>8319</v>
      </c>
      <c r="E868" s="601" t="s">
        <v>36</v>
      </c>
      <c r="F868" s="602" t="s">
        <v>8265</v>
      </c>
      <c r="G868" s="601" t="s">
        <v>225</v>
      </c>
      <c r="H868" s="601" t="s">
        <v>125</v>
      </c>
      <c r="I868" s="601" t="s">
        <v>114</v>
      </c>
      <c r="J868" s="602" t="s">
        <v>24</v>
      </c>
      <c r="K868" s="602" t="s">
        <v>8307</v>
      </c>
      <c r="L868" s="602" t="s">
        <v>276</v>
      </c>
      <c r="M868" s="601" t="s">
        <v>14</v>
      </c>
      <c r="N868" s="603" t="s">
        <v>98</v>
      </c>
      <c r="O868" s="604" t="s">
        <v>207</v>
      </c>
      <c r="P868" s="605">
        <v>39813</v>
      </c>
      <c r="Q868" s="602" t="s">
        <v>8308</v>
      </c>
      <c r="R868" s="602" t="s">
        <v>8317</v>
      </c>
      <c r="S868" s="602" t="s">
        <v>8310</v>
      </c>
      <c r="T868" s="602">
        <v>6</v>
      </c>
      <c r="U868" s="606">
        <v>15587</v>
      </c>
      <c r="V868" s="607">
        <v>15394</v>
      </c>
      <c r="W868" s="601" t="s">
        <v>276</v>
      </c>
      <c r="X868" s="601" t="s">
        <v>276</v>
      </c>
      <c r="Y868" s="608">
        <v>1E-3</v>
      </c>
      <c r="Z868" s="602" t="s">
        <v>894</v>
      </c>
      <c r="AA868" s="609">
        <v>2E-3</v>
      </c>
      <c r="AB868" s="602" t="s">
        <v>894</v>
      </c>
      <c r="AC868" s="602" t="s">
        <v>8311</v>
      </c>
      <c r="AD868" s="602" t="s">
        <v>6506</v>
      </c>
      <c r="AE868" s="601">
        <v>237</v>
      </c>
      <c r="AF868" s="601">
        <v>295</v>
      </c>
      <c r="AG868" s="606">
        <v>15587</v>
      </c>
      <c r="AH868" s="607">
        <v>15394</v>
      </c>
      <c r="AI868" s="607" t="s">
        <v>2047</v>
      </c>
      <c r="AJ868" s="610" t="s">
        <v>276</v>
      </c>
      <c r="AK868" s="611">
        <f>AE868*1000/AG868</f>
        <v>15.204978507730802</v>
      </c>
      <c r="AL868" s="610" t="s">
        <v>276</v>
      </c>
      <c r="AM868" s="610" t="s">
        <v>276</v>
      </c>
      <c r="AN868" s="612" t="s">
        <v>276</v>
      </c>
      <c r="AO868" s="611">
        <f>AF868*1000/AH868</f>
        <v>19.163310380667792</v>
      </c>
      <c r="AP868" s="610" t="s">
        <v>276</v>
      </c>
      <c r="AQ868" s="610" t="s">
        <v>276</v>
      </c>
      <c r="AR868" s="601" t="s">
        <v>268</v>
      </c>
      <c r="AS868" s="610" t="s">
        <v>276</v>
      </c>
      <c r="AT868" s="611">
        <f>AK868/AO868</f>
        <v>0.79344216660341682</v>
      </c>
      <c r="AU868" s="610" t="s">
        <v>276</v>
      </c>
      <c r="AV868" s="610" t="s">
        <v>276</v>
      </c>
      <c r="AW868" s="601" t="s">
        <v>276</v>
      </c>
      <c r="AX868" s="601" t="s">
        <v>282</v>
      </c>
      <c r="AY868" s="601" t="s">
        <v>276</v>
      </c>
      <c r="AZ868" s="601" t="s">
        <v>276</v>
      </c>
      <c r="BA868" s="610" t="s">
        <v>276</v>
      </c>
      <c r="BB868" s="601" t="s">
        <v>276</v>
      </c>
      <c r="BC868" s="602" t="s">
        <v>8318</v>
      </c>
      <c r="BD868" s="602"/>
      <c r="BE868" s="33" t="s">
        <v>100</v>
      </c>
      <c r="BF868" s="33" t="s">
        <v>98</v>
      </c>
    </row>
    <row r="869" spans="1:58" s="339" customFormat="1" ht="143" x14ac:dyDescent="0.3">
      <c r="A869" s="601">
        <v>255</v>
      </c>
      <c r="B869" s="601" t="s">
        <v>8305</v>
      </c>
      <c r="C869" s="601" t="s">
        <v>55</v>
      </c>
      <c r="D869" s="602" t="s">
        <v>8320</v>
      </c>
      <c r="E869" s="601" t="s">
        <v>36</v>
      </c>
      <c r="F869" s="602" t="s">
        <v>8265</v>
      </c>
      <c r="G869" s="601" t="s">
        <v>225</v>
      </c>
      <c r="H869" s="601" t="s">
        <v>125</v>
      </c>
      <c r="I869" s="601" t="s">
        <v>114</v>
      </c>
      <c r="J869" s="602" t="s">
        <v>24</v>
      </c>
      <c r="K869" s="602" t="s">
        <v>8307</v>
      </c>
      <c r="L869" s="602" t="s">
        <v>276</v>
      </c>
      <c r="M869" s="601" t="s">
        <v>14</v>
      </c>
      <c r="N869" s="603" t="s">
        <v>98</v>
      </c>
      <c r="O869" s="604" t="s">
        <v>207</v>
      </c>
      <c r="P869" s="605">
        <v>39813</v>
      </c>
      <c r="Q869" s="602" t="s">
        <v>8308</v>
      </c>
      <c r="R869" s="602" t="s">
        <v>8317</v>
      </c>
      <c r="S869" s="602" t="s">
        <v>8310</v>
      </c>
      <c r="T869" s="602">
        <v>6</v>
      </c>
      <c r="U869" s="606">
        <v>15587</v>
      </c>
      <c r="V869" s="607">
        <v>15394</v>
      </c>
      <c r="W869" s="601" t="s">
        <v>276</v>
      </c>
      <c r="X869" s="601" t="s">
        <v>276</v>
      </c>
      <c r="Y869" s="608">
        <v>1E-3</v>
      </c>
      <c r="Z869" s="602" t="s">
        <v>894</v>
      </c>
      <c r="AA869" s="609">
        <v>2E-3</v>
      </c>
      <c r="AB869" s="602" t="s">
        <v>894</v>
      </c>
      <c r="AC869" s="602" t="s">
        <v>8311</v>
      </c>
      <c r="AD869" s="602" t="s">
        <v>6506</v>
      </c>
      <c r="AE869" s="601">
        <v>237</v>
      </c>
      <c r="AF869" s="601">
        <v>295</v>
      </c>
      <c r="AG869" s="606">
        <v>15587</v>
      </c>
      <c r="AH869" s="607">
        <v>15394</v>
      </c>
      <c r="AI869" s="607">
        <v>1</v>
      </c>
      <c r="AJ869" s="610">
        <v>0.02</v>
      </c>
      <c r="AK869" s="610" t="s">
        <v>276</v>
      </c>
      <c r="AL869" s="610">
        <v>0.02</v>
      </c>
      <c r="AM869" s="610">
        <v>0.03</v>
      </c>
      <c r="AN869" s="610">
        <v>0.03</v>
      </c>
      <c r="AO869" s="610" t="s">
        <v>276</v>
      </c>
      <c r="AP869" s="610">
        <v>0.03</v>
      </c>
      <c r="AQ869" s="610">
        <v>0.03</v>
      </c>
      <c r="AR869" s="601" t="s">
        <v>268</v>
      </c>
      <c r="AS869" s="610">
        <v>0.78</v>
      </c>
      <c r="AT869" s="611" t="s">
        <v>98</v>
      </c>
      <c r="AU869" s="610">
        <v>0.65</v>
      </c>
      <c r="AV869" s="610">
        <v>0.93</v>
      </c>
      <c r="AW869" s="601" t="s">
        <v>276</v>
      </c>
      <c r="AX869" s="601" t="s">
        <v>8314</v>
      </c>
      <c r="AY869" s="601">
        <v>0.76</v>
      </c>
      <c r="AZ869" s="601">
        <v>0.61</v>
      </c>
      <c r="BA869" s="610">
        <v>0.95</v>
      </c>
      <c r="BB869" s="601" t="s">
        <v>276</v>
      </c>
      <c r="BC869" s="602" t="s">
        <v>8321</v>
      </c>
      <c r="BD869" s="602" t="s">
        <v>8315</v>
      </c>
      <c r="BE869" s="33" t="s">
        <v>100</v>
      </c>
      <c r="BF869" s="33" t="s">
        <v>98</v>
      </c>
    </row>
    <row r="870" spans="1:58" s="202" customFormat="1" ht="52" x14ac:dyDescent="0.3">
      <c r="A870" s="589">
        <v>255</v>
      </c>
      <c r="B870" s="589" t="s">
        <v>8305</v>
      </c>
      <c r="C870" s="589" t="s">
        <v>55</v>
      </c>
      <c r="D870" s="590" t="s">
        <v>8322</v>
      </c>
      <c r="E870" s="589" t="s">
        <v>36</v>
      </c>
      <c r="F870" s="590" t="s">
        <v>8252</v>
      </c>
      <c r="G870" s="589" t="s">
        <v>225</v>
      </c>
      <c r="H870" s="589" t="s">
        <v>125</v>
      </c>
      <c r="I870" s="589" t="s">
        <v>114</v>
      </c>
      <c r="J870" s="590" t="s">
        <v>23</v>
      </c>
      <c r="K870" s="590" t="s">
        <v>8323</v>
      </c>
      <c r="L870" s="590" t="s">
        <v>276</v>
      </c>
      <c r="M870" s="589" t="s">
        <v>14</v>
      </c>
      <c r="N870" s="591" t="s">
        <v>98</v>
      </c>
      <c r="O870" s="592" t="s">
        <v>207</v>
      </c>
      <c r="P870" s="593">
        <v>39813</v>
      </c>
      <c r="Q870" s="590" t="s">
        <v>8308</v>
      </c>
      <c r="R870" s="590" t="s">
        <v>8309</v>
      </c>
      <c r="S870" s="590" t="s">
        <v>8310</v>
      </c>
      <c r="T870" s="590">
        <v>11</v>
      </c>
      <c r="U870" s="594">
        <v>15570</v>
      </c>
      <c r="V870" s="595">
        <v>15394</v>
      </c>
      <c r="W870" s="589" t="s">
        <v>276</v>
      </c>
      <c r="X870" s="589" t="s">
        <v>276</v>
      </c>
      <c r="Y870" s="596" t="s">
        <v>98</v>
      </c>
      <c r="Z870" s="596" t="s">
        <v>98</v>
      </c>
      <c r="AA870" s="596" t="s">
        <v>98</v>
      </c>
      <c r="AB870" s="596" t="s">
        <v>98</v>
      </c>
      <c r="AC870" s="590" t="s">
        <v>3361</v>
      </c>
      <c r="AD870" s="590" t="s">
        <v>3530</v>
      </c>
      <c r="AE870" s="594">
        <v>11072</v>
      </c>
      <c r="AF870" s="594">
        <v>10944</v>
      </c>
      <c r="AG870" s="594">
        <v>475167</v>
      </c>
      <c r="AH870" s="595">
        <v>469897</v>
      </c>
      <c r="AI870" s="595" t="s">
        <v>425</v>
      </c>
      <c r="AJ870" s="598" t="s">
        <v>276</v>
      </c>
      <c r="AK870" s="599">
        <f t="shared" si="117"/>
        <v>23.301281444208037</v>
      </c>
      <c r="AL870" s="598" t="s">
        <v>276</v>
      </c>
      <c r="AM870" s="598" t="s">
        <v>276</v>
      </c>
      <c r="AN870" s="600" t="s">
        <v>276</v>
      </c>
      <c r="AO870" s="599">
        <f t="shared" si="118"/>
        <v>23.290210407812776</v>
      </c>
      <c r="AP870" s="598" t="s">
        <v>276</v>
      </c>
      <c r="AQ870" s="598" t="s">
        <v>276</v>
      </c>
      <c r="AR870" s="589" t="s">
        <v>269</v>
      </c>
      <c r="AS870" s="598" t="s">
        <v>276</v>
      </c>
      <c r="AT870" s="599">
        <f t="shared" si="119"/>
        <v>1.0004753514975351</v>
      </c>
      <c r="AU870" s="598" t="s">
        <v>276</v>
      </c>
      <c r="AV870" s="598" t="s">
        <v>276</v>
      </c>
      <c r="AW870" s="589" t="s">
        <v>276</v>
      </c>
      <c r="AX870" s="589" t="s">
        <v>282</v>
      </c>
      <c r="AY870" s="589" t="s">
        <v>276</v>
      </c>
      <c r="AZ870" s="589" t="s">
        <v>276</v>
      </c>
      <c r="BA870" s="589" t="s">
        <v>276</v>
      </c>
      <c r="BB870" s="589" t="s">
        <v>276</v>
      </c>
      <c r="BC870" s="590" t="s">
        <v>1358</v>
      </c>
      <c r="BD870" s="590"/>
      <c r="BE870" s="33" t="s">
        <v>100</v>
      </c>
      <c r="BF870" s="33" t="s">
        <v>98</v>
      </c>
    </row>
    <row r="871" spans="1:58" s="202" customFormat="1" ht="52" x14ac:dyDescent="0.3">
      <c r="A871" s="589">
        <v>255</v>
      </c>
      <c r="B871" s="589" t="s">
        <v>8305</v>
      </c>
      <c r="C871" s="589" t="s">
        <v>55</v>
      </c>
      <c r="D871" s="590" t="s">
        <v>8324</v>
      </c>
      <c r="E871" s="589" t="s">
        <v>36</v>
      </c>
      <c r="F871" s="590" t="s">
        <v>8252</v>
      </c>
      <c r="G871" s="589" t="s">
        <v>225</v>
      </c>
      <c r="H871" s="589" t="s">
        <v>125</v>
      </c>
      <c r="I871" s="589" t="s">
        <v>114</v>
      </c>
      <c r="J871" s="590" t="s">
        <v>23</v>
      </c>
      <c r="K871" s="590" t="s">
        <v>8323</v>
      </c>
      <c r="L871" s="590" t="s">
        <v>276</v>
      </c>
      <c r="M871" s="589" t="s">
        <v>14</v>
      </c>
      <c r="N871" s="591" t="s">
        <v>98</v>
      </c>
      <c r="O871" s="592" t="s">
        <v>207</v>
      </c>
      <c r="P871" s="593">
        <v>39813</v>
      </c>
      <c r="Q871" s="590" t="s">
        <v>8308</v>
      </c>
      <c r="R871" s="590" t="s">
        <v>8309</v>
      </c>
      <c r="S871" s="590" t="s">
        <v>8310</v>
      </c>
      <c r="T871" s="590">
        <v>11</v>
      </c>
      <c r="U871" s="594">
        <v>15570</v>
      </c>
      <c r="V871" s="595">
        <v>15394</v>
      </c>
      <c r="W871" s="589" t="s">
        <v>276</v>
      </c>
      <c r="X871" s="589" t="s">
        <v>276</v>
      </c>
      <c r="Y871" s="596" t="s">
        <v>98</v>
      </c>
      <c r="Z871" s="596" t="s">
        <v>98</v>
      </c>
      <c r="AA871" s="596" t="s">
        <v>98</v>
      </c>
      <c r="AB871" s="596" t="s">
        <v>98</v>
      </c>
      <c r="AC871" s="590" t="s">
        <v>3361</v>
      </c>
      <c r="AD871" s="590" t="s">
        <v>6506</v>
      </c>
      <c r="AE871" s="594">
        <v>11072</v>
      </c>
      <c r="AF871" s="594">
        <v>10944</v>
      </c>
      <c r="AG871" s="594">
        <v>15570</v>
      </c>
      <c r="AH871" s="595">
        <v>15394</v>
      </c>
      <c r="AI871" s="595" t="s">
        <v>2047</v>
      </c>
      <c r="AJ871" s="598" t="s">
        <v>276</v>
      </c>
      <c r="AK871" s="599">
        <f>AE871*1000/AG871</f>
        <v>711.11111111111109</v>
      </c>
      <c r="AL871" s="598" t="s">
        <v>276</v>
      </c>
      <c r="AM871" s="598" t="s">
        <v>276</v>
      </c>
      <c r="AN871" s="600" t="s">
        <v>276</v>
      </c>
      <c r="AO871" s="599">
        <f>AF871*1000/AH871</f>
        <v>710.92633493568928</v>
      </c>
      <c r="AP871" s="598" t="s">
        <v>276</v>
      </c>
      <c r="AQ871" s="598" t="s">
        <v>276</v>
      </c>
      <c r="AR871" s="589" t="s">
        <v>268</v>
      </c>
      <c r="AS871" s="598" t="s">
        <v>276</v>
      </c>
      <c r="AT871" s="599">
        <f>AK871/AO871</f>
        <v>1.0002599090318387</v>
      </c>
      <c r="AU871" s="598" t="s">
        <v>276</v>
      </c>
      <c r="AV871" s="598" t="s">
        <v>276</v>
      </c>
      <c r="AW871" s="589" t="s">
        <v>276</v>
      </c>
      <c r="AX871" s="589" t="s">
        <v>282</v>
      </c>
      <c r="AY871" s="589" t="s">
        <v>276</v>
      </c>
      <c r="AZ871" s="589" t="s">
        <v>276</v>
      </c>
      <c r="BA871" s="589" t="s">
        <v>276</v>
      </c>
      <c r="BB871" s="589" t="s">
        <v>276</v>
      </c>
      <c r="BC871" s="590" t="s">
        <v>1358</v>
      </c>
      <c r="BD871" s="590"/>
      <c r="BE871" s="33" t="s">
        <v>100</v>
      </c>
      <c r="BF871" s="33" t="s">
        <v>98</v>
      </c>
    </row>
    <row r="872" spans="1:58" s="202" customFormat="1" ht="52" x14ac:dyDescent="0.3">
      <c r="A872" s="589">
        <v>255</v>
      </c>
      <c r="B872" s="589" t="s">
        <v>8305</v>
      </c>
      <c r="C872" s="589" t="s">
        <v>55</v>
      </c>
      <c r="D872" s="590" t="s">
        <v>8325</v>
      </c>
      <c r="E872" s="589" t="s">
        <v>36</v>
      </c>
      <c r="F872" s="590" t="s">
        <v>8252</v>
      </c>
      <c r="G872" s="589" t="s">
        <v>225</v>
      </c>
      <c r="H872" s="589" t="s">
        <v>125</v>
      </c>
      <c r="I872" s="589" t="s">
        <v>114</v>
      </c>
      <c r="J872" s="590" t="s">
        <v>23</v>
      </c>
      <c r="K872" s="590" t="s">
        <v>8323</v>
      </c>
      <c r="L872" s="590" t="s">
        <v>276</v>
      </c>
      <c r="M872" s="589" t="s">
        <v>14</v>
      </c>
      <c r="N872" s="591" t="s">
        <v>98</v>
      </c>
      <c r="O872" s="592" t="s">
        <v>207</v>
      </c>
      <c r="P872" s="593">
        <v>39813</v>
      </c>
      <c r="Q872" s="590" t="s">
        <v>8308</v>
      </c>
      <c r="R872" s="590" t="s">
        <v>8309</v>
      </c>
      <c r="S872" s="590" t="s">
        <v>8310</v>
      </c>
      <c r="T872" s="590">
        <v>11</v>
      </c>
      <c r="U872" s="594">
        <v>15570</v>
      </c>
      <c r="V872" s="595">
        <v>15394</v>
      </c>
      <c r="W872" s="589" t="s">
        <v>276</v>
      </c>
      <c r="X872" s="589" t="s">
        <v>276</v>
      </c>
      <c r="Y872" s="596" t="s">
        <v>98</v>
      </c>
      <c r="Z872" s="596" t="s">
        <v>98</v>
      </c>
      <c r="AA872" s="596" t="s">
        <v>98</v>
      </c>
      <c r="AB872" s="596" t="s">
        <v>98</v>
      </c>
      <c r="AC872" s="590" t="s">
        <v>3361</v>
      </c>
      <c r="AD872" s="590" t="s">
        <v>6506</v>
      </c>
      <c r="AE872" s="594">
        <v>11072</v>
      </c>
      <c r="AF872" s="594">
        <v>10944</v>
      </c>
      <c r="AG872" s="594">
        <v>15570</v>
      </c>
      <c r="AH872" s="595">
        <v>15394</v>
      </c>
      <c r="AI872" s="595">
        <v>1</v>
      </c>
      <c r="AJ872" s="598">
        <v>0.71</v>
      </c>
      <c r="AK872" s="599" t="s">
        <v>276</v>
      </c>
      <c r="AL872" s="598">
        <v>0.7</v>
      </c>
      <c r="AM872" s="598">
        <v>0.72</v>
      </c>
      <c r="AN872" s="598">
        <v>0.71</v>
      </c>
      <c r="AO872" s="598" t="s">
        <v>276</v>
      </c>
      <c r="AP872" s="598">
        <v>0.7</v>
      </c>
      <c r="AQ872" s="598">
        <v>0.72</v>
      </c>
      <c r="AR872" s="589" t="s">
        <v>268</v>
      </c>
      <c r="AS872" s="598">
        <v>1</v>
      </c>
      <c r="AT872" s="599">
        <f>AJ872/AN872</f>
        <v>1</v>
      </c>
      <c r="AU872" s="598">
        <v>0.99</v>
      </c>
      <c r="AV872" s="598">
        <v>1.01</v>
      </c>
      <c r="AW872" s="589" t="s">
        <v>276</v>
      </c>
      <c r="AX872" s="589" t="s">
        <v>282</v>
      </c>
      <c r="AY872" s="589" t="s">
        <v>276</v>
      </c>
      <c r="AZ872" s="589" t="s">
        <v>276</v>
      </c>
      <c r="BA872" s="589" t="s">
        <v>276</v>
      </c>
      <c r="BB872" s="589" t="s">
        <v>276</v>
      </c>
      <c r="BC872" s="590" t="s">
        <v>8326</v>
      </c>
      <c r="BD872" s="590"/>
      <c r="BE872" s="33" t="s">
        <v>100</v>
      </c>
      <c r="BF872" s="33" t="s">
        <v>98</v>
      </c>
    </row>
    <row r="873" spans="1:58" s="339" customFormat="1" ht="52" x14ac:dyDescent="0.3">
      <c r="A873" s="601">
        <v>255</v>
      </c>
      <c r="B873" s="601" t="s">
        <v>8305</v>
      </c>
      <c r="C873" s="601" t="s">
        <v>55</v>
      </c>
      <c r="D873" s="602" t="s">
        <v>8327</v>
      </c>
      <c r="E873" s="601" t="s">
        <v>36</v>
      </c>
      <c r="F873" s="602" t="s">
        <v>8265</v>
      </c>
      <c r="G873" s="601" t="s">
        <v>225</v>
      </c>
      <c r="H873" s="601" t="s">
        <v>125</v>
      </c>
      <c r="I873" s="601" t="s">
        <v>114</v>
      </c>
      <c r="J873" s="602" t="s">
        <v>23</v>
      </c>
      <c r="K873" s="602" t="s">
        <v>8323</v>
      </c>
      <c r="L873" s="602" t="s">
        <v>276</v>
      </c>
      <c r="M873" s="601" t="s">
        <v>14</v>
      </c>
      <c r="N873" s="603" t="s">
        <v>98</v>
      </c>
      <c r="O873" s="604" t="s">
        <v>207</v>
      </c>
      <c r="P873" s="605">
        <v>39813</v>
      </c>
      <c r="Q873" s="602" t="s">
        <v>8308</v>
      </c>
      <c r="R873" s="602" t="s">
        <v>8317</v>
      </c>
      <c r="S873" s="602" t="s">
        <v>8310</v>
      </c>
      <c r="T873" s="602">
        <v>6</v>
      </c>
      <c r="U873" s="606">
        <v>15587</v>
      </c>
      <c r="V873" s="607">
        <v>15394</v>
      </c>
      <c r="W873" s="601" t="s">
        <v>276</v>
      </c>
      <c r="X873" s="601" t="s">
        <v>276</v>
      </c>
      <c r="Y873" s="608" t="s">
        <v>98</v>
      </c>
      <c r="Z873" s="608" t="s">
        <v>98</v>
      </c>
      <c r="AA873" s="608" t="s">
        <v>98</v>
      </c>
      <c r="AB873" s="608" t="s">
        <v>98</v>
      </c>
      <c r="AC873" s="602" t="s">
        <v>3361</v>
      </c>
      <c r="AD873" s="602" t="s">
        <v>3530</v>
      </c>
      <c r="AE873" s="606">
        <v>11004</v>
      </c>
      <c r="AF873" s="606">
        <v>10944</v>
      </c>
      <c r="AG873" s="606">
        <v>475880</v>
      </c>
      <c r="AH873" s="607">
        <v>469897</v>
      </c>
      <c r="AI873" s="607" t="s">
        <v>425</v>
      </c>
      <c r="AJ873" s="610" t="s">
        <v>276</v>
      </c>
      <c r="AK873" s="611">
        <f t="shared" si="117"/>
        <v>23.123476506682358</v>
      </c>
      <c r="AL873" s="610" t="s">
        <v>276</v>
      </c>
      <c r="AM873" s="610" t="s">
        <v>276</v>
      </c>
      <c r="AN873" s="612" t="s">
        <v>276</v>
      </c>
      <c r="AO873" s="611">
        <f t="shared" si="118"/>
        <v>23.290210407812776</v>
      </c>
      <c r="AP873" s="610" t="s">
        <v>276</v>
      </c>
      <c r="AQ873" s="610" t="s">
        <v>276</v>
      </c>
      <c r="AR873" s="601" t="s">
        <v>269</v>
      </c>
      <c r="AS873" s="610" t="s">
        <v>276</v>
      </c>
      <c r="AT873" s="611">
        <f t="shared" si="119"/>
        <v>0.99284103070728436</v>
      </c>
      <c r="AU873" s="610" t="s">
        <v>276</v>
      </c>
      <c r="AV873" s="610" t="s">
        <v>276</v>
      </c>
      <c r="AW873" s="601" t="s">
        <v>276</v>
      </c>
      <c r="AX873" s="601" t="s">
        <v>282</v>
      </c>
      <c r="AY873" s="601" t="s">
        <v>276</v>
      </c>
      <c r="AZ873" s="601" t="s">
        <v>276</v>
      </c>
      <c r="BA873" s="601" t="s">
        <v>276</v>
      </c>
      <c r="BB873" s="601" t="s">
        <v>276</v>
      </c>
      <c r="BC873" s="602" t="s">
        <v>1358</v>
      </c>
      <c r="BD873" s="602"/>
      <c r="BE873" s="33" t="s">
        <v>100</v>
      </c>
      <c r="BF873" s="33" t="s">
        <v>98</v>
      </c>
    </row>
    <row r="874" spans="1:58" s="339" customFormat="1" ht="52" x14ac:dyDescent="0.3">
      <c r="A874" s="601">
        <v>255</v>
      </c>
      <c r="B874" s="601" t="s">
        <v>8305</v>
      </c>
      <c r="C874" s="601" t="s">
        <v>55</v>
      </c>
      <c r="D874" s="602" t="s">
        <v>8328</v>
      </c>
      <c r="E874" s="601" t="s">
        <v>36</v>
      </c>
      <c r="F874" s="602" t="s">
        <v>8265</v>
      </c>
      <c r="G874" s="601" t="s">
        <v>225</v>
      </c>
      <c r="H874" s="601" t="s">
        <v>125</v>
      </c>
      <c r="I874" s="601" t="s">
        <v>114</v>
      </c>
      <c r="J874" s="602" t="s">
        <v>23</v>
      </c>
      <c r="K874" s="602" t="s">
        <v>8323</v>
      </c>
      <c r="L874" s="602" t="s">
        <v>276</v>
      </c>
      <c r="M874" s="601" t="s">
        <v>14</v>
      </c>
      <c r="N874" s="603" t="s">
        <v>98</v>
      </c>
      <c r="O874" s="604" t="s">
        <v>207</v>
      </c>
      <c r="P874" s="605">
        <v>39813</v>
      </c>
      <c r="Q874" s="602" t="s">
        <v>8308</v>
      </c>
      <c r="R874" s="602" t="s">
        <v>8317</v>
      </c>
      <c r="S874" s="602" t="s">
        <v>8310</v>
      </c>
      <c r="T874" s="602">
        <v>6</v>
      </c>
      <c r="U874" s="606">
        <v>15587</v>
      </c>
      <c r="V874" s="607">
        <v>15394</v>
      </c>
      <c r="W874" s="601" t="s">
        <v>276</v>
      </c>
      <c r="X874" s="601" t="s">
        <v>276</v>
      </c>
      <c r="Y874" s="608" t="s">
        <v>98</v>
      </c>
      <c r="Z874" s="608" t="s">
        <v>98</v>
      </c>
      <c r="AA874" s="608" t="s">
        <v>98</v>
      </c>
      <c r="AB874" s="608" t="s">
        <v>98</v>
      </c>
      <c r="AC874" s="602" t="s">
        <v>3361</v>
      </c>
      <c r="AD874" s="602" t="s">
        <v>6506</v>
      </c>
      <c r="AE874" s="606">
        <v>11004</v>
      </c>
      <c r="AF874" s="606">
        <v>10944</v>
      </c>
      <c r="AG874" s="606">
        <v>15587</v>
      </c>
      <c r="AH874" s="607">
        <v>15394</v>
      </c>
      <c r="AI874" s="607" t="s">
        <v>2047</v>
      </c>
      <c r="AJ874" s="610" t="s">
        <v>276</v>
      </c>
      <c r="AK874" s="611">
        <f>AE874*1000/AG874</f>
        <v>705.97292615641243</v>
      </c>
      <c r="AL874" s="610" t="s">
        <v>276</v>
      </c>
      <c r="AM874" s="610" t="s">
        <v>276</v>
      </c>
      <c r="AN874" s="612" t="s">
        <v>276</v>
      </c>
      <c r="AO874" s="611">
        <f>AF874*1000/AH874</f>
        <v>710.92633493568928</v>
      </c>
      <c r="AP874" s="610" t="s">
        <v>276</v>
      </c>
      <c r="AQ874" s="610" t="s">
        <v>276</v>
      </c>
      <c r="AR874" s="601" t="s">
        <v>268</v>
      </c>
      <c r="AS874" s="610" t="s">
        <v>276</v>
      </c>
      <c r="AT874" s="611">
        <f>AK874/AO874</f>
        <v>0.9930324584477167</v>
      </c>
      <c r="AU874" s="610" t="s">
        <v>276</v>
      </c>
      <c r="AV874" s="610" t="s">
        <v>276</v>
      </c>
      <c r="AW874" s="601" t="s">
        <v>276</v>
      </c>
      <c r="AX874" s="601" t="s">
        <v>282</v>
      </c>
      <c r="AY874" s="601" t="s">
        <v>276</v>
      </c>
      <c r="AZ874" s="601" t="s">
        <v>276</v>
      </c>
      <c r="BA874" s="601" t="s">
        <v>276</v>
      </c>
      <c r="BB874" s="601" t="s">
        <v>276</v>
      </c>
      <c r="BC874" s="602" t="s">
        <v>1358</v>
      </c>
      <c r="BD874" s="602"/>
      <c r="BE874" s="33" t="s">
        <v>100</v>
      </c>
      <c r="BF874" s="33" t="s">
        <v>98</v>
      </c>
    </row>
    <row r="875" spans="1:58" s="339" customFormat="1" ht="52" x14ac:dyDescent="0.3">
      <c r="A875" s="601">
        <v>255</v>
      </c>
      <c r="B875" s="601" t="s">
        <v>8305</v>
      </c>
      <c r="C875" s="601" t="s">
        <v>55</v>
      </c>
      <c r="D875" s="602" t="s">
        <v>8329</v>
      </c>
      <c r="E875" s="601" t="s">
        <v>36</v>
      </c>
      <c r="F875" s="602" t="s">
        <v>8265</v>
      </c>
      <c r="G875" s="601" t="s">
        <v>225</v>
      </c>
      <c r="H875" s="601" t="s">
        <v>125</v>
      </c>
      <c r="I875" s="601" t="s">
        <v>114</v>
      </c>
      <c r="J875" s="602" t="s">
        <v>23</v>
      </c>
      <c r="K875" s="602" t="s">
        <v>8323</v>
      </c>
      <c r="L875" s="602" t="s">
        <v>276</v>
      </c>
      <c r="M875" s="601" t="s">
        <v>14</v>
      </c>
      <c r="N875" s="603" t="s">
        <v>98</v>
      </c>
      <c r="O875" s="604" t="s">
        <v>207</v>
      </c>
      <c r="P875" s="605">
        <v>39813</v>
      </c>
      <c r="Q875" s="602" t="s">
        <v>8308</v>
      </c>
      <c r="R875" s="602" t="s">
        <v>8317</v>
      </c>
      <c r="S875" s="602" t="s">
        <v>8310</v>
      </c>
      <c r="T875" s="602">
        <v>6</v>
      </c>
      <c r="U875" s="606">
        <v>15587</v>
      </c>
      <c r="V875" s="607">
        <v>15394</v>
      </c>
      <c r="W875" s="601" t="s">
        <v>276</v>
      </c>
      <c r="X875" s="601" t="s">
        <v>276</v>
      </c>
      <c r="Y875" s="608" t="s">
        <v>98</v>
      </c>
      <c r="Z875" s="608" t="s">
        <v>98</v>
      </c>
      <c r="AA875" s="608" t="s">
        <v>98</v>
      </c>
      <c r="AB875" s="608" t="s">
        <v>98</v>
      </c>
      <c r="AC875" s="602" t="s">
        <v>3361</v>
      </c>
      <c r="AD875" s="602" t="s">
        <v>6506</v>
      </c>
      <c r="AE875" s="606">
        <v>11004</v>
      </c>
      <c r="AF875" s="606">
        <v>10944</v>
      </c>
      <c r="AG875" s="606">
        <v>15587</v>
      </c>
      <c r="AH875" s="607">
        <v>15394</v>
      </c>
      <c r="AI875" s="607">
        <v>1</v>
      </c>
      <c r="AJ875" s="610">
        <v>0.71</v>
      </c>
      <c r="AK875" s="610" t="s">
        <v>276</v>
      </c>
      <c r="AL875" s="610">
        <v>0.7</v>
      </c>
      <c r="AM875" s="610">
        <v>0.71</v>
      </c>
      <c r="AN875" s="610">
        <v>0.71</v>
      </c>
      <c r="AO875" s="610" t="s">
        <v>276</v>
      </c>
      <c r="AP875" s="610">
        <v>0.7</v>
      </c>
      <c r="AQ875" s="610">
        <v>0.72</v>
      </c>
      <c r="AR875" s="601" t="s">
        <v>268</v>
      </c>
      <c r="AS875" s="610">
        <v>0.99</v>
      </c>
      <c r="AT875" s="611">
        <f>AJ875/AN875</f>
        <v>1</v>
      </c>
      <c r="AU875" s="610">
        <v>0.98</v>
      </c>
      <c r="AV875" s="610">
        <v>1.01</v>
      </c>
      <c r="AW875" s="601" t="s">
        <v>276</v>
      </c>
      <c r="AX875" s="601" t="s">
        <v>282</v>
      </c>
      <c r="AY875" s="601" t="s">
        <v>276</v>
      </c>
      <c r="AZ875" s="601" t="s">
        <v>276</v>
      </c>
      <c r="BA875" s="601" t="s">
        <v>276</v>
      </c>
      <c r="BB875" s="601" t="s">
        <v>276</v>
      </c>
      <c r="BC875" s="602" t="s">
        <v>8330</v>
      </c>
      <c r="BD875" s="602"/>
      <c r="BE875" s="33" t="s">
        <v>100</v>
      </c>
      <c r="BF875" s="33" t="s">
        <v>98</v>
      </c>
    </row>
    <row r="876" spans="1:58" s="7" customFormat="1" ht="117" x14ac:dyDescent="0.3">
      <c r="A876" s="8">
        <v>398</v>
      </c>
      <c r="B876" s="8" t="s">
        <v>8373</v>
      </c>
      <c r="C876" s="8" t="s">
        <v>83</v>
      </c>
      <c r="D876" s="9" t="s">
        <v>8374</v>
      </c>
      <c r="E876" s="8" t="s">
        <v>39</v>
      </c>
      <c r="F876" s="8" t="s">
        <v>143</v>
      </c>
      <c r="G876" s="8" t="s">
        <v>262</v>
      </c>
      <c r="H876" s="8" t="s">
        <v>225</v>
      </c>
      <c r="I876" s="8" t="s">
        <v>98</v>
      </c>
      <c r="J876" s="9" t="s">
        <v>24</v>
      </c>
      <c r="K876" s="9" t="s">
        <v>8375</v>
      </c>
      <c r="L876" s="346" t="s">
        <v>11129</v>
      </c>
      <c r="M876" s="8" t="s">
        <v>14</v>
      </c>
      <c r="N876" s="11" t="s">
        <v>98</v>
      </c>
      <c r="O876" s="12" t="s">
        <v>208</v>
      </c>
      <c r="P876" s="41">
        <v>39828</v>
      </c>
      <c r="Q876" s="9" t="s">
        <v>276</v>
      </c>
      <c r="R876" s="9" t="s">
        <v>8376</v>
      </c>
      <c r="S876" s="9" t="s">
        <v>8376</v>
      </c>
      <c r="T876" s="9">
        <v>3</v>
      </c>
      <c r="U876" s="34">
        <v>26722</v>
      </c>
      <c r="V876" s="13">
        <v>26732</v>
      </c>
      <c r="W876" s="8" t="s">
        <v>276</v>
      </c>
      <c r="X876" s="8" t="s">
        <v>276</v>
      </c>
      <c r="Y876" s="8">
        <v>12</v>
      </c>
      <c r="Z876" s="9" t="s">
        <v>894</v>
      </c>
      <c r="AA876" s="8">
        <v>7</v>
      </c>
      <c r="AB876" s="9" t="s">
        <v>894</v>
      </c>
      <c r="AC876" s="9" t="s">
        <v>8377</v>
      </c>
      <c r="AD876" s="9" t="s">
        <v>8378</v>
      </c>
      <c r="AE876" s="8">
        <v>356</v>
      </c>
      <c r="AF876" s="8">
        <v>443</v>
      </c>
      <c r="AG876" s="13">
        <v>144103</v>
      </c>
      <c r="AH876" s="13">
        <v>143368</v>
      </c>
      <c r="AI876" s="38" t="s">
        <v>1019</v>
      </c>
      <c r="AJ876" s="49">
        <v>247</v>
      </c>
      <c r="AK876" s="31">
        <f>AE876*100000/AG876</f>
        <v>247.04551605448881</v>
      </c>
      <c r="AL876" s="14" t="s">
        <v>276</v>
      </c>
      <c r="AM876" s="14" t="s">
        <v>276</v>
      </c>
      <c r="AN876" s="49">
        <v>309</v>
      </c>
      <c r="AO876" s="31">
        <f>AF876*100000/AH876</f>
        <v>308.99503375927685</v>
      </c>
      <c r="AP876" s="14" t="s">
        <v>276</v>
      </c>
      <c r="AQ876" s="14" t="s">
        <v>276</v>
      </c>
      <c r="AR876" s="8" t="s">
        <v>269</v>
      </c>
      <c r="AS876" s="14">
        <v>0.8</v>
      </c>
      <c r="AT876" s="14">
        <f>AK876/AO876</f>
        <v>0.79951290170880251</v>
      </c>
      <c r="AU876" s="31" t="s">
        <v>276</v>
      </c>
      <c r="AV876" s="31" t="s">
        <v>276</v>
      </c>
      <c r="AW876" s="8">
        <v>4.0000000000000001E-3</v>
      </c>
      <c r="AX876" s="8" t="s">
        <v>282</v>
      </c>
      <c r="AY876" s="8" t="s">
        <v>276</v>
      </c>
      <c r="AZ876" s="8" t="s">
        <v>276</v>
      </c>
      <c r="BA876" s="8" t="s">
        <v>276</v>
      </c>
      <c r="BB876" s="8" t="s">
        <v>276</v>
      </c>
      <c r="BC876" s="9" t="s">
        <v>8379</v>
      </c>
      <c r="BD876" s="9" t="s">
        <v>8380</v>
      </c>
      <c r="BE876" s="33" t="s">
        <v>100</v>
      </c>
      <c r="BF876" s="33" t="s">
        <v>98</v>
      </c>
    </row>
    <row r="877" spans="1:58" s="7" customFormat="1" ht="91" x14ac:dyDescent="0.3">
      <c r="A877" s="8">
        <v>398</v>
      </c>
      <c r="B877" s="8" t="s">
        <v>8373</v>
      </c>
      <c r="C877" s="8" t="s">
        <v>83</v>
      </c>
      <c r="D877" s="9" t="s">
        <v>8381</v>
      </c>
      <c r="E877" s="8" t="s">
        <v>39</v>
      </c>
      <c r="F877" s="8" t="s">
        <v>143</v>
      </c>
      <c r="G877" s="8" t="s">
        <v>262</v>
      </c>
      <c r="H877" s="8" t="s">
        <v>225</v>
      </c>
      <c r="I877" s="8" t="s">
        <v>98</v>
      </c>
      <c r="J877" s="9" t="s">
        <v>24</v>
      </c>
      <c r="K877" s="9" t="s">
        <v>8375</v>
      </c>
      <c r="L877" s="346" t="s">
        <v>11129</v>
      </c>
      <c r="M877" s="8" t="s">
        <v>14</v>
      </c>
      <c r="N877" s="11" t="s">
        <v>98</v>
      </c>
      <c r="O877" s="12" t="s">
        <v>208</v>
      </c>
      <c r="P877" s="41">
        <v>39828</v>
      </c>
      <c r="Q877" s="9" t="s">
        <v>276</v>
      </c>
      <c r="R877" s="9" t="s">
        <v>8376</v>
      </c>
      <c r="S877" s="9" t="s">
        <v>8376</v>
      </c>
      <c r="T877" s="9">
        <v>3</v>
      </c>
      <c r="U877" s="34">
        <v>26722</v>
      </c>
      <c r="V877" s="13">
        <v>26732</v>
      </c>
      <c r="W877" s="8" t="s">
        <v>276</v>
      </c>
      <c r="X877" s="8" t="s">
        <v>276</v>
      </c>
      <c r="Y877" s="8">
        <v>12</v>
      </c>
      <c r="Z877" s="9" t="s">
        <v>894</v>
      </c>
      <c r="AA877" s="8">
        <v>7</v>
      </c>
      <c r="AB877" s="9" t="s">
        <v>894</v>
      </c>
      <c r="AC877" s="9" t="s">
        <v>8377</v>
      </c>
      <c r="AD877" s="9" t="s">
        <v>866</v>
      </c>
      <c r="AE877" s="8">
        <v>356</v>
      </c>
      <c r="AF877" s="8">
        <v>443</v>
      </c>
      <c r="AG877" s="34">
        <v>26722</v>
      </c>
      <c r="AH877" s="13">
        <v>26732</v>
      </c>
      <c r="AI877" s="38" t="s">
        <v>292</v>
      </c>
      <c r="AJ877" s="49" t="s">
        <v>276</v>
      </c>
      <c r="AK877" s="31">
        <f>AE877*100/AG877</f>
        <v>1.3322356111069531</v>
      </c>
      <c r="AL877" s="14" t="s">
        <v>276</v>
      </c>
      <c r="AM877" s="14" t="s">
        <v>276</v>
      </c>
      <c r="AN877" s="49" t="s">
        <v>276</v>
      </c>
      <c r="AO877" s="31">
        <f>AF877*100/AH877</f>
        <v>1.6571898847822835</v>
      </c>
      <c r="AP877" s="14" t="s">
        <v>276</v>
      </c>
      <c r="AQ877" s="14" t="s">
        <v>276</v>
      </c>
      <c r="AR877" s="8" t="s">
        <v>268</v>
      </c>
      <c r="AS877" s="14" t="s">
        <v>276</v>
      </c>
      <c r="AT877" s="14">
        <f>AK877/AO877</f>
        <v>0.80391246853523857</v>
      </c>
      <c r="AU877" s="31" t="s">
        <v>276</v>
      </c>
      <c r="AV877" s="31" t="s">
        <v>276</v>
      </c>
      <c r="AW877" s="8" t="s">
        <v>276</v>
      </c>
      <c r="AX877" s="8" t="s">
        <v>282</v>
      </c>
      <c r="AY877" s="8" t="s">
        <v>276</v>
      </c>
      <c r="AZ877" s="8" t="s">
        <v>276</v>
      </c>
      <c r="BA877" s="8" t="s">
        <v>276</v>
      </c>
      <c r="BB877" s="8" t="s">
        <v>276</v>
      </c>
      <c r="BC877" s="9" t="s">
        <v>8382</v>
      </c>
      <c r="BD877" s="9" t="s">
        <v>8380</v>
      </c>
      <c r="BE877" s="33" t="s">
        <v>100</v>
      </c>
      <c r="BF877" s="33" t="s">
        <v>98</v>
      </c>
    </row>
    <row r="878" spans="1:58" s="423" customFormat="1" ht="65" x14ac:dyDescent="0.3">
      <c r="A878" s="291">
        <v>398</v>
      </c>
      <c r="B878" s="291" t="s">
        <v>8373</v>
      </c>
      <c r="C878" s="291" t="s">
        <v>83</v>
      </c>
      <c r="D878" s="292" t="s">
        <v>8383</v>
      </c>
      <c r="E878" s="291" t="s">
        <v>39</v>
      </c>
      <c r="F878" s="291" t="s">
        <v>143</v>
      </c>
      <c r="G878" s="291" t="s">
        <v>262</v>
      </c>
      <c r="H878" s="291" t="s">
        <v>225</v>
      </c>
      <c r="I878" s="291" t="s">
        <v>98</v>
      </c>
      <c r="J878" s="292" t="s">
        <v>23</v>
      </c>
      <c r="K878" s="292" t="s">
        <v>8384</v>
      </c>
      <c r="L878" s="346" t="s">
        <v>8398</v>
      </c>
      <c r="M878" s="291" t="s">
        <v>14</v>
      </c>
      <c r="N878" s="419" t="s">
        <v>98</v>
      </c>
      <c r="O878" s="420" t="s">
        <v>208</v>
      </c>
      <c r="P878" s="452">
        <v>40178</v>
      </c>
      <c r="Q878" s="292" t="s">
        <v>276</v>
      </c>
      <c r="R878" s="292" t="s">
        <v>8385</v>
      </c>
      <c r="S878" s="292" t="s">
        <v>8385</v>
      </c>
      <c r="T878" s="292">
        <v>3</v>
      </c>
      <c r="U878" s="480">
        <v>26722</v>
      </c>
      <c r="V878" s="294">
        <v>26732</v>
      </c>
      <c r="W878" s="291">
        <v>0</v>
      </c>
      <c r="X878" s="291">
        <v>0</v>
      </c>
      <c r="Y878" s="481">
        <v>0.03</v>
      </c>
      <c r="Z878" s="292" t="s">
        <v>8386</v>
      </c>
      <c r="AA878" s="481">
        <v>0.04</v>
      </c>
      <c r="AB878" s="292" t="s">
        <v>8386</v>
      </c>
      <c r="AC878" s="292" t="s">
        <v>8387</v>
      </c>
      <c r="AD878" s="292" t="s">
        <v>8388</v>
      </c>
      <c r="AE878" s="291">
        <v>1877</v>
      </c>
      <c r="AF878" s="291">
        <v>2000</v>
      </c>
      <c r="AG878" s="294">
        <v>144103</v>
      </c>
      <c r="AH878" s="294">
        <v>143368</v>
      </c>
      <c r="AI878" s="295" t="s">
        <v>1019</v>
      </c>
      <c r="AJ878" s="296" t="s">
        <v>276</v>
      </c>
      <c r="AK878" s="422">
        <f>AE878*100000/AG878</f>
        <v>1302.5405439165042</v>
      </c>
      <c r="AL878" s="296" t="s">
        <v>276</v>
      </c>
      <c r="AM878" s="296" t="s">
        <v>276</v>
      </c>
      <c r="AN878" s="296" t="s">
        <v>276</v>
      </c>
      <c r="AO878" s="422">
        <f>AF878*100000/AH878</f>
        <v>1395.0114390938006</v>
      </c>
      <c r="AP878" s="296" t="s">
        <v>276</v>
      </c>
      <c r="AQ878" s="296" t="s">
        <v>276</v>
      </c>
      <c r="AR878" s="291" t="s">
        <v>269</v>
      </c>
      <c r="AS878" s="422">
        <v>0.93300000000000005</v>
      </c>
      <c r="AT878" s="296">
        <f>AK878/AO878</f>
        <v>0.93371316350110689</v>
      </c>
      <c r="AU878" s="422" t="s">
        <v>276</v>
      </c>
      <c r="AV878" s="422" t="s">
        <v>276</v>
      </c>
      <c r="AW878" s="291">
        <v>0.02</v>
      </c>
      <c r="AX878" s="291" t="s">
        <v>282</v>
      </c>
      <c r="AY878" s="291" t="s">
        <v>276</v>
      </c>
      <c r="AZ878" s="291" t="s">
        <v>276</v>
      </c>
      <c r="BA878" s="291" t="s">
        <v>276</v>
      </c>
      <c r="BB878" s="291" t="s">
        <v>276</v>
      </c>
      <c r="BC878" s="292" t="s">
        <v>8389</v>
      </c>
      <c r="BD878" s="292"/>
      <c r="BE878" s="33" t="s">
        <v>100</v>
      </c>
      <c r="BF878" s="33" t="s">
        <v>98</v>
      </c>
    </row>
    <row r="879" spans="1:58" s="423" customFormat="1" ht="65" x14ac:dyDescent="0.3">
      <c r="A879" s="291">
        <v>398</v>
      </c>
      <c r="B879" s="291" t="s">
        <v>8373</v>
      </c>
      <c r="C879" s="291" t="s">
        <v>83</v>
      </c>
      <c r="D879" s="292" t="s">
        <v>8390</v>
      </c>
      <c r="E879" s="291" t="s">
        <v>39</v>
      </c>
      <c r="F879" s="291" t="s">
        <v>143</v>
      </c>
      <c r="G879" s="291" t="s">
        <v>262</v>
      </c>
      <c r="H879" s="291" t="s">
        <v>225</v>
      </c>
      <c r="I879" s="291" t="s">
        <v>98</v>
      </c>
      <c r="J879" s="292" t="s">
        <v>23</v>
      </c>
      <c r="K879" s="292" t="s">
        <v>8384</v>
      </c>
      <c r="L879" s="346" t="s">
        <v>8398</v>
      </c>
      <c r="M879" s="291" t="s">
        <v>14</v>
      </c>
      <c r="N879" s="419" t="s">
        <v>98</v>
      </c>
      <c r="O879" s="420" t="s">
        <v>208</v>
      </c>
      <c r="P879" s="452">
        <v>40178</v>
      </c>
      <c r="Q879" s="292" t="s">
        <v>276</v>
      </c>
      <c r="R879" s="292" t="s">
        <v>8385</v>
      </c>
      <c r="S879" s="292" t="s">
        <v>8385</v>
      </c>
      <c r="T879" s="292">
        <v>3</v>
      </c>
      <c r="U879" s="480">
        <v>26722</v>
      </c>
      <c r="V879" s="294">
        <v>26732</v>
      </c>
      <c r="W879" s="291">
        <v>0</v>
      </c>
      <c r="X879" s="291">
        <v>0</v>
      </c>
      <c r="Y879" s="481">
        <v>0.03</v>
      </c>
      <c r="Z879" s="292" t="s">
        <v>8386</v>
      </c>
      <c r="AA879" s="481">
        <v>0.04</v>
      </c>
      <c r="AB879" s="292" t="s">
        <v>8386</v>
      </c>
      <c r="AC879" s="292" t="s">
        <v>8387</v>
      </c>
      <c r="AD879" s="292" t="s">
        <v>866</v>
      </c>
      <c r="AE879" s="291">
        <v>1877</v>
      </c>
      <c r="AF879" s="291">
        <v>2000</v>
      </c>
      <c r="AG879" s="294">
        <v>26722</v>
      </c>
      <c r="AH879" s="294">
        <v>26732</v>
      </c>
      <c r="AI879" s="295" t="s">
        <v>292</v>
      </c>
      <c r="AJ879" s="296" t="s">
        <v>276</v>
      </c>
      <c r="AK879" s="422">
        <f>AE879*100/AG879</f>
        <v>7.0241748372127839</v>
      </c>
      <c r="AL879" s="296" t="s">
        <v>276</v>
      </c>
      <c r="AM879" s="296" t="s">
        <v>276</v>
      </c>
      <c r="AN879" s="296" t="s">
        <v>276</v>
      </c>
      <c r="AO879" s="422">
        <f>AF879*100/AH879</f>
        <v>7.4816699087236271</v>
      </c>
      <c r="AP879" s="296" t="s">
        <v>276</v>
      </c>
      <c r="AQ879" s="296" t="s">
        <v>276</v>
      </c>
      <c r="AR879" s="291" t="s">
        <v>268</v>
      </c>
      <c r="AS879" s="422" t="s">
        <v>276</v>
      </c>
      <c r="AT879" s="296">
        <f>AK879/AO879</f>
        <v>0.93885120874186068</v>
      </c>
      <c r="AU879" s="296" t="s">
        <v>276</v>
      </c>
      <c r="AV879" s="296" t="s">
        <v>276</v>
      </c>
      <c r="AW879" s="291" t="s">
        <v>276</v>
      </c>
      <c r="AX879" s="291" t="s">
        <v>282</v>
      </c>
      <c r="AY879" s="291" t="s">
        <v>276</v>
      </c>
      <c r="AZ879" s="291" t="s">
        <v>276</v>
      </c>
      <c r="BA879" s="291" t="s">
        <v>276</v>
      </c>
      <c r="BB879" s="291" t="s">
        <v>276</v>
      </c>
      <c r="BC879" s="292" t="s">
        <v>8389</v>
      </c>
      <c r="BD879" s="292"/>
      <c r="BE879" s="33" t="s">
        <v>100</v>
      </c>
      <c r="BF879" s="33" t="s">
        <v>98</v>
      </c>
    </row>
    <row r="880" spans="1:58" s="202" customFormat="1" ht="52" x14ac:dyDescent="0.3">
      <c r="A880" s="175">
        <v>380</v>
      </c>
      <c r="B880" s="175" t="s">
        <v>8391</v>
      </c>
      <c r="C880" s="175" t="s">
        <v>83</v>
      </c>
      <c r="D880" s="176" t="s">
        <v>8392</v>
      </c>
      <c r="E880" s="175" t="s">
        <v>39</v>
      </c>
      <c r="F880" s="175" t="s">
        <v>143</v>
      </c>
      <c r="G880" s="175" t="s">
        <v>262</v>
      </c>
      <c r="H880" s="175" t="s">
        <v>225</v>
      </c>
      <c r="I880" s="175" t="s">
        <v>98</v>
      </c>
      <c r="J880" s="176" t="s">
        <v>24</v>
      </c>
      <c r="K880" s="176" t="s">
        <v>8393</v>
      </c>
      <c r="L880" s="346" t="s">
        <v>8398</v>
      </c>
      <c r="M880" s="175" t="s">
        <v>14</v>
      </c>
      <c r="N880" s="198" t="s">
        <v>98</v>
      </c>
      <c r="O880" s="199" t="s">
        <v>208</v>
      </c>
      <c r="P880" s="200">
        <v>40178</v>
      </c>
      <c r="Q880" s="176" t="s">
        <v>276</v>
      </c>
      <c r="R880" s="176" t="s">
        <v>8394</v>
      </c>
      <c r="S880" s="176" t="s">
        <v>8394</v>
      </c>
      <c r="T880" s="176">
        <v>3</v>
      </c>
      <c r="U880" s="317">
        <v>26722</v>
      </c>
      <c r="V880" s="180">
        <v>26732</v>
      </c>
      <c r="W880" s="175" t="s">
        <v>276</v>
      </c>
      <c r="X880" s="175" t="s">
        <v>276</v>
      </c>
      <c r="Y880" s="175" t="s">
        <v>276</v>
      </c>
      <c r="Z880" s="176" t="s">
        <v>276</v>
      </c>
      <c r="AA880" s="175" t="s">
        <v>276</v>
      </c>
      <c r="AB880" s="176" t="s">
        <v>276</v>
      </c>
      <c r="AC880" s="176" t="s">
        <v>8395</v>
      </c>
      <c r="AD880" s="176" t="s">
        <v>8388</v>
      </c>
      <c r="AE880" s="175">
        <v>469</v>
      </c>
      <c r="AF880" s="175">
        <v>552</v>
      </c>
      <c r="AG880" s="180" t="s">
        <v>276</v>
      </c>
      <c r="AH880" s="180" t="s">
        <v>276</v>
      </c>
      <c r="AI880" s="179" t="s">
        <v>1019</v>
      </c>
      <c r="AJ880" s="290">
        <v>280</v>
      </c>
      <c r="AK880" s="201" t="s">
        <v>276</v>
      </c>
      <c r="AL880" s="181" t="s">
        <v>276</v>
      </c>
      <c r="AM880" s="181" t="s">
        <v>276</v>
      </c>
      <c r="AN880" s="290">
        <v>332</v>
      </c>
      <c r="AO880" s="201" t="s">
        <v>276</v>
      </c>
      <c r="AP880" s="181" t="s">
        <v>276</v>
      </c>
      <c r="AQ880" s="181" t="s">
        <v>276</v>
      </c>
      <c r="AR880" s="175" t="s">
        <v>269</v>
      </c>
      <c r="AS880" s="181">
        <v>0.84</v>
      </c>
      <c r="AT880" s="181">
        <f>AJ880/AN880</f>
        <v>0.84337349397590367</v>
      </c>
      <c r="AU880" s="181">
        <v>0.75</v>
      </c>
      <c r="AV880" s="181">
        <v>0.95</v>
      </c>
      <c r="AW880" s="175" t="s">
        <v>276</v>
      </c>
      <c r="AX880" s="175" t="s">
        <v>282</v>
      </c>
      <c r="AY880" s="175" t="s">
        <v>276</v>
      </c>
      <c r="AZ880" s="175" t="s">
        <v>276</v>
      </c>
      <c r="BA880" s="175" t="s">
        <v>276</v>
      </c>
      <c r="BB880" s="175" t="s">
        <v>276</v>
      </c>
      <c r="BC880" s="176" t="s">
        <v>8396</v>
      </c>
      <c r="BD880" s="176"/>
      <c r="BE880" s="33" t="s">
        <v>99</v>
      </c>
      <c r="BF880" s="33" t="s">
        <v>11162</v>
      </c>
    </row>
    <row r="881" spans="1:58" s="202" customFormat="1" ht="39" x14ac:dyDescent="0.3">
      <c r="A881" s="175">
        <v>380</v>
      </c>
      <c r="B881" s="175" t="s">
        <v>8391</v>
      </c>
      <c r="C881" s="175" t="s">
        <v>83</v>
      </c>
      <c r="D881" s="176" t="s">
        <v>8397</v>
      </c>
      <c r="E881" s="175" t="s">
        <v>39</v>
      </c>
      <c r="F881" s="175" t="s">
        <v>143</v>
      </c>
      <c r="G881" s="175" t="s">
        <v>262</v>
      </c>
      <c r="H881" s="175" t="s">
        <v>225</v>
      </c>
      <c r="I881" s="175" t="s">
        <v>98</v>
      </c>
      <c r="J881" s="176" t="s">
        <v>24</v>
      </c>
      <c r="K881" s="176" t="s">
        <v>8393</v>
      </c>
      <c r="L881" s="346" t="s">
        <v>8398</v>
      </c>
      <c r="M881" s="175" t="s">
        <v>14</v>
      </c>
      <c r="N881" s="198" t="s">
        <v>98</v>
      </c>
      <c r="O881" s="199" t="s">
        <v>208</v>
      </c>
      <c r="P881" s="200">
        <v>40178</v>
      </c>
      <c r="Q881" s="176" t="s">
        <v>276</v>
      </c>
      <c r="R881" s="176" t="s">
        <v>8394</v>
      </c>
      <c r="S881" s="176" t="s">
        <v>8394</v>
      </c>
      <c r="T881" s="176">
        <v>3</v>
      </c>
      <c r="U881" s="317">
        <v>26722</v>
      </c>
      <c r="V881" s="180">
        <v>26732</v>
      </c>
      <c r="W881" s="175" t="s">
        <v>276</v>
      </c>
      <c r="X881" s="175" t="s">
        <v>276</v>
      </c>
      <c r="Y881" s="175" t="s">
        <v>276</v>
      </c>
      <c r="Z881" s="176" t="s">
        <v>276</v>
      </c>
      <c r="AA881" s="175" t="s">
        <v>276</v>
      </c>
      <c r="AB881" s="176" t="s">
        <v>276</v>
      </c>
      <c r="AC881" s="176" t="s">
        <v>8395</v>
      </c>
      <c r="AD881" s="176" t="s">
        <v>866</v>
      </c>
      <c r="AE881" s="175">
        <v>469</v>
      </c>
      <c r="AF881" s="175">
        <v>552</v>
      </c>
      <c r="AG881" s="317">
        <v>26722</v>
      </c>
      <c r="AH881" s="180">
        <v>26732</v>
      </c>
      <c r="AI881" s="179" t="s">
        <v>292</v>
      </c>
      <c r="AJ881" s="290" t="s">
        <v>276</v>
      </c>
      <c r="AK881" s="201">
        <f>AE881*100/AG881</f>
        <v>1.7551081505875308</v>
      </c>
      <c r="AL881" s="181" t="s">
        <v>276</v>
      </c>
      <c r="AM881" s="181" t="s">
        <v>276</v>
      </c>
      <c r="AN881" s="290" t="s">
        <v>276</v>
      </c>
      <c r="AO881" s="201">
        <f>AF881*100/AH881</f>
        <v>2.0649408948077213</v>
      </c>
      <c r="AP881" s="181" t="s">
        <v>276</v>
      </c>
      <c r="AQ881" s="181" t="s">
        <v>276</v>
      </c>
      <c r="AR881" s="175" t="s">
        <v>268</v>
      </c>
      <c r="AS881" s="181" t="s">
        <v>276</v>
      </c>
      <c r="AT881" s="181">
        <f>AK881/AO881</f>
        <v>0.84995563553452658</v>
      </c>
      <c r="AU881" s="181" t="s">
        <v>276</v>
      </c>
      <c r="AV881" s="181" t="s">
        <v>276</v>
      </c>
      <c r="AW881" s="175" t="s">
        <v>276</v>
      </c>
      <c r="AX881" s="175" t="s">
        <v>282</v>
      </c>
      <c r="AY881" s="175" t="s">
        <v>276</v>
      </c>
      <c r="AZ881" s="175" t="s">
        <v>276</v>
      </c>
      <c r="BA881" s="175" t="s">
        <v>276</v>
      </c>
      <c r="BB881" s="175" t="s">
        <v>276</v>
      </c>
      <c r="BC881" s="176" t="s">
        <v>298</v>
      </c>
      <c r="BD881" s="176"/>
      <c r="BE881" s="33" t="s">
        <v>99</v>
      </c>
      <c r="BF881" s="33" t="s">
        <v>11162</v>
      </c>
    </row>
    <row r="882" spans="1:58" s="339" customFormat="1" ht="39" x14ac:dyDescent="0.3">
      <c r="A882" s="184">
        <v>380</v>
      </c>
      <c r="B882" s="184" t="s">
        <v>8391</v>
      </c>
      <c r="C882" s="184" t="s">
        <v>83</v>
      </c>
      <c r="D882" s="185" t="s">
        <v>8383</v>
      </c>
      <c r="E882" s="184" t="s">
        <v>39</v>
      </c>
      <c r="F882" s="184" t="s">
        <v>143</v>
      </c>
      <c r="G882" s="184" t="s">
        <v>262</v>
      </c>
      <c r="H882" s="184" t="s">
        <v>225</v>
      </c>
      <c r="I882" s="184" t="s">
        <v>98</v>
      </c>
      <c r="J882" s="185" t="s">
        <v>23</v>
      </c>
      <c r="K882" s="185" t="s">
        <v>8393</v>
      </c>
      <c r="L882" s="185" t="s">
        <v>8398</v>
      </c>
      <c r="M882" s="184" t="s">
        <v>14</v>
      </c>
      <c r="N882" s="336" t="s">
        <v>98</v>
      </c>
      <c r="O882" s="337" t="s">
        <v>208</v>
      </c>
      <c r="P882" s="322">
        <v>40178</v>
      </c>
      <c r="Q882" s="185" t="s">
        <v>276</v>
      </c>
      <c r="R882" s="185" t="s">
        <v>8394</v>
      </c>
      <c r="S882" s="185" t="s">
        <v>8394</v>
      </c>
      <c r="T882" s="185">
        <v>3</v>
      </c>
      <c r="U882" s="324">
        <v>26722</v>
      </c>
      <c r="V882" s="189">
        <v>26732</v>
      </c>
      <c r="W882" s="184" t="s">
        <v>276</v>
      </c>
      <c r="X882" s="184" t="s">
        <v>276</v>
      </c>
      <c r="Y882" s="184" t="s">
        <v>276</v>
      </c>
      <c r="Z882" s="185" t="s">
        <v>276</v>
      </c>
      <c r="AA882" s="184" t="s">
        <v>276</v>
      </c>
      <c r="AB882" s="185" t="s">
        <v>276</v>
      </c>
      <c r="AC882" s="185" t="s">
        <v>8399</v>
      </c>
      <c r="AD882" s="185" t="s">
        <v>8388</v>
      </c>
      <c r="AE882" s="184">
        <v>1912</v>
      </c>
      <c r="AF882" s="184">
        <v>2039</v>
      </c>
      <c r="AG882" s="189" t="s">
        <v>276</v>
      </c>
      <c r="AH882" s="189" t="s">
        <v>276</v>
      </c>
      <c r="AI882" s="188" t="s">
        <v>1019</v>
      </c>
      <c r="AJ882" s="482">
        <v>1141</v>
      </c>
      <c r="AK882" s="338" t="s">
        <v>276</v>
      </c>
      <c r="AL882" s="192" t="s">
        <v>276</v>
      </c>
      <c r="AM882" s="192" t="s">
        <v>276</v>
      </c>
      <c r="AN882" s="482">
        <v>1225</v>
      </c>
      <c r="AO882" s="338" t="s">
        <v>276</v>
      </c>
      <c r="AP882" s="192" t="s">
        <v>276</v>
      </c>
      <c r="AQ882" s="192" t="s">
        <v>276</v>
      </c>
      <c r="AR882" s="184" t="s">
        <v>269</v>
      </c>
      <c r="AS882" s="338">
        <v>0.93100000000000005</v>
      </c>
      <c r="AT882" s="192">
        <f>AJ882/AN882</f>
        <v>0.93142857142857138</v>
      </c>
      <c r="AU882" s="338" t="s">
        <v>276</v>
      </c>
      <c r="AV882" s="338" t="s">
        <v>276</v>
      </c>
      <c r="AW882" s="184" t="s">
        <v>276</v>
      </c>
      <c r="AX882" s="184" t="s">
        <v>282</v>
      </c>
      <c r="AY882" s="184" t="s">
        <v>276</v>
      </c>
      <c r="AZ882" s="184" t="s">
        <v>276</v>
      </c>
      <c r="BA882" s="184" t="s">
        <v>276</v>
      </c>
      <c r="BB882" s="184" t="s">
        <v>276</v>
      </c>
      <c r="BC882" s="185" t="s">
        <v>298</v>
      </c>
      <c r="BD882" s="185"/>
      <c r="BE882" s="33" t="s">
        <v>100</v>
      </c>
      <c r="BF882" s="33" t="s">
        <v>98</v>
      </c>
    </row>
    <row r="883" spans="1:58" s="339" customFormat="1" ht="39" x14ac:dyDescent="0.3">
      <c r="A883" s="184">
        <v>380</v>
      </c>
      <c r="B883" s="184" t="s">
        <v>8391</v>
      </c>
      <c r="C883" s="184" t="s">
        <v>83</v>
      </c>
      <c r="D883" s="185" t="s">
        <v>8390</v>
      </c>
      <c r="E883" s="184" t="s">
        <v>39</v>
      </c>
      <c r="F883" s="184" t="s">
        <v>143</v>
      </c>
      <c r="G883" s="184" t="s">
        <v>262</v>
      </c>
      <c r="H883" s="184" t="s">
        <v>225</v>
      </c>
      <c r="I883" s="184" t="s">
        <v>98</v>
      </c>
      <c r="J883" s="185" t="s">
        <v>23</v>
      </c>
      <c r="K883" s="185" t="s">
        <v>8393</v>
      </c>
      <c r="L883" s="185" t="s">
        <v>8398</v>
      </c>
      <c r="M883" s="184" t="s">
        <v>14</v>
      </c>
      <c r="N883" s="336" t="s">
        <v>98</v>
      </c>
      <c r="O883" s="337" t="s">
        <v>208</v>
      </c>
      <c r="P883" s="322">
        <v>40178</v>
      </c>
      <c r="Q883" s="185" t="s">
        <v>276</v>
      </c>
      <c r="R883" s="185" t="s">
        <v>8394</v>
      </c>
      <c r="S883" s="185" t="s">
        <v>8394</v>
      </c>
      <c r="T883" s="185">
        <v>3</v>
      </c>
      <c r="U883" s="324">
        <v>26722</v>
      </c>
      <c r="V883" s="189">
        <v>26732</v>
      </c>
      <c r="W883" s="184" t="s">
        <v>276</v>
      </c>
      <c r="X883" s="184" t="s">
        <v>276</v>
      </c>
      <c r="Y883" s="184" t="s">
        <v>276</v>
      </c>
      <c r="Z883" s="185" t="s">
        <v>276</v>
      </c>
      <c r="AA883" s="184" t="s">
        <v>276</v>
      </c>
      <c r="AB883" s="185" t="s">
        <v>276</v>
      </c>
      <c r="AC883" s="185" t="s">
        <v>8399</v>
      </c>
      <c r="AD883" s="185" t="s">
        <v>866</v>
      </c>
      <c r="AE883" s="184">
        <v>1912</v>
      </c>
      <c r="AF883" s="184">
        <v>2039</v>
      </c>
      <c r="AG883" s="189">
        <v>26722</v>
      </c>
      <c r="AH883" s="189">
        <v>26732</v>
      </c>
      <c r="AI883" s="188" t="s">
        <v>292</v>
      </c>
      <c r="AJ883" s="482" t="s">
        <v>276</v>
      </c>
      <c r="AK883" s="338">
        <f>AE883*100/AG883</f>
        <v>7.155153057405883</v>
      </c>
      <c r="AL883" s="192" t="s">
        <v>276</v>
      </c>
      <c r="AM883" s="192" t="s">
        <v>276</v>
      </c>
      <c r="AN883" s="482" t="s">
        <v>276</v>
      </c>
      <c r="AO883" s="338">
        <f>AF883*100/AH883</f>
        <v>7.6275624719437376</v>
      </c>
      <c r="AP883" s="192" t="s">
        <v>276</v>
      </c>
      <c r="AQ883" s="192" t="s">
        <v>276</v>
      </c>
      <c r="AR883" s="184" t="s">
        <v>268</v>
      </c>
      <c r="AS883" s="192" t="s">
        <v>276</v>
      </c>
      <c r="AT883" s="192">
        <f>AK883/AO883</f>
        <v>0.93806548077770513</v>
      </c>
      <c r="AU883" s="338" t="s">
        <v>276</v>
      </c>
      <c r="AV883" s="338" t="s">
        <v>276</v>
      </c>
      <c r="AW883" s="184" t="s">
        <v>276</v>
      </c>
      <c r="AX883" s="184" t="s">
        <v>282</v>
      </c>
      <c r="AY883" s="184" t="s">
        <v>276</v>
      </c>
      <c r="AZ883" s="184" t="s">
        <v>276</v>
      </c>
      <c r="BA883" s="184" t="s">
        <v>276</v>
      </c>
      <c r="BB883" s="184" t="s">
        <v>276</v>
      </c>
      <c r="BC883" s="185" t="s">
        <v>298</v>
      </c>
      <c r="BD883" s="185"/>
      <c r="BE883" s="33" t="s">
        <v>100</v>
      </c>
      <c r="BF883" s="33" t="s">
        <v>98</v>
      </c>
    </row>
    <row r="884" spans="1:58" s="103" customFormat="1" ht="78" x14ac:dyDescent="0.3">
      <c r="A884" s="94">
        <v>11135</v>
      </c>
      <c r="B884" s="94" t="s">
        <v>8400</v>
      </c>
      <c r="C884" s="94" t="s">
        <v>83</v>
      </c>
      <c r="D884" s="95" t="s">
        <v>8401</v>
      </c>
      <c r="E884" s="94" t="s">
        <v>39</v>
      </c>
      <c r="F884" s="94" t="s">
        <v>143</v>
      </c>
      <c r="G884" s="94" t="s">
        <v>262</v>
      </c>
      <c r="H884" s="94" t="s">
        <v>225</v>
      </c>
      <c r="I884" s="94" t="s">
        <v>98</v>
      </c>
      <c r="J884" s="95" t="s">
        <v>24</v>
      </c>
      <c r="K884" s="95" t="s">
        <v>8402</v>
      </c>
      <c r="L884" s="95" t="s">
        <v>8403</v>
      </c>
      <c r="M884" s="94" t="s">
        <v>14</v>
      </c>
      <c r="N884" s="144" t="s">
        <v>98</v>
      </c>
      <c r="O884" s="96" t="s">
        <v>208</v>
      </c>
      <c r="P884" s="97">
        <v>42369</v>
      </c>
      <c r="Q884" s="95" t="s">
        <v>276</v>
      </c>
      <c r="R884" s="95" t="s">
        <v>8404</v>
      </c>
      <c r="S884" s="95" t="s">
        <v>8404</v>
      </c>
      <c r="T884" s="95">
        <v>3</v>
      </c>
      <c r="U884" s="107">
        <v>26722</v>
      </c>
      <c r="V884" s="98">
        <v>26730</v>
      </c>
      <c r="W884" s="94" t="s">
        <v>276</v>
      </c>
      <c r="X884" s="94" t="s">
        <v>276</v>
      </c>
      <c r="Y884" s="94" t="s">
        <v>276</v>
      </c>
      <c r="Z884" s="95" t="s">
        <v>276</v>
      </c>
      <c r="AA884" s="94" t="s">
        <v>276</v>
      </c>
      <c r="AB884" s="95" t="s">
        <v>276</v>
      </c>
      <c r="AC884" s="95" t="s">
        <v>8405</v>
      </c>
      <c r="AD884" s="95" t="s">
        <v>866</v>
      </c>
      <c r="AE884" s="94">
        <v>1147</v>
      </c>
      <c r="AF884" s="94">
        <v>1236</v>
      </c>
      <c r="AG884" s="98">
        <v>26722</v>
      </c>
      <c r="AH884" s="98">
        <v>26730</v>
      </c>
      <c r="AI884" s="99" t="s">
        <v>2047</v>
      </c>
      <c r="AJ884" s="100">
        <v>42.9</v>
      </c>
      <c r="AK884" s="101">
        <f>AE884*1000/AG884</f>
        <v>42.923433874709978</v>
      </c>
      <c r="AL884" s="102" t="s">
        <v>276</v>
      </c>
      <c r="AM884" s="102" t="s">
        <v>276</v>
      </c>
      <c r="AN884" s="100">
        <v>46.2</v>
      </c>
      <c r="AO884" s="101">
        <f>AF884*1000/AH884</f>
        <v>46.240179573512904</v>
      </c>
      <c r="AP884" s="102" t="s">
        <v>276</v>
      </c>
      <c r="AQ884" s="102" t="s">
        <v>276</v>
      </c>
      <c r="AR884" s="94" t="s">
        <v>268</v>
      </c>
      <c r="AS884" s="102">
        <v>0.92</v>
      </c>
      <c r="AT884" s="102">
        <f>AK884/AO884</f>
        <v>0.92827134908656783</v>
      </c>
      <c r="AU884" s="102">
        <v>0.85</v>
      </c>
      <c r="AV884" s="102">
        <v>1</v>
      </c>
      <c r="AW884" s="94">
        <v>0.05</v>
      </c>
      <c r="AX884" s="94" t="s">
        <v>282</v>
      </c>
      <c r="AY884" s="94" t="s">
        <v>276</v>
      </c>
      <c r="AZ884" s="94" t="s">
        <v>276</v>
      </c>
      <c r="BA884" s="94" t="s">
        <v>276</v>
      </c>
      <c r="BB884" s="94" t="s">
        <v>276</v>
      </c>
      <c r="BC884" s="95" t="s">
        <v>8406</v>
      </c>
      <c r="BD884" s="95"/>
      <c r="BE884" s="33" t="s">
        <v>100</v>
      </c>
      <c r="BF884" s="33" t="s">
        <v>98</v>
      </c>
    </row>
    <row r="885" spans="1:58" s="208" customFormat="1" ht="78" x14ac:dyDescent="0.3">
      <c r="A885" s="112">
        <v>11135</v>
      </c>
      <c r="B885" s="112" t="s">
        <v>8400</v>
      </c>
      <c r="C885" s="112" t="s">
        <v>83</v>
      </c>
      <c r="D885" s="113" t="s">
        <v>8407</v>
      </c>
      <c r="E885" s="112" t="s">
        <v>39</v>
      </c>
      <c r="F885" s="112" t="s">
        <v>143</v>
      </c>
      <c r="G885" s="112" t="s">
        <v>262</v>
      </c>
      <c r="H885" s="112" t="s">
        <v>225</v>
      </c>
      <c r="I885" s="112" t="s">
        <v>98</v>
      </c>
      <c r="J885" s="113" t="s">
        <v>24</v>
      </c>
      <c r="K885" s="113" t="s">
        <v>8402</v>
      </c>
      <c r="L885" s="113" t="s">
        <v>8403</v>
      </c>
      <c r="M885" s="112" t="s">
        <v>14</v>
      </c>
      <c r="N885" s="204" t="s">
        <v>98</v>
      </c>
      <c r="O885" s="117" t="s">
        <v>208</v>
      </c>
      <c r="P885" s="205">
        <v>42369</v>
      </c>
      <c r="Q885" s="113" t="s">
        <v>276</v>
      </c>
      <c r="R885" s="113" t="s">
        <v>8404</v>
      </c>
      <c r="S885" s="113" t="s">
        <v>8404</v>
      </c>
      <c r="T885" s="113">
        <v>3</v>
      </c>
      <c r="U885" s="120">
        <v>26722</v>
      </c>
      <c r="V885" s="118">
        <v>26730</v>
      </c>
      <c r="W885" s="112" t="s">
        <v>276</v>
      </c>
      <c r="X885" s="112" t="s">
        <v>276</v>
      </c>
      <c r="Y885" s="112" t="s">
        <v>276</v>
      </c>
      <c r="Z885" s="113" t="s">
        <v>276</v>
      </c>
      <c r="AA885" s="112" t="s">
        <v>276</v>
      </c>
      <c r="AB885" s="113" t="s">
        <v>276</v>
      </c>
      <c r="AC885" s="113" t="s">
        <v>8408</v>
      </c>
      <c r="AD885" s="113" t="s">
        <v>866</v>
      </c>
      <c r="AE885" s="112">
        <v>578</v>
      </c>
      <c r="AF885" s="112">
        <v>646</v>
      </c>
      <c r="AG885" s="118">
        <v>26722</v>
      </c>
      <c r="AH885" s="118">
        <v>26730</v>
      </c>
      <c r="AI885" s="119" t="s">
        <v>2047</v>
      </c>
      <c r="AJ885" s="164">
        <v>21.6</v>
      </c>
      <c r="AK885" s="207">
        <f>AE885*1000/AG885</f>
        <v>21.630117506174688</v>
      </c>
      <c r="AL885" s="121" t="s">
        <v>276</v>
      </c>
      <c r="AM885" s="121" t="s">
        <v>276</v>
      </c>
      <c r="AN885" s="164">
        <v>24.2</v>
      </c>
      <c r="AO885" s="207">
        <f>AF885*1000/AH885</f>
        <v>24.167601945379722</v>
      </c>
      <c r="AP885" s="121" t="s">
        <v>276</v>
      </c>
      <c r="AQ885" s="121" t="s">
        <v>276</v>
      </c>
      <c r="AR885" s="112" t="s">
        <v>268</v>
      </c>
      <c r="AS885" s="207">
        <v>0.89100000000000001</v>
      </c>
      <c r="AT885" s="121">
        <f>AK885/AO885</f>
        <v>0.89500470733753779</v>
      </c>
      <c r="AU885" s="121">
        <v>0.8</v>
      </c>
      <c r="AV885" s="207">
        <v>0.997</v>
      </c>
      <c r="AW885" s="112">
        <v>4.2999999999999997E-2</v>
      </c>
      <c r="AX885" s="112" t="s">
        <v>282</v>
      </c>
      <c r="AY885" s="112" t="s">
        <v>276</v>
      </c>
      <c r="AZ885" s="112" t="s">
        <v>276</v>
      </c>
      <c r="BA885" s="112" t="s">
        <v>276</v>
      </c>
      <c r="BB885" s="112" t="s">
        <v>276</v>
      </c>
      <c r="BC885" s="113" t="s">
        <v>8409</v>
      </c>
      <c r="BD885" s="113" t="s">
        <v>8410</v>
      </c>
      <c r="BE885" s="33" t="s">
        <v>100</v>
      </c>
      <c r="BF885" s="33" t="s">
        <v>98</v>
      </c>
    </row>
    <row r="886" spans="1:58" s="208" customFormat="1" ht="78" x14ac:dyDescent="0.3">
      <c r="A886" s="112">
        <v>11135</v>
      </c>
      <c r="B886" s="112" t="s">
        <v>8400</v>
      </c>
      <c r="C886" s="112" t="s">
        <v>83</v>
      </c>
      <c r="D886" s="113" t="s">
        <v>8411</v>
      </c>
      <c r="E886" s="112" t="s">
        <v>39</v>
      </c>
      <c r="F886" s="112" t="s">
        <v>143</v>
      </c>
      <c r="G886" s="112" t="s">
        <v>262</v>
      </c>
      <c r="H886" s="112" t="s">
        <v>225</v>
      </c>
      <c r="I886" s="112" t="s">
        <v>98</v>
      </c>
      <c r="J886" s="113" t="s">
        <v>24</v>
      </c>
      <c r="K886" s="113" t="s">
        <v>8402</v>
      </c>
      <c r="L886" s="113" t="s">
        <v>8403</v>
      </c>
      <c r="M886" s="112" t="s">
        <v>14</v>
      </c>
      <c r="N886" s="204" t="s">
        <v>98</v>
      </c>
      <c r="O886" s="117" t="s">
        <v>208</v>
      </c>
      <c r="P886" s="205">
        <v>42369</v>
      </c>
      <c r="Q886" s="113" t="s">
        <v>276</v>
      </c>
      <c r="R886" s="113" t="s">
        <v>8404</v>
      </c>
      <c r="S886" s="113" t="s">
        <v>8404</v>
      </c>
      <c r="T886" s="113">
        <v>3</v>
      </c>
      <c r="U886" s="120">
        <v>26722</v>
      </c>
      <c r="V886" s="118">
        <v>26730</v>
      </c>
      <c r="W886" s="112" t="s">
        <v>276</v>
      </c>
      <c r="X886" s="112" t="s">
        <v>276</v>
      </c>
      <c r="Y886" s="112" t="s">
        <v>276</v>
      </c>
      <c r="Z886" s="113" t="s">
        <v>276</v>
      </c>
      <c r="AA886" s="112" t="s">
        <v>276</v>
      </c>
      <c r="AB886" s="113" t="s">
        <v>276</v>
      </c>
      <c r="AC886" s="113" t="s">
        <v>8412</v>
      </c>
      <c r="AD886" s="113" t="s">
        <v>866</v>
      </c>
      <c r="AE886" s="112" t="s">
        <v>276</v>
      </c>
      <c r="AF886" s="112" t="s">
        <v>276</v>
      </c>
      <c r="AG886" s="118">
        <v>26722</v>
      </c>
      <c r="AH886" s="118">
        <v>26730</v>
      </c>
      <c r="AI886" s="119" t="s">
        <v>2047</v>
      </c>
      <c r="AJ886" s="164" t="s">
        <v>276</v>
      </c>
      <c r="AK886" s="207" t="s">
        <v>276</v>
      </c>
      <c r="AL886" s="121" t="s">
        <v>276</v>
      </c>
      <c r="AM886" s="121" t="s">
        <v>276</v>
      </c>
      <c r="AN886" s="164" t="s">
        <v>276</v>
      </c>
      <c r="AO886" s="207" t="s">
        <v>276</v>
      </c>
      <c r="AP886" s="121" t="s">
        <v>276</v>
      </c>
      <c r="AQ886" s="121" t="s">
        <v>276</v>
      </c>
      <c r="AR886" s="112" t="s">
        <v>268</v>
      </c>
      <c r="AS886" s="121">
        <v>1</v>
      </c>
      <c r="AT886" s="121" t="s">
        <v>276</v>
      </c>
      <c r="AU886" s="121">
        <v>0.86</v>
      </c>
      <c r="AV886" s="121">
        <v>1.17</v>
      </c>
      <c r="AW886" s="112">
        <v>0.98</v>
      </c>
      <c r="AX886" s="112" t="s">
        <v>282</v>
      </c>
      <c r="AY886" s="112" t="s">
        <v>276</v>
      </c>
      <c r="AZ886" s="112" t="s">
        <v>276</v>
      </c>
      <c r="BA886" s="112" t="s">
        <v>276</v>
      </c>
      <c r="BB886" s="112" t="s">
        <v>276</v>
      </c>
      <c r="BC886" s="113" t="s">
        <v>8413</v>
      </c>
      <c r="BD886" s="113" t="s">
        <v>8410</v>
      </c>
      <c r="BE886" s="33" t="s">
        <v>100</v>
      </c>
      <c r="BF886" s="33" t="s">
        <v>98</v>
      </c>
    </row>
    <row r="887" spans="1:58" s="208" customFormat="1" ht="78" x14ac:dyDescent="0.3">
      <c r="A887" s="112">
        <v>11135</v>
      </c>
      <c r="B887" s="112" t="s">
        <v>8400</v>
      </c>
      <c r="C887" s="112" t="s">
        <v>83</v>
      </c>
      <c r="D887" s="113" t="s">
        <v>8414</v>
      </c>
      <c r="E887" s="112" t="s">
        <v>39</v>
      </c>
      <c r="F887" s="112" t="s">
        <v>143</v>
      </c>
      <c r="G887" s="112" t="s">
        <v>262</v>
      </c>
      <c r="H887" s="112" t="s">
        <v>225</v>
      </c>
      <c r="I887" s="112" t="s">
        <v>98</v>
      </c>
      <c r="J887" s="113" t="s">
        <v>24</v>
      </c>
      <c r="K887" s="113" t="s">
        <v>8402</v>
      </c>
      <c r="L887" s="113" t="s">
        <v>8403</v>
      </c>
      <c r="M887" s="112" t="s">
        <v>14</v>
      </c>
      <c r="N887" s="204" t="s">
        <v>98</v>
      </c>
      <c r="O887" s="117" t="s">
        <v>208</v>
      </c>
      <c r="P887" s="205">
        <v>42369</v>
      </c>
      <c r="Q887" s="113" t="s">
        <v>276</v>
      </c>
      <c r="R887" s="113" t="s">
        <v>8404</v>
      </c>
      <c r="S887" s="113" t="s">
        <v>8404</v>
      </c>
      <c r="T887" s="113">
        <v>3</v>
      </c>
      <c r="U887" s="120">
        <v>26722</v>
      </c>
      <c r="V887" s="118">
        <v>26730</v>
      </c>
      <c r="W887" s="112" t="s">
        <v>276</v>
      </c>
      <c r="X887" s="112" t="s">
        <v>276</v>
      </c>
      <c r="Y887" s="112" t="s">
        <v>276</v>
      </c>
      <c r="Z887" s="113" t="s">
        <v>276</v>
      </c>
      <c r="AA887" s="112" t="s">
        <v>276</v>
      </c>
      <c r="AB887" s="113" t="s">
        <v>276</v>
      </c>
      <c r="AC887" s="113" t="s">
        <v>8415</v>
      </c>
      <c r="AD887" s="113" t="s">
        <v>866</v>
      </c>
      <c r="AE887" s="112" t="s">
        <v>276</v>
      </c>
      <c r="AF887" s="112" t="s">
        <v>276</v>
      </c>
      <c r="AG887" s="118">
        <v>26722</v>
      </c>
      <c r="AH887" s="118">
        <v>26730</v>
      </c>
      <c r="AI887" s="119" t="s">
        <v>2047</v>
      </c>
      <c r="AJ887" s="164" t="s">
        <v>276</v>
      </c>
      <c r="AK887" s="207" t="s">
        <v>276</v>
      </c>
      <c r="AL887" s="121" t="s">
        <v>276</v>
      </c>
      <c r="AM887" s="121" t="s">
        <v>276</v>
      </c>
      <c r="AN887" s="164" t="s">
        <v>276</v>
      </c>
      <c r="AO887" s="207" t="s">
        <v>276</v>
      </c>
      <c r="AP887" s="121" t="s">
        <v>276</v>
      </c>
      <c r="AQ887" s="121" t="s">
        <v>276</v>
      </c>
      <c r="AR887" s="112" t="s">
        <v>268</v>
      </c>
      <c r="AS887" s="207">
        <v>0.95599999999999996</v>
      </c>
      <c r="AT887" s="121" t="s">
        <v>276</v>
      </c>
      <c r="AU887" s="121">
        <v>0.83</v>
      </c>
      <c r="AV887" s="121">
        <v>1.1000000000000001</v>
      </c>
      <c r="AW887" s="112">
        <v>0.51</v>
      </c>
      <c r="AX887" s="112" t="s">
        <v>282</v>
      </c>
      <c r="AY887" s="112" t="s">
        <v>276</v>
      </c>
      <c r="AZ887" s="112" t="s">
        <v>276</v>
      </c>
      <c r="BA887" s="112" t="s">
        <v>276</v>
      </c>
      <c r="BB887" s="112" t="s">
        <v>276</v>
      </c>
      <c r="BC887" s="113" t="s">
        <v>8413</v>
      </c>
      <c r="BD887" s="113" t="s">
        <v>8410</v>
      </c>
      <c r="BE887" s="33" t="s">
        <v>100</v>
      </c>
      <c r="BF887" s="33" t="s">
        <v>98</v>
      </c>
    </row>
    <row r="888" spans="1:58" s="208" customFormat="1" ht="78" x14ac:dyDescent="0.3">
      <c r="A888" s="112">
        <v>11135</v>
      </c>
      <c r="B888" s="112" t="s">
        <v>8400</v>
      </c>
      <c r="C888" s="112" t="s">
        <v>83</v>
      </c>
      <c r="D888" s="113" t="s">
        <v>8416</v>
      </c>
      <c r="E888" s="112" t="s">
        <v>39</v>
      </c>
      <c r="F888" s="112" t="s">
        <v>143</v>
      </c>
      <c r="G888" s="112" t="s">
        <v>262</v>
      </c>
      <c r="H888" s="112" t="s">
        <v>225</v>
      </c>
      <c r="I888" s="112" t="s">
        <v>98</v>
      </c>
      <c r="J888" s="113" t="s">
        <v>24</v>
      </c>
      <c r="K888" s="113" t="s">
        <v>8402</v>
      </c>
      <c r="L888" s="113" t="s">
        <v>8403</v>
      </c>
      <c r="M888" s="112" t="s">
        <v>14</v>
      </c>
      <c r="N888" s="204" t="s">
        <v>98</v>
      </c>
      <c r="O888" s="117" t="s">
        <v>208</v>
      </c>
      <c r="P888" s="205">
        <v>42369</v>
      </c>
      <c r="Q888" s="113" t="s">
        <v>276</v>
      </c>
      <c r="R888" s="113" t="s">
        <v>8404</v>
      </c>
      <c r="S888" s="113" t="s">
        <v>8404</v>
      </c>
      <c r="T888" s="113">
        <v>3</v>
      </c>
      <c r="U888" s="120">
        <v>26722</v>
      </c>
      <c r="V888" s="118">
        <v>26730</v>
      </c>
      <c r="W888" s="112" t="s">
        <v>276</v>
      </c>
      <c r="X888" s="112" t="s">
        <v>276</v>
      </c>
      <c r="Y888" s="112" t="s">
        <v>276</v>
      </c>
      <c r="Z888" s="113" t="s">
        <v>276</v>
      </c>
      <c r="AA888" s="112" t="s">
        <v>276</v>
      </c>
      <c r="AB888" s="113" t="s">
        <v>276</v>
      </c>
      <c r="AC888" s="113" t="s">
        <v>8417</v>
      </c>
      <c r="AD888" s="113" t="s">
        <v>866</v>
      </c>
      <c r="AE888" s="112" t="s">
        <v>276</v>
      </c>
      <c r="AF888" s="112" t="s">
        <v>276</v>
      </c>
      <c r="AG888" s="118">
        <v>26722</v>
      </c>
      <c r="AH888" s="118">
        <v>26730</v>
      </c>
      <c r="AI888" s="119" t="s">
        <v>2047</v>
      </c>
      <c r="AJ888" s="164" t="s">
        <v>276</v>
      </c>
      <c r="AK888" s="207" t="s">
        <v>276</v>
      </c>
      <c r="AL888" s="121" t="s">
        <v>276</v>
      </c>
      <c r="AM888" s="121" t="s">
        <v>276</v>
      </c>
      <c r="AN888" s="164" t="s">
        <v>276</v>
      </c>
      <c r="AO888" s="207" t="s">
        <v>276</v>
      </c>
      <c r="AP888" s="121" t="s">
        <v>276</v>
      </c>
      <c r="AQ888" s="121" t="s">
        <v>276</v>
      </c>
      <c r="AR888" s="112" t="s">
        <v>268</v>
      </c>
      <c r="AS888" s="207">
        <v>0.93</v>
      </c>
      <c r="AT888" s="121" t="s">
        <v>276</v>
      </c>
      <c r="AU888" s="121">
        <v>0.82</v>
      </c>
      <c r="AV888" s="121">
        <v>1.05</v>
      </c>
      <c r="AW888" s="112">
        <v>0.25</v>
      </c>
      <c r="AX888" s="112" t="s">
        <v>282</v>
      </c>
      <c r="AY888" s="112" t="s">
        <v>276</v>
      </c>
      <c r="AZ888" s="112" t="s">
        <v>276</v>
      </c>
      <c r="BA888" s="112" t="s">
        <v>276</v>
      </c>
      <c r="BB888" s="112" t="s">
        <v>276</v>
      </c>
      <c r="BC888" s="113" t="s">
        <v>8413</v>
      </c>
      <c r="BD888" s="113" t="s">
        <v>8410</v>
      </c>
      <c r="BE888" s="33" t="s">
        <v>100</v>
      </c>
      <c r="BF888" s="33" t="s">
        <v>98</v>
      </c>
    </row>
    <row r="889" spans="1:58" s="208" customFormat="1" ht="78" x14ac:dyDescent="0.3">
      <c r="A889" s="112">
        <v>11135</v>
      </c>
      <c r="B889" s="112" t="s">
        <v>8400</v>
      </c>
      <c r="C889" s="112" t="s">
        <v>83</v>
      </c>
      <c r="D889" s="113" t="s">
        <v>8418</v>
      </c>
      <c r="E889" s="112" t="s">
        <v>39</v>
      </c>
      <c r="F889" s="112" t="s">
        <v>143</v>
      </c>
      <c r="G889" s="112" t="s">
        <v>262</v>
      </c>
      <c r="H889" s="112" t="s">
        <v>225</v>
      </c>
      <c r="I889" s="112" t="s">
        <v>98</v>
      </c>
      <c r="J889" s="113" t="s">
        <v>24</v>
      </c>
      <c r="K889" s="113" t="s">
        <v>8402</v>
      </c>
      <c r="L889" s="113" t="s">
        <v>8403</v>
      </c>
      <c r="M889" s="112" t="s">
        <v>14</v>
      </c>
      <c r="N889" s="204" t="s">
        <v>98</v>
      </c>
      <c r="O889" s="117" t="s">
        <v>208</v>
      </c>
      <c r="P889" s="205">
        <v>42369</v>
      </c>
      <c r="Q889" s="113" t="s">
        <v>276</v>
      </c>
      <c r="R889" s="113" t="s">
        <v>8404</v>
      </c>
      <c r="S889" s="113" t="s">
        <v>8404</v>
      </c>
      <c r="T889" s="113">
        <v>3</v>
      </c>
      <c r="U889" s="120">
        <v>26722</v>
      </c>
      <c r="V889" s="118">
        <v>26730</v>
      </c>
      <c r="W889" s="112" t="s">
        <v>276</v>
      </c>
      <c r="X889" s="112" t="s">
        <v>276</v>
      </c>
      <c r="Y889" s="112" t="s">
        <v>276</v>
      </c>
      <c r="Z889" s="113" t="s">
        <v>276</v>
      </c>
      <c r="AA889" s="112" t="s">
        <v>276</v>
      </c>
      <c r="AB889" s="113" t="s">
        <v>276</v>
      </c>
      <c r="AC889" s="113" t="s">
        <v>8419</v>
      </c>
      <c r="AD889" s="113" t="s">
        <v>866</v>
      </c>
      <c r="AE889" s="112" t="s">
        <v>276</v>
      </c>
      <c r="AF889" s="112" t="s">
        <v>276</v>
      </c>
      <c r="AG889" s="118">
        <v>26722</v>
      </c>
      <c r="AH889" s="118">
        <v>26730</v>
      </c>
      <c r="AI889" s="119" t="s">
        <v>2047</v>
      </c>
      <c r="AJ889" s="164" t="s">
        <v>276</v>
      </c>
      <c r="AK889" s="207" t="s">
        <v>276</v>
      </c>
      <c r="AL889" s="121" t="s">
        <v>276</v>
      </c>
      <c r="AM889" s="121" t="s">
        <v>276</v>
      </c>
      <c r="AN889" s="164" t="s">
        <v>276</v>
      </c>
      <c r="AO889" s="207" t="s">
        <v>276</v>
      </c>
      <c r="AP889" s="121" t="s">
        <v>276</v>
      </c>
      <c r="AQ889" s="121" t="s">
        <v>276</v>
      </c>
      <c r="AR889" s="112" t="s">
        <v>268</v>
      </c>
      <c r="AS889" s="207">
        <v>0.89300000000000002</v>
      </c>
      <c r="AT889" s="121" t="s">
        <v>276</v>
      </c>
      <c r="AU889" s="121">
        <v>0.8</v>
      </c>
      <c r="AV889" s="207">
        <v>0.99099999999999999</v>
      </c>
      <c r="AW889" s="112">
        <v>0.03</v>
      </c>
      <c r="AX889" s="112" t="s">
        <v>282</v>
      </c>
      <c r="AY889" s="112" t="s">
        <v>276</v>
      </c>
      <c r="AZ889" s="112" t="s">
        <v>276</v>
      </c>
      <c r="BA889" s="112" t="s">
        <v>276</v>
      </c>
      <c r="BB889" s="112" t="s">
        <v>276</v>
      </c>
      <c r="BC889" s="113" t="s">
        <v>8413</v>
      </c>
      <c r="BD889" s="113" t="s">
        <v>8410</v>
      </c>
      <c r="BE889" s="33" t="s">
        <v>100</v>
      </c>
      <c r="BF889" s="33" t="s">
        <v>98</v>
      </c>
    </row>
    <row r="890" spans="1:58" s="208" customFormat="1" ht="78" x14ac:dyDescent="0.3">
      <c r="A890" s="112">
        <v>11135</v>
      </c>
      <c r="B890" s="112" t="s">
        <v>8400</v>
      </c>
      <c r="C890" s="112" t="s">
        <v>83</v>
      </c>
      <c r="D890" s="113" t="s">
        <v>8420</v>
      </c>
      <c r="E890" s="112" t="s">
        <v>39</v>
      </c>
      <c r="F890" s="112" t="s">
        <v>143</v>
      </c>
      <c r="G890" s="112" t="s">
        <v>262</v>
      </c>
      <c r="H890" s="112" t="s">
        <v>225</v>
      </c>
      <c r="I890" s="112" t="s">
        <v>98</v>
      </c>
      <c r="J890" s="113" t="s">
        <v>24</v>
      </c>
      <c r="K890" s="113" t="s">
        <v>8402</v>
      </c>
      <c r="L890" s="113" t="s">
        <v>8403</v>
      </c>
      <c r="M890" s="112" t="s">
        <v>14</v>
      </c>
      <c r="N890" s="204" t="s">
        <v>98</v>
      </c>
      <c r="O890" s="117" t="s">
        <v>208</v>
      </c>
      <c r="P890" s="205">
        <v>42369</v>
      </c>
      <c r="Q890" s="113" t="s">
        <v>276</v>
      </c>
      <c r="R890" s="113" t="s">
        <v>8404</v>
      </c>
      <c r="S890" s="113" t="s">
        <v>8404</v>
      </c>
      <c r="T890" s="113">
        <v>3</v>
      </c>
      <c r="U890" s="120">
        <v>26722</v>
      </c>
      <c r="V890" s="118">
        <v>26730</v>
      </c>
      <c r="W890" s="112" t="s">
        <v>276</v>
      </c>
      <c r="X890" s="112" t="s">
        <v>276</v>
      </c>
      <c r="Y890" s="112" t="s">
        <v>276</v>
      </c>
      <c r="Z890" s="113" t="s">
        <v>276</v>
      </c>
      <c r="AA890" s="112" t="s">
        <v>276</v>
      </c>
      <c r="AB890" s="113" t="s">
        <v>276</v>
      </c>
      <c r="AC890" s="113" t="s">
        <v>8421</v>
      </c>
      <c r="AD890" s="113" t="s">
        <v>866</v>
      </c>
      <c r="AE890" s="112" t="s">
        <v>276</v>
      </c>
      <c r="AF890" s="112" t="s">
        <v>276</v>
      </c>
      <c r="AG890" s="118">
        <v>26722</v>
      </c>
      <c r="AH890" s="118">
        <v>26730</v>
      </c>
      <c r="AI890" s="119" t="s">
        <v>2047</v>
      </c>
      <c r="AJ890" s="164" t="s">
        <v>276</v>
      </c>
      <c r="AK890" s="207" t="s">
        <v>276</v>
      </c>
      <c r="AL890" s="121" t="s">
        <v>276</v>
      </c>
      <c r="AM890" s="121" t="s">
        <v>276</v>
      </c>
      <c r="AN890" s="164" t="s">
        <v>276</v>
      </c>
      <c r="AO890" s="207" t="s">
        <v>276</v>
      </c>
      <c r="AP890" s="121" t="s">
        <v>276</v>
      </c>
      <c r="AQ890" s="121" t="s">
        <v>276</v>
      </c>
      <c r="AR890" s="112" t="s">
        <v>268</v>
      </c>
      <c r="AS890" s="207">
        <v>0.91300000000000003</v>
      </c>
      <c r="AT890" s="121" t="s">
        <v>276</v>
      </c>
      <c r="AU890" s="121">
        <v>0.83</v>
      </c>
      <c r="AV890" s="207">
        <v>1.01</v>
      </c>
      <c r="AW890" s="112">
        <v>7.0000000000000007E-2</v>
      </c>
      <c r="AX890" s="112" t="s">
        <v>282</v>
      </c>
      <c r="AY890" s="112" t="s">
        <v>276</v>
      </c>
      <c r="AZ890" s="112" t="s">
        <v>276</v>
      </c>
      <c r="BA890" s="112" t="s">
        <v>276</v>
      </c>
      <c r="BB890" s="112" t="s">
        <v>276</v>
      </c>
      <c r="BC890" s="113" t="s">
        <v>8413</v>
      </c>
      <c r="BD890" s="113" t="s">
        <v>8410</v>
      </c>
      <c r="BE890" s="33" t="s">
        <v>100</v>
      </c>
      <c r="BF890" s="33" t="s">
        <v>98</v>
      </c>
    </row>
    <row r="891" spans="1:58" s="103" customFormat="1" ht="78" x14ac:dyDescent="0.3">
      <c r="A891" s="94">
        <v>11135</v>
      </c>
      <c r="B891" s="94" t="s">
        <v>8400</v>
      </c>
      <c r="C891" s="94" t="s">
        <v>83</v>
      </c>
      <c r="D891" s="95" t="s">
        <v>8422</v>
      </c>
      <c r="E891" s="94" t="s">
        <v>39</v>
      </c>
      <c r="F891" s="94" t="s">
        <v>143</v>
      </c>
      <c r="G891" s="94" t="s">
        <v>262</v>
      </c>
      <c r="H891" s="94" t="s">
        <v>225</v>
      </c>
      <c r="I891" s="94" t="s">
        <v>98</v>
      </c>
      <c r="J891" s="95" t="s">
        <v>23</v>
      </c>
      <c r="K891" s="95" t="s">
        <v>8402</v>
      </c>
      <c r="L891" s="95" t="s">
        <v>8403</v>
      </c>
      <c r="M891" s="94" t="s">
        <v>14</v>
      </c>
      <c r="N891" s="144" t="s">
        <v>98</v>
      </c>
      <c r="O891" s="96" t="s">
        <v>208</v>
      </c>
      <c r="P891" s="97">
        <v>42369</v>
      </c>
      <c r="Q891" s="95" t="s">
        <v>276</v>
      </c>
      <c r="R891" s="95" t="s">
        <v>8404</v>
      </c>
      <c r="S891" s="95" t="s">
        <v>8404</v>
      </c>
      <c r="T891" s="95">
        <v>3</v>
      </c>
      <c r="U891" s="107">
        <v>26722</v>
      </c>
      <c r="V891" s="98">
        <v>26730</v>
      </c>
      <c r="W891" s="94" t="s">
        <v>276</v>
      </c>
      <c r="X891" s="94" t="s">
        <v>276</v>
      </c>
      <c r="Y891" s="94" t="s">
        <v>276</v>
      </c>
      <c r="Z891" s="95" t="s">
        <v>276</v>
      </c>
      <c r="AA891" s="94" t="s">
        <v>276</v>
      </c>
      <c r="AB891" s="95" t="s">
        <v>276</v>
      </c>
      <c r="AC891" s="95" t="s">
        <v>8423</v>
      </c>
      <c r="AD891" s="95" t="s">
        <v>866</v>
      </c>
      <c r="AE891" s="94">
        <v>5253</v>
      </c>
      <c r="AF891" s="94">
        <v>5366</v>
      </c>
      <c r="AG891" s="98">
        <v>26722</v>
      </c>
      <c r="AH891" s="98">
        <v>26730</v>
      </c>
      <c r="AI891" s="99" t="s">
        <v>2047</v>
      </c>
      <c r="AJ891" s="100">
        <v>196.6</v>
      </c>
      <c r="AK891" s="101">
        <f t="shared" ref="AK891:AK906" si="120">AE891*1000/AG891</f>
        <v>196.57959733552877</v>
      </c>
      <c r="AL891" s="102" t="s">
        <v>276</v>
      </c>
      <c r="AM891" s="102" t="s">
        <v>276</v>
      </c>
      <c r="AN891" s="100">
        <v>200.7</v>
      </c>
      <c r="AO891" s="101">
        <f t="shared" ref="AO891:AO906" si="121">AF891*1000/AH891</f>
        <v>200.7482229704452</v>
      </c>
      <c r="AP891" s="102" t="s">
        <v>276</v>
      </c>
      <c r="AQ891" s="102" t="s">
        <v>276</v>
      </c>
      <c r="AR891" s="94" t="s">
        <v>268</v>
      </c>
      <c r="AS891" s="102">
        <v>0.97</v>
      </c>
      <c r="AT891" s="102">
        <f t="shared" ref="AT891:AT906" si="122">AK891/AO891</f>
        <v>0.97923455772990753</v>
      </c>
      <c r="AU891" s="102">
        <v>0.94</v>
      </c>
      <c r="AV891" s="102">
        <v>1.01</v>
      </c>
      <c r="AW891" s="94" t="s">
        <v>276</v>
      </c>
      <c r="AX891" s="94" t="s">
        <v>282</v>
      </c>
      <c r="AY891" s="94" t="s">
        <v>276</v>
      </c>
      <c r="AZ891" s="94" t="s">
        <v>276</v>
      </c>
      <c r="BA891" s="94" t="s">
        <v>276</v>
      </c>
      <c r="BB891" s="94" t="s">
        <v>276</v>
      </c>
      <c r="BC891" s="95" t="s">
        <v>8424</v>
      </c>
      <c r="BD891" s="95"/>
      <c r="BE891" s="33" t="s">
        <v>100</v>
      </c>
      <c r="BF891" s="33" t="s">
        <v>98</v>
      </c>
    </row>
    <row r="892" spans="1:58" s="208" customFormat="1" ht="78" x14ac:dyDescent="0.3">
      <c r="A892" s="112">
        <v>11135</v>
      </c>
      <c r="B892" s="112" t="s">
        <v>8400</v>
      </c>
      <c r="C892" s="112" t="s">
        <v>83</v>
      </c>
      <c r="D892" s="113" t="s">
        <v>8425</v>
      </c>
      <c r="E892" s="112" t="s">
        <v>39</v>
      </c>
      <c r="F892" s="112" t="s">
        <v>143</v>
      </c>
      <c r="G892" s="112" t="s">
        <v>262</v>
      </c>
      <c r="H892" s="112" t="s">
        <v>225</v>
      </c>
      <c r="I892" s="112" t="s">
        <v>98</v>
      </c>
      <c r="J892" s="113" t="s">
        <v>24</v>
      </c>
      <c r="K892" s="113" t="s">
        <v>8402</v>
      </c>
      <c r="L892" s="113" t="s">
        <v>8403</v>
      </c>
      <c r="M892" s="112" t="s">
        <v>14</v>
      </c>
      <c r="N892" s="204" t="s">
        <v>98</v>
      </c>
      <c r="O892" s="117" t="s">
        <v>208</v>
      </c>
      <c r="P892" s="205" t="s">
        <v>276</v>
      </c>
      <c r="Q892" s="113" t="s">
        <v>8426</v>
      </c>
      <c r="R892" s="113" t="s">
        <v>8427</v>
      </c>
      <c r="S892" s="113" t="s">
        <v>8427</v>
      </c>
      <c r="T892" s="113">
        <v>3</v>
      </c>
      <c r="U892" s="120">
        <v>26722</v>
      </c>
      <c r="V892" s="118">
        <v>26730</v>
      </c>
      <c r="W892" s="112" t="s">
        <v>276</v>
      </c>
      <c r="X892" s="112" t="s">
        <v>276</v>
      </c>
      <c r="Y892" s="112" t="s">
        <v>276</v>
      </c>
      <c r="Z892" s="113" t="s">
        <v>276</v>
      </c>
      <c r="AA892" s="112" t="s">
        <v>276</v>
      </c>
      <c r="AB892" s="113" t="s">
        <v>276</v>
      </c>
      <c r="AC892" s="113" t="s">
        <v>8428</v>
      </c>
      <c r="AD892" s="113" t="s">
        <v>866</v>
      </c>
      <c r="AE892" s="112">
        <v>312</v>
      </c>
      <c r="AF892" s="112">
        <v>370</v>
      </c>
      <c r="AG892" s="118">
        <v>26722</v>
      </c>
      <c r="AH892" s="118">
        <v>26730</v>
      </c>
      <c r="AI892" s="119" t="s">
        <v>2047</v>
      </c>
      <c r="AJ892" s="164" t="s">
        <v>276</v>
      </c>
      <c r="AK892" s="207">
        <f t="shared" si="120"/>
        <v>11.675772771499139</v>
      </c>
      <c r="AL892" s="121" t="s">
        <v>276</v>
      </c>
      <c r="AM892" s="121" t="s">
        <v>276</v>
      </c>
      <c r="AN892" s="164" t="s">
        <v>276</v>
      </c>
      <c r="AO892" s="207">
        <f t="shared" si="121"/>
        <v>13.842124953236064</v>
      </c>
      <c r="AP892" s="121" t="s">
        <v>276</v>
      </c>
      <c r="AQ892" s="121" t="s">
        <v>276</v>
      </c>
      <c r="AR892" s="112" t="s">
        <v>268</v>
      </c>
      <c r="AS892" s="121">
        <v>0.84</v>
      </c>
      <c r="AT892" s="121">
        <f t="shared" si="122"/>
        <v>0.8434956923842486</v>
      </c>
      <c r="AU892" s="121">
        <v>0.72</v>
      </c>
      <c r="AV892" s="121">
        <v>0.98</v>
      </c>
      <c r="AW892" s="112" t="s">
        <v>276</v>
      </c>
      <c r="AX892" s="112" t="s">
        <v>282</v>
      </c>
      <c r="AY892" s="112" t="s">
        <v>276</v>
      </c>
      <c r="AZ892" s="112" t="s">
        <v>276</v>
      </c>
      <c r="BA892" s="112" t="s">
        <v>276</v>
      </c>
      <c r="BB892" s="112" t="s">
        <v>276</v>
      </c>
      <c r="BC892" s="113" t="s">
        <v>1029</v>
      </c>
      <c r="BD892" s="113"/>
      <c r="BE892" s="33" t="s">
        <v>100</v>
      </c>
      <c r="BF892" s="33" t="s">
        <v>98</v>
      </c>
    </row>
    <row r="893" spans="1:58" s="208" customFormat="1" ht="78" x14ac:dyDescent="0.3">
      <c r="A893" s="112">
        <v>11135</v>
      </c>
      <c r="B893" s="112" t="s">
        <v>8400</v>
      </c>
      <c r="C893" s="112" t="s">
        <v>83</v>
      </c>
      <c r="D893" s="113" t="s">
        <v>8429</v>
      </c>
      <c r="E893" s="112" t="s">
        <v>39</v>
      </c>
      <c r="F893" s="112" t="s">
        <v>143</v>
      </c>
      <c r="G893" s="112" t="s">
        <v>262</v>
      </c>
      <c r="H893" s="112" t="s">
        <v>225</v>
      </c>
      <c r="I893" s="112" t="s">
        <v>98</v>
      </c>
      <c r="J893" s="113" t="s">
        <v>24</v>
      </c>
      <c r="K893" s="113" t="s">
        <v>8402</v>
      </c>
      <c r="L893" s="113" t="s">
        <v>8403</v>
      </c>
      <c r="M893" s="112" t="s">
        <v>14</v>
      </c>
      <c r="N893" s="204" t="s">
        <v>98</v>
      </c>
      <c r="O893" s="117" t="s">
        <v>208</v>
      </c>
      <c r="P893" s="205" t="s">
        <v>276</v>
      </c>
      <c r="Q893" s="113" t="s">
        <v>8430</v>
      </c>
      <c r="R893" s="113" t="s">
        <v>8431</v>
      </c>
      <c r="S893" s="113" t="s">
        <v>8431</v>
      </c>
      <c r="T893" s="113">
        <v>3</v>
      </c>
      <c r="U893" s="120">
        <v>26722</v>
      </c>
      <c r="V893" s="118">
        <v>26730</v>
      </c>
      <c r="W893" s="112" t="s">
        <v>276</v>
      </c>
      <c r="X893" s="112" t="s">
        <v>276</v>
      </c>
      <c r="Y893" s="112" t="s">
        <v>276</v>
      </c>
      <c r="Z893" s="113" t="s">
        <v>276</v>
      </c>
      <c r="AA893" s="112" t="s">
        <v>276</v>
      </c>
      <c r="AB893" s="113" t="s">
        <v>276</v>
      </c>
      <c r="AC893" s="113" t="s">
        <v>8432</v>
      </c>
      <c r="AD893" s="113" t="s">
        <v>866</v>
      </c>
      <c r="AE893" s="112">
        <v>347</v>
      </c>
      <c r="AF893" s="112">
        <v>427</v>
      </c>
      <c r="AG893" s="118">
        <v>26722</v>
      </c>
      <c r="AH893" s="118">
        <v>26730</v>
      </c>
      <c r="AI893" s="119" t="s">
        <v>2047</v>
      </c>
      <c r="AJ893" s="164" t="s">
        <v>276</v>
      </c>
      <c r="AK893" s="207">
        <f t="shared" si="120"/>
        <v>12.985554973430132</v>
      </c>
      <c r="AL893" s="121" t="s">
        <v>276</v>
      </c>
      <c r="AM893" s="121" t="s">
        <v>276</v>
      </c>
      <c r="AN893" s="164" t="s">
        <v>276</v>
      </c>
      <c r="AO893" s="207">
        <f t="shared" si="121"/>
        <v>15.974560419004863</v>
      </c>
      <c r="AP893" s="121" t="s">
        <v>276</v>
      </c>
      <c r="AQ893" s="121" t="s">
        <v>276</v>
      </c>
      <c r="AR893" s="112" t="s">
        <v>268</v>
      </c>
      <c r="AS893" s="121">
        <v>0.81</v>
      </c>
      <c r="AT893" s="121">
        <f t="shared" si="122"/>
        <v>0.81288965910957245</v>
      </c>
      <c r="AU893" s="121">
        <v>0.71</v>
      </c>
      <c r="AV893" s="121">
        <v>0.93</v>
      </c>
      <c r="AW893" s="112" t="s">
        <v>276</v>
      </c>
      <c r="AX893" s="112" t="s">
        <v>282</v>
      </c>
      <c r="AY893" s="112" t="s">
        <v>276</v>
      </c>
      <c r="AZ893" s="112" t="s">
        <v>276</v>
      </c>
      <c r="BA893" s="112" t="s">
        <v>276</v>
      </c>
      <c r="BB893" s="112" t="s">
        <v>276</v>
      </c>
      <c r="BC893" s="113" t="s">
        <v>1029</v>
      </c>
      <c r="BD893" s="113"/>
      <c r="BE893" s="33" t="s">
        <v>100</v>
      </c>
      <c r="BF893" s="33" t="s">
        <v>98</v>
      </c>
    </row>
    <row r="894" spans="1:58" s="208" customFormat="1" ht="78" x14ac:dyDescent="0.3">
      <c r="A894" s="112">
        <v>11135</v>
      </c>
      <c r="B894" s="112" t="s">
        <v>8400</v>
      </c>
      <c r="C894" s="112" t="s">
        <v>83</v>
      </c>
      <c r="D894" s="113" t="s">
        <v>8433</v>
      </c>
      <c r="E894" s="112" t="s">
        <v>39</v>
      </c>
      <c r="F894" s="112" t="s">
        <v>143</v>
      </c>
      <c r="G894" s="112" t="s">
        <v>262</v>
      </c>
      <c r="H894" s="112" t="s">
        <v>225</v>
      </c>
      <c r="I894" s="112" t="s">
        <v>98</v>
      </c>
      <c r="J894" s="113" t="s">
        <v>24</v>
      </c>
      <c r="K894" s="113" t="s">
        <v>8402</v>
      </c>
      <c r="L894" s="113" t="s">
        <v>8403</v>
      </c>
      <c r="M894" s="112" t="s">
        <v>14</v>
      </c>
      <c r="N894" s="204" t="s">
        <v>98</v>
      </c>
      <c r="O894" s="117" t="s">
        <v>208</v>
      </c>
      <c r="P894" s="205" t="s">
        <v>276</v>
      </c>
      <c r="Q894" s="113" t="s">
        <v>8434</v>
      </c>
      <c r="R894" s="113" t="s">
        <v>8435</v>
      </c>
      <c r="S894" s="113" t="s">
        <v>8435</v>
      </c>
      <c r="T894" s="113">
        <v>3</v>
      </c>
      <c r="U894" s="120">
        <v>26722</v>
      </c>
      <c r="V894" s="118">
        <v>26730</v>
      </c>
      <c r="W894" s="112" t="s">
        <v>276</v>
      </c>
      <c r="X894" s="112" t="s">
        <v>276</v>
      </c>
      <c r="Y894" s="112" t="s">
        <v>276</v>
      </c>
      <c r="Z894" s="113" t="s">
        <v>276</v>
      </c>
      <c r="AA894" s="112" t="s">
        <v>276</v>
      </c>
      <c r="AB894" s="113" t="s">
        <v>276</v>
      </c>
      <c r="AC894" s="113" t="s">
        <v>8436</v>
      </c>
      <c r="AD894" s="113" t="s">
        <v>866</v>
      </c>
      <c r="AE894" s="112">
        <v>398</v>
      </c>
      <c r="AF894" s="112">
        <v>491</v>
      </c>
      <c r="AG894" s="118">
        <v>26722</v>
      </c>
      <c r="AH894" s="118">
        <v>26730</v>
      </c>
      <c r="AI894" s="119" t="s">
        <v>2047</v>
      </c>
      <c r="AJ894" s="164" t="s">
        <v>276</v>
      </c>
      <c r="AK894" s="207">
        <f t="shared" si="120"/>
        <v>14.894094753386723</v>
      </c>
      <c r="AL894" s="121" t="s">
        <v>276</v>
      </c>
      <c r="AM894" s="121" t="s">
        <v>276</v>
      </c>
      <c r="AN894" s="164" t="s">
        <v>276</v>
      </c>
      <c r="AO894" s="207">
        <f t="shared" si="121"/>
        <v>18.368873924429479</v>
      </c>
      <c r="AP894" s="121" t="s">
        <v>276</v>
      </c>
      <c r="AQ894" s="121" t="s">
        <v>276</v>
      </c>
      <c r="AR894" s="112" t="s">
        <v>268</v>
      </c>
      <c r="AS894" s="121">
        <v>0.81</v>
      </c>
      <c r="AT894" s="121">
        <f t="shared" si="122"/>
        <v>0.81083330500616524</v>
      </c>
      <c r="AU894" s="121">
        <v>0.71</v>
      </c>
      <c r="AV894" s="121">
        <v>0.92</v>
      </c>
      <c r="AW894" s="112" t="s">
        <v>276</v>
      </c>
      <c r="AX894" s="112" t="s">
        <v>282</v>
      </c>
      <c r="AY894" s="112" t="s">
        <v>276</v>
      </c>
      <c r="AZ894" s="112" t="s">
        <v>276</v>
      </c>
      <c r="BA894" s="112" t="s">
        <v>276</v>
      </c>
      <c r="BB894" s="112" t="s">
        <v>276</v>
      </c>
      <c r="BC894" s="113" t="s">
        <v>1029</v>
      </c>
      <c r="BD894" s="113"/>
      <c r="BE894" s="33" t="s">
        <v>100</v>
      </c>
      <c r="BF894" s="33" t="s">
        <v>98</v>
      </c>
    </row>
    <row r="895" spans="1:58" s="208" customFormat="1" ht="78" x14ac:dyDescent="0.3">
      <c r="A895" s="112">
        <v>11135</v>
      </c>
      <c r="B895" s="112" t="s">
        <v>8400</v>
      </c>
      <c r="C895" s="112" t="s">
        <v>83</v>
      </c>
      <c r="D895" s="113" t="s">
        <v>8437</v>
      </c>
      <c r="E895" s="112" t="s">
        <v>39</v>
      </c>
      <c r="F895" s="112" t="s">
        <v>143</v>
      </c>
      <c r="G895" s="112" t="s">
        <v>262</v>
      </c>
      <c r="H895" s="112" t="s">
        <v>225</v>
      </c>
      <c r="I895" s="112" t="s">
        <v>98</v>
      </c>
      <c r="J895" s="113" t="s">
        <v>24</v>
      </c>
      <c r="K895" s="113" t="s">
        <v>8402</v>
      </c>
      <c r="L895" s="113" t="s">
        <v>8403</v>
      </c>
      <c r="M895" s="112" t="s">
        <v>14</v>
      </c>
      <c r="N895" s="204" t="s">
        <v>98</v>
      </c>
      <c r="O895" s="117" t="s">
        <v>208</v>
      </c>
      <c r="P895" s="205" t="s">
        <v>276</v>
      </c>
      <c r="Q895" s="113" t="s">
        <v>8438</v>
      </c>
      <c r="R895" s="113" t="s">
        <v>8439</v>
      </c>
      <c r="S895" s="113" t="s">
        <v>8439</v>
      </c>
      <c r="T895" s="113">
        <v>3</v>
      </c>
      <c r="U895" s="120">
        <v>26722</v>
      </c>
      <c r="V895" s="118">
        <v>26730</v>
      </c>
      <c r="W895" s="112" t="s">
        <v>276</v>
      </c>
      <c r="X895" s="112" t="s">
        <v>276</v>
      </c>
      <c r="Y895" s="112" t="s">
        <v>276</v>
      </c>
      <c r="Z895" s="113" t="s">
        <v>276</v>
      </c>
      <c r="AA895" s="112" t="s">
        <v>276</v>
      </c>
      <c r="AB895" s="113" t="s">
        <v>276</v>
      </c>
      <c r="AC895" s="113" t="s">
        <v>8440</v>
      </c>
      <c r="AD895" s="113" t="s">
        <v>866</v>
      </c>
      <c r="AE895" s="112">
        <v>457</v>
      </c>
      <c r="AF895" s="112">
        <v>550</v>
      </c>
      <c r="AG895" s="118">
        <v>26722</v>
      </c>
      <c r="AH895" s="118">
        <v>26730</v>
      </c>
      <c r="AI895" s="119" t="s">
        <v>2047</v>
      </c>
      <c r="AJ895" s="164" t="s">
        <v>276</v>
      </c>
      <c r="AK895" s="207">
        <f t="shared" si="120"/>
        <v>17.102013322356111</v>
      </c>
      <c r="AL895" s="121" t="s">
        <v>276</v>
      </c>
      <c r="AM895" s="121" t="s">
        <v>276</v>
      </c>
      <c r="AN895" s="164" t="s">
        <v>276</v>
      </c>
      <c r="AO895" s="207">
        <f t="shared" si="121"/>
        <v>20.5761316872428</v>
      </c>
      <c r="AP895" s="121" t="s">
        <v>276</v>
      </c>
      <c r="AQ895" s="121" t="s">
        <v>276</v>
      </c>
      <c r="AR895" s="112" t="s">
        <v>268</v>
      </c>
      <c r="AS895" s="121">
        <v>0.83</v>
      </c>
      <c r="AT895" s="121">
        <f t="shared" si="122"/>
        <v>0.83115784746650689</v>
      </c>
      <c r="AU895" s="121">
        <v>0.73</v>
      </c>
      <c r="AV895" s="121">
        <v>0.94</v>
      </c>
      <c r="AW895" s="112" t="s">
        <v>276</v>
      </c>
      <c r="AX895" s="112" t="s">
        <v>282</v>
      </c>
      <c r="AY895" s="112" t="s">
        <v>276</v>
      </c>
      <c r="AZ895" s="112" t="s">
        <v>276</v>
      </c>
      <c r="BA895" s="112" t="s">
        <v>276</v>
      </c>
      <c r="BB895" s="112" t="s">
        <v>276</v>
      </c>
      <c r="BC895" s="113" t="s">
        <v>1029</v>
      </c>
      <c r="BD895" s="113"/>
      <c r="BE895" s="33" t="s">
        <v>100</v>
      </c>
      <c r="BF895" s="33" t="s">
        <v>98</v>
      </c>
    </row>
    <row r="896" spans="1:58" s="208" customFormat="1" ht="78" x14ac:dyDescent="0.3">
      <c r="A896" s="112">
        <v>11135</v>
      </c>
      <c r="B896" s="112" t="s">
        <v>8400</v>
      </c>
      <c r="C896" s="112" t="s">
        <v>83</v>
      </c>
      <c r="D896" s="113" t="s">
        <v>8441</v>
      </c>
      <c r="E896" s="112" t="s">
        <v>39</v>
      </c>
      <c r="F896" s="112" t="s">
        <v>143</v>
      </c>
      <c r="G896" s="112" t="s">
        <v>262</v>
      </c>
      <c r="H896" s="112" t="s">
        <v>225</v>
      </c>
      <c r="I896" s="112" t="s">
        <v>98</v>
      </c>
      <c r="J896" s="113" t="s">
        <v>24</v>
      </c>
      <c r="K896" s="113" t="s">
        <v>8402</v>
      </c>
      <c r="L896" s="113" t="s">
        <v>8403</v>
      </c>
      <c r="M896" s="112" t="s">
        <v>14</v>
      </c>
      <c r="N896" s="204" t="s">
        <v>98</v>
      </c>
      <c r="O896" s="117" t="s">
        <v>208</v>
      </c>
      <c r="P896" s="205" t="s">
        <v>276</v>
      </c>
      <c r="Q896" s="113" t="s">
        <v>8442</v>
      </c>
      <c r="R896" s="113" t="s">
        <v>8443</v>
      </c>
      <c r="S896" s="113" t="s">
        <v>8443</v>
      </c>
      <c r="T896" s="113">
        <v>3</v>
      </c>
      <c r="U896" s="120">
        <v>26722</v>
      </c>
      <c r="V896" s="118">
        <v>26730</v>
      </c>
      <c r="W896" s="112" t="s">
        <v>276</v>
      </c>
      <c r="X896" s="112" t="s">
        <v>276</v>
      </c>
      <c r="Y896" s="112" t="s">
        <v>276</v>
      </c>
      <c r="Z896" s="113" t="s">
        <v>276</v>
      </c>
      <c r="AA896" s="112" t="s">
        <v>276</v>
      </c>
      <c r="AB896" s="113" t="s">
        <v>276</v>
      </c>
      <c r="AC896" s="113" t="s">
        <v>8444</v>
      </c>
      <c r="AD896" s="113" t="s">
        <v>866</v>
      </c>
      <c r="AE896" s="112">
        <v>517</v>
      </c>
      <c r="AF896" s="112">
        <v>600</v>
      </c>
      <c r="AG896" s="118">
        <v>26722</v>
      </c>
      <c r="AH896" s="118">
        <v>26730</v>
      </c>
      <c r="AI896" s="119" t="s">
        <v>2047</v>
      </c>
      <c r="AJ896" s="164" t="s">
        <v>276</v>
      </c>
      <c r="AK896" s="207">
        <f t="shared" si="120"/>
        <v>19.3473542399521</v>
      </c>
      <c r="AL896" s="121" t="s">
        <v>276</v>
      </c>
      <c r="AM896" s="121" t="s">
        <v>276</v>
      </c>
      <c r="AN896" s="164" t="s">
        <v>276</v>
      </c>
      <c r="AO896" s="207">
        <f t="shared" si="121"/>
        <v>22.446689113355781</v>
      </c>
      <c r="AP896" s="121" t="s">
        <v>276</v>
      </c>
      <c r="AQ896" s="121" t="s">
        <v>276</v>
      </c>
      <c r="AR896" s="112" t="s">
        <v>268</v>
      </c>
      <c r="AS896" s="121">
        <v>0.86</v>
      </c>
      <c r="AT896" s="121">
        <f t="shared" si="122"/>
        <v>0.86192463138986608</v>
      </c>
      <c r="AU896" s="121">
        <v>0.76</v>
      </c>
      <c r="AV896" s="121">
        <v>0.97</v>
      </c>
      <c r="AW896" s="112" t="s">
        <v>276</v>
      </c>
      <c r="AX896" s="112" t="s">
        <v>282</v>
      </c>
      <c r="AY896" s="112" t="s">
        <v>276</v>
      </c>
      <c r="AZ896" s="112" t="s">
        <v>276</v>
      </c>
      <c r="BA896" s="112" t="s">
        <v>276</v>
      </c>
      <c r="BB896" s="112" t="s">
        <v>276</v>
      </c>
      <c r="BC896" s="113" t="s">
        <v>1029</v>
      </c>
      <c r="BD896" s="113"/>
      <c r="BE896" s="33" t="s">
        <v>100</v>
      </c>
      <c r="BF896" s="33" t="s">
        <v>98</v>
      </c>
    </row>
    <row r="897" spans="1:61" s="103" customFormat="1" ht="78" x14ac:dyDescent="0.3">
      <c r="A897" s="94">
        <v>11135</v>
      </c>
      <c r="B897" s="94" t="s">
        <v>8400</v>
      </c>
      <c r="C897" s="94" t="s">
        <v>83</v>
      </c>
      <c r="D897" s="95" t="s">
        <v>8445</v>
      </c>
      <c r="E897" s="94" t="s">
        <v>39</v>
      </c>
      <c r="F897" s="94" t="s">
        <v>143</v>
      </c>
      <c r="G897" s="94" t="s">
        <v>262</v>
      </c>
      <c r="H897" s="94" t="s">
        <v>225</v>
      </c>
      <c r="I897" s="94" t="s">
        <v>98</v>
      </c>
      <c r="J897" s="95" t="s">
        <v>24</v>
      </c>
      <c r="K897" s="95" t="s">
        <v>8402</v>
      </c>
      <c r="L897" s="95" t="s">
        <v>8403</v>
      </c>
      <c r="M897" s="94" t="s">
        <v>14</v>
      </c>
      <c r="N897" s="144" t="s">
        <v>98</v>
      </c>
      <c r="O897" s="96" t="s">
        <v>208</v>
      </c>
      <c r="P897" s="97">
        <v>39828</v>
      </c>
      <c r="Q897" s="95" t="s">
        <v>276</v>
      </c>
      <c r="R897" s="95" t="s">
        <v>8376</v>
      </c>
      <c r="S897" s="95" t="s">
        <v>8376</v>
      </c>
      <c r="T897" s="95">
        <v>3</v>
      </c>
      <c r="U897" s="107">
        <v>26722</v>
      </c>
      <c r="V897" s="98">
        <v>26730</v>
      </c>
      <c r="W897" s="94" t="s">
        <v>276</v>
      </c>
      <c r="X897" s="94" t="s">
        <v>276</v>
      </c>
      <c r="Y897" s="94" t="s">
        <v>276</v>
      </c>
      <c r="Z897" s="95" t="s">
        <v>276</v>
      </c>
      <c r="AA897" s="94" t="s">
        <v>276</v>
      </c>
      <c r="AB897" s="95" t="s">
        <v>276</v>
      </c>
      <c r="AC897" s="95" t="s">
        <v>8446</v>
      </c>
      <c r="AD897" s="95" t="s">
        <v>866</v>
      </c>
      <c r="AE897" s="94">
        <v>356</v>
      </c>
      <c r="AF897" s="94">
        <v>443</v>
      </c>
      <c r="AG897" s="98">
        <v>26722</v>
      </c>
      <c r="AH897" s="98">
        <v>26730</v>
      </c>
      <c r="AI897" s="99" t="s">
        <v>2047</v>
      </c>
      <c r="AJ897" s="203" t="s">
        <v>276</v>
      </c>
      <c r="AK897" s="101">
        <f t="shared" si="120"/>
        <v>13.322356111069531</v>
      </c>
      <c r="AL897" s="102" t="s">
        <v>276</v>
      </c>
      <c r="AM897" s="102" t="s">
        <v>276</v>
      </c>
      <c r="AN897" s="203" t="s">
        <v>276</v>
      </c>
      <c r="AO897" s="101">
        <f t="shared" si="121"/>
        <v>16.573138795361018</v>
      </c>
      <c r="AP897" s="102" t="s">
        <v>276</v>
      </c>
      <c r="AQ897" s="102" t="s">
        <v>276</v>
      </c>
      <c r="AR897" s="94" t="s">
        <v>268</v>
      </c>
      <c r="AS897" s="102">
        <v>0.8</v>
      </c>
      <c r="AT897" s="102">
        <f t="shared" si="122"/>
        <v>0.80385232245798777</v>
      </c>
      <c r="AU897" s="102">
        <v>0.73</v>
      </c>
      <c r="AV897" s="102">
        <v>0.93</v>
      </c>
      <c r="AW897" s="94" t="s">
        <v>276</v>
      </c>
      <c r="AX897" s="94" t="s">
        <v>282</v>
      </c>
      <c r="AY897" s="94" t="s">
        <v>276</v>
      </c>
      <c r="AZ897" s="94" t="s">
        <v>276</v>
      </c>
      <c r="BA897" s="94" t="s">
        <v>276</v>
      </c>
      <c r="BB897" s="94" t="s">
        <v>276</v>
      </c>
      <c r="BC897" s="95" t="s">
        <v>1029</v>
      </c>
      <c r="BD897" s="95"/>
      <c r="BE897" s="33" t="s">
        <v>100</v>
      </c>
      <c r="BF897" s="33" t="s">
        <v>98</v>
      </c>
    </row>
    <row r="898" spans="1:61" s="103" customFormat="1" ht="78" x14ac:dyDescent="0.3">
      <c r="A898" s="94">
        <v>11135</v>
      </c>
      <c r="B898" s="94" t="s">
        <v>8400</v>
      </c>
      <c r="C898" s="94" t="s">
        <v>83</v>
      </c>
      <c r="D898" s="95" t="s">
        <v>8397</v>
      </c>
      <c r="E898" s="94" t="s">
        <v>39</v>
      </c>
      <c r="F898" s="94" t="s">
        <v>143</v>
      </c>
      <c r="G898" s="94" t="s">
        <v>262</v>
      </c>
      <c r="H898" s="94" t="s">
        <v>225</v>
      </c>
      <c r="I898" s="94" t="s">
        <v>98</v>
      </c>
      <c r="J898" s="95" t="s">
        <v>24</v>
      </c>
      <c r="K898" s="95" t="s">
        <v>8402</v>
      </c>
      <c r="L898" s="95" t="s">
        <v>8403</v>
      </c>
      <c r="M898" s="94" t="s">
        <v>14</v>
      </c>
      <c r="N898" s="144" t="s">
        <v>98</v>
      </c>
      <c r="O898" s="96" t="s">
        <v>208</v>
      </c>
      <c r="P898" s="97">
        <v>40178</v>
      </c>
      <c r="Q898" s="95" t="s">
        <v>276</v>
      </c>
      <c r="R898" s="95" t="s">
        <v>8394</v>
      </c>
      <c r="S898" s="95" t="s">
        <v>8394</v>
      </c>
      <c r="T898" s="95">
        <v>3</v>
      </c>
      <c r="U898" s="107">
        <v>26722</v>
      </c>
      <c r="V898" s="98">
        <v>26730</v>
      </c>
      <c r="W898" s="94" t="s">
        <v>276</v>
      </c>
      <c r="X898" s="94" t="s">
        <v>276</v>
      </c>
      <c r="Y898" s="94" t="s">
        <v>276</v>
      </c>
      <c r="Z898" s="95" t="s">
        <v>276</v>
      </c>
      <c r="AA898" s="94" t="s">
        <v>276</v>
      </c>
      <c r="AB898" s="95" t="s">
        <v>276</v>
      </c>
      <c r="AC898" s="95" t="s">
        <v>8395</v>
      </c>
      <c r="AD898" s="95" t="s">
        <v>866</v>
      </c>
      <c r="AE898" s="94">
        <v>469</v>
      </c>
      <c r="AF898" s="94">
        <v>552</v>
      </c>
      <c r="AG898" s="98">
        <v>26722</v>
      </c>
      <c r="AH898" s="98">
        <v>26730</v>
      </c>
      <c r="AI898" s="99" t="s">
        <v>2047</v>
      </c>
      <c r="AJ898" s="203" t="s">
        <v>276</v>
      </c>
      <c r="AK898" s="101">
        <f t="shared" si="120"/>
        <v>17.55108150587531</v>
      </c>
      <c r="AL898" s="102" t="s">
        <v>276</v>
      </c>
      <c r="AM898" s="102" t="s">
        <v>276</v>
      </c>
      <c r="AN898" s="203" t="s">
        <v>276</v>
      </c>
      <c r="AO898" s="101">
        <f t="shared" si="121"/>
        <v>20.650953984287316</v>
      </c>
      <c r="AP898" s="102" t="s">
        <v>276</v>
      </c>
      <c r="AQ898" s="102" t="s">
        <v>276</v>
      </c>
      <c r="AR898" s="94" t="s">
        <v>268</v>
      </c>
      <c r="AS898" s="102">
        <v>0.84</v>
      </c>
      <c r="AT898" s="102">
        <f t="shared" si="122"/>
        <v>0.84989204465950552</v>
      </c>
      <c r="AU898" s="102">
        <v>0.75</v>
      </c>
      <c r="AV898" s="102">
        <v>0.96</v>
      </c>
      <c r="AW898" s="94" t="s">
        <v>276</v>
      </c>
      <c r="AX898" s="94" t="s">
        <v>282</v>
      </c>
      <c r="AY898" s="94" t="s">
        <v>276</v>
      </c>
      <c r="AZ898" s="94" t="s">
        <v>276</v>
      </c>
      <c r="BA898" s="94" t="s">
        <v>276</v>
      </c>
      <c r="BB898" s="94" t="s">
        <v>276</v>
      </c>
      <c r="BC898" s="95" t="s">
        <v>1029</v>
      </c>
      <c r="BD898" s="95"/>
      <c r="BE898" s="33" t="s">
        <v>100</v>
      </c>
      <c r="BF898" s="33" t="s">
        <v>98</v>
      </c>
    </row>
    <row r="899" spans="1:61" s="208" customFormat="1" ht="78" x14ac:dyDescent="0.3">
      <c r="A899" s="112">
        <v>11135</v>
      </c>
      <c r="B899" s="112" t="s">
        <v>8400</v>
      </c>
      <c r="C899" s="112" t="s">
        <v>83</v>
      </c>
      <c r="D899" s="113" t="s">
        <v>8447</v>
      </c>
      <c r="E899" s="112" t="s">
        <v>39</v>
      </c>
      <c r="F899" s="112" t="s">
        <v>143</v>
      </c>
      <c r="G899" s="112" t="s">
        <v>262</v>
      </c>
      <c r="H899" s="112" t="s">
        <v>225</v>
      </c>
      <c r="I899" s="112" t="s">
        <v>98</v>
      </c>
      <c r="J899" s="113" t="s">
        <v>24</v>
      </c>
      <c r="K899" s="113" t="s">
        <v>8402</v>
      </c>
      <c r="L899" s="113" t="s">
        <v>8403</v>
      </c>
      <c r="M899" s="112" t="s">
        <v>16</v>
      </c>
      <c r="N899" s="114" t="s">
        <v>170</v>
      </c>
      <c r="O899" s="117" t="s">
        <v>208</v>
      </c>
      <c r="P899" s="205">
        <v>42369</v>
      </c>
      <c r="Q899" s="113" t="s">
        <v>276</v>
      </c>
      <c r="R899" s="113" t="s">
        <v>276</v>
      </c>
      <c r="S899" s="113" t="s">
        <v>276</v>
      </c>
      <c r="T899" s="113">
        <v>3</v>
      </c>
      <c r="U899" s="118">
        <v>15769</v>
      </c>
      <c r="V899" s="120">
        <v>15761</v>
      </c>
      <c r="W899" s="112" t="s">
        <v>276</v>
      </c>
      <c r="X899" s="112" t="s">
        <v>276</v>
      </c>
      <c r="Y899" s="112" t="s">
        <v>276</v>
      </c>
      <c r="Z899" s="113" t="s">
        <v>276</v>
      </c>
      <c r="AA899" s="112" t="s">
        <v>276</v>
      </c>
      <c r="AB899" s="113" t="s">
        <v>276</v>
      </c>
      <c r="AC899" s="113" t="s">
        <v>8448</v>
      </c>
      <c r="AD899" s="113" t="s">
        <v>689</v>
      </c>
      <c r="AE899" s="112">
        <v>733</v>
      </c>
      <c r="AF899" s="112">
        <v>755</v>
      </c>
      <c r="AG899" s="118">
        <v>15769</v>
      </c>
      <c r="AH899" s="120">
        <v>15761</v>
      </c>
      <c r="AI899" s="119" t="s">
        <v>2047</v>
      </c>
      <c r="AJ899" s="164">
        <v>46.5</v>
      </c>
      <c r="AK899" s="207">
        <f t="shared" si="120"/>
        <v>46.483607077176742</v>
      </c>
      <c r="AL899" s="121" t="s">
        <v>276</v>
      </c>
      <c r="AM899" s="121" t="s">
        <v>276</v>
      </c>
      <c r="AN899" s="164">
        <v>47.9</v>
      </c>
      <c r="AO899" s="207">
        <f t="shared" si="121"/>
        <v>47.903051836812388</v>
      </c>
      <c r="AP899" s="121" t="s">
        <v>276</v>
      </c>
      <c r="AQ899" s="121" t="s">
        <v>276</v>
      </c>
      <c r="AR899" s="112" t="s">
        <v>268</v>
      </c>
      <c r="AS899" s="121">
        <v>0.97</v>
      </c>
      <c r="AT899" s="121">
        <f t="shared" si="122"/>
        <v>0.97036838562037431</v>
      </c>
      <c r="AU899" s="121">
        <v>0.87</v>
      </c>
      <c r="AV899" s="121">
        <v>1.07</v>
      </c>
      <c r="AW899" s="112" t="s">
        <v>276</v>
      </c>
      <c r="AX899" s="112" t="s">
        <v>282</v>
      </c>
      <c r="AY899" s="112" t="s">
        <v>276</v>
      </c>
      <c r="AZ899" s="112" t="s">
        <v>276</v>
      </c>
      <c r="BA899" s="112" t="s">
        <v>276</v>
      </c>
      <c r="BB899" s="112" t="s">
        <v>276</v>
      </c>
      <c r="BC899" s="113" t="s">
        <v>8449</v>
      </c>
      <c r="BD899" s="113"/>
      <c r="BE899" s="33" t="s">
        <v>100</v>
      </c>
      <c r="BF899" s="33" t="s">
        <v>98</v>
      </c>
    </row>
    <row r="900" spans="1:61" s="208" customFormat="1" ht="78" x14ac:dyDescent="0.3">
      <c r="A900" s="112">
        <v>11135</v>
      </c>
      <c r="B900" s="112" t="s">
        <v>8400</v>
      </c>
      <c r="C900" s="112" t="s">
        <v>83</v>
      </c>
      <c r="D900" s="113" t="s">
        <v>8450</v>
      </c>
      <c r="E900" s="112" t="s">
        <v>39</v>
      </c>
      <c r="F900" s="112" t="s">
        <v>143</v>
      </c>
      <c r="G900" s="112" t="s">
        <v>262</v>
      </c>
      <c r="H900" s="112" t="s">
        <v>225</v>
      </c>
      <c r="I900" s="112" t="s">
        <v>98</v>
      </c>
      <c r="J900" s="113" t="s">
        <v>24</v>
      </c>
      <c r="K900" s="113" t="s">
        <v>8402</v>
      </c>
      <c r="L900" s="113" t="s">
        <v>8403</v>
      </c>
      <c r="M900" s="112" t="s">
        <v>16</v>
      </c>
      <c r="N900" s="114" t="s">
        <v>170</v>
      </c>
      <c r="O900" s="117" t="s">
        <v>208</v>
      </c>
      <c r="P900" s="205">
        <v>42369</v>
      </c>
      <c r="Q900" s="113" t="s">
        <v>276</v>
      </c>
      <c r="R900" s="113" t="s">
        <v>276</v>
      </c>
      <c r="S900" s="113" t="s">
        <v>276</v>
      </c>
      <c r="T900" s="113">
        <v>3</v>
      </c>
      <c r="U900" s="118">
        <v>15769</v>
      </c>
      <c r="V900" s="120">
        <v>15761</v>
      </c>
      <c r="W900" s="112" t="s">
        <v>276</v>
      </c>
      <c r="X900" s="112" t="s">
        <v>276</v>
      </c>
      <c r="Y900" s="112" t="s">
        <v>276</v>
      </c>
      <c r="Z900" s="113" t="s">
        <v>276</v>
      </c>
      <c r="AA900" s="112" t="s">
        <v>276</v>
      </c>
      <c r="AB900" s="113" t="s">
        <v>276</v>
      </c>
      <c r="AC900" s="113" t="s">
        <v>8451</v>
      </c>
      <c r="AD900" s="113" t="s">
        <v>689</v>
      </c>
      <c r="AE900" s="112">
        <v>373</v>
      </c>
      <c r="AF900" s="112">
        <v>390</v>
      </c>
      <c r="AG900" s="118">
        <v>15769</v>
      </c>
      <c r="AH900" s="120">
        <v>15761</v>
      </c>
      <c r="AI900" s="119" t="s">
        <v>2047</v>
      </c>
      <c r="AJ900" s="164">
        <v>23.7</v>
      </c>
      <c r="AK900" s="207">
        <f t="shared" si="120"/>
        <v>23.654004692751602</v>
      </c>
      <c r="AL900" s="121" t="s">
        <v>276</v>
      </c>
      <c r="AM900" s="121" t="s">
        <v>276</v>
      </c>
      <c r="AN900" s="164">
        <v>24.7</v>
      </c>
      <c r="AO900" s="207">
        <f t="shared" si="121"/>
        <v>24.744622803121629</v>
      </c>
      <c r="AP900" s="121" t="s">
        <v>276</v>
      </c>
      <c r="AQ900" s="121" t="s">
        <v>276</v>
      </c>
      <c r="AR900" s="112" t="s">
        <v>268</v>
      </c>
      <c r="AS900" s="121">
        <v>0.95</v>
      </c>
      <c r="AT900" s="121">
        <f t="shared" si="122"/>
        <v>0.95592504605758466</v>
      </c>
      <c r="AU900" s="121">
        <v>0.83</v>
      </c>
      <c r="AV900" s="121">
        <v>1.1000000000000001</v>
      </c>
      <c r="AW900" s="112" t="s">
        <v>276</v>
      </c>
      <c r="AX900" s="112" t="s">
        <v>282</v>
      </c>
      <c r="AY900" s="112" t="s">
        <v>276</v>
      </c>
      <c r="AZ900" s="112" t="s">
        <v>276</v>
      </c>
      <c r="BA900" s="112" t="s">
        <v>276</v>
      </c>
      <c r="BB900" s="112" t="s">
        <v>276</v>
      </c>
      <c r="BC900" s="113" t="s">
        <v>8452</v>
      </c>
      <c r="BD900" s="113" t="s">
        <v>8410</v>
      </c>
      <c r="BE900" s="33" t="s">
        <v>100</v>
      </c>
      <c r="BF900" s="33" t="s">
        <v>98</v>
      </c>
    </row>
    <row r="901" spans="1:61" s="103" customFormat="1" ht="78" x14ac:dyDescent="0.3">
      <c r="A901" s="94">
        <v>11135</v>
      </c>
      <c r="B901" s="94" t="s">
        <v>8400</v>
      </c>
      <c r="C901" s="94" t="s">
        <v>83</v>
      </c>
      <c r="D901" s="95" t="s">
        <v>8453</v>
      </c>
      <c r="E901" s="94" t="s">
        <v>39</v>
      </c>
      <c r="F901" s="94" t="s">
        <v>143</v>
      </c>
      <c r="G901" s="94" t="s">
        <v>262</v>
      </c>
      <c r="H901" s="94" t="s">
        <v>225</v>
      </c>
      <c r="I901" s="94" t="s">
        <v>98</v>
      </c>
      <c r="J901" s="95" t="s">
        <v>24</v>
      </c>
      <c r="K901" s="95" t="s">
        <v>8402</v>
      </c>
      <c r="L901" s="95" t="s">
        <v>8403</v>
      </c>
      <c r="M901" s="94" t="s">
        <v>16</v>
      </c>
      <c r="N901" s="104" t="s">
        <v>171</v>
      </c>
      <c r="O901" s="96" t="s">
        <v>208</v>
      </c>
      <c r="P901" s="97">
        <v>42369</v>
      </c>
      <c r="Q901" s="95" t="s">
        <v>276</v>
      </c>
      <c r="R901" s="95" t="s">
        <v>276</v>
      </c>
      <c r="S901" s="95" t="s">
        <v>276</v>
      </c>
      <c r="T901" s="95">
        <v>3</v>
      </c>
      <c r="U901" s="98">
        <v>10953</v>
      </c>
      <c r="V901" s="107">
        <v>10969</v>
      </c>
      <c r="W901" s="94" t="s">
        <v>276</v>
      </c>
      <c r="X901" s="94" t="s">
        <v>276</v>
      </c>
      <c r="Y901" s="94" t="s">
        <v>276</v>
      </c>
      <c r="Z901" s="95" t="s">
        <v>276</v>
      </c>
      <c r="AA901" s="94" t="s">
        <v>276</v>
      </c>
      <c r="AB901" s="95" t="s">
        <v>276</v>
      </c>
      <c r="AC901" s="95" t="s">
        <v>8454</v>
      </c>
      <c r="AD901" s="95" t="s">
        <v>280</v>
      </c>
      <c r="AE901" s="94">
        <v>414</v>
      </c>
      <c r="AF901" s="94">
        <v>481</v>
      </c>
      <c r="AG901" s="98">
        <v>10953</v>
      </c>
      <c r="AH901" s="107">
        <v>10969</v>
      </c>
      <c r="AI901" s="99" t="s">
        <v>2047</v>
      </c>
      <c r="AJ901" s="100">
        <v>37.799999999999997</v>
      </c>
      <c r="AK901" s="101">
        <f t="shared" si="120"/>
        <v>37.797863599013972</v>
      </c>
      <c r="AL901" s="102" t="s">
        <v>276</v>
      </c>
      <c r="AM901" s="102" t="s">
        <v>276</v>
      </c>
      <c r="AN901" s="100">
        <v>43.9</v>
      </c>
      <c r="AO901" s="101">
        <f t="shared" si="121"/>
        <v>43.850852402224447</v>
      </c>
      <c r="AP901" s="102" t="s">
        <v>276</v>
      </c>
      <c r="AQ901" s="102" t="s">
        <v>276</v>
      </c>
      <c r="AR901" s="94" t="s">
        <v>268</v>
      </c>
      <c r="AS901" s="102">
        <v>0.86</v>
      </c>
      <c r="AT901" s="102">
        <f t="shared" si="122"/>
        <v>0.8619641700989279</v>
      </c>
      <c r="AU901" s="102">
        <v>0.75</v>
      </c>
      <c r="AV901" s="102">
        <v>0.98</v>
      </c>
      <c r="AW901" s="94" t="s">
        <v>276</v>
      </c>
      <c r="AX901" s="94" t="s">
        <v>282</v>
      </c>
      <c r="AY901" s="94" t="s">
        <v>276</v>
      </c>
      <c r="AZ901" s="94" t="s">
        <v>276</v>
      </c>
      <c r="BA901" s="94" t="s">
        <v>276</v>
      </c>
      <c r="BB901" s="94" t="s">
        <v>276</v>
      </c>
      <c r="BC901" s="95" t="s">
        <v>8455</v>
      </c>
      <c r="BD901" s="95"/>
      <c r="BE901" s="33" t="s">
        <v>100</v>
      </c>
      <c r="BF901" s="33" t="s">
        <v>98</v>
      </c>
    </row>
    <row r="902" spans="1:61" s="103" customFormat="1" ht="78" x14ac:dyDescent="0.3">
      <c r="A902" s="94">
        <v>11135</v>
      </c>
      <c r="B902" s="94" t="s">
        <v>8400</v>
      </c>
      <c r="C902" s="94" t="s">
        <v>83</v>
      </c>
      <c r="D902" s="95" t="s">
        <v>8456</v>
      </c>
      <c r="E902" s="94" t="s">
        <v>39</v>
      </c>
      <c r="F902" s="94" t="s">
        <v>143</v>
      </c>
      <c r="G902" s="94" t="s">
        <v>262</v>
      </c>
      <c r="H902" s="94" t="s">
        <v>225</v>
      </c>
      <c r="I902" s="94" t="s">
        <v>98</v>
      </c>
      <c r="J902" s="95" t="s">
        <v>24</v>
      </c>
      <c r="K902" s="95" t="s">
        <v>8402</v>
      </c>
      <c r="L902" s="95" t="s">
        <v>8403</v>
      </c>
      <c r="M902" s="94" t="s">
        <v>16</v>
      </c>
      <c r="N902" s="104" t="s">
        <v>171</v>
      </c>
      <c r="O902" s="96" t="s">
        <v>208</v>
      </c>
      <c r="P902" s="97">
        <v>42369</v>
      </c>
      <c r="Q902" s="95" t="s">
        <v>276</v>
      </c>
      <c r="R902" s="95" t="s">
        <v>276</v>
      </c>
      <c r="S902" s="95" t="s">
        <v>276</v>
      </c>
      <c r="T902" s="95">
        <v>3</v>
      </c>
      <c r="U902" s="98">
        <v>10953</v>
      </c>
      <c r="V902" s="107">
        <v>10969</v>
      </c>
      <c r="W902" s="94" t="s">
        <v>276</v>
      </c>
      <c r="X902" s="94" t="s">
        <v>276</v>
      </c>
      <c r="Y902" s="94" t="s">
        <v>276</v>
      </c>
      <c r="Z902" s="95" t="s">
        <v>276</v>
      </c>
      <c r="AA902" s="94" t="s">
        <v>276</v>
      </c>
      <c r="AB902" s="95" t="s">
        <v>276</v>
      </c>
      <c r="AC902" s="95" t="s">
        <v>8457</v>
      </c>
      <c r="AD902" s="95" t="s">
        <v>280</v>
      </c>
      <c r="AE902" s="94">
        <v>205</v>
      </c>
      <c r="AF902" s="94">
        <v>256</v>
      </c>
      <c r="AG902" s="98">
        <v>10953</v>
      </c>
      <c r="AH902" s="107">
        <v>10969</v>
      </c>
      <c r="AI902" s="99" t="s">
        <v>2047</v>
      </c>
      <c r="AJ902" s="100">
        <v>18.7</v>
      </c>
      <c r="AK902" s="101">
        <f t="shared" si="120"/>
        <v>18.71633342463252</v>
      </c>
      <c r="AL902" s="102" t="s">
        <v>276</v>
      </c>
      <c r="AM902" s="102" t="s">
        <v>276</v>
      </c>
      <c r="AN902" s="100">
        <v>23.3</v>
      </c>
      <c r="AO902" s="101">
        <f t="shared" si="121"/>
        <v>23.338499407420912</v>
      </c>
      <c r="AP902" s="102" t="s">
        <v>276</v>
      </c>
      <c r="AQ902" s="102" t="s">
        <v>276</v>
      </c>
      <c r="AR902" s="94" t="s">
        <v>268</v>
      </c>
      <c r="AS902" s="102">
        <v>0.8</v>
      </c>
      <c r="AT902" s="102">
        <f t="shared" si="122"/>
        <v>0.80195102083903957</v>
      </c>
      <c r="AU902" s="102">
        <v>0.66</v>
      </c>
      <c r="AV902" s="102">
        <v>0.96</v>
      </c>
      <c r="AW902" s="94" t="s">
        <v>276</v>
      </c>
      <c r="AX902" s="94" t="s">
        <v>282</v>
      </c>
      <c r="AY902" s="94" t="s">
        <v>276</v>
      </c>
      <c r="AZ902" s="94" t="s">
        <v>276</v>
      </c>
      <c r="BA902" s="94" t="s">
        <v>276</v>
      </c>
      <c r="BB902" s="94" t="s">
        <v>276</v>
      </c>
      <c r="BC902" s="95" t="s">
        <v>8458</v>
      </c>
      <c r="BD902" s="95" t="s">
        <v>8410</v>
      </c>
      <c r="BE902" s="33" t="s">
        <v>100</v>
      </c>
      <c r="BF902" s="33" t="s">
        <v>98</v>
      </c>
    </row>
    <row r="903" spans="1:61" s="208" customFormat="1" ht="78" x14ac:dyDescent="0.3">
      <c r="A903" s="112">
        <v>11135</v>
      </c>
      <c r="B903" s="112" t="s">
        <v>8400</v>
      </c>
      <c r="C903" s="112" t="s">
        <v>83</v>
      </c>
      <c r="D903" s="113" t="s">
        <v>8459</v>
      </c>
      <c r="E903" s="112" t="s">
        <v>39</v>
      </c>
      <c r="F903" s="112" t="s">
        <v>143</v>
      </c>
      <c r="G903" s="112" t="s">
        <v>262</v>
      </c>
      <c r="H903" s="112" t="s">
        <v>225</v>
      </c>
      <c r="I903" s="112" t="s">
        <v>98</v>
      </c>
      <c r="J903" s="113" t="s">
        <v>24</v>
      </c>
      <c r="K903" s="113" t="s">
        <v>8402</v>
      </c>
      <c r="L903" s="113" t="s">
        <v>8403</v>
      </c>
      <c r="M903" s="112" t="s">
        <v>15</v>
      </c>
      <c r="N903" s="115" t="s">
        <v>8460</v>
      </c>
      <c r="O903" s="117" t="s">
        <v>208</v>
      </c>
      <c r="P903" s="205">
        <v>42369</v>
      </c>
      <c r="Q903" s="113" t="s">
        <v>276</v>
      </c>
      <c r="R903" s="113" t="s">
        <v>276</v>
      </c>
      <c r="S903" s="113" t="s">
        <v>276</v>
      </c>
      <c r="T903" s="113">
        <v>3</v>
      </c>
      <c r="U903" s="118">
        <f>11442+8170</f>
        <v>19612</v>
      </c>
      <c r="V903" s="120">
        <f>11423+8199</f>
        <v>19622</v>
      </c>
      <c r="W903" s="112" t="s">
        <v>276</v>
      </c>
      <c r="X903" s="112" t="s">
        <v>276</v>
      </c>
      <c r="Y903" s="112" t="s">
        <v>276</v>
      </c>
      <c r="Z903" s="113" t="s">
        <v>276</v>
      </c>
      <c r="AA903" s="112" t="s">
        <v>276</v>
      </c>
      <c r="AB903" s="113" t="s">
        <v>276</v>
      </c>
      <c r="AC903" s="113" t="s">
        <v>8461</v>
      </c>
      <c r="AD903" s="113" t="s">
        <v>8462</v>
      </c>
      <c r="AE903" s="112">
        <v>641</v>
      </c>
      <c r="AF903" s="112">
        <v>739</v>
      </c>
      <c r="AG903" s="118">
        <f>11442+8170</f>
        <v>19612</v>
      </c>
      <c r="AH903" s="120">
        <f>11423+8199</f>
        <v>19622</v>
      </c>
      <c r="AI903" s="119" t="s">
        <v>2047</v>
      </c>
      <c r="AJ903" s="164">
        <v>32.700000000000003</v>
      </c>
      <c r="AK903" s="207">
        <f t="shared" si="120"/>
        <v>32.684070976952889</v>
      </c>
      <c r="AL903" s="121" t="s">
        <v>276</v>
      </c>
      <c r="AM903" s="121" t="s">
        <v>276</v>
      </c>
      <c r="AN903" s="164">
        <v>37.700000000000003</v>
      </c>
      <c r="AO903" s="207">
        <f t="shared" si="121"/>
        <v>37.661808174498013</v>
      </c>
      <c r="AP903" s="121" t="s">
        <v>276</v>
      </c>
      <c r="AQ903" s="121" t="s">
        <v>276</v>
      </c>
      <c r="AR903" s="112" t="s">
        <v>268</v>
      </c>
      <c r="AS903" s="121">
        <v>0.86</v>
      </c>
      <c r="AT903" s="121">
        <f t="shared" si="122"/>
        <v>0.86783063695503326</v>
      </c>
      <c r="AU903" s="121">
        <v>0.78</v>
      </c>
      <c r="AV903" s="121">
        <v>0.96</v>
      </c>
      <c r="AW903" s="112" t="s">
        <v>276</v>
      </c>
      <c r="AX903" s="112" t="s">
        <v>282</v>
      </c>
      <c r="AY903" s="112" t="s">
        <v>276</v>
      </c>
      <c r="AZ903" s="112" t="s">
        <v>276</v>
      </c>
      <c r="BA903" s="112" t="s">
        <v>276</v>
      </c>
      <c r="BB903" s="112" t="s">
        <v>276</v>
      </c>
      <c r="BC903" s="113" t="s">
        <v>8463</v>
      </c>
      <c r="BD903" s="113"/>
      <c r="BE903" s="33" t="s">
        <v>100</v>
      </c>
      <c r="BF903" s="33" t="s">
        <v>98</v>
      </c>
    </row>
    <row r="904" spans="1:61" s="208" customFormat="1" ht="91" x14ac:dyDescent="0.3">
      <c r="A904" s="112">
        <v>11135</v>
      </c>
      <c r="B904" s="112" t="s">
        <v>8400</v>
      </c>
      <c r="C904" s="112" t="s">
        <v>83</v>
      </c>
      <c r="D904" s="113" t="s">
        <v>8464</v>
      </c>
      <c r="E904" s="112" t="s">
        <v>39</v>
      </c>
      <c r="F904" s="112" t="s">
        <v>143</v>
      </c>
      <c r="G904" s="112" t="s">
        <v>262</v>
      </c>
      <c r="H904" s="112" t="s">
        <v>225</v>
      </c>
      <c r="I904" s="112" t="s">
        <v>98</v>
      </c>
      <c r="J904" s="113" t="s">
        <v>24</v>
      </c>
      <c r="K904" s="113" t="s">
        <v>8402</v>
      </c>
      <c r="L904" s="113" t="s">
        <v>8403</v>
      </c>
      <c r="M904" s="112" t="s">
        <v>15</v>
      </c>
      <c r="N904" s="115" t="s">
        <v>8460</v>
      </c>
      <c r="O904" s="117" t="s">
        <v>208</v>
      </c>
      <c r="P904" s="205">
        <v>42369</v>
      </c>
      <c r="Q904" s="113" t="s">
        <v>276</v>
      </c>
      <c r="R904" s="113" t="s">
        <v>276</v>
      </c>
      <c r="S904" s="113" t="s">
        <v>276</v>
      </c>
      <c r="T904" s="113">
        <v>3</v>
      </c>
      <c r="U904" s="118">
        <f>11442+8170</f>
        <v>19612</v>
      </c>
      <c r="V904" s="120">
        <f>11423+8199</f>
        <v>19622</v>
      </c>
      <c r="W904" s="112" t="s">
        <v>276</v>
      </c>
      <c r="X904" s="112" t="s">
        <v>276</v>
      </c>
      <c r="Y904" s="112" t="s">
        <v>276</v>
      </c>
      <c r="Z904" s="113" t="s">
        <v>276</v>
      </c>
      <c r="AA904" s="112" t="s">
        <v>276</v>
      </c>
      <c r="AB904" s="113" t="s">
        <v>276</v>
      </c>
      <c r="AC904" s="113" t="s">
        <v>8465</v>
      </c>
      <c r="AD904" s="113" t="s">
        <v>8462</v>
      </c>
      <c r="AE904" s="112">
        <v>310</v>
      </c>
      <c r="AF904" s="112">
        <v>362</v>
      </c>
      <c r="AG904" s="118">
        <f>11442+8170</f>
        <v>19612</v>
      </c>
      <c r="AH904" s="120">
        <f>11423+8199</f>
        <v>19622</v>
      </c>
      <c r="AI904" s="119" t="s">
        <v>2047</v>
      </c>
      <c r="AJ904" s="164">
        <v>15.8</v>
      </c>
      <c r="AK904" s="207">
        <f t="shared" si="120"/>
        <v>15.806648990414033</v>
      </c>
      <c r="AL904" s="121" t="s">
        <v>276</v>
      </c>
      <c r="AM904" s="121" t="s">
        <v>276</v>
      </c>
      <c r="AN904" s="164">
        <v>18.399999999999999</v>
      </c>
      <c r="AO904" s="207">
        <f t="shared" si="121"/>
        <v>18.448680053001734</v>
      </c>
      <c r="AP904" s="121" t="s">
        <v>276</v>
      </c>
      <c r="AQ904" s="121" t="s">
        <v>276</v>
      </c>
      <c r="AR904" s="112" t="s">
        <v>268</v>
      </c>
      <c r="AS904" s="121">
        <v>0.85</v>
      </c>
      <c r="AT904" s="121">
        <f t="shared" si="122"/>
        <v>0.85679023892238704</v>
      </c>
      <c r="AU904" s="121">
        <v>0.73</v>
      </c>
      <c r="AV904" s="121">
        <v>0.99</v>
      </c>
      <c r="AW904" s="112" t="s">
        <v>276</v>
      </c>
      <c r="AX904" s="112" t="s">
        <v>282</v>
      </c>
      <c r="AY904" s="112" t="s">
        <v>276</v>
      </c>
      <c r="AZ904" s="112" t="s">
        <v>276</v>
      </c>
      <c r="BA904" s="112" t="s">
        <v>276</v>
      </c>
      <c r="BB904" s="112" t="s">
        <v>276</v>
      </c>
      <c r="BC904" s="113" t="s">
        <v>8466</v>
      </c>
      <c r="BD904" s="113" t="s">
        <v>8410</v>
      </c>
      <c r="BE904" s="33" t="s">
        <v>100</v>
      </c>
      <c r="BF904" s="33" t="s">
        <v>98</v>
      </c>
    </row>
    <row r="905" spans="1:61" s="103" customFormat="1" ht="78" x14ac:dyDescent="0.3">
      <c r="A905" s="94">
        <v>11135</v>
      </c>
      <c r="B905" s="94" t="s">
        <v>8400</v>
      </c>
      <c r="C905" s="94" t="s">
        <v>83</v>
      </c>
      <c r="D905" s="95" t="s">
        <v>8467</v>
      </c>
      <c r="E905" s="94" t="s">
        <v>39</v>
      </c>
      <c r="F905" s="94" t="s">
        <v>143</v>
      </c>
      <c r="G905" s="94" t="s">
        <v>262</v>
      </c>
      <c r="H905" s="94" t="s">
        <v>225</v>
      </c>
      <c r="I905" s="94" t="s">
        <v>98</v>
      </c>
      <c r="J905" s="95" t="s">
        <v>24</v>
      </c>
      <c r="K905" s="95" t="s">
        <v>8402</v>
      </c>
      <c r="L905" s="95" t="s">
        <v>8403</v>
      </c>
      <c r="M905" s="94" t="s">
        <v>15</v>
      </c>
      <c r="N905" s="105" t="s">
        <v>8468</v>
      </c>
      <c r="O905" s="96" t="s">
        <v>208</v>
      </c>
      <c r="P905" s="97">
        <v>42369</v>
      </c>
      <c r="Q905" s="95" t="s">
        <v>276</v>
      </c>
      <c r="R905" s="95" t="s">
        <v>276</v>
      </c>
      <c r="S905" s="95" t="s">
        <v>276</v>
      </c>
      <c r="T905" s="95">
        <v>3</v>
      </c>
      <c r="U905" s="98">
        <f>4756+2354</f>
        <v>7110</v>
      </c>
      <c r="V905" s="107">
        <f>4761+2347</f>
        <v>7108</v>
      </c>
      <c r="W905" s="94" t="s">
        <v>276</v>
      </c>
      <c r="X905" s="94" t="s">
        <v>276</v>
      </c>
      <c r="Y905" s="94" t="s">
        <v>276</v>
      </c>
      <c r="Z905" s="95" t="s">
        <v>276</v>
      </c>
      <c r="AA905" s="94" t="s">
        <v>276</v>
      </c>
      <c r="AB905" s="95" t="s">
        <v>276</v>
      </c>
      <c r="AC905" s="95" t="s">
        <v>8469</v>
      </c>
      <c r="AD905" s="95" t="s">
        <v>8470</v>
      </c>
      <c r="AE905" s="94">
        <v>506</v>
      </c>
      <c r="AF905" s="94">
        <v>497</v>
      </c>
      <c r="AG905" s="98">
        <f>4756+2354</f>
        <v>7110</v>
      </c>
      <c r="AH905" s="107">
        <f>4761+2347</f>
        <v>7108</v>
      </c>
      <c r="AI905" s="99" t="s">
        <v>2047</v>
      </c>
      <c r="AJ905" s="100">
        <v>71.2</v>
      </c>
      <c r="AK905" s="101">
        <f t="shared" si="120"/>
        <v>71.167369901547119</v>
      </c>
      <c r="AL905" s="102" t="s">
        <v>276</v>
      </c>
      <c r="AM905" s="102" t="s">
        <v>276</v>
      </c>
      <c r="AN905" s="100">
        <v>69.900000000000006</v>
      </c>
      <c r="AO905" s="101">
        <f t="shared" si="121"/>
        <v>69.921215531795156</v>
      </c>
      <c r="AP905" s="102" t="s">
        <v>276</v>
      </c>
      <c r="AQ905" s="102" t="s">
        <v>276</v>
      </c>
      <c r="AR905" s="94" t="s">
        <v>268</v>
      </c>
      <c r="AS905" s="102">
        <v>1.01</v>
      </c>
      <c r="AT905" s="102">
        <f t="shared" si="122"/>
        <v>1.0178222641050241</v>
      </c>
      <c r="AU905" s="102">
        <v>0.9</v>
      </c>
      <c r="AV905" s="102">
        <v>1.1499999999999999</v>
      </c>
      <c r="AW905" s="94" t="s">
        <v>276</v>
      </c>
      <c r="AX905" s="94" t="s">
        <v>282</v>
      </c>
      <c r="AY905" s="94" t="s">
        <v>276</v>
      </c>
      <c r="AZ905" s="94" t="s">
        <v>276</v>
      </c>
      <c r="BA905" s="94" t="s">
        <v>276</v>
      </c>
      <c r="BB905" s="94" t="s">
        <v>276</v>
      </c>
      <c r="BC905" s="95" t="s">
        <v>8463</v>
      </c>
      <c r="BD905" s="95"/>
      <c r="BE905" s="33" t="s">
        <v>100</v>
      </c>
      <c r="BF905" s="33" t="s">
        <v>98</v>
      </c>
    </row>
    <row r="906" spans="1:61" s="103" customFormat="1" ht="91" x14ac:dyDescent="0.3">
      <c r="A906" s="94">
        <v>11135</v>
      </c>
      <c r="B906" s="94" t="s">
        <v>8400</v>
      </c>
      <c r="C906" s="94" t="s">
        <v>83</v>
      </c>
      <c r="D906" s="95" t="s">
        <v>8471</v>
      </c>
      <c r="E906" s="94" t="s">
        <v>39</v>
      </c>
      <c r="F906" s="94" t="s">
        <v>143</v>
      </c>
      <c r="G906" s="94" t="s">
        <v>262</v>
      </c>
      <c r="H906" s="94" t="s">
        <v>225</v>
      </c>
      <c r="I906" s="94" t="s">
        <v>98</v>
      </c>
      <c r="J906" s="95" t="s">
        <v>24</v>
      </c>
      <c r="K906" s="95" t="s">
        <v>8402</v>
      </c>
      <c r="L906" s="95" t="s">
        <v>8403</v>
      </c>
      <c r="M906" s="94" t="s">
        <v>15</v>
      </c>
      <c r="N906" s="105" t="s">
        <v>8468</v>
      </c>
      <c r="O906" s="96" t="s">
        <v>208</v>
      </c>
      <c r="P906" s="97">
        <v>42369</v>
      </c>
      <c r="Q906" s="95" t="s">
        <v>276</v>
      </c>
      <c r="R906" s="95" t="s">
        <v>276</v>
      </c>
      <c r="S906" s="95" t="s">
        <v>276</v>
      </c>
      <c r="T906" s="95">
        <v>3</v>
      </c>
      <c r="U906" s="98">
        <f>4756+2354</f>
        <v>7110</v>
      </c>
      <c r="V906" s="107">
        <f>4761+2347</f>
        <v>7108</v>
      </c>
      <c r="W906" s="94" t="s">
        <v>276</v>
      </c>
      <c r="X906" s="94" t="s">
        <v>276</v>
      </c>
      <c r="Y906" s="94" t="s">
        <v>276</v>
      </c>
      <c r="Z906" s="95" t="s">
        <v>276</v>
      </c>
      <c r="AA906" s="94" t="s">
        <v>276</v>
      </c>
      <c r="AB906" s="95" t="s">
        <v>276</v>
      </c>
      <c r="AC906" s="95" t="s">
        <v>8472</v>
      </c>
      <c r="AD906" s="95" t="s">
        <v>8470</v>
      </c>
      <c r="AE906" s="94">
        <v>268</v>
      </c>
      <c r="AF906" s="94">
        <v>284</v>
      </c>
      <c r="AG906" s="98">
        <f>4756+2354</f>
        <v>7110</v>
      </c>
      <c r="AH906" s="107">
        <f>4761+2347</f>
        <v>7108</v>
      </c>
      <c r="AI906" s="99" t="s">
        <v>2047</v>
      </c>
      <c r="AJ906" s="100">
        <v>37.700000000000003</v>
      </c>
      <c r="AK906" s="101">
        <f t="shared" si="120"/>
        <v>37.693389592123772</v>
      </c>
      <c r="AL906" s="102" t="s">
        <v>276</v>
      </c>
      <c r="AM906" s="102" t="s">
        <v>276</v>
      </c>
      <c r="AN906" s="100">
        <v>40</v>
      </c>
      <c r="AO906" s="101">
        <f t="shared" si="121"/>
        <v>39.954980303882948</v>
      </c>
      <c r="AP906" s="102" t="s">
        <v>276</v>
      </c>
      <c r="AQ906" s="102" t="s">
        <v>276</v>
      </c>
      <c r="AR906" s="94" t="s">
        <v>268</v>
      </c>
      <c r="AS906" s="102">
        <v>0.94</v>
      </c>
      <c r="AT906" s="102">
        <f t="shared" si="122"/>
        <v>0.94339652542540764</v>
      </c>
      <c r="AU906" s="102">
        <v>0.8</v>
      </c>
      <c r="AV906" s="102">
        <v>1.1100000000000001</v>
      </c>
      <c r="AW906" s="94" t="s">
        <v>276</v>
      </c>
      <c r="AX906" s="94" t="s">
        <v>282</v>
      </c>
      <c r="AY906" s="94" t="s">
        <v>276</v>
      </c>
      <c r="AZ906" s="94" t="s">
        <v>276</v>
      </c>
      <c r="BA906" s="94" t="s">
        <v>276</v>
      </c>
      <c r="BB906" s="94" t="s">
        <v>276</v>
      </c>
      <c r="BC906" s="95" t="s">
        <v>8473</v>
      </c>
      <c r="BD906" s="95" t="s">
        <v>8410</v>
      </c>
      <c r="BE906" s="33" t="s">
        <v>100</v>
      </c>
      <c r="BF906" s="33" t="s">
        <v>98</v>
      </c>
    </row>
    <row r="907" spans="1:61" s="7" customFormat="1" ht="78" x14ac:dyDescent="0.3">
      <c r="A907" s="545">
        <v>196</v>
      </c>
      <c r="B907" s="545" t="s">
        <v>8614</v>
      </c>
      <c r="C907" s="545" t="s">
        <v>50</v>
      </c>
      <c r="D907" s="546" t="s">
        <v>11364</v>
      </c>
      <c r="E907" s="545" t="s">
        <v>36</v>
      </c>
      <c r="F907" s="546" t="s">
        <v>8615</v>
      </c>
      <c r="G907" s="545" t="s">
        <v>225</v>
      </c>
      <c r="H907" s="545" t="s">
        <v>125</v>
      </c>
      <c r="I907" s="545" t="s">
        <v>114</v>
      </c>
      <c r="J907" s="546" t="s">
        <v>24</v>
      </c>
      <c r="K907" s="546" t="s">
        <v>8616</v>
      </c>
      <c r="L907" s="546" t="s">
        <v>862</v>
      </c>
      <c r="M907" s="545" t="s">
        <v>15</v>
      </c>
      <c r="N907" s="547" t="s">
        <v>8617</v>
      </c>
      <c r="O907" s="548" t="s">
        <v>207</v>
      </c>
      <c r="P907" s="549">
        <v>38717</v>
      </c>
      <c r="Q907" s="546" t="s">
        <v>8618</v>
      </c>
      <c r="R907" s="546" t="s">
        <v>8619</v>
      </c>
      <c r="S907" s="546" t="s">
        <v>8619</v>
      </c>
      <c r="T907" s="546">
        <v>1</v>
      </c>
      <c r="U907" s="550">
        <v>13653</v>
      </c>
      <c r="V907" s="546">
        <v>41092</v>
      </c>
      <c r="W907" s="546" t="s">
        <v>276</v>
      </c>
      <c r="X907" s="546" t="s">
        <v>276</v>
      </c>
      <c r="Y907" s="545" t="s">
        <v>8620</v>
      </c>
      <c r="Z907" s="546" t="s">
        <v>1562</v>
      </c>
      <c r="AA907" s="545" t="s">
        <v>8620</v>
      </c>
      <c r="AB907" s="546" t="s">
        <v>1562</v>
      </c>
      <c r="AC907" s="546" t="s">
        <v>8621</v>
      </c>
      <c r="AD907" s="546" t="s">
        <v>2046</v>
      </c>
      <c r="AE907" s="545">
        <v>24</v>
      </c>
      <c r="AF907" s="545">
        <v>99</v>
      </c>
      <c r="AG907" s="550">
        <v>13653</v>
      </c>
      <c r="AH907" s="550">
        <v>41092</v>
      </c>
      <c r="AI907" s="551" t="s">
        <v>2047</v>
      </c>
      <c r="AJ907" s="553" t="s">
        <v>276</v>
      </c>
      <c r="AK907" s="554">
        <f>AE907*1000/AG907</f>
        <v>1.7578554163920017</v>
      </c>
      <c r="AL907" s="553" t="s">
        <v>276</v>
      </c>
      <c r="AM907" s="553" t="s">
        <v>276</v>
      </c>
      <c r="AN907" s="553" t="s">
        <v>276</v>
      </c>
      <c r="AO907" s="553">
        <f>AF907*1000/AH907</f>
        <v>2.4092280735909668</v>
      </c>
      <c r="AP907" s="553" t="s">
        <v>276</v>
      </c>
      <c r="AQ907" s="553" t="s">
        <v>276</v>
      </c>
      <c r="AR907" s="545" t="s">
        <v>268</v>
      </c>
      <c r="AS907" s="553" t="s">
        <v>276</v>
      </c>
      <c r="AT907" s="553">
        <f>AK907/AO907</f>
        <v>0.72963429060990026</v>
      </c>
      <c r="AU907" s="553" t="s">
        <v>276</v>
      </c>
      <c r="AV907" s="553" t="s">
        <v>276</v>
      </c>
      <c r="AW907" s="553" t="s">
        <v>276</v>
      </c>
      <c r="AX907" s="545" t="s">
        <v>282</v>
      </c>
      <c r="AY907" s="545" t="s">
        <v>276</v>
      </c>
      <c r="AZ907" s="545" t="s">
        <v>276</v>
      </c>
      <c r="BA907" s="545" t="s">
        <v>276</v>
      </c>
      <c r="BB907" s="545" t="s">
        <v>276</v>
      </c>
      <c r="BC907" s="546" t="s">
        <v>8622</v>
      </c>
      <c r="BD907" s="546" t="s">
        <v>8623</v>
      </c>
      <c r="BE907" s="33" t="s">
        <v>100</v>
      </c>
      <c r="BF907" s="33" t="s">
        <v>98</v>
      </c>
    </row>
    <row r="908" spans="1:61" s="7" customFormat="1" ht="78" x14ac:dyDescent="0.3">
      <c r="A908" s="545">
        <v>196</v>
      </c>
      <c r="B908" s="545" t="s">
        <v>8614</v>
      </c>
      <c r="C908" s="545" t="s">
        <v>50</v>
      </c>
      <c r="D908" s="546" t="s">
        <v>11365</v>
      </c>
      <c r="E908" s="545" t="s">
        <v>36</v>
      </c>
      <c r="F908" s="546" t="s">
        <v>8615</v>
      </c>
      <c r="G908" s="545" t="s">
        <v>225</v>
      </c>
      <c r="H908" s="545" t="s">
        <v>125</v>
      </c>
      <c r="I908" s="545" t="s">
        <v>114</v>
      </c>
      <c r="J908" s="546" t="s">
        <v>24</v>
      </c>
      <c r="K908" s="546" t="s">
        <v>8616</v>
      </c>
      <c r="L908" s="546" t="s">
        <v>862</v>
      </c>
      <c r="M908" s="545" t="s">
        <v>15</v>
      </c>
      <c r="N908" s="547" t="s">
        <v>8617</v>
      </c>
      <c r="O908" s="548" t="s">
        <v>207</v>
      </c>
      <c r="P908" s="549">
        <v>38717</v>
      </c>
      <c r="Q908" s="546" t="s">
        <v>8618</v>
      </c>
      <c r="R908" s="546" t="s">
        <v>8619</v>
      </c>
      <c r="S908" s="546" t="s">
        <v>8619</v>
      </c>
      <c r="T908" s="546">
        <v>1</v>
      </c>
      <c r="U908" s="550">
        <v>13653</v>
      </c>
      <c r="V908" s="546">
        <v>41092</v>
      </c>
      <c r="W908" s="546" t="s">
        <v>276</v>
      </c>
      <c r="X908" s="546" t="s">
        <v>276</v>
      </c>
      <c r="Y908" s="545" t="s">
        <v>8620</v>
      </c>
      <c r="Z908" s="546" t="s">
        <v>1562</v>
      </c>
      <c r="AA908" s="545" t="s">
        <v>8620</v>
      </c>
      <c r="AB908" s="546" t="s">
        <v>1562</v>
      </c>
      <c r="AC908" s="546" t="s">
        <v>8621</v>
      </c>
      <c r="AD908" s="546" t="s">
        <v>8624</v>
      </c>
      <c r="AE908" s="545">
        <v>24</v>
      </c>
      <c r="AF908" s="545">
        <v>99</v>
      </c>
      <c r="AG908" s="550" t="s">
        <v>276</v>
      </c>
      <c r="AH908" s="550" t="s">
        <v>276</v>
      </c>
      <c r="AI908" s="551" t="s">
        <v>276</v>
      </c>
      <c r="AJ908" s="553" t="s">
        <v>276</v>
      </c>
      <c r="AK908" s="554" t="s">
        <v>276</v>
      </c>
      <c r="AL908" s="553" t="s">
        <v>276</v>
      </c>
      <c r="AM908" s="553" t="s">
        <v>276</v>
      </c>
      <c r="AN908" s="553" t="s">
        <v>276</v>
      </c>
      <c r="AO908" s="553" t="s">
        <v>276</v>
      </c>
      <c r="AP908" s="553" t="s">
        <v>276</v>
      </c>
      <c r="AQ908" s="553" t="s">
        <v>276</v>
      </c>
      <c r="AR908" s="545" t="s">
        <v>270</v>
      </c>
      <c r="AS908" s="553">
        <v>0.73</v>
      </c>
      <c r="AT908" s="553" t="s">
        <v>276</v>
      </c>
      <c r="AU908" s="553">
        <v>0.47</v>
      </c>
      <c r="AV908" s="553">
        <v>1.1299999999999999</v>
      </c>
      <c r="AW908" s="553">
        <v>0.16</v>
      </c>
      <c r="AX908" s="545" t="s">
        <v>282</v>
      </c>
      <c r="AY908" s="545" t="s">
        <v>276</v>
      </c>
      <c r="AZ908" s="545" t="s">
        <v>276</v>
      </c>
      <c r="BA908" s="545" t="s">
        <v>276</v>
      </c>
      <c r="BB908" s="545" t="s">
        <v>276</v>
      </c>
      <c r="BC908" s="546" t="s">
        <v>8625</v>
      </c>
      <c r="BD908" s="546" t="s">
        <v>8623</v>
      </c>
      <c r="BE908" s="33" t="s">
        <v>100</v>
      </c>
      <c r="BF908" s="33" t="s">
        <v>98</v>
      </c>
    </row>
    <row r="909" spans="1:61" s="7" customFormat="1" ht="78" x14ac:dyDescent="0.3">
      <c r="A909" s="545">
        <v>196</v>
      </c>
      <c r="B909" s="545" t="s">
        <v>8614</v>
      </c>
      <c r="C909" s="545" t="s">
        <v>50</v>
      </c>
      <c r="D909" s="546" t="s">
        <v>11366</v>
      </c>
      <c r="E909" s="545" t="s">
        <v>36</v>
      </c>
      <c r="F909" s="546" t="s">
        <v>8615</v>
      </c>
      <c r="G909" s="545" t="s">
        <v>225</v>
      </c>
      <c r="H909" s="545" t="s">
        <v>125</v>
      </c>
      <c r="I909" s="545" t="s">
        <v>114</v>
      </c>
      <c r="J909" s="546" t="s">
        <v>24</v>
      </c>
      <c r="K909" s="546" t="s">
        <v>8616</v>
      </c>
      <c r="L909" s="546" t="s">
        <v>862</v>
      </c>
      <c r="M909" s="545" t="s">
        <v>15</v>
      </c>
      <c r="N909" s="547" t="s">
        <v>8617</v>
      </c>
      <c r="O909" s="548" t="s">
        <v>207</v>
      </c>
      <c r="P909" s="549">
        <v>38717</v>
      </c>
      <c r="Q909" s="546" t="s">
        <v>8618</v>
      </c>
      <c r="R909" s="546" t="s">
        <v>8619</v>
      </c>
      <c r="S909" s="546" t="s">
        <v>8619</v>
      </c>
      <c r="T909" s="546">
        <v>1</v>
      </c>
      <c r="U909" s="550">
        <v>13653</v>
      </c>
      <c r="V909" s="546">
        <v>41092</v>
      </c>
      <c r="W909" s="546" t="s">
        <v>276</v>
      </c>
      <c r="X909" s="546" t="s">
        <v>276</v>
      </c>
      <c r="Y909" s="545" t="s">
        <v>8620</v>
      </c>
      <c r="Z909" s="546" t="s">
        <v>1562</v>
      </c>
      <c r="AA909" s="545" t="s">
        <v>8620</v>
      </c>
      <c r="AB909" s="546" t="s">
        <v>1562</v>
      </c>
      <c r="AC909" s="546" t="s">
        <v>8626</v>
      </c>
      <c r="AD909" s="546" t="s">
        <v>8624</v>
      </c>
      <c r="AE909" s="550" t="s">
        <v>276</v>
      </c>
      <c r="AF909" s="550" t="s">
        <v>276</v>
      </c>
      <c r="AG909" s="550" t="s">
        <v>276</v>
      </c>
      <c r="AH909" s="550" t="s">
        <v>276</v>
      </c>
      <c r="AI909" s="551" t="s">
        <v>276</v>
      </c>
      <c r="AJ909" s="553" t="s">
        <v>276</v>
      </c>
      <c r="AK909" s="554" t="s">
        <v>276</v>
      </c>
      <c r="AL909" s="553" t="s">
        <v>276</v>
      </c>
      <c r="AM909" s="553" t="s">
        <v>276</v>
      </c>
      <c r="AN909" s="553" t="s">
        <v>276</v>
      </c>
      <c r="AO909" s="553" t="s">
        <v>276</v>
      </c>
      <c r="AP909" s="553" t="s">
        <v>276</v>
      </c>
      <c r="AQ909" s="553" t="s">
        <v>276</v>
      </c>
      <c r="AR909" s="545" t="s">
        <v>270</v>
      </c>
      <c r="AS909" s="553">
        <v>0.63</v>
      </c>
      <c r="AT909" s="553" t="s">
        <v>276</v>
      </c>
      <c r="AU909" s="553">
        <v>0.34</v>
      </c>
      <c r="AV909" s="553">
        <v>1.18</v>
      </c>
      <c r="AW909" s="553">
        <v>0.15</v>
      </c>
      <c r="AX909" s="545" t="s">
        <v>282</v>
      </c>
      <c r="AY909" s="545" t="s">
        <v>276</v>
      </c>
      <c r="AZ909" s="545" t="s">
        <v>276</v>
      </c>
      <c r="BA909" s="545" t="s">
        <v>276</v>
      </c>
      <c r="BB909" s="545" t="s">
        <v>276</v>
      </c>
      <c r="BC909" s="546" t="s">
        <v>8627</v>
      </c>
      <c r="BD909" s="546" t="s">
        <v>8623</v>
      </c>
      <c r="BE909" s="33" t="s">
        <v>100</v>
      </c>
      <c r="BF909" s="33" t="s">
        <v>98</v>
      </c>
    </row>
    <row r="910" spans="1:61" s="423" customFormat="1" ht="78" x14ac:dyDescent="0.3">
      <c r="A910" s="701">
        <v>196</v>
      </c>
      <c r="B910" s="701" t="s">
        <v>8614</v>
      </c>
      <c r="C910" s="701" t="s">
        <v>50</v>
      </c>
      <c r="D910" s="702" t="s">
        <v>8628</v>
      </c>
      <c r="E910" s="701" t="s">
        <v>36</v>
      </c>
      <c r="F910" s="702" t="s">
        <v>8615</v>
      </c>
      <c r="G910" s="701" t="s">
        <v>225</v>
      </c>
      <c r="H910" s="701" t="s">
        <v>125</v>
      </c>
      <c r="I910" s="701" t="s">
        <v>114</v>
      </c>
      <c r="J910" s="702" t="s">
        <v>23</v>
      </c>
      <c r="K910" s="702" t="s">
        <v>8616</v>
      </c>
      <c r="L910" s="702" t="s">
        <v>862</v>
      </c>
      <c r="M910" s="701" t="s">
        <v>15</v>
      </c>
      <c r="N910" s="703" t="s">
        <v>8617</v>
      </c>
      <c r="O910" s="704" t="s">
        <v>207</v>
      </c>
      <c r="P910" s="747">
        <v>38717</v>
      </c>
      <c r="Q910" s="702" t="s">
        <v>8618</v>
      </c>
      <c r="R910" s="748" t="s">
        <v>8619</v>
      </c>
      <c r="S910" s="702" t="s">
        <v>8619</v>
      </c>
      <c r="T910" s="702">
        <v>1</v>
      </c>
      <c r="U910" s="707">
        <v>13653</v>
      </c>
      <c r="V910" s="702">
        <v>41092</v>
      </c>
      <c r="W910" s="702" t="s">
        <v>276</v>
      </c>
      <c r="X910" s="702" t="s">
        <v>276</v>
      </c>
      <c r="Y910" s="701">
        <v>0</v>
      </c>
      <c r="Z910" s="702" t="s">
        <v>98</v>
      </c>
      <c r="AA910" s="701">
        <v>0</v>
      </c>
      <c r="AB910" s="702" t="s">
        <v>98</v>
      </c>
      <c r="AC910" s="702" t="s">
        <v>8629</v>
      </c>
      <c r="AD910" s="702" t="s">
        <v>8624</v>
      </c>
      <c r="AE910" s="707" t="s">
        <v>276</v>
      </c>
      <c r="AF910" s="707" t="s">
        <v>276</v>
      </c>
      <c r="AG910" s="707" t="s">
        <v>276</v>
      </c>
      <c r="AH910" s="707" t="s">
        <v>276</v>
      </c>
      <c r="AI910" s="706" t="s">
        <v>276</v>
      </c>
      <c r="AJ910" s="710" t="s">
        <v>276</v>
      </c>
      <c r="AK910" s="709" t="s">
        <v>276</v>
      </c>
      <c r="AL910" s="710" t="s">
        <v>276</v>
      </c>
      <c r="AM910" s="710" t="s">
        <v>276</v>
      </c>
      <c r="AN910" s="710" t="s">
        <v>276</v>
      </c>
      <c r="AO910" s="710" t="s">
        <v>276</v>
      </c>
      <c r="AP910" s="710" t="s">
        <v>276</v>
      </c>
      <c r="AQ910" s="710" t="s">
        <v>276</v>
      </c>
      <c r="AR910" s="701" t="s">
        <v>270</v>
      </c>
      <c r="AS910" s="710">
        <v>1.02</v>
      </c>
      <c r="AT910" s="710" t="s">
        <v>276</v>
      </c>
      <c r="AU910" s="710">
        <v>0.98</v>
      </c>
      <c r="AV910" s="710">
        <v>1.07</v>
      </c>
      <c r="AW910" s="710">
        <v>0.28000000000000003</v>
      </c>
      <c r="AX910" s="701" t="s">
        <v>282</v>
      </c>
      <c r="AY910" s="701" t="s">
        <v>276</v>
      </c>
      <c r="AZ910" s="701" t="s">
        <v>276</v>
      </c>
      <c r="BA910" s="701" t="s">
        <v>276</v>
      </c>
      <c r="BB910" s="701" t="s">
        <v>276</v>
      </c>
      <c r="BC910" s="702" t="s">
        <v>8630</v>
      </c>
      <c r="BD910" s="702" t="s">
        <v>8623</v>
      </c>
      <c r="BE910" s="33" t="s">
        <v>100</v>
      </c>
      <c r="BF910" s="33" t="s">
        <v>98</v>
      </c>
    </row>
    <row r="911" spans="1:61" s="103" customFormat="1" ht="52" x14ac:dyDescent="0.3">
      <c r="A911" s="577">
        <v>195</v>
      </c>
      <c r="B911" s="577" t="s">
        <v>8631</v>
      </c>
      <c r="C911" s="577" t="s">
        <v>50</v>
      </c>
      <c r="D911" s="578" t="s">
        <v>11367</v>
      </c>
      <c r="E911" s="577" t="s">
        <v>36</v>
      </c>
      <c r="F911" s="578" t="s">
        <v>8615</v>
      </c>
      <c r="G911" s="577" t="s">
        <v>225</v>
      </c>
      <c r="H911" s="577" t="s">
        <v>125</v>
      </c>
      <c r="I911" s="577" t="s">
        <v>114</v>
      </c>
      <c r="J911" s="578" t="s">
        <v>24</v>
      </c>
      <c r="K911" s="578" t="s">
        <v>8632</v>
      </c>
      <c r="L911" s="578" t="s">
        <v>8633</v>
      </c>
      <c r="M911" s="577" t="s">
        <v>14</v>
      </c>
      <c r="N911" s="579" t="s">
        <v>98</v>
      </c>
      <c r="O911" s="580" t="s">
        <v>207</v>
      </c>
      <c r="P911" s="581">
        <v>40908</v>
      </c>
      <c r="Q911" s="578" t="s">
        <v>276</v>
      </c>
      <c r="R911" s="578" t="s">
        <v>8634</v>
      </c>
      <c r="S911" s="578" t="s">
        <v>8635</v>
      </c>
      <c r="T911" s="578">
        <v>1</v>
      </c>
      <c r="U911" s="582">
        <v>20572</v>
      </c>
      <c r="V911" s="578">
        <v>78220</v>
      </c>
      <c r="W911" s="577" t="s">
        <v>276</v>
      </c>
      <c r="X911" s="577" t="s">
        <v>276</v>
      </c>
      <c r="Y911" s="577">
        <v>0</v>
      </c>
      <c r="Z911" s="577" t="s">
        <v>98</v>
      </c>
      <c r="AA911" s="577">
        <v>0</v>
      </c>
      <c r="AB911" s="577" t="s">
        <v>98</v>
      </c>
      <c r="AC911" s="578" t="s">
        <v>8636</v>
      </c>
      <c r="AD911" s="578" t="s">
        <v>8637</v>
      </c>
      <c r="AE911" s="577">
        <v>71</v>
      </c>
      <c r="AF911" s="577">
        <v>330</v>
      </c>
      <c r="AG911" s="583">
        <v>222677</v>
      </c>
      <c r="AH911" s="583">
        <v>832003</v>
      </c>
      <c r="AI911" s="583" t="s">
        <v>1019</v>
      </c>
      <c r="AJ911" s="678">
        <v>31.4</v>
      </c>
      <c r="AK911" s="585" t="s">
        <v>276</v>
      </c>
      <c r="AL911" s="585" t="s">
        <v>276</v>
      </c>
      <c r="AM911" s="585" t="s">
        <v>276</v>
      </c>
      <c r="AN911" s="678">
        <v>43.1</v>
      </c>
      <c r="AO911" s="585" t="s">
        <v>276</v>
      </c>
      <c r="AP911" s="585" t="s">
        <v>276</v>
      </c>
      <c r="AQ911" s="585" t="s">
        <v>276</v>
      </c>
      <c r="AR911" s="577" t="s">
        <v>270</v>
      </c>
      <c r="AS911" s="585" t="s">
        <v>276</v>
      </c>
      <c r="AT911" s="585" t="s">
        <v>276</v>
      </c>
      <c r="AU911" s="585" t="s">
        <v>276</v>
      </c>
      <c r="AV911" s="585" t="s">
        <v>276</v>
      </c>
      <c r="AW911" s="585" t="s">
        <v>276</v>
      </c>
      <c r="AX911" s="578" t="s">
        <v>8638</v>
      </c>
      <c r="AY911" s="577">
        <v>0.73</v>
      </c>
      <c r="AZ911" s="577">
        <v>0.56000000000000005</v>
      </c>
      <c r="BA911" s="577">
        <v>0.94</v>
      </c>
      <c r="BB911" s="577">
        <v>0.02</v>
      </c>
      <c r="BC911" s="578" t="s">
        <v>8639</v>
      </c>
      <c r="BD911" s="578"/>
      <c r="BE911" s="33" t="s">
        <v>100</v>
      </c>
      <c r="BF911" s="33" t="s">
        <v>98</v>
      </c>
      <c r="BG911" s="679"/>
      <c r="BH911" s="679"/>
      <c r="BI911" s="679"/>
    </row>
    <row r="912" spans="1:61" s="103" customFormat="1" ht="52" x14ac:dyDescent="0.3">
      <c r="A912" s="577">
        <v>195</v>
      </c>
      <c r="B912" s="577" t="s">
        <v>8631</v>
      </c>
      <c r="C912" s="577" t="s">
        <v>50</v>
      </c>
      <c r="D912" s="578" t="s">
        <v>11368</v>
      </c>
      <c r="E912" s="577" t="s">
        <v>36</v>
      </c>
      <c r="F912" s="578" t="s">
        <v>8615</v>
      </c>
      <c r="G912" s="577" t="s">
        <v>225</v>
      </c>
      <c r="H912" s="577" t="s">
        <v>125</v>
      </c>
      <c r="I912" s="577" t="s">
        <v>114</v>
      </c>
      <c r="J912" s="578" t="s">
        <v>24</v>
      </c>
      <c r="K912" s="578" t="s">
        <v>8640</v>
      </c>
      <c r="L912" s="578" t="s">
        <v>8633</v>
      </c>
      <c r="M912" s="577" t="s">
        <v>14</v>
      </c>
      <c r="N912" s="579" t="s">
        <v>98</v>
      </c>
      <c r="O912" s="580" t="s">
        <v>207</v>
      </c>
      <c r="P912" s="581">
        <v>40908</v>
      </c>
      <c r="Q912" s="578" t="s">
        <v>276</v>
      </c>
      <c r="R912" s="578" t="s">
        <v>8634</v>
      </c>
      <c r="S912" s="578" t="s">
        <v>8635</v>
      </c>
      <c r="T912" s="578">
        <v>1</v>
      </c>
      <c r="U912" s="582">
        <v>20572</v>
      </c>
      <c r="V912" s="578">
        <v>78220</v>
      </c>
      <c r="W912" s="577" t="s">
        <v>276</v>
      </c>
      <c r="X912" s="577" t="s">
        <v>276</v>
      </c>
      <c r="Y912" s="577">
        <v>0</v>
      </c>
      <c r="Z912" s="577" t="s">
        <v>98</v>
      </c>
      <c r="AA912" s="577">
        <v>0</v>
      </c>
      <c r="AB912" s="577" t="s">
        <v>98</v>
      </c>
      <c r="AC912" s="578" t="s">
        <v>8636</v>
      </c>
      <c r="AD912" s="578" t="s">
        <v>8637</v>
      </c>
      <c r="AE912" s="577">
        <v>71</v>
      </c>
      <c r="AF912" s="577">
        <v>330</v>
      </c>
      <c r="AG912" s="583">
        <v>222677</v>
      </c>
      <c r="AH912" s="583">
        <v>832003</v>
      </c>
      <c r="AI912" s="583" t="s">
        <v>1019</v>
      </c>
      <c r="AJ912" s="585" t="s">
        <v>276</v>
      </c>
      <c r="AK912" s="586">
        <f>AE912*100000/AG912</f>
        <v>31.884747863497353</v>
      </c>
      <c r="AL912" s="585" t="s">
        <v>276</v>
      </c>
      <c r="AM912" s="585" t="s">
        <v>276</v>
      </c>
      <c r="AN912" s="585" t="s">
        <v>276</v>
      </c>
      <c r="AO912" s="586">
        <f>AF912*100000/AH912</f>
        <v>39.663318521688019</v>
      </c>
      <c r="AP912" s="585" t="s">
        <v>276</v>
      </c>
      <c r="AQ912" s="585" t="s">
        <v>276</v>
      </c>
      <c r="AR912" s="577" t="s">
        <v>269</v>
      </c>
      <c r="AS912" s="585" t="s">
        <v>276</v>
      </c>
      <c r="AT912" s="585">
        <f>AK912/AO912</f>
        <v>0.80388502656586036</v>
      </c>
      <c r="AU912" s="585" t="s">
        <v>276</v>
      </c>
      <c r="AV912" s="585" t="s">
        <v>276</v>
      </c>
      <c r="AW912" s="585" t="s">
        <v>276</v>
      </c>
      <c r="AX912" s="577" t="s">
        <v>282</v>
      </c>
      <c r="AY912" s="585" t="s">
        <v>276</v>
      </c>
      <c r="AZ912" s="585" t="s">
        <v>276</v>
      </c>
      <c r="BA912" s="585" t="s">
        <v>276</v>
      </c>
      <c r="BB912" s="585" t="s">
        <v>276</v>
      </c>
      <c r="BC912" s="578" t="s">
        <v>426</v>
      </c>
      <c r="BD912" s="578"/>
      <c r="BE912" s="33" t="s">
        <v>100</v>
      </c>
      <c r="BF912" s="33" t="s">
        <v>98</v>
      </c>
      <c r="BG912" s="679"/>
      <c r="BH912" s="679"/>
      <c r="BI912" s="679"/>
    </row>
    <row r="913" spans="1:61" s="103" customFormat="1" ht="52" x14ac:dyDescent="0.3">
      <c r="A913" s="94">
        <v>195</v>
      </c>
      <c r="B913" s="94" t="s">
        <v>8631</v>
      </c>
      <c r="C913" s="94" t="s">
        <v>50</v>
      </c>
      <c r="D913" s="95" t="s">
        <v>8641</v>
      </c>
      <c r="E913" s="94" t="s">
        <v>36</v>
      </c>
      <c r="F913" s="95" t="s">
        <v>8615</v>
      </c>
      <c r="G913" s="94" t="s">
        <v>225</v>
      </c>
      <c r="H913" s="94" t="s">
        <v>125</v>
      </c>
      <c r="I913" s="94" t="s">
        <v>114</v>
      </c>
      <c r="J913" s="95" t="s">
        <v>24</v>
      </c>
      <c r="K913" s="95" t="s">
        <v>8640</v>
      </c>
      <c r="L913" s="95" t="s">
        <v>8633</v>
      </c>
      <c r="M913" s="94" t="s">
        <v>14</v>
      </c>
      <c r="N913" s="144" t="s">
        <v>98</v>
      </c>
      <c r="O913" s="96" t="s">
        <v>207</v>
      </c>
      <c r="P913" s="97">
        <v>40908</v>
      </c>
      <c r="Q913" s="95" t="s">
        <v>276</v>
      </c>
      <c r="R913" s="95" t="s">
        <v>8634</v>
      </c>
      <c r="S913" s="95" t="s">
        <v>8635</v>
      </c>
      <c r="T913" s="95">
        <v>1</v>
      </c>
      <c r="U913" s="98">
        <v>20572</v>
      </c>
      <c r="V913" s="95">
        <v>78220</v>
      </c>
      <c r="W913" s="94" t="s">
        <v>276</v>
      </c>
      <c r="X913" s="94" t="s">
        <v>276</v>
      </c>
      <c r="Y913" s="94">
        <v>0</v>
      </c>
      <c r="Z913" s="94" t="s">
        <v>98</v>
      </c>
      <c r="AA913" s="94">
        <v>0</v>
      </c>
      <c r="AB913" s="94" t="s">
        <v>98</v>
      </c>
      <c r="AC913" s="95" t="s">
        <v>8636</v>
      </c>
      <c r="AD913" s="95" t="s">
        <v>2046</v>
      </c>
      <c r="AE913" s="94">
        <v>71</v>
      </c>
      <c r="AF913" s="94">
        <v>330</v>
      </c>
      <c r="AG913" s="98">
        <v>20572</v>
      </c>
      <c r="AH913" s="95">
        <v>78220</v>
      </c>
      <c r="AI913" s="99" t="s">
        <v>2047</v>
      </c>
      <c r="AJ913" s="102" t="s">
        <v>276</v>
      </c>
      <c r="AK913" s="101">
        <f>AE913*1000/AG913</f>
        <v>3.4512930196383436</v>
      </c>
      <c r="AL913" s="102" t="s">
        <v>276</v>
      </c>
      <c r="AM913" s="102" t="s">
        <v>276</v>
      </c>
      <c r="AN913" s="102" t="s">
        <v>276</v>
      </c>
      <c r="AO913" s="101">
        <f>AF913*1000/AH913</f>
        <v>4.2188698542572229</v>
      </c>
      <c r="AP913" s="102" t="s">
        <v>276</v>
      </c>
      <c r="AQ913" s="102" t="s">
        <v>276</v>
      </c>
      <c r="AR913" s="94" t="s">
        <v>268</v>
      </c>
      <c r="AS913" s="102" t="s">
        <v>276</v>
      </c>
      <c r="AT913" s="102">
        <f>AK913/AO913</f>
        <v>0.81806103029124622</v>
      </c>
      <c r="AU913" s="102" t="s">
        <v>276</v>
      </c>
      <c r="AV913" s="102" t="s">
        <v>276</v>
      </c>
      <c r="AW913" s="102" t="s">
        <v>276</v>
      </c>
      <c r="AX913" s="94" t="s">
        <v>282</v>
      </c>
      <c r="AY913" s="102" t="s">
        <v>276</v>
      </c>
      <c r="AZ913" s="102" t="s">
        <v>276</v>
      </c>
      <c r="BA913" s="102" t="s">
        <v>276</v>
      </c>
      <c r="BB913" s="102" t="s">
        <v>276</v>
      </c>
      <c r="BC913" s="95" t="s">
        <v>426</v>
      </c>
      <c r="BD913" s="95"/>
      <c r="BE913" s="33" t="s">
        <v>100</v>
      </c>
      <c r="BF913" s="33" t="s">
        <v>98</v>
      </c>
    </row>
    <row r="914" spans="1:61" s="103" customFormat="1" ht="52" x14ac:dyDescent="0.3">
      <c r="A914" s="94">
        <v>195</v>
      </c>
      <c r="B914" s="94" t="s">
        <v>8631</v>
      </c>
      <c r="C914" s="94" t="s">
        <v>50</v>
      </c>
      <c r="D914" s="95" t="s">
        <v>11369</v>
      </c>
      <c r="E914" s="94" t="s">
        <v>36</v>
      </c>
      <c r="F914" s="95" t="s">
        <v>8615</v>
      </c>
      <c r="G914" s="94" t="s">
        <v>225</v>
      </c>
      <c r="H914" s="94" t="s">
        <v>125</v>
      </c>
      <c r="I914" s="94" t="s">
        <v>114</v>
      </c>
      <c r="J914" s="95" t="s">
        <v>24</v>
      </c>
      <c r="K914" s="95" t="s">
        <v>8632</v>
      </c>
      <c r="L914" s="95" t="s">
        <v>8633</v>
      </c>
      <c r="M914" s="94" t="s">
        <v>15</v>
      </c>
      <c r="N914" s="144" t="s">
        <v>8617</v>
      </c>
      <c r="O914" s="96" t="s">
        <v>207</v>
      </c>
      <c r="P914" s="97">
        <v>40908</v>
      </c>
      <c r="Q914" s="95" t="s">
        <v>276</v>
      </c>
      <c r="R914" s="95" t="s">
        <v>276</v>
      </c>
      <c r="S914" s="95" t="s">
        <v>276</v>
      </c>
      <c r="T914" s="95">
        <v>1</v>
      </c>
      <c r="U914" s="98">
        <v>13652</v>
      </c>
      <c r="V914" s="99">
        <v>41089</v>
      </c>
      <c r="W914" s="94" t="s">
        <v>276</v>
      </c>
      <c r="X914" s="94" t="s">
        <v>276</v>
      </c>
      <c r="Y914" s="94">
        <v>0</v>
      </c>
      <c r="Z914" s="94" t="s">
        <v>98</v>
      </c>
      <c r="AA914" s="94">
        <v>0</v>
      </c>
      <c r="AB914" s="94" t="s">
        <v>98</v>
      </c>
      <c r="AC914" s="95" t="s">
        <v>11370</v>
      </c>
      <c r="AD914" s="95" t="s">
        <v>11371</v>
      </c>
      <c r="AE914" s="94">
        <v>59</v>
      </c>
      <c r="AF914" s="94">
        <v>243</v>
      </c>
      <c r="AG914" s="99" t="s">
        <v>276</v>
      </c>
      <c r="AH914" s="99" t="s">
        <v>276</v>
      </c>
      <c r="AI914" s="99" t="s">
        <v>1019</v>
      </c>
      <c r="AJ914" s="100">
        <v>38.700000000000003</v>
      </c>
      <c r="AK914" s="102" t="s">
        <v>276</v>
      </c>
      <c r="AL914" s="102" t="s">
        <v>276</v>
      </c>
      <c r="AM914" s="102" t="s">
        <v>276</v>
      </c>
      <c r="AN914" s="100">
        <v>53.1</v>
      </c>
      <c r="AO914" s="102" t="s">
        <v>276</v>
      </c>
      <c r="AP914" s="102" t="s">
        <v>276</v>
      </c>
      <c r="AQ914" s="102" t="s">
        <v>276</v>
      </c>
      <c r="AR914" s="94" t="s">
        <v>270</v>
      </c>
      <c r="AS914" s="102">
        <v>0.73</v>
      </c>
      <c r="AT914" s="102" t="s">
        <v>276</v>
      </c>
      <c r="AU914" s="102">
        <v>0.55000000000000004</v>
      </c>
      <c r="AV914" s="102">
        <v>0.97</v>
      </c>
      <c r="AW914" s="102">
        <v>0.03</v>
      </c>
      <c r="AX914" s="95" t="s">
        <v>282</v>
      </c>
      <c r="AY914" s="94" t="s">
        <v>98</v>
      </c>
      <c r="AZ914" s="94" t="s">
        <v>98</v>
      </c>
      <c r="BA914" s="94" t="s">
        <v>98</v>
      </c>
      <c r="BB914" s="94" t="s">
        <v>98</v>
      </c>
      <c r="BC914" s="95" t="s">
        <v>11372</v>
      </c>
      <c r="BD914" s="95"/>
      <c r="BE914" s="33" t="s">
        <v>100</v>
      </c>
      <c r="BF914" s="33" t="s">
        <v>98</v>
      </c>
    </row>
    <row r="915" spans="1:61" s="103" customFormat="1" ht="52" x14ac:dyDescent="0.3">
      <c r="A915" s="94">
        <v>195</v>
      </c>
      <c r="B915" s="94" t="s">
        <v>8631</v>
      </c>
      <c r="C915" s="94" t="s">
        <v>50</v>
      </c>
      <c r="D915" s="95" t="s">
        <v>11373</v>
      </c>
      <c r="E915" s="94" t="s">
        <v>36</v>
      </c>
      <c r="F915" s="95" t="s">
        <v>8615</v>
      </c>
      <c r="G915" s="94" t="s">
        <v>225</v>
      </c>
      <c r="H915" s="94" t="s">
        <v>125</v>
      </c>
      <c r="I915" s="94" t="s">
        <v>114</v>
      </c>
      <c r="J915" s="95" t="s">
        <v>24</v>
      </c>
      <c r="K915" s="95" t="s">
        <v>8632</v>
      </c>
      <c r="L915" s="95" t="s">
        <v>8633</v>
      </c>
      <c r="M915" s="94" t="s">
        <v>15</v>
      </c>
      <c r="N915" s="144" t="s">
        <v>8617</v>
      </c>
      <c r="O915" s="96" t="s">
        <v>207</v>
      </c>
      <c r="P915" s="97">
        <v>40908</v>
      </c>
      <c r="Q915" s="95" t="s">
        <v>276</v>
      </c>
      <c r="R915" s="95" t="s">
        <v>276</v>
      </c>
      <c r="S915" s="95" t="s">
        <v>276</v>
      </c>
      <c r="T915" s="95">
        <v>1</v>
      </c>
      <c r="U915" s="98">
        <v>13652</v>
      </c>
      <c r="V915" s="99">
        <v>41089</v>
      </c>
      <c r="W915" s="94" t="s">
        <v>276</v>
      </c>
      <c r="X915" s="94" t="s">
        <v>276</v>
      </c>
      <c r="Y915" s="94">
        <v>0</v>
      </c>
      <c r="Z915" s="94" t="s">
        <v>98</v>
      </c>
      <c r="AA915" s="94">
        <v>0</v>
      </c>
      <c r="AB915" s="94" t="s">
        <v>98</v>
      </c>
      <c r="AC915" s="95" t="s">
        <v>11370</v>
      </c>
      <c r="AD915" s="95" t="s">
        <v>11371</v>
      </c>
      <c r="AE915" s="94">
        <v>59</v>
      </c>
      <c r="AF915" s="94">
        <v>243</v>
      </c>
      <c r="AG915" s="99" t="s">
        <v>276</v>
      </c>
      <c r="AH915" s="99" t="s">
        <v>276</v>
      </c>
      <c r="AI915" s="99" t="s">
        <v>1019</v>
      </c>
      <c r="AJ915" s="100">
        <v>38.700000000000003</v>
      </c>
      <c r="AK915" s="102" t="s">
        <v>276</v>
      </c>
      <c r="AL915" s="102" t="s">
        <v>276</v>
      </c>
      <c r="AM915" s="102" t="s">
        <v>276</v>
      </c>
      <c r="AN915" s="100">
        <v>53.1</v>
      </c>
      <c r="AO915" s="102" t="s">
        <v>276</v>
      </c>
      <c r="AP915" s="102" t="s">
        <v>276</v>
      </c>
      <c r="AQ915" s="102" t="s">
        <v>276</v>
      </c>
      <c r="AR915" s="94" t="s">
        <v>269</v>
      </c>
      <c r="AS915" s="102" t="s">
        <v>276</v>
      </c>
      <c r="AT915" s="102">
        <f>AJ915/AN915</f>
        <v>0.72881355932203395</v>
      </c>
      <c r="AU915" s="102" t="s">
        <v>276</v>
      </c>
      <c r="AV915" s="102" t="s">
        <v>276</v>
      </c>
      <c r="AW915" s="102" t="s">
        <v>276</v>
      </c>
      <c r="AX915" s="95" t="s">
        <v>282</v>
      </c>
      <c r="AY915" s="94" t="s">
        <v>98</v>
      </c>
      <c r="AZ915" s="94" t="s">
        <v>98</v>
      </c>
      <c r="BA915" s="94" t="s">
        <v>98</v>
      </c>
      <c r="BB915" s="94" t="s">
        <v>98</v>
      </c>
      <c r="BC915" s="95" t="s">
        <v>426</v>
      </c>
      <c r="BD915" s="95"/>
      <c r="BE915" s="33" t="s">
        <v>100</v>
      </c>
      <c r="BF915" s="33" t="s">
        <v>98</v>
      </c>
    </row>
    <row r="916" spans="1:61" s="103" customFormat="1" ht="52" x14ac:dyDescent="0.3">
      <c r="A916" s="94">
        <v>195</v>
      </c>
      <c r="B916" s="94" t="s">
        <v>8631</v>
      </c>
      <c r="C916" s="94" t="s">
        <v>50</v>
      </c>
      <c r="D916" s="95" t="s">
        <v>11374</v>
      </c>
      <c r="E916" s="94" t="s">
        <v>36</v>
      </c>
      <c r="F916" s="95" t="s">
        <v>8615</v>
      </c>
      <c r="G916" s="94" t="s">
        <v>225</v>
      </c>
      <c r="H916" s="94" t="s">
        <v>125</v>
      </c>
      <c r="I916" s="94" t="s">
        <v>114</v>
      </c>
      <c r="J916" s="95" t="s">
        <v>24</v>
      </c>
      <c r="K916" s="95" t="s">
        <v>8640</v>
      </c>
      <c r="L916" s="95" t="s">
        <v>8633</v>
      </c>
      <c r="M916" s="94" t="s">
        <v>15</v>
      </c>
      <c r="N916" s="144" t="s">
        <v>8617</v>
      </c>
      <c r="O916" s="96" t="s">
        <v>207</v>
      </c>
      <c r="P916" s="97">
        <v>40908</v>
      </c>
      <c r="Q916" s="95" t="s">
        <v>276</v>
      </c>
      <c r="R916" s="95" t="s">
        <v>276</v>
      </c>
      <c r="S916" s="95" t="s">
        <v>276</v>
      </c>
      <c r="T916" s="95">
        <v>1</v>
      </c>
      <c r="U916" s="98">
        <v>13652</v>
      </c>
      <c r="V916" s="99">
        <v>41089</v>
      </c>
      <c r="W916" s="94" t="s">
        <v>276</v>
      </c>
      <c r="X916" s="94" t="s">
        <v>276</v>
      </c>
      <c r="Y916" s="94">
        <v>0</v>
      </c>
      <c r="Z916" s="94" t="s">
        <v>98</v>
      </c>
      <c r="AA916" s="94">
        <v>0</v>
      </c>
      <c r="AB916" s="94" t="s">
        <v>98</v>
      </c>
      <c r="AC916" s="95" t="s">
        <v>11370</v>
      </c>
      <c r="AD916" s="95" t="s">
        <v>11375</v>
      </c>
      <c r="AE916" s="94">
        <v>59</v>
      </c>
      <c r="AF916" s="94">
        <v>243</v>
      </c>
      <c r="AG916" s="98">
        <v>13652</v>
      </c>
      <c r="AH916" s="99">
        <v>41089</v>
      </c>
      <c r="AI916" s="99" t="s">
        <v>2047</v>
      </c>
      <c r="AJ916" s="102" t="s">
        <v>276</v>
      </c>
      <c r="AK916" s="101">
        <f>AE916*1000/AG916</f>
        <v>4.3217111046000589</v>
      </c>
      <c r="AL916" s="102" t="s">
        <v>276</v>
      </c>
      <c r="AM916" s="102" t="s">
        <v>276</v>
      </c>
      <c r="AN916" s="102" t="s">
        <v>276</v>
      </c>
      <c r="AO916" s="101">
        <f>AF916*1000/AH916</f>
        <v>5.9139915792547884</v>
      </c>
      <c r="AP916" s="102" t="s">
        <v>276</v>
      </c>
      <c r="AQ916" s="102" t="s">
        <v>276</v>
      </c>
      <c r="AR916" s="94" t="s">
        <v>268</v>
      </c>
      <c r="AS916" s="102" t="s">
        <v>276</v>
      </c>
      <c r="AT916" s="102">
        <f>AK916/AO916</f>
        <v>0.73076044270334084</v>
      </c>
      <c r="AU916" s="102" t="s">
        <v>276</v>
      </c>
      <c r="AV916" s="102" t="s">
        <v>276</v>
      </c>
      <c r="AW916" s="102" t="s">
        <v>276</v>
      </c>
      <c r="AX916" s="94" t="s">
        <v>282</v>
      </c>
      <c r="AY916" s="94" t="s">
        <v>98</v>
      </c>
      <c r="AZ916" s="94" t="s">
        <v>98</v>
      </c>
      <c r="BA916" s="94" t="s">
        <v>98</v>
      </c>
      <c r="BB916" s="94" t="s">
        <v>98</v>
      </c>
      <c r="BC916" s="95" t="s">
        <v>426</v>
      </c>
      <c r="BD916" s="95"/>
      <c r="BE916" s="33" t="s">
        <v>100</v>
      </c>
      <c r="BF916" s="33" t="s">
        <v>98</v>
      </c>
    </row>
    <row r="917" spans="1:61" s="208" customFormat="1" ht="52" x14ac:dyDescent="0.3">
      <c r="A917" s="567">
        <v>195</v>
      </c>
      <c r="B917" s="567" t="s">
        <v>8631</v>
      </c>
      <c r="C917" s="567" t="s">
        <v>50</v>
      </c>
      <c r="D917" s="568" t="s">
        <v>11376</v>
      </c>
      <c r="E917" s="567" t="s">
        <v>36</v>
      </c>
      <c r="F917" s="568" t="s">
        <v>8615</v>
      </c>
      <c r="G917" s="567" t="s">
        <v>225</v>
      </c>
      <c r="H917" s="567" t="s">
        <v>125</v>
      </c>
      <c r="I917" s="567" t="s">
        <v>114</v>
      </c>
      <c r="J917" s="568" t="s">
        <v>23</v>
      </c>
      <c r="K917" s="568" t="s">
        <v>8616</v>
      </c>
      <c r="L917" s="568" t="s">
        <v>8633</v>
      </c>
      <c r="M917" s="567" t="s">
        <v>14</v>
      </c>
      <c r="N917" s="569" t="s">
        <v>98</v>
      </c>
      <c r="O917" s="570" t="s">
        <v>207</v>
      </c>
      <c r="P917" s="571">
        <v>40908</v>
      </c>
      <c r="Q917" s="568" t="s">
        <v>276</v>
      </c>
      <c r="R917" s="568" t="s">
        <v>8634</v>
      </c>
      <c r="S917" s="568" t="s">
        <v>8635</v>
      </c>
      <c r="T917" s="568">
        <v>1</v>
      </c>
      <c r="U917" s="572">
        <v>20572</v>
      </c>
      <c r="V917" s="568">
        <v>78220</v>
      </c>
      <c r="W917" s="567" t="s">
        <v>276</v>
      </c>
      <c r="X917" s="567" t="s">
        <v>276</v>
      </c>
      <c r="Y917" s="567">
        <v>0</v>
      </c>
      <c r="Z917" s="567" t="s">
        <v>98</v>
      </c>
      <c r="AA917" s="567">
        <v>0</v>
      </c>
      <c r="AB917" s="567" t="s">
        <v>98</v>
      </c>
      <c r="AC917" s="568" t="s">
        <v>2379</v>
      </c>
      <c r="AD917" s="568" t="s">
        <v>8637</v>
      </c>
      <c r="AE917" s="567">
        <v>2183</v>
      </c>
      <c r="AF917" s="567">
        <v>7762</v>
      </c>
      <c r="AG917" s="573">
        <v>222677</v>
      </c>
      <c r="AH917" s="573">
        <v>832003</v>
      </c>
      <c r="AI917" s="573" t="s">
        <v>1019</v>
      </c>
      <c r="AJ917" s="749">
        <v>969</v>
      </c>
      <c r="AK917" s="575" t="s">
        <v>276</v>
      </c>
      <c r="AL917" s="575" t="s">
        <v>276</v>
      </c>
      <c r="AM917" s="575" t="s">
        <v>276</v>
      </c>
      <c r="AN917" s="749">
        <v>994.6</v>
      </c>
      <c r="AO917" s="575" t="s">
        <v>276</v>
      </c>
      <c r="AP917" s="575" t="s">
        <v>276</v>
      </c>
      <c r="AQ917" s="575" t="s">
        <v>276</v>
      </c>
      <c r="AR917" s="567" t="s">
        <v>270</v>
      </c>
      <c r="AS917" s="575" t="s">
        <v>276</v>
      </c>
      <c r="AT917" s="575" t="s">
        <v>276</v>
      </c>
      <c r="AU917" s="575" t="s">
        <v>276</v>
      </c>
      <c r="AV917" s="575" t="s">
        <v>276</v>
      </c>
      <c r="AW917" s="575" t="s">
        <v>276</v>
      </c>
      <c r="AX917" s="568" t="s">
        <v>8638</v>
      </c>
      <c r="AY917" s="567">
        <v>0.97</v>
      </c>
      <c r="AZ917" s="567">
        <v>0.93</v>
      </c>
      <c r="BA917" s="567">
        <v>1.02</v>
      </c>
      <c r="BB917" s="567">
        <v>0.28000000000000003</v>
      </c>
      <c r="BC917" s="568" t="s">
        <v>8642</v>
      </c>
      <c r="BD917" s="568"/>
      <c r="BE917" s="33" t="s">
        <v>100</v>
      </c>
      <c r="BF917" s="33" t="s">
        <v>98</v>
      </c>
      <c r="BG917" s="738"/>
      <c r="BH917" s="738"/>
      <c r="BI917" s="738"/>
    </row>
    <row r="918" spans="1:61" s="208" customFormat="1" ht="52" x14ac:dyDescent="0.3">
      <c r="A918" s="567">
        <v>195</v>
      </c>
      <c r="B918" s="567" t="s">
        <v>8631</v>
      </c>
      <c r="C918" s="567" t="s">
        <v>50</v>
      </c>
      <c r="D918" s="568" t="s">
        <v>11377</v>
      </c>
      <c r="E918" s="567" t="s">
        <v>36</v>
      </c>
      <c r="F918" s="568" t="s">
        <v>8615</v>
      </c>
      <c r="G918" s="567" t="s">
        <v>225</v>
      </c>
      <c r="H918" s="567" t="s">
        <v>125</v>
      </c>
      <c r="I918" s="567" t="s">
        <v>114</v>
      </c>
      <c r="J918" s="568" t="s">
        <v>23</v>
      </c>
      <c r="K918" s="568" t="s">
        <v>8640</v>
      </c>
      <c r="L918" s="568" t="s">
        <v>8633</v>
      </c>
      <c r="M918" s="567" t="s">
        <v>14</v>
      </c>
      <c r="N918" s="569" t="s">
        <v>98</v>
      </c>
      <c r="O918" s="570" t="s">
        <v>207</v>
      </c>
      <c r="P918" s="571">
        <v>40908</v>
      </c>
      <c r="Q918" s="568" t="s">
        <v>276</v>
      </c>
      <c r="R918" s="568" t="s">
        <v>8634</v>
      </c>
      <c r="S918" s="568" t="s">
        <v>8635</v>
      </c>
      <c r="T918" s="568">
        <v>1</v>
      </c>
      <c r="U918" s="572">
        <v>20572</v>
      </c>
      <c r="V918" s="568">
        <v>78220</v>
      </c>
      <c r="W918" s="567" t="s">
        <v>276</v>
      </c>
      <c r="X918" s="567" t="s">
        <v>276</v>
      </c>
      <c r="Y918" s="567">
        <v>0</v>
      </c>
      <c r="Z918" s="567" t="s">
        <v>98</v>
      </c>
      <c r="AA918" s="567">
        <v>0</v>
      </c>
      <c r="AB918" s="567" t="s">
        <v>98</v>
      </c>
      <c r="AC918" s="568" t="s">
        <v>2379</v>
      </c>
      <c r="AD918" s="568" t="s">
        <v>8637</v>
      </c>
      <c r="AE918" s="567">
        <v>2183</v>
      </c>
      <c r="AF918" s="567">
        <v>7762</v>
      </c>
      <c r="AG918" s="573">
        <v>222677</v>
      </c>
      <c r="AH918" s="573">
        <v>832003</v>
      </c>
      <c r="AI918" s="573" t="s">
        <v>1019</v>
      </c>
      <c r="AJ918" s="575" t="s">
        <v>276</v>
      </c>
      <c r="AK918" s="576">
        <f>AE918*100000/AG918</f>
        <v>980.34372656358767</v>
      </c>
      <c r="AL918" s="575" t="s">
        <v>276</v>
      </c>
      <c r="AM918" s="575" t="s">
        <v>276</v>
      </c>
      <c r="AN918" s="575" t="s">
        <v>276</v>
      </c>
      <c r="AO918" s="576">
        <f>AF918*100000/AH918</f>
        <v>932.92932837982551</v>
      </c>
      <c r="AP918" s="575" t="s">
        <v>276</v>
      </c>
      <c r="AQ918" s="575" t="s">
        <v>276</v>
      </c>
      <c r="AR918" s="567" t="s">
        <v>269</v>
      </c>
      <c r="AS918" s="575" t="s">
        <v>276</v>
      </c>
      <c r="AT918" s="575">
        <f>AK918/AO918</f>
        <v>1.0508231403402275</v>
      </c>
      <c r="AU918" s="575" t="s">
        <v>276</v>
      </c>
      <c r="AV918" s="575" t="s">
        <v>276</v>
      </c>
      <c r="AW918" s="575" t="s">
        <v>276</v>
      </c>
      <c r="AX918" s="567" t="s">
        <v>282</v>
      </c>
      <c r="AY918" s="575" t="s">
        <v>276</v>
      </c>
      <c r="AZ918" s="575" t="s">
        <v>276</v>
      </c>
      <c r="BA918" s="575" t="s">
        <v>276</v>
      </c>
      <c r="BB918" s="575" t="s">
        <v>276</v>
      </c>
      <c r="BC918" s="568" t="s">
        <v>426</v>
      </c>
      <c r="BD918" s="568"/>
      <c r="BE918" s="33" t="s">
        <v>100</v>
      </c>
      <c r="BF918" s="33" t="s">
        <v>98</v>
      </c>
      <c r="BG918" s="738"/>
      <c r="BH918" s="738"/>
      <c r="BI918" s="738"/>
    </row>
    <row r="919" spans="1:61" s="208" customFormat="1" ht="52" x14ac:dyDescent="0.3">
      <c r="A919" s="567">
        <v>195</v>
      </c>
      <c r="B919" s="567" t="s">
        <v>8631</v>
      </c>
      <c r="C919" s="567" t="s">
        <v>50</v>
      </c>
      <c r="D919" s="568" t="s">
        <v>11378</v>
      </c>
      <c r="E919" s="567" t="s">
        <v>36</v>
      </c>
      <c r="F919" s="568" t="s">
        <v>8615</v>
      </c>
      <c r="G919" s="567" t="s">
        <v>225</v>
      </c>
      <c r="H919" s="567" t="s">
        <v>125</v>
      </c>
      <c r="I919" s="567" t="s">
        <v>114</v>
      </c>
      <c r="J919" s="568" t="s">
        <v>23</v>
      </c>
      <c r="K919" s="568" t="s">
        <v>8640</v>
      </c>
      <c r="L919" s="568" t="s">
        <v>8633</v>
      </c>
      <c r="M919" s="567" t="s">
        <v>14</v>
      </c>
      <c r="N919" s="569" t="s">
        <v>98</v>
      </c>
      <c r="O919" s="570" t="s">
        <v>207</v>
      </c>
      <c r="P919" s="571">
        <v>40908</v>
      </c>
      <c r="Q919" s="568" t="s">
        <v>276</v>
      </c>
      <c r="R919" s="568" t="s">
        <v>8634</v>
      </c>
      <c r="S919" s="568" t="s">
        <v>8635</v>
      </c>
      <c r="T919" s="568">
        <v>1</v>
      </c>
      <c r="U919" s="572">
        <v>20572</v>
      </c>
      <c r="V919" s="568">
        <v>78220</v>
      </c>
      <c r="W919" s="567" t="s">
        <v>276</v>
      </c>
      <c r="X919" s="567" t="s">
        <v>276</v>
      </c>
      <c r="Y919" s="567">
        <v>0</v>
      </c>
      <c r="Z919" s="567" t="s">
        <v>98</v>
      </c>
      <c r="AA919" s="567">
        <v>0</v>
      </c>
      <c r="AB919" s="567" t="s">
        <v>98</v>
      </c>
      <c r="AC919" s="568" t="s">
        <v>2379</v>
      </c>
      <c r="AD919" s="568" t="s">
        <v>2046</v>
      </c>
      <c r="AE919" s="567">
        <v>2183</v>
      </c>
      <c r="AF919" s="567">
        <v>7762</v>
      </c>
      <c r="AG919" s="572">
        <v>20572</v>
      </c>
      <c r="AH919" s="568">
        <v>78220</v>
      </c>
      <c r="AI919" s="573" t="s">
        <v>2047</v>
      </c>
      <c r="AJ919" s="575" t="s">
        <v>276</v>
      </c>
      <c r="AK919" s="576">
        <f>AE919*1000/AG919</f>
        <v>106.11510791366906</v>
      </c>
      <c r="AL919" s="575" t="s">
        <v>276</v>
      </c>
      <c r="AM919" s="575" t="s">
        <v>276</v>
      </c>
      <c r="AN919" s="575" t="s">
        <v>276</v>
      </c>
      <c r="AO919" s="576">
        <f>AF919*1000/AH919</f>
        <v>99.232932753771408</v>
      </c>
      <c r="AP919" s="575" t="s">
        <v>276</v>
      </c>
      <c r="AQ919" s="575" t="s">
        <v>276</v>
      </c>
      <c r="AR919" s="567" t="s">
        <v>268</v>
      </c>
      <c r="AS919" s="575" t="s">
        <v>276</v>
      </c>
      <c r="AT919" s="575">
        <f>AK919/AO919</f>
        <v>1.0693537414335474</v>
      </c>
      <c r="AU919" s="575" t="s">
        <v>276</v>
      </c>
      <c r="AV919" s="575" t="s">
        <v>276</v>
      </c>
      <c r="AW919" s="575" t="s">
        <v>276</v>
      </c>
      <c r="AX919" s="567" t="s">
        <v>282</v>
      </c>
      <c r="AY919" s="575" t="s">
        <v>276</v>
      </c>
      <c r="AZ919" s="575" t="s">
        <v>276</v>
      </c>
      <c r="BA919" s="575" t="s">
        <v>276</v>
      </c>
      <c r="BB919" s="575" t="s">
        <v>276</v>
      </c>
      <c r="BC919" s="568" t="s">
        <v>426</v>
      </c>
      <c r="BD919" s="568"/>
      <c r="BE919" s="33" t="s">
        <v>100</v>
      </c>
      <c r="BF919" s="33" t="s">
        <v>98</v>
      </c>
      <c r="BG919" s="738"/>
      <c r="BH919" s="738"/>
      <c r="BI919" s="738"/>
    </row>
    <row r="920" spans="1:61" s="679" customFormat="1" ht="52" x14ac:dyDescent="0.3">
      <c r="A920" s="577">
        <v>195</v>
      </c>
      <c r="B920" s="577" t="s">
        <v>8631</v>
      </c>
      <c r="C920" s="577" t="s">
        <v>50</v>
      </c>
      <c r="D920" s="578" t="s">
        <v>11379</v>
      </c>
      <c r="E920" s="577" t="s">
        <v>36</v>
      </c>
      <c r="F920" s="578" t="s">
        <v>8615</v>
      </c>
      <c r="G920" s="577" t="s">
        <v>225</v>
      </c>
      <c r="H920" s="577" t="s">
        <v>125</v>
      </c>
      <c r="I920" s="577" t="s">
        <v>114</v>
      </c>
      <c r="J920" s="578" t="s">
        <v>24</v>
      </c>
      <c r="K920" s="578" t="s">
        <v>8640</v>
      </c>
      <c r="L920" s="578" t="s">
        <v>8633</v>
      </c>
      <c r="M920" s="577" t="s">
        <v>14</v>
      </c>
      <c r="N920" s="579" t="s">
        <v>98</v>
      </c>
      <c r="O920" s="580" t="s">
        <v>207</v>
      </c>
      <c r="P920" s="581" t="s">
        <v>276</v>
      </c>
      <c r="Q920" s="578" t="s">
        <v>8643</v>
      </c>
      <c r="R920" s="578" t="s">
        <v>276</v>
      </c>
      <c r="S920" s="578" t="s">
        <v>276</v>
      </c>
      <c r="T920" s="578">
        <v>1</v>
      </c>
      <c r="U920" s="582">
        <v>20572</v>
      </c>
      <c r="V920" s="578">
        <v>78220</v>
      </c>
      <c r="W920" s="577" t="s">
        <v>276</v>
      </c>
      <c r="X920" s="577" t="s">
        <v>276</v>
      </c>
      <c r="Y920" s="577">
        <v>0</v>
      </c>
      <c r="Z920" s="577" t="s">
        <v>98</v>
      </c>
      <c r="AA920" s="577">
        <v>0</v>
      </c>
      <c r="AB920" s="577" t="s">
        <v>98</v>
      </c>
      <c r="AC920" s="578" t="s">
        <v>8644</v>
      </c>
      <c r="AD920" s="578" t="s">
        <v>2046</v>
      </c>
      <c r="AE920" s="577">
        <f>22+41</f>
        <v>63</v>
      </c>
      <c r="AF920" s="577">
        <v>258</v>
      </c>
      <c r="AG920" s="582">
        <v>20572</v>
      </c>
      <c r="AH920" s="578">
        <v>78220</v>
      </c>
      <c r="AI920" s="583" t="s">
        <v>2047</v>
      </c>
      <c r="AJ920" s="585" t="s">
        <v>276</v>
      </c>
      <c r="AK920" s="586">
        <f>AE920*1000/AG920</f>
        <v>3.06241493291853</v>
      </c>
      <c r="AL920" s="585" t="s">
        <v>276</v>
      </c>
      <c r="AM920" s="585" t="s">
        <v>276</v>
      </c>
      <c r="AN920" s="585" t="s">
        <v>276</v>
      </c>
      <c r="AO920" s="586">
        <f>AF920*1000/AH920</f>
        <v>3.2983891587829199</v>
      </c>
      <c r="AP920" s="585" t="s">
        <v>276</v>
      </c>
      <c r="AQ920" s="585" t="s">
        <v>276</v>
      </c>
      <c r="AR920" s="577" t="s">
        <v>268</v>
      </c>
      <c r="AS920" s="585" t="s">
        <v>276</v>
      </c>
      <c r="AT920" s="585">
        <f>AK920/AO920</f>
        <v>0.92845773663909847</v>
      </c>
      <c r="AU920" s="585" t="s">
        <v>276</v>
      </c>
      <c r="AV920" s="585" t="s">
        <v>276</v>
      </c>
      <c r="AW920" s="585" t="s">
        <v>276</v>
      </c>
      <c r="AX920" s="577" t="s">
        <v>282</v>
      </c>
      <c r="AY920" s="585" t="s">
        <v>276</v>
      </c>
      <c r="AZ920" s="585" t="s">
        <v>276</v>
      </c>
      <c r="BA920" s="585" t="s">
        <v>276</v>
      </c>
      <c r="BB920" s="585" t="s">
        <v>276</v>
      </c>
      <c r="BC920" s="578" t="s">
        <v>363</v>
      </c>
      <c r="BD920" s="578"/>
      <c r="BE920" s="33" t="s">
        <v>100</v>
      </c>
      <c r="BF920" s="33" t="s">
        <v>98</v>
      </c>
    </row>
    <row r="921" spans="1:61" s="738" customFormat="1" ht="52" x14ac:dyDescent="0.3">
      <c r="A921" s="567">
        <v>195</v>
      </c>
      <c r="B921" s="567" t="s">
        <v>8631</v>
      </c>
      <c r="C921" s="567" t="s">
        <v>50</v>
      </c>
      <c r="D921" s="568" t="s">
        <v>11380</v>
      </c>
      <c r="E921" s="567" t="s">
        <v>36</v>
      </c>
      <c r="F921" s="568" t="s">
        <v>8615</v>
      </c>
      <c r="G921" s="567" t="s">
        <v>225</v>
      </c>
      <c r="H921" s="567" t="s">
        <v>125</v>
      </c>
      <c r="I921" s="567" t="s">
        <v>114</v>
      </c>
      <c r="J921" s="568" t="s">
        <v>23</v>
      </c>
      <c r="K921" s="568" t="s">
        <v>8640</v>
      </c>
      <c r="L921" s="568" t="s">
        <v>8633</v>
      </c>
      <c r="M921" s="567" t="s">
        <v>14</v>
      </c>
      <c r="N921" s="569" t="s">
        <v>98</v>
      </c>
      <c r="O921" s="570" t="s">
        <v>207</v>
      </c>
      <c r="P921" s="571" t="s">
        <v>276</v>
      </c>
      <c r="Q921" s="568" t="s">
        <v>8643</v>
      </c>
      <c r="R921" s="568" t="s">
        <v>276</v>
      </c>
      <c r="S921" s="568" t="s">
        <v>276</v>
      </c>
      <c r="T921" s="568">
        <v>1</v>
      </c>
      <c r="U921" s="572">
        <v>20572</v>
      </c>
      <c r="V921" s="568">
        <v>78220</v>
      </c>
      <c r="W921" s="567" t="s">
        <v>276</v>
      </c>
      <c r="X921" s="567" t="s">
        <v>276</v>
      </c>
      <c r="Y921" s="567">
        <v>0</v>
      </c>
      <c r="Z921" s="567" t="s">
        <v>98</v>
      </c>
      <c r="AA921" s="567">
        <v>0</v>
      </c>
      <c r="AB921" s="567" t="s">
        <v>98</v>
      </c>
      <c r="AC921" s="568" t="s">
        <v>8645</v>
      </c>
      <c r="AD921" s="568" t="s">
        <v>2046</v>
      </c>
      <c r="AE921" s="567">
        <f>733+1039</f>
        <v>1772</v>
      </c>
      <c r="AF921" s="567">
        <v>6454</v>
      </c>
      <c r="AG921" s="572">
        <v>20572</v>
      </c>
      <c r="AH921" s="568">
        <v>78220</v>
      </c>
      <c r="AI921" s="573" t="s">
        <v>2047</v>
      </c>
      <c r="AJ921" s="575" t="s">
        <v>276</v>
      </c>
      <c r="AK921" s="576">
        <f>AE921*1000/AG921</f>
        <v>86.136496208438658</v>
      </c>
      <c r="AL921" s="575" t="s">
        <v>276</v>
      </c>
      <c r="AM921" s="575" t="s">
        <v>276</v>
      </c>
      <c r="AN921" s="575" t="s">
        <v>276</v>
      </c>
      <c r="AO921" s="576">
        <f>AF921*1000/AH921</f>
        <v>82.510866785988242</v>
      </c>
      <c r="AP921" s="575" t="s">
        <v>276</v>
      </c>
      <c r="AQ921" s="575" t="s">
        <v>276</v>
      </c>
      <c r="AR921" s="567" t="s">
        <v>268</v>
      </c>
      <c r="AS921" s="575" t="s">
        <v>276</v>
      </c>
      <c r="AT921" s="575">
        <f>AK921/AO921</f>
        <v>1.0439412354236244</v>
      </c>
      <c r="AU921" s="575" t="s">
        <v>276</v>
      </c>
      <c r="AV921" s="575" t="s">
        <v>276</v>
      </c>
      <c r="AW921" s="575" t="s">
        <v>276</v>
      </c>
      <c r="AX921" s="567" t="s">
        <v>282</v>
      </c>
      <c r="AY921" s="575" t="s">
        <v>276</v>
      </c>
      <c r="AZ921" s="575" t="s">
        <v>276</v>
      </c>
      <c r="BA921" s="575" t="s">
        <v>276</v>
      </c>
      <c r="BB921" s="575" t="s">
        <v>276</v>
      </c>
      <c r="BC921" s="568" t="s">
        <v>363</v>
      </c>
      <c r="BD921" s="568"/>
      <c r="BE921" s="33" t="s">
        <v>100</v>
      </c>
      <c r="BF921" s="33" t="s">
        <v>98</v>
      </c>
    </row>
    <row r="922" spans="1:61" s="149" customFormat="1" ht="78" x14ac:dyDescent="0.3">
      <c r="A922" s="680">
        <v>192</v>
      </c>
      <c r="B922" s="680" t="s">
        <v>8646</v>
      </c>
      <c r="C922" s="680" t="s">
        <v>50</v>
      </c>
      <c r="D922" s="681" t="s">
        <v>11381</v>
      </c>
      <c r="E922" s="680" t="s">
        <v>36</v>
      </c>
      <c r="F922" s="681" t="s">
        <v>8615</v>
      </c>
      <c r="G922" s="680" t="s">
        <v>225</v>
      </c>
      <c r="H922" s="680" t="s">
        <v>125</v>
      </c>
      <c r="I922" s="680" t="s">
        <v>114</v>
      </c>
      <c r="J922" s="681" t="s">
        <v>24</v>
      </c>
      <c r="K922" s="681" t="s">
        <v>8647</v>
      </c>
      <c r="L922" s="681" t="s">
        <v>8648</v>
      </c>
      <c r="M922" s="680" t="s">
        <v>14</v>
      </c>
      <c r="N922" s="682" t="s">
        <v>98</v>
      </c>
      <c r="O922" s="683" t="s">
        <v>207</v>
      </c>
      <c r="P922" s="750">
        <v>42369</v>
      </c>
      <c r="Q922" s="681" t="s">
        <v>276</v>
      </c>
      <c r="R922" s="681" t="s">
        <v>8649</v>
      </c>
      <c r="S922" s="681" t="s">
        <v>8650</v>
      </c>
      <c r="T922" s="681">
        <v>1</v>
      </c>
      <c r="U922" s="685">
        <v>20552</v>
      </c>
      <c r="V922" s="681">
        <v>78126</v>
      </c>
      <c r="W922" s="680" t="s">
        <v>276</v>
      </c>
      <c r="X922" s="680" t="s">
        <v>276</v>
      </c>
      <c r="Y922" s="680">
        <v>0</v>
      </c>
      <c r="Z922" s="680" t="s">
        <v>98</v>
      </c>
      <c r="AA922" s="680">
        <v>0</v>
      </c>
      <c r="AB922" s="680" t="s">
        <v>98</v>
      </c>
      <c r="AC922" s="681" t="s">
        <v>8651</v>
      </c>
      <c r="AD922" s="681" t="s">
        <v>8652</v>
      </c>
      <c r="AE922" s="680">
        <v>122</v>
      </c>
      <c r="AF922" s="680">
        <v>530</v>
      </c>
      <c r="AG922" s="686">
        <v>290961</v>
      </c>
      <c r="AH922" s="686">
        <v>1090730</v>
      </c>
      <c r="AI922" s="686" t="s">
        <v>1019</v>
      </c>
      <c r="AJ922" s="751">
        <v>41.9</v>
      </c>
      <c r="AK922" s="687" t="s">
        <v>276</v>
      </c>
      <c r="AL922" s="687" t="s">
        <v>276</v>
      </c>
      <c r="AM922" s="687" t="s">
        <v>276</v>
      </c>
      <c r="AN922" s="751">
        <v>52.9</v>
      </c>
      <c r="AO922" s="687" t="s">
        <v>276</v>
      </c>
      <c r="AP922" s="687" t="s">
        <v>276</v>
      </c>
      <c r="AQ922" s="687" t="s">
        <v>276</v>
      </c>
      <c r="AR922" s="680" t="s">
        <v>270</v>
      </c>
      <c r="AS922" s="687" t="s">
        <v>276</v>
      </c>
      <c r="AT922" s="687" t="s">
        <v>276</v>
      </c>
      <c r="AU922" s="687" t="s">
        <v>276</v>
      </c>
      <c r="AV922" s="687" t="s">
        <v>276</v>
      </c>
      <c r="AW922" s="687" t="s">
        <v>276</v>
      </c>
      <c r="AX922" s="681" t="s">
        <v>8638</v>
      </c>
      <c r="AY922" s="680">
        <v>0.79</v>
      </c>
      <c r="AZ922" s="680">
        <v>0.65</v>
      </c>
      <c r="BA922" s="680">
        <v>0.96</v>
      </c>
      <c r="BB922" s="680" t="s">
        <v>276</v>
      </c>
      <c r="BC922" s="681" t="s">
        <v>8653</v>
      </c>
      <c r="BD922" s="681" t="s">
        <v>8654</v>
      </c>
      <c r="BE922" s="33" t="s">
        <v>100</v>
      </c>
      <c r="BF922" s="33" t="s">
        <v>98</v>
      </c>
    </row>
    <row r="923" spans="1:61" s="149" customFormat="1" ht="39" x14ac:dyDescent="0.3">
      <c r="A923" s="680">
        <v>192</v>
      </c>
      <c r="B923" s="680" t="s">
        <v>8646</v>
      </c>
      <c r="C923" s="680" t="s">
        <v>50</v>
      </c>
      <c r="D923" s="681" t="s">
        <v>11382</v>
      </c>
      <c r="E923" s="680" t="s">
        <v>36</v>
      </c>
      <c r="F923" s="681" t="s">
        <v>8615</v>
      </c>
      <c r="G923" s="680" t="s">
        <v>225</v>
      </c>
      <c r="H923" s="680" t="s">
        <v>125</v>
      </c>
      <c r="I923" s="680" t="s">
        <v>114</v>
      </c>
      <c r="J923" s="681" t="s">
        <v>24</v>
      </c>
      <c r="K923" s="681" t="s">
        <v>8647</v>
      </c>
      <c r="L923" s="681" t="s">
        <v>8648</v>
      </c>
      <c r="M923" s="680" t="s">
        <v>14</v>
      </c>
      <c r="N923" s="682" t="s">
        <v>98</v>
      </c>
      <c r="O923" s="683" t="s">
        <v>207</v>
      </c>
      <c r="P923" s="750">
        <v>42369</v>
      </c>
      <c r="Q923" s="681" t="s">
        <v>276</v>
      </c>
      <c r="R923" s="681" t="s">
        <v>8649</v>
      </c>
      <c r="S923" s="681" t="s">
        <v>8650</v>
      </c>
      <c r="T923" s="681">
        <v>1</v>
      </c>
      <c r="U923" s="685">
        <v>20552</v>
      </c>
      <c r="V923" s="681">
        <v>78126</v>
      </c>
      <c r="W923" s="680" t="s">
        <v>276</v>
      </c>
      <c r="X923" s="680" t="s">
        <v>276</v>
      </c>
      <c r="Y923" s="680">
        <v>0</v>
      </c>
      <c r="Z923" s="680" t="s">
        <v>98</v>
      </c>
      <c r="AA923" s="680">
        <v>0</v>
      </c>
      <c r="AB923" s="680" t="s">
        <v>98</v>
      </c>
      <c r="AC923" s="681" t="s">
        <v>8651</v>
      </c>
      <c r="AD923" s="681" t="s">
        <v>8652</v>
      </c>
      <c r="AE923" s="680">
        <v>122</v>
      </c>
      <c r="AF923" s="680">
        <v>530</v>
      </c>
      <c r="AG923" s="686">
        <v>290961</v>
      </c>
      <c r="AH923" s="686">
        <v>1090730</v>
      </c>
      <c r="AI923" s="686" t="s">
        <v>1019</v>
      </c>
      <c r="AJ923" s="751">
        <v>41.9</v>
      </c>
      <c r="AK923" s="688">
        <f>AE923*100000/AG923</f>
        <v>41.930018112393071</v>
      </c>
      <c r="AL923" s="687" t="s">
        <v>276</v>
      </c>
      <c r="AM923" s="687" t="s">
        <v>276</v>
      </c>
      <c r="AN923" s="687" t="s">
        <v>276</v>
      </c>
      <c r="AO923" s="688">
        <f>AF923*100000/AH923</f>
        <v>48.591310406791784</v>
      </c>
      <c r="AP923" s="687" t="s">
        <v>276</v>
      </c>
      <c r="AQ923" s="687" t="s">
        <v>276</v>
      </c>
      <c r="AR923" s="680" t="s">
        <v>269</v>
      </c>
      <c r="AS923" s="687" t="s">
        <v>276</v>
      </c>
      <c r="AT923" s="687">
        <f>AK923/AO923</f>
        <v>0.86291186142887721</v>
      </c>
      <c r="AU923" s="687" t="s">
        <v>276</v>
      </c>
      <c r="AV923" s="687" t="s">
        <v>276</v>
      </c>
      <c r="AW923" s="687" t="s">
        <v>276</v>
      </c>
      <c r="AX923" s="680" t="s">
        <v>282</v>
      </c>
      <c r="AY923" s="687" t="s">
        <v>276</v>
      </c>
      <c r="AZ923" s="687" t="s">
        <v>276</v>
      </c>
      <c r="BA923" s="687" t="s">
        <v>276</v>
      </c>
      <c r="BB923" s="687" t="s">
        <v>276</v>
      </c>
      <c r="BC923" s="681" t="s">
        <v>8413</v>
      </c>
      <c r="BD923" s="681"/>
      <c r="BE923" s="33" t="s">
        <v>100</v>
      </c>
      <c r="BF923" s="33" t="s">
        <v>98</v>
      </c>
    </row>
    <row r="924" spans="1:61" s="149" customFormat="1" ht="52" x14ac:dyDescent="0.3">
      <c r="A924" s="126">
        <v>192</v>
      </c>
      <c r="B924" s="126" t="s">
        <v>8646</v>
      </c>
      <c r="C924" s="126" t="s">
        <v>50</v>
      </c>
      <c r="D924" s="127" t="s">
        <v>8655</v>
      </c>
      <c r="E924" s="126" t="s">
        <v>36</v>
      </c>
      <c r="F924" s="127" t="s">
        <v>8615</v>
      </c>
      <c r="G924" s="126" t="s">
        <v>225</v>
      </c>
      <c r="H924" s="126" t="s">
        <v>125</v>
      </c>
      <c r="I924" s="126" t="s">
        <v>114</v>
      </c>
      <c r="J924" s="127" t="s">
        <v>24</v>
      </c>
      <c r="K924" s="127" t="s">
        <v>8647</v>
      </c>
      <c r="L924" s="127" t="s">
        <v>8648</v>
      </c>
      <c r="M924" s="126" t="s">
        <v>14</v>
      </c>
      <c r="N924" s="145" t="s">
        <v>98</v>
      </c>
      <c r="O924" s="131" t="s">
        <v>207</v>
      </c>
      <c r="P924" s="197">
        <v>42369</v>
      </c>
      <c r="Q924" s="127" t="s">
        <v>276</v>
      </c>
      <c r="R924" s="127" t="s">
        <v>8649</v>
      </c>
      <c r="S924" s="127" t="s">
        <v>8650</v>
      </c>
      <c r="T924" s="127">
        <v>1</v>
      </c>
      <c r="U924" s="132">
        <v>20552</v>
      </c>
      <c r="V924" s="127">
        <v>78126</v>
      </c>
      <c r="W924" s="126" t="s">
        <v>276</v>
      </c>
      <c r="X924" s="126" t="s">
        <v>276</v>
      </c>
      <c r="Y924" s="126">
        <v>0</v>
      </c>
      <c r="Z924" s="126" t="s">
        <v>98</v>
      </c>
      <c r="AA924" s="126">
        <v>0</v>
      </c>
      <c r="AB924" s="126" t="s">
        <v>98</v>
      </c>
      <c r="AC924" s="127" t="s">
        <v>8651</v>
      </c>
      <c r="AD924" s="127" t="s">
        <v>2046</v>
      </c>
      <c r="AE924" s="126">
        <v>122</v>
      </c>
      <c r="AF924" s="126">
        <v>530</v>
      </c>
      <c r="AG924" s="132">
        <v>20552</v>
      </c>
      <c r="AH924" s="127">
        <v>78126</v>
      </c>
      <c r="AI924" s="134" t="s">
        <v>2047</v>
      </c>
      <c r="AJ924" s="135" t="s">
        <v>276</v>
      </c>
      <c r="AK924" s="148">
        <f>AE924*1000/AG924</f>
        <v>5.9361619307123394</v>
      </c>
      <c r="AL924" s="135" t="s">
        <v>276</v>
      </c>
      <c r="AM924" s="135" t="s">
        <v>276</v>
      </c>
      <c r="AN924" s="135" t="s">
        <v>276</v>
      </c>
      <c r="AO924" s="148">
        <f>AF924*1000/AH924</f>
        <v>6.7839131659114766</v>
      </c>
      <c r="AP924" s="135" t="s">
        <v>276</v>
      </c>
      <c r="AQ924" s="135" t="s">
        <v>276</v>
      </c>
      <c r="AR924" s="126" t="s">
        <v>268</v>
      </c>
      <c r="AS924" s="135" t="s">
        <v>276</v>
      </c>
      <c r="AT924" s="135">
        <f>AK924/AO924</f>
        <v>0.87503506980911738</v>
      </c>
      <c r="AU924" s="135" t="s">
        <v>276</v>
      </c>
      <c r="AV924" s="135" t="s">
        <v>276</v>
      </c>
      <c r="AW924" s="135" t="s">
        <v>276</v>
      </c>
      <c r="AX924" s="126" t="s">
        <v>282</v>
      </c>
      <c r="AY924" s="135" t="s">
        <v>276</v>
      </c>
      <c r="AZ924" s="135" t="s">
        <v>276</v>
      </c>
      <c r="BA924" s="135" t="s">
        <v>276</v>
      </c>
      <c r="BB924" s="135" t="s">
        <v>276</v>
      </c>
      <c r="BC924" s="127" t="s">
        <v>8413</v>
      </c>
      <c r="BD924" s="127"/>
      <c r="BE924" s="33" t="s">
        <v>100</v>
      </c>
      <c r="BF924" s="33" t="s">
        <v>98</v>
      </c>
    </row>
    <row r="925" spans="1:61" s="149" customFormat="1" ht="52" x14ac:dyDescent="0.3">
      <c r="A925" s="126">
        <v>192</v>
      </c>
      <c r="B925" s="126" t="s">
        <v>8646</v>
      </c>
      <c r="C925" s="126" t="s">
        <v>50</v>
      </c>
      <c r="D925" s="127" t="s">
        <v>11383</v>
      </c>
      <c r="E925" s="126" t="s">
        <v>36</v>
      </c>
      <c r="F925" s="127" t="s">
        <v>8615</v>
      </c>
      <c r="G925" s="126" t="s">
        <v>225</v>
      </c>
      <c r="H925" s="126" t="s">
        <v>125</v>
      </c>
      <c r="I925" s="126" t="s">
        <v>114</v>
      </c>
      <c r="J925" s="127" t="s">
        <v>24</v>
      </c>
      <c r="K925" s="127" t="s">
        <v>8647</v>
      </c>
      <c r="L925" s="127" t="s">
        <v>8648</v>
      </c>
      <c r="M925" s="126" t="s">
        <v>15</v>
      </c>
      <c r="N925" s="145" t="s">
        <v>8617</v>
      </c>
      <c r="O925" s="131" t="s">
        <v>207</v>
      </c>
      <c r="P925" s="197">
        <v>42369</v>
      </c>
      <c r="Q925" s="127" t="s">
        <v>276</v>
      </c>
      <c r="R925" s="127" t="s">
        <v>276</v>
      </c>
      <c r="S925" s="127" t="s">
        <v>276</v>
      </c>
      <c r="T925" s="127">
        <v>1</v>
      </c>
      <c r="U925" s="132">
        <v>13636</v>
      </c>
      <c r="V925" s="132" t="s">
        <v>276</v>
      </c>
      <c r="W925" s="126" t="s">
        <v>276</v>
      </c>
      <c r="X925" s="126" t="s">
        <v>276</v>
      </c>
      <c r="Y925" s="126">
        <v>0</v>
      </c>
      <c r="Z925" s="126" t="s">
        <v>98</v>
      </c>
      <c r="AA925" s="126">
        <v>0</v>
      </c>
      <c r="AB925" s="126" t="s">
        <v>98</v>
      </c>
      <c r="AC925" s="127" t="s">
        <v>11384</v>
      </c>
      <c r="AD925" s="127" t="s">
        <v>11385</v>
      </c>
      <c r="AE925" s="126">
        <v>102</v>
      </c>
      <c r="AF925" s="126">
        <v>372</v>
      </c>
      <c r="AG925" s="134" t="s">
        <v>276</v>
      </c>
      <c r="AH925" s="134" t="s">
        <v>276</v>
      </c>
      <c r="AI925" s="134" t="s">
        <v>1019</v>
      </c>
      <c r="AJ925" s="147">
        <v>52</v>
      </c>
      <c r="AK925" s="135" t="s">
        <v>98</v>
      </c>
      <c r="AL925" s="135" t="s">
        <v>276</v>
      </c>
      <c r="AM925" s="135" t="s">
        <v>276</v>
      </c>
      <c r="AN925" s="147">
        <v>63.5</v>
      </c>
      <c r="AO925" s="135" t="s">
        <v>98</v>
      </c>
      <c r="AP925" s="135" t="s">
        <v>276</v>
      </c>
      <c r="AQ925" s="135" t="s">
        <v>276</v>
      </c>
      <c r="AR925" s="126" t="s">
        <v>270</v>
      </c>
      <c r="AS925" s="135">
        <v>0.82</v>
      </c>
      <c r="AT925" s="135" t="s">
        <v>98</v>
      </c>
      <c r="AU925" s="135">
        <v>0.66</v>
      </c>
      <c r="AV925" s="135">
        <v>1.02</v>
      </c>
      <c r="AW925" s="135" t="s">
        <v>276</v>
      </c>
      <c r="AX925" s="126" t="s">
        <v>282</v>
      </c>
      <c r="AY925" s="126" t="s">
        <v>98</v>
      </c>
      <c r="AZ925" s="126" t="s">
        <v>98</v>
      </c>
      <c r="BA925" s="126" t="s">
        <v>98</v>
      </c>
      <c r="BB925" s="126" t="s">
        <v>98</v>
      </c>
      <c r="BC925" s="127" t="s">
        <v>8413</v>
      </c>
      <c r="BD925" s="127"/>
      <c r="BE925" s="33" t="s">
        <v>99</v>
      </c>
      <c r="BF925" s="33" t="s">
        <v>11163</v>
      </c>
    </row>
    <row r="926" spans="1:61" s="149" customFormat="1" ht="52" x14ac:dyDescent="0.3">
      <c r="A926" s="126">
        <v>192</v>
      </c>
      <c r="B926" s="126" t="s">
        <v>8646</v>
      </c>
      <c r="C926" s="126" t="s">
        <v>50</v>
      </c>
      <c r="D926" s="127" t="s">
        <v>11386</v>
      </c>
      <c r="E926" s="126" t="s">
        <v>36</v>
      </c>
      <c r="F926" s="127" t="s">
        <v>8615</v>
      </c>
      <c r="G926" s="126" t="s">
        <v>225</v>
      </c>
      <c r="H926" s="126" t="s">
        <v>125</v>
      </c>
      <c r="I926" s="126" t="s">
        <v>114</v>
      </c>
      <c r="J926" s="127" t="s">
        <v>24</v>
      </c>
      <c r="K926" s="127" t="s">
        <v>8647</v>
      </c>
      <c r="L926" s="127" t="s">
        <v>8648</v>
      </c>
      <c r="M926" s="126" t="s">
        <v>15</v>
      </c>
      <c r="N926" s="145" t="s">
        <v>8617</v>
      </c>
      <c r="O926" s="131" t="s">
        <v>207</v>
      </c>
      <c r="P926" s="197">
        <v>42369</v>
      </c>
      <c r="Q926" s="127" t="s">
        <v>276</v>
      </c>
      <c r="R926" s="127" t="s">
        <v>276</v>
      </c>
      <c r="S926" s="127" t="s">
        <v>276</v>
      </c>
      <c r="T926" s="127">
        <v>1</v>
      </c>
      <c r="U926" s="132">
        <v>13636</v>
      </c>
      <c r="V926" s="132" t="s">
        <v>276</v>
      </c>
      <c r="W926" s="126" t="s">
        <v>276</v>
      </c>
      <c r="X926" s="126" t="s">
        <v>276</v>
      </c>
      <c r="Y926" s="126">
        <v>0</v>
      </c>
      <c r="Z926" s="126" t="s">
        <v>98</v>
      </c>
      <c r="AA926" s="126">
        <v>0</v>
      </c>
      <c r="AB926" s="126" t="s">
        <v>98</v>
      </c>
      <c r="AC926" s="127" t="s">
        <v>8651</v>
      </c>
      <c r="AD926" s="127" t="s">
        <v>11385</v>
      </c>
      <c r="AE926" s="126">
        <v>102</v>
      </c>
      <c r="AF926" s="126">
        <v>372</v>
      </c>
      <c r="AG926" s="134" t="s">
        <v>276</v>
      </c>
      <c r="AH926" s="134" t="s">
        <v>276</v>
      </c>
      <c r="AI926" s="134" t="s">
        <v>1019</v>
      </c>
      <c r="AJ926" s="147">
        <v>52</v>
      </c>
      <c r="AK926" s="148" t="s">
        <v>98</v>
      </c>
      <c r="AL926" s="135" t="s">
        <v>276</v>
      </c>
      <c r="AM926" s="135" t="s">
        <v>276</v>
      </c>
      <c r="AN926" s="147">
        <v>63.5</v>
      </c>
      <c r="AO926" s="148" t="s">
        <v>98</v>
      </c>
      <c r="AP926" s="135" t="s">
        <v>276</v>
      </c>
      <c r="AQ926" s="135" t="s">
        <v>276</v>
      </c>
      <c r="AR926" s="126" t="s">
        <v>269</v>
      </c>
      <c r="AS926" s="135" t="s">
        <v>276</v>
      </c>
      <c r="AT926" s="135">
        <f>AJ926/AN926</f>
        <v>0.81889763779527558</v>
      </c>
      <c r="AU926" s="135" t="s">
        <v>276</v>
      </c>
      <c r="AV926" s="135" t="s">
        <v>276</v>
      </c>
      <c r="AW926" s="135" t="s">
        <v>276</v>
      </c>
      <c r="AX926" s="126" t="s">
        <v>282</v>
      </c>
      <c r="AY926" s="126" t="s">
        <v>98</v>
      </c>
      <c r="AZ926" s="126" t="s">
        <v>98</v>
      </c>
      <c r="BA926" s="126" t="s">
        <v>98</v>
      </c>
      <c r="BB926" s="126" t="s">
        <v>98</v>
      </c>
      <c r="BC926" s="127" t="s">
        <v>8413</v>
      </c>
      <c r="BD926" s="127"/>
      <c r="BE926" s="33" t="s">
        <v>99</v>
      </c>
      <c r="BF926" s="33" t="s">
        <v>11163</v>
      </c>
    </row>
    <row r="927" spans="1:61" s="160" customFormat="1" ht="65" x14ac:dyDescent="0.3">
      <c r="A927" s="752">
        <v>192</v>
      </c>
      <c r="B927" s="752" t="s">
        <v>8646</v>
      </c>
      <c r="C927" s="752" t="s">
        <v>50</v>
      </c>
      <c r="D927" s="753" t="s">
        <v>11387</v>
      </c>
      <c r="E927" s="752" t="s">
        <v>36</v>
      </c>
      <c r="F927" s="753" t="s">
        <v>8615</v>
      </c>
      <c r="G927" s="752" t="s">
        <v>225</v>
      </c>
      <c r="H927" s="752" t="s">
        <v>125</v>
      </c>
      <c r="I927" s="752" t="s">
        <v>114</v>
      </c>
      <c r="J927" s="753" t="s">
        <v>23</v>
      </c>
      <c r="K927" s="753" t="s">
        <v>8647</v>
      </c>
      <c r="L927" s="753" t="s">
        <v>8648</v>
      </c>
      <c r="M927" s="752" t="s">
        <v>14</v>
      </c>
      <c r="N927" s="754" t="s">
        <v>98</v>
      </c>
      <c r="O927" s="755" t="s">
        <v>207</v>
      </c>
      <c r="P927" s="756">
        <v>42369</v>
      </c>
      <c r="Q927" s="753" t="s">
        <v>276</v>
      </c>
      <c r="R927" s="753" t="s">
        <v>8649</v>
      </c>
      <c r="S927" s="753" t="s">
        <v>8650</v>
      </c>
      <c r="T927" s="753">
        <v>1</v>
      </c>
      <c r="U927" s="757">
        <v>20552</v>
      </c>
      <c r="V927" s="753">
        <v>78126</v>
      </c>
      <c r="W927" s="752" t="s">
        <v>276</v>
      </c>
      <c r="X927" s="752" t="s">
        <v>276</v>
      </c>
      <c r="Y927" s="752">
        <v>0</v>
      </c>
      <c r="Z927" s="752" t="s">
        <v>98</v>
      </c>
      <c r="AA927" s="752">
        <v>0</v>
      </c>
      <c r="AB927" s="752" t="s">
        <v>98</v>
      </c>
      <c r="AC927" s="753" t="s">
        <v>8656</v>
      </c>
      <c r="AD927" s="753" t="s">
        <v>8652</v>
      </c>
      <c r="AE927" s="752">
        <v>3809</v>
      </c>
      <c r="AF927" s="757">
        <v>13433</v>
      </c>
      <c r="AG927" s="758">
        <v>290961</v>
      </c>
      <c r="AH927" s="758">
        <v>1090730</v>
      </c>
      <c r="AI927" s="758" t="s">
        <v>1019</v>
      </c>
      <c r="AJ927" s="759">
        <v>1309.0999999999999</v>
      </c>
      <c r="AK927" s="760" t="s">
        <v>276</v>
      </c>
      <c r="AL927" s="760" t="s">
        <v>276</v>
      </c>
      <c r="AM927" s="760" t="s">
        <v>276</v>
      </c>
      <c r="AN927" s="759">
        <v>1333.3</v>
      </c>
      <c r="AO927" s="760" t="s">
        <v>276</v>
      </c>
      <c r="AP927" s="760" t="s">
        <v>276</v>
      </c>
      <c r="AQ927" s="760" t="s">
        <v>276</v>
      </c>
      <c r="AR927" s="752" t="s">
        <v>270</v>
      </c>
      <c r="AS927" s="760" t="s">
        <v>276</v>
      </c>
      <c r="AT927" s="760" t="s">
        <v>276</v>
      </c>
      <c r="AU927" s="760" t="s">
        <v>276</v>
      </c>
      <c r="AV927" s="760" t="s">
        <v>276</v>
      </c>
      <c r="AW927" s="760" t="s">
        <v>276</v>
      </c>
      <c r="AX927" s="753" t="s">
        <v>8638</v>
      </c>
      <c r="AY927" s="752">
        <v>0.98</v>
      </c>
      <c r="AZ927" s="752">
        <v>0.95</v>
      </c>
      <c r="BA927" s="752">
        <v>1.02</v>
      </c>
      <c r="BB927" s="752" t="s">
        <v>276</v>
      </c>
      <c r="BC927" s="753" t="s">
        <v>8413</v>
      </c>
      <c r="BD927" s="753" t="s">
        <v>8654</v>
      </c>
      <c r="BE927" s="33" t="s">
        <v>100</v>
      </c>
      <c r="BF927" s="33" t="s">
        <v>98</v>
      </c>
    </row>
    <row r="928" spans="1:61" s="160" customFormat="1" ht="39" x14ac:dyDescent="0.3">
      <c r="A928" s="752">
        <v>192</v>
      </c>
      <c r="B928" s="752" t="s">
        <v>8646</v>
      </c>
      <c r="C928" s="752" t="s">
        <v>50</v>
      </c>
      <c r="D928" s="753" t="s">
        <v>11388</v>
      </c>
      <c r="E928" s="752" t="s">
        <v>36</v>
      </c>
      <c r="F928" s="753" t="s">
        <v>8615</v>
      </c>
      <c r="G928" s="752" t="s">
        <v>225</v>
      </c>
      <c r="H928" s="752" t="s">
        <v>125</v>
      </c>
      <c r="I928" s="752" t="s">
        <v>114</v>
      </c>
      <c r="J928" s="753" t="s">
        <v>23</v>
      </c>
      <c r="K928" s="753" t="s">
        <v>8647</v>
      </c>
      <c r="L928" s="753" t="s">
        <v>8648</v>
      </c>
      <c r="M928" s="752" t="s">
        <v>14</v>
      </c>
      <c r="N928" s="754" t="s">
        <v>98</v>
      </c>
      <c r="O928" s="755" t="s">
        <v>207</v>
      </c>
      <c r="P928" s="756">
        <v>42369</v>
      </c>
      <c r="Q928" s="753" t="s">
        <v>276</v>
      </c>
      <c r="R928" s="753" t="s">
        <v>8649</v>
      </c>
      <c r="S928" s="753" t="s">
        <v>8650</v>
      </c>
      <c r="T928" s="753">
        <v>1</v>
      </c>
      <c r="U928" s="757">
        <v>20552</v>
      </c>
      <c r="V928" s="753">
        <v>78126</v>
      </c>
      <c r="W928" s="752" t="s">
        <v>276</v>
      </c>
      <c r="X928" s="752" t="s">
        <v>276</v>
      </c>
      <c r="Y928" s="752">
        <v>0</v>
      </c>
      <c r="Z928" s="752" t="s">
        <v>98</v>
      </c>
      <c r="AA928" s="752">
        <v>0</v>
      </c>
      <c r="AB928" s="752" t="s">
        <v>98</v>
      </c>
      <c r="AC928" s="753" t="s">
        <v>8656</v>
      </c>
      <c r="AD928" s="753" t="s">
        <v>8652</v>
      </c>
      <c r="AE928" s="752">
        <v>3809</v>
      </c>
      <c r="AF928" s="757">
        <v>13433</v>
      </c>
      <c r="AG928" s="758">
        <v>290961</v>
      </c>
      <c r="AH928" s="758">
        <v>1090730</v>
      </c>
      <c r="AI928" s="758" t="s">
        <v>1019</v>
      </c>
      <c r="AJ928" s="759">
        <v>1309.0999999999999</v>
      </c>
      <c r="AK928" s="761">
        <f>AE928*100000/AG928</f>
        <v>1309.1101556566</v>
      </c>
      <c r="AL928" s="760" t="s">
        <v>276</v>
      </c>
      <c r="AM928" s="760" t="s">
        <v>276</v>
      </c>
      <c r="AN928" s="760" t="s">
        <v>276</v>
      </c>
      <c r="AO928" s="761">
        <f>AF928*100000/AH928</f>
        <v>1231.5605145177999</v>
      </c>
      <c r="AP928" s="760" t="s">
        <v>276</v>
      </c>
      <c r="AQ928" s="760" t="s">
        <v>276</v>
      </c>
      <c r="AR928" s="752" t="s">
        <v>269</v>
      </c>
      <c r="AS928" s="760" t="s">
        <v>276</v>
      </c>
      <c r="AT928" s="760">
        <f>AK928/AO928</f>
        <v>1.0629685997761658</v>
      </c>
      <c r="AU928" s="760" t="s">
        <v>276</v>
      </c>
      <c r="AV928" s="760" t="s">
        <v>276</v>
      </c>
      <c r="AW928" s="760" t="s">
        <v>276</v>
      </c>
      <c r="AX928" s="752" t="s">
        <v>282</v>
      </c>
      <c r="AY928" s="760" t="s">
        <v>276</v>
      </c>
      <c r="AZ928" s="760" t="s">
        <v>276</v>
      </c>
      <c r="BA928" s="760" t="s">
        <v>276</v>
      </c>
      <c r="BB928" s="760" t="s">
        <v>276</v>
      </c>
      <c r="BC928" s="753" t="s">
        <v>8413</v>
      </c>
      <c r="BD928" s="753"/>
      <c r="BE928" s="33" t="s">
        <v>100</v>
      </c>
      <c r="BF928" s="33" t="s">
        <v>98</v>
      </c>
    </row>
    <row r="929" spans="1:58" s="160" customFormat="1" ht="52" x14ac:dyDescent="0.3">
      <c r="A929" s="752">
        <v>192</v>
      </c>
      <c r="B929" s="752" t="s">
        <v>8646</v>
      </c>
      <c r="C929" s="752" t="s">
        <v>50</v>
      </c>
      <c r="D929" s="753" t="s">
        <v>11389</v>
      </c>
      <c r="E929" s="752" t="s">
        <v>36</v>
      </c>
      <c r="F929" s="753" t="s">
        <v>8615</v>
      </c>
      <c r="G929" s="752" t="s">
        <v>225</v>
      </c>
      <c r="H929" s="752" t="s">
        <v>125</v>
      </c>
      <c r="I929" s="752" t="s">
        <v>114</v>
      </c>
      <c r="J929" s="753" t="s">
        <v>23</v>
      </c>
      <c r="K929" s="753" t="s">
        <v>8647</v>
      </c>
      <c r="L929" s="753" t="s">
        <v>8648</v>
      </c>
      <c r="M929" s="752" t="s">
        <v>14</v>
      </c>
      <c r="N929" s="754" t="s">
        <v>98</v>
      </c>
      <c r="O929" s="755" t="s">
        <v>207</v>
      </c>
      <c r="P929" s="756">
        <v>42369</v>
      </c>
      <c r="Q929" s="753" t="s">
        <v>276</v>
      </c>
      <c r="R929" s="753" t="s">
        <v>8649</v>
      </c>
      <c r="S929" s="753" t="s">
        <v>8650</v>
      </c>
      <c r="T929" s="753">
        <v>1</v>
      </c>
      <c r="U929" s="757">
        <v>20552</v>
      </c>
      <c r="V929" s="753">
        <v>78126</v>
      </c>
      <c r="W929" s="752" t="s">
        <v>276</v>
      </c>
      <c r="X929" s="752" t="s">
        <v>276</v>
      </c>
      <c r="Y929" s="752">
        <v>0</v>
      </c>
      <c r="Z929" s="752" t="s">
        <v>98</v>
      </c>
      <c r="AA929" s="752">
        <v>0</v>
      </c>
      <c r="AB929" s="752" t="s">
        <v>98</v>
      </c>
      <c r="AC929" s="753" t="s">
        <v>8656</v>
      </c>
      <c r="AD929" s="753" t="s">
        <v>2046</v>
      </c>
      <c r="AE929" s="752">
        <v>3809</v>
      </c>
      <c r="AF929" s="757">
        <v>13433</v>
      </c>
      <c r="AG929" s="757">
        <v>20552</v>
      </c>
      <c r="AH929" s="753">
        <v>78126</v>
      </c>
      <c r="AI929" s="758" t="s">
        <v>2047</v>
      </c>
      <c r="AJ929" s="760" t="s">
        <v>276</v>
      </c>
      <c r="AK929" s="761">
        <f t="shared" ref="AK929:AK934" si="123">AE929*1000/AG929</f>
        <v>185.33476060724018</v>
      </c>
      <c r="AL929" s="760" t="s">
        <v>276</v>
      </c>
      <c r="AM929" s="760" t="s">
        <v>276</v>
      </c>
      <c r="AN929" s="760" t="s">
        <v>276</v>
      </c>
      <c r="AO929" s="761">
        <f t="shared" ref="AO929:AO934" si="124">AF929*1000/AH929</f>
        <v>171.94019916545068</v>
      </c>
      <c r="AP929" s="760" t="s">
        <v>276</v>
      </c>
      <c r="AQ929" s="760" t="s">
        <v>276</v>
      </c>
      <c r="AR929" s="752" t="s">
        <v>268</v>
      </c>
      <c r="AS929" s="760" t="s">
        <v>276</v>
      </c>
      <c r="AT929" s="760">
        <f>AK929/AO929</f>
        <v>1.0779024422840204</v>
      </c>
      <c r="AU929" s="760" t="s">
        <v>276</v>
      </c>
      <c r="AV929" s="760" t="s">
        <v>276</v>
      </c>
      <c r="AW929" s="760" t="s">
        <v>276</v>
      </c>
      <c r="AX929" s="752" t="s">
        <v>282</v>
      </c>
      <c r="AY929" s="760" t="s">
        <v>276</v>
      </c>
      <c r="AZ929" s="760" t="s">
        <v>276</v>
      </c>
      <c r="BA929" s="760" t="s">
        <v>276</v>
      </c>
      <c r="BB929" s="760" t="s">
        <v>276</v>
      </c>
      <c r="BC929" s="753" t="s">
        <v>8413</v>
      </c>
      <c r="BD929" s="753"/>
      <c r="BE929" s="33" t="s">
        <v>100</v>
      </c>
      <c r="BF929" s="33" t="s">
        <v>98</v>
      </c>
    </row>
    <row r="930" spans="1:58" s="679" customFormat="1" ht="52" x14ac:dyDescent="0.3">
      <c r="A930" s="577">
        <v>165</v>
      </c>
      <c r="B930" s="578" t="s">
        <v>8707</v>
      </c>
      <c r="C930" s="577" t="s">
        <v>52</v>
      </c>
      <c r="D930" s="578" t="s">
        <v>8708</v>
      </c>
      <c r="E930" s="577" t="s">
        <v>36</v>
      </c>
      <c r="F930" s="577" t="s">
        <v>123</v>
      </c>
      <c r="G930" s="577" t="s">
        <v>225</v>
      </c>
      <c r="H930" s="577" t="s">
        <v>125</v>
      </c>
      <c r="I930" s="577" t="s">
        <v>114</v>
      </c>
      <c r="J930" s="578" t="s">
        <v>23</v>
      </c>
      <c r="K930" s="578" t="s">
        <v>8709</v>
      </c>
      <c r="L930" s="578" t="s">
        <v>8710</v>
      </c>
      <c r="M930" s="577" t="s">
        <v>14</v>
      </c>
      <c r="N930" s="579" t="s">
        <v>98</v>
      </c>
      <c r="O930" s="580" t="s">
        <v>207</v>
      </c>
      <c r="P930" s="581">
        <v>34880</v>
      </c>
      <c r="Q930" s="578" t="s">
        <v>8711</v>
      </c>
      <c r="R930" s="578" t="s">
        <v>8712</v>
      </c>
      <c r="S930" s="578" t="s">
        <v>8712</v>
      </c>
      <c r="T930" s="717" t="s">
        <v>8713</v>
      </c>
      <c r="U930" s="582">
        <v>75253</v>
      </c>
      <c r="V930" s="583">
        <v>74998</v>
      </c>
      <c r="W930" s="577" t="s">
        <v>276</v>
      </c>
      <c r="X930" s="577" t="s">
        <v>276</v>
      </c>
      <c r="Y930" s="577">
        <v>0</v>
      </c>
      <c r="Z930" s="577" t="s">
        <v>98</v>
      </c>
      <c r="AA930" s="577">
        <v>0</v>
      </c>
      <c r="AB930" s="577" t="s">
        <v>98</v>
      </c>
      <c r="AC930" s="578" t="s">
        <v>8714</v>
      </c>
      <c r="AD930" s="578" t="s">
        <v>8715</v>
      </c>
      <c r="AE930" s="582">
        <v>12624</v>
      </c>
      <c r="AF930" s="582">
        <v>12515</v>
      </c>
      <c r="AG930" s="582">
        <v>597944</v>
      </c>
      <c r="AH930" s="582">
        <v>596369</v>
      </c>
      <c r="AI930" s="582" t="s">
        <v>425</v>
      </c>
      <c r="AJ930" s="678">
        <v>21.1</v>
      </c>
      <c r="AK930" s="586">
        <f t="shared" si="123"/>
        <v>21.112344968759615</v>
      </c>
      <c r="AL930" s="585" t="s">
        <v>276</v>
      </c>
      <c r="AM930" s="585" t="s">
        <v>276</v>
      </c>
      <c r="AN930" s="678">
        <v>21</v>
      </c>
      <c r="AO930" s="586">
        <f t="shared" si="124"/>
        <v>20.98532955267628</v>
      </c>
      <c r="AP930" s="585" t="s">
        <v>276</v>
      </c>
      <c r="AQ930" s="585" t="s">
        <v>276</v>
      </c>
      <c r="AR930" s="577" t="s">
        <v>269</v>
      </c>
      <c r="AS930" s="585">
        <v>1.01</v>
      </c>
      <c r="AT930" s="586">
        <f t="shared" ref="AT930:AT939" si="125">AK930/AO930</f>
        <v>1.0060525814362127</v>
      </c>
      <c r="AU930" s="585">
        <v>0.98</v>
      </c>
      <c r="AV930" s="585">
        <v>1.03</v>
      </c>
      <c r="AW930" s="577" t="s">
        <v>276</v>
      </c>
      <c r="AX930" s="577" t="s">
        <v>282</v>
      </c>
      <c r="AY930" s="577" t="s">
        <v>98</v>
      </c>
      <c r="AZ930" s="577" t="s">
        <v>98</v>
      </c>
      <c r="BA930" s="577" t="s">
        <v>98</v>
      </c>
      <c r="BB930" s="577" t="s">
        <v>98</v>
      </c>
      <c r="BC930" s="578" t="s">
        <v>8716</v>
      </c>
      <c r="BD930" s="578"/>
      <c r="BE930" s="110" t="s">
        <v>100</v>
      </c>
      <c r="BF930" s="110" t="s">
        <v>98</v>
      </c>
    </row>
    <row r="931" spans="1:58" s="679" customFormat="1" ht="78" x14ac:dyDescent="0.3">
      <c r="A931" s="577">
        <v>165</v>
      </c>
      <c r="B931" s="578" t="s">
        <v>8707</v>
      </c>
      <c r="C931" s="577" t="s">
        <v>52</v>
      </c>
      <c r="D931" s="578" t="s">
        <v>8717</v>
      </c>
      <c r="E931" s="577" t="s">
        <v>36</v>
      </c>
      <c r="F931" s="577" t="s">
        <v>123</v>
      </c>
      <c r="G931" s="577" t="s">
        <v>225</v>
      </c>
      <c r="H931" s="577" t="s">
        <v>125</v>
      </c>
      <c r="I931" s="577" t="s">
        <v>114</v>
      </c>
      <c r="J931" s="578" t="s">
        <v>24</v>
      </c>
      <c r="K931" s="578" t="s">
        <v>8718</v>
      </c>
      <c r="L931" s="578" t="s">
        <v>8710</v>
      </c>
      <c r="M931" s="577" t="s">
        <v>14</v>
      </c>
      <c r="N931" s="579" t="s">
        <v>98</v>
      </c>
      <c r="O931" s="580" t="s">
        <v>207</v>
      </c>
      <c r="P931" s="581">
        <v>34880</v>
      </c>
      <c r="Q931" s="578" t="s">
        <v>8711</v>
      </c>
      <c r="R931" s="578" t="s">
        <v>8712</v>
      </c>
      <c r="S931" s="578" t="s">
        <v>8712</v>
      </c>
      <c r="T931" s="717" t="s">
        <v>8713</v>
      </c>
      <c r="U931" s="582">
        <v>75253</v>
      </c>
      <c r="V931" s="583">
        <v>74998</v>
      </c>
      <c r="W931" s="577" t="s">
        <v>276</v>
      </c>
      <c r="X931" s="577" t="s">
        <v>276</v>
      </c>
      <c r="Y931" s="577">
        <v>0</v>
      </c>
      <c r="Z931" s="578" t="s">
        <v>1562</v>
      </c>
      <c r="AA931" s="577">
        <v>0</v>
      </c>
      <c r="AB931" s="578" t="s">
        <v>1562</v>
      </c>
      <c r="AC931" s="578" t="s">
        <v>8719</v>
      </c>
      <c r="AD931" s="578" t="s">
        <v>8715</v>
      </c>
      <c r="AE931" s="582">
        <v>360</v>
      </c>
      <c r="AF931" s="582">
        <v>420</v>
      </c>
      <c r="AG931" s="582">
        <v>597944</v>
      </c>
      <c r="AH931" s="582">
        <v>596369</v>
      </c>
      <c r="AI931" s="582" t="s">
        <v>425</v>
      </c>
      <c r="AJ931" s="585">
        <v>0.6</v>
      </c>
      <c r="AK931" s="586">
        <f t="shared" si="123"/>
        <v>0.60206306945131982</v>
      </c>
      <c r="AL931" s="585" t="s">
        <v>276</v>
      </c>
      <c r="AM931" s="585" t="s">
        <v>276</v>
      </c>
      <c r="AN931" s="585">
        <v>0.7</v>
      </c>
      <c r="AO931" s="586">
        <f t="shared" si="124"/>
        <v>0.70426195861957952</v>
      </c>
      <c r="AP931" s="585" t="s">
        <v>276</v>
      </c>
      <c r="AQ931" s="585" t="s">
        <v>276</v>
      </c>
      <c r="AR931" s="577" t="s">
        <v>269</v>
      </c>
      <c r="AS931" s="585">
        <v>0.85</v>
      </c>
      <c r="AT931" s="586">
        <f t="shared" si="125"/>
        <v>0.85488512063241462</v>
      </c>
      <c r="AU931" s="585">
        <v>0.74</v>
      </c>
      <c r="AV931" s="585">
        <v>0.98</v>
      </c>
      <c r="AW931" s="577">
        <v>2.5999999999999999E-2</v>
      </c>
      <c r="AX931" s="577" t="s">
        <v>282</v>
      </c>
      <c r="AY931" s="577" t="s">
        <v>98</v>
      </c>
      <c r="AZ931" s="577" t="s">
        <v>98</v>
      </c>
      <c r="BA931" s="577" t="s">
        <v>98</v>
      </c>
      <c r="BB931" s="577" t="s">
        <v>98</v>
      </c>
      <c r="BC931" s="578" t="s">
        <v>8720</v>
      </c>
      <c r="BD931" s="578" t="s">
        <v>8721</v>
      </c>
      <c r="BE931" s="110" t="s">
        <v>99</v>
      </c>
      <c r="BF931" s="110" t="s">
        <v>11162</v>
      </c>
    </row>
    <row r="932" spans="1:58" s="679" customFormat="1" ht="78" x14ac:dyDescent="0.3">
      <c r="A932" s="577">
        <v>165</v>
      </c>
      <c r="B932" s="578" t="s">
        <v>8707</v>
      </c>
      <c r="C932" s="577" t="s">
        <v>52</v>
      </c>
      <c r="D932" s="578" t="s">
        <v>8722</v>
      </c>
      <c r="E932" s="577" t="s">
        <v>36</v>
      </c>
      <c r="F932" s="577" t="s">
        <v>123</v>
      </c>
      <c r="G932" s="577" t="s">
        <v>225</v>
      </c>
      <c r="H932" s="577" t="s">
        <v>125</v>
      </c>
      <c r="I932" s="577" t="s">
        <v>114</v>
      </c>
      <c r="J932" s="578" t="s">
        <v>24</v>
      </c>
      <c r="K932" s="578" t="s">
        <v>8718</v>
      </c>
      <c r="L932" s="578" t="s">
        <v>8710</v>
      </c>
      <c r="M932" s="577" t="s">
        <v>14</v>
      </c>
      <c r="N932" s="579" t="s">
        <v>98</v>
      </c>
      <c r="O932" s="580" t="s">
        <v>207</v>
      </c>
      <c r="P932" s="581">
        <v>34880</v>
      </c>
      <c r="Q932" s="578" t="s">
        <v>8711</v>
      </c>
      <c r="R932" s="578" t="s">
        <v>8712</v>
      </c>
      <c r="S932" s="578" t="s">
        <v>8712</v>
      </c>
      <c r="T932" s="717" t="s">
        <v>8713</v>
      </c>
      <c r="U932" s="582">
        <v>75253</v>
      </c>
      <c r="V932" s="583">
        <v>74998</v>
      </c>
      <c r="W932" s="577" t="s">
        <v>276</v>
      </c>
      <c r="X932" s="577" t="s">
        <v>276</v>
      </c>
      <c r="Y932" s="577">
        <v>0</v>
      </c>
      <c r="Z932" s="578" t="s">
        <v>1562</v>
      </c>
      <c r="AA932" s="577">
        <v>0</v>
      </c>
      <c r="AB932" s="578" t="s">
        <v>1562</v>
      </c>
      <c r="AC932" s="578" t="s">
        <v>8723</v>
      </c>
      <c r="AD932" s="578" t="s">
        <v>8715</v>
      </c>
      <c r="AE932" s="582">
        <v>350</v>
      </c>
      <c r="AF932" s="582">
        <v>398</v>
      </c>
      <c r="AG932" s="582">
        <v>597944</v>
      </c>
      <c r="AH932" s="582">
        <v>596369</v>
      </c>
      <c r="AI932" s="582" t="s">
        <v>425</v>
      </c>
      <c r="AJ932" s="585">
        <v>0.59</v>
      </c>
      <c r="AK932" s="586">
        <f t="shared" si="123"/>
        <v>0.58533909529989425</v>
      </c>
      <c r="AL932" s="585" t="s">
        <v>276</v>
      </c>
      <c r="AM932" s="585" t="s">
        <v>276</v>
      </c>
      <c r="AN932" s="585">
        <v>0.67</v>
      </c>
      <c r="AO932" s="586">
        <f t="shared" si="124"/>
        <v>0.66737204650141102</v>
      </c>
      <c r="AP932" s="585" t="s">
        <v>276</v>
      </c>
      <c r="AQ932" s="585" t="s">
        <v>276</v>
      </c>
      <c r="AR932" s="577" t="s">
        <v>269</v>
      </c>
      <c r="AS932" s="585">
        <v>0.88</v>
      </c>
      <c r="AT932" s="586">
        <f t="shared" si="125"/>
        <v>0.87708063046457951</v>
      </c>
      <c r="AU932" s="585">
        <v>0.76</v>
      </c>
      <c r="AV932" s="585">
        <v>1.01</v>
      </c>
      <c r="AW932" s="577" t="s">
        <v>276</v>
      </c>
      <c r="AX932" s="577" t="s">
        <v>282</v>
      </c>
      <c r="AY932" s="577" t="s">
        <v>98</v>
      </c>
      <c r="AZ932" s="577" t="s">
        <v>98</v>
      </c>
      <c r="BA932" s="577" t="s">
        <v>98</v>
      </c>
      <c r="BB932" s="577" t="s">
        <v>98</v>
      </c>
      <c r="BC932" s="578" t="s">
        <v>8724</v>
      </c>
      <c r="BD932" s="578" t="s">
        <v>8721</v>
      </c>
      <c r="BE932" s="110" t="s">
        <v>100</v>
      </c>
      <c r="BF932" s="110" t="s">
        <v>98</v>
      </c>
    </row>
    <row r="933" spans="1:58" s="689" customFormat="1" ht="39" x14ac:dyDescent="0.3">
      <c r="A933" s="680">
        <v>151</v>
      </c>
      <c r="B933" s="681" t="s">
        <v>8725</v>
      </c>
      <c r="C933" s="680" t="s">
        <v>52</v>
      </c>
      <c r="D933" s="681" t="s">
        <v>8726</v>
      </c>
      <c r="E933" s="680" t="s">
        <v>36</v>
      </c>
      <c r="F933" s="680" t="s">
        <v>123</v>
      </c>
      <c r="G933" s="680" t="s">
        <v>225</v>
      </c>
      <c r="H933" s="680" t="s">
        <v>125</v>
      </c>
      <c r="I933" s="680" t="s">
        <v>114</v>
      </c>
      <c r="J933" s="681" t="s">
        <v>23</v>
      </c>
      <c r="K933" s="681" t="s">
        <v>8727</v>
      </c>
      <c r="L933" s="681" t="s">
        <v>8728</v>
      </c>
      <c r="M933" s="680" t="s">
        <v>14</v>
      </c>
      <c r="N933" s="682" t="s">
        <v>98</v>
      </c>
      <c r="O933" s="683" t="s">
        <v>207</v>
      </c>
      <c r="P933" s="750">
        <v>36341</v>
      </c>
      <c r="Q933" s="681" t="s">
        <v>8729</v>
      </c>
      <c r="R933" s="681" t="s">
        <v>8730</v>
      </c>
      <c r="S933" s="681" t="s">
        <v>8730</v>
      </c>
      <c r="T933" s="762" t="s">
        <v>8713</v>
      </c>
      <c r="U933" s="685">
        <v>76224</v>
      </c>
      <c r="V933" s="686">
        <v>76079</v>
      </c>
      <c r="W933" s="680" t="s">
        <v>276</v>
      </c>
      <c r="X933" s="680" t="s">
        <v>276</v>
      </c>
      <c r="Y933" s="680">
        <v>0</v>
      </c>
      <c r="Z933" s="680" t="s">
        <v>98</v>
      </c>
      <c r="AA933" s="680">
        <v>0</v>
      </c>
      <c r="AB933" s="680" t="s">
        <v>98</v>
      </c>
      <c r="AC933" s="681" t="s">
        <v>8731</v>
      </c>
      <c r="AD933" s="681" t="s">
        <v>8732</v>
      </c>
      <c r="AE933" s="685">
        <v>20421</v>
      </c>
      <c r="AF933" s="685">
        <v>20336</v>
      </c>
      <c r="AG933" s="685">
        <v>844419</v>
      </c>
      <c r="AH933" s="685">
        <v>843463</v>
      </c>
      <c r="AI933" s="685" t="s">
        <v>425</v>
      </c>
      <c r="AJ933" s="687">
        <v>24.18</v>
      </c>
      <c r="AK933" s="688">
        <f t="shared" si="123"/>
        <v>24.183491844688479</v>
      </c>
      <c r="AL933" s="687" t="s">
        <v>276</v>
      </c>
      <c r="AM933" s="687" t="s">
        <v>276</v>
      </c>
      <c r="AN933" s="687">
        <v>24.11</v>
      </c>
      <c r="AO933" s="688">
        <f t="shared" si="124"/>
        <v>24.110126940956508</v>
      </c>
      <c r="AP933" s="687" t="s">
        <v>276</v>
      </c>
      <c r="AQ933" s="687" t="s">
        <v>276</v>
      </c>
      <c r="AR933" s="680" t="s">
        <v>269</v>
      </c>
      <c r="AS933" s="687">
        <v>1</v>
      </c>
      <c r="AT933" s="688">
        <f t="shared" si="125"/>
        <v>1.0030429082315342</v>
      </c>
      <c r="AU933" s="687">
        <v>0.98</v>
      </c>
      <c r="AV933" s="687">
        <v>1.02</v>
      </c>
      <c r="AW933" s="680">
        <v>0.79</v>
      </c>
      <c r="AX933" s="680" t="s">
        <v>6682</v>
      </c>
      <c r="AY933" s="687">
        <v>1</v>
      </c>
      <c r="AZ933" s="680">
        <v>0.99</v>
      </c>
      <c r="BA933" s="680">
        <v>1.02</v>
      </c>
      <c r="BB933" s="680">
        <v>0.62</v>
      </c>
      <c r="BC933" s="681" t="s">
        <v>8733</v>
      </c>
      <c r="BD933" s="681"/>
      <c r="BE933" s="110" t="s">
        <v>100</v>
      </c>
      <c r="BF933" s="110" t="s">
        <v>98</v>
      </c>
    </row>
    <row r="934" spans="1:58" s="689" customFormat="1" ht="117" x14ac:dyDescent="0.3">
      <c r="A934" s="680">
        <v>151</v>
      </c>
      <c r="B934" s="681" t="s">
        <v>8725</v>
      </c>
      <c r="C934" s="680" t="s">
        <v>52</v>
      </c>
      <c r="D934" s="681" t="s">
        <v>8734</v>
      </c>
      <c r="E934" s="680" t="s">
        <v>36</v>
      </c>
      <c r="F934" s="680" t="s">
        <v>123</v>
      </c>
      <c r="G934" s="680" t="s">
        <v>225</v>
      </c>
      <c r="H934" s="680" t="s">
        <v>125</v>
      </c>
      <c r="I934" s="680" t="s">
        <v>114</v>
      </c>
      <c r="J934" s="681" t="s">
        <v>24</v>
      </c>
      <c r="K934" s="681" t="s">
        <v>8735</v>
      </c>
      <c r="L934" s="681" t="s">
        <v>8728</v>
      </c>
      <c r="M934" s="680" t="s">
        <v>14</v>
      </c>
      <c r="N934" s="682" t="s">
        <v>98</v>
      </c>
      <c r="O934" s="683" t="s">
        <v>207</v>
      </c>
      <c r="P934" s="750">
        <v>36341</v>
      </c>
      <c r="Q934" s="681" t="s">
        <v>8729</v>
      </c>
      <c r="R934" s="681" t="s">
        <v>8730</v>
      </c>
      <c r="S934" s="681" t="s">
        <v>8730</v>
      </c>
      <c r="T934" s="762" t="s">
        <v>8713</v>
      </c>
      <c r="U934" s="685">
        <v>76224</v>
      </c>
      <c r="V934" s="686">
        <v>76079</v>
      </c>
      <c r="W934" s="680" t="s">
        <v>276</v>
      </c>
      <c r="X934" s="680" t="s">
        <v>276</v>
      </c>
      <c r="Y934" s="680">
        <v>0</v>
      </c>
      <c r="Z934" s="681" t="s">
        <v>1562</v>
      </c>
      <c r="AA934" s="680">
        <v>0</v>
      </c>
      <c r="AB934" s="681" t="s">
        <v>1562</v>
      </c>
      <c r="AC934" s="681" t="s">
        <v>8736</v>
      </c>
      <c r="AD934" s="681" t="s">
        <v>8732</v>
      </c>
      <c r="AE934" s="685">
        <v>593</v>
      </c>
      <c r="AF934" s="685">
        <v>684</v>
      </c>
      <c r="AG934" s="685">
        <v>844419</v>
      </c>
      <c r="AH934" s="685">
        <v>843463</v>
      </c>
      <c r="AI934" s="685" t="s">
        <v>425</v>
      </c>
      <c r="AJ934" s="687">
        <v>0.7</v>
      </c>
      <c r="AK934" s="688">
        <f t="shared" si="123"/>
        <v>0.7022580022476993</v>
      </c>
      <c r="AL934" s="687" t="s">
        <v>276</v>
      </c>
      <c r="AM934" s="687" t="s">
        <v>276</v>
      </c>
      <c r="AN934" s="687">
        <v>0.81</v>
      </c>
      <c r="AO934" s="688">
        <f t="shared" si="124"/>
        <v>0.81094250725876538</v>
      </c>
      <c r="AP934" s="687" t="s">
        <v>276</v>
      </c>
      <c r="AQ934" s="687" t="s">
        <v>276</v>
      </c>
      <c r="AR934" s="680" t="s">
        <v>269</v>
      </c>
      <c r="AS934" s="687">
        <v>0.87</v>
      </c>
      <c r="AT934" s="688">
        <f t="shared" si="125"/>
        <v>0.8659775458331157</v>
      </c>
      <c r="AU934" s="687">
        <v>0.78</v>
      </c>
      <c r="AV934" s="687">
        <v>0.97</v>
      </c>
      <c r="AW934" s="680">
        <v>0.01</v>
      </c>
      <c r="AX934" s="680" t="s">
        <v>6682</v>
      </c>
      <c r="AY934" s="680">
        <v>0.87</v>
      </c>
      <c r="AZ934" s="680">
        <v>0.78</v>
      </c>
      <c r="BA934" s="680">
        <v>0.97</v>
      </c>
      <c r="BB934" s="680">
        <v>0.01</v>
      </c>
      <c r="BC934" s="681" t="s">
        <v>8737</v>
      </c>
      <c r="BD934" s="681" t="s">
        <v>8721</v>
      </c>
      <c r="BE934" s="110" t="s">
        <v>100</v>
      </c>
      <c r="BF934" s="110" t="s">
        <v>98</v>
      </c>
    </row>
    <row r="935" spans="1:58" s="694" customFormat="1" ht="91" x14ac:dyDescent="0.3">
      <c r="A935" s="655">
        <v>140</v>
      </c>
      <c r="B935" s="656" t="s">
        <v>8738</v>
      </c>
      <c r="C935" s="655" t="s">
        <v>52</v>
      </c>
      <c r="D935" s="656" t="s">
        <v>8739</v>
      </c>
      <c r="E935" s="655" t="s">
        <v>36</v>
      </c>
      <c r="F935" s="655" t="s">
        <v>123</v>
      </c>
      <c r="G935" s="655" t="s">
        <v>225</v>
      </c>
      <c r="H935" s="655" t="s">
        <v>125</v>
      </c>
      <c r="I935" s="655" t="s">
        <v>114</v>
      </c>
      <c r="J935" s="656" t="s">
        <v>23</v>
      </c>
      <c r="K935" s="656" t="s">
        <v>8727</v>
      </c>
      <c r="L935" s="656" t="s">
        <v>276</v>
      </c>
      <c r="M935" s="655" t="s">
        <v>14</v>
      </c>
      <c r="N935" s="690" t="s">
        <v>98</v>
      </c>
      <c r="O935" s="691" t="s">
        <v>207</v>
      </c>
      <c r="P935" s="763">
        <v>39813</v>
      </c>
      <c r="Q935" s="656" t="s">
        <v>276</v>
      </c>
      <c r="R935" s="656" t="s">
        <v>276</v>
      </c>
      <c r="S935" s="656" t="s">
        <v>276</v>
      </c>
      <c r="T935" s="764" t="s">
        <v>8713</v>
      </c>
      <c r="U935" s="658">
        <v>75253</v>
      </c>
      <c r="V935" s="659">
        <v>74998</v>
      </c>
      <c r="W935" s="655" t="s">
        <v>276</v>
      </c>
      <c r="X935" s="655" t="s">
        <v>276</v>
      </c>
      <c r="Y935" s="655">
        <v>0</v>
      </c>
      <c r="Z935" s="655" t="s">
        <v>98</v>
      </c>
      <c r="AA935" s="655">
        <v>0</v>
      </c>
      <c r="AB935" s="655" t="s">
        <v>98</v>
      </c>
      <c r="AC935" s="656" t="s">
        <v>3361</v>
      </c>
      <c r="AD935" s="656" t="s">
        <v>6547</v>
      </c>
      <c r="AE935" s="658">
        <v>39590</v>
      </c>
      <c r="AF935" s="658">
        <v>39118</v>
      </c>
      <c r="AG935" s="658">
        <v>75253</v>
      </c>
      <c r="AH935" s="659">
        <v>74998</v>
      </c>
      <c r="AI935" s="658" t="s">
        <v>292</v>
      </c>
      <c r="AJ935" s="765">
        <v>52.6</v>
      </c>
      <c r="AK935" s="693">
        <f>AE935*100/AG935</f>
        <v>52.609198304386538</v>
      </c>
      <c r="AL935" s="660" t="s">
        <v>276</v>
      </c>
      <c r="AM935" s="660" t="s">
        <v>276</v>
      </c>
      <c r="AN935" s="765">
        <v>52.2</v>
      </c>
      <c r="AO935" s="693">
        <f>AF935*100/AH935</f>
        <v>52.1587242326462</v>
      </c>
      <c r="AP935" s="660" t="s">
        <v>276</v>
      </c>
      <c r="AQ935" s="660" t="s">
        <v>276</v>
      </c>
      <c r="AR935" s="655" t="s">
        <v>268</v>
      </c>
      <c r="AS935" s="660" t="s">
        <v>276</v>
      </c>
      <c r="AT935" s="693">
        <f t="shared" si="125"/>
        <v>1.0086366006524827</v>
      </c>
      <c r="AU935" s="660" t="s">
        <v>276</v>
      </c>
      <c r="AV935" s="660" t="s">
        <v>276</v>
      </c>
      <c r="AW935" s="660">
        <v>0.09</v>
      </c>
      <c r="AX935" s="655" t="s">
        <v>282</v>
      </c>
      <c r="AY935" s="660" t="s">
        <v>98</v>
      </c>
      <c r="AZ935" s="655" t="s">
        <v>98</v>
      </c>
      <c r="BA935" s="655" t="s">
        <v>98</v>
      </c>
      <c r="BB935" s="655" t="s">
        <v>98</v>
      </c>
      <c r="BC935" s="780" t="s">
        <v>11405</v>
      </c>
      <c r="BD935" s="656" t="s">
        <v>8740</v>
      </c>
      <c r="BE935" s="110" t="s">
        <v>100</v>
      </c>
      <c r="BF935" s="110" t="s">
        <v>98</v>
      </c>
    </row>
    <row r="936" spans="1:58" s="694" customFormat="1" ht="65" x14ac:dyDescent="0.3">
      <c r="A936" s="655">
        <v>140</v>
      </c>
      <c r="B936" s="656" t="s">
        <v>8738</v>
      </c>
      <c r="C936" s="655" t="s">
        <v>52</v>
      </c>
      <c r="D936" s="656" t="s">
        <v>8741</v>
      </c>
      <c r="E936" s="655" t="s">
        <v>36</v>
      </c>
      <c r="F936" s="655" t="s">
        <v>123</v>
      </c>
      <c r="G936" s="655" t="s">
        <v>225</v>
      </c>
      <c r="H936" s="655" t="s">
        <v>125</v>
      </c>
      <c r="I936" s="655" t="s">
        <v>114</v>
      </c>
      <c r="J936" s="656" t="s">
        <v>24</v>
      </c>
      <c r="K936" s="656" t="s">
        <v>8742</v>
      </c>
      <c r="L936" s="656" t="s">
        <v>276</v>
      </c>
      <c r="M936" s="655" t="s">
        <v>14</v>
      </c>
      <c r="N936" s="690" t="s">
        <v>98</v>
      </c>
      <c r="O936" s="691" t="s">
        <v>207</v>
      </c>
      <c r="P936" s="763">
        <v>39813</v>
      </c>
      <c r="Q936" s="656" t="s">
        <v>276</v>
      </c>
      <c r="R936" s="656" t="s">
        <v>276</v>
      </c>
      <c r="S936" s="656" t="s">
        <v>276</v>
      </c>
      <c r="T936" s="764" t="s">
        <v>8713</v>
      </c>
      <c r="U936" s="658">
        <v>75253</v>
      </c>
      <c r="V936" s="659">
        <v>74998</v>
      </c>
      <c r="W936" s="655" t="s">
        <v>276</v>
      </c>
      <c r="X936" s="655" t="s">
        <v>276</v>
      </c>
      <c r="Y936" s="656" t="s">
        <v>8743</v>
      </c>
      <c r="Z936" s="656" t="s">
        <v>1562</v>
      </c>
      <c r="AA936" s="656" t="s">
        <v>8743</v>
      </c>
      <c r="AB936" s="656" t="s">
        <v>1562</v>
      </c>
      <c r="AC936" s="656" t="s">
        <v>8744</v>
      </c>
      <c r="AD936" s="656" t="s">
        <v>6547</v>
      </c>
      <c r="AE936" s="658">
        <v>1148</v>
      </c>
      <c r="AF936" s="658">
        <v>1252</v>
      </c>
      <c r="AG936" s="658">
        <v>75253</v>
      </c>
      <c r="AH936" s="659">
        <v>74998</v>
      </c>
      <c r="AI936" s="658" t="s">
        <v>292</v>
      </c>
      <c r="AJ936" s="660" t="s">
        <v>276</v>
      </c>
      <c r="AK936" s="693">
        <f>AE936*100/AG936</f>
        <v>1.525520577252734</v>
      </c>
      <c r="AL936" s="660" t="s">
        <v>276</v>
      </c>
      <c r="AM936" s="660" t="s">
        <v>276</v>
      </c>
      <c r="AN936" s="660" t="s">
        <v>276</v>
      </c>
      <c r="AO936" s="693">
        <f>AF936*100/AH936</f>
        <v>1.6693778500760019</v>
      </c>
      <c r="AP936" s="660" t="s">
        <v>276</v>
      </c>
      <c r="AQ936" s="660" t="s">
        <v>276</v>
      </c>
      <c r="AR936" s="655" t="s">
        <v>268</v>
      </c>
      <c r="AS936" s="660" t="s">
        <v>276</v>
      </c>
      <c r="AT936" s="693">
        <f t="shared" si="125"/>
        <v>0.91382581671565943</v>
      </c>
      <c r="AU936" s="660" t="s">
        <v>276</v>
      </c>
      <c r="AV936" s="660" t="s">
        <v>276</v>
      </c>
      <c r="AW936" s="660" t="s">
        <v>7430</v>
      </c>
      <c r="AX936" s="655" t="s">
        <v>282</v>
      </c>
      <c r="AY936" s="660" t="s">
        <v>98</v>
      </c>
      <c r="AZ936" s="655" t="s">
        <v>98</v>
      </c>
      <c r="BA936" s="655" t="s">
        <v>98</v>
      </c>
      <c r="BB936" s="655" t="s">
        <v>98</v>
      </c>
      <c r="BC936" s="780" t="s">
        <v>11406</v>
      </c>
      <c r="BD936" s="656" t="s">
        <v>8745</v>
      </c>
      <c r="BE936" s="110" t="s">
        <v>100</v>
      </c>
      <c r="BF936" s="110" t="s">
        <v>98</v>
      </c>
    </row>
    <row r="937" spans="1:58" s="219" customFormat="1" ht="39" x14ac:dyDescent="0.3">
      <c r="A937" s="646">
        <v>7693</v>
      </c>
      <c r="B937" s="647" t="s">
        <v>8746</v>
      </c>
      <c r="C937" s="646" t="s">
        <v>52</v>
      </c>
      <c r="D937" s="647" t="s">
        <v>8747</v>
      </c>
      <c r="E937" s="646" t="s">
        <v>36</v>
      </c>
      <c r="F937" s="646" t="s">
        <v>123</v>
      </c>
      <c r="G937" s="646" t="s">
        <v>225</v>
      </c>
      <c r="H937" s="646" t="s">
        <v>125</v>
      </c>
      <c r="I937" s="646" t="s">
        <v>114</v>
      </c>
      <c r="J937" s="647" t="s">
        <v>23</v>
      </c>
      <c r="K937" s="647" t="s">
        <v>8727</v>
      </c>
      <c r="L937" s="647" t="s">
        <v>8748</v>
      </c>
      <c r="M937" s="646" t="s">
        <v>14</v>
      </c>
      <c r="N937" s="766" t="s">
        <v>98</v>
      </c>
      <c r="O937" s="767" t="s">
        <v>207</v>
      </c>
      <c r="P937" s="648">
        <v>39994</v>
      </c>
      <c r="Q937" s="647" t="s">
        <v>8749</v>
      </c>
      <c r="R937" s="647" t="s">
        <v>8750</v>
      </c>
      <c r="S937" s="647" t="s">
        <v>8750</v>
      </c>
      <c r="T937" s="768" t="s">
        <v>8751</v>
      </c>
      <c r="U937" s="649">
        <v>76056</v>
      </c>
      <c r="V937" s="647">
        <v>75919</v>
      </c>
      <c r="W937" s="646" t="s">
        <v>276</v>
      </c>
      <c r="X937" s="646" t="s">
        <v>276</v>
      </c>
      <c r="Y937" s="646">
        <v>0</v>
      </c>
      <c r="Z937" s="646" t="s">
        <v>98</v>
      </c>
      <c r="AA937" s="646">
        <v>0</v>
      </c>
      <c r="AB937" s="646" t="s">
        <v>98</v>
      </c>
      <c r="AC937" s="647" t="s">
        <v>8752</v>
      </c>
      <c r="AD937" s="647" t="s">
        <v>8753</v>
      </c>
      <c r="AE937" s="649">
        <v>40681</v>
      </c>
      <c r="AF937" s="649">
        <v>40550</v>
      </c>
      <c r="AG937" s="649">
        <v>1296712</v>
      </c>
      <c r="AH937" s="649">
        <v>1296614</v>
      </c>
      <c r="AI937" s="649" t="s">
        <v>425</v>
      </c>
      <c r="AJ937" s="769">
        <v>31.4</v>
      </c>
      <c r="AK937" s="651">
        <f>AE937*1000/AG937</f>
        <v>31.372425025757455</v>
      </c>
      <c r="AL937" s="770" t="s">
        <v>276</v>
      </c>
      <c r="AM937" s="770" t="s">
        <v>276</v>
      </c>
      <c r="AN937" s="770">
        <v>31.3</v>
      </c>
      <c r="AO937" s="651">
        <f>AF937*1000/AH937</f>
        <v>31.273763818684667</v>
      </c>
      <c r="AP937" s="770" t="s">
        <v>276</v>
      </c>
      <c r="AQ937" s="770" t="s">
        <v>276</v>
      </c>
      <c r="AR937" s="646" t="s">
        <v>269</v>
      </c>
      <c r="AS937" s="770">
        <v>1</v>
      </c>
      <c r="AT937" s="651">
        <f t="shared" si="125"/>
        <v>1.0031547596139945</v>
      </c>
      <c r="AU937" s="770">
        <v>0.99</v>
      </c>
      <c r="AV937" s="770">
        <v>1.02</v>
      </c>
      <c r="AW937" s="646">
        <v>0.59899999999999998</v>
      </c>
      <c r="AX937" s="646" t="s">
        <v>282</v>
      </c>
      <c r="AY937" s="646" t="s">
        <v>98</v>
      </c>
      <c r="AZ937" s="646" t="s">
        <v>98</v>
      </c>
      <c r="BA937" s="646" t="s">
        <v>98</v>
      </c>
      <c r="BB937" s="646" t="s">
        <v>98</v>
      </c>
      <c r="BC937" s="647" t="s">
        <v>298</v>
      </c>
      <c r="BD937" s="647"/>
      <c r="BE937" s="110" t="s">
        <v>100</v>
      </c>
      <c r="BF937" s="110" t="s">
        <v>98</v>
      </c>
    </row>
    <row r="938" spans="1:58" s="219" customFormat="1" ht="65" x14ac:dyDescent="0.3">
      <c r="A938" s="646">
        <v>7693</v>
      </c>
      <c r="B938" s="647" t="s">
        <v>8746</v>
      </c>
      <c r="C938" s="646" t="s">
        <v>52</v>
      </c>
      <c r="D938" s="647" t="s">
        <v>8754</v>
      </c>
      <c r="E938" s="646" t="s">
        <v>36</v>
      </c>
      <c r="F938" s="646" t="s">
        <v>123</v>
      </c>
      <c r="G938" s="646" t="s">
        <v>225</v>
      </c>
      <c r="H938" s="646" t="s">
        <v>125</v>
      </c>
      <c r="I938" s="646" t="s">
        <v>114</v>
      </c>
      <c r="J938" s="647" t="s">
        <v>24</v>
      </c>
      <c r="K938" s="647" t="s">
        <v>8755</v>
      </c>
      <c r="L938" s="647" t="s">
        <v>8748</v>
      </c>
      <c r="M938" s="646" t="s">
        <v>14</v>
      </c>
      <c r="N938" s="766" t="s">
        <v>98</v>
      </c>
      <c r="O938" s="767" t="s">
        <v>207</v>
      </c>
      <c r="P938" s="648">
        <v>39994</v>
      </c>
      <c r="Q938" s="647" t="s">
        <v>8749</v>
      </c>
      <c r="R938" s="647" t="s">
        <v>8750</v>
      </c>
      <c r="S938" s="647" t="s">
        <v>8750</v>
      </c>
      <c r="T938" s="768" t="s">
        <v>8751</v>
      </c>
      <c r="U938" s="649">
        <v>76056</v>
      </c>
      <c r="V938" s="647">
        <v>75919</v>
      </c>
      <c r="W938" s="646" t="s">
        <v>276</v>
      </c>
      <c r="X938" s="646" t="s">
        <v>276</v>
      </c>
      <c r="Y938" s="646"/>
      <c r="Z938" s="647" t="s">
        <v>1562</v>
      </c>
      <c r="AA938" s="646"/>
      <c r="AB938" s="647" t="s">
        <v>1562</v>
      </c>
      <c r="AC938" s="647" t="s">
        <v>8756</v>
      </c>
      <c r="AD938" s="647" t="s">
        <v>8753</v>
      </c>
      <c r="AE938" s="649">
        <v>1176</v>
      </c>
      <c r="AF938" s="649">
        <v>1300</v>
      </c>
      <c r="AG938" s="649">
        <v>1296712</v>
      </c>
      <c r="AH938" s="649">
        <v>1296614</v>
      </c>
      <c r="AI938" s="649" t="s">
        <v>425</v>
      </c>
      <c r="AJ938" s="770">
        <v>0.91</v>
      </c>
      <c r="AK938" s="651">
        <f>AE938*1000/AG938</f>
        <v>0.90690916718592873</v>
      </c>
      <c r="AL938" s="770" t="s">
        <v>276</v>
      </c>
      <c r="AM938" s="770" t="s">
        <v>276</v>
      </c>
      <c r="AN938" s="770">
        <v>1</v>
      </c>
      <c r="AO938" s="651">
        <f>AF938*1000/AH938</f>
        <v>1.0026114171218266</v>
      </c>
      <c r="AP938" s="770" t="s">
        <v>276</v>
      </c>
      <c r="AQ938" s="770" t="s">
        <v>276</v>
      </c>
      <c r="AR938" s="646" t="s">
        <v>269</v>
      </c>
      <c r="AS938" s="770">
        <v>0.91</v>
      </c>
      <c r="AT938" s="651">
        <f t="shared" si="125"/>
        <v>0.90454701761662748</v>
      </c>
      <c r="AU938" s="770">
        <v>0.84</v>
      </c>
      <c r="AV938" s="770">
        <v>0.98</v>
      </c>
      <c r="AW938" s="646">
        <v>1.2999999999999999E-2</v>
      </c>
      <c r="AX938" s="646" t="s">
        <v>8757</v>
      </c>
      <c r="AY938" s="646">
        <v>0.82</v>
      </c>
      <c r="AZ938" s="770">
        <v>0.7</v>
      </c>
      <c r="BA938" s="646">
        <v>0.95</v>
      </c>
      <c r="BB938" s="646" t="s">
        <v>276</v>
      </c>
      <c r="BC938" s="647" t="s">
        <v>8758</v>
      </c>
      <c r="BD938" s="647"/>
      <c r="BE938" s="110" t="s">
        <v>100</v>
      </c>
      <c r="BF938" s="110" t="s">
        <v>98</v>
      </c>
    </row>
    <row r="939" spans="1:58" s="219" customFormat="1" ht="65" x14ac:dyDescent="0.3">
      <c r="A939" s="646">
        <v>7693</v>
      </c>
      <c r="B939" s="647" t="s">
        <v>8746</v>
      </c>
      <c r="C939" s="646" t="s">
        <v>52</v>
      </c>
      <c r="D939" s="647" t="s">
        <v>8759</v>
      </c>
      <c r="E939" s="646" t="s">
        <v>36</v>
      </c>
      <c r="F939" s="646" t="s">
        <v>123</v>
      </c>
      <c r="G939" s="646" t="s">
        <v>225</v>
      </c>
      <c r="H939" s="646" t="s">
        <v>125</v>
      </c>
      <c r="I939" s="646" t="s">
        <v>114</v>
      </c>
      <c r="J939" s="647" t="s">
        <v>24</v>
      </c>
      <c r="K939" s="647" t="s">
        <v>8755</v>
      </c>
      <c r="L939" s="647" t="s">
        <v>8748</v>
      </c>
      <c r="M939" s="646" t="s">
        <v>14</v>
      </c>
      <c r="N939" s="766" t="s">
        <v>98</v>
      </c>
      <c r="O939" s="767" t="s">
        <v>207</v>
      </c>
      <c r="P939" s="648">
        <v>39994</v>
      </c>
      <c r="Q939" s="647" t="s">
        <v>8749</v>
      </c>
      <c r="R939" s="647" t="s">
        <v>8750</v>
      </c>
      <c r="S939" s="647" t="s">
        <v>8750</v>
      </c>
      <c r="T939" s="768" t="s">
        <v>8751</v>
      </c>
      <c r="U939" s="649">
        <v>76056</v>
      </c>
      <c r="V939" s="647">
        <v>75919</v>
      </c>
      <c r="W939" s="646" t="s">
        <v>276</v>
      </c>
      <c r="X939" s="646" t="s">
        <v>276</v>
      </c>
      <c r="Y939" s="646"/>
      <c r="Z939" s="647" t="s">
        <v>1562</v>
      </c>
      <c r="AA939" s="646"/>
      <c r="AB939" s="647" t="s">
        <v>1562</v>
      </c>
      <c r="AC939" s="647" t="s">
        <v>8760</v>
      </c>
      <c r="AD939" s="647" t="s">
        <v>8753</v>
      </c>
      <c r="AE939" s="649">
        <v>1033</v>
      </c>
      <c r="AF939" s="649">
        <v>1136</v>
      </c>
      <c r="AG939" s="649">
        <v>1296712</v>
      </c>
      <c r="AH939" s="649">
        <v>1296614</v>
      </c>
      <c r="AI939" s="649" t="s">
        <v>425</v>
      </c>
      <c r="AJ939" s="770">
        <v>0.8</v>
      </c>
      <c r="AK939" s="651">
        <f>AE939*1000/AG939</f>
        <v>0.79663024634614321</v>
      </c>
      <c r="AL939" s="770" t="s">
        <v>276</v>
      </c>
      <c r="AM939" s="770" t="s">
        <v>276</v>
      </c>
      <c r="AN939" s="770">
        <v>0.88</v>
      </c>
      <c r="AO939" s="651">
        <f>AF939*1000/AH939</f>
        <v>0.87612813065414996</v>
      </c>
      <c r="AP939" s="770" t="s">
        <v>276</v>
      </c>
      <c r="AQ939" s="770" t="s">
        <v>276</v>
      </c>
      <c r="AR939" s="646" t="s">
        <v>269</v>
      </c>
      <c r="AS939" s="770">
        <v>0.91</v>
      </c>
      <c r="AT939" s="651">
        <f t="shared" si="125"/>
        <v>0.90926226253156528</v>
      </c>
      <c r="AU939" s="770">
        <v>0.84</v>
      </c>
      <c r="AV939" s="770">
        <v>0.99</v>
      </c>
      <c r="AW939" s="646">
        <v>2.8000000000000001E-2</v>
      </c>
      <c r="AX939" s="646" t="s">
        <v>8757</v>
      </c>
      <c r="AY939" s="646">
        <v>0.82</v>
      </c>
      <c r="AZ939" s="770">
        <v>0.7</v>
      </c>
      <c r="BA939" s="646">
        <v>0.98</v>
      </c>
      <c r="BB939" s="646" t="s">
        <v>276</v>
      </c>
      <c r="BC939" s="647" t="s">
        <v>8761</v>
      </c>
      <c r="BD939" s="647"/>
      <c r="BE939" s="110" t="s">
        <v>100</v>
      </c>
      <c r="BF939" s="110" t="s">
        <v>98</v>
      </c>
    </row>
    <row r="940" spans="1:58" s="230" customFormat="1" ht="65" x14ac:dyDescent="0.3">
      <c r="A940" s="721">
        <v>7693</v>
      </c>
      <c r="B940" s="722" t="s">
        <v>8746</v>
      </c>
      <c r="C940" s="721" t="s">
        <v>52</v>
      </c>
      <c r="D940" s="722" t="s">
        <v>8762</v>
      </c>
      <c r="E940" s="721" t="s">
        <v>36</v>
      </c>
      <c r="F940" s="721" t="s">
        <v>123</v>
      </c>
      <c r="G940" s="721" t="s">
        <v>225</v>
      </c>
      <c r="H940" s="721" t="s">
        <v>125</v>
      </c>
      <c r="I940" s="721" t="s">
        <v>114</v>
      </c>
      <c r="J940" s="722" t="s">
        <v>24</v>
      </c>
      <c r="K940" s="722" t="s">
        <v>8755</v>
      </c>
      <c r="L940" s="722" t="s">
        <v>8748</v>
      </c>
      <c r="M940" s="721" t="s">
        <v>14</v>
      </c>
      <c r="N940" s="739" t="s">
        <v>98</v>
      </c>
      <c r="O940" s="740" t="s">
        <v>207</v>
      </c>
      <c r="P940" s="771">
        <v>39994</v>
      </c>
      <c r="Q940" s="722" t="s">
        <v>8749</v>
      </c>
      <c r="R940" s="722" t="s">
        <v>8750</v>
      </c>
      <c r="S940" s="722" t="s">
        <v>8750</v>
      </c>
      <c r="T940" s="723" t="s">
        <v>8751</v>
      </c>
      <c r="U940" s="724">
        <v>76056</v>
      </c>
      <c r="V940" s="722">
        <v>75919</v>
      </c>
      <c r="W940" s="721" t="s">
        <v>276</v>
      </c>
      <c r="X940" s="721" t="s">
        <v>276</v>
      </c>
      <c r="Y940" s="721"/>
      <c r="Z940" s="722" t="s">
        <v>1562</v>
      </c>
      <c r="AA940" s="721"/>
      <c r="AB940" s="722" t="s">
        <v>1562</v>
      </c>
      <c r="AC940" s="722" t="s">
        <v>8763</v>
      </c>
      <c r="AD940" s="722" t="s">
        <v>8753</v>
      </c>
      <c r="AE940" s="724" t="s">
        <v>276</v>
      </c>
      <c r="AF940" s="724" t="s">
        <v>276</v>
      </c>
      <c r="AG940" s="724">
        <v>1296712</v>
      </c>
      <c r="AH940" s="724">
        <v>1296614</v>
      </c>
      <c r="AI940" s="724" t="s">
        <v>425</v>
      </c>
      <c r="AJ940" s="727" t="s">
        <v>276</v>
      </c>
      <c r="AK940" s="726" t="s">
        <v>98</v>
      </c>
      <c r="AL940" s="727" t="s">
        <v>276</v>
      </c>
      <c r="AM940" s="727" t="s">
        <v>276</v>
      </c>
      <c r="AN940" s="727" t="s">
        <v>276</v>
      </c>
      <c r="AO940" s="726" t="s">
        <v>98</v>
      </c>
      <c r="AP940" s="727" t="s">
        <v>276</v>
      </c>
      <c r="AQ940" s="727" t="s">
        <v>276</v>
      </c>
      <c r="AR940" s="721" t="s">
        <v>269</v>
      </c>
      <c r="AS940" s="727">
        <v>0.88</v>
      </c>
      <c r="AT940" s="726" t="s">
        <v>276</v>
      </c>
      <c r="AU940" s="727">
        <v>0.79</v>
      </c>
      <c r="AV940" s="727">
        <v>0.98</v>
      </c>
      <c r="AW940" s="721" t="s">
        <v>276</v>
      </c>
      <c r="AX940" s="721" t="s">
        <v>282</v>
      </c>
      <c r="AY940" s="721" t="s">
        <v>98</v>
      </c>
      <c r="AZ940" s="721" t="s">
        <v>98</v>
      </c>
      <c r="BA940" s="721" t="s">
        <v>98</v>
      </c>
      <c r="BB940" s="721" t="s">
        <v>98</v>
      </c>
      <c r="BC940" s="722" t="s">
        <v>8764</v>
      </c>
      <c r="BD940" s="722"/>
      <c r="BE940" s="110" t="s">
        <v>100</v>
      </c>
      <c r="BF940" s="110" t="s">
        <v>98</v>
      </c>
    </row>
    <row r="941" spans="1:58" s="7" customFormat="1" ht="78" x14ac:dyDescent="0.3">
      <c r="A941" s="8">
        <v>4368</v>
      </c>
      <c r="B941" s="8" t="s">
        <v>8896</v>
      </c>
      <c r="C941" s="9" t="s">
        <v>61</v>
      </c>
      <c r="D941" s="9" t="s">
        <v>8897</v>
      </c>
      <c r="E941" s="8" t="s">
        <v>35</v>
      </c>
      <c r="F941" s="8" t="s">
        <v>97</v>
      </c>
      <c r="G941" s="8" t="s">
        <v>225</v>
      </c>
      <c r="H941" s="8" t="s">
        <v>125</v>
      </c>
      <c r="I941" s="8" t="s">
        <v>113</v>
      </c>
      <c r="J941" s="9" t="s">
        <v>24</v>
      </c>
      <c r="K941" s="9" t="s">
        <v>8898</v>
      </c>
      <c r="L941" s="9" t="s">
        <v>276</v>
      </c>
      <c r="M941" s="8" t="s">
        <v>14</v>
      </c>
      <c r="N941" s="11" t="s">
        <v>98</v>
      </c>
      <c r="O941" s="12" t="s">
        <v>207</v>
      </c>
      <c r="P941" s="41">
        <v>32539</v>
      </c>
      <c r="Q941" s="9" t="s">
        <v>276</v>
      </c>
      <c r="R941" s="38" t="s">
        <v>8899</v>
      </c>
      <c r="S941" s="9" t="s">
        <v>8900</v>
      </c>
      <c r="T941" s="9">
        <v>2</v>
      </c>
      <c r="U941" s="13">
        <v>39164</v>
      </c>
      <c r="V941" s="38">
        <v>19943</v>
      </c>
      <c r="W941" s="8" t="s">
        <v>276</v>
      </c>
      <c r="X941" s="8" t="s">
        <v>276</v>
      </c>
      <c r="Y941" s="8" t="s">
        <v>276</v>
      </c>
      <c r="Z941" s="9" t="s">
        <v>1562</v>
      </c>
      <c r="AA941" s="8" t="s">
        <v>276</v>
      </c>
      <c r="AB941" s="9" t="s">
        <v>1562</v>
      </c>
      <c r="AC941" s="9" t="s">
        <v>8901</v>
      </c>
      <c r="AD941" s="9" t="s">
        <v>8902</v>
      </c>
      <c r="AE941" s="8">
        <v>39</v>
      </c>
      <c r="AF941" s="8">
        <v>30</v>
      </c>
      <c r="AG941" s="13">
        <v>270247</v>
      </c>
      <c r="AH941" s="13">
        <v>147373</v>
      </c>
      <c r="AI941" s="38" t="s">
        <v>4702</v>
      </c>
      <c r="AJ941" s="14" t="s">
        <v>276</v>
      </c>
      <c r="AK941" s="31">
        <f>AE941*10000/AG941</f>
        <v>1.4431242529981831</v>
      </c>
      <c r="AL941" s="14" t="s">
        <v>276</v>
      </c>
      <c r="AM941" s="14" t="s">
        <v>276</v>
      </c>
      <c r="AN941" s="14" t="s">
        <v>276</v>
      </c>
      <c r="AO941" s="31">
        <f>AF941*10000/AH941</f>
        <v>2.0356510351285513</v>
      </c>
      <c r="AP941" s="14" t="s">
        <v>276</v>
      </c>
      <c r="AQ941" s="14" t="s">
        <v>276</v>
      </c>
      <c r="AR941" s="8" t="s">
        <v>269</v>
      </c>
      <c r="AS941" s="14">
        <v>0.71</v>
      </c>
      <c r="AT941" s="31">
        <f>AK941/AO941</f>
        <v>0.70892516845700415</v>
      </c>
      <c r="AU941" s="43">
        <v>0.4</v>
      </c>
      <c r="AV941" s="43">
        <v>1.2</v>
      </c>
      <c r="AW941" s="8" t="s">
        <v>691</v>
      </c>
      <c r="AX941" s="8" t="s">
        <v>282</v>
      </c>
      <c r="AY941" s="8" t="s">
        <v>98</v>
      </c>
      <c r="AZ941" s="8" t="s">
        <v>98</v>
      </c>
      <c r="BA941" s="8" t="s">
        <v>98</v>
      </c>
      <c r="BB941" s="8" t="s">
        <v>98</v>
      </c>
      <c r="BC941" s="9" t="s">
        <v>8903</v>
      </c>
      <c r="BD941" s="9"/>
      <c r="BE941" s="33" t="s">
        <v>100</v>
      </c>
      <c r="BF941" s="33" t="s">
        <v>98</v>
      </c>
    </row>
    <row r="942" spans="1:58" s="7" customFormat="1" ht="91" x14ac:dyDescent="0.3">
      <c r="A942" s="8">
        <v>4368</v>
      </c>
      <c r="B942" s="8" t="s">
        <v>8896</v>
      </c>
      <c r="C942" s="9" t="s">
        <v>61</v>
      </c>
      <c r="D942" s="9" t="s">
        <v>8904</v>
      </c>
      <c r="E942" s="8" t="s">
        <v>35</v>
      </c>
      <c r="F942" s="8" t="s">
        <v>97</v>
      </c>
      <c r="G942" s="8" t="s">
        <v>225</v>
      </c>
      <c r="H942" s="8" t="s">
        <v>125</v>
      </c>
      <c r="I942" s="8" t="s">
        <v>113</v>
      </c>
      <c r="J942" s="9" t="s">
        <v>24</v>
      </c>
      <c r="K942" s="9" t="s">
        <v>8898</v>
      </c>
      <c r="L942" s="9" t="s">
        <v>276</v>
      </c>
      <c r="M942" s="8" t="s">
        <v>15</v>
      </c>
      <c r="N942" s="11" t="s">
        <v>8905</v>
      </c>
      <c r="O942" s="12" t="s">
        <v>207</v>
      </c>
      <c r="P942" s="41">
        <v>32539</v>
      </c>
      <c r="Q942" s="9" t="s">
        <v>276</v>
      </c>
      <c r="R942" s="38" t="s">
        <v>8906</v>
      </c>
      <c r="S942" s="38" t="s">
        <v>8907</v>
      </c>
      <c r="T942" s="9">
        <v>2</v>
      </c>
      <c r="U942" s="13">
        <v>24789</v>
      </c>
      <c r="V942" s="38">
        <v>12840</v>
      </c>
      <c r="W942" s="8" t="s">
        <v>276</v>
      </c>
      <c r="X942" s="8" t="s">
        <v>276</v>
      </c>
      <c r="Y942" s="8" t="s">
        <v>276</v>
      </c>
      <c r="Z942" s="9" t="s">
        <v>1562</v>
      </c>
      <c r="AA942" s="8" t="s">
        <v>276</v>
      </c>
      <c r="AB942" s="9" t="s">
        <v>1562</v>
      </c>
      <c r="AC942" s="9" t="s">
        <v>8908</v>
      </c>
      <c r="AD942" s="9" t="s">
        <v>8902</v>
      </c>
      <c r="AE942" s="8">
        <v>23</v>
      </c>
      <c r="AF942" s="8">
        <v>22</v>
      </c>
      <c r="AG942" s="38">
        <v>171092</v>
      </c>
      <c r="AH942" s="38">
        <v>92927</v>
      </c>
      <c r="AI942" s="38" t="s">
        <v>4702</v>
      </c>
      <c r="AJ942" s="14" t="s">
        <v>276</v>
      </c>
      <c r="AK942" s="31">
        <f>AE942*10000/AG942</f>
        <v>1.3443059874219718</v>
      </c>
      <c r="AL942" s="14" t="s">
        <v>276</v>
      </c>
      <c r="AM942" s="14" t="s">
        <v>276</v>
      </c>
      <c r="AN942" s="14" t="s">
        <v>276</v>
      </c>
      <c r="AO942" s="31">
        <f>AF942*10000/AH942</f>
        <v>2.3674497185963177</v>
      </c>
      <c r="AP942" s="14" t="s">
        <v>276</v>
      </c>
      <c r="AQ942" s="14" t="s">
        <v>276</v>
      </c>
      <c r="AR942" s="8" t="s">
        <v>269</v>
      </c>
      <c r="AS942" s="14">
        <v>0.56999999999999995</v>
      </c>
      <c r="AT942" s="31">
        <f>AK942/AO942</f>
        <v>0.56782873860527983</v>
      </c>
      <c r="AU942" s="43">
        <v>0.3</v>
      </c>
      <c r="AV942" s="43">
        <v>1.1000000000000001</v>
      </c>
      <c r="AW942" s="8" t="s">
        <v>691</v>
      </c>
      <c r="AX942" s="8" t="s">
        <v>282</v>
      </c>
      <c r="AY942" s="8" t="s">
        <v>98</v>
      </c>
      <c r="AZ942" s="8" t="s">
        <v>98</v>
      </c>
      <c r="BA942" s="8" t="s">
        <v>98</v>
      </c>
      <c r="BB942" s="8" t="s">
        <v>98</v>
      </c>
      <c r="BC942" s="9" t="s">
        <v>8909</v>
      </c>
      <c r="BD942" s="9"/>
      <c r="BE942" s="33" t="s">
        <v>100</v>
      </c>
      <c r="BF942" s="33" t="s">
        <v>98</v>
      </c>
    </row>
    <row r="943" spans="1:58" s="7" customFormat="1" ht="91" x14ac:dyDescent="0.3">
      <c r="A943" s="8">
        <v>4368</v>
      </c>
      <c r="B943" s="8" t="s">
        <v>8896</v>
      </c>
      <c r="C943" s="9" t="s">
        <v>61</v>
      </c>
      <c r="D943" s="9" t="s">
        <v>8910</v>
      </c>
      <c r="E943" s="8" t="s">
        <v>35</v>
      </c>
      <c r="F943" s="8" t="s">
        <v>97</v>
      </c>
      <c r="G943" s="8" t="s">
        <v>225</v>
      </c>
      <c r="H943" s="8" t="s">
        <v>125</v>
      </c>
      <c r="I943" s="8" t="s">
        <v>113</v>
      </c>
      <c r="J943" s="9" t="s">
        <v>24</v>
      </c>
      <c r="K943" s="9" t="s">
        <v>8898</v>
      </c>
      <c r="L943" s="9" t="s">
        <v>276</v>
      </c>
      <c r="M943" s="8" t="s">
        <v>15</v>
      </c>
      <c r="N943" s="11" t="s">
        <v>3032</v>
      </c>
      <c r="O943" s="12" t="s">
        <v>207</v>
      </c>
      <c r="P943" s="41">
        <v>32539</v>
      </c>
      <c r="Q943" s="9" t="s">
        <v>276</v>
      </c>
      <c r="R943" s="38" t="s">
        <v>8911</v>
      </c>
      <c r="S943" s="38" t="s">
        <v>8912</v>
      </c>
      <c r="T943" s="9">
        <v>2</v>
      </c>
      <c r="U943" s="13">
        <v>14375</v>
      </c>
      <c r="V943" s="13">
        <v>7103</v>
      </c>
      <c r="W943" s="8" t="s">
        <v>276</v>
      </c>
      <c r="X943" s="8" t="s">
        <v>276</v>
      </c>
      <c r="Y943" s="8" t="s">
        <v>276</v>
      </c>
      <c r="Z943" s="9" t="s">
        <v>1562</v>
      </c>
      <c r="AA943" s="8" t="s">
        <v>276</v>
      </c>
      <c r="AB943" s="9" t="s">
        <v>1562</v>
      </c>
      <c r="AC943" s="9" t="s">
        <v>8913</v>
      </c>
      <c r="AD943" s="9" t="s">
        <v>8902</v>
      </c>
      <c r="AE943" s="8">
        <v>16</v>
      </c>
      <c r="AF943" s="8">
        <v>8</v>
      </c>
      <c r="AG943" s="38">
        <v>99155</v>
      </c>
      <c r="AH943" s="38">
        <v>54446</v>
      </c>
      <c r="AI943" s="38" t="s">
        <v>4702</v>
      </c>
      <c r="AJ943" s="14" t="s">
        <v>276</v>
      </c>
      <c r="AK943" s="31">
        <f>AE943*10000/AG943</f>
        <v>1.6136352175886239</v>
      </c>
      <c r="AL943" s="14" t="s">
        <v>276</v>
      </c>
      <c r="AM943" s="14" t="s">
        <v>276</v>
      </c>
      <c r="AN943" s="14" t="s">
        <v>276</v>
      </c>
      <c r="AO943" s="31">
        <f>AF943*10000/AH943</f>
        <v>1.4693457737942182</v>
      </c>
      <c r="AP943" s="14" t="s">
        <v>276</v>
      </c>
      <c r="AQ943" s="14" t="s">
        <v>276</v>
      </c>
      <c r="AR943" s="8" t="s">
        <v>269</v>
      </c>
      <c r="AS943" s="14">
        <v>1.0900000000000001</v>
      </c>
      <c r="AT943" s="31">
        <f>AK943/AO943</f>
        <v>1.0981997882103778</v>
      </c>
      <c r="AU943" s="43">
        <v>0.4</v>
      </c>
      <c r="AV943" s="43">
        <v>3</v>
      </c>
      <c r="AW943" s="8" t="s">
        <v>691</v>
      </c>
      <c r="AX943" s="8" t="s">
        <v>282</v>
      </c>
      <c r="AY943" s="8" t="s">
        <v>98</v>
      </c>
      <c r="AZ943" s="8" t="s">
        <v>98</v>
      </c>
      <c r="BA943" s="8" t="s">
        <v>98</v>
      </c>
      <c r="BB943" s="8" t="s">
        <v>98</v>
      </c>
      <c r="BC943" s="9" t="s">
        <v>8914</v>
      </c>
      <c r="BD943" s="9"/>
      <c r="BE943" s="33" t="s">
        <v>100</v>
      </c>
      <c r="BF943" s="33" t="s">
        <v>98</v>
      </c>
    </row>
    <row r="944" spans="1:58" s="149" customFormat="1" ht="78" x14ac:dyDescent="0.3">
      <c r="A944" s="126">
        <v>4337</v>
      </c>
      <c r="B944" s="126" t="s">
        <v>6819</v>
      </c>
      <c r="C944" s="127" t="s">
        <v>61</v>
      </c>
      <c r="D944" s="127" t="s">
        <v>8915</v>
      </c>
      <c r="E944" s="126" t="s">
        <v>35</v>
      </c>
      <c r="F944" s="126" t="s">
        <v>97</v>
      </c>
      <c r="G944" s="126" t="s">
        <v>225</v>
      </c>
      <c r="H944" s="126" t="s">
        <v>125</v>
      </c>
      <c r="I944" s="126" t="s">
        <v>113</v>
      </c>
      <c r="J944" s="127" t="s">
        <v>24</v>
      </c>
      <c r="K944" s="127" t="s">
        <v>6821</v>
      </c>
      <c r="L944" s="127" t="s">
        <v>276</v>
      </c>
      <c r="M944" s="126" t="s">
        <v>14</v>
      </c>
      <c r="N944" s="145" t="s">
        <v>98</v>
      </c>
      <c r="O944" s="131" t="s">
        <v>207</v>
      </c>
      <c r="P944" s="197">
        <v>32873</v>
      </c>
      <c r="Q944" s="127" t="s">
        <v>276</v>
      </c>
      <c r="R944" s="134" t="s">
        <v>8916</v>
      </c>
      <c r="S944" s="127" t="s">
        <v>8917</v>
      </c>
      <c r="T944" s="127">
        <v>2</v>
      </c>
      <c r="U944" s="132">
        <v>38525</v>
      </c>
      <c r="V944" s="134">
        <v>20651</v>
      </c>
      <c r="W944" s="126" t="s">
        <v>276</v>
      </c>
      <c r="X944" s="126" t="s">
        <v>276</v>
      </c>
      <c r="Y944" s="126" t="s">
        <v>276</v>
      </c>
      <c r="Z944" s="127" t="s">
        <v>1562</v>
      </c>
      <c r="AA944" s="126" t="s">
        <v>276</v>
      </c>
      <c r="AB944" s="127" t="s">
        <v>1562</v>
      </c>
      <c r="AC944" s="127" t="s">
        <v>8918</v>
      </c>
      <c r="AD944" s="127" t="s">
        <v>8902</v>
      </c>
      <c r="AE944" s="126">
        <v>53</v>
      </c>
      <c r="AF944" s="126">
        <v>40</v>
      </c>
      <c r="AG944" s="132">
        <v>287000</v>
      </c>
      <c r="AH944" s="132">
        <v>164000</v>
      </c>
      <c r="AI944" s="134" t="s">
        <v>425</v>
      </c>
      <c r="AJ944" s="135" t="s">
        <v>276</v>
      </c>
      <c r="AK944" s="148">
        <f>AE944*1000/AG944</f>
        <v>0.18466898954703834</v>
      </c>
      <c r="AL944" s="135" t="s">
        <v>276</v>
      </c>
      <c r="AM944" s="135" t="s">
        <v>276</v>
      </c>
      <c r="AN944" s="135" t="s">
        <v>276</v>
      </c>
      <c r="AO944" s="148">
        <f>AF944*1000/AH944</f>
        <v>0.24390243902439024</v>
      </c>
      <c r="AP944" s="135" t="s">
        <v>276</v>
      </c>
      <c r="AQ944" s="135" t="s">
        <v>276</v>
      </c>
      <c r="AR944" s="126" t="s">
        <v>269</v>
      </c>
      <c r="AS944" s="135">
        <v>0.8</v>
      </c>
      <c r="AT944" s="148">
        <f>AK944/AO944</f>
        <v>0.75714285714285723</v>
      </c>
      <c r="AU944" s="135">
        <v>0.53</v>
      </c>
      <c r="AV944" s="135">
        <v>1.22</v>
      </c>
      <c r="AW944" s="126" t="s">
        <v>276</v>
      </c>
      <c r="AX944" s="346" t="s">
        <v>282</v>
      </c>
      <c r="AY944" s="135" t="s">
        <v>98</v>
      </c>
      <c r="AZ944" s="126" t="s">
        <v>98</v>
      </c>
      <c r="BA944" s="126" t="s">
        <v>98</v>
      </c>
      <c r="BB944" s="126" t="s">
        <v>276</v>
      </c>
      <c r="BC944" s="127" t="s">
        <v>6828</v>
      </c>
      <c r="BD944" s="127" t="s">
        <v>11261</v>
      </c>
      <c r="BE944" s="33" t="s">
        <v>100</v>
      </c>
      <c r="BF944" s="33" t="s">
        <v>98</v>
      </c>
    </row>
    <row r="945" spans="1:58" s="149" customFormat="1" ht="78" x14ac:dyDescent="0.3">
      <c r="A945" s="126">
        <v>4337</v>
      </c>
      <c r="B945" s="126" t="s">
        <v>6819</v>
      </c>
      <c r="C945" s="127" t="s">
        <v>61</v>
      </c>
      <c r="D945" s="127" t="s">
        <v>8919</v>
      </c>
      <c r="E945" s="126" t="s">
        <v>35</v>
      </c>
      <c r="F945" s="126" t="s">
        <v>97</v>
      </c>
      <c r="G945" s="126" t="s">
        <v>225</v>
      </c>
      <c r="H945" s="126" t="s">
        <v>125</v>
      </c>
      <c r="I945" s="126" t="s">
        <v>113</v>
      </c>
      <c r="J945" s="127" t="s">
        <v>24</v>
      </c>
      <c r="K945" s="127" t="s">
        <v>6821</v>
      </c>
      <c r="L945" s="127" t="s">
        <v>276</v>
      </c>
      <c r="M945" s="126" t="s">
        <v>14</v>
      </c>
      <c r="N945" s="145" t="s">
        <v>98</v>
      </c>
      <c r="O945" s="131" t="s">
        <v>207</v>
      </c>
      <c r="P945" s="197">
        <v>32873</v>
      </c>
      <c r="Q945" s="127" t="s">
        <v>276</v>
      </c>
      <c r="R945" s="134" t="s">
        <v>8916</v>
      </c>
      <c r="S945" s="127" t="s">
        <v>8917</v>
      </c>
      <c r="T945" s="127">
        <v>2</v>
      </c>
      <c r="U945" s="132">
        <v>38525</v>
      </c>
      <c r="V945" s="134">
        <v>20651</v>
      </c>
      <c r="W945" s="126" t="s">
        <v>276</v>
      </c>
      <c r="X945" s="126" t="s">
        <v>276</v>
      </c>
      <c r="Y945" s="126" t="s">
        <v>276</v>
      </c>
      <c r="Z945" s="127" t="s">
        <v>1562</v>
      </c>
      <c r="AA945" s="126" t="s">
        <v>276</v>
      </c>
      <c r="AB945" s="127" t="s">
        <v>1562</v>
      </c>
      <c r="AC945" s="127" t="s">
        <v>8920</v>
      </c>
      <c r="AD945" s="127" t="s">
        <v>8902</v>
      </c>
      <c r="AE945" s="126">
        <v>40</v>
      </c>
      <c r="AF945" s="126">
        <v>32</v>
      </c>
      <c r="AG945" s="132">
        <v>287000</v>
      </c>
      <c r="AH945" s="132">
        <v>164000</v>
      </c>
      <c r="AI945" s="134" t="s">
        <v>425</v>
      </c>
      <c r="AJ945" s="135" t="s">
        <v>276</v>
      </c>
      <c r="AK945" s="148">
        <f>AE945*1000/AG945</f>
        <v>0.13937282229965156</v>
      </c>
      <c r="AL945" s="135" t="s">
        <v>276</v>
      </c>
      <c r="AM945" s="135" t="s">
        <v>276</v>
      </c>
      <c r="AN945" s="135" t="s">
        <v>276</v>
      </c>
      <c r="AO945" s="148">
        <f>AF945*1000/AH945</f>
        <v>0.1951219512195122</v>
      </c>
      <c r="AP945" s="135" t="s">
        <v>276</v>
      </c>
      <c r="AQ945" s="135" t="s">
        <v>276</v>
      </c>
      <c r="AR945" s="126" t="s">
        <v>269</v>
      </c>
      <c r="AS945" s="135">
        <v>0.72</v>
      </c>
      <c r="AT945" s="148">
        <f>AK945/AO945</f>
        <v>0.71428571428571419</v>
      </c>
      <c r="AU945" s="135">
        <v>0.45</v>
      </c>
      <c r="AV945" s="135">
        <v>1.1599999999999999</v>
      </c>
      <c r="AW945" s="126" t="s">
        <v>276</v>
      </c>
      <c r="AX945" s="346" t="s">
        <v>282</v>
      </c>
      <c r="AY945" s="135" t="s">
        <v>98</v>
      </c>
      <c r="AZ945" s="126" t="s">
        <v>98</v>
      </c>
      <c r="BA945" s="126" t="s">
        <v>98</v>
      </c>
      <c r="BB945" s="126" t="s">
        <v>276</v>
      </c>
      <c r="BC945" s="127" t="s">
        <v>763</v>
      </c>
      <c r="BD945" s="127" t="s">
        <v>11262</v>
      </c>
      <c r="BE945" s="33" t="s">
        <v>100</v>
      </c>
      <c r="BF945" s="33" t="s">
        <v>98</v>
      </c>
    </row>
    <row r="946" spans="1:58" s="253" customFormat="1" ht="65" x14ac:dyDescent="0.3">
      <c r="A946" s="244">
        <v>5425</v>
      </c>
      <c r="B946" s="245" t="s">
        <v>6854</v>
      </c>
      <c r="C946" s="245" t="s">
        <v>61</v>
      </c>
      <c r="D946" s="245" t="s">
        <v>8921</v>
      </c>
      <c r="E946" s="244" t="s">
        <v>35</v>
      </c>
      <c r="F946" s="245" t="s">
        <v>97</v>
      </c>
      <c r="G946" s="244" t="s">
        <v>225</v>
      </c>
      <c r="H946" s="244" t="s">
        <v>125</v>
      </c>
      <c r="I946" s="244" t="s">
        <v>113</v>
      </c>
      <c r="J946" s="245" t="s">
        <v>24</v>
      </c>
      <c r="K946" s="245" t="s">
        <v>6856</v>
      </c>
      <c r="L946" s="245" t="s">
        <v>276</v>
      </c>
      <c r="M946" s="244" t="s">
        <v>15</v>
      </c>
      <c r="N946" s="247" t="s">
        <v>8922</v>
      </c>
      <c r="O946" s="247" t="s">
        <v>207</v>
      </c>
      <c r="P946" s="248">
        <v>35430</v>
      </c>
      <c r="Q946" s="245" t="s">
        <v>276</v>
      </c>
      <c r="R946" s="245" t="s">
        <v>8923</v>
      </c>
      <c r="S946" s="245" t="s">
        <v>8924</v>
      </c>
      <c r="T946" s="245" t="s">
        <v>8925</v>
      </c>
      <c r="U946" s="249">
        <v>39139</v>
      </c>
      <c r="V946" s="250">
        <v>20978</v>
      </c>
      <c r="W946" s="244" t="s">
        <v>276</v>
      </c>
      <c r="X946" s="244" t="s">
        <v>276</v>
      </c>
      <c r="Y946" s="244" t="s">
        <v>276</v>
      </c>
      <c r="Z946" s="245" t="s">
        <v>1562</v>
      </c>
      <c r="AA946" s="244" t="s">
        <v>276</v>
      </c>
      <c r="AB946" s="245" t="s">
        <v>1562</v>
      </c>
      <c r="AC946" s="245" t="s">
        <v>6860</v>
      </c>
      <c r="AD946" s="245" t="s">
        <v>1674</v>
      </c>
      <c r="AE946" s="244">
        <v>82</v>
      </c>
      <c r="AF946" s="244">
        <v>50</v>
      </c>
      <c r="AG946" s="249">
        <v>534000</v>
      </c>
      <c r="AH946" s="249">
        <v>296000</v>
      </c>
      <c r="AI946" s="249" t="s">
        <v>425</v>
      </c>
      <c r="AJ946" s="251" t="s">
        <v>276</v>
      </c>
      <c r="AK946" s="252">
        <f t="shared" ref="AK946:AK953" si="126">AE946*1000/AG946</f>
        <v>0.15355805243445692</v>
      </c>
      <c r="AL946" s="251" t="s">
        <v>276</v>
      </c>
      <c r="AM946" s="251" t="s">
        <v>276</v>
      </c>
      <c r="AN946" s="251" t="s">
        <v>276</v>
      </c>
      <c r="AO946" s="252">
        <f t="shared" ref="AO946:AO958" si="127">AF946*1000/AH946</f>
        <v>0.16891891891891891</v>
      </c>
      <c r="AP946" s="251" t="s">
        <v>276</v>
      </c>
      <c r="AQ946" s="251" t="s">
        <v>276</v>
      </c>
      <c r="AR946" s="244" t="s">
        <v>269</v>
      </c>
      <c r="AS946" s="251">
        <v>0.91</v>
      </c>
      <c r="AT946" s="252">
        <f t="shared" ref="AT946:AT967" si="128">AK946/AO946</f>
        <v>0.90906367041198499</v>
      </c>
      <c r="AU946" s="251">
        <v>0.65</v>
      </c>
      <c r="AV946" s="251">
        <v>1.27</v>
      </c>
      <c r="AW946" s="244" t="s">
        <v>276</v>
      </c>
      <c r="AX946" s="346" t="s">
        <v>11263</v>
      </c>
      <c r="AY946" s="251">
        <v>0.9</v>
      </c>
      <c r="AZ946" s="251">
        <v>0.63</v>
      </c>
      <c r="BA946" s="251">
        <v>1.28</v>
      </c>
      <c r="BB946" s="244" t="s">
        <v>276</v>
      </c>
      <c r="BC946" s="245" t="s">
        <v>1020</v>
      </c>
      <c r="BD946" s="245" t="s">
        <v>11264</v>
      </c>
      <c r="BE946" s="33" t="s">
        <v>100</v>
      </c>
      <c r="BF946" s="33" t="s">
        <v>98</v>
      </c>
    </row>
    <row r="947" spans="1:58" s="263" customFormat="1" ht="52" x14ac:dyDescent="0.3">
      <c r="A947" s="254">
        <v>5425</v>
      </c>
      <c r="B947" s="255" t="s">
        <v>6854</v>
      </c>
      <c r="C947" s="255" t="s">
        <v>61</v>
      </c>
      <c r="D947" s="255" t="s">
        <v>6861</v>
      </c>
      <c r="E947" s="254" t="s">
        <v>35</v>
      </c>
      <c r="F947" s="255" t="s">
        <v>97</v>
      </c>
      <c r="G947" s="254" t="s">
        <v>225</v>
      </c>
      <c r="H947" s="254" t="s">
        <v>125</v>
      </c>
      <c r="I947" s="254" t="s">
        <v>113</v>
      </c>
      <c r="J947" s="255" t="s">
        <v>23</v>
      </c>
      <c r="K947" s="255" t="s">
        <v>6862</v>
      </c>
      <c r="L947" s="255" t="s">
        <v>276</v>
      </c>
      <c r="M947" s="254" t="s">
        <v>15</v>
      </c>
      <c r="N947" s="257" t="s">
        <v>8922</v>
      </c>
      <c r="O947" s="257" t="s">
        <v>207</v>
      </c>
      <c r="P947" s="258">
        <v>35430</v>
      </c>
      <c r="Q947" s="255" t="s">
        <v>276</v>
      </c>
      <c r="R947" s="255" t="s">
        <v>8923</v>
      </c>
      <c r="S947" s="255" t="s">
        <v>8924</v>
      </c>
      <c r="T947" s="255" t="s">
        <v>8925</v>
      </c>
      <c r="U947" s="259">
        <v>39139</v>
      </c>
      <c r="V947" s="260">
        <v>20978</v>
      </c>
      <c r="W947" s="254" t="s">
        <v>276</v>
      </c>
      <c r="X947" s="254" t="s">
        <v>276</v>
      </c>
      <c r="Y947" s="254">
        <v>0</v>
      </c>
      <c r="Z947" s="255" t="s">
        <v>98</v>
      </c>
      <c r="AA947" s="254">
        <v>0</v>
      </c>
      <c r="AB947" s="255" t="s">
        <v>98</v>
      </c>
      <c r="AC947" s="255" t="s">
        <v>6863</v>
      </c>
      <c r="AD947" s="255" t="s">
        <v>1674</v>
      </c>
      <c r="AE947" s="254">
        <v>4537</v>
      </c>
      <c r="AF947" s="254">
        <v>2572</v>
      </c>
      <c r="AG947" s="259">
        <v>534000</v>
      </c>
      <c r="AH947" s="259">
        <v>296000</v>
      </c>
      <c r="AI947" s="259" t="s">
        <v>425</v>
      </c>
      <c r="AJ947" s="261" t="s">
        <v>276</v>
      </c>
      <c r="AK947" s="262">
        <f t="shared" si="126"/>
        <v>8.4962546816479403</v>
      </c>
      <c r="AL947" s="261" t="s">
        <v>276</v>
      </c>
      <c r="AM947" s="261" t="s">
        <v>276</v>
      </c>
      <c r="AN947" s="261" t="s">
        <v>276</v>
      </c>
      <c r="AO947" s="262">
        <f t="shared" si="127"/>
        <v>8.6891891891891895</v>
      </c>
      <c r="AP947" s="261" t="s">
        <v>276</v>
      </c>
      <c r="AQ947" s="261" t="s">
        <v>276</v>
      </c>
      <c r="AR947" s="254" t="s">
        <v>269</v>
      </c>
      <c r="AS947" s="261">
        <v>0.99</v>
      </c>
      <c r="AT947" s="262">
        <f t="shared" si="128"/>
        <v>0.97779602868110038</v>
      </c>
      <c r="AU947" s="261">
        <v>0.95</v>
      </c>
      <c r="AV947" s="261">
        <v>1.03</v>
      </c>
      <c r="AW947" s="254" t="s">
        <v>276</v>
      </c>
      <c r="AX947" s="346" t="s">
        <v>282</v>
      </c>
      <c r="AY947" s="254" t="s">
        <v>98</v>
      </c>
      <c r="AZ947" s="254" t="s">
        <v>98</v>
      </c>
      <c r="BA947" s="254" t="s">
        <v>98</v>
      </c>
      <c r="BB947" s="254" t="s">
        <v>276</v>
      </c>
      <c r="BC947" s="255" t="s">
        <v>3834</v>
      </c>
      <c r="BD947" s="255" t="s">
        <v>11264</v>
      </c>
      <c r="BE947" s="33" t="s">
        <v>100</v>
      </c>
      <c r="BF947" s="33" t="s">
        <v>98</v>
      </c>
    </row>
    <row r="948" spans="1:58" s="7" customFormat="1" ht="78" x14ac:dyDescent="0.3">
      <c r="A948" s="8">
        <v>4366</v>
      </c>
      <c r="B948" s="9" t="s">
        <v>8926</v>
      </c>
      <c r="C948" s="9" t="s">
        <v>61</v>
      </c>
      <c r="D948" s="9" t="s">
        <v>8927</v>
      </c>
      <c r="E948" s="8" t="s">
        <v>35</v>
      </c>
      <c r="F948" s="9" t="s">
        <v>97</v>
      </c>
      <c r="G948" s="8" t="s">
        <v>225</v>
      </c>
      <c r="H948" s="8" t="s">
        <v>125</v>
      </c>
      <c r="I948" s="8" t="s">
        <v>113</v>
      </c>
      <c r="J948" s="9" t="s">
        <v>24</v>
      </c>
      <c r="K948" s="9" t="s">
        <v>8928</v>
      </c>
      <c r="L948" s="9" t="s">
        <v>276</v>
      </c>
      <c r="M948" s="8" t="s">
        <v>14</v>
      </c>
      <c r="N948" s="12" t="s">
        <v>98</v>
      </c>
      <c r="O948" s="12" t="s">
        <v>207</v>
      </c>
      <c r="P948" s="41">
        <v>34699</v>
      </c>
      <c r="Q948" s="9" t="s">
        <v>276</v>
      </c>
      <c r="R948" s="38" t="s">
        <v>8929</v>
      </c>
      <c r="S948" s="38" t="s">
        <v>8930</v>
      </c>
      <c r="T948" s="9" t="s">
        <v>8925</v>
      </c>
      <c r="U948" s="13">
        <v>40318</v>
      </c>
      <c r="V948" s="38">
        <v>19943</v>
      </c>
      <c r="W948" s="8" t="s">
        <v>276</v>
      </c>
      <c r="X948" s="8" t="s">
        <v>276</v>
      </c>
      <c r="Y948" s="8" t="s">
        <v>276</v>
      </c>
      <c r="Z948" s="9" t="s">
        <v>1562</v>
      </c>
      <c r="AA948" s="8" t="s">
        <v>276</v>
      </c>
      <c r="AB948" s="9" t="s">
        <v>1562</v>
      </c>
      <c r="AC948" s="9" t="s">
        <v>8931</v>
      </c>
      <c r="AD948" s="9" t="s">
        <v>1674</v>
      </c>
      <c r="AE948" s="8">
        <v>66</v>
      </c>
      <c r="AF948" s="8">
        <v>45</v>
      </c>
      <c r="AG948" s="38">
        <v>473153</v>
      </c>
      <c r="AH948" s="38">
        <v>239460</v>
      </c>
      <c r="AI948" s="13" t="s">
        <v>425</v>
      </c>
      <c r="AJ948" s="14" t="s">
        <v>276</v>
      </c>
      <c r="AK948" s="31">
        <f t="shared" si="126"/>
        <v>0.13948976335350299</v>
      </c>
      <c r="AL948" s="14" t="s">
        <v>276</v>
      </c>
      <c r="AM948" s="14" t="s">
        <v>276</v>
      </c>
      <c r="AN948" s="14" t="s">
        <v>276</v>
      </c>
      <c r="AO948" s="31">
        <f t="shared" si="127"/>
        <v>0.18792282635930843</v>
      </c>
      <c r="AP948" s="14" t="s">
        <v>276</v>
      </c>
      <c r="AQ948" s="14" t="s">
        <v>276</v>
      </c>
      <c r="AR948" s="8" t="s">
        <v>269</v>
      </c>
      <c r="AS948" s="14">
        <v>0.74</v>
      </c>
      <c r="AT948" s="31">
        <f t="shared" si="128"/>
        <v>0.74227152739177393</v>
      </c>
      <c r="AU948" s="43">
        <v>0.5</v>
      </c>
      <c r="AV948" s="43">
        <v>1.1000000000000001</v>
      </c>
      <c r="AW948" s="8">
        <v>0.13</v>
      </c>
      <c r="AX948" s="9" t="s">
        <v>282</v>
      </c>
      <c r="AY948" s="14" t="s">
        <v>98</v>
      </c>
      <c r="AZ948" s="14" t="s">
        <v>98</v>
      </c>
      <c r="BA948" s="14" t="s">
        <v>98</v>
      </c>
      <c r="BB948" s="8" t="s">
        <v>98</v>
      </c>
      <c r="BC948" s="9" t="s">
        <v>8932</v>
      </c>
      <c r="BD948" s="9" t="s">
        <v>8933</v>
      </c>
      <c r="BE948" s="33" t="s">
        <v>99</v>
      </c>
      <c r="BF948" s="33" t="s">
        <v>11163</v>
      </c>
    </row>
    <row r="949" spans="1:58" s="7" customFormat="1" ht="104" x14ac:dyDescent="0.3">
      <c r="A949" s="8">
        <v>4366</v>
      </c>
      <c r="B949" s="9" t="s">
        <v>8926</v>
      </c>
      <c r="C949" s="9" t="s">
        <v>61</v>
      </c>
      <c r="D949" s="9" t="s">
        <v>8934</v>
      </c>
      <c r="E949" s="8" t="s">
        <v>35</v>
      </c>
      <c r="F949" s="9" t="s">
        <v>97</v>
      </c>
      <c r="G949" s="8" t="s">
        <v>225</v>
      </c>
      <c r="H949" s="8" t="s">
        <v>125</v>
      </c>
      <c r="I949" s="8" t="s">
        <v>113</v>
      </c>
      <c r="J949" s="9" t="s">
        <v>24</v>
      </c>
      <c r="K949" s="9" t="s">
        <v>8928</v>
      </c>
      <c r="L949" s="9" t="s">
        <v>276</v>
      </c>
      <c r="M949" s="8" t="s">
        <v>15</v>
      </c>
      <c r="N949" s="12" t="s">
        <v>8905</v>
      </c>
      <c r="O949" s="12" t="s">
        <v>207</v>
      </c>
      <c r="P949" s="41">
        <v>34699</v>
      </c>
      <c r="Q949" s="9" t="s">
        <v>276</v>
      </c>
      <c r="R949" s="38" t="s">
        <v>8935</v>
      </c>
      <c r="S949" s="38" t="s">
        <v>8936</v>
      </c>
      <c r="T949" s="9" t="s">
        <v>8925</v>
      </c>
      <c r="U949" s="59">
        <v>25476</v>
      </c>
      <c r="V949" s="38">
        <v>12840</v>
      </c>
      <c r="W949" s="8" t="s">
        <v>276</v>
      </c>
      <c r="X949" s="8" t="s">
        <v>276</v>
      </c>
      <c r="Y949" s="8" t="s">
        <v>276</v>
      </c>
      <c r="Z949" s="9" t="s">
        <v>1562</v>
      </c>
      <c r="AA949" s="8" t="s">
        <v>276</v>
      </c>
      <c r="AB949" s="9" t="s">
        <v>1562</v>
      </c>
      <c r="AC949" s="9" t="s">
        <v>8937</v>
      </c>
      <c r="AD949" s="9" t="s">
        <v>1674</v>
      </c>
      <c r="AE949" s="8">
        <v>42</v>
      </c>
      <c r="AF949" s="8">
        <v>33</v>
      </c>
      <c r="AG949" s="38">
        <v>299287</v>
      </c>
      <c r="AH949" s="38">
        <v>151634</v>
      </c>
      <c r="AI949" s="13" t="s">
        <v>425</v>
      </c>
      <c r="AJ949" s="14" t="s">
        <v>276</v>
      </c>
      <c r="AK949" s="31">
        <f t="shared" si="126"/>
        <v>0.14033352601349205</v>
      </c>
      <c r="AL949" s="14" t="s">
        <v>276</v>
      </c>
      <c r="AM949" s="14" t="s">
        <v>276</v>
      </c>
      <c r="AN949" s="14" t="s">
        <v>276</v>
      </c>
      <c r="AO949" s="31">
        <f t="shared" si="127"/>
        <v>0.21762929158368177</v>
      </c>
      <c r="AP949" s="14" t="s">
        <v>276</v>
      </c>
      <c r="AQ949" s="14" t="s">
        <v>276</v>
      </c>
      <c r="AR949" s="8" t="s">
        <v>269</v>
      </c>
      <c r="AS949" s="14">
        <v>0.62</v>
      </c>
      <c r="AT949" s="31">
        <f t="shared" si="128"/>
        <v>0.64482829950090459</v>
      </c>
      <c r="AU949" s="14">
        <v>0.38</v>
      </c>
      <c r="AV949" s="43">
        <v>1</v>
      </c>
      <c r="AW949" s="8">
        <v>0.05</v>
      </c>
      <c r="AX949" s="9" t="s">
        <v>282</v>
      </c>
      <c r="AY949" s="14" t="s">
        <v>98</v>
      </c>
      <c r="AZ949" s="14" t="s">
        <v>98</v>
      </c>
      <c r="BA949" s="14" t="s">
        <v>98</v>
      </c>
      <c r="BB949" s="8" t="s">
        <v>98</v>
      </c>
      <c r="BC949" s="9" t="s">
        <v>8938</v>
      </c>
      <c r="BD949" s="9" t="s">
        <v>11265</v>
      </c>
      <c r="BE949" s="33" t="s">
        <v>100</v>
      </c>
      <c r="BF949" s="33" t="s">
        <v>98</v>
      </c>
    </row>
    <row r="950" spans="1:58" s="7" customFormat="1" ht="104" x14ac:dyDescent="0.3">
      <c r="A950" s="8">
        <v>4366</v>
      </c>
      <c r="B950" s="9" t="s">
        <v>8926</v>
      </c>
      <c r="C950" s="9" t="s">
        <v>61</v>
      </c>
      <c r="D950" s="9" t="s">
        <v>8939</v>
      </c>
      <c r="E950" s="8" t="s">
        <v>35</v>
      </c>
      <c r="F950" s="9" t="s">
        <v>97</v>
      </c>
      <c r="G950" s="8" t="s">
        <v>225</v>
      </c>
      <c r="H950" s="8" t="s">
        <v>125</v>
      </c>
      <c r="I950" s="8" t="s">
        <v>113</v>
      </c>
      <c r="J950" s="9" t="s">
        <v>24</v>
      </c>
      <c r="K950" s="9" t="s">
        <v>8928</v>
      </c>
      <c r="L950" s="9" t="s">
        <v>276</v>
      </c>
      <c r="M950" s="8" t="s">
        <v>15</v>
      </c>
      <c r="N950" s="12" t="s">
        <v>3032</v>
      </c>
      <c r="O950" s="12" t="s">
        <v>207</v>
      </c>
      <c r="P950" s="41">
        <v>34699</v>
      </c>
      <c r="Q950" s="9" t="s">
        <v>276</v>
      </c>
      <c r="R950" s="38" t="s">
        <v>8940</v>
      </c>
      <c r="S950" s="38" t="s">
        <v>8941</v>
      </c>
      <c r="T950" s="9" t="s">
        <v>8925</v>
      </c>
      <c r="U950" s="59">
        <v>14842</v>
      </c>
      <c r="V950" s="38">
        <v>7103</v>
      </c>
      <c r="W950" s="8" t="s">
        <v>276</v>
      </c>
      <c r="X950" s="8" t="s">
        <v>276</v>
      </c>
      <c r="Y950" s="8" t="s">
        <v>276</v>
      </c>
      <c r="Z950" s="9" t="s">
        <v>1562</v>
      </c>
      <c r="AA950" s="8" t="s">
        <v>276</v>
      </c>
      <c r="AB950" s="9" t="s">
        <v>1562</v>
      </c>
      <c r="AC950" s="9" t="s">
        <v>8942</v>
      </c>
      <c r="AD950" s="9" t="s">
        <v>1674</v>
      </c>
      <c r="AE950" s="8">
        <v>24</v>
      </c>
      <c r="AF950" s="8">
        <v>12</v>
      </c>
      <c r="AG950" s="38">
        <v>173866</v>
      </c>
      <c r="AH950" s="38">
        <v>87826</v>
      </c>
      <c r="AI950" s="13" t="s">
        <v>425</v>
      </c>
      <c r="AJ950" s="14" t="s">
        <v>276</v>
      </c>
      <c r="AK950" s="31">
        <f t="shared" si="126"/>
        <v>0.13803733910022661</v>
      </c>
      <c r="AL950" s="14" t="s">
        <v>276</v>
      </c>
      <c r="AM950" s="14" t="s">
        <v>276</v>
      </c>
      <c r="AN950" s="14" t="s">
        <v>276</v>
      </c>
      <c r="AO950" s="31">
        <f t="shared" si="127"/>
        <v>0.13663379864732539</v>
      </c>
      <c r="AP950" s="14" t="s">
        <v>276</v>
      </c>
      <c r="AQ950" s="14" t="s">
        <v>276</v>
      </c>
      <c r="AR950" s="8" t="s">
        <v>269</v>
      </c>
      <c r="AS950" s="14">
        <v>1.08</v>
      </c>
      <c r="AT950" s="31">
        <f t="shared" si="128"/>
        <v>1.0102722786513751</v>
      </c>
      <c r="AU950" s="14">
        <v>0.54</v>
      </c>
      <c r="AV950" s="14">
        <v>2.17</v>
      </c>
      <c r="AW950" s="8" t="s">
        <v>276</v>
      </c>
      <c r="AX950" s="9" t="s">
        <v>282</v>
      </c>
      <c r="AY950" s="14" t="s">
        <v>98</v>
      </c>
      <c r="AZ950" s="14" t="s">
        <v>98</v>
      </c>
      <c r="BA950" s="14" t="s">
        <v>98</v>
      </c>
      <c r="BB950" s="8" t="s">
        <v>98</v>
      </c>
      <c r="BC950" s="9" t="s">
        <v>8943</v>
      </c>
      <c r="BD950" s="9" t="s">
        <v>11265</v>
      </c>
      <c r="BE950" s="33" t="s">
        <v>100</v>
      </c>
      <c r="BF950" s="33" t="s">
        <v>98</v>
      </c>
    </row>
    <row r="951" spans="1:58" s="87" customFormat="1" ht="78" x14ac:dyDescent="0.3">
      <c r="A951" s="72">
        <v>4366</v>
      </c>
      <c r="B951" s="73" t="s">
        <v>8926</v>
      </c>
      <c r="C951" s="73" t="s">
        <v>61</v>
      </c>
      <c r="D951" s="73" t="s">
        <v>8944</v>
      </c>
      <c r="E951" s="72" t="s">
        <v>35</v>
      </c>
      <c r="F951" s="73" t="s">
        <v>97</v>
      </c>
      <c r="G951" s="72" t="s">
        <v>225</v>
      </c>
      <c r="H951" s="72" t="s">
        <v>125</v>
      </c>
      <c r="I951" s="72" t="s">
        <v>113</v>
      </c>
      <c r="J951" s="73" t="s">
        <v>24</v>
      </c>
      <c r="K951" s="73" t="s">
        <v>8928</v>
      </c>
      <c r="L951" s="73" t="s">
        <v>276</v>
      </c>
      <c r="M951" s="72" t="s">
        <v>14</v>
      </c>
      <c r="N951" s="85" t="s">
        <v>98</v>
      </c>
      <c r="O951" s="85" t="s">
        <v>207</v>
      </c>
      <c r="P951" s="88">
        <v>34699</v>
      </c>
      <c r="Q951" s="73" t="s">
        <v>276</v>
      </c>
      <c r="R951" s="75" t="s">
        <v>8929</v>
      </c>
      <c r="S951" s="75" t="s">
        <v>8930</v>
      </c>
      <c r="T951" s="73" t="s">
        <v>8925</v>
      </c>
      <c r="U951" s="74">
        <v>40318</v>
      </c>
      <c r="V951" s="75">
        <v>19943</v>
      </c>
      <c r="W951" s="72" t="s">
        <v>276</v>
      </c>
      <c r="X951" s="72" t="s">
        <v>276</v>
      </c>
      <c r="Y951" s="72" t="s">
        <v>276</v>
      </c>
      <c r="Z951" s="73" t="s">
        <v>1562</v>
      </c>
      <c r="AA951" s="72" t="s">
        <v>276</v>
      </c>
      <c r="AB951" s="73" t="s">
        <v>1562</v>
      </c>
      <c r="AC951" s="73" t="s">
        <v>8931</v>
      </c>
      <c r="AD951" s="73" t="s">
        <v>7703</v>
      </c>
      <c r="AE951" s="72">
        <v>66</v>
      </c>
      <c r="AF951" s="72">
        <v>45</v>
      </c>
      <c r="AG951" s="74">
        <v>40318</v>
      </c>
      <c r="AH951" s="75">
        <v>19943</v>
      </c>
      <c r="AI951" s="75" t="s">
        <v>281</v>
      </c>
      <c r="AJ951" s="93">
        <v>1.7</v>
      </c>
      <c r="AK951" s="86">
        <f t="shared" si="126"/>
        <v>1.6369859616052385</v>
      </c>
      <c r="AL951" s="76" t="s">
        <v>276</v>
      </c>
      <c r="AM951" s="76" t="s">
        <v>276</v>
      </c>
      <c r="AN951" s="93">
        <v>2.2999999999999998</v>
      </c>
      <c r="AO951" s="86">
        <f t="shared" si="127"/>
        <v>2.2564308278593992</v>
      </c>
      <c r="AP951" s="76" t="s">
        <v>276</v>
      </c>
      <c r="AQ951" s="76" t="s">
        <v>276</v>
      </c>
      <c r="AR951" s="72" t="s">
        <v>268</v>
      </c>
      <c r="AS951" s="76" t="s">
        <v>276</v>
      </c>
      <c r="AT951" s="86">
        <f t="shared" si="128"/>
        <v>0.72547580071762829</v>
      </c>
      <c r="AU951" s="76" t="s">
        <v>276</v>
      </c>
      <c r="AV951" s="76" t="s">
        <v>276</v>
      </c>
      <c r="AW951" s="72" t="s">
        <v>276</v>
      </c>
      <c r="AX951" s="73" t="s">
        <v>282</v>
      </c>
      <c r="AY951" s="76" t="s">
        <v>98</v>
      </c>
      <c r="AZ951" s="76" t="s">
        <v>98</v>
      </c>
      <c r="BA951" s="76" t="s">
        <v>98</v>
      </c>
      <c r="BB951" s="72" t="s">
        <v>98</v>
      </c>
      <c r="BC951" s="73" t="s">
        <v>8945</v>
      </c>
      <c r="BD951" s="73" t="s">
        <v>8933</v>
      </c>
      <c r="BE951" s="33" t="s">
        <v>100</v>
      </c>
      <c r="BF951" s="33" t="s">
        <v>98</v>
      </c>
    </row>
    <row r="952" spans="1:58" s="87" customFormat="1" ht="78" x14ac:dyDescent="0.3">
      <c r="A952" s="72">
        <v>4366</v>
      </c>
      <c r="B952" s="73" t="s">
        <v>8926</v>
      </c>
      <c r="C952" s="73" t="s">
        <v>61</v>
      </c>
      <c r="D952" s="73" t="s">
        <v>8946</v>
      </c>
      <c r="E952" s="72" t="s">
        <v>35</v>
      </c>
      <c r="F952" s="73" t="s">
        <v>97</v>
      </c>
      <c r="G952" s="72" t="s">
        <v>225</v>
      </c>
      <c r="H952" s="72" t="s">
        <v>125</v>
      </c>
      <c r="I952" s="72" t="s">
        <v>113</v>
      </c>
      <c r="J952" s="73" t="s">
        <v>24</v>
      </c>
      <c r="K952" s="73" t="s">
        <v>8928</v>
      </c>
      <c r="L952" s="73" t="s">
        <v>276</v>
      </c>
      <c r="M952" s="72" t="s">
        <v>15</v>
      </c>
      <c r="N952" s="85" t="s">
        <v>8905</v>
      </c>
      <c r="O952" s="85" t="s">
        <v>207</v>
      </c>
      <c r="P952" s="88">
        <v>34699</v>
      </c>
      <c r="Q952" s="73" t="s">
        <v>276</v>
      </c>
      <c r="R952" s="75" t="s">
        <v>8935</v>
      </c>
      <c r="S952" s="75" t="s">
        <v>8936</v>
      </c>
      <c r="T952" s="73" t="s">
        <v>8925</v>
      </c>
      <c r="U952" s="484">
        <v>25476</v>
      </c>
      <c r="V952" s="75">
        <v>12840</v>
      </c>
      <c r="W952" s="72" t="s">
        <v>276</v>
      </c>
      <c r="X952" s="72" t="s">
        <v>276</v>
      </c>
      <c r="Y952" s="72" t="s">
        <v>276</v>
      </c>
      <c r="Z952" s="73" t="s">
        <v>1562</v>
      </c>
      <c r="AA952" s="72" t="s">
        <v>276</v>
      </c>
      <c r="AB952" s="73" t="s">
        <v>1562</v>
      </c>
      <c r="AC952" s="73" t="s">
        <v>8937</v>
      </c>
      <c r="AD952" s="73" t="s">
        <v>7703</v>
      </c>
      <c r="AE952" s="72">
        <v>42</v>
      </c>
      <c r="AF952" s="72">
        <v>33</v>
      </c>
      <c r="AG952" s="484">
        <v>25476</v>
      </c>
      <c r="AH952" s="75">
        <v>12840</v>
      </c>
      <c r="AI952" s="75" t="s">
        <v>281</v>
      </c>
      <c r="AJ952" s="93">
        <v>1.7</v>
      </c>
      <c r="AK952" s="86">
        <f t="shared" si="126"/>
        <v>1.6486104569006124</v>
      </c>
      <c r="AL952" s="76" t="s">
        <v>276</v>
      </c>
      <c r="AM952" s="76" t="s">
        <v>276</v>
      </c>
      <c r="AN952" s="93">
        <v>2.6</v>
      </c>
      <c r="AO952" s="86">
        <f t="shared" si="127"/>
        <v>2.5700934579439254</v>
      </c>
      <c r="AP952" s="76" t="s">
        <v>276</v>
      </c>
      <c r="AQ952" s="76" t="s">
        <v>276</v>
      </c>
      <c r="AR952" s="72" t="s">
        <v>268</v>
      </c>
      <c r="AS952" s="76" t="s">
        <v>276</v>
      </c>
      <c r="AT952" s="86">
        <f t="shared" si="128"/>
        <v>0.64145934141223826</v>
      </c>
      <c r="AU952" s="76" t="s">
        <v>276</v>
      </c>
      <c r="AV952" s="76" t="s">
        <v>276</v>
      </c>
      <c r="AW952" s="72" t="s">
        <v>276</v>
      </c>
      <c r="AX952" s="73" t="s">
        <v>282</v>
      </c>
      <c r="AY952" s="76" t="s">
        <v>98</v>
      </c>
      <c r="AZ952" s="76" t="s">
        <v>98</v>
      </c>
      <c r="BA952" s="76" t="s">
        <v>98</v>
      </c>
      <c r="BB952" s="72" t="s">
        <v>98</v>
      </c>
      <c r="BC952" s="73" t="s">
        <v>426</v>
      </c>
      <c r="BD952" s="73" t="s">
        <v>8933</v>
      </c>
      <c r="BE952" s="33" t="s">
        <v>100</v>
      </c>
      <c r="BF952" s="33" t="s">
        <v>98</v>
      </c>
    </row>
    <row r="953" spans="1:58" s="87" customFormat="1" ht="78" x14ac:dyDescent="0.3">
      <c r="A953" s="416">
        <v>4366</v>
      </c>
      <c r="B953" s="73" t="s">
        <v>8926</v>
      </c>
      <c r="C953" s="73" t="s">
        <v>61</v>
      </c>
      <c r="D953" s="73" t="s">
        <v>8947</v>
      </c>
      <c r="E953" s="72" t="s">
        <v>35</v>
      </c>
      <c r="F953" s="73" t="s">
        <v>97</v>
      </c>
      <c r="G953" s="72" t="s">
        <v>225</v>
      </c>
      <c r="H953" s="72" t="s">
        <v>125</v>
      </c>
      <c r="I953" s="72" t="s">
        <v>113</v>
      </c>
      <c r="J953" s="73" t="s">
        <v>24</v>
      </c>
      <c r="K953" s="73" t="s">
        <v>8928</v>
      </c>
      <c r="L953" s="73" t="s">
        <v>276</v>
      </c>
      <c r="M953" s="72" t="s">
        <v>15</v>
      </c>
      <c r="N953" s="85" t="s">
        <v>3032</v>
      </c>
      <c r="O953" s="85" t="s">
        <v>207</v>
      </c>
      <c r="P953" s="88">
        <v>34699</v>
      </c>
      <c r="Q953" s="73" t="s">
        <v>276</v>
      </c>
      <c r="R953" s="75" t="s">
        <v>8940</v>
      </c>
      <c r="S953" s="75" t="s">
        <v>8941</v>
      </c>
      <c r="T953" s="73" t="s">
        <v>8925</v>
      </c>
      <c r="U953" s="484">
        <v>14842</v>
      </c>
      <c r="V953" s="75">
        <v>7103</v>
      </c>
      <c r="W953" s="72" t="s">
        <v>276</v>
      </c>
      <c r="X953" s="72" t="s">
        <v>276</v>
      </c>
      <c r="Y953" s="72" t="s">
        <v>276</v>
      </c>
      <c r="Z953" s="73" t="s">
        <v>1562</v>
      </c>
      <c r="AA953" s="72" t="s">
        <v>276</v>
      </c>
      <c r="AB953" s="73" t="s">
        <v>1562</v>
      </c>
      <c r="AC953" s="73" t="s">
        <v>8942</v>
      </c>
      <c r="AD953" s="73" t="s">
        <v>7703</v>
      </c>
      <c r="AE953" s="72">
        <v>24</v>
      </c>
      <c r="AF953" s="72">
        <v>12</v>
      </c>
      <c r="AG953" s="484">
        <v>14842</v>
      </c>
      <c r="AH953" s="75">
        <v>7103</v>
      </c>
      <c r="AI953" s="75" t="s">
        <v>281</v>
      </c>
      <c r="AJ953" s="93">
        <v>1.6</v>
      </c>
      <c r="AK953" s="86">
        <f t="shared" si="126"/>
        <v>1.6170327449130846</v>
      </c>
      <c r="AL953" s="76" t="s">
        <v>276</v>
      </c>
      <c r="AM953" s="76" t="s">
        <v>276</v>
      </c>
      <c r="AN953" s="93">
        <v>1.7</v>
      </c>
      <c r="AO953" s="86">
        <f t="shared" si="127"/>
        <v>1.6894270026749261</v>
      </c>
      <c r="AP953" s="76" t="s">
        <v>276</v>
      </c>
      <c r="AQ953" s="76" t="s">
        <v>276</v>
      </c>
      <c r="AR953" s="72" t="s">
        <v>268</v>
      </c>
      <c r="AS953" s="76" t="s">
        <v>276</v>
      </c>
      <c r="AT953" s="86">
        <f t="shared" si="128"/>
        <v>0.95714863225980329</v>
      </c>
      <c r="AU953" s="76" t="s">
        <v>276</v>
      </c>
      <c r="AV953" s="76" t="s">
        <v>276</v>
      </c>
      <c r="AW953" s="72" t="s">
        <v>276</v>
      </c>
      <c r="AX953" s="73" t="s">
        <v>282</v>
      </c>
      <c r="AY953" s="76" t="s">
        <v>98</v>
      </c>
      <c r="AZ953" s="76" t="s">
        <v>98</v>
      </c>
      <c r="BA953" s="76" t="s">
        <v>98</v>
      </c>
      <c r="BB953" s="72" t="s">
        <v>98</v>
      </c>
      <c r="BC953" s="73" t="s">
        <v>426</v>
      </c>
      <c r="BD953" s="73" t="s">
        <v>8933</v>
      </c>
      <c r="BE953" s="33" t="s">
        <v>100</v>
      </c>
      <c r="BF953" s="33" t="s">
        <v>98</v>
      </c>
    </row>
    <row r="954" spans="1:58" s="253" customFormat="1" ht="65" x14ac:dyDescent="0.3">
      <c r="A954" s="244">
        <v>4346</v>
      </c>
      <c r="B954" s="244" t="s">
        <v>6849</v>
      </c>
      <c r="C954" s="245" t="s">
        <v>61</v>
      </c>
      <c r="D954" s="245" t="s">
        <v>8948</v>
      </c>
      <c r="E954" s="244" t="s">
        <v>35</v>
      </c>
      <c r="F954" s="245" t="s">
        <v>97</v>
      </c>
      <c r="G954" s="244" t="s">
        <v>225</v>
      </c>
      <c r="H954" s="244" t="s">
        <v>125</v>
      </c>
      <c r="I954" s="244" t="s">
        <v>113</v>
      </c>
      <c r="J954" s="245" t="s">
        <v>24</v>
      </c>
      <c r="K954" s="245" t="s">
        <v>7755</v>
      </c>
      <c r="L954" s="245" t="s">
        <v>276</v>
      </c>
      <c r="M954" s="244" t="s">
        <v>15</v>
      </c>
      <c r="N954" s="247" t="s">
        <v>3032</v>
      </c>
      <c r="O954" s="247" t="s">
        <v>207</v>
      </c>
      <c r="P954" s="248">
        <v>34334</v>
      </c>
      <c r="Q954" s="245" t="s">
        <v>276</v>
      </c>
      <c r="R954" s="245" t="s">
        <v>8949</v>
      </c>
      <c r="S954" s="245" t="s">
        <v>8949</v>
      </c>
      <c r="T954" s="245" t="s">
        <v>8925</v>
      </c>
      <c r="U954" s="249">
        <v>14185</v>
      </c>
      <c r="V954" s="250">
        <v>7985</v>
      </c>
      <c r="W954" s="244" t="s">
        <v>276</v>
      </c>
      <c r="X954" s="244" t="s">
        <v>276</v>
      </c>
      <c r="Y954" s="244" t="s">
        <v>276</v>
      </c>
      <c r="Z954" s="245" t="s">
        <v>1562</v>
      </c>
      <c r="AA954" s="244" t="s">
        <v>276</v>
      </c>
      <c r="AB954" s="245" t="s">
        <v>1562</v>
      </c>
      <c r="AC954" s="245" t="s">
        <v>8950</v>
      </c>
      <c r="AD954" s="245" t="s">
        <v>1674</v>
      </c>
      <c r="AE954" s="244">
        <v>23</v>
      </c>
      <c r="AF954" s="244">
        <v>10</v>
      </c>
      <c r="AG954" s="249">
        <v>162000</v>
      </c>
      <c r="AH954" s="249">
        <v>94000</v>
      </c>
      <c r="AI954" s="249" t="s">
        <v>425</v>
      </c>
      <c r="AJ954" s="251" t="s">
        <v>276</v>
      </c>
      <c r="AK954" s="252">
        <f>AE954*1000/AG954</f>
        <v>0.1419753086419753</v>
      </c>
      <c r="AL954" s="251" t="s">
        <v>276</v>
      </c>
      <c r="AM954" s="251" t="s">
        <v>276</v>
      </c>
      <c r="AN954" s="251" t="s">
        <v>276</v>
      </c>
      <c r="AO954" s="252">
        <f t="shared" si="127"/>
        <v>0.10638297872340426</v>
      </c>
      <c r="AP954" s="251" t="s">
        <v>276</v>
      </c>
      <c r="AQ954" s="251" t="s">
        <v>276</v>
      </c>
      <c r="AR954" s="244" t="s">
        <v>269</v>
      </c>
      <c r="AS954" s="244">
        <v>1.34</v>
      </c>
      <c r="AT954" s="252">
        <f t="shared" si="128"/>
        <v>1.3345679012345679</v>
      </c>
      <c r="AU954" s="251">
        <v>0.64</v>
      </c>
      <c r="AV954" s="251">
        <v>2.8</v>
      </c>
      <c r="AW954" s="244" t="s">
        <v>276</v>
      </c>
      <c r="AX954" s="346" t="s">
        <v>282</v>
      </c>
      <c r="AY954" s="244" t="s">
        <v>98</v>
      </c>
      <c r="AZ954" s="244" t="s">
        <v>98</v>
      </c>
      <c r="BA954" s="251" t="s">
        <v>98</v>
      </c>
      <c r="BB954" s="244" t="s">
        <v>276</v>
      </c>
      <c r="BC954" s="245" t="s">
        <v>426</v>
      </c>
      <c r="BD954" s="245" t="s">
        <v>7758</v>
      </c>
      <c r="BE954" s="33" t="s">
        <v>100</v>
      </c>
      <c r="BF954" s="33" t="s">
        <v>98</v>
      </c>
    </row>
    <row r="955" spans="1:58" s="149" customFormat="1" ht="74.25" customHeight="1" x14ac:dyDescent="0.3">
      <c r="A955" s="126">
        <v>11129</v>
      </c>
      <c r="B955" s="126" t="s">
        <v>7773</v>
      </c>
      <c r="C955" s="127" t="s">
        <v>61</v>
      </c>
      <c r="D955" s="127" t="s">
        <v>8951</v>
      </c>
      <c r="E955" s="126" t="s">
        <v>35</v>
      </c>
      <c r="F955" s="127" t="s">
        <v>97</v>
      </c>
      <c r="G955" s="126" t="s">
        <v>225</v>
      </c>
      <c r="H955" s="126" t="s">
        <v>125</v>
      </c>
      <c r="I955" s="126" t="s">
        <v>113</v>
      </c>
      <c r="J955" s="127" t="s">
        <v>24</v>
      </c>
      <c r="K955" s="127" t="s">
        <v>7775</v>
      </c>
      <c r="L955" s="127" t="s">
        <v>276</v>
      </c>
      <c r="M955" s="126" t="s">
        <v>15</v>
      </c>
      <c r="N955" s="145" t="s">
        <v>8952</v>
      </c>
      <c r="O955" s="131" t="s">
        <v>207</v>
      </c>
      <c r="P955" s="197">
        <v>39447</v>
      </c>
      <c r="Q955" s="127" t="s">
        <v>276</v>
      </c>
      <c r="R955" s="127" t="s">
        <v>8953</v>
      </c>
      <c r="S955" s="127" t="s">
        <v>8954</v>
      </c>
      <c r="T955" s="127" t="s">
        <v>8925</v>
      </c>
      <c r="U955" s="132">
        <v>39139</v>
      </c>
      <c r="V955" s="134">
        <v>20978</v>
      </c>
      <c r="W955" s="126" t="s">
        <v>276</v>
      </c>
      <c r="X955" s="126" t="s">
        <v>276</v>
      </c>
      <c r="Y955" s="126" t="s">
        <v>276</v>
      </c>
      <c r="Z955" s="127" t="s">
        <v>1562</v>
      </c>
      <c r="AA955" s="126" t="s">
        <v>276</v>
      </c>
      <c r="AB955" s="127" t="s">
        <v>1562</v>
      </c>
      <c r="AC955" s="127" t="s">
        <v>8955</v>
      </c>
      <c r="AD955" s="127" t="s">
        <v>1674</v>
      </c>
      <c r="AE955" s="126">
        <v>84</v>
      </c>
      <c r="AF955" s="126">
        <v>48</v>
      </c>
      <c r="AG955" s="132">
        <v>877000</v>
      </c>
      <c r="AH955" s="132">
        <v>477000</v>
      </c>
      <c r="AI955" s="132" t="s">
        <v>425</v>
      </c>
      <c r="AJ955" s="135" t="s">
        <v>276</v>
      </c>
      <c r="AK955" s="148">
        <f>AE955*1000/AG955</f>
        <v>9.578107183580388E-2</v>
      </c>
      <c r="AL955" s="135" t="s">
        <v>276</v>
      </c>
      <c r="AM955" s="135" t="s">
        <v>276</v>
      </c>
      <c r="AN955" s="135" t="s">
        <v>276</v>
      </c>
      <c r="AO955" s="148">
        <f t="shared" si="127"/>
        <v>0.10062893081761007</v>
      </c>
      <c r="AP955" s="135" t="s">
        <v>276</v>
      </c>
      <c r="AQ955" s="135" t="s">
        <v>276</v>
      </c>
      <c r="AR955" s="126" t="s">
        <v>269</v>
      </c>
      <c r="AS955" s="135" t="s">
        <v>276</v>
      </c>
      <c r="AT955" s="148">
        <f t="shared" si="128"/>
        <v>0.95182440136830104</v>
      </c>
      <c r="AU955" s="135" t="s">
        <v>276</v>
      </c>
      <c r="AV955" s="135" t="s">
        <v>276</v>
      </c>
      <c r="AW955" s="126" t="s">
        <v>276</v>
      </c>
      <c r="AX955" s="126" t="s">
        <v>2593</v>
      </c>
      <c r="AY955" s="126">
        <v>0.94</v>
      </c>
      <c r="AZ955" s="126">
        <v>0.66</v>
      </c>
      <c r="BA955" s="126">
        <v>1.3</v>
      </c>
      <c r="BB955" s="126" t="s">
        <v>276</v>
      </c>
      <c r="BC955" s="127" t="s">
        <v>8956</v>
      </c>
      <c r="BD955" s="127"/>
      <c r="BE955" s="33" t="s">
        <v>100</v>
      </c>
      <c r="BF955" s="33" t="s">
        <v>98</v>
      </c>
    </row>
    <row r="956" spans="1:58" s="149" customFormat="1" ht="91" x14ac:dyDescent="0.3">
      <c r="A956" s="126">
        <v>11129</v>
      </c>
      <c r="B956" s="126" t="s">
        <v>7773</v>
      </c>
      <c r="C956" s="127" t="s">
        <v>61</v>
      </c>
      <c r="D956" s="127" t="s">
        <v>8957</v>
      </c>
      <c r="E956" s="126" t="s">
        <v>35</v>
      </c>
      <c r="F956" s="127" t="s">
        <v>97</v>
      </c>
      <c r="G956" s="126" t="s">
        <v>225</v>
      </c>
      <c r="H956" s="126" t="s">
        <v>125</v>
      </c>
      <c r="I956" s="126" t="s">
        <v>113</v>
      </c>
      <c r="J956" s="127" t="s">
        <v>24</v>
      </c>
      <c r="K956" s="127" t="s">
        <v>7775</v>
      </c>
      <c r="L956" s="127" t="s">
        <v>276</v>
      </c>
      <c r="M956" s="126" t="s">
        <v>15</v>
      </c>
      <c r="N956" s="145" t="s">
        <v>8952</v>
      </c>
      <c r="O956" s="131" t="s">
        <v>207</v>
      </c>
      <c r="P956" s="197">
        <v>39447</v>
      </c>
      <c r="Q956" s="127" t="s">
        <v>276</v>
      </c>
      <c r="R956" s="127" t="s">
        <v>8953</v>
      </c>
      <c r="S956" s="127" t="s">
        <v>8954</v>
      </c>
      <c r="T956" s="127" t="s">
        <v>8925</v>
      </c>
      <c r="U956" s="132">
        <v>39139</v>
      </c>
      <c r="V956" s="134">
        <v>20978</v>
      </c>
      <c r="W956" s="126" t="s">
        <v>276</v>
      </c>
      <c r="X956" s="126" t="s">
        <v>276</v>
      </c>
      <c r="Y956" s="126" t="s">
        <v>276</v>
      </c>
      <c r="Z956" s="127" t="s">
        <v>1562</v>
      </c>
      <c r="AA956" s="126" t="s">
        <v>276</v>
      </c>
      <c r="AB956" s="127" t="s">
        <v>1562</v>
      </c>
      <c r="AC956" s="127" t="s">
        <v>8958</v>
      </c>
      <c r="AD956" s="127" t="s">
        <v>1674</v>
      </c>
      <c r="AE956" s="126">
        <v>95</v>
      </c>
      <c r="AF956" s="126">
        <v>56</v>
      </c>
      <c r="AG956" s="132">
        <v>877000</v>
      </c>
      <c r="AH956" s="132">
        <v>477000</v>
      </c>
      <c r="AI956" s="132" t="s">
        <v>425</v>
      </c>
      <c r="AJ956" s="135" t="s">
        <v>276</v>
      </c>
      <c r="AK956" s="148">
        <f>AE956*1000/AG956</f>
        <v>0.10832383124287344</v>
      </c>
      <c r="AL956" s="135" t="s">
        <v>276</v>
      </c>
      <c r="AM956" s="135" t="s">
        <v>276</v>
      </c>
      <c r="AN956" s="135" t="s">
        <v>276</v>
      </c>
      <c r="AO956" s="148">
        <f t="shared" si="127"/>
        <v>0.11740041928721175</v>
      </c>
      <c r="AP956" s="135" t="s">
        <v>276</v>
      </c>
      <c r="AQ956" s="135" t="s">
        <v>276</v>
      </c>
      <c r="AR956" s="126" t="s">
        <v>269</v>
      </c>
      <c r="AS956" s="135" t="s">
        <v>276</v>
      </c>
      <c r="AT956" s="148">
        <f t="shared" si="128"/>
        <v>0.92268691969376115</v>
      </c>
      <c r="AU956" s="135" t="s">
        <v>276</v>
      </c>
      <c r="AV956" s="135" t="s">
        <v>276</v>
      </c>
      <c r="AW956" s="126" t="s">
        <v>276</v>
      </c>
      <c r="AX956" s="126" t="s">
        <v>2593</v>
      </c>
      <c r="AY956" s="126">
        <v>0.91</v>
      </c>
      <c r="AZ956" s="126">
        <v>0.66</v>
      </c>
      <c r="BA956" s="126">
        <v>1.3</v>
      </c>
      <c r="BB956" s="126" t="s">
        <v>276</v>
      </c>
      <c r="BC956" s="127" t="s">
        <v>1029</v>
      </c>
      <c r="BD956" s="127"/>
      <c r="BE956" s="33" t="s">
        <v>100</v>
      </c>
      <c r="BF956" s="33" t="s">
        <v>98</v>
      </c>
    </row>
    <row r="957" spans="1:58" s="160" customFormat="1" ht="74.25" customHeight="1" x14ac:dyDescent="0.3">
      <c r="A957" s="150">
        <v>11129</v>
      </c>
      <c r="B957" s="150" t="s">
        <v>7773</v>
      </c>
      <c r="C957" s="151" t="s">
        <v>61</v>
      </c>
      <c r="D957" s="151" t="s">
        <v>8959</v>
      </c>
      <c r="E957" s="150" t="s">
        <v>35</v>
      </c>
      <c r="F957" s="151" t="s">
        <v>97</v>
      </c>
      <c r="G957" s="150" t="s">
        <v>225</v>
      </c>
      <c r="H957" s="150" t="s">
        <v>125</v>
      </c>
      <c r="I957" s="150" t="s">
        <v>113</v>
      </c>
      <c r="J957" s="151" t="s">
        <v>24</v>
      </c>
      <c r="K957" s="151" t="s">
        <v>7775</v>
      </c>
      <c r="L957" s="151" t="s">
        <v>276</v>
      </c>
      <c r="M957" s="150" t="s">
        <v>15</v>
      </c>
      <c r="N957" s="152" t="s">
        <v>3032</v>
      </c>
      <c r="O957" s="153" t="s">
        <v>207</v>
      </c>
      <c r="P957" s="342">
        <v>39447</v>
      </c>
      <c r="Q957" s="151" t="s">
        <v>276</v>
      </c>
      <c r="R957" s="156" t="s">
        <v>8960</v>
      </c>
      <c r="S957" s="156" t="s">
        <v>8961</v>
      </c>
      <c r="T957" s="151" t="s">
        <v>8925</v>
      </c>
      <c r="U957" s="155">
        <v>14303</v>
      </c>
      <c r="V957" s="156">
        <v>8021</v>
      </c>
      <c r="W957" s="150" t="s">
        <v>276</v>
      </c>
      <c r="X957" s="150" t="s">
        <v>276</v>
      </c>
      <c r="Y957" s="150" t="s">
        <v>276</v>
      </c>
      <c r="Z957" s="151" t="s">
        <v>1562</v>
      </c>
      <c r="AA957" s="150" t="s">
        <v>276</v>
      </c>
      <c r="AB957" s="151" t="s">
        <v>1562</v>
      </c>
      <c r="AC957" s="151" t="s">
        <v>8962</v>
      </c>
      <c r="AD957" s="151" t="s">
        <v>1674</v>
      </c>
      <c r="AE957" s="150">
        <v>29</v>
      </c>
      <c r="AF957" s="150">
        <v>11</v>
      </c>
      <c r="AG957" s="156">
        <v>345000</v>
      </c>
      <c r="AH957" s="156">
        <v>197000</v>
      </c>
      <c r="AI957" s="155" t="s">
        <v>425</v>
      </c>
      <c r="AJ957" s="159" t="s">
        <v>276</v>
      </c>
      <c r="AK957" s="158">
        <f>AE957*1000/AG957</f>
        <v>8.4057971014492749E-2</v>
      </c>
      <c r="AL957" s="159" t="s">
        <v>276</v>
      </c>
      <c r="AM957" s="159" t="s">
        <v>276</v>
      </c>
      <c r="AN957" s="159" t="s">
        <v>276</v>
      </c>
      <c r="AO957" s="158">
        <f t="shared" si="127"/>
        <v>5.5837563451776651E-2</v>
      </c>
      <c r="AP957" s="159" t="s">
        <v>276</v>
      </c>
      <c r="AQ957" s="159" t="s">
        <v>276</v>
      </c>
      <c r="AR957" s="150" t="s">
        <v>269</v>
      </c>
      <c r="AS957" s="157">
        <v>1.5</v>
      </c>
      <c r="AT957" s="158">
        <f t="shared" si="128"/>
        <v>1.5054018445322792</v>
      </c>
      <c r="AU957" s="159">
        <v>0.76</v>
      </c>
      <c r="AV957" s="157">
        <v>3</v>
      </c>
      <c r="AW957" s="150" t="s">
        <v>276</v>
      </c>
      <c r="AX957" s="346" t="s">
        <v>282</v>
      </c>
      <c r="AY957" s="150" t="s">
        <v>98</v>
      </c>
      <c r="AZ957" s="150" t="s">
        <v>98</v>
      </c>
      <c r="BA957" s="150" t="s">
        <v>98</v>
      </c>
      <c r="BB957" s="150" t="s">
        <v>276</v>
      </c>
      <c r="BC957" s="151" t="s">
        <v>1029</v>
      </c>
      <c r="BD957" s="151" t="s">
        <v>8963</v>
      </c>
      <c r="BE957" s="33" t="s">
        <v>100</v>
      </c>
      <c r="BF957" s="33" t="s">
        <v>98</v>
      </c>
    </row>
    <row r="958" spans="1:58" s="149" customFormat="1" ht="91" x14ac:dyDescent="0.3">
      <c r="A958" s="126">
        <v>11129</v>
      </c>
      <c r="B958" s="126" t="s">
        <v>7773</v>
      </c>
      <c r="C958" s="127" t="s">
        <v>61</v>
      </c>
      <c r="D958" s="127" t="s">
        <v>8964</v>
      </c>
      <c r="E958" s="126" t="s">
        <v>35</v>
      </c>
      <c r="F958" s="127" t="s">
        <v>97</v>
      </c>
      <c r="G958" s="126" t="s">
        <v>225</v>
      </c>
      <c r="H958" s="126" t="s">
        <v>125</v>
      </c>
      <c r="I958" s="126" t="s">
        <v>113</v>
      </c>
      <c r="J958" s="127" t="s">
        <v>24</v>
      </c>
      <c r="K958" s="127" t="s">
        <v>7775</v>
      </c>
      <c r="L958" s="127" t="s">
        <v>276</v>
      </c>
      <c r="M958" s="126" t="s">
        <v>15</v>
      </c>
      <c r="N958" s="145" t="s">
        <v>8965</v>
      </c>
      <c r="O958" s="131" t="s">
        <v>207</v>
      </c>
      <c r="P958" s="197">
        <v>39447</v>
      </c>
      <c r="Q958" s="127" t="s">
        <v>276</v>
      </c>
      <c r="R958" s="134" t="s">
        <v>8966</v>
      </c>
      <c r="S958" s="134" t="s">
        <v>8967</v>
      </c>
      <c r="T958" s="127" t="s">
        <v>8925</v>
      </c>
      <c r="U958" s="132">
        <f>39139-14303</f>
        <v>24836</v>
      </c>
      <c r="V958" s="134">
        <f>20978-8021</f>
        <v>12957</v>
      </c>
      <c r="W958" s="126" t="s">
        <v>276</v>
      </c>
      <c r="X958" s="126" t="s">
        <v>276</v>
      </c>
      <c r="Y958" s="126" t="s">
        <v>276</v>
      </c>
      <c r="Z958" s="127" t="s">
        <v>1562</v>
      </c>
      <c r="AA958" s="126" t="s">
        <v>276</v>
      </c>
      <c r="AB958" s="127" t="s">
        <v>1562</v>
      </c>
      <c r="AC958" s="127" t="s">
        <v>8968</v>
      </c>
      <c r="AD958" s="127" t="s">
        <v>1674</v>
      </c>
      <c r="AE958" s="126">
        <f>84-29</f>
        <v>55</v>
      </c>
      <c r="AF958" s="126">
        <f>48-11</f>
        <v>37</v>
      </c>
      <c r="AG958" s="132">
        <f>AG956-AG957</f>
        <v>532000</v>
      </c>
      <c r="AH958" s="132">
        <f>AH956-AH957</f>
        <v>280000</v>
      </c>
      <c r="AI958" s="132" t="s">
        <v>425</v>
      </c>
      <c r="AJ958" s="135" t="s">
        <v>276</v>
      </c>
      <c r="AK958" s="148">
        <f>AE958*1000/AG958</f>
        <v>0.10338345864661654</v>
      </c>
      <c r="AL958" s="135" t="s">
        <v>276</v>
      </c>
      <c r="AM958" s="135" t="s">
        <v>276</v>
      </c>
      <c r="AN958" s="135" t="s">
        <v>276</v>
      </c>
      <c r="AO958" s="148">
        <f t="shared" si="127"/>
        <v>0.13214285714285715</v>
      </c>
      <c r="AP958" s="135" t="s">
        <v>276</v>
      </c>
      <c r="AQ958" s="135" t="s">
        <v>276</v>
      </c>
      <c r="AR958" s="126" t="s">
        <v>269</v>
      </c>
      <c r="AS958" s="135" t="s">
        <v>276</v>
      </c>
      <c r="AT958" s="148">
        <f t="shared" si="128"/>
        <v>0.78236130867709808</v>
      </c>
      <c r="AU958" s="135" t="s">
        <v>276</v>
      </c>
      <c r="AV958" s="135" t="s">
        <v>276</v>
      </c>
      <c r="AW958" s="126" t="s">
        <v>276</v>
      </c>
      <c r="AX958" s="127" t="s">
        <v>282</v>
      </c>
      <c r="AY958" s="126" t="s">
        <v>98</v>
      </c>
      <c r="AZ958" s="126" t="s">
        <v>98</v>
      </c>
      <c r="BA958" s="126" t="s">
        <v>98</v>
      </c>
      <c r="BB958" s="126" t="s">
        <v>98</v>
      </c>
      <c r="BC958" s="127" t="s">
        <v>1029</v>
      </c>
      <c r="BD958" s="127"/>
      <c r="BE958" s="33" t="s">
        <v>100</v>
      </c>
      <c r="BF958" s="33" t="s">
        <v>98</v>
      </c>
    </row>
    <row r="959" spans="1:58" s="677" customFormat="1" ht="39" x14ac:dyDescent="0.3">
      <c r="A959" s="545">
        <v>330</v>
      </c>
      <c r="B959" s="545" t="s">
        <v>9034</v>
      </c>
      <c r="C959" s="546" t="s">
        <v>51</v>
      </c>
      <c r="D959" s="546" t="s">
        <v>9035</v>
      </c>
      <c r="E959" s="545" t="s">
        <v>36</v>
      </c>
      <c r="F959" s="546" t="s">
        <v>134</v>
      </c>
      <c r="G959" s="545" t="s">
        <v>225</v>
      </c>
      <c r="H959" s="545" t="s">
        <v>125</v>
      </c>
      <c r="I959" s="545" t="s">
        <v>114</v>
      </c>
      <c r="J959" s="546" t="s">
        <v>23</v>
      </c>
      <c r="K959" s="546" t="s">
        <v>276</v>
      </c>
      <c r="L959" s="546" t="s">
        <v>276</v>
      </c>
      <c r="M959" s="545" t="s">
        <v>14</v>
      </c>
      <c r="N959" s="547" t="s">
        <v>98</v>
      </c>
      <c r="O959" s="548" t="s">
        <v>207</v>
      </c>
      <c r="P959" s="711" t="s">
        <v>9036</v>
      </c>
      <c r="Q959" s="546" t="s">
        <v>766</v>
      </c>
      <c r="R959" s="546" t="s">
        <v>276</v>
      </c>
      <c r="S959" s="546" t="s">
        <v>276</v>
      </c>
      <c r="T959" s="711" t="s">
        <v>2331</v>
      </c>
      <c r="U959" s="550">
        <v>400</v>
      </c>
      <c r="V959" s="551">
        <v>399</v>
      </c>
      <c r="W959" s="545" t="s">
        <v>276</v>
      </c>
      <c r="X959" s="545" t="s">
        <v>276</v>
      </c>
      <c r="Y959" s="545">
        <v>0</v>
      </c>
      <c r="Z959" s="545" t="s">
        <v>98</v>
      </c>
      <c r="AA959" s="545">
        <v>0</v>
      </c>
      <c r="AB959" s="545" t="s">
        <v>98</v>
      </c>
      <c r="AC959" s="546" t="s">
        <v>9037</v>
      </c>
      <c r="AD959" s="546" t="s">
        <v>6547</v>
      </c>
      <c r="AE959" s="545">
        <v>50</v>
      </c>
      <c r="AF959" s="545">
        <v>29</v>
      </c>
      <c r="AG959" s="550">
        <v>400</v>
      </c>
      <c r="AH959" s="550">
        <v>399</v>
      </c>
      <c r="AI959" s="550" t="s">
        <v>292</v>
      </c>
      <c r="AJ959" s="565">
        <v>13</v>
      </c>
      <c r="AK959" s="554">
        <f>AE959*100/AG959</f>
        <v>12.5</v>
      </c>
      <c r="AL959" s="553" t="s">
        <v>276</v>
      </c>
      <c r="AM959" s="553" t="s">
        <v>276</v>
      </c>
      <c r="AN959" s="565">
        <v>7</v>
      </c>
      <c r="AO959" s="554">
        <f t="shared" ref="AO959:AO967" si="129">AF959*100/AH959</f>
        <v>7.2681704260651632</v>
      </c>
      <c r="AP959" s="553" t="s">
        <v>276</v>
      </c>
      <c r="AQ959" s="553" t="s">
        <v>276</v>
      </c>
      <c r="AR959" s="545" t="s">
        <v>268</v>
      </c>
      <c r="AS959" s="553" t="s">
        <v>276</v>
      </c>
      <c r="AT959" s="554">
        <f t="shared" si="128"/>
        <v>1.7198275862068966</v>
      </c>
      <c r="AU959" s="553" t="s">
        <v>276</v>
      </c>
      <c r="AV959" s="553" t="s">
        <v>276</v>
      </c>
      <c r="AW959" s="545" t="s">
        <v>276</v>
      </c>
      <c r="AX959" s="545" t="s">
        <v>282</v>
      </c>
      <c r="AY959" s="545" t="s">
        <v>98</v>
      </c>
      <c r="AZ959" s="545" t="s">
        <v>98</v>
      </c>
      <c r="BA959" s="545" t="s">
        <v>98</v>
      </c>
      <c r="BB959" s="545" t="s">
        <v>98</v>
      </c>
      <c r="BC959" s="546" t="s">
        <v>9038</v>
      </c>
      <c r="BD959" s="546"/>
      <c r="BE959" s="183" t="s">
        <v>100</v>
      </c>
      <c r="BF959" s="183" t="s">
        <v>98</v>
      </c>
    </row>
    <row r="960" spans="1:58" s="737" customFormat="1" ht="60.75" customHeight="1" x14ac:dyDescent="0.3">
      <c r="A960" s="701">
        <v>330</v>
      </c>
      <c r="B960" s="701" t="s">
        <v>9034</v>
      </c>
      <c r="C960" s="702" t="s">
        <v>51</v>
      </c>
      <c r="D960" s="702" t="s">
        <v>9039</v>
      </c>
      <c r="E960" s="701" t="s">
        <v>36</v>
      </c>
      <c r="F960" s="702" t="s">
        <v>134</v>
      </c>
      <c r="G960" s="701" t="s">
        <v>225</v>
      </c>
      <c r="H960" s="701" t="s">
        <v>125</v>
      </c>
      <c r="I960" s="701" t="s">
        <v>114</v>
      </c>
      <c r="J960" s="702" t="s">
        <v>24</v>
      </c>
      <c r="K960" s="702" t="s">
        <v>9040</v>
      </c>
      <c r="L960" s="702" t="s">
        <v>276</v>
      </c>
      <c r="M960" s="701" t="s">
        <v>14</v>
      </c>
      <c r="N960" s="703" t="s">
        <v>98</v>
      </c>
      <c r="O960" s="704" t="s">
        <v>207</v>
      </c>
      <c r="P960" s="712" t="s">
        <v>9036</v>
      </c>
      <c r="Q960" s="702" t="s">
        <v>766</v>
      </c>
      <c r="R960" s="702" t="s">
        <v>276</v>
      </c>
      <c r="S960" s="702" t="s">
        <v>276</v>
      </c>
      <c r="T960" s="712" t="s">
        <v>2331</v>
      </c>
      <c r="U960" s="707">
        <v>400</v>
      </c>
      <c r="V960" s="706">
        <v>399</v>
      </c>
      <c r="W960" s="701" t="s">
        <v>276</v>
      </c>
      <c r="X960" s="701" t="s">
        <v>276</v>
      </c>
      <c r="Y960" s="701">
        <v>0</v>
      </c>
      <c r="Z960" s="702" t="s">
        <v>9041</v>
      </c>
      <c r="AA960" s="701">
        <v>0</v>
      </c>
      <c r="AB960" s="702" t="s">
        <v>9041</v>
      </c>
      <c r="AC960" s="292" t="s">
        <v>11362</v>
      </c>
      <c r="AD960" s="702" t="s">
        <v>6547</v>
      </c>
      <c r="AE960" s="701">
        <v>1</v>
      </c>
      <c r="AF960" s="701">
        <v>1</v>
      </c>
      <c r="AG960" s="707">
        <v>400</v>
      </c>
      <c r="AH960" s="707">
        <v>399</v>
      </c>
      <c r="AI960" s="707" t="s">
        <v>292</v>
      </c>
      <c r="AJ960" s="736" t="s">
        <v>276</v>
      </c>
      <c r="AK960" s="709">
        <f>AE960*100/AG960</f>
        <v>0.25</v>
      </c>
      <c r="AL960" s="710" t="s">
        <v>276</v>
      </c>
      <c r="AM960" s="710" t="s">
        <v>276</v>
      </c>
      <c r="AN960" s="710" t="s">
        <v>276</v>
      </c>
      <c r="AO960" s="709">
        <f t="shared" si="129"/>
        <v>0.25062656641604009</v>
      </c>
      <c r="AP960" s="710" t="s">
        <v>276</v>
      </c>
      <c r="AQ960" s="710" t="s">
        <v>276</v>
      </c>
      <c r="AR960" s="701" t="s">
        <v>268</v>
      </c>
      <c r="AS960" s="710" t="s">
        <v>276</v>
      </c>
      <c r="AT960" s="709">
        <f t="shared" si="128"/>
        <v>0.99750000000000005</v>
      </c>
      <c r="AU960" s="710" t="s">
        <v>276</v>
      </c>
      <c r="AV960" s="710" t="s">
        <v>276</v>
      </c>
      <c r="AW960" s="701" t="s">
        <v>276</v>
      </c>
      <c r="AX960" s="701" t="s">
        <v>282</v>
      </c>
      <c r="AY960" s="701" t="s">
        <v>98</v>
      </c>
      <c r="AZ960" s="701" t="s">
        <v>98</v>
      </c>
      <c r="BA960" s="701" t="s">
        <v>98</v>
      </c>
      <c r="BB960" s="701" t="s">
        <v>98</v>
      </c>
      <c r="BC960" s="702" t="s">
        <v>9042</v>
      </c>
      <c r="BD960" s="702"/>
      <c r="BE960" s="183" t="s">
        <v>100</v>
      </c>
      <c r="BF960" s="183" t="s">
        <v>98</v>
      </c>
    </row>
    <row r="961" spans="1:58" s="737" customFormat="1" ht="66" customHeight="1" x14ac:dyDescent="0.3">
      <c r="A961" s="701">
        <v>330</v>
      </c>
      <c r="B961" s="701" t="s">
        <v>9034</v>
      </c>
      <c r="C961" s="702" t="s">
        <v>51</v>
      </c>
      <c r="D961" s="702" t="s">
        <v>9043</v>
      </c>
      <c r="E961" s="701" t="s">
        <v>36</v>
      </c>
      <c r="F961" s="702" t="s">
        <v>134</v>
      </c>
      <c r="G961" s="701" t="s">
        <v>225</v>
      </c>
      <c r="H961" s="701" t="s">
        <v>125</v>
      </c>
      <c r="I961" s="701" t="s">
        <v>114</v>
      </c>
      <c r="J961" s="702" t="s">
        <v>24</v>
      </c>
      <c r="K961" s="702" t="s">
        <v>9040</v>
      </c>
      <c r="L961" s="702" t="s">
        <v>276</v>
      </c>
      <c r="M961" s="701" t="s">
        <v>14</v>
      </c>
      <c r="N961" s="703" t="s">
        <v>98</v>
      </c>
      <c r="O961" s="704" t="s">
        <v>207</v>
      </c>
      <c r="P961" s="712" t="s">
        <v>9036</v>
      </c>
      <c r="Q961" s="702" t="s">
        <v>766</v>
      </c>
      <c r="R961" s="702" t="s">
        <v>276</v>
      </c>
      <c r="S961" s="702" t="s">
        <v>276</v>
      </c>
      <c r="T961" s="712" t="s">
        <v>2331</v>
      </c>
      <c r="U961" s="707">
        <v>400</v>
      </c>
      <c r="V961" s="706">
        <v>399</v>
      </c>
      <c r="W961" s="701" t="s">
        <v>276</v>
      </c>
      <c r="X961" s="701" t="s">
        <v>276</v>
      </c>
      <c r="Y961" s="701">
        <v>0</v>
      </c>
      <c r="Z961" s="702" t="s">
        <v>9041</v>
      </c>
      <c r="AA961" s="701">
        <v>0</v>
      </c>
      <c r="AB961" s="702" t="s">
        <v>9041</v>
      </c>
      <c r="AC961" s="292" t="s">
        <v>11363</v>
      </c>
      <c r="AD961" s="702" t="s">
        <v>6547</v>
      </c>
      <c r="AE961" s="701">
        <v>1</v>
      </c>
      <c r="AF961" s="701">
        <v>2</v>
      </c>
      <c r="AG961" s="707">
        <v>400</v>
      </c>
      <c r="AH961" s="707">
        <v>399</v>
      </c>
      <c r="AI961" s="707" t="s">
        <v>292</v>
      </c>
      <c r="AJ961" s="736" t="s">
        <v>276</v>
      </c>
      <c r="AK961" s="709">
        <f>AE961*100/AG961</f>
        <v>0.25</v>
      </c>
      <c r="AL961" s="710" t="s">
        <v>276</v>
      </c>
      <c r="AM961" s="710" t="s">
        <v>276</v>
      </c>
      <c r="AN961" s="710" t="s">
        <v>276</v>
      </c>
      <c r="AO961" s="709">
        <f>AF961*100/AH961</f>
        <v>0.50125313283208017</v>
      </c>
      <c r="AP961" s="710" t="s">
        <v>276</v>
      </c>
      <c r="AQ961" s="710" t="s">
        <v>276</v>
      </c>
      <c r="AR961" s="701" t="s">
        <v>268</v>
      </c>
      <c r="AS961" s="710" t="s">
        <v>276</v>
      </c>
      <c r="AT961" s="709">
        <f t="shared" si="128"/>
        <v>0.49875000000000003</v>
      </c>
      <c r="AU961" s="710" t="s">
        <v>276</v>
      </c>
      <c r="AV961" s="710" t="s">
        <v>276</v>
      </c>
      <c r="AW961" s="701" t="s">
        <v>276</v>
      </c>
      <c r="AX961" s="701" t="s">
        <v>282</v>
      </c>
      <c r="AY961" s="701" t="s">
        <v>98</v>
      </c>
      <c r="AZ961" s="701" t="s">
        <v>98</v>
      </c>
      <c r="BA961" s="701" t="s">
        <v>98</v>
      </c>
      <c r="BB961" s="701" t="s">
        <v>98</v>
      </c>
      <c r="BC961" s="702" t="s">
        <v>9042</v>
      </c>
      <c r="BD961" s="702"/>
      <c r="BE961" s="183" t="s">
        <v>100</v>
      </c>
      <c r="BF961" s="183" t="s">
        <v>98</v>
      </c>
    </row>
    <row r="962" spans="1:58" s="103" customFormat="1" ht="52" x14ac:dyDescent="0.3">
      <c r="A962" s="577">
        <v>311</v>
      </c>
      <c r="B962" s="578" t="s">
        <v>9044</v>
      </c>
      <c r="C962" s="578" t="s">
        <v>51</v>
      </c>
      <c r="D962" s="578" t="s">
        <v>9045</v>
      </c>
      <c r="E962" s="577" t="s">
        <v>36</v>
      </c>
      <c r="F962" s="578" t="s">
        <v>134</v>
      </c>
      <c r="G962" s="577" t="s">
        <v>225</v>
      </c>
      <c r="H962" s="577" t="s">
        <v>125</v>
      </c>
      <c r="I962" s="577" t="s">
        <v>114</v>
      </c>
      <c r="J962" s="578" t="s">
        <v>23</v>
      </c>
      <c r="K962" s="578" t="s">
        <v>9046</v>
      </c>
      <c r="L962" s="578" t="s">
        <v>9047</v>
      </c>
      <c r="M962" s="577" t="s">
        <v>14</v>
      </c>
      <c r="N962" s="579" t="s">
        <v>98</v>
      </c>
      <c r="O962" s="580" t="s">
        <v>207</v>
      </c>
      <c r="P962" s="717" t="s">
        <v>9048</v>
      </c>
      <c r="Q962" s="578" t="s">
        <v>770</v>
      </c>
      <c r="R962" s="578" t="s">
        <v>276</v>
      </c>
      <c r="S962" s="578" t="s">
        <v>276</v>
      </c>
      <c r="T962" s="717" t="s">
        <v>2331</v>
      </c>
      <c r="U962" s="582">
        <v>400</v>
      </c>
      <c r="V962" s="583">
        <v>399</v>
      </c>
      <c r="W962" s="577" t="s">
        <v>276</v>
      </c>
      <c r="X962" s="577" t="s">
        <v>276</v>
      </c>
      <c r="Y962" s="577">
        <v>0</v>
      </c>
      <c r="Z962" s="577" t="s">
        <v>98</v>
      </c>
      <c r="AA962" s="577">
        <v>0</v>
      </c>
      <c r="AB962" s="577" t="s">
        <v>98</v>
      </c>
      <c r="AC962" s="578" t="s">
        <v>9049</v>
      </c>
      <c r="AD962" s="578" t="s">
        <v>6547</v>
      </c>
      <c r="AE962" s="577">
        <v>55</v>
      </c>
      <c r="AF962" s="577">
        <v>35</v>
      </c>
      <c r="AG962" s="582">
        <v>400</v>
      </c>
      <c r="AH962" s="582">
        <v>399</v>
      </c>
      <c r="AI962" s="582" t="s">
        <v>292</v>
      </c>
      <c r="AJ962" s="588">
        <v>14</v>
      </c>
      <c r="AK962" s="586">
        <f t="shared" ref="AK962:AK967" si="130">AE962*100/AG962</f>
        <v>13.75</v>
      </c>
      <c r="AL962" s="585" t="s">
        <v>276</v>
      </c>
      <c r="AM962" s="585" t="s">
        <v>276</v>
      </c>
      <c r="AN962" s="588">
        <v>9</v>
      </c>
      <c r="AO962" s="586">
        <f t="shared" si="129"/>
        <v>8.7719298245614041</v>
      </c>
      <c r="AP962" s="585" t="s">
        <v>276</v>
      </c>
      <c r="AQ962" s="585" t="s">
        <v>276</v>
      </c>
      <c r="AR962" s="577" t="s">
        <v>268</v>
      </c>
      <c r="AS962" s="585">
        <v>1.57</v>
      </c>
      <c r="AT962" s="586">
        <f t="shared" si="128"/>
        <v>1.5674999999999999</v>
      </c>
      <c r="AU962" s="585">
        <v>1.03</v>
      </c>
      <c r="AV962" s="585">
        <v>2.4</v>
      </c>
      <c r="AW962" s="577">
        <v>0.02</v>
      </c>
      <c r="AX962" s="577" t="s">
        <v>282</v>
      </c>
      <c r="AY962" s="577" t="s">
        <v>98</v>
      </c>
      <c r="AZ962" s="577" t="s">
        <v>98</v>
      </c>
      <c r="BA962" s="577" t="s">
        <v>98</v>
      </c>
      <c r="BB962" s="577" t="s">
        <v>98</v>
      </c>
      <c r="BC962" s="578" t="s">
        <v>9050</v>
      </c>
      <c r="BD962" s="578"/>
      <c r="BE962" s="183" t="s">
        <v>100</v>
      </c>
      <c r="BF962" s="183" t="s">
        <v>98</v>
      </c>
    </row>
    <row r="963" spans="1:58" s="738" customFormat="1" ht="39" x14ac:dyDescent="0.3">
      <c r="A963" s="567">
        <v>311</v>
      </c>
      <c r="B963" s="568" t="s">
        <v>9044</v>
      </c>
      <c r="C963" s="568" t="s">
        <v>51</v>
      </c>
      <c r="D963" s="568" t="s">
        <v>9051</v>
      </c>
      <c r="E963" s="567" t="s">
        <v>36</v>
      </c>
      <c r="F963" s="568" t="s">
        <v>134</v>
      </c>
      <c r="G963" s="567" t="s">
        <v>225</v>
      </c>
      <c r="H963" s="567" t="s">
        <v>125</v>
      </c>
      <c r="I963" s="567" t="s">
        <v>113</v>
      </c>
      <c r="J963" s="568" t="s">
        <v>24</v>
      </c>
      <c r="K963" s="568" t="s">
        <v>9046</v>
      </c>
      <c r="L963" s="568" t="s">
        <v>9047</v>
      </c>
      <c r="M963" s="567" t="s">
        <v>14</v>
      </c>
      <c r="N963" s="569" t="s">
        <v>98</v>
      </c>
      <c r="O963" s="570" t="s">
        <v>207</v>
      </c>
      <c r="P963" s="719" t="s">
        <v>9052</v>
      </c>
      <c r="Q963" s="568" t="s">
        <v>779</v>
      </c>
      <c r="R963" s="568" t="s">
        <v>276</v>
      </c>
      <c r="S963" s="568" t="s">
        <v>276</v>
      </c>
      <c r="T963" s="719" t="s">
        <v>5401</v>
      </c>
      <c r="U963" s="572">
        <v>400</v>
      </c>
      <c r="V963" s="573">
        <v>399</v>
      </c>
      <c r="W963" s="567" t="s">
        <v>276</v>
      </c>
      <c r="X963" s="567" t="s">
        <v>276</v>
      </c>
      <c r="Y963" s="567">
        <v>0</v>
      </c>
      <c r="Z963" s="567" t="s">
        <v>98</v>
      </c>
      <c r="AA963" s="567">
        <v>0</v>
      </c>
      <c r="AB963" s="567" t="s">
        <v>98</v>
      </c>
      <c r="AC963" s="568" t="s">
        <v>9053</v>
      </c>
      <c r="AD963" s="568" t="s">
        <v>6547</v>
      </c>
      <c r="AE963" s="567">
        <v>1</v>
      </c>
      <c r="AF963" s="567">
        <v>3</v>
      </c>
      <c r="AG963" s="572">
        <v>400</v>
      </c>
      <c r="AH963" s="572">
        <v>399</v>
      </c>
      <c r="AI963" s="572" t="s">
        <v>292</v>
      </c>
      <c r="AJ963" s="587" t="s">
        <v>276</v>
      </c>
      <c r="AK963" s="576">
        <f t="shared" si="130"/>
        <v>0.25</v>
      </c>
      <c r="AL963" s="575" t="s">
        <v>276</v>
      </c>
      <c r="AM963" s="575" t="s">
        <v>276</v>
      </c>
      <c r="AN963" s="587" t="s">
        <v>276</v>
      </c>
      <c r="AO963" s="576">
        <f t="shared" si="129"/>
        <v>0.75187969924812026</v>
      </c>
      <c r="AP963" s="575" t="s">
        <v>276</v>
      </c>
      <c r="AQ963" s="575" t="s">
        <v>276</v>
      </c>
      <c r="AR963" s="567" t="s">
        <v>268</v>
      </c>
      <c r="AS963" s="575" t="s">
        <v>276</v>
      </c>
      <c r="AT963" s="576">
        <f t="shared" si="128"/>
        <v>0.33250000000000002</v>
      </c>
      <c r="AU963" s="575" t="s">
        <v>276</v>
      </c>
      <c r="AV963" s="575" t="s">
        <v>276</v>
      </c>
      <c r="AW963" s="567" t="s">
        <v>276</v>
      </c>
      <c r="AX963" s="567" t="s">
        <v>282</v>
      </c>
      <c r="AY963" s="567" t="s">
        <v>98</v>
      </c>
      <c r="AZ963" s="567" t="s">
        <v>98</v>
      </c>
      <c r="BA963" s="567" t="s">
        <v>98</v>
      </c>
      <c r="BB963" s="567" t="s">
        <v>98</v>
      </c>
      <c r="BC963" s="568" t="s">
        <v>763</v>
      </c>
      <c r="BD963" s="568"/>
      <c r="BE963" s="183" t="s">
        <v>100</v>
      </c>
      <c r="BF963" s="183" t="s">
        <v>98</v>
      </c>
    </row>
    <row r="964" spans="1:58" s="738" customFormat="1" ht="39" x14ac:dyDescent="0.3">
      <c r="A964" s="567">
        <v>311</v>
      </c>
      <c r="B964" s="568" t="s">
        <v>9044</v>
      </c>
      <c r="C964" s="568" t="s">
        <v>51</v>
      </c>
      <c r="D964" s="568" t="s">
        <v>9054</v>
      </c>
      <c r="E964" s="567" t="s">
        <v>36</v>
      </c>
      <c r="F964" s="568" t="s">
        <v>134</v>
      </c>
      <c r="G964" s="567" t="s">
        <v>225</v>
      </c>
      <c r="H964" s="567" t="s">
        <v>125</v>
      </c>
      <c r="I964" s="567" t="s">
        <v>114</v>
      </c>
      <c r="J964" s="568" t="s">
        <v>24</v>
      </c>
      <c r="K964" s="568" t="s">
        <v>9046</v>
      </c>
      <c r="L964" s="568" t="s">
        <v>9047</v>
      </c>
      <c r="M964" s="567" t="s">
        <v>14</v>
      </c>
      <c r="N964" s="569" t="s">
        <v>98</v>
      </c>
      <c r="O964" s="570" t="s">
        <v>207</v>
      </c>
      <c r="P964" s="719" t="s">
        <v>9055</v>
      </c>
      <c r="Q964" s="568" t="s">
        <v>776</v>
      </c>
      <c r="R964" s="568" t="s">
        <v>276</v>
      </c>
      <c r="S964" s="568" t="s">
        <v>276</v>
      </c>
      <c r="T964" s="719" t="s">
        <v>2331</v>
      </c>
      <c r="U964" s="572">
        <v>400</v>
      </c>
      <c r="V964" s="573">
        <v>399</v>
      </c>
      <c r="W964" s="567" t="s">
        <v>276</v>
      </c>
      <c r="X964" s="567" t="s">
        <v>276</v>
      </c>
      <c r="Y964" s="567">
        <v>0</v>
      </c>
      <c r="Z964" s="567" t="s">
        <v>98</v>
      </c>
      <c r="AA964" s="567">
        <v>0</v>
      </c>
      <c r="AB964" s="567" t="s">
        <v>98</v>
      </c>
      <c r="AC964" s="568" t="s">
        <v>9056</v>
      </c>
      <c r="AD964" s="568" t="s">
        <v>6547</v>
      </c>
      <c r="AE964" s="567">
        <v>1</v>
      </c>
      <c r="AF964" s="567">
        <v>3</v>
      </c>
      <c r="AG964" s="572">
        <v>400</v>
      </c>
      <c r="AH964" s="572">
        <v>399</v>
      </c>
      <c r="AI964" s="572" t="s">
        <v>292</v>
      </c>
      <c r="AJ964" s="587" t="s">
        <v>276</v>
      </c>
      <c r="AK964" s="576">
        <f t="shared" si="130"/>
        <v>0.25</v>
      </c>
      <c r="AL964" s="575" t="s">
        <v>276</v>
      </c>
      <c r="AM964" s="575" t="s">
        <v>276</v>
      </c>
      <c r="AN964" s="587" t="s">
        <v>276</v>
      </c>
      <c r="AO964" s="576">
        <f t="shared" si="129"/>
        <v>0.75187969924812026</v>
      </c>
      <c r="AP964" s="575" t="s">
        <v>276</v>
      </c>
      <c r="AQ964" s="575" t="s">
        <v>276</v>
      </c>
      <c r="AR964" s="567" t="s">
        <v>268</v>
      </c>
      <c r="AS964" s="575" t="s">
        <v>276</v>
      </c>
      <c r="AT964" s="576">
        <f t="shared" si="128"/>
        <v>0.33250000000000002</v>
      </c>
      <c r="AU964" s="575" t="s">
        <v>276</v>
      </c>
      <c r="AV964" s="575" t="s">
        <v>276</v>
      </c>
      <c r="AW964" s="567" t="s">
        <v>276</v>
      </c>
      <c r="AX964" s="567" t="s">
        <v>282</v>
      </c>
      <c r="AY964" s="567" t="s">
        <v>98</v>
      </c>
      <c r="AZ964" s="567" t="s">
        <v>98</v>
      </c>
      <c r="BA964" s="567" t="s">
        <v>98</v>
      </c>
      <c r="BB964" s="567" t="s">
        <v>98</v>
      </c>
      <c r="BC964" s="568" t="s">
        <v>763</v>
      </c>
      <c r="BD964" s="568"/>
      <c r="BE964" s="183" t="s">
        <v>99</v>
      </c>
      <c r="BF964" s="183" t="s">
        <v>11163</v>
      </c>
    </row>
    <row r="965" spans="1:58" s="738" customFormat="1" ht="39" x14ac:dyDescent="0.3">
      <c r="A965" s="567">
        <v>311</v>
      </c>
      <c r="B965" s="568" t="s">
        <v>9044</v>
      </c>
      <c r="C965" s="568" t="s">
        <v>51</v>
      </c>
      <c r="D965" s="568" t="s">
        <v>9057</v>
      </c>
      <c r="E965" s="567" t="s">
        <v>36</v>
      </c>
      <c r="F965" s="568" t="s">
        <v>134</v>
      </c>
      <c r="G965" s="567" t="s">
        <v>225</v>
      </c>
      <c r="H965" s="567" t="s">
        <v>125</v>
      </c>
      <c r="I965" s="567" t="s">
        <v>114</v>
      </c>
      <c r="J965" s="568" t="s">
        <v>24</v>
      </c>
      <c r="K965" s="568" t="s">
        <v>9046</v>
      </c>
      <c r="L965" s="568" t="s">
        <v>9047</v>
      </c>
      <c r="M965" s="567" t="s">
        <v>14</v>
      </c>
      <c r="N965" s="569" t="s">
        <v>98</v>
      </c>
      <c r="O965" s="570" t="s">
        <v>207</v>
      </c>
      <c r="P965" s="719" t="s">
        <v>9058</v>
      </c>
      <c r="Q965" s="568" t="s">
        <v>773</v>
      </c>
      <c r="R965" s="568" t="s">
        <v>276</v>
      </c>
      <c r="S965" s="568" t="s">
        <v>276</v>
      </c>
      <c r="T965" s="719" t="s">
        <v>2331</v>
      </c>
      <c r="U965" s="572">
        <v>400</v>
      </c>
      <c r="V965" s="573">
        <v>399</v>
      </c>
      <c r="W965" s="567" t="s">
        <v>276</v>
      </c>
      <c r="X965" s="567" t="s">
        <v>276</v>
      </c>
      <c r="Y965" s="567">
        <v>0</v>
      </c>
      <c r="Z965" s="567" t="s">
        <v>98</v>
      </c>
      <c r="AA965" s="567">
        <v>0</v>
      </c>
      <c r="AB965" s="567" t="s">
        <v>98</v>
      </c>
      <c r="AC965" s="568" t="s">
        <v>9059</v>
      </c>
      <c r="AD965" s="568" t="s">
        <v>6547</v>
      </c>
      <c r="AE965" s="567">
        <v>1</v>
      </c>
      <c r="AF965" s="567">
        <v>2</v>
      </c>
      <c r="AG965" s="572">
        <v>400</v>
      </c>
      <c r="AH965" s="572">
        <v>399</v>
      </c>
      <c r="AI965" s="572" t="s">
        <v>292</v>
      </c>
      <c r="AJ965" s="587" t="s">
        <v>276</v>
      </c>
      <c r="AK965" s="576">
        <f t="shared" si="130"/>
        <v>0.25</v>
      </c>
      <c r="AL965" s="575" t="s">
        <v>276</v>
      </c>
      <c r="AM965" s="575" t="s">
        <v>276</v>
      </c>
      <c r="AN965" s="587" t="s">
        <v>276</v>
      </c>
      <c r="AO965" s="576">
        <f t="shared" si="129"/>
        <v>0.50125313283208017</v>
      </c>
      <c r="AP965" s="575" t="s">
        <v>276</v>
      </c>
      <c r="AQ965" s="575" t="s">
        <v>276</v>
      </c>
      <c r="AR965" s="567" t="s">
        <v>268</v>
      </c>
      <c r="AS965" s="575" t="s">
        <v>276</v>
      </c>
      <c r="AT965" s="576">
        <f t="shared" si="128"/>
        <v>0.49875000000000003</v>
      </c>
      <c r="AU965" s="575" t="s">
        <v>276</v>
      </c>
      <c r="AV965" s="575" t="s">
        <v>276</v>
      </c>
      <c r="AW965" s="567" t="s">
        <v>276</v>
      </c>
      <c r="AX965" s="567" t="s">
        <v>282</v>
      </c>
      <c r="AY965" s="567" t="s">
        <v>98</v>
      </c>
      <c r="AZ965" s="567" t="s">
        <v>98</v>
      </c>
      <c r="BA965" s="567" t="s">
        <v>98</v>
      </c>
      <c r="BB965" s="567" t="s">
        <v>98</v>
      </c>
      <c r="BC965" s="568" t="s">
        <v>763</v>
      </c>
      <c r="BD965" s="568"/>
      <c r="BE965" s="183" t="s">
        <v>100</v>
      </c>
      <c r="BF965" s="183" t="s">
        <v>98</v>
      </c>
    </row>
    <row r="966" spans="1:58" s="742" customFormat="1" ht="52" x14ac:dyDescent="0.3">
      <c r="A966" s="721">
        <v>329</v>
      </c>
      <c r="B966" s="722" t="s">
        <v>9060</v>
      </c>
      <c r="C966" s="722" t="s">
        <v>51</v>
      </c>
      <c r="D966" s="722" t="s">
        <v>9061</v>
      </c>
      <c r="E966" s="721" t="s">
        <v>36</v>
      </c>
      <c r="F966" s="722" t="s">
        <v>134</v>
      </c>
      <c r="G966" s="721" t="s">
        <v>225</v>
      </c>
      <c r="H966" s="721" t="s">
        <v>125</v>
      </c>
      <c r="I966" s="721" t="s">
        <v>114</v>
      </c>
      <c r="J966" s="722" t="s">
        <v>23</v>
      </c>
      <c r="K966" s="722" t="s">
        <v>9046</v>
      </c>
      <c r="L966" s="722" t="s">
        <v>9047</v>
      </c>
      <c r="M966" s="721" t="s">
        <v>14</v>
      </c>
      <c r="N966" s="739" t="s">
        <v>98</v>
      </c>
      <c r="O966" s="740" t="s">
        <v>207</v>
      </c>
      <c r="P966" s="723" t="s">
        <v>9062</v>
      </c>
      <c r="Q966" s="722" t="s">
        <v>773</v>
      </c>
      <c r="R966" s="722" t="s">
        <v>276</v>
      </c>
      <c r="S966" s="722" t="s">
        <v>276</v>
      </c>
      <c r="T966" s="723" t="s">
        <v>2331</v>
      </c>
      <c r="U966" s="724">
        <v>400</v>
      </c>
      <c r="V966" s="725">
        <v>399</v>
      </c>
      <c r="W966" s="721" t="s">
        <v>276</v>
      </c>
      <c r="X966" s="721" t="s">
        <v>276</v>
      </c>
      <c r="Y966" s="721">
        <v>0</v>
      </c>
      <c r="Z966" s="721" t="s">
        <v>98</v>
      </c>
      <c r="AA966" s="721">
        <v>0</v>
      </c>
      <c r="AB966" s="721" t="s">
        <v>98</v>
      </c>
      <c r="AC966" s="722" t="s">
        <v>9063</v>
      </c>
      <c r="AD966" s="722" t="s">
        <v>6547</v>
      </c>
      <c r="AE966" s="721">
        <v>62</v>
      </c>
      <c r="AF966" s="721">
        <v>40</v>
      </c>
      <c r="AG966" s="724">
        <v>400</v>
      </c>
      <c r="AH966" s="724">
        <v>399</v>
      </c>
      <c r="AI966" s="724" t="s">
        <v>292</v>
      </c>
      <c r="AJ966" s="741">
        <v>16</v>
      </c>
      <c r="AK966" s="726">
        <f t="shared" si="130"/>
        <v>15.5</v>
      </c>
      <c r="AL966" s="727" t="s">
        <v>276</v>
      </c>
      <c r="AM966" s="727" t="s">
        <v>276</v>
      </c>
      <c r="AN966" s="741">
        <v>10</v>
      </c>
      <c r="AO966" s="726">
        <f t="shared" si="129"/>
        <v>10.025062656641603</v>
      </c>
      <c r="AP966" s="727" t="s">
        <v>276</v>
      </c>
      <c r="AQ966" s="727" t="s">
        <v>276</v>
      </c>
      <c r="AR966" s="721" t="s">
        <v>268</v>
      </c>
      <c r="AS966" s="727" t="s">
        <v>276</v>
      </c>
      <c r="AT966" s="726">
        <f t="shared" si="128"/>
        <v>1.5461250000000002</v>
      </c>
      <c r="AU966" s="727" t="s">
        <v>276</v>
      </c>
      <c r="AV966" s="727" t="s">
        <v>276</v>
      </c>
      <c r="AW966" s="727" t="s">
        <v>276</v>
      </c>
      <c r="AX966" s="721" t="s">
        <v>282</v>
      </c>
      <c r="AY966" s="721" t="s">
        <v>98</v>
      </c>
      <c r="AZ966" s="721" t="s">
        <v>98</v>
      </c>
      <c r="BA966" s="721" t="s">
        <v>98</v>
      </c>
      <c r="BB966" s="721" t="s">
        <v>98</v>
      </c>
      <c r="BC966" s="722" t="s">
        <v>9064</v>
      </c>
      <c r="BD966" s="722"/>
      <c r="BE966" s="183" t="s">
        <v>100</v>
      </c>
      <c r="BF966" s="183" t="s">
        <v>98</v>
      </c>
    </row>
    <row r="967" spans="1:58" s="202" customFormat="1" ht="52" x14ac:dyDescent="0.3">
      <c r="A967" s="589">
        <v>8568</v>
      </c>
      <c r="B967" s="590" t="s">
        <v>9065</v>
      </c>
      <c r="C967" s="590" t="s">
        <v>51</v>
      </c>
      <c r="D967" s="590" t="s">
        <v>9066</v>
      </c>
      <c r="E967" s="589" t="s">
        <v>36</v>
      </c>
      <c r="F967" s="590" t="s">
        <v>134</v>
      </c>
      <c r="G967" s="589" t="s">
        <v>225</v>
      </c>
      <c r="H967" s="589" t="s">
        <v>125</v>
      </c>
      <c r="I967" s="589" t="s">
        <v>113</v>
      </c>
      <c r="J967" s="590" t="s">
        <v>24</v>
      </c>
      <c r="K967" s="590" t="s">
        <v>9067</v>
      </c>
      <c r="L967" s="590" t="s">
        <v>9068</v>
      </c>
      <c r="M967" s="589" t="s">
        <v>14</v>
      </c>
      <c r="N967" s="591" t="s">
        <v>98</v>
      </c>
      <c r="O967" s="592" t="s">
        <v>207</v>
      </c>
      <c r="P967" s="593">
        <v>39813</v>
      </c>
      <c r="Q967" s="590" t="s">
        <v>9069</v>
      </c>
      <c r="R967" s="743" t="s">
        <v>9070</v>
      </c>
      <c r="S967" s="743" t="s">
        <v>9071</v>
      </c>
      <c r="T967" s="731" t="s">
        <v>5401</v>
      </c>
      <c r="U967" s="594">
        <v>400</v>
      </c>
      <c r="V967" s="595">
        <v>399</v>
      </c>
      <c r="W967" s="589" t="s">
        <v>276</v>
      </c>
      <c r="X967" s="589" t="s">
        <v>276</v>
      </c>
      <c r="Y967" s="589">
        <v>0</v>
      </c>
      <c r="Z967" s="589" t="s">
        <v>98</v>
      </c>
      <c r="AA967" s="589">
        <v>0</v>
      </c>
      <c r="AB967" s="589" t="s">
        <v>98</v>
      </c>
      <c r="AC967" s="590" t="s">
        <v>9072</v>
      </c>
      <c r="AD967" s="590" t="s">
        <v>6547</v>
      </c>
      <c r="AE967" s="589">
        <v>1</v>
      </c>
      <c r="AF967" s="589">
        <v>7</v>
      </c>
      <c r="AG967" s="594">
        <v>400</v>
      </c>
      <c r="AH967" s="594">
        <v>399</v>
      </c>
      <c r="AI967" s="594" t="s">
        <v>292</v>
      </c>
      <c r="AJ967" s="598">
        <v>0.25</v>
      </c>
      <c r="AK967" s="599">
        <f t="shared" si="130"/>
        <v>0.25</v>
      </c>
      <c r="AL967" s="598" t="s">
        <v>276</v>
      </c>
      <c r="AM967" s="598" t="s">
        <v>276</v>
      </c>
      <c r="AN967" s="598">
        <v>1.8</v>
      </c>
      <c r="AO967" s="599">
        <f t="shared" si="129"/>
        <v>1.7543859649122806</v>
      </c>
      <c r="AP967" s="598" t="s">
        <v>276</v>
      </c>
      <c r="AQ967" s="598" t="s">
        <v>276</v>
      </c>
      <c r="AR967" s="589" t="s">
        <v>268</v>
      </c>
      <c r="AS967" s="598" t="s">
        <v>276</v>
      </c>
      <c r="AT967" s="599">
        <f t="shared" si="128"/>
        <v>0.14250000000000002</v>
      </c>
      <c r="AU967" s="598" t="s">
        <v>276</v>
      </c>
      <c r="AV967" s="598" t="s">
        <v>276</v>
      </c>
      <c r="AW967" s="589" t="s">
        <v>276</v>
      </c>
      <c r="AX967" s="589" t="s">
        <v>282</v>
      </c>
      <c r="AY967" s="589" t="s">
        <v>98</v>
      </c>
      <c r="AZ967" s="589" t="s">
        <v>98</v>
      </c>
      <c r="BA967" s="589" t="s">
        <v>98</v>
      </c>
      <c r="BB967" s="589" t="s">
        <v>98</v>
      </c>
      <c r="BC967" s="590" t="s">
        <v>9073</v>
      </c>
      <c r="BD967" s="590"/>
      <c r="BE967" s="183" t="s">
        <v>100</v>
      </c>
      <c r="BF967" s="183" t="s">
        <v>98</v>
      </c>
    </row>
    <row r="968" spans="1:58" s="202" customFormat="1" ht="52" x14ac:dyDescent="0.3">
      <c r="A968" s="589">
        <v>8568</v>
      </c>
      <c r="B968" s="590" t="s">
        <v>9065</v>
      </c>
      <c r="C968" s="590" t="s">
        <v>51</v>
      </c>
      <c r="D968" s="590" t="s">
        <v>9074</v>
      </c>
      <c r="E968" s="589" t="s">
        <v>36</v>
      </c>
      <c r="F968" s="590" t="s">
        <v>134</v>
      </c>
      <c r="G968" s="589" t="s">
        <v>225</v>
      </c>
      <c r="H968" s="589" t="s">
        <v>125</v>
      </c>
      <c r="I968" s="589" t="s">
        <v>113</v>
      </c>
      <c r="J968" s="590" t="s">
        <v>24</v>
      </c>
      <c r="K968" s="590" t="s">
        <v>9067</v>
      </c>
      <c r="L968" s="590" t="s">
        <v>9068</v>
      </c>
      <c r="M968" s="589" t="s">
        <v>14</v>
      </c>
      <c r="N968" s="591" t="s">
        <v>98</v>
      </c>
      <c r="O968" s="592" t="s">
        <v>207</v>
      </c>
      <c r="P968" s="593">
        <v>39813</v>
      </c>
      <c r="Q968" s="590" t="s">
        <v>9069</v>
      </c>
      <c r="R968" s="743" t="s">
        <v>9070</v>
      </c>
      <c r="S968" s="743" t="s">
        <v>9071</v>
      </c>
      <c r="T968" s="731" t="s">
        <v>5401</v>
      </c>
      <c r="U968" s="594">
        <v>400</v>
      </c>
      <c r="V968" s="595">
        <v>399</v>
      </c>
      <c r="W968" s="589" t="s">
        <v>276</v>
      </c>
      <c r="X968" s="589" t="s">
        <v>276</v>
      </c>
      <c r="Y968" s="589">
        <v>0</v>
      </c>
      <c r="Z968" s="589" t="s">
        <v>98</v>
      </c>
      <c r="AA968" s="589">
        <v>0</v>
      </c>
      <c r="AB968" s="589" t="s">
        <v>98</v>
      </c>
      <c r="AC968" s="590" t="s">
        <v>9072</v>
      </c>
      <c r="AD968" s="590" t="s">
        <v>9075</v>
      </c>
      <c r="AE968" s="589">
        <v>1</v>
      </c>
      <c r="AF968" s="589">
        <v>7</v>
      </c>
      <c r="AG968" s="744">
        <v>8441</v>
      </c>
      <c r="AH968" s="744">
        <v>8996.7000000000007</v>
      </c>
      <c r="AI968" s="595" t="s">
        <v>1019</v>
      </c>
      <c r="AJ968" s="600">
        <v>11.8</v>
      </c>
      <c r="AK968" s="599">
        <f>AE968*100000/AG968</f>
        <v>11.846937566639024</v>
      </c>
      <c r="AL968" s="598" t="s">
        <v>276</v>
      </c>
      <c r="AM968" s="598" t="s">
        <v>276</v>
      </c>
      <c r="AN968" s="600">
        <v>77.8</v>
      </c>
      <c r="AO968" s="599">
        <f>AF968*100000/AH968</f>
        <v>77.80630675692197</v>
      </c>
      <c r="AP968" s="598" t="s">
        <v>276</v>
      </c>
      <c r="AQ968" s="598" t="s">
        <v>276</v>
      </c>
      <c r="AR968" s="589" t="s">
        <v>270</v>
      </c>
      <c r="AS968" s="598">
        <v>0.16</v>
      </c>
      <c r="AT968" s="599" t="s">
        <v>98</v>
      </c>
      <c r="AU968" s="598">
        <v>0.02</v>
      </c>
      <c r="AV968" s="598">
        <v>1.28</v>
      </c>
      <c r="AW968" s="589">
        <v>0.08</v>
      </c>
      <c r="AX968" s="589" t="s">
        <v>282</v>
      </c>
      <c r="AY968" s="589" t="s">
        <v>98</v>
      </c>
      <c r="AZ968" s="589" t="s">
        <v>98</v>
      </c>
      <c r="BA968" s="589" t="s">
        <v>98</v>
      </c>
      <c r="BB968" s="589" t="s">
        <v>98</v>
      </c>
      <c r="BC968" s="590" t="s">
        <v>9076</v>
      </c>
      <c r="BD968" s="590"/>
      <c r="BE968" s="183" t="s">
        <v>100</v>
      </c>
      <c r="BF968" s="183" t="s">
        <v>98</v>
      </c>
    </row>
    <row r="969" spans="1:58" s="339" customFormat="1" ht="39" x14ac:dyDescent="0.3">
      <c r="A969" s="601">
        <v>8568</v>
      </c>
      <c r="B969" s="602" t="s">
        <v>9065</v>
      </c>
      <c r="C969" s="602" t="s">
        <v>51</v>
      </c>
      <c r="D969" s="602" t="s">
        <v>9077</v>
      </c>
      <c r="E969" s="601" t="s">
        <v>36</v>
      </c>
      <c r="F969" s="602" t="s">
        <v>134</v>
      </c>
      <c r="G969" s="601" t="s">
        <v>225</v>
      </c>
      <c r="H969" s="601" t="s">
        <v>125</v>
      </c>
      <c r="I969" s="601" t="s">
        <v>113</v>
      </c>
      <c r="J969" s="602" t="s">
        <v>23</v>
      </c>
      <c r="K969" s="602" t="s">
        <v>9067</v>
      </c>
      <c r="L969" s="602" t="s">
        <v>9068</v>
      </c>
      <c r="M969" s="601" t="s">
        <v>14</v>
      </c>
      <c r="N969" s="603" t="s">
        <v>98</v>
      </c>
      <c r="O969" s="604" t="s">
        <v>207</v>
      </c>
      <c r="P969" s="605">
        <v>39813</v>
      </c>
      <c r="Q969" s="602" t="s">
        <v>9069</v>
      </c>
      <c r="R969" s="734" t="s">
        <v>9070</v>
      </c>
      <c r="S969" s="734" t="s">
        <v>9071</v>
      </c>
      <c r="T969" s="729" t="s">
        <v>5401</v>
      </c>
      <c r="U969" s="606">
        <v>400</v>
      </c>
      <c r="V969" s="607">
        <v>399</v>
      </c>
      <c r="W969" s="601" t="s">
        <v>276</v>
      </c>
      <c r="X969" s="601" t="s">
        <v>276</v>
      </c>
      <c r="Y969" s="601">
        <v>0</v>
      </c>
      <c r="Z969" s="601" t="s">
        <v>98</v>
      </c>
      <c r="AA969" s="601">
        <v>0</v>
      </c>
      <c r="AB969" s="601" t="s">
        <v>98</v>
      </c>
      <c r="AC969" s="602" t="s">
        <v>9078</v>
      </c>
      <c r="AD969" s="602" t="s">
        <v>6547</v>
      </c>
      <c r="AE969" s="601">
        <v>188</v>
      </c>
      <c r="AF969" s="601">
        <v>151</v>
      </c>
      <c r="AG969" s="606">
        <v>400</v>
      </c>
      <c r="AH969" s="606">
        <v>399</v>
      </c>
      <c r="AI969" s="606" t="s">
        <v>292</v>
      </c>
      <c r="AJ969" s="745">
        <v>47</v>
      </c>
      <c r="AK969" s="611">
        <f>AE969*100/AG969</f>
        <v>47</v>
      </c>
      <c r="AL969" s="610" t="s">
        <v>276</v>
      </c>
      <c r="AM969" s="610" t="s">
        <v>276</v>
      </c>
      <c r="AN969" s="745">
        <v>38</v>
      </c>
      <c r="AO969" s="611">
        <f>AF969*100/AH969</f>
        <v>37.844611528822057</v>
      </c>
      <c r="AP969" s="610" t="s">
        <v>276</v>
      </c>
      <c r="AQ969" s="610" t="s">
        <v>276</v>
      </c>
      <c r="AR969" s="601" t="s">
        <v>268</v>
      </c>
      <c r="AS969" s="610" t="s">
        <v>276</v>
      </c>
      <c r="AT969" s="611">
        <f>AK969/AO969</f>
        <v>1.2419205298013245</v>
      </c>
      <c r="AU969" s="610" t="s">
        <v>276</v>
      </c>
      <c r="AV969" s="610" t="s">
        <v>276</v>
      </c>
      <c r="AW969" s="601" t="s">
        <v>276</v>
      </c>
      <c r="AX969" s="601" t="s">
        <v>282</v>
      </c>
      <c r="AY969" s="601" t="s">
        <v>98</v>
      </c>
      <c r="AZ969" s="601" t="s">
        <v>98</v>
      </c>
      <c r="BA969" s="601" t="s">
        <v>98</v>
      </c>
      <c r="BB969" s="601" t="s">
        <v>98</v>
      </c>
      <c r="BC969" s="602" t="s">
        <v>9079</v>
      </c>
      <c r="BD969" s="602"/>
      <c r="BE969" s="183" t="s">
        <v>100</v>
      </c>
      <c r="BF969" s="183" t="s">
        <v>98</v>
      </c>
    </row>
    <row r="970" spans="1:58" s="339" customFormat="1" ht="52" x14ac:dyDescent="0.3">
      <c r="A970" s="601">
        <v>8568</v>
      </c>
      <c r="B970" s="602" t="s">
        <v>9065</v>
      </c>
      <c r="C970" s="602" t="s">
        <v>51</v>
      </c>
      <c r="D970" s="602" t="s">
        <v>9080</v>
      </c>
      <c r="E970" s="601" t="s">
        <v>36</v>
      </c>
      <c r="F970" s="602" t="s">
        <v>134</v>
      </c>
      <c r="G970" s="601" t="s">
        <v>225</v>
      </c>
      <c r="H970" s="601" t="s">
        <v>125</v>
      </c>
      <c r="I970" s="601" t="s">
        <v>113</v>
      </c>
      <c r="J970" s="602" t="s">
        <v>23</v>
      </c>
      <c r="K970" s="602" t="s">
        <v>9067</v>
      </c>
      <c r="L970" s="602" t="s">
        <v>9068</v>
      </c>
      <c r="M970" s="601" t="s">
        <v>14</v>
      </c>
      <c r="N970" s="603" t="s">
        <v>98</v>
      </c>
      <c r="O970" s="604" t="s">
        <v>207</v>
      </c>
      <c r="P970" s="605">
        <v>39813</v>
      </c>
      <c r="Q970" s="602" t="s">
        <v>9069</v>
      </c>
      <c r="R970" s="734" t="s">
        <v>9070</v>
      </c>
      <c r="S970" s="734" t="s">
        <v>9071</v>
      </c>
      <c r="T970" s="729" t="s">
        <v>5401</v>
      </c>
      <c r="U970" s="606">
        <v>400</v>
      </c>
      <c r="V970" s="607">
        <v>399</v>
      </c>
      <c r="W970" s="601" t="s">
        <v>276</v>
      </c>
      <c r="X970" s="601" t="s">
        <v>276</v>
      </c>
      <c r="Y970" s="601">
        <v>0</v>
      </c>
      <c r="Z970" s="601" t="s">
        <v>98</v>
      </c>
      <c r="AA970" s="601">
        <v>0</v>
      </c>
      <c r="AB970" s="601" t="s">
        <v>98</v>
      </c>
      <c r="AC970" s="602" t="s">
        <v>9078</v>
      </c>
      <c r="AD970" s="602" t="s">
        <v>9075</v>
      </c>
      <c r="AE970" s="601">
        <v>188</v>
      </c>
      <c r="AF970" s="601">
        <v>151</v>
      </c>
      <c r="AG970" s="746">
        <v>8441</v>
      </c>
      <c r="AH970" s="746">
        <v>8996.7000000000007</v>
      </c>
      <c r="AI970" s="607" t="s">
        <v>1019</v>
      </c>
      <c r="AJ970" s="745">
        <v>2227</v>
      </c>
      <c r="AK970" s="611">
        <f>AE970*100000/AG970</f>
        <v>2227.2242625281365</v>
      </c>
      <c r="AL970" s="610" t="s">
        <v>276</v>
      </c>
      <c r="AM970" s="610" t="s">
        <v>276</v>
      </c>
      <c r="AN970" s="745">
        <v>1678</v>
      </c>
      <c r="AO970" s="611">
        <f>AF970*100000/AH970</f>
        <v>1678.3931886136027</v>
      </c>
      <c r="AP970" s="610" t="s">
        <v>276</v>
      </c>
      <c r="AQ970" s="610" t="s">
        <v>276</v>
      </c>
      <c r="AR970" s="601" t="s">
        <v>270</v>
      </c>
      <c r="AS970" s="610">
        <v>1.37</v>
      </c>
      <c r="AT970" s="611" t="s">
        <v>98</v>
      </c>
      <c r="AU970" s="610">
        <v>1.1000000000000001</v>
      </c>
      <c r="AV970" s="610">
        <v>1.7</v>
      </c>
      <c r="AW970" s="601">
        <v>4.0000000000000001E-3</v>
      </c>
      <c r="AX970" s="601" t="s">
        <v>282</v>
      </c>
      <c r="AY970" s="601" t="s">
        <v>98</v>
      </c>
      <c r="AZ970" s="601" t="s">
        <v>98</v>
      </c>
      <c r="BA970" s="601" t="s">
        <v>98</v>
      </c>
      <c r="BB970" s="601" t="s">
        <v>98</v>
      </c>
      <c r="BC970" s="602" t="s">
        <v>9081</v>
      </c>
      <c r="BD970" s="602"/>
      <c r="BE970" s="183" t="s">
        <v>100</v>
      </c>
      <c r="BF970" s="183" t="s">
        <v>98</v>
      </c>
    </row>
    <row r="971" spans="1:58" s="202" customFormat="1" ht="52" x14ac:dyDescent="0.3">
      <c r="A971" s="589">
        <v>8568</v>
      </c>
      <c r="B971" s="590" t="s">
        <v>9065</v>
      </c>
      <c r="C971" s="590" t="s">
        <v>51</v>
      </c>
      <c r="D971" s="590" t="s">
        <v>9082</v>
      </c>
      <c r="E971" s="589" t="s">
        <v>36</v>
      </c>
      <c r="F971" s="590" t="s">
        <v>134</v>
      </c>
      <c r="G971" s="589" t="s">
        <v>225</v>
      </c>
      <c r="H971" s="589" t="s">
        <v>125</v>
      </c>
      <c r="I971" s="589" t="s">
        <v>114</v>
      </c>
      <c r="J971" s="590" t="s">
        <v>23</v>
      </c>
      <c r="K971" s="590" t="s">
        <v>9067</v>
      </c>
      <c r="L971" s="590" t="s">
        <v>9068</v>
      </c>
      <c r="M971" s="589" t="s">
        <v>14</v>
      </c>
      <c r="N971" s="591" t="s">
        <v>98</v>
      </c>
      <c r="O971" s="592" t="s">
        <v>207</v>
      </c>
      <c r="P971" s="593">
        <v>39813</v>
      </c>
      <c r="Q971" s="590" t="s">
        <v>776</v>
      </c>
      <c r="R971" s="590" t="s">
        <v>276</v>
      </c>
      <c r="S971" s="590" t="s">
        <v>276</v>
      </c>
      <c r="T971" s="731" t="s">
        <v>2331</v>
      </c>
      <c r="U971" s="594">
        <v>400</v>
      </c>
      <c r="V971" s="595">
        <v>399</v>
      </c>
      <c r="W971" s="589" t="s">
        <v>276</v>
      </c>
      <c r="X971" s="589" t="s">
        <v>276</v>
      </c>
      <c r="Y971" s="589">
        <v>0</v>
      </c>
      <c r="Z971" s="589" t="s">
        <v>98</v>
      </c>
      <c r="AA971" s="589">
        <v>0</v>
      </c>
      <c r="AB971" s="589" t="s">
        <v>98</v>
      </c>
      <c r="AC971" s="590" t="s">
        <v>9083</v>
      </c>
      <c r="AD971" s="590" t="s">
        <v>9084</v>
      </c>
      <c r="AE971" s="589" t="s">
        <v>276</v>
      </c>
      <c r="AF971" s="589" t="s">
        <v>276</v>
      </c>
      <c r="AG971" s="594" t="s">
        <v>276</v>
      </c>
      <c r="AH971" s="594" t="s">
        <v>276</v>
      </c>
      <c r="AI971" s="595" t="s">
        <v>1019</v>
      </c>
      <c r="AJ971" s="598" t="s">
        <v>276</v>
      </c>
      <c r="AK971" s="599" t="s">
        <v>98</v>
      </c>
      <c r="AL971" s="598" t="s">
        <v>276</v>
      </c>
      <c r="AM971" s="598" t="s">
        <v>276</v>
      </c>
      <c r="AN971" s="598" t="s">
        <v>276</v>
      </c>
      <c r="AO971" s="599" t="s">
        <v>98</v>
      </c>
      <c r="AP971" s="598" t="s">
        <v>276</v>
      </c>
      <c r="AQ971" s="598" t="s">
        <v>276</v>
      </c>
      <c r="AR971" s="589" t="s">
        <v>270</v>
      </c>
      <c r="AS971" s="598">
        <v>1.68</v>
      </c>
      <c r="AT971" s="599" t="s">
        <v>98</v>
      </c>
      <c r="AU971" s="598">
        <v>1.1200000000000001</v>
      </c>
      <c r="AV971" s="598">
        <v>1.52</v>
      </c>
      <c r="AW971" s="589">
        <v>0.04</v>
      </c>
      <c r="AX971" s="589" t="s">
        <v>282</v>
      </c>
      <c r="AY971" s="589" t="s">
        <v>98</v>
      </c>
      <c r="AZ971" s="589" t="s">
        <v>98</v>
      </c>
      <c r="BA971" s="589" t="s">
        <v>98</v>
      </c>
      <c r="BB971" s="589" t="s">
        <v>98</v>
      </c>
      <c r="BC971" s="590" t="s">
        <v>9085</v>
      </c>
      <c r="BD971" s="590"/>
      <c r="BE971" s="183" t="s">
        <v>100</v>
      </c>
      <c r="BF971" s="183" t="s">
        <v>98</v>
      </c>
    </row>
    <row r="972" spans="1:58" s="103" customFormat="1" ht="117" x14ac:dyDescent="0.3">
      <c r="A972" s="94">
        <v>4570</v>
      </c>
      <c r="B972" s="94" t="s">
        <v>9147</v>
      </c>
      <c r="C972" s="95" t="s">
        <v>9148</v>
      </c>
      <c r="D972" s="95" t="s">
        <v>9149</v>
      </c>
      <c r="E972" s="94" t="s">
        <v>35</v>
      </c>
      <c r="F972" s="95" t="s">
        <v>130</v>
      </c>
      <c r="G972" s="94" t="s">
        <v>225</v>
      </c>
      <c r="H972" s="94" t="s">
        <v>125</v>
      </c>
      <c r="I972" s="94" t="s">
        <v>114</v>
      </c>
      <c r="J972" s="95" t="s">
        <v>24</v>
      </c>
      <c r="K972" s="95" t="s">
        <v>9150</v>
      </c>
      <c r="L972" s="95" t="s">
        <v>9151</v>
      </c>
      <c r="M972" s="94" t="s">
        <v>14</v>
      </c>
      <c r="N972" s="144" t="s">
        <v>98</v>
      </c>
      <c r="O972" s="96" t="s">
        <v>207</v>
      </c>
      <c r="P972" s="97">
        <v>43830</v>
      </c>
      <c r="Q972" s="95" t="s">
        <v>276</v>
      </c>
      <c r="R972" s="95" t="s">
        <v>9152</v>
      </c>
      <c r="S972" s="95" t="s">
        <v>9153</v>
      </c>
      <c r="T972" s="95">
        <v>3</v>
      </c>
      <c r="U972" s="98">
        <v>55843</v>
      </c>
      <c r="V972" s="99">
        <v>59447</v>
      </c>
      <c r="W972" s="94" t="s">
        <v>276</v>
      </c>
      <c r="X972" s="94" t="s">
        <v>276</v>
      </c>
      <c r="Y972" s="94" t="s">
        <v>276</v>
      </c>
      <c r="Z972" s="94" t="s">
        <v>276</v>
      </c>
      <c r="AA972" s="94" t="s">
        <v>276</v>
      </c>
      <c r="AB972" s="94" t="s">
        <v>276</v>
      </c>
      <c r="AC972" s="95" t="s">
        <v>9154</v>
      </c>
      <c r="AD972" s="95" t="s">
        <v>9155</v>
      </c>
      <c r="AE972" s="94">
        <v>75</v>
      </c>
      <c r="AF972" s="94">
        <v>78</v>
      </c>
      <c r="AG972" s="98">
        <v>687215</v>
      </c>
      <c r="AH972" s="98">
        <v>734925</v>
      </c>
      <c r="AI972" s="99" t="s">
        <v>1019</v>
      </c>
      <c r="AJ972" s="100">
        <v>10.9</v>
      </c>
      <c r="AK972" s="101">
        <f>AE972*100000/AG972</f>
        <v>10.913615098622701</v>
      </c>
      <c r="AL972" s="102" t="s">
        <v>276</v>
      </c>
      <c r="AM972" s="102" t="s">
        <v>276</v>
      </c>
      <c r="AN972" s="100">
        <v>10.6</v>
      </c>
      <c r="AO972" s="101">
        <f>AF972*100000/AH972</f>
        <v>10.613327890601083</v>
      </c>
      <c r="AP972" s="102" t="s">
        <v>276</v>
      </c>
      <c r="AQ972" s="102" t="s">
        <v>276</v>
      </c>
      <c r="AR972" s="94" t="s">
        <v>269</v>
      </c>
      <c r="AS972" s="102" t="s">
        <v>276</v>
      </c>
      <c r="AT972" s="102">
        <f>AK972/AO972</f>
        <v>1.0282934072250369</v>
      </c>
      <c r="AU972" s="102" t="s">
        <v>276</v>
      </c>
      <c r="AV972" s="102" t="s">
        <v>276</v>
      </c>
      <c r="AW972" s="94" t="s">
        <v>276</v>
      </c>
      <c r="AX972" s="95" t="s">
        <v>9156</v>
      </c>
      <c r="AY972" s="94">
        <v>1.08</v>
      </c>
      <c r="AZ972" s="94">
        <v>0.76</v>
      </c>
      <c r="BA972" s="94">
        <v>1.53</v>
      </c>
      <c r="BB972" s="94" t="s">
        <v>276</v>
      </c>
      <c r="BC972" s="95" t="s">
        <v>9157</v>
      </c>
      <c r="BD972" s="95" t="s">
        <v>11450</v>
      </c>
      <c r="BE972" s="33" t="s">
        <v>99</v>
      </c>
      <c r="BF972" s="33" t="s">
        <v>11162</v>
      </c>
    </row>
    <row r="973" spans="1:58" s="103" customFormat="1" ht="117" x14ac:dyDescent="0.3">
      <c r="A973" s="94">
        <v>4570</v>
      </c>
      <c r="B973" s="94" t="s">
        <v>9147</v>
      </c>
      <c r="C973" s="95" t="s">
        <v>9148</v>
      </c>
      <c r="D973" s="95" t="s">
        <v>9158</v>
      </c>
      <c r="E973" s="94" t="s">
        <v>35</v>
      </c>
      <c r="F973" s="95" t="s">
        <v>130</v>
      </c>
      <c r="G973" s="94" t="s">
        <v>225</v>
      </c>
      <c r="H973" s="94" t="s">
        <v>125</v>
      </c>
      <c r="I973" s="94" t="s">
        <v>114</v>
      </c>
      <c r="J973" s="95" t="s">
        <v>24</v>
      </c>
      <c r="K973" s="95" t="s">
        <v>9150</v>
      </c>
      <c r="L973" s="95" t="s">
        <v>9151</v>
      </c>
      <c r="M973" s="94" t="s">
        <v>14</v>
      </c>
      <c r="N973" s="144" t="s">
        <v>98</v>
      </c>
      <c r="O973" s="96" t="s">
        <v>207</v>
      </c>
      <c r="P973" s="97">
        <v>43830</v>
      </c>
      <c r="Q973" s="95" t="s">
        <v>276</v>
      </c>
      <c r="R973" s="95" t="s">
        <v>9152</v>
      </c>
      <c r="S973" s="95" t="s">
        <v>9153</v>
      </c>
      <c r="T973" s="95">
        <v>3</v>
      </c>
      <c r="U973" s="98">
        <v>55843</v>
      </c>
      <c r="V973" s="99">
        <v>59447</v>
      </c>
      <c r="W973" s="94" t="s">
        <v>276</v>
      </c>
      <c r="X973" s="94" t="s">
        <v>276</v>
      </c>
      <c r="Y973" s="94" t="s">
        <v>276</v>
      </c>
      <c r="Z973" s="94" t="s">
        <v>276</v>
      </c>
      <c r="AA973" s="94" t="s">
        <v>276</v>
      </c>
      <c r="AB973" s="94" t="s">
        <v>276</v>
      </c>
      <c r="AC973" s="95" t="s">
        <v>9154</v>
      </c>
      <c r="AD973" s="95" t="s">
        <v>280</v>
      </c>
      <c r="AE973" s="94">
        <v>75</v>
      </c>
      <c r="AF973" s="94">
        <v>78</v>
      </c>
      <c r="AG973" s="98">
        <v>55843</v>
      </c>
      <c r="AH973" s="98">
        <v>59447</v>
      </c>
      <c r="AI973" s="99" t="s">
        <v>281</v>
      </c>
      <c r="AJ973" s="100" t="s">
        <v>276</v>
      </c>
      <c r="AK973" s="101">
        <f>AE973*1000/AG973</f>
        <v>1.3430510538473936</v>
      </c>
      <c r="AL973" s="102" t="s">
        <v>276</v>
      </c>
      <c r="AM973" s="102" t="s">
        <v>276</v>
      </c>
      <c r="AN973" s="100" t="s">
        <v>276</v>
      </c>
      <c r="AO973" s="101">
        <f>AF973*1000/AH973</f>
        <v>1.3120931249684593</v>
      </c>
      <c r="AP973" s="102" t="s">
        <v>276</v>
      </c>
      <c r="AQ973" s="102" t="s">
        <v>276</v>
      </c>
      <c r="AR973" s="94" t="s">
        <v>268</v>
      </c>
      <c r="AS973" s="102" t="s">
        <v>276</v>
      </c>
      <c r="AT973" s="102">
        <f>AK973/AO973</f>
        <v>1.0235943076675129</v>
      </c>
      <c r="AU973" s="102" t="s">
        <v>276</v>
      </c>
      <c r="AV973" s="102" t="s">
        <v>276</v>
      </c>
      <c r="AW973" s="94" t="s">
        <v>276</v>
      </c>
      <c r="AX973" s="95" t="s">
        <v>282</v>
      </c>
      <c r="AY973" s="94" t="s">
        <v>276</v>
      </c>
      <c r="AZ973" s="94" t="s">
        <v>276</v>
      </c>
      <c r="BA973" s="94" t="s">
        <v>276</v>
      </c>
      <c r="BB973" s="94" t="s">
        <v>276</v>
      </c>
      <c r="BC973" s="95" t="s">
        <v>9159</v>
      </c>
      <c r="BD973" s="95" t="s">
        <v>11450</v>
      </c>
      <c r="BE973" s="33" t="s">
        <v>99</v>
      </c>
      <c r="BF973" s="33" t="s">
        <v>11162</v>
      </c>
    </row>
    <row r="974" spans="1:58" s="208" customFormat="1" ht="117" x14ac:dyDescent="0.3">
      <c r="A974" s="112">
        <v>4570</v>
      </c>
      <c r="B974" s="112" t="s">
        <v>9147</v>
      </c>
      <c r="C974" s="113" t="s">
        <v>9148</v>
      </c>
      <c r="D974" s="113" t="s">
        <v>9160</v>
      </c>
      <c r="E974" s="112" t="s">
        <v>35</v>
      </c>
      <c r="F974" s="113" t="s">
        <v>130</v>
      </c>
      <c r="G974" s="112" t="s">
        <v>225</v>
      </c>
      <c r="H974" s="112" t="s">
        <v>125</v>
      </c>
      <c r="I974" s="112" t="s">
        <v>114</v>
      </c>
      <c r="J974" s="113" t="s">
        <v>23</v>
      </c>
      <c r="K974" s="113" t="s">
        <v>9150</v>
      </c>
      <c r="L974" s="113" t="s">
        <v>9151</v>
      </c>
      <c r="M974" s="112" t="s">
        <v>14</v>
      </c>
      <c r="N974" s="204" t="s">
        <v>98</v>
      </c>
      <c r="O974" s="117" t="s">
        <v>207</v>
      </c>
      <c r="P974" s="205">
        <v>43830</v>
      </c>
      <c r="Q974" s="113" t="s">
        <v>276</v>
      </c>
      <c r="R974" s="113" t="s">
        <v>9152</v>
      </c>
      <c r="S974" s="113" t="s">
        <v>9153</v>
      </c>
      <c r="T974" s="113">
        <v>3</v>
      </c>
      <c r="U974" s="118">
        <v>55843</v>
      </c>
      <c r="V974" s="119">
        <v>59447</v>
      </c>
      <c r="W974" s="112" t="s">
        <v>276</v>
      </c>
      <c r="X974" s="112" t="s">
        <v>276</v>
      </c>
      <c r="Y974" s="112" t="s">
        <v>276</v>
      </c>
      <c r="Z974" s="112" t="s">
        <v>276</v>
      </c>
      <c r="AA974" s="112" t="s">
        <v>276</v>
      </c>
      <c r="AB974" s="112" t="s">
        <v>276</v>
      </c>
      <c r="AC974" s="113" t="s">
        <v>9161</v>
      </c>
      <c r="AD974" s="113" t="s">
        <v>9155</v>
      </c>
      <c r="AE974" s="112">
        <v>2805</v>
      </c>
      <c r="AF974" s="112">
        <v>2767</v>
      </c>
      <c r="AG974" s="118">
        <v>687215</v>
      </c>
      <c r="AH974" s="118">
        <v>734925</v>
      </c>
      <c r="AI974" s="119" t="s">
        <v>1019</v>
      </c>
      <c r="AJ974" s="164">
        <v>408.1</v>
      </c>
      <c r="AK974" s="207">
        <f>AE974*100000/AG974</f>
        <v>408.16920468848906</v>
      </c>
      <c r="AL974" s="121" t="s">
        <v>276</v>
      </c>
      <c r="AM974" s="121" t="s">
        <v>276</v>
      </c>
      <c r="AN974" s="164">
        <v>376.5</v>
      </c>
      <c r="AO974" s="207">
        <f>AF974*100000/AH974</f>
        <v>376.50100350375891</v>
      </c>
      <c r="AP974" s="121" t="s">
        <v>276</v>
      </c>
      <c r="AQ974" s="121" t="s">
        <v>276</v>
      </c>
      <c r="AR974" s="112" t="s">
        <v>269</v>
      </c>
      <c r="AS974" s="121" t="s">
        <v>276</v>
      </c>
      <c r="AT974" s="121">
        <f>AK974/AO974</f>
        <v>1.0841118639526122</v>
      </c>
      <c r="AU974" s="121" t="s">
        <v>276</v>
      </c>
      <c r="AV974" s="121" t="s">
        <v>276</v>
      </c>
      <c r="AW974" s="112" t="s">
        <v>276</v>
      </c>
      <c r="AX974" s="113" t="s">
        <v>9156</v>
      </c>
      <c r="AY974" s="112">
        <v>0.99</v>
      </c>
      <c r="AZ974" s="112">
        <v>0.91</v>
      </c>
      <c r="BA974" s="112">
        <v>1.08</v>
      </c>
      <c r="BB974" s="112" t="s">
        <v>276</v>
      </c>
      <c r="BC974" s="113" t="s">
        <v>1029</v>
      </c>
      <c r="BD974" s="113"/>
      <c r="BE974" s="33" t="s">
        <v>100</v>
      </c>
      <c r="BF974" s="33" t="s">
        <v>98</v>
      </c>
    </row>
    <row r="975" spans="1:58" s="208" customFormat="1" ht="117" x14ac:dyDescent="0.3">
      <c r="A975" s="112">
        <v>4570</v>
      </c>
      <c r="B975" s="112" t="s">
        <v>9147</v>
      </c>
      <c r="C975" s="113" t="s">
        <v>9148</v>
      </c>
      <c r="D975" s="113" t="s">
        <v>9162</v>
      </c>
      <c r="E975" s="112" t="s">
        <v>35</v>
      </c>
      <c r="F975" s="113" t="s">
        <v>130</v>
      </c>
      <c r="G975" s="112" t="s">
        <v>225</v>
      </c>
      <c r="H975" s="112" t="s">
        <v>125</v>
      </c>
      <c r="I975" s="112" t="s">
        <v>114</v>
      </c>
      <c r="J975" s="113" t="s">
        <v>23</v>
      </c>
      <c r="K975" s="113" t="s">
        <v>9150</v>
      </c>
      <c r="L975" s="113" t="s">
        <v>9151</v>
      </c>
      <c r="M975" s="112" t="s">
        <v>14</v>
      </c>
      <c r="N975" s="204" t="s">
        <v>98</v>
      </c>
      <c r="O975" s="117" t="s">
        <v>207</v>
      </c>
      <c r="P975" s="205">
        <v>43830</v>
      </c>
      <c r="Q975" s="113" t="s">
        <v>276</v>
      </c>
      <c r="R975" s="113" t="s">
        <v>9152</v>
      </c>
      <c r="S975" s="113" t="s">
        <v>9153</v>
      </c>
      <c r="T975" s="113">
        <v>3</v>
      </c>
      <c r="U975" s="118">
        <v>55843</v>
      </c>
      <c r="V975" s="119">
        <v>59447</v>
      </c>
      <c r="W975" s="112" t="s">
        <v>276</v>
      </c>
      <c r="X975" s="112" t="s">
        <v>276</v>
      </c>
      <c r="Y975" s="112" t="s">
        <v>276</v>
      </c>
      <c r="Z975" s="112" t="s">
        <v>276</v>
      </c>
      <c r="AA975" s="112" t="s">
        <v>276</v>
      </c>
      <c r="AB975" s="112" t="s">
        <v>276</v>
      </c>
      <c r="AC975" s="113" t="s">
        <v>9163</v>
      </c>
      <c r="AD975" s="113" t="s">
        <v>280</v>
      </c>
      <c r="AE975" s="112">
        <v>2805</v>
      </c>
      <c r="AF975" s="112">
        <v>2767</v>
      </c>
      <c r="AG975" s="118">
        <v>55843</v>
      </c>
      <c r="AH975" s="118">
        <v>59447</v>
      </c>
      <c r="AI975" s="119" t="s">
        <v>281</v>
      </c>
      <c r="AJ975" s="164" t="s">
        <v>276</v>
      </c>
      <c r="AK975" s="207">
        <f>AE975*1000/AG975</f>
        <v>50.230109413892521</v>
      </c>
      <c r="AL975" s="121" t="s">
        <v>276</v>
      </c>
      <c r="AM975" s="121" t="s">
        <v>276</v>
      </c>
      <c r="AN975" s="164" t="s">
        <v>276</v>
      </c>
      <c r="AO975" s="207">
        <f>AF975*1000/AH975</f>
        <v>46.545662522919578</v>
      </c>
      <c r="AP975" s="121" t="s">
        <v>276</v>
      </c>
      <c r="AQ975" s="121" t="s">
        <v>276</v>
      </c>
      <c r="AR975" s="112" t="s">
        <v>268</v>
      </c>
      <c r="AS975" s="121" t="s">
        <v>276</v>
      </c>
      <c r="AT975" s="121">
        <f>AK975/AO975</f>
        <v>1.0791576849756663</v>
      </c>
      <c r="AU975" s="121" t="s">
        <v>276</v>
      </c>
      <c r="AV975" s="121" t="s">
        <v>276</v>
      </c>
      <c r="AW975" s="112" t="s">
        <v>276</v>
      </c>
      <c r="AX975" s="113" t="s">
        <v>282</v>
      </c>
      <c r="AY975" s="112" t="s">
        <v>276</v>
      </c>
      <c r="AZ975" s="112" t="s">
        <v>276</v>
      </c>
      <c r="BA975" s="112" t="s">
        <v>276</v>
      </c>
      <c r="BB975" s="112" t="s">
        <v>276</v>
      </c>
      <c r="BC975" s="113" t="s">
        <v>1029</v>
      </c>
      <c r="BD975" s="113"/>
      <c r="BE975" s="33" t="s">
        <v>100</v>
      </c>
      <c r="BF975" s="33" t="s">
        <v>98</v>
      </c>
    </row>
    <row r="976" spans="1:58" s="149" customFormat="1" ht="52" x14ac:dyDescent="0.3">
      <c r="A976" s="126">
        <v>4099</v>
      </c>
      <c r="B976" s="126" t="s">
        <v>9251</v>
      </c>
      <c r="C976" s="126" t="s">
        <v>62</v>
      </c>
      <c r="D976" s="127" t="s">
        <v>9252</v>
      </c>
      <c r="E976" s="126" t="s">
        <v>35</v>
      </c>
      <c r="F976" s="126" t="s">
        <v>97</v>
      </c>
      <c r="G976" s="126" t="s">
        <v>225</v>
      </c>
      <c r="H976" s="126" t="s">
        <v>125</v>
      </c>
      <c r="I976" s="126" t="s">
        <v>114</v>
      </c>
      <c r="J976" s="127" t="s">
        <v>24</v>
      </c>
      <c r="K976" s="127" t="s">
        <v>9253</v>
      </c>
      <c r="L976" s="127" t="s">
        <v>276</v>
      </c>
      <c r="M976" s="126" t="s">
        <v>15</v>
      </c>
      <c r="N976" s="145" t="s">
        <v>9254</v>
      </c>
      <c r="O976" s="131" t="s">
        <v>207</v>
      </c>
      <c r="P976" s="197">
        <v>31047</v>
      </c>
      <c r="Q976" s="127" t="s">
        <v>3010</v>
      </c>
      <c r="R976" s="127" t="s">
        <v>9255</v>
      </c>
      <c r="S976" s="127" t="s">
        <v>9256</v>
      </c>
      <c r="T976" s="167" t="s">
        <v>1719</v>
      </c>
      <c r="U976" s="132">
        <v>78085</v>
      </c>
      <c r="V976" s="134">
        <v>56782</v>
      </c>
      <c r="W976" s="126" t="s">
        <v>276</v>
      </c>
      <c r="X976" s="126" t="s">
        <v>276</v>
      </c>
      <c r="Y976" s="126" t="s">
        <v>276</v>
      </c>
      <c r="Z976" s="127" t="s">
        <v>1562</v>
      </c>
      <c r="AA976" s="126" t="s">
        <v>276</v>
      </c>
      <c r="AB976" s="127" t="s">
        <v>1562</v>
      </c>
      <c r="AC976" s="127" t="s">
        <v>9257</v>
      </c>
      <c r="AD976" s="127" t="s">
        <v>9258</v>
      </c>
      <c r="AE976" s="126">
        <f>51+36</f>
        <v>87</v>
      </c>
      <c r="AF976" s="126">
        <f>39+47</f>
        <v>86</v>
      </c>
      <c r="AG976" s="132">
        <v>78085</v>
      </c>
      <c r="AH976" s="134">
        <v>56782</v>
      </c>
      <c r="AI976" s="134" t="s">
        <v>281</v>
      </c>
      <c r="AJ976" s="135" t="s">
        <v>276</v>
      </c>
      <c r="AK976" s="148">
        <f t="shared" ref="AK976:AK985" si="131">AE976*1000/AG976</f>
        <v>1.1141704552730998</v>
      </c>
      <c r="AL976" s="135" t="s">
        <v>276</v>
      </c>
      <c r="AM976" s="135" t="s">
        <v>276</v>
      </c>
      <c r="AN976" s="135" t="s">
        <v>276</v>
      </c>
      <c r="AO976" s="148">
        <f t="shared" ref="AO976:AO985" si="132">AF976*1000/AH976</f>
        <v>1.5145644746574618</v>
      </c>
      <c r="AP976" s="135" t="s">
        <v>276</v>
      </c>
      <c r="AQ976" s="135" t="s">
        <v>276</v>
      </c>
      <c r="AR976" s="126" t="s">
        <v>268</v>
      </c>
      <c r="AS976" s="135" t="s">
        <v>276</v>
      </c>
      <c r="AT976" s="135">
        <f t="shared" ref="AT976:AT1003" si="133">AK976/AO976</f>
        <v>0.73563752082926925</v>
      </c>
      <c r="AU976" s="135" t="s">
        <v>276</v>
      </c>
      <c r="AV976" s="135" t="s">
        <v>276</v>
      </c>
      <c r="AW976" s="126" t="s">
        <v>276</v>
      </c>
      <c r="AX976" s="126" t="s">
        <v>9259</v>
      </c>
      <c r="AY976" s="126">
        <v>0.69</v>
      </c>
      <c r="AZ976" s="126">
        <v>0.51</v>
      </c>
      <c r="BA976" s="126">
        <v>0.92</v>
      </c>
      <c r="BB976" s="126">
        <v>1.2999999999999999E-2</v>
      </c>
      <c r="BC976" s="127" t="s">
        <v>9260</v>
      </c>
      <c r="BD976" s="127"/>
      <c r="BE976" s="33" t="s">
        <v>99</v>
      </c>
      <c r="BF976" s="33" t="s">
        <v>11162</v>
      </c>
    </row>
    <row r="977" spans="1:58" s="149" customFormat="1" ht="52" x14ac:dyDescent="0.3">
      <c r="A977" s="126">
        <v>4099</v>
      </c>
      <c r="B977" s="126" t="s">
        <v>9251</v>
      </c>
      <c r="C977" s="126" t="s">
        <v>62</v>
      </c>
      <c r="D977" s="127" t="s">
        <v>9261</v>
      </c>
      <c r="E977" s="126" t="s">
        <v>35</v>
      </c>
      <c r="F977" s="126" t="s">
        <v>97</v>
      </c>
      <c r="G977" s="126" t="s">
        <v>225</v>
      </c>
      <c r="H977" s="126" t="s">
        <v>125</v>
      </c>
      <c r="I977" s="126" t="s">
        <v>114</v>
      </c>
      <c r="J977" s="127" t="s">
        <v>24</v>
      </c>
      <c r="K977" s="127" t="s">
        <v>9253</v>
      </c>
      <c r="L977" s="127" t="s">
        <v>276</v>
      </c>
      <c r="M977" s="126" t="s">
        <v>15</v>
      </c>
      <c r="N977" s="145" t="s">
        <v>9254</v>
      </c>
      <c r="O977" s="131" t="s">
        <v>207</v>
      </c>
      <c r="P977" s="197">
        <v>31047</v>
      </c>
      <c r="Q977" s="127" t="s">
        <v>3010</v>
      </c>
      <c r="R977" s="127" t="s">
        <v>9255</v>
      </c>
      <c r="S977" s="127" t="s">
        <v>9256</v>
      </c>
      <c r="T977" s="167" t="s">
        <v>1719</v>
      </c>
      <c r="U977" s="132">
        <v>78085</v>
      </c>
      <c r="V977" s="134">
        <v>56782</v>
      </c>
      <c r="W977" s="126" t="s">
        <v>276</v>
      </c>
      <c r="X977" s="126" t="s">
        <v>276</v>
      </c>
      <c r="Y977" s="126" t="s">
        <v>276</v>
      </c>
      <c r="Z977" s="127" t="s">
        <v>1562</v>
      </c>
      <c r="AA977" s="126" t="s">
        <v>276</v>
      </c>
      <c r="AB977" s="127" t="s">
        <v>1562</v>
      </c>
      <c r="AC977" s="127" t="s">
        <v>9257</v>
      </c>
      <c r="AD977" s="127" t="s">
        <v>9262</v>
      </c>
      <c r="AE977" s="126">
        <f>51+36</f>
        <v>87</v>
      </c>
      <c r="AF977" s="126">
        <f>39+47</f>
        <v>86</v>
      </c>
      <c r="AG977" s="134">
        <v>466272</v>
      </c>
      <c r="AH977" s="134">
        <v>334016</v>
      </c>
      <c r="AI977" s="134" t="s">
        <v>425</v>
      </c>
      <c r="AJ977" s="135" t="s">
        <v>276</v>
      </c>
      <c r="AK977" s="148">
        <f t="shared" si="131"/>
        <v>0.18658637018735846</v>
      </c>
      <c r="AL977" s="135" t="s">
        <v>276</v>
      </c>
      <c r="AM977" s="135" t="s">
        <v>276</v>
      </c>
      <c r="AN977" s="135" t="s">
        <v>276</v>
      </c>
      <c r="AO977" s="148">
        <f t="shared" si="132"/>
        <v>0.25747269591875838</v>
      </c>
      <c r="AP977" s="135" t="s">
        <v>276</v>
      </c>
      <c r="AQ977" s="135" t="s">
        <v>276</v>
      </c>
      <c r="AR977" s="126" t="s">
        <v>269</v>
      </c>
      <c r="AS977" s="135" t="s">
        <v>276</v>
      </c>
      <c r="AT977" s="135">
        <f t="shared" si="133"/>
        <v>0.72468410493605495</v>
      </c>
      <c r="AU977" s="135" t="s">
        <v>276</v>
      </c>
      <c r="AV977" s="135" t="s">
        <v>276</v>
      </c>
      <c r="AW977" s="126" t="s">
        <v>276</v>
      </c>
      <c r="AX977" s="126" t="s">
        <v>282</v>
      </c>
      <c r="AY977" s="126" t="s">
        <v>98</v>
      </c>
      <c r="AZ977" s="126" t="s">
        <v>98</v>
      </c>
      <c r="BA977" s="126" t="s">
        <v>98</v>
      </c>
      <c r="BB977" s="126" t="s">
        <v>98</v>
      </c>
      <c r="BC977" s="127" t="s">
        <v>9263</v>
      </c>
      <c r="BD977" s="127"/>
      <c r="BE977" s="33" t="s">
        <v>99</v>
      </c>
      <c r="BF977" s="33" t="s">
        <v>11162</v>
      </c>
    </row>
    <row r="978" spans="1:58" s="149" customFormat="1" ht="52" x14ac:dyDescent="0.3">
      <c r="A978" s="126">
        <v>4099</v>
      </c>
      <c r="B978" s="126" t="s">
        <v>9251</v>
      </c>
      <c r="C978" s="127" t="s">
        <v>9264</v>
      </c>
      <c r="D978" s="127" t="s">
        <v>9252</v>
      </c>
      <c r="E978" s="126" t="s">
        <v>35</v>
      </c>
      <c r="F978" s="126" t="s">
        <v>97</v>
      </c>
      <c r="G978" s="126" t="s">
        <v>225</v>
      </c>
      <c r="H978" s="126" t="s">
        <v>125</v>
      </c>
      <c r="I978" s="126" t="s">
        <v>114</v>
      </c>
      <c r="J978" s="127" t="s">
        <v>24</v>
      </c>
      <c r="K978" s="127" t="s">
        <v>9253</v>
      </c>
      <c r="L978" s="127" t="s">
        <v>276</v>
      </c>
      <c r="M978" s="126" t="s">
        <v>15</v>
      </c>
      <c r="N978" s="145" t="s">
        <v>9254</v>
      </c>
      <c r="O978" s="131" t="s">
        <v>207</v>
      </c>
      <c r="P978" s="197">
        <v>31047</v>
      </c>
      <c r="Q978" s="127" t="s">
        <v>3010</v>
      </c>
      <c r="R978" s="127" t="s">
        <v>276</v>
      </c>
      <c r="S978" s="127" t="s">
        <v>276</v>
      </c>
      <c r="T978" s="167" t="s">
        <v>1719</v>
      </c>
      <c r="U978" s="132">
        <v>39051</v>
      </c>
      <c r="V978" s="134">
        <v>18846</v>
      </c>
      <c r="W978" s="126" t="s">
        <v>276</v>
      </c>
      <c r="X978" s="126" t="s">
        <v>276</v>
      </c>
      <c r="Y978" s="126" t="s">
        <v>276</v>
      </c>
      <c r="Z978" s="127" t="s">
        <v>1562</v>
      </c>
      <c r="AA978" s="126" t="s">
        <v>276</v>
      </c>
      <c r="AB978" s="127" t="s">
        <v>1562</v>
      </c>
      <c r="AC978" s="127" t="s">
        <v>9257</v>
      </c>
      <c r="AD978" s="127" t="s">
        <v>9258</v>
      </c>
      <c r="AE978" s="126">
        <v>51</v>
      </c>
      <c r="AF978" s="126">
        <v>39</v>
      </c>
      <c r="AG978" s="132">
        <v>39051</v>
      </c>
      <c r="AH978" s="134">
        <v>18846</v>
      </c>
      <c r="AI978" s="134" t="s">
        <v>281</v>
      </c>
      <c r="AJ978" s="135" t="s">
        <v>276</v>
      </c>
      <c r="AK978" s="148">
        <f t="shared" si="131"/>
        <v>1.3059844818314512</v>
      </c>
      <c r="AL978" s="135" t="s">
        <v>276</v>
      </c>
      <c r="AM978" s="135" t="s">
        <v>276</v>
      </c>
      <c r="AN978" s="135" t="s">
        <v>276</v>
      </c>
      <c r="AO978" s="148">
        <f t="shared" si="132"/>
        <v>2.0694046482012096</v>
      </c>
      <c r="AP978" s="135" t="s">
        <v>276</v>
      </c>
      <c r="AQ978" s="135" t="s">
        <v>276</v>
      </c>
      <c r="AR978" s="126" t="s">
        <v>268</v>
      </c>
      <c r="AS978" s="135" t="s">
        <v>276</v>
      </c>
      <c r="AT978" s="135">
        <f t="shared" si="133"/>
        <v>0.63109188575885977</v>
      </c>
      <c r="AU978" s="135" t="s">
        <v>276</v>
      </c>
      <c r="AV978" s="135" t="s">
        <v>276</v>
      </c>
      <c r="AW978" s="126" t="s">
        <v>276</v>
      </c>
      <c r="AX978" s="126" t="s">
        <v>9265</v>
      </c>
      <c r="AY978" s="126">
        <v>0.63</v>
      </c>
      <c r="AZ978" s="126" t="s">
        <v>276</v>
      </c>
      <c r="BA978" s="126" t="s">
        <v>276</v>
      </c>
      <c r="BB978" s="126" t="s">
        <v>276</v>
      </c>
      <c r="BC978" s="127" t="s">
        <v>6697</v>
      </c>
      <c r="BD978" s="127"/>
      <c r="BE978" s="33" t="s">
        <v>100</v>
      </c>
      <c r="BF978" s="33" t="s">
        <v>98</v>
      </c>
    </row>
    <row r="979" spans="1:58" s="149" customFormat="1" ht="52" x14ac:dyDescent="0.3">
      <c r="A979" s="126">
        <v>4099</v>
      </c>
      <c r="B979" s="126" t="s">
        <v>9251</v>
      </c>
      <c r="C979" s="127" t="s">
        <v>9266</v>
      </c>
      <c r="D979" s="127" t="s">
        <v>9252</v>
      </c>
      <c r="E979" s="126" t="s">
        <v>35</v>
      </c>
      <c r="F979" s="126" t="s">
        <v>97</v>
      </c>
      <c r="G979" s="126" t="s">
        <v>225</v>
      </c>
      <c r="H979" s="126" t="s">
        <v>125</v>
      </c>
      <c r="I979" s="126" t="s">
        <v>114</v>
      </c>
      <c r="J979" s="127" t="s">
        <v>24</v>
      </c>
      <c r="K979" s="127" t="s">
        <v>9253</v>
      </c>
      <c r="L979" s="127" t="s">
        <v>276</v>
      </c>
      <c r="M979" s="126" t="s">
        <v>15</v>
      </c>
      <c r="N979" s="145" t="s">
        <v>9254</v>
      </c>
      <c r="O979" s="131" t="s">
        <v>207</v>
      </c>
      <c r="P979" s="197">
        <v>31047</v>
      </c>
      <c r="Q979" s="127" t="s">
        <v>3010</v>
      </c>
      <c r="R979" s="127" t="s">
        <v>276</v>
      </c>
      <c r="S979" s="127" t="s">
        <v>276</v>
      </c>
      <c r="T979" s="167" t="s">
        <v>1719</v>
      </c>
      <c r="U979" s="132">
        <v>39034</v>
      </c>
      <c r="V979" s="134">
        <v>37936</v>
      </c>
      <c r="W979" s="126" t="s">
        <v>276</v>
      </c>
      <c r="X979" s="126" t="s">
        <v>276</v>
      </c>
      <c r="Y979" s="126" t="s">
        <v>276</v>
      </c>
      <c r="Z979" s="127" t="s">
        <v>1562</v>
      </c>
      <c r="AA979" s="126" t="s">
        <v>276</v>
      </c>
      <c r="AB979" s="127" t="s">
        <v>1562</v>
      </c>
      <c r="AC979" s="127" t="s">
        <v>9257</v>
      </c>
      <c r="AD979" s="127" t="s">
        <v>9258</v>
      </c>
      <c r="AE979" s="126">
        <v>36</v>
      </c>
      <c r="AF979" s="126">
        <v>47</v>
      </c>
      <c r="AG979" s="132">
        <v>39034</v>
      </c>
      <c r="AH979" s="134">
        <v>37936</v>
      </c>
      <c r="AI979" s="134" t="s">
        <v>281</v>
      </c>
      <c r="AJ979" s="135" t="s">
        <v>276</v>
      </c>
      <c r="AK979" s="148">
        <f t="shared" si="131"/>
        <v>0.92227289030076343</v>
      </c>
      <c r="AL979" s="135" t="s">
        <v>276</v>
      </c>
      <c r="AM979" s="135" t="s">
        <v>276</v>
      </c>
      <c r="AN979" s="135" t="s">
        <v>276</v>
      </c>
      <c r="AO979" s="148">
        <f t="shared" si="132"/>
        <v>1.2389287220582033</v>
      </c>
      <c r="AP979" s="135" t="s">
        <v>276</v>
      </c>
      <c r="AQ979" s="135" t="s">
        <v>276</v>
      </c>
      <c r="AR979" s="126" t="s">
        <v>268</v>
      </c>
      <c r="AS979" s="135" t="s">
        <v>276</v>
      </c>
      <c r="AT979" s="135">
        <f t="shared" si="133"/>
        <v>0.74441158226488857</v>
      </c>
      <c r="AU979" s="135" t="s">
        <v>276</v>
      </c>
      <c r="AV979" s="135" t="s">
        <v>276</v>
      </c>
      <c r="AW979" s="126" t="s">
        <v>276</v>
      </c>
      <c r="AX979" s="126" t="s">
        <v>9265</v>
      </c>
      <c r="AY979" s="126">
        <v>0.74</v>
      </c>
      <c r="AZ979" s="126" t="s">
        <v>276</v>
      </c>
      <c r="BA979" s="126" t="s">
        <v>276</v>
      </c>
      <c r="BB979" s="126" t="s">
        <v>276</v>
      </c>
      <c r="BC979" s="127" t="s">
        <v>6697</v>
      </c>
      <c r="BD979" s="127"/>
      <c r="BE979" s="33" t="s">
        <v>100</v>
      </c>
      <c r="BF979" s="33" t="s">
        <v>98</v>
      </c>
    </row>
    <row r="980" spans="1:58" s="160" customFormat="1" ht="52" x14ac:dyDescent="0.3">
      <c r="A980" s="150">
        <v>4099</v>
      </c>
      <c r="B980" s="150" t="s">
        <v>9251</v>
      </c>
      <c r="C980" s="150" t="s">
        <v>62</v>
      </c>
      <c r="D980" s="151" t="s">
        <v>9267</v>
      </c>
      <c r="E980" s="150" t="s">
        <v>35</v>
      </c>
      <c r="F980" s="150" t="s">
        <v>97</v>
      </c>
      <c r="G980" s="150" t="s">
        <v>225</v>
      </c>
      <c r="H980" s="150" t="s">
        <v>125</v>
      </c>
      <c r="I980" s="150" t="s">
        <v>114</v>
      </c>
      <c r="J980" s="151" t="s">
        <v>24</v>
      </c>
      <c r="K980" s="151" t="s">
        <v>9253</v>
      </c>
      <c r="L980" s="151" t="s">
        <v>276</v>
      </c>
      <c r="M980" s="150" t="s">
        <v>15</v>
      </c>
      <c r="N980" s="152" t="s">
        <v>3032</v>
      </c>
      <c r="O980" s="153" t="s">
        <v>207</v>
      </c>
      <c r="P980" s="342">
        <v>31047</v>
      </c>
      <c r="Q980" s="151" t="s">
        <v>3010</v>
      </c>
      <c r="R980" s="151" t="s">
        <v>276</v>
      </c>
      <c r="S980" s="151" t="s">
        <v>276</v>
      </c>
      <c r="T980" s="168" t="s">
        <v>1719</v>
      </c>
      <c r="U980" s="155">
        <f>9628+10312</f>
        <v>19940</v>
      </c>
      <c r="V980" s="156">
        <f>10625+5053</f>
        <v>15678</v>
      </c>
      <c r="W980" s="150" t="s">
        <v>276</v>
      </c>
      <c r="X980" s="150" t="s">
        <v>276</v>
      </c>
      <c r="Y980" s="150" t="s">
        <v>276</v>
      </c>
      <c r="Z980" s="151" t="s">
        <v>1562</v>
      </c>
      <c r="AA980" s="150" t="s">
        <v>276</v>
      </c>
      <c r="AB980" s="151" t="s">
        <v>1562</v>
      </c>
      <c r="AC980" s="151" t="s">
        <v>9268</v>
      </c>
      <c r="AD980" s="151" t="s">
        <v>9269</v>
      </c>
      <c r="AE980" s="150">
        <v>16</v>
      </c>
      <c r="AF980" s="150">
        <v>10</v>
      </c>
      <c r="AG980" s="155">
        <f>9625+10312</f>
        <v>19937</v>
      </c>
      <c r="AH980" s="156">
        <f>10625+5053</f>
        <v>15678</v>
      </c>
      <c r="AI980" s="156" t="s">
        <v>281</v>
      </c>
      <c r="AJ980" s="159" t="s">
        <v>276</v>
      </c>
      <c r="AK980" s="158">
        <f t="shared" si="131"/>
        <v>0.80252796308371366</v>
      </c>
      <c r="AL980" s="159" t="s">
        <v>276</v>
      </c>
      <c r="AM980" s="159" t="s">
        <v>276</v>
      </c>
      <c r="AN980" s="159" t="s">
        <v>276</v>
      </c>
      <c r="AO980" s="158">
        <f t="shared" si="132"/>
        <v>0.63783645873198114</v>
      </c>
      <c r="AP980" s="159" t="s">
        <v>276</v>
      </c>
      <c r="AQ980" s="159" t="s">
        <v>276</v>
      </c>
      <c r="AR980" s="150" t="s">
        <v>268</v>
      </c>
      <c r="AS980" s="159" t="s">
        <v>276</v>
      </c>
      <c r="AT980" s="159">
        <f t="shared" si="133"/>
        <v>1.2582033405226463</v>
      </c>
      <c r="AU980" s="159" t="s">
        <v>276</v>
      </c>
      <c r="AV980" s="159" t="s">
        <v>276</v>
      </c>
      <c r="AW980" s="150" t="s">
        <v>276</v>
      </c>
      <c r="AX980" s="150" t="s">
        <v>9259</v>
      </c>
      <c r="AY980" s="150">
        <v>1.26</v>
      </c>
      <c r="AZ980" s="150">
        <v>0.56000000000000005</v>
      </c>
      <c r="BA980" s="150">
        <v>2.84</v>
      </c>
      <c r="BB980" s="150">
        <v>0.31</v>
      </c>
      <c r="BC980" s="151" t="s">
        <v>6732</v>
      </c>
      <c r="BD980" s="151"/>
      <c r="BE980" s="33" t="s">
        <v>100</v>
      </c>
      <c r="BF980" s="33" t="s">
        <v>98</v>
      </c>
    </row>
    <row r="981" spans="1:58" s="160" customFormat="1" ht="52" x14ac:dyDescent="0.3">
      <c r="A981" s="150">
        <v>4099</v>
      </c>
      <c r="B981" s="150" t="s">
        <v>9251</v>
      </c>
      <c r="C981" s="151" t="s">
        <v>9264</v>
      </c>
      <c r="D981" s="151" t="s">
        <v>9267</v>
      </c>
      <c r="E981" s="150" t="s">
        <v>35</v>
      </c>
      <c r="F981" s="150" t="s">
        <v>97</v>
      </c>
      <c r="G981" s="150" t="s">
        <v>225</v>
      </c>
      <c r="H981" s="150" t="s">
        <v>125</v>
      </c>
      <c r="I981" s="150" t="s">
        <v>114</v>
      </c>
      <c r="J981" s="151" t="s">
        <v>24</v>
      </c>
      <c r="K981" s="151" t="s">
        <v>9253</v>
      </c>
      <c r="L981" s="151" t="s">
        <v>276</v>
      </c>
      <c r="M981" s="150" t="s">
        <v>15</v>
      </c>
      <c r="N981" s="152" t="s">
        <v>3032</v>
      </c>
      <c r="O981" s="153" t="s">
        <v>207</v>
      </c>
      <c r="P981" s="342">
        <v>31047</v>
      </c>
      <c r="Q981" s="151" t="s">
        <v>3010</v>
      </c>
      <c r="R981" s="151" t="s">
        <v>276</v>
      </c>
      <c r="S981" s="151" t="s">
        <v>276</v>
      </c>
      <c r="T981" s="168" t="s">
        <v>1719</v>
      </c>
      <c r="U981" s="155">
        <v>9628</v>
      </c>
      <c r="V981" s="156">
        <v>5053</v>
      </c>
      <c r="W981" s="150" t="s">
        <v>276</v>
      </c>
      <c r="X981" s="150" t="s">
        <v>276</v>
      </c>
      <c r="Y981" s="150" t="s">
        <v>276</v>
      </c>
      <c r="Z981" s="151" t="s">
        <v>1562</v>
      </c>
      <c r="AA981" s="150" t="s">
        <v>276</v>
      </c>
      <c r="AB981" s="151" t="s">
        <v>1562</v>
      </c>
      <c r="AC981" s="151" t="s">
        <v>9268</v>
      </c>
      <c r="AD981" s="151" t="s">
        <v>9269</v>
      </c>
      <c r="AE981" s="150">
        <v>8</v>
      </c>
      <c r="AF981" s="150">
        <v>3</v>
      </c>
      <c r="AG981" s="155">
        <v>9625</v>
      </c>
      <c r="AH981" s="156">
        <v>5053</v>
      </c>
      <c r="AI981" s="156" t="s">
        <v>281</v>
      </c>
      <c r="AJ981" s="159" t="s">
        <v>276</v>
      </c>
      <c r="AK981" s="158">
        <f t="shared" si="131"/>
        <v>0.83116883116883122</v>
      </c>
      <c r="AL981" s="159" t="s">
        <v>276</v>
      </c>
      <c r="AM981" s="159" t="s">
        <v>276</v>
      </c>
      <c r="AN981" s="159" t="s">
        <v>276</v>
      </c>
      <c r="AO981" s="158">
        <f t="shared" si="132"/>
        <v>0.59370670888581045</v>
      </c>
      <c r="AP981" s="159" t="s">
        <v>276</v>
      </c>
      <c r="AQ981" s="159" t="s">
        <v>276</v>
      </c>
      <c r="AR981" s="150" t="s">
        <v>268</v>
      </c>
      <c r="AS981" s="159" t="s">
        <v>276</v>
      </c>
      <c r="AT981" s="159">
        <f t="shared" si="133"/>
        <v>1.3999653679653679</v>
      </c>
      <c r="AU981" s="159" t="s">
        <v>276</v>
      </c>
      <c r="AV981" s="159" t="s">
        <v>276</v>
      </c>
      <c r="AW981" s="150" t="s">
        <v>276</v>
      </c>
      <c r="AX981" s="150" t="s">
        <v>282</v>
      </c>
      <c r="AY981" s="150" t="s">
        <v>98</v>
      </c>
      <c r="AZ981" s="150" t="s">
        <v>98</v>
      </c>
      <c r="BA981" s="150" t="s">
        <v>98</v>
      </c>
      <c r="BB981" s="150" t="s">
        <v>276</v>
      </c>
      <c r="BC981" s="151" t="s">
        <v>6732</v>
      </c>
      <c r="BD981" s="151"/>
      <c r="BE981" s="33" t="s">
        <v>100</v>
      </c>
      <c r="BF981" s="33" t="s">
        <v>98</v>
      </c>
    </row>
    <row r="982" spans="1:58" s="160" customFormat="1" ht="52" x14ac:dyDescent="0.3">
      <c r="A982" s="150">
        <v>4099</v>
      </c>
      <c r="B982" s="150" t="s">
        <v>9251</v>
      </c>
      <c r="C982" s="151" t="s">
        <v>9266</v>
      </c>
      <c r="D982" s="151" t="s">
        <v>9267</v>
      </c>
      <c r="E982" s="150" t="s">
        <v>35</v>
      </c>
      <c r="F982" s="150" t="s">
        <v>97</v>
      </c>
      <c r="G982" s="150" t="s">
        <v>225</v>
      </c>
      <c r="H982" s="150" t="s">
        <v>125</v>
      </c>
      <c r="I982" s="150" t="s">
        <v>114</v>
      </c>
      <c r="J982" s="151" t="s">
        <v>24</v>
      </c>
      <c r="K982" s="151" t="s">
        <v>9253</v>
      </c>
      <c r="L982" s="151" t="s">
        <v>276</v>
      </c>
      <c r="M982" s="150" t="s">
        <v>15</v>
      </c>
      <c r="N982" s="152" t="s">
        <v>3032</v>
      </c>
      <c r="O982" s="153" t="s">
        <v>207</v>
      </c>
      <c r="P982" s="342">
        <v>31047</v>
      </c>
      <c r="Q982" s="151" t="s">
        <v>3010</v>
      </c>
      <c r="R982" s="151" t="s">
        <v>276</v>
      </c>
      <c r="S982" s="151" t="s">
        <v>276</v>
      </c>
      <c r="T982" s="168" t="s">
        <v>1719</v>
      </c>
      <c r="U982" s="155">
        <v>10312</v>
      </c>
      <c r="V982" s="156">
        <v>10625</v>
      </c>
      <c r="W982" s="150" t="s">
        <v>276</v>
      </c>
      <c r="X982" s="150" t="s">
        <v>276</v>
      </c>
      <c r="Y982" s="150" t="s">
        <v>276</v>
      </c>
      <c r="Z982" s="151" t="s">
        <v>1562</v>
      </c>
      <c r="AA982" s="150" t="s">
        <v>276</v>
      </c>
      <c r="AB982" s="151" t="s">
        <v>1562</v>
      </c>
      <c r="AC982" s="151" t="s">
        <v>9268</v>
      </c>
      <c r="AD982" s="151" t="s">
        <v>9269</v>
      </c>
      <c r="AE982" s="150">
        <v>8</v>
      </c>
      <c r="AF982" s="150">
        <v>7</v>
      </c>
      <c r="AG982" s="155">
        <v>10312</v>
      </c>
      <c r="AH982" s="156">
        <v>10625</v>
      </c>
      <c r="AI982" s="156" t="s">
        <v>281</v>
      </c>
      <c r="AJ982" s="159" t="s">
        <v>276</v>
      </c>
      <c r="AK982" s="158">
        <f t="shared" si="131"/>
        <v>0.77579519006982156</v>
      </c>
      <c r="AL982" s="159" t="s">
        <v>276</v>
      </c>
      <c r="AM982" s="159" t="s">
        <v>276</v>
      </c>
      <c r="AN982" s="159" t="s">
        <v>276</v>
      </c>
      <c r="AO982" s="158">
        <f t="shared" si="132"/>
        <v>0.6588235294117647</v>
      </c>
      <c r="AP982" s="159" t="s">
        <v>276</v>
      </c>
      <c r="AQ982" s="159" t="s">
        <v>276</v>
      </c>
      <c r="AR982" s="150" t="s">
        <v>268</v>
      </c>
      <c r="AS982" s="159" t="s">
        <v>276</v>
      </c>
      <c r="AT982" s="159">
        <f t="shared" si="133"/>
        <v>1.1775462706416935</v>
      </c>
      <c r="AU982" s="159" t="s">
        <v>276</v>
      </c>
      <c r="AV982" s="159" t="s">
        <v>276</v>
      </c>
      <c r="AW982" s="150" t="s">
        <v>276</v>
      </c>
      <c r="AX982" s="150" t="s">
        <v>282</v>
      </c>
      <c r="AY982" s="150" t="s">
        <v>98</v>
      </c>
      <c r="AZ982" s="150" t="s">
        <v>98</v>
      </c>
      <c r="BA982" s="150" t="s">
        <v>98</v>
      </c>
      <c r="BB982" s="150" t="s">
        <v>276</v>
      </c>
      <c r="BC982" s="151" t="s">
        <v>6732</v>
      </c>
      <c r="BD982" s="151"/>
      <c r="BE982" s="33" t="s">
        <v>100</v>
      </c>
      <c r="BF982" s="33" t="s">
        <v>98</v>
      </c>
    </row>
    <row r="983" spans="1:58" s="149" customFormat="1" ht="52" x14ac:dyDescent="0.3">
      <c r="A983" s="126">
        <v>4099</v>
      </c>
      <c r="B983" s="126" t="s">
        <v>9251</v>
      </c>
      <c r="C983" s="126" t="s">
        <v>62</v>
      </c>
      <c r="D983" s="127" t="s">
        <v>9270</v>
      </c>
      <c r="E983" s="126" t="s">
        <v>35</v>
      </c>
      <c r="F983" s="126" t="s">
        <v>97</v>
      </c>
      <c r="G983" s="126" t="s">
        <v>225</v>
      </c>
      <c r="H983" s="126" t="s">
        <v>125</v>
      </c>
      <c r="I983" s="126" t="s">
        <v>114</v>
      </c>
      <c r="J983" s="127" t="s">
        <v>24</v>
      </c>
      <c r="K983" s="127" t="s">
        <v>9253</v>
      </c>
      <c r="L983" s="127" t="s">
        <v>276</v>
      </c>
      <c r="M983" s="126" t="s">
        <v>15</v>
      </c>
      <c r="N983" s="145" t="s">
        <v>9271</v>
      </c>
      <c r="O983" s="131" t="s">
        <v>207</v>
      </c>
      <c r="P983" s="197">
        <v>31047</v>
      </c>
      <c r="Q983" s="127" t="s">
        <v>3010</v>
      </c>
      <c r="R983" s="127" t="s">
        <v>276</v>
      </c>
      <c r="S983" s="127" t="s">
        <v>276</v>
      </c>
      <c r="T983" s="167" t="s">
        <v>1719</v>
      </c>
      <c r="U983" s="132">
        <f>29426+28722</f>
        <v>58148</v>
      </c>
      <c r="V983" s="134">
        <f>13793+27311</f>
        <v>41104</v>
      </c>
      <c r="W983" s="126" t="s">
        <v>276</v>
      </c>
      <c r="X983" s="126" t="s">
        <v>276</v>
      </c>
      <c r="Y983" s="126" t="s">
        <v>276</v>
      </c>
      <c r="Z983" s="127" t="s">
        <v>1562</v>
      </c>
      <c r="AA983" s="126" t="s">
        <v>276</v>
      </c>
      <c r="AB983" s="127" t="s">
        <v>1562</v>
      </c>
      <c r="AC983" s="127" t="s">
        <v>9272</v>
      </c>
      <c r="AD983" s="127" t="s">
        <v>9273</v>
      </c>
      <c r="AE983" s="126">
        <f>43+28</f>
        <v>71</v>
      </c>
      <c r="AF983" s="126">
        <f>36+40</f>
        <v>76</v>
      </c>
      <c r="AG983" s="132">
        <f>29426+28722</f>
        <v>58148</v>
      </c>
      <c r="AH983" s="134">
        <f>13793+27311</f>
        <v>41104</v>
      </c>
      <c r="AI983" s="134" t="s">
        <v>281</v>
      </c>
      <c r="AJ983" s="135" t="s">
        <v>276</v>
      </c>
      <c r="AK983" s="148">
        <f t="shared" si="131"/>
        <v>1.2210222191648896</v>
      </c>
      <c r="AL983" s="135" t="s">
        <v>276</v>
      </c>
      <c r="AM983" s="135" t="s">
        <v>276</v>
      </c>
      <c r="AN983" s="135" t="s">
        <v>276</v>
      </c>
      <c r="AO983" s="148">
        <f t="shared" si="132"/>
        <v>1.8489684702218763</v>
      </c>
      <c r="AP983" s="135" t="s">
        <v>276</v>
      </c>
      <c r="AQ983" s="135" t="s">
        <v>276</v>
      </c>
      <c r="AR983" s="126" t="s">
        <v>268</v>
      </c>
      <c r="AS983" s="135" t="s">
        <v>276</v>
      </c>
      <c r="AT983" s="135">
        <f t="shared" si="133"/>
        <v>0.66038022758623183</v>
      </c>
      <c r="AU983" s="135" t="s">
        <v>276</v>
      </c>
      <c r="AV983" s="135" t="s">
        <v>276</v>
      </c>
      <c r="AW983" s="126" t="s">
        <v>276</v>
      </c>
      <c r="AX983" s="126" t="s">
        <v>9259</v>
      </c>
      <c r="AY983" s="126">
        <v>0.61</v>
      </c>
      <c r="AZ983" s="126">
        <v>0.44</v>
      </c>
      <c r="BA983" s="126">
        <v>0.84</v>
      </c>
      <c r="BB983" s="126">
        <v>3.0000000000000001E-3</v>
      </c>
      <c r="BC983" s="127" t="s">
        <v>9274</v>
      </c>
      <c r="BD983" s="127"/>
      <c r="BE983" s="33" t="s">
        <v>100</v>
      </c>
      <c r="BF983" s="33" t="s">
        <v>98</v>
      </c>
    </row>
    <row r="984" spans="1:58" s="149" customFormat="1" ht="52" x14ac:dyDescent="0.3">
      <c r="A984" s="126">
        <v>4099</v>
      </c>
      <c r="B984" s="126" t="s">
        <v>9251</v>
      </c>
      <c r="C984" s="127" t="s">
        <v>9264</v>
      </c>
      <c r="D984" s="127" t="s">
        <v>9270</v>
      </c>
      <c r="E984" s="126" t="s">
        <v>35</v>
      </c>
      <c r="F984" s="126" t="s">
        <v>97</v>
      </c>
      <c r="G984" s="126" t="s">
        <v>225</v>
      </c>
      <c r="H984" s="126" t="s">
        <v>125</v>
      </c>
      <c r="I984" s="126" t="s">
        <v>114</v>
      </c>
      <c r="J984" s="127" t="s">
        <v>24</v>
      </c>
      <c r="K984" s="127" t="s">
        <v>9253</v>
      </c>
      <c r="L984" s="127" t="s">
        <v>276</v>
      </c>
      <c r="M984" s="126" t="s">
        <v>15</v>
      </c>
      <c r="N984" s="145" t="s">
        <v>9271</v>
      </c>
      <c r="O984" s="131" t="s">
        <v>207</v>
      </c>
      <c r="P984" s="197">
        <v>31047</v>
      </c>
      <c r="Q984" s="127" t="s">
        <v>3010</v>
      </c>
      <c r="R984" s="127" t="s">
        <v>276</v>
      </c>
      <c r="S984" s="127" t="s">
        <v>276</v>
      </c>
      <c r="T984" s="167" t="s">
        <v>1719</v>
      </c>
      <c r="U984" s="132">
        <v>29426</v>
      </c>
      <c r="V984" s="134">
        <v>13793</v>
      </c>
      <c r="W984" s="126" t="s">
        <v>276</v>
      </c>
      <c r="X984" s="126" t="s">
        <v>276</v>
      </c>
      <c r="Y984" s="126" t="s">
        <v>276</v>
      </c>
      <c r="Z984" s="127" t="s">
        <v>1562</v>
      </c>
      <c r="AA984" s="126" t="s">
        <v>276</v>
      </c>
      <c r="AB984" s="127" t="s">
        <v>1562</v>
      </c>
      <c r="AC984" s="127" t="s">
        <v>9272</v>
      </c>
      <c r="AD984" s="127" t="s">
        <v>9273</v>
      </c>
      <c r="AE984" s="126">
        <v>43</v>
      </c>
      <c r="AF984" s="126">
        <v>36</v>
      </c>
      <c r="AG984" s="132">
        <v>29426</v>
      </c>
      <c r="AH984" s="134">
        <v>13793</v>
      </c>
      <c r="AI984" s="134" t="s">
        <v>281</v>
      </c>
      <c r="AJ984" s="135" t="s">
        <v>276</v>
      </c>
      <c r="AK984" s="148">
        <f t="shared" si="131"/>
        <v>1.4612927343165907</v>
      </c>
      <c r="AL984" s="135" t="s">
        <v>276</v>
      </c>
      <c r="AM984" s="135" t="s">
        <v>276</v>
      </c>
      <c r="AN984" s="135" t="s">
        <v>276</v>
      </c>
      <c r="AO984" s="148">
        <f t="shared" si="132"/>
        <v>2.6100195751468136</v>
      </c>
      <c r="AP984" s="135" t="s">
        <v>276</v>
      </c>
      <c r="AQ984" s="135" t="s">
        <v>276</v>
      </c>
      <c r="AR984" s="126" t="s">
        <v>268</v>
      </c>
      <c r="AS984" s="135" t="s">
        <v>276</v>
      </c>
      <c r="AT984" s="135">
        <f t="shared" si="133"/>
        <v>0.55987807456746486</v>
      </c>
      <c r="AU984" s="135" t="s">
        <v>276</v>
      </c>
      <c r="AV984" s="135" t="s">
        <v>276</v>
      </c>
      <c r="AW984" s="126" t="s">
        <v>276</v>
      </c>
      <c r="AX984" s="126" t="s">
        <v>282</v>
      </c>
      <c r="AY984" s="126" t="s">
        <v>98</v>
      </c>
      <c r="AZ984" s="126" t="s">
        <v>98</v>
      </c>
      <c r="BA984" s="126" t="s">
        <v>98</v>
      </c>
      <c r="BB984" s="126" t="s">
        <v>276</v>
      </c>
      <c r="BC984" s="127" t="s">
        <v>6732</v>
      </c>
      <c r="BD984" s="127"/>
      <c r="BE984" s="33" t="s">
        <v>100</v>
      </c>
      <c r="BF984" s="33" t="s">
        <v>98</v>
      </c>
    </row>
    <row r="985" spans="1:58" s="149" customFormat="1" ht="52" x14ac:dyDescent="0.3">
      <c r="A985" s="126">
        <v>4099</v>
      </c>
      <c r="B985" s="126" t="s">
        <v>9251</v>
      </c>
      <c r="C985" s="127" t="s">
        <v>9266</v>
      </c>
      <c r="D985" s="127" t="s">
        <v>9270</v>
      </c>
      <c r="E985" s="126" t="s">
        <v>35</v>
      </c>
      <c r="F985" s="126" t="s">
        <v>97</v>
      </c>
      <c r="G985" s="126" t="s">
        <v>225</v>
      </c>
      <c r="H985" s="126" t="s">
        <v>125</v>
      </c>
      <c r="I985" s="126" t="s">
        <v>114</v>
      </c>
      <c r="J985" s="127" t="s">
        <v>24</v>
      </c>
      <c r="K985" s="127" t="s">
        <v>9253</v>
      </c>
      <c r="L985" s="127" t="s">
        <v>276</v>
      </c>
      <c r="M985" s="126" t="s">
        <v>15</v>
      </c>
      <c r="N985" s="145" t="s">
        <v>9271</v>
      </c>
      <c r="O985" s="131" t="s">
        <v>207</v>
      </c>
      <c r="P985" s="197">
        <v>31047</v>
      </c>
      <c r="Q985" s="127" t="s">
        <v>3010</v>
      </c>
      <c r="R985" s="127" t="s">
        <v>276</v>
      </c>
      <c r="S985" s="127" t="s">
        <v>276</v>
      </c>
      <c r="T985" s="167" t="s">
        <v>1719</v>
      </c>
      <c r="U985" s="132">
        <v>28722</v>
      </c>
      <c r="V985" s="134">
        <v>27311</v>
      </c>
      <c r="W985" s="126" t="s">
        <v>276</v>
      </c>
      <c r="X985" s="126" t="s">
        <v>276</v>
      </c>
      <c r="Y985" s="126" t="s">
        <v>276</v>
      </c>
      <c r="Z985" s="127" t="s">
        <v>1562</v>
      </c>
      <c r="AA985" s="126" t="s">
        <v>276</v>
      </c>
      <c r="AB985" s="127" t="s">
        <v>1562</v>
      </c>
      <c r="AC985" s="127" t="s">
        <v>9272</v>
      </c>
      <c r="AD985" s="127" t="s">
        <v>9273</v>
      </c>
      <c r="AE985" s="126">
        <v>28</v>
      </c>
      <c r="AF985" s="126">
        <v>40</v>
      </c>
      <c r="AG985" s="132">
        <v>28722</v>
      </c>
      <c r="AH985" s="134">
        <v>27311</v>
      </c>
      <c r="AI985" s="134" t="s">
        <v>281</v>
      </c>
      <c r="AJ985" s="135" t="s">
        <v>276</v>
      </c>
      <c r="AK985" s="148">
        <f t="shared" si="131"/>
        <v>0.97486247475802523</v>
      </c>
      <c r="AL985" s="135" t="s">
        <v>276</v>
      </c>
      <c r="AM985" s="135" t="s">
        <v>276</v>
      </c>
      <c r="AN985" s="135" t="s">
        <v>276</v>
      </c>
      <c r="AO985" s="148">
        <f t="shared" si="132"/>
        <v>1.464611328768628</v>
      </c>
      <c r="AP985" s="135" t="s">
        <v>276</v>
      </c>
      <c r="AQ985" s="135" t="s">
        <v>276</v>
      </c>
      <c r="AR985" s="126" t="s">
        <v>268</v>
      </c>
      <c r="AS985" s="135" t="s">
        <v>276</v>
      </c>
      <c r="AT985" s="135">
        <f t="shared" si="133"/>
        <v>0.66561172620291065</v>
      </c>
      <c r="AU985" s="135" t="s">
        <v>276</v>
      </c>
      <c r="AV985" s="135" t="s">
        <v>276</v>
      </c>
      <c r="AW985" s="126" t="s">
        <v>276</v>
      </c>
      <c r="AX985" s="126" t="s">
        <v>282</v>
      </c>
      <c r="AY985" s="126" t="s">
        <v>98</v>
      </c>
      <c r="AZ985" s="126" t="s">
        <v>98</v>
      </c>
      <c r="BA985" s="126" t="s">
        <v>98</v>
      </c>
      <c r="BB985" s="126" t="s">
        <v>276</v>
      </c>
      <c r="BC985" s="127" t="s">
        <v>6732</v>
      </c>
      <c r="BD985" s="127"/>
      <c r="BE985" s="33" t="s">
        <v>100</v>
      </c>
      <c r="BF985" s="33" t="s">
        <v>98</v>
      </c>
    </row>
    <row r="986" spans="1:58" s="160" customFormat="1" ht="78" x14ac:dyDescent="0.3">
      <c r="A986" s="150">
        <v>4099</v>
      </c>
      <c r="B986" s="150" t="s">
        <v>9251</v>
      </c>
      <c r="C986" s="150" t="s">
        <v>62</v>
      </c>
      <c r="D986" s="151" t="s">
        <v>9275</v>
      </c>
      <c r="E986" s="150" t="s">
        <v>35</v>
      </c>
      <c r="F986" s="150" t="s">
        <v>97</v>
      </c>
      <c r="G986" s="150" t="s">
        <v>225</v>
      </c>
      <c r="H986" s="150" t="s">
        <v>125</v>
      </c>
      <c r="I986" s="150" t="s">
        <v>114</v>
      </c>
      <c r="J986" s="151" t="s">
        <v>24</v>
      </c>
      <c r="K986" s="151" t="s">
        <v>9253</v>
      </c>
      <c r="L986" s="151" t="s">
        <v>276</v>
      </c>
      <c r="M986" s="150" t="s">
        <v>15</v>
      </c>
      <c r="N986" s="152" t="s">
        <v>9254</v>
      </c>
      <c r="O986" s="153" t="s">
        <v>207</v>
      </c>
      <c r="P986" s="342" t="s">
        <v>98</v>
      </c>
      <c r="Q986" s="151" t="s">
        <v>705</v>
      </c>
      <c r="R986" s="151" t="s">
        <v>9276</v>
      </c>
      <c r="S986" s="151" t="s">
        <v>9277</v>
      </c>
      <c r="T986" s="168" t="s">
        <v>1212</v>
      </c>
      <c r="U986" s="155">
        <v>78085</v>
      </c>
      <c r="V986" s="156">
        <f t="shared" ref="V986:V992" si="134">37936+2*18846</f>
        <v>75628</v>
      </c>
      <c r="W986" s="150" t="s">
        <v>276</v>
      </c>
      <c r="X986" s="150" t="s">
        <v>276</v>
      </c>
      <c r="Y986" s="150" t="s">
        <v>276</v>
      </c>
      <c r="Z986" s="151" t="s">
        <v>1562</v>
      </c>
      <c r="AA986" s="150" t="s">
        <v>276</v>
      </c>
      <c r="AB986" s="151" t="s">
        <v>1562</v>
      </c>
      <c r="AC986" s="151" t="s">
        <v>9278</v>
      </c>
      <c r="AD986" s="151" t="s">
        <v>9279</v>
      </c>
      <c r="AE986" s="150">
        <v>3</v>
      </c>
      <c r="AF986" s="150">
        <v>2</v>
      </c>
      <c r="AG986" s="155">
        <v>78085</v>
      </c>
      <c r="AH986" s="156">
        <f t="shared" ref="AH986:AH992" si="135">37936+2*18846</f>
        <v>75628</v>
      </c>
      <c r="AI986" s="156" t="s">
        <v>9280</v>
      </c>
      <c r="AJ986" s="159" t="s">
        <v>276</v>
      </c>
      <c r="AK986" s="158">
        <f t="shared" ref="AK986:AK992" si="136">AE986*100000/AG986</f>
        <v>3.8419670871486202</v>
      </c>
      <c r="AL986" s="159" t="s">
        <v>276</v>
      </c>
      <c r="AM986" s="159" t="s">
        <v>276</v>
      </c>
      <c r="AN986" s="159" t="s">
        <v>276</v>
      </c>
      <c r="AO986" s="158">
        <f t="shared" ref="AO986:AO992" si="137">AF986*100000/AH986</f>
        <v>2.6445231924683981</v>
      </c>
      <c r="AP986" s="159" t="s">
        <v>276</v>
      </c>
      <c r="AQ986" s="159" t="s">
        <v>276</v>
      </c>
      <c r="AR986" s="150" t="s">
        <v>268</v>
      </c>
      <c r="AS986" s="159" t="s">
        <v>276</v>
      </c>
      <c r="AT986" s="159">
        <f t="shared" si="133"/>
        <v>1.4528014343343791</v>
      </c>
      <c r="AU986" s="159" t="s">
        <v>276</v>
      </c>
      <c r="AV986" s="159" t="s">
        <v>276</v>
      </c>
      <c r="AW986" s="150" t="s">
        <v>276</v>
      </c>
      <c r="AX986" s="150" t="s">
        <v>282</v>
      </c>
      <c r="AY986" s="150" t="s">
        <v>98</v>
      </c>
      <c r="AZ986" s="150" t="s">
        <v>98</v>
      </c>
      <c r="BA986" s="150" t="s">
        <v>98</v>
      </c>
      <c r="BB986" s="150" t="s">
        <v>98</v>
      </c>
      <c r="BC986" s="151" t="s">
        <v>2051</v>
      </c>
      <c r="BD986" s="151" t="s">
        <v>9281</v>
      </c>
      <c r="BE986" s="33" t="s">
        <v>100</v>
      </c>
      <c r="BF986" s="33" t="s">
        <v>98</v>
      </c>
    </row>
    <row r="987" spans="1:58" s="160" customFormat="1" ht="78" x14ac:dyDescent="0.3">
      <c r="A987" s="150">
        <v>4099</v>
      </c>
      <c r="B987" s="150" t="s">
        <v>9251</v>
      </c>
      <c r="C987" s="150" t="s">
        <v>62</v>
      </c>
      <c r="D987" s="151" t="s">
        <v>9282</v>
      </c>
      <c r="E987" s="150" t="s">
        <v>35</v>
      </c>
      <c r="F987" s="150" t="s">
        <v>97</v>
      </c>
      <c r="G987" s="150" t="s">
        <v>225</v>
      </c>
      <c r="H987" s="150" t="s">
        <v>125</v>
      </c>
      <c r="I987" s="150" t="s">
        <v>114</v>
      </c>
      <c r="J987" s="151" t="s">
        <v>24</v>
      </c>
      <c r="K987" s="151" t="s">
        <v>9253</v>
      </c>
      <c r="L987" s="151" t="s">
        <v>276</v>
      </c>
      <c r="M987" s="150" t="s">
        <v>15</v>
      </c>
      <c r="N987" s="152" t="s">
        <v>9254</v>
      </c>
      <c r="O987" s="153" t="s">
        <v>207</v>
      </c>
      <c r="P987" s="342" t="s">
        <v>98</v>
      </c>
      <c r="Q987" s="151" t="s">
        <v>710</v>
      </c>
      <c r="R987" s="151" t="s">
        <v>9283</v>
      </c>
      <c r="S987" s="151" t="s">
        <v>9284</v>
      </c>
      <c r="T987" s="168" t="s">
        <v>2331</v>
      </c>
      <c r="U987" s="155">
        <v>78085</v>
      </c>
      <c r="V987" s="156">
        <f t="shared" si="134"/>
        <v>75628</v>
      </c>
      <c r="W987" s="150" t="s">
        <v>276</v>
      </c>
      <c r="X987" s="150" t="s">
        <v>276</v>
      </c>
      <c r="Y987" s="150" t="s">
        <v>276</v>
      </c>
      <c r="Z987" s="151" t="s">
        <v>1562</v>
      </c>
      <c r="AA987" s="150" t="s">
        <v>276</v>
      </c>
      <c r="AB987" s="151" t="s">
        <v>1562</v>
      </c>
      <c r="AC987" s="151" t="s">
        <v>9285</v>
      </c>
      <c r="AD987" s="151" t="s">
        <v>9279</v>
      </c>
      <c r="AE987" s="150">
        <v>13</v>
      </c>
      <c r="AF987" s="150">
        <v>19</v>
      </c>
      <c r="AG987" s="155">
        <v>78085</v>
      </c>
      <c r="AH987" s="156">
        <f t="shared" si="135"/>
        <v>75628</v>
      </c>
      <c r="AI987" s="156" t="s">
        <v>9280</v>
      </c>
      <c r="AJ987" s="159" t="s">
        <v>276</v>
      </c>
      <c r="AK987" s="158">
        <f t="shared" si="136"/>
        <v>16.648524044310687</v>
      </c>
      <c r="AL987" s="159" t="s">
        <v>276</v>
      </c>
      <c r="AM987" s="159" t="s">
        <v>276</v>
      </c>
      <c r="AN987" s="159" t="s">
        <v>276</v>
      </c>
      <c r="AO987" s="158">
        <f t="shared" si="137"/>
        <v>25.122970328449782</v>
      </c>
      <c r="AP987" s="159" t="s">
        <v>276</v>
      </c>
      <c r="AQ987" s="159" t="s">
        <v>276</v>
      </c>
      <c r="AR987" s="150" t="s">
        <v>268</v>
      </c>
      <c r="AS987" s="159" t="s">
        <v>276</v>
      </c>
      <c r="AT987" s="159">
        <f t="shared" si="133"/>
        <v>0.66268135601217293</v>
      </c>
      <c r="AU987" s="159" t="s">
        <v>276</v>
      </c>
      <c r="AV987" s="159" t="s">
        <v>276</v>
      </c>
      <c r="AW987" s="150" t="s">
        <v>276</v>
      </c>
      <c r="AX987" s="150" t="s">
        <v>282</v>
      </c>
      <c r="AY987" s="150" t="s">
        <v>98</v>
      </c>
      <c r="AZ987" s="150" t="s">
        <v>98</v>
      </c>
      <c r="BA987" s="150" t="s">
        <v>98</v>
      </c>
      <c r="BB987" s="150" t="s">
        <v>98</v>
      </c>
      <c r="BC987" s="151" t="s">
        <v>2051</v>
      </c>
      <c r="BD987" s="151" t="s">
        <v>9281</v>
      </c>
      <c r="BE987" s="33" t="s">
        <v>100</v>
      </c>
      <c r="BF987" s="33" t="s">
        <v>98</v>
      </c>
    </row>
    <row r="988" spans="1:58" s="160" customFormat="1" ht="78" x14ac:dyDescent="0.3">
      <c r="A988" s="150">
        <v>4099</v>
      </c>
      <c r="B988" s="150" t="s">
        <v>9251</v>
      </c>
      <c r="C988" s="150" t="s">
        <v>62</v>
      </c>
      <c r="D988" s="151" t="s">
        <v>9286</v>
      </c>
      <c r="E988" s="150" t="s">
        <v>35</v>
      </c>
      <c r="F988" s="150" t="s">
        <v>97</v>
      </c>
      <c r="G988" s="150" t="s">
        <v>225</v>
      </c>
      <c r="H988" s="150" t="s">
        <v>125</v>
      </c>
      <c r="I988" s="150" t="s">
        <v>114</v>
      </c>
      <c r="J988" s="151" t="s">
        <v>24</v>
      </c>
      <c r="K988" s="151" t="s">
        <v>9253</v>
      </c>
      <c r="L988" s="151" t="s">
        <v>276</v>
      </c>
      <c r="M988" s="150" t="s">
        <v>15</v>
      </c>
      <c r="N988" s="152" t="s">
        <v>9254</v>
      </c>
      <c r="O988" s="153" t="s">
        <v>207</v>
      </c>
      <c r="P988" s="342">
        <v>31047</v>
      </c>
      <c r="Q988" s="151" t="s">
        <v>686</v>
      </c>
      <c r="R988" s="151" t="s">
        <v>9287</v>
      </c>
      <c r="S988" s="151" t="s">
        <v>9288</v>
      </c>
      <c r="T988" s="168" t="s">
        <v>1191</v>
      </c>
      <c r="U988" s="155">
        <v>78085</v>
      </c>
      <c r="V988" s="156">
        <f t="shared" si="134"/>
        <v>75628</v>
      </c>
      <c r="W988" s="150" t="s">
        <v>276</v>
      </c>
      <c r="X988" s="150" t="s">
        <v>276</v>
      </c>
      <c r="Y988" s="150" t="s">
        <v>276</v>
      </c>
      <c r="Z988" s="151" t="s">
        <v>1562</v>
      </c>
      <c r="AA988" s="150" t="s">
        <v>276</v>
      </c>
      <c r="AB988" s="151" t="s">
        <v>1562</v>
      </c>
      <c r="AC988" s="151" t="s">
        <v>9289</v>
      </c>
      <c r="AD988" s="151" t="s">
        <v>9279</v>
      </c>
      <c r="AE988" s="150">
        <v>32</v>
      </c>
      <c r="AF988" s="150">
        <v>36</v>
      </c>
      <c r="AG988" s="155">
        <v>78085</v>
      </c>
      <c r="AH988" s="156">
        <f t="shared" si="135"/>
        <v>75628</v>
      </c>
      <c r="AI988" s="156" t="s">
        <v>9280</v>
      </c>
      <c r="AJ988" s="159" t="s">
        <v>276</v>
      </c>
      <c r="AK988" s="158">
        <f t="shared" si="136"/>
        <v>40.980982262918616</v>
      </c>
      <c r="AL988" s="159" t="s">
        <v>276</v>
      </c>
      <c r="AM988" s="159" t="s">
        <v>276</v>
      </c>
      <c r="AN988" s="159" t="s">
        <v>276</v>
      </c>
      <c r="AO988" s="158">
        <f t="shared" si="137"/>
        <v>47.601417464431165</v>
      </c>
      <c r="AP988" s="159" t="s">
        <v>276</v>
      </c>
      <c r="AQ988" s="159" t="s">
        <v>276</v>
      </c>
      <c r="AR988" s="150" t="s">
        <v>268</v>
      </c>
      <c r="AS988" s="159" t="s">
        <v>276</v>
      </c>
      <c r="AT988" s="159">
        <f t="shared" si="133"/>
        <v>0.86091936849444695</v>
      </c>
      <c r="AU988" s="159" t="s">
        <v>276</v>
      </c>
      <c r="AV988" s="159" t="s">
        <v>276</v>
      </c>
      <c r="AW988" s="150" t="s">
        <v>276</v>
      </c>
      <c r="AX988" s="150" t="s">
        <v>282</v>
      </c>
      <c r="AY988" s="150" t="s">
        <v>98</v>
      </c>
      <c r="AZ988" s="150" t="s">
        <v>98</v>
      </c>
      <c r="BA988" s="150" t="s">
        <v>98</v>
      </c>
      <c r="BB988" s="150" t="s">
        <v>98</v>
      </c>
      <c r="BC988" s="151" t="s">
        <v>2051</v>
      </c>
      <c r="BD988" s="151" t="s">
        <v>9281</v>
      </c>
      <c r="BE988" s="33" t="s">
        <v>100</v>
      </c>
      <c r="BF988" s="33" t="s">
        <v>98</v>
      </c>
    </row>
    <row r="989" spans="1:58" s="160" customFormat="1" ht="78" x14ac:dyDescent="0.3">
      <c r="A989" s="150">
        <v>4099</v>
      </c>
      <c r="B989" s="150" t="s">
        <v>9251</v>
      </c>
      <c r="C989" s="150" t="s">
        <v>62</v>
      </c>
      <c r="D989" s="151" t="s">
        <v>9290</v>
      </c>
      <c r="E989" s="150" t="s">
        <v>35</v>
      </c>
      <c r="F989" s="150" t="s">
        <v>97</v>
      </c>
      <c r="G989" s="150" t="s">
        <v>225</v>
      </c>
      <c r="H989" s="150" t="s">
        <v>125</v>
      </c>
      <c r="I989" s="150" t="s">
        <v>114</v>
      </c>
      <c r="J989" s="151" t="s">
        <v>24</v>
      </c>
      <c r="K989" s="151" t="s">
        <v>9253</v>
      </c>
      <c r="L989" s="151" t="s">
        <v>276</v>
      </c>
      <c r="M989" s="150" t="s">
        <v>15</v>
      </c>
      <c r="N989" s="152" t="s">
        <v>9254</v>
      </c>
      <c r="O989" s="153" t="s">
        <v>207</v>
      </c>
      <c r="P989" s="342">
        <v>31047</v>
      </c>
      <c r="Q989" s="151" t="s">
        <v>721</v>
      </c>
      <c r="R989" s="151" t="s">
        <v>9291</v>
      </c>
      <c r="S989" s="151" t="s">
        <v>9292</v>
      </c>
      <c r="T989" s="168" t="s">
        <v>5401</v>
      </c>
      <c r="U989" s="155">
        <v>78085</v>
      </c>
      <c r="V989" s="156">
        <f t="shared" si="134"/>
        <v>75628</v>
      </c>
      <c r="W989" s="150" t="s">
        <v>276</v>
      </c>
      <c r="X989" s="150" t="s">
        <v>276</v>
      </c>
      <c r="Y989" s="150" t="s">
        <v>276</v>
      </c>
      <c r="Z989" s="151" t="s">
        <v>1562</v>
      </c>
      <c r="AA989" s="150" t="s">
        <v>276</v>
      </c>
      <c r="AB989" s="151" t="s">
        <v>1562</v>
      </c>
      <c r="AC989" s="151" t="s">
        <v>9293</v>
      </c>
      <c r="AD989" s="151" t="s">
        <v>9279</v>
      </c>
      <c r="AE989" s="150">
        <v>49</v>
      </c>
      <c r="AF989" s="150">
        <v>53</v>
      </c>
      <c r="AG989" s="155">
        <v>78085</v>
      </c>
      <c r="AH989" s="156">
        <f t="shared" si="135"/>
        <v>75628</v>
      </c>
      <c r="AI989" s="156" t="s">
        <v>9280</v>
      </c>
      <c r="AJ989" s="159" t="s">
        <v>276</v>
      </c>
      <c r="AK989" s="158">
        <f t="shared" si="136"/>
        <v>62.75212909009413</v>
      </c>
      <c r="AL989" s="159" t="s">
        <v>276</v>
      </c>
      <c r="AM989" s="159" t="s">
        <v>276</v>
      </c>
      <c r="AN989" s="159" t="s">
        <v>276</v>
      </c>
      <c r="AO989" s="158">
        <f t="shared" si="137"/>
        <v>70.079864600412549</v>
      </c>
      <c r="AP989" s="159" t="s">
        <v>276</v>
      </c>
      <c r="AQ989" s="159" t="s">
        <v>276</v>
      </c>
      <c r="AR989" s="150" t="s">
        <v>268</v>
      </c>
      <c r="AS989" s="159" t="s">
        <v>276</v>
      </c>
      <c r="AT989" s="159">
        <f t="shared" si="133"/>
        <v>0.89543736204257329</v>
      </c>
      <c r="AU989" s="159" t="s">
        <v>276</v>
      </c>
      <c r="AV989" s="159" t="s">
        <v>276</v>
      </c>
      <c r="AW989" s="150" t="s">
        <v>276</v>
      </c>
      <c r="AX989" s="150" t="s">
        <v>282</v>
      </c>
      <c r="AY989" s="150" t="s">
        <v>98</v>
      </c>
      <c r="AZ989" s="150" t="s">
        <v>98</v>
      </c>
      <c r="BA989" s="150" t="s">
        <v>98</v>
      </c>
      <c r="BB989" s="150" t="s">
        <v>98</v>
      </c>
      <c r="BC989" s="151" t="s">
        <v>2051</v>
      </c>
      <c r="BD989" s="151" t="s">
        <v>9281</v>
      </c>
      <c r="BE989" s="33" t="s">
        <v>100</v>
      </c>
      <c r="BF989" s="33" t="s">
        <v>98</v>
      </c>
    </row>
    <row r="990" spans="1:58" s="160" customFormat="1" ht="78" x14ac:dyDescent="0.3">
      <c r="A990" s="150">
        <v>4099</v>
      </c>
      <c r="B990" s="150" t="s">
        <v>9251</v>
      </c>
      <c r="C990" s="150" t="s">
        <v>62</v>
      </c>
      <c r="D990" s="151" t="s">
        <v>9294</v>
      </c>
      <c r="E990" s="150" t="s">
        <v>35</v>
      </c>
      <c r="F990" s="150" t="s">
        <v>97</v>
      </c>
      <c r="G990" s="150" t="s">
        <v>225</v>
      </c>
      <c r="H990" s="150" t="s">
        <v>125</v>
      </c>
      <c r="I990" s="150" t="s">
        <v>114</v>
      </c>
      <c r="J990" s="151" t="s">
        <v>24</v>
      </c>
      <c r="K990" s="151" t="s">
        <v>9253</v>
      </c>
      <c r="L990" s="151" t="s">
        <v>276</v>
      </c>
      <c r="M990" s="150" t="s">
        <v>15</v>
      </c>
      <c r="N990" s="152" t="s">
        <v>9254</v>
      </c>
      <c r="O990" s="153" t="s">
        <v>207</v>
      </c>
      <c r="P990" s="342">
        <v>31047</v>
      </c>
      <c r="Q990" s="151" t="s">
        <v>728</v>
      </c>
      <c r="R990" s="151" t="s">
        <v>9295</v>
      </c>
      <c r="S990" s="151" t="s">
        <v>9296</v>
      </c>
      <c r="T990" s="168" t="s">
        <v>5401</v>
      </c>
      <c r="U990" s="155">
        <v>78085</v>
      </c>
      <c r="V990" s="156">
        <f t="shared" si="134"/>
        <v>75628</v>
      </c>
      <c r="W990" s="150" t="s">
        <v>276</v>
      </c>
      <c r="X990" s="150" t="s">
        <v>276</v>
      </c>
      <c r="Y990" s="150" t="s">
        <v>276</v>
      </c>
      <c r="Z990" s="151" t="s">
        <v>1562</v>
      </c>
      <c r="AA990" s="150" t="s">
        <v>276</v>
      </c>
      <c r="AB990" s="151" t="s">
        <v>1562</v>
      </c>
      <c r="AC990" s="151" t="s">
        <v>9297</v>
      </c>
      <c r="AD990" s="151" t="s">
        <v>9279</v>
      </c>
      <c r="AE990" s="150">
        <v>66</v>
      </c>
      <c r="AF990" s="150">
        <v>89</v>
      </c>
      <c r="AG990" s="155">
        <v>78085</v>
      </c>
      <c r="AH990" s="156">
        <f t="shared" si="135"/>
        <v>75628</v>
      </c>
      <c r="AI990" s="156" t="s">
        <v>9280</v>
      </c>
      <c r="AJ990" s="159" t="s">
        <v>276</v>
      </c>
      <c r="AK990" s="158">
        <f t="shared" si="136"/>
        <v>84.523275917269643</v>
      </c>
      <c r="AL990" s="159" t="s">
        <v>276</v>
      </c>
      <c r="AM990" s="159" t="s">
        <v>276</v>
      </c>
      <c r="AN990" s="159" t="s">
        <v>276</v>
      </c>
      <c r="AO990" s="158">
        <f t="shared" si="137"/>
        <v>117.68128206484371</v>
      </c>
      <c r="AP990" s="159" t="s">
        <v>276</v>
      </c>
      <c r="AQ990" s="159" t="s">
        <v>276</v>
      </c>
      <c r="AR990" s="150" t="s">
        <v>268</v>
      </c>
      <c r="AS990" s="159" t="s">
        <v>276</v>
      </c>
      <c r="AT990" s="159">
        <f t="shared" si="133"/>
        <v>0.71823891135632223</v>
      </c>
      <c r="AU990" s="159" t="s">
        <v>276</v>
      </c>
      <c r="AV990" s="159" t="s">
        <v>276</v>
      </c>
      <c r="AW990" s="150" t="s">
        <v>276</v>
      </c>
      <c r="AX990" s="150" t="s">
        <v>282</v>
      </c>
      <c r="AY990" s="150" t="s">
        <v>98</v>
      </c>
      <c r="AZ990" s="150" t="s">
        <v>98</v>
      </c>
      <c r="BA990" s="150" t="s">
        <v>98</v>
      </c>
      <c r="BB990" s="150" t="s">
        <v>98</v>
      </c>
      <c r="BC990" s="151" t="s">
        <v>2051</v>
      </c>
      <c r="BD990" s="151" t="s">
        <v>9281</v>
      </c>
      <c r="BE990" s="33" t="s">
        <v>100</v>
      </c>
      <c r="BF990" s="33" t="s">
        <v>98</v>
      </c>
    </row>
    <row r="991" spans="1:58" s="160" customFormat="1" ht="78" x14ac:dyDescent="0.3">
      <c r="A991" s="150">
        <v>4099</v>
      </c>
      <c r="B991" s="150" t="s">
        <v>9251</v>
      </c>
      <c r="C991" s="150" t="s">
        <v>62</v>
      </c>
      <c r="D991" s="151" t="s">
        <v>9298</v>
      </c>
      <c r="E991" s="150" t="s">
        <v>35</v>
      </c>
      <c r="F991" s="150" t="s">
        <v>97</v>
      </c>
      <c r="G991" s="150" t="s">
        <v>225</v>
      </c>
      <c r="H991" s="150" t="s">
        <v>125</v>
      </c>
      <c r="I991" s="150" t="s">
        <v>114</v>
      </c>
      <c r="J991" s="151" t="s">
        <v>24</v>
      </c>
      <c r="K991" s="151" t="s">
        <v>9253</v>
      </c>
      <c r="L991" s="151" t="s">
        <v>276</v>
      </c>
      <c r="M991" s="150" t="s">
        <v>15</v>
      </c>
      <c r="N991" s="152" t="s">
        <v>9254</v>
      </c>
      <c r="O991" s="153" t="s">
        <v>207</v>
      </c>
      <c r="P991" s="342">
        <v>31047</v>
      </c>
      <c r="Q991" s="151" t="s">
        <v>733</v>
      </c>
      <c r="R991" s="151" t="s">
        <v>9299</v>
      </c>
      <c r="S991" s="151" t="s">
        <v>9300</v>
      </c>
      <c r="T991" s="168" t="s">
        <v>1219</v>
      </c>
      <c r="U991" s="155">
        <v>78085</v>
      </c>
      <c r="V991" s="156">
        <f t="shared" si="134"/>
        <v>75628</v>
      </c>
      <c r="W991" s="150" t="s">
        <v>276</v>
      </c>
      <c r="X991" s="150" t="s">
        <v>276</v>
      </c>
      <c r="Y991" s="150" t="s">
        <v>276</v>
      </c>
      <c r="Z991" s="151" t="s">
        <v>1562</v>
      </c>
      <c r="AA991" s="150" t="s">
        <v>276</v>
      </c>
      <c r="AB991" s="151" t="s">
        <v>1562</v>
      </c>
      <c r="AC991" s="151" t="s">
        <v>9301</v>
      </c>
      <c r="AD991" s="151" t="s">
        <v>9279</v>
      </c>
      <c r="AE991" s="150">
        <v>79</v>
      </c>
      <c r="AF991" s="150">
        <v>114</v>
      </c>
      <c r="AG991" s="155">
        <v>78085</v>
      </c>
      <c r="AH991" s="156">
        <f t="shared" si="135"/>
        <v>75628</v>
      </c>
      <c r="AI991" s="156" t="s">
        <v>9280</v>
      </c>
      <c r="AJ991" s="159" t="s">
        <v>276</v>
      </c>
      <c r="AK991" s="158">
        <f t="shared" si="136"/>
        <v>101.17179996158033</v>
      </c>
      <c r="AL991" s="159" t="s">
        <v>276</v>
      </c>
      <c r="AM991" s="159" t="s">
        <v>276</v>
      </c>
      <c r="AN991" s="159" t="s">
        <v>276</v>
      </c>
      <c r="AO991" s="158">
        <f t="shared" si="137"/>
        <v>150.73782197069869</v>
      </c>
      <c r="AP991" s="159" t="s">
        <v>276</v>
      </c>
      <c r="AQ991" s="159" t="s">
        <v>276</v>
      </c>
      <c r="AR991" s="150" t="s">
        <v>268</v>
      </c>
      <c r="AS991" s="159" t="s">
        <v>276</v>
      </c>
      <c r="AT991" s="159">
        <f t="shared" si="133"/>
        <v>0.67117727083284184</v>
      </c>
      <c r="AU991" s="159" t="s">
        <v>276</v>
      </c>
      <c r="AV991" s="159" t="s">
        <v>276</v>
      </c>
      <c r="AW991" s="150" t="s">
        <v>276</v>
      </c>
      <c r="AX991" s="150" t="s">
        <v>282</v>
      </c>
      <c r="AY991" s="150" t="s">
        <v>98</v>
      </c>
      <c r="AZ991" s="150" t="s">
        <v>98</v>
      </c>
      <c r="BA991" s="150" t="s">
        <v>98</v>
      </c>
      <c r="BB991" s="150" t="s">
        <v>98</v>
      </c>
      <c r="BC991" s="151" t="s">
        <v>2051</v>
      </c>
      <c r="BD991" s="151" t="s">
        <v>9281</v>
      </c>
      <c r="BE991" s="33" t="s">
        <v>100</v>
      </c>
      <c r="BF991" s="33" t="s">
        <v>98</v>
      </c>
    </row>
    <row r="992" spans="1:58" s="160" customFormat="1" ht="78" x14ac:dyDescent="0.3">
      <c r="A992" s="150">
        <v>4099</v>
      </c>
      <c r="B992" s="150" t="s">
        <v>9251</v>
      </c>
      <c r="C992" s="150" t="s">
        <v>62</v>
      </c>
      <c r="D992" s="151" t="s">
        <v>9302</v>
      </c>
      <c r="E992" s="150" t="s">
        <v>35</v>
      </c>
      <c r="F992" s="150" t="s">
        <v>97</v>
      </c>
      <c r="G992" s="150" t="s">
        <v>225</v>
      </c>
      <c r="H992" s="150" t="s">
        <v>125</v>
      </c>
      <c r="I992" s="150" t="s">
        <v>114</v>
      </c>
      <c r="J992" s="151" t="s">
        <v>24</v>
      </c>
      <c r="K992" s="151" t="s">
        <v>9253</v>
      </c>
      <c r="L992" s="151" t="s">
        <v>276</v>
      </c>
      <c r="M992" s="150" t="s">
        <v>15</v>
      </c>
      <c r="N992" s="152" t="s">
        <v>9254</v>
      </c>
      <c r="O992" s="153" t="s">
        <v>207</v>
      </c>
      <c r="P992" s="342">
        <v>31047</v>
      </c>
      <c r="Q992" s="151" t="s">
        <v>741</v>
      </c>
      <c r="R992" s="151" t="s">
        <v>9303</v>
      </c>
      <c r="S992" s="151" t="s">
        <v>9304</v>
      </c>
      <c r="T992" s="168" t="s">
        <v>6411</v>
      </c>
      <c r="U992" s="155">
        <v>78085</v>
      </c>
      <c r="V992" s="156">
        <f t="shared" si="134"/>
        <v>75628</v>
      </c>
      <c r="W992" s="150" t="s">
        <v>276</v>
      </c>
      <c r="X992" s="150" t="s">
        <v>276</v>
      </c>
      <c r="Y992" s="150" t="s">
        <v>276</v>
      </c>
      <c r="Z992" s="151" t="s">
        <v>1562</v>
      </c>
      <c r="AA992" s="150" t="s">
        <v>276</v>
      </c>
      <c r="AB992" s="151" t="s">
        <v>1562</v>
      </c>
      <c r="AC992" s="151" t="s">
        <v>9305</v>
      </c>
      <c r="AD992" s="151" t="s">
        <v>9279</v>
      </c>
      <c r="AE992" s="150">
        <v>87</v>
      </c>
      <c r="AF992" s="150">
        <v>125</v>
      </c>
      <c r="AG992" s="155">
        <v>78085</v>
      </c>
      <c r="AH992" s="156">
        <f t="shared" si="135"/>
        <v>75628</v>
      </c>
      <c r="AI992" s="156" t="s">
        <v>9280</v>
      </c>
      <c r="AJ992" s="159" t="s">
        <v>276</v>
      </c>
      <c r="AK992" s="158">
        <f t="shared" si="136"/>
        <v>111.41704552730998</v>
      </c>
      <c r="AL992" s="159" t="s">
        <v>276</v>
      </c>
      <c r="AM992" s="159" t="s">
        <v>276</v>
      </c>
      <c r="AN992" s="159" t="s">
        <v>276</v>
      </c>
      <c r="AO992" s="158">
        <f t="shared" si="137"/>
        <v>165.28269952927488</v>
      </c>
      <c r="AP992" s="159" t="s">
        <v>276</v>
      </c>
      <c r="AQ992" s="159" t="s">
        <v>276</v>
      </c>
      <c r="AR992" s="150" t="s">
        <v>268</v>
      </c>
      <c r="AS992" s="159" t="s">
        <v>276</v>
      </c>
      <c r="AT992" s="159">
        <f t="shared" si="133"/>
        <v>0.67409986553115187</v>
      </c>
      <c r="AU992" s="159" t="s">
        <v>276</v>
      </c>
      <c r="AV992" s="159" t="s">
        <v>276</v>
      </c>
      <c r="AW992" s="150" t="s">
        <v>276</v>
      </c>
      <c r="AX992" s="150" t="s">
        <v>282</v>
      </c>
      <c r="AY992" s="150" t="s">
        <v>98</v>
      </c>
      <c r="AZ992" s="150" t="s">
        <v>98</v>
      </c>
      <c r="BA992" s="150" t="s">
        <v>98</v>
      </c>
      <c r="BB992" s="150" t="s">
        <v>98</v>
      </c>
      <c r="BC992" s="151" t="s">
        <v>2051</v>
      </c>
      <c r="BD992" s="151" t="s">
        <v>9281</v>
      </c>
      <c r="BE992" s="33" t="s">
        <v>100</v>
      </c>
      <c r="BF992" s="33" t="s">
        <v>98</v>
      </c>
    </row>
    <row r="993" spans="1:58" s="202" customFormat="1" ht="39" x14ac:dyDescent="0.3">
      <c r="A993" s="175">
        <v>4097</v>
      </c>
      <c r="B993" s="175" t="s">
        <v>9306</v>
      </c>
      <c r="C993" s="176" t="s">
        <v>9264</v>
      </c>
      <c r="D993" s="176" t="s">
        <v>9252</v>
      </c>
      <c r="E993" s="175" t="s">
        <v>35</v>
      </c>
      <c r="F993" s="175" t="s">
        <v>97</v>
      </c>
      <c r="G993" s="175" t="s">
        <v>225</v>
      </c>
      <c r="H993" s="175" t="s">
        <v>125</v>
      </c>
      <c r="I993" s="175" t="s">
        <v>114</v>
      </c>
      <c r="J993" s="176" t="s">
        <v>24</v>
      </c>
      <c r="K993" s="176" t="s">
        <v>9307</v>
      </c>
      <c r="L993" s="176" t="s">
        <v>276</v>
      </c>
      <c r="M993" s="175" t="s">
        <v>15</v>
      </c>
      <c r="N993" s="198" t="s">
        <v>9254</v>
      </c>
      <c r="O993" s="199" t="s">
        <v>207</v>
      </c>
      <c r="P993" s="200">
        <v>31047</v>
      </c>
      <c r="Q993" s="176" t="s">
        <v>276</v>
      </c>
      <c r="R993" s="176" t="s">
        <v>276</v>
      </c>
      <c r="S993" s="176" t="s">
        <v>276</v>
      </c>
      <c r="T993" s="178" t="s">
        <v>276</v>
      </c>
      <c r="U993" s="180">
        <v>38589</v>
      </c>
      <c r="V993" s="179">
        <v>18582</v>
      </c>
      <c r="W993" s="175" t="s">
        <v>276</v>
      </c>
      <c r="X993" s="175" t="s">
        <v>276</v>
      </c>
      <c r="Y993" s="175" t="s">
        <v>276</v>
      </c>
      <c r="Z993" s="176" t="s">
        <v>1562</v>
      </c>
      <c r="AA993" s="175" t="s">
        <v>276</v>
      </c>
      <c r="AB993" s="176" t="s">
        <v>1562</v>
      </c>
      <c r="AC993" s="176" t="s">
        <v>9257</v>
      </c>
      <c r="AD993" s="176" t="s">
        <v>9258</v>
      </c>
      <c r="AE993" s="175">
        <v>51</v>
      </c>
      <c r="AF993" s="175">
        <v>39</v>
      </c>
      <c r="AG993" s="180">
        <v>38589</v>
      </c>
      <c r="AH993" s="179">
        <v>18582</v>
      </c>
      <c r="AI993" s="179" t="s">
        <v>281</v>
      </c>
      <c r="AJ993" s="181" t="s">
        <v>276</v>
      </c>
      <c r="AK993" s="201">
        <f t="shared" ref="AK993:AK1056" si="138">AE993*1000/AG993</f>
        <v>1.3216201508201819</v>
      </c>
      <c r="AL993" s="181" t="s">
        <v>276</v>
      </c>
      <c r="AM993" s="181" t="s">
        <v>276</v>
      </c>
      <c r="AN993" s="181" t="s">
        <v>276</v>
      </c>
      <c r="AO993" s="201">
        <f>AF993*1000/AH993</f>
        <v>2.0988052954472072</v>
      </c>
      <c r="AP993" s="181" t="s">
        <v>276</v>
      </c>
      <c r="AQ993" s="181" t="s">
        <v>276</v>
      </c>
      <c r="AR993" s="175" t="s">
        <v>268</v>
      </c>
      <c r="AS993" s="181">
        <v>0.63</v>
      </c>
      <c r="AT993" s="181">
        <f t="shared" si="133"/>
        <v>0.62970117032155426</v>
      </c>
      <c r="AU993" s="181">
        <v>0.41</v>
      </c>
      <c r="AV993" s="181">
        <v>0.96</v>
      </c>
      <c r="AW993" s="175">
        <v>0.03</v>
      </c>
      <c r="AX993" s="175" t="s">
        <v>282</v>
      </c>
      <c r="AY993" s="175" t="s">
        <v>98</v>
      </c>
      <c r="AZ993" s="175" t="s">
        <v>98</v>
      </c>
      <c r="BA993" s="175" t="s">
        <v>98</v>
      </c>
      <c r="BB993" s="175" t="s">
        <v>98</v>
      </c>
      <c r="BC993" s="176" t="s">
        <v>298</v>
      </c>
      <c r="BD993" s="176"/>
      <c r="BE993" s="33" t="s">
        <v>100</v>
      </c>
      <c r="BF993" s="33" t="s">
        <v>98</v>
      </c>
    </row>
    <row r="994" spans="1:58" s="202" customFormat="1" ht="39" x14ac:dyDescent="0.3">
      <c r="A994" s="175">
        <v>4097</v>
      </c>
      <c r="B994" s="175" t="s">
        <v>9306</v>
      </c>
      <c r="C994" s="176" t="s">
        <v>9264</v>
      </c>
      <c r="D994" s="176" t="s">
        <v>9308</v>
      </c>
      <c r="E994" s="175" t="s">
        <v>35</v>
      </c>
      <c r="F994" s="175" t="s">
        <v>97</v>
      </c>
      <c r="G994" s="175" t="s">
        <v>225</v>
      </c>
      <c r="H994" s="175" t="s">
        <v>125</v>
      </c>
      <c r="I994" s="175" t="s">
        <v>114</v>
      </c>
      <c r="J994" s="176" t="s">
        <v>24</v>
      </c>
      <c r="K994" s="176" t="s">
        <v>9307</v>
      </c>
      <c r="L994" s="176" t="s">
        <v>276</v>
      </c>
      <c r="M994" s="175" t="s">
        <v>15</v>
      </c>
      <c r="N994" s="198" t="s">
        <v>9254</v>
      </c>
      <c r="O994" s="199" t="s">
        <v>207</v>
      </c>
      <c r="P994" s="200">
        <v>31412</v>
      </c>
      <c r="Q994" s="176" t="s">
        <v>276</v>
      </c>
      <c r="R994" s="176" t="s">
        <v>276</v>
      </c>
      <c r="S994" s="176" t="s">
        <v>276</v>
      </c>
      <c r="T994" s="178" t="s">
        <v>276</v>
      </c>
      <c r="U994" s="180">
        <v>38589</v>
      </c>
      <c r="V994" s="179">
        <v>18582</v>
      </c>
      <c r="W994" s="175" t="s">
        <v>276</v>
      </c>
      <c r="X994" s="175" t="s">
        <v>276</v>
      </c>
      <c r="Y994" s="175" t="s">
        <v>276</v>
      </c>
      <c r="Z994" s="176" t="s">
        <v>1562</v>
      </c>
      <c r="AA994" s="175" t="s">
        <v>276</v>
      </c>
      <c r="AB994" s="176" t="s">
        <v>1562</v>
      </c>
      <c r="AC994" s="176" t="s">
        <v>9309</v>
      </c>
      <c r="AD994" s="176" t="s">
        <v>9258</v>
      </c>
      <c r="AE994" s="175">
        <v>71</v>
      </c>
      <c r="AF994" s="175">
        <v>52</v>
      </c>
      <c r="AG994" s="180">
        <v>38589</v>
      </c>
      <c r="AH994" s="179">
        <v>18582</v>
      </c>
      <c r="AI994" s="179" t="s">
        <v>281</v>
      </c>
      <c r="AJ994" s="181" t="s">
        <v>276</v>
      </c>
      <c r="AK994" s="201">
        <f t="shared" si="138"/>
        <v>1.8399025629065278</v>
      </c>
      <c r="AL994" s="181" t="s">
        <v>276</v>
      </c>
      <c r="AM994" s="181" t="s">
        <v>276</v>
      </c>
      <c r="AN994" s="181" t="s">
        <v>276</v>
      </c>
      <c r="AO994" s="201">
        <f t="shared" ref="AO994:AO1057" si="139">AF994*1000/AH994</f>
        <v>2.7984070605962761</v>
      </c>
      <c r="AP994" s="181" t="s">
        <v>276</v>
      </c>
      <c r="AQ994" s="181" t="s">
        <v>276</v>
      </c>
      <c r="AR994" s="175" t="s">
        <v>268</v>
      </c>
      <c r="AS994" s="181">
        <v>0.66</v>
      </c>
      <c r="AT994" s="181">
        <f t="shared" si="133"/>
        <v>0.65748210430632881</v>
      </c>
      <c r="AU994" s="181">
        <v>0.45</v>
      </c>
      <c r="AV994" s="181">
        <v>0.94</v>
      </c>
      <c r="AW994" s="175">
        <v>0.02</v>
      </c>
      <c r="AX994" s="175" t="s">
        <v>282</v>
      </c>
      <c r="AY994" s="175" t="s">
        <v>98</v>
      </c>
      <c r="AZ994" s="175" t="s">
        <v>98</v>
      </c>
      <c r="BA994" s="175" t="s">
        <v>98</v>
      </c>
      <c r="BB994" s="175" t="s">
        <v>98</v>
      </c>
      <c r="BC994" s="176" t="s">
        <v>298</v>
      </c>
      <c r="BD994" s="176"/>
      <c r="BE994" s="33" t="s">
        <v>100</v>
      </c>
      <c r="BF994" s="33" t="s">
        <v>98</v>
      </c>
    </row>
    <row r="995" spans="1:58" s="202" customFormat="1" ht="39" x14ac:dyDescent="0.3">
      <c r="A995" s="175">
        <v>4097</v>
      </c>
      <c r="B995" s="175" t="s">
        <v>9306</v>
      </c>
      <c r="C995" s="176" t="s">
        <v>9264</v>
      </c>
      <c r="D995" s="176" t="s">
        <v>9310</v>
      </c>
      <c r="E995" s="175" t="s">
        <v>35</v>
      </c>
      <c r="F995" s="175" t="s">
        <v>97</v>
      </c>
      <c r="G995" s="175" t="s">
        <v>225</v>
      </c>
      <c r="H995" s="175" t="s">
        <v>125</v>
      </c>
      <c r="I995" s="175" t="s">
        <v>114</v>
      </c>
      <c r="J995" s="176" t="s">
        <v>24</v>
      </c>
      <c r="K995" s="176" t="s">
        <v>9307</v>
      </c>
      <c r="L995" s="176" t="s">
        <v>276</v>
      </c>
      <c r="M995" s="175" t="s">
        <v>15</v>
      </c>
      <c r="N995" s="198" t="s">
        <v>9254</v>
      </c>
      <c r="O995" s="199" t="s">
        <v>207</v>
      </c>
      <c r="P995" s="200">
        <v>31777</v>
      </c>
      <c r="Q995" s="176" t="s">
        <v>276</v>
      </c>
      <c r="R995" s="176" t="s">
        <v>9311</v>
      </c>
      <c r="S995" s="176" t="s">
        <v>9311</v>
      </c>
      <c r="T995" s="178" t="s">
        <v>276</v>
      </c>
      <c r="U995" s="180">
        <v>38589</v>
      </c>
      <c r="V995" s="179">
        <v>18582</v>
      </c>
      <c r="W995" s="175" t="s">
        <v>276</v>
      </c>
      <c r="X995" s="175" t="s">
        <v>276</v>
      </c>
      <c r="Y995" s="175" t="s">
        <v>276</v>
      </c>
      <c r="Z995" s="176" t="s">
        <v>1562</v>
      </c>
      <c r="AA995" s="175" t="s">
        <v>276</v>
      </c>
      <c r="AB995" s="176" t="s">
        <v>1562</v>
      </c>
      <c r="AC995" s="176" t="s">
        <v>9312</v>
      </c>
      <c r="AD995" s="176" t="s">
        <v>9258</v>
      </c>
      <c r="AE995" s="175">
        <v>77</v>
      </c>
      <c r="AF995" s="175">
        <v>58</v>
      </c>
      <c r="AG995" s="180">
        <v>38589</v>
      </c>
      <c r="AH995" s="179">
        <v>18582</v>
      </c>
      <c r="AI995" s="179" t="s">
        <v>281</v>
      </c>
      <c r="AJ995" s="181" t="s">
        <v>276</v>
      </c>
      <c r="AK995" s="201">
        <f t="shared" si="138"/>
        <v>1.9953872865324316</v>
      </c>
      <c r="AL995" s="181" t="s">
        <v>276</v>
      </c>
      <c r="AM995" s="181" t="s">
        <v>276</v>
      </c>
      <c r="AN995" s="181" t="s">
        <v>276</v>
      </c>
      <c r="AO995" s="201">
        <f t="shared" si="139"/>
        <v>3.1213001829727696</v>
      </c>
      <c r="AP995" s="181" t="s">
        <v>276</v>
      </c>
      <c r="AQ995" s="181" t="s">
        <v>276</v>
      </c>
      <c r="AR995" s="175" t="s">
        <v>268</v>
      </c>
      <c r="AS995" s="181">
        <v>0.64</v>
      </c>
      <c r="AT995" s="181">
        <f t="shared" si="133"/>
        <v>0.63928080273009724</v>
      </c>
      <c r="AU995" s="181">
        <v>0.45</v>
      </c>
      <c r="AV995" s="181">
        <v>0.9</v>
      </c>
      <c r="AW995" s="175">
        <v>8.0000000000000002E-3</v>
      </c>
      <c r="AX995" s="175" t="s">
        <v>282</v>
      </c>
      <c r="AY995" s="175" t="s">
        <v>98</v>
      </c>
      <c r="AZ995" s="175" t="s">
        <v>98</v>
      </c>
      <c r="BA995" s="175" t="s">
        <v>98</v>
      </c>
      <c r="BB995" s="175" t="s">
        <v>98</v>
      </c>
      <c r="BC995" s="176" t="s">
        <v>298</v>
      </c>
      <c r="BD995" s="176"/>
      <c r="BE995" s="33" t="s">
        <v>100</v>
      </c>
      <c r="BF995" s="33" t="s">
        <v>98</v>
      </c>
    </row>
    <row r="996" spans="1:58" s="339" customFormat="1" ht="39" x14ac:dyDescent="0.3">
      <c r="A996" s="184">
        <v>4097</v>
      </c>
      <c r="B996" s="184" t="s">
        <v>9306</v>
      </c>
      <c r="C996" s="185" t="s">
        <v>9266</v>
      </c>
      <c r="D996" s="185" t="s">
        <v>9252</v>
      </c>
      <c r="E996" s="184" t="s">
        <v>35</v>
      </c>
      <c r="F996" s="184" t="s">
        <v>97</v>
      </c>
      <c r="G996" s="184" t="s">
        <v>225</v>
      </c>
      <c r="H996" s="184" t="s">
        <v>125</v>
      </c>
      <c r="I996" s="184" t="s">
        <v>114</v>
      </c>
      <c r="J996" s="185" t="s">
        <v>24</v>
      </c>
      <c r="K996" s="185" t="s">
        <v>9307</v>
      </c>
      <c r="L996" s="185" t="s">
        <v>276</v>
      </c>
      <c r="M996" s="184" t="s">
        <v>15</v>
      </c>
      <c r="N996" s="336" t="s">
        <v>9254</v>
      </c>
      <c r="O996" s="337" t="s">
        <v>207</v>
      </c>
      <c r="P996" s="322">
        <v>31047</v>
      </c>
      <c r="Q996" s="185" t="s">
        <v>276</v>
      </c>
      <c r="R996" s="185" t="s">
        <v>276</v>
      </c>
      <c r="S996" s="185" t="s">
        <v>276</v>
      </c>
      <c r="T996" s="187" t="s">
        <v>276</v>
      </c>
      <c r="U996" s="189">
        <v>38491</v>
      </c>
      <c r="V996" s="188">
        <v>37403</v>
      </c>
      <c r="W996" s="184" t="s">
        <v>276</v>
      </c>
      <c r="X996" s="184" t="s">
        <v>276</v>
      </c>
      <c r="Y996" s="184" t="s">
        <v>276</v>
      </c>
      <c r="Z996" s="185" t="s">
        <v>1562</v>
      </c>
      <c r="AA996" s="184" t="s">
        <v>276</v>
      </c>
      <c r="AB996" s="185" t="s">
        <v>1562</v>
      </c>
      <c r="AC996" s="185" t="s">
        <v>9257</v>
      </c>
      <c r="AD996" s="185" t="s">
        <v>9258</v>
      </c>
      <c r="AE996" s="184">
        <v>36</v>
      </c>
      <c r="AF996" s="184">
        <v>47</v>
      </c>
      <c r="AG996" s="189">
        <v>38491</v>
      </c>
      <c r="AH996" s="188">
        <v>37403</v>
      </c>
      <c r="AI996" s="188" t="s">
        <v>281</v>
      </c>
      <c r="AJ996" s="192" t="s">
        <v>276</v>
      </c>
      <c r="AK996" s="338">
        <f t="shared" si="138"/>
        <v>0.93528357278324803</v>
      </c>
      <c r="AL996" s="192" t="s">
        <v>276</v>
      </c>
      <c r="AM996" s="192" t="s">
        <v>276</v>
      </c>
      <c r="AN996" s="192" t="s">
        <v>276</v>
      </c>
      <c r="AO996" s="338">
        <f t="shared" si="139"/>
        <v>1.2565836964949335</v>
      </c>
      <c r="AP996" s="192" t="s">
        <v>276</v>
      </c>
      <c r="AQ996" s="192" t="s">
        <v>276</v>
      </c>
      <c r="AR996" s="184" t="s">
        <v>268</v>
      </c>
      <c r="AS996" s="192">
        <v>0.74</v>
      </c>
      <c r="AT996" s="192">
        <f t="shared" si="133"/>
        <v>0.74430662708110273</v>
      </c>
      <c r="AU996" s="192">
        <v>0.48</v>
      </c>
      <c r="AV996" s="192">
        <v>1.1499999999999999</v>
      </c>
      <c r="AW996" s="184">
        <v>0.2</v>
      </c>
      <c r="AX996" s="184" t="s">
        <v>282</v>
      </c>
      <c r="AY996" s="184" t="s">
        <v>98</v>
      </c>
      <c r="AZ996" s="184" t="s">
        <v>98</v>
      </c>
      <c r="BA996" s="184" t="s">
        <v>98</v>
      </c>
      <c r="BB996" s="184" t="s">
        <v>98</v>
      </c>
      <c r="BC996" s="185" t="s">
        <v>298</v>
      </c>
      <c r="BD996" s="185"/>
      <c r="BE996" s="33" t="s">
        <v>100</v>
      </c>
      <c r="BF996" s="33" t="s">
        <v>98</v>
      </c>
    </row>
    <row r="997" spans="1:58" s="339" customFormat="1" ht="39" x14ac:dyDescent="0.3">
      <c r="A997" s="184">
        <v>4097</v>
      </c>
      <c r="B997" s="184" t="s">
        <v>9306</v>
      </c>
      <c r="C997" s="185" t="s">
        <v>9266</v>
      </c>
      <c r="D997" s="185" t="s">
        <v>9308</v>
      </c>
      <c r="E997" s="184" t="s">
        <v>35</v>
      </c>
      <c r="F997" s="184" t="s">
        <v>97</v>
      </c>
      <c r="G997" s="184" t="s">
        <v>225</v>
      </c>
      <c r="H997" s="184" t="s">
        <v>125</v>
      </c>
      <c r="I997" s="184" t="s">
        <v>114</v>
      </c>
      <c r="J997" s="185" t="s">
        <v>24</v>
      </c>
      <c r="K997" s="185" t="s">
        <v>9307</v>
      </c>
      <c r="L997" s="185" t="s">
        <v>276</v>
      </c>
      <c r="M997" s="184" t="s">
        <v>15</v>
      </c>
      <c r="N997" s="336" t="s">
        <v>9254</v>
      </c>
      <c r="O997" s="337" t="s">
        <v>207</v>
      </c>
      <c r="P997" s="322">
        <v>31412</v>
      </c>
      <c r="Q997" s="185" t="s">
        <v>276</v>
      </c>
      <c r="R997" s="185" t="s">
        <v>276</v>
      </c>
      <c r="S997" s="185" t="s">
        <v>276</v>
      </c>
      <c r="T997" s="187" t="s">
        <v>276</v>
      </c>
      <c r="U997" s="189">
        <v>38491</v>
      </c>
      <c r="V997" s="188">
        <v>37403</v>
      </c>
      <c r="W997" s="184" t="s">
        <v>276</v>
      </c>
      <c r="X997" s="184" t="s">
        <v>276</v>
      </c>
      <c r="Y997" s="184" t="s">
        <v>276</v>
      </c>
      <c r="Z997" s="185" t="s">
        <v>1562</v>
      </c>
      <c r="AA997" s="184" t="s">
        <v>276</v>
      </c>
      <c r="AB997" s="185" t="s">
        <v>1562</v>
      </c>
      <c r="AC997" s="185" t="s">
        <v>9309</v>
      </c>
      <c r="AD997" s="185" t="s">
        <v>9258</v>
      </c>
      <c r="AE997" s="184">
        <v>53</v>
      </c>
      <c r="AF997" s="184">
        <v>67</v>
      </c>
      <c r="AG997" s="189">
        <v>38491</v>
      </c>
      <c r="AH997" s="188">
        <v>37403</v>
      </c>
      <c r="AI997" s="188" t="s">
        <v>281</v>
      </c>
      <c r="AJ997" s="192" t="s">
        <v>276</v>
      </c>
      <c r="AK997" s="338">
        <f t="shared" si="138"/>
        <v>1.3769452599308929</v>
      </c>
      <c r="AL997" s="192" t="s">
        <v>276</v>
      </c>
      <c r="AM997" s="192" t="s">
        <v>276</v>
      </c>
      <c r="AN997" s="192" t="s">
        <v>276</v>
      </c>
      <c r="AO997" s="338">
        <f t="shared" si="139"/>
        <v>1.7913001630885224</v>
      </c>
      <c r="AP997" s="192" t="s">
        <v>276</v>
      </c>
      <c r="AQ997" s="192" t="s">
        <v>276</v>
      </c>
      <c r="AR997" s="184" t="s">
        <v>268</v>
      </c>
      <c r="AS997" s="192">
        <v>0.77</v>
      </c>
      <c r="AT997" s="192">
        <f t="shared" si="133"/>
        <v>0.76868482921186843</v>
      </c>
      <c r="AU997" s="192">
        <v>0.53</v>
      </c>
      <c r="AV997" s="192">
        <v>1.1100000000000001</v>
      </c>
      <c r="AW997" s="184">
        <v>0.1</v>
      </c>
      <c r="AX997" s="184" t="s">
        <v>282</v>
      </c>
      <c r="AY997" s="184" t="s">
        <v>98</v>
      </c>
      <c r="AZ997" s="184" t="s">
        <v>98</v>
      </c>
      <c r="BA997" s="184" t="s">
        <v>98</v>
      </c>
      <c r="BB997" s="184" t="s">
        <v>98</v>
      </c>
      <c r="BC997" s="185" t="s">
        <v>298</v>
      </c>
      <c r="BD997" s="185"/>
      <c r="BE997" s="33" t="s">
        <v>100</v>
      </c>
      <c r="BF997" s="33" t="s">
        <v>98</v>
      </c>
    </row>
    <row r="998" spans="1:58" s="339" customFormat="1" ht="39" x14ac:dyDescent="0.3">
      <c r="A998" s="184">
        <v>4097</v>
      </c>
      <c r="B998" s="184" t="s">
        <v>9306</v>
      </c>
      <c r="C998" s="185" t="s">
        <v>9266</v>
      </c>
      <c r="D998" s="185" t="s">
        <v>9313</v>
      </c>
      <c r="E998" s="184" t="s">
        <v>35</v>
      </c>
      <c r="F998" s="184" t="s">
        <v>97</v>
      </c>
      <c r="G998" s="184" t="s">
        <v>225</v>
      </c>
      <c r="H998" s="184" t="s">
        <v>125</v>
      </c>
      <c r="I998" s="184" t="s">
        <v>114</v>
      </c>
      <c r="J998" s="185" t="s">
        <v>24</v>
      </c>
      <c r="K998" s="185" t="s">
        <v>9307</v>
      </c>
      <c r="L998" s="185" t="s">
        <v>276</v>
      </c>
      <c r="M998" s="184" t="s">
        <v>15</v>
      </c>
      <c r="N998" s="336" t="s">
        <v>9254</v>
      </c>
      <c r="O998" s="337" t="s">
        <v>207</v>
      </c>
      <c r="P998" s="322">
        <v>32142</v>
      </c>
      <c r="Q998" s="185" t="s">
        <v>276</v>
      </c>
      <c r="R998" s="185" t="s">
        <v>9311</v>
      </c>
      <c r="S998" s="185" t="s">
        <v>9311</v>
      </c>
      <c r="T998" s="187" t="s">
        <v>276</v>
      </c>
      <c r="U998" s="189">
        <v>38491</v>
      </c>
      <c r="V998" s="188">
        <v>37403</v>
      </c>
      <c r="W998" s="184" t="s">
        <v>276</v>
      </c>
      <c r="X998" s="184" t="s">
        <v>276</v>
      </c>
      <c r="Y998" s="184" t="s">
        <v>276</v>
      </c>
      <c r="Z998" s="185" t="s">
        <v>1562</v>
      </c>
      <c r="AA998" s="184" t="s">
        <v>276</v>
      </c>
      <c r="AB998" s="185" t="s">
        <v>1562</v>
      </c>
      <c r="AC998" s="185" t="s">
        <v>9314</v>
      </c>
      <c r="AD998" s="185" t="s">
        <v>9258</v>
      </c>
      <c r="AE998" s="184">
        <v>83</v>
      </c>
      <c r="AF998" s="184">
        <v>109</v>
      </c>
      <c r="AG998" s="189">
        <v>38491</v>
      </c>
      <c r="AH998" s="188">
        <v>37403</v>
      </c>
      <c r="AI998" s="188" t="s">
        <v>281</v>
      </c>
      <c r="AJ998" s="192" t="s">
        <v>276</v>
      </c>
      <c r="AK998" s="338">
        <f t="shared" si="138"/>
        <v>2.1563482372502665</v>
      </c>
      <c r="AL998" s="192" t="s">
        <v>276</v>
      </c>
      <c r="AM998" s="192" t="s">
        <v>276</v>
      </c>
      <c r="AN998" s="192" t="s">
        <v>276</v>
      </c>
      <c r="AO998" s="338">
        <f t="shared" si="139"/>
        <v>2.9142047429350586</v>
      </c>
      <c r="AP998" s="192" t="s">
        <v>276</v>
      </c>
      <c r="AQ998" s="192" t="s">
        <v>276</v>
      </c>
      <c r="AR998" s="184" t="s">
        <v>268</v>
      </c>
      <c r="AS998" s="192">
        <v>0.74</v>
      </c>
      <c r="AT998" s="192">
        <f t="shared" si="133"/>
        <v>0.73994397355845609</v>
      </c>
      <c r="AU998" s="192">
        <v>0.55000000000000004</v>
      </c>
      <c r="AV998" s="192">
        <v>0.99</v>
      </c>
      <c r="AW998" s="184">
        <v>0.04</v>
      </c>
      <c r="AX998" s="184" t="s">
        <v>282</v>
      </c>
      <c r="AY998" s="184" t="s">
        <v>98</v>
      </c>
      <c r="AZ998" s="184" t="s">
        <v>98</v>
      </c>
      <c r="BA998" s="184" t="s">
        <v>98</v>
      </c>
      <c r="BB998" s="184" t="s">
        <v>98</v>
      </c>
      <c r="BC998" s="185" t="s">
        <v>298</v>
      </c>
      <c r="BD998" s="185"/>
      <c r="BE998" s="33" t="s">
        <v>100</v>
      </c>
      <c r="BF998" s="33" t="s">
        <v>98</v>
      </c>
    </row>
    <row r="999" spans="1:58" s="202" customFormat="1" ht="39" x14ac:dyDescent="0.3">
      <c r="A999" s="175">
        <v>4097</v>
      </c>
      <c r="B999" s="175" t="s">
        <v>9306</v>
      </c>
      <c r="C999" s="176" t="s">
        <v>62</v>
      </c>
      <c r="D999" s="176" t="s">
        <v>9252</v>
      </c>
      <c r="E999" s="175" t="s">
        <v>35</v>
      </c>
      <c r="F999" s="175" t="s">
        <v>97</v>
      </c>
      <c r="G999" s="175" t="s">
        <v>225</v>
      </c>
      <c r="H999" s="175" t="s">
        <v>125</v>
      </c>
      <c r="I999" s="175" t="s">
        <v>114</v>
      </c>
      <c r="J999" s="176" t="s">
        <v>24</v>
      </c>
      <c r="K999" s="176" t="s">
        <v>9307</v>
      </c>
      <c r="L999" s="176" t="s">
        <v>276</v>
      </c>
      <c r="M999" s="175" t="s">
        <v>15</v>
      </c>
      <c r="N999" s="198" t="s">
        <v>9254</v>
      </c>
      <c r="O999" s="199" t="s">
        <v>207</v>
      </c>
      <c r="P999" s="200">
        <v>31047</v>
      </c>
      <c r="Q999" s="176" t="s">
        <v>276</v>
      </c>
      <c r="R999" s="176" t="s">
        <v>276</v>
      </c>
      <c r="S999" s="176" t="s">
        <v>276</v>
      </c>
      <c r="T999" s="178" t="s">
        <v>276</v>
      </c>
      <c r="U999" s="180">
        <v>77080</v>
      </c>
      <c r="V999" s="179">
        <v>55985</v>
      </c>
      <c r="W999" s="175" t="s">
        <v>276</v>
      </c>
      <c r="X999" s="175" t="s">
        <v>276</v>
      </c>
      <c r="Y999" s="175" t="s">
        <v>276</v>
      </c>
      <c r="Z999" s="176" t="s">
        <v>1562</v>
      </c>
      <c r="AA999" s="175" t="s">
        <v>276</v>
      </c>
      <c r="AB999" s="176" t="s">
        <v>1562</v>
      </c>
      <c r="AC999" s="176" t="s">
        <v>9257</v>
      </c>
      <c r="AD999" s="176" t="s">
        <v>9258</v>
      </c>
      <c r="AE999" s="175">
        <f>51+36</f>
        <v>87</v>
      </c>
      <c r="AF999" s="175">
        <f>39+47</f>
        <v>86</v>
      </c>
      <c r="AG999" s="180">
        <v>77080</v>
      </c>
      <c r="AH999" s="179">
        <v>55985</v>
      </c>
      <c r="AI999" s="179" t="s">
        <v>281</v>
      </c>
      <c r="AJ999" s="181" t="s">
        <v>276</v>
      </c>
      <c r="AK999" s="201">
        <f t="shared" si="138"/>
        <v>1.1286974571873378</v>
      </c>
      <c r="AL999" s="181" t="s">
        <v>276</v>
      </c>
      <c r="AM999" s="181" t="s">
        <v>276</v>
      </c>
      <c r="AN999" s="181" t="s">
        <v>276</v>
      </c>
      <c r="AO999" s="201">
        <f t="shared" si="139"/>
        <v>1.5361257479682058</v>
      </c>
      <c r="AP999" s="181" t="s">
        <v>276</v>
      </c>
      <c r="AQ999" s="181" t="s">
        <v>276</v>
      </c>
      <c r="AR999" s="175" t="s">
        <v>268</v>
      </c>
      <c r="AS999" s="181" t="s">
        <v>276</v>
      </c>
      <c r="AT999" s="181">
        <f t="shared" si="133"/>
        <v>0.73476892023991991</v>
      </c>
      <c r="AU999" s="181" t="s">
        <v>276</v>
      </c>
      <c r="AV999" s="181" t="s">
        <v>276</v>
      </c>
      <c r="AW999" s="181" t="s">
        <v>276</v>
      </c>
      <c r="AX999" s="175" t="s">
        <v>282</v>
      </c>
      <c r="AY999" s="175" t="s">
        <v>98</v>
      </c>
      <c r="AZ999" s="181" t="s">
        <v>98</v>
      </c>
      <c r="BA999" s="175" t="s">
        <v>98</v>
      </c>
      <c r="BB999" s="175" t="s">
        <v>98</v>
      </c>
      <c r="BC999" s="176" t="s">
        <v>298</v>
      </c>
      <c r="BD999" s="176"/>
      <c r="BE999" s="33" t="s">
        <v>100</v>
      </c>
      <c r="BF999" s="33" t="s">
        <v>98</v>
      </c>
    </row>
    <row r="1000" spans="1:58" s="202" customFormat="1" ht="52" x14ac:dyDescent="0.3">
      <c r="A1000" s="175">
        <v>4097</v>
      </c>
      <c r="B1000" s="175" t="s">
        <v>9306</v>
      </c>
      <c r="C1000" s="176" t="s">
        <v>62</v>
      </c>
      <c r="D1000" s="176" t="s">
        <v>9315</v>
      </c>
      <c r="E1000" s="175" t="s">
        <v>35</v>
      </c>
      <c r="F1000" s="175" t="s">
        <v>97</v>
      </c>
      <c r="G1000" s="175" t="s">
        <v>225</v>
      </c>
      <c r="H1000" s="175" t="s">
        <v>125</v>
      </c>
      <c r="I1000" s="175" t="s">
        <v>114</v>
      </c>
      <c r="J1000" s="176" t="s">
        <v>24</v>
      </c>
      <c r="K1000" s="176" t="s">
        <v>9307</v>
      </c>
      <c r="L1000" s="176" t="s">
        <v>276</v>
      </c>
      <c r="M1000" s="175" t="s">
        <v>15</v>
      </c>
      <c r="N1000" s="198" t="s">
        <v>9254</v>
      </c>
      <c r="O1000" s="199" t="s">
        <v>207</v>
      </c>
      <c r="P1000" s="200">
        <v>31047</v>
      </c>
      <c r="Q1000" s="176" t="s">
        <v>276</v>
      </c>
      <c r="R1000" s="176" t="s">
        <v>276</v>
      </c>
      <c r="S1000" s="176" t="s">
        <v>276</v>
      </c>
      <c r="T1000" s="178" t="s">
        <v>276</v>
      </c>
      <c r="U1000" s="180">
        <v>77080</v>
      </c>
      <c r="V1000" s="179">
        <v>55985</v>
      </c>
      <c r="W1000" s="175" t="s">
        <v>276</v>
      </c>
      <c r="X1000" s="175" t="s">
        <v>276</v>
      </c>
      <c r="Y1000" s="175" t="s">
        <v>276</v>
      </c>
      <c r="Z1000" s="176" t="s">
        <v>1562</v>
      </c>
      <c r="AA1000" s="175" t="s">
        <v>276</v>
      </c>
      <c r="AB1000" s="176" t="s">
        <v>1562</v>
      </c>
      <c r="AC1000" s="176" t="s">
        <v>9257</v>
      </c>
      <c r="AD1000" s="176" t="s">
        <v>9316</v>
      </c>
      <c r="AE1000" s="175">
        <f>51+36</f>
        <v>87</v>
      </c>
      <c r="AF1000" s="175">
        <f>39+47</f>
        <v>86</v>
      </c>
      <c r="AG1000" s="180" t="s">
        <v>276</v>
      </c>
      <c r="AH1000" s="179" t="s">
        <v>276</v>
      </c>
      <c r="AI1000" s="179" t="s">
        <v>425</v>
      </c>
      <c r="AJ1000" s="181" t="s">
        <v>276</v>
      </c>
      <c r="AK1000" s="201" t="s">
        <v>98</v>
      </c>
      <c r="AL1000" s="181" t="s">
        <v>276</v>
      </c>
      <c r="AM1000" s="181" t="s">
        <v>276</v>
      </c>
      <c r="AN1000" s="181" t="s">
        <v>276</v>
      </c>
      <c r="AO1000" s="201" t="s">
        <v>98</v>
      </c>
      <c r="AP1000" s="181" t="s">
        <v>276</v>
      </c>
      <c r="AQ1000" s="181" t="s">
        <v>276</v>
      </c>
      <c r="AR1000" s="175" t="s">
        <v>269</v>
      </c>
      <c r="AS1000" s="181" t="s">
        <v>276</v>
      </c>
      <c r="AT1000" s="181" t="s">
        <v>98</v>
      </c>
      <c r="AU1000" s="181" t="s">
        <v>276</v>
      </c>
      <c r="AV1000" s="181" t="s">
        <v>276</v>
      </c>
      <c r="AW1000" s="181" t="s">
        <v>276</v>
      </c>
      <c r="AX1000" s="175" t="s">
        <v>9317</v>
      </c>
      <c r="AY1000" s="175">
        <v>0.68</v>
      </c>
      <c r="AZ1000" s="181">
        <v>0.5</v>
      </c>
      <c r="BA1000" s="175">
        <v>0.93</v>
      </c>
      <c r="BB1000" s="175">
        <v>0.01</v>
      </c>
      <c r="BC1000" s="176" t="s">
        <v>298</v>
      </c>
      <c r="BD1000" s="176"/>
      <c r="BE1000" s="33" t="s">
        <v>100</v>
      </c>
      <c r="BF1000" s="33" t="s">
        <v>98</v>
      </c>
    </row>
    <row r="1001" spans="1:58" s="339" customFormat="1" ht="39" x14ac:dyDescent="0.3">
      <c r="A1001" s="184">
        <v>4097</v>
      </c>
      <c r="B1001" s="184" t="s">
        <v>9306</v>
      </c>
      <c r="C1001" s="185" t="s">
        <v>62</v>
      </c>
      <c r="D1001" s="185" t="s">
        <v>9308</v>
      </c>
      <c r="E1001" s="184" t="s">
        <v>35</v>
      </c>
      <c r="F1001" s="184" t="s">
        <v>97</v>
      </c>
      <c r="G1001" s="184" t="s">
        <v>225</v>
      </c>
      <c r="H1001" s="184" t="s">
        <v>125</v>
      </c>
      <c r="I1001" s="184" t="s">
        <v>114</v>
      </c>
      <c r="J1001" s="185" t="s">
        <v>24</v>
      </c>
      <c r="K1001" s="185" t="s">
        <v>9307</v>
      </c>
      <c r="L1001" s="185" t="s">
        <v>276</v>
      </c>
      <c r="M1001" s="184" t="s">
        <v>15</v>
      </c>
      <c r="N1001" s="336" t="s">
        <v>9254</v>
      </c>
      <c r="O1001" s="337" t="s">
        <v>207</v>
      </c>
      <c r="P1001" s="322">
        <v>31412</v>
      </c>
      <c r="Q1001" s="185" t="s">
        <v>276</v>
      </c>
      <c r="R1001" s="185" t="s">
        <v>276</v>
      </c>
      <c r="S1001" s="185" t="s">
        <v>276</v>
      </c>
      <c r="T1001" s="187" t="s">
        <v>276</v>
      </c>
      <c r="U1001" s="189">
        <v>77080</v>
      </c>
      <c r="V1001" s="188">
        <v>55985</v>
      </c>
      <c r="W1001" s="184" t="s">
        <v>276</v>
      </c>
      <c r="X1001" s="184" t="s">
        <v>276</v>
      </c>
      <c r="Y1001" s="184" t="s">
        <v>276</v>
      </c>
      <c r="Z1001" s="185" t="s">
        <v>1562</v>
      </c>
      <c r="AA1001" s="184" t="s">
        <v>276</v>
      </c>
      <c r="AB1001" s="185" t="s">
        <v>1562</v>
      </c>
      <c r="AC1001" s="185" t="s">
        <v>9309</v>
      </c>
      <c r="AD1001" s="185" t="s">
        <v>9258</v>
      </c>
      <c r="AE1001" s="184">
        <f>71+53</f>
        <v>124</v>
      </c>
      <c r="AF1001" s="184">
        <f>52+67</f>
        <v>119</v>
      </c>
      <c r="AG1001" s="189">
        <v>77080</v>
      </c>
      <c r="AH1001" s="188">
        <v>55985</v>
      </c>
      <c r="AI1001" s="188" t="s">
        <v>281</v>
      </c>
      <c r="AJ1001" s="192" t="s">
        <v>276</v>
      </c>
      <c r="AK1001" s="338">
        <f t="shared" si="138"/>
        <v>1.6087182148417229</v>
      </c>
      <c r="AL1001" s="192" t="s">
        <v>276</v>
      </c>
      <c r="AM1001" s="192" t="s">
        <v>276</v>
      </c>
      <c r="AN1001" s="192" t="s">
        <v>276</v>
      </c>
      <c r="AO1001" s="338">
        <f t="shared" si="139"/>
        <v>2.1255693489327498</v>
      </c>
      <c r="AP1001" s="192" t="s">
        <v>276</v>
      </c>
      <c r="AQ1001" s="192" t="s">
        <v>276</v>
      </c>
      <c r="AR1001" s="184" t="s">
        <v>268</v>
      </c>
      <c r="AS1001" s="192" t="s">
        <v>276</v>
      </c>
      <c r="AT1001" s="192">
        <f t="shared" si="133"/>
        <v>0.7568410862009568</v>
      </c>
      <c r="AU1001" s="192" t="s">
        <v>276</v>
      </c>
      <c r="AV1001" s="192" t="s">
        <v>276</v>
      </c>
      <c r="AW1001" s="192" t="s">
        <v>276</v>
      </c>
      <c r="AX1001" s="184" t="s">
        <v>282</v>
      </c>
      <c r="AY1001" s="184" t="s">
        <v>98</v>
      </c>
      <c r="AZ1001" s="184" t="s">
        <v>98</v>
      </c>
      <c r="BA1001" s="184" t="s">
        <v>98</v>
      </c>
      <c r="BB1001" s="184" t="s">
        <v>98</v>
      </c>
      <c r="BC1001" s="185" t="s">
        <v>298</v>
      </c>
      <c r="BD1001" s="185"/>
      <c r="BE1001" s="33" t="s">
        <v>100</v>
      </c>
      <c r="BF1001" s="33" t="s">
        <v>98</v>
      </c>
    </row>
    <row r="1002" spans="1:58" s="339" customFormat="1" ht="52" x14ac:dyDescent="0.3">
      <c r="A1002" s="184">
        <v>4097</v>
      </c>
      <c r="B1002" s="184" t="s">
        <v>9306</v>
      </c>
      <c r="C1002" s="185" t="s">
        <v>62</v>
      </c>
      <c r="D1002" s="185" t="s">
        <v>9318</v>
      </c>
      <c r="E1002" s="184" t="s">
        <v>35</v>
      </c>
      <c r="F1002" s="184" t="s">
        <v>97</v>
      </c>
      <c r="G1002" s="184" t="s">
        <v>225</v>
      </c>
      <c r="H1002" s="184" t="s">
        <v>125</v>
      </c>
      <c r="I1002" s="184" t="s">
        <v>114</v>
      </c>
      <c r="J1002" s="185" t="s">
        <v>24</v>
      </c>
      <c r="K1002" s="185" t="s">
        <v>9307</v>
      </c>
      <c r="L1002" s="185" t="s">
        <v>276</v>
      </c>
      <c r="M1002" s="184" t="s">
        <v>15</v>
      </c>
      <c r="N1002" s="336" t="s">
        <v>9254</v>
      </c>
      <c r="O1002" s="337" t="s">
        <v>207</v>
      </c>
      <c r="P1002" s="322">
        <v>31412</v>
      </c>
      <c r="Q1002" s="185" t="s">
        <v>276</v>
      </c>
      <c r="R1002" s="185" t="s">
        <v>276</v>
      </c>
      <c r="S1002" s="185" t="s">
        <v>276</v>
      </c>
      <c r="T1002" s="187" t="s">
        <v>276</v>
      </c>
      <c r="U1002" s="189">
        <v>77080</v>
      </c>
      <c r="V1002" s="188">
        <v>55985</v>
      </c>
      <c r="W1002" s="184" t="s">
        <v>276</v>
      </c>
      <c r="X1002" s="184" t="s">
        <v>276</v>
      </c>
      <c r="Y1002" s="184" t="s">
        <v>276</v>
      </c>
      <c r="Z1002" s="185" t="s">
        <v>1562</v>
      </c>
      <c r="AA1002" s="184" t="s">
        <v>276</v>
      </c>
      <c r="AB1002" s="185" t="s">
        <v>1562</v>
      </c>
      <c r="AC1002" s="185" t="s">
        <v>9309</v>
      </c>
      <c r="AD1002" s="185" t="s">
        <v>9316</v>
      </c>
      <c r="AE1002" s="184">
        <f>71+53</f>
        <v>124</v>
      </c>
      <c r="AF1002" s="184">
        <f>52+67</f>
        <v>119</v>
      </c>
      <c r="AG1002" s="189" t="s">
        <v>276</v>
      </c>
      <c r="AH1002" s="188" t="s">
        <v>276</v>
      </c>
      <c r="AI1002" s="188" t="s">
        <v>425</v>
      </c>
      <c r="AJ1002" s="192" t="s">
        <v>276</v>
      </c>
      <c r="AK1002" s="338" t="s">
        <v>98</v>
      </c>
      <c r="AL1002" s="192" t="s">
        <v>276</v>
      </c>
      <c r="AM1002" s="192" t="s">
        <v>276</v>
      </c>
      <c r="AN1002" s="192" t="s">
        <v>276</v>
      </c>
      <c r="AO1002" s="338" t="s">
        <v>98</v>
      </c>
      <c r="AP1002" s="192" t="s">
        <v>276</v>
      </c>
      <c r="AQ1002" s="192" t="s">
        <v>276</v>
      </c>
      <c r="AR1002" s="184" t="s">
        <v>269</v>
      </c>
      <c r="AS1002" s="192" t="s">
        <v>276</v>
      </c>
      <c r="AT1002" s="192" t="s">
        <v>98</v>
      </c>
      <c r="AU1002" s="192" t="s">
        <v>276</v>
      </c>
      <c r="AV1002" s="192" t="s">
        <v>276</v>
      </c>
      <c r="AW1002" s="192" t="s">
        <v>276</v>
      </c>
      <c r="AX1002" s="184" t="s">
        <v>9317</v>
      </c>
      <c r="AY1002" s="184">
        <v>0.71</v>
      </c>
      <c r="AZ1002" s="184">
        <v>0.54</v>
      </c>
      <c r="BA1002" s="184">
        <v>0.92</v>
      </c>
      <c r="BB1002" s="184">
        <v>8.9999999999999993E-3</v>
      </c>
      <c r="BC1002" s="185" t="s">
        <v>298</v>
      </c>
      <c r="BD1002" s="185"/>
      <c r="BE1002" s="33" t="s">
        <v>100</v>
      </c>
      <c r="BF1002" s="33" t="s">
        <v>98</v>
      </c>
    </row>
    <row r="1003" spans="1:58" s="202" customFormat="1" ht="65" x14ac:dyDescent="0.3">
      <c r="A1003" s="175">
        <v>4097</v>
      </c>
      <c r="B1003" s="175" t="s">
        <v>9306</v>
      </c>
      <c r="C1003" s="176" t="s">
        <v>62</v>
      </c>
      <c r="D1003" s="176" t="s">
        <v>9319</v>
      </c>
      <c r="E1003" s="175" t="s">
        <v>35</v>
      </c>
      <c r="F1003" s="175" t="s">
        <v>97</v>
      </c>
      <c r="G1003" s="175" t="s">
        <v>225</v>
      </c>
      <c r="H1003" s="175" t="s">
        <v>125</v>
      </c>
      <c r="I1003" s="175" t="s">
        <v>114</v>
      </c>
      <c r="J1003" s="176" t="s">
        <v>24</v>
      </c>
      <c r="K1003" s="176" t="s">
        <v>9307</v>
      </c>
      <c r="L1003" s="176" t="s">
        <v>276</v>
      </c>
      <c r="M1003" s="175" t="s">
        <v>15</v>
      </c>
      <c r="N1003" s="198" t="s">
        <v>9254</v>
      </c>
      <c r="O1003" s="199" t="s">
        <v>207</v>
      </c>
      <c r="P1003" s="304" t="s">
        <v>9320</v>
      </c>
      <c r="Q1003" s="176" t="s">
        <v>276</v>
      </c>
      <c r="R1003" s="176" t="s">
        <v>9311</v>
      </c>
      <c r="S1003" s="176" t="s">
        <v>9311</v>
      </c>
      <c r="T1003" s="178" t="s">
        <v>276</v>
      </c>
      <c r="U1003" s="180">
        <v>77080</v>
      </c>
      <c r="V1003" s="179">
        <v>55985</v>
      </c>
      <c r="W1003" s="175" t="s">
        <v>276</v>
      </c>
      <c r="X1003" s="175" t="s">
        <v>276</v>
      </c>
      <c r="Y1003" s="175" t="s">
        <v>276</v>
      </c>
      <c r="Z1003" s="176" t="s">
        <v>1562</v>
      </c>
      <c r="AA1003" s="175" t="s">
        <v>276</v>
      </c>
      <c r="AB1003" s="176" t="s">
        <v>1562</v>
      </c>
      <c r="AC1003" s="176" t="s">
        <v>9321</v>
      </c>
      <c r="AD1003" s="176" t="s">
        <v>9258</v>
      </c>
      <c r="AE1003" s="175">
        <f>77+83</f>
        <v>160</v>
      </c>
      <c r="AF1003" s="175">
        <f>58+109</f>
        <v>167</v>
      </c>
      <c r="AG1003" s="180">
        <v>77080</v>
      </c>
      <c r="AH1003" s="179">
        <v>55985</v>
      </c>
      <c r="AI1003" s="179" t="s">
        <v>281</v>
      </c>
      <c r="AJ1003" s="181" t="s">
        <v>276</v>
      </c>
      <c r="AK1003" s="201">
        <f t="shared" si="138"/>
        <v>2.0757654385054489</v>
      </c>
      <c r="AL1003" s="181" t="s">
        <v>276</v>
      </c>
      <c r="AM1003" s="181" t="s">
        <v>276</v>
      </c>
      <c r="AN1003" s="181" t="s">
        <v>276</v>
      </c>
      <c r="AO1003" s="201">
        <f t="shared" si="139"/>
        <v>2.9829418594266319</v>
      </c>
      <c r="AP1003" s="181" t="s">
        <v>276</v>
      </c>
      <c r="AQ1003" s="181" t="s">
        <v>276</v>
      </c>
      <c r="AR1003" s="175" t="s">
        <v>268</v>
      </c>
      <c r="AS1003" s="181" t="s">
        <v>276</v>
      </c>
      <c r="AT1003" s="181">
        <f t="shared" si="133"/>
        <v>0.69587861122591355</v>
      </c>
      <c r="AU1003" s="181" t="s">
        <v>276</v>
      </c>
      <c r="AV1003" s="181" t="s">
        <v>276</v>
      </c>
      <c r="AW1003" s="181" t="s">
        <v>276</v>
      </c>
      <c r="AX1003" s="175" t="s">
        <v>282</v>
      </c>
      <c r="AY1003" s="181" t="s">
        <v>98</v>
      </c>
      <c r="AZ1003" s="175" t="s">
        <v>98</v>
      </c>
      <c r="BA1003" s="175" t="s">
        <v>98</v>
      </c>
      <c r="BB1003" s="175" t="s">
        <v>98</v>
      </c>
      <c r="BC1003" s="176" t="s">
        <v>298</v>
      </c>
      <c r="BD1003" s="176"/>
      <c r="BE1003" s="33" t="s">
        <v>100</v>
      </c>
      <c r="BF1003" s="33" t="s">
        <v>98</v>
      </c>
    </row>
    <row r="1004" spans="1:58" s="202" customFormat="1" ht="65" x14ac:dyDescent="0.3">
      <c r="A1004" s="175">
        <v>4097</v>
      </c>
      <c r="B1004" s="175" t="s">
        <v>9306</v>
      </c>
      <c r="C1004" s="176" t="s">
        <v>62</v>
      </c>
      <c r="D1004" s="176" t="s">
        <v>9322</v>
      </c>
      <c r="E1004" s="175" t="s">
        <v>35</v>
      </c>
      <c r="F1004" s="175" t="s">
        <v>97</v>
      </c>
      <c r="G1004" s="175" t="s">
        <v>225</v>
      </c>
      <c r="H1004" s="175" t="s">
        <v>125</v>
      </c>
      <c r="I1004" s="175" t="s">
        <v>114</v>
      </c>
      <c r="J1004" s="176" t="s">
        <v>24</v>
      </c>
      <c r="K1004" s="176" t="s">
        <v>9307</v>
      </c>
      <c r="L1004" s="176" t="s">
        <v>276</v>
      </c>
      <c r="M1004" s="175" t="s">
        <v>15</v>
      </c>
      <c r="N1004" s="198" t="s">
        <v>9254</v>
      </c>
      <c r="O1004" s="199" t="s">
        <v>207</v>
      </c>
      <c r="P1004" s="304" t="s">
        <v>9320</v>
      </c>
      <c r="Q1004" s="176" t="s">
        <v>276</v>
      </c>
      <c r="R1004" s="176" t="s">
        <v>9311</v>
      </c>
      <c r="S1004" s="176" t="s">
        <v>9311</v>
      </c>
      <c r="T1004" s="178" t="s">
        <v>276</v>
      </c>
      <c r="U1004" s="180">
        <v>77080</v>
      </c>
      <c r="V1004" s="179">
        <v>55985</v>
      </c>
      <c r="W1004" s="175" t="s">
        <v>276</v>
      </c>
      <c r="X1004" s="175" t="s">
        <v>276</v>
      </c>
      <c r="Y1004" s="175" t="s">
        <v>276</v>
      </c>
      <c r="Z1004" s="176" t="s">
        <v>1562</v>
      </c>
      <c r="AA1004" s="175" t="s">
        <v>276</v>
      </c>
      <c r="AB1004" s="176" t="s">
        <v>1562</v>
      </c>
      <c r="AC1004" s="176" t="s">
        <v>9321</v>
      </c>
      <c r="AD1004" s="176" t="s">
        <v>9316</v>
      </c>
      <c r="AE1004" s="175">
        <f>77+83</f>
        <v>160</v>
      </c>
      <c r="AF1004" s="175">
        <f>58+109</f>
        <v>167</v>
      </c>
      <c r="AG1004" s="176">
        <v>606655</v>
      </c>
      <c r="AH1004" s="176">
        <v>446221</v>
      </c>
      <c r="AI1004" s="179" t="s">
        <v>281</v>
      </c>
      <c r="AJ1004" s="181" t="s">
        <v>276</v>
      </c>
      <c r="AK1004" s="201">
        <f>AE1004*1000/AG1004</f>
        <v>0.26374133568502689</v>
      </c>
      <c r="AL1004" s="181" t="s">
        <v>276</v>
      </c>
      <c r="AM1004" s="181" t="s">
        <v>276</v>
      </c>
      <c r="AN1004" s="181" t="s">
        <v>276</v>
      </c>
      <c r="AO1004" s="201">
        <f>AF1004*1000/AH1004</f>
        <v>0.37425401314595236</v>
      </c>
      <c r="AP1004" s="181" t="s">
        <v>276</v>
      </c>
      <c r="AQ1004" s="181" t="s">
        <v>276</v>
      </c>
      <c r="AR1004" s="175" t="s">
        <v>269</v>
      </c>
      <c r="AS1004" s="181">
        <v>0.7</v>
      </c>
      <c r="AT1004" s="181">
        <f>AK1004/AO1004</f>
        <v>0.70471211108208609</v>
      </c>
      <c r="AU1004" s="181">
        <v>0.56000000000000005</v>
      </c>
      <c r="AV1004" s="181">
        <v>0.88</v>
      </c>
      <c r="AW1004" s="201">
        <v>2E-3</v>
      </c>
      <c r="AX1004" s="175" t="s">
        <v>9323</v>
      </c>
      <c r="AY1004" s="181">
        <v>0.69</v>
      </c>
      <c r="AZ1004" s="175">
        <v>0.55000000000000004</v>
      </c>
      <c r="BA1004" s="175">
        <v>0.88</v>
      </c>
      <c r="BB1004" s="175">
        <v>1E-3</v>
      </c>
      <c r="BC1004" s="176" t="s">
        <v>9324</v>
      </c>
      <c r="BD1004" s="176"/>
      <c r="BE1004" s="33" t="s">
        <v>100</v>
      </c>
      <c r="BF1004" s="33" t="s">
        <v>98</v>
      </c>
    </row>
    <row r="1005" spans="1:58" s="339" customFormat="1" ht="65" x14ac:dyDescent="0.3">
      <c r="A1005" s="184">
        <v>4097</v>
      </c>
      <c r="B1005" s="184" t="s">
        <v>9306</v>
      </c>
      <c r="C1005" s="185" t="s">
        <v>62</v>
      </c>
      <c r="D1005" s="185" t="s">
        <v>9325</v>
      </c>
      <c r="E1005" s="184" t="s">
        <v>35</v>
      </c>
      <c r="F1005" s="184" t="s">
        <v>97</v>
      </c>
      <c r="G1005" s="184" t="s">
        <v>225</v>
      </c>
      <c r="H1005" s="184" t="s">
        <v>125</v>
      </c>
      <c r="I1005" s="184" t="s">
        <v>114</v>
      </c>
      <c r="J1005" s="185" t="s">
        <v>24</v>
      </c>
      <c r="K1005" s="185" t="s">
        <v>9307</v>
      </c>
      <c r="L1005" s="185" t="s">
        <v>276</v>
      </c>
      <c r="M1005" s="184" t="s">
        <v>15</v>
      </c>
      <c r="N1005" s="336" t="s">
        <v>3032</v>
      </c>
      <c r="O1005" s="337" t="s">
        <v>207</v>
      </c>
      <c r="P1005" s="302" t="s">
        <v>9320</v>
      </c>
      <c r="Q1005" s="185" t="s">
        <v>276</v>
      </c>
      <c r="R1005" s="185" t="s">
        <v>9326</v>
      </c>
      <c r="S1005" s="185" t="s">
        <v>9327</v>
      </c>
      <c r="T1005" s="187" t="s">
        <v>276</v>
      </c>
      <c r="U1005" s="189">
        <v>19844</v>
      </c>
      <c r="V1005" s="188">
        <v>15604</v>
      </c>
      <c r="W1005" s="184" t="s">
        <v>276</v>
      </c>
      <c r="X1005" s="184" t="s">
        <v>276</v>
      </c>
      <c r="Y1005" s="184" t="s">
        <v>276</v>
      </c>
      <c r="Z1005" s="185" t="s">
        <v>1562</v>
      </c>
      <c r="AA1005" s="184" t="s">
        <v>276</v>
      </c>
      <c r="AB1005" s="185" t="s">
        <v>1562</v>
      </c>
      <c r="AC1005" s="185" t="s">
        <v>9328</v>
      </c>
      <c r="AD1005" s="185" t="s">
        <v>9269</v>
      </c>
      <c r="AE1005" s="184">
        <f>13+15</f>
        <v>28</v>
      </c>
      <c r="AF1005" s="184">
        <f>9+15</f>
        <v>24</v>
      </c>
      <c r="AG1005" s="189">
        <v>19844</v>
      </c>
      <c r="AH1005" s="188">
        <v>15604</v>
      </c>
      <c r="AI1005" s="188" t="s">
        <v>281</v>
      </c>
      <c r="AJ1005" s="192" t="s">
        <v>276</v>
      </c>
      <c r="AK1005" s="338">
        <f t="shared" ref="AK1005:AK1009" si="140">AE1005*1000/AG1005</f>
        <v>1.411005845595646</v>
      </c>
      <c r="AL1005" s="192" t="s">
        <v>276</v>
      </c>
      <c r="AM1005" s="192" t="s">
        <v>276</v>
      </c>
      <c r="AN1005" s="192" t="s">
        <v>276</v>
      </c>
      <c r="AO1005" s="338">
        <f t="shared" ref="AO1005:AO1009" si="141">AF1005*1000/AH1005</f>
        <v>1.5380671622660855</v>
      </c>
      <c r="AP1005" s="192" t="s">
        <v>276</v>
      </c>
      <c r="AQ1005" s="192" t="s">
        <v>276</v>
      </c>
      <c r="AR1005" s="184" t="s">
        <v>268</v>
      </c>
      <c r="AS1005" s="192" t="s">
        <v>276</v>
      </c>
      <c r="AT1005" s="192">
        <f t="shared" ref="AT1005:AT1009" si="142">AK1005/AO1005</f>
        <v>0.9173889672781026</v>
      </c>
      <c r="AU1005" s="192" t="s">
        <v>276</v>
      </c>
      <c r="AV1005" s="192" t="s">
        <v>276</v>
      </c>
      <c r="AW1005" s="192" t="s">
        <v>276</v>
      </c>
      <c r="AX1005" s="184" t="s">
        <v>282</v>
      </c>
      <c r="AY1005" s="184" t="s">
        <v>98</v>
      </c>
      <c r="AZ1005" s="192" t="s">
        <v>98</v>
      </c>
      <c r="BA1005" s="184" t="s">
        <v>98</v>
      </c>
      <c r="BB1005" s="184" t="s">
        <v>98</v>
      </c>
      <c r="BC1005" s="185" t="s">
        <v>426</v>
      </c>
      <c r="BD1005" s="185"/>
      <c r="BE1005" s="33" t="s">
        <v>100</v>
      </c>
      <c r="BF1005" s="33" t="s">
        <v>98</v>
      </c>
    </row>
    <row r="1006" spans="1:58" s="339" customFormat="1" ht="65" x14ac:dyDescent="0.3">
      <c r="A1006" s="184">
        <v>4097</v>
      </c>
      <c r="B1006" s="184" t="s">
        <v>9306</v>
      </c>
      <c r="C1006" s="185" t="s">
        <v>62</v>
      </c>
      <c r="D1006" s="185" t="s">
        <v>9329</v>
      </c>
      <c r="E1006" s="184" t="s">
        <v>35</v>
      </c>
      <c r="F1006" s="184" t="s">
        <v>97</v>
      </c>
      <c r="G1006" s="184" t="s">
        <v>225</v>
      </c>
      <c r="H1006" s="184" t="s">
        <v>125</v>
      </c>
      <c r="I1006" s="184" t="s">
        <v>114</v>
      </c>
      <c r="J1006" s="185" t="s">
        <v>24</v>
      </c>
      <c r="K1006" s="185" t="s">
        <v>9307</v>
      </c>
      <c r="L1006" s="185" t="s">
        <v>276</v>
      </c>
      <c r="M1006" s="184" t="s">
        <v>15</v>
      </c>
      <c r="N1006" s="336" t="s">
        <v>3032</v>
      </c>
      <c r="O1006" s="337" t="s">
        <v>207</v>
      </c>
      <c r="P1006" s="302" t="s">
        <v>9320</v>
      </c>
      <c r="Q1006" s="185" t="s">
        <v>276</v>
      </c>
      <c r="R1006" s="185" t="s">
        <v>9326</v>
      </c>
      <c r="S1006" s="185" t="s">
        <v>9327</v>
      </c>
      <c r="T1006" s="187" t="s">
        <v>276</v>
      </c>
      <c r="U1006" s="189">
        <v>19844</v>
      </c>
      <c r="V1006" s="188">
        <v>15604</v>
      </c>
      <c r="W1006" s="184" t="s">
        <v>276</v>
      </c>
      <c r="X1006" s="184" t="s">
        <v>276</v>
      </c>
      <c r="Y1006" s="184" t="s">
        <v>276</v>
      </c>
      <c r="Z1006" s="185" t="s">
        <v>1562</v>
      </c>
      <c r="AA1006" s="184" t="s">
        <v>276</v>
      </c>
      <c r="AB1006" s="185" t="s">
        <v>1562</v>
      </c>
      <c r="AC1006" s="185" t="s">
        <v>9328</v>
      </c>
      <c r="AD1006" s="185" t="s">
        <v>9330</v>
      </c>
      <c r="AE1006" s="184">
        <f>13+15</f>
        <v>28</v>
      </c>
      <c r="AF1006" s="184">
        <f>9+15</f>
        <v>24</v>
      </c>
      <c r="AG1006" s="185">
        <v>160561</v>
      </c>
      <c r="AH1006" s="185">
        <v>127364</v>
      </c>
      <c r="AI1006" s="188" t="s">
        <v>425</v>
      </c>
      <c r="AJ1006" s="192" t="s">
        <v>276</v>
      </c>
      <c r="AK1006" s="338">
        <f>AE1006*1000/AG1006</f>
        <v>0.1743885501460504</v>
      </c>
      <c r="AL1006" s="192" t="s">
        <v>276</v>
      </c>
      <c r="AM1006" s="192" t="s">
        <v>276</v>
      </c>
      <c r="AN1006" s="192" t="s">
        <v>276</v>
      </c>
      <c r="AO1006" s="338">
        <f>AF1006*1000/AH1006</f>
        <v>0.18843629282999905</v>
      </c>
      <c r="AP1006" s="192" t="s">
        <v>276</v>
      </c>
      <c r="AQ1006" s="192" t="s">
        <v>276</v>
      </c>
      <c r="AR1006" s="184" t="s">
        <v>269</v>
      </c>
      <c r="AS1006" s="192" t="s">
        <v>276</v>
      </c>
      <c r="AT1006" s="192">
        <f>AK1006/AO1006</f>
        <v>0.92545097086673178</v>
      </c>
      <c r="AU1006" s="192" t="s">
        <v>276</v>
      </c>
      <c r="AV1006" s="192" t="s">
        <v>276</v>
      </c>
      <c r="AW1006" s="192" t="s">
        <v>276</v>
      </c>
      <c r="AX1006" s="184" t="s">
        <v>9331</v>
      </c>
      <c r="AY1006" s="184">
        <v>0.92</v>
      </c>
      <c r="AZ1006" s="192">
        <v>0.52</v>
      </c>
      <c r="BA1006" s="184">
        <v>1.6</v>
      </c>
      <c r="BB1006" s="184">
        <v>0.8</v>
      </c>
      <c r="BC1006" s="185" t="s">
        <v>9332</v>
      </c>
      <c r="BD1006" s="185"/>
      <c r="BE1006" s="33" t="s">
        <v>100</v>
      </c>
      <c r="BF1006" s="33" t="s">
        <v>98</v>
      </c>
    </row>
    <row r="1007" spans="1:58" s="202" customFormat="1" ht="65" x14ac:dyDescent="0.3">
      <c r="A1007" s="175">
        <v>4097</v>
      </c>
      <c r="B1007" s="175" t="s">
        <v>9306</v>
      </c>
      <c r="C1007" s="176" t="s">
        <v>62</v>
      </c>
      <c r="D1007" s="176" t="s">
        <v>9333</v>
      </c>
      <c r="E1007" s="175" t="s">
        <v>35</v>
      </c>
      <c r="F1007" s="175" t="s">
        <v>97</v>
      </c>
      <c r="G1007" s="175" t="s">
        <v>225</v>
      </c>
      <c r="H1007" s="175" t="s">
        <v>125</v>
      </c>
      <c r="I1007" s="175" t="s">
        <v>114</v>
      </c>
      <c r="J1007" s="176" t="s">
        <v>24</v>
      </c>
      <c r="K1007" s="176" t="s">
        <v>9307</v>
      </c>
      <c r="L1007" s="176" t="s">
        <v>276</v>
      </c>
      <c r="M1007" s="175" t="s">
        <v>15</v>
      </c>
      <c r="N1007" s="198" t="s">
        <v>3038</v>
      </c>
      <c r="O1007" s="199" t="s">
        <v>207</v>
      </c>
      <c r="P1007" s="304" t="s">
        <v>9320</v>
      </c>
      <c r="Q1007" s="176" t="s">
        <v>276</v>
      </c>
      <c r="R1007" s="176" t="s">
        <v>9334</v>
      </c>
      <c r="S1007" s="176" t="s">
        <v>9335</v>
      </c>
      <c r="T1007" s="178" t="s">
        <v>276</v>
      </c>
      <c r="U1007" s="180">
        <v>23485</v>
      </c>
      <c r="V1007" s="179">
        <v>16805</v>
      </c>
      <c r="W1007" s="175" t="s">
        <v>276</v>
      </c>
      <c r="X1007" s="175" t="s">
        <v>276</v>
      </c>
      <c r="Y1007" s="175" t="s">
        <v>276</v>
      </c>
      <c r="Z1007" s="176" t="s">
        <v>1562</v>
      </c>
      <c r="AA1007" s="175" t="s">
        <v>276</v>
      </c>
      <c r="AB1007" s="176" t="s">
        <v>1562</v>
      </c>
      <c r="AC1007" s="176" t="s">
        <v>9336</v>
      </c>
      <c r="AD1007" s="176" t="s">
        <v>9337</v>
      </c>
      <c r="AE1007" s="175">
        <f>20+25</f>
        <v>45</v>
      </c>
      <c r="AF1007" s="175">
        <f>20+34</f>
        <v>54</v>
      </c>
      <c r="AG1007" s="180">
        <v>23485</v>
      </c>
      <c r="AH1007" s="179">
        <v>16805</v>
      </c>
      <c r="AI1007" s="179" t="s">
        <v>281</v>
      </c>
      <c r="AJ1007" s="181" t="s">
        <v>276</v>
      </c>
      <c r="AK1007" s="201">
        <f t="shared" si="140"/>
        <v>1.916116670215031</v>
      </c>
      <c r="AL1007" s="181" t="s">
        <v>276</v>
      </c>
      <c r="AM1007" s="181" t="s">
        <v>276</v>
      </c>
      <c r="AN1007" s="181" t="s">
        <v>276</v>
      </c>
      <c r="AO1007" s="201">
        <f t="shared" si="141"/>
        <v>3.2133293662600417</v>
      </c>
      <c r="AP1007" s="181" t="s">
        <v>276</v>
      </c>
      <c r="AQ1007" s="181" t="s">
        <v>276</v>
      </c>
      <c r="AR1007" s="175" t="s">
        <v>268</v>
      </c>
      <c r="AS1007" s="181" t="s">
        <v>276</v>
      </c>
      <c r="AT1007" s="181">
        <f t="shared" si="142"/>
        <v>0.59630260449932582</v>
      </c>
      <c r="AU1007" s="181" t="s">
        <v>276</v>
      </c>
      <c r="AV1007" s="181" t="s">
        <v>276</v>
      </c>
      <c r="AW1007" s="181" t="s">
        <v>276</v>
      </c>
      <c r="AX1007" s="175" t="s">
        <v>282</v>
      </c>
      <c r="AY1007" s="181" t="s">
        <v>98</v>
      </c>
      <c r="AZ1007" s="175" t="s">
        <v>98</v>
      </c>
      <c r="BA1007" s="181" t="s">
        <v>98</v>
      </c>
      <c r="BB1007" s="175" t="s">
        <v>98</v>
      </c>
      <c r="BC1007" s="176" t="s">
        <v>426</v>
      </c>
      <c r="BD1007" s="176"/>
      <c r="BE1007" s="33" t="s">
        <v>100</v>
      </c>
      <c r="BF1007" s="33" t="s">
        <v>98</v>
      </c>
    </row>
    <row r="1008" spans="1:58" s="202" customFormat="1" ht="65" x14ac:dyDescent="0.3">
      <c r="A1008" s="175">
        <v>4097</v>
      </c>
      <c r="B1008" s="175" t="s">
        <v>9306</v>
      </c>
      <c r="C1008" s="176" t="s">
        <v>62</v>
      </c>
      <c r="D1008" s="176" t="s">
        <v>9338</v>
      </c>
      <c r="E1008" s="175" t="s">
        <v>35</v>
      </c>
      <c r="F1008" s="175" t="s">
        <v>97</v>
      </c>
      <c r="G1008" s="175" t="s">
        <v>225</v>
      </c>
      <c r="H1008" s="175" t="s">
        <v>125</v>
      </c>
      <c r="I1008" s="175" t="s">
        <v>114</v>
      </c>
      <c r="J1008" s="176" t="s">
        <v>24</v>
      </c>
      <c r="K1008" s="176" t="s">
        <v>9307</v>
      </c>
      <c r="L1008" s="176" t="s">
        <v>276</v>
      </c>
      <c r="M1008" s="175" t="s">
        <v>15</v>
      </c>
      <c r="N1008" s="198" t="s">
        <v>3038</v>
      </c>
      <c r="O1008" s="199" t="s">
        <v>207</v>
      </c>
      <c r="P1008" s="304" t="s">
        <v>9320</v>
      </c>
      <c r="Q1008" s="176" t="s">
        <v>276</v>
      </c>
      <c r="R1008" s="176" t="s">
        <v>9334</v>
      </c>
      <c r="S1008" s="176" t="s">
        <v>9335</v>
      </c>
      <c r="T1008" s="178" t="s">
        <v>276</v>
      </c>
      <c r="U1008" s="180">
        <v>23485</v>
      </c>
      <c r="V1008" s="179">
        <v>16805</v>
      </c>
      <c r="W1008" s="175" t="s">
        <v>276</v>
      </c>
      <c r="X1008" s="175" t="s">
        <v>276</v>
      </c>
      <c r="Y1008" s="175" t="s">
        <v>276</v>
      </c>
      <c r="Z1008" s="176" t="s">
        <v>1562</v>
      </c>
      <c r="AA1008" s="175" t="s">
        <v>276</v>
      </c>
      <c r="AB1008" s="176" t="s">
        <v>1562</v>
      </c>
      <c r="AC1008" s="176" t="s">
        <v>9336</v>
      </c>
      <c r="AD1008" s="176" t="s">
        <v>9339</v>
      </c>
      <c r="AE1008" s="175">
        <f>20+25</f>
        <v>45</v>
      </c>
      <c r="AF1008" s="175">
        <f>20+34</f>
        <v>54</v>
      </c>
      <c r="AG1008" s="176">
        <v>191894</v>
      </c>
      <c r="AH1008" s="176">
        <v>139564</v>
      </c>
      <c r="AI1008" s="179" t="s">
        <v>425</v>
      </c>
      <c r="AJ1008" s="181" t="s">
        <v>276</v>
      </c>
      <c r="AK1008" s="201">
        <f>AE1008*1000/AG1008</f>
        <v>0.23450446600727484</v>
      </c>
      <c r="AL1008" s="181" t="s">
        <v>276</v>
      </c>
      <c r="AM1008" s="181" t="s">
        <v>276</v>
      </c>
      <c r="AN1008" s="181" t="s">
        <v>276</v>
      </c>
      <c r="AO1008" s="201">
        <f>AF1008*1000/AH1008</f>
        <v>0.38691926284715256</v>
      </c>
      <c r="AP1008" s="181" t="s">
        <v>276</v>
      </c>
      <c r="AQ1008" s="181" t="s">
        <v>276</v>
      </c>
      <c r="AR1008" s="175" t="s">
        <v>269</v>
      </c>
      <c r="AS1008" s="181" t="s">
        <v>276</v>
      </c>
      <c r="AT1008" s="181">
        <f>AK1008/AO1008</f>
        <v>0.60608113507109829</v>
      </c>
      <c r="AU1008" s="181" t="s">
        <v>276</v>
      </c>
      <c r="AV1008" s="181" t="s">
        <v>276</v>
      </c>
      <c r="AW1008" s="181" t="s">
        <v>276</v>
      </c>
      <c r="AX1008" s="175" t="s">
        <v>9331</v>
      </c>
      <c r="AY1008" s="181">
        <v>0.6</v>
      </c>
      <c r="AZ1008" s="181">
        <v>0.4</v>
      </c>
      <c r="BA1008" s="181">
        <v>0.9</v>
      </c>
      <c r="BB1008" s="175">
        <v>0.01</v>
      </c>
      <c r="BC1008" s="176" t="s">
        <v>9340</v>
      </c>
      <c r="BD1008" s="176"/>
      <c r="BE1008" s="33" t="s">
        <v>100</v>
      </c>
      <c r="BF1008" s="33" t="s">
        <v>98</v>
      </c>
    </row>
    <row r="1009" spans="1:58" s="339" customFormat="1" ht="65" x14ac:dyDescent="0.3">
      <c r="A1009" s="184">
        <v>4097</v>
      </c>
      <c r="B1009" s="184" t="s">
        <v>9306</v>
      </c>
      <c r="C1009" s="185" t="s">
        <v>62</v>
      </c>
      <c r="D1009" s="185" t="s">
        <v>9341</v>
      </c>
      <c r="E1009" s="184" t="s">
        <v>35</v>
      </c>
      <c r="F1009" s="184" t="s">
        <v>97</v>
      </c>
      <c r="G1009" s="184" t="s">
        <v>225</v>
      </c>
      <c r="H1009" s="184" t="s">
        <v>125</v>
      </c>
      <c r="I1009" s="184" t="s">
        <v>114</v>
      </c>
      <c r="J1009" s="185" t="s">
        <v>24</v>
      </c>
      <c r="K1009" s="185" t="s">
        <v>9307</v>
      </c>
      <c r="L1009" s="185" t="s">
        <v>276</v>
      </c>
      <c r="M1009" s="184" t="s">
        <v>15</v>
      </c>
      <c r="N1009" s="336" t="s">
        <v>9342</v>
      </c>
      <c r="O1009" s="337" t="s">
        <v>207</v>
      </c>
      <c r="P1009" s="302" t="s">
        <v>9320</v>
      </c>
      <c r="Q1009" s="185" t="s">
        <v>276</v>
      </c>
      <c r="R1009" s="185" t="s">
        <v>9343</v>
      </c>
      <c r="S1009" s="185" t="s">
        <v>9344</v>
      </c>
      <c r="T1009" s="187" t="s">
        <v>276</v>
      </c>
      <c r="U1009" s="189">
        <v>23412</v>
      </c>
      <c r="V1009" s="188">
        <v>16269</v>
      </c>
      <c r="W1009" s="184" t="s">
        <v>276</v>
      </c>
      <c r="X1009" s="184" t="s">
        <v>276</v>
      </c>
      <c r="Y1009" s="184" t="s">
        <v>276</v>
      </c>
      <c r="Z1009" s="185" t="s">
        <v>1562</v>
      </c>
      <c r="AA1009" s="184" t="s">
        <v>276</v>
      </c>
      <c r="AB1009" s="185" t="s">
        <v>1562</v>
      </c>
      <c r="AC1009" s="185" t="s">
        <v>9345</v>
      </c>
      <c r="AD1009" s="185" t="s">
        <v>9346</v>
      </c>
      <c r="AE1009" s="184">
        <f>25+27</f>
        <v>52</v>
      </c>
      <c r="AF1009" s="184">
        <f>16+42</f>
        <v>58</v>
      </c>
      <c r="AG1009" s="189">
        <v>23412</v>
      </c>
      <c r="AH1009" s="188">
        <v>16269</v>
      </c>
      <c r="AI1009" s="188" t="s">
        <v>281</v>
      </c>
      <c r="AJ1009" s="192" t="s">
        <v>276</v>
      </c>
      <c r="AK1009" s="338">
        <f t="shared" si="140"/>
        <v>2.2210832051939176</v>
      </c>
      <c r="AL1009" s="192" t="s">
        <v>276</v>
      </c>
      <c r="AM1009" s="192" t="s">
        <v>276</v>
      </c>
      <c r="AN1009" s="192" t="s">
        <v>276</v>
      </c>
      <c r="AO1009" s="338">
        <f t="shared" si="141"/>
        <v>3.5650623885918002</v>
      </c>
      <c r="AP1009" s="192" t="s">
        <v>276</v>
      </c>
      <c r="AQ1009" s="192" t="s">
        <v>276</v>
      </c>
      <c r="AR1009" s="184" t="s">
        <v>268</v>
      </c>
      <c r="AS1009" s="192" t="s">
        <v>276</v>
      </c>
      <c r="AT1009" s="192">
        <f t="shared" si="142"/>
        <v>0.62301383905689389</v>
      </c>
      <c r="AU1009" s="192" t="s">
        <v>276</v>
      </c>
      <c r="AV1009" s="192" t="s">
        <v>276</v>
      </c>
      <c r="AW1009" s="192" t="s">
        <v>276</v>
      </c>
      <c r="AX1009" s="184" t="s">
        <v>282</v>
      </c>
      <c r="AY1009" s="192" t="s">
        <v>98</v>
      </c>
      <c r="AZ1009" s="192" t="s">
        <v>98</v>
      </c>
      <c r="BA1009" s="192" t="s">
        <v>98</v>
      </c>
      <c r="BB1009" s="192" t="s">
        <v>98</v>
      </c>
      <c r="BC1009" s="185" t="s">
        <v>426</v>
      </c>
      <c r="BD1009" s="185"/>
      <c r="BE1009" s="33" t="s">
        <v>100</v>
      </c>
      <c r="BF1009" s="33" t="s">
        <v>98</v>
      </c>
    </row>
    <row r="1010" spans="1:58" s="339" customFormat="1" ht="65" x14ac:dyDescent="0.3">
      <c r="A1010" s="184">
        <v>4097</v>
      </c>
      <c r="B1010" s="184" t="s">
        <v>9306</v>
      </c>
      <c r="C1010" s="185" t="s">
        <v>62</v>
      </c>
      <c r="D1010" s="185" t="s">
        <v>9347</v>
      </c>
      <c r="E1010" s="184" t="s">
        <v>35</v>
      </c>
      <c r="F1010" s="184" t="s">
        <v>97</v>
      </c>
      <c r="G1010" s="184" t="s">
        <v>225</v>
      </c>
      <c r="H1010" s="184" t="s">
        <v>125</v>
      </c>
      <c r="I1010" s="184" t="s">
        <v>114</v>
      </c>
      <c r="J1010" s="185" t="s">
        <v>24</v>
      </c>
      <c r="K1010" s="185" t="s">
        <v>9307</v>
      </c>
      <c r="L1010" s="185" t="s">
        <v>276</v>
      </c>
      <c r="M1010" s="184" t="s">
        <v>15</v>
      </c>
      <c r="N1010" s="336" t="s">
        <v>9342</v>
      </c>
      <c r="O1010" s="337" t="s">
        <v>207</v>
      </c>
      <c r="P1010" s="302" t="s">
        <v>9320</v>
      </c>
      <c r="Q1010" s="185" t="s">
        <v>276</v>
      </c>
      <c r="R1010" s="185" t="s">
        <v>9343</v>
      </c>
      <c r="S1010" s="185" t="s">
        <v>9344</v>
      </c>
      <c r="T1010" s="187" t="s">
        <v>276</v>
      </c>
      <c r="U1010" s="189">
        <v>23412</v>
      </c>
      <c r="V1010" s="188">
        <v>16269</v>
      </c>
      <c r="W1010" s="184" t="s">
        <v>276</v>
      </c>
      <c r="X1010" s="184" t="s">
        <v>276</v>
      </c>
      <c r="Y1010" s="184" t="s">
        <v>276</v>
      </c>
      <c r="Z1010" s="185" t="s">
        <v>1562</v>
      </c>
      <c r="AA1010" s="184" t="s">
        <v>276</v>
      </c>
      <c r="AB1010" s="185" t="s">
        <v>1562</v>
      </c>
      <c r="AC1010" s="185" t="s">
        <v>9345</v>
      </c>
      <c r="AD1010" s="185" t="s">
        <v>9348</v>
      </c>
      <c r="AE1010" s="184">
        <f>25+27</f>
        <v>52</v>
      </c>
      <c r="AF1010" s="184">
        <f>16+42</f>
        <v>58</v>
      </c>
      <c r="AG1010" s="185">
        <v>180547</v>
      </c>
      <c r="AH1010" s="185">
        <v>126759</v>
      </c>
      <c r="AI1010" s="188" t="s">
        <v>425</v>
      </c>
      <c r="AJ1010" s="192" t="s">
        <v>276</v>
      </c>
      <c r="AK1010" s="338">
        <f>AE1010*1000/AG1010</f>
        <v>0.28801364741590835</v>
      </c>
      <c r="AL1010" s="192" t="s">
        <v>276</v>
      </c>
      <c r="AM1010" s="192" t="s">
        <v>276</v>
      </c>
      <c r="AN1010" s="192" t="s">
        <v>276</v>
      </c>
      <c r="AO1010" s="338">
        <f>AF1010*1000/AH1010</f>
        <v>0.45756119881034091</v>
      </c>
      <c r="AP1010" s="192" t="s">
        <v>276</v>
      </c>
      <c r="AQ1010" s="192" t="s">
        <v>276</v>
      </c>
      <c r="AR1010" s="184" t="s">
        <v>269</v>
      </c>
      <c r="AS1010" s="192" t="s">
        <v>276</v>
      </c>
      <c r="AT1010" s="192">
        <f>AK1010/AO1010</f>
        <v>0.62945382642746761</v>
      </c>
      <c r="AU1010" s="192" t="s">
        <v>276</v>
      </c>
      <c r="AV1010" s="192" t="s">
        <v>276</v>
      </c>
      <c r="AW1010" s="192" t="s">
        <v>276</v>
      </c>
      <c r="AX1010" s="184" t="s">
        <v>9331</v>
      </c>
      <c r="AY1010" s="192">
        <v>0.65</v>
      </c>
      <c r="AZ1010" s="184">
        <v>0.44</v>
      </c>
      <c r="BA1010" s="184">
        <v>0.95</v>
      </c>
      <c r="BB1010" s="184">
        <v>0.03</v>
      </c>
      <c r="BC1010" s="185" t="s">
        <v>9340</v>
      </c>
      <c r="BD1010" s="185"/>
      <c r="BE1010" s="33" t="s">
        <v>100</v>
      </c>
      <c r="BF1010" s="33" t="s">
        <v>98</v>
      </c>
    </row>
    <row r="1011" spans="1:58" s="202" customFormat="1" ht="65" x14ac:dyDescent="0.3">
      <c r="A1011" s="175">
        <v>4097</v>
      </c>
      <c r="B1011" s="175" t="s">
        <v>9306</v>
      </c>
      <c r="C1011" s="176" t="s">
        <v>62</v>
      </c>
      <c r="D1011" s="176" t="s">
        <v>9349</v>
      </c>
      <c r="E1011" s="175" t="s">
        <v>35</v>
      </c>
      <c r="F1011" s="175" t="s">
        <v>97</v>
      </c>
      <c r="G1011" s="175" t="s">
        <v>225</v>
      </c>
      <c r="H1011" s="175" t="s">
        <v>125</v>
      </c>
      <c r="I1011" s="175" t="s">
        <v>114</v>
      </c>
      <c r="J1011" s="176" t="s">
        <v>24</v>
      </c>
      <c r="K1011" s="176" t="s">
        <v>9307</v>
      </c>
      <c r="L1011" s="176" t="s">
        <v>276</v>
      </c>
      <c r="M1011" s="175" t="s">
        <v>15</v>
      </c>
      <c r="N1011" s="198" t="s">
        <v>9350</v>
      </c>
      <c r="O1011" s="199" t="s">
        <v>207</v>
      </c>
      <c r="P1011" s="304" t="s">
        <v>9320</v>
      </c>
      <c r="Q1011" s="176" t="s">
        <v>276</v>
      </c>
      <c r="R1011" s="176" t="s">
        <v>9351</v>
      </c>
      <c r="S1011" s="176" t="s">
        <v>9352</v>
      </c>
      <c r="T1011" s="178" t="s">
        <v>276</v>
      </c>
      <c r="U1011" s="180">
        <v>10339</v>
      </c>
      <c r="V1011" s="179">
        <v>7307</v>
      </c>
      <c r="W1011" s="175" t="s">
        <v>276</v>
      </c>
      <c r="X1011" s="175" t="s">
        <v>276</v>
      </c>
      <c r="Y1011" s="175" t="s">
        <v>276</v>
      </c>
      <c r="Z1011" s="176" t="s">
        <v>1562</v>
      </c>
      <c r="AA1011" s="175" t="s">
        <v>276</v>
      </c>
      <c r="AB1011" s="176" t="s">
        <v>1562</v>
      </c>
      <c r="AC1011" s="176" t="s">
        <v>9353</v>
      </c>
      <c r="AD1011" s="176" t="s">
        <v>9354</v>
      </c>
      <c r="AE1011" s="175">
        <f>19+16</f>
        <v>35</v>
      </c>
      <c r="AF1011" s="175">
        <f>13+18</f>
        <v>31</v>
      </c>
      <c r="AG1011" s="180">
        <v>10339</v>
      </c>
      <c r="AH1011" s="179">
        <v>7307</v>
      </c>
      <c r="AI1011" s="179" t="s">
        <v>281</v>
      </c>
      <c r="AJ1011" s="181" t="s">
        <v>276</v>
      </c>
      <c r="AK1011" s="201">
        <f t="shared" ref="AK1011" si="143">AE1011*1000/AG1011</f>
        <v>3.3852403520649967</v>
      </c>
      <c r="AL1011" s="181" t="s">
        <v>276</v>
      </c>
      <c r="AM1011" s="181" t="s">
        <v>276</v>
      </c>
      <c r="AN1011" s="181" t="s">
        <v>276</v>
      </c>
      <c r="AO1011" s="201">
        <f t="shared" ref="AO1011" si="144">AF1011*1000/AH1011</f>
        <v>4.2425071848911999</v>
      </c>
      <c r="AP1011" s="181" t="s">
        <v>276</v>
      </c>
      <c r="AQ1011" s="181" t="s">
        <v>276</v>
      </c>
      <c r="AR1011" s="175" t="s">
        <v>268</v>
      </c>
      <c r="AS1011" s="181" t="s">
        <v>276</v>
      </c>
      <c r="AT1011" s="181">
        <f t="shared" ref="AT1011" si="145">AK1011/AO1011</f>
        <v>0.79793391137222369</v>
      </c>
      <c r="AU1011" s="181" t="s">
        <v>276</v>
      </c>
      <c r="AV1011" s="181" t="s">
        <v>276</v>
      </c>
      <c r="AW1011" s="181" t="s">
        <v>276</v>
      </c>
      <c r="AX1011" s="175" t="s">
        <v>282</v>
      </c>
      <c r="AY1011" s="181" t="s">
        <v>98</v>
      </c>
      <c r="AZ1011" s="181" t="s">
        <v>98</v>
      </c>
      <c r="BA1011" s="181" t="s">
        <v>98</v>
      </c>
      <c r="BB1011" s="181" t="s">
        <v>98</v>
      </c>
      <c r="BC1011" s="176" t="s">
        <v>426</v>
      </c>
      <c r="BD1011" s="176"/>
      <c r="BE1011" s="33" t="s">
        <v>100</v>
      </c>
      <c r="BF1011" s="33" t="s">
        <v>98</v>
      </c>
    </row>
    <row r="1012" spans="1:58" s="202" customFormat="1" ht="65" x14ac:dyDescent="0.3">
      <c r="A1012" s="175">
        <v>4097</v>
      </c>
      <c r="B1012" s="175" t="s">
        <v>9306</v>
      </c>
      <c r="C1012" s="176" t="s">
        <v>62</v>
      </c>
      <c r="D1012" s="176" t="s">
        <v>9355</v>
      </c>
      <c r="E1012" s="175" t="s">
        <v>35</v>
      </c>
      <c r="F1012" s="175" t="s">
        <v>97</v>
      </c>
      <c r="G1012" s="175" t="s">
        <v>225</v>
      </c>
      <c r="H1012" s="175" t="s">
        <v>125</v>
      </c>
      <c r="I1012" s="175" t="s">
        <v>114</v>
      </c>
      <c r="J1012" s="176" t="s">
        <v>24</v>
      </c>
      <c r="K1012" s="176" t="s">
        <v>9307</v>
      </c>
      <c r="L1012" s="176" t="s">
        <v>276</v>
      </c>
      <c r="M1012" s="175" t="s">
        <v>15</v>
      </c>
      <c r="N1012" s="198" t="s">
        <v>9350</v>
      </c>
      <c r="O1012" s="199" t="s">
        <v>207</v>
      </c>
      <c r="P1012" s="304" t="s">
        <v>9320</v>
      </c>
      <c r="Q1012" s="176" t="s">
        <v>276</v>
      </c>
      <c r="R1012" s="176" t="s">
        <v>9351</v>
      </c>
      <c r="S1012" s="176" t="s">
        <v>9352</v>
      </c>
      <c r="T1012" s="178" t="s">
        <v>276</v>
      </c>
      <c r="U1012" s="180">
        <v>10339</v>
      </c>
      <c r="V1012" s="179">
        <v>7307</v>
      </c>
      <c r="W1012" s="175" t="s">
        <v>276</v>
      </c>
      <c r="X1012" s="175" t="s">
        <v>276</v>
      </c>
      <c r="Y1012" s="175" t="s">
        <v>276</v>
      </c>
      <c r="Z1012" s="176" t="s">
        <v>1562</v>
      </c>
      <c r="AA1012" s="175" t="s">
        <v>276</v>
      </c>
      <c r="AB1012" s="176" t="s">
        <v>1562</v>
      </c>
      <c r="AC1012" s="176" t="s">
        <v>9353</v>
      </c>
      <c r="AD1012" s="176" t="s">
        <v>9356</v>
      </c>
      <c r="AE1012" s="175">
        <f>19+16</f>
        <v>35</v>
      </c>
      <c r="AF1012" s="175">
        <f>13+18</f>
        <v>31</v>
      </c>
      <c r="AG1012" s="176">
        <v>73653</v>
      </c>
      <c r="AH1012" s="176">
        <v>52534</v>
      </c>
      <c r="AI1012" s="179" t="s">
        <v>425</v>
      </c>
      <c r="AJ1012" s="181" t="s">
        <v>276</v>
      </c>
      <c r="AK1012" s="201">
        <f>AE1012*1000/AG1012</f>
        <v>0.4752012816857426</v>
      </c>
      <c r="AL1012" s="181" t="s">
        <v>276</v>
      </c>
      <c r="AM1012" s="181" t="s">
        <v>276</v>
      </c>
      <c r="AN1012" s="181" t="s">
        <v>276</v>
      </c>
      <c r="AO1012" s="201">
        <f>AF1012*1000/AH1012</f>
        <v>0.59009403433966579</v>
      </c>
      <c r="AP1012" s="181" t="s">
        <v>276</v>
      </c>
      <c r="AQ1012" s="181" t="s">
        <v>276</v>
      </c>
      <c r="AR1012" s="175" t="s">
        <v>269</v>
      </c>
      <c r="AS1012" s="181" t="s">
        <v>276</v>
      </c>
      <c r="AT1012" s="181">
        <f>AK1012/AO1012</f>
        <v>0.8052975526477032</v>
      </c>
      <c r="AU1012" s="181" t="s">
        <v>276</v>
      </c>
      <c r="AV1012" s="181" t="s">
        <v>276</v>
      </c>
      <c r="AW1012" s="181" t="s">
        <v>276</v>
      </c>
      <c r="AX1012" s="175" t="s">
        <v>9331</v>
      </c>
      <c r="AY1012" s="181">
        <v>0.77</v>
      </c>
      <c r="AZ1012" s="175">
        <v>0.47</v>
      </c>
      <c r="BA1012" s="175">
        <v>1.27</v>
      </c>
      <c r="BB1012" s="175">
        <v>0.3</v>
      </c>
      <c r="BC1012" s="176" t="s">
        <v>9340</v>
      </c>
      <c r="BD1012" s="176"/>
      <c r="BE1012" s="33" t="s">
        <v>100</v>
      </c>
      <c r="BF1012" s="33" t="s">
        <v>98</v>
      </c>
    </row>
    <row r="1013" spans="1:58" s="339" customFormat="1" ht="52" x14ac:dyDescent="0.3">
      <c r="A1013" s="184">
        <v>4097</v>
      </c>
      <c r="B1013" s="184" t="s">
        <v>9306</v>
      </c>
      <c r="C1013" s="185" t="s">
        <v>9264</v>
      </c>
      <c r="D1013" s="185" t="s">
        <v>9357</v>
      </c>
      <c r="E1013" s="184" t="s">
        <v>35</v>
      </c>
      <c r="F1013" s="184" t="s">
        <v>97</v>
      </c>
      <c r="G1013" s="184" t="s">
        <v>225</v>
      </c>
      <c r="H1013" s="184" t="s">
        <v>125</v>
      </c>
      <c r="I1013" s="184" t="s">
        <v>114</v>
      </c>
      <c r="J1013" s="185" t="s">
        <v>24</v>
      </c>
      <c r="K1013" s="185" t="s">
        <v>9307</v>
      </c>
      <c r="L1013" s="185" t="s">
        <v>276</v>
      </c>
      <c r="M1013" s="184" t="s">
        <v>15</v>
      </c>
      <c r="N1013" s="336" t="s">
        <v>3032</v>
      </c>
      <c r="O1013" s="337" t="s">
        <v>207</v>
      </c>
      <c r="P1013" s="322" t="s">
        <v>98</v>
      </c>
      <c r="Q1013" s="185" t="s">
        <v>705</v>
      </c>
      <c r="R1013" s="185" t="s">
        <v>9358</v>
      </c>
      <c r="S1013" s="185" t="s">
        <v>9359</v>
      </c>
      <c r="T1013" s="187" t="s">
        <v>276</v>
      </c>
      <c r="U1013" s="189">
        <v>9582</v>
      </c>
      <c r="V1013" s="188">
        <v>5031</v>
      </c>
      <c r="W1013" s="184" t="s">
        <v>276</v>
      </c>
      <c r="X1013" s="184" t="s">
        <v>276</v>
      </c>
      <c r="Y1013" s="184" t="s">
        <v>276</v>
      </c>
      <c r="Z1013" s="185" t="s">
        <v>1562</v>
      </c>
      <c r="AA1013" s="184" t="s">
        <v>276</v>
      </c>
      <c r="AB1013" s="185" t="s">
        <v>1562</v>
      </c>
      <c r="AC1013" s="185" t="s">
        <v>9360</v>
      </c>
      <c r="AD1013" s="185" t="s">
        <v>9269</v>
      </c>
      <c r="AE1013" s="184">
        <v>0</v>
      </c>
      <c r="AF1013" s="184">
        <v>0</v>
      </c>
      <c r="AG1013" s="189">
        <v>9582</v>
      </c>
      <c r="AH1013" s="188">
        <v>5031</v>
      </c>
      <c r="AI1013" s="188" t="s">
        <v>281</v>
      </c>
      <c r="AJ1013" s="192" t="s">
        <v>276</v>
      </c>
      <c r="AK1013" s="338">
        <f t="shared" si="138"/>
        <v>0</v>
      </c>
      <c r="AL1013" s="192" t="s">
        <v>276</v>
      </c>
      <c r="AM1013" s="192" t="s">
        <v>276</v>
      </c>
      <c r="AN1013" s="192" t="s">
        <v>276</v>
      </c>
      <c r="AO1013" s="338">
        <f t="shared" si="139"/>
        <v>0</v>
      </c>
      <c r="AP1013" s="192" t="s">
        <v>276</v>
      </c>
      <c r="AQ1013" s="192" t="s">
        <v>276</v>
      </c>
      <c r="AR1013" s="184" t="s">
        <v>268</v>
      </c>
      <c r="AS1013" s="192" t="s">
        <v>276</v>
      </c>
      <c r="AT1013" s="192" t="s">
        <v>98</v>
      </c>
      <c r="AU1013" s="192" t="s">
        <v>276</v>
      </c>
      <c r="AV1013" s="192" t="s">
        <v>276</v>
      </c>
      <c r="AW1013" s="184">
        <v>0.03</v>
      </c>
      <c r="AX1013" s="184" t="s">
        <v>282</v>
      </c>
      <c r="AY1013" s="184" t="s">
        <v>98</v>
      </c>
      <c r="AZ1013" s="184" t="s">
        <v>98</v>
      </c>
      <c r="BA1013" s="184" t="s">
        <v>98</v>
      </c>
      <c r="BB1013" s="184" t="s">
        <v>98</v>
      </c>
      <c r="BC1013" s="185" t="s">
        <v>426</v>
      </c>
      <c r="BD1013" s="185"/>
      <c r="BE1013" s="33" t="s">
        <v>100</v>
      </c>
      <c r="BF1013" s="33" t="s">
        <v>98</v>
      </c>
    </row>
    <row r="1014" spans="1:58" s="339" customFormat="1" ht="52" x14ac:dyDescent="0.3">
      <c r="A1014" s="184">
        <v>4097</v>
      </c>
      <c r="B1014" s="184" t="s">
        <v>9306</v>
      </c>
      <c r="C1014" s="185" t="s">
        <v>9264</v>
      </c>
      <c r="D1014" s="185" t="s">
        <v>9361</v>
      </c>
      <c r="E1014" s="184" t="s">
        <v>35</v>
      </c>
      <c r="F1014" s="184" t="s">
        <v>97</v>
      </c>
      <c r="G1014" s="184" t="s">
        <v>225</v>
      </c>
      <c r="H1014" s="184" t="s">
        <v>125</v>
      </c>
      <c r="I1014" s="184" t="s">
        <v>114</v>
      </c>
      <c r="J1014" s="185" t="s">
        <v>24</v>
      </c>
      <c r="K1014" s="185" t="s">
        <v>9307</v>
      </c>
      <c r="L1014" s="185" t="s">
        <v>276</v>
      </c>
      <c r="M1014" s="184" t="s">
        <v>15</v>
      </c>
      <c r="N1014" s="336" t="s">
        <v>3032</v>
      </c>
      <c r="O1014" s="337" t="s">
        <v>207</v>
      </c>
      <c r="P1014" s="322" t="s">
        <v>98</v>
      </c>
      <c r="Q1014" s="185" t="s">
        <v>710</v>
      </c>
      <c r="R1014" s="185" t="s">
        <v>9362</v>
      </c>
      <c r="S1014" s="185" t="s">
        <v>9363</v>
      </c>
      <c r="T1014" s="187" t="s">
        <v>276</v>
      </c>
      <c r="U1014" s="189">
        <v>9582</v>
      </c>
      <c r="V1014" s="188">
        <v>5031</v>
      </c>
      <c r="W1014" s="184" t="s">
        <v>276</v>
      </c>
      <c r="X1014" s="184" t="s">
        <v>276</v>
      </c>
      <c r="Y1014" s="184" t="s">
        <v>276</v>
      </c>
      <c r="Z1014" s="185" t="s">
        <v>1562</v>
      </c>
      <c r="AA1014" s="184" t="s">
        <v>276</v>
      </c>
      <c r="AB1014" s="185" t="s">
        <v>1562</v>
      </c>
      <c r="AC1014" s="185" t="s">
        <v>9364</v>
      </c>
      <c r="AD1014" s="185" t="s">
        <v>9269</v>
      </c>
      <c r="AE1014" s="184">
        <v>0</v>
      </c>
      <c r="AF1014" s="184">
        <v>0</v>
      </c>
      <c r="AG1014" s="189">
        <v>9582</v>
      </c>
      <c r="AH1014" s="188">
        <v>5031</v>
      </c>
      <c r="AI1014" s="188" t="s">
        <v>281</v>
      </c>
      <c r="AJ1014" s="192" t="s">
        <v>276</v>
      </c>
      <c r="AK1014" s="338">
        <f t="shared" si="138"/>
        <v>0</v>
      </c>
      <c r="AL1014" s="192" t="s">
        <v>276</v>
      </c>
      <c r="AM1014" s="192" t="s">
        <v>276</v>
      </c>
      <c r="AN1014" s="192" t="s">
        <v>276</v>
      </c>
      <c r="AO1014" s="338">
        <f t="shared" si="139"/>
        <v>0</v>
      </c>
      <c r="AP1014" s="192" t="s">
        <v>276</v>
      </c>
      <c r="AQ1014" s="192" t="s">
        <v>276</v>
      </c>
      <c r="AR1014" s="184" t="s">
        <v>268</v>
      </c>
      <c r="AS1014" s="192" t="s">
        <v>276</v>
      </c>
      <c r="AT1014" s="192" t="s">
        <v>98</v>
      </c>
      <c r="AU1014" s="192" t="s">
        <v>276</v>
      </c>
      <c r="AV1014" s="192" t="s">
        <v>276</v>
      </c>
      <c r="AW1014" s="192" t="s">
        <v>276</v>
      </c>
      <c r="AX1014" s="184" t="s">
        <v>282</v>
      </c>
      <c r="AY1014" s="184" t="s">
        <v>98</v>
      </c>
      <c r="AZ1014" s="184" t="s">
        <v>98</v>
      </c>
      <c r="BA1014" s="184" t="s">
        <v>98</v>
      </c>
      <c r="BB1014" s="184" t="s">
        <v>98</v>
      </c>
      <c r="BC1014" s="185" t="s">
        <v>426</v>
      </c>
      <c r="BD1014" s="185"/>
      <c r="BE1014" s="33" t="s">
        <v>100</v>
      </c>
      <c r="BF1014" s="33" t="s">
        <v>98</v>
      </c>
    </row>
    <row r="1015" spans="1:58" s="339" customFormat="1" ht="52" x14ac:dyDescent="0.3">
      <c r="A1015" s="184">
        <v>4097</v>
      </c>
      <c r="B1015" s="184" t="s">
        <v>9306</v>
      </c>
      <c r="C1015" s="185" t="s">
        <v>9264</v>
      </c>
      <c r="D1015" s="185" t="s">
        <v>9365</v>
      </c>
      <c r="E1015" s="184" t="s">
        <v>35</v>
      </c>
      <c r="F1015" s="184" t="s">
        <v>97</v>
      </c>
      <c r="G1015" s="184" t="s">
        <v>225</v>
      </c>
      <c r="H1015" s="184" t="s">
        <v>125</v>
      </c>
      <c r="I1015" s="184" t="s">
        <v>114</v>
      </c>
      <c r="J1015" s="185" t="s">
        <v>24</v>
      </c>
      <c r="K1015" s="185" t="s">
        <v>9307</v>
      </c>
      <c r="L1015" s="185" t="s">
        <v>276</v>
      </c>
      <c r="M1015" s="184" t="s">
        <v>15</v>
      </c>
      <c r="N1015" s="336" t="s">
        <v>3032</v>
      </c>
      <c r="O1015" s="337" t="s">
        <v>207</v>
      </c>
      <c r="P1015" s="322" t="s">
        <v>98</v>
      </c>
      <c r="Q1015" s="185" t="s">
        <v>686</v>
      </c>
      <c r="R1015" s="185" t="s">
        <v>9366</v>
      </c>
      <c r="S1015" s="185" t="s">
        <v>9367</v>
      </c>
      <c r="T1015" s="187" t="s">
        <v>276</v>
      </c>
      <c r="U1015" s="189">
        <v>9582</v>
      </c>
      <c r="V1015" s="188">
        <v>5031</v>
      </c>
      <c r="W1015" s="184" t="s">
        <v>276</v>
      </c>
      <c r="X1015" s="184" t="s">
        <v>276</v>
      </c>
      <c r="Y1015" s="184" t="s">
        <v>276</v>
      </c>
      <c r="Z1015" s="185" t="s">
        <v>1562</v>
      </c>
      <c r="AA1015" s="184" t="s">
        <v>276</v>
      </c>
      <c r="AB1015" s="185" t="s">
        <v>1562</v>
      </c>
      <c r="AC1015" s="185" t="s">
        <v>9368</v>
      </c>
      <c r="AD1015" s="185" t="s">
        <v>9269</v>
      </c>
      <c r="AE1015" s="184">
        <v>3</v>
      </c>
      <c r="AF1015" s="184">
        <v>0</v>
      </c>
      <c r="AG1015" s="189">
        <v>9582</v>
      </c>
      <c r="AH1015" s="188">
        <v>5031</v>
      </c>
      <c r="AI1015" s="188" t="s">
        <v>281</v>
      </c>
      <c r="AJ1015" s="192" t="s">
        <v>276</v>
      </c>
      <c r="AK1015" s="338">
        <f t="shared" si="138"/>
        <v>0.31308703819661865</v>
      </c>
      <c r="AL1015" s="192" t="s">
        <v>276</v>
      </c>
      <c r="AM1015" s="192" t="s">
        <v>276</v>
      </c>
      <c r="AN1015" s="192" t="s">
        <v>276</v>
      </c>
      <c r="AO1015" s="338">
        <f t="shared" si="139"/>
        <v>0</v>
      </c>
      <c r="AP1015" s="192" t="s">
        <v>276</v>
      </c>
      <c r="AQ1015" s="192" t="s">
        <v>276</v>
      </c>
      <c r="AR1015" s="184" t="s">
        <v>268</v>
      </c>
      <c r="AS1015" s="192" t="s">
        <v>276</v>
      </c>
      <c r="AT1015" s="192" t="s">
        <v>98</v>
      </c>
      <c r="AU1015" s="192" t="s">
        <v>276</v>
      </c>
      <c r="AV1015" s="192" t="s">
        <v>276</v>
      </c>
      <c r="AW1015" s="192" t="s">
        <v>276</v>
      </c>
      <c r="AX1015" s="184" t="s">
        <v>282</v>
      </c>
      <c r="AY1015" s="184" t="s">
        <v>98</v>
      </c>
      <c r="AZ1015" s="184" t="s">
        <v>98</v>
      </c>
      <c r="BA1015" s="184" t="s">
        <v>98</v>
      </c>
      <c r="BB1015" s="184" t="s">
        <v>98</v>
      </c>
      <c r="BC1015" s="185" t="s">
        <v>426</v>
      </c>
      <c r="BD1015" s="185"/>
      <c r="BE1015" s="33" t="s">
        <v>100</v>
      </c>
      <c r="BF1015" s="33" t="s">
        <v>98</v>
      </c>
    </row>
    <row r="1016" spans="1:58" s="339" customFormat="1" ht="52" x14ac:dyDescent="0.3">
      <c r="A1016" s="184">
        <v>4097</v>
      </c>
      <c r="B1016" s="184" t="s">
        <v>9306</v>
      </c>
      <c r="C1016" s="185" t="s">
        <v>9264</v>
      </c>
      <c r="D1016" s="185" t="s">
        <v>9369</v>
      </c>
      <c r="E1016" s="184" t="s">
        <v>35</v>
      </c>
      <c r="F1016" s="184" t="s">
        <v>97</v>
      </c>
      <c r="G1016" s="184" t="s">
        <v>225</v>
      </c>
      <c r="H1016" s="184" t="s">
        <v>125</v>
      </c>
      <c r="I1016" s="184" t="s">
        <v>114</v>
      </c>
      <c r="J1016" s="185" t="s">
        <v>24</v>
      </c>
      <c r="K1016" s="185" t="s">
        <v>9307</v>
      </c>
      <c r="L1016" s="185" t="s">
        <v>276</v>
      </c>
      <c r="M1016" s="184" t="s">
        <v>15</v>
      </c>
      <c r="N1016" s="336" t="s">
        <v>3032</v>
      </c>
      <c r="O1016" s="337" t="s">
        <v>207</v>
      </c>
      <c r="P1016" s="322" t="s">
        <v>98</v>
      </c>
      <c r="Q1016" s="185" t="s">
        <v>721</v>
      </c>
      <c r="R1016" s="188" t="s">
        <v>9370</v>
      </c>
      <c r="S1016" s="188" t="s">
        <v>9371</v>
      </c>
      <c r="T1016" s="187" t="s">
        <v>276</v>
      </c>
      <c r="U1016" s="189">
        <v>9582</v>
      </c>
      <c r="V1016" s="188">
        <v>5031</v>
      </c>
      <c r="W1016" s="184" t="s">
        <v>276</v>
      </c>
      <c r="X1016" s="184" t="s">
        <v>276</v>
      </c>
      <c r="Y1016" s="184" t="s">
        <v>276</v>
      </c>
      <c r="Z1016" s="185" t="s">
        <v>1562</v>
      </c>
      <c r="AA1016" s="184" t="s">
        <v>276</v>
      </c>
      <c r="AB1016" s="185" t="s">
        <v>1562</v>
      </c>
      <c r="AC1016" s="185" t="s">
        <v>9372</v>
      </c>
      <c r="AD1016" s="185" t="s">
        <v>9269</v>
      </c>
      <c r="AE1016" s="184">
        <f>3+1</f>
        <v>4</v>
      </c>
      <c r="AF1016" s="184">
        <v>1</v>
      </c>
      <c r="AG1016" s="189">
        <v>9582</v>
      </c>
      <c r="AH1016" s="188">
        <v>5031</v>
      </c>
      <c r="AI1016" s="188" t="s">
        <v>281</v>
      </c>
      <c r="AJ1016" s="192" t="s">
        <v>276</v>
      </c>
      <c r="AK1016" s="338">
        <f t="shared" si="138"/>
        <v>0.41744938426215822</v>
      </c>
      <c r="AL1016" s="192" t="s">
        <v>276</v>
      </c>
      <c r="AM1016" s="192" t="s">
        <v>276</v>
      </c>
      <c r="AN1016" s="192" t="s">
        <v>276</v>
      </c>
      <c r="AO1016" s="338">
        <f t="shared" si="139"/>
        <v>0.19876764062810576</v>
      </c>
      <c r="AP1016" s="192" t="s">
        <v>276</v>
      </c>
      <c r="AQ1016" s="192" t="s">
        <v>276</v>
      </c>
      <c r="AR1016" s="184" t="s">
        <v>268</v>
      </c>
      <c r="AS1016" s="192" t="s">
        <v>276</v>
      </c>
      <c r="AT1016" s="192">
        <f t="shared" ref="AT1016:AT1021" si="146">AK1016/AO1016</f>
        <v>2.100187852222918</v>
      </c>
      <c r="AU1016" s="192" t="s">
        <v>276</v>
      </c>
      <c r="AV1016" s="192" t="s">
        <v>276</v>
      </c>
      <c r="AW1016" s="192" t="s">
        <v>276</v>
      </c>
      <c r="AX1016" s="184" t="s">
        <v>282</v>
      </c>
      <c r="AY1016" s="184" t="s">
        <v>98</v>
      </c>
      <c r="AZ1016" s="184" t="s">
        <v>98</v>
      </c>
      <c r="BA1016" s="184" t="s">
        <v>98</v>
      </c>
      <c r="BB1016" s="184" t="s">
        <v>98</v>
      </c>
      <c r="BC1016" s="185" t="s">
        <v>426</v>
      </c>
      <c r="BD1016" s="185"/>
      <c r="BE1016" s="33" t="s">
        <v>100</v>
      </c>
      <c r="BF1016" s="33" t="s">
        <v>98</v>
      </c>
    </row>
    <row r="1017" spans="1:58" s="339" customFormat="1" ht="52" x14ac:dyDescent="0.3">
      <c r="A1017" s="184">
        <v>4097</v>
      </c>
      <c r="B1017" s="184" t="s">
        <v>9306</v>
      </c>
      <c r="C1017" s="185" t="s">
        <v>9264</v>
      </c>
      <c r="D1017" s="185" t="s">
        <v>9373</v>
      </c>
      <c r="E1017" s="184" t="s">
        <v>35</v>
      </c>
      <c r="F1017" s="184" t="s">
        <v>97</v>
      </c>
      <c r="G1017" s="184" t="s">
        <v>225</v>
      </c>
      <c r="H1017" s="184" t="s">
        <v>125</v>
      </c>
      <c r="I1017" s="184" t="s">
        <v>114</v>
      </c>
      <c r="J1017" s="185" t="s">
        <v>24</v>
      </c>
      <c r="K1017" s="185" t="s">
        <v>9307</v>
      </c>
      <c r="L1017" s="185" t="s">
        <v>276</v>
      </c>
      <c r="M1017" s="184" t="s">
        <v>15</v>
      </c>
      <c r="N1017" s="336" t="s">
        <v>3032</v>
      </c>
      <c r="O1017" s="337" t="s">
        <v>207</v>
      </c>
      <c r="P1017" s="322" t="s">
        <v>98</v>
      </c>
      <c r="Q1017" s="185" t="s">
        <v>728</v>
      </c>
      <c r="R1017" s="188" t="s">
        <v>9374</v>
      </c>
      <c r="S1017" s="188" t="s">
        <v>9375</v>
      </c>
      <c r="T1017" s="187" t="s">
        <v>276</v>
      </c>
      <c r="U1017" s="189">
        <v>9582</v>
      </c>
      <c r="V1017" s="188">
        <v>5031</v>
      </c>
      <c r="W1017" s="184" t="s">
        <v>276</v>
      </c>
      <c r="X1017" s="184" t="s">
        <v>276</v>
      </c>
      <c r="Y1017" s="184" t="s">
        <v>276</v>
      </c>
      <c r="Z1017" s="185" t="s">
        <v>1562</v>
      </c>
      <c r="AA1017" s="184" t="s">
        <v>276</v>
      </c>
      <c r="AB1017" s="185" t="s">
        <v>1562</v>
      </c>
      <c r="AC1017" s="185" t="s">
        <v>9376</v>
      </c>
      <c r="AD1017" s="185" t="s">
        <v>9269</v>
      </c>
      <c r="AE1017" s="184">
        <f>3+1+2</f>
        <v>6</v>
      </c>
      <c r="AF1017" s="184">
        <f>1+1</f>
        <v>2</v>
      </c>
      <c r="AG1017" s="189">
        <v>9582</v>
      </c>
      <c r="AH1017" s="188">
        <v>5031</v>
      </c>
      <c r="AI1017" s="188" t="s">
        <v>281</v>
      </c>
      <c r="AJ1017" s="192" t="s">
        <v>276</v>
      </c>
      <c r="AK1017" s="338">
        <f t="shared" si="138"/>
        <v>0.6261740763932373</v>
      </c>
      <c r="AL1017" s="192" t="s">
        <v>276</v>
      </c>
      <c r="AM1017" s="192" t="s">
        <v>276</v>
      </c>
      <c r="AN1017" s="192" t="s">
        <v>276</v>
      </c>
      <c r="AO1017" s="338">
        <f t="shared" si="139"/>
        <v>0.39753528125621151</v>
      </c>
      <c r="AP1017" s="192" t="s">
        <v>276</v>
      </c>
      <c r="AQ1017" s="192" t="s">
        <v>276</v>
      </c>
      <c r="AR1017" s="184" t="s">
        <v>268</v>
      </c>
      <c r="AS1017" s="192" t="s">
        <v>276</v>
      </c>
      <c r="AT1017" s="192">
        <f t="shared" si="146"/>
        <v>1.5751408891671883</v>
      </c>
      <c r="AU1017" s="192" t="s">
        <v>276</v>
      </c>
      <c r="AV1017" s="192" t="s">
        <v>276</v>
      </c>
      <c r="AW1017" s="192" t="s">
        <v>276</v>
      </c>
      <c r="AX1017" s="184" t="s">
        <v>282</v>
      </c>
      <c r="AY1017" s="184" t="s">
        <v>98</v>
      </c>
      <c r="AZ1017" s="184" t="s">
        <v>98</v>
      </c>
      <c r="BA1017" s="184" t="s">
        <v>98</v>
      </c>
      <c r="BB1017" s="184" t="s">
        <v>98</v>
      </c>
      <c r="BC1017" s="185" t="s">
        <v>426</v>
      </c>
      <c r="BD1017" s="185"/>
      <c r="BE1017" s="33" t="s">
        <v>100</v>
      </c>
      <c r="BF1017" s="33" t="s">
        <v>98</v>
      </c>
    </row>
    <row r="1018" spans="1:58" s="339" customFormat="1" ht="52" x14ac:dyDescent="0.3">
      <c r="A1018" s="184">
        <v>4097</v>
      </c>
      <c r="B1018" s="184" t="s">
        <v>9306</v>
      </c>
      <c r="C1018" s="185" t="s">
        <v>9264</v>
      </c>
      <c r="D1018" s="185" t="s">
        <v>9377</v>
      </c>
      <c r="E1018" s="184" t="s">
        <v>35</v>
      </c>
      <c r="F1018" s="184" t="s">
        <v>97</v>
      </c>
      <c r="G1018" s="184" t="s">
        <v>225</v>
      </c>
      <c r="H1018" s="184" t="s">
        <v>125</v>
      </c>
      <c r="I1018" s="184" t="s">
        <v>114</v>
      </c>
      <c r="J1018" s="185" t="s">
        <v>24</v>
      </c>
      <c r="K1018" s="185" t="s">
        <v>9307</v>
      </c>
      <c r="L1018" s="185" t="s">
        <v>276</v>
      </c>
      <c r="M1018" s="184" t="s">
        <v>15</v>
      </c>
      <c r="N1018" s="336" t="s">
        <v>3032</v>
      </c>
      <c r="O1018" s="337" t="s">
        <v>207</v>
      </c>
      <c r="P1018" s="322" t="s">
        <v>98</v>
      </c>
      <c r="Q1018" s="185" t="s">
        <v>733</v>
      </c>
      <c r="R1018" s="188" t="s">
        <v>9378</v>
      </c>
      <c r="S1018" s="188" t="s">
        <v>9379</v>
      </c>
      <c r="T1018" s="187" t="s">
        <v>276</v>
      </c>
      <c r="U1018" s="189">
        <v>9582</v>
      </c>
      <c r="V1018" s="188">
        <v>5031</v>
      </c>
      <c r="W1018" s="184" t="s">
        <v>276</v>
      </c>
      <c r="X1018" s="184" t="s">
        <v>276</v>
      </c>
      <c r="Y1018" s="184" t="s">
        <v>276</v>
      </c>
      <c r="Z1018" s="185" t="s">
        <v>1562</v>
      </c>
      <c r="AA1018" s="184" t="s">
        <v>276</v>
      </c>
      <c r="AB1018" s="185" t="s">
        <v>1562</v>
      </c>
      <c r="AC1018" s="185" t="s">
        <v>9380</v>
      </c>
      <c r="AD1018" s="185" t="s">
        <v>9269</v>
      </c>
      <c r="AE1018" s="184">
        <f>3+1+2+1</f>
        <v>7</v>
      </c>
      <c r="AF1018" s="184">
        <f>1+1+0</f>
        <v>2</v>
      </c>
      <c r="AG1018" s="189">
        <v>9582</v>
      </c>
      <c r="AH1018" s="188">
        <v>5031</v>
      </c>
      <c r="AI1018" s="188" t="s">
        <v>281</v>
      </c>
      <c r="AJ1018" s="192" t="s">
        <v>276</v>
      </c>
      <c r="AK1018" s="338">
        <f t="shared" si="138"/>
        <v>0.73053642245877692</v>
      </c>
      <c r="AL1018" s="192" t="s">
        <v>276</v>
      </c>
      <c r="AM1018" s="192" t="s">
        <v>276</v>
      </c>
      <c r="AN1018" s="192" t="s">
        <v>276</v>
      </c>
      <c r="AO1018" s="338">
        <f t="shared" si="139"/>
        <v>0.39753528125621151</v>
      </c>
      <c r="AP1018" s="192" t="s">
        <v>276</v>
      </c>
      <c r="AQ1018" s="192" t="s">
        <v>276</v>
      </c>
      <c r="AR1018" s="184" t="s">
        <v>268</v>
      </c>
      <c r="AS1018" s="192" t="s">
        <v>276</v>
      </c>
      <c r="AT1018" s="192">
        <f t="shared" si="146"/>
        <v>1.8376643706950533</v>
      </c>
      <c r="AU1018" s="192" t="s">
        <v>276</v>
      </c>
      <c r="AV1018" s="192" t="s">
        <v>276</v>
      </c>
      <c r="AW1018" s="192" t="s">
        <v>276</v>
      </c>
      <c r="AX1018" s="184" t="s">
        <v>282</v>
      </c>
      <c r="AY1018" s="184" t="s">
        <v>98</v>
      </c>
      <c r="AZ1018" s="184" t="s">
        <v>98</v>
      </c>
      <c r="BA1018" s="184" t="s">
        <v>98</v>
      </c>
      <c r="BB1018" s="184" t="s">
        <v>98</v>
      </c>
      <c r="BC1018" s="185" t="s">
        <v>426</v>
      </c>
      <c r="BD1018" s="185"/>
      <c r="BE1018" s="33" t="s">
        <v>100</v>
      </c>
      <c r="BF1018" s="33" t="s">
        <v>98</v>
      </c>
    </row>
    <row r="1019" spans="1:58" s="339" customFormat="1" ht="52" x14ac:dyDescent="0.3">
      <c r="A1019" s="184">
        <v>4097</v>
      </c>
      <c r="B1019" s="184" t="s">
        <v>9306</v>
      </c>
      <c r="C1019" s="185" t="s">
        <v>9264</v>
      </c>
      <c r="D1019" s="185" t="s">
        <v>9381</v>
      </c>
      <c r="E1019" s="184" t="s">
        <v>35</v>
      </c>
      <c r="F1019" s="184" t="s">
        <v>97</v>
      </c>
      <c r="G1019" s="184" t="s">
        <v>225</v>
      </c>
      <c r="H1019" s="184" t="s">
        <v>125</v>
      </c>
      <c r="I1019" s="184" t="s">
        <v>114</v>
      </c>
      <c r="J1019" s="185" t="s">
        <v>24</v>
      </c>
      <c r="K1019" s="185" t="s">
        <v>9307</v>
      </c>
      <c r="L1019" s="185" t="s">
        <v>276</v>
      </c>
      <c r="M1019" s="184" t="s">
        <v>15</v>
      </c>
      <c r="N1019" s="336" t="s">
        <v>3032</v>
      </c>
      <c r="O1019" s="337" t="s">
        <v>207</v>
      </c>
      <c r="P1019" s="322" t="s">
        <v>98</v>
      </c>
      <c r="Q1019" s="185" t="s">
        <v>741</v>
      </c>
      <c r="R1019" s="188" t="s">
        <v>9382</v>
      </c>
      <c r="S1019" s="188" t="s">
        <v>9383</v>
      </c>
      <c r="T1019" s="187" t="s">
        <v>276</v>
      </c>
      <c r="U1019" s="189">
        <v>9582</v>
      </c>
      <c r="V1019" s="188">
        <v>5031</v>
      </c>
      <c r="W1019" s="184" t="s">
        <v>276</v>
      </c>
      <c r="X1019" s="184" t="s">
        <v>276</v>
      </c>
      <c r="Y1019" s="184" t="s">
        <v>276</v>
      </c>
      <c r="Z1019" s="185" t="s">
        <v>1562</v>
      </c>
      <c r="AA1019" s="184" t="s">
        <v>276</v>
      </c>
      <c r="AB1019" s="185" t="s">
        <v>1562</v>
      </c>
      <c r="AC1019" s="185" t="s">
        <v>9384</v>
      </c>
      <c r="AD1019" s="185" t="s">
        <v>9269</v>
      </c>
      <c r="AE1019" s="184">
        <f>3+1+2+1+5</f>
        <v>12</v>
      </c>
      <c r="AF1019" s="184">
        <f>1+1+0+3</f>
        <v>5</v>
      </c>
      <c r="AG1019" s="189">
        <v>9582</v>
      </c>
      <c r="AH1019" s="188">
        <v>5031</v>
      </c>
      <c r="AI1019" s="188" t="s">
        <v>281</v>
      </c>
      <c r="AJ1019" s="192" t="s">
        <v>276</v>
      </c>
      <c r="AK1019" s="338">
        <f t="shared" si="138"/>
        <v>1.2523481527864746</v>
      </c>
      <c r="AL1019" s="192" t="s">
        <v>276</v>
      </c>
      <c r="AM1019" s="192" t="s">
        <v>276</v>
      </c>
      <c r="AN1019" s="192" t="s">
        <v>276</v>
      </c>
      <c r="AO1019" s="338">
        <f t="shared" si="139"/>
        <v>0.99383820314052873</v>
      </c>
      <c r="AP1019" s="192" t="s">
        <v>276</v>
      </c>
      <c r="AQ1019" s="192" t="s">
        <v>276</v>
      </c>
      <c r="AR1019" s="184" t="s">
        <v>268</v>
      </c>
      <c r="AS1019" s="192" t="s">
        <v>276</v>
      </c>
      <c r="AT1019" s="192">
        <f t="shared" si="146"/>
        <v>1.2601127113337507</v>
      </c>
      <c r="AU1019" s="192" t="s">
        <v>276</v>
      </c>
      <c r="AV1019" s="192" t="s">
        <v>276</v>
      </c>
      <c r="AW1019" s="192" t="s">
        <v>276</v>
      </c>
      <c r="AX1019" s="184" t="s">
        <v>282</v>
      </c>
      <c r="AY1019" s="184" t="s">
        <v>98</v>
      </c>
      <c r="AZ1019" s="184" t="s">
        <v>98</v>
      </c>
      <c r="BA1019" s="184" t="s">
        <v>98</v>
      </c>
      <c r="BB1019" s="184" t="s">
        <v>98</v>
      </c>
      <c r="BC1019" s="185" t="s">
        <v>426</v>
      </c>
      <c r="BD1019" s="185"/>
      <c r="BE1019" s="33" t="s">
        <v>100</v>
      </c>
      <c r="BF1019" s="33" t="s">
        <v>98</v>
      </c>
    </row>
    <row r="1020" spans="1:58" s="339" customFormat="1" ht="52" x14ac:dyDescent="0.3">
      <c r="A1020" s="184">
        <v>4097</v>
      </c>
      <c r="B1020" s="184" t="s">
        <v>9306</v>
      </c>
      <c r="C1020" s="185" t="s">
        <v>9264</v>
      </c>
      <c r="D1020" s="185" t="s">
        <v>9385</v>
      </c>
      <c r="E1020" s="184" t="s">
        <v>35</v>
      </c>
      <c r="F1020" s="184" t="s">
        <v>97</v>
      </c>
      <c r="G1020" s="184" t="s">
        <v>225</v>
      </c>
      <c r="H1020" s="184" t="s">
        <v>125</v>
      </c>
      <c r="I1020" s="184" t="s">
        <v>114</v>
      </c>
      <c r="J1020" s="185" t="s">
        <v>24</v>
      </c>
      <c r="K1020" s="185" t="s">
        <v>9307</v>
      </c>
      <c r="L1020" s="185" t="s">
        <v>276</v>
      </c>
      <c r="M1020" s="184" t="s">
        <v>15</v>
      </c>
      <c r="N1020" s="336" t="s">
        <v>3032</v>
      </c>
      <c r="O1020" s="337" t="s">
        <v>207</v>
      </c>
      <c r="P1020" s="322" t="s">
        <v>98</v>
      </c>
      <c r="Q1020" s="185" t="s">
        <v>746</v>
      </c>
      <c r="R1020" s="188" t="s">
        <v>9386</v>
      </c>
      <c r="S1020" s="188" t="s">
        <v>9387</v>
      </c>
      <c r="T1020" s="187" t="s">
        <v>276</v>
      </c>
      <c r="U1020" s="189">
        <v>9582</v>
      </c>
      <c r="V1020" s="188">
        <v>5031</v>
      </c>
      <c r="W1020" s="184" t="s">
        <v>276</v>
      </c>
      <c r="X1020" s="184" t="s">
        <v>276</v>
      </c>
      <c r="Y1020" s="184" t="s">
        <v>276</v>
      </c>
      <c r="Z1020" s="185" t="s">
        <v>1562</v>
      </c>
      <c r="AA1020" s="184" t="s">
        <v>276</v>
      </c>
      <c r="AB1020" s="185" t="s">
        <v>1562</v>
      </c>
      <c r="AC1020" s="185" t="s">
        <v>9388</v>
      </c>
      <c r="AD1020" s="185" t="s">
        <v>9269</v>
      </c>
      <c r="AE1020" s="184">
        <f>3+1+2+1+5+0</f>
        <v>12</v>
      </c>
      <c r="AF1020" s="184">
        <f>1+1+0+3+3</f>
        <v>8</v>
      </c>
      <c r="AG1020" s="189">
        <v>9582</v>
      </c>
      <c r="AH1020" s="188">
        <v>5031</v>
      </c>
      <c r="AI1020" s="188" t="s">
        <v>281</v>
      </c>
      <c r="AJ1020" s="192" t="s">
        <v>276</v>
      </c>
      <c r="AK1020" s="338">
        <f t="shared" si="138"/>
        <v>1.2523481527864746</v>
      </c>
      <c r="AL1020" s="192" t="s">
        <v>276</v>
      </c>
      <c r="AM1020" s="192" t="s">
        <v>276</v>
      </c>
      <c r="AN1020" s="192" t="s">
        <v>276</v>
      </c>
      <c r="AO1020" s="338">
        <f t="shared" si="139"/>
        <v>1.5901411250248461</v>
      </c>
      <c r="AP1020" s="192" t="s">
        <v>276</v>
      </c>
      <c r="AQ1020" s="192" t="s">
        <v>276</v>
      </c>
      <c r="AR1020" s="184" t="s">
        <v>268</v>
      </c>
      <c r="AS1020" s="192" t="s">
        <v>276</v>
      </c>
      <c r="AT1020" s="192">
        <f t="shared" si="146"/>
        <v>0.78757044458359415</v>
      </c>
      <c r="AU1020" s="192" t="s">
        <v>276</v>
      </c>
      <c r="AV1020" s="192" t="s">
        <v>276</v>
      </c>
      <c r="AW1020" s="192" t="s">
        <v>276</v>
      </c>
      <c r="AX1020" s="184" t="s">
        <v>282</v>
      </c>
      <c r="AY1020" s="184" t="s">
        <v>98</v>
      </c>
      <c r="AZ1020" s="184" t="s">
        <v>98</v>
      </c>
      <c r="BA1020" s="184" t="s">
        <v>98</v>
      </c>
      <c r="BB1020" s="184" t="s">
        <v>98</v>
      </c>
      <c r="BC1020" s="185" t="s">
        <v>426</v>
      </c>
      <c r="BD1020" s="185"/>
      <c r="BE1020" s="33" t="s">
        <v>100</v>
      </c>
      <c r="BF1020" s="33" t="s">
        <v>98</v>
      </c>
    </row>
    <row r="1021" spans="1:58" s="339" customFormat="1" ht="52" x14ac:dyDescent="0.3">
      <c r="A1021" s="184">
        <v>4097</v>
      </c>
      <c r="B1021" s="184" t="s">
        <v>9306</v>
      </c>
      <c r="C1021" s="185" t="s">
        <v>9264</v>
      </c>
      <c r="D1021" s="185" t="s">
        <v>9389</v>
      </c>
      <c r="E1021" s="184" t="s">
        <v>35</v>
      </c>
      <c r="F1021" s="184" t="s">
        <v>97</v>
      </c>
      <c r="G1021" s="184" t="s">
        <v>225</v>
      </c>
      <c r="H1021" s="184" t="s">
        <v>125</v>
      </c>
      <c r="I1021" s="184" t="s">
        <v>114</v>
      </c>
      <c r="J1021" s="185" t="s">
        <v>24</v>
      </c>
      <c r="K1021" s="185" t="s">
        <v>9307</v>
      </c>
      <c r="L1021" s="185" t="s">
        <v>276</v>
      </c>
      <c r="M1021" s="184" t="s">
        <v>15</v>
      </c>
      <c r="N1021" s="336" t="s">
        <v>3032</v>
      </c>
      <c r="O1021" s="337" t="s">
        <v>207</v>
      </c>
      <c r="P1021" s="322" t="s">
        <v>98</v>
      </c>
      <c r="Q1021" s="185" t="s">
        <v>766</v>
      </c>
      <c r="R1021" s="188" t="s">
        <v>9390</v>
      </c>
      <c r="S1021" s="188" t="s">
        <v>9391</v>
      </c>
      <c r="T1021" s="187" t="s">
        <v>276</v>
      </c>
      <c r="U1021" s="189">
        <v>9582</v>
      </c>
      <c r="V1021" s="188">
        <v>5031</v>
      </c>
      <c r="W1021" s="184" t="s">
        <v>276</v>
      </c>
      <c r="X1021" s="184" t="s">
        <v>276</v>
      </c>
      <c r="Y1021" s="184" t="s">
        <v>276</v>
      </c>
      <c r="Z1021" s="185" t="s">
        <v>1562</v>
      </c>
      <c r="AA1021" s="184" t="s">
        <v>276</v>
      </c>
      <c r="AB1021" s="185" t="s">
        <v>1562</v>
      </c>
      <c r="AC1021" s="185" t="s">
        <v>9392</v>
      </c>
      <c r="AD1021" s="185" t="s">
        <v>9269</v>
      </c>
      <c r="AE1021" s="184">
        <f>3+1+2+1+5+0+1</f>
        <v>13</v>
      </c>
      <c r="AF1021" s="184">
        <f>1+1+0+3+3+1</f>
        <v>9</v>
      </c>
      <c r="AG1021" s="189">
        <v>9582</v>
      </c>
      <c r="AH1021" s="188">
        <v>5031</v>
      </c>
      <c r="AI1021" s="188" t="s">
        <v>281</v>
      </c>
      <c r="AJ1021" s="190">
        <v>1.5</v>
      </c>
      <c r="AK1021" s="338">
        <f t="shared" si="138"/>
        <v>1.3567104988520142</v>
      </c>
      <c r="AL1021" s="192" t="s">
        <v>276</v>
      </c>
      <c r="AM1021" s="192" t="s">
        <v>276</v>
      </c>
      <c r="AN1021" s="190">
        <v>2.2999999999999998</v>
      </c>
      <c r="AO1021" s="338">
        <f t="shared" si="139"/>
        <v>1.7889087656529516</v>
      </c>
      <c r="AP1021" s="192" t="s">
        <v>276</v>
      </c>
      <c r="AQ1021" s="192" t="s">
        <v>276</v>
      </c>
      <c r="AR1021" s="184" t="s">
        <v>268</v>
      </c>
      <c r="AS1021" s="192" t="s">
        <v>276</v>
      </c>
      <c r="AT1021" s="192">
        <f t="shared" si="146"/>
        <v>0.75840116885827602</v>
      </c>
      <c r="AU1021" s="192" t="s">
        <v>276</v>
      </c>
      <c r="AV1021" s="192" t="s">
        <v>276</v>
      </c>
      <c r="AW1021" s="192" t="s">
        <v>276</v>
      </c>
      <c r="AX1021" s="184" t="s">
        <v>282</v>
      </c>
      <c r="AY1021" s="184" t="s">
        <v>98</v>
      </c>
      <c r="AZ1021" s="184" t="s">
        <v>98</v>
      </c>
      <c r="BA1021" s="184" t="s">
        <v>98</v>
      </c>
      <c r="BB1021" s="184" t="s">
        <v>98</v>
      </c>
      <c r="BC1021" s="185" t="s">
        <v>426</v>
      </c>
      <c r="BD1021" s="346" t="s">
        <v>11547</v>
      </c>
      <c r="BE1021" s="33" t="s">
        <v>100</v>
      </c>
      <c r="BF1021" s="33" t="s">
        <v>98</v>
      </c>
    </row>
    <row r="1022" spans="1:58" s="202" customFormat="1" ht="52" x14ac:dyDescent="0.3">
      <c r="A1022" s="175">
        <v>4097</v>
      </c>
      <c r="B1022" s="175" t="s">
        <v>9306</v>
      </c>
      <c r="C1022" s="176" t="s">
        <v>9264</v>
      </c>
      <c r="D1022" s="176" t="s">
        <v>9393</v>
      </c>
      <c r="E1022" s="175" t="s">
        <v>35</v>
      </c>
      <c r="F1022" s="175" t="s">
        <v>97</v>
      </c>
      <c r="G1022" s="175" t="s">
        <v>225</v>
      </c>
      <c r="H1022" s="175" t="s">
        <v>125</v>
      </c>
      <c r="I1022" s="175" t="s">
        <v>114</v>
      </c>
      <c r="J1022" s="176" t="s">
        <v>24</v>
      </c>
      <c r="K1022" s="176" t="s">
        <v>9307</v>
      </c>
      <c r="L1022" s="176" t="s">
        <v>276</v>
      </c>
      <c r="M1022" s="175" t="s">
        <v>15</v>
      </c>
      <c r="N1022" s="198" t="s">
        <v>3038</v>
      </c>
      <c r="O1022" s="199" t="s">
        <v>207</v>
      </c>
      <c r="P1022" s="200" t="s">
        <v>98</v>
      </c>
      <c r="Q1022" s="176" t="s">
        <v>705</v>
      </c>
      <c r="R1022" s="176" t="s">
        <v>9394</v>
      </c>
      <c r="S1022" s="176" t="s">
        <v>9395</v>
      </c>
      <c r="T1022" s="178" t="s">
        <v>276</v>
      </c>
      <c r="U1022" s="180">
        <v>11728</v>
      </c>
      <c r="V1022" s="179">
        <v>5557</v>
      </c>
      <c r="W1022" s="175" t="s">
        <v>276</v>
      </c>
      <c r="X1022" s="175" t="s">
        <v>276</v>
      </c>
      <c r="Y1022" s="175" t="s">
        <v>276</v>
      </c>
      <c r="Z1022" s="176" t="s">
        <v>1562</v>
      </c>
      <c r="AA1022" s="175" t="s">
        <v>276</v>
      </c>
      <c r="AB1022" s="176" t="s">
        <v>1562</v>
      </c>
      <c r="AC1022" s="176" t="s">
        <v>9396</v>
      </c>
      <c r="AD1022" s="176" t="s">
        <v>9337</v>
      </c>
      <c r="AE1022" s="175">
        <v>1</v>
      </c>
      <c r="AF1022" s="175">
        <v>0</v>
      </c>
      <c r="AG1022" s="180">
        <v>11728</v>
      </c>
      <c r="AH1022" s="179">
        <v>5557</v>
      </c>
      <c r="AI1022" s="179" t="s">
        <v>281</v>
      </c>
      <c r="AJ1022" s="181" t="s">
        <v>276</v>
      </c>
      <c r="AK1022" s="201">
        <f t="shared" si="138"/>
        <v>8.5266030013642566E-2</v>
      </c>
      <c r="AL1022" s="181" t="s">
        <v>276</v>
      </c>
      <c r="AM1022" s="181" t="s">
        <v>276</v>
      </c>
      <c r="AN1022" s="181" t="s">
        <v>276</v>
      </c>
      <c r="AO1022" s="201">
        <f t="shared" si="139"/>
        <v>0</v>
      </c>
      <c r="AP1022" s="181" t="s">
        <v>276</v>
      </c>
      <c r="AQ1022" s="181" t="s">
        <v>276</v>
      </c>
      <c r="AR1022" s="175" t="s">
        <v>268</v>
      </c>
      <c r="AS1022" s="181" t="s">
        <v>276</v>
      </c>
      <c r="AT1022" s="181" t="s">
        <v>98</v>
      </c>
      <c r="AU1022" s="181" t="s">
        <v>276</v>
      </c>
      <c r="AV1022" s="181" t="s">
        <v>276</v>
      </c>
      <c r="AW1022" s="181" t="s">
        <v>276</v>
      </c>
      <c r="AX1022" s="175" t="s">
        <v>282</v>
      </c>
      <c r="AY1022" s="175" t="s">
        <v>98</v>
      </c>
      <c r="AZ1022" s="175" t="s">
        <v>98</v>
      </c>
      <c r="BA1022" s="175" t="s">
        <v>98</v>
      </c>
      <c r="BB1022" s="175" t="s">
        <v>98</v>
      </c>
      <c r="BC1022" s="176" t="s">
        <v>426</v>
      </c>
      <c r="BD1022" s="176"/>
      <c r="BE1022" s="33" t="s">
        <v>100</v>
      </c>
      <c r="BF1022" s="33" t="s">
        <v>98</v>
      </c>
    </row>
    <row r="1023" spans="1:58" s="202" customFormat="1" ht="52" x14ac:dyDescent="0.3">
      <c r="A1023" s="175">
        <v>4097</v>
      </c>
      <c r="B1023" s="175" t="s">
        <v>9306</v>
      </c>
      <c r="C1023" s="176" t="s">
        <v>9264</v>
      </c>
      <c r="D1023" s="176" t="s">
        <v>9397</v>
      </c>
      <c r="E1023" s="175" t="s">
        <v>35</v>
      </c>
      <c r="F1023" s="175" t="s">
        <v>97</v>
      </c>
      <c r="G1023" s="175" t="s">
        <v>225</v>
      </c>
      <c r="H1023" s="175" t="s">
        <v>125</v>
      </c>
      <c r="I1023" s="175" t="s">
        <v>114</v>
      </c>
      <c r="J1023" s="176" t="s">
        <v>24</v>
      </c>
      <c r="K1023" s="176" t="s">
        <v>9307</v>
      </c>
      <c r="L1023" s="176" t="s">
        <v>276</v>
      </c>
      <c r="M1023" s="175" t="s">
        <v>15</v>
      </c>
      <c r="N1023" s="198" t="s">
        <v>3038</v>
      </c>
      <c r="O1023" s="199" t="s">
        <v>207</v>
      </c>
      <c r="P1023" s="200" t="s">
        <v>98</v>
      </c>
      <c r="Q1023" s="176" t="s">
        <v>710</v>
      </c>
      <c r="R1023" s="176" t="s">
        <v>9398</v>
      </c>
      <c r="S1023" s="176" t="s">
        <v>9399</v>
      </c>
      <c r="T1023" s="178" t="s">
        <v>276</v>
      </c>
      <c r="U1023" s="180">
        <v>11728</v>
      </c>
      <c r="V1023" s="179">
        <v>5557</v>
      </c>
      <c r="W1023" s="175" t="s">
        <v>276</v>
      </c>
      <c r="X1023" s="175" t="s">
        <v>276</v>
      </c>
      <c r="Y1023" s="175" t="s">
        <v>276</v>
      </c>
      <c r="Z1023" s="176" t="s">
        <v>1562</v>
      </c>
      <c r="AA1023" s="175" t="s">
        <v>276</v>
      </c>
      <c r="AB1023" s="176" t="s">
        <v>1562</v>
      </c>
      <c r="AC1023" s="176" t="s">
        <v>9400</v>
      </c>
      <c r="AD1023" s="176" t="s">
        <v>9337</v>
      </c>
      <c r="AE1023" s="175">
        <f>1+0</f>
        <v>1</v>
      </c>
      <c r="AF1023" s="175">
        <f>0+2</f>
        <v>2</v>
      </c>
      <c r="AG1023" s="180">
        <v>11728</v>
      </c>
      <c r="AH1023" s="179">
        <v>5557</v>
      </c>
      <c r="AI1023" s="179" t="s">
        <v>281</v>
      </c>
      <c r="AJ1023" s="181" t="s">
        <v>276</v>
      </c>
      <c r="AK1023" s="201">
        <f t="shared" si="138"/>
        <v>8.5266030013642566E-2</v>
      </c>
      <c r="AL1023" s="181" t="s">
        <v>276</v>
      </c>
      <c r="AM1023" s="181" t="s">
        <v>276</v>
      </c>
      <c r="AN1023" s="181" t="s">
        <v>276</v>
      </c>
      <c r="AO1023" s="201">
        <f t="shared" si="139"/>
        <v>0.35990642432967429</v>
      </c>
      <c r="AP1023" s="181" t="s">
        <v>276</v>
      </c>
      <c r="AQ1023" s="181" t="s">
        <v>276</v>
      </c>
      <c r="AR1023" s="175" t="s">
        <v>268</v>
      </c>
      <c r="AS1023" s="181" t="s">
        <v>276</v>
      </c>
      <c r="AT1023" s="181">
        <f t="shared" ref="AT1023:AT1030" si="147">AK1023/AO1023</f>
        <v>0.23691166439290587</v>
      </c>
      <c r="AU1023" s="181" t="s">
        <v>276</v>
      </c>
      <c r="AV1023" s="181" t="s">
        <v>276</v>
      </c>
      <c r="AW1023" s="181" t="s">
        <v>276</v>
      </c>
      <c r="AX1023" s="175" t="s">
        <v>282</v>
      </c>
      <c r="AY1023" s="175" t="s">
        <v>98</v>
      </c>
      <c r="AZ1023" s="175" t="s">
        <v>98</v>
      </c>
      <c r="BA1023" s="175" t="s">
        <v>98</v>
      </c>
      <c r="BB1023" s="175" t="s">
        <v>98</v>
      </c>
      <c r="BC1023" s="176" t="s">
        <v>426</v>
      </c>
      <c r="BD1023" s="176"/>
      <c r="BE1023" s="33" t="s">
        <v>100</v>
      </c>
      <c r="BF1023" s="33" t="s">
        <v>98</v>
      </c>
    </row>
    <row r="1024" spans="1:58" s="202" customFormat="1" ht="52" x14ac:dyDescent="0.3">
      <c r="A1024" s="175">
        <v>4097</v>
      </c>
      <c r="B1024" s="175" t="s">
        <v>9306</v>
      </c>
      <c r="C1024" s="176" t="s">
        <v>9264</v>
      </c>
      <c r="D1024" s="176" t="s">
        <v>9401</v>
      </c>
      <c r="E1024" s="175" t="s">
        <v>35</v>
      </c>
      <c r="F1024" s="175" t="s">
        <v>97</v>
      </c>
      <c r="G1024" s="175" t="s">
        <v>225</v>
      </c>
      <c r="H1024" s="175" t="s">
        <v>125</v>
      </c>
      <c r="I1024" s="175" t="s">
        <v>114</v>
      </c>
      <c r="J1024" s="176" t="s">
        <v>24</v>
      </c>
      <c r="K1024" s="176" t="s">
        <v>9307</v>
      </c>
      <c r="L1024" s="176" t="s">
        <v>276</v>
      </c>
      <c r="M1024" s="175" t="s">
        <v>15</v>
      </c>
      <c r="N1024" s="198" t="s">
        <v>3038</v>
      </c>
      <c r="O1024" s="199" t="s">
        <v>207</v>
      </c>
      <c r="P1024" s="200" t="s">
        <v>98</v>
      </c>
      <c r="Q1024" s="176" t="s">
        <v>686</v>
      </c>
      <c r="R1024" s="176" t="s">
        <v>9402</v>
      </c>
      <c r="S1024" s="176" t="s">
        <v>9403</v>
      </c>
      <c r="T1024" s="178" t="s">
        <v>276</v>
      </c>
      <c r="U1024" s="180">
        <v>11728</v>
      </c>
      <c r="V1024" s="179">
        <v>5557</v>
      </c>
      <c r="W1024" s="175" t="s">
        <v>276</v>
      </c>
      <c r="X1024" s="175" t="s">
        <v>276</v>
      </c>
      <c r="Y1024" s="175" t="s">
        <v>276</v>
      </c>
      <c r="Z1024" s="176" t="s">
        <v>1562</v>
      </c>
      <c r="AA1024" s="175" t="s">
        <v>276</v>
      </c>
      <c r="AB1024" s="176" t="s">
        <v>1562</v>
      </c>
      <c r="AC1024" s="176" t="s">
        <v>9404</v>
      </c>
      <c r="AD1024" s="176" t="s">
        <v>9337</v>
      </c>
      <c r="AE1024" s="175">
        <f>1+0+3</f>
        <v>4</v>
      </c>
      <c r="AF1024" s="175">
        <f>0+2+2</f>
        <v>4</v>
      </c>
      <c r="AG1024" s="180">
        <v>11728</v>
      </c>
      <c r="AH1024" s="179">
        <v>5557</v>
      </c>
      <c r="AI1024" s="179" t="s">
        <v>281</v>
      </c>
      <c r="AJ1024" s="181" t="s">
        <v>276</v>
      </c>
      <c r="AK1024" s="201">
        <f t="shared" si="138"/>
        <v>0.34106412005457026</v>
      </c>
      <c r="AL1024" s="181" t="s">
        <v>276</v>
      </c>
      <c r="AM1024" s="181" t="s">
        <v>276</v>
      </c>
      <c r="AN1024" s="181" t="s">
        <v>276</v>
      </c>
      <c r="AO1024" s="201">
        <f t="shared" si="139"/>
        <v>0.71981284865934858</v>
      </c>
      <c r="AP1024" s="181" t="s">
        <v>276</v>
      </c>
      <c r="AQ1024" s="181" t="s">
        <v>276</v>
      </c>
      <c r="AR1024" s="175" t="s">
        <v>268</v>
      </c>
      <c r="AS1024" s="181" t="s">
        <v>276</v>
      </c>
      <c r="AT1024" s="181">
        <f t="shared" si="147"/>
        <v>0.47382332878581174</v>
      </c>
      <c r="AU1024" s="181" t="s">
        <v>276</v>
      </c>
      <c r="AV1024" s="181" t="s">
        <v>276</v>
      </c>
      <c r="AW1024" s="181" t="s">
        <v>276</v>
      </c>
      <c r="AX1024" s="175" t="s">
        <v>282</v>
      </c>
      <c r="AY1024" s="175" t="s">
        <v>98</v>
      </c>
      <c r="AZ1024" s="175" t="s">
        <v>98</v>
      </c>
      <c r="BA1024" s="175" t="s">
        <v>98</v>
      </c>
      <c r="BB1024" s="175" t="s">
        <v>98</v>
      </c>
      <c r="BC1024" s="176" t="s">
        <v>426</v>
      </c>
      <c r="BD1024" s="176"/>
      <c r="BE1024" s="33" t="s">
        <v>100</v>
      </c>
      <c r="BF1024" s="33" t="s">
        <v>98</v>
      </c>
    </row>
    <row r="1025" spans="1:58" s="202" customFormat="1" ht="52" x14ac:dyDescent="0.3">
      <c r="A1025" s="175">
        <v>4097</v>
      </c>
      <c r="B1025" s="175" t="s">
        <v>9306</v>
      </c>
      <c r="C1025" s="176" t="s">
        <v>9264</v>
      </c>
      <c r="D1025" s="176" t="s">
        <v>9405</v>
      </c>
      <c r="E1025" s="175" t="s">
        <v>35</v>
      </c>
      <c r="F1025" s="175" t="s">
        <v>97</v>
      </c>
      <c r="G1025" s="175" t="s">
        <v>225</v>
      </c>
      <c r="H1025" s="175" t="s">
        <v>125</v>
      </c>
      <c r="I1025" s="175" t="s">
        <v>114</v>
      </c>
      <c r="J1025" s="176" t="s">
        <v>24</v>
      </c>
      <c r="K1025" s="176" t="s">
        <v>9307</v>
      </c>
      <c r="L1025" s="176" t="s">
        <v>276</v>
      </c>
      <c r="M1025" s="175" t="s">
        <v>15</v>
      </c>
      <c r="N1025" s="198" t="s">
        <v>3038</v>
      </c>
      <c r="O1025" s="199" t="s">
        <v>207</v>
      </c>
      <c r="P1025" s="200" t="s">
        <v>98</v>
      </c>
      <c r="Q1025" s="176" t="s">
        <v>721</v>
      </c>
      <c r="R1025" s="176" t="s">
        <v>9406</v>
      </c>
      <c r="S1025" s="176" t="s">
        <v>9407</v>
      </c>
      <c r="T1025" s="178" t="s">
        <v>276</v>
      </c>
      <c r="U1025" s="180">
        <v>11728</v>
      </c>
      <c r="V1025" s="179">
        <v>5557</v>
      </c>
      <c r="W1025" s="175" t="s">
        <v>276</v>
      </c>
      <c r="X1025" s="175" t="s">
        <v>276</v>
      </c>
      <c r="Y1025" s="175" t="s">
        <v>276</v>
      </c>
      <c r="Z1025" s="176" t="s">
        <v>1562</v>
      </c>
      <c r="AA1025" s="175" t="s">
        <v>276</v>
      </c>
      <c r="AB1025" s="176" t="s">
        <v>1562</v>
      </c>
      <c r="AC1025" s="176" t="s">
        <v>9408</v>
      </c>
      <c r="AD1025" s="176" t="s">
        <v>9337</v>
      </c>
      <c r="AE1025" s="175">
        <f>1+0+3+3</f>
        <v>7</v>
      </c>
      <c r="AF1025" s="175">
        <f>0+2+2+2</f>
        <v>6</v>
      </c>
      <c r="AG1025" s="180">
        <v>11728</v>
      </c>
      <c r="AH1025" s="179">
        <v>5557</v>
      </c>
      <c r="AI1025" s="179" t="s">
        <v>281</v>
      </c>
      <c r="AJ1025" s="181" t="s">
        <v>276</v>
      </c>
      <c r="AK1025" s="201">
        <f t="shared" si="138"/>
        <v>0.596862210095498</v>
      </c>
      <c r="AL1025" s="181" t="s">
        <v>276</v>
      </c>
      <c r="AM1025" s="181" t="s">
        <v>276</v>
      </c>
      <c r="AN1025" s="181" t="s">
        <v>276</v>
      </c>
      <c r="AO1025" s="201">
        <f t="shared" si="139"/>
        <v>1.0797192729890228</v>
      </c>
      <c r="AP1025" s="181" t="s">
        <v>276</v>
      </c>
      <c r="AQ1025" s="181" t="s">
        <v>276</v>
      </c>
      <c r="AR1025" s="175" t="s">
        <v>268</v>
      </c>
      <c r="AS1025" s="181" t="s">
        <v>276</v>
      </c>
      <c r="AT1025" s="181">
        <f t="shared" si="147"/>
        <v>0.55279388358344705</v>
      </c>
      <c r="AU1025" s="181" t="s">
        <v>276</v>
      </c>
      <c r="AV1025" s="181" t="s">
        <v>276</v>
      </c>
      <c r="AW1025" s="181" t="s">
        <v>276</v>
      </c>
      <c r="AX1025" s="175" t="s">
        <v>282</v>
      </c>
      <c r="AY1025" s="175" t="s">
        <v>98</v>
      </c>
      <c r="AZ1025" s="175" t="s">
        <v>98</v>
      </c>
      <c r="BA1025" s="175" t="s">
        <v>98</v>
      </c>
      <c r="BB1025" s="175" t="s">
        <v>98</v>
      </c>
      <c r="BC1025" s="176" t="s">
        <v>426</v>
      </c>
      <c r="BD1025" s="176"/>
      <c r="BE1025" s="33" t="s">
        <v>100</v>
      </c>
      <c r="BF1025" s="33" t="s">
        <v>98</v>
      </c>
    </row>
    <row r="1026" spans="1:58" s="202" customFormat="1" ht="52" x14ac:dyDescent="0.3">
      <c r="A1026" s="175">
        <v>4097</v>
      </c>
      <c r="B1026" s="175" t="s">
        <v>9306</v>
      </c>
      <c r="C1026" s="176" t="s">
        <v>9264</v>
      </c>
      <c r="D1026" s="176" t="s">
        <v>9409</v>
      </c>
      <c r="E1026" s="175" t="s">
        <v>35</v>
      </c>
      <c r="F1026" s="175" t="s">
        <v>97</v>
      </c>
      <c r="G1026" s="175" t="s">
        <v>225</v>
      </c>
      <c r="H1026" s="175" t="s">
        <v>125</v>
      </c>
      <c r="I1026" s="175" t="s">
        <v>114</v>
      </c>
      <c r="J1026" s="176" t="s">
        <v>24</v>
      </c>
      <c r="K1026" s="176" t="s">
        <v>9307</v>
      </c>
      <c r="L1026" s="176" t="s">
        <v>276</v>
      </c>
      <c r="M1026" s="175" t="s">
        <v>15</v>
      </c>
      <c r="N1026" s="198" t="s">
        <v>3038</v>
      </c>
      <c r="O1026" s="199" t="s">
        <v>207</v>
      </c>
      <c r="P1026" s="200" t="s">
        <v>98</v>
      </c>
      <c r="Q1026" s="176" t="s">
        <v>728</v>
      </c>
      <c r="R1026" s="176" t="s">
        <v>9410</v>
      </c>
      <c r="S1026" s="176" t="s">
        <v>9411</v>
      </c>
      <c r="T1026" s="178" t="s">
        <v>276</v>
      </c>
      <c r="U1026" s="180">
        <v>11728</v>
      </c>
      <c r="V1026" s="179">
        <v>5557</v>
      </c>
      <c r="W1026" s="175" t="s">
        <v>276</v>
      </c>
      <c r="X1026" s="175" t="s">
        <v>276</v>
      </c>
      <c r="Y1026" s="175" t="s">
        <v>276</v>
      </c>
      <c r="Z1026" s="176" t="s">
        <v>1562</v>
      </c>
      <c r="AA1026" s="175" t="s">
        <v>276</v>
      </c>
      <c r="AB1026" s="176" t="s">
        <v>1562</v>
      </c>
      <c r="AC1026" s="176" t="s">
        <v>9412</v>
      </c>
      <c r="AD1026" s="176" t="s">
        <v>9337</v>
      </c>
      <c r="AE1026" s="175">
        <f>1+0+3+3+4</f>
        <v>11</v>
      </c>
      <c r="AF1026" s="175">
        <f>0+2+2+2+5</f>
        <v>11</v>
      </c>
      <c r="AG1026" s="180">
        <v>11728</v>
      </c>
      <c r="AH1026" s="179">
        <v>5557</v>
      </c>
      <c r="AI1026" s="179" t="s">
        <v>281</v>
      </c>
      <c r="AJ1026" s="181" t="s">
        <v>276</v>
      </c>
      <c r="AK1026" s="201">
        <f t="shared" si="138"/>
        <v>0.93792633015006821</v>
      </c>
      <c r="AL1026" s="181" t="s">
        <v>276</v>
      </c>
      <c r="AM1026" s="181" t="s">
        <v>276</v>
      </c>
      <c r="AN1026" s="181" t="s">
        <v>276</v>
      </c>
      <c r="AO1026" s="201">
        <f t="shared" si="139"/>
        <v>1.9794853338132086</v>
      </c>
      <c r="AP1026" s="181" t="s">
        <v>276</v>
      </c>
      <c r="AQ1026" s="181" t="s">
        <v>276</v>
      </c>
      <c r="AR1026" s="175" t="s">
        <v>268</v>
      </c>
      <c r="AS1026" s="181" t="s">
        <v>276</v>
      </c>
      <c r="AT1026" s="181">
        <f t="shared" si="147"/>
        <v>0.47382332878581174</v>
      </c>
      <c r="AU1026" s="181" t="s">
        <v>276</v>
      </c>
      <c r="AV1026" s="181" t="s">
        <v>276</v>
      </c>
      <c r="AW1026" s="181" t="s">
        <v>276</v>
      </c>
      <c r="AX1026" s="175" t="s">
        <v>282</v>
      </c>
      <c r="AY1026" s="175" t="s">
        <v>98</v>
      </c>
      <c r="AZ1026" s="175" t="s">
        <v>98</v>
      </c>
      <c r="BA1026" s="175" t="s">
        <v>98</v>
      </c>
      <c r="BB1026" s="175" t="s">
        <v>98</v>
      </c>
      <c r="BC1026" s="176" t="s">
        <v>426</v>
      </c>
      <c r="BD1026" s="176"/>
      <c r="BE1026" s="33" t="s">
        <v>100</v>
      </c>
      <c r="BF1026" s="33" t="s">
        <v>98</v>
      </c>
    </row>
    <row r="1027" spans="1:58" s="202" customFormat="1" ht="52" x14ac:dyDescent="0.3">
      <c r="A1027" s="175">
        <v>4097</v>
      </c>
      <c r="B1027" s="175" t="s">
        <v>9306</v>
      </c>
      <c r="C1027" s="176" t="s">
        <v>9264</v>
      </c>
      <c r="D1027" s="176" t="s">
        <v>9413</v>
      </c>
      <c r="E1027" s="175" t="s">
        <v>35</v>
      </c>
      <c r="F1027" s="175" t="s">
        <v>97</v>
      </c>
      <c r="G1027" s="175" t="s">
        <v>225</v>
      </c>
      <c r="H1027" s="175" t="s">
        <v>125</v>
      </c>
      <c r="I1027" s="175" t="s">
        <v>114</v>
      </c>
      <c r="J1027" s="176" t="s">
        <v>24</v>
      </c>
      <c r="K1027" s="176" t="s">
        <v>9307</v>
      </c>
      <c r="L1027" s="176" t="s">
        <v>276</v>
      </c>
      <c r="M1027" s="175" t="s">
        <v>15</v>
      </c>
      <c r="N1027" s="198" t="s">
        <v>3038</v>
      </c>
      <c r="O1027" s="199" t="s">
        <v>207</v>
      </c>
      <c r="P1027" s="200" t="s">
        <v>98</v>
      </c>
      <c r="Q1027" s="176" t="s">
        <v>733</v>
      </c>
      <c r="R1027" s="176" t="s">
        <v>9414</v>
      </c>
      <c r="S1027" s="176" t="s">
        <v>9415</v>
      </c>
      <c r="T1027" s="178" t="s">
        <v>276</v>
      </c>
      <c r="U1027" s="180">
        <v>11728</v>
      </c>
      <c r="V1027" s="179">
        <v>5557</v>
      </c>
      <c r="W1027" s="175" t="s">
        <v>276</v>
      </c>
      <c r="X1027" s="175" t="s">
        <v>276</v>
      </c>
      <c r="Y1027" s="175" t="s">
        <v>276</v>
      </c>
      <c r="Z1027" s="176" t="s">
        <v>1562</v>
      </c>
      <c r="AA1027" s="175" t="s">
        <v>276</v>
      </c>
      <c r="AB1027" s="176" t="s">
        <v>1562</v>
      </c>
      <c r="AC1027" s="176" t="s">
        <v>9416</v>
      </c>
      <c r="AD1027" s="176" t="s">
        <v>9337</v>
      </c>
      <c r="AE1027" s="175">
        <f>1+0+3+3+4+3</f>
        <v>14</v>
      </c>
      <c r="AF1027" s="175">
        <f>0+2+2+2+5+3</f>
        <v>14</v>
      </c>
      <c r="AG1027" s="180">
        <v>11728</v>
      </c>
      <c r="AH1027" s="179">
        <v>5557</v>
      </c>
      <c r="AI1027" s="179" t="s">
        <v>281</v>
      </c>
      <c r="AJ1027" s="181" t="s">
        <v>276</v>
      </c>
      <c r="AK1027" s="201">
        <f t="shared" si="138"/>
        <v>1.193724420190996</v>
      </c>
      <c r="AL1027" s="181" t="s">
        <v>276</v>
      </c>
      <c r="AM1027" s="181" t="s">
        <v>276</v>
      </c>
      <c r="AN1027" s="181" t="s">
        <v>276</v>
      </c>
      <c r="AO1027" s="201">
        <f t="shared" si="139"/>
        <v>2.5193449703077202</v>
      </c>
      <c r="AP1027" s="181" t="s">
        <v>276</v>
      </c>
      <c r="AQ1027" s="181" t="s">
        <v>276</v>
      </c>
      <c r="AR1027" s="175" t="s">
        <v>268</v>
      </c>
      <c r="AS1027" s="181" t="s">
        <v>276</v>
      </c>
      <c r="AT1027" s="181">
        <f t="shared" si="147"/>
        <v>0.47382332878581174</v>
      </c>
      <c r="AU1027" s="181" t="s">
        <v>276</v>
      </c>
      <c r="AV1027" s="181" t="s">
        <v>276</v>
      </c>
      <c r="AW1027" s="181" t="s">
        <v>276</v>
      </c>
      <c r="AX1027" s="175" t="s">
        <v>282</v>
      </c>
      <c r="AY1027" s="175" t="s">
        <v>98</v>
      </c>
      <c r="AZ1027" s="175" t="s">
        <v>98</v>
      </c>
      <c r="BA1027" s="175" t="s">
        <v>98</v>
      </c>
      <c r="BB1027" s="175" t="s">
        <v>98</v>
      </c>
      <c r="BC1027" s="176" t="s">
        <v>426</v>
      </c>
      <c r="BD1027" s="176"/>
      <c r="BE1027" s="33" t="s">
        <v>100</v>
      </c>
      <c r="BF1027" s="33" t="s">
        <v>98</v>
      </c>
    </row>
    <row r="1028" spans="1:58" s="202" customFormat="1" ht="52" x14ac:dyDescent="0.3">
      <c r="A1028" s="175">
        <v>4097</v>
      </c>
      <c r="B1028" s="175" t="s">
        <v>9306</v>
      </c>
      <c r="C1028" s="176" t="s">
        <v>9264</v>
      </c>
      <c r="D1028" s="176" t="s">
        <v>9417</v>
      </c>
      <c r="E1028" s="175" t="s">
        <v>35</v>
      </c>
      <c r="F1028" s="175" t="s">
        <v>97</v>
      </c>
      <c r="G1028" s="175" t="s">
        <v>225</v>
      </c>
      <c r="H1028" s="175" t="s">
        <v>125</v>
      </c>
      <c r="I1028" s="175" t="s">
        <v>114</v>
      </c>
      <c r="J1028" s="176" t="s">
        <v>24</v>
      </c>
      <c r="K1028" s="176" t="s">
        <v>9307</v>
      </c>
      <c r="L1028" s="176" t="s">
        <v>276</v>
      </c>
      <c r="M1028" s="175" t="s">
        <v>15</v>
      </c>
      <c r="N1028" s="198" t="s">
        <v>3038</v>
      </c>
      <c r="O1028" s="199" t="s">
        <v>207</v>
      </c>
      <c r="P1028" s="200" t="s">
        <v>98</v>
      </c>
      <c r="Q1028" s="176" t="s">
        <v>741</v>
      </c>
      <c r="R1028" s="176" t="s">
        <v>9418</v>
      </c>
      <c r="S1028" s="176" t="s">
        <v>9419</v>
      </c>
      <c r="T1028" s="178" t="s">
        <v>276</v>
      </c>
      <c r="U1028" s="180">
        <v>11728</v>
      </c>
      <c r="V1028" s="179">
        <v>5557</v>
      </c>
      <c r="W1028" s="175" t="s">
        <v>276</v>
      </c>
      <c r="X1028" s="175" t="s">
        <v>276</v>
      </c>
      <c r="Y1028" s="175" t="s">
        <v>276</v>
      </c>
      <c r="Z1028" s="176" t="s">
        <v>1562</v>
      </c>
      <c r="AA1028" s="175" t="s">
        <v>276</v>
      </c>
      <c r="AB1028" s="176" t="s">
        <v>1562</v>
      </c>
      <c r="AC1028" s="176" t="s">
        <v>9420</v>
      </c>
      <c r="AD1028" s="176" t="s">
        <v>9337</v>
      </c>
      <c r="AE1028" s="175">
        <f>1+0+3+3+4+3+2</f>
        <v>16</v>
      </c>
      <c r="AF1028" s="175">
        <f>0+2+2+2+5+3+2</f>
        <v>16</v>
      </c>
      <c r="AG1028" s="180">
        <v>11728</v>
      </c>
      <c r="AH1028" s="179">
        <v>5557</v>
      </c>
      <c r="AI1028" s="179" t="s">
        <v>281</v>
      </c>
      <c r="AJ1028" s="181" t="s">
        <v>276</v>
      </c>
      <c r="AK1028" s="201">
        <f t="shared" si="138"/>
        <v>1.3642564802182811</v>
      </c>
      <c r="AL1028" s="181" t="s">
        <v>276</v>
      </c>
      <c r="AM1028" s="181" t="s">
        <v>276</v>
      </c>
      <c r="AN1028" s="181" t="s">
        <v>276</v>
      </c>
      <c r="AO1028" s="201">
        <f t="shared" si="139"/>
        <v>2.8792513946373943</v>
      </c>
      <c r="AP1028" s="181" t="s">
        <v>276</v>
      </c>
      <c r="AQ1028" s="181" t="s">
        <v>276</v>
      </c>
      <c r="AR1028" s="175" t="s">
        <v>268</v>
      </c>
      <c r="AS1028" s="181" t="s">
        <v>276</v>
      </c>
      <c r="AT1028" s="181">
        <f t="shared" si="147"/>
        <v>0.47382332878581174</v>
      </c>
      <c r="AU1028" s="181" t="s">
        <v>276</v>
      </c>
      <c r="AV1028" s="181" t="s">
        <v>276</v>
      </c>
      <c r="AW1028" s="181" t="s">
        <v>276</v>
      </c>
      <c r="AX1028" s="175" t="s">
        <v>282</v>
      </c>
      <c r="AY1028" s="175" t="s">
        <v>98</v>
      </c>
      <c r="AZ1028" s="175" t="s">
        <v>98</v>
      </c>
      <c r="BA1028" s="175" t="s">
        <v>98</v>
      </c>
      <c r="BB1028" s="175" t="s">
        <v>98</v>
      </c>
      <c r="BC1028" s="176" t="s">
        <v>426</v>
      </c>
      <c r="BD1028" s="176"/>
      <c r="BE1028" s="33" t="s">
        <v>100</v>
      </c>
      <c r="BF1028" s="33" t="s">
        <v>98</v>
      </c>
    </row>
    <row r="1029" spans="1:58" s="202" customFormat="1" ht="52" x14ac:dyDescent="0.3">
      <c r="A1029" s="175">
        <v>4097</v>
      </c>
      <c r="B1029" s="175" t="s">
        <v>9306</v>
      </c>
      <c r="C1029" s="176" t="s">
        <v>9264</v>
      </c>
      <c r="D1029" s="176" t="s">
        <v>9421</v>
      </c>
      <c r="E1029" s="175" t="s">
        <v>35</v>
      </c>
      <c r="F1029" s="175" t="s">
        <v>97</v>
      </c>
      <c r="G1029" s="175" t="s">
        <v>225</v>
      </c>
      <c r="H1029" s="175" t="s">
        <v>125</v>
      </c>
      <c r="I1029" s="175" t="s">
        <v>114</v>
      </c>
      <c r="J1029" s="176" t="s">
        <v>24</v>
      </c>
      <c r="K1029" s="176" t="s">
        <v>9307</v>
      </c>
      <c r="L1029" s="176" t="s">
        <v>276</v>
      </c>
      <c r="M1029" s="175" t="s">
        <v>15</v>
      </c>
      <c r="N1029" s="198" t="s">
        <v>3038</v>
      </c>
      <c r="O1029" s="199" t="s">
        <v>207</v>
      </c>
      <c r="P1029" s="200" t="s">
        <v>98</v>
      </c>
      <c r="Q1029" s="176" t="s">
        <v>746</v>
      </c>
      <c r="R1029" s="176" t="s">
        <v>9422</v>
      </c>
      <c r="S1029" s="176" t="s">
        <v>9423</v>
      </c>
      <c r="T1029" s="178" t="s">
        <v>276</v>
      </c>
      <c r="U1029" s="180">
        <v>11728</v>
      </c>
      <c r="V1029" s="179">
        <v>5557</v>
      </c>
      <c r="W1029" s="175" t="s">
        <v>276</v>
      </c>
      <c r="X1029" s="175" t="s">
        <v>276</v>
      </c>
      <c r="Y1029" s="175" t="s">
        <v>276</v>
      </c>
      <c r="Z1029" s="176" t="s">
        <v>1562</v>
      </c>
      <c r="AA1029" s="175" t="s">
        <v>276</v>
      </c>
      <c r="AB1029" s="176" t="s">
        <v>1562</v>
      </c>
      <c r="AC1029" s="176" t="s">
        <v>9424</v>
      </c>
      <c r="AD1029" s="176" t="s">
        <v>9337</v>
      </c>
      <c r="AE1029" s="175">
        <f>1+0+3+3+4+3+2+2</f>
        <v>18</v>
      </c>
      <c r="AF1029" s="175">
        <f>0+2+2+2+5+3+2+4</f>
        <v>20</v>
      </c>
      <c r="AG1029" s="180">
        <v>11728</v>
      </c>
      <c r="AH1029" s="179">
        <v>5557</v>
      </c>
      <c r="AI1029" s="179" t="s">
        <v>281</v>
      </c>
      <c r="AJ1029" s="181" t="s">
        <v>276</v>
      </c>
      <c r="AK1029" s="201">
        <f t="shared" si="138"/>
        <v>1.5347885402455661</v>
      </c>
      <c r="AL1029" s="181" t="s">
        <v>276</v>
      </c>
      <c r="AM1029" s="181" t="s">
        <v>276</v>
      </c>
      <c r="AN1029" s="181" t="s">
        <v>276</v>
      </c>
      <c r="AO1029" s="201">
        <f t="shared" si="139"/>
        <v>3.599064243296743</v>
      </c>
      <c r="AP1029" s="181" t="s">
        <v>276</v>
      </c>
      <c r="AQ1029" s="181" t="s">
        <v>276</v>
      </c>
      <c r="AR1029" s="175" t="s">
        <v>268</v>
      </c>
      <c r="AS1029" s="181" t="s">
        <v>276</v>
      </c>
      <c r="AT1029" s="181">
        <f t="shared" si="147"/>
        <v>0.4264409959072305</v>
      </c>
      <c r="AU1029" s="181" t="s">
        <v>276</v>
      </c>
      <c r="AV1029" s="181" t="s">
        <v>276</v>
      </c>
      <c r="AW1029" s="181" t="s">
        <v>276</v>
      </c>
      <c r="AX1029" s="175" t="s">
        <v>282</v>
      </c>
      <c r="AY1029" s="175" t="s">
        <v>98</v>
      </c>
      <c r="AZ1029" s="175" t="s">
        <v>98</v>
      </c>
      <c r="BA1029" s="175" t="s">
        <v>98</v>
      </c>
      <c r="BB1029" s="175" t="s">
        <v>98</v>
      </c>
      <c r="BC1029" s="176" t="s">
        <v>426</v>
      </c>
      <c r="BD1029" s="176"/>
      <c r="BE1029" s="33" t="s">
        <v>100</v>
      </c>
      <c r="BF1029" s="33" t="s">
        <v>98</v>
      </c>
    </row>
    <row r="1030" spans="1:58" s="202" customFormat="1" ht="52" x14ac:dyDescent="0.3">
      <c r="A1030" s="175">
        <v>4097</v>
      </c>
      <c r="B1030" s="175" t="s">
        <v>9306</v>
      </c>
      <c r="C1030" s="176" t="s">
        <v>9264</v>
      </c>
      <c r="D1030" s="176" t="s">
        <v>9425</v>
      </c>
      <c r="E1030" s="175" t="s">
        <v>35</v>
      </c>
      <c r="F1030" s="175" t="s">
        <v>97</v>
      </c>
      <c r="G1030" s="175" t="s">
        <v>225</v>
      </c>
      <c r="H1030" s="175" t="s">
        <v>125</v>
      </c>
      <c r="I1030" s="175" t="s">
        <v>114</v>
      </c>
      <c r="J1030" s="176" t="s">
        <v>24</v>
      </c>
      <c r="K1030" s="176" t="s">
        <v>9307</v>
      </c>
      <c r="L1030" s="176" t="s">
        <v>276</v>
      </c>
      <c r="M1030" s="175" t="s">
        <v>15</v>
      </c>
      <c r="N1030" s="198" t="s">
        <v>3038</v>
      </c>
      <c r="O1030" s="199" t="s">
        <v>207</v>
      </c>
      <c r="P1030" s="200" t="s">
        <v>98</v>
      </c>
      <c r="Q1030" s="176" t="s">
        <v>766</v>
      </c>
      <c r="R1030" s="176" t="s">
        <v>9426</v>
      </c>
      <c r="S1030" s="176" t="s">
        <v>9427</v>
      </c>
      <c r="T1030" s="178" t="s">
        <v>276</v>
      </c>
      <c r="U1030" s="180">
        <v>11728</v>
      </c>
      <c r="V1030" s="179">
        <v>5557</v>
      </c>
      <c r="W1030" s="175" t="s">
        <v>276</v>
      </c>
      <c r="X1030" s="175" t="s">
        <v>276</v>
      </c>
      <c r="Y1030" s="175" t="s">
        <v>276</v>
      </c>
      <c r="Z1030" s="176" t="s">
        <v>1562</v>
      </c>
      <c r="AA1030" s="175" t="s">
        <v>276</v>
      </c>
      <c r="AB1030" s="176" t="s">
        <v>1562</v>
      </c>
      <c r="AC1030" s="176" t="s">
        <v>9428</v>
      </c>
      <c r="AD1030" s="176" t="s">
        <v>9337</v>
      </c>
      <c r="AE1030" s="175">
        <f>1+0+3+3+4+3+2+2+2</f>
        <v>20</v>
      </c>
      <c r="AF1030" s="175">
        <f>0+2+2+2+5+3+2+4+0</f>
        <v>20</v>
      </c>
      <c r="AG1030" s="180">
        <v>11728</v>
      </c>
      <c r="AH1030" s="179">
        <v>5557</v>
      </c>
      <c r="AI1030" s="179" t="s">
        <v>281</v>
      </c>
      <c r="AJ1030" s="195">
        <v>2</v>
      </c>
      <c r="AK1030" s="201">
        <f t="shared" si="138"/>
        <v>1.7053206002728514</v>
      </c>
      <c r="AL1030" s="181" t="s">
        <v>276</v>
      </c>
      <c r="AM1030" s="181" t="s">
        <v>276</v>
      </c>
      <c r="AN1030" s="195">
        <v>4</v>
      </c>
      <c r="AO1030" s="201">
        <f t="shared" si="139"/>
        <v>3.599064243296743</v>
      </c>
      <c r="AP1030" s="181" t="s">
        <v>276</v>
      </c>
      <c r="AQ1030" s="181" t="s">
        <v>276</v>
      </c>
      <c r="AR1030" s="175" t="s">
        <v>268</v>
      </c>
      <c r="AS1030" s="181" t="s">
        <v>276</v>
      </c>
      <c r="AT1030" s="181">
        <f t="shared" si="147"/>
        <v>0.47382332878581174</v>
      </c>
      <c r="AU1030" s="181" t="s">
        <v>276</v>
      </c>
      <c r="AV1030" s="181" t="s">
        <v>276</v>
      </c>
      <c r="AW1030" s="181" t="s">
        <v>276</v>
      </c>
      <c r="AX1030" s="175" t="s">
        <v>282</v>
      </c>
      <c r="AY1030" s="175" t="s">
        <v>98</v>
      </c>
      <c r="AZ1030" s="175" t="s">
        <v>98</v>
      </c>
      <c r="BA1030" s="175" t="s">
        <v>98</v>
      </c>
      <c r="BB1030" s="175" t="s">
        <v>98</v>
      </c>
      <c r="BC1030" s="176" t="s">
        <v>426</v>
      </c>
      <c r="BD1030" s="346" t="s">
        <v>11547</v>
      </c>
      <c r="BE1030" s="33" t="s">
        <v>100</v>
      </c>
      <c r="BF1030" s="33" t="s">
        <v>98</v>
      </c>
    </row>
    <row r="1031" spans="1:58" s="339" customFormat="1" ht="52" x14ac:dyDescent="0.3">
      <c r="A1031" s="184">
        <v>4097</v>
      </c>
      <c r="B1031" s="184" t="s">
        <v>9306</v>
      </c>
      <c r="C1031" s="185" t="s">
        <v>9264</v>
      </c>
      <c r="D1031" s="185" t="s">
        <v>9429</v>
      </c>
      <c r="E1031" s="184" t="s">
        <v>35</v>
      </c>
      <c r="F1031" s="184" t="s">
        <v>97</v>
      </c>
      <c r="G1031" s="184" t="s">
        <v>225</v>
      </c>
      <c r="H1031" s="184" t="s">
        <v>125</v>
      </c>
      <c r="I1031" s="184" t="s">
        <v>114</v>
      </c>
      <c r="J1031" s="185" t="s">
        <v>24</v>
      </c>
      <c r="K1031" s="185" t="s">
        <v>9307</v>
      </c>
      <c r="L1031" s="185" t="s">
        <v>276</v>
      </c>
      <c r="M1031" s="184" t="s">
        <v>15</v>
      </c>
      <c r="N1031" s="336" t="s">
        <v>9342</v>
      </c>
      <c r="O1031" s="337" t="s">
        <v>207</v>
      </c>
      <c r="P1031" s="322" t="s">
        <v>98</v>
      </c>
      <c r="Q1031" s="185" t="s">
        <v>705</v>
      </c>
      <c r="R1031" s="185" t="s">
        <v>9430</v>
      </c>
      <c r="S1031" s="185" t="s">
        <v>9431</v>
      </c>
      <c r="T1031" s="187" t="s">
        <v>276</v>
      </c>
      <c r="U1031" s="189">
        <v>11973</v>
      </c>
      <c r="V1031" s="188">
        <v>5555</v>
      </c>
      <c r="W1031" s="184" t="s">
        <v>276</v>
      </c>
      <c r="X1031" s="184" t="s">
        <v>276</v>
      </c>
      <c r="Y1031" s="184" t="s">
        <v>276</v>
      </c>
      <c r="Z1031" s="185" t="s">
        <v>1562</v>
      </c>
      <c r="AA1031" s="184" t="s">
        <v>276</v>
      </c>
      <c r="AB1031" s="185" t="s">
        <v>1562</v>
      </c>
      <c r="AC1031" s="185" t="s">
        <v>9432</v>
      </c>
      <c r="AD1031" s="185" t="s">
        <v>9346</v>
      </c>
      <c r="AE1031" s="184">
        <v>2</v>
      </c>
      <c r="AF1031" s="184">
        <v>0</v>
      </c>
      <c r="AG1031" s="189">
        <v>11973</v>
      </c>
      <c r="AH1031" s="188">
        <v>5555</v>
      </c>
      <c r="AI1031" s="188" t="s">
        <v>281</v>
      </c>
      <c r="AJ1031" s="192" t="s">
        <v>276</v>
      </c>
      <c r="AK1031" s="338">
        <f t="shared" si="138"/>
        <v>0.16704251231938527</v>
      </c>
      <c r="AL1031" s="192" t="s">
        <v>276</v>
      </c>
      <c r="AM1031" s="192" t="s">
        <v>276</v>
      </c>
      <c r="AN1031" s="192" t="s">
        <v>276</v>
      </c>
      <c r="AO1031" s="338">
        <f t="shared" si="139"/>
        <v>0</v>
      </c>
      <c r="AP1031" s="192" t="s">
        <v>276</v>
      </c>
      <c r="AQ1031" s="192" t="s">
        <v>276</v>
      </c>
      <c r="AR1031" s="184" t="s">
        <v>268</v>
      </c>
      <c r="AS1031" s="192" t="s">
        <v>276</v>
      </c>
      <c r="AT1031" s="192" t="s">
        <v>98</v>
      </c>
      <c r="AU1031" s="192" t="s">
        <v>276</v>
      </c>
      <c r="AV1031" s="192" t="s">
        <v>276</v>
      </c>
      <c r="AW1031" s="184" t="s">
        <v>276</v>
      </c>
      <c r="AX1031" s="184" t="s">
        <v>282</v>
      </c>
      <c r="AY1031" s="184" t="s">
        <v>98</v>
      </c>
      <c r="AZ1031" s="184" t="s">
        <v>98</v>
      </c>
      <c r="BA1031" s="184" t="s">
        <v>98</v>
      </c>
      <c r="BB1031" s="184" t="s">
        <v>98</v>
      </c>
      <c r="BC1031" s="185" t="s">
        <v>426</v>
      </c>
      <c r="BD1031" s="185"/>
      <c r="BE1031" s="33" t="s">
        <v>100</v>
      </c>
      <c r="BF1031" s="33" t="s">
        <v>98</v>
      </c>
    </row>
    <row r="1032" spans="1:58" s="339" customFormat="1" ht="52" x14ac:dyDescent="0.3">
      <c r="A1032" s="184">
        <v>4097</v>
      </c>
      <c r="B1032" s="184" t="s">
        <v>9306</v>
      </c>
      <c r="C1032" s="185" t="s">
        <v>9264</v>
      </c>
      <c r="D1032" s="185" t="s">
        <v>9433</v>
      </c>
      <c r="E1032" s="184" t="s">
        <v>35</v>
      </c>
      <c r="F1032" s="184" t="s">
        <v>97</v>
      </c>
      <c r="G1032" s="184" t="s">
        <v>225</v>
      </c>
      <c r="H1032" s="184" t="s">
        <v>125</v>
      </c>
      <c r="I1032" s="184" t="s">
        <v>114</v>
      </c>
      <c r="J1032" s="185" t="s">
        <v>24</v>
      </c>
      <c r="K1032" s="185" t="s">
        <v>9307</v>
      </c>
      <c r="L1032" s="185" t="s">
        <v>276</v>
      </c>
      <c r="M1032" s="184" t="s">
        <v>15</v>
      </c>
      <c r="N1032" s="336" t="s">
        <v>9342</v>
      </c>
      <c r="O1032" s="337" t="s">
        <v>207</v>
      </c>
      <c r="P1032" s="322" t="s">
        <v>98</v>
      </c>
      <c r="Q1032" s="185" t="s">
        <v>710</v>
      </c>
      <c r="R1032" s="185" t="s">
        <v>9434</v>
      </c>
      <c r="S1032" s="185" t="s">
        <v>9435</v>
      </c>
      <c r="T1032" s="187" t="s">
        <v>276</v>
      </c>
      <c r="U1032" s="189">
        <v>11973</v>
      </c>
      <c r="V1032" s="188">
        <v>5555</v>
      </c>
      <c r="W1032" s="184" t="s">
        <v>276</v>
      </c>
      <c r="X1032" s="184" t="s">
        <v>276</v>
      </c>
      <c r="Y1032" s="184" t="s">
        <v>276</v>
      </c>
      <c r="Z1032" s="185" t="s">
        <v>1562</v>
      </c>
      <c r="AA1032" s="184" t="s">
        <v>276</v>
      </c>
      <c r="AB1032" s="185" t="s">
        <v>1562</v>
      </c>
      <c r="AC1032" s="185" t="s">
        <v>9436</v>
      </c>
      <c r="AD1032" s="185" t="s">
        <v>9346</v>
      </c>
      <c r="AE1032" s="184">
        <f>2+0</f>
        <v>2</v>
      </c>
      <c r="AF1032" s="184">
        <v>0</v>
      </c>
      <c r="AG1032" s="189">
        <v>11973</v>
      </c>
      <c r="AH1032" s="188">
        <v>5555</v>
      </c>
      <c r="AI1032" s="188" t="s">
        <v>281</v>
      </c>
      <c r="AJ1032" s="192" t="s">
        <v>276</v>
      </c>
      <c r="AK1032" s="338">
        <f t="shared" si="138"/>
        <v>0.16704251231938527</v>
      </c>
      <c r="AL1032" s="192" t="s">
        <v>276</v>
      </c>
      <c r="AM1032" s="192" t="s">
        <v>276</v>
      </c>
      <c r="AN1032" s="192" t="s">
        <v>276</v>
      </c>
      <c r="AO1032" s="338">
        <f t="shared" si="139"/>
        <v>0</v>
      </c>
      <c r="AP1032" s="192" t="s">
        <v>276</v>
      </c>
      <c r="AQ1032" s="192" t="s">
        <v>276</v>
      </c>
      <c r="AR1032" s="184" t="s">
        <v>268</v>
      </c>
      <c r="AS1032" s="192" t="s">
        <v>276</v>
      </c>
      <c r="AT1032" s="192" t="s">
        <v>98</v>
      </c>
      <c r="AU1032" s="192" t="s">
        <v>276</v>
      </c>
      <c r="AV1032" s="192" t="s">
        <v>276</v>
      </c>
      <c r="AW1032" s="192" t="s">
        <v>276</v>
      </c>
      <c r="AX1032" s="184" t="s">
        <v>282</v>
      </c>
      <c r="AY1032" s="184" t="s">
        <v>98</v>
      </c>
      <c r="AZ1032" s="184" t="s">
        <v>98</v>
      </c>
      <c r="BA1032" s="184" t="s">
        <v>98</v>
      </c>
      <c r="BB1032" s="184" t="s">
        <v>98</v>
      </c>
      <c r="BC1032" s="185" t="s">
        <v>426</v>
      </c>
      <c r="BD1032" s="185"/>
      <c r="BE1032" s="33" t="s">
        <v>100</v>
      </c>
      <c r="BF1032" s="33" t="s">
        <v>98</v>
      </c>
    </row>
    <row r="1033" spans="1:58" s="339" customFormat="1" ht="52" x14ac:dyDescent="0.3">
      <c r="A1033" s="184">
        <v>4097</v>
      </c>
      <c r="B1033" s="184" t="s">
        <v>9306</v>
      </c>
      <c r="C1033" s="185" t="s">
        <v>9264</v>
      </c>
      <c r="D1033" s="185" t="s">
        <v>9437</v>
      </c>
      <c r="E1033" s="184" t="s">
        <v>35</v>
      </c>
      <c r="F1033" s="184" t="s">
        <v>97</v>
      </c>
      <c r="G1033" s="184" t="s">
        <v>225</v>
      </c>
      <c r="H1033" s="184" t="s">
        <v>125</v>
      </c>
      <c r="I1033" s="184" t="s">
        <v>114</v>
      </c>
      <c r="J1033" s="185" t="s">
        <v>24</v>
      </c>
      <c r="K1033" s="185" t="s">
        <v>9307</v>
      </c>
      <c r="L1033" s="185" t="s">
        <v>276</v>
      </c>
      <c r="M1033" s="184" t="s">
        <v>15</v>
      </c>
      <c r="N1033" s="336" t="s">
        <v>9342</v>
      </c>
      <c r="O1033" s="337" t="s">
        <v>207</v>
      </c>
      <c r="P1033" s="322" t="s">
        <v>98</v>
      </c>
      <c r="Q1033" s="185" t="s">
        <v>686</v>
      </c>
      <c r="R1033" s="185" t="s">
        <v>9438</v>
      </c>
      <c r="S1033" s="185" t="s">
        <v>9439</v>
      </c>
      <c r="T1033" s="187" t="s">
        <v>276</v>
      </c>
      <c r="U1033" s="189">
        <v>11973</v>
      </c>
      <c r="V1033" s="188">
        <v>5555</v>
      </c>
      <c r="W1033" s="184" t="s">
        <v>276</v>
      </c>
      <c r="X1033" s="184" t="s">
        <v>276</v>
      </c>
      <c r="Y1033" s="184" t="s">
        <v>276</v>
      </c>
      <c r="Z1033" s="185" t="s">
        <v>1562</v>
      </c>
      <c r="AA1033" s="184" t="s">
        <v>276</v>
      </c>
      <c r="AB1033" s="185" t="s">
        <v>1562</v>
      </c>
      <c r="AC1033" s="185" t="s">
        <v>9440</v>
      </c>
      <c r="AD1033" s="185" t="s">
        <v>9346</v>
      </c>
      <c r="AE1033" s="184">
        <f>2+0+4</f>
        <v>6</v>
      </c>
      <c r="AF1033" s="184">
        <v>0</v>
      </c>
      <c r="AG1033" s="189">
        <v>11973</v>
      </c>
      <c r="AH1033" s="188">
        <v>5555</v>
      </c>
      <c r="AI1033" s="188" t="s">
        <v>281</v>
      </c>
      <c r="AJ1033" s="192" t="s">
        <v>276</v>
      </c>
      <c r="AK1033" s="338">
        <f t="shared" si="138"/>
        <v>0.50112753695815582</v>
      </c>
      <c r="AL1033" s="192" t="s">
        <v>276</v>
      </c>
      <c r="AM1033" s="192" t="s">
        <v>276</v>
      </c>
      <c r="AN1033" s="192" t="s">
        <v>276</v>
      </c>
      <c r="AO1033" s="338">
        <f t="shared" si="139"/>
        <v>0</v>
      </c>
      <c r="AP1033" s="192" t="s">
        <v>276</v>
      </c>
      <c r="AQ1033" s="192" t="s">
        <v>276</v>
      </c>
      <c r="AR1033" s="184" t="s">
        <v>268</v>
      </c>
      <c r="AS1033" s="192" t="s">
        <v>276</v>
      </c>
      <c r="AT1033" s="192" t="s">
        <v>98</v>
      </c>
      <c r="AU1033" s="192" t="s">
        <v>276</v>
      </c>
      <c r="AV1033" s="192" t="s">
        <v>276</v>
      </c>
      <c r="AW1033" s="192" t="s">
        <v>276</v>
      </c>
      <c r="AX1033" s="184" t="s">
        <v>282</v>
      </c>
      <c r="AY1033" s="184" t="s">
        <v>98</v>
      </c>
      <c r="AZ1033" s="184" t="s">
        <v>98</v>
      </c>
      <c r="BA1033" s="184" t="s">
        <v>98</v>
      </c>
      <c r="BB1033" s="184" t="s">
        <v>98</v>
      </c>
      <c r="BC1033" s="185" t="s">
        <v>426</v>
      </c>
      <c r="BD1033" s="185"/>
      <c r="BE1033" s="33" t="s">
        <v>100</v>
      </c>
      <c r="BF1033" s="33" t="s">
        <v>98</v>
      </c>
    </row>
    <row r="1034" spans="1:58" s="339" customFormat="1" ht="52" x14ac:dyDescent="0.3">
      <c r="A1034" s="184">
        <v>4097</v>
      </c>
      <c r="B1034" s="184" t="s">
        <v>9306</v>
      </c>
      <c r="C1034" s="185" t="s">
        <v>9264</v>
      </c>
      <c r="D1034" s="185" t="s">
        <v>9441</v>
      </c>
      <c r="E1034" s="184" t="s">
        <v>35</v>
      </c>
      <c r="F1034" s="184" t="s">
        <v>97</v>
      </c>
      <c r="G1034" s="184" t="s">
        <v>225</v>
      </c>
      <c r="H1034" s="184" t="s">
        <v>125</v>
      </c>
      <c r="I1034" s="184" t="s">
        <v>114</v>
      </c>
      <c r="J1034" s="185" t="s">
        <v>24</v>
      </c>
      <c r="K1034" s="185" t="s">
        <v>9307</v>
      </c>
      <c r="L1034" s="185" t="s">
        <v>276</v>
      </c>
      <c r="M1034" s="184" t="s">
        <v>15</v>
      </c>
      <c r="N1034" s="336" t="s">
        <v>9342</v>
      </c>
      <c r="O1034" s="337" t="s">
        <v>207</v>
      </c>
      <c r="P1034" s="322" t="s">
        <v>98</v>
      </c>
      <c r="Q1034" s="185" t="s">
        <v>721</v>
      </c>
      <c r="R1034" s="185" t="s">
        <v>9442</v>
      </c>
      <c r="S1034" s="185" t="s">
        <v>9443</v>
      </c>
      <c r="T1034" s="187" t="s">
        <v>276</v>
      </c>
      <c r="U1034" s="189">
        <v>11973</v>
      </c>
      <c r="V1034" s="188">
        <v>5555</v>
      </c>
      <c r="W1034" s="184" t="s">
        <v>276</v>
      </c>
      <c r="X1034" s="184" t="s">
        <v>276</v>
      </c>
      <c r="Y1034" s="184" t="s">
        <v>276</v>
      </c>
      <c r="Z1034" s="185" t="s">
        <v>1562</v>
      </c>
      <c r="AA1034" s="184" t="s">
        <v>276</v>
      </c>
      <c r="AB1034" s="185" t="s">
        <v>1562</v>
      </c>
      <c r="AC1034" s="185" t="s">
        <v>9372</v>
      </c>
      <c r="AD1034" s="185" t="s">
        <v>9346</v>
      </c>
      <c r="AE1034" s="184">
        <f>2+0+4+3</f>
        <v>9</v>
      </c>
      <c r="AF1034" s="184">
        <v>2</v>
      </c>
      <c r="AG1034" s="189">
        <v>11973</v>
      </c>
      <c r="AH1034" s="188">
        <v>5555</v>
      </c>
      <c r="AI1034" s="188" t="s">
        <v>281</v>
      </c>
      <c r="AJ1034" s="192" t="s">
        <v>276</v>
      </c>
      <c r="AK1034" s="338">
        <f t="shared" si="138"/>
        <v>0.75169130543723373</v>
      </c>
      <c r="AL1034" s="192" t="s">
        <v>276</v>
      </c>
      <c r="AM1034" s="192" t="s">
        <v>276</v>
      </c>
      <c r="AN1034" s="192" t="s">
        <v>276</v>
      </c>
      <c r="AO1034" s="338">
        <f t="shared" si="139"/>
        <v>0.36003600360036003</v>
      </c>
      <c r="AP1034" s="192" t="s">
        <v>276</v>
      </c>
      <c r="AQ1034" s="192" t="s">
        <v>276</v>
      </c>
      <c r="AR1034" s="184" t="s">
        <v>268</v>
      </c>
      <c r="AS1034" s="192" t="s">
        <v>276</v>
      </c>
      <c r="AT1034" s="192">
        <f t="shared" ref="AT1034:AT1039" si="148">AK1034/AO1034</f>
        <v>2.0878226008519167</v>
      </c>
      <c r="AU1034" s="192" t="s">
        <v>276</v>
      </c>
      <c r="AV1034" s="192" t="s">
        <v>276</v>
      </c>
      <c r="AW1034" s="192" t="s">
        <v>276</v>
      </c>
      <c r="AX1034" s="184" t="s">
        <v>282</v>
      </c>
      <c r="AY1034" s="184" t="s">
        <v>98</v>
      </c>
      <c r="AZ1034" s="184" t="s">
        <v>98</v>
      </c>
      <c r="BA1034" s="184" t="s">
        <v>98</v>
      </c>
      <c r="BB1034" s="184" t="s">
        <v>98</v>
      </c>
      <c r="BC1034" s="185" t="s">
        <v>426</v>
      </c>
      <c r="BD1034" s="185"/>
      <c r="BE1034" s="33" t="s">
        <v>100</v>
      </c>
      <c r="BF1034" s="33" t="s">
        <v>98</v>
      </c>
    </row>
    <row r="1035" spans="1:58" s="339" customFormat="1" ht="52" x14ac:dyDescent="0.3">
      <c r="A1035" s="184">
        <v>4097</v>
      </c>
      <c r="B1035" s="184" t="s">
        <v>9306</v>
      </c>
      <c r="C1035" s="185" t="s">
        <v>9264</v>
      </c>
      <c r="D1035" s="185" t="s">
        <v>9444</v>
      </c>
      <c r="E1035" s="184" t="s">
        <v>35</v>
      </c>
      <c r="F1035" s="184" t="s">
        <v>97</v>
      </c>
      <c r="G1035" s="184" t="s">
        <v>225</v>
      </c>
      <c r="H1035" s="184" t="s">
        <v>125</v>
      </c>
      <c r="I1035" s="184" t="s">
        <v>114</v>
      </c>
      <c r="J1035" s="185" t="s">
        <v>24</v>
      </c>
      <c r="K1035" s="185" t="s">
        <v>9307</v>
      </c>
      <c r="L1035" s="185" t="s">
        <v>276</v>
      </c>
      <c r="M1035" s="184" t="s">
        <v>15</v>
      </c>
      <c r="N1035" s="336" t="s">
        <v>9342</v>
      </c>
      <c r="O1035" s="337" t="s">
        <v>207</v>
      </c>
      <c r="P1035" s="322" t="s">
        <v>98</v>
      </c>
      <c r="Q1035" s="185" t="s">
        <v>728</v>
      </c>
      <c r="R1035" s="185" t="s">
        <v>9445</v>
      </c>
      <c r="S1035" s="185" t="s">
        <v>9446</v>
      </c>
      <c r="T1035" s="187" t="s">
        <v>276</v>
      </c>
      <c r="U1035" s="189">
        <v>11973</v>
      </c>
      <c r="V1035" s="188">
        <v>5555</v>
      </c>
      <c r="W1035" s="184" t="s">
        <v>276</v>
      </c>
      <c r="X1035" s="184" t="s">
        <v>276</v>
      </c>
      <c r="Y1035" s="184" t="s">
        <v>276</v>
      </c>
      <c r="Z1035" s="185" t="s">
        <v>1562</v>
      </c>
      <c r="AA1035" s="184" t="s">
        <v>276</v>
      </c>
      <c r="AB1035" s="185" t="s">
        <v>1562</v>
      </c>
      <c r="AC1035" s="185" t="s">
        <v>9447</v>
      </c>
      <c r="AD1035" s="185" t="s">
        <v>9346</v>
      </c>
      <c r="AE1035" s="184">
        <f>2+0+4+3+3</f>
        <v>12</v>
      </c>
      <c r="AF1035" s="184">
        <f>2+3</f>
        <v>5</v>
      </c>
      <c r="AG1035" s="189">
        <v>11973</v>
      </c>
      <c r="AH1035" s="188">
        <v>5555</v>
      </c>
      <c r="AI1035" s="188" t="s">
        <v>281</v>
      </c>
      <c r="AJ1035" s="192" t="s">
        <v>276</v>
      </c>
      <c r="AK1035" s="338">
        <f t="shared" si="138"/>
        <v>1.0022550739163116</v>
      </c>
      <c r="AL1035" s="192" t="s">
        <v>276</v>
      </c>
      <c r="AM1035" s="192" t="s">
        <v>276</v>
      </c>
      <c r="AN1035" s="192" t="s">
        <v>276</v>
      </c>
      <c r="AO1035" s="338">
        <f t="shared" si="139"/>
        <v>0.90009000900090008</v>
      </c>
      <c r="AP1035" s="192" t="s">
        <v>276</v>
      </c>
      <c r="AQ1035" s="192" t="s">
        <v>276</v>
      </c>
      <c r="AR1035" s="184" t="s">
        <v>268</v>
      </c>
      <c r="AS1035" s="192" t="s">
        <v>276</v>
      </c>
      <c r="AT1035" s="192">
        <f t="shared" si="148"/>
        <v>1.1135053871210223</v>
      </c>
      <c r="AU1035" s="192" t="s">
        <v>276</v>
      </c>
      <c r="AV1035" s="192" t="s">
        <v>276</v>
      </c>
      <c r="AW1035" s="192" t="s">
        <v>276</v>
      </c>
      <c r="AX1035" s="184" t="s">
        <v>282</v>
      </c>
      <c r="AY1035" s="184" t="s">
        <v>98</v>
      </c>
      <c r="AZ1035" s="184" t="s">
        <v>98</v>
      </c>
      <c r="BA1035" s="184" t="s">
        <v>98</v>
      </c>
      <c r="BB1035" s="184" t="s">
        <v>98</v>
      </c>
      <c r="BC1035" s="185" t="s">
        <v>426</v>
      </c>
      <c r="BD1035" s="185"/>
      <c r="BE1035" s="33" t="s">
        <v>100</v>
      </c>
      <c r="BF1035" s="33" t="s">
        <v>98</v>
      </c>
    </row>
    <row r="1036" spans="1:58" s="339" customFormat="1" ht="52" x14ac:dyDescent="0.3">
      <c r="A1036" s="184">
        <v>4097</v>
      </c>
      <c r="B1036" s="184" t="s">
        <v>9306</v>
      </c>
      <c r="C1036" s="185" t="s">
        <v>9264</v>
      </c>
      <c r="D1036" s="185" t="s">
        <v>9448</v>
      </c>
      <c r="E1036" s="184" t="s">
        <v>35</v>
      </c>
      <c r="F1036" s="184" t="s">
        <v>97</v>
      </c>
      <c r="G1036" s="184" t="s">
        <v>225</v>
      </c>
      <c r="H1036" s="184" t="s">
        <v>125</v>
      </c>
      <c r="I1036" s="184" t="s">
        <v>114</v>
      </c>
      <c r="J1036" s="185" t="s">
        <v>24</v>
      </c>
      <c r="K1036" s="185" t="s">
        <v>9307</v>
      </c>
      <c r="L1036" s="185" t="s">
        <v>276</v>
      </c>
      <c r="M1036" s="184" t="s">
        <v>15</v>
      </c>
      <c r="N1036" s="336" t="s">
        <v>9342</v>
      </c>
      <c r="O1036" s="337" t="s">
        <v>207</v>
      </c>
      <c r="P1036" s="322" t="s">
        <v>98</v>
      </c>
      <c r="Q1036" s="185" t="s">
        <v>733</v>
      </c>
      <c r="R1036" s="185" t="s">
        <v>9449</v>
      </c>
      <c r="S1036" s="185" t="s">
        <v>9450</v>
      </c>
      <c r="T1036" s="187" t="s">
        <v>276</v>
      </c>
      <c r="U1036" s="189">
        <v>11973</v>
      </c>
      <c r="V1036" s="188">
        <v>5555</v>
      </c>
      <c r="W1036" s="184" t="s">
        <v>276</v>
      </c>
      <c r="X1036" s="184" t="s">
        <v>276</v>
      </c>
      <c r="Y1036" s="184" t="s">
        <v>276</v>
      </c>
      <c r="Z1036" s="185" t="s">
        <v>1562</v>
      </c>
      <c r="AA1036" s="184" t="s">
        <v>276</v>
      </c>
      <c r="AB1036" s="185" t="s">
        <v>1562</v>
      </c>
      <c r="AC1036" s="185" t="s">
        <v>9451</v>
      </c>
      <c r="AD1036" s="185" t="s">
        <v>9346</v>
      </c>
      <c r="AE1036" s="184">
        <f>2+0+4+3+3+3</f>
        <v>15</v>
      </c>
      <c r="AF1036" s="184">
        <f>2+3+5</f>
        <v>10</v>
      </c>
      <c r="AG1036" s="189">
        <v>11973</v>
      </c>
      <c r="AH1036" s="188">
        <v>5555</v>
      </c>
      <c r="AI1036" s="188" t="s">
        <v>281</v>
      </c>
      <c r="AJ1036" s="192" t="s">
        <v>276</v>
      </c>
      <c r="AK1036" s="338">
        <f t="shared" si="138"/>
        <v>1.2528188423953897</v>
      </c>
      <c r="AL1036" s="192" t="s">
        <v>276</v>
      </c>
      <c r="AM1036" s="192" t="s">
        <v>276</v>
      </c>
      <c r="AN1036" s="192" t="s">
        <v>276</v>
      </c>
      <c r="AO1036" s="338">
        <f t="shared" si="139"/>
        <v>1.8001800180018002</v>
      </c>
      <c r="AP1036" s="192" t="s">
        <v>276</v>
      </c>
      <c r="AQ1036" s="192" t="s">
        <v>276</v>
      </c>
      <c r="AR1036" s="184" t="s">
        <v>268</v>
      </c>
      <c r="AS1036" s="192" t="s">
        <v>276</v>
      </c>
      <c r="AT1036" s="192">
        <f t="shared" si="148"/>
        <v>0.69594086695063895</v>
      </c>
      <c r="AU1036" s="192" t="s">
        <v>276</v>
      </c>
      <c r="AV1036" s="192" t="s">
        <v>276</v>
      </c>
      <c r="AW1036" s="192" t="s">
        <v>276</v>
      </c>
      <c r="AX1036" s="184" t="s">
        <v>282</v>
      </c>
      <c r="AY1036" s="184" t="s">
        <v>98</v>
      </c>
      <c r="AZ1036" s="184" t="s">
        <v>98</v>
      </c>
      <c r="BA1036" s="184" t="s">
        <v>98</v>
      </c>
      <c r="BB1036" s="184" t="s">
        <v>98</v>
      </c>
      <c r="BC1036" s="185" t="s">
        <v>426</v>
      </c>
      <c r="BD1036" s="185"/>
      <c r="BE1036" s="33" t="s">
        <v>100</v>
      </c>
      <c r="BF1036" s="33" t="s">
        <v>98</v>
      </c>
    </row>
    <row r="1037" spans="1:58" s="339" customFormat="1" ht="52" x14ac:dyDescent="0.3">
      <c r="A1037" s="184">
        <v>4097</v>
      </c>
      <c r="B1037" s="184" t="s">
        <v>9306</v>
      </c>
      <c r="C1037" s="185" t="s">
        <v>9264</v>
      </c>
      <c r="D1037" s="185" t="s">
        <v>9452</v>
      </c>
      <c r="E1037" s="184" t="s">
        <v>35</v>
      </c>
      <c r="F1037" s="184" t="s">
        <v>97</v>
      </c>
      <c r="G1037" s="184" t="s">
        <v>225</v>
      </c>
      <c r="H1037" s="184" t="s">
        <v>125</v>
      </c>
      <c r="I1037" s="184" t="s">
        <v>114</v>
      </c>
      <c r="J1037" s="185" t="s">
        <v>24</v>
      </c>
      <c r="K1037" s="185" t="s">
        <v>9307</v>
      </c>
      <c r="L1037" s="185" t="s">
        <v>276</v>
      </c>
      <c r="M1037" s="184" t="s">
        <v>15</v>
      </c>
      <c r="N1037" s="336" t="s">
        <v>9342</v>
      </c>
      <c r="O1037" s="337" t="s">
        <v>207</v>
      </c>
      <c r="P1037" s="322" t="s">
        <v>98</v>
      </c>
      <c r="Q1037" s="185" t="s">
        <v>741</v>
      </c>
      <c r="R1037" s="185" t="s">
        <v>9453</v>
      </c>
      <c r="S1037" s="185" t="s">
        <v>9454</v>
      </c>
      <c r="T1037" s="187" t="s">
        <v>276</v>
      </c>
      <c r="U1037" s="189">
        <v>11973</v>
      </c>
      <c r="V1037" s="188">
        <v>5555</v>
      </c>
      <c r="W1037" s="184" t="s">
        <v>276</v>
      </c>
      <c r="X1037" s="184" t="s">
        <v>276</v>
      </c>
      <c r="Y1037" s="184" t="s">
        <v>276</v>
      </c>
      <c r="Z1037" s="185" t="s">
        <v>1562</v>
      </c>
      <c r="AA1037" s="184" t="s">
        <v>276</v>
      </c>
      <c r="AB1037" s="185" t="s">
        <v>1562</v>
      </c>
      <c r="AC1037" s="185" t="s">
        <v>9455</v>
      </c>
      <c r="AD1037" s="185" t="s">
        <v>9346</v>
      </c>
      <c r="AE1037" s="184">
        <f>2+0+4+3+3+3+4</f>
        <v>19</v>
      </c>
      <c r="AF1037" s="184">
        <f>2+3+5+4</f>
        <v>14</v>
      </c>
      <c r="AG1037" s="189">
        <v>11973</v>
      </c>
      <c r="AH1037" s="188">
        <v>5555</v>
      </c>
      <c r="AI1037" s="188" t="s">
        <v>281</v>
      </c>
      <c r="AJ1037" s="192" t="s">
        <v>276</v>
      </c>
      <c r="AK1037" s="338">
        <f t="shared" si="138"/>
        <v>1.5869038670341602</v>
      </c>
      <c r="AL1037" s="192" t="s">
        <v>276</v>
      </c>
      <c r="AM1037" s="192" t="s">
        <v>276</v>
      </c>
      <c r="AN1037" s="192" t="s">
        <v>276</v>
      </c>
      <c r="AO1037" s="338">
        <f t="shared" si="139"/>
        <v>2.5202520252025202</v>
      </c>
      <c r="AP1037" s="192" t="s">
        <v>276</v>
      </c>
      <c r="AQ1037" s="192" t="s">
        <v>276</v>
      </c>
      <c r="AR1037" s="184" t="s">
        <v>268</v>
      </c>
      <c r="AS1037" s="192" t="s">
        <v>276</v>
      </c>
      <c r="AT1037" s="192">
        <f t="shared" si="148"/>
        <v>0.62966078438391138</v>
      </c>
      <c r="AU1037" s="192" t="s">
        <v>276</v>
      </c>
      <c r="AV1037" s="192" t="s">
        <v>276</v>
      </c>
      <c r="AW1037" s="192" t="s">
        <v>276</v>
      </c>
      <c r="AX1037" s="184" t="s">
        <v>282</v>
      </c>
      <c r="AY1037" s="184" t="s">
        <v>98</v>
      </c>
      <c r="AZ1037" s="184" t="s">
        <v>98</v>
      </c>
      <c r="BA1037" s="184" t="s">
        <v>98</v>
      </c>
      <c r="BB1037" s="184" t="s">
        <v>98</v>
      </c>
      <c r="BC1037" s="185" t="s">
        <v>426</v>
      </c>
      <c r="BD1037" s="185"/>
      <c r="BE1037" s="33" t="s">
        <v>100</v>
      </c>
      <c r="BF1037" s="33" t="s">
        <v>98</v>
      </c>
    </row>
    <row r="1038" spans="1:58" s="339" customFormat="1" ht="52" x14ac:dyDescent="0.3">
      <c r="A1038" s="184">
        <v>4097</v>
      </c>
      <c r="B1038" s="184" t="s">
        <v>9306</v>
      </c>
      <c r="C1038" s="185" t="s">
        <v>9264</v>
      </c>
      <c r="D1038" s="185" t="s">
        <v>9456</v>
      </c>
      <c r="E1038" s="184" t="s">
        <v>35</v>
      </c>
      <c r="F1038" s="184" t="s">
        <v>97</v>
      </c>
      <c r="G1038" s="184" t="s">
        <v>225</v>
      </c>
      <c r="H1038" s="184" t="s">
        <v>125</v>
      </c>
      <c r="I1038" s="184" t="s">
        <v>114</v>
      </c>
      <c r="J1038" s="185" t="s">
        <v>24</v>
      </c>
      <c r="K1038" s="185" t="s">
        <v>9307</v>
      </c>
      <c r="L1038" s="185" t="s">
        <v>276</v>
      </c>
      <c r="M1038" s="184" t="s">
        <v>15</v>
      </c>
      <c r="N1038" s="336" t="s">
        <v>9342</v>
      </c>
      <c r="O1038" s="337" t="s">
        <v>207</v>
      </c>
      <c r="P1038" s="322" t="s">
        <v>98</v>
      </c>
      <c r="Q1038" s="185" t="s">
        <v>746</v>
      </c>
      <c r="R1038" s="185" t="s">
        <v>9457</v>
      </c>
      <c r="S1038" s="185" t="s">
        <v>9458</v>
      </c>
      <c r="T1038" s="187" t="s">
        <v>276</v>
      </c>
      <c r="U1038" s="189">
        <v>11973</v>
      </c>
      <c r="V1038" s="188">
        <v>5555</v>
      </c>
      <c r="W1038" s="184" t="s">
        <v>276</v>
      </c>
      <c r="X1038" s="184" t="s">
        <v>276</v>
      </c>
      <c r="Y1038" s="184" t="s">
        <v>276</v>
      </c>
      <c r="Z1038" s="185" t="s">
        <v>1562</v>
      </c>
      <c r="AA1038" s="184" t="s">
        <v>276</v>
      </c>
      <c r="AB1038" s="185" t="s">
        <v>1562</v>
      </c>
      <c r="AC1038" s="185" t="s">
        <v>9459</v>
      </c>
      <c r="AD1038" s="185" t="s">
        <v>9346</v>
      </c>
      <c r="AE1038" s="184">
        <f>2+0+4+3+3+3+4+5</f>
        <v>24</v>
      </c>
      <c r="AF1038" s="184">
        <f>2+3+5+4+1</f>
        <v>15</v>
      </c>
      <c r="AG1038" s="189">
        <v>11973</v>
      </c>
      <c r="AH1038" s="188">
        <v>5555</v>
      </c>
      <c r="AI1038" s="188" t="s">
        <v>281</v>
      </c>
      <c r="AJ1038" s="192" t="s">
        <v>276</v>
      </c>
      <c r="AK1038" s="338">
        <f t="shared" si="138"/>
        <v>2.0045101478326233</v>
      </c>
      <c r="AL1038" s="192" t="s">
        <v>276</v>
      </c>
      <c r="AM1038" s="192" t="s">
        <v>276</v>
      </c>
      <c r="AN1038" s="192" t="s">
        <v>276</v>
      </c>
      <c r="AO1038" s="338">
        <f t="shared" si="139"/>
        <v>2.7002700270027002</v>
      </c>
      <c r="AP1038" s="192" t="s">
        <v>276</v>
      </c>
      <c r="AQ1038" s="192" t="s">
        <v>276</v>
      </c>
      <c r="AR1038" s="184" t="s">
        <v>268</v>
      </c>
      <c r="AS1038" s="192" t="s">
        <v>276</v>
      </c>
      <c r="AT1038" s="192">
        <f t="shared" si="148"/>
        <v>0.74233692474734814</v>
      </c>
      <c r="AU1038" s="192" t="s">
        <v>276</v>
      </c>
      <c r="AV1038" s="192" t="s">
        <v>276</v>
      </c>
      <c r="AW1038" s="192" t="s">
        <v>276</v>
      </c>
      <c r="AX1038" s="184" t="s">
        <v>282</v>
      </c>
      <c r="AY1038" s="184" t="s">
        <v>98</v>
      </c>
      <c r="AZ1038" s="184" t="s">
        <v>98</v>
      </c>
      <c r="BA1038" s="184" t="s">
        <v>98</v>
      </c>
      <c r="BB1038" s="184" t="s">
        <v>98</v>
      </c>
      <c r="BC1038" s="185" t="s">
        <v>426</v>
      </c>
      <c r="BD1038" s="185"/>
      <c r="BE1038" s="33" t="s">
        <v>100</v>
      </c>
      <c r="BF1038" s="33" t="s">
        <v>98</v>
      </c>
    </row>
    <row r="1039" spans="1:58" s="339" customFormat="1" ht="52" x14ac:dyDescent="0.3">
      <c r="A1039" s="184">
        <v>4097</v>
      </c>
      <c r="B1039" s="184" t="s">
        <v>9306</v>
      </c>
      <c r="C1039" s="185" t="s">
        <v>9264</v>
      </c>
      <c r="D1039" s="185" t="s">
        <v>9460</v>
      </c>
      <c r="E1039" s="184" t="s">
        <v>35</v>
      </c>
      <c r="F1039" s="184" t="s">
        <v>97</v>
      </c>
      <c r="G1039" s="184" t="s">
        <v>225</v>
      </c>
      <c r="H1039" s="184" t="s">
        <v>125</v>
      </c>
      <c r="I1039" s="184" t="s">
        <v>114</v>
      </c>
      <c r="J1039" s="185" t="s">
        <v>24</v>
      </c>
      <c r="K1039" s="185" t="s">
        <v>9307</v>
      </c>
      <c r="L1039" s="185" t="s">
        <v>276</v>
      </c>
      <c r="M1039" s="184" t="s">
        <v>15</v>
      </c>
      <c r="N1039" s="336" t="s">
        <v>9342</v>
      </c>
      <c r="O1039" s="337" t="s">
        <v>207</v>
      </c>
      <c r="P1039" s="322" t="s">
        <v>98</v>
      </c>
      <c r="Q1039" s="185" t="s">
        <v>766</v>
      </c>
      <c r="R1039" s="185" t="s">
        <v>9461</v>
      </c>
      <c r="S1039" s="185" t="s">
        <v>9462</v>
      </c>
      <c r="T1039" s="187" t="s">
        <v>276</v>
      </c>
      <c r="U1039" s="189">
        <v>11973</v>
      </c>
      <c r="V1039" s="188">
        <v>5555</v>
      </c>
      <c r="W1039" s="184" t="s">
        <v>276</v>
      </c>
      <c r="X1039" s="184" t="s">
        <v>276</v>
      </c>
      <c r="Y1039" s="184" t="s">
        <v>276</v>
      </c>
      <c r="Z1039" s="185" t="s">
        <v>1562</v>
      </c>
      <c r="AA1039" s="184" t="s">
        <v>276</v>
      </c>
      <c r="AB1039" s="185" t="s">
        <v>1562</v>
      </c>
      <c r="AC1039" s="185" t="s">
        <v>9463</v>
      </c>
      <c r="AD1039" s="185" t="s">
        <v>9346</v>
      </c>
      <c r="AE1039" s="184">
        <f>2+0+4+3+3+3+4+5+1</f>
        <v>25</v>
      </c>
      <c r="AF1039" s="184">
        <f>2+3+5+4+1+1</f>
        <v>16</v>
      </c>
      <c r="AG1039" s="189">
        <v>11973</v>
      </c>
      <c r="AH1039" s="188">
        <v>5555</v>
      </c>
      <c r="AI1039" s="188" t="s">
        <v>281</v>
      </c>
      <c r="AJ1039" s="190">
        <v>2.6</v>
      </c>
      <c r="AK1039" s="338">
        <f t="shared" si="138"/>
        <v>2.088031403992316</v>
      </c>
      <c r="AL1039" s="192" t="s">
        <v>276</v>
      </c>
      <c r="AM1039" s="192" t="s">
        <v>276</v>
      </c>
      <c r="AN1039" s="190">
        <v>3.6</v>
      </c>
      <c r="AO1039" s="338">
        <f t="shared" si="139"/>
        <v>2.8802880288028803</v>
      </c>
      <c r="AP1039" s="192" t="s">
        <v>276</v>
      </c>
      <c r="AQ1039" s="192" t="s">
        <v>276</v>
      </c>
      <c r="AR1039" s="184" t="s">
        <v>268</v>
      </c>
      <c r="AS1039" s="192" t="s">
        <v>276</v>
      </c>
      <c r="AT1039" s="192">
        <f t="shared" si="148"/>
        <v>0.72493840307358226</v>
      </c>
      <c r="AU1039" s="192" t="s">
        <v>276</v>
      </c>
      <c r="AV1039" s="192" t="s">
        <v>276</v>
      </c>
      <c r="AW1039" s="192" t="s">
        <v>276</v>
      </c>
      <c r="AX1039" s="184" t="s">
        <v>282</v>
      </c>
      <c r="AY1039" s="184" t="s">
        <v>98</v>
      </c>
      <c r="AZ1039" s="184" t="s">
        <v>98</v>
      </c>
      <c r="BA1039" s="184" t="s">
        <v>98</v>
      </c>
      <c r="BB1039" s="184" t="s">
        <v>98</v>
      </c>
      <c r="BC1039" s="185" t="s">
        <v>426</v>
      </c>
      <c r="BD1039" s="346" t="s">
        <v>11547</v>
      </c>
      <c r="BE1039" s="33" t="s">
        <v>100</v>
      </c>
      <c r="BF1039" s="33" t="s">
        <v>98</v>
      </c>
    </row>
    <row r="1040" spans="1:58" s="202" customFormat="1" ht="52" x14ac:dyDescent="0.3">
      <c r="A1040" s="175">
        <v>4097</v>
      </c>
      <c r="B1040" s="175" t="s">
        <v>9306</v>
      </c>
      <c r="C1040" s="176" t="s">
        <v>9264</v>
      </c>
      <c r="D1040" s="176" t="s">
        <v>9464</v>
      </c>
      <c r="E1040" s="175" t="s">
        <v>35</v>
      </c>
      <c r="F1040" s="175" t="s">
        <v>97</v>
      </c>
      <c r="G1040" s="175" t="s">
        <v>225</v>
      </c>
      <c r="H1040" s="175" t="s">
        <v>125</v>
      </c>
      <c r="I1040" s="175" t="s">
        <v>114</v>
      </c>
      <c r="J1040" s="176" t="s">
        <v>24</v>
      </c>
      <c r="K1040" s="176" t="s">
        <v>9307</v>
      </c>
      <c r="L1040" s="176" t="s">
        <v>276</v>
      </c>
      <c r="M1040" s="175" t="s">
        <v>15</v>
      </c>
      <c r="N1040" s="198" t="s">
        <v>9350</v>
      </c>
      <c r="O1040" s="199" t="s">
        <v>207</v>
      </c>
      <c r="P1040" s="200" t="s">
        <v>98</v>
      </c>
      <c r="Q1040" s="176" t="s">
        <v>705</v>
      </c>
      <c r="R1040" s="176" t="s">
        <v>9465</v>
      </c>
      <c r="S1040" s="176" t="s">
        <v>9466</v>
      </c>
      <c r="T1040" s="178" t="s">
        <v>276</v>
      </c>
      <c r="U1040" s="180">
        <v>5306</v>
      </c>
      <c r="V1040" s="179">
        <v>2439</v>
      </c>
      <c r="W1040" s="175" t="s">
        <v>276</v>
      </c>
      <c r="X1040" s="175" t="s">
        <v>276</v>
      </c>
      <c r="Y1040" s="175" t="s">
        <v>276</v>
      </c>
      <c r="Z1040" s="176" t="s">
        <v>1562</v>
      </c>
      <c r="AA1040" s="175" t="s">
        <v>276</v>
      </c>
      <c r="AB1040" s="176" t="s">
        <v>1562</v>
      </c>
      <c r="AC1040" s="176" t="s">
        <v>9467</v>
      </c>
      <c r="AD1040" s="176" t="s">
        <v>9354</v>
      </c>
      <c r="AE1040" s="175">
        <v>0</v>
      </c>
      <c r="AF1040" s="175">
        <v>0</v>
      </c>
      <c r="AG1040" s="180">
        <v>5306</v>
      </c>
      <c r="AH1040" s="179">
        <v>2439</v>
      </c>
      <c r="AI1040" s="179" t="s">
        <v>281</v>
      </c>
      <c r="AJ1040" s="181" t="s">
        <v>276</v>
      </c>
      <c r="AK1040" s="201">
        <f t="shared" si="138"/>
        <v>0</v>
      </c>
      <c r="AL1040" s="181" t="s">
        <v>276</v>
      </c>
      <c r="AM1040" s="181" t="s">
        <v>276</v>
      </c>
      <c r="AN1040" s="181" t="s">
        <v>276</v>
      </c>
      <c r="AO1040" s="201">
        <f t="shared" si="139"/>
        <v>0</v>
      </c>
      <c r="AP1040" s="181" t="s">
        <v>276</v>
      </c>
      <c r="AQ1040" s="181" t="s">
        <v>276</v>
      </c>
      <c r="AR1040" s="175" t="s">
        <v>268</v>
      </c>
      <c r="AS1040" s="181" t="s">
        <v>276</v>
      </c>
      <c r="AT1040" s="181" t="s">
        <v>98</v>
      </c>
      <c r="AU1040" s="181" t="s">
        <v>276</v>
      </c>
      <c r="AV1040" s="181" t="s">
        <v>276</v>
      </c>
      <c r="AW1040" s="181" t="s">
        <v>276</v>
      </c>
      <c r="AX1040" s="175" t="s">
        <v>282</v>
      </c>
      <c r="AY1040" s="175" t="s">
        <v>98</v>
      </c>
      <c r="AZ1040" s="175" t="s">
        <v>98</v>
      </c>
      <c r="BA1040" s="175" t="s">
        <v>98</v>
      </c>
      <c r="BB1040" s="175" t="s">
        <v>98</v>
      </c>
      <c r="BC1040" s="176" t="s">
        <v>426</v>
      </c>
      <c r="BD1040" s="176"/>
      <c r="BE1040" s="33" t="s">
        <v>100</v>
      </c>
      <c r="BF1040" s="33" t="s">
        <v>98</v>
      </c>
    </row>
    <row r="1041" spans="1:58" s="202" customFormat="1" ht="52" x14ac:dyDescent="0.3">
      <c r="A1041" s="175">
        <v>4097</v>
      </c>
      <c r="B1041" s="175" t="s">
        <v>9306</v>
      </c>
      <c r="C1041" s="176" t="s">
        <v>9264</v>
      </c>
      <c r="D1041" s="176" t="s">
        <v>9468</v>
      </c>
      <c r="E1041" s="175" t="s">
        <v>35</v>
      </c>
      <c r="F1041" s="175" t="s">
        <v>97</v>
      </c>
      <c r="G1041" s="175" t="s">
        <v>225</v>
      </c>
      <c r="H1041" s="175" t="s">
        <v>125</v>
      </c>
      <c r="I1041" s="175" t="s">
        <v>114</v>
      </c>
      <c r="J1041" s="176" t="s">
        <v>24</v>
      </c>
      <c r="K1041" s="176" t="s">
        <v>9307</v>
      </c>
      <c r="L1041" s="176" t="s">
        <v>276</v>
      </c>
      <c r="M1041" s="175" t="s">
        <v>15</v>
      </c>
      <c r="N1041" s="198" t="s">
        <v>9350</v>
      </c>
      <c r="O1041" s="199" t="s">
        <v>207</v>
      </c>
      <c r="P1041" s="200" t="s">
        <v>98</v>
      </c>
      <c r="Q1041" s="176" t="s">
        <v>710</v>
      </c>
      <c r="R1041" s="176" t="s">
        <v>9469</v>
      </c>
      <c r="S1041" s="176" t="s">
        <v>9470</v>
      </c>
      <c r="T1041" s="178" t="s">
        <v>276</v>
      </c>
      <c r="U1041" s="180">
        <v>5306</v>
      </c>
      <c r="V1041" s="179">
        <v>2439</v>
      </c>
      <c r="W1041" s="175" t="s">
        <v>276</v>
      </c>
      <c r="X1041" s="175" t="s">
        <v>276</v>
      </c>
      <c r="Y1041" s="175" t="s">
        <v>276</v>
      </c>
      <c r="Z1041" s="176" t="s">
        <v>1562</v>
      </c>
      <c r="AA1041" s="175" t="s">
        <v>276</v>
      </c>
      <c r="AB1041" s="176" t="s">
        <v>1562</v>
      </c>
      <c r="AC1041" s="176" t="s">
        <v>9471</v>
      </c>
      <c r="AD1041" s="176" t="s">
        <v>9354</v>
      </c>
      <c r="AE1041" s="175">
        <v>2</v>
      </c>
      <c r="AF1041" s="175">
        <v>3</v>
      </c>
      <c r="AG1041" s="180">
        <v>5306</v>
      </c>
      <c r="AH1041" s="179">
        <v>2439</v>
      </c>
      <c r="AI1041" s="179" t="s">
        <v>281</v>
      </c>
      <c r="AJ1041" s="181" t="s">
        <v>276</v>
      </c>
      <c r="AK1041" s="201">
        <f t="shared" si="138"/>
        <v>0.3769317753486619</v>
      </c>
      <c r="AL1041" s="181" t="s">
        <v>276</v>
      </c>
      <c r="AM1041" s="181" t="s">
        <v>276</v>
      </c>
      <c r="AN1041" s="181" t="s">
        <v>276</v>
      </c>
      <c r="AO1041" s="201">
        <f t="shared" si="139"/>
        <v>1.2300123001230012</v>
      </c>
      <c r="AP1041" s="181" t="s">
        <v>276</v>
      </c>
      <c r="AQ1041" s="181" t="s">
        <v>276</v>
      </c>
      <c r="AR1041" s="175" t="s">
        <v>268</v>
      </c>
      <c r="AS1041" s="181" t="s">
        <v>276</v>
      </c>
      <c r="AT1041" s="181">
        <f t="shared" ref="AT1041:AT1048" si="149">AK1041/AO1041</f>
        <v>0.30644553335846214</v>
      </c>
      <c r="AU1041" s="181" t="s">
        <v>276</v>
      </c>
      <c r="AV1041" s="181" t="s">
        <v>276</v>
      </c>
      <c r="AW1041" s="181" t="s">
        <v>276</v>
      </c>
      <c r="AX1041" s="175" t="s">
        <v>282</v>
      </c>
      <c r="AY1041" s="175" t="s">
        <v>98</v>
      </c>
      <c r="AZ1041" s="175" t="s">
        <v>98</v>
      </c>
      <c r="BA1041" s="175" t="s">
        <v>98</v>
      </c>
      <c r="BB1041" s="175" t="s">
        <v>98</v>
      </c>
      <c r="BC1041" s="176" t="s">
        <v>426</v>
      </c>
      <c r="BD1041" s="176"/>
      <c r="BE1041" s="33" t="s">
        <v>100</v>
      </c>
      <c r="BF1041" s="33" t="s">
        <v>98</v>
      </c>
    </row>
    <row r="1042" spans="1:58" s="202" customFormat="1" ht="52" x14ac:dyDescent="0.3">
      <c r="A1042" s="175">
        <v>4097</v>
      </c>
      <c r="B1042" s="175" t="s">
        <v>9306</v>
      </c>
      <c r="C1042" s="176" t="s">
        <v>9264</v>
      </c>
      <c r="D1042" s="176" t="s">
        <v>9472</v>
      </c>
      <c r="E1042" s="175" t="s">
        <v>35</v>
      </c>
      <c r="F1042" s="175" t="s">
        <v>97</v>
      </c>
      <c r="G1042" s="175" t="s">
        <v>225</v>
      </c>
      <c r="H1042" s="175" t="s">
        <v>125</v>
      </c>
      <c r="I1042" s="175" t="s">
        <v>114</v>
      </c>
      <c r="J1042" s="176" t="s">
        <v>24</v>
      </c>
      <c r="K1042" s="176" t="s">
        <v>9307</v>
      </c>
      <c r="L1042" s="176" t="s">
        <v>276</v>
      </c>
      <c r="M1042" s="175" t="s">
        <v>15</v>
      </c>
      <c r="N1042" s="198" t="s">
        <v>9350</v>
      </c>
      <c r="O1042" s="199" t="s">
        <v>207</v>
      </c>
      <c r="P1042" s="200" t="s">
        <v>98</v>
      </c>
      <c r="Q1042" s="176" t="s">
        <v>686</v>
      </c>
      <c r="R1042" s="176" t="s">
        <v>9473</v>
      </c>
      <c r="S1042" s="176" t="s">
        <v>9474</v>
      </c>
      <c r="T1042" s="178" t="s">
        <v>276</v>
      </c>
      <c r="U1042" s="180">
        <v>5306</v>
      </c>
      <c r="V1042" s="179">
        <v>2439</v>
      </c>
      <c r="W1042" s="175" t="s">
        <v>276</v>
      </c>
      <c r="X1042" s="175" t="s">
        <v>276</v>
      </c>
      <c r="Y1042" s="175" t="s">
        <v>276</v>
      </c>
      <c r="Z1042" s="176" t="s">
        <v>1562</v>
      </c>
      <c r="AA1042" s="175" t="s">
        <v>276</v>
      </c>
      <c r="AB1042" s="176" t="s">
        <v>1562</v>
      </c>
      <c r="AC1042" s="176" t="s">
        <v>9475</v>
      </c>
      <c r="AD1042" s="176" t="s">
        <v>9354</v>
      </c>
      <c r="AE1042" s="175">
        <f>2+3</f>
        <v>5</v>
      </c>
      <c r="AF1042" s="175">
        <f>3+2</f>
        <v>5</v>
      </c>
      <c r="AG1042" s="180">
        <v>5306</v>
      </c>
      <c r="AH1042" s="179">
        <v>2439</v>
      </c>
      <c r="AI1042" s="179" t="s">
        <v>281</v>
      </c>
      <c r="AJ1042" s="181" t="s">
        <v>276</v>
      </c>
      <c r="AK1042" s="201">
        <f t="shared" si="138"/>
        <v>0.94232943837165473</v>
      </c>
      <c r="AL1042" s="181" t="s">
        <v>276</v>
      </c>
      <c r="AM1042" s="181" t="s">
        <v>276</v>
      </c>
      <c r="AN1042" s="181" t="s">
        <v>276</v>
      </c>
      <c r="AO1042" s="201">
        <f t="shared" si="139"/>
        <v>2.0500205002050023</v>
      </c>
      <c r="AP1042" s="181" t="s">
        <v>276</v>
      </c>
      <c r="AQ1042" s="181" t="s">
        <v>276</v>
      </c>
      <c r="AR1042" s="175" t="s">
        <v>268</v>
      </c>
      <c r="AS1042" s="181" t="s">
        <v>276</v>
      </c>
      <c r="AT1042" s="181">
        <f t="shared" si="149"/>
        <v>0.4596683000376931</v>
      </c>
      <c r="AU1042" s="181" t="s">
        <v>276</v>
      </c>
      <c r="AV1042" s="181" t="s">
        <v>276</v>
      </c>
      <c r="AW1042" s="181" t="s">
        <v>276</v>
      </c>
      <c r="AX1042" s="175" t="s">
        <v>282</v>
      </c>
      <c r="AY1042" s="175" t="s">
        <v>98</v>
      </c>
      <c r="AZ1042" s="175" t="s">
        <v>98</v>
      </c>
      <c r="BA1042" s="175" t="s">
        <v>98</v>
      </c>
      <c r="BB1042" s="175" t="s">
        <v>98</v>
      </c>
      <c r="BC1042" s="176" t="s">
        <v>426</v>
      </c>
      <c r="BD1042" s="176"/>
      <c r="BE1042" s="33" t="s">
        <v>100</v>
      </c>
      <c r="BF1042" s="33" t="s">
        <v>98</v>
      </c>
    </row>
    <row r="1043" spans="1:58" s="202" customFormat="1" ht="52" x14ac:dyDescent="0.3">
      <c r="A1043" s="175">
        <v>4097</v>
      </c>
      <c r="B1043" s="175" t="s">
        <v>9306</v>
      </c>
      <c r="C1043" s="176" t="s">
        <v>9264</v>
      </c>
      <c r="D1043" s="176" t="s">
        <v>9476</v>
      </c>
      <c r="E1043" s="175" t="s">
        <v>35</v>
      </c>
      <c r="F1043" s="175" t="s">
        <v>97</v>
      </c>
      <c r="G1043" s="175" t="s">
        <v>225</v>
      </c>
      <c r="H1043" s="175" t="s">
        <v>125</v>
      </c>
      <c r="I1043" s="175" t="s">
        <v>114</v>
      </c>
      <c r="J1043" s="176" t="s">
        <v>24</v>
      </c>
      <c r="K1043" s="176" t="s">
        <v>9307</v>
      </c>
      <c r="L1043" s="176" t="s">
        <v>276</v>
      </c>
      <c r="M1043" s="175" t="s">
        <v>15</v>
      </c>
      <c r="N1043" s="198" t="s">
        <v>9350</v>
      </c>
      <c r="O1043" s="199" t="s">
        <v>207</v>
      </c>
      <c r="P1043" s="200" t="s">
        <v>98</v>
      </c>
      <c r="Q1043" s="176" t="s">
        <v>721</v>
      </c>
      <c r="R1043" s="176" t="s">
        <v>9477</v>
      </c>
      <c r="S1043" s="176" t="s">
        <v>9478</v>
      </c>
      <c r="T1043" s="178" t="s">
        <v>276</v>
      </c>
      <c r="U1043" s="180">
        <v>5306</v>
      </c>
      <c r="V1043" s="179">
        <v>2439</v>
      </c>
      <c r="W1043" s="175" t="s">
        <v>276</v>
      </c>
      <c r="X1043" s="175" t="s">
        <v>276</v>
      </c>
      <c r="Y1043" s="175" t="s">
        <v>276</v>
      </c>
      <c r="Z1043" s="176" t="s">
        <v>1562</v>
      </c>
      <c r="AA1043" s="175" t="s">
        <v>276</v>
      </c>
      <c r="AB1043" s="176" t="s">
        <v>1562</v>
      </c>
      <c r="AC1043" s="176" t="s">
        <v>9479</v>
      </c>
      <c r="AD1043" s="176" t="s">
        <v>9354</v>
      </c>
      <c r="AE1043" s="175">
        <f>2+3+1</f>
        <v>6</v>
      </c>
      <c r="AF1043" s="175">
        <f>3+2+0</f>
        <v>5</v>
      </c>
      <c r="AG1043" s="180">
        <v>5306</v>
      </c>
      <c r="AH1043" s="179">
        <v>2439</v>
      </c>
      <c r="AI1043" s="179" t="s">
        <v>281</v>
      </c>
      <c r="AJ1043" s="181" t="s">
        <v>276</v>
      </c>
      <c r="AK1043" s="201">
        <f t="shared" si="138"/>
        <v>1.1307953260459858</v>
      </c>
      <c r="AL1043" s="181" t="s">
        <v>276</v>
      </c>
      <c r="AM1043" s="181" t="s">
        <v>276</v>
      </c>
      <c r="AN1043" s="181" t="s">
        <v>276</v>
      </c>
      <c r="AO1043" s="201">
        <f t="shared" si="139"/>
        <v>2.0500205002050023</v>
      </c>
      <c r="AP1043" s="181" t="s">
        <v>276</v>
      </c>
      <c r="AQ1043" s="181" t="s">
        <v>276</v>
      </c>
      <c r="AR1043" s="175" t="s">
        <v>268</v>
      </c>
      <c r="AS1043" s="181" t="s">
        <v>276</v>
      </c>
      <c r="AT1043" s="181">
        <f t="shared" si="149"/>
        <v>0.55160196004523177</v>
      </c>
      <c r="AU1043" s="181" t="s">
        <v>276</v>
      </c>
      <c r="AV1043" s="181" t="s">
        <v>276</v>
      </c>
      <c r="AW1043" s="181" t="s">
        <v>276</v>
      </c>
      <c r="AX1043" s="175" t="s">
        <v>282</v>
      </c>
      <c r="AY1043" s="175" t="s">
        <v>98</v>
      </c>
      <c r="AZ1043" s="175" t="s">
        <v>98</v>
      </c>
      <c r="BA1043" s="175" t="s">
        <v>98</v>
      </c>
      <c r="BB1043" s="175" t="s">
        <v>98</v>
      </c>
      <c r="BC1043" s="176" t="s">
        <v>426</v>
      </c>
      <c r="BD1043" s="176"/>
      <c r="BE1043" s="33" t="s">
        <v>100</v>
      </c>
      <c r="BF1043" s="33" t="s">
        <v>98</v>
      </c>
    </row>
    <row r="1044" spans="1:58" s="202" customFormat="1" ht="52" x14ac:dyDescent="0.3">
      <c r="A1044" s="175">
        <v>4097</v>
      </c>
      <c r="B1044" s="175" t="s">
        <v>9306</v>
      </c>
      <c r="C1044" s="176" t="s">
        <v>9264</v>
      </c>
      <c r="D1044" s="176" t="s">
        <v>9480</v>
      </c>
      <c r="E1044" s="175" t="s">
        <v>35</v>
      </c>
      <c r="F1044" s="175" t="s">
        <v>97</v>
      </c>
      <c r="G1044" s="175" t="s">
        <v>225</v>
      </c>
      <c r="H1044" s="175" t="s">
        <v>125</v>
      </c>
      <c r="I1044" s="175" t="s">
        <v>114</v>
      </c>
      <c r="J1044" s="176" t="s">
        <v>24</v>
      </c>
      <c r="K1044" s="176" t="s">
        <v>9307</v>
      </c>
      <c r="L1044" s="176" t="s">
        <v>276</v>
      </c>
      <c r="M1044" s="175" t="s">
        <v>15</v>
      </c>
      <c r="N1044" s="198" t="s">
        <v>9350</v>
      </c>
      <c r="O1044" s="199" t="s">
        <v>207</v>
      </c>
      <c r="P1044" s="200" t="s">
        <v>98</v>
      </c>
      <c r="Q1044" s="176" t="s">
        <v>728</v>
      </c>
      <c r="R1044" s="176" t="s">
        <v>9481</v>
      </c>
      <c r="S1044" s="176" t="s">
        <v>9482</v>
      </c>
      <c r="T1044" s="178" t="s">
        <v>276</v>
      </c>
      <c r="U1044" s="180">
        <v>5306</v>
      </c>
      <c r="V1044" s="179">
        <v>2439</v>
      </c>
      <c r="W1044" s="175" t="s">
        <v>276</v>
      </c>
      <c r="X1044" s="175" t="s">
        <v>276</v>
      </c>
      <c r="Y1044" s="175" t="s">
        <v>276</v>
      </c>
      <c r="Z1044" s="176" t="s">
        <v>1562</v>
      </c>
      <c r="AA1044" s="175" t="s">
        <v>276</v>
      </c>
      <c r="AB1044" s="176" t="s">
        <v>1562</v>
      </c>
      <c r="AC1044" s="176" t="s">
        <v>9483</v>
      </c>
      <c r="AD1044" s="176" t="s">
        <v>9354</v>
      </c>
      <c r="AE1044" s="175">
        <f>2+3+1+4</f>
        <v>10</v>
      </c>
      <c r="AF1044" s="175">
        <f>3+2+0+4</f>
        <v>9</v>
      </c>
      <c r="AG1044" s="180">
        <v>5306</v>
      </c>
      <c r="AH1044" s="179">
        <v>2439</v>
      </c>
      <c r="AI1044" s="179" t="s">
        <v>281</v>
      </c>
      <c r="AJ1044" s="181" t="s">
        <v>276</v>
      </c>
      <c r="AK1044" s="201">
        <f t="shared" si="138"/>
        <v>1.8846588767433095</v>
      </c>
      <c r="AL1044" s="181" t="s">
        <v>276</v>
      </c>
      <c r="AM1044" s="181" t="s">
        <v>276</v>
      </c>
      <c r="AN1044" s="181" t="s">
        <v>276</v>
      </c>
      <c r="AO1044" s="201">
        <f t="shared" si="139"/>
        <v>3.6900369003690039</v>
      </c>
      <c r="AP1044" s="181" t="s">
        <v>276</v>
      </c>
      <c r="AQ1044" s="181" t="s">
        <v>276</v>
      </c>
      <c r="AR1044" s="175" t="s">
        <v>268</v>
      </c>
      <c r="AS1044" s="181" t="s">
        <v>276</v>
      </c>
      <c r="AT1044" s="181">
        <f t="shared" si="149"/>
        <v>0.51074255559743686</v>
      </c>
      <c r="AU1044" s="181" t="s">
        <v>276</v>
      </c>
      <c r="AV1044" s="181" t="s">
        <v>276</v>
      </c>
      <c r="AW1044" s="181" t="s">
        <v>276</v>
      </c>
      <c r="AX1044" s="175" t="s">
        <v>282</v>
      </c>
      <c r="AY1044" s="175" t="s">
        <v>98</v>
      </c>
      <c r="AZ1044" s="175" t="s">
        <v>98</v>
      </c>
      <c r="BA1044" s="175" t="s">
        <v>98</v>
      </c>
      <c r="BB1044" s="175" t="s">
        <v>98</v>
      </c>
      <c r="BC1044" s="176" t="s">
        <v>426</v>
      </c>
      <c r="BD1044" s="176"/>
      <c r="BE1044" s="33" t="s">
        <v>100</v>
      </c>
      <c r="BF1044" s="33" t="s">
        <v>98</v>
      </c>
    </row>
    <row r="1045" spans="1:58" s="202" customFormat="1" ht="52" x14ac:dyDescent="0.3">
      <c r="A1045" s="175">
        <v>4097</v>
      </c>
      <c r="B1045" s="175" t="s">
        <v>9306</v>
      </c>
      <c r="C1045" s="176" t="s">
        <v>9264</v>
      </c>
      <c r="D1045" s="176" t="s">
        <v>9484</v>
      </c>
      <c r="E1045" s="175" t="s">
        <v>35</v>
      </c>
      <c r="F1045" s="175" t="s">
        <v>97</v>
      </c>
      <c r="G1045" s="175" t="s">
        <v>225</v>
      </c>
      <c r="H1045" s="175" t="s">
        <v>125</v>
      </c>
      <c r="I1045" s="175" t="s">
        <v>114</v>
      </c>
      <c r="J1045" s="176" t="s">
        <v>24</v>
      </c>
      <c r="K1045" s="176" t="s">
        <v>9307</v>
      </c>
      <c r="L1045" s="176" t="s">
        <v>276</v>
      </c>
      <c r="M1045" s="175" t="s">
        <v>15</v>
      </c>
      <c r="N1045" s="198" t="s">
        <v>9350</v>
      </c>
      <c r="O1045" s="199" t="s">
        <v>207</v>
      </c>
      <c r="P1045" s="200" t="s">
        <v>98</v>
      </c>
      <c r="Q1045" s="176" t="s">
        <v>733</v>
      </c>
      <c r="R1045" s="176" t="s">
        <v>9485</v>
      </c>
      <c r="S1045" s="176" t="s">
        <v>9486</v>
      </c>
      <c r="T1045" s="178" t="s">
        <v>276</v>
      </c>
      <c r="U1045" s="180">
        <v>5306</v>
      </c>
      <c r="V1045" s="179">
        <v>2439</v>
      </c>
      <c r="W1045" s="175" t="s">
        <v>276</v>
      </c>
      <c r="X1045" s="175" t="s">
        <v>276</v>
      </c>
      <c r="Y1045" s="175" t="s">
        <v>276</v>
      </c>
      <c r="Z1045" s="176" t="s">
        <v>1562</v>
      </c>
      <c r="AA1045" s="175" t="s">
        <v>276</v>
      </c>
      <c r="AB1045" s="176" t="s">
        <v>1562</v>
      </c>
      <c r="AC1045" s="176" t="s">
        <v>9487</v>
      </c>
      <c r="AD1045" s="176" t="s">
        <v>9354</v>
      </c>
      <c r="AE1045" s="175">
        <f>2+3+1+4+3</f>
        <v>13</v>
      </c>
      <c r="AF1045" s="175">
        <f>3+2+0+4+2</f>
        <v>11</v>
      </c>
      <c r="AG1045" s="180">
        <v>5306</v>
      </c>
      <c r="AH1045" s="179">
        <v>2439</v>
      </c>
      <c r="AI1045" s="179" t="s">
        <v>281</v>
      </c>
      <c r="AJ1045" s="181" t="s">
        <v>276</v>
      </c>
      <c r="AK1045" s="201">
        <f t="shared" si="138"/>
        <v>2.4500565397663023</v>
      </c>
      <c r="AL1045" s="181" t="s">
        <v>276</v>
      </c>
      <c r="AM1045" s="181" t="s">
        <v>276</v>
      </c>
      <c r="AN1045" s="181" t="s">
        <v>276</v>
      </c>
      <c r="AO1045" s="201">
        <f t="shared" si="139"/>
        <v>4.5100451004510047</v>
      </c>
      <c r="AP1045" s="181" t="s">
        <v>276</v>
      </c>
      <c r="AQ1045" s="181" t="s">
        <v>276</v>
      </c>
      <c r="AR1045" s="175" t="s">
        <v>268</v>
      </c>
      <c r="AS1045" s="181" t="s">
        <v>276</v>
      </c>
      <c r="AT1045" s="181">
        <f t="shared" si="149"/>
        <v>0.54324435459000098</v>
      </c>
      <c r="AU1045" s="181" t="s">
        <v>276</v>
      </c>
      <c r="AV1045" s="181" t="s">
        <v>276</v>
      </c>
      <c r="AW1045" s="181" t="s">
        <v>276</v>
      </c>
      <c r="AX1045" s="175" t="s">
        <v>282</v>
      </c>
      <c r="AY1045" s="175" t="s">
        <v>98</v>
      </c>
      <c r="AZ1045" s="175" t="s">
        <v>98</v>
      </c>
      <c r="BA1045" s="175" t="s">
        <v>98</v>
      </c>
      <c r="BB1045" s="175" t="s">
        <v>98</v>
      </c>
      <c r="BC1045" s="176" t="s">
        <v>426</v>
      </c>
      <c r="BD1045" s="176"/>
      <c r="BE1045" s="33" t="s">
        <v>100</v>
      </c>
      <c r="BF1045" s="33" t="s">
        <v>98</v>
      </c>
    </row>
    <row r="1046" spans="1:58" s="202" customFormat="1" ht="52" x14ac:dyDescent="0.3">
      <c r="A1046" s="175">
        <v>4097</v>
      </c>
      <c r="B1046" s="175" t="s">
        <v>9306</v>
      </c>
      <c r="C1046" s="176" t="s">
        <v>9264</v>
      </c>
      <c r="D1046" s="176" t="s">
        <v>9488</v>
      </c>
      <c r="E1046" s="175" t="s">
        <v>35</v>
      </c>
      <c r="F1046" s="175" t="s">
        <v>97</v>
      </c>
      <c r="G1046" s="175" t="s">
        <v>225</v>
      </c>
      <c r="H1046" s="175" t="s">
        <v>125</v>
      </c>
      <c r="I1046" s="175" t="s">
        <v>114</v>
      </c>
      <c r="J1046" s="176" t="s">
        <v>24</v>
      </c>
      <c r="K1046" s="176" t="s">
        <v>9307</v>
      </c>
      <c r="L1046" s="176" t="s">
        <v>276</v>
      </c>
      <c r="M1046" s="175" t="s">
        <v>15</v>
      </c>
      <c r="N1046" s="198" t="s">
        <v>9350</v>
      </c>
      <c r="O1046" s="199" t="s">
        <v>207</v>
      </c>
      <c r="P1046" s="200" t="s">
        <v>98</v>
      </c>
      <c r="Q1046" s="176" t="s">
        <v>741</v>
      </c>
      <c r="R1046" s="176" t="s">
        <v>9489</v>
      </c>
      <c r="S1046" s="176" t="s">
        <v>9490</v>
      </c>
      <c r="T1046" s="178" t="s">
        <v>276</v>
      </c>
      <c r="U1046" s="180">
        <v>5306</v>
      </c>
      <c r="V1046" s="179">
        <v>2439</v>
      </c>
      <c r="W1046" s="175" t="s">
        <v>276</v>
      </c>
      <c r="X1046" s="175" t="s">
        <v>276</v>
      </c>
      <c r="Y1046" s="175" t="s">
        <v>276</v>
      </c>
      <c r="Z1046" s="176" t="s">
        <v>1562</v>
      </c>
      <c r="AA1046" s="175" t="s">
        <v>276</v>
      </c>
      <c r="AB1046" s="176" t="s">
        <v>1562</v>
      </c>
      <c r="AC1046" s="176" t="s">
        <v>9491</v>
      </c>
      <c r="AD1046" s="176" t="s">
        <v>9354</v>
      </c>
      <c r="AE1046" s="175">
        <f>2+3+1+4+3+3</f>
        <v>16</v>
      </c>
      <c r="AF1046" s="175">
        <f>3+2+0+4+2+1</f>
        <v>12</v>
      </c>
      <c r="AG1046" s="180">
        <v>5306</v>
      </c>
      <c r="AH1046" s="179">
        <v>2439</v>
      </c>
      <c r="AI1046" s="179" t="s">
        <v>281</v>
      </c>
      <c r="AJ1046" s="181" t="s">
        <v>276</v>
      </c>
      <c r="AK1046" s="201">
        <f t="shared" si="138"/>
        <v>3.0154542027892952</v>
      </c>
      <c r="AL1046" s="181" t="s">
        <v>276</v>
      </c>
      <c r="AM1046" s="181" t="s">
        <v>276</v>
      </c>
      <c r="AN1046" s="181" t="s">
        <v>276</v>
      </c>
      <c r="AO1046" s="201">
        <f t="shared" si="139"/>
        <v>4.9200492004920049</v>
      </c>
      <c r="AP1046" s="181" t="s">
        <v>276</v>
      </c>
      <c r="AQ1046" s="181" t="s">
        <v>276</v>
      </c>
      <c r="AR1046" s="175" t="s">
        <v>268</v>
      </c>
      <c r="AS1046" s="181" t="s">
        <v>276</v>
      </c>
      <c r="AT1046" s="181">
        <f t="shared" si="149"/>
        <v>0.61289106671692428</v>
      </c>
      <c r="AU1046" s="181" t="s">
        <v>276</v>
      </c>
      <c r="AV1046" s="181" t="s">
        <v>276</v>
      </c>
      <c r="AW1046" s="181" t="s">
        <v>276</v>
      </c>
      <c r="AX1046" s="175" t="s">
        <v>282</v>
      </c>
      <c r="AY1046" s="175" t="s">
        <v>98</v>
      </c>
      <c r="AZ1046" s="175" t="s">
        <v>98</v>
      </c>
      <c r="BA1046" s="175" t="s">
        <v>98</v>
      </c>
      <c r="BB1046" s="175" t="s">
        <v>98</v>
      </c>
      <c r="BC1046" s="176" t="s">
        <v>426</v>
      </c>
      <c r="BD1046" s="176"/>
      <c r="BE1046" s="33" t="s">
        <v>100</v>
      </c>
      <c r="BF1046" s="33" t="s">
        <v>98</v>
      </c>
    </row>
    <row r="1047" spans="1:58" s="202" customFormat="1" ht="52" x14ac:dyDescent="0.3">
      <c r="A1047" s="175">
        <v>4097</v>
      </c>
      <c r="B1047" s="175" t="s">
        <v>9306</v>
      </c>
      <c r="C1047" s="176" t="s">
        <v>9264</v>
      </c>
      <c r="D1047" s="176" t="s">
        <v>9492</v>
      </c>
      <c r="E1047" s="175" t="s">
        <v>35</v>
      </c>
      <c r="F1047" s="175" t="s">
        <v>97</v>
      </c>
      <c r="G1047" s="175" t="s">
        <v>225</v>
      </c>
      <c r="H1047" s="175" t="s">
        <v>125</v>
      </c>
      <c r="I1047" s="175" t="s">
        <v>114</v>
      </c>
      <c r="J1047" s="176" t="s">
        <v>24</v>
      </c>
      <c r="K1047" s="176" t="s">
        <v>9307</v>
      </c>
      <c r="L1047" s="176" t="s">
        <v>276</v>
      </c>
      <c r="M1047" s="175" t="s">
        <v>15</v>
      </c>
      <c r="N1047" s="198" t="s">
        <v>9350</v>
      </c>
      <c r="O1047" s="199" t="s">
        <v>207</v>
      </c>
      <c r="P1047" s="200" t="s">
        <v>98</v>
      </c>
      <c r="Q1047" s="176" t="s">
        <v>746</v>
      </c>
      <c r="R1047" s="176" t="s">
        <v>9493</v>
      </c>
      <c r="S1047" s="176" t="s">
        <v>9494</v>
      </c>
      <c r="T1047" s="178" t="s">
        <v>276</v>
      </c>
      <c r="U1047" s="180">
        <v>5306</v>
      </c>
      <c r="V1047" s="179">
        <v>2439</v>
      </c>
      <c r="W1047" s="175" t="s">
        <v>276</v>
      </c>
      <c r="X1047" s="175" t="s">
        <v>276</v>
      </c>
      <c r="Y1047" s="175" t="s">
        <v>276</v>
      </c>
      <c r="Z1047" s="176" t="s">
        <v>1562</v>
      </c>
      <c r="AA1047" s="175" t="s">
        <v>276</v>
      </c>
      <c r="AB1047" s="176" t="s">
        <v>1562</v>
      </c>
      <c r="AC1047" s="176" t="s">
        <v>9495</v>
      </c>
      <c r="AD1047" s="176" t="s">
        <v>9354</v>
      </c>
      <c r="AE1047" s="175">
        <f>2+3+1+4+3+3+1</f>
        <v>17</v>
      </c>
      <c r="AF1047" s="175">
        <f>3+2+0+4+2+1+0</f>
        <v>12</v>
      </c>
      <c r="AG1047" s="180">
        <v>5306</v>
      </c>
      <c r="AH1047" s="179">
        <v>2439</v>
      </c>
      <c r="AI1047" s="179" t="s">
        <v>281</v>
      </c>
      <c r="AJ1047" s="181" t="s">
        <v>276</v>
      </c>
      <c r="AK1047" s="201">
        <f t="shared" si="138"/>
        <v>3.203920090463626</v>
      </c>
      <c r="AL1047" s="181" t="s">
        <v>276</v>
      </c>
      <c r="AM1047" s="181" t="s">
        <v>276</v>
      </c>
      <c r="AN1047" s="181" t="s">
        <v>276</v>
      </c>
      <c r="AO1047" s="201">
        <f t="shared" si="139"/>
        <v>4.9200492004920049</v>
      </c>
      <c r="AP1047" s="181" t="s">
        <v>276</v>
      </c>
      <c r="AQ1047" s="181" t="s">
        <v>276</v>
      </c>
      <c r="AR1047" s="175" t="s">
        <v>268</v>
      </c>
      <c r="AS1047" s="181" t="s">
        <v>276</v>
      </c>
      <c r="AT1047" s="181">
        <f t="shared" si="149"/>
        <v>0.65119675838673197</v>
      </c>
      <c r="AU1047" s="181" t="s">
        <v>276</v>
      </c>
      <c r="AV1047" s="181" t="s">
        <v>276</v>
      </c>
      <c r="AW1047" s="181" t="s">
        <v>276</v>
      </c>
      <c r="AX1047" s="175" t="s">
        <v>282</v>
      </c>
      <c r="AY1047" s="175" t="s">
        <v>98</v>
      </c>
      <c r="AZ1047" s="175" t="s">
        <v>98</v>
      </c>
      <c r="BA1047" s="175" t="s">
        <v>98</v>
      </c>
      <c r="BB1047" s="175" t="s">
        <v>98</v>
      </c>
      <c r="BC1047" s="176" t="s">
        <v>426</v>
      </c>
      <c r="BD1047" s="176"/>
      <c r="BE1047" s="33" t="s">
        <v>100</v>
      </c>
      <c r="BF1047" s="33" t="s">
        <v>98</v>
      </c>
    </row>
    <row r="1048" spans="1:58" s="202" customFormat="1" ht="52" x14ac:dyDescent="0.3">
      <c r="A1048" s="175">
        <v>4097</v>
      </c>
      <c r="B1048" s="175" t="s">
        <v>9306</v>
      </c>
      <c r="C1048" s="176" t="s">
        <v>9264</v>
      </c>
      <c r="D1048" s="176" t="s">
        <v>9496</v>
      </c>
      <c r="E1048" s="175" t="s">
        <v>35</v>
      </c>
      <c r="F1048" s="175" t="s">
        <v>97</v>
      </c>
      <c r="G1048" s="175" t="s">
        <v>225</v>
      </c>
      <c r="H1048" s="175" t="s">
        <v>125</v>
      </c>
      <c r="I1048" s="175" t="s">
        <v>114</v>
      </c>
      <c r="J1048" s="176" t="s">
        <v>24</v>
      </c>
      <c r="K1048" s="176" t="s">
        <v>9307</v>
      </c>
      <c r="L1048" s="176" t="s">
        <v>276</v>
      </c>
      <c r="M1048" s="175" t="s">
        <v>15</v>
      </c>
      <c r="N1048" s="198" t="s">
        <v>9350</v>
      </c>
      <c r="O1048" s="199" t="s">
        <v>207</v>
      </c>
      <c r="P1048" s="200" t="s">
        <v>98</v>
      </c>
      <c r="Q1048" s="176" t="s">
        <v>766</v>
      </c>
      <c r="R1048" s="176" t="s">
        <v>9497</v>
      </c>
      <c r="S1048" s="176" t="s">
        <v>9498</v>
      </c>
      <c r="T1048" s="178" t="s">
        <v>276</v>
      </c>
      <c r="U1048" s="180">
        <v>5306</v>
      </c>
      <c r="V1048" s="179">
        <v>2439</v>
      </c>
      <c r="W1048" s="175" t="s">
        <v>276</v>
      </c>
      <c r="X1048" s="175" t="s">
        <v>276</v>
      </c>
      <c r="Y1048" s="175" t="s">
        <v>276</v>
      </c>
      <c r="Z1048" s="176" t="s">
        <v>1562</v>
      </c>
      <c r="AA1048" s="175" t="s">
        <v>276</v>
      </c>
      <c r="AB1048" s="176" t="s">
        <v>1562</v>
      </c>
      <c r="AC1048" s="176" t="s">
        <v>9499</v>
      </c>
      <c r="AD1048" s="176" t="s">
        <v>9354</v>
      </c>
      <c r="AE1048" s="175">
        <f>2+3+1+4+3+3+1+2</f>
        <v>19</v>
      </c>
      <c r="AF1048" s="175">
        <f>3+2+0+4+2+1+0+1</f>
        <v>13</v>
      </c>
      <c r="AG1048" s="180">
        <v>5306</v>
      </c>
      <c r="AH1048" s="179">
        <v>2439</v>
      </c>
      <c r="AI1048" s="179" t="s">
        <v>281</v>
      </c>
      <c r="AJ1048" s="195">
        <v>5.2</v>
      </c>
      <c r="AK1048" s="201">
        <f t="shared" si="138"/>
        <v>3.5808518658122881</v>
      </c>
      <c r="AL1048" s="181" t="s">
        <v>276</v>
      </c>
      <c r="AM1048" s="181" t="s">
        <v>276</v>
      </c>
      <c r="AN1048" s="195">
        <v>6.9</v>
      </c>
      <c r="AO1048" s="201">
        <f t="shared" si="139"/>
        <v>5.3300533005330051</v>
      </c>
      <c r="AP1048" s="181" t="s">
        <v>276</v>
      </c>
      <c r="AQ1048" s="181" t="s">
        <v>276</v>
      </c>
      <c r="AR1048" s="175" t="s">
        <v>268</v>
      </c>
      <c r="AS1048" s="181" t="s">
        <v>276</v>
      </c>
      <c r="AT1048" s="181">
        <f t="shared" si="149"/>
        <v>0.67182290005509004</v>
      </c>
      <c r="AU1048" s="181" t="s">
        <v>276</v>
      </c>
      <c r="AV1048" s="181" t="s">
        <v>276</v>
      </c>
      <c r="AW1048" s="181" t="s">
        <v>276</v>
      </c>
      <c r="AX1048" s="175" t="s">
        <v>282</v>
      </c>
      <c r="AY1048" s="175" t="s">
        <v>98</v>
      </c>
      <c r="AZ1048" s="175" t="s">
        <v>98</v>
      </c>
      <c r="BA1048" s="175" t="s">
        <v>98</v>
      </c>
      <c r="BB1048" s="175" t="s">
        <v>98</v>
      </c>
      <c r="BC1048" s="176" t="s">
        <v>426</v>
      </c>
      <c r="BD1048" s="346" t="s">
        <v>11547</v>
      </c>
      <c r="BE1048" s="33" t="s">
        <v>100</v>
      </c>
      <c r="BF1048" s="33" t="s">
        <v>98</v>
      </c>
    </row>
    <row r="1049" spans="1:58" s="339" customFormat="1" ht="52" x14ac:dyDescent="0.3">
      <c r="A1049" s="184">
        <v>4097</v>
      </c>
      <c r="B1049" s="184" t="s">
        <v>9306</v>
      </c>
      <c r="C1049" s="185" t="s">
        <v>9264</v>
      </c>
      <c r="D1049" s="185" t="s">
        <v>9500</v>
      </c>
      <c r="E1049" s="184" t="s">
        <v>35</v>
      </c>
      <c r="F1049" s="184" t="s">
        <v>97</v>
      </c>
      <c r="G1049" s="184" t="s">
        <v>225</v>
      </c>
      <c r="H1049" s="184" t="s">
        <v>125</v>
      </c>
      <c r="I1049" s="184" t="s">
        <v>114</v>
      </c>
      <c r="J1049" s="185" t="s">
        <v>24</v>
      </c>
      <c r="K1049" s="185" t="s">
        <v>9307</v>
      </c>
      <c r="L1049" s="185" t="s">
        <v>276</v>
      </c>
      <c r="M1049" s="184" t="s">
        <v>15</v>
      </c>
      <c r="N1049" s="336" t="s">
        <v>9254</v>
      </c>
      <c r="O1049" s="337" t="s">
        <v>207</v>
      </c>
      <c r="P1049" s="322" t="s">
        <v>98</v>
      </c>
      <c r="Q1049" s="185" t="s">
        <v>705</v>
      </c>
      <c r="R1049" s="185" t="s">
        <v>11548</v>
      </c>
      <c r="S1049" s="185" t="s">
        <v>11548</v>
      </c>
      <c r="T1049" s="187" t="s">
        <v>276</v>
      </c>
      <c r="U1049" s="189">
        <v>38589</v>
      </c>
      <c r="V1049" s="188">
        <v>18582</v>
      </c>
      <c r="W1049" s="184" t="s">
        <v>276</v>
      </c>
      <c r="X1049" s="184" t="s">
        <v>276</v>
      </c>
      <c r="Y1049" s="184" t="s">
        <v>276</v>
      </c>
      <c r="Z1049" s="185" t="s">
        <v>1562</v>
      </c>
      <c r="AA1049" s="184" t="s">
        <v>276</v>
      </c>
      <c r="AB1049" s="185" t="s">
        <v>1562</v>
      </c>
      <c r="AC1049" s="185" t="s">
        <v>9501</v>
      </c>
      <c r="AD1049" s="185" t="s">
        <v>9258</v>
      </c>
      <c r="AE1049" s="184">
        <v>3</v>
      </c>
      <c r="AF1049" s="184">
        <v>0</v>
      </c>
      <c r="AG1049" s="189">
        <v>38589</v>
      </c>
      <c r="AH1049" s="188">
        <v>18582</v>
      </c>
      <c r="AI1049" s="188" t="s">
        <v>281</v>
      </c>
      <c r="AJ1049" s="192" t="s">
        <v>276</v>
      </c>
      <c r="AK1049" s="338">
        <f t="shared" si="138"/>
        <v>7.7742361812951882E-2</v>
      </c>
      <c r="AL1049" s="192" t="s">
        <v>276</v>
      </c>
      <c r="AM1049" s="192" t="s">
        <v>276</v>
      </c>
      <c r="AN1049" s="192" t="s">
        <v>276</v>
      </c>
      <c r="AO1049" s="338">
        <f t="shared" si="139"/>
        <v>0</v>
      </c>
      <c r="AP1049" s="192" t="s">
        <v>276</v>
      </c>
      <c r="AQ1049" s="192" t="s">
        <v>276</v>
      </c>
      <c r="AR1049" s="184" t="s">
        <v>268</v>
      </c>
      <c r="AS1049" s="192" t="s">
        <v>276</v>
      </c>
      <c r="AT1049" s="192" t="s">
        <v>98</v>
      </c>
      <c r="AU1049" s="192" t="s">
        <v>276</v>
      </c>
      <c r="AV1049" s="192" t="s">
        <v>276</v>
      </c>
      <c r="AW1049" s="184">
        <v>0.03</v>
      </c>
      <c r="AX1049" s="184" t="s">
        <v>282</v>
      </c>
      <c r="AY1049" s="184" t="s">
        <v>98</v>
      </c>
      <c r="AZ1049" s="184" t="s">
        <v>98</v>
      </c>
      <c r="BA1049" s="184" t="s">
        <v>98</v>
      </c>
      <c r="BB1049" s="184" t="s">
        <v>98</v>
      </c>
      <c r="BC1049" s="185" t="s">
        <v>426</v>
      </c>
      <c r="BD1049" s="185"/>
      <c r="BE1049" s="33" t="s">
        <v>100</v>
      </c>
      <c r="BF1049" s="33" t="s">
        <v>98</v>
      </c>
    </row>
    <row r="1050" spans="1:58" s="339" customFormat="1" ht="52" x14ac:dyDescent="0.3">
      <c r="A1050" s="184">
        <v>4097</v>
      </c>
      <c r="B1050" s="184" t="s">
        <v>9306</v>
      </c>
      <c r="C1050" s="185" t="s">
        <v>9264</v>
      </c>
      <c r="D1050" s="185" t="s">
        <v>9502</v>
      </c>
      <c r="E1050" s="184" t="s">
        <v>35</v>
      </c>
      <c r="F1050" s="184" t="s">
        <v>97</v>
      </c>
      <c r="G1050" s="184" t="s">
        <v>225</v>
      </c>
      <c r="H1050" s="184" t="s">
        <v>125</v>
      </c>
      <c r="I1050" s="184" t="s">
        <v>114</v>
      </c>
      <c r="J1050" s="185" t="s">
        <v>24</v>
      </c>
      <c r="K1050" s="185" t="s">
        <v>9307</v>
      </c>
      <c r="L1050" s="185" t="s">
        <v>276</v>
      </c>
      <c r="M1050" s="184" t="s">
        <v>15</v>
      </c>
      <c r="N1050" s="336" t="s">
        <v>9254</v>
      </c>
      <c r="O1050" s="337" t="s">
        <v>207</v>
      </c>
      <c r="P1050" s="322" t="s">
        <v>98</v>
      </c>
      <c r="Q1050" s="185" t="s">
        <v>710</v>
      </c>
      <c r="R1050" s="185" t="s">
        <v>11548</v>
      </c>
      <c r="S1050" s="185" t="s">
        <v>11548</v>
      </c>
      <c r="T1050" s="187" t="s">
        <v>276</v>
      </c>
      <c r="U1050" s="189">
        <v>38589</v>
      </c>
      <c r="V1050" s="188">
        <v>18582</v>
      </c>
      <c r="W1050" s="184" t="s">
        <v>276</v>
      </c>
      <c r="X1050" s="184" t="s">
        <v>276</v>
      </c>
      <c r="Y1050" s="184" t="s">
        <v>276</v>
      </c>
      <c r="Z1050" s="185" t="s">
        <v>1562</v>
      </c>
      <c r="AA1050" s="184" t="s">
        <v>276</v>
      </c>
      <c r="AB1050" s="185" t="s">
        <v>1562</v>
      </c>
      <c r="AC1050" s="185" t="s">
        <v>9503</v>
      </c>
      <c r="AD1050" s="185" t="s">
        <v>9258</v>
      </c>
      <c r="AE1050" s="184">
        <f>3+2</f>
        <v>5</v>
      </c>
      <c r="AF1050" s="184">
        <f>0+5</f>
        <v>5</v>
      </c>
      <c r="AG1050" s="189">
        <v>38589</v>
      </c>
      <c r="AH1050" s="188">
        <v>18582</v>
      </c>
      <c r="AI1050" s="188" t="s">
        <v>281</v>
      </c>
      <c r="AJ1050" s="192" t="s">
        <v>276</v>
      </c>
      <c r="AK1050" s="338">
        <f t="shared" si="138"/>
        <v>0.12957060302158646</v>
      </c>
      <c r="AL1050" s="192" t="s">
        <v>276</v>
      </c>
      <c r="AM1050" s="192" t="s">
        <v>276</v>
      </c>
      <c r="AN1050" s="192" t="s">
        <v>276</v>
      </c>
      <c r="AO1050" s="338">
        <f t="shared" si="139"/>
        <v>0.26907760198041114</v>
      </c>
      <c r="AP1050" s="192" t="s">
        <v>276</v>
      </c>
      <c r="AQ1050" s="192" t="s">
        <v>276</v>
      </c>
      <c r="AR1050" s="184" t="s">
        <v>268</v>
      </c>
      <c r="AS1050" s="192" t="s">
        <v>276</v>
      </c>
      <c r="AT1050" s="192">
        <f t="shared" ref="AT1050:AT1057" si="150">AK1050/AO1050</f>
        <v>0.48153618906942397</v>
      </c>
      <c r="AU1050" s="192" t="s">
        <v>276</v>
      </c>
      <c r="AV1050" s="192" t="s">
        <v>276</v>
      </c>
      <c r="AW1050" s="192" t="s">
        <v>276</v>
      </c>
      <c r="AX1050" s="184" t="s">
        <v>282</v>
      </c>
      <c r="AY1050" s="184" t="s">
        <v>98</v>
      </c>
      <c r="AZ1050" s="184" t="s">
        <v>98</v>
      </c>
      <c r="BA1050" s="184" t="s">
        <v>98</v>
      </c>
      <c r="BB1050" s="184" t="s">
        <v>98</v>
      </c>
      <c r="BC1050" s="185" t="s">
        <v>426</v>
      </c>
      <c r="BD1050" s="185"/>
      <c r="BE1050" s="33" t="s">
        <v>100</v>
      </c>
      <c r="BF1050" s="33" t="s">
        <v>98</v>
      </c>
    </row>
    <row r="1051" spans="1:58" s="339" customFormat="1" ht="52" x14ac:dyDescent="0.3">
      <c r="A1051" s="184">
        <v>4097</v>
      </c>
      <c r="B1051" s="184" t="s">
        <v>9306</v>
      </c>
      <c r="C1051" s="185" t="s">
        <v>9264</v>
      </c>
      <c r="D1051" s="185" t="s">
        <v>9504</v>
      </c>
      <c r="E1051" s="184" t="s">
        <v>35</v>
      </c>
      <c r="F1051" s="184" t="s">
        <v>97</v>
      </c>
      <c r="G1051" s="184" t="s">
        <v>225</v>
      </c>
      <c r="H1051" s="184" t="s">
        <v>125</v>
      </c>
      <c r="I1051" s="184" t="s">
        <v>114</v>
      </c>
      <c r="J1051" s="185" t="s">
        <v>24</v>
      </c>
      <c r="K1051" s="185" t="s">
        <v>9307</v>
      </c>
      <c r="L1051" s="185" t="s">
        <v>276</v>
      </c>
      <c r="M1051" s="184" t="s">
        <v>15</v>
      </c>
      <c r="N1051" s="336" t="s">
        <v>9254</v>
      </c>
      <c r="O1051" s="337" t="s">
        <v>207</v>
      </c>
      <c r="P1051" s="322" t="s">
        <v>98</v>
      </c>
      <c r="Q1051" s="185" t="s">
        <v>686</v>
      </c>
      <c r="R1051" s="185" t="s">
        <v>11548</v>
      </c>
      <c r="S1051" s="185" t="s">
        <v>11548</v>
      </c>
      <c r="T1051" s="187" t="s">
        <v>276</v>
      </c>
      <c r="U1051" s="189">
        <v>38589</v>
      </c>
      <c r="V1051" s="188">
        <v>18582</v>
      </c>
      <c r="W1051" s="184" t="s">
        <v>276</v>
      </c>
      <c r="X1051" s="184" t="s">
        <v>276</v>
      </c>
      <c r="Y1051" s="184" t="s">
        <v>276</v>
      </c>
      <c r="Z1051" s="185" t="s">
        <v>1562</v>
      </c>
      <c r="AA1051" s="184" t="s">
        <v>276</v>
      </c>
      <c r="AB1051" s="185" t="s">
        <v>1562</v>
      </c>
      <c r="AC1051" s="185" t="s">
        <v>9505</v>
      </c>
      <c r="AD1051" s="185" t="s">
        <v>9258</v>
      </c>
      <c r="AE1051" s="184">
        <f>3+2+13</f>
        <v>18</v>
      </c>
      <c r="AF1051" s="184">
        <f>0+5+4</f>
        <v>9</v>
      </c>
      <c r="AG1051" s="189">
        <v>38589</v>
      </c>
      <c r="AH1051" s="188">
        <v>18582</v>
      </c>
      <c r="AI1051" s="188" t="s">
        <v>281</v>
      </c>
      <c r="AJ1051" s="192" t="s">
        <v>276</v>
      </c>
      <c r="AK1051" s="338">
        <f t="shared" si="138"/>
        <v>0.46645417087771124</v>
      </c>
      <c r="AL1051" s="192" t="s">
        <v>276</v>
      </c>
      <c r="AM1051" s="192" t="s">
        <v>276</v>
      </c>
      <c r="AN1051" s="192" t="s">
        <v>276</v>
      </c>
      <c r="AO1051" s="338">
        <f t="shared" si="139"/>
        <v>0.48433968356474005</v>
      </c>
      <c r="AP1051" s="192" t="s">
        <v>276</v>
      </c>
      <c r="AQ1051" s="192" t="s">
        <v>276</v>
      </c>
      <c r="AR1051" s="184" t="s">
        <v>268</v>
      </c>
      <c r="AS1051" s="192" t="s">
        <v>276</v>
      </c>
      <c r="AT1051" s="192">
        <f t="shared" si="150"/>
        <v>0.96307237813884783</v>
      </c>
      <c r="AU1051" s="192" t="s">
        <v>276</v>
      </c>
      <c r="AV1051" s="192" t="s">
        <v>276</v>
      </c>
      <c r="AW1051" s="192" t="s">
        <v>276</v>
      </c>
      <c r="AX1051" s="184" t="s">
        <v>282</v>
      </c>
      <c r="AY1051" s="184" t="s">
        <v>98</v>
      </c>
      <c r="AZ1051" s="184" t="s">
        <v>98</v>
      </c>
      <c r="BA1051" s="184" t="s">
        <v>98</v>
      </c>
      <c r="BB1051" s="184" t="s">
        <v>98</v>
      </c>
      <c r="BC1051" s="185" t="s">
        <v>426</v>
      </c>
      <c r="BD1051" s="185"/>
      <c r="BE1051" s="33" t="s">
        <v>100</v>
      </c>
      <c r="BF1051" s="33" t="s">
        <v>98</v>
      </c>
    </row>
    <row r="1052" spans="1:58" s="339" customFormat="1" ht="52" x14ac:dyDescent="0.3">
      <c r="A1052" s="184">
        <v>4097</v>
      </c>
      <c r="B1052" s="184" t="s">
        <v>9306</v>
      </c>
      <c r="C1052" s="185" t="s">
        <v>9264</v>
      </c>
      <c r="D1052" s="185" t="s">
        <v>9506</v>
      </c>
      <c r="E1052" s="184" t="s">
        <v>35</v>
      </c>
      <c r="F1052" s="184" t="s">
        <v>97</v>
      </c>
      <c r="G1052" s="184" t="s">
        <v>225</v>
      </c>
      <c r="H1052" s="184" t="s">
        <v>125</v>
      </c>
      <c r="I1052" s="184" t="s">
        <v>114</v>
      </c>
      <c r="J1052" s="185" t="s">
        <v>24</v>
      </c>
      <c r="K1052" s="185" t="s">
        <v>9307</v>
      </c>
      <c r="L1052" s="185" t="s">
        <v>276</v>
      </c>
      <c r="M1052" s="184" t="s">
        <v>15</v>
      </c>
      <c r="N1052" s="336" t="s">
        <v>9254</v>
      </c>
      <c r="O1052" s="337" t="s">
        <v>207</v>
      </c>
      <c r="P1052" s="322" t="s">
        <v>98</v>
      </c>
      <c r="Q1052" s="185" t="s">
        <v>721</v>
      </c>
      <c r="R1052" s="185" t="s">
        <v>11548</v>
      </c>
      <c r="S1052" s="185" t="s">
        <v>11548</v>
      </c>
      <c r="T1052" s="187" t="s">
        <v>276</v>
      </c>
      <c r="U1052" s="189">
        <v>38589</v>
      </c>
      <c r="V1052" s="188">
        <v>18582</v>
      </c>
      <c r="W1052" s="184" t="s">
        <v>276</v>
      </c>
      <c r="X1052" s="184" t="s">
        <v>276</v>
      </c>
      <c r="Y1052" s="184" t="s">
        <v>276</v>
      </c>
      <c r="Z1052" s="185" t="s">
        <v>1562</v>
      </c>
      <c r="AA1052" s="184" t="s">
        <v>276</v>
      </c>
      <c r="AB1052" s="185" t="s">
        <v>1562</v>
      </c>
      <c r="AC1052" s="185" t="s">
        <v>9507</v>
      </c>
      <c r="AD1052" s="185" t="s">
        <v>9258</v>
      </c>
      <c r="AE1052" s="184">
        <f>3+2+13+8</f>
        <v>26</v>
      </c>
      <c r="AF1052" s="184">
        <f>0+5+4+5</f>
        <v>14</v>
      </c>
      <c r="AG1052" s="189">
        <v>38589</v>
      </c>
      <c r="AH1052" s="188">
        <v>18582</v>
      </c>
      <c r="AI1052" s="188" t="s">
        <v>281</v>
      </c>
      <c r="AJ1052" s="192" t="s">
        <v>276</v>
      </c>
      <c r="AK1052" s="338">
        <f t="shared" si="138"/>
        <v>0.67376713571224955</v>
      </c>
      <c r="AL1052" s="192" t="s">
        <v>276</v>
      </c>
      <c r="AM1052" s="192" t="s">
        <v>276</v>
      </c>
      <c r="AN1052" s="192" t="s">
        <v>276</v>
      </c>
      <c r="AO1052" s="338">
        <f t="shared" si="139"/>
        <v>0.75341728554515119</v>
      </c>
      <c r="AP1052" s="192" t="s">
        <v>276</v>
      </c>
      <c r="AQ1052" s="192" t="s">
        <v>276</v>
      </c>
      <c r="AR1052" s="184" t="s">
        <v>268</v>
      </c>
      <c r="AS1052" s="192" t="s">
        <v>276</v>
      </c>
      <c r="AT1052" s="192">
        <f t="shared" si="150"/>
        <v>0.89428149398607293</v>
      </c>
      <c r="AU1052" s="192" t="s">
        <v>276</v>
      </c>
      <c r="AV1052" s="192" t="s">
        <v>276</v>
      </c>
      <c r="AW1052" s="192" t="s">
        <v>276</v>
      </c>
      <c r="AX1052" s="184" t="s">
        <v>282</v>
      </c>
      <c r="AY1052" s="184" t="s">
        <v>98</v>
      </c>
      <c r="AZ1052" s="184" t="s">
        <v>98</v>
      </c>
      <c r="BA1052" s="184" t="s">
        <v>98</v>
      </c>
      <c r="BB1052" s="184" t="s">
        <v>98</v>
      </c>
      <c r="BC1052" s="185" t="s">
        <v>426</v>
      </c>
      <c r="BD1052" s="185"/>
      <c r="BE1052" s="33" t="s">
        <v>100</v>
      </c>
      <c r="BF1052" s="33" t="s">
        <v>98</v>
      </c>
    </row>
    <row r="1053" spans="1:58" s="339" customFormat="1" ht="52" x14ac:dyDescent="0.3">
      <c r="A1053" s="184">
        <v>4097</v>
      </c>
      <c r="B1053" s="184" t="s">
        <v>9306</v>
      </c>
      <c r="C1053" s="185" t="s">
        <v>9264</v>
      </c>
      <c r="D1053" s="185" t="s">
        <v>9508</v>
      </c>
      <c r="E1053" s="184" t="s">
        <v>35</v>
      </c>
      <c r="F1053" s="184" t="s">
        <v>97</v>
      </c>
      <c r="G1053" s="184" t="s">
        <v>225</v>
      </c>
      <c r="H1053" s="184" t="s">
        <v>125</v>
      </c>
      <c r="I1053" s="184" t="s">
        <v>114</v>
      </c>
      <c r="J1053" s="185" t="s">
        <v>24</v>
      </c>
      <c r="K1053" s="185" t="s">
        <v>9307</v>
      </c>
      <c r="L1053" s="185" t="s">
        <v>276</v>
      </c>
      <c r="M1053" s="184" t="s">
        <v>15</v>
      </c>
      <c r="N1053" s="336" t="s">
        <v>9254</v>
      </c>
      <c r="O1053" s="337" t="s">
        <v>207</v>
      </c>
      <c r="P1053" s="322" t="s">
        <v>98</v>
      </c>
      <c r="Q1053" s="185" t="s">
        <v>728</v>
      </c>
      <c r="R1053" s="185" t="s">
        <v>11548</v>
      </c>
      <c r="S1053" s="185" t="s">
        <v>11548</v>
      </c>
      <c r="T1053" s="187" t="s">
        <v>276</v>
      </c>
      <c r="U1053" s="189">
        <v>38589</v>
      </c>
      <c r="V1053" s="188">
        <v>18582</v>
      </c>
      <c r="W1053" s="184" t="s">
        <v>276</v>
      </c>
      <c r="X1053" s="184" t="s">
        <v>276</v>
      </c>
      <c r="Y1053" s="184" t="s">
        <v>276</v>
      </c>
      <c r="Z1053" s="185" t="s">
        <v>1562</v>
      </c>
      <c r="AA1053" s="184" t="s">
        <v>276</v>
      </c>
      <c r="AB1053" s="185" t="s">
        <v>1562</v>
      </c>
      <c r="AC1053" s="185" t="s">
        <v>9509</v>
      </c>
      <c r="AD1053" s="185" t="s">
        <v>9258</v>
      </c>
      <c r="AE1053" s="184">
        <f>3+2+13+8+13</f>
        <v>39</v>
      </c>
      <c r="AF1053" s="184">
        <f>0+5+4+5+13</f>
        <v>27</v>
      </c>
      <c r="AG1053" s="189">
        <v>38589</v>
      </c>
      <c r="AH1053" s="188">
        <v>18582</v>
      </c>
      <c r="AI1053" s="188" t="s">
        <v>281</v>
      </c>
      <c r="AJ1053" s="192" t="s">
        <v>276</v>
      </c>
      <c r="AK1053" s="338">
        <f t="shared" si="138"/>
        <v>1.0106507035683745</v>
      </c>
      <c r="AL1053" s="192" t="s">
        <v>276</v>
      </c>
      <c r="AM1053" s="192" t="s">
        <v>276</v>
      </c>
      <c r="AN1053" s="192" t="s">
        <v>276</v>
      </c>
      <c r="AO1053" s="338">
        <f t="shared" si="139"/>
        <v>1.4530190506942202</v>
      </c>
      <c r="AP1053" s="192" t="s">
        <v>276</v>
      </c>
      <c r="AQ1053" s="192" t="s">
        <v>276</v>
      </c>
      <c r="AR1053" s="184" t="s">
        <v>268</v>
      </c>
      <c r="AS1053" s="192" t="s">
        <v>276</v>
      </c>
      <c r="AT1053" s="192">
        <f t="shared" si="150"/>
        <v>0.69555227310027912</v>
      </c>
      <c r="AU1053" s="192" t="s">
        <v>276</v>
      </c>
      <c r="AV1053" s="192" t="s">
        <v>276</v>
      </c>
      <c r="AW1053" s="192" t="s">
        <v>276</v>
      </c>
      <c r="AX1053" s="184" t="s">
        <v>282</v>
      </c>
      <c r="AY1053" s="184" t="s">
        <v>98</v>
      </c>
      <c r="AZ1053" s="184" t="s">
        <v>98</v>
      </c>
      <c r="BA1053" s="184" t="s">
        <v>98</v>
      </c>
      <c r="BB1053" s="184" t="s">
        <v>98</v>
      </c>
      <c r="BC1053" s="185" t="s">
        <v>426</v>
      </c>
      <c r="BD1053" s="185"/>
      <c r="BE1053" s="33" t="s">
        <v>100</v>
      </c>
      <c r="BF1053" s="33" t="s">
        <v>98</v>
      </c>
    </row>
    <row r="1054" spans="1:58" s="339" customFormat="1" ht="52" x14ac:dyDescent="0.3">
      <c r="A1054" s="184">
        <v>4097</v>
      </c>
      <c r="B1054" s="184" t="s">
        <v>9306</v>
      </c>
      <c r="C1054" s="185" t="s">
        <v>9264</v>
      </c>
      <c r="D1054" s="185" t="s">
        <v>9510</v>
      </c>
      <c r="E1054" s="184" t="s">
        <v>35</v>
      </c>
      <c r="F1054" s="184" t="s">
        <v>97</v>
      </c>
      <c r="G1054" s="184" t="s">
        <v>225</v>
      </c>
      <c r="H1054" s="184" t="s">
        <v>125</v>
      </c>
      <c r="I1054" s="184" t="s">
        <v>114</v>
      </c>
      <c r="J1054" s="185" t="s">
        <v>24</v>
      </c>
      <c r="K1054" s="185" t="s">
        <v>9307</v>
      </c>
      <c r="L1054" s="185" t="s">
        <v>276</v>
      </c>
      <c r="M1054" s="184" t="s">
        <v>15</v>
      </c>
      <c r="N1054" s="336" t="s">
        <v>9254</v>
      </c>
      <c r="O1054" s="337" t="s">
        <v>207</v>
      </c>
      <c r="P1054" s="322" t="s">
        <v>98</v>
      </c>
      <c r="Q1054" s="185" t="s">
        <v>733</v>
      </c>
      <c r="R1054" s="185" t="s">
        <v>11548</v>
      </c>
      <c r="S1054" s="185" t="s">
        <v>11548</v>
      </c>
      <c r="T1054" s="187" t="s">
        <v>276</v>
      </c>
      <c r="U1054" s="189">
        <v>38589</v>
      </c>
      <c r="V1054" s="188">
        <v>18582</v>
      </c>
      <c r="W1054" s="184" t="s">
        <v>276</v>
      </c>
      <c r="X1054" s="184" t="s">
        <v>276</v>
      </c>
      <c r="Y1054" s="184" t="s">
        <v>276</v>
      </c>
      <c r="Z1054" s="185" t="s">
        <v>1562</v>
      </c>
      <c r="AA1054" s="184" t="s">
        <v>276</v>
      </c>
      <c r="AB1054" s="185" t="s">
        <v>1562</v>
      </c>
      <c r="AC1054" s="185" t="s">
        <v>9511</v>
      </c>
      <c r="AD1054" s="185" t="s">
        <v>9258</v>
      </c>
      <c r="AE1054" s="184">
        <f>3+2+13+8+13+10</f>
        <v>49</v>
      </c>
      <c r="AF1054" s="184">
        <f>0+5+4+5+13+10</f>
        <v>37</v>
      </c>
      <c r="AG1054" s="189">
        <v>38589</v>
      </c>
      <c r="AH1054" s="188">
        <v>18582</v>
      </c>
      <c r="AI1054" s="188" t="s">
        <v>281</v>
      </c>
      <c r="AJ1054" s="192" t="s">
        <v>276</v>
      </c>
      <c r="AK1054" s="338">
        <f t="shared" si="138"/>
        <v>1.2697919096115473</v>
      </c>
      <c r="AL1054" s="192" t="s">
        <v>276</v>
      </c>
      <c r="AM1054" s="192" t="s">
        <v>276</v>
      </c>
      <c r="AN1054" s="192" t="s">
        <v>276</v>
      </c>
      <c r="AO1054" s="338">
        <f t="shared" si="139"/>
        <v>1.9911742546550426</v>
      </c>
      <c r="AP1054" s="192" t="s">
        <v>276</v>
      </c>
      <c r="AQ1054" s="192" t="s">
        <v>276</v>
      </c>
      <c r="AR1054" s="184" t="s">
        <v>268</v>
      </c>
      <c r="AS1054" s="192" t="s">
        <v>276</v>
      </c>
      <c r="AT1054" s="192">
        <f t="shared" si="150"/>
        <v>0.63771008822707487</v>
      </c>
      <c r="AU1054" s="192" t="s">
        <v>276</v>
      </c>
      <c r="AV1054" s="192" t="s">
        <v>276</v>
      </c>
      <c r="AW1054" s="192" t="s">
        <v>276</v>
      </c>
      <c r="AX1054" s="184" t="s">
        <v>282</v>
      </c>
      <c r="AY1054" s="184" t="s">
        <v>98</v>
      </c>
      <c r="AZ1054" s="184" t="s">
        <v>98</v>
      </c>
      <c r="BA1054" s="184" t="s">
        <v>98</v>
      </c>
      <c r="BB1054" s="184" t="s">
        <v>98</v>
      </c>
      <c r="BC1054" s="185" t="s">
        <v>426</v>
      </c>
      <c r="BD1054" s="185"/>
      <c r="BE1054" s="33" t="s">
        <v>100</v>
      </c>
      <c r="BF1054" s="33" t="s">
        <v>98</v>
      </c>
    </row>
    <row r="1055" spans="1:58" s="339" customFormat="1" ht="52" x14ac:dyDescent="0.3">
      <c r="A1055" s="184">
        <v>4097</v>
      </c>
      <c r="B1055" s="184" t="s">
        <v>9306</v>
      </c>
      <c r="C1055" s="185" t="s">
        <v>9264</v>
      </c>
      <c r="D1055" s="185" t="s">
        <v>9512</v>
      </c>
      <c r="E1055" s="184" t="s">
        <v>35</v>
      </c>
      <c r="F1055" s="184" t="s">
        <v>97</v>
      </c>
      <c r="G1055" s="184" t="s">
        <v>225</v>
      </c>
      <c r="H1055" s="184" t="s">
        <v>125</v>
      </c>
      <c r="I1055" s="184" t="s">
        <v>114</v>
      </c>
      <c r="J1055" s="185" t="s">
        <v>24</v>
      </c>
      <c r="K1055" s="185" t="s">
        <v>9307</v>
      </c>
      <c r="L1055" s="185" t="s">
        <v>276</v>
      </c>
      <c r="M1055" s="184" t="s">
        <v>15</v>
      </c>
      <c r="N1055" s="336" t="s">
        <v>9254</v>
      </c>
      <c r="O1055" s="337" t="s">
        <v>207</v>
      </c>
      <c r="P1055" s="322" t="s">
        <v>98</v>
      </c>
      <c r="Q1055" s="185" t="s">
        <v>741</v>
      </c>
      <c r="R1055" s="185" t="s">
        <v>11548</v>
      </c>
      <c r="S1055" s="185" t="s">
        <v>11548</v>
      </c>
      <c r="T1055" s="187" t="s">
        <v>276</v>
      </c>
      <c r="U1055" s="189">
        <v>38589</v>
      </c>
      <c r="V1055" s="188">
        <v>18582</v>
      </c>
      <c r="W1055" s="184" t="s">
        <v>276</v>
      </c>
      <c r="X1055" s="184" t="s">
        <v>276</v>
      </c>
      <c r="Y1055" s="184" t="s">
        <v>276</v>
      </c>
      <c r="Z1055" s="185" t="s">
        <v>1562</v>
      </c>
      <c r="AA1055" s="184" t="s">
        <v>276</v>
      </c>
      <c r="AB1055" s="185" t="s">
        <v>1562</v>
      </c>
      <c r="AC1055" s="185" t="s">
        <v>9513</v>
      </c>
      <c r="AD1055" s="185" t="s">
        <v>9258</v>
      </c>
      <c r="AE1055" s="184">
        <f>3+2+13+8+13+10+14</f>
        <v>63</v>
      </c>
      <c r="AF1055" s="184">
        <f>0+5+4+5+13+10+10</f>
        <v>47</v>
      </c>
      <c r="AG1055" s="189">
        <v>38589</v>
      </c>
      <c r="AH1055" s="188">
        <v>18582</v>
      </c>
      <c r="AI1055" s="188" t="s">
        <v>281</v>
      </c>
      <c r="AJ1055" s="192" t="s">
        <v>276</v>
      </c>
      <c r="AK1055" s="338">
        <f t="shared" si="138"/>
        <v>1.6325895980719893</v>
      </c>
      <c r="AL1055" s="192" t="s">
        <v>276</v>
      </c>
      <c r="AM1055" s="192" t="s">
        <v>276</v>
      </c>
      <c r="AN1055" s="192" t="s">
        <v>276</v>
      </c>
      <c r="AO1055" s="338">
        <f t="shared" si="139"/>
        <v>2.529329458615865</v>
      </c>
      <c r="AP1055" s="192" t="s">
        <v>276</v>
      </c>
      <c r="AQ1055" s="192" t="s">
        <v>276</v>
      </c>
      <c r="AR1055" s="184" t="s">
        <v>268</v>
      </c>
      <c r="AS1055" s="192" t="s">
        <v>276</v>
      </c>
      <c r="AT1055" s="192">
        <f t="shared" si="150"/>
        <v>0.64546340236965327</v>
      </c>
      <c r="AU1055" s="192" t="s">
        <v>276</v>
      </c>
      <c r="AV1055" s="192" t="s">
        <v>276</v>
      </c>
      <c r="AW1055" s="192" t="s">
        <v>276</v>
      </c>
      <c r="AX1055" s="184" t="s">
        <v>282</v>
      </c>
      <c r="AY1055" s="184" t="s">
        <v>98</v>
      </c>
      <c r="AZ1055" s="184" t="s">
        <v>98</v>
      </c>
      <c r="BA1055" s="184" t="s">
        <v>98</v>
      </c>
      <c r="BB1055" s="184" t="s">
        <v>98</v>
      </c>
      <c r="BC1055" s="185" t="s">
        <v>426</v>
      </c>
      <c r="BD1055" s="185"/>
      <c r="BE1055" s="33" t="s">
        <v>100</v>
      </c>
      <c r="BF1055" s="33" t="s">
        <v>98</v>
      </c>
    </row>
    <row r="1056" spans="1:58" s="339" customFormat="1" ht="52" x14ac:dyDescent="0.3">
      <c r="A1056" s="184">
        <v>4097</v>
      </c>
      <c r="B1056" s="184" t="s">
        <v>9306</v>
      </c>
      <c r="C1056" s="185" t="s">
        <v>9264</v>
      </c>
      <c r="D1056" s="185" t="s">
        <v>9514</v>
      </c>
      <c r="E1056" s="184" t="s">
        <v>35</v>
      </c>
      <c r="F1056" s="184" t="s">
        <v>97</v>
      </c>
      <c r="G1056" s="184" t="s">
        <v>225</v>
      </c>
      <c r="H1056" s="184" t="s">
        <v>125</v>
      </c>
      <c r="I1056" s="184" t="s">
        <v>114</v>
      </c>
      <c r="J1056" s="185" t="s">
        <v>24</v>
      </c>
      <c r="K1056" s="185" t="s">
        <v>9307</v>
      </c>
      <c r="L1056" s="185" t="s">
        <v>276</v>
      </c>
      <c r="M1056" s="184" t="s">
        <v>15</v>
      </c>
      <c r="N1056" s="336" t="s">
        <v>9254</v>
      </c>
      <c r="O1056" s="337" t="s">
        <v>207</v>
      </c>
      <c r="P1056" s="322" t="s">
        <v>98</v>
      </c>
      <c r="Q1056" s="185" t="s">
        <v>746</v>
      </c>
      <c r="R1056" s="185" t="s">
        <v>11548</v>
      </c>
      <c r="S1056" s="185" t="s">
        <v>11548</v>
      </c>
      <c r="T1056" s="187" t="s">
        <v>276</v>
      </c>
      <c r="U1056" s="189">
        <v>38589</v>
      </c>
      <c r="V1056" s="188">
        <v>18582</v>
      </c>
      <c r="W1056" s="184" t="s">
        <v>276</v>
      </c>
      <c r="X1056" s="184" t="s">
        <v>276</v>
      </c>
      <c r="Y1056" s="184" t="s">
        <v>276</v>
      </c>
      <c r="Z1056" s="185" t="s">
        <v>1562</v>
      </c>
      <c r="AA1056" s="184" t="s">
        <v>276</v>
      </c>
      <c r="AB1056" s="185" t="s">
        <v>1562</v>
      </c>
      <c r="AC1056" s="185" t="s">
        <v>9515</v>
      </c>
      <c r="AD1056" s="185" t="s">
        <v>9258</v>
      </c>
      <c r="AE1056" s="184">
        <f>3+2+13+8+13+10+14+8</f>
        <v>71</v>
      </c>
      <c r="AF1056" s="184">
        <f>0+5+4+5+13+10+10+8</f>
        <v>55</v>
      </c>
      <c r="AG1056" s="189">
        <v>38589</v>
      </c>
      <c r="AH1056" s="188">
        <v>18582</v>
      </c>
      <c r="AI1056" s="188" t="s">
        <v>281</v>
      </c>
      <c r="AJ1056" s="192" t="s">
        <v>276</v>
      </c>
      <c r="AK1056" s="338">
        <f t="shared" si="138"/>
        <v>1.8399025629065278</v>
      </c>
      <c r="AL1056" s="192" t="s">
        <v>276</v>
      </c>
      <c r="AM1056" s="192" t="s">
        <v>276</v>
      </c>
      <c r="AN1056" s="192" t="s">
        <v>276</v>
      </c>
      <c r="AO1056" s="338">
        <f t="shared" si="139"/>
        <v>2.9598536217845228</v>
      </c>
      <c r="AP1056" s="192" t="s">
        <v>276</v>
      </c>
      <c r="AQ1056" s="192" t="s">
        <v>276</v>
      </c>
      <c r="AR1056" s="184" t="s">
        <v>268</v>
      </c>
      <c r="AS1056" s="192" t="s">
        <v>276</v>
      </c>
      <c r="AT1056" s="192">
        <f t="shared" si="150"/>
        <v>0.6216194440714381</v>
      </c>
      <c r="AU1056" s="192" t="s">
        <v>276</v>
      </c>
      <c r="AV1056" s="192" t="s">
        <v>276</v>
      </c>
      <c r="AW1056" s="192" t="s">
        <v>276</v>
      </c>
      <c r="AX1056" s="184" t="s">
        <v>282</v>
      </c>
      <c r="AY1056" s="184" t="s">
        <v>98</v>
      </c>
      <c r="AZ1056" s="184" t="s">
        <v>98</v>
      </c>
      <c r="BA1056" s="184" t="s">
        <v>98</v>
      </c>
      <c r="BB1056" s="184" t="s">
        <v>98</v>
      </c>
      <c r="BC1056" s="185" t="s">
        <v>426</v>
      </c>
      <c r="BD1056" s="185"/>
      <c r="BE1056" s="33" t="s">
        <v>100</v>
      </c>
      <c r="BF1056" s="33" t="s">
        <v>98</v>
      </c>
    </row>
    <row r="1057" spans="1:58" s="339" customFormat="1" ht="52" x14ac:dyDescent="0.3">
      <c r="A1057" s="184">
        <v>4097</v>
      </c>
      <c r="B1057" s="184" t="s">
        <v>9306</v>
      </c>
      <c r="C1057" s="185" t="s">
        <v>9264</v>
      </c>
      <c r="D1057" s="185" t="s">
        <v>9516</v>
      </c>
      <c r="E1057" s="184" t="s">
        <v>35</v>
      </c>
      <c r="F1057" s="184" t="s">
        <v>97</v>
      </c>
      <c r="G1057" s="184" t="s">
        <v>225</v>
      </c>
      <c r="H1057" s="184" t="s">
        <v>125</v>
      </c>
      <c r="I1057" s="184" t="s">
        <v>114</v>
      </c>
      <c r="J1057" s="185" t="s">
        <v>24</v>
      </c>
      <c r="K1057" s="185" t="s">
        <v>9307</v>
      </c>
      <c r="L1057" s="185" t="s">
        <v>276</v>
      </c>
      <c r="M1057" s="184" t="s">
        <v>15</v>
      </c>
      <c r="N1057" s="336" t="s">
        <v>9254</v>
      </c>
      <c r="O1057" s="337" t="s">
        <v>207</v>
      </c>
      <c r="P1057" s="322" t="s">
        <v>98</v>
      </c>
      <c r="Q1057" s="185" t="s">
        <v>766</v>
      </c>
      <c r="R1057" s="185" t="s">
        <v>11548</v>
      </c>
      <c r="S1057" s="185" t="s">
        <v>11548</v>
      </c>
      <c r="T1057" s="187" t="s">
        <v>276</v>
      </c>
      <c r="U1057" s="189">
        <v>38589</v>
      </c>
      <c r="V1057" s="188">
        <v>18582</v>
      </c>
      <c r="W1057" s="184" t="s">
        <v>276</v>
      </c>
      <c r="X1057" s="184" t="s">
        <v>276</v>
      </c>
      <c r="Y1057" s="184" t="s">
        <v>276</v>
      </c>
      <c r="Z1057" s="185" t="s">
        <v>1562</v>
      </c>
      <c r="AA1057" s="184" t="s">
        <v>276</v>
      </c>
      <c r="AB1057" s="185" t="s">
        <v>1562</v>
      </c>
      <c r="AC1057" s="185" t="s">
        <v>9517</v>
      </c>
      <c r="AD1057" s="185" t="s">
        <v>9258</v>
      </c>
      <c r="AE1057" s="184">
        <f>3+2+13+8+13+10+14+8+6</f>
        <v>77</v>
      </c>
      <c r="AF1057" s="184">
        <f>0+5+4+5+13+10+10+8+3</f>
        <v>58</v>
      </c>
      <c r="AG1057" s="189">
        <v>38589</v>
      </c>
      <c r="AH1057" s="188">
        <v>18582</v>
      </c>
      <c r="AI1057" s="188" t="s">
        <v>281</v>
      </c>
      <c r="AJ1057" s="192" t="s">
        <v>276</v>
      </c>
      <c r="AK1057" s="338">
        <f t="shared" ref="AK1057:AK1120" si="151">AE1057*1000/AG1057</f>
        <v>1.9953872865324316</v>
      </c>
      <c r="AL1057" s="192" t="s">
        <v>276</v>
      </c>
      <c r="AM1057" s="192" t="s">
        <v>276</v>
      </c>
      <c r="AN1057" s="192" t="s">
        <v>276</v>
      </c>
      <c r="AO1057" s="338">
        <f t="shared" si="139"/>
        <v>3.1213001829727696</v>
      </c>
      <c r="AP1057" s="192" t="s">
        <v>276</v>
      </c>
      <c r="AQ1057" s="192" t="s">
        <v>276</v>
      </c>
      <c r="AR1057" s="184" t="s">
        <v>268</v>
      </c>
      <c r="AS1057" s="192" t="s">
        <v>276</v>
      </c>
      <c r="AT1057" s="192">
        <f t="shared" si="150"/>
        <v>0.63928080273009724</v>
      </c>
      <c r="AU1057" s="192" t="s">
        <v>276</v>
      </c>
      <c r="AV1057" s="192" t="s">
        <v>276</v>
      </c>
      <c r="AW1057" s="192" t="s">
        <v>276</v>
      </c>
      <c r="AX1057" s="184" t="s">
        <v>282</v>
      </c>
      <c r="AY1057" s="184" t="s">
        <v>98</v>
      </c>
      <c r="AZ1057" s="184" t="s">
        <v>98</v>
      </c>
      <c r="BA1057" s="184" t="s">
        <v>98</v>
      </c>
      <c r="BB1057" s="184" t="s">
        <v>98</v>
      </c>
      <c r="BC1057" s="185" t="s">
        <v>426</v>
      </c>
      <c r="BD1057" s="185"/>
      <c r="BE1057" s="33" t="s">
        <v>100</v>
      </c>
      <c r="BF1057" s="33" t="s">
        <v>98</v>
      </c>
    </row>
    <row r="1058" spans="1:58" s="202" customFormat="1" ht="52" x14ac:dyDescent="0.3">
      <c r="A1058" s="175">
        <v>4097</v>
      </c>
      <c r="B1058" s="175" t="s">
        <v>9306</v>
      </c>
      <c r="C1058" s="176" t="s">
        <v>9266</v>
      </c>
      <c r="D1058" s="176" t="s">
        <v>9357</v>
      </c>
      <c r="E1058" s="175" t="s">
        <v>35</v>
      </c>
      <c r="F1058" s="175" t="s">
        <v>97</v>
      </c>
      <c r="G1058" s="175" t="s">
        <v>225</v>
      </c>
      <c r="H1058" s="175" t="s">
        <v>125</v>
      </c>
      <c r="I1058" s="175" t="s">
        <v>114</v>
      </c>
      <c r="J1058" s="176" t="s">
        <v>24</v>
      </c>
      <c r="K1058" s="176" t="s">
        <v>9307</v>
      </c>
      <c r="L1058" s="176" t="s">
        <v>276</v>
      </c>
      <c r="M1058" s="175" t="s">
        <v>15</v>
      </c>
      <c r="N1058" s="198" t="s">
        <v>3032</v>
      </c>
      <c r="O1058" s="199" t="s">
        <v>207</v>
      </c>
      <c r="P1058" s="200" t="s">
        <v>98</v>
      </c>
      <c r="Q1058" s="176" t="s">
        <v>705</v>
      </c>
      <c r="R1058" s="176" t="s">
        <v>9518</v>
      </c>
      <c r="S1058" s="176" t="s">
        <v>9519</v>
      </c>
      <c r="T1058" s="178" t="s">
        <v>276</v>
      </c>
      <c r="U1058" s="180">
        <v>10262</v>
      </c>
      <c r="V1058" s="179">
        <v>10573</v>
      </c>
      <c r="W1058" s="175" t="s">
        <v>276</v>
      </c>
      <c r="X1058" s="175" t="s">
        <v>276</v>
      </c>
      <c r="Y1058" s="175" t="s">
        <v>276</v>
      </c>
      <c r="Z1058" s="176" t="s">
        <v>1562</v>
      </c>
      <c r="AA1058" s="175" t="s">
        <v>276</v>
      </c>
      <c r="AB1058" s="176" t="s">
        <v>1562</v>
      </c>
      <c r="AC1058" s="176" t="s">
        <v>9360</v>
      </c>
      <c r="AD1058" s="176" t="s">
        <v>9269</v>
      </c>
      <c r="AE1058" s="175">
        <v>0</v>
      </c>
      <c r="AF1058" s="175">
        <v>0</v>
      </c>
      <c r="AG1058" s="180">
        <v>10262</v>
      </c>
      <c r="AH1058" s="179">
        <v>10573</v>
      </c>
      <c r="AI1058" s="179" t="s">
        <v>281</v>
      </c>
      <c r="AJ1058" s="181" t="s">
        <v>276</v>
      </c>
      <c r="AK1058" s="201">
        <f t="shared" si="151"/>
        <v>0</v>
      </c>
      <c r="AL1058" s="181" t="s">
        <v>276</v>
      </c>
      <c r="AM1058" s="181" t="s">
        <v>276</v>
      </c>
      <c r="AN1058" s="181" t="s">
        <v>276</v>
      </c>
      <c r="AO1058" s="201">
        <f t="shared" ref="AO1058:AO1121" si="152">AF1058*1000/AH1058</f>
        <v>0</v>
      </c>
      <c r="AP1058" s="181" t="s">
        <v>276</v>
      </c>
      <c r="AQ1058" s="181" t="s">
        <v>276</v>
      </c>
      <c r="AR1058" s="175" t="s">
        <v>268</v>
      </c>
      <c r="AS1058" s="181" t="s">
        <v>276</v>
      </c>
      <c r="AT1058" s="181" t="s">
        <v>98</v>
      </c>
      <c r="AU1058" s="181" t="s">
        <v>276</v>
      </c>
      <c r="AV1058" s="181" t="s">
        <v>276</v>
      </c>
      <c r="AW1058" s="175">
        <v>0.03</v>
      </c>
      <c r="AX1058" s="175" t="s">
        <v>282</v>
      </c>
      <c r="AY1058" s="175" t="s">
        <v>98</v>
      </c>
      <c r="AZ1058" s="175" t="s">
        <v>98</v>
      </c>
      <c r="BA1058" s="175" t="s">
        <v>98</v>
      </c>
      <c r="BB1058" s="175" t="s">
        <v>98</v>
      </c>
      <c r="BC1058" s="176" t="s">
        <v>426</v>
      </c>
      <c r="BD1058" s="176"/>
      <c r="BE1058" s="33" t="s">
        <v>100</v>
      </c>
      <c r="BF1058" s="33" t="s">
        <v>98</v>
      </c>
    </row>
    <row r="1059" spans="1:58" s="202" customFormat="1" ht="52" x14ac:dyDescent="0.3">
      <c r="A1059" s="175">
        <v>4097</v>
      </c>
      <c r="B1059" s="175" t="s">
        <v>9306</v>
      </c>
      <c r="C1059" s="176" t="s">
        <v>9266</v>
      </c>
      <c r="D1059" s="176" t="s">
        <v>9361</v>
      </c>
      <c r="E1059" s="175" t="s">
        <v>35</v>
      </c>
      <c r="F1059" s="175" t="s">
        <v>97</v>
      </c>
      <c r="G1059" s="175" t="s">
        <v>225</v>
      </c>
      <c r="H1059" s="175" t="s">
        <v>125</v>
      </c>
      <c r="I1059" s="175" t="s">
        <v>114</v>
      </c>
      <c r="J1059" s="176" t="s">
        <v>24</v>
      </c>
      <c r="K1059" s="176" t="s">
        <v>9307</v>
      </c>
      <c r="L1059" s="176" t="s">
        <v>276</v>
      </c>
      <c r="M1059" s="175" t="s">
        <v>15</v>
      </c>
      <c r="N1059" s="198" t="s">
        <v>3032</v>
      </c>
      <c r="O1059" s="199" t="s">
        <v>207</v>
      </c>
      <c r="P1059" s="200" t="s">
        <v>98</v>
      </c>
      <c r="Q1059" s="176" t="s">
        <v>710</v>
      </c>
      <c r="R1059" s="176" t="s">
        <v>9520</v>
      </c>
      <c r="S1059" s="176" t="s">
        <v>9521</v>
      </c>
      <c r="T1059" s="178" t="s">
        <v>276</v>
      </c>
      <c r="U1059" s="180">
        <v>10262</v>
      </c>
      <c r="V1059" s="179">
        <v>10573</v>
      </c>
      <c r="W1059" s="175" t="s">
        <v>276</v>
      </c>
      <c r="X1059" s="175" t="s">
        <v>276</v>
      </c>
      <c r="Y1059" s="175" t="s">
        <v>276</v>
      </c>
      <c r="Z1059" s="176" t="s">
        <v>1562</v>
      </c>
      <c r="AA1059" s="175" t="s">
        <v>276</v>
      </c>
      <c r="AB1059" s="176" t="s">
        <v>1562</v>
      </c>
      <c r="AC1059" s="176" t="s">
        <v>9364</v>
      </c>
      <c r="AD1059" s="176" t="s">
        <v>9269</v>
      </c>
      <c r="AE1059" s="175">
        <v>2</v>
      </c>
      <c r="AF1059" s="175">
        <v>1</v>
      </c>
      <c r="AG1059" s="180">
        <v>10262</v>
      </c>
      <c r="AH1059" s="179">
        <v>10573</v>
      </c>
      <c r="AI1059" s="179" t="s">
        <v>281</v>
      </c>
      <c r="AJ1059" s="181" t="s">
        <v>276</v>
      </c>
      <c r="AK1059" s="201">
        <f t="shared" si="151"/>
        <v>0.19489378288832587</v>
      </c>
      <c r="AL1059" s="181" t="s">
        <v>276</v>
      </c>
      <c r="AM1059" s="181" t="s">
        <v>276</v>
      </c>
      <c r="AN1059" s="181" t="s">
        <v>276</v>
      </c>
      <c r="AO1059" s="201">
        <f t="shared" si="152"/>
        <v>9.458053532582994E-2</v>
      </c>
      <c r="AP1059" s="181" t="s">
        <v>276</v>
      </c>
      <c r="AQ1059" s="181" t="s">
        <v>276</v>
      </c>
      <c r="AR1059" s="175" t="s">
        <v>268</v>
      </c>
      <c r="AS1059" s="181" t="s">
        <v>276</v>
      </c>
      <c r="AT1059" s="181">
        <f t="shared" ref="AT1059:AT1066" si="153">AK1059/AO1059</f>
        <v>2.0606119664782696</v>
      </c>
      <c r="AU1059" s="181" t="s">
        <v>276</v>
      </c>
      <c r="AV1059" s="181" t="s">
        <v>276</v>
      </c>
      <c r="AW1059" s="181" t="s">
        <v>276</v>
      </c>
      <c r="AX1059" s="175" t="s">
        <v>282</v>
      </c>
      <c r="AY1059" s="175" t="s">
        <v>98</v>
      </c>
      <c r="AZ1059" s="175" t="s">
        <v>98</v>
      </c>
      <c r="BA1059" s="175" t="s">
        <v>98</v>
      </c>
      <c r="BB1059" s="175" t="s">
        <v>98</v>
      </c>
      <c r="BC1059" s="176" t="s">
        <v>426</v>
      </c>
      <c r="BD1059" s="176"/>
      <c r="BE1059" s="33" t="s">
        <v>100</v>
      </c>
      <c r="BF1059" s="33" t="s">
        <v>98</v>
      </c>
    </row>
    <row r="1060" spans="1:58" s="202" customFormat="1" ht="52" x14ac:dyDescent="0.3">
      <c r="A1060" s="175">
        <v>4097</v>
      </c>
      <c r="B1060" s="175" t="s">
        <v>9306</v>
      </c>
      <c r="C1060" s="176" t="s">
        <v>9266</v>
      </c>
      <c r="D1060" s="176" t="s">
        <v>9365</v>
      </c>
      <c r="E1060" s="175" t="s">
        <v>35</v>
      </c>
      <c r="F1060" s="175" t="s">
        <v>97</v>
      </c>
      <c r="G1060" s="175" t="s">
        <v>225</v>
      </c>
      <c r="H1060" s="175" t="s">
        <v>125</v>
      </c>
      <c r="I1060" s="175" t="s">
        <v>114</v>
      </c>
      <c r="J1060" s="176" t="s">
        <v>24</v>
      </c>
      <c r="K1060" s="176" t="s">
        <v>9307</v>
      </c>
      <c r="L1060" s="176" t="s">
        <v>276</v>
      </c>
      <c r="M1060" s="175" t="s">
        <v>15</v>
      </c>
      <c r="N1060" s="198" t="s">
        <v>3032</v>
      </c>
      <c r="O1060" s="199" t="s">
        <v>207</v>
      </c>
      <c r="P1060" s="200" t="s">
        <v>98</v>
      </c>
      <c r="Q1060" s="176" t="s">
        <v>686</v>
      </c>
      <c r="R1060" s="176" t="s">
        <v>9522</v>
      </c>
      <c r="S1060" s="176" t="s">
        <v>9523</v>
      </c>
      <c r="T1060" s="178" t="s">
        <v>276</v>
      </c>
      <c r="U1060" s="180">
        <v>10262</v>
      </c>
      <c r="V1060" s="179">
        <v>10573</v>
      </c>
      <c r="W1060" s="175" t="s">
        <v>276</v>
      </c>
      <c r="X1060" s="175" t="s">
        <v>276</v>
      </c>
      <c r="Y1060" s="175" t="s">
        <v>276</v>
      </c>
      <c r="Z1060" s="176" t="s">
        <v>1562</v>
      </c>
      <c r="AA1060" s="175" t="s">
        <v>276</v>
      </c>
      <c r="AB1060" s="176" t="s">
        <v>1562</v>
      </c>
      <c r="AC1060" s="176" t="s">
        <v>9368</v>
      </c>
      <c r="AD1060" s="176" t="s">
        <v>9269</v>
      </c>
      <c r="AE1060" s="175">
        <f>2+0</f>
        <v>2</v>
      </c>
      <c r="AF1060" s="175">
        <f>1+2</f>
        <v>3</v>
      </c>
      <c r="AG1060" s="180">
        <v>10262</v>
      </c>
      <c r="AH1060" s="179">
        <v>10573</v>
      </c>
      <c r="AI1060" s="179" t="s">
        <v>281</v>
      </c>
      <c r="AJ1060" s="181" t="s">
        <v>276</v>
      </c>
      <c r="AK1060" s="201">
        <f t="shared" si="151"/>
        <v>0.19489378288832587</v>
      </c>
      <c r="AL1060" s="181" t="s">
        <v>276</v>
      </c>
      <c r="AM1060" s="181" t="s">
        <v>276</v>
      </c>
      <c r="AN1060" s="181" t="s">
        <v>276</v>
      </c>
      <c r="AO1060" s="201">
        <f t="shared" si="152"/>
        <v>0.28374160597748982</v>
      </c>
      <c r="AP1060" s="181" t="s">
        <v>276</v>
      </c>
      <c r="AQ1060" s="181" t="s">
        <v>276</v>
      </c>
      <c r="AR1060" s="175" t="s">
        <v>268</v>
      </c>
      <c r="AS1060" s="181" t="s">
        <v>276</v>
      </c>
      <c r="AT1060" s="181">
        <f t="shared" si="153"/>
        <v>0.6868706554927565</v>
      </c>
      <c r="AU1060" s="181" t="s">
        <v>276</v>
      </c>
      <c r="AV1060" s="181" t="s">
        <v>276</v>
      </c>
      <c r="AW1060" s="181" t="s">
        <v>276</v>
      </c>
      <c r="AX1060" s="175" t="s">
        <v>282</v>
      </c>
      <c r="AY1060" s="175" t="s">
        <v>98</v>
      </c>
      <c r="AZ1060" s="175" t="s">
        <v>98</v>
      </c>
      <c r="BA1060" s="175" t="s">
        <v>98</v>
      </c>
      <c r="BB1060" s="175" t="s">
        <v>98</v>
      </c>
      <c r="BC1060" s="176" t="s">
        <v>426</v>
      </c>
      <c r="BD1060" s="176"/>
      <c r="BE1060" s="33" t="s">
        <v>100</v>
      </c>
      <c r="BF1060" s="33" t="s">
        <v>98</v>
      </c>
    </row>
    <row r="1061" spans="1:58" s="202" customFormat="1" ht="52" x14ac:dyDescent="0.3">
      <c r="A1061" s="175">
        <v>4097</v>
      </c>
      <c r="B1061" s="175" t="s">
        <v>9306</v>
      </c>
      <c r="C1061" s="176" t="s">
        <v>9266</v>
      </c>
      <c r="D1061" s="176" t="s">
        <v>9369</v>
      </c>
      <c r="E1061" s="175" t="s">
        <v>35</v>
      </c>
      <c r="F1061" s="175" t="s">
        <v>97</v>
      </c>
      <c r="G1061" s="175" t="s">
        <v>225</v>
      </c>
      <c r="H1061" s="175" t="s">
        <v>125</v>
      </c>
      <c r="I1061" s="175" t="s">
        <v>114</v>
      </c>
      <c r="J1061" s="176" t="s">
        <v>24</v>
      </c>
      <c r="K1061" s="176" t="s">
        <v>9307</v>
      </c>
      <c r="L1061" s="176" t="s">
        <v>276</v>
      </c>
      <c r="M1061" s="175" t="s">
        <v>15</v>
      </c>
      <c r="N1061" s="198" t="s">
        <v>3032</v>
      </c>
      <c r="O1061" s="199" t="s">
        <v>207</v>
      </c>
      <c r="P1061" s="200" t="s">
        <v>98</v>
      </c>
      <c r="Q1061" s="176" t="s">
        <v>721</v>
      </c>
      <c r="R1061" s="179" t="s">
        <v>9524</v>
      </c>
      <c r="S1061" s="179" t="s">
        <v>9525</v>
      </c>
      <c r="T1061" s="178" t="s">
        <v>276</v>
      </c>
      <c r="U1061" s="180">
        <v>10262</v>
      </c>
      <c r="V1061" s="179">
        <v>10573</v>
      </c>
      <c r="W1061" s="175" t="s">
        <v>276</v>
      </c>
      <c r="X1061" s="175" t="s">
        <v>276</v>
      </c>
      <c r="Y1061" s="175" t="s">
        <v>276</v>
      </c>
      <c r="Z1061" s="176" t="s">
        <v>1562</v>
      </c>
      <c r="AA1061" s="175" t="s">
        <v>276</v>
      </c>
      <c r="AB1061" s="176" t="s">
        <v>1562</v>
      </c>
      <c r="AC1061" s="176" t="s">
        <v>9372</v>
      </c>
      <c r="AD1061" s="176" t="s">
        <v>9269</v>
      </c>
      <c r="AE1061" s="175">
        <f>2+0+2</f>
        <v>4</v>
      </c>
      <c r="AF1061" s="175">
        <f>1+2+0</f>
        <v>3</v>
      </c>
      <c r="AG1061" s="180">
        <v>10262</v>
      </c>
      <c r="AH1061" s="179">
        <v>10573</v>
      </c>
      <c r="AI1061" s="179" t="s">
        <v>281</v>
      </c>
      <c r="AJ1061" s="181" t="s">
        <v>276</v>
      </c>
      <c r="AK1061" s="201">
        <f t="shared" si="151"/>
        <v>0.38978756577665175</v>
      </c>
      <c r="AL1061" s="181" t="s">
        <v>276</v>
      </c>
      <c r="AM1061" s="181" t="s">
        <v>276</v>
      </c>
      <c r="AN1061" s="181" t="s">
        <v>276</v>
      </c>
      <c r="AO1061" s="201">
        <f t="shared" si="152"/>
        <v>0.28374160597748982</v>
      </c>
      <c r="AP1061" s="181" t="s">
        <v>276</v>
      </c>
      <c r="AQ1061" s="181" t="s">
        <v>276</v>
      </c>
      <c r="AR1061" s="175" t="s">
        <v>268</v>
      </c>
      <c r="AS1061" s="181" t="s">
        <v>276</v>
      </c>
      <c r="AT1061" s="181">
        <f t="shared" si="153"/>
        <v>1.373741310985513</v>
      </c>
      <c r="AU1061" s="181" t="s">
        <v>276</v>
      </c>
      <c r="AV1061" s="181" t="s">
        <v>276</v>
      </c>
      <c r="AW1061" s="181" t="s">
        <v>276</v>
      </c>
      <c r="AX1061" s="175" t="s">
        <v>282</v>
      </c>
      <c r="AY1061" s="175" t="s">
        <v>98</v>
      </c>
      <c r="AZ1061" s="175" t="s">
        <v>98</v>
      </c>
      <c r="BA1061" s="175" t="s">
        <v>98</v>
      </c>
      <c r="BB1061" s="175" t="s">
        <v>98</v>
      </c>
      <c r="BC1061" s="176" t="s">
        <v>426</v>
      </c>
      <c r="BD1061" s="176"/>
      <c r="BE1061" s="33" t="s">
        <v>100</v>
      </c>
      <c r="BF1061" s="33" t="s">
        <v>98</v>
      </c>
    </row>
    <row r="1062" spans="1:58" s="202" customFormat="1" ht="52" x14ac:dyDescent="0.3">
      <c r="A1062" s="175">
        <v>4097</v>
      </c>
      <c r="B1062" s="175" t="s">
        <v>9306</v>
      </c>
      <c r="C1062" s="176" t="s">
        <v>9266</v>
      </c>
      <c r="D1062" s="176" t="s">
        <v>9373</v>
      </c>
      <c r="E1062" s="175" t="s">
        <v>35</v>
      </c>
      <c r="F1062" s="175" t="s">
        <v>97</v>
      </c>
      <c r="G1062" s="175" t="s">
        <v>225</v>
      </c>
      <c r="H1062" s="175" t="s">
        <v>125</v>
      </c>
      <c r="I1062" s="175" t="s">
        <v>114</v>
      </c>
      <c r="J1062" s="176" t="s">
        <v>24</v>
      </c>
      <c r="K1062" s="176" t="s">
        <v>9307</v>
      </c>
      <c r="L1062" s="176" t="s">
        <v>276</v>
      </c>
      <c r="M1062" s="175" t="s">
        <v>15</v>
      </c>
      <c r="N1062" s="198" t="s">
        <v>3032</v>
      </c>
      <c r="O1062" s="199" t="s">
        <v>207</v>
      </c>
      <c r="P1062" s="200" t="s">
        <v>98</v>
      </c>
      <c r="Q1062" s="176" t="s">
        <v>728</v>
      </c>
      <c r="R1062" s="179" t="s">
        <v>9526</v>
      </c>
      <c r="S1062" s="179" t="s">
        <v>9527</v>
      </c>
      <c r="T1062" s="178" t="s">
        <v>276</v>
      </c>
      <c r="U1062" s="180">
        <v>10262</v>
      </c>
      <c r="V1062" s="179">
        <v>10573</v>
      </c>
      <c r="W1062" s="175" t="s">
        <v>276</v>
      </c>
      <c r="X1062" s="175" t="s">
        <v>276</v>
      </c>
      <c r="Y1062" s="175" t="s">
        <v>276</v>
      </c>
      <c r="Z1062" s="176" t="s">
        <v>1562</v>
      </c>
      <c r="AA1062" s="175" t="s">
        <v>276</v>
      </c>
      <c r="AB1062" s="176" t="s">
        <v>1562</v>
      </c>
      <c r="AC1062" s="176" t="s">
        <v>9376</v>
      </c>
      <c r="AD1062" s="176" t="s">
        <v>9269</v>
      </c>
      <c r="AE1062" s="175">
        <f>2+0+2+1</f>
        <v>5</v>
      </c>
      <c r="AF1062" s="175">
        <f>1+2+0+2</f>
        <v>5</v>
      </c>
      <c r="AG1062" s="180">
        <v>10262</v>
      </c>
      <c r="AH1062" s="179">
        <v>10573</v>
      </c>
      <c r="AI1062" s="179" t="s">
        <v>281</v>
      </c>
      <c r="AJ1062" s="181" t="s">
        <v>276</v>
      </c>
      <c r="AK1062" s="201">
        <f t="shared" si="151"/>
        <v>0.48723445722081465</v>
      </c>
      <c r="AL1062" s="181" t="s">
        <v>276</v>
      </c>
      <c r="AM1062" s="181" t="s">
        <v>276</v>
      </c>
      <c r="AN1062" s="181" t="s">
        <v>276</v>
      </c>
      <c r="AO1062" s="201">
        <f t="shared" si="152"/>
        <v>0.4729026766291497</v>
      </c>
      <c r="AP1062" s="181" t="s">
        <v>276</v>
      </c>
      <c r="AQ1062" s="181" t="s">
        <v>276</v>
      </c>
      <c r="AR1062" s="175" t="s">
        <v>268</v>
      </c>
      <c r="AS1062" s="181" t="s">
        <v>276</v>
      </c>
      <c r="AT1062" s="181">
        <f t="shared" si="153"/>
        <v>1.0303059832391348</v>
      </c>
      <c r="AU1062" s="181" t="s">
        <v>276</v>
      </c>
      <c r="AV1062" s="181" t="s">
        <v>276</v>
      </c>
      <c r="AW1062" s="181" t="s">
        <v>276</v>
      </c>
      <c r="AX1062" s="175" t="s">
        <v>282</v>
      </c>
      <c r="AY1062" s="175" t="s">
        <v>98</v>
      </c>
      <c r="AZ1062" s="175" t="s">
        <v>98</v>
      </c>
      <c r="BA1062" s="175" t="s">
        <v>98</v>
      </c>
      <c r="BB1062" s="175" t="s">
        <v>98</v>
      </c>
      <c r="BC1062" s="176" t="s">
        <v>426</v>
      </c>
      <c r="BD1062" s="176"/>
      <c r="BE1062" s="33" t="s">
        <v>100</v>
      </c>
      <c r="BF1062" s="33" t="s">
        <v>98</v>
      </c>
    </row>
    <row r="1063" spans="1:58" s="202" customFormat="1" ht="52" x14ac:dyDescent="0.3">
      <c r="A1063" s="175">
        <v>4097</v>
      </c>
      <c r="B1063" s="175" t="s">
        <v>9306</v>
      </c>
      <c r="C1063" s="176" t="s">
        <v>9266</v>
      </c>
      <c r="D1063" s="176" t="s">
        <v>9377</v>
      </c>
      <c r="E1063" s="175" t="s">
        <v>35</v>
      </c>
      <c r="F1063" s="175" t="s">
        <v>97</v>
      </c>
      <c r="G1063" s="175" t="s">
        <v>225</v>
      </c>
      <c r="H1063" s="175" t="s">
        <v>125</v>
      </c>
      <c r="I1063" s="175" t="s">
        <v>114</v>
      </c>
      <c r="J1063" s="176" t="s">
        <v>24</v>
      </c>
      <c r="K1063" s="176" t="s">
        <v>9307</v>
      </c>
      <c r="L1063" s="176" t="s">
        <v>276</v>
      </c>
      <c r="M1063" s="175" t="s">
        <v>15</v>
      </c>
      <c r="N1063" s="198" t="s">
        <v>3032</v>
      </c>
      <c r="O1063" s="199" t="s">
        <v>207</v>
      </c>
      <c r="P1063" s="200" t="s">
        <v>98</v>
      </c>
      <c r="Q1063" s="176" t="s">
        <v>733</v>
      </c>
      <c r="R1063" s="179" t="s">
        <v>9528</v>
      </c>
      <c r="S1063" s="179" t="s">
        <v>9529</v>
      </c>
      <c r="T1063" s="178" t="s">
        <v>276</v>
      </c>
      <c r="U1063" s="180">
        <v>10262</v>
      </c>
      <c r="V1063" s="179">
        <v>10573</v>
      </c>
      <c r="W1063" s="175" t="s">
        <v>276</v>
      </c>
      <c r="X1063" s="175" t="s">
        <v>276</v>
      </c>
      <c r="Y1063" s="175" t="s">
        <v>276</v>
      </c>
      <c r="Z1063" s="176" t="s">
        <v>1562</v>
      </c>
      <c r="AA1063" s="175" t="s">
        <v>276</v>
      </c>
      <c r="AB1063" s="176" t="s">
        <v>1562</v>
      </c>
      <c r="AC1063" s="176" t="s">
        <v>9380</v>
      </c>
      <c r="AD1063" s="176" t="s">
        <v>9269</v>
      </c>
      <c r="AE1063" s="175">
        <f>2+0+2+1+3</f>
        <v>8</v>
      </c>
      <c r="AF1063" s="175">
        <f>1+2+0+2+4</f>
        <v>9</v>
      </c>
      <c r="AG1063" s="180">
        <v>10262</v>
      </c>
      <c r="AH1063" s="179">
        <v>10573</v>
      </c>
      <c r="AI1063" s="179" t="s">
        <v>281</v>
      </c>
      <c r="AJ1063" s="181" t="s">
        <v>276</v>
      </c>
      <c r="AK1063" s="201">
        <f t="shared" si="151"/>
        <v>0.77957513155330349</v>
      </c>
      <c r="AL1063" s="181" t="s">
        <v>276</v>
      </c>
      <c r="AM1063" s="181" t="s">
        <v>276</v>
      </c>
      <c r="AN1063" s="181" t="s">
        <v>276</v>
      </c>
      <c r="AO1063" s="201">
        <f t="shared" si="152"/>
        <v>0.85122481793246951</v>
      </c>
      <c r="AP1063" s="181" t="s">
        <v>276</v>
      </c>
      <c r="AQ1063" s="181" t="s">
        <v>276</v>
      </c>
      <c r="AR1063" s="175" t="s">
        <v>268</v>
      </c>
      <c r="AS1063" s="181" t="s">
        <v>276</v>
      </c>
      <c r="AT1063" s="181">
        <f t="shared" si="153"/>
        <v>0.91582754065700867</v>
      </c>
      <c r="AU1063" s="181" t="s">
        <v>276</v>
      </c>
      <c r="AV1063" s="181" t="s">
        <v>276</v>
      </c>
      <c r="AW1063" s="181" t="s">
        <v>276</v>
      </c>
      <c r="AX1063" s="175" t="s">
        <v>282</v>
      </c>
      <c r="AY1063" s="175" t="s">
        <v>98</v>
      </c>
      <c r="AZ1063" s="175" t="s">
        <v>98</v>
      </c>
      <c r="BA1063" s="175" t="s">
        <v>98</v>
      </c>
      <c r="BB1063" s="175" t="s">
        <v>98</v>
      </c>
      <c r="BC1063" s="176" t="s">
        <v>426</v>
      </c>
      <c r="BD1063" s="176"/>
      <c r="BE1063" s="33" t="s">
        <v>100</v>
      </c>
      <c r="BF1063" s="33" t="s">
        <v>98</v>
      </c>
    </row>
    <row r="1064" spans="1:58" s="202" customFormat="1" ht="52" x14ac:dyDescent="0.3">
      <c r="A1064" s="175">
        <v>4097</v>
      </c>
      <c r="B1064" s="175" t="s">
        <v>9306</v>
      </c>
      <c r="C1064" s="176" t="s">
        <v>9266</v>
      </c>
      <c r="D1064" s="176" t="s">
        <v>9381</v>
      </c>
      <c r="E1064" s="175" t="s">
        <v>35</v>
      </c>
      <c r="F1064" s="175" t="s">
        <v>97</v>
      </c>
      <c r="G1064" s="175" t="s">
        <v>225</v>
      </c>
      <c r="H1064" s="175" t="s">
        <v>125</v>
      </c>
      <c r="I1064" s="175" t="s">
        <v>114</v>
      </c>
      <c r="J1064" s="176" t="s">
        <v>24</v>
      </c>
      <c r="K1064" s="176" t="s">
        <v>9307</v>
      </c>
      <c r="L1064" s="176" t="s">
        <v>276</v>
      </c>
      <c r="M1064" s="175" t="s">
        <v>15</v>
      </c>
      <c r="N1064" s="198" t="s">
        <v>3032</v>
      </c>
      <c r="O1064" s="199" t="s">
        <v>207</v>
      </c>
      <c r="P1064" s="200" t="s">
        <v>98</v>
      </c>
      <c r="Q1064" s="176" t="s">
        <v>741</v>
      </c>
      <c r="R1064" s="179" t="s">
        <v>9530</v>
      </c>
      <c r="S1064" s="179" t="s">
        <v>9531</v>
      </c>
      <c r="T1064" s="178" t="s">
        <v>276</v>
      </c>
      <c r="U1064" s="180">
        <v>10262</v>
      </c>
      <c r="V1064" s="179">
        <v>10573</v>
      </c>
      <c r="W1064" s="175" t="s">
        <v>276</v>
      </c>
      <c r="X1064" s="175" t="s">
        <v>276</v>
      </c>
      <c r="Y1064" s="175" t="s">
        <v>276</v>
      </c>
      <c r="Z1064" s="176" t="s">
        <v>1562</v>
      </c>
      <c r="AA1064" s="175" t="s">
        <v>276</v>
      </c>
      <c r="AB1064" s="176" t="s">
        <v>1562</v>
      </c>
      <c r="AC1064" s="176" t="s">
        <v>9384</v>
      </c>
      <c r="AD1064" s="176" t="s">
        <v>9269</v>
      </c>
      <c r="AE1064" s="175">
        <f>2+0+2+1+3+4</f>
        <v>12</v>
      </c>
      <c r="AF1064" s="175">
        <f>1+2+0+2+4+4</f>
        <v>13</v>
      </c>
      <c r="AG1064" s="180">
        <v>10262</v>
      </c>
      <c r="AH1064" s="179">
        <v>10573</v>
      </c>
      <c r="AI1064" s="179" t="s">
        <v>281</v>
      </c>
      <c r="AJ1064" s="181" t="s">
        <v>276</v>
      </c>
      <c r="AK1064" s="201">
        <f t="shared" si="151"/>
        <v>1.1693626973299551</v>
      </c>
      <c r="AL1064" s="181" t="s">
        <v>276</v>
      </c>
      <c r="AM1064" s="181" t="s">
        <v>276</v>
      </c>
      <c r="AN1064" s="181" t="s">
        <v>276</v>
      </c>
      <c r="AO1064" s="201">
        <f t="shared" si="152"/>
        <v>1.2295469592357893</v>
      </c>
      <c r="AP1064" s="181" t="s">
        <v>276</v>
      </c>
      <c r="AQ1064" s="181" t="s">
        <v>276</v>
      </c>
      <c r="AR1064" s="175" t="s">
        <v>268</v>
      </c>
      <c r="AS1064" s="181" t="s">
        <v>276</v>
      </c>
      <c r="AT1064" s="181">
        <f t="shared" si="153"/>
        <v>0.95105167683612424</v>
      </c>
      <c r="AU1064" s="181" t="s">
        <v>276</v>
      </c>
      <c r="AV1064" s="181" t="s">
        <v>276</v>
      </c>
      <c r="AW1064" s="181" t="s">
        <v>276</v>
      </c>
      <c r="AX1064" s="175" t="s">
        <v>282</v>
      </c>
      <c r="AY1064" s="175" t="s">
        <v>98</v>
      </c>
      <c r="AZ1064" s="175" t="s">
        <v>98</v>
      </c>
      <c r="BA1064" s="175" t="s">
        <v>98</v>
      </c>
      <c r="BB1064" s="175" t="s">
        <v>98</v>
      </c>
      <c r="BC1064" s="176" t="s">
        <v>426</v>
      </c>
      <c r="BD1064" s="176"/>
      <c r="BE1064" s="33" t="s">
        <v>100</v>
      </c>
      <c r="BF1064" s="33" t="s">
        <v>98</v>
      </c>
    </row>
    <row r="1065" spans="1:58" s="202" customFormat="1" ht="52" x14ac:dyDescent="0.3">
      <c r="A1065" s="175">
        <v>4097</v>
      </c>
      <c r="B1065" s="175" t="s">
        <v>9306</v>
      </c>
      <c r="C1065" s="176" t="s">
        <v>9266</v>
      </c>
      <c r="D1065" s="176" t="s">
        <v>9385</v>
      </c>
      <c r="E1065" s="175" t="s">
        <v>35</v>
      </c>
      <c r="F1065" s="175" t="s">
        <v>97</v>
      </c>
      <c r="G1065" s="175" t="s">
        <v>225</v>
      </c>
      <c r="H1065" s="175" t="s">
        <v>125</v>
      </c>
      <c r="I1065" s="175" t="s">
        <v>114</v>
      </c>
      <c r="J1065" s="176" t="s">
        <v>24</v>
      </c>
      <c r="K1065" s="176" t="s">
        <v>9307</v>
      </c>
      <c r="L1065" s="176" t="s">
        <v>276</v>
      </c>
      <c r="M1065" s="175" t="s">
        <v>15</v>
      </c>
      <c r="N1065" s="198" t="s">
        <v>3032</v>
      </c>
      <c r="O1065" s="199" t="s">
        <v>207</v>
      </c>
      <c r="P1065" s="200" t="s">
        <v>98</v>
      </c>
      <c r="Q1065" s="176" t="s">
        <v>746</v>
      </c>
      <c r="R1065" s="179" t="s">
        <v>9532</v>
      </c>
      <c r="S1065" s="179" t="s">
        <v>9533</v>
      </c>
      <c r="T1065" s="178" t="s">
        <v>276</v>
      </c>
      <c r="U1065" s="180">
        <v>10262</v>
      </c>
      <c r="V1065" s="179">
        <v>10573</v>
      </c>
      <c r="W1065" s="175" t="s">
        <v>276</v>
      </c>
      <c r="X1065" s="175" t="s">
        <v>276</v>
      </c>
      <c r="Y1065" s="175" t="s">
        <v>276</v>
      </c>
      <c r="Z1065" s="176" t="s">
        <v>1562</v>
      </c>
      <c r="AA1065" s="175" t="s">
        <v>276</v>
      </c>
      <c r="AB1065" s="176" t="s">
        <v>1562</v>
      </c>
      <c r="AC1065" s="176" t="s">
        <v>9388</v>
      </c>
      <c r="AD1065" s="176" t="s">
        <v>9269</v>
      </c>
      <c r="AE1065" s="175">
        <f>2+0+2+1+3+4+3</f>
        <v>15</v>
      </c>
      <c r="AF1065" s="175">
        <f>1+2+0+2+4+4+1</f>
        <v>14</v>
      </c>
      <c r="AG1065" s="180">
        <v>10262</v>
      </c>
      <c r="AH1065" s="179">
        <v>10573</v>
      </c>
      <c r="AI1065" s="179" t="s">
        <v>281</v>
      </c>
      <c r="AJ1065" s="181" t="s">
        <v>276</v>
      </c>
      <c r="AK1065" s="201">
        <f t="shared" si="151"/>
        <v>1.4617033716624439</v>
      </c>
      <c r="AL1065" s="181" t="s">
        <v>276</v>
      </c>
      <c r="AM1065" s="181" t="s">
        <v>276</v>
      </c>
      <c r="AN1065" s="181" t="s">
        <v>276</v>
      </c>
      <c r="AO1065" s="201">
        <f t="shared" si="152"/>
        <v>1.3241274945616193</v>
      </c>
      <c r="AP1065" s="181" t="s">
        <v>276</v>
      </c>
      <c r="AQ1065" s="181" t="s">
        <v>276</v>
      </c>
      <c r="AR1065" s="175" t="s">
        <v>268</v>
      </c>
      <c r="AS1065" s="181" t="s">
        <v>276</v>
      </c>
      <c r="AT1065" s="181">
        <f t="shared" si="153"/>
        <v>1.1038992677562156</v>
      </c>
      <c r="AU1065" s="181" t="s">
        <v>276</v>
      </c>
      <c r="AV1065" s="181" t="s">
        <v>276</v>
      </c>
      <c r="AW1065" s="181" t="s">
        <v>276</v>
      </c>
      <c r="AX1065" s="175" t="s">
        <v>282</v>
      </c>
      <c r="AY1065" s="175" t="s">
        <v>98</v>
      </c>
      <c r="AZ1065" s="175" t="s">
        <v>98</v>
      </c>
      <c r="BA1065" s="175" t="s">
        <v>98</v>
      </c>
      <c r="BB1065" s="175" t="s">
        <v>98</v>
      </c>
      <c r="BC1065" s="176" t="s">
        <v>426</v>
      </c>
      <c r="BD1065" s="176"/>
      <c r="BE1065" s="33" t="s">
        <v>100</v>
      </c>
      <c r="BF1065" s="33" t="s">
        <v>98</v>
      </c>
    </row>
    <row r="1066" spans="1:58" s="202" customFormat="1" ht="52" x14ac:dyDescent="0.3">
      <c r="A1066" s="175">
        <v>4097</v>
      </c>
      <c r="B1066" s="175" t="s">
        <v>9306</v>
      </c>
      <c r="C1066" s="176" t="s">
        <v>9266</v>
      </c>
      <c r="D1066" s="176" t="s">
        <v>9389</v>
      </c>
      <c r="E1066" s="175" t="s">
        <v>35</v>
      </c>
      <c r="F1066" s="175" t="s">
        <v>97</v>
      </c>
      <c r="G1066" s="175" t="s">
        <v>225</v>
      </c>
      <c r="H1066" s="175" t="s">
        <v>125</v>
      </c>
      <c r="I1066" s="175" t="s">
        <v>114</v>
      </c>
      <c r="J1066" s="176" t="s">
        <v>24</v>
      </c>
      <c r="K1066" s="176" t="s">
        <v>9307</v>
      </c>
      <c r="L1066" s="176" t="s">
        <v>276</v>
      </c>
      <c r="M1066" s="175" t="s">
        <v>15</v>
      </c>
      <c r="N1066" s="198" t="s">
        <v>3032</v>
      </c>
      <c r="O1066" s="199" t="s">
        <v>207</v>
      </c>
      <c r="P1066" s="200" t="s">
        <v>98</v>
      </c>
      <c r="Q1066" s="176" t="s">
        <v>766</v>
      </c>
      <c r="R1066" s="179" t="s">
        <v>9534</v>
      </c>
      <c r="S1066" s="179" t="s">
        <v>9535</v>
      </c>
      <c r="T1066" s="178" t="s">
        <v>276</v>
      </c>
      <c r="U1066" s="180">
        <v>10262</v>
      </c>
      <c r="V1066" s="179">
        <v>10573</v>
      </c>
      <c r="W1066" s="175" t="s">
        <v>276</v>
      </c>
      <c r="X1066" s="175" t="s">
        <v>276</v>
      </c>
      <c r="Y1066" s="175" t="s">
        <v>276</v>
      </c>
      <c r="Z1066" s="176" t="s">
        <v>1562</v>
      </c>
      <c r="AA1066" s="175" t="s">
        <v>276</v>
      </c>
      <c r="AB1066" s="176" t="s">
        <v>1562</v>
      </c>
      <c r="AC1066" s="176" t="s">
        <v>9392</v>
      </c>
      <c r="AD1066" s="176" t="s">
        <v>9269</v>
      </c>
      <c r="AE1066" s="175">
        <f>2+0+2+1+3+4+3</f>
        <v>15</v>
      </c>
      <c r="AF1066" s="175">
        <f>1+2+0+2+4+4+1+1</f>
        <v>15</v>
      </c>
      <c r="AG1066" s="180">
        <v>10262</v>
      </c>
      <c r="AH1066" s="179">
        <v>10573</v>
      </c>
      <c r="AI1066" s="179" t="s">
        <v>281</v>
      </c>
      <c r="AJ1066" s="195">
        <v>1.6</v>
      </c>
      <c r="AK1066" s="201">
        <f>AE1066*1000/AG1066</f>
        <v>1.4617033716624439</v>
      </c>
      <c r="AL1066" s="181" t="s">
        <v>276</v>
      </c>
      <c r="AM1066" s="181" t="s">
        <v>276</v>
      </c>
      <c r="AN1066" s="195">
        <v>1.6</v>
      </c>
      <c r="AO1066" s="201">
        <f t="shared" si="152"/>
        <v>1.4187080298874493</v>
      </c>
      <c r="AP1066" s="181" t="s">
        <v>276</v>
      </c>
      <c r="AQ1066" s="181" t="s">
        <v>276</v>
      </c>
      <c r="AR1066" s="175" t="s">
        <v>268</v>
      </c>
      <c r="AS1066" s="181" t="s">
        <v>276</v>
      </c>
      <c r="AT1066" s="181">
        <f t="shared" si="153"/>
        <v>1.0303059832391346</v>
      </c>
      <c r="AU1066" s="181" t="s">
        <v>276</v>
      </c>
      <c r="AV1066" s="181" t="s">
        <v>276</v>
      </c>
      <c r="AW1066" s="181" t="s">
        <v>276</v>
      </c>
      <c r="AX1066" s="175" t="s">
        <v>282</v>
      </c>
      <c r="AY1066" s="175" t="s">
        <v>98</v>
      </c>
      <c r="AZ1066" s="175" t="s">
        <v>98</v>
      </c>
      <c r="BA1066" s="175" t="s">
        <v>98</v>
      </c>
      <c r="BB1066" s="175" t="s">
        <v>98</v>
      </c>
      <c r="BC1066" s="176" t="s">
        <v>426</v>
      </c>
      <c r="BD1066" s="346" t="s">
        <v>11547</v>
      </c>
      <c r="BE1066" s="33" t="s">
        <v>100</v>
      </c>
      <c r="BF1066" s="33" t="s">
        <v>98</v>
      </c>
    </row>
    <row r="1067" spans="1:58" s="339" customFormat="1" ht="52" x14ac:dyDescent="0.3">
      <c r="A1067" s="184">
        <v>4097</v>
      </c>
      <c r="B1067" s="184" t="s">
        <v>9306</v>
      </c>
      <c r="C1067" s="185" t="s">
        <v>9266</v>
      </c>
      <c r="D1067" s="185" t="s">
        <v>9393</v>
      </c>
      <c r="E1067" s="184" t="s">
        <v>35</v>
      </c>
      <c r="F1067" s="184" t="s">
        <v>97</v>
      </c>
      <c r="G1067" s="184" t="s">
        <v>225</v>
      </c>
      <c r="H1067" s="184" t="s">
        <v>125</v>
      </c>
      <c r="I1067" s="184" t="s">
        <v>114</v>
      </c>
      <c r="J1067" s="185" t="s">
        <v>24</v>
      </c>
      <c r="K1067" s="185" t="s">
        <v>9307</v>
      </c>
      <c r="L1067" s="185" t="s">
        <v>276</v>
      </c>
      <c r="M1067" s="184" t="s">
        <v>15</v>
      </c>
      <c r="N1067" s="336" t="s">
        <v>3038</v>
      </c>
      <c r="O1067" s="337" t="s">
        <v>207</v>
      </c>
      <c r="P1067" s="322" t="s">
        <v>98</v>
      </c>
      <c r="Q1067" s="185" t="s">
        <v>705</v>
      </c>
      <c r="R1067" s="185" t="s">
        <v>9536</v>
      </c>
      <c r="S1067" s="185" t="s">
        <v>9537</v>
      </c>
      <c r="T1067" s="187" t="s">
        <v>276</v>
      </c>
      <c r="U1067" s="189">
        <v>11757</v>
      </c>
      <c r="V1067" s="188">
        <v>11248</v>
      </c>
      <c r="W1067" s="184" t="s">
        <v>276</v>
      </c>
      <c r="X1067" s="184" t="s">
        <v>276</v>
      </c>
      <c r="Y1067" s="184" t="s">
        <v>276</v>
      </c>
      <c r="Z1067" s="185" t="s">
        <v>1562</v>
      </c>
      <c r="AA1067" s="184" t="s">
        <v>276</v>
      </c>
      <c r="AB1067" s="185" t="s">
        <v>1562</v>
      </c>
      <c r="AC1067" s="185" t="s">
        <v>9396</v>
      </c>
      <c r="AD1067" s="185" t="s">
        <v>9337</v>
      </c>
      <c r="AE1067" s="184">
        <v>0</v>
      </c>
      <c r="AF1067" s="184">
        <v>2</v>
      </c>
      <c r="AG1067" s="189">
        <v>11757</v>
      </c>
      <c r="AH1067" s="188">
        <v>11248</v>
      </c>
      <c r="AI1067" s="188" t="s">
        <v>281</v>
      </c>
      <c r="AJ1067" s="192" t="s">
        <v>276</v>
      </c>
      <c r="AK1067" s="338">
        <f t="shared" si="151"/>
        <v>0</v>
      </c>
      <c r="AL1067" s="192" t="s">
        <v>276</v>
      </c>
      <c r="AM1067" s="192" t="s">
        <v>276</v>
      </c>
      <c r="AN1067" s="192" t="s">
        <v>276</v>
      </c>
      <c r="AO1067" s="338">
        <f t="shared" si="152"/>
        <v>0.17780938833570412</v>
      </c>
      <c r="AP1067" s="192" t="s">
        <v>276</v>
      </c>
      <c r="AQ1067" s="192" t="s">
        <v>276</v>
      </c>
      <c r="AR1067" s="184" t="s">
        <v>268</v>
      </c>
      <c r="AS1067" s="192" t="s">
        <v>276</v>
      </c>
      <c r="AT1067" s="192" t="s">
        <v>98</v>
      </c>
      <c r="AU1067" s="192" t="s">
        <v>276</v>
      </c>
      <c r="AV1067" s="192" t="s">
        <v>276</v>
      </c>
      <c r="AW1067" s="192" t="s">
        <v>276</v>
      </c>
      <c r="AX1067" s="184" t="s">
        <v>282</v>
      </c>
      <c r="AY1067" s="184" t="s">
        <v>98</v>
      </c>
      <c r="AZ1067" s="184" t="s">
        <v>98</v>
      </c>
      <c r="BA1067" s="184" t="s">
        <v>98</v>
      </c>
      <c r="BB1067" s="184" t="s">
        <v>98</v>
      </c>
      <c r="BC1067" s="185" t="s">
        <v>426</v>
      </c>
      <c r="BD1067" s="185"/>
      <c r="BE1067" s="33" t="s">
        <v>100</v>
      </c>
      <c r="BF1067" s="33" t="s">
        <v>98</v>
      </c>
    </row>
    <row r="1068" spans="1:58" s="339" customFormat="1" ht="52" x14ac:dyDescent="0.3">
      <c r="A1068" s="184">
        <v>4097</v>
      </c>
      <c r="B1068" s="184" t="s">
        <v>9306</v>
      </c>
      <c r="C1068" s="185" t="s">
        <v>9266</v>
      </c>
      <c r="D1068" s="185" t="s">
        <v>9397</v>
      </c>
      <c r="E1068" s="184" t="s">
        <v>35</v>
      </c>
      <c r="F1068" s="184" t="s">
        <v>97</v>
      </c>
      <c r="G1068" s="184" t="s">
        <v>225</v>
      </c>
      <c r="H1068" s="184" t="s">
        <v>125</v>
      </c>
      <c r="I1068" s="184" t="s">
        <v>114</v>
      </c>
      <c r="J1068" s="185" t="s">
        <v>24</v>
      </c>
      <c r="K1068" s="185" t="s">
        <v>9307</v>
      </c>
      <c r="L1068" s="185" t="s">
        <v>276</v>
      </c>
      <c r="M1068" s="184" t="s">
        <v>15</v>
      </c>
      <c r="N1068" s="336" t="s">
        <v>3038</v>
      </c>
      <c r="O1068" s="337" t="s">
        <v>207</v>
      </c>
      <c r="P1068" s="322" t="s">
        <v>98</v>
      </c>
      <c r="Q1068" s="185" t="s">
        <v>710</v>
      </c>
      <c r="R1068" s="185" t="s">
        <v>9538</v>
      </c>
      <c r="S1068" s="185" t="s">
        <v>9539</v>
      </c>
      <c r="T1068" s="187" t="s">
        <v>276</v>
      </c>
      <c r="U1068" s="189">
        <v>11757</v>
      </c>
      <c r="V1068" s="188">
        <v>11248</v>
      </c>
      <c r="W1068" s="184" t="s">
        <v>276</v>
      </c>
      <c r="X1068" s="184" t="s">
        <v>276</v>
      </c>
      <c r="Y1068" s="184" t="s">
        <v>276</v>
      </c>
      <c r="Z1068" s="185" t="s">
        <v>1562</v>
      </c>
      <c r="AA1068" s="184" t="s">
        <v>276</v>
      </c>
      <c r="AB1068" s="185" t="s">
        <v>1562</v>
      </c>
      <c r="AC1068" s="185" t="s">
        <v>9400</v>
      </c>
      <c r="AD1068" s="185" t="s">
        <v>9337</v>
      </c>
      <c r="AE1068" s="184">
        <f>0+4</f>
        <v>4</v>
      </c>
      <c r="AF1068" s="184">
        <f>2+0</f>
        <v>2</v>
      </c>
      <c r="AG1068" s="189">
        <v>11757</v>
      </c>
      <c r="AH1068" s="188">
        <v>11248</v>
      </c>
      <c r="AI1068" s="188" t="s">
        <v>281</v>
      </c>
      <c r="AJ1068" s="192" t="s">
        <v>276</v>
      </c>
      <c r="AK1068" s="338">
        <f t="shared" si="151"/>
        <v>0.34022284596410651</v>
      </c>
      <c r="AL1068" s="192" t="s">
        <v>276</v>
      </c>
      <c r="AM1068" s="192" t="s">
        <v>276</v>
      </c>
      <c r="AN1068" s="192" t="s">
        <v>276</v>
      </c>
      <c r="AO1068" s="338">
        <f t="shared" si="152"/>
        <v>0.17780938833570412</v>
      </c>
      <c r="AP1068" s="192" t="s">
        <v>276</v>
      </c>
      <c r="AQ1068" s="192" t="s">
        <v>276</v>
      </c>
      <c r="AR1068" s="184" t="s">
        <v>268</v>
      </c>
      <c r="AS1068" s="192" t="s">
        <v>276</v>
      </c>
      <c r="AT1068" s="192">
        <f t="shared" ref="AT1068:AT1075" si="154">AK1068/AO1068</f>
        <v>1.9134132857021351</v>
      </c>
      <c r="AU1068" s="192" t="s">
        <v>276</v>
      </c>
      <c r="AV1068" s="192" t="s">
        <v>276</v>
      </c>
      <c r="AW1068" s="192" t="s">
        <v>276</v>
      </c>
      <c r="AX1068" s="184" t="s">
        <v>282</v>
      </c>
      <c r="AY1068" s="184" t="s">
        <v>98</v>
      </c>
      <c r="AZ1068" s="184" t="s">
        <v>98</v>
      </c>
      <c r="BA1068" s="184" t="s">
        <v>98</v>
      </c>
      <c r="BB1068" s="184" t="s">
        <v>98</v>
      </c>
      <c r="BC1068" s="185" t="s">
        <v>426</v>
      </c>
      <c r="BD1068" s="185"/>
      <c r="BE1068" s="33" t="s">
        <v>100</v>
      </c>
      <c r="BF1068" s="33" t="s">
        <v>98</v>
      </c>
    </row>
    <row r="1069" spans="1:58" s="339" customFormat="1" ht="52" x14ac:dyDescent="0.3">
      <c r="A1069" s="184">
        <v>4097</v>
      </c>
      <c r="B1069" s="184" t="s">
        <v>9306</v>
      </c>
      <c r="C1069" s="185" t="s">
        <v>9266</v>
      </c>
      <c r="D1069" s="185" t="s">
        <v>9401</v>
      </c>
      <c r="E1069" s="184" t="s">
        <v>35</v>
      </c>
      <c r="F1069" s="184" t="s">
        <v>97</v>
      </c>
      <c r="G1069" s="184" t="s">
        <v>225</v>
      </c>
      <c r="H1069" s="184" t="s">
        <v>125</v>
      </c>
      <c r="I1069" s="184" t="s">
        <v>114</v>
      </c>
      <c r="J1069" s="185" t="s">
        <v>24</v>
      </c>
      <c r="K1069" s="185" t="s">
        <v>9307</v>
      </c>
      <c r="L1069" s="185" t="s">
        <v>276</v>
      </c>
      <c r="M1069" s="184" t="s">
        <v>15</v>
      </c>
      <c r="N1069" s="336" t="s">
        <v>3038</v>
      </c>
      <c r="O1069" s="337" t="s">
        <v>207</v>
      </c>
      <c r="P1069" s="322" t="s">
        <v>98</v>
      </c>
      <c r="Q1069" s="185" t="s">
        <v>686</v>
      </c>
      <c r="R1069" s="185" t="s">
        <v>9540</v>
      </c>
      <c r="S1069" s="185" t="s">
        <v>9541</v>
      </c>
      <c r="T1069" s="187" t="s">
        <v>276</v>
      </c>
      <c r="U1069" s="189">
        <v>11757</v>
      </c>
      <c r="V1069" s="188">
        <v>11248</v>
      </c>
      <c r="W1069" s="184" t="s">
        <v>276</v>
      </c>
      <c r="X1069" s="184" t="s">
        <v>276</v>
      </c>
      <c r="Y1069" s="184" t="s">
        <v>276</v>
      </c>
      <c r="Z1069" s="185" t="s">
        <v>1562</v>
      </c>
      <c r="AA1069" s="184" t="s">
        <v>276</v>
      </c>
      <c r="AB1069" s="185" t="s">
        <v>1562</v>
      </c>
      <c r="AC1069" s="185" t="s">
        <v>9404</v>
      </c>
      <c r="AD1069" s="185" t="s">
        <v>9337</v>
      </c>
      <c r="AE1069" s="184">
        <f>0+4+2</f>
        <v>6</v>
      </c>
      <c r="AF1069" s="184">
        <f>2+0+2</f>
        <v>4</v>
      </c>
      <c r="AG1069" s="189">
        <v>11757</v>
      </c>
      <c r="AH1069" s="188">
        <v>11248</v>
      </c>
      <c r="AI1069" s="188" t="s">
        <v>281</v>
      </c>
      <c r="AJ1069" s="192" t="s">
        <v>276</v>
      </c>
      <c r="AK1069" s="338">
        <f t="shared" si="151"/>
        <v>0.51033426894615974</v>
      </c>
      <c r="AL1069" s="192" t="s">
        <v>276</v>
      </c>
      <c r="AM1069" s="192" t="s">
        <v>276</v>
      </c>
      <c r="AN1069" s="192" t="s">
        <v>276</v>
      </c>
      <c r="AO1069" s="338">
        <f t="shared" si="152"/>
        <v>0.35561877667140823</v>
      </c>
      <c r="AP1069" s="192" t="s">
        <v>276</v>
      </c>
      <c r="AQ1069" s="192" t="s">
        <v>276</v>
      </c>
      <c r="AR1069" s="184" t="s">
        <v>268</v>
      </c>
      <c r="AS1069" s="192" t="s">
        <v>276</v>
      </c>
      <c r="AT1069" s="192">
        <f t="shared" si="154"/>
        <v>1.4350599642766013</v>
      </c>
      <c r="AU1069" s="192" t="s">
        <v>276</v>
      </c>
      <c r="AV1069" s="192" t="s">
        <v>276</v>
      </c>
      <c r="AW1069" s="192" t="s">
        <v>276</v>
      </c>
      <c r="AX1069" s="184" t="s">
        <v>282</v>
      </c>
      <c r="AY1069" s="184" t="s">
        <v>98</v>
      </c>
      <c r="AZ1069" s="184" t="s">
        <v>98</v>
      </c>
      <c r="BA1069" s="184" t="s">
        <v>98</v>
      </c>
      <c r="BB1069" s="184" t="s">
        <v>98</v>
      </c>
      <c r="BC1069" s="185" t="s">
        <v>426</v>
      </c>
      <c r="BD1069" s="185"/>
      <c r="BE1069" s="33" t="s">
        <v>100</v>
      </c>
      <c r="BF1069" s="33" t="s">
        <v>98</v>
      </c>
    </row>
    <row r="1070" spans="1:58" s="339" customFormat="1" ht="52" x14ac:dyDescent="0.3">
      <c r="A1070" s="184">
        <v>4097</v>
      </c>
      <c r="B1070" s="184" t="s">
        <v>9306</v>
      </c>
      <c r="C1070" s="185" t="s">
        <v>9266</v>
      </c>
      <c r="D1070" s="185" t="s">
        <v>9405</v>
      </c>
      <c r="E1070" s="184" t="s">
        <v>35</v>
      </c>
      <c r="F1070" s="184" t="s">
        <v>97</v>
      </c>
      <c r="G1070" s="184" t="s">
        <v>225</v>
      </c>
      <c r="H1070" s="184" t="s">
        <v>125</v>
      </c>
      <c r="I1070" s="184" t="s">
        <v>114</v>
      </c>
      <c r="J1070" s="185" t="s">
        <v>24</v>
      </c>
      <c r="K1070" s="185" t="s">
        <v>9307</v>
      </c>
      <c r="L1070" s="185" t="s">
        <v>276</v>
      </c>
      <c r="M1070" s="184" t="s">
        <v>15</v>
      </c>
      <c r="N1070" s="336" t="s">
        <v>3038</v>
      </c>
      <c r="O1070" s="337" t="s">
        <v>207</v>
      </c>
      <c r="P1070" s="322" t="s">
        <v>98</v>
      </c>
      <c r="Q1070" s="185" t="s">
        <v>721</v>
      </c>
      <c r="R1070" s="185" t="s">
        <v>9542</v>
      </c>
      <c r="S1070" s="185" t="s">
        <v>9543</v>
      </c>
      <c r="T1070" s="187" t="s">
        <v>276</v>
      </c>
      <c r="U1070" s="189">
        <v>11757</v>
      </c>
      <c r="V1070" s="188">
        <v>11248</v>
      </c>
      <c r="W1070" s="184" t="s">
        <v>276</v>
      </c>
      <c r="X1070" s="184" t="s">
        <v>276</v>
      </c>
      <c r="Y1070" s="184" t="s">
        <v>276</v>
      </c>
      <c r="Z1070" s="185" t="s">
        <v>1562</v>
      </c>
      <c r="AA1070" s="184" t="s">
        <v>276</v>
      </c>
      <c r="AB1070" s="185" t="s">
        <v>1562</v>
      </c>
      <c r="AC1070" s="185" t="s">
        <v>9408</v>
      </c>
      <c r="AD1070" s="185" t="s">
        <v>9337</v>
      </c>
      <c r="AE1070" s="184">
        <f>0+4+2+2</f>
        <v>8</v>
      </c>
      <c r="AF1070" s="184">
        <f>2+0+2+2</f>
        <v>6</v>
      </c>
      <c r="AG1070" s="189">
        <v>11757</v>
      </c>
      <c r="AH1070" s="188">
        <v>11248</v>
      </c>
      <c r="AI1070" s="188" t="s">
        <v>281</v>
      </c>
      <c r="AJ1070" s="192" t="s">
        <v>276</v>
      </c>
      <c r="AK1070" s="338">
        <f t="shared" si="151"/>
        <v>0.68044569192821303</v>
      </c>
      <c r="AL1070" s="192" t="s">
        <v>276</v>
      </c>
      <c r="AM1070" s="192" t="s">
        <v>276</v>
      </c>
      <c r="AN1070" s="192" t="s">
        <v>276</v>
      </c>
      <c r="AO1070" s="338">
        <f t="shared" si="152"/>
        <v>0.53342816500711232</v>
      </c>
      <c r="AP1070" s="192" t="s">
        <v>276</v>
      </c>
      <c r="AQ1070" s="192" t="s">
        <v>276</v>
      </c>
      <c r="AR1070" s="184" t="s">
        <v>268</v>
      </c>
      <c r="AS1070" s="192" t="s">
        <v>276</v>
      </c>
      <c r="AT1070" s="192">
        <f t="shared" si="154"/>
        <v>1.2756088571347568</v>
      </c>
      <c r="AU1070" s="192" t="s">
        <v>276</v>
      </c>
      <c r="AV1070" s="192" t="s">
        <v>276</v>
      </c>
      <c r="AW1070" s="192" t="s">
        <v>276</v>
      </c>
      <c r="AX1070" s="184" t="s">
        <v>282</v>
      </c>
      <c r="AY1070" s="184" t="s">
        <v>98</v>
      </c>
      <c r="AZ1070" s="184" t="s">
        <v>98</v>
      </c>
      <c r="BA1070" s="184" t="s">
        <v>98</v>
      </c>
      <c r="BB1070" s="184" t="s">
        <v>98</v>
      </c>
      <c r="BC1070" s="185" t="s">
        <v>426</v>
      </c>
      <c r="BD1070" s="185"/>
      <c r="BE1070" s="33" t="s">
        <v>100</v>
      </c>
      <c r="BF1070" s="33" t="s">
        <v>98</v>
      </c>
    </row>
    <row r="1071" spans="1:58" s="339" customFormat="1" ht="52" x14ac:dyDescent="0.3">
      <c r="A1071" s="184">
        <v>4097</v>
      </c>
      <c r="B1071" s="184" t="s">
        <v>9306</v>
      </c>
      <c r="C1071" s="185" t="s">
        <v>9266</v>
      </c>
      <c r="D1071" s="185" t="s">
        <v>9409</v>
      </c>
      <c r="E1071" s="184" t="s">
        <v>35</v>
      </c>
      <c r="F1071" s="184" t="s">
        <v>97</v>
      </c>
      <c r="G1071" s="184" t="s">
        <v>225</v>
      </c>
      <c r="H1071" s="184" t="s">
        <v>125</v>
      </c>
      <c r="I1071" s="184" t="s">
        <v>114</v>
      </c>
      <c r="J1071" s="185" t="s">
        <v>24</v>
      </c>
      <c r="K1071" s="185" t="s">
        <v>9307</v>
      </c>
      <c r="L1071" s="185" t="s">
        <v>276</v>
      </c>
      <c r="M1071" s="184" t="s">
        <v>15</v>
      </c>
      <c r="N1071" s="336" t="s">
        <v>3038</v>
      </c>
      <c r="O1071" s="337" t="s">
        <v>207</v>
      </c>
      <c r="P1071" s="322" t="s">
        <v>98</v>
      </c>
      <c r="Q1071" s="185" t="s">
        <v>728</v>
      </c>
      <c r="R1071" s="185" t="s">
        <v>9544</v>
      </c>
      <c r="S1071" s="185" t="s">
        <v>9545</v>
      </c>
      <c r="T1071" s="187" t="s">
        <v>276</v>
      </c>
      <c r="U1071" s="189">
        <v>11757</v>
      </c>
      <c r="V1071" s="188">
        <v>11248</v>
      </c>
      <c r="W1071" s="184" t="s">
        <v>276</v>
      </c>
      <c r="X1071" s="184" t="s">
        <v>276</v>
      </c>
      <c r="Y1071" s="184" t="s">
        <v>276</v>
      </c>
      <c r="Z1071" s="185" t="s">
        <v>1562</v>
      </c>
      <c r="AA1071" s="184" t="s">
        <v>276</v>
      </c>
      <c r="AB1071" s="185" t="s">
        <v>1562</v>
      </c>
      <c r="AC1071" s="185" t="s">
        <v>9412</v>
      </c>
      <c r="AD1071" s="185" t="s">
        <v>9337</v>
      </c>
      <c r="AE1071" s="184">
        <f>0+4+2+2+2</f>
        <v>10</v>
      </c>
      <c r="AF1071" s="184">
        <f>2+0+2+2+5</f>
        <v>11</v>
      </c>
      <c r="AG1071" s="189">
        <v>11757</v>
      </c>
      <c r="AH1071" s="188">
        <v>11248</v>
      </c>
      <c r="AI1071" s="188" t="s">
        <v>281</v>
      </c>
      <c r="AJ1071" s="192" t="s">
        <v>276</v>
      </c>
      <c r="AK1071" s="338">
        <f t="shared" si="151"/>
        <v>0.8505571149102662</v>
      </c>
      <c r="AL1071" s="192" t="s">
        <v>276</v>
      </c>
      <c r="AM1071" s="192" t="s">
        <v>276</v>
      </c>
      <c r="AN1071" s="192" t="s">
        <v>276</v>
      </c>
      <c r="AO1071" s="338">
        <f t="shared" si="152"/>
        <v>0.97795163584637268</v>
      </c>
      <c r="AP1071" s="192" t="s">
        <v>276</v>
      </c>
      <c r="AQ1071" s="192" t="s">
        <v>276</v>
      </c>
      <c r="AR1071" s="184" t="s">
        <v>268</v>
      </c>
      <c r="AS1071" s="192" t="s">
        <v>276</v>
      </c>
      <c r="AT1071" s="192">
        <f t="shared" si="154"/>
        <v>0.86973331168278856</v>
      </c>
      <c r="AU1071" s="192" t="s">
        <v>276</v>
      </c>
      <c r="AV1071" s="192" t="s">
        <v>276</v>
      </c>
      <c r="AW1071" s="192" t="s">
        <v>276</v>
      </c>
      <c r="AX1071" s="184" t="s">
        <v>282</v>
      </c>
      <c r="AY1071" s="184" t="s">
        <v>98</v>
      </c>
      <c r="AZ1071" s="184" t="s">
        <v>98</v>
      </c>
      <c r="BA1071" s="184" t="s">
        <v>98</v>
      </c>
      <c r="BB1071" s="184" t="s">
        <v>98</v>
      </c>
      <c r="BC1071" s="185" t="s">
        <v>426</v>
      </c>
      <c r="BD1071" s="185"/>
      <c r="BE1071" s="33" t="s">
        <v>100</v>
      </c>
      <c r="BF1071" s="33" t="s">
        <v>98</v>
      </c>
    </row>
    <row r="1072" spans="1:58" s="339" customFormat="1" ht="52" x14ac:dyDescent="0.3">
      <c r="A1072" s="184">
        <v>4097</v>
      </c>
      <c r="B1072" s="184" t="s">
        <v>9306</v>
      </c>
      <c r="C1072" s="185" t="s">
        <v>9266</v>
      </c>
      <c r="D1072" s="185" t="s">
        <v>9413</v>
      </c>
      <c r="E1072" s="184" t="s">
        <v>35</v>
      </c>
      <c r="F1072" s="184" t="s">
        <v>97</v>
      </c>
      <c r="G1072" s="184" t="s">
        <v>225</v>
      </c>
      <c r="H1072" s="184" t="s">
        <v>125</v>
      </c>
      <c r="I1072" s="184" t="s">
        <v>114</v>
      </c>
      <c r="J1072" s="185" t="s">
        <v>24</v>
      </c>
      <c r="K1072" s="185" t="s">
        <v>9307</v>
      </c>
      <c r="L1072" s="185" t="s">
        <v>276</v>
      </c>
      <c r="M1072" s="184" t="s">
        <v>15</v>
      </c>
      <c r="N1072" s="336" t="s">
        <v>3038</v>
      </c>
      <c r="O1072" s="337" t="s">
        <v>207</v>
      </c>
      <c r="P1072" s="322" t="s">
        <v>98</v>
      </c>
      <c r="Q1072" s="185" t="s">
        <v>733</v>
      </c>
      <c r="R1072" s="185" t="s">
        <v>9546</v>
      </c>
      <c r="S1072" s="185" t="s">
        <v>9547</v>
      </c>
      <c r="T1072" s="187" t="s">
        <v>276</v>
      </c>
      <c r="U1072" s="189">
        <v>11757</v>
      </c>
      <c r="V1072" s="188">
        <v>11248</v>
      </c>
      <c r="W1072" s="184" t="s">
        <v>276</v>
      </c>
      <c r="X1072" s="184" t="s">
        <v>276</v>
      </c>
      <c r="Y1072" s="184" t="s">
        <v>276</v>
      </c>
      <c r="Z1072" s="185" t="s">
        <v>1562</v>
      </c>
      <c r="AA1072" s="184" t="s">
        <v>276</v>
      </c>
      <c r="AB1072" s="185" t="s">
        <v>1562</v>
      </c>
      <c r="AC1072" s="185" t="s">
        <v>9416</v>
      </c>
      <c r="AD1072" s="185" t="s">
        <v>9337</v>
      </c>
      <c r="AE1072" s="184">
        <f>0+4+2+2+2+2</f>
        <v>12</v>
      </c>
      <c r="AF1072" s="184">
        <f>2+0+2+2+5+5</f>
        <v>16</v>
      </c>
      <c r="AG1072" s="189">
        <v>11757</v>
      </c>
      <c r="AH1072" s="188">
        <v>11248</v>
      </c>
      <c r="AI1072" s="188" t="s">
        <v>281</v>
      </c>
      <c r="AJ1072" s="192" t="s">
        <v>276</v>
      </c>
      <c r="AK1072" s="338">
        <f t="shared" si="151"/>
        <v>1.0206685378923195</v>
      </c>
      <c r="AL1072" s="192" t="s">
        <v>276</v>
      </c>
      <c r="AM1072" s="192" t="s">
        <v>276</v>
      </c>
      <c r="AN1072" s="192" t="s">
        <v>276</v>
      </c>
      <c r="AO1072" s="338">
        <f t="shared" si="152"/>
        <v>1.4224751066856329</v>
      </c>
      <c r="AP1072" s="192" t="s">
        <v>276</v>
      </c>
      <c r="AQ1072" s="192" t="s">
        <v>276</v>
      </c>
      <c r="AR1072" s="184" t="s">
        <v>268</v>
      </c>
      <c r="AS1072" s="192" t="s">
        <v>276</v>
      </c>
      <c r="AT1072" s="192">
        <f t="shared" si="154"/>
        <v>0.71752998213830066</v>
      </c>
      <c r="AU1072" s="192" t="s">
        <v>276</v>
      </c>
      <c r="AV1072" s="192" t="s">
        <v>276</v>
      </c>
      <c r="AW1072" s="192" t="s">
        <v>276</v>
      </c>
      <c r="AX1072" s="184" t="s">
        <v>282</v>
      </c>
      <c r="AY1072" s="184" t="s">
        <v>98</v>
      </c>
      <c r="AZ1072" s="184" t="s">
        <v>98</v>
      </c>
      <c r="BA1072" s="184" t="s">
        <v>98</v>
      </c>
      <c r="BB1072" s="184" t="s">
        <v>98</v>
      </c>
      <c r="BC1072" s="185" t="s">
        <v>426</v>
      </c>
      <c r="BD1072" s="185"/>
      <c r="BE1072" s="33" t="s">
        <v>100</v>
      </c>
      <c r="BF1072" s="33" t="s">
        <v>98</v>
      </c>
    </row>
    <row r="1073" spans="1:58" s="339" customFormat="1" ht="52" x14ac:dyDescent="0.3">
      <c r="A1073" s="184">
        <v>4097</v>
      </c>
      <c r="B1073" s="184" t="s">
        <v>9306</v>
      </c>
      <c r="C1073" s="185" t="s">
        <v>9266</v>
      </c>
      <c r="D1073" s="185" t="s">
        <v>9417</v>
      </c>
      <c r="E1073" s="184" t="s">
        <v>35</v>
      </c>
      <c r="F1073" s="184" t="s">
        <v>97</v>
      </c>
      <c r="G1073" s="184" t="s">
        <v>225</v>
      </c>
      <c r="H1073" s="184" t="s">
        <v>125</v>
      </c>
      <c r="I1073" s="184" t="s">
        <v>114</v>
      </c>
      <c r="J1073" s="185" t="s">
        <v>24</v>
      </c>
      <c r="K1073" s="185" t="s">
        <v>9307</v>
      </c>
      <c r="L1073" s="185" t="s">
        <v>276</v>
      </c>
      <c r="M1073" s="184" t="s">
        <v>15</v>
      </c>
      <c r="N1073" s="336" t="s">
        <v>3038</v>
      </c>
      <c r="O1073" s="337" t="s">
        <v>207</v>
      </c>
      <c r="P1073" s="322" t="s">
        <v>98</v>
      </c>
      <c r="Q1073" s="185" t="s">
        <v>741</v>
      </c>
      <c r="R1073" s="185" t="s">
        <v>9548</v>
      </c>
      <c r="S1073" s="185" t="s">
        <v>9549</v>
      </c>
      <c r="T1073" s="187" t="s">
        <v>276</v>
      </c>
      <c r="U1073" s="189">
        <v>11757</v>
      </c>
      <c r="V1073" s="188">
        <v>11248</v>
      </c>
      <c r="W1073" s="184" t="s">
        <v>276</v>
      </c>
      <c r="X1073" s="184" t="s">
        <v>276</v>
      </c>
      <c r="Y1073" s="184" t="s">
        <v>276</v>
      </c>
      <c r="Z1073" s="185" t="s">
        <v>1562</v>
      </c>
      <c r="AA1073" s="184" t="s">
        <v>276</v>
      </c>
      <c r="AB1073" s="185" t="s">
        <v>1562</v>
      </c>
      <c r="AC1073" s="185" t="s">
        <v>9420</v>
      </c>
      <c r="AD1073" s="185" t="s">
        <v>9337</v>
      </c>
      <c r="AE1073" s="184">
        <f>0+4+2+2+2+2+6</f>
        <v>18</v>
      </c>
      <c r="AF1073" s="184">
        <f>2+0+2+2+5+5+9</f>
        <v>25</v>
      </c>
      <c r="AG1073" s="189">
        <v>11757</v>
      </c>
      <c r="AH1073" s="188">
        <v>11248</v>
      </c>
      <c r="AI1073" s="188" t="s">
        <v>281</v>
      </c>
      <c r="AJ1073" s="192" t="s">
        <v>276</v>
      </c>
      <c r="AK1073" s="338">
        <f t="shared" si="151"/>
        <v>1.5310028068384791</v>
      </c>
      <c r="AL1073" s="192" t="s">
        <v>276</v>
      </c>
      <c r="AM1073" s="192" t="s">
        <v>276</v>
      </c>
      <c r="AN1073" s="192" t="s">
        <v>276</v>
      </c>
      <c r="AO1073" s="338">
        <f t="shared" si="152"/>
        <v>2.2226173541963017</v>
      </c>
      <c r="AP1073" s="192" t="s">
        <v>276</v>
      </c>
      <c r="AQ1073" s="192" t="s">
        <v>276</v>
      </c>
      <c r="AR1073" s="184" t="s">
        <v>268</v>
      </c>
      <c r="AS1073" s="192" t="s">
        <v>276</v>
      </c>
      <c r="AT1073" s="192">
        <f t="shared" si="154"/>
        <v>0.6888287828527685</v>
      </c>
      <c r="AU1073" s="192" t="s">
        <v>276</v>
      </c>
      <c r="AV1073" s="192" t="s">
        <v>276</v>
      </c>
      <c r="AW1073" s="192" t="s">
        <v>276</v>
      </c>
      <c r="AX1073" s="184" t="s">
        <v>282</v>
      </c>
      <c r="AY1073" s="184" t="s">
        <v>98</v>
      </c>
      <c r="AZ1073" s="184" t="s">
        <v>98</v>
      </c>
      <c r="BA1073" s="184" t="s">
        <v>98</v>
      </c>
      <c r="BB1073" s="184" t="s">
        <v>98</v>
      </c>
      <c r="BC1073" s="185" t="s">
        <v>426</v>
      </c>
      <c r="BD1073" s="185"/>
      <c r="BE1073" s="33" t="s">
        <v>100</v>
      </c>
      <c r="BF1073" s="33" t="s">
        <v>98</v>
      </c>
    </row>
    <row r="1074" spans="1:58" s="339" customFormat="1" ht="52" x14ac:dyDescent="0.3">
      <c r="A1074" s="184">
        <v>4097</v>
      </c>
      <c r="B1074" s="184" t="s">
        <v>9306</v>
      </c>
      <c r="C1074" s="185" t="s">
        <v>9266</v>
      </c>
      <c r="D1074" s="185" t="s">
        <v>9421</v>
      </c>
      <c r="E1074" s="184" t="s">
        <v>35</v>
      </c>
      <c r="F1074" s="184" t="s">
        <v>97</v>
      </c>
      <c r="G1074" s="184" t="s">
        <v>225</v>
      </c>
      <c r="H1074" s="184" t="s">
        <v>125</v>
      </c>
      <c r="I1074" s="184" t="s">
        <v>114</v>
      </c>
      <c r="J1074" s="185" t="s">
        <v>24</v>
      </c>
      <c r="K1074" s="185" t="s">
        <v>9307</v>
      </c>
      <c r="L1074" s="185" t="s">
        <v>276</v>
      </c>
      <c r="M1074" s="184" t="s">
        <v>15</v>
      </c>
      <c r="N1074" s="336" t="s">
        <v>3038</v>
      </c>
      <c r="O1074" s="337" t="s">
        <v>207</v>
      </c>
      <c r="P1074" s="322" t="s">
        <v>98</v>
      </c>
      <c r="Q1074" s="185" t="s">
        <v>746</v>
      </c>
      <c r="R1074" s="185" t="s">
        <v>9550</v>
      </c>
      <c r="S1074" s="185" t="s">
        <v>9551</v>
      </c>
      <c r="T1074" s="187" t="s">
        <v>276</v>
      </c>
      <c r="U1074" s="189">
        <v>11757</v>
      </c>
      <c r="V1074" s="188">
        <v>11248</v>
      </c>
      <c r="W1074" s="184" t="s">
        <v>276</v>
      </c>
      <c r="X1074" s="184" t="s">
        <v>276</v>
      </c>
      <c r="Y1074" s="184" t="s">
        <v>276</v>
      </c>
      <c r="Z1074" s="185" t="s">
        <v>1562</v>
      </c>
      <c r="AA1074" s="184" t="s">
        <v>276</v>
      </c>
      <c r="AB1074" s="185" t="s">
        <v>1562</v>
      </c>
      <c r="AC1074" s="185" t="s">
        <v>9424</v>
      </c>
      <c r="AD1074" s="185" t="s">
        <v>9337</v>
      </c>
      <c r="AE1074" s="184">
        <f>0+4+2+2+2+2+6+5</f>
        <v>23</v>
      </c>
      <c r="AF1074" s="184">
        <f>2+0+2+2+5+5+9+6</f>
        <v>31</v>
      </c>
      <c r="AG1074" s="189">
        <v>11757</v>
      </c>
      <c r="AH1074" s="188">
        <v>11248</v>
      </c>
      <c r="AI1074" s="188" t="s">
        <v>281</v>
      </c>
      <c r="AJ1074" s="192" t="s">
        <v>276</v>
      </c>
      <c r="AK1074" s="338">
        <f t="shared" si="151"/>
        <v>1.9562813642936123</v>
      </c>
      <c r="AL1074" s="192" t="s">
        <v>276</v>
      </c>
      <c r="AM1074" s="192" t="s">
        <v>276</v>
      </c>
      <c r="AN1074" s="192" t="s">
        <v>276</v>
      </c>
      <c r="AO1074" s="338">
        <f t="shared" si="152"/>
        <v>2.7560455192034139</v>
      </c>
      <c r="AP1074" s="192" t="s">
        <v>276</v>
      </c>
      <c r="AQ1074" s="192" t="s">
        <v>276</v>
      </c>
      <c r="AR1074" s="184" t="s">
        <v>268</v>
      </c>
      <c r="AS1074" s="192" t="s">
        <v>276</v>
      </c>
      <c r="AT1074" s="192">
        <f t="shared" si="154"/>
        <v>0.70981460598627588</v>
      </c>
      <c r="AU1074" s="192" t="s">
        <v>276</v>
      </c>
      <c r="AV1074" s="192" t="s">
        <v>276</v>
      </c>
      <c r="AW1074" s="192" t="s">
        <v>276</v>
      </c>
      <c r="AX1074" s="184" t="s">
        <v>282</v>
      </c>
      <c r="AY1074" s="184" t="s">
        <v>98</v>
      </c>
      <c r="AZ1074" s="184" t="s">
        <v>98</v>
      </c>
      <c r="BA1074" s="184" t="s">
        <v>98</v>
      </c>
      <c r="BB1074" s="184" t="s">
        <v>98</v>
      </c>
      <c r="BC1074" s="185" t="s">
        <v>426</v>
      </c>
      <c r="BD1074" s="185"/>
      <c r="BE1074" s="33" t="s">
        <v>100</v>
      </c>
      <c r="BF1074" s="33" t="s">
        <v>98</v>
      </c>
    </row>
    <row r="1075" spans="1:58" s="339" customFormat="1" ht="52" x14ac:dyDescent="0.3">
      <c r="A1075" s="184">
        <v>4097</v>
      </c>
      <c r="B1075" s="184" t="s">
        <v>9306</v>
      </c>
      <c r="C1075" s="185" t="s">
        <v>9266</v>
      </c>
      <c r="D1075" s="185" t="s">
        <v>9425</v>
      </c>
      <c r="E1075" s="184" t="s">
        <v>35</v>
      </c>
      <c r="F1075" s="184" t="s">
        <v>97</v>
      </c>
      <c r="G1075" s="184" t="s">
        <v>225</v>
      </c>
      <c r="H1075" s="184" t="s">
        <v>125</v>
      </c>
      <c r="I1075" s="184" t="s">
        <v>114</v>
      </c>
      <c r="J1075" s="185" t="s">
        <v>24</v>
      </c>
      <c r="K1075" s="185" t="s">
        <v>9307</v>
      </c>
      <c r="L1075" s="185" t="s">
        <v>276</v>
      </c>
      <c r="M1075" s="184" t="s">
        <v>15</v>
      </c>
      <c r="N1075" s="336" t="s">
        <v>3038</v>
      </c>
      <c r="O1075" s="337" t="s">
        <v>207</v>
      </c>
      <c r="P1075" s="322" t="s">
        <v>98</v>
      </c>
      <c r="Q1075" s="185" t="s">
        <v>766</v>
      </c>
      <c r="R1075" s="185" t="s">
        <v>9552</v>
      </c>
      <c r="S1075" s="185" t="s">
        <v>9553</v>
      </c>
      <c r="T1075" s="187" t="s">
        <v>276</v>
      </c>
      <c r="U1075" s="189">
        <v>11757</v>
      </c>
      <c r="V1075" s="188">
        <v>11248</v>
      </c>
      <c r="W1075" s="184" t="s">
        <v>276</v>
      </c>
      <c r="X1075" s="184" t="s">
        <v>276</v>
      </c>
      <c r="Y1075" s="184" t="s">
        <v>276</v>
      </c>
      <c r="Z1075" s="185" t="s">
        <v>1562</v>
      </c>
      <c r="AA1075" s="184" t="s">
        <v>276</v>
      </c>
      <c r="AB1075" s="185" t="s">
        <v>1562</v>
      </c>
      <c r="AC1075" s="185" t="s">
        <v>9428</v>
      </c>
      <c r="AD1075" s="185" t="s">
        <v>9337</v>
      </c>
      <c r="AE1075" s="184">
        <f>0+4+2+2+2+2+6+5+2</f>
        <v>25</v>
      </c>
      <c r="AF1075" s="184">
        <f>2+0+2+2+5+5+9+6+3</f>
        <v>34</v>
      </c>
      <c r="AG1075" s="189">
        <v>11757</v>
      </c>
      <c r="AH1075" s="188">
        <v>11248</v>
      </c>
      <c r="AI1075" s="188" t="s">
        <v>281</v>
      </c>
      <c r="AJ1075" s="190">
        <v>2.4</v>
      </c>
      <c r="AK1075" s="338">
        <f t="shared" si="151"/>
        <v>2.1263927872756656</v>
      </c>
      <c r="AL1075" s="192" t="s">
        <v>276</v>
      </c>
      <c r="AM1075" s="192" t="s">
        <v>276</v>
      </c>
      <c r="AN1075" s="190">
        <v>3.4</v>
      </c>
      <c r="AO1075" s="338">
        <f t="shared" si="152"/>
        <v>3.0227596017069702</v>
      </c>
      <c r="AP1075" s="192" t="s">
        <v>276</v>
      </c>
      <c r="AQ1075" s="192" t="s">
        <v>276</v>
      </c>
      <c r="AR1075" s="184" t="s">
        <v>268</v>
      </c>
      <c r="AS1075" s="192" t="s">
        <v>276</v>
      </c>
      <c r="AT1075" s="192">
        <f t="shared" si="154"/>
        <v>0.70346076680225544</v>
      </c>
      <c r="AU1075" s="192" t="s">
        <v>276</v>
      </c>
      <c r="AV1075" s="192" t="s">
        <v>276</v>
      </c>
      <c r="AW1075" s="192" t="s">
        <v>276</v>
      </c>
      <c r="AX1075" s="184" t="s">
        <v>282</v>
      </c>
      <c r="AY1075" s="184" t="s">
        <v>98</v>
      </c>
      <c r="AZ1075" s="184" t="s">
        <v>98</v>
      </c>
      <c r="BA1075" s="184" t="s">
        <v>98</v>
      </c>
      <c r="BB1075" s="184" t="s">
        <v>98</v>
      </c>
      <c r="BC1075" s="185" t="s">
        <v>426</v>
      </c>
      <c r="BD1075" s="346" t="s">
        <v>11547</v>
      </c>
      <c r="BE1075" s="33" t="s">
        <v>100</v>
      </c>
      <c r="BF1075" s="33" t="s">
        <v>98</v>
      </c>
    </row>
    <row r="1076" spans="1:58" s="202" customFormat="1" ht="52" x14ac:dyDescent="0.3">
      <c r="A1076" s="175">
        <v>4097</v>
      </c>
      <c r="B1076" s="175" t="s">
        <v>9306</v>
      </c>
      <c r="C1076" s="176" t="s">
        <v>9266</v>
      </c>
      <c r="D1076" s="176" t="s">
        <v>9429</v>
      </c>
      <c r="E1076" s="175" t="s">
        <v>35</v>
      </c>
      <c r="F1076" s="175" t="s">
        <v>97</v>
      </c>
      <c r="G1076" s="175" t="s">
        <v>225</v>
      </c>
      <c r="H1076" s="175" t="s">
        <v>125</v>
      </c>
      <c r="I1076" s="175" t="s">
        <v>114</v>
      </c>
      <c r="J1076" s="176" t="s">
        <v>24</v>
      </c>
      <c r="K1076" s="176" t="s">
        <v>9307</v>
      </c>
      <c r="L1076" s="176" t="s">
        <v>276</v>
      </c>
      <c r="M1076" s="175" t="s">
        <v>15</v>
      </c>
      <c r="N1076" s="198" t="s">
        <v>9342</v>
      </c>
      <c r="O1076" s="199" t="s">
        <v>207</v>
      </c>
      <c r="P1076" s="200" t="s">
        <v>98</v>
      </c>
      <c r="Q1076" s="176" t="s">
        <v>705</v>
      </c>
      <c r="R1076" s="176" t="s">
        <v>9554</v>
      </c>
      <c r="S1076" s="176" t="s">
        <v>9555</v>
      </c>
      <c r="T1076" s="178" t="s">
        <v>276</v>
      </c>
      <c r="U1076" s="180">
        <v>11439</v>
      </c>
      <c r="V1076" s="179">
        <v>10714</v>
      </c>
      <c r="W1076" s="175" t="s">
        <v>276</v>
      </c>
      <c r="X1076" s="175" t="s">
        <v>276</v>
      </c>
      <c r="Y1076" s="175" t="s">
        <v>276</v>
      </c>
      <c r="Z1076" s="176" t="s">
        <v>1562</v>
      </c>
      <c r="AA1076" s="175" t="s">
        <v>276</v>
      </c>
      <c r="AB1076" s="176" t="s">
        <v>1562</v>
      </c>
      <c r="AC1076" s="176" t="s">
        <v>9432</v>
      </c>
      <c r="AD1076" s="176" t="s">
        <v>9346</v>
      </c>
      <c r="AE1076" s="175">
        <v>0</v>
      </c>
      <c r="AF1076" s="175">
        <v>0</v>
      </c>
      <c r="AG1076" s="180">
        <v>11439</v>
      </c>
      <c r="AH1076" s="179">
        <v>10714</v>
      </c>
      <c r="AI1076" s="179" t="s">
        <v>281</v>
      </c>
      <c r="AJ1076" s="181" t="s">
        <v>276</v>
      </c>
      <c r="AK1076" s="201">
        <f t="shared" si="151"/>
        <v>0</v>
      </c>
      <c r="AL1076" s="181" t="s">
        <v>276</v>
      </c>
      <c r="AM1076" s="181" t="s">
        <v>276</v>
      </c>
      <c r="AN1076" s="181" t="s">
        <v>276</v>
      </c>
      <c r="AO1076" s="201">
        <f t="shared" si="152"/>
        <v>0</v>
      </c>
      <c r="AP1076" s="181" t="s">
        <v>276</v>
      </c>
      <c r="AQ1076" s="181" t="s">
        <v>276</v>
      </c>
      <c r="AR1076" s="175" t="s">
        <v>268</v>
      </c>
      <c r="AS1076" s="181" t="s">
        <v>276</v>
      </c>
      <c r="AT1076" s="181" t="s">
        <v>98</v>
      </c>
      <c r="AU1076" s="181" t="s">
        <v>276</v>
      </c>
      <c r="AV1076" s="181" t="s">
        <v>276</v>
      </c>
      <c r="AW1076" s="175" t="s">
        <v>276</v>
      </c>
      <c r="AX1076" s="175" t="s">
        <v>282</v>
      </c>
      <c r="AY1076" s="175" t="s">
        <v>98</v>
      </c>
      <c r="AZ1076" s="175" t="s">
        <v>98</v>
      </c>
      <c r="BA1076" s="175" t="s">
        <v>98</v>
      </c>
      <c r="BB1076" s="175" t="s">
        <v>98</v>
      </c>
      <c r="BC1076" s="176" t="s">
        <v>426</v>
      </c>
      <c r="BD1076" s="176"/>
      <c r="BE1076" s="33" t="s">
        <v>100</v>
      </c>
      <c r="BF1076" s="33" t="s">
        <v>98</v>
      </c>
    </row>
    <row r="1077" spans="1:58" s="202" customFormat="1" ht="52" x14ac:dyDescent="0.3">
      <c r="A1077" s="175">
        <v>4097</v>
      </c>
      <c r="B1077" s="175" t="s">
        <v>9306</v>
      </c>
      <c r="C1077" s="176" t="s">
        <v>9266</v>
      </c>
      <c r="D1077" s="176" t="s">
        <v>9433</v>
      </c>
      <c r="E1077" s="175" t="s">
        <v>35</v>
      </c>
      <c r="F1077" s="175" t="s">
        <v>97</v>
      </c>
      <c r="G1077" s="175" t="s">
        <v>225</v>
      </c>
      <c r="H1077" s="175" t="s">
        <v>125</v>
      </c>
      <c r="I1077" s="175" t="s">
        <v>114</v>
      </c>
      <c r="J1077" s="176" t="s">
        <v>24</v>
      </c>
      <c r="K1077" s="176" t="s">
        <v>9307</v>
      </c>
      <c r="L1077" s="176" t="s">
        <v>276</v>
      </c>
      <c r="M1077" s="175" t="s">
        <v>15</v>
      </c>
      <c r="N1077" s="198" t="s">
        <v>9342</v>
      </c>
      <c r="O1077" s="199" t="s">
        <v>207</v>
      </c>
      <c r="P1077" s="200" t="s">
        <v>98</v>
      </c>
      <c r="Q1077" s="176" t="s">
        <v>710</v>
      </c>
      <c r="R1077" s="176" t="s">
        <v>9556</v>
      </c>
      <c r="S1077" s="176" t="s">
        <v>9557</v>
      </c>
      <c r="T1077" s="178" t="s">
        <v>276</v>
      </c>
      <c r="U1077" s="180">
        <v>11439</v>
      </c>
      <c r="V1077" s="179">
        <v>10714</v>
      </c>
      <c r="W1077" s="175" t="s">
        <v>276</v>
      </c>
      <c r="X1077" s="175" t="s">
        <v>276</v>
      </c>
      <c r="Y1077" s="175" t="s">
        <v>276</v>
      </c>
      <c r="Z1077" s="176" t="s">
        <v>1562</v>
      </c>
      <c r="AA1077" s="175" t="s">
        <v>276</v>
      </c>
      <c r="AB1077" s="176" t="s">
        <v>1562</v>
      </c>
      <c r="AC1077" s="176" t="s">
        <v>9436</v>
      </c>
      <c r="AD1077" s="176" t="s">
        <v>9346</v>
      </c>
      <c r="AE1077" s="175">
        <v>2</v>
      </c>
      <c r="AF1077" s="175">
        <v>4</v>
      </c>
      <c r="AG1077" s="180">
        <v>11439</v>
      </c>
      <c r="AH1077" s="179">
        <v>10714</v>
      </c>
      <c r="AI1077" s="179" t="s">
        <v>281</v>
      </c>
      <c r="AJ1077" s="181" t="s">
        <v>276</v>
      </c>
      <c r="AK1077" s="201">
        <f t="shared" si="151"/>
        <v>0.17484045808200019</v>
      </c>
      <c r="AL1077" s="181" t="s">
        <v>276</v>
      </c>
      <c r="AM1077" s="181" t="s">
        <v>276</v>
      </c>
      <c r="AN1077" s="181" t="s">
        <v>276</v>
      </c>
      <c r="AO1077" s="201">
        <f t="shared" si="152"/>
        <v>0.37334328915437742</v>
      </c>
      <c r="AP1077" s="181" t="s">
        <v>276</v>
      </c>
      <c r="AQ1077" s="181" t="s">
        <v>276</v>
      </c>
      <c r="AR1077" s="175" t="s">
        <v>268</v>
      </c>
      <c r="AS1077" s="181" t="s">
        <v>276</v>
      </c>
      <c r="AT1077" s="181">
        <f t="shared" ref="AT1077:AT1084" si="155">AK1077/AO1077</f>
        <v>0.46831016697263755</v>
      </c>
      <c r="AU1077" s="181" t="s">
        <v>276</v>
      </c>
      <c r="AV1077" s="181" t="s">
        <v>276</v>
      </c>
      <c r="AW1077" s="181" t="s">
        <v>276</v>
      </c>
      <c r="AX1077" s="175" t="s">
        <v>282</v>
      </c>
      <c r="AY1077" s="175" t="s">
        <v>98</v>
      </c>
      <c r="AZ1077" s="175" t="s">
        <v>98</v>
      </c>
      <c r="BA1077" s="175" t="s">
        <v>98</v>
      </c>
      <c r="BB1077" s="175" t="s">
        <v>98</v>
      </c>
      <c r="BC1077" s="176" t="s">
        <v>426</v>
      </c>
      <c r="BD1077" s="176"/>
      <c r="BE1077" s="33" t="s">
        <v>100</v>
      </c>
      <c r="BF1077" s="33" t="s">
        <v>98</v>
      </c>
    </row>
    <row r="1078" spans="1:58" s="202" customFormat="1" ht="52" x14ac:dyDescent="0.3">
      <c r="A1078" s="175">
        <v>4097</v>
      </c>
      <c r="B1078" s="175" t="s">
        <v>9306</v>
      </c>
      <c r="C1078" s="176" t="s">
        <v>9266</v>
      </c>
      <c r="D1078" s="176" t="s">
        <v>9437</v>
      </c>
      <c r="E1078" s="175" t="s">
        <v>35</v>
      </c>
      <c r="F1078" s="175" t="s">
        <v>97</v>
      </c>
      <c r="G1078" s="175" t="s">
        <v>225</v>
      </c>
      <c r="H1078" s="175" t="s">
        <v>125</v>
      </c>
      <c r="I1078" s="175" t="s">
        <v>114</v>
      </c>
      <c r="J1078" s="176" t="s">
        <v>24</v>
      </c>
      <c r="K1078" s="176" t="s">
        <v>9307</v>
      </c>
      <c r="L1078" s="176" t="s">
        <v>276</v>
      </c>
      <c r="M1078" s="175" t="s">
        <v>15</v>
      </c>
      <c r="N1078" s="198" t="s">
        <v>9342</v>
      </c>
      <c r="O1078" s="199" t="s">
        <v>207</v>
      </c>
      <c r="P1078" s="200" t="s">
        <v>98</v>
      </c>
      <c r="Q1078" s="176" t="s">
        <v>686</v>
      </c>
      <c r="R1078" s="176" t="s">
        <v>9558</v>
      </c>
      <c r="S1078" s="176" t="s">
        <v>9559</v>
      </c>
      <c r="T1078" s="178" t="s">
        <v>276</v>
      </c>
      <c r="U1078" s="180">
        <v>11439</v>
      </c>
      <c r="V1078" s="179">
        <v>10714</v>
      </c>
      <c r="W1078" s="175" t="s">
        <v>276</v>
      </c>
      <c r="X1078" s="175" t="s">
        <v>276</v>
      </c>
      <c r="Y1078" s="175" t="s">
        <v>276</v>
      </c>
      <c r="Z1078" s="176" t="s">
        <v>1562</v>
      </c>
      <c r="AA1078" s="175" t="s">
        <v>276</v>
      </c>
      <c r="AB1078" s="176" t="s">
        <v>1562</v>
      </c>
      <c r="AC1078" s="176" t="s">
        <v>9440</v>
      </c>
      <c r="AD1078" s="176" t="s">
        <v>9346</v>
      </c>
      <c r="AE1078" s="175">
        <f>2+6</f>
        <v>8</v>
      </c>
      <c r="AF1078" s="175">
        <f>4+5</f>
        <v>9</v>
      </c>
      <c r="AG1078" s="180">
        <v>11439</v>
      </c>
      <c r="AH1078" s="179">
        <v>10714</v>
      </c>
      <c r="AI1078" s="179" t="s">
        <v>281</v>
      </c>
      <c r="AJ1078" s="181" t="s">
        <v>276</v>
      </c>
      <c r="AK1078" s="201">
        <f t="shared" si="151"/>
        <v>0.69936183232800075</v>
      </c>
      <c r="AL1078" s="181" t="s">
        <v>276</v>
      </c>
      <c r="AM1078" s="181" t="s">
        <v>276</v>
      </c>
      <c r="AN1078" s="181" t="s">
        <v>276</v>
      </c>
      <c r="AO1078" s="201">
        <f t="shared" si="152"/>
        <v>0.84002240059734923</v>
      </c>
      <c r="AP1078" s="181" t="s">
        <v>276</v>
      </c>
      <c r="AQ1078" s="181" t="s">
        <v>276</v>
      </c>
      <c r="AR1078" s="175" t="s">
        <v>268</v>
      </c>
      <c r="AS1078" s="181" t="s">
        <v>276</v>
      </c>
      <c r="AT1078" s="181">
        <f t="shared" si="155"/>
        <v>0.83255140795135563</v>
      </c>
      <c r="AU1078" s="181" t="s">
        <v>276</v>
      </c>
      <c r="AV1078" s="181" t="s">
        <v>276</v>
      </c>
      <c r="AW1078" s="181" t="s">
        <v>276</v>
      </c>
      <c r="AX1078" s="175" t="s">
        <v>282</v>
      </c>
      <c r="AY1078" s="175" t="s">
        <v>98</v>
      </c>
      <c r="AZ1078" s="175" t="s">
        <v>98</v>
      </c>
      <c r="BA1078" s="175" t="s">
        <v>98</v>
      </c>
      <c r="BB1078" s="175" t="s">
        <v>98</v>
      </c>
      <c r="BC1078" s="176" t="s">
        <v>426</v>
      </c>
      <c r="BD1078" s="176"/>
      <c r="BE1078" s="33" t="s">
        <v>100</v>
      </c>
      <c r="BF1078" s="33" t="s">
        <v>98</v>
      </c>
    </row>
    <row r="1079" spans="1:58" s="202" customFormat="1" ht="52" x14ac:dyDescent="0.3">
      <c r="A1079" s="175">
        <v>4097</v>
      </c>
      <c r="B1079" s="175" t="s">
        <v>9306</v>
      </c>
      <c r="C1079" s="176" t="s">
        <v>9266</v>
      </c>
      <c r="D1079" s="176" t="s">
        <v>9441</v>
      </c>
      <c r="E1079" s="175" t="s">
        <v>35</v>
      </c>
      <c r="F1079" s="175" t="s">
        <v>97</v>
      </c>
      <c r="G1079" s="175" t="s">
        <v>225</v>
      </c>
      <c r="H1079" s="175" t="s">
        <v>125</v>
      </c>
      <c r="I1079" s="175" t="s">
        <v>114</v>
      </c>
      <c r="J1079" s="176" t="s">
        <v>24</v>
      </c>
      <c r="K1079" s="176" t="s">
        <v>9307</v>
      </c>
      <c r="L1079" s="176" t="s">
        <v>276</v>
      </c>
      <c r="M1079" s="175" t="s">
        <v>15</v>
      </c>
      <c r="N1079" s="198" t="s">
        <v>9342</v>
      </c>
      <c r="O1079" s="199" t="s">
        <v>207</v>
      </c>
      <c r="P1079" s="200" t="s">
        <v>98</v>
      </c>
      <c r="Q1079" s="176" t="s">
        <v>721</v>
      </c>
      <c r="R1079" s="176" t="s">
        <v>9560</v>
      </c>
      <c r="S1079" s="176" t="s">
        <v>9561</v>
      </c>
      <c r="T1079" s="178" t="s">
        <v>276</v>
      </c>
      <c r="U1079" s="180">
        <v>11439</v>
      </c>
      <c r="V1079" s="179">
        <v>10714</v>
      </c>
      <c r="W1079" s="175" t="s">
        <v>276</v>
      </c>
      <c r="X1079" s="175" t="s">
        <v>276</v>
      </c>
      <c r="Y1079" s="175" t="s">
        <v>276</v>
      </c>
      <c r="Z1079" s="176" t="s">
        <v>1562</v>
      </c>
      <c r="AA1079" s="175" t="s">
        <v>276</v>
      </c>
      <c r="AB1079" s="176" t="s">
        <v>1562</v>
      </c>
      <c r="AC1079" s="176" t="s">
        <v>9372</v>
      </c>
      <c r="AD1079" s="176" t="s">
        <v>9346</v>
      </c>
      <c r="AE1079" s="175">
        <f>2+6+4</f>
        <v>12</v>
      </c>
      <c r="AF1079" s="175">
        <f>4+5+3</f>
        <v>12</v>
      </c>
      <c r="AG1079" s="180">
        <v>11439</v>
      </c>
      <c r="AH1079" s="179">
        <v>10714</v>
      </c>
      <c r="AI1079" s="179" t="s">
        <v>281</v>
      </c>
      <c r="AJ1079" s="181" t="s">
        <v>276</v>
      </c>
      <c r="AK1079" s="201">
        <f t="shared" si="151"/>
        <v>1.0490427484920011</v>
      </c>
      <c r="AL1079" s="181" t="s">
        <v>276</v>
      </c>
      <c r="AM1079" s="181" t="s">
        <v>276</v>
      </c>
      <c r="AN1079" s="181" t="s">
        <v>276</v>
      </c>
      <c r="AO1079" s="201">
        <f t="shared" si="152"/>
        <v>1.1200298674631324</v>
      </c>
      <c r="AP1079" s="181" t="s">
        <v>276</v>
      </c>
      <c r="AQ1079" s="181" t="s">
        <v>276</v>
      </c>
      <c r="AR1079" s="175" t="s">
        <v>268</v>
      </c>
      <c r="AS1079" s="181" t="s">
        <v>276</v>
      </c>
      <c r="AT1079" s="181">
        <f t="shared" si="155"/>
        <v>0.93662033394527489</v>
      </c>
      <c r="AU1079" s="181" t="s">
        <v>276</v>
      </c>
      <c r="AV1079" s="181" t="s">
        <v>276</v>
      </c>
      <c r="AW1079" s="181" t="s">
        <v>276</v>
      </c>
      <c r="AX1079" s="175" t="s">
        <v>282</v>
      </c>
      <c r="AY1079" s="175" t="s">
        <v>98</v>
      </c>
      <c r="AZ1079" s="175" t="s">
        <v>98</v>
      </c>
      <c r="BA1079" s="175" t="s">
        <v>98</v>
      </c>
      <c r="BB1079" s="175" t="s">
        <v>98</v>
      </c>
      <c r="BC1079" s="176" t="s">
        <v>426</v>
      </c>
      <c r="BD1079" s="176"/>
      <c r="BE1079" s="33" t="s">
        <v>100</v>
      </c>
      <c r="BF1079" s="33" t="s">
        <v>98</v>
      </c>
    </row>
    <row r="1080" spans="1:58" s="202" customFormat="1" ht="52" x14ac:dyDescent="0.3">
      <c r="A1080" s="175">
        <v>4097</v>
      </c>
      <c r="B1080" s="175" t="s">
        <v>9306</v>
      </c>
      <c r="C1080" s="176" t="s">
        <v>9266</v>
      </c>
      <c r="D1080" s="176" t="s">
        <v>9444</v>
      </c>
      <c r="E1080" s="175" t="s">
        <v>35</v>
      </c>
      <c r="F1080" s="175" t="s">
        <v>97</v>
      </c>
      <c r="G1080" s="175" t="s">
        <v>225</v>
      </c>
      <c r="H1080" s="175" t="s">
        <v>125</v>
      </c>
      <c r="I1080" s="175" t="s">
        <v>114</v>
      </c>
      <c r="J1080" s="176" t="s">
        <v>24</v>
      </c>
      <c r="K1080" s="176" t="s">
        <v>9307</v>
      </c>
      <c r="L1080" s="176" t="s">
        <v>276</v>
      </c>
      <c r="M1080" s="175" t="s">
        <v>15</v>
      </c>
      <c r="N1080" s="198" t="s">
        <v>9342</v>
      </c>
      <c r="O1080" s="199" t="s">
        <v>207</v>
      </c>
      <c r="P1080" s="200" t="s">
        <v>98</v>
      </c>
      <c r="Q1080" s="176" t="s">
        <v>728</v>
      </c>
      <c r="R1080" s="176" t="s">
        <v>9562</v>
      </c>
      <c r="S1080" s="176" t="s">
        <v>9563</v>
      </c>
      <c r="T1080" s="178" t="s">
        <v>276</v>
      </c>
      <c r="U1080" s="180">
        <v>11439</v>
      </c>
      <c r="V1080" s="179">
        <v>10714</v>
      </c>
      <c r="W1080" s="175" t="s">
        <v>276</v>
      </c>
      <c r="X1080" s="175" t="s">
        <v>276</v>
      </c>
      <c r="Y1080" s="175" t="s">
        <v>276</v>
      </c>
      <c r="Z1080" s="176" t="s">
        <v>1562</v>
      </c>
      <c r="AA1080" s="175" t="s">
        <v>276</v>
      </c>
      <c r="AB1080" s="176" t="s">
        <v>1562</v>
      </c>
      <c r="AC1080" s="176" t="s">
        <v>9447</v>
      </c>
      <c r="AD1080" s="176" t="s">
        <v>9346</v>
      </c>
      <c r="AE1080" s="175">
        <f>2+6+4+1</f>
        <v>13</v>
      </c>
      <c r="AF1080" s="175">
        <f>4+5+3+6</f>
        <v>18</v>
      </c>
      <c r="AG1080" s="180">
        <v>11439</v>
      </c>
      <c r="AH1080" s="179">
        <v>10714</v>
      </c>
      <c r="AI1080" s="179" t="s">
        <v>281</v>
      </c>
      <c r="AJ1080" s="181" t="s">
        <v>276</v>
      </c>
      <c r="AK1080" s="201">
        <f t="shared" si="151"/>
        <v>1.1364629775330011</v>
      </c>
      <c r="AL1080" s="181" t="s">
        <v>276</v>
      </c>
      <c r="AM1080" s="181" t="s">
        <v>276</v>
      </c>
      <c r="AN1080" s="181" t="s">
        <v>276</v>
      </c>
      <c r="AO1080" s="201">
        <f t="shared" si="152"/>
        <v>1.6800448011946985</v>
      </c>
      <c r="AP1080" s="181" t="s">
        <v>276</v>
      </c>
      <c r="AQ1080" s="181" t="s">
        <v>276</v>
      </c>
      <c r="AR1080" s="175" t="s">
        <v>268</v>
      </c>
      <c r="AS1080" s="181" t="s">
        <v>276</v>
      </c>
      <c r="AT1080" s="181">
        <f t="shared" si="155"/>
        <v>0.67644801896047635</v>
      </c>
      <c r="AU1080" s="181" t="s">
        <v>276</v>
      </c>
      <c r="AV1080" s="181" t="s">
        <v>276</v>
      </c>
      <c r="AW1080" s="181" t="s">
        <v>276</v>
      </c>
      <c r="AX1080" s="175" t="s">
        <v>282</v>
      </c>
      <c r="AY1080" s="175" t="s">
        <v>98</v>
      </c>
      <c r="AZ1080" s="175" t="s">
        <v>98</v>
      </c>
      <c r="BA1080" s="175" t="s">
        <v>98</v>
      </c>
      <c r="BB1080" s="175" t="s">
        <v>98</v>
      </c>
      <c r="BC1080" s="176" t="s">
        <v>426</v>
      </c>
      <c r="BD1080" s="176"/>
      <c r="BE1080" s="33" t="s">
        <v>100</v>
      </c>
      <c r="BF1080" s="33" t="s">
        <v>98</v>
      </c>
    </row>
    <row r="1081" spans="1:58" s="202" customFormat="1" ht="52" x14ac:dyDescent="0.3">
      <c r="A1081" s="175">
        <v>4097</v>
      </c>
      <c r="B1081" s="175" t="s">
        <v>9306</v>
      </c>
      <c r="C1081" s="176" t="s">
        <v>9266</v>
      </c>
      <c r="D1081" s="176" t="s">
        <v>9448</v>
      </c>
      <c r="E1081" s="175" t="s">
        <v>35</v>
      </c>
      <c r="F1081" s="175" t="s">
        <v>97</v>
      </c>
      <c r="G1081" s="175" t="s">
        <v>225</v>
      </c>
      <c r="H1081" s="175" t="s">
        <v>125</v>
      </c>
      <c r="I1081" s="175" t="s">
        <v>114</v>
      </c>
      <c r="J1081" s="176" t="s">
        <v>24</v>
      </c>
      <c r="K1081" s="176" t="s">
        <v>9307</v>
      </c>
      <c r="L1081" s="176" t="s">
        <v>276</v>
      </c>
      <c r="M1081" s="175" t="s">
        <v>15</v>
      </c>
      <c r="N1081" s="198" t="s">
        <v>9342</v>
      </c>
      <c r="O1081" s="199" t="s">
        <v>207</v>
      </c>
      <c r="P1081" s="200" t="s">
        <v>98</v>
      </c>
      <c r="Q1081" s="176" t="s">
        <v>733</v>
      </c>
      <c r="R1081" s="176" t="s">
        <v>9564</v>
      </c>
      <c r="S1081" s="176" t="s">
        <v>9565</v>
      </c>
      <c r="T1081" s="178" t="s">
        <v>276</v>
      </c>
      <c r="U1081" s="180">
        <v>11439</v>
      </c>
      <c r="V1081" s="179">
        <v>10714</v>
      </c>
      <c r="W1081" s="175" t="s">
        <v>276</v>
      </c>
      <c r="X1081" s="175" t="s">
        <v>276</v>
      </c>
      <c r="Y1081" s="175" t="s">
        <v>276</v>
      </c>
      <c r="Z1081" s="176" t="s">
        <v>1562</v>
      </c>
      <c r="AA1081" s="175" t="s">
        <v>276</v>
      </c>
      <c r="AB1081" s="176" t="s">
        <v>1562</v>
      </c>
      <c r="AC1081" s="176" t="s">
        <v>9451</v>
      </c>
      <c r="AD1081" s="176" t="s">
        <v>9346</v>
      </c>
      <c r="AE1081" s="175">
        <f>2+6+4+1+6</f>
        <v>19</v>
      </c>
      <c r="AF1081" s="175">
        <f>4+5+3+6+6</f>
        <v>24</v>
      </c>
      <c r="AG1081" s="180">
        <v>11439</v>
      </c>
      <c r="AH1081" s="179">
        <v>10714</v>
      </c>
      <c r="AI1081" s="179" t="s">
        <v>281</v>
      </c>
      <c r="AJ1081" s="181" t="s">
        <v>276</v>
      </c>
      <c r="AK1081" s="201">
        <f t="shared" si="151"/>
        <v>1.6609843517790017</v>
      </c>
      <c r="AL1081" s="181" t="s">
        <v>276</v>
      </c>
      <c r="AM1081" s="181" t="s">
        <v>276</v>
      </c>
      <c r="AN1081" s="181" t="s">
        <v>276</v>
      </c>
      <c r="AO1081" s="201">
        <f t="shared" si="152"/>
        <v>2.2400597349262648</v>
      </c>
      <c r="AP1081" s="181" t="s">
        <v>276</v>
      </c>
      <c r="AQ1081" s="181" t="s">
        <v>276</v>
      </c>
      <c r="AR1081" s="175" t="s">
        <v>268</v>
      </c>
      <c r="AS1081" s="181" t="s">
        <v>276</v>
      </c>
      <c r="AT1081" s="181">
        <f t="shared" si="155"/>
        <v>0.74149109770667598</v>
      </c>
      <c r="AU1081" s="181" t="s">
        <v>276</v>
      </c>
      <c r="AV1081" s="181" t="s">
        <v>276</v>
      </c>
      <c r="AW1081" s="181" t="s">
        <v>276</v>
      </c>
      <c r="AX1081" s="175" t="s">
        <v>282</v>
      </c>
      <c r="AY1081" s="175" t="s">
        <v>98</v>
      </c>
      <c r="AZ1081" s="175" t="s">
        <v>98</v>
      </c>
      <c r="BA1081" s="175" t="s">
        <v>98</v>
      </c>
      <c r="BB1081" s="175" t="s">
        <v>98</v>
      </c>
      <c r="BC1081" s="176" t="s">
        <v>426</v>
      </c>
      <c r="BD1081" s="176"/>
      <c r="BE1081" s="33" t="s">
        <v>100</v>
      </c>
      <c r="BF1081" s="33" t="s">
        <v>98</v>
      </c>
    </row>
    <row r="1082" spans="1:58" s="202" customFormat="1" ht="52" x14ac:dyDescent="0.3">
      <c r="A1082" s="175">
        <v>4097</v>
      </c>
      <c r="B1082" s="175" t="s">
        <v>9306</v>
      </c>
      <c r="C1082" s="176" t="s">
        <v>9266</v>
      </c>
      <c r="D1082" s="176" t="s">
        <v>9452</v>
      </c>
      <c r="E1082" s="175" t="s">
        <v>35</v>
      </c>
      <c r="F1082" s="175" t="s">
        <v>97</v>
      </c>
      <c r="G1082" s="175" t="s">
        <v>225</v>
      </c>
      <c r="H1082" s="175" t="s">
        <v>125</v>
      </c>
      <c r="I1082" s="175" t="s">
        <v>114</v>
      </c>
      <c r="J1082" s="176" t="s">
        <v>24</v>
      </c>
      <c r="K1082" s="176" t="s">
        <v>9307</v>
      </c>
      <c r="L1082" s="176" t="s">
        <v>276</v>
      </c>
      <c r="M1082" s="175" t="s">
        <v>15</v>
      </c>
      <c r="N1082" s="198" t="s">
        <v>9342</v>
      </c>
      <c r="O1082" s="199" t="s">
        <v>207</v>
      </c>
      <c r="P1082" s="200" t="s">
        <v>98</v>
      </c>
      <c r="Q1082" s="176" t="s">
        <v>741</v>
      </c>
      <c r="R1082" s="176" t="s">
        <v>9566</v>
      </c>
      <c r="S1082" s="176" t="s">
        <v>9567</v>
      </c>
      <c r="T1082" s="178" t="s">
        <v>276</v>
      </c>
      <c r="U1082" s="180">
        <v>11439</v>
      </c>
      <c r="V1082" s="179">
        <v>10714</v>
      </c>
      <c r="W1082" s="175" t="s">
        <v>276</v>
      </c>
      <c r="X1082" s="175" t="s">
        <v>276</v>
      </c>
      <c r="Y1082" s="175" t="s">
        <v>276</v>
      </c>
      <c r="Z1082" s="176" t="s">
        <v>1562</v>
      </c>
      <c r="AA1082" s="175" t="s">
        <v>276</v>
      </c>
      <c r="AB1082" s="176" t="s">
        <v>1562</v>
      </c>
      <c r="AC1082" s="176" t="s">
        <v>9455</v>
      </c>
      <c r="AD1082" s="176" t="s">
        <v>9346</v>
      </c>
      <c r="AE1082" s="175">
        <f>2+6+4+1+6+3</f>
        <v>22</v>
      </c>
      <c r="AF1082" s="175">
        <f>4+5+3+6+6+6</f>
        <v>30</v>
      </c>
      <c r="AG1082" s="180">
        <v>11439</v>
      </c>
      <c r="AH1082" s="179">
        <v>10714</v>
      </c>
      <c r="AI1082" s="179" t="s">
        <v>281</v>
      </c>
      <c r="AJ1082" s="181" t="s">
        <v>276</v>
      </c>
      <c r="AK1082" s="201">
        <f t="shared" si="151"/>
        <v>1.9232450389020019</v>
      </c>
      <c r="AL1082" s="181" t="s">
        <v>276</v>
      </c>
      <c r="AM1082" s="181" t="s">
        <v>276</v>
      </c>
      <c r="AN1082" s="181" t="s">
        <v>276</v>
      </c>
      <c r="AO1082" s="201">
        <f t="shared" si="152"/>
        <v>2.8000746686578308</v>
      </c>
      <c r="AP1082" s="181" t="s">
        <v>276</v>
      </c>
      <c r="AQ1082" s="181" t="s">
        <v>276</v>
      </c>
      <c r="AR1082" s="175" t="s">
        <v>268</v>
      </c>
      <c r="AS1082" s="181" t="s">
        <v>276</v>
      </c>
      <c r="AT1082" s="181">
        <f t="shared" si="155"/>
        <v>0.68685491155986833</v>
      </c>
      <c r="AU1082" s="181" t="s">
        <v>276</v>
      </c>
      <c r="AV1082" s="181" t="s">
        <v>276</v>
      </c>
      <c r="AW1082" s="181" t="s">
        <v>276</v>
      </c>
      <c r="AX1082" s="175" t="s">
        <v>282</v>
      </c>
      <c r="AY1082" s="175" t="s">
        <v>98</v>
      </c>
      <c r="AZ1082" s="175" t="s">
        <v>98</v>
      </c>
      <c r="BA1082" s="175" t="s">
        <v>98</v>
      </c>
      <c r="BB1082" s="175" t="s">
        <v>98</v>
      </c>
      <c r="BC1082" s="176" t="s">
        <v>426</v>
      </c>
      <c r="BD1082" s="176"/>
      <c r="BE1082" s="33" t="s">
        <v>100</v>
      </c>
      <c r="BF1082" s="33" t="s">
        <v>98</v>
      </c>
    </row>
    <row r="1083" spans="1:58" s="202" customFormat="1" ht="52" x14ac:dyDescent="0.3">
      <c r="A1083" s="175">
        <v>4097</v>
      </c>
      <c r="B1083" s="175" t="s">
        <v>9306</v>
      </c>
      <c r="C1083" s="176" t="s">
        <v>9266</v>
      </c>
      <c r="D1083" s="176" t="s">
        <v>9456</v>
      </c>
      <c r="E1083" s="175" t="s">
        <v>35</v>
      </c>
      <c r="F1083" s="175" t="s">
        <v>97</v>
      </c>
      <c r="G1083" s="175" t="s">
        <v>225</v>
      </c>
      <c r="H1083" s="175" t="s">
        <v>125</v>
      </c>
      <c r="I1083" s="175" t="s">
        <v>114</v>
      </c>
      <c r="J1083" s="176" t="s">
        <v>24</v>
      </c>
      <c r="K1083" s="176" t="s">
        <v>9307</v>
      </c>
      <c r="L1083" s="176" t="s">
        <v>276</v>
      </c>
      <c r="M1083" s="175" t="s">
        <v>15</v>
      </c>
      <c r="N1083" s="198" t="s">
        <v>9342</v>
      </c>
      <c r="O1083" s="199" t="s">
        <v>207</v>
      </c>
      <c r="P1083" s="200" t="s">
        <v>98</v>
      </c>
      <c r="Q1083" s="176" t="s">
        <v>746</v>
      </c>
      <c r="R1083" s="176" t="s">
        <v>9568</v>
      </c>
      <c r="S1083" s="176" t="s">
        <v>9569</v>
      </c>
      <c r="T1083" s="178" t="s">
        <v>276</v>
      </c>
      <c r="U1083" s="180">
        <v>11439</v>
      </c>
      <c r="V1083" s="179">
        <v>10714</v>
      </c>
      <c r="W1083" s="175" t="s">
        <v>276</v>
      </c>
      <c r="X1083" s="175" t="s">
        <v>276</v>
      </c>
      <c r="Y1083" s="175" t="s">
        <v>276</v>
      </c>
      <c r="Z1083" s="176" t="s">
        <v>1562</v>
      </c>
      <c r="AA1083" s="175" t="s">
        <v>276</v>
      </c>
      <c r="AB1083" s="176" t="s">
        <v>1562</v>
      </c>
      <c r="AC1083" s="176" t="s">
        <v>9459</v>
      </c>
      <c r="AD1083" s="176" t="s">
        <v>9346</v>
      </c>
      <c r="AE1083" s="175">
        <f>2+6+4+1+6+3+2</f>
        <v>24</v>
      </c>
      <c r="AF1083" s="175">
        <f>4+5+3+6+6+6+7</f>
        <v>37</v>
      </c>
      <c r="AG1083" s="180">
        <v>11439</v>
      </c>
      <c r="AH1083" s="179">
        <v>10714</v>
      </c>
      <c r="AI1083" s="179" t="s">
        <v>281</v>
      </c>
      <c r="AJ1083" s="181" t="s">
        <v>276</v>
      </c>
      <c r="AK1083" s="201">
        <f t="shared" si="151"/>
        <v>2.0980854969840022</v>
      </c>
      <c r="AL1083" s="181" t="s">
        <v>276</v>
      </c>
      <c r="AM1083" s="181" t="s">
        <v>276</v>
      </c>
      <c r="AN1083" s="181" t="s">
        <v>276</v>
      </c>
      <c r="AO1083" s="201">
        <f t="shared" si="152"/>
        <v>3.4534254246779916</v>
      </c>
      <c r="AP1083" s="181" t="s">
        <v>276</v>
      </c>
      <c r="AQ1083" s="181" t="s">
        <v>276</v>
      </c>
      <c r="AR1083" s="175" t="s">
        <v>268</v>
      </c>
      <c r="AS1083" s="181" t="s">
        <v>276</v>
      </c>
      <c r="AT1083" s="181">
        <f t="shared" si="155"/>
        <v>0.60753751391044863</v>
      </c>
      <c r="AU1083" s="181" t="s">
        <v>276</v>
      </c>
      <c r="AV1083" s="181" t="s">
        <v>276</v>
      </c>
      <c r="AW1083" s="181" t="s">
        <v>276</v>
      </c>
      <c r="AX1083" s="175" t="s">
        <v>282</v>
      </c>
      <c r="AY1083" s="175" t="s">
        <v>98</v>
      </c>
      <c r="AZ1083" s="175" t="s">
        <v>98</v>
      </c>
      <c r="BA1083" s="175" t="s">
        <v>98</v>
      </c>
      <c r="BB1083" s="175" t="s">
        <v>98</v>
      </c>
      <c r="BC1083" s="176" t="s">
        <v>426</v>
      </c>
      <c r="BD1083" s="176"/>
      <c r="BE1083" s="33" t="s">
        <v>100</v>
      </c>
      <c r="BF1083" s="33" t="s">
        <v>98</v>
      </c>
    </row>
    <row r="1084" spans="1:58" s="202" customFormat="1" ht="52" x14ac:dyDescent="0.3">
      <c r="A1084" s="175">
        <v>4097</v>
      </c>
      <c r="B1084" s="175" t="s">
        <v>9306</v>
      </c>
      <c r="C1084" s="176" t="s">
        <v>9266</v>
      </c>
      <c r="D1084" s="176" t="s">
        <v>9460</v>
      </c>
      <c r="E1084" s="175" t="s">
        <v>35</v>
      </c>
      <c r="F1084" s="175" t="s">
        <v>97</v>
      </c>
      <c r="G1084" s="175" t="s">
        <v>225</v>
      </c>
      <c r="H1084" s="175" t="s">
        <v>125</v>
      </c>
      <c r="I1084" s="175" t="s">
        <v>114</v>
      </c>
      <c r="J1084" s="176" t="s">
        <v>24</v>
      </c>
      <c r="K1084" s="176" t="s">
        <v>9307</v>
      </c>
      <c r="L1084" s="176" t="s">
        <v>276</v>
      </c>
      <c r="M1084" s="175" t="s">
        <v>15</v>
      </c>
      <c r="N1084" s="198" t="s">
        <v>9342</v>
      </c>
      <c r="O1084" s="199" t="s">
        <v>207</v>
      </c>
      <c r="P1084" s="200" t="s">
        <v>98</v>
      </c>
      <c r="Q1084" s="176" t="s">
        <v>766</v>
      </c>
      <c r="R1084" s="176" t="s">
        <v>9570</v>
      </c>
      <c r="S1084" s="176" t="s">
        <v>9571</v>
      </c>
      <c r="T1084" s="178" t="s">
        <v>276</v>
      </c>
      <c r="U1084" s="180">
        <v>11439</v>
      </c>
      <c r="V1084" s="179">
        <v>10714</v>
      </c>
      <c r="W1084" s="175" t="s">
        <v>276</v>
      </c>
      <c r="X1084" s="175" t="s">
        <v>276</v>
      </c>
      <c r="Y1084" s="175" t="s">
        <v>276</v>
      </c>
      <c r="Z1084" s="176" t="s">
        <v>1562</v>
      </c>
      <c r="AA1084" s="175" t="s">
        <v>276</v>
      </c>
      <c r="AB1084" s="176" t="s">
        <v>1562</v>
      </c>
      <c r="AC1084" s="176" t="s">
        <v>9463</v>
      </c>
      <c r="AD1084" s="176" t="s">
        <v>9346</v>
      </c>
      <c r="AE1084" s="175">
        <f>2+6+4+1+6+3+2+3</f>
        <v>27</v>
      </c>
      <c r="AF1084" s="175">
        <f>4+5+3+6+6+6+7+5</f>
        <v>42</v>
      </c>
      <c r="AG1084" s="180">
        <v>11439</v>
      </c>
      <c r="AH1084" s="179">
        <v>10714</v>
      </c>
      <c r="AI1084" s="179" t="s">
        <v>281</v>
      </c>
      <c r="AJ1084" s="195">
        <v>2.8</v>
      </c>
      <c r="AK1084" s="201">
        <f t="shared" si="151"/>
        <v>2.3603461841070024</v>
      </c>
      <c r="AL1084" s="181" t="s">
        <v>276</v>
      </c>
      <c r="AM1084" s="181" t="s">
        <v>276</v>
      </c>
      <c r="AN1084" s="195">
        <v>4.8</v>
      </c>
      <c r="AO1084" s="201">
        <f t="shared" si="152"/>
        <v>3.9201045361209634</v>
      </c>
      <c r="AP1084" s="181" t="s">
        <v>276</v>
      </c>
      <c r="AQ1084" s="181" t="s">
        <v>276</v>
      </c>
      <c r="AR1084" s="175" t="s">
        <v>268</v>
      </c>
      <c r="AS1084" s="181" t="s">
        <v>276</v>
      </c>
      <c r="AT1084" s="181">
        <f t="shared" si="155"/>
        <v>0.60211307182196239</v>
      </c>
      <c r="AU1084" s="181" t="s">
        <v>276</v>
      </c>
      <c r="AV1084" s="181" t="s">
        <v>276</v>
      </c>
      <c r="AW1084" s="181" t="s">
        <v>276</v>
      </c>
      <c r="AX1084" s="175" t="s">
        <v>282</v>
      </c>
      <c r="AY1084" s="175" t="s">
        <v>98</v>
      </c>
      <c r="AZ1084" s="175" t="s">
        <v>98</v>
      </c>
      <c r="BA1084" s="175" t="s">
        <v>98</v>
      </c>
      <c r="BB1084" s="175" t="s">
        <v>98</v>
      </c>
      <c r="BC1084" s="176" t="s">
        <v>426</v>
      </c>
      <c r="BD1084" s="346" t="s">
        <v>11547</v>
      </c>
      <c r="BE1084" s="33" t="s">
        <v>100</v>
      </c>
      <c r="BF1084" s="33" t="s">
        <v>98</v>
      </c>
    </row>
    <row r="1085" spans="1:58" s="339" customFormat="1" ht="52" x14ac:dyDescent="0.3">
      <c r="A1085" s="184">
        <v>4097</v>
      </c>
      <c r="B1085" s="184" t="s">
        <v>9306</v>
      </c>
      <c r="C1085" s="185" t="s">
        <v>9266</v>
      </c>
      <c r="D1085" s="185" t="s">
        <v>9464</v>
      </c>
      <c r="E1085" s="184" t="s">
        <v>35</v>
      </c>
      <c r="F1085" s="184" t="s">
        <v>97</v>
      </c>
      <c r="G1085" s="184" t="s">
        <v>225</v>
      </c>
      <c r="H1085" s="184" t="s">
        <v>125</v>
      </c>
      <c r="I1085" s="184" t="s">
        <v>114</v>
      </c>
      <c r="J1085" s="185" t="s">
        <v>24</v>
      </c>
      <c r="K1085" s="185" t="s">
        <v>9307</v>
      </c>
      <c r="L1085" s="185" t="s">
        <v>276</v>
      </c>
      <c r="M1085" s="184" t="s">
        <v>15</v>
      </c>
      <c r="N1085" s="336" t="s">
        <v>9350</v>
      </c>
      <c r="O1085" s="337" t="s">
        <v>207</v>
      </c>
      <c r="P1085" s="322" t="s">
        <v>98</v>
      </c>
      <c r="Q1085" s="185" t="s">
        <v>705</v>
      </c>
      <c r="R1085" s="185" t="s">
        <v>9572</v>
      </c>
      <c r="S1085" s="185" t="s">
        <v>9573</v>
      </c>
      <c r="T1085" s="187" t="s">
        <v>276</v>
      </c>
      <c r="U1085" s="189">
        <v>5033</v>
      </c>
      <c r="V1085" s="188">
        <v>4868</v>
      </c>
      <c r="W1085" s="184" t="s">
        <v>276</v>
      </c>
      <c r="X1085" s="184" t="s">
        <v>276</v>
      </c>
      <c r="Y1085" s="184" t="s">
        <v>276</v>
      </c>
      <c r="Z1085" s="185" t="s">
        <v>1562</v>
      </c>
      <c r="AA1085" s="184" t="s">
        <v>276</v>
      </c>
      <c r="AB1085" s="185" t="s">
        <v>1562</v>
      </c>
      <c r="AC1085" s="185" t="s">
        <v>9467</v>
      </c>
      <c r="AD1085" s="185" t="s">
        <v>9354</v>
      </c>
      <c r="AE1085" s="184">
        <v>0</v>
      </c>
      <c r="AF1085" s="184">
        <v>1</v>
      </c>
      <c r="AG1085" s="189">
        <v>5033</v>
      </c>
      <c r="AH1085" s="188">
        <v>4868</v>
      </c>
      <c r="AI1085" s="188" t="s">
        <v>281</v>
      </c>
      <c r="AJ1085" s="192" t="s">
        <v>276</v>
      </c>
      <c r="AK1085" s="338">
        <f t="shared" si="151"/>
        <v>0</v>
      </c>
      <c r="AL1085" s="192" t="s">
        <v>276</v>
      </c>
      <c r="AM1085" s="192" t="s">
        <v>276</v>
      </c>
      <c r="AN1085" s="192" t="s">
        <v>276</v>
      </c>
      <c r="AO1085" s="338">
        <f t="shared" si="152"/>
        <v>0.20542317173377156</v>
      </c>
      <c r="AP1085" s="192" t="s">
        <v>276</v>
      </c>
      <c r="AQ1085" s="192" t="s">
        <v>276</v>
      </c>
      <c r="AR1085" s="184" t="s">
        <v>268</v>
      </c>
      <c r="AS1085" s="192" t="s">
        <v>276</v>
      </c>
      <c r="AT1085" s="192" t="s">
        <v>98</v>
      </c>
      <c r="AU1085" s="192" t="s">
        <v>276</v>
      </c>
      <c r="AV1085" s="192" t="s">
        <v>276</v>
      </c>
      <c r="AW1085" s="192" t="s">
        <v>276</v>
      </c>
      <c r="AX1085" s="184" t="s">
        <v>282</v>
      </c>
      <c r="AY1085" s="184" t="s">
        <v>98</v>
      </c>
      <c r="AZ1085" s="184" t="s">
        <v>98</v>
      </c>
      <c r="BA1085" s="184" t="s">
        <v>98</v>
      </c>
      <c r="BB1085" s="184" t="s">
        <v>98</v>
      </c>
      <c r="BC1085" s="185" t="s">
        <v>426</v>
      </c>
      <c r="BD1085" s="185"/>
      <c r="BE1085" s="33" t="s">
        <v>100</v>
      </c>
      <c r="BF1085" s="33" t="s">
        <v>98</v>
      </c>
    </row>
    <row r="1086" spans="1:58" s="339" customFormat="1" ht="52" x14ac:dyDescent="0.3">
      <c r="A1086" s="184">
        <v>4097</v>
      </c>
      <c r="B1086" s="184" t="s">
        <v>9306</v>
      </c>
      <c r="C1086" s="185" t="s">
        <v>9266</v>
      </c>
      <c r="D1086" s="185" t="s">
        <v>9468</v>
      </c>
      <c r="E1086" s="184" t="s">
        <v>35</v>
      </c>
      <c r="F1086" s="184" t="s">
        <v>97</v>
      </c>
      <c r="G1086" s="184" t="s">
        <v>225</v>
      </c>
      <c r="H1086" s="184" t="s">
        <v>125</v>
      </c>
      <c r="I1086" s="184" t="s">
        <v>114</v>
      </c>
      <c r="J1086" s="185" t="s">
        <v>24</v>
      </c>
      <c r="K1086" s="185" t="s">
        <v>9307</v>
      </c>
      <c r="L1086" s="185" t="s">
        <v>276</v>
      </c>
      <c r="M1086" s="184" t="s">
        <v>15</v>
      </c>
      <c r="N1086" s="336" t="s">
        <v>9350</v>
      </c>
      <c r="O1086" s="337" t="s">
        <v>207</v>
      </c>
      <c r="P1086" s="322" t="s">
        <v>98</v>
      </c>
      <c r="Q1086" s="185" t="s">
        <v>710</v>
      </c>
      <c r="R1086" s="185" t="s">
        <v>9574</v>
      </c>
      <c r="S1086" s="185" t="s">
        <v>9575</v>
      </c>
      <c r="T1086" s="187" t="s">
        <v>276</v>
      </c>
      <c r="U1086" s="189">
        <v>5033</v>
      </c>
      <c r="V1086" s="188">
        <v>4868</v>
      </c>
      <c r="W1086" s="184" t="s">
        <v>276</v>
      </c>
      <c r="X1086" s="184" t="s">
        <v>276</v>
      </c>
      <c r="Y1086" s="184" t="s">
        <v>276</v>
      </c>
      <c r="Z1086" s="185" t="s">
        <v>1562</v>
      </c>
      <c r="AA1086" s="184" t="s">
        <v>276</v>
      </c>
      <c r="AB1086" s="185" t="s">
        <v>1562</v>
      </c>
      <c r="AC1086" s="185" t="s">
        <v>9471</v>
      </c>
      <c r="AD1086" s="185" t="s">
        <v>9354</v>
      </c>
      <c r="AE1086" s="184">
        <v>0</v>
      </c>
      <c r="AF1086" s="184">
        <f>1+1</f>
        <v>2</v>
      </c>
      <c r="AG1086" s="189">
        <v>5033</v>
      </c>
      <c r="AH1086" s="188">
        <v>4868</v>
      </c>
      <c r="AI1086" s="188" t="s">
        <v>281</v>
      </c>
      <c r="AJ1086" s="192" t="s">
        <v>276</v>
      </c>
      <c r="AK1086" s="338">
        <f t="shared" si="151"/>
        <v>0</v>
      </c>
      <c r="AL1086" s="192" t="s">
        <v>276</v>
      </c>
      <c r="AM1086" s="192" t="s">
        <v>276</v>
      </c>
      <c r="AN1086" s="192" t="s">
        <v>276</v>
      </c>
      <c r="AO1086" s="338">
        <f t="shared" si="152"/>
        <v>0.41084634346754312</v>
      </c>
      <c r="AP1086" s="192" t="s">
        <v>276</v>
      </c>
      <c r="AQ1086" s="192" t="s">
        <v>276</v>
      </c>
      <c r="AR1086" s="184" t="s">
        <v>268</v>
      </c>
      <c r="AS1086" s="192" t="s">
        <v>276</v>
      </c>
      <c r="AT1086" s="192" t="s">
        <v>98</v>
      </c>
      <c r="AU1086" s="192" t="s">
        <v>276</v>
      </c>
      <c r="AV1086" s="192" t="s">
        <v>276</v>
      </c>
      <c r="AW1086" s="192" t="s">
        <v>276</v>
      </c>
      <c r="AX1086" s="184" t="s">
        <v>282</v>
      </c>
      <c r="AY1086" s="184" t="s">
        <v>98</v>
      </c>
      <c r="AZ1086" s="184" t="s">
        <v>98</v>
      </c>
      <c r="BA1086" s="184" t="s">
        <v>98</v>
      </c>
      <c r="BB1086" s="184" t="s">
        <v>98</v>
      </c>
      <c r="BC1086" s="185" t="s">
        <v>426</v>
      </c>
      <c r="BD1086" s="185"/>
      <c r="BE1086" s="33" t="s">
        <v>100</v>
      </c>
      <c r="BF1086" s="33" t="s">
        <v>98</v>
      </c>
    </row>
    <row r="1087" spans="1:58" s="339" customFormat="1" ht="52" x14ac:dyDescent="0.3">
      <c r="A1087" s="184">
        <v>4097</v>
      </c>
      <c r="B1087" s="184" t="s">
        <v>9306</v>
      </c>
      <c r="C1087" s="185" t="s">
        <v>9266</v>
      </c>
      <c r="D1087" s="185" t="s">
        <v>9472</v>
      </c>
      <c r="E1087" s="184" t="s">
        <v>35</v>
      </c>
      <c r="F1087" s="184" t="s">
        <v>97</v>
      </c>
      <c r="G1087" s="184" t="s">
        <v>225</v>
      </c>
      <c r="H1087" s="184" t="s">
        <v>125</v>
      </c>
      <c r="I1087" s="184" t="s">
        <v>114</v>
      </c>
      <c r="J1087" s="185" t="s">
        <v>24</v>
      </c>
      <c r="K1087" s="185" t="s">
        <v>9307</v>
      </c>
      <c r="L1087" s="185" t="s">
        <v>276</v>
      </c>
      <c r="M1087" s="184" t="s">
        <v>15</v>
      </c>
      <c r="N1087" s="336" t="s">
        <v>9350</v>
      </c>
      <c r="O1087" s="337" t="s">
        <v>207</v>
      </c>
      <c r="P1087" s="322" t="s">
        <v>98</v>
      </c>
      <c r="Q1087" s="185" t="s">
        <v>686</v>
      </c>
      <c r="R1087" s="185" t="s">
        <v>9576</v>
      </c>
      <c r="S1087" s="185" t="s">
        <v>9577</v>
      </c>
      <c r="T1087" s="187" t="s">
        <v>276</v>
      </c>
      <c r="U1087" s="189">
        <v>5033</v>
      </c>
      <c r="V1087" s="188">
        <v>4868</v>
      </c>
      <c r="W1087" s="184" t="s">
        <v>276</v>
      </c>
      <c r="X1087" s="184" t="s">
        <v>276</v>
      </c>
      <c r="Y1087" s="184" t="s">
        <v>276</v>
      </c>
      <c r="Z1087" s="185" t="s">
        <v>1562</v>
      </c>
      <c r="AA1087" s="184" t="s">
        <v>276</v>
      </c>
      <c r="AB1087" s="185" t="s">
        <v>1562</v>
      </c>
      <c r="AC1087" s="185" t="s">
        <v>9475</v>
      </c>
      <c r="AD1087" s="185" t="s">
        <v>9354</v>
      </c>
      <c r="AE1087" s="184">
        <v>1</v>
      </c>
      <c r="AF1087" s="184">
        <f>1+1+1</f>
        <v>3</v>
      </c>
      <c r="AG1087" s="189">
        <v>5033</v>
      </c>
      <c r="AH1087" s="188">
        <v>4868</v>
      </c>
      <c r="AI1087" s="188" t="s">
        <v>281</v>
      </c>
      <c r="AJ1087" s="192" t="s">
        <v>276</v>
      </c>
      <c r="AK1087" s="338">
        <f t="shared" si="151"/>
        <v>0.19868865487780649</v>
      </c>
      <c r="AL1087" s="192" t="s">
        <v>276</v>
      </c>
      <c r="AM1087" s="192" t="s">
        <v>276</v>
      </c>
      <c r="AN1087" s="192" t="s">
        <v>276</v>
      </c>
      <c r="AO1087" s="338">
        <f t="shared" si="152"/>
        <v>0.61626951520131468</v>
      </c>
      <c r="AP1087" s="192" t="s">
        <v>276</v>
      </c>
      <c r="AQ1087" s="192" t="s">
        <v>276</v>
      </c>
      <c r="AR1087" s="184" t="s">
        <v>268</v>
      </c>
      <c r="AS1087" s="192" t="s">
        <v>276</v>
      </c>
      <c r="AT1087" s="192">
        <f t="shared" ref="AT1087:AT1093" si="156">AK1087/AO1087</f>
        <v>0.32240545731505399</v>
      </c>
      <c r="AU1087" s="192" t="s">
        <v>276</v>
      </c>
      <c r="AV1087" s="192" t="s">
        <v>276</v>
      </c>
      <c r="AW1087" s="192" t="s">
        <v>276</v>
      </c>
      <c r="AX1087" s="184" t="s">
        <v>282</v>
      </c>
      <c r="AY1087" s="184" t="s">
        <v>98</v>
      </c>
      <c r="AZ1087" s="184" t="s">
        <v>98</v>
      </c>
      <c r="BA1087" s="184" t="s">
        <v>98</v>
      </c>
      <c r="BB1087" s="184" t="s">
        <v>98</v>
      </c>
      <c r="BC1087" s="185" t="s">
        <v>426</v>
      </c>
      <c r="BD1087" s="185"/>
      <c r="BE1087" s="33" t="s">
        <v>100</v>
      </c>
      <c r="BF1087" s="33" t="s">
        <v>98</v>
      </c>
    </row>
    <row r="1088" spans="1:58" s="339" customFormat="1" ht="52" x14ac:dyDescent="0.3">
      <c r="A1088" s="184">
        <v>4097</v>
      </c>
      <c r="B1088" s="184" t="s">
        <v>9306</v>
      </c>
      <c r="C1088" s="185" t="s">
        <v>9266</v>
      </c>
      <c r="D1088" s="185" t="s">
        <v>9476</v>
      </c>
      <c r="E1088" s="184" t="s">
        <v>35</v>
      </c>
      <c r="F1088" s="184" t="s">
        <v>97</v>
      </c>
      <c r="G1088" s="184" t="s">
        <v>225</v>
      </c>
      <c r="H1088" s="184" t="s">
        <v>125</v>
      </c>
      <c r="I1088" s="184" t="s">
        <v>114</v>
      </c>
      <c r="J1088" s="185" t="s">
        <v>24</v>
      </c>
      <c r="K1088" s="185" t="s">
        <v>9307</v>
      </c>
      <c r="L1088" s="185" t="s">
        <v>276</v>
      </c>
      <c r="M1088" s="184" t="s">
        <v>15</v>
      </c>
      <c r="N1088" s="336" t="s">
        <v>9350</v>
      </c>
      <c r="O1088" s="337" t="s">
        <v>207</v>
      </c>
      <c r="P1088" s="322" t="s">
        <v>98</v>
      </c>
      <c r="Q1088" s="185" t="s">
        <v>721</v>
      </c>
      <c r="R1088" s="185" t="s">
        <v>9578</v>
      </c>
      <c r="S1088" s="185" t="s">
        <v>9579</v>
      </c>
      <c r="T1088" s="187" t="s">
        <v>276</v>
      </c>
      <c r="U1088" s="189">
        <v>5033</v>
      </c>
      <c r="V1088" s="188">
        <v>4868</v>
      </c>
      <c r="W1088" s="184" t="s">
        <v>276</v>
      </c>
      <c r="X1088" s="184" t="s">
        <v>276</v>
      </c>
      <c r="Y1088" s="184" t="s">
        <v>276</v>
      </c>
      <c r="Z1088" s="185" t="s">
        <v>1562</v>
      </c>
      <c r="AA1088" s="184" t="s">
        <v>276</v>
      </c>
      <c r="AB1088" s="185" t="s">
        <v>1562</v>
      </c>
      <c r="AC1088" s="185" t="s">
        <v>9479</v>
      </c>
      <c r="AD1088" s="185" t="s">
        <v>9354</v>
      </c>
      <c r="AE1088" s="184">
        <f>1+2</f>
        <v>3</v>
      </c>
      <c r="AF1088" s="184">
        <f>1+1+1+0</f>
        <v>3</v>
      </c>
      <c r="AG1088" s="189">
        <v>5033</v>
      </c>
      <c r="AH1088" s="188">
        <v>4868</v>
      </c>
      <c r="AI1088" s="188" t="s">
        <v>281</v>
      </c>
      <c r="AJ1088" s="192" t="s">
        <v>276</v>
      </c>
      <c r="AK1088" s="338">
        <f t="shared" si="151"/>
        <v>0.59606596463341943</v>
      </c>
      <c r="AL1088" s="192" t="s">
        <v>276</v>
      </c>
      <c r="AM1088" s="192" t="s">
        <v>276</v>
      </c>
      <c r="AN1088" s="192" t="s">
        <v>276</v>
      </c>
      <c r="AO1088" s="338">
        <f t="shared" si="152"/>
        <v>0.61626951520131468</v>
      </c>
      <c r="AP1088" s="192" t="s">
        <v>276</v>
      </c>
      <c r="AQ1088" s="192" t="s">
        <v>276</v>
      </c>
      <c r="AR1088" s="184" t="s">
        <v>268</v>
      </c>
      <c r="AS1088" s="192" t="s">
        <v>276</v>
      </c>
      <c r="AT1088" s="192">
        <f t="shared" si="156"/>
        <v>0.96721637194516197</v>
      </c>
      <c r="AU1088" s="192" t="s">
        <v>276</v>
      </c>
      <c r="AV1088" s="192" t="s">
        <v>276</v>
      </c>
      <c r="AW1088" s="192" t="s">
        <v>276</v>
      </c>
      <c r="AX1088" s="184" t="s">
        <v>282</v>
      </c>
      <c r="AY1088" s="184" t="s">
        <v>98</v>
      </c>
      <c r="AZ1088" s="184" t="s">
        <v>98</v>
      </c>
      <c r="BA1088" s="184" t="s">
        <v>98</v>
      </c>
      <c r="BB1088" s="184" t="s">
        <v>98</v>
      </c>
      <c r="BC1088" s="185" t="s">
        <v>426</v>
      </c>
      <c r="BD1088" s="185"/>
      <c r="BE1088" s="33" t="s">
        <v>100</v>
      </c>
      <c r="BF1088" s="33" t="s">
        <v>98</v>
      </c>
    </row>
    <row r="1089" spans="1:58" s="339" customFormat="1" ht="52" x14ac:dyDescent="0.3">
      <c r="A1089" s="184">
        <v>4097</v>
      </c>
      <c r="B1089" s="184" t="s">
        <v>9306</v>
      </c>
      <c r="C1089" s="185" t="s">
        <v>9266</v>
      </c>
      <c r="D1089" s="185" t="s">
        <v>9480</v>
      </c>
      <c r="E1089" s="184" t="s">
        <v>35</v>
      </c>
      <c r="F1089" s="184" t="s">
        <v>97</v>
      </c>
      <c r="G1089" s="184" t="s">
        <v>225</v>
      </c>
      <c r="H1089" s="184" t="s">
        <v>125</v>
      </c>
      <c r="I1089" s="184" t="s">
        <v>114</v>
      </c>
      <c r="J1089" s="185" t="s">
        <v>24</v>
      </c>
      <c r="K1089" s="185" t="s">
        <v>9307</v>
      </c>
      <c r="L1089" s="185" t="s">
        <v>276</v>
      </c>
      <c r="M1089" s="184" t="s">
        <v>15</v>
      </c>
      <c r="N1089" s="336" t="s">
        <v>9350</v>
      </c>
      <c r="O1089" s="337" t="s">
        <v>207</v>
      </c>
      <c r="P1089" s="322" t="s">
        <v>98</v>
      </c>
      <c r="Q1089" s="185" t="s">
        <v>728</v>
      </c>
      <c r="R1089" s="185" t="s">
        <v>9580</v>
      </c>
      <c r="S1089" s="185" t="s">
        <v>9581</v>
      </c>
      <c r="T1089" s="187" t="s">
        <v>276</v>
      </c>
      <c r="U1089" s="189">
        <v>5033</v>
      </c>
      <c r="V1089" s="188">
        <v>4868</v>
      </c>
      <c r="W1089" s="184" t="s">
        <v>276</v>
      </c>
      <c r="X1089" s="184" t="s">
        <v>276</v>
      </c>
      <c r="Y1089" s="184" t="s">
        <v>276</v>
      </c>
      <c r="Z1089" s="185" t="s">
        <v>1562</v>
      </c>
      <c r="AA1089" s="184" t="s">
        <v>276</v>
      </c>
      <c r="AB1089" s="185" t="s">
        <v>1562</v>
      </c>
      <c r="AC1089" s="185" t="s">
        <v>9483</v>
      </c>
      <c r="AD1089" s="185" t="s">
        <v>9354</v>
      </c>
      <c r="AE1089" s="184">
        <f>1+2+5</f>
        <v>8</v>
      </c>
      <c r="AF1089" s="184">
        <f>1+1+1+0+4</f>
        <v>7</v>
      </c>
      <c r="AG1089" s="189">
        <v>5033</v>
      </c>
      <c r="AH1089" s="188">
        <v>4868</v>
      </c>
      <c r="AI1089" s="188" t="s">
        <v>281</v>
      </c>
      <c r="AJ1089" s="192" t="s">
        <v>276</v>
      </c>
      <c r="AK1089" s="338">
        <f t="shared" si="151"/>
        <v>1.5895092390224519</v>
      </c>
      <c r="AL1089" s="192" t="s">
        <v>276</v>
      </c>
      <c r="AM1089" s="192" t="s">
        <v>276</v>
      </c>
      <c r="AN1089" s="192" t="s">
        <v>276</v>
      </c>
      <c r="AO1089" s="338">
        <f t="shared" si="152"/>
        <v>1.4379622021364009</v>
      </c>
      <c r="AP1089" s="192" t="s">
        <v>276</v>
      </c>
      <c r="AQ1089" s="192" t="s">
        <v>276</v>
      </c>
      <c r="AR1089" s="184" t="s">
        <v>268</v>
      </c>
      <c r="AS1089" s="192" t="s">
        <v>276</v>
      </c>
      <c r="AT1089" s="192">
        <f t="shared" si="156"/>
        <v>1.1053901393658994</v>
      </c>
      <c r="AU1089" s="192" t="s">
        <v>276</v>
      </c>
      <c r="AV1089" s="192" t="s">
        <v>276</v>
      </c>
      <c r="AW1089" s="192" t="s">
        <v>276</v>
      </c>
      <c r="AX1089" s="184" t="s">
        <v>282</v>
      </c>
      <c r="AY1089" s="184" t="s">
        <v>98</v>
      </c>
      <c r="AZ1089" s="184" t="s">
        <v>98</v>
      </c>
      <c r="BA1089" s="184" t="s">
        <v>98</v>
      </c>
      <c r="BB1089" s="184" t="s">
        <v>98</v>
      </c>
      <c r="BC1089" s="185" t="s">
        <v>426</v>
      </c>
      <c r="BD1089" s="185"/>
      <c r="BE1089" s="33" t="s">
        <v>100</v>
      </c>
      <c r="BF1089" s="33" t="s">
        <v>98</v>
      </c>
    </row>
    <row r="1090" spans="1:58" s="339" customFormat="1" ht="52" x14ac:dyDescent="0.3">
      <c r="A1090" s="184">
        <v>4097</v>
      </c>
      <c r="B1090" s="184" t="s">
        <v>9306</v>
      </c>
      <c r="C1090" s="185" t="s">
        <v>9266</v>
      </c>
      <c r="D1090" s="185" t="s">
        <v>9484</v>
      </c>
      <c r="E1090" s="184" t="s">
        <v>35</v>
      </c>
      <c r="F1090" s="184" t="s">
        <v>97</v>
      </c>
      <c r="G1090" s="184" t="s">
        <v>225</v>
      </c>
      <c r="H1090" s="184" t="s">
        <v>125</v>
      </c>
      <c r="I1090" s="184" t="s">
        <v>114</v>
      </c>
      <c r="J1090" s="185" t="s">
        <v>24</v>
      </c>
      <c r="K1090" s="185" t="s">
        <v>9307</v>
      </c>
      <c r="L1090" s="185" t="s">
        <v>276</v>
      </c>
      <c r="M1090" s="184" t="s">
        <v>15</v>
      </c>
      <c r="N1090" s="336" t="s">
        <v>9350</v>
      </c>
      <c r="O1090" s="337" t="s">
        <v>207</v>
      </c>
      <c r="P1090" s="322" t="s">
        <v>98</v>
      </c>
      <c r="Q1090" s="185" t="s">
        <v>733</v>
      </c>
      <c r="R1090" s="185" t="s">
        <v>9582</v>
      </c>
      <c r="S1090" s="185" t="s">
        <v>9583</v>
      </c>
      <c r="T1090" s="187" t="s">
        <v>276</v>
      </c>
      <c r="U1090" s="189">
        <v>5033</v>
      </c>
      <c r="V1090" s="188">
        <v>4868</v>
      </c>
      <c r="W1090" s="184" t="s">
        <v>276</v>
      </c>
      <c r="X1090" s="184" t="s">
        <v>276</v>
      </c>
      <c r="Y1090" s="184" t="s">
        <v>276</v>
      </c>
      <c r="Z1090" s="185" t="s">
        <v>1562</v>
      </c>
      <c r="AA1090" s="184" t="s">
        <v>276</v>
      </c>
      <c r="AB1090" s="185" t="s">
        <v>1562</v>
      </c>
      <c r="AC1090" s="185" t="s">
        <v>9487</v>
      </c>
      <c r="AD1090" s="185" t="s">
        <v>9354</v>
      </c>
      <c r="AE1090" s="184">
        <f>1+2+5+1</f>
        <v>9</v>
      </c>
      <c r="AF1090" s="184">
        <f>1+1+1+0+4+4</f>
        <v>11</v>
      </c>
      <c r="AG1090" s="189">
        <v>5033</v>
      </c>
      <c r="AH1090" s="188">
        <v>4868</v>
      </c>
      <c r="AI1090" s="188" t="s">
        <v>281</v>
      </c>
      <c r="AJ1090" s="192" t="s">
        <v>276</v>
      </c>
      <c r="AK1090" s="338">
        <f t="shared" si="151"/>
        <v>1.7881978939002583</v>
      </c>
      <c r="AL1090" s="192" t="s">
        <v>276</v>
      </c>
      <c r="AM1090" s="192" t="s">
        <v>276</v>
      </c>
      <c r="AN1090" s="192" t="s">
        <v>276</v>
      </c>
      <c r="AO1090" s="338">
        <f t="shared" si="152"/>
        <v>2.2596548890714874</v>
      </c>
      <c r="AP1090" s="192" t="s">
        <v>276</v>
      </c>
      <c r="AQ1090" s="192" t="s">
        <v>276</v>
      </c>
      <c r="AR1090" s="184" t="s">
        <v>268</v>
      </c>
      <c r="AS1090" s="192" t="s">
        <v>276</v>
      </c>
      <c r="AT1090" s="192">
        <f t="shared" si="156"/>
        <v>0.79135884977331428</v>
      </c>
      <c r="AU1090" s="192" t="s">
        <v>276</v>
      </c>
      <c r="AV1090" s="192" t="s">
        <v>276</v>
      </c>
      <c r="AW1090" s="192" t="s">
        <v>276</v>
      </c>
      <c r="AX1090" s="184" t="s">
        <v>282</v>
      </c>
      <c r="AY1090" s="184" t="s">
        <v>98</v>
      </c>
      <c r="AZ1090" s="184" t="s">
        <v>98</v>
      </c>
      <c r="BA1090" s="184" t="s">
        <v>98</v>
      </c>
      <c r="BB1090" s="184" t="s">
        <v>98</v>
      </c>
      <c r="BC1090" s="185" t="s">
        <v>426</v>
      </c>
      <c r="BD1090" s="185"/>
      <c r="BE1090" s="33" t="s">
        <v>100</v>
      </c>
      <c r="BF1090" s="33" t="s">
        <v>98</v>
      </c>
    </row>
    <row r="1091" spans="1:58" s="339" customFormat="1" ht="52" x14ac:dyDescent="0.3">
      <c r="A1091" s="184">
        <v>4097</v>
      </c>
      <c r="B1091" s="184" t="s">
        <v>9306</v>
      </c>
      <c r="C1091" s="185" t="s">
        <v>9266</v>
      </c>
      <c r="D1091" s="185" t="s">
        <v>9488</v>
      </c>
      <c r="E1091" s="184" t="s">
        <v>35</v>
      </c>
      <c r="F1091" s="184" t="s">
        <v>97</v>
      </c>
      <c r="G1091" s="184" t="s">
        <v>225</v>
      </c>
      <c r="H1091" s="184" t="s">
        <v>125</v>
      </c>
      <c r="I1091" s="184" t="s">
        <v>114</v>
      </c>
      <c r="J1091" s="185" t="s">
        <v>24</v>
      </c>
      <c r="K1091" s="185" t="s">
        <v>9307</v>
      </c>
      <c r="L1091" s="185" t="s">
        <v>276</v>
      </c>
      <c r="M1091" s="184" t="s">
        <v>15</v>
      </c>
      <c r="N1091" s="336" t="s">
        <v>9350</v>
      </c>
      <c r="O1091" s="337" t="s">
        <v>207</v>
      </c>
      <c r="P1091" s="322" t="s">
        <v>98</v>
      </c>
      <c r="Q1091" s="185" t="s">
        <v>741</v>
      </c>
      <c r="R1091" s="185" t="s">
        <v>9584</v>
      </c>
      <c r="S1091" s="185" t="s">
        <v>9585</v>
      </c>
      <c r="T1091" s="187" t="s">
        <v>276</v>
      </c>
      <c r="U1091" s="189">
        <v>5033</v>
      </c>
      <c r="V1091" s="188">
        <v>4868</v>
      </c>
      <c r="W1091" s="184" t="s">
        <v>276</v>
      </c>
      <c r="X1091" s="184" t="s">
        <v>276</v>
      </c>
      <c r="Y1091" s="184" t="s">
        <v>276</v>
      </c>
      <c r="Z1091" s="185" t="s">
        <v>1562</v>
      </c>
      <c r="AA1091" s="184" t="s">
        <v>276</v>
      </c>
      <c r="AB1091" s="185" t="s">
        <v>1562</v>
      </c>
      <c r="AC1091" s="185" t="s">
        <v>9491</v>
      </c>
      <c r="AD1091" s="185" t="s">
        <v>9354</v>
      </c>
      <c r="AE1091" s="184">
        <f>1+2+5+1+4</f>
        <v>13</v>
      </c>
      <c r="AF1091" s="184">
        <f>1+1+1+0+4+4+3</f>
        <v>14</v>
      </c>
      <c r="AG1091" s="189">
        <v>5033</v>
      </c>
      <c r="AH1091" s="188">
        <v>4868</v>
      </c>
      <c r="AI1091" s="188" t="s">
        <v>281</v>
      </c>
      <c r="AJ1091" s="192" t="s">
        <v>276</v>
      </c>
      <c r="AK1091" s="338">
        <f t="shared" si="151"/>
        <v>2.5829525134114841</v>
      </c>
      <c r="AL1091" s="192" t="s">
        <v>276</v>
      </c>
      <c r="AM1091" s="192" t="s">
        <v>276</v>
      </c>
      <c r="AN1091" s="192" t="s">
        <v>276</v>
      </c>
      <c r="AO1091" s="338">
        <f t="shared" si="152"/>
        <v>2.8759244042728018</v>
      </c>
      <c r="AP1091" s="192" t="s">
        <v>276</v>
      </c>
      <c r="AQ1091" s="192" t="s">
        <v>276</v>
      </c>
      <c r="AR1091" s="184" t="s">
        <v>268</v>
      </c>
      <c r="AS1091" s="192" t="s">
        <v>276</v>
      </c>
      <c r="AT1091" s="192">
        <f t="shared" si="156"/>
        <v>0.89812948823479322</v>
      </c>
      <c r="AU1091" s="192" t="s">
        <v>276</v>
      </c>
      <c r="AV1091" s="192" t="s">
        <v>276</v>
      </c>
      <c r="AW1091" s="192" t="s">
        <v>276</v>
      </c>
      <c r="AX1091" s="184" t="s">
        <v>282</v>
      </c>
      <c r="AY1091" s="184" t="s">
        <v>98</v>
      </c>
      <c r="AZ1091" s="184" t="s">
        <v>98</v>
      </c>
      <c r="BA1091" s="184" t="s">
        <v>98</v>
      </c>
      <c r="BB1091" s="184" t="s">
        <v>98</v>
      </c>
      <c r="BC1091" s="185" t="s">
        <v>426</v>
      </c>
      <c r="BD1091" s="185"/>
      <c r="BE1091" s="33" t="s">
        <v>100</v>
      </c>
      <c r="BF1091" s="33" t="s">
        <v>98</v>
      </c>
    </row>
    <row r="1092" spans="1:58" s="339" customFormat="1" ht="52" x14ac:dyDescent="0.3">
      <c r="A1092" s="184">
        <v>4097</v>
      </c>
      <c r="B1092" s="184" t="s">
        <v>9306</v>
      </c>
      <c r="C1092" s="185" t="s">
        <v>9266</v>
      </c>
      <c r="D1092" s="185" t="s">
        <v>9492</v>
      </c>
      <c r="E1092" s="184" t="s">
        <v>35</v>
      </c>
      <c r="F1092" s="184" t="s">
        <v>97</v>
      </c>
      <c r="G1092" s="184" t="s">
        <v>225</v>
      </c>
      <c r="H1092" s="184" t="s">
        <v>125</v>
      </c>
      <c r="I1092" s="184" t="s">
        <v>114</v>
      </c>
      <c r="J1092" s="185" t="s">
        <v>24</v>
      </c>
      <c r="K1092" s="185" t="s">
        <v>9307</v>
      </c>
      <c r="L1092" s="185" t="s">
        <v>276</v>
      </c>
      <c r="M1092" s="184" t="s">
        <v>15</v>
      </c>
      <c r="N1092" s="336" t="s">
        <v>9350</v>
      </c>
      <c r="O1092" s="337" t="s">
        <v>207</v>
      </c>
      <c r="P1092" s="322" t="s">
        <v>98</v>
      </c>
      <c r="Q1092" s="185" t="s">
        <v>746</v>
      </c>
      <c r="R1092" s="185" t="s">
        <v>9586</v>
      </c>
      <c r="S1092" s="185" t="s">
        <v>9587</v>
      </c>
      <c r="T1092" s="187" t="s">
        <v>276</v>
      </c>
      <c r="U1092" s="189">
        <v>5033</v>
      </c>
      <c r="V1092" s="188">
        <v>4868</v>
      </c>
      <c r="W1092" s="184" t="s">
        <v>276</v>
      </c>
      <c r="X1092" s="184" t="s">
        <v>276</v>
      </c>
      <c r="Y1092" s="184" t="s">
        <v>276</v>
      </c>
      <c r="Z1092" s="185" t="s">
        <v>1562</v>
      </c>
      <c r="AA1092" s="184" t="s">
        <v>276</v>
      </c>
      <c r="AB1092" s="185" t="s">
        <v>1562</v>
      </c>
      <c r="AC1092" s="185" t="s">
        <v>9495</v>
      </c>
      <c r="AD1092" s="185" t="s">
        <v>9354</v>
      </c>
      <c r="AE1092" s="184">
        <f>1+2+5+1+4+1</f>
        <v>14</v>
      </c>
      <c r="AF1092" s="184">
        <f>1+1+1+0+4+4+3+1</f>
        <v>15</v>
      </c>
      <c r="AG1092" s="189">
        <v>5033</v>
      </c>
      <c r="AH1092" s="188">
        <v>4868</v>
      </c>
      <c r="AI1092" s="188" t="s">
        <v>281</v>
      </c>
      <c r="AJ1092" s="192" t="s">
        <v>276</v>
      </c>
      <c r="AK1092" s="338">
        <f t="shared" si="151"/>
        <v>2.7816411682892905</v>
      </c>
      <c r="AL1092" s="192" t="s">
        <v>276</v>
      </c>
      <c r="AM1092" s="192" t="s">
        <v>276</v>
      </c>
      <c r="AN1092" s="192" t="s">
        <v>276</v>
      </c>
      <c r="AO1092" s="338">
        <f t="shared" si="152"/>
        <v>3.0813475760065736</v>
      </c>
      <c r="AP1092" s="192" t="s">
        <v>276</v>
      </c>
      <c r="AQ1092" s="192" t="s">
        <v>276</v>
      </c>
      <c r="AR1092" s="184" t="s">
        <v>268</v>
      </c>
      <c r="AS1092" s="192" t="s">
        <v>276</v>
      </c>
      <c r="AT1092" s="192">
        <f t="shared" si="156"/>
        <v>0.90273528048215101</v>
      </c>
      <c r="AU1092" s="192" t="s">
        <v>276</v>
      </c>
      <c r="AV1092" s="192" t="s">
        <v>276</v>
      </c>
      <c r="AW1092" s="192" t="s">
        <v>276</v>
      </c>
      <c r="AX1092" s="184" t="s">
        <v>282</v>
      </c>
      <c r="AY1092" s="184" t="s">
        <v>98</v>
      </c>
      <c r="AZ1092" s="184" t="s">
        <v>98</v>
      </c>
      <c r="BA1092" s="184" t="s">
        <v>98</v>
      </c>
      <c r="BB1092" s="184" t="s">
        <v>98</v>
      </c>
      <c r="BC1092" s="185" t="s">
        <v>426</v>
      </c>
      <c r="BD1092" s="185"/>
      <c r="BE1092" s="33" t="s">
        <v>100</v>
      </c>
      <c r="BF1092" s="33" t="s">
        <v>98</v>
      </c>
    </row>
    <row r="1093" spans="1:58" s="339" customFormat="1" ht="52" x14ac:dyDescent="0.3">
      <c r="A1093" s="184">
        <v>4097</v>
      </c>
      <c r="B1093" s="184" t="s">
        <v>9306</v>
      </c>
      <c r="C1093" s="185" t="s">
        <v>9266</v>
      </c>
      <c r="D1093" s="185" t="s">
        <v>9496</v>
      </c>
      <c r="E1093" s="184" t="s">
        <v>35</v>
      </c>
      <c r="F1093" s="184" t="s">
        <v>97</v>
      </c>
      <c r="G1093" s="184" t="s">
        <v>225</v>
      </c>
      <c r="H1093" s="184" t="s">
        <v>125</v>
      </c>
      <c r="I1093" s="184" t="s">
        <v>114</v>
      </c>
      <c r="J1093" s="185" t="s">
        <v>24</v>
      </c>
      <c r="K1093" s="185" t="s">
        <v>9307</v>
      </c>
      <c r="L1093" s="185" t="s">
        <v>276</v>
      </c>
      <c r="M1093" s="184" t="s">
        <v>15</v>
      </c>
      <c r="N1093" s="336" t="s">
        <v>9350</v>
      </c>
      <c r="O1093" s="337" t="s">
        <v>207</v>
      </c>
      <c r="P1093" s="322" t="s">
        <v>98</v>
      </c>
      <c r="Q1093" s="185" t="s">
        <v>766</v>
      </c>
      <c r="R1093" s="185" t="s">
        <v>9588</v>
      </c>
      <c r="S1093" s="185" t="s">
        <v>9589</v>
      </c>
      <c r="T1093" s="187" t="s">
        <v>276</v>
      </c>
      <c r="U1093" s="189">
        <v>5033</v>
      </c>
      <c r="V1093" s="188">
        <v>4868</v>
      </c>
      <c r="W1093" s="184" t="s">
        <v>276</v>
      </c>
      <c r="X1093" s="184" t="s">
        <v>276</v>
      </c>
      <c r="Y1093" s="184" t="s">
        <v>276</v>
      </c>
      <c r="Z1093" s="185" t="s">
        <v>1562</v>
      </c>
      <c r="AA1093" s="184" t="s">
        <v>276</v>
      </c>
      <c r="AB1093" s="185" t="s">
        <v>1562</v>
      </c>
      <c r="AC1093" s="185" t="s">
        <v>9499</v>
      </c>
      <c r="AD1093" s="185" t="s">
        <v>9354</v>
      </c>
      <c r="AE1093" s="184">
        <f>1+2+5+1+4+1+2</f>
        <v>16</v>
      </c>
      <c r="AF1093" s="184">
        <f>1+1+1+0+4+4+3+1+3</f>
        <v>18</v>
      </c>
      <c r="AG1093" s="189">
        <v>5033</v>
      </c>
      <c r="AH1093" s="188">
        <v>4868</v>
      </c>
      <c r="AI1093" s="188" t="s">
        <v>281</v>
      </c>
      <c r="AJ1093" s="190">
        <v>4.2</v>
      </c>
      <c r="AK1093" s="338">
        <f t="shared" si="151"/>
        <v>3.1790184780449038</v>
      </c>
      <c r="AL1093" s="192" t="s">
        <v>276</v>
      </c>
      <c r="AM1093" s="192" t="s">
        <v>276</v>
      </c>
      <c r="AN1093" s="190">
        <v>5.3</v>
      </c>
      <c r="AO1093" s="338">
        <f t="shared" si="152"/>
        <v>3.6976170912078881</v>
      </c>
      <c r="AP1093" s="192" t="s">
        <v>276</v>
      </c>
      <c r="AQ1093" s="192" t="s">
        <v>276</v>
      </c>
      <c r="AR1093" s="184" t="s">
        <v>268</v>
      </c>
      <c r="AS1093" s="192" t="s">
        <v>276</v>
      </c>
      <c r="AT1093" s="192">
        <f t="shared" si="156"/>
        <v>0.8597478861734773</v>
      </c>
      <c r="AU1093" s="192" t="s">
        <v>276</v>
      </c>
      <c r="AV1093" s="192" t="s">
        <v>276</v>
      </c>
      <c r="AW1093" s="192" t="s">
        <v>276</v>
      </c>
      <c r="AX1093" s="184" t="s">
        <v>282</v>
      </c>
      <c r="AY1093" s="184" t="s">
        <v>98</v>
      </c>
      <c r="AZ1093" s="184" t="s">
        <v>98</v>
      </c>
      <c r="BA1093" s="184" t="s">
        <v>98</v>
      </c>
      <c r="BB1093" s="184" t="s">
        <v>98</v>
      </c>
      <c r="BC1093" s="185" t="s">
        <v>426</v>
      </c>
      <c r="BD1093" s="346" t="s">
        <v>11547</v>
      </c>
      <c r="BE1093" s="33" t="s">
        <v>100</v>
      </c>
      <c r="BF1093" s="33" t="s">
        <v>98</v>
      </c>
    </row>
    <row r="1094" spans="1:58" s="202" customFormat="1" ht="52" x14ac:dyDescent="0.3">
      <c r="A1094" s="175">
        <v>4097</v>
      </c>
      <c r="B1094" s="175" t="s">
        <v>9306</v>
      </c>
      <c r="C1094" s="176" t="s">
        <v>9266</v>
      </c>
      <c r="D1094" s="176" t="s">
        <v>9500</v>
      </c>
      <c r="E1094" s="175" t="s">
        <v>35</v>
      </c>
      <c r="F1094" s="175" t="s">
        <v>97</v>
      </c>
      <c r="G1094" s="175" t="s">
        <v>225</v>
      </c>
      <c r="H1094" s="175" t="s">
        <v>125</v>
      </c>
      <c r="I1094" s="175" t="s">
        <v>114</v>
      </c>
      <c r="J1094" s="176" t="s">
        <v>24</v>
      </c>
      <c r="K1094" s="176" t="s">
        <v>9307</v>
      </c>
      <c r="L1094" s="176" t="s">
        <v>276</v>
      </c>
      <c r="M1094" s="175" t="s">
        <v>15</v>
      </c>
      <c r="N1094" s="198" t="s">
        <v>9254</v>
      </c>
      <c r="O1094" s="199" t="s">
        <v>207</v>
      </c>
      <c r="P1094" s="200" t="s">
        <v>98</v>
      </c>
      <c r="Q1094" s="176" t="s">
        <v>705</v>
      </c>
      <c r="R1094" s="176" t="s">
        <v>11548</v>
      </c>
      <c r="S1094" s="176" t="s">
        <v>11548</v>
      </c>
      <c r="T1094" s="178" t="s">
        <v>276</v>
      </c>
      <c r="U1094" s="180">
        <v>38491</v>
      </c>
      <c r="V1094" s="179">
        <v>37403</v>
      </c>
      <c r="W1094" s="175" t="s">
        <v>276</v>
      </c>
      <c r="X1094" s="175" t="s">
        <v>276</v>
      </c>
      <c r="Y1094" s="175" t="s">
        <v>276</v>
      </c>
      <c r="Z1094" s="176" t="s">
        <v>1562</v>
      </c>
      <c r="AA1094" s="175" t="s">
        <v>276</v>
      </c>
      <c r="AB1094" s="176" t="s">
        <v>1562</v>
      </c>
      <c r="AC1094" s="176" t="s">
        <v>9501</v>
      </c>
      <c r="AD1094" s="176" t="s">
        <v>9258</v>
      </c>
      <c r="AE1094" s="175">
        <v>0</v>
      </c>
      <c r="AF1094" s="175">
        <v>3</v>
      </c>
      <c r="AG1094" s="180">
        <v>38491</v>
      </c>
      <c r="AH1094" s="179">
        <v>37403</v>
      </c>
      <c r="AI1094" s="179" t="s">
        <v>281</v>
      </c>
      <c r="AJ1094" s="181" t="s">
        <v>276</v>
      </c>
      <c r="AK1094" s="201">
        <f t="shared" si="151"/>
        <v>0</v>
      </c>
      <c r="AL1094" s="181" t="s">
        <v>276</v>
      </c>
      <c r="AM1094" s="181" t="s">
        <v>276</v>
      </c>
      <c r="AN1094" s="181" t="s">
        <v>276</v>
      </c>
      <c r="AO1094" s="201">
        <f t="shared" si="152"/>
        <v>8.0207469989038313E-2</v>
      </c>
      <c r="AP1094" s="181" t="s">
        <v>276</v>
      </c>
      <c r="AQ1094" s="181" t="s">
        <v>276</v>
      </c>
      <c r="AR1094" s="175" t="s">
        <v>268</v>
      </c>
      <c r="AS1094" s="181" t="s">
        <v>276</v>
      </c>
      <c r="AT1094" s="181" t="s">
        <v>98</v>
      </c>
      <c r="AU1094" s="181" t="s">
        <v>276</v>
      </c>
      <c r="AV1094" s="181" t="s">
        <v>276</v>
      </c>
      <c r="AW1094" s="175">
        <v>0.03</v>
      </c>
      <c r="AX1094" s="175" t="s">
        <v>282</v>
      </c>
      <c r="AY1094" s="175" t="s">
        <v>98</v>
      </c>
      <c r="AZ1094" s="175" t="s">
        <v>98</v>
      </c>
      <c r="BA1094" s="175" t="s">
        <v>98</v>
      </c>
      <c r="BB1094" s="175" t="s">
        <v>98</v>
      </c>
      <c r="BC1094" s="176" t="s">
        <v>426</v>
      </c>
      <c r="BD1094" s="176"/>
      <c r="BE1094" s="33" t="s">
        <v>100</v>
      </c>
      <c r="BF1094" s="33" t="s">
        <v>98</v>
      </c>
    </row>
    <row r="1095" spans="1:58" s="202" customFormat="1" ht="52" x14ac:dyDescent="0.3">
      <c r="A1095" s="175">
        <v>4097</v>
      </c>
      <c r="B1095" s="175" t="s">
        <v>9306</v>
      </c>
      <c r="C1095" s="176" t="s">
        <v>9266</v>
      </c>
      <c r="D1095" s="176" t="s">
        <v>9502</v>
      </c>
      <c r="E1095" s="175" t="s">
        <v>35</v>
      </c>
      <c r="F1095" s="175" t="s">
        <v>97</v>
      </c>
      <c r="G1095" s="175" t="s">
        <v>225</v>
      </c>
      <c r="H1095" s="175" t="s">
        <v>125</v>
      </c>
      <c r="I1095" s="175" t="s">
        <v>114</v>
      </c>
      <c r="J1095" s="176" t="s">
        <v>24</v>
      </c>
      <c r="K1095" s="176" t="s">
        <v>9307</v>
      </c>
      <c r="L1095" s="176" t="s">
        <v>276</v>
      </c>
      <c r="M1095" s="175" t="s">
        <v>15</v>
      </c>
      <c r="N1095" s="198" t="s">
        <v>9254</v>
      </c>
      <c r="O1095" s="199" t="s">
        <v>207</v>
      </c>
      <c r="P1095" s="200" t="s">
        <v>98</v>
      </c>
      <c r="Q1095" s="176" t="s">
        <v>710</v>
      </c>
      <c r="R1095" s="176" t="s">
        <v>11548</v>
      </c>
      <c r="S1095" s="176" t="s">
        <v>11548</v>
      </c>
      <c r="T1095" s="178" t="s">
        <v>276</v>
      </c>
      <c r="U1095" s="180">
        <v>38491</v>
      </c>
      <c r="V1095" s="179">
        <v>37403</v>
      </c>
      <c r="W1095" s="175" t="s">
        <v>276</v>
      </c>
      <c r="X1095" s="175" t="s">
        <v>276</v>
      </c>
      <c r="Y1095" s="175" t="s">
        <v>276</v>
      </c>
      <c r="Z1095" s="176" t="s">
        <v>1562</v>
      </c>
      <c r="AA1095" s="175" t="s">
        <v>276</v>
      </c>
      <c r="AB1095" s="176" t="s">
        <v>1562</v>
      </c>
      <c r="AC1095" s="176" t="s">
        <v>9503</v>
      </c>
      <c r="AD1095" s="176" t="s">
        <v>9258</v>
      </c>
      <c r="AE1095" s="175">
        <f>8</f>
        <v>8</v>
      </c>
      <c r="AF1095" s="175">
        <f>3+6</f>
        <v>9</v>
      </c>
      <c r="AG1095" s="180">
        <v>38491</v>
      </c>
      <c r="AH1095" s="179">
        <v>37403</v>
      </c>
      <c r="AI1095" s="179" t="s">
        <v>281</v>
      </c>
      <c r="AJ1095" s="181" t="s">
        <v>276</v>
      </c>
      <c r="AK1095" s="201">
        <f t="shared" si="151"/>
        <v>0.20784079395183289</v>
      </c>
      <c r="AL1095" s="181" t="s">
        <v>276</v>
      </c>
      <c r="AM1095" s="181" t="s">
        <v>276</v>
      </c>
      <c r="AN1095" s="181" t="s">
        <v>276</v>
      </c>
      <c r="AO1095" s="201">
        <f t="shared" si="152"/>
        <v>0.24062240996711493</v>
      </c>
      <c r="AP1095" s="181" t="s">
        <v>276</v>
      </c>
      <c r="AQ1095" s="181" t="s">
        <v>276</v>
      </c>
      <c r="AR1095" s="175" t="s">
        <v>268</v>
      </c>
      <c r="AS1095" s="181" t="s">
        <v>276</v>
      </c>
      <c r="AT1095" s="181">
        <f t="shared" ref="AT1095:AT1148" si="157">AK1095/AO1095</f>
        <v>0.8637632462422673</v>
      </c>
      <c r="AU1095" s="181" t="s">
        <v>276</v>
      </c>
      <c r="AV1095" s="181" t="s">
        <v>276</v>
      </c>
      <c r="AW1095" s="181" t="s">
        <v>276</v>
      </c>
      <c r="AX1095" s="175" t="s">
        <v>282</v>
      </c>
      <c r="AY1095" s="175" t="s">
        <v>98</v>
      </c>
      <c r="AZ1095" s="175" t="s">
        <v>98</v>
      </c>
      <c r="BA1095" s="175" t="s">
        <v>98</v>
      </c>
      <c r="BB1095" s="175" t="s">
        <v>98</v>
      </c>
      <c r="BC1095" s="176" t="s">
        <v>426</v>
      </c>
      <c r="BD1095" s="176"/>
      <c r="BE1095" s="33" t="s">
        <v>100</v>
      </c>
      <c r="BF1095" s="33" t="s">
        <v>98</v>
      </c>
    </row>
    <row r="1096" spans="1:58" s="202" customFormat="1" ht="52" x14ac:dyDescent="0.3">
      <c r="A1096" s="175">
        <v>4097</v>
      </c>
      <c r="B1096" s="175" t="s">
        <v>9306</v>
      </c>
      <c r="C1096" s="176" t="s">
        <v>9266</v>
      </c>
      <c r="D1096" s="176" t="s">
        <v>9504</v>
      </c>
      <c r="E1096" s="175" t="s">
        <v>35</v>
      </c>
      <c r="F1096" s="175" t="s">
        <v>97</v>
      </c>
      <c r="G1096" s="175" t="s">
        <v>225</v>
      </c>
      <c r="H1096" s="175" t="s">
        <v>125</v>
      </c>
      <c r="I1096" s="175" t="s">
        <v>114</v>
      </c>
      <c r="J1096" s="176" t="s">
        <v>24</v>
      </c>
      <c r="K1096" s="176" t="s">
        <v>9307</v>
      </c>
      <c r="L1096" s="176" t="s">
        <v>276</v>
      </c>
      <c r="M1096" s="175" t="s">
        <v>15</v>
      </c>
      <c r="N1096" s="198" t="s">
        <v>9254</v>
      </c>
      <c r="O1096" s="199" t="s">
        <v>207</v>
      </c>
      <c r="P1096" s="200" t="s">
        <v>98</v>
      </c>
      <c r="Q1096" s="176" t="s">
        <v>686</v>
      </c>
      <c r="R1096" s="176" t="s">
        <v>11548</v>
      </c>
      <c r="S1096" s="176" t="s">
        <v>11548</v>
      </c>
      <c r="T1096" s="178" t="s">
        <v>276</v>
      </c>
      <c r="U1096" s="180">
        <v>38491</v>
      </c>
      <c r="V1096" s="179">
        <v>37403</v>
      </c>
      <c r="W1096" s="175" t="s">
        <v>276</v>
      </c>
      <c r="X1096" s="175" t="s">
        <v>276</v>
      </c>
      <c r="Y1096" s="175" t="s">
        <v>276</v>
      </c>
      <c r="Z1096" s="176" t="s">
        <v>1562</v>
      </c>
      <c r="AA1096" s="175" t="s">
        <v>276</v>
      </c>
      <c r="AB1096" s="176" t="s">
        <v>1562</v>
      </c>
      <c r="AC1096" s="176" t="s">
        <v>9505</v>
      </c>
      <c r="AD1096" s="176" t="s">
        <v>9258</v>
      </c>
      <c r="AE1096" s="175">
        <f>8+9</f>
        <v>17</v>
      </c>
      <c r="AF1096" s="175">
        <f>3+6+10</f>
        <v>19</v>
      </c>
      <c r="AG1096" s="180">
        <v>38491</v>
      </c>
      <c r="AH1096" s="179">
        <v>37403</v>
      </c>
      <c r="AI1096" s="179" t="s">
        <v>281</v>
      </c>
      <c r="AJ1096" s="181" t="s">
        <v>276</v>
      </c>
      <c r="AK1096" s="201">
        <f t="shared" si="151"/>
        <v>0.44166168714764492</v>
      </c>
      <c r="AL1096" s="181" t="s">
        <v>276</v>
      </c>
      <c r="AM1096" s="181" t="s">
        <v>276</v>
      </c>
      <c r="AN1096" s="181" t="s">
        <v>276</v>
      </c>
      <c r="AO1096" s="201">
        <f t="shared" si="152"/>
        <v>0.50798064326390935</v>
      </c>
      <c r="AP1096" s="181" t="s">
        <v>276</v>
      </c>
      <c r="AQ1096" s="181" t="s">
        <v>276</v>
      </c>
      <c r="AR1096" s="175" t="s">
        <v>268</v>
      </c>
      <c r="AS1096" s="181" t="s">
        <v>276</v>
      </c>
      <c r="AT1096" s="181">
        <f t="shared" si="157"/>
        <v>0.86944589917807169</v>
      </c>
      <c r="AU1096" s="181" t="s">
        <v>276</v>
      </c>
      <c r="AV1096" s="181" t="s">
        <v>276</v>
      </c>
      <c r="AW1096" s="181" t="s">
        <v>276</v>
      </c>
      <c r="AX1096" s="175" t="s">
        <v>282</v>
      </c>
      <c r="AY1096" s="175" t="s">
        <v>98</v>
      </c>
      <c r="AZ1096" s="175" t="s">
        <v>98</v>
      </c>
      <c r="BA1096" s="175" t="s">
        <v>98</v>
      </c>
      <c r="BB1096" s="175" t="s">
        <v>98</v>
      </c>
      <c r="BC1096" s="176" t="s">
        <v>426</v>
      </c>
      <c r="BD1096" s="176"/>
      <c r="BE1096" s="33" t="s">
        <v>100</v>
      </c>
      <c r="BF1096" s="33" t="s">
        <v>98</v>
      </c>
    </row>
    <row r="1097" spans="1:58" s="202" customFormat="1" ht="52" x14ac:dyDescent="0.3">
      <c r="A1097" s="175">
        <v>4097</v>
      </c>
      <c r="B1097" s="175" t="s">
        <v>9306</v>
      </c>
      <c r="C1097" s="176" t="s">
        <v>9266</v>
      </c>
      <c r="D1097" s="176" t="s">
        <v>9506</v>
      </c>
      <c r="E1097" s="175" t="s">
        <v>35</v>
      </c>
      <c r="F1097" s="175" t="s">
        <v>97</v>
      </c>
      <c r="G1097" s="175" t="s">
        <v>225</v>
      </c>
      <c r="H1097" s="175" t="s">
        <v>125</v>
      </c>
      <c r="I1097" s="175" t="s">
        <v>114</v>
      </c>
      <c r="J1097" s="176" t="s">
        <v>24</v>
      </c>
      <c r="K1097" s="176" t="s">
        <v>9307</v>
      </c>
      <c r="L1097" s="176" t="s">
        <v>276</v>
      </c>
      <c r="M1097" s="175" t="s">
        <v>15</v>
      </c>
      <c r="N1097" s="198" t="s">
        <v>9254</v>
      </c>
      <c r="O1097" s="199" t="s">
        <v>207</v>
      </c>
      <c r="P1097" s="200" t="s">
        <v>98</v>
      </c>
      <c r="Q1097" s="176" t="s">
        <v>721</v>
      </c>
      <c r="R1097" s="176" t="s">
        <v>11548</v>
      </c>
      <c r="S1097" s="176" t="s">
        <v>11548</v>
      </c>
      <c r="T1097" s="178" t="s">
        <v>276</v>
      </c>
      <c r="U1097" s="180">
        <v>38491</v>
      </c>
      <c r="V1097" s="179">
        <v>37403</v>
      </c>
      <c r="W1097" s="175" t="s">
        <v>276</v>
      </c>
      <c r="X1097" s="175" t="s">
        <v>276</v>
      </c>
      <c r="Y1097" s="175" t="s">
        <v>276</v>
      </c>
      <c r="Z1097" s="176" t="s">
        <v>1562</v>
      </c>
      <c r="AA1097" s="175" t="s">
        <v>276</v>
      </c>
      <c r="AB1097" s="176" t="s">
        <v>1562</v>
      </c>
      <c r="AC1097" s="176" t="s">
        <v>9507</v>
      </c>
      <c r="AD1097" s="176" t="s">
        <v>9258</v>
      </c>
      <c r="AE1097" s="175">
        <f>8+9+10</f>
        <v>27</v>
      </c>
      <c r="AF1097" s="175">
        <f>3+6+10+5</f>
        <v>24</v>
      </c>
      <c r="AG1097" s="180">
        <v>38491</v>
      </c>
      <c r="AH1097" s="179">
        <v>37403</v>
      </c>
      <c r="AI1097" s="179" t="s">
        <v>281</v>
      </c>
      <c r="AJ1097" s="181" t="s">
        <v>276</v>
      </c>
      <c r="AK1097" s="201">
        <f t="shared" si="151"/>
        <v>0.70146267958743602</v>
      </c>
      <c r="AL1097" s="181" t="s">
        <v>276</v>
      </c>
      <c r="AM1097" s="181" t="s">
        <v>276</v>
      </c>
      <c r="AN1097" s="181" t="s">
        <v>276</v>
      </c>
      <c r="AO1097" s="201">
        <f t="shared" si="152"/>
        <v>0.6416597599123065</v>
      </c>
      <c r="AP1097" s="181" t="s">
        <v>276</v>
      </c>
      <c r="AQ1097" s="181" t="s">
        <v>276</v>
      </c>
      <c r="AR1097" s="175" t="s">
        <v>268</v>
      </c>
      <c r="AS1097" s="181" t="s">
        <v>276</v>
      </c>
      <c r="AT1097" s="181">
        <f t="shared" si="157"/>
        <v>1.0932003585253696</v>
      </c>
      <c r="AU1097" s="181" t="s">
        <v>276</v>
      </c>
      <c r="AV1097" s="181" t="s">
        <v>276</v>
      </c>
      <c r="AW1097" s="181" t="s">
        <v>276</v>
      </c>
      <c r="AX1097" s="175" t="s">
        <v>282</v>
      </c>
      <c r="AY1097" s="175" t="s">
        <v>98</v>
      </c>
      <c r="AZ1097" s="175" t="s">
        <v>98</v>
      </c>
      <c r="BA1097" s="175" t="s">
        <v>98</v>
      </c>
      <c r="BB1097" s="175" t="s">
        <v>98</v>
      </c>
      <c r="BC1097" s="176" t="s">
        <v>426</v>
      </c>
      <c r="BD1097" s="176"/>
      <c r="BE1097" s="33" t="s">
        <v>100</v>
      </c>
      <c r="BF1097" s="33" t="s">
        <v>98</v>
      </c>
    </row>
    <row r="1098" spans="1:58" s="202" customFormat="1" ht="52" x14ac:dyDescent="0.3">
      <c r="A1098" s="175">
        <v>4097</v>
      </c>
      <c r="B1098" s="175" t="s">
        <v>9306</v>
      </c>
      <c r="C1098" s="176" t="s">
        <v>9266</v>
      </c>
      <c r="D1098" s="176" t="s">
        <v>9508</v>
      </c>
      <c r="E1098" s="175" t="s">
        <v>35</v>
      </c>
      <c r="F1098" s="175" t="s">
        <v>97</v>
      </c>
      <c r="G1098" s="175" t="s">
        <v>225</v>
      </c>
      <c r="H1098" s="175" t="s">
        <v>125</v>
      </c>
      <c r="I1098" s="175" t="s">
        <v>114</v>
      </c>
      <c r="J1098" s="176" t="s">
        <v>24</v>
      </c>
      <c r="K1098" s="176" t="s">
        <v>9307</v>
      </c>
      <c r="L1098" s="176" t="s">
        <v>276</v>
      </c>
      <c r="M1098" s="175" t="s">
        <v>15</v>
      </c>
      <c r="N1098" s="198" t="s">
        <v>9254</v>
      </c>
      <c r="O1098" s="199" t="s">
        <v>207</v>
      </c>
      <c r="P1098" s="200" t="s">
        <v>98</v>
      </c>
      <c r="Q1098" s="176" t="s">
        <v>728</v>
      </c>
      <c r="R1098" s="176" t="s">
        <v>11548</v>
      </c>
      <c r="S1098" s="176" t="s">
        <v>11548</v>
      </c>
      <c r="T1098" s="178" t="s">
        <v>276</v>
      </c>
      <c r="U1098" s="180">
        <v>38491</v>
      </c>
      <c r="V1098" s="179">
        <v>37403</v>
      </c>
      <c r="W1098" s="175" t="s">
        <v>276</v>
      </c>
      <c r="X1098" s="175" t="s">
        <v>276</v>
      </c>
      <c r="Y1098" s="175" t="s">
        <v>276</v>
      </c>
      <c r="Z1098" s="176" t="s">
        <v>1562</v>
      </c>
      <c r="AA1098" s="175" t="s">
        <v>276</v>
      </c>
      <c r="AB1098" s="176" t="s">
        <v>1562</v>
      </c>
      <c r="AC1098" s="176" t="s">
        <v>9509</v>
      </c>
      <c r="AD1098" s="176" t="s">
        <v>9258</v>
      </c>
      <c r="AE1098" s="175">
        <f>8+9+10+9</f>
        <v>36</v>
      </c>
      <c r="AF1098" s="175">
        <f>3+6+10+5+17</f>
        <v>41</v>
      </c>
      <c r="AG1098" s="180">
        <v>38491</v>
      </c>
      <c r="AH1098" s="179">
        <v>37403</v>
      </c>
      <c r="AI1098" s="179" t="s">
        <v>281</v>
      </c>
      <c r="AJ1098" s="181" t="s">
        <v>276</v>
      </c>
      <c r="AK1098" s="201">
        <f t="shared" si="151"/>
        <v>0.93528357278324803</v>
      </c>
      <c r="AL1098" s="181" t="s">
        <v>276</v>
      </c>
      <c r="AM1098" s="181" t="s">
        <v>276</v>
      </c>
      <c r="AN1098" s="181" t="s">
        <v>276</v>
      </c>
      <c r="AO1098" s="201">
        <f t="shared" si="152"/>
        <v>1.096168756516857</v>
      </c>
      <c r="AP1098" s="181" t="s">
        <v>276</v>
      </c>
      <c r="AQ1098" s="181" t="s">
        <v>276</v>
      </c>
      <c r="AR1098" s="175" t="s">
        <v>268</v>
      </c>
      <c r="AS1098" s="181" t="s">
        <v>276</v>
      </c>
      <c r="AT1098" s="181">
        <f t="shared" si="157"/>
        <v>0.85322954811736162</v>
      </c>
      <c r="AU1098" s="181" t="s">
        <v>276</v>
      </c>
      <c r="AV1098" s="181" t="s">
        <v>276</v>
      </c>
      <c r="AW1098" s="181" t="s">
        <v>276</v>
      </c>
      <c r="AX1098" s="175" t="s">
        <v>282</v>
      </c>
      <c r="AY1098" s="175" t="s">
        <v>98</v>
      </c>
      <c r="AZ1098" s="175" t="s">
        <v>98</v>
      </c>
      <c r="BA1098" s="175" t="s">
        <v>98</v>
      </c>
      <c r="BB1098" s="175" t="s">
        <v>98</v>
      </c>
      <c r="BC1098" s="176" t="s">
        <v>426</v>
      </c>
      <c r="BD1098" s="176"/>
      <c r="BE1098" s="33" t="s">
        <v>100</v>
      </c>
      <c r="BF1098" s="33" t="s">
        <v>98</v>
      </c>
    </row>
    <row r="1099" spans="1:58" s="202" customFormat="1" ht="52" x14ac:dyDescent="0.3">
      <c r="A1099" s="175">
        <v>4097</v>
      </c>
      <c r="B1099" s="175" t="s">
        <v>9306</v>
      </c>
      <c r="C1099" s="176" t="s">
        <v>9266</v>
      </c>
      <c r="D1099" s="176" t="s">
        <v>9510</v>
      </c>
      <c r="E1099" s="175" t="s">
        <v>35</v>
      </c>
      <c r="F1099" s="175" t="s">
        <v>97</v>
      </c>
      <c r="G1099" s="175" t="s">
        <v>225</v>
      </c>
      <c r="H1099" s="175" t="s">
        <v>125</v>
      </c>
      <c r="I1099" s="175" t="s">
        <v>114</v>
      </c>
      <c r="J1099" s="176" t="s">
        <v>24</v>
      </c>
      <c r="K1099" s="176" t="s">
        <v>9307</v>
      </c>
      <c r="L1099" s="176" t="s">
        <v>276</v>
      </c>
      <c r="M1099" s="175" t="s">
        <v>15</v>
      </c>
      <c r="N1099" s="198" t="s">
        <v>9254</v>
      </c>
      <c r="O1099" s="199" t="s">
        <v>207</v>
      </c>
      <c r="P1099" s="200" t="s">
        <v>98</v>
      </c>
      <c r="Q1099" s="176" t="s">
        <v>733</v>
      </c>
      <c r="R1099" s="176" t="s">
        <v>11548</v>
      </c>
      <c r="S1099" s="176" t="s">
        <v>11548</v>
      </c>
      <c r="T1099" s="178" t="s">
        <v>276</v>
      </c>
      <c r="U1099" s="180">
        <v>38491</v>
      </c>
      <c r="V1099" s="179">
        <v>37403</v>
      </c>
      <c r="W1099" s="175" t="s">
        <v>276</v>
      </c>
      <c r="X1099" s="175" t="s">
        <v>276</v>
      </c>
      <c r="Y1099" s="175" t="s">
        <v>276</v>
      </c>
      <c r="Z1099" s="176" t="s">
        <v>1562</v>
      </c>
      <c r="AA1099" s="175" t="s">
        <v>276</v>
      </c>
      <c r="AB1099" s="176" t="s">
        <v>1562</v>
      </c>
      <c r="AC1099" s="176" t="s">
        <v>9511</v>
      </c>
      <c r="AD1099" s="176" t="s">
        <v>9258</v>
      </c>
      <c r="AE1099" s="175">
        <f>8+9+10+9+12</f>
        <v>48</v>
      </c>
      <c r="AF1099" s="175">
        <f>3+6+10+5+17+19</f>
        <v>60</v>
      </c>
      <c r="AG1099" s="180">
        <v>38491</v>
      </c>
      <c r="AH1099" s="179">
        <v>37403</v>
      </c>
      <c r="AI1099" s="179" t="s">
        <v>281</v>
      </c>
      <c r="AJ1099" s="181" t="s">
        <v>276</v>
      </c>
      <c r="AK1099" s="201">
        <f t="shared" si="151"/>
        <v>1.2470447637109974</v>
      </c>
      <c r="AL1099" s="181" t="s">
        <v>276</v>
      </c>
      <c r="AM1099" s="181" t="s">
        <v>276</v>
      </c>
      <c r="AN1099" s="181" t="s">
        <v>276</v>
      </c>
      <c r="AO1099" s="201">
        <f t="shared" si="152"/>
        <v>1.6041493997807663</v>
      </c>
      <c r="AP1099" s="181" t="s">
        <v>276</v>
      </c>
      <c r="AQ1099" s="181" t="s">
        <v>276</v>
      </c>
      <c r="AR1099" s="175" t="s">
        <v>268</v>
      </c>
      <c r="AS1099" s="181" t="s">
        <v>276</v>
      </c>
      <c r="AT1099" s="181">
        <f t="shared" si="157"/>
        <v>0.77738692161804057</v>
      </c>
      <c r="AU1099" s="181" t="s">
        <v>276</v>
      </c>
      <c r="AV1099" s="181" t="s">
        <v>276</v>
      </c>
      <c r="AW1099" s="181" t="s">
        <v>276</v>
      </c>
      <c r="AX1099" s="175" t="s">
        <v>282</v>
      </c>
      <c r="AY1099" s="175" t="s">
        <v>98</v>
      </c>
      <c r="AZ1099" s="175" t="s">
        <v>98</v>
      </c>
      <c r="BA1099" s="175" t="s">
        <v>98</v>
      </c>
      <c r="BB1099" s="175" t="s">
        <v>98</v>
      </c>
      <c r="BC1099" s="176" t="s">
        <v>426</v>
      </c>
      <c r="BD1099" s="176"/>
      <c r="BE1099" s="33" t="s">
        <v>100</v>
      </c>
      <c r="BF1099" s="33" t="s">
        <v>98</v>
      </c>
    </row>
    <row r="1100" spans="1:58" s="202" customFormat="1" ht="52" x14ac:dyDescent="0.3">
      <c r="A1100" s="175">
        <v>4097</v>
      </c>
      <c r="B1100" s="175" t="s">
        <v>9306</v>
      </c>
      <c r="C1100" s="176" t="s">
        <v>9266</v>
      </c>
      <c r="D1100" s="176" t="s">
        <v>9512</v>
      </c>
      <c r="E1100" s="175" t="s">
        <v>35</v>
      </c>
      <c r="F1100" s="175" t="s">
        <v>97</v>
      </c>
      <c r="G1100" s="175" t="s">
        <v>225</v>
      </c>
      <c r="H1100" s="175" t="s">
        <v>125</v>
      </c>
      <c r="I1100" s="175" t="s">
        <v>114</v>
      </c>
      <c r="J1100" s="176" t="s">
        <v>24</v>
      </c>
      <c r="K1100" s="176" t="s">
        <v>9307</v>
      </c>
      <c r="L1100" s="176" t="s">
        <v>276</v>
      </c>
      <c r="M1100" s="175" t="s">
        <v>15</v>
      </c>
      <c r="N1100" s="198" t="s">
        <v>9254</v>
      </c>
      <c r="O1100" s="199" t="s">
        <v>207</v>
      </c>
      <c r="P1100" s="200" t="s">
        <v>98</v>
      </c>
      <c r="Q1100" s="176" t="s">
        <v>741</v>
      </c>
      <c r="R1100" s="176" t="s">
        <v>11548</v>
      </c>
      <c r="S1100" s="176" t="s">
        <v>11548</v>
      </c>
      <c r="T1100" s="178" t="s">
        <v>276</v>
      </c>
      <c r="U1100" s="180">
        <v>38491</v>
      </c>
      <c r="V1100" s="179">
        <v>37403</v>
      </c>
      <c r="W1100" s="175" t="s">
        <v>276</v>
      </c>
      <c r="X1100" s="175" t="s">
        <v>276</v>
      </c>
      <c r="Y1100" s="175" t="s">
        <v>276</v>
      </c>
      <c r="Z1100" s="176" t="s">
        <v>1562</v>
      </c>
      <c r="AA1100" s="175" t="s">
        <v>276</v>
      </c>
      <c r="AB1100" s="176" t="s">
        <v>1562</v>
      </c>
      <c r="AC1100" s="176" t="s">
        <v>9513</v>
      </c>
      <c r="AD1100" s="176" t="s">
        <v>9258</v>
      </c>
      <c r="AE1100" s="175">
        <f>8+9+10+9+12+17</f>
        <v>65</v>
      </c>
      <c r="AF1100" s="175">
        <f>3+6+10+5+17+19+22</f>
        <v>82</v>
      </c>
      <c r="AG1100" s="180">
        <v>38491</v>
      </c>
      <c r="AH1100" s="179">
        <v>37403</v>
      </c>
      <c r="AI1100" s="179" t="s">
        <v>281</v>
      </c>
      <c r="AJ1100" s="181" t="s">
        <v>276</v>
      </c>
      <c r="AK1100" s="201">
        <f t="shared" si="151"/>
        <v>1.6887064508586422</v>
      </c>
      <c r="AL1100" s="181" t="s">
        <v>276</v>
      </c>
      <c r="AM1100" s="181" t="s">
        <v>276</v>
      </c>
      <c r="AN1100" s="181" t="s">
        <v>276</v>
      </c>
      <c r="AO1100" s="201">
        <f t="shared" si="152"/>
        <v>2.1923375130337139</v>
      </c>
      <c r="AP1100" s="181" t="s">
        <v>276</v>
      </c>
      <c r="AQ1100" s="181" t="s">
        <v>276</v>
      </c>
      <c r="AR1100" s="175" t="s">
        <v>268</v>
      </c>
      <c r="AS1100" s="181" t="s">
        <v>276</v>
      </c>
      <c r="AT1100" s="181">
        <f t="shared" si="157"/>
        <v>0.77027667538372924</v>
      </c>
      <c r="AU1100" s="181" t="s">
        <v>276</v>
      </c>
      <c r="AV1100" s="181" t="s">
        <v>276</v>
      </c>
      <c r="AW1100" s="181" t="s">
        <v>276</v>
      </c>
      <c r="AX1100" s="175" t="s">
        <v>282</v>
      </c>
      <c r="AY1100" s="175" t="s">
        <v>98</v>
      </c>
      <c r="AZ1100" s="175" t="s">
        <v>98</v>
      </c>
      <c r="BA1100" s="175" t="s">
        <v>98</v>
      </c>
      <c r="BB1100" s="175" t="s">
        <v>98</v>
      </c>
      <c r="BC1100" s="176" t="s">
        <v>426</v>
      </c>
      <c r="BD1100" s="176"/>
      <c r="BE1100" s="33" t="s">
        <v>100</v>
      </c>
      <c r="BF1100" s="33" t="s">
        <v>98</v>
      </c>
    </row>
    <row r="1101" spans="1:58" s="202" customFormat="1" ht="52" x14ac:dyDescent="0.3">
      <c r="A1101" s="175">
        <v>4097</v>
      </c>
      <c r="B1101" s="175" t="s">
        <v>9306</v>
      </c>
      <c r="C1101" s="176" t="s">
        <v>9266</v>
      </c>
      <c r="D1101" s="176" t="s">
        <v>9514</v>
      </c>
      <c r="E1101" s="175" t="s">
        <v>35</v>
      </c>
      <c r="F1101" s="175" t="s">
        <v>97</v>
      </c>
      <c r="G1101" s="175" t="s">
        <v>225</v>
      </c>
      <c r="H1101" s="175" t="s">
        <v>125</v>
      </c>
      <c r="I1101" s="175" t="s">
        <v>114</v>
      </c>
      <c r="J1101" s="176" t="s">
        <v>24</v>
      </c>
      <c r="K1101" s="176" t="s">
        <v>9307</v>
      </c>
      <c r="L1101" s="176" t="s">
        <v>276</v>
      </c>
      <c r="M1101" s="175" t="s">
        <v>15</v>
      </c>
      <c r="N1101" s="198" t="s">
        <v>9254</v>
      </c>
      <c r="O1101" s="199" t="s">
        <v>207</v>
      </c>
      <c r="P1101" s="200" t="s">
        <v>98</v>
      </c>
      <c r="Q1101" s="176" t="s">
        <v>746</v>
      </c>
      <c r="R1101" s="176" t="s">
        <v>11548</v>
      </c>
      <c r="S1101" s="176" t="s">
        <v>11548</v>
      </c>
      <c r="T1101" s="178" t="s">
        <v>276</v>
      </c>
      <c r="U1101" s="180">
        <v>38491</v>
      </c>
      <c r="V1101" s="179">
        <v>37403</v>
      </c>
      <c r="W1101" s="175" t="s">
        <v>276</v>
      </c>
      <c r="X1101" s="175" t="s">
        <v>276</v>
      </c>
      <c r="Y1101" s="175" t="s">
        <v>276</v>
      </c>
      <c r="Z1101" s="176" t="s">
        <v>1562</v>
      </c>
      <c r="AA1101" s="175" t="s">
        <v>276</v>
      </c>
      <c r="AB1101" s="176" t="s">
        <v>1562</v>
      </c>
      <c r="AC1101" s="176" t="s">
        <v>9515</v>
      </c>
      <c r="AD1101" s="176" t="s">
        <v>9258</v>
      </c>
      <c r="AE1101" s="175">
        <f>8+9+10+9+12+17+11</f>
        <v>76</v>
      </c>
      <c r="AF1101" s="175">
        <f>3+6+10+5+17+19+22+15</f>
        <v>97</v>
      </c>
      <c r="AG1101" s="180">
        <v>38491</v>
      </c>
      <c r="AH1101" s="179">
        <v>37403</v>
      </c>
      <c r="AI1101" s="179" t="s">
        <v>281</v>
      </c>
      <c r="AJ1101" s="181" t="s">
        <v>276</v>
      </c>
      <c r="AK1101" s="201">
        <f t="shared" si="151"/>
        <v>1.9744875425424124</v>
      </c>
      <c r="AL1101" s="181" t="s">
        <v>276</v>
      </c>
      <c r="AM1101" s="181" t="s">
        <v>276</v>
      </c>
      <c r="AN1101" s="181" t="s">
        <v>276</v>
      </c>
      <c r="AO1101" s="201">
        <f t="shared" si="152"/>
        <v>2.5933748629789055</v>
      </c>
      <c r="AP1101" s="181" t="s">
        <v>276</v>
      </c>
      <c r="AQ1101" s="181" t="s">
        <v>276</v>
      </c>
      <c r="AR1101" s="175" t="s">
        <v>268</v>
      </c>
      <c r="AS1101" s="181" t="s">
        <v>276</v>
      </c>
      <c r="AT1101" s="181">
        <f t="shared" si="157"/>
        <v>0.7613583252960191</v>
      </c>
      <c r="AU1101" s="181" t="s">
        <v>276</v>
      </c>
      <c r="AV1101" s="181" t="s">
        <v>276</v>
      </c>
      <c r="AW1101" s="181" t="s">
        <v>276</v>
      </c>
      <c r="AX1101" s="175" t="s">
        <v>282</v>
      </c>
      <c r="AY1101" s="175" t="s">
        <v>98</v>
      </c>
      <c r="AZ1101" s="175" t="s">
        <v>98</v>
      </c>
      <c r="BA1101" s="175" t="s">
        <v>98</v>
      </c>
      <c r="BB1101" s="175" t="s">
        <v>98</v>
      </c>
      <c r="BC1101" s="176" t="s">
        <v>426</v>
      </c>
      <c r="BD1101" s="176"/>
      <c r="BE1101" s="33" t="s">
        <v>100</v>
      </c>
      <c r="BF1101" s="33" t="s">
        <v>98</v>
      </c>
    </row>
    <row r="1102" spans="1:58" s="202" customFormat="1" ht="52" x14ac:dyDescent="0.3">
      <c r="A1102" s="175">
        <v>4097</v>
      </c>
      <c r="B1102" s="175" t="s">
        <v>9306</v>
      </c>
      <c r="C1102" s="176" t="s">
        <v>9266</v>
      </c>
      <c r="D1102" s="176" t="s">
        <v>9516</v>
      </c>
      <c r="E1102" s="175" t="s">
        <v>35</v>
      </c>
      <c r="F1102" s="175" t="s">
        <v>97</v>
      </c>
      <c r="G1102" s="175" t="s">
        <v>225</v>
      </c>
      <c r="H1102" s="175" t="s">
        <v>125</v>
      </c>
      <c r="I1102" s="175" t="s">
        <v>114</v>
      </c>
      <c r="J1102" s="176" t="s">
        <v>24</v>
      </c>
      <c r="K1102" s="176" t="s">
        <v>9307</v>
      </c>
      <c r="L1102" s="176" t="s">
        <v>276</v>
      </c>
      <c r="M1102" s="175" t="s">
        <v>15</v>
      </c>
      <c r="N1102" s="198" t="s">
        <v>9254</v>
      </c>
      <c r="O1102" s="199" t="s">
        <v>207</v>
      </c>
      <c r="P1102" s="200" t="s">
        <v>98</v>
      </c>
      <c r="Q1102" s="176" t="s">
        <v>766</v>
      </c>
      <c r="R1102" s="176" t="s">
        <v>11548</v>
      </c>
      <c r="S1102" s="176" t="s">
        <v>11548</v>
      </c>
      <c r="T1102" s="178" t="s">
        <v>276</v>
      </c>
      <c r="U1102" s="180">
        <v>38491</v>
      </c>
      <c r="V1102" s="179">
        <v>37403</v>
      </c>
      <c r="W1102" s="175" t="s">
        <v>276</v>
      </c>
      <c r="X1102" s="175" t="s">
        <v>276</v>
      </c>
      <c r="Y1102" s="175" t="s">
        <v>276</v>
      </c>
      <c r="Z1102" s="176" t="s">
        <v>1562</v>
      </c>
      <c r="AA1102" s="175" t="s">
        <v>276</v>
      </c>
      <c r="AB1102" s="176" t="s">
        <v>1562</v>
      </c>
      <c r="AC1102" s="176" t="s">
        <v>9517</v>
      </c>
      <c r="AD1102" s="176" t="s">
        <v>9258</v>
      </c>
      <c r="AE1102" s="175">
        <f>8+9+10+9+12+17+11+7</f>
        <v>83</v>
      </c>
      <c r="AF1102" s="175">
        <f>3+6+10+5+17+19+22+15+12</f>
        <v>109</v>
      </c>
      <c r="AG1102" s="180">
        <v>38491</v>
      </c>
      <c r="AH1102" s="179">
        <v>37403</v>
      </c>
      <c r="AI1102" s="179" t="s">
        <v>281</v>
      </c>
      <c r="AJ1102" s="181" t="s">
        <v>276</v>
      </c>
      <c r="AK1102" s="201">
        <f t="shared" si="151"/>
        <v>2.1563482372502665</v>
      </c>
      <c r="AL1102" s="181" t="s">
        <v>276</v>
      </c>
      <c r="AM1102" s="181" t="s">
        <v>276</v>
      </c>
      <c r="AN1102" s="181" t="s">
        <v>276</v>
      </c>
      <c r="AO1102" s="201">
        <f t="shared" si="152"/>
        <v>2.9142047429350586</v>
      </c>
      <c r="AP1102" s="181" t="s">
        <v>276</v>
      </c>
      <c r="AQ1102" s="181" t="s">
        <v>276</v>
      </c>
      <c r="AR1102" s="175" t="s">
        <v>268</v>
      </c>
      <c r="AS1102" s="181" t="s">
        <v>276</v>
      </c>
      <c r="AT1102" s="181">
        <f t="shared" si="157"/>
        <v>0.73994397355845609</v>
      </c>
      <c r="AU1102" s="181" t="s">
        <v>276</v>
      </c>
      <c r="AV1102" s="181" t="s">
        <v>276</v>
      </c>
      <c r="AW1102" s="181" t="s">
        <v>276</v>
      </c>
      <c r="AX1102" s="175" t="s">
        <v>282</v>
      </c>
      <c r="AY1102" s="175" t="s">
        <v>98</v>
      </c>
      <c r="AZ1102" s="175" t="s">
        <v>98</v>
      </c>
      <c r="BA1102" s="175" t="s">
        <v>98</v>
      </c>
      <c r="BB1102" s="175" t="s">
        <v>98</v>
      </c>
      <c r="BC1102" s="176" t="s">
        <v>426</v>
      </c>
      <c r="BD1102" s="176"/>
      <c r="BE1102" s="33" t="s">
        <v>100</v>
      </c>
      <c r="BF1102" s="33" t="s">
        <v>98</v>
      </c>
    </row>
    <row r="1103" spans="1:58" s="339" customFormat="1" ht="65" x14ac:dyDescent="0.3">
      <c r="A1103" s="184">
        <v>4097</v>
      </c>
      <c r="B1103" s="184" t="s">
        <v>9306</v>
      </c>
      <c r="C1103" s="185" t="s">
        <v>62</v>
      </c>
      <c r="D1103" s="185" t="s">
        <v>9590</v>
      </c>
      <c r="E1103" s="184" t="s">
        <v>35</v>
      </c>
      <c r="F1103" s="184" t="s">
        <v>97</v>
      </c>
      <c r="G1103" s="184" t="s">
        <v>225</v>
      </c>
      <c r="H1103" s="184" t="s">
        <v>125</v>
      </c>
      <c r="I1103" s="184" t="s">
        <v>114</v>
      </c>
      <c r="J1103" s="185" t="s">
        <v>23</v>
      </c>
      <c r="K1103" s="185" t="s">
        <v>9307</v>
      </c>
      <c r="L1103" s="185" t="s">
        <v>276</v>
      </c>
      <c r="M1103" s="184" t="s">
        <v>15</v>
      </c>
      <c r="N1103" s="336" t="s">
        <v>9254</v>
      </c>
      <c r="O1103" s="337" t="s">
        <v>207</v>
      </c>
      <c r="P1103" s="302" t="s">
        <v>9320</v>
      </c>
      <c r="Q1103" s="185" t="s">
        <v>276</v>
      </c>
      <c r="R1103" s="185" t="s">
        <v>9311</v>
      </c>
      <c r="S1103" s="185" t="s">
        <v>9311</v>
      </c>
      <c r="T1103" s="187" t="s">
        <v>276</v>
      </c>
      <c r="U1103" s="189">
        <v>77080</v>
      </c>
      <c r="V1103" s="188">
        <v>55985</v>
      </c>
      <c r="W1103" s="184" t="s">
        <v>276</v>
      </c>
      <c r="X1103" s="184" t="s">
        <v>276</v>
      </c>
      <c r="Y1103" s="184">
        <v>0</v>
      </c>
      <c r="Z1103" s="185" t="s">
        <v>98</v>
      </c>
      <c r="AA1103" s="184">
        <v>0</v>
      </c>
      <c r="AB1103" s="185" t="s">
        <v>98</v>
      </c>
      <c r="AC1103" s="185" t="s">
        <v>9591</v>
      </c>
      <c r="AD1103" s="185" t="s">
        <v>9258</v>
      </c>
      <c r="AE1103" s="184">
        <f>392+1102+2899+2869</f>
        <v>7262</v>
      </c>
      <c r="AF1103" s="184">
        <f>301+798+2080+2073</f>
        <v>5252</v>
      </c>
      <c r="AG1103" s="189">
        <v>77080</v>
      </c>
      <c r="AH1103" s="188">
        <v>55985</v>
      </c>
      <c r="AI1103" s="188" t="s">
        <v>281</v>
      </c>
      <c r="AJ1103" s="192" t="s">
        <v>276</v>
      </c>
      <c r="AK1103" s="338">
        <f t="shared" si="151"/>
        <v>94.213803840166065</v>
      </c>
      <c r="AL1103" s="192" t="s">
        <v>276</v>
      </c>
      <c r="AM1103" s="192" t="s">
        <v>276</v>
      </c>
      <c r="AN1103" s="192" t="s">
        <v>276</v>
      </c>
      <c r="AO1103" s="338">
        <f t="shared" si="152"/>
        <v>93.81084218987229</v>
      </c>
      <c r="AP1103" s="192" t="s">
        <v>276</v>
      </c>
      <c r="AQ1103" s="192" t="s">
        <v>276</v>
      </c>
      <c r="AR1103" s="184" t="s">
        <v>268</v>
      </c>
      <c r="AS1103" s="192" t="s">
        <v>276</v>
      </c>
      <c r="AT1103" s="192">
        <f t="shared" si="157"/>
        <v>1.0042954699146416</v>
      </c>
      <c r="AU1103" s="192" t="s">
        <v>276</v>
      </c>
      <c r="AV1103" s="192" t="s">
        <v>276</v>
      </c>
      <c r="AW1103" s="192" t="s">
        <v>276</v>
      </c>
      <c r="AX1103" s="184" t="s">
        <v>282</v>
      </c>
      <c r="AY1103" s="192" t="s">
        <v>98</v>
      </c>
      <c r="AZ1103" s="192" t="s">
        <v>98</v>
      </c>
      <c r="BA1103" s="192" t="s">
        <v>98</v>
      </c>
      <c r="BB1103" s="192" t="s">
        <v>98</v>
      </c>
      <c r="BC1103" s="185" t="s">
        <v>9592</v>
      </c>
      <c r="BD1103" s="185" t="s">
        <v>9593</v>
      </c>
      <c r="BE1103" s="33" t="s">
        <v>100</v>
      </c>
      <c r="BF1103" s="33" t="s">
        <v>98</v>
      </c>
    </row>
    <row r="1104" spans="1:58" s="339" customFormat="1" ht="65" x14ac:dyDescent="0.3">
      <c r="A1104" s="184">
        <v>4097</v>
      </c>
      <c r="B1104" s="184" t="s">
        <v>9306</v>
      </c>
      <c r="C1104" s="185" t="s">
        <v>62</v>
      </c>
      <c r="D1104" s="185" t="s">
        <v>9594</v>
      </c>
      <c r="E1104" s="184" t="s">
        <v>35</v>
      </c>
      <c r="F1104" s="184" t="s">
        <v>97</v>
      </c>
      <c r="G1104" s="184" t="s">
        <v>225</v>
      </c>
      <c r="H1104" s="184" t="s">
        <v>125</v>
      </c>
      <c r="I1104" s="184" t="s">
        <v>114</v>
      </c>
      <c r="J1104" s="185" t="s">
        <v>23</v>
      </c>
      <c r="K1104" s="185" t="s">
        <v>9307</v>
      </c>
      <c r="L1104" s="185" t="s">
        <v>276</v>
      </c>
      <c r="M1104" s="184" t="s">
        <v>15</v>
      </c>
      <c r="N1104" s="336" t="s">
        <v>9254</v>
      </c>
      <c r="O1104" s="337" t="s">
        <v>207</v>
      </c>
      <c r="P1104" s="302" t="s">
        <v>9320</v>
      </c>
      <c r="Q1104" s="185" t="s">
        <v>276</v>
      </c>
      <c r="R1104" s="185" t="s">
        <v>9311</v>
      </c>
      <c r="S1104" s="185" t="s">
        <v>9311</v>
      </c>
      <c r="T1104" s="187" t="s">
        <v>276</v>
      </c>
      <c r="U1104" s="189">
        <v>77080</v>
      </c>
      <c r="V1104" s="188">
        <v>55985</v>
      </c>
      <c r="W1104" s="184" t="s">
        <v>276</v>
      </c>
      <c r="X1104" s="184" t="s">
        <v>276</v>
      </c>
      <c r="Y1104" s="184">
        <v>0</v>
      </c>
      <c r="Z1104" s="185" t="s">
        <v>98</v>
      </c>
      <c r="AA1104" s="184">
        <v>0</v>
      </c>
      <c r="AB1104" s="185" t="s">
        <v>98</v>
      </c>
      <c r="AC1104" s="185" t="s">
        <v>9591</v>
      </c>
      <c r="AD1104" s="185" t="s">
        <v>9595</v>
      </c>
      <c r="AE1104" s="184">
        <f>392+1102+2899+2869</f>
        <v>7262</v>
      </c>
      <c r="AF1104" s="184">
        <f>301+798+2080+2073</f>
        <v>5252</v>
      </c>
      <c r="AG1104" s="185">
        <v>606655</v>
      </c>
      <c r="AH1104" s="185">
        <v>446221</v>
      </c>
      <c r="AI1104" s="188" t="s">
        <v>425</v>
      </c>
      <c r="AJ1104" s="192" t="s">
        <v>276</v>
      </c>
      <c r="AK1104" s="338">
        <f>AE1104*1000/AG1104</f>
        <v>11.970559873404159</v>
      </c>
      <c r="AL1104" s="192" t="s">
        <v>276</v>
      </c>
      <c r="AM1104" s="192" t="s">
        <v>276</v>
      </c>
      <c r="AN1104" s="192" t="s">
        <v>276</v>
      </c>
      <c r="AO1104" s="338">
        <f>AF1104*1000/AH1104</f>
        <v>11.769952557140968</v>
      </c>
      <c r="AP1104" s="192" t="s">
        <v>276</v>
      </c>
      <c r="AQ1104" s="192" t="s">
        <v>276</v>
      </c>
      <c r="AR1104" s="184" t="s">
        <v>269</v>
      </c>
      <c r="AS1104" s="192">
        <v>1.02</v>
      </c>
      <c r="AT1104" s="192">
        <f>AK1104/AO1104</f>
        <v>1.0170440208054603</v>
      </c>
      <c r="AU1104" s="192">
        <v>0.97</v>
      </c>
      <c r="AV1104" s="192">
        <v>1.06</v>
      </c>
      <c r="AW1104" s="190">
        <v>0.3</v>
      </c>
      <c r="AX1104" s="184" t="s">
        <v>9323</v>
      </c>
      <c r="AY1104" s="192">
        <v>0.99</v>
      </c>
      <c r="AZ1104" s="192">
        <v>0.95</v>
      </c>
      <c r="BA1104" s="192">
        <v>1.03</v>
      </c>
      <c r="BB1104" s="190">
        <v>0.5</v>
      </c>
      <c r="BC1104" s="185" t="s">
        <v>9596</v>
      </c>
      <c r="BD1104" s="185" t="s">
        <v>9593</v>
      </c>
      <c r="BE1104" s="33" t="s">
        <v>100</v>
      </c>
      <c r="BF1104" s="33" t="s">
        <v>98</v>
      </c>
    </row>
    <row r="1105" spans="1:58" s="202" customFormat="1" ht="65" x14ac:dyDescent="0.3">
      <c r="A1105" s="175">
        <v>4097</v>
      </c>
      <c r="B1105" s="175" t="s">
        <v>9306</v>
      </c>
      <c r="C1105" s="176" t="s">
        <v>62</v>
      </c>
      <c r="D1105" s="176" t="s">
        <v>9597</v>
      </c>
      <c r="E1105" s="175" t="s">
        <v>35</v>
      </c>
      <c r="F1105" s="175" t="s">
        <v>97</v>
      </c>
      <c r="G1105" s="175" t="s">
        <v>225</v>
      </c>
      <c r="H1105" s="175" t="s">
        <v>125</v>
      </c>
      <c r="I1105" s="175" t="s">
        <v>114</v>
      </c>
      <c r="J1105" s="176" t="s">
        <v>23</v>
      </c>
      <c r="K1105" s="176" t="s">
        <v>9307</v>
      </c>
      <c r="L1105" s="176" t="s">
        <v>276</v>
      </c>
      <c r="M1105" s="175" t="s">
        <v>15</v>
      </c>
      <c r="N1105" s="198" t="s">
        <v>3032</v>
      </c>
      <c r="O1105" s="199" t="s">
        <v>207</v>
      </c>
      <c r="P1105" s="304" t="s">
        <v>9320</v>
      </c>
      <c r="Q1105" s="176" t="s">
        <v>276</v>
      </c>
      <c r="R1105" s="176" t="s">
        <v>9326</v>
      </c>
      <c r="S1105" s="176" t="s">
        <v>9327</v>
      </c>
      <c r="T1105" s="178" t="s">
        <v>276</v>
      </c>
      <c r="U1105" s="180">
        <v>19844</v>
      </c>
      <c r="V1105" s="179">
        <v>15604</v>
      </c>
      <c r="W1105" s="175" t="s">
        <v>276</v>
      </c>
      <c r="X1105" s="175" t="s">
        <v>276</v>
      </c>
      <c r="Y1105" s="175">
        <v>0</v>
      </c>
      <c r="Z1105" s="176" t="s">
        <v>98</v>
      </c>
      <c r="AA1105" s="175">
        <v>0</v>
      </c>
      <c r="AB1105" s="176" t="s">
        <v>98</v>
      </c>
      <c r="AC1105" s="176" t="s">
        <v>9598</v>
      </c>
      <c r="AD1105" s="176" t="s">
        <v>9269</v>
      </c>
      <c r="AE1105" s="175">
        <f>13+15+175+189</f>
        <v>392</v>
      </c>
      <c r="AF1105" s="175">
        <f>9+15+65+212</f>
        <v>301</v>
      </c>
      <c r="AG1105" s="180">
        <v>19844</v>
      </c>
      <c r="AH1105" s="179">
        <v>15604</v>
      </c>
      <c r="AI1105" s="179" t="s">
        <v>281</v>
      </c>
      <c r="AJ1105" s="181" t="s">
        <v>276</v>
      </c>
      <c r="AK1105" s="201">
        <f t="shared" si="151"/>
        <v>19.754081838339044</v>
      </c>
      <c r="AL1105" s="181" t="s">
        <v>276</v>
      </c>
      <c r="AM1105" s="181" t="s">
        <v>276</v>
      </c>
      <c r="AN1105" s="181" t="s">
        <v>276</v>
      </c>
      <c r="AO1105" s="201">
        <f t="shared" si="152"/>
        <v>19.289925660087157</v>
      </c>
      <c r="AP1105" s="181" t="s">
        <v>276</v>
      </c>
      <c r="AQ1105" s="181" t="s">
        <v>276</v>
      </c>
      <c r="AR1105" s="175" t="s">
        <v>268</v>
      </c>
      <c r="AS1105" s="181" t="s">
        <v>276</v>
      </c>
      <c r="AT1105" s="181">
        <f t="shared" si="157"/>
        <v>1.0240621030081145</v>
      </c>
      <c r="AU1105" s="181" t="s">
        <v>276</v>
      </c>
      <c r="AV1105" s="181" t="s">
        <v>276</v>
      </c>
      <c r="AW1105" s="181" t="s">
        <v>276</v>
      </c>
      <c r="AX1105" s="175" t="s">
        <v>282</v>
      </c>
      <c r="AY1105" s="181" t="s">
        <v>98</v>
      </c>
      <c r="AZ1105" s="181" t="s">
        <v>98</v>
      </c>
      <c r="BA1105" s="181" t="s">
        <v>98</v>
      </c>
      <c r="BB1105" s="181" t="s">
        <v>98</v>
      </c>
      <c r="BC1105" s="176" t="s">
        <v>9592</v>
      </c>
      <c r="BD1105" s="176" t="s">
        <v>9593</v>
      </c>
      <c r="BE1105" s="33" t="s">
        <v>100</v>
      </c>
      <c r="BF1105" s="33" t="s">
        <v>98</v>
      </c>
    </row>
    <row r="1106" spans="1:58" s="202" customFormat="1" ht="65" x14ac:dyDescent="0.3">
      <c r="A1106" s="175">
        <v>4097</v>
      </c>
      <c r="B1106" s="175" t="s">
        <v>9306</v>
      </c>
      <c r="C1106" s="176" t="s">
        <v>62</v>
      </c>
      <c r="D1106" s="176" t="s">
        <v>9599</v>
      </c>
      <c r="E1106" s="175" t="s">
        <v>35</v>
      </c>
      <c r="F1106" s="175" t="s">
        <v>97</v>
      </c>
      <c r="G1106" s="175" t="s">
        <v>225</v>
      </c>
      <c r="H1106" s="175" t="s">
        <v>125</v>
      </c>
      <c r="I1106" s="175" t="s">
        <v>114</v>
      </c>
      <c r="J1106" s="176" t="s">
        <v>23</v>
      </c>
      <c r="K1106" s="176" t="s">
        <v>9307</v>
      </c>
      <c r="L1106" s="176" t="s">
        <v>276</v>
      </c>
      <c r="M1106" s="175" t="s">
        <v>15</v>
      </c>
      <c r="N1106" s="198" t="s">
        <v>3038</v>
      </c>
      <c r="O1106" s="199" t="s">
        <v>207</v>
      </c>
      <c r="P1106" s="304" t="s">
        <v>9320</v>
      </c>
      <c r="Q1106" s="176" t="s">
        <v>276</v>
      </c>
      <c r="R1106" s="176" t="s">
        <v>9334</v>
      </c>
      <c r="S1106" s="176" t="s">
        <v>9335</v>
      </c>
      <c r="T1106" s="178" t="s">
        <v>276</v>
      </c>
      <c r="U1106" s="180">
        <v>23485</v>
      </c>
      <c r="V1106" s="179">
        <v>16805</v>
      </c>
      <c r="W1106" s="175" t="s">
        <v>276</v>
      </c>
      <c r="X1106" s="175" t="s">
        <v>276</v>
      </c>
      <c r="Y1106" s="175">
        <v>0</v>
      </c>
      <c r="Z1106" s="176" t="s">
        <v>98</v>
      </c>
      <c r="AA1106" s="175">
        <v>0</v>
      </c>
      <c r="AB1106" s="176" t="s">
        <v>98</v>
      </c>
      <c r="AC1106" s="176" t="s">
        <v>9600</v>
      </c>
      <c r="AD1106" s="176" t="s">
        <v>9337</v>
      </c>
      <c r="AE1106" s="175">
        <f>20+25+532+525</f>
        <v>1102</v>
      </c>
      <c r="AF1106" s="175">
        <f>20+34+241+503</f>
        <v>798</v>
      </c>
      <c r="AG1106" s="180">
        <v>23485</v>
      </c>
      <c r="AH1106" s="179">
        <v>16805</v>
      </c>
      <c r="AI1106" s="179" t="s">
        <v>281</v>
      </c>
      <c r="AJ1106" s="181" t="s">
        <v>276</v>
      </c>
      <c r="AK1106" s="201">
        <f t="shared" si="151"/>
        <v>46.923568235043646</v>
      </c>
      <c r="AL1106" s="181" t="s">
        <v>276</v>
      </c>
      <c r="AM1106" s="181" t="s">
        <v>276</v>
      </c>
      <c r="AN1106" s="181" t="s">
        <v>276</v>
      </c>
      <c r="AO1106" s="201">
        <f t="shared" si="152"/>
        <v>47.485867301398393</v>
      </c>
      <c r="AP1106" s="181" t="s">
        <v>276</v>
      </c>
      <c r="AQ1106" s="181" t="s">
        <v>276</v>
      </c>
      <c r="AR1106" s="175" t="s">
        <v>268</v>
      </c>
      <c r="AS1106" s="181" t="s">
        <v>276</v>
      </c>
      <c r="AT1106" s="181">
        <f t="shared" si="157"/>
        <v>0.98815860174173997</v>
      </c>
      <c r="AU1106" s="181" t="s">
        <v>276</v>
      </c>
      <c r="AV1106" s="181" t="s">
        <v>276</v>
      </c>
      <c r="AW1106" s="181" t="s">
        <v>276</v>
      </c>
      <c r="AX1106" s="175" t="s">
        <v>282</v>
      </c>
      <c r="AY1106" s="181" t="s">
        <v>98</v>
      </c>
      <c r="AZ1106" s="181" t="s">
        <v>98</v>
      </c>
      <c r="BA1106" s="181" t="s">
        <v>98</v>
      </c>
      <c r="BB1106" s="181" t="s">
        <v>98</v>
      </c>
      <c r="BC1106" s="176" t="s">
        <v>9592</v>
      </c>
      <c r="BD1106" s="176" t="s">
        <v>9593</v>
      </c>
      <c r="BE1106" s="33" t="s">
        <v>100</v>
      </c>
      <c r="BF1106" s="33" t="s">
        <v>98</v>
      </c>
    </row>
    <row r="1107" spans="1:58" s="202" customFormat="1" ht="65" x14ac:dyDescent="0.3">
      <c r="A1107" s="175">
        <v>4097</v>
      </c>
      <c r="B1107" s="175" t="s">
        <v>9306</v>
      </c>
      <c r="C1107" s="176" t="s">
        <v>62</v>
      </c>
      <c r="D1107" s="176" t="s">
        <v>9601</v>
      </c>
      <c r="E1107" s="175" t="s">
        <v>35</v>
      </c>
      <c r="F1107" s="175" t="s">
        <v>97</v>
      </c>
      <c r="G1107" s="175" t="s">
        <v>225</v>
      </c>
      <c r="H1107" s="175" t="s">
        <v>125</v>
      </c>
      <c r="I1107" s="175" t="s">
        <v>114</v>
      </c>
      <c r="J1107" s="176" t="s">
        <v>23</v>
      </c>
      <c r="K1107" s="176" t="s">
        <v>9307</v>
      </c>
      <c r="L1107" s="176" t="s">
        <v>276</v>
      </c>
      <c r="M1107" s="175" t="s">
        <v>15</v>
      </c>
      <c r="N1107" s="198" t="s">
        <v>9342</v>
      </c>
      <c r="O1107" s="199" t="s">
        <v>207</v>
      </c>
      <c r="P1107" s="304" t="s">
        <v>9320</v>
      </c>
      <c r="Q1107" s="176" t="s">
        <v>276</v>
      </c>
      <c r="R1107" s="176" t="s">
        <v>9343</v>
      </c>
      <c r="S1107" s="176" t="s">
        <v>9344</v>
      </c>
      <c r="T1107" s="178" t="s">
        <v>276</v>
      </c>
      <c r="U1107" s="180">
        <v>23412</v>
      </c>
      <c r="V1107" s="179">
        <v>16269</v>
      </c>
      <c r="W1107" s="175" t="s">
        <v>276</v>
      </c>
      <c r="X1107" s="175" t="s">
        <v>276</v>
      </c>
      <c r="Y1107" s="175">
        <v>0</v>
      </c>
      <c r="Z1107" s="176" t="s">
        <v>98</v>
      </c>
      <c r="AA1107" s="175">
        <v>0</v>
      </c>
      <c r="AB1107" s="176" t="s">
        <v>98</v>
      </c>
      <c r="AC1107" s="176" t="s">
        <v>9602</v>
      </c>
      <c r="AD1107" s="176" t="s">
        <v>9346</v>
      </c>
      <c r="AE1107" s="175">
        <f>25+27+1453+1394</f>
        <v>2899</v>
      </c>
      <c r="AF1107" s="175">
        <f>16+42+704+1318</f>
        <v>2080</v>
      </c>
      <c r="AG1107" s="180">
        <v>23412</v>
      </c>
      <c r="AH1107" s="179">
        <v>16269</v>
      </c>
      <c r="AI1107" s="179" t="s">
        <v>281</v>
      </c>
      <c r="AJ1107" s="181" t="s">
        <v>276</v>
      </c>
      <c r="AK1107" s="201">
        <f t="shared" si="151"/>
        <v>123.82538868956091</v>
      </c>
      <c r="AL1107" s="181" t="s">
        <v>276</v>
      </c>
      <c r="AM1107" s="181" t="s">
        <v>276</v>
      </c>
      <c r="AN1107" s="181" t="s">
        <v>276</v>
      </c>
      <c r="AO1107" s="201">
        <f t="shared" si="152"/>
        <v>127.85051324605077</v>
      </c>
      <c r="AP1107" s="181" t="s">
        <v>276</v>
      </c>
      <c r="AQ1107" s="181" t="s">
        <v>276</v>
      </c>
      <c r="AR1107" s="175" t="s">
        <v>268</v>
      </c>
      <c r="AS1107" s="181" t="s">
        <v>276</v>
      </c>
      <c r="AT1107" s="181">
        <f t="shared" si="157"/>
        <v>0.96851694643772424</v>
      </c>
      <c r="AU1107" s="181" t="s">
        <v>276</v>
      </c>
      <c r="AV1107" s="181" t="s">
        <v>276</v>
      </c>
      <c r="AW1107" s="181" t="s">
        <v>276</v>
      </c>
      <c r="AX1107" s="175" t="s">
        <v>282</v>
      </c>
      <c r="AY1107" s="181" t="s">
        <v>98</v>
      </c>
      <c r="AZ1107" s="181" t="s">
        <v>98</v>
      </c>
      <c r="BA1107" s="181" t="s">
        <v>98</v>
      </c>
      <c r="BB1107" s="181" t="s">
        <v>98</v>
      </c>
      <c r="BC1107" s="176" t="s">
        <v>9592</v>
      </c>
      <c r="BD1107" s="176" t="s">
        <v>9593</v>
      </c>
      <c r="BE1107" s="33" t="s">
        <v>100</v>
      </c>
      <c r="BF1107" s="33" t="s">
        <v>98</v>
      </c>
    </row>
    <row r="1108" spans="1:58" s="202" customFormat="1" ht="65" x14ac:dyDescent="0.3">
      <c r="A1108" s="175">
        <v>4097</v>
      </c>
      <c r="B1108" s="175" t="s">
        <v>9306</v>
      </c>
      <c r="C1108" s="176" t="s">
        <v>62</v>
      </c>
      <c r="D1108" s="176" t="s">
        <v>9603</v>
      </c>
      <c r="E1108" s="175" t="s">
        <v>35</v>
      </c>
      <c r="F1108" s="175" t="s">
        <v>97</v>
      </c>
      <c r="G1108" s="175" t="s">
        <v>225</v>
      </c>
      <c r="H1108" s="175" t="s">
        <v>125</v>
      </c>
      <c r="I1108" s="175" t="s">
        <v>114</v>
      </c>
      <c r="J1108" s="176" t="s">
        <v>23</v>
      </c>
      <c r="K1108" s="176" t="s">
        <v>9307</v>
      </c>
      <c r="L1108" s="176" t="s">
        <v>276</v>
      </c>
      <c r="M1108" s="175" t="s">
        <v>15</v>
      </c>
      <c r="N1108" s="198" t="s">
        <v>9350</v>
      </c>
      <c r="O1108" s="199" t="s">
        <v>207</v>
      </c>
      <c r="P1108" s="304" t="s">
        <v>9320</v>
      </c>
      <c r="Q1108" s="176" t="s">
        <v>276</v>
      </c>
      <c r="R1108" s="176" t="s">
        <v>9351</v>
      </c>
      <c r="S1108" s="176" t="s">
        <v>9352</v>
      </c>
      <c r="T1108" s="178" t="s">
        <v>276</v>
      </c>
      <c r="U1108" s="180">
        <v>10339</v>
      </c>
      <c r="V1108" s="179">
        <v>7307</v>
      </c>
      <c r="W1108" s="175" t="s">
        <v>276</v>
      </c>
      <c r="X1108" s="175" t="s">
        <v>276</v>
      </c>
      <c r="Y1108" s="175">
        <v>0</v>
      </c>
      <c r="Z1108" s="176" t="s">
        <v>98</v>
      </c>
      <c r="AA1108" s="175">
        <v>0</v>
      </c>
      <c r="AB1108" s="176" t="s">
        <v>98</v>
      </c>
      <c r="AC1108" s="176" t="s">
        <v>9604</v>
      </c>
      <c r="AD1108" s="176" t="s">
        <v>9354</v>
      </c>
      <c r="AE1108" s="175">
        <f>19+16+1436+1398</f>
        <v>2869</v>
      </c>
      <c r="AF1108" s="175">
        <f>13+18+625+1417</f>
        <v>2073</v>
      </c>
      <c r="AG1108" s="180">
        <v>10339</v>
      </c>
      <c r="AH1108" s="179">
        <v>7307</v>
      </c>
      <c r="AI1108" s="179" t="s">
        <v>281</v>
      </c>
      <c r="AJ1108" s="181" t="s">
        <v>276</v>
      </c>
      <c r="AK1108" s="201">
        <f t="shared" si="151"/>
        <v>277.49298771641355</v>
      </c>
      <c r="AL1108" s="181" t="s">
        <v>276</v>
      </c>
      <c r="AM1108" s="181" t="s">
        <v>276</v>
      </c>
      <c r="AN1108" s="181" t="s">
        <v>276</v>
      </c>
      <c r="AO1108" s="201">
        <f t="shared" si="152"/>
        <v>283.70056110578895</v>
      </c>
      <c r="AP1108" s="181" t="s">
        <v>276</v>
      </c>
      <c r="AQ1108" s="181" t="s">
        <v>276</v>
      </c>
      <c r="AR1108" s="175" t="s">
        <v>268</v>
      </c>
      <c r="AS1108" s="181" t="s">
        <v>276</v>
      </c>
      <c r="AT1108" s="181">
        <f t="shared" si="157"/>
        <v>0.97811927701101498</v>
      </c>
      <c r="AU1108" s="181" t="s">
        <v>276</v>
      </c>
      <c r="AV1108" s="181" t="s">
        <v>276</v>
      </c>
      <c r="AW1108" s="181" t="s">
        <v>276</v>
      </c>
      <c r="AX1108" s="175" t="s">
        <v>282</v>
      </c>
      <c r="AY1108" s="181" t="s">
        <v>98</v>
      </c>
      <c r="AZ1108" s="181" t="s">
        <v>98</v>
      </c>
      <c r="BA1108" s="181" t="s">
        <v>98</v>
      </c>
      <c r="BB1108" s="181" t="s">
        <v>98</v>
      </c>
      <c r="BC1108" s="176" t="s">
        <v>9592</v>
      </c>
      <c r="BD1108" s="176" t="s">
        <v>9593</v>
      </c>
      <c r="BE1108" s="33" t="s">
        <v>100</v>
      </c>
      <c r="BF1108" s="33" t="s">
        <v>98</v>
      </c>
    </row>
    <row r="1109" spans="1:58" s="149" customFormat="1" ht="78" x14ac:dyDescent="0.3">
      <c r="A1109" s="126">
        <v>4095</v>
      </c>
      <c r="B1109" s="126" t="s">
        <v>9605</v>
      </c>
      <c r="C1109" s="127" t="s">
        <v>9264</v>
      </c>
      <c r="D1109" s="127" t="s">
        <v>9606</v>
      </c>
      <c r="E1109" s="126" t="s">
        <v>35</v>
      </c>
      <c r="F1109" s="126" t="s">
        <v>97</v>
      </c>
      <c r="G1109" s="126" t="s">
        <v>225</v>
      </c>
      <c r="H1109" s="126" t="s">
        <v>125</v>
      </c>
      <c r="I1109" s="126" t="s">
        <v>113</v>
      </c>
      <c r="J1109" s="127" t="s">
        <v>24</v>
      </c>
      <c r="K1109" s="127" t="s">
        <v>9607</v>
      </c>
      <c r="L1109" s="127" t="s">
        <v>8281</v>
      </c>
      <c r="M1109" s="126" t="s">
        <v>15</v>
      </c>
      <c r="N1109" s="145" t="s">
        <v>3032</v>
      </c>
      <c r="O1109" s="131" t="s">
        <v>207</v>
      </c>
      <c r="P1109" s="197" t="s">
        <v>98</v>
      </c>
      <c r="Q1109" s="127" t="s">
        <v>741</v>
      </c>
      <c r="R1109" s="134" t="s">
        <v>9608</v>
      </c>
      <c r="S1109" s="134" t="s">
        <v>9609</v>
      </c>
      <c r="T1109" s="167" t="s">
        <v>1192</v>
      </c>
      <c r="U1109" s="132">
        <v>9582</v>
      </c>
      <c r="V1109" s="134">
        <v>5031</v>
      </c>
      <c r="W1109" s="126" t="s">
        <v>276</v>
      </c>
      <c r="X1109" s="126" t="s">
        <v>276</v>
      </c>
      <c r="Y1109" s="126" t="s">
        <v>276</v>
      </c>
      <c r="Z1109" s="127" t="s">
        <v>1562</v>
      </c>
      <c r="AA1109" s="126" t="s">
        <v>276</v>
      </c>
      <c r="AB1109" s="127" t="s">
        <v>1562</v>
      </c>
      <c r="AC1109" s="127" t="s">
        <v>9610</v>
      </c>
      <c r="AD1109" s="127" t="s">
        <v>9269</v>
      </c>
      <c r="AE1109" s="126">
        <f>3+1+2+2+5</f>
        <v>13</v>
      </c>
      <c r="AF1109" s="126">
        <f>1+1+0+3</f>
        <v>5</v>
      </c>
      <c r="AG1109" s="132">
        <v>9582</v>
      </c>
      <c r="AH1109" s="134">
        <v>5031</v>
      </c>
      <c r="AI1109" s="134" t="s">
        <v>281</v>
      </c>
      <c r="AJ1109" s="135" t="s">
        <v>276</v>
      </c>
      <c r="AK1109" s="148">
        <f t="shared" si="151"/>
        <v>1.3567104988520142</v>
      </c>
      <c r="AL1109" s="135" t="s">
        <v>276</v>
      </c>
      <c r="AM1109" s="135" t="s">
        <v>276</v>
      </c>
      <c r="AN1109" s="135" t="s">
        <v>276</v>
      </c>
      <c r="AO1109" s="148">
        <f t="shared" si="152"/>
        <v>0.99383820314052873</v>
      </c>
      <c r="AP1109" s="135" t="s">
        <v>276</v>
      </c>
      <c r="AQ1109" s="135" t="s">
        <v>276</v>
      </c>
      <c r="AR1109" s="126" t="s">
        <v>268</v>
      </c>
      <c r="AS1109" s="135" t="s">
        <v>276</v>
      </c>
      <c r="AT1109" s="135">
        <f t="shared" si="157"/>
        <v>1.3651221039448966</v>
      </c>
      <c r="AU1109" s="135" t="s">
        <v>276</v>
      </c>
      <c r="AV1109" s="135" t="s">
        <v>276</v>
      </c>
      <c r="AW1109" s="135" t="s">
        <v>276</v>
      </c>
      <c r="AX1109" s="126" t="s">
        <v>282</v>
      </c>
      <c r="AY1109" s="126" t="s">
        <v>98</v>
      </c>
      <c r="AZ1109" s="126" t="s">
        <v>98</v>
      </c>
      <c r="BA1109" s="126" t="s">
        <v>98</v>
      </c>
      <c r="BB1109" s="126" t="s">
        <v>98</v>
      </c>
      <c r="BC1109" s="127" t="s">
        <v>1010</v>
      </c>
      <c r="BD1109" s="127"/>
      <c r="BE1109" s="33" t="s">
        <v>100</v>
      </c>
      <c r="BF1109" s="33" t="s">
        <v>98</v>
      </c>
    </row>
    <row r="1110" spans="1:58" s="149" customFormat="1" ht="78" x14ac:dyDescent="0.3">
      <c r="A1110" s="126">
        <v>4095</v>
      </c>
      <c r="B1110" s="126" t="s">
        <v>9605</v>
      </c>
      <c r="C1110" s="127" t="s">
        <v>9264</v>
      </c>
      <c r="D1110" s="127" t="s">
        <v>9611</v>
      </c>
      <c r="E1110" s="126" t="s">
        <v>35</v>
      </c>
      <c r="F1110" s="126" t="s">
        <v>97</v>
      </c>
      <c r="G1110" s="126" t="s">
        <v>225</v>
      </c>
      <c r="H1110" s="126" t="s">
        <v>125</v>
      </c>
      <c r="I1110" s="126" t="s">
        <v>113</v>
      </c>
      <c r="J1110" s="127" t="s">
        <v>24</v>
      </c>
      <c r="K1110" s="127" t="s">
        <v>9607</v>
      </c>
      <c r="L1110" s="127" t="s">
        <v>8281</v>
      </c>
      <c r="M1110" s="126" t="s">
        <v>15</v>
      </c>
      <c r="N1110" s="145" t="s">
        <v>3032</v>
      </c>
      <c r="O1110" s="131" t="s">
        <v>207</v>
      </c>
      <c r="P1110" s="197">
        <v>33238</v>
      </c>
      <c r="Q1110" s="127" t="s">
        <v>746</v>
      </c>
      <c r="R1110" s="134" t="s">
        <v>9612</v>
      </c>
      <c r="S1110" s="134" t="s">
        <v>9613</v>
      </c>
      <c r="T1110" s="167" t="s">
        <v>1192</v>
      </c>
      <c r="U1110" s="132">
        <v>9582</v>
      </c>
      <c r="V1110" s="134">
        <v>5031</v>
      </c>
      <c r="W1110" s="126" t="s">
        <v>276</v>
      </c>
      <c r="X1110" s="126" t="s">
        <v>276</v>
      </c>
      <c r="Y1110" s="126" t="s">
        <v>276</v>
      </c>
      <c r="Z1110" s="127" t="s">
        <v>1562</v>
      </c>
      <c r="AA1110" s="126" t="s">
        <v>276</v>
      </c>
      <c r="AB1110" s="127" t="s">
        <v>1562</v>
      </c>
      <c r="AC1110" s="127" t="s">
        <v>9614</v>
      </c>
      <c r="AD1110" s="127" t="s">
        <v>9269</v>
      </c>
      <c r="AE1110" s="126">
        <f>3+1+2+2+5+3</f>
        <v>16</v>
      </c>
      <c r="AF1110" s="126">
        <f>1+1+0+3+3</f>
        <v>8</v>
      </c>
      <c r="AG1110" s="132">
        <v>9582</v>
      </c>
      <c r="AH1110" s="134">
        <v>5031</v>
      </c>
      <c r="AI1110" s="134" t="s">
        <v>281</v>
      </c>
      <c r="AJ1110" s="135" t="s">
        <v>276</v>
      </c>
      <c r="AK1110" s="148">
        <f t="shared" si="151"/>
        <v>1.6697975370486329</v>
      </c>
      <c r="AL1110" s="135" t="s">
        <v>276</v>
      </c>
      <c r="AM1110" s="135" t="s">
        <v>276</v>
      </c>
      <c r="AN1110" s="135" t="s">
        <v>276</v>
      </c>
      <c r="AO1110" s="148">
        <f t="shared" si="152"/>
        <v>1.5901411250248461</v>
      </c>
      <c r="AP1110" s="135" t="s">
        <v>276</v>
      </c>
      <c r="AQ1110" s="135" t="s">
        <v>276</v>
      </c>
      <c r="AR1110" s="126" t="s">
        <v>268</v>
      </c>
      <c r="AS1110" s="135" t="s">
        <v>276</v>
      </c>
      <c r="AT1110" s="135">
        <f t="shared" si="157"/>
        <v>1.050093926111459</v>
      </c>
      <c r="AU1110" s="135" t="s">
        <v>276</v>
      </c>
      <c r="AV1110" s="135" t="s">
        <v>276</v>
      </c>
      <c r="AW1110" s="135" t="s">
        <v>276</v>
      </c>
      <c r="AX1110" s="126" t="s">
        <v>282</v>
      </c>
      <c r="AY1110" s="126" t="s">
        <v>98</v>
      </c>
      <c r="AZ1110" s="126" t="s">
        <v>98</v>
      </c>
      <c r="BA1110" s="126" t="s">
        <v>98</v>
      </c>
      <c r="BB1110" s="126" t="s">
        <v>98</v>
      </c>
      <c r="BC1110" s="127" t="s">
        <v>1010</v>
      </c>
      <c r="BD1110" s="127"/>
      <c r="BE1110" s="33" t="s">
        <v>100</v>
      </c>
      <c r="BF1110" s="33" t="s">
        <v>98</v>
      </c>
    </row>
    <row r="1111" spans="1:58" s="149" customFormat="1" ht="78" x14ac:dyDescent="0.3">
      <c r="A1111" s="126">
        <v>4095</v>
      </c>
      <c r="B1111" s="126" t="s">
        <v>9605</v>
      </c>
      <c r="C1111" s="127" t="s">
        <v>9264</v>
      </c>
      <c r="D1111" s="127" t="s">
        <v>9615</v>
      </c>
      <c r="E1111" s="126" t="s">
        <v>35</v>
      </c>
      <c r="F1111" s="126" t="s">
        <v>97</v>
      </c>
      <c r="G1111" s="126" t="s">
        <v>225</v>
      </c>
      <c r="H1111" s="126" t="s">
        <v>125</v>
      </c>
      <c r="I1111" s="126" t="s">
        <v>113</v>
      </c>
      <c r="J1111" s="127" t="s">
        <v>24</v>
      </c>
      <c r="K1111" s="127" t="s">
        <v>9607</v>
      </c>
      <c r="L1111" s="127" t="s">
        <v>8281</v>
      </c>
      <c r="M1111" s="126" t="s">
        <v>15</v>
      </c>
      <c r="N1111" s="145" t="s">
        <v>3032</v>
      </c>
      <c r="O1111" s="131" t="s">
        <v>207</v>
      </c>
      <c r="P1111" s="197">
        <v>33238</v>
      </c>
      <c r="Q1111" s="127" t="s">
        <v>752</v>
      </c>
      <c r="R1111" s="134" t="s">
        <v>9616</v>
      </c>
      <c r="S1111" s="134" t="s">
        <v>9617</v>
      </c>
      <c r="T1111" s="167" t="s">
        <v>1192</v>
      </c>
      <c r="U1111" s="132">
        <v>9582</v>
      </c>
      <c r="V1111" s="134">
        <v>5031</v>
      </c>
      <c r="W1111" s="126" t="s">
        <v>276</v>
      </c>
      <c r="X1111" s="126" t="s">
        <v>276</v>
      </c>
      <c r="Y1111" s="126" t="s">
        <v>276</v>
      </c>
      <c r="Z1111" s="127" t="s">
        <v>1562</v>
      </c>
      <c r="AA1111" s="126" t="s">
        <v>276</v>
      </c>
      <c r="AB1111" s="127" t="s">
        <v>1562</v>
      </c>
      <c r="AC1111" s="127" t="s">
        <v>9618</v>
      </c>
      <c r="AD1111" s="127" t="s">
        <v>9269</v>
      </c>
      <c r="AE1111" s="126">
        <f>3+1+2+2+5+3+0</f>
        <v>16</v>
      </c>
      <c r="AF1111" s="126">
        <f>1+1+0+3+3+2</f>
        <v>10</v>
      </c>
      <c r="AG1111" s="132">
        <v>9582</v>
      </c>
      <c r="AH1111" s="134">
        <v>5031</v>
      </c>
      <c r="AI1111" s="134" t="s">
        <v>281</v>
      </c>
      <c r="AJ1111" s="135" t="s">
        <v>276</v>
      </c>
      <c r="AK1111" s="148">
        <f t="shared" si="151"/>
        <v>1.6697975370486329</v>
      </c>
      <c r="AL1111" s="135" t="s">
        <v>276</v>
      </c>
      <c r="AM1111" s="135" t="s">
        <v>276</v>
      </c>
      <c r="AN1111" s="135" t="s">
        <v>276</v>
      </c>
      <c r="AO1111" s="148">
        <f t="shared" si="152"/>
        <v>1.9876764062810575</v>
      </c>
      <c r="AP1111" s="135" t="s">
        <v>276</v>
      </c>
      <c r="AQ1111" s="135" t="s">
        <v>276</v>
      </c>
      <c r="AR1111" s="126" t="s">
        <v>268</v>
      </c>
      <c r="AS1111" s="135" t="s">
        <v>276</v>
      </c>
      <c r="AT1111" s="135">
        <f t="shared" si="157"/>
        <v>0.84007514088916724</v>
      </c>
      <c r="AU1111" s="135" t="s">
        <v>276</v>
      </c>
      <c r="AV1111" s="135" t="s">
        <v>276</v>
      </c>
      <c r="AW1111" s="135" t="s">
        <v>276</v>
      </c>
      <c r="AX1111" s="126" t="s">
        <v>282</v>
      </c>
      <c r="AY1111" s="126" t="s">
        <v>98</v>
      </c>
      <c r="AZ1111" s="126" t="s">
        <v>98</v>
      </c>
      <c r="BA1111" s="126" t="s">
        <v>98</v>
      </c>
      <c r="BB1111" s="126" t="s">
        <v>98</v>
      </c>
      <c r="BC1111" s="127" t="s">
        <v>1010</v>
      </c>
      <c r="BD1111" s="127"/>
      <c r="BE1111" s="33" t="s">
        <v>100</v>
      </c>
      <c r="BF1111" s="33" t="s">
        <v>98</v>
      </c>
    </row>
    <row r="1112" spans="1:58" s="149" customFormat="1" ht="78" x14ac:dyDescent="0.3">
      <c r="A1112" s="126">
        <v>4095</v>
      </c>
      <c r="B1112" s="126" t="s">
        <v>9605</v>
      </c>
      <c r="C1112" s="127" t="s">
        <v>9264</v>
      </c>
      <c r="D1112" s="127" t="s">
        <v>9619</v>
      </c>
      <c r="E1112" s="126" t="s">
        <v>35</v>
      </c>
      <c r="F1112" s="126" t="s">
        <v>97</v>
      </c>
      <c r="G1112" s="126" t="s">
        <v>225</v>
      </c>
      <c r="H1112" s="126" t="s">
        <v>125</v>
      </c>
      <c r="I1112" s="126" t="s">
        <v>113</v>
      </c>
      <c r="J1112" s="127" t="s">
        <v>24</v>
      </c>
      <c r="K1112" s="127" t="s">
        <v>9607</v>
      </c>
      <c r="L1112" s="127" t="s">
        <v>8281</v>
      </c>
      <c r="M1112" s="126" t="s">
        <v>15</v>
      </c>
      <c r="N1112" s="145" t="s">
        <v>3032</v>
      </c>
      <c r="O1112" s="131" t="s">
        <v>207</v>
      </c>
      <c r="P1112" s="197">
        <v>33238</v>
      </c>
      <c r="Q1112" s="127" t="s">
        <v>766</v>
      </c>
      <c r="R1112" s="134" t="s">
        <v>9620</v>
      </c>
      <c r="S1112" s="134" t="s">
        <v>9621</v>
      </c>
      <c r="T1112" s="167" t="s">
        <v>1192</v>
      </c>
      <c r="U1112" s="132">
        <v>9582</v>
      </c>
      <c r="V1112" s="134">
        <v>5031</v>
      </c>
      <c r="W1112" s="126" t="s">
        <v>276</v>
      </c>
      <c r="X1112" s="126" t="s">
        <v>276</v>
      </c>
      <c r="Y1112" s="126" t="s">
        <v>276</v>
      </c>
      <c r="Z1112" s="127" t="s">
        <v>1562</v>
      </c>
      <c r="AA1112" s="126" t="s">
        <v>276</v>
      </c>
      <c r="AB1112" s="127" t="s">
        <v>1562</v>
      </c>
      <c r="AC1112" s="127" t="s">
        <v>9622</v>
      </c>
      <c r="AD1112" s="127" t="s">
        <v>9269</v>
      </c>
      <c r="AE1112" s="126">
        <f>3+1+2+2+5+3+0+4</f>
        <v>20</v>
      </c>
      <c r="AF1112" s="126">
        <f>1+1+0+3+3+2+2</f>
        <v>12</v>
      </c>
      <c r="AG1112" s="132">
        <v>9582</v>
      </c>
      <c r="AH1112" s="134">
        <v>5031</v>
      </c>
      <c r="AI1112" s="134" t="s">
        <v>281</v>
      </c>
      <c r="AJ1112" s="135" t="s">
        <v>276</v>
      </c>
      <c r="AK1112" s="148">
        <f t="shared" si="151"/>
        <v>2.0872469213107911</v>
      </c>
      <c r="AL1112" s="135" t="s">
        <v>276</v>
      </c>
      <c r="AM1112" s="135" t="s">
        <v>276</v>
      </c>
      <c r="AN1112" s="135" t="s">
        <v>276</v>
      </c>
      <c r="AO1112" s="148">
        <f t="shared" si="152"/>
        <v>2.3852116875372689</v>
      </c>
      <c r="AP1112" s="135" t="s">
        <v>276</v>
      </c>
      <c r="AQ1112" s="135" t="s">
        <v>276</v>
      </c>
      <c r="AR1112" s="126" t="s">
        <v>268</v>
      </c>
      <c r="AS1112" s="135" t="s">
        <v>276</v>
      </c>
      <c r="AT1112" s="135">
        <f t="shared" si="157"/>
        <v>0.87507827175954922</v>
      </c>
      <c r="AU1112" s="135" t="s">
        <v>276</v>
      </c>
      <c r="AV1112" s="135" t="s">
        <v>276</v>
      </c>
      <c r="AW1112" s="135" t="s">
        <v>276</v>
      </c>
      <c r="AX1112" s="126" t="s">
        <v>282</v>
      </c>
      <c r="AY1112" s="126" t="s">
        <v>98</v>
      </c>
      <c r="AZ1112" s="126" t="s">
        <v>98</v>
      </c>
      <c r="BA1112" s="126" t="s">
        <v>98</v>
      </c>
      <c r="BB1112" s="126" t="s">
        <v>98</v>
      </c>
      <c r="BC1112" s="127" t="s">
        <v>1010</v>
      </c>
      <c r="BD1112" s="127"/>
      <c r="BE1112" s="33" t="s">
        <v>100</v>
      </c>
      <c r="BF1112" s="33" t="s">
        <v>98</v>
      </c>
    </row>
    <row r="1113" spans="1:58" s="149" customFormat="1" ht="78" x14ac:dyDescent="0.3">
      <c r="A1113" s="126">
        <v>4095</v>
      </c>
      <c r="B1113" s="126" t="s">
        <v>9605</v>
      </c>
      <c r="C1113" s="127" t="s">
        <v>9264</v>
      </c>
      <c r="D1113" s="127" t="s">
        <v>9623</v>
      </c>
      <c r="E1113" s="126" t="s">
        <v>35</v>
      </c>
      <c r="F1113" s="126" t="s">
        <v>97</v>
      </c>
      <c r="G1113" s="126" t="s">
        <v>225</v>
      </c>
      <c r="H1113" s="126" t="s">
        <v>125</v>
      </c>
      <c r="I1113" s="126" t="s">
        <v>113</v>
      </c>
      <c r="J1113" s="127" t="s">
        <v>24</v>
      </c>
      <c r="K1113" s="127" t="s">
        <v>9607</v>
      </c>
      <c r="L1113" s="127" t="s">
        <v>8281</v>
      </c>
      <c r="M1113" s="126" t="s">
        <v>15</v>
      </c>
      <c r="N1113" s="145" t="s">
        <v>3032</v>
      </c>
      <c r="O1113" s="131" t="s">
        <v>207</v>
      </c>
      <c r="P1113" s="197">
        <v>33238</v>
      </c>
      <c r="Q1113" s="127" t="s">
        <v>9624</v>
      </c>
      <c r="R1113" s="134" t="s">
        <v>9625</v>
      </c>
      <c r="S1113" s="134" t="s">
        <v>9626</v>
      </c>
      <c r="T1113" s="167" t="s">
        <v>1192</v>
      </c>
      <c r="U1113" s="132">
        <v>9582</v>
      </c>
      <c r="V1113" s="134">
        <v>5031</v>
      </c>
      <c r="W1113" s="126" t="s">
        <v>276</v>
      </c>
      <c r="X1113" s="126" t="s">
        <v>276</v>
      </c>
      <c r="Y1113" s="126" t="s">
        <v>276</v>
      </c>
      <c r="Z1113" s="127" t="s">
        <v>1562</v>
      </c>
      <c r="AA1113" s="126" t="s">
        <v>276</v>
      </c>
      <c r="AB1113" s="127" t="s">
        <v>1562</v>
      </c>
      <c r="AC1113" s="127" t="s">
        <v>9627</v>
      </c>
      <c r="AD1113" s="127" t="s">
        <v>9269</v>
      </c>
      <c r="AE1113" s="126">
        <f>3+1+2+2+5+3+0+4+0</f>
        <v>20</v>
      </c>
      <c r="AF1113" s="126">
        <f>1+1+0+3+3+2+2+2</f>
        <v>14</v>
      </c>
      <c r="AG1113" s="132">
        <v>9582</v>
      </c>
      <c r="AH1113" s="134">
        <v>5031</v>
      </c>
      <c r="AI1113" s="134" t="s">
        <v>281</v>
      </c>
      <c r="AJ1113" s="135" t="s">
        <v>276</v>
      </c>
      <c r="AK1113" s="148">
        <f t="shared" si="151"/>
        <v>2.0872469213107911</v>
      </c>
      <c r="AL1113" s="135" t="s">
        <v>276</v>
      </c>
      <c r="AM1113" s="135" t="s">
        <v>276</v>
      </c>
      <c r="AN1113" s="135" t="s">
        <v>276</v>
      </c>
      <c r="AO1113" s="148">
        <f t="shared" si="152"/>
        <v>2.7827469687934805</v>
      </c>
      <c r="AP1113" s="135" t="s">
        <v>276</v>
      </c>
      <c r="AQ1113" s="135" t="s">
        <v>276</v>
      </c>
      <c r="AR1113" s="126" t="s">
        <v>268</v>
      </c>
      <c r="AS1113" s="135" t="s">
        <v>276</v>
      </c>
      <c r="AT1113" s="135">
        <f t="shared" si="157"/>
        <v>0.75006709007961359</v>
      </c>
      <c r="AU1113" s="135" t="s">
        <v>276</v>
      </c>
      <c r="AV1113" s="135" t="s">
        <v>276</v>
      </c>
      <c r="AW1113" s="135" t="s">
        <v>276</v>
      </c>
      <c r="AX1113" s="126" t="s">
        <v>282</v>
      </c>
      <c r="AY1113" s="126" t="s">
        <v>98</v>
      </c>
      <c r="AZ1113" s="126" t="s">
        <v>98</v>
      </c>
      <c r="BA1113" s="126" t="s">
        <v>98</v>
      </c>
      <c r="BB1113" s="126" t="s">
        <v>98</v>
      </c>
      <c r="BC1113" s="127" t="s">
        <v>1010</v>
      </c>
      <c r="BD1113" s="127"/>
      <c r="BE1113" s="33" t="s">
        <v>100</v>
      </c>
      <c r="BF1113" s="33" t="s">
        <v>98</v>
      </c>
    </row>
    <row r="1114" spans="1:58" s="160" customFormat="1" ht="78" x14ac:dyDescent="0.3">
      <c r="A1114" s="150">
        <v>4095</v>
      </c>
      <c r="B1114" s="150" t="s">
        <v>9605</v>
      </c>
      <c r="C1114" s="151" t="s">
        <v>9264</v>
      </c>
      <c r="D1114" s="151" t="s">
        <v>9628</v>
      </c>
      <c r="E1114" s="150" t="s">
        <v>35</v>
      </c>
      <c r="F1114" s="150" t="s">
        <v>97</v>
      </c>
      <c r="G1114" s="150" t="s">
        <v>225</v>
      </c>
      <c r="H1114" s="150" t="s">
        <v>125</v>
      </c>
      <c r="I1114" s="150" t="s">
        <v>113</v>
      </c>
      <c r="J1114" s="151" t="s">
        <v>24</v>
      </c>
      <c r="K1114" s="151" t="s">
        <v>9607</v>
      </c>
      <c r="L1114" s="151" t="s">
        <v>8281</v>
      </c>
      <c r="M1114" s="150" t="s">
        <v>15</v>
      </c>
      <c r="N1114" s="152" t="s">
        <v>3038</v>
      </c>
      <c r="O1114" s="153" t="s">
        <v>207</v>
      </c>
      <c r="P1114" s="342" t="s">
        <v>98</v>
      </c>
      <c r="Q1114" s="151" t="s">
        <v>741</v>
      </c>
      <c r="R1114" s="151" t="s">
        <v>9629</v>
      </c>
      <c r="S1114" s="151" t="s">
        <v>9630</v>
      </c>
      <c r="T1114" s="168" t="s">
        <v>1219</v>
      </c>
      <c r="U1114" s="155">
        <v>11728</v>
      </c>
      <c r="V1114" s="156">
        <v>5557</v>
      </c>
      <c r="W1114" s="150" t="s">
        <v>276</v>
      </c>
      <c r="X1114" s="150" t="s">
        <v>276</v>
      </c>
      <c r="Y1114" s="150" t="s">
        <v>276</v>
      </c>
      <c r="Z1114" s="151" t="s">
        <v>1562</v>
      </c>
      <c r="AA1114" s="150" t="s">
        <v>276</v>
      </c>
      <c r="AB1114" s="151" t="s">
        <v>1562</v>
      </c>
      <c r="AC1114" s="151" t="s">
        <v>9631</v>
      </c>
      <c r="AD1114" s="151" t="s">
        <v>9337</v>
      </c>
      <c r="AE1114" s="150">
        <f>1+0+3+3+4+3+2</f>
        <v>16</v>
      </c>
      <c r="AF1114" s="150">
        <f>0+2+2+2+5+3+2</f>
        <v>16</v>
      </c>
      <c r="AG1114" s="155">
        <v>11728</v>
      </c>
      <c r="AH1114" s="156">
        <v>5557</v>
      </c>
      <c r="AI1114" s="156" t="s">
        <v>281</v>
      </c>
      <c r="AJ1114" s="159" t="s">
        <v>276</v>
      </c>
      <c r="AK1114" s="158">
        <f t="shared" si="151"/>
        <v>1.3642564802182811</v>
      </c>
      <c r="AL1114" s="159" t="s">
        <v>276</v>
      </c>
      <c r="AM1114" s="159" t="s">
        <v>276</v>
      </c>
      <c r="AN1114" s="159" t="s">
        <v>276</v>
      </c>
      <c r="AO1114" s="158">
        <f t="shared" si="152"/>
        <v>2.8792513946373943</v>
      </c>
      <c r="AP1114" s="159" t="s">
        <v>276</v>
      </c>
      <c r="AQ1114" s="159" t="s">
        <v>276</v>
      </c>
      <c r="AR1114" s="150" t="s">
        <v>268</v>
      </c>
      <c r="AS1114" s="159" t="s">
        <v>276</v>
      </c>
      <c r="AT1114" s="159">
        <f t="shared" si="157"/>
        <v>0.47382332878581174</v>
      </c>
      <c r="AU1114" s="159" t="s">
        <v>276</v>
      </c>
      <c r="AV1114" s="159" t="s">
        <v>276</v>
      </c>
      <c r="AW1114" s="159" t="s">
        <v>276</v>
      </c>
      <c r="AX1114" s="150" t="s">
        <v>282</v>
      </c>
      <c r="AY1114" s="150" t="s">
        <v>98</v>
      </c>
      <c r="AZ1114" s="150" t="s">
        <v>98</v>
      </c>
      <c r="BA1114" s="150" t="s">
        <v>98</v>
      </c>
      <c r="BB1114" s="150" t="s">
        <v>98</v>
      </c>
      <c r="BC1114" s="151" t="s">
        <v>426</v>
      </c>
      <c r="BD1114" s="151"/>
      <c r="BE1114" s="33" t="s">
        <v>100</v>
      </c>
      <c r="BF1114" s="33" t="s">
        <v>98</v>
      </c>
    </row>
    <row r="1115" spans="1:58" s="160" customFormat="1" ht="78" x14ac:dyDescent="0.3">
      <c r="A1115" s="150">
        <v>4095</v>
      </c>
      <c r="B1115" s="150" t="s">
        <v>9605</v>
      </c>
      <c r="C1115" s="151" t="s">
        <v>9264</v>
      </c>
      <c r="D1115" s="151" t="s">
        <v>9632</v>
      </c>
      <c r="E1115" s="150" t="s">
        <v>35</v>
      </c>
      <c r="F1115" s="150" t="s">
        <v>97</v>
      </c>
      <c r="G1115" s="150" t="s">
        <v>225</v>
      </c>
      <c r="H1115" s="150" t="s">
        <v>125</v>
      </c>
      <c r="I1115" s="150" t="s">
        <v>113</v>
      </c>
      <c r="J1115" s="151" t="s">
        <v>24</v>
      </c>
      <c r="K1115" s="151" t="s">
        <v>9607</v>
      </c>
      <c r="L1115" s="151" t="s">
        <v>8281</v>
      </c>
      <c r="M1115" s="150" t="s">
        <v>15</v>
      </c>
      <c r="N1115" s="152" t="s">
        <v>3038</v>
      </c>
      <c r="O1115" s="153" t="s">
        <v>207</v>
      </c>
      <c r="P1115" s="342">
        <v>33238</v>
      </c>
      <c r="Q1115" s="151" t="s">
        <v>746</v>
      </c>
      <c r="R1115" s="151" t="s">
        <v>9633</v>
      </c>
      <c r="S1115" s="151" t="s">
        <v>9634</v>
      </c>
      <c r="T1115" s="168" t="s">
        <v>1219</v>
      </c>
      <c r="U1115" s="155">
        <v>11728</v>
      </c>
      <c r="V1115" s="156">
        <v>5557</v>
      </c>
      <c r="W1115" s="150" t="s">
        <v>276</v>
      </c>
      <c r="X1115" s="150" t="s">
        <v>276</v>
      </c>
      <c r="Y1115" s="150" t="s">
        <v>276</v>
      </c>
      <c r="Z1115" s="151" t="s">
        <v>1562</v>
      </c>
      <c r="AA1115" s="150" t="s">
        <v>276</v>
      </c>
      <c r="AB1115" s="151" t="s">
        <v>1562</v>
      </c>
      <c r="AC1115" s="151" t="s">
        <v>9635</v>
      </c>
      <c r="AD1115" s="151" t="s">
        <v>9337</v>
      </c>
      <c r="AE1115" s="150">
        <f>1+0+3+3+4+3+2+5</f>
        <v>21</v>
      </c>
      <c r="AF1115" s="150">
        <f>0+2+2+2+5+3+2+5</f>
        <v>21</v>
      </c>
      <c r="AG1115" s="155">
        <v>11728</v>
      </c>
      <c r="AH1115" s="156">
        <v>5557</v>
      </c>
      <c r="AI1115" s="156" t="s">
        <v>281</v>
      </c>
      <c r="AJ1115" s="159" t="s">
        <v>276</v>
      </c>
      <c r="AK1115" s="158">
        <f t="shared" si="151"/>
        <v>1.7905866302864939</v>
      </c>
      <c r="AL1115" s="159" t="s">
        <v>276</v>
      </c>
      <c r="AM1115" s="159" t="s">
        <v>276</v>
      </c>
      <c r="AN1115" s="159" t="s">
        <v>276</v>
      </c>
      <c r="AO1115" s="158">
        <f t="shared" si="152"/>
        <v>3.7790174554615801</v>
      </c>
      <c r="AP1115" s="159" t="s">
        <v>276</v>
      </c>
      <c r="AQ1115" s="159" t="s">
        <v>276</v>
      </c>
      <c r="AR1115" s="150" t="s">
        <v>268</v>
      </c>
      <c r="AS1115" s="159" t="s">
        <v>276</v>
      </c>
      <c r="AT1115" s="159">
        <f t="shared" si="157"/>
        <v>0.47382332878581174</v>
      </c>
      <c r="AU1115" s="159" t="s">
        <v>276</v>
      </c>
      <c r="AV1115" s="159" t="s">
        <v>276</v>
      </c>
      <c r="AW1115" s="159" t="s">
        <v>276</v>
      </c>
      <c r="AX1115" s="150" t="s">
        <v>282</v>
      </c>
      <c r="AY1115" s="150" t="s">
        <v>98</v>
      </c>
      <c r="AZ1115" s="150" t="s">
        <v>98</v>
      </c>
      <c r="BA1115" s="150" t="s">
        <v>98</v>
      </c>
      <c r="BB1115" s="150" t="s">
        <v>98</v>
      </c>
      <c r="BC1115" s="151" t="s">
        <v>426</v>
      </c>
      <c r="BD1115" s="151"/>
      <c r="BE1115" s="33" t="s">
        <v>100</v>
      </c>
      <c r="BF1115" s="33" t="s">
        <v>98</v>
      </c>
    </row>
    <row r="1116" spans="1:58" s="160" customFormat="1" ht="78" x14ac:dyDescent="0.3">
      <c r="A1116" s="150">
        <v>4095</v>
      </c>
      <c r="B1116" s="150" t="s">
        <v>9605</v>
      </c>
      <c r="C1116" s="151" t="s">
        <v>9264</v>
      </c>
      <c r="D1116" s="151" t="s">
        <v>9636</v>
      </c>
      <c r="E1116" s="150" t="s">
        <v>35</v>
      </c>
      <c r="F1116" s="150" t="s">
        <v>97</v>
      </c>
      <c r="G1116" s="150" t="s">
        <v>225</v>
      </c>
      <c r="H1116" s="150" t="s">
        <v>125</v>
      </c>
      <c r="I1116" s="150" t="s">
        <v>113</v>
      </c>
      <c r="J1116" s="151" t="s">
        <v>24</v>
      </c>
      <c r="K1116" s="151" t="s">
        <v>9607</v>
      </c>
      <c r="L1116" s="151" t="s">
        <v>8281</v>
      </c>
      <c r="M1116" s="150" t="s">
        <v>15</v>
      </c>
      <c r="N1116" s="152" t="s">
        <v>3038</v>
      </c>
      <c r="O1116" s="153" t="s">
        <v>207</v>
      </c>
      <c r="P1116" s="342">
        <v>33238</v>
      </c>
      <c r="Q1116" s="151" t="s">
        <v>752</v>
      </c>
      <c r="R1116" s="151" t="s">
        <v>9637</v>
      </c>
      <c r="S1116" s="151" t="s">
        <v>9638</v>
      </c>
      <c r="T1116" s="168" t="s">
        <v>1219</v>
      </c>
      <c r="U1116" s="155">
        <v>11728</v>
      </c>
      <c r="V1116" s="156">
        <v>5557</v>
      </c>
      <c r="W1116" s="150" t="s">
        <v>276</v>
      </c>
      <c r="X1116" s="150" t="s">
        <v>276</v>
      </c>
      <c r="Y1116" s="150" t="s">
        <v>276</v>
      </c>
      <c r="Z1116" s="151" t="s">
        <v>1562</v>
      </c>
      <c r="AA1116" s="150" t="s">
        <v>276</v>
      </c>
      <c r="AB1116" s="151" t="s">
        <v>1562</v>
      </c>
      <c r="AC1116" s="151" t="s">
        <v>9639</v>
      </c>
      <c r="AD1116" s="151" t="s">
        <v>9337</v>
      </c>
      <c r="AE1116" s="150">
        <f>1+0+3+3+4+3+2+5+4</f>
        <v>25</v>
      </c>
      <c r="AF1116" s="150">
        <f>0+2+2+2+5+3+2+5+2</f>
        <v>23</v>
      </c>
      <c r="AG1116" s="155">
        <v>11728</v>
      </c>
      <c r="AH1116" s="156">
        <v>5557</v>
      </c>
      <c r="AI1116" s="156" t="s">
        <v>281</v>
      </c>
      <c r="AJ1116" s="159" t="s">
        <v>276</v>
      </c>
      <c r="AK1116" s="158">
        <f t="shared" si="151"/>
        <v>2.131650750341064</v>
      </c>
      <c r="AL1116" s="159" t="s">
        <v>276</v>
      </c>
      <c r="AM1116" s="159" t="s">
        <v>276</v>
      </c>
      <c r="AN1116" s="159" t="s">
        <v>276</v>
      </c>
      <c r="AO1116" s="158">
        <f t="shared" si="152"/>
        <v>4.1389238797912542</v>
      </c>
      <c r="AP1116" s="159" t="s">
        <v>276</v>
      </c>
      <c r="AQ1116" s="159" t="s">
        <v>276</v>
      </c>
      <c r="AR1116" s="150" t="s">
        <v>268</v>
      </c>
      <c r="AS1116" s="159" t="s">
        <v>276</v>
      </c>
      <c r="AT1116" s="159">
        <f t="shared" si="157"/>
        <v>0.51502535737588229</v>
      </c>
      <c r="AU1116" s="159" t="s">
        <v>276</v>
      </c>
      <c r="AV1116" s="159" t="s">
        <v>276</v>
      </c>
      <c r="AW1116" s="159" t="s">
        <v>276</v>
      </c>
      <c r="AX1116" s="150" t="s">
        <v>282</v>
      </c>
      <c r="AY1116" s="150" t="s">
        <v>98</v>
      </c>
      <c r="AZ1116" s="150" t="s">
        <v>98</v>
      </c>
      <c r="BA1116" s="150" t="s">
        <v>98</v>
      </c>
      <c r="BB1116" s="150" t="s">
        <v>98</v>
      </c>
      <c r="BC1116" s="151" t="s">
        <v>426</v>
      </c>
      <c r="BD1116" s="151"/>
      <c r="BE1116" s="33" t="s">
        <v>100</v>
      </c>
      <c r="BF1116" s="33" t="s">
        <v>98</v>
      </c>
    </row>
    <row r="1117" spans="1:58" s="160" customFormat="1" ht="78" x14ac:dyDescent="0.3">
      <c r="A1117" s="150">
        <v>4095</v>
      </c>
      <c r="B1117" s="150" t="s">
        <v>9605</v>
      </c>
      <c r="C1117" s="151" t="s">
        <v>9264</v>
      </c>
      <c r="D1117" s="151" t="s">
        <v>9640</v>
      </c>
      <c r="E1117" s="150" t="s">
        <v>35</v>
      </c>
      <c r="F1117" s="150" t="s">
        <v>97</v>
      </c>
      <c r="G1117" s="150" t="s">
        <v>225</v>
      </c>
      <c r="H1117" s="150" t="s">
        <v>125</v>
      </c>
      <c r="I1117" s="150" t="s">
        <v>113</v>
      </c>
      <c r="J1117" s="151" t="s">
        <v>24</v>
      </c>
      <c r="K1117" s="151" t="s">
        <v>9607</v>
      </c>
      <c r="L1117" s="151" t="s">
        <v>8281</v>
      </c>
      <c r="M1117" s="150" t="s">
        <v>15</v>
      </c>
      <c r="N1117" s="152" t="s">
        <v>3038</v>
      </c>
      <c r="O1117" s="153" t="s">
        <v>207</v>
      </c>
      <c r="P1117" s="342">
        <v>33238</v>
      </c>
      <c r="Q1117" s="151" t="s">
        <v>766</v>
      </c>
      <c r="R1117" s="151" t="s">
        <v>9641</v>
      </c>
      <c r="S1117" s="151" t="s">
        <v>9642</v>
      </c>
      <c r="T1117" s="168" t="s">
        <v>1219</v>
      </c>
      <c r="U1117" s="155">
        <v>11728</v>
      </c>
      <c r="V1117" s="156">
        <v>5557</v>
      </c>
      <c r="W1117" s="150" t="s">
        <v>276</v>
      </c>
      <c r="X1117" s="150" t="s">
        <v>276</v>
      </c>
      <c r="Y1117" s="150" t="s">
        <v>276</v>
      </c>
      <c r="Z1117" s="151" t="s">
        <v>1562</v>
      </c>
      <c r="AA1117" s="150" t="s">
        <v>276</v>
      </c>
      <c r="AB1117" s="151" t="s">
        <v>1562</v>
      </c>
      <c r="AC1117" s="151" t="s">
        <v>9643</v>
      </c>
      <c r="AD1117" s="151" t="s">
        <v>9337</v>
      </c>
      <c r="AE1117" s="150">
        <f>1+0+3+3+4+3+2+5+4+0</f>
        <v>25</v>
      </c>
      <c r="AF1117" s="150">
        <f>0+2+2+2+5+3+2+5+2+1</f>
        <v>24</v>
      </c>
      <c r="AG1117" s="155">
        <v>11728</v>
      </c>
      <c r="AH1117" s="156">
        <v>5557</v>
      </c>
      <c r="AI1117" s="156" t="s">
        <v>281</v>
      </c>
      <c r="AJ1117" s="159" t="s">
        <v>276</v>
      </c>
      <c r="AK1117" s="158">
        <f t="shared" si="151"/>
        <v>2.131650750341064</v>
      </c>
      <c r="AL1117" s="159" t="s">
        <v>276</v>
      </c>
      <c r="AM1117" s="159" t="s">
        <v>276</v>
      </c>
      <c r="AN1117" s="159" t="s">
        <v>276</v>
      </c>
      <c r="AO1117" s="158">
        <f t="shared" si="152"/>
        <v>4.3188770919560913</v>
      </c>
      <c r="AP1117" s="159" t="s">
        <v>276</v>
      </c>
      <c r="AQ1117" s="159" t="s">
        <v>276</v>
      </c>
      <c r="AR1117" s="150" t="s">
        <v>268</v>
      </c>
      <c r="AS1117" s="159" t="s">
        <v>276</v>
      </c>
      <c r="AT1117" s="159">
        <f t="shared" si="157"/>
        <v>0.49356596748522052</v>
      </c>
      <c r="AU1117" s="159" t="s">
        <v>276</v>
      </c>
      <c r="AV1117" s="159" t="s">
        <v>276</v>
      </c>
      <c r="AW1117" s="159" t="s">
        <v>276</v>
      </c>
      <c r="AX1117" s="150" t="s">
        <v>282</v>
      </c>
      <c r="AY1117" s="150" t="s">
        <v>98</v>
      </c>
      <c r="AZ1117" s="150" t="s">
        <v>98</v>
      </c>
      <c r="BA1117" s="150" t="s">
        <v>98</v>
      </c>
      <c r="BB1117" s="150" t="s">
        <v>98</v>
      </c>
      <c r="BC1117" s="151" t="s">
        <v>426</v>
      </c>
      <c r="BD1117" s="151"/>
      <c r="BE1117" s="33" t="s">
        <v>100</v>
      </c>
      <c r="BF1117" s="33" t="s">
        <v>98</v>
      </c>
    </row>
    <row r="1118" spans="1:58" s="160" customFormat="1" ht="78" x14ac:dyDescent="0.3">
      <c r="A1118" s="150">
        <v>4095</v>
      </c>
      <c r="B1118" s="150" t="s">
        <v>9605</v>
      </c>
      <c r="C1118" s="151" t="s">
        <v>9264</v>
      </c>
      <c r="D1118" s="151" t="s">
        <v>9644</v>
      </c>
      <c r="E1118" s="150" t="s">
        <v>35</v>
      </c>
      <c r="F1118" s="150" t="s">
        <v>97</v>
      </c>
      <c r="G1118" s="150" t="s">
        <v>225</v>
      </c>
      <c r="H1118" s="150" t="s">
        <v>125</v>
      </c>
      <c r="I1118" s="150" t="s">
        <v>113</v>
      </c>
      <c r="J1118" s="151" t="s">
        <v>24</v>
      </c>
      <c r="K1118" s="151" t="s">
        <v>9607</v>
      </c>
      <c r="L1118" s="151" t="s">
        <v>8281</v>
      </c>
      <c r="M1118" s="150" t="s">
        <v>15</v>
      </c>
      <c r="N1118" s="152" t="s">
        <v>3038</v>
      </c>
      <c r="O1118" s="153" t="s">
        <v>207</v>
      </c>
      <c r="P1118" s="342">
        <v>33238</v>
      </c>
      <c r="Q1118" s="151" t="s">
        <v>9624</v>
      </c>
      <c r="R1118" s="151" t="s">
        <v>9645</v>
      </c>
      <c r="S1118" s="151" t="s">
        <v>9646</v>
      </c>
      <c r="T1118" s="168" t="s">
        <v>1219</v>
      </c>
      <c r="U1118" s="155">
        <v>11728</v>
      </c>
      <c r="V1118" s="156">
        <v>5557</v>
      </c>
      <c r="W1118" s="150" t="s">
        <v>276</v>
      </c>
      <c r="X1118" s="150" t="s">
        <v>276</v>
      </c>
      <c r="Y1118" s="150" t="s">
        <v>276</v>
      </c>
      <c r="Z1118" s="151" t="s">
        <v>1562</v>
      </c>
      <c r="AA1118" s="150" t="s">
        <v>276</v>
      </c>
      <c r="AB1118" s="151" t="s">
        <v>1562</v>
      </c>
      <c r="AC1118" s="151" t="s">
        <v>9647</v>
      </c>
      <c r="AD1118" s="151" t="s">
        <v>9337</v>
      </c>
      <c r="AE1118" s="150">
        <f>1+0+3+3+4+3+2+5+4+0+2</f>
        <v>27</v>
      </c>
      <c r="AF1118" s="150">
        <f>0+2+2+2+5+3+2+5+2+1+6</f>
        <v>30</v>
      </c>
      <c r="AG1118" s="155">
        <v>11728</v>
      </c>
      <c r="AH1118" s="156">
        <v>5557</v>
      </c>
      <c r="AI1118" s="156" t="s">
        <v>281</v>
      </c>
      <c r="AJ1118" s="159" t="s">
        <v>276</v>
      </c>
      <c r="AK1118" s="158">
        <f t="shared" si="151"/>
        <v>2.302182810368349</v>
      </c>
      <c r="AL1118" s="159" t="s">
        <v>276</v>
      </c>
      <c r="AM1118" s="159" t="s">
        <v>276</v>
      </c>
      <c r="AN1118" s="159" t="s">
        <v>276</v>
      </c>
      <c r="AO1118" s="158">
        <f t="shared" si="152"/>
        <v>5.3985963649451145</v>
      </c>
      <c r="AP1118" s="159" t="s">
        <v>276</v>
      </c>
      <c r="AQ1118" s="159" t="s">
        <v>276</v>
      </c>
      <c r="AR1118" s="150" t="s">
        <v>268</v>
      </c>
      <c r="AS1118" s="159" t="s">
        <v>276</v>
      </c>
      <c r="AT1118" s="159">
        <f t="shared" si="157"/>
        <v>0.4264409959072305</v>
      </c>
      <c r="AU1118" s="159" t="s">
        <v>276</v>
      </c>
      <c r="AV1118" s="159" t="s">
        <v>276</v>
      </c>
      <c r="AW1118" s="159" t="s">
        <v>276</v>
      </c>
      <c r="AX1118" s="150" t="s">
        <v>282</v>
      </c>
      <c r="AY1118" s="150" t="s">
        <v>98</v>
      </c>
      <c r="AZ1118" s="150" t="s">
        <v>98</v>
      </c>
      <c r="BA1118" s="150" t="s">
        <v>98</v>
      </c>
      <c r="BB1118" s="150" t="s">
        <v>98</v>
      </c>
      <c r="BC1118" s="151" t="s">
        <v>426</v>
      </c>
      <c r="BD1118" s="151"/>
      <c r="BE1118" s="33" t="s">
        <v>100</v>
      </c>
      <c r="BF1118" s="33" t="s">
        <v>98</v>
      </c>
    </row>
    <row r="1119" spans="1:58" s="149" customFormat="1" ht="78" x14ac:dyDescent="0.3">
      <c r="A1119" s="126">
        <v>4095</v>
      </c>
      <c r="B1119" s="126" t="s">
        <v>9605</v>
      </c>
      <c r="C1119" s="127" t="s">
        <v>9264</v>
      </c>
      <c r="D1119" s="127" t="s">
        <v>9648</v>
      </c>
      <c r="E1119" s="126" t="s">
        <v>35</v>
      </c>
      <c r="F1119" s="126" t="s">
        <v>97</v>
      </c>
      <c r="G1119" s="126" t="s">
        <v>225</v>
      </c>
      <c r="H1119" s="126" t="s">
        <v>125</v>
      </c>
      <c r="I1119" s="126" t="s">
        <v>113</v>
      </c>
      <c r="J1119" s="127" t="s">
        <v>24</v>
      </c>
      <c r="K1119" s="127" t="s">
        <v>9607</v>
      </c>
      <c r="L1119" s="127" t="s">
        <v>8281</v>
      </c>
      <c r="M1119" s="126" t="s">
        <v>15</v>
      </c>
      <c r="N1119" s="145" t="s">
        <v>9342</v>
      </c>
      <c r="O1119" s="131" t="s">
        <v>207</v>
      </c>
      <c r="P1119" s="197" t="s">
        <v>98</v>
      </c>
      <c r="Q1119" s="127" t="s">
        <v>741</v>
      </c>
      <c r="R1119" s="127" t="s">
        <v>9649</v>
      </c>
      <c r="S1119" s="127" t="s">
        <v>9650</v>
      </c>
      <c r="T1119" s="167" t="s">
        <v>1219</v>
      </c>
      <c r="U1119" s="132">
        <v>11973</v>
      </c>
      <c r="V1119" s="134">
        <v>5555</v>
      </c>
      <c r="W1119" s="126" t="s">
        <v>276</v>
      </c>
      <c r="X1119" s="126" t="s">
        <v>276</v>
      </c>
      <c r="Y1119" s="126" t="s">
        <v>276</v>
      </c>
      <c r="Z1119" s="127" t="s">
        <v>1562</v>
      </c>
      <c r="AA1119" s="126" t="s">
        <v>276</v>
      </c>
      <c r="AB1119" s="127" t="s">
        <v>1562</v>
      </c>
      <c r="AC1119" s="127" t="s">
        <v>9651</v>
      </c>
      <c r="AD1119" s="127" t="s">
        <v>9346</v>
      </c>
      <c r="AE1119" s="126">
        <f>2+0+4+3+3+3+4</f>
        <v>19</v>
      </c>
      <c r="AF1119" s="126">
        <f>2+3+6+4</f>
        <v>15</v>
      </c>
      <c r="AG1119" s="132">
        <v>11973</v>
      </c>
      <c r="AH1119" s="134">
        <v>5555</v>
      </c>
      <c r="AI1119" s="134" t="s">
        <v>281</v>
      </c>
      <c r="AJ1119" s="135" t="s">
        <v>276</v>
      </c>
      <c r="AK1119" s="148">
        <f t="shared" si="151"/>
        <v>1.5869038670341602</v>
      </c>
      <c r="AL1119" s="135" t="s">
        <v>276</v>
      </c>
      <c r="AM1119" s="135" t="s">
        <v>276</v>
      </c>
      <c r="AN1119" s="135" t="s">
        <v>276</v>
      </c>
      <c r="AO1119" s="148">
        <f t="shared" si="152"/>
        <v>2.7002700270027002</v>
      </c>
      <c r="AP1119" s="135" t="s">
        <v>276</v>
      </c>
      <c r="AQ1119" s="135" t="s">
        <v>276</v>
      </c>
      <c r="AR1119" s="126" t="s">
        <v>268</v>
      </c>
      <c r="AS1119" s="135" t="s">
        <v>276</v>
      </c>
      <c r="AT1119" s="135">
        <f t="shared" si="157"/>
        <v>0.58768339875831732</v>
      </c>
      <c r="AU1119" s="135" t="s">
        <v>276</v>
      </c>
      <c r="AV1119" s="135" t="s">
        <v>276</v>
      </c>
      <c r="AW1119" s="135" t="s">
        <v>276</v>
      </c>
      <c r="AX1119" s="126" t="s">
        <v>282</v>
      </c>
      <c r="AY1119" s="126" t="s">
        <v>98</v>
      </c>
      <c r="AZ1119" s="126" t="s">
        <v>98</v>
      </c>
      <c r="BA1119" s="126" t="s">
        <v>98</v>
      </c>
      <c r="BB1119" s="126" t="s">
        <v>98</v>
      </c>
      <c r="BC1119" s="127" t="s">
        <v>426</v>
      </c>
      <c r="BD1119" s="127"/>
      <c r="BE1119" s="33" t="s">
        <v>100</v>
      </c>
      <c r="BF1119" s="33" t="s">
        <v>98</v>
      </c>
    </row>
    <row r="1120" spans="1:58" s="149" customFormat="1" ht="78" x14ac:dyDescent="0.3">
      <c r="A1120" s="126">
        <v>4095</v>
      </c>
      <c r="B1120" s="126" t="s">
        <v>9605</v>
      </c>
      <c r="C1120" s="127" t="s">
        <v>9264</v>
      </c>
      <c r="D1120" s="127" t="s">
        <v>9652</v>
      </c>
      <c r="E1120" s="126" t="s">
        <v>35</v>
      </c>
      <c r="F1120" s="126" t="s">
        <v>97</v>
      </c>
      <c r="G1120" s="126" t="s">
        <v>225</v>
      </c>
      <c r="H1120" s="126" t="s">
        <v>125</v>
      </c>
      <c r="I1120" s="126" t="s">
        <v>113</v>
      </c>
      <c r="J1120" s="127" t="s">
        <v>24</v>
      </c>
      <c r="K1120" s="127" t="s">
        <v>9607</v>
      </c>
      <c r="L1120" s="127" t="s">
        <v>8281</v>
      </c>
      <c r="M1120" s="126" t="s">
        <v>15</v>
      </c>
      <c r="N1120" s="145" t="s">
        <v>9342</v>
      </c>
      <c r="O1120" s="131" t="s">
        <v>207</v>
      </c>
      <c r="P1120" s="197" t="s">
        <v>98</v>
      </c>
      <c r="Q1120" s="127" t="s">
        <v>746</v>
      </c>
      <c r="R1120" s="127" t="s">
        <v>9653</v>
      </c>
      <c r="S1120" s="127" t="s">
        <v>9654</v>
      </c>
      <c r="T1120" s="167" t="s">
        <v>1219</v>
      </c>
      <c r="U1120" s="132">
        <v>11973</v>
      </c>
      <c r="V1120" s="134">
        <v>5555</v>
      </c>
      <c r="W1120" s="126" t="s">
        <v>276</v>
      </c>
      <c r="X1120" s="126" t="s">
        <v>276</v>
      </c>
      <c r="Y1120" s="126" t="s">
        <v>276</v>
      </c>
      <c r="Z1120" s="127" t="s">
        <v>1562</v>
      </c>
      <c r="AA1120" s="126" t="s">
        <v>276</v>
      </c>
      <c r="AB1120" s="127" t="s">
        <v>1562</v>
      </c>
      <c r="AC1120" s="127" t="s">
        <v>9655</v>
      </c>
      <c r="AD1120" s="127" t="s">
        <v>9346</v>
      </c>
      <c r="AE1120" s="126">
        <f>2+0+4+3+3+3+4+8</f>
        <v>27</v>
      </c>
      <c r="AF1120" s="126">
        <f>2+3+6+4+3</f>
        <v>18</v>
      </c>
      <c r="AG1120" s="132">
        <v>11973</v>
      </c>
      <c r="AH1120" s="134">
        <v>5555</v>
      </c>
      <c r="AI1120" s="134" t="s">
        <v>281</v>
      </c>
      <c r="AJ1120" s="135" t="s">
        <v>276</v>
      </c>
      <c r="AK1120" s="148">
        <f t="shared" si="151"/>
        <v>2.2550739163117015</v>
      </c>
      <c r="AL1120" s="135" t="s">
        <v>276</v>
      </c>
      <c r="AM1120" s="135" t="s">
        <v>276</v>
      </c>
      <c r="AN1120" s="135" t="s">
        <v>276</v>
      </c>
      <c r="AO1120" s="148">
        <f t="shared" si="152"/>
        <v>3.2403240324032403</v>
      </c>
      <c r="AP1120" s="135" t="s">
        <v>276</v>
      </c>
      <c r="AQ1120" s="135" t="s">
        <v>276</v>
      </c>
      <c r="AR1120" s="126" t="s">
        <v>268</v>
      </c>
      <c r="AS1120" s="135" t="s">
        <v>276</v>
      </c>
      <c r="AT1120" s="135">
        <f t="shared" si="157"/>
        <v>0.69594086695063895</v>
      </c>
      <c r="AU1120" s="135" t="s">
        <v>276</v>
      </c>
      <c r="AV1120" s="135" t="s">
        <v>276</v>
      </c>
      <c r="AW1120" s="135" t="s">
        <v>276</v>
      </c>
      <c r="AX1120" s="126" t="s">
        <v>282</v>
      </c>
      <c r="AY1120" s="126" t="s">
        <v>98</v>
      </c>
      <c r="AZ1120" s="126" t="s">
        <v>98</v>
      </c>
      <c r="BA1120" s="126" t="s">
        <v>98</v>
      </c>
      <c r="BB1120" s="126" t="s">
        <v>98</v>
      </c>
      <c r="BC1120" s="127" t="s">
        <v>426</v>
      </c>
      <c r="BD1120" s="127"/>
      <c r="BE1120" s="33" t="s">
        <v>100</v>
      </c>
      <c r="BF1120" s="33" t="s">
        <v>98</v>
      </c>
    </row>
    <row r="1121" spans="1:58" s="149" customFormat="1" ht="78" x14ac:dyDescent="0.3">
      <c r="A1121" s="126">
        <v>4095</v>
      </c>
      <c r="B1121" s="126" t="s">
        <v>9605</v>
      </c>
      <c r="C1121" s="127" t="s">
        <v>9264</v>
      </c>
      <c r="D1121" s="127" t="s">
        <v>9656</v>
      </c>
      <c r="E1121" s="126" t="s">
        <v>35</v>
      </c>
      <c r="F1121" s="126" t="s">
        <v>97</v>
      </c>
      <c r="G1121" s="126" t="s">
        <v>225</v>
      </c>
      <c r="H1121" s="126" t="s">
        <v>125</v>
      </c>
      <c r="I1121" s="126" t="s">
        <v>113</v>
      </c>
      <c r="J1121" s="127" t="s">
        <v>24</v>
      </c>
      <c r="K1121" s="127" t="s">
        <v>9607</v>
      </c>
      <c r="L1121" s="127" t="s">
        <v>8281</v>
      </c>
      <c r="M1121" s="126" t="s">
        <v>15</v>
      </c>
      <c r="N1121" s="145" t="s">
        <v>9342</v>
      </c>
      <c r="O1121" s="131" t="s">
        <v>207</v>
      </c>
      <c r="P1121" s="197" t="s">
        <v>98</v>
      </c>
      <c r="Q1121" s="127" t="s">
        <v>752</v>
      </c>
      <c r="R1121" s="127" t="s">
        <v>9657</v>
      </c>
      <c r="S1121" s="127" t="s">
        <v>9658</v>
      </c>
      <c r="T1121" s="167" t="s">
        <v>1219</v>
      </c>
      <c r="U1121" s="132">
        <v>11973</v>
      </c>
      <c r="V1121" s="134">
        <v>5555</v>
      </c>
      <c r="W1121" s="126" t="s">
        <v>276</v>
      </c>
      <c r="X1121" s="126" t="s">
        <v>276</v>
      </c>
      <c r="Y1121" s="126" t="s">
        <v>276</v>
      </c>
      <c r="Z1121" s="127" t="s">
        <v>1562</v>
      </c>
      <c r="AA1121" s="126" t="s">
        <v>276</v>
      </c>
      <c r="AB1121" s="127" t="s">
        <v>1562</v>
      </c>
      <c r="AC1121" s="127" t="s">
        <v>9659</v>
      </c>
      <c r="AD1121" s="127" t="s">
        <v>9346</v>
      </c>
      <c r="AE1121" s="126">
        <f>2+0+4+3+3+3+4+8+3</f>
        <v>30</v>
      </c>
      <c r="AF1121" s="126">
        <f>2+3+6+4+3+3</f>
        <v>21</v>
      </c>
      <c r="AG1121" s="132">
        <v>11973</v>
      </c>
      <c r="AH1121" s="134">
        <v>5555</v>
      </c>
      <c r="AI1121" s="134" t="s">
        <v>281</v>
      </c>
      <c r="AJ1121" s="135" t="s">
        <v>276</v>
      </c>
      <c r="AK1121" s="148">
        <f t="shared" ref="AK1121:AK1148" si="158">AE1121*1000/AG1121</f>
        <v>2.5056376847907793</v>
      </c>
      <c r="AL1121" s="135" t="s">
        <v>276</v>
      </c>
      <c r="AM1121" s="135" t="s">
        <v>276</v>
      </c>
      <c r="AN1121" s="135" t="s">
        <v>276</v>
      </c>
      <c r="AO1121" s="148">
        <f t="shared" si="152"/>
        <v>3.7803780378037803</v>
      </c>
      <c r="AP1121" s="135" t="s">
        <v>276</v>
      </c>
      <c r="AQ1121" s="135" t="s">
        <v>276</v>
      </c>
      <c r="AR1121" s="126" t="s">
        <v>268</v>
      </c>
      <c r="AS1121" s="135" t="s">
        <v>276</v>
      </c>
      <c r="AT1121" s="135">
        <f t="shared" si="157"/>
        <v>0.66280082566727516</v>
      </c>
      <c r="AU1121" s="135" t="s">
        <v>276</v>
      </c>
      <c r="AV1121" s="135" t="s">
        <v>276</v>
      </c>
      <c r="AW1121" s="135" t="s">
        <v>276</v>
      </c>
      <c r="AX1121" s="126" t="s">
        <v>282</v>
      </c>
      <c r="AY1121" s="126" t="s">
        <v>98</v>
      </c>
      <c r="AZ1121" s="126" t="s">
        <v>98</v>
      </c>
      <c r="BA1121" s="126" t="s">
        <v>98</v>
      </c>
      <c r="BB1121" s="126" t="s">
        <v>98</v>
      </c>
      <c r="BC1121" s="127" t="s">
        <v>426</v>
      </c>
      <c r="BD1121" s="127"/>
      <c r="BE1121" s="33" t="s">
        <v>100</v>
      </c>
      <c r="BF1121" s="33" t="s">
        <v>98</v>
      </c>
    </row>
    <row r="1122" spans="1:58" s="149" customFormat="1" ht="78" x14ac:dyDescent="0.3">
      <c r="A1122" s="126">
        <v>4095</v>
      </c>
      <c r="B1122" s="126" t="s">
        <v>9605</v>
      </c>
      <c r="C1122" s="127" t="s">
        <v>9264</v>
      </c>
      <c r="D1122" s="127" t="s">
        <v>9660</v>
      </c>
      <c r="E1122" s="126" t="s">
        <v>35</v>
      </c>
      <c r="F1122" s="126" t="s">
        <v>97</v>
      </c>
      <c r="G1122" s="126" t="s">
        <v>225</v>
      </c>
      <c r="H1122" s="126" t="s">
        <v>125</v>
      </c>
      <c r="I1122" s="126" t="s">
        <v>113</v>
      </c>
      <c r="J1122" s="127" t="s">
        <v>24</v>
      </c>
      <c r="K1122" s="127" t="s">
        <v>9607</v>
      </c>
      <c r="L1122" s="127" t="s">
        <v>8281</v>
      </c>
      <c r="M1122" s="126" t="s">
        <v>15</v>
      </c>
      <c r="N1122" s="145" t="s">
        <v>9342</v>
      </c>
      <c r="O1122" s="131" t="s">
        <v>207</v>
      </c>
      <c r="P1122" s="197" t="s">
        <v>98</v>
      </c>
      <c r="Q1122" s="127" t="s">
        <v>766</v>
      </c>
      <c r="R1122" s="127" t="s">
        <v>9661</v>
      </c>
      <c r="S1122" s="127" t="s">
        <v>9662</v>
      </c>
      <c r="T1122" s="167" t="s">
        <v>1219</v>
      </c>
      <c r="U1122" s="132">
        <v>11973</v>
      </c>
      <c r="V1122" s="134">
        <v>5555</v>
      </c>
      <c r="W1122" s="126" t="s">
        <v>276</v>
      </c>
      <c r="X1122" s="126" t="s">
        <v>276</v>
      </c>
      <c r="Y1122" s="126" t="s">
        <v>276</v>
      </c>
      <c r="Z1122" s="127" t="s">
        <v>1562</v>
      </c>
      <c r="AA1122" s="126" t="s">
        <v>276</v>
      </c>
      <c r="AB1122" s="127" t="s">
        <v>1562</v>
      </c>
      <c r="AC1122" s="127" t="s">
        <v>9663</v>
      </c>
      <c r="AD1122" s="127" t="s">
        <v>9346</v>
      </c>
      <c r="AE1122" s="126">
        <f>2+0+4+3+3+3+4+8+3+2</f>
        <v>32</v>
      </c>
      <c r="AF1122" s="126">
        <f>2+3+6+4+3+3+2</f>
        <v>23</v>
      </c>
      <c r="AG1122" s="132">
        <v>11973</v>
      </c>
      <c r="AH1122" s="134">
        <v>5555</v>
      </c>
      <c r="AI1122" s="134" t="s">
        <v>281</v>
      </c>
      <c r="AJ1122" s="135" t="s">
        <v>276</v>
      </c>
      <c r="AK1122" s="148">
        <f t="shared" si="158"/>
        <v>2.6726801971101644</v>
      </c>
      <c r="AL1122" s="135" t="s">
        <v>276</v>
      </c>
      <c r="AM1122" s="135" t="s">
        <v>276</v>
      </c>
      <c r="AN1122" s="135" t="s">
        <v>276</v>
      </c>
      <c r="AO1122" s="148">
        <f t="shared" ref="AO1122:AO1148" si="159">AF1122*1000/AH1122</f>
        <v>4.1404140414041404</v>
      </c>
      <c r="AP1122" s="135" t="s">
        <v>276</v>
      </c>
      <c r="AQ1122" s="135" t="s">
        <v>276</v>
      </c>
      <c r="AR1122" s="126" t="s">
        <v>268</v>
      </c>
      <c r="AS1122" s="135" t="s">
        <v>276</v>
      </c>
      <c r="AT1122" s="135">
        <f t="shared" si="157"/>
        <v>0.64551036934552009</v>
      </c>
      <c r="AU1122" s="135" t="s">
        <v>276</v>
      </c>
      <c r="AV1122" s="135" t="s">
        <v>276</v>
      </c>
      <c r="AW1122" s="135" t="s">
        <v>276</v>
      </c>
      <c r="AX1122" s="126" t="s">
        <v>282</v>
      </c>
      <c r="AY1122" s="126" t="s">
        <v>98</v>
      </c>
      <c r="AZ1122" s="126" t="s">
        <v>98</v>
      </c>
      <c r="BA1122" s="126" t="s">
        <v>98</v>
      </c>
      <c r="BB1122" s="126" t="s">
        <v>98</v>
      </c>
      <c r="BC1122" s="127" t="s">
        <v>426</v>
      </c>
      <c r="BD1122" s="127"/>
      <c r="BE1122" s="33" t="s">
        <v>100</v>
      </c>
      <c r="BF1122" s="33" t="s">
        <v>98</v>
      </c>
    </row>
    <row r="1123" spans="1:58" s="149" customFormat="1" ht="78" x14ac:dyDescent="0.3">
      <c r="A1123" s="126">
        <v>4095</v>
      </c>
      <c r="B1123" s="126" t="s">
        <v>9605</v>
      </c>
      <c r="C1123" s="127" t="s">
        <v>9264</v>
      </c>
      <c r="D1123" s="127" t="s">
        <v>9664</v>
      </c>
      <c r="E1123" s="126" t="s">
        <v>35</v>
      </c>
      <c r="F1123" s="126" t="s">
        <v>97</v>
      </c>
      <c r="G1123" s="126" t="s">
        <v>225</v>
      </c>
      <c r="H1123" s="126" t="s">
        <v>125</v>
      </c>
      <c r="I1123" s="126" t="s">
        <v>113</v>
      </c>
      <c r="J1123" s="127" t="s">
        <v>24</v>
      </c>
      <c r="K1123" s="127" t="s">
        <v>9607</v>
      </c>
      <c r="L1123" s="127" t="s">
        <v>8281</v>
      </c>
      <c r="M1123" s="126" t="s">
        <v>15</v>
      </c>
      <c r="N1123" s="145" t="s">
        <v>9342</v>
      </c>
      <c r="O1123" s="131" t="s">
        <v>207</v>
      </c>
      <c r="P1123" s="197" t="s">
        <v>98</v>
      </c>
      <c r="Q1123" s="127" t="s">
        <v>9624</v>
      </c>
      <c r="R1123" s="127" t="s">
        <v>9665</v>
      </c>
      <c r="S1123" s="127" t="s">
        <v>9666</v>
      </c>
      <c r="T1123" s="167" t="s">
        <v>1219</v>
      </c>
      <c r="U1123" s="132">
        <v>11973</v>
      </c>
      <c r="V1123" s="134">
        <v>5555</v>
      </c>
      <c r="W1123" s="126" t="s">
        <v>276</v>
      </c>
      <c r="X1123" s="126" t="s">
        <v>276</v>
      </c>
      <c r="Y1123" s="126" t="s">
        <v>276</v>
      </c>
      <c r="Z1123" s="127" t="s">
        <v>1562</v>
      </c>
      <c r="AA1123" s="126" t="s">
        <v>276</v>
      </c>
      <c r="AB1123" s="127" t="s">
        <v>1562</v>
      </c>
      <c r="AC1123" s="127" t="s">
        <v>9667</v>
      </c>
      <c r="AD1123" s="127" t="s">
        <v>9346</v>
      </c>
      <c r="AE1123" s="126">
        <f>2+0+4+3+3+3+4+8+3+2+6</f>
        <v>38</v>
      </c>
      <c r="AF1123" s="126">
        <f>2+3+6+4+3+3+2+10</f>
        <v>33</v>
      </c>
      <c r="AG1123" s="132">
        <v>11973</v>
      </c>
      <c r="AH1123" s="134">
        <v>5555</v>
      </c>
      <c r="AI1123" s="134" t="s">
        <v>281</v>
      </c>
      <c r="AJ1123" s="135" t="s">
        <v>276</v>
      </c>
      <c r="AK1123" s="148">
        <f t="shared" si="158"/>
        <v>3.1738077340683204</v>
      </c>
      <c r="AL1123" s="135" t="s">
        <v>276</v>
      </c>
      <c r="AM1123" s="135" t="s">
        <v>276</v>
      </c>
      <c r="AN1123" s="135" t="s">
        <v>276</v>
      </c>
      <c r="AO1123" s="148">
        <f t="shared" si="159"/>
        <v>5.9405940594059405</v>
      </c>
      <c r="AP1123" s="135" t="s">
        <v>276</v>
      </c>
      <c r="AQ1123" s="135" t="s">
        <v>276</v>
      </c>
      <c r="AR1123" s="126" t="s">
        <v>268</v>
      </c>
      <c r="AS1123" s="135" t="s">
        <v>276</v>
      </c>
      <c r="AT1123" s="135">
        <f t="shared" si="157"/>
        <v>0.53425763523483394</v>
      </c>
      <c r="AU1123" s="135" t="s">
        <v>276</v>
      </c>
      <c r="AV1123" s="135" t="s">
        <v>276</v>
      </c>
      <c r="AW1123" s="135" t="s">
        <v>276</v>
      </c>
      <c r="AX1123" s="126" t="s">
        <v>282</v>
      </c>
      <c r="AY1123" s="126" t="s">
        <v>98</v>
      </c>
      <c r="AZ1123" s="126" t="s">
        <v>98</v>
      </c>
      <c r="BA1123" s="126" t="s">
        <v>98</v>
      </c>
      <c r="BB1123" s="126" t="s">
        <v>98</v>
      </c>
      <c r="BC1123" s="127" t="s">
        <v>426</v>
      </c>
      <c r="BD1123" s="127"/>
      <c r="BE1123" s="33" t="s">
        <v>100</v>
      </c>
      <c r="BF1123" s="33" t="s">
        <v>98</v>
      </c>
    </row>
    <row r="1124" spans="1:58" s="160" customFormat="1" ht="78" x14ac:dyDescent="0.3">
      <c r="A1124" s="150">
        <v>4095</v>
      </c>
      <c r="B1124" s="150" t="s">
        <v>9605</v>
      </c>
      <c r="C1124" s="151" t="s">
        <v>9264</v>
      </c>
      <c r="D1124" s="151" t="s">
        <v>9668</v>
      </c>
      <c r="E1124" s="150" t="s">
        <v>35</v>
      </c>
      <c r="F1124" s="150" t="s">
        <v>97</v>
      </c>
      <c r="G1124" s="150" t="s">
        <v>225</v>
      </c>
      <c r="H1124" s="150" t="s">
        <v>125</v>
      </c>
      <c r="I1124" s="150" t="s">
        <v>113</v>
      </c>
      <c r="J1124" s="151" t="s">
        <v>24</v>
      </c>
      <c r="K1124" s="151" t="s">
        <v>9307</v>
      </c>
      <c r="L1124" s="151" t="s">
        <v>8281</v>
      </c>
      <c r="M1124" s="150" t="s">
        <v>15</v>
      </c>
      <c r="N1124" s="152" t="s">
        <v>9350</v>
      </c>
      <c r="O1124" s="153" t="s">
        <v>207</v>
      </c>
      <c r="P1124" s="342" t="s">
        <v>98</v>
      </c>
      <c r="Q1124" s="151" t="s">
        <v>741</v>
      </c>
      <c r="R1124" s="151" t="s">
        <v>9669</v>
      </c>
      <c r="S1124" s="151" t="s">
        <v>9670</v>
      </c>
      <c r="T1124" s="168" t="s">
        <v>1191</v>
      </c>
      <c r="U1124" s="155">
        <v>5306</v>
      </c>
      <c r="V1124" s="156">
        <v>2439</v>
      </c>
      <c r="W1124" s="150" t="s">
        <v>276</v>
      </c>
      <c r="X1124" s="150" t="s">
        <v>276</v>
      </c>
      <c r="Y1124" s="150" t="s">
        <v>276</v>
      </c>
      <c r="Z1124" s="151" t="s">
        <v>1562</v>
      </c>
      <c r="AA1124" s="150" t="s">
        <v>276</v>
      </c>
      <c r="AB1124" s="151" t="s">
        <v>1562</v>
      </c>
      <c r="AC1124" s="151" t="s">
        <v>9671</v>
      </c>
      <c r="AD1124" s="151" t="s">
        <v>9354</v>
      </c>
      <c r="AE1124" s="150">
        <f>2+3+1+4+3+3</f>
        <v>16</v>
      </c>
      <c r="AF1124" s="150">
        <f>3+2+0+4+2+1</f>
        <v>12</v>
      </c>
      <c r="AG1124" s="155">
        <v>5306</v>
      </c>
      <c r="AH1124" s="156">
        <v>2439</v>
      </c>
      <c r="AI1124" s="156" t="s">
        <v>281</v>
      </c>
      <c r="AJ1124" s="159" t="s">
        <v>276</v>
      </c>
      <c r="AK1124" s="158">
        <f t="shared" si="158"/>
        <v>3.0154542027892952</v>
      </c>
      <c r="AL1124" s="159" t="s">
        <v>276</v>
      </c>
      <c r="AM1124" s="159" t="s">
        <v>276</v>
      </c>
      <c r="AN1124" s="159" t="s">
        <v>276</v>
      </c>
      <c r="AO1124" s="158">
        <f t="shared" si="159"/>
        <v>4.9200492004920049</v>
      </c>
      <c r="AP1124" s="159" t="s">
        <v>276</v>
      </c>
      <c r="AQ1124" s="159" t="s">
        <v>276</v>
      </c>
      <c r="AR1124" s="150" t="s">
        <v>268</v>
      </c>
      <c r="AS1124" s="159" t="s">
        <v>276</v>
      </c>
      <c r="AT1124" s="159">
        <f t="shared" si="157"/>
        <v>0.61289106671692428</v>
      </c>
      <c r="AU1124" s="159" t="s">
        <v>276</v>
      </c>
      <c r="AV1124" s="159" t="s">
        <v>276</v>
      </c>
      <c r="AW1124" s="159" t="s">
        <v>276</v>
      </c>
      <c r="AX1124" s="150" t="s">
        <v>282</v>
      </c>
      <c r="AY1124" s="150" t="s">
        <v>98</v>
      </c>
      <c r="AZ1124" s="150" t="s">
        <v>98</v>
      </c>
      <c r="BA1124" s="150" t="s">
        <v>98</v>
      </c>
      <c r="BB1124" s="150" t="s">
        <v>98</v>
      </c>
      <c r="BC1124" s="151" t="s">
        <v>426</v>
      </c>
      <c r="BD1124" s="151"/>
      <c r="BE1124" s="33" t="s">
        <v>100</v>
      </c>
      <c r="BF1124" s="33" t="s">
        <v>98</v>
      </c>
    </row>
    <row r="1125" spans="1:58" s="160" customFormat="1" ht="78" x14ac:dyDescent="0.3">
      <c r="A1125" s="150">
        <v>4095</v>
      </c>
      <c r="B1125" s="150" t="s">
        <v>9605</v>
      </c>
      <c r="C1125" s="151" t="s">
        <v>9264</v>
      </c>
      <c r="D1125" s="151" t="s">
        <v>9672</v>
      </c>
      <c r="E1125" s="150" t="s">
        <v>35</v>
      </c>
      <c r="F1125" s="150" t="s">
        <v>97</v>
      </c>
      <c r="G1125" s="150" t="s">
        <v>225</v>
      </c>
      <c r="H1125" s="150" t="s">
        <v>125</v>
      </c>
      <c r="I1125" s="150" t="s">
        <v>113</v>
      </c>
      <c r="J1125" s="151" t="s">
        <v>24</v>
      </c>
      <c r="K1125" s="151" t="s">
        <v>9307</v>
      </c>
      <c r="L1125" s="151" t="s">
        <v>8281</v>
      </c>
      <c r="M1125" s="150" t="s">
        <v>15</v>
      </c>
      <c r="N1125" s="152" t="s">
        <v>9350</v>
      </c>
      <c r="O1125" s="153" t="s">
        <v>207</v>
      </c>
      <c r="P1125" s="342" t="s">
        <v>98</v>
      </c>
      <c r="Q1125" s="151" t="s">
        <v>746</v>
      </c>
      <c r="R1125" s="151" t="s">
        <v>9673</v>
      </c>
      <c r="S1125" s="151" t="s">
        <v>9674</v>
      </c>
      <c r="T1125" s="168" t="s">
        <v>1191</v>
      </c>
      <c r="U1125" s="155">
        <v>5306</v>
      </c>
      <c r="V1125" s="156">
        <v>2439</v>
      </c>
      <c r="W1125" s="150" t="s">
        <v>276</v>
      </c>
      <c r="X1125" s="150" t="s">
        <v>276</v>
      </c>
      <c r="Y1125" s="150" t="s">
        <v>276</v>
      </c>
      <c r="Z1125" s="151" t="s">
        <v>1562</v>
      </c>
      <c r="AA1125" s="150" t="s">
        <v>276</v>
      </c>
      <c r="AB1125" s="151" t="s">
        <v>1562</v>
      </c>
      <c r="AC1125" s="151" t="s">
        <v>9675</v>
      </c>
      <c r="AD1125" s="151" t="s">
        <v>9354</v>
      </c>
      <c r="AE1125" s="150">
        <f>2+3+1+4+3+3+1</f>
        <v>17</v>
      </c>
      <c r="AF1125" s="150">
        <f>3+2+0+4+2+1+0</f>
        <v>12</v>
      </c>
      <c r="AG1125" s="155">
        <v>5306</v>
      </c>
      <c r="AH1125" s="156">
        <v>2439</v>
      </c>
      <c r="AI1125" s="156" t="s">
        <v>281</v>
      </c>
      <c r="AJ1125" s="159" t="s">
        <v>276</v>
      </c>
      <c r="AK1125" s="158">
        <f t="shared" si="158"/>
        <v>3.203920090463626</v>
      </c>
      <c r="AL1125" s="159" t="s">
        <v>276</v>
      </c>
      <c r="AM1125" s="159" t="s">
        <v>276</v>
      </c>
      <c r="AN1125" s="159" t="s">
        <v>276</v>
      </c>
      <c r="AO1125" s="158">
        <f t="shared" si="159"/>
        <v>4.9200492004920049</v>
      </c>
      <c r="AP1125" s="159" t="s">
        <v>276</v>
      </c>
      <c r="AQ1125" s="159" t="s">
        <v>276</v>
      </c>
      <c r="AR1125" s="150" t="s">
        <v>268</v>
      </c>
      <c r="AS1125" s="159" t="s">
        <v>276</v>
      </c>
      <c r="AT1125" s="159">
        <f t="shared" si="157"/>
        <v>0.65119675838673197</v>
      </c>
      <c r="AU1125" s="159" t="s">
        <v>276</v>
      </c>
      <c r="AV1125" s="159" t="s">
        <v>276</v>
      </c>
      <c r="AW1125" s="159" t="s">
        <v>276</v>
      </c>
      <c r="AX1125" s="150" t="s">
        <v>282</v>
      </c>
      <c r="AY1125" s="150" t="s">
        <v>98</v>
      </c>
      <c r="AZ1125" s="150" t="s">
        <v>98</v>
      </c>
      <c r="BA1125" s="150" t="s">
        <v>98</v>
      </c>
      <c r="BB1125" s="150" t="s">
        <v>98</v>
      </c>
      <c r="BC1125" s="151" t="s">
        <v>426</v>
      </c>
      <c r="BD1125" s="151"/>
      <c r="BE1125" s="33" t="s">
        <v>100</v>
      </c>
      <c r="BF1125" s="33" t="s">
        <v>98</v>
      </c>
    </row>
    <row r="1126" spans="1:58" s="160" customFormat="1" ht="78" x14ac:dyDescent="0.3">
      <c r="A1126" s="150">
        <v>4095</v>
      </c>
      <c r="B1126" s="150" t="s">
        <v>9605</v>
      </c>
      <c r="C1126" s="151" t="s">
        <v>9264</v>
      </c>
      <c r="D1126" s="151" t="s">
        <v>9676</v>
      </c>
      <c r="E1126" s="150" t="s">
        <v>35</v>
      </c>
      <c r="F1126" s="150" t="s">
        <v>97</v>
      </c>
      <c r="G1126" s="150" t="s">
        <v>225</v>
      </c>
      <c r="H1126" s="150" t="s">
        <v>125</v>
      </c>
      <c r="I1126" s="150" t="s">
        <v>113</v>
      </c>
      <c r="J1126" s="151" t="s">
        <v>24</v>
      </c>
      <c r="K1126" s="151" t="s">
        <v>9307</v>
      </c>
      <c r="L1126" s="151" t="s">
        <v>8281</v>
      </c>
      <c r="M1126" s="150" t="s">
        <v>15</v>
      </c>
      <c r="N1126" s="152" t="s">
        <v>9350</v>
      </c>
      <c r="O1126" s="153" t="s">
        <v>207</v>
      </c>
      <c r="P1126" s="342" t="s">
        <v>98</v>
      </c>
      <c r="Q1126" s="151" t="s">
        <v>752</v>
      </c>
      <c r="R1126" s="151" t="s">
        <v>9677</v>
      </c>
      <c r="S1126" s="151" t="s">
        <v>9678</v>
      </c>
      <c r="T1126" s="168" t="s">
        <v>1191</v>
      </c>
      <c r="U1126" s="155">
        <v>5306</v>
      </c>
      <c r="V1126" s="156">
        <v>2439</v>
      </c>
      <c r="W1126" s="150" t="s">
        <v>276</v>
      </c>
      <c r="X1126" s="150" t="s">
        <v>276</v>
      </c>
      <c r="Y1126" s="150" t="s">
        <v>276</v>
      </c>
      <c r="Z1126" s="151" t="s">
        <v>1562</v>
      </c>
      <c r="AA1126" s="150" t="s">
        <v>276</v>
      </c>
      <c r="AB1126" s="151" t="s">
        <v>1562</v>
      </c>
      <c r="AC1126" s="151" t="s">
        <v>9679</v>
      </c>
      <c r="AD1126" s="151" t="s">
        <v>9354</v>
      </c>
      <c r="AE1126" s="150">
        <f>2+3+1+4+3+3+1+5</f>
        <v>22</v>
      </c>
      <c r="AF1126" s="150">
        <f>3+2+0+4+2+1+0+1</f>
        <v>13</v>
      </c>
      <c r="AG1126" s="155">
        <v>5306</v>
      </c>
      <c r="AH1126" s="156">
        <v>2439</v>
      </c>
      <c r="AI1126" s="156" t="s">
        <v>281</v>
      </c>
      <c r="AJ1126" s="159" t="s">
        <v>276</v>
      </c>
      <c r="AK1126" s="158">
        <f t="shared" si="158"/>
        <v>4.1462495288352805</v>
      </c>
      <c r="AL1126" s="159" t="s">
        <v>276</v>
      </c>
      <c r="AM1126" s="159" t="s">
        <v>276</v>
      </c>
      <c r="AN1126" s="159" t="s">
        <v>276</v>
      </c>
      <c r="AO1126" s="158">
        <f t="shared" si="159"/>
        <v>5.3300533005330051</v>
      </c>
      <c r="AP1126" s="159" t="s">
        <v>276</v>
      </c>
      <c r="AQ1126" s="159" t="s">
        <v>276</v>
      </c>
      <c r="AR1126" s="150" t="s">
        <v>268</v>
      </c>
      <c r="AS1126" s="159" t="s">
        <v>276</v>
      </c>
      <c r="AT1126" s="159">
        <f t="shared" si="157"/>
        <v>0.77790020006378846</v>
      </c>
      <c r="AU1126" s="159" t="s">
        <v>276</v>
      </c>
      <c r="AV1126" s="159" t="s">
        <v>276</v>
      </c>
      <c r="AW1126" s="159" t="s">
        <v>276</v>
      </c>
      <c r="AX1126" s="150" t="s">
        <v>282</v>
      </c>
      <c r="AY1126" s="150" t="s">
        <v>98</v>
      </c>
      <c r="AZ1126" s="150" t="s">
        <v>98</v>
      </c>
      <c r="BA1126" s="150" t="s">
        <v>98</v>
      </c>
      <c r="BB1126" s="150" t="s">
        <v>98</v>
      </c>
      <c r="BC1126" s="151" t="s">
        <v>426</v>
      </c>
      <c r="BD1126" s="151"/>
      <c r="BE1126" s="33" t="s">
        <v>100</v>
      </c>
      <c r="BF1126" s="33" t="s">
        <v>98</v>
      </c>
    </row>
    <row r="1127" spans="1:58" s="160" customFormat="1" ht="78" x14ac:dyDescent="0.3">
      <c r="A1127" s="150">
        <v>4095</v>
      </c>
      <c r="B1127" s="150" t="s">
        <v>9605</v>
      </c>
      <c r="C1127" s="151" t="s">
        <v>9264</v>
      </c>
      <c r="D1127" s="151" t="s">
        <v>9680</v>
      </c>
      <c r="E1127" s="150" t="s">
        <v>35</v>
      </c>
      <c r="F1127" s="150" t="s">
        <v>97</v>
      </c>
      <c r="G1127" s="150" t="s">
        <v>225</v>
      </c>
      <c r="H1127" s="150" t="s">
        <v>125</v>
      </c>
      <c r="I1127" s="150" t="s">
        <v>113</v>
      </c>
      <c r="J1127" s="151" t="s">
        <v>24</v>
      </c>
      <c r="K1127" s="151" t="s">
        <v>9307</v>
      </c>
      <c r="L1127" s="151" t="s">
        <v>8281</v>
      </c>
      <c r="M1127" s="150" t="s">
        <v>15</v>
      </c>
      <c r="N1127" s="152" t="s">
        <v>9350</v>
      </c>
      <c r="O1127" s="153" t="s">
        <v>207</v>
      </c>
      <c r="P1127" s="342" t="s">
        <v>98</v>
      </c>
      <c r="Q1127" s="151" t="s">
        <v>766</v>
      </c>
      <c r="R1127" s="151" t="s">
        <v>9681</v>
      </c>
      <c r="S1127" s="151" t="s">
        <v>9682</v>
      </c>
      <c r="T1127" s="168" t="s">
        <v>1191</v>
      </c>
      <c r="U1127" s="155">
        <v>5306</v>
      </c>
      <c r="V1127" s="156">
        <v>2439</v>
      </c>
      <c r="W1127" s="150" t="s">
        <v>276</v>
      </c>
      <c r="X1127" s="150" t="s">
        <v>276</v>
      </c>
      <c r="Y1127" s="150" t="s">
        <v>276</v>
      </c>
      <c r="Z1127" s="151" t="s">
        <v>1562</v>
      </c>
      <c r="AA1127" s="150" t="s">
        <v>276</v>
      </c>
      <c r="AB1127" s="151" t="s">
        <v>1562</v>
      </c>
      <c r="AC1127" s="151" t="s">
        <v>9683</v>
      </c>
      <c r="AD1127" s="151" t="s">
        <v>9354</v>
      </c>
      <c r="AE1127" s="150">
        <f>2+3+1+4+3+3+1+5+4</f>
        <v>26</v>
      </c>
      <c r="AF1127" s="150">
        <f>3+2+0+4+2+1+0+1</f>
        <v>13</v>
      </c>
      <c r="AG1127" s="155">
        <v>5306</v>
      </c>
      <c r="AH1127" s="156">
        <v>2439</v>
      </c>
      <c r="AI1127" s="156" t="s">
        <v>281</v>
      </c>
      <c r="AJ1127" s="159" t="s">
        <v>276</v>
      </c>
      <c r="AK1127" s="158">
        <f t="shared" si="158"/>
        <v>4.9001130795326047</v>
      </c>
      <c r="AL1127" s="159" t="s">
        <v>276</v>
      </c>
      <c r="AM1127" s="159" t="s">
        <v>276</v>
      </c>
      <c r="AN1127" s="159" t="s">
        <v>276</v>
      </c>
      <c r="AO1127" s="158">
        <f t="shared" si="159"/>
        <v>5.3300533005330051</v>
      </c>
      <c r="AP1127" s="159" t="s">
        <v>276</v>
      </c>
      <c r="AQ1127" s="159" t="s">
        <v>276</v>
      </c>
      <c r="AR1127" s="150" t="s">
        <v>268</v>
      </c>
      <c r="AS1127" s="159" t="s">
        <v>276</v>
      </c>
      <c r="AT1127" s="159">
        <f t="shared" si="157"/>
        <v>0.91933660007538642</v>
      </c>
      <c r="AU1127" s="159" t="s">
        <v>276</v>
      </c>
      <c r="AV1127" s="159" t="s">
        <v>276</v>
      </c>
      <c r="AW1127" s="159" t="s">
        <v>276</v>
      </c>
      <c r="AX1127" s="150" t="s">
        <v>282</v>
      </c>
      <c r="AY1127" s="150" t="s">
        <v>98</v>
      </c>
      <c r="AZ1127" s="150" t="s">
        <v>98</v>
      </c>
      <c r="BA1127" s="150" t="s">
        <v>98</v>
      </c>
      <c r="BB1127" s="150" t="s">
        <v>98</v>
      </c>
      <c r="BC1127" s="151" t="s">
        <v>426</v>
      </c>
      <c r="BD1127" s="151"/>
      <c r="BE1127" s="33" t="s">
        <v>100</v>
      </c>
      <c r="BF1127" s="33" t="s">
        <v>98</v>
      </c>
    </row>
    <row r="1128" spans="1:58" s="160" customFormat="1" ht="78" x14ac:dyDescent="0.3">
      <c r="A1128" s="150">
        <v>4095</v>
      </c>
      <c r="B1128" s="150" t="s">
        <v>9605</v>
      </c>
      <c r="C1128" s="151" t="s">
        <v>9264</v>
      </c>
      <c r="D1128" s="151" t="s">
        <v>9684</v>
      </c>
      <c r="E1128" s="150" t="s">
        <v>35</v>
      </c>
      <c r="F1128" s="150" t="s">
        <v>97</v>
      </c>
      <c r="G1128" s="150" t="s">
        <v>225</v>
      </c>
      <c r="H1128" s="150" t="s">
        <v>125</v>
      </c>
      <c r="I1128" s="150" t="s">
        <v>113</v>
      </c>
      <c r="J1128" s="151" t="s">
        <v>24</v>
      </c>
      <c r="K1128" s="151" t="s">
        <v>9307</v>
      </c>
      <c r="L1128" s="151" t="s">
        <v>8281</v>
      </c>
      <c r="M1128" s="150" t="s">
        <v>15</v>
      </c>
      <c r="N1128" s="152" t="s">
        <v>9350</v>
      </c>
      <c r="O1128" s="153" t="s">
        <v>207</v>
      </c>
      <c r="P1128" s="342" t="s">
        <v>98</v>
      </c>
      <c r="Q1128" s="151" t="s">
        <v>9624</v>
      </c>
      <c r="R1128" s="151" t="s">
        <v>9685</v>
      </c>
      <c r="S1128" s="151" t="s">
        <v>9686</v>
      </c>
      <c r="T1128" s="168" t="s">
        <v>1191</v>
      </c>
      <c r="U1128" s="155">
        <v>5306</v>
      </c>
      <c r="V1128" s="156">
        <v>2439</v>
      </c>
      <c r="W1128" s="150" t="s">
        <v>276</v>
      </c>
      <c r="X1128" s="150" t="s">
        <v>276</v>
      </c>
      <c r="Y1128" s="150" t="s">
        <v>276</v>
      </c>
      <c r="Z1128" s="151" t="s">
        <v>1562</v>
      </c>
      <c r="AA1128" s="150" t="s">
        <v>276</v>
      </c>
      <c r="AB1128" s="151" t="s">
        <v>1562</v>
      </c>
      <c r="AC1128" s="151" t="s">
        <v>9687</v>
      </c>
      <c r="AD1128" s="151" t="s">
        <v>9354</v>
      </c>
      <c r="AE1128" s="150">
        <f>2+3+1+4+3+3+1+5+4+3</f>
        <v>29</v>
      </c>
      <c r="AF1128" s="150">
        <f>3+2+0+4+2+1+0+1+3</f>
        <v>16</v>
      </c>
      <c r="AG1128" s="155">
        <v>5306</v>
      </c>
      <c r="AH1128" s="156">
        <v>2439</v>
      </c>
      <c r="AI1128" s="156" t="s">
        <v>281</v>
      </c>
      <c r="AJ1128" s="159" t="s">
        <v>276</v>
      </c>
      <c r="AK1128" s="158">
        <f t="shared" si="158"/>
        <v>5.4655107425555975</v>
      </c>
      <c r="AL1128" s="159" t="s">
        <v>276</v>
      </c>
      <c r="AM1128" s="159" t="s">
        <v>276</v>
      </c>
      <c r="AN1128" s="159" t="s">
        <v>276</v>
      </c>
      <c r="AO1128" s="158">
        <f t="shared" si="159"/>
        <v>6.5600656006560065</v>
      </c>
      <c r="AP1128" s="159" t="s">
        <v>276</v>
      </c>
      <c r="AQ1128" s="159" t="s">
        <v>276</v>
      </c>
      <c r="AR1128" s="150" t="s">
        <v>268</v>
      </c>
      <c r="AS1128" s="159" t="s">
        <v>276</v>
      </c>
      <c r="AT1128" s="159">
        <f t="shared" si="157"/>
        <v>0.83314879381831886</v>
      </c>
      <c r="AU1128" s="159" t="s">
        <v>276</v>
      </c>
      <c r="AV1128" s="159" t="s">
        <v>276</v>
      </c>
      <c r="AW1128" s="159" t="s">
        <v>276</v>
      </c>
      <c r="AX1128" s="150" t="s">
        <v>282</v>
      </c>
      <c r="AY1128" s="150" t="s">
        <v>98</v>
      </c>
      <c r="AZ1128" s="150" t="s">
        <v>98</v>
      </c>
      <c r="BA1128" s="150" t="s">
        <v>98</v>
      </c>
      <c r="BB1128" s="150" t="s">
        <v>98</v>
      </c>
      <c r="BC1128" s="151" t="s">
        <v>426</v>
      </c>
      <c r="BD1128" s="151"/>
      <c r="BE1128" s="33" t="s">
        <v>100</v>
      </c>
      <c r="BF1128" s="33" t="s">
        <v>98</v>
      </c>
    </row>
    <row r="1129" spans="1:58" s="149" customFormat="1" ht="78" x14ac:dyDescent="0.3">
      <c r="A1129" s="126">
        <v>4095</v>
      </c>
      <c r="B1129" s="126" t="s">
        <v>9605</v>
      </c>
      <c r="C1129" s="127" t="s">
        <v>9266</v>
      </c>
      <c r="D1129" s="127" t="s">
        <v>9606</v>
      </c>
      <c r="E1129" s="126" t="s">
        <v>35</v>
      </c>
      <c r="F1129" s="126" t="s">
        <v>97</v>
      </c>
      <c r="G1129" s="126" t="s">
        <v>225</v>
      </c>
      <c r="H1129" s="126" t="s">
        <v>125</v>
      </c>
      <c r="I1129" s="126" t="s">
        <v>113</v>
      </c>
      <c r="J1129" s="127" t="s">
        <v>24</v>
      </c>
      <c r="K1129" s="127" t="s">
        <v>9607</v>
      </c>
      <c r="L1129" s="127" t="s">
        <v>8281</v>
      </c>
      <c r="M1129" s="126" t="s">
        <v>15</v>
      </c>
      <c r="N1129" s="145" t="s">
        <v>3032</v>
      </c>
      <c r="O1129" s="131" t="s">
        <v>207</v>
      </c>
      <c r="P1129" s="197" t="s">
        <v>98</v>
      </c>
      <c r="Q1129" s="127" t="s">
        <v>741</v>
      </c>
      <c r="R1129" s="134" t="s">
        <v>9688</v>
      </c>
      <c r="S1129" s="134" t="s">
        <v>9689</v>
      </c>
      <c r="T1129" s="167" t="s">
        <v>1192</v>
      </c>
      <c r="U1129" s="132">
        <v>10262</v>
      </c>
      <c r="V1129" s="134">
        <v>10573</v>
      </c>
      <c r="W1129" s="126" t="s">
        <v>276</v>
      </c>
      <c r="X1129" s="126" t="s">
        <v>276</v>
      </c>
      <c r="Y1129" s="126" t="s">
        <v>276</v>
      </c>
      <c r="Z1129" s="127" t="s">
        <v>1562</v>
      </c>
      <c r="AA1129" s="126" t="s">
        <v>276</v>
      </c>
      <c r="AB1129" s="127" t="s">
        <v>1562</v>
      </c>
      <c r="AC1129" s="127" t="s">
        <v>9610</v>
      </c>
      <c r="AD1129" s="127" t="s">
        <v>9269</v>
      </c>
      <c r="AE1129" s="126">
        <f>1+1+2+1+4+4</f>
        <v>13</v>
      </c>
      <c r="AF1129" s="126">
        <f>1+2+0+2+4+4</f>
        <v>13</v>
      </c>
      <c r="AG1129" s="132">
        <v>10262</v>
      </c>
      <c r="AH1129" s="134">
        <v>10573</v>
      </c>
      <c r="AI1129" s="134" t="s">
        <v>281</v>
      </c>
      <c r="AJ1129" s="135" t="s">
        <v>276</v>
      </c>
      <c r="AK1129" s="148">
        <f t="shared" si="158"/>
        <v>1.2668095887741182</v>
      </c>
      <c r="AL1129" s="135" t="s">
        <v>276</v>
      </c>
      <c r="AM1129" s="135" t="s">
        <v>276</v>
      </c>
      <c r="AN1129" s="135" t="s">
        <v>276</v>
      </c>
      <c r="AO1129" s="148">
        <f t="shared" si="159"/>
        <v>1.2295469592357893</v>
      </c>
      <c r="AP1129" s="135" t="s">
        <v>276</v>
      </c>
      <c r="AQ1129" s="135" t="s">
        <v>276</v>
      </c>
      <c r="AR1129" s="126" t="s">
        <v>268</v>
      </c>
      <c r="AS1129" s="135" t="s">
        <v>276</v>
      </c>
      <c r="AT1129" s="135">
        <f t="shared" si="157"/>
        <v>1.0303059832391348</v>
      </c>
      <c r="AU1129" s="135" t="s">
        <v>276</v>
      </c>
      <c r="AV1129" s="135" t="s">
        <v>276</v>
      </c>
      <c r="AW1129" s="135" t="s">
        <v>276</v>
      </c>
      <c r="AX1129" s="126" t="s">
        <v>282</v>
      </c>
      <c r="AY1129" s="126" t="s">
        <v>98</v>
      </c>
      <c r="AZ1129" s="126" t="s">
        <v>98</v>
      </c>
      <c r="BA1129" s="126" t="s">
        <v>98</v>
      </c>
      <c r="BB1129" s="126" t="s">
        <v>98</v>
      </c>
      <c r="BC1129" s="127" t="s">
        <v>1010</v>
      </c>
      <c r="BD1129" s="127"/>
      <c r="BE1129" s="33" t="s">
        <v>100</v>
      </c>
      <c r="BF1129" s="33" t="s">
        <v>98</v>
      </c>
    </row>
    <row r="1130" spans="1:58" s="149" customFormat="1" ht="78" x14ac:dyDescent="0.3">
      <c r="A1130" s="126">
        <v>4095</v>
      </c>
      <c r="B1130" s="126" t="s">
        <v>9605</v>
      </c>
      <c r="C1130" s="127" t="s">
        <v>9266</v>
      </c>
      <c r="D1130" s="127" t="s">
        <v>9611</v>
      </c>
      <c r="E1130" s="126" t="s">
        <v>35</v>
      </c>
      <c r="F1130" s="126" t="s">
        <v>97</v>
      </c>
      <c r="G1130" s="126" t="s">
        <v>225</v>
      </c>
      <c r="H1130" s="126" t="s">
        <v>125</v>
      </c>
      <c r="I1130" s="126" t="s">
        <v>113</v>
      </c>
      <c r="J1130" s="127" t="s">
        <v>24</v>
      </c>
      <c r="K1130" s="127" t="s">
        <v>9607</v>
      </c>
      <c r="L1130" s="127" t="s">
        <v>8281</v>
      </c>
      <c r="M1130" s="126" t="s">
        <v>15</v>
      </c>
      <c r="N1130" s="145" t="s">
        <v>3032</v>
      </c>
      <c r="O1130" s="131" t="s">
        <v>207</v>
      </c>
      <c r="P1130" s="197">
        <v>33238</v>
      </c>
      <c r="Q1130" s="127" t="s">
        <v>746</v>
      </c>
      <c r="R1130" s="134" t="s">
        <v>9690</v>
      </c>
      <c r="S1130" s="134" t="s">
        <v>9691</v>
      </c>
      <c r="T1130" s="167" t="s">
        <v>1192</v>
      </c>
      <c r="U1130" s="132">
        <v>10262</v>
      </c>
      <c r="V1130" s="134">
        <v>10573</v>
      </c>
      <c r="W1130" s="126" t="s">
        <v>276</v>
      </c>
      <c r="X1130" s="126" t="s">
        <v>276</v>
      </c>
      <c r="Y1130" s="126" t="s">
        <v>276</v>
      </c>
      <c r="Z1130" s="127" t="s">
        <v>1562</v>
      </c>
      <c r="AA1130" s="126" t="s">
        <v>276</v>
      </c>
      <c r="AB1130" s="127" t="s">
        <v>1562</v>
      </c>
      <c r="AC1130" s="127" t="s">
        <v>9614</v>
      </c>
      <c r="AD1130" s="127" t="s">
        <v>9269</v>
      </c>
      <c r="AE1130" s="126">
        <f>1+1+2+1+4+4+5</f>
        <v>18</v>
      </c>
      <c r="AF1130" s="126">
        <f>1+2+0+2+4+4+2</f>
        <v>15</v>
      </c>
      <c r="AG1130" s="132">
        <v>10262</v>
      </c>
      <c r="AH1130" s="134">
        <v>10573</v>
      </c>
      <c r="AI1130" s="134" t="s">
        <v>281</v>
      </c>
      <c r="AJ1130" s="135" t="s">
        <v>276</v>
      </c>
      <c r="AK1130" s="148">
        <f t="shared" si="158"/>
        <v>1.7540440459949327</v>
      </c>
      <c r="AL1130" s="135" t="s">
        <v>276</v>
      </c>
      <c r="AM1130" s="135" t="s">
        <v>276</v>
      </c>
      <c r="AN1130" s="135" t="s">
        <v>276</v>
      </c>
      <c r="AO1130" s="148">
        <f t="shared" si="159"/>
        <v>1.4187080298874493</v>
      </c>
      <c r="AP1130" s="135" t="s">
        <v>276</v>
      </c>
      <c r="AQ1130" s="135" t="s">
        <v>276</v>
      </c>
      <c r="AR1130" s="126" t="s">
        <v>268</v>
      </c>
      <c r="AS1130" s="135" t="s">
        <v>276</v>
      </c>
      <c r="AT1130" s="135">
        <f t="shared" si="157"/>
        <v>1.2363671798869615</v>
      </c>
      <c r="AU1130" s="135" t="s">
        <v>276</v>
      </c>
      <c r="AV1130" s="135" t="s">
        <v>276</v>
      </c>
      <c r="AW1130" s="135" t="s">
        <v>276</v>
      </c>
      <c r="AX1130" s="126" t="s">
        <v>282</v>
      </c>
      <c r="AY1130" s="126" t="s">
        <v>98</v>
      </c>
      <c r="AZ1130" s="126" t="s">
        <v>98</v>
      </c>
      <c r="BA1130" s="126" t="s">
        <v>98</v>
      </c>
      <c r="BB1130" s="126" t="s">
        <v>98</v>
      </c>
      <c r="BC1130" s="127" t="s">
        <v>1010</v>
      </c>
      <c r="BD1130" s="127"/>
      <c r="BE1130" s="33" t="s">
        <v>100</v>
      </c>
      <c r="BF1130" s="33" t="s">
        <v>98</v>
      </c>
    </row>
    <row r="1131" spans="1:58" s="149" customFormat="1" ht="78" x14ac:dyDescent="0.3">
      <c r="A1131" s="126">
        <v>4095</v>
      </c>
      <c r="B1131" s="126" t="s">
        <v>9605</v>
      </c>
      <c r="C1131" s="127" t="s">
        <v>9266</v>
      </c>
      <c r="D1131" s="127" t="s">
        <v>9615</v>
      </c>
      <c r="E1131" s="126" t="s">
        <v>35</v>
      </c>
      <c r="F1131" s="126" t="s">
        <v>97</v>
      </c>
      <c r="G1131" s="126" t="s">
        <v>225</v>
      </c>
      <c r="H1131" s="126" t="s">
        <v>125</v>
      </c>
      <c r="I1131" s="126" t="s">
        <v>113</v>
      </c>
      <c r="J1131" s="127" t="s">
        <v>24</v>
      </c>
      <c r="K1131" s="127" t="s">
        <v>9607</v>
      </c>
      <c r="L1131" s="127" t="s">
        <v>8281</v>
      </c>
      <c r="M1131" s="126" t="s">
        <v>15</v>
      </c>
      <c r="N1131" s="145" t="s">
        <v>3032</v>
      </c>
      <c r="O1131" s="131" t="s">
        <v>207</v>
      </c>
      <c r="P1131" s="197">
        <v>33238</v>
      </c>
      <c r="Q1131" s="127" t="s">
        <v>752</v>
      </c>
      <c r="R1131" s="134" t="s">
        <v>9692</v>
      </c>
      <c r="S1131" s="134" t="s">
        <v>9693</v>
      </c>
      <c r="T1131" s="167" t="s">
        <v>1192</v>
      </c>
      <c r="U1131" s="132">
        <v>10262</v>
      </c>
      <c r="V1131" s="134">
        <v>10573</v>
      </c>
      <c r="W1131" s="126" t="s">
        <v>276</v>
      </c>
      <c r="X1131" s="126" t="s">
        <v>276</v>
      </c>
      <c r="Y1131" s="126" t="s">
        <v>276</v>
      </c>
      <c r="Z1131" s="127" t="s">
        <v>1562</v>
      </c>
      <c r="AA1131" s="126" t="s">
        <v>276</v>
      </c>
      <c r="AB1131" s="127" t="s">
        <v>1562</v>
      </c>
      <c r="AC1131" s="127" t="s">
        <v>9618</v>
      </c>
      <c r="AD1131" s="127" t="s">
        <v>9269</v>
      </c>
      <c r="AE1131" s="126">
        <f>1+1+2+1+4+4+5+0</f>
        <v>18</v>
      </c>
      <c r="AF1131" s="126">
        <f>1+2+0+2+4+4+2+1</f>
        <v>16</v>
      </c>
      <c r="AG1131" s="132">
        <v>10262</v>
      </c>
      <c r="AH1131" s="134">
        <v>10573</v>
      </c>
      <c r="AI1131" s="134" t="s">
        <v>281</v>
      </c>
      <c r="AJ1131" s="135" t="s">
        <v>276</v>
      </c>
      <c r="AK1131" s="148">
        <f t="shared" si="158"/>
        <v>1.7540440459949327</v>
      </c>
      <c r="AL1131" s="135" t="s">
        <v>276</v>
      </c>
      <c r="AM1131" s="135" t="s">
        <v>276</v>
      </c>
      <c r="AN1131" s="135" t="s">
        <v>276</v>
      </c>
      <c r="AO1131" s="148">
        <f t="shared" si="159"/>
        <v>1.513288565213279</v>
      </c>
      <c r="AP1131" s="135" t="s">
        <v>276</v>
      </c>
      <c r="AQ1131" s="135" t="s">
        <v>276</v>
      </c>
      <c r="AR1131" s="126" t="s">
        <v>268</v>
      </c>
      <c r="AS1131" s="135" t="s">
        <v>276</v>
      </c>
      <c r="AT1131" s="135">
        <f t="shared" si="157"/>
        <v>1.1590942311440264</v>
      </c>
      <c r="AU1131" s="135" t="s">
        <v>276</v>
      </c>
      <c r="AV1131" s="135" t="s">
        <v>276</v>
      </c>
      <c r="AW1131" s="135" t="s">
        <v>276</v>
      </c>
      <c r="AX1131" s="126" t="s">
        <v>282</v>
      </c>
      <c r="AY1131" s="126" t="s">
        <v>98</v>
      </c>
      <c r="AZ1131" s="126" t="s">
        <v>98</v>
      </c>
      <c r="BA1131" s="126" t="s">
        <v>98</v>
      </c>
      <c r="BB1131" s="126" t="s">
        <v>98</v>
      </c>
      <c r="BC1131" s="127" t="s">
        <v>1010</v>
      </c>
      <c r="BD1131" s="127"/>
      <c r="BE1131" s="33" t="s">
        <v>100</v>
      </c>
      <c r="BF1131" s="33" t="s">
        <v>98</v>
      </c>
    </row>
    <row r="1132" spans="1:58" s="149" customFormat="1" ht="78" x14ac:dyDescent="0.3">
      <c r="A1132" s="126">
        <v>4095</v>
      </c>
      <c r="B1132" s="126" t="s">
        <v>9605</v>
      </c>
      <c r="C1132" s="127" t="s">
        <v>9266</v>
      </c>
      <c r="D1132" s="127" t="s">
        <v>9619</v>
      </c>
      <c r="E1132" s="126" t="s">
        <v>35</v>
      </c>
      <c r="F1132" s="126" t="s">
        <v>97</v>
      </c>
      <c r="G1132" s="126" t="s">
        <v>225</v>
      </c>
      <c r="H1132" s="126" t="s">
        <v>125</v>
      </c>
      <c r="I1132" s="126" t="s">
        <v>113</v>
      </c>
      <c r="J1132" s="127" t="s">
        <v>24</v>
      </c>
      <c r="K1132" s="127" t="s">
        <v>9607</v>
      </c>
      <c r="L1132" s="127" t="s">
        <v>8281</v>
      </c>
      <c r="M1132" s="126" t="s">
        <v>15</v>
      </c>
      <c r="N1132" s="145" t="s">
        <v>3032</v>
      </c>
      <c r="O1132" s="131" t="s">
        <v>207</v>
      </c>
      <c r="P1132" s="197">
        <v>33238</v>
      </c>
      <c r="Q1132" s="127" t="s">
        <v>766</v>
      </c>
      <c r="R1132" s="134" t="s">
        <v>9694</v>
      </c>
      <c r="S1132" s="134" t="s">
        <v>9695</v>
      </c>
      <c r="T1132" s="167" t="s">
        <v>1192</v>
      </c>
      <c r="U1132" s="132">
        <v>10262</v>
      </c>
      <c r="V1132" s="134">
        <v>10573</v>
      </c>
      <c r="W1132" s="126" t="s">
        <v>276</v>
      </c>
      <c r="X1132" s="126" t="s">
        <v>276</v>
      </c>
      <c r="Y1132" s="126" t="s">
        <v>276</v>
      </c>
      <c r="Z1132" s="127" t="s">
        <v>1562</v>
      </c>
      <c r="AA1132" s="126" t="s">
        <v>276</v>
      </c>
      <c r="AB1132" s="127" t="s">
        <v>1562</v>
      </c>
      <c r="AC1132" s="127" t="s">
        <v>9622</v>
      </c>
      <c r="AD1132" s="127" t="s">
        <v>9269</v>
      </c>
      <c r="AE1132" s="126">
        <f>1+1+2+1+4+4+5+0+0</f>
        <v>18</v>
      </c>
      <c r="AF1132" s="126">
        <f>1+2+0+2+4+4+2+1+0</f>
        <v>16</v>
      </c>
      <c r="AG1132" s="132">
        <v>10262</v>
      </c>
      <c r="AH1132" s="134">
        <v>10573</v>
      </c>
      <c r="AI1132" s="134" t="s">
        <v>281</v>
      </c>
      <c r="AJ1132" s="135" t="s">
        <v>276</v>
      </c>
      <c r="AK1132" s="148">
        <f t="shared" si="158"/>
        <v>1.7540440459949327</v>
      </c>
      <c r="AL1132" s="135" t="s">
        <v>276</v>
      </c>
      <c r="AM1132" s="135" t="s">
        <v>276</v>
      </c>
      <c r="AN1132" s="135" t="s">
        <v>276</v>
      </c>
      <c r="AO1132" s="148">
        <f t="shared" si="159"/>
        <v>1.513288565213279</v>
      </c>
      <c r="AP1132" s="135" t="s">
        <v>276</v>
      </c>
      <c r="AQ1132" s="135" t="s">
        <v>276</v>
      </c>
      <c r="AR1132" s="126" t="s">
        <v>268</v>
      </c>
      <c r="AS1132" s="135" t="s">
        <v>276</v>
      </c>
      <c r="AT1132" s="135">
        <f t="shared" si="157"/>
        <v>1.1590942311440264</v>
      </c>
      <c r="AU1132" s="135" t="s">
        <v>276</v>
      </c>
      <c r="AV1132" s="135" t="s">
        <v>276</v>
      </c>
      <c r="AW1132" s="135" t="s">
        <v>276</v>
      </c>
      <c r="AX1132" s="126" t="s">
        <v>282</v>
      </c>
      <c r="AY1132" s="126" t="s">
        <v>98</v>
      </c>
      <c r="AZ1132" s="126" t="s">
        <v>98</v>
      </c>
      <c r="BA1132" s="126" t="s">
        <v>98</v>
      </c>
      <c r="BB1132" s="126" t="s">
        <v>98</v>
      </c>
      <c r="BC1132" s="127" t="s">
        <v>1010</v>
      </c>
      <c r="BD1132" s="127"/>
      <c r="BE1132" s="33" t="s">
        <v>100</v>
      </c>
      <c r="BF1132" s="33" t="s">
        <v>98</v>
      </c>
    </row>
    <row r="1133" spans="1:58" s="149" customFormat="1" ht="78" x14ac:dyDescent="0.3">
      <c r="A1133" s="126">
        <v>4095</v>
      </c>
      <c r="B1133" s="126" t="s">
        <v>9605</v>
      </c>
      <c r="C1133" s="127" t="s">
        <v>9266</v>
      </c>
      <c r="D1133" s="127" t="s">
        <v>9623</v>
      </c>
      <c r="E1133" s="126" t="s">
        <v>35</v>
      </c>
      <c r="F1133" s="126" t="s">
        <v>97</v>
      </c>
      <c r="G1133" s="126" t="s">
        <v>225</v>
      </c>
      <c r="H1133" s="126" t="s">
        <v>125</v>
      </c>
      <c r="I1133" s="126" t="s">
        <v>113</v>
      </c>
      <c r="J1133" s="127" t="s">
        <v>24</v>
      </c>
      <c r="K1133" s="127" t="s">
        <v>9607</v>
      </c>
      <c r="L1133" s="127" t="s">
        <v>8281</v>
      </c>
      <c r="M1133" s="126" t="s">
        <v>15</v>
      </c>
      <c r="N1133" s="145" t="s">
        <v>3032</v>
      </c>
      <c r="O1133" s="131" t="s">
        <v>207</v>
      </c>
      <c r="P1133" s="197">
        <v>33238</v>
      </c>
      <c r="Q1133" s="127" t="s">
        <v>9624</v>
      </c>
      <c r="R1133" s="134" t="s">
        <v>9696</v>
      </c>
      <c r="S1133" s="134" t="s">
        <v>9697</v>
      </c>
      <c r="T1133" s="167" t="s">
        <v>1192</v>
      </c>
      <c r="U1133" s="132">
        <v>10262</v>
      </c>
      <c r="V1133" s="134">
        <v>10573</v>
      </c>
      <c r="W1133" s="126" t="s">
        <v>276</v>
      </c>
      <c r="X1133" s="126" t="s">
        <v>276</v>
      </c>
      <c r="Y1133" s="126" t="s">
        <v>276</v>
      </c>
      <c r="Z1133" s="127" t="s">
        <v>1562</v>
      </c>
      <c r="AA1133" s="126" t="s">
        <v>276</v>
      </c>
      <c r="AB1133" s="127" t="s">
        <v>1562</v>
      </c>
      <c r="AC1133" s="127" t="s">
        <v>9627</v>
      </c>
      <c r="AD1133" s="127" t="s">
        <v>9269</v>
      </c>
      <c r="AE1133" s="126">
        <f>1+1+2+1+4+4+5+0+0+4</f>
        <v>22</v>
      </c>
      <c r="AF1133" s="126">
        <f>1+2+0+2+4+4+2+1+0+2</f>
        <v>18</v>
      </c>
      <c r="AG1133" s="132">
        <v>10262</v>
      </c>
      <c r="AH1133" s="134">
        <v>10573</v>
      </c>
      <c r="AI1133" s="134" t="s">
        <v>281</v>
      </c>
      <c r="AJ1133" s="135" t="s">
        <v>276</v>
      </c>
      <c r="AK1133" s="148">
        <f t="shared" si="158"/>
        <v>2.1438316117715845</v>
      </c>
      <c r="AL1133" s="135" t="s">
        <v>276</v>
      </c>
      <c r="AM1133" s="135" t="s">
        <v>276</v>
      </c>
      <c r="AN1133" s="135" t="s">
        <v>276</v>
      </c>
      <c r="AO1133" s="148">
        <f t="shared" si="159"/>
        <v>1.702449635864939</v>
      </c>
      <c r="AP1133" s="135" t="s">
        <v>276</v>
      </c>
      <c r="AQ1133" s="135" t="s">
        <v>276</v>
      </c>
      <c r="AR1133" s="126" t="s">
        <v>268</v>
      </c>
      <c r="AS1133" s="135" t="s">
        <v>276</v>
      </c>
      <c r="AT1133" s="135">
        <f t="shared" si="157"/>
        <v>1.2592628684033869</v>
      </c>
      <c r="AU1133" s="135" t="s">
        <v>276</v>
      </c>
      <c r="AV1133" s="135" t="s">
        <v>276</v>
      </c>
      <c r="AW1133" s="135" t="s">
        <v>276</v>
      </c>
      <c r="AX1133" s="126" t="s">
        <v>282</v>
      </c>
      <c r="AY1133" s="126" t="s">
        <v>98</v>
      </c>
      <c r="AZ1133" s="126" t="s">
        <v>98</v>
      </c>
      <c r="BA1133" s="126" t="s">
        <v>98</v>
      </c>
      <c r="BB1133" s="126" t="s">
        <v>98</v>
      </c>
      <c r="BC1133" s="127" t="s">
        <v>1010</v>
      </c>
      <c r="BD1133" s="127"/>
      <c r="BE1133" s="33" t="s">
        <v>100</v>
      </c>
      <c r="BF1133" s="33" t="s">
        <v>98</v>
      </c>
    </row>
    <row r="1134" spans="1:58" s="160" customFormat="1" ht="78" x14ac:dyDescent="0.3">
      <c r="A1134" s="150">
        <v>4095</v>
      </c>
      <c r="B1134" s="150" t="s">
        <v>9605</v>
      </c>
      <c r="C1134" s="151" t="s">
        <v>9266</v>
      </c>
      <c r="D1134" s="151" t="s">
        <v>9628</v>
      </c>
      <c r="E1134" s="150" t="s">
        <v>35</v>
      </c>
      <c r="F1134" s="150" t="s">
        <v>97</v>
      </c>
      <c r="G1134" s="150" t="s">
        <v>225</v>
      </c>
      <c r="H1134" s="150" t="s">
        <v>125</v>
      </c>
      <c r="I1134" s="150" t="s">
        <v>113</v>
      </c>
      <c r="J1134" s="151" t="s">
        <v>24</v>
      </c>
      <c r="K1134" s="151" t="s">
        <v>9607</v>
      </c>
      <c r="L1134" s="151" t="s">
        <v>8281</v>
      </c>
      <c r="M1134" s="150" t="s">
        <v>15</v>
      </c>
      <c r="N1134" s="152" t="s">
        <v>3038</v>
      </c>
      <c r="O1134" s="153" t="s">
        <v>207</v>
      </c>
      <c r="P1134" s="342" t="s">
        <v>98</v>
      </c>
      <c r="Q1134" s="151" t="s">
        <v>741</v>
      </c>
      <c r="R1134" s="151" t="s">
        <v>9698</v>
      </c>
      <c r="S1134" s="151" t="s">
        <v>9699</v>
      </c>
      <c r="T1134" s="168" t="s">
        <v>1219</v>
      </c>
      <c r="U1134" s="155">
        <v>11757</v>
      </c>
      <c r="V1134" s="156">
        <v>11248</v>
      </c>
      <c r="W1134" s="150" t="s">
        <v>276</v>
      </c>
      <c r="X1134" s="150" t="s">
        <v>276</v>
      </c>
      <c r="Y1134" s="150" t="s">
        <v>276</v>
      </c>
      <c r="Z1134" s="151" t="s">
        <v>1562</v>
      </c>
      <c r="AA1134" s="150" t="s">
        <v>276</v>
      </c>
      <c r="AB1134" s="151" t="s">
        <v>1562</v>
      </c>
      <c r="AC1134" s="151" t="s">
        <v>9631</v>
      </c>
      <c r="AD1134" s="151" t="s">
        <v>9337</v>
      </c>
      <c r="AE1134" s="150">
        <f>0+3+3+1+2+3+6</f>
        <v>18</v>
      </c>
      <c r="AF1134" s="150">
        <f>2+0+2+2+5+5+9</f>
        <v>25</v>
      </c>
      <c r="AG1134" s="155">
        <v>11757</v>
      </c>
      <c r="AH1134" s="156">
        <v>11248</v>
      </c>
      <c r="AI1134" s="156" t="s">
        <v>281</v>
      </c>
      <c r="AJ1134" s="159" t="s">
        <v>276</v>
      </c>
      <c r="AK1134" s="158">
        <f t="shared" si="158"/>
        <v>1.5310028068384791</v>
      </c>
      <c r="AL1134" s="159" t="s">
        <v>276</v>
      </c>
      <c r="AM1134" s="159" t="s">
        <v>276</v>
      </c>
      <c r="AN1134" s="159" t="s">
        <v>276</v>
      </c>
      <c r="AO1134" s="158">
        <f t="shared" si="159"/>
        <v>2.2226173541963017</v>
      </c>
      <c r="AP1134" s="159" t="s">
        <v>276</v>
      </c>
      <c r="AQ1134" s="159" t="s">
        <v>276</v>
      </c>
      <c r="AR1134" s="150" t="s">
        <v>268</v>
      </c>
      <c r="AS1134" s="159" t="s">
        <v>276</v>
      </c>
      <c r="AT1134" s="159">
        <f t="shared" si="157"/>
        <v>0.6888287828527685</v>
      </c>
      <c r="AU1134" s="159" t="s">
        <v>276</v>
      </c>
      <c r="AV1134" s="159" t="s">
        <v>276</v>
      </c>
      <c r="AW1134" s="159" t="s">
        <v>276</v>
      </c>
      <c r="AX1134" s="150" t="s">
        <v>282</v>
      </c>
      <c r="AY1134" s="150" t="s">
        <v>98</v>
      </c>
      <c r="AZ1134" s="150" t="s">
        <v>98</v>
      </c>
      <c r="BA1134" s="150" t="s">
        <v>98</v>
      </c>
      <c r="BB1134" s="150" t="s">
        <v>98</v>
      </c>
      <c r="BC1134" s="151" t="s">
        <v>1010</v>
      </c>
      <c r="BD1134" s="151"/>
      <c r="BE1134" s="33" t="s">
        <v>100</v>
      </c>
      <c r="BF1134" s="33" t="s">
        <v>98</v>
      </c>
    </row>
    <row r="1135" spans="1:58" s="160" customFormat="1" ht="78" x14ac:dyDescent="0.3">
      <c r="A1135" s="150">
        <v>4095</v>
      </c>
      <c r="B1135" s="150" t="s">
        <v>9605</v>
      </c>
      <c r="C1135" s="151" t="s">
        <v>9266</v>
      </c>
      <c r="D1135" s="151" t="s">
        <v>9632</v>
      </c>
      <c r="E1135" s="150" t="s">
        <v>35</v>
      </c>
      <c r="F1135" s="150" t="s">
        <v>97</v>
      </c>
      <c r="G1135" s="150" t="s">
        <v>225</v>
      </c>
      <c r="H1135" s="150" t="s">
        <v>125</v>
      </c>
      <c r="I1135" s="150" t="s">
        <v>113</v>
      </c>
      <c r="J1135" s="151" t="s">
        <v>24</v>
      </c>
      <c r="K1135" s="151" t="s">
        <v>9607</v>
      </c>
      <c r="L1135" s="151" t="s">
        <v>8281</v>
      </c>
      <c r="M1135" s="150" t="s">
        <v>15</v>
      </c>
      <c r="N1135" s="152" t="s">
        <v>3038</v>
      </c>
      <c r="O1135" s="153" t="s">
        <v>207</v>
      </c>
      <c r="P1135" s="342">
        <v>33238</v>
      </c>
      <c r="Q1135" s="151" t="s">
        <v>746</v>
      </c>
      <c r="R1135" s="151" t="s">
        <v>9700</v>
      </c>
      <c r="S1135" s="151" t="s">
        <v>9701</v>
      </c>
      <c r="T1135" s="168" t="s">
        <v>1219</v>
      </c>
      <c r="U1135" s="155">
        <v>11757</v>
      </c>
      <c r="V1135" s="156">
        <v>11248</v>
      </c>
      <c r="W1135" s="150" t="s">
        <v>276</v>
      </c>
      <c r="X1135" s="150" t="s">
        <v>276</v>
      </c>
      <c r="Y1135" s="150" t="s">
        <v>276</v>
      </c>
      <c r="Z1135" s="151" t="s">
        <v>1562</v>
      </c>
      <c r="AA1135" s="150" t="s">
        <v>276</v>
      </c>
      <c r="AB1135" s="151" t="s">
        <v>1562</v>
      </c>
      <c r="AC1135" s="151" t="s">
        <v>9635</v>
      </c>
      <c r="AD1135" s="151" t="s">
        <v>9337</v>
      </c>
      <c r="AE1135" s="150">
        <f>0+3+3+1+2+3+6+6</f>
        <v>24</v>
      </c>
      <c r="AF1135" s="150">
        <f>2+0+2+2+5+5+9+8</f>
        <v>33</v>
      </c>
      <c r="AG1135" s="155">
        <v>11757</v>
      </c>
      <c r="AH1135" s="156">
        <v>11248</v>
      </c>
      <c r="AI1135" s="156" t="s">
        <v>281</v>
      </c>
      <c r="AJ1135" s="159" t="s">
        <v>276</v>
      </c>
      <c r="AK1135" s="158">
        <f t="shared" si="158"/>
        <v>2.041337075784639</v>
      </c>
      <c r="AL1135" s="159" t="s">
        <v>276</v>
      </c>
      <c r="AM1135" s="159" t="s">
        <v>276</v>
      </c>
      <c r="AN1135" s="159" t="s">
        <v>276</v>
      </c>
      <c r="AO1135" s="158">
        <f t="shared" si="159"/>
        <v>2.9338549075391183</v>
      </c>
      <c r="AP1135" s="159" t="s">
        <v>276</v>
      </c>
      <c r="AQ1135" s="159" t="s">
        <v>276</v>
      </c>
      <c r="AR1135" s="150" t="s">
        <v>268</v>
      </c>
      <c r="AS1135" s="159" t="s">
        <v>276</v>
      </c>
      <c r="AT1135" s="159">
        <f t="shared" si="157"/>
        <v>0.6957866493462308</v>
      </c>
      <c r="AU1135" s="159" t="s">
        <v>276</v>
      </c>
      <c r="AV1135" s="159" t="s">
        <v>276</v>
      </c>
      <c r="AW1135" s="159" t="s">
        <v>276</v>
      </c>
      <c r="AX1135" s="150" t="s">
        <v>282</v>
      </c>
      <c r="AY1135" s="150" t="s">
        <v>98</v>
      </c>
      <c r="AZ1135" s="150" t="s">
        <v>98</v>
      </c>
      <c r="BA1135" s="150" t="s">
        <v>98</v>
      </c>
      <c r="BB1135" s="150" t="s">
        <v>98</v>
      </c>
      <c r="BC1135" s="151" t="s">
        <v>1010</v>
      </c>
      <c r="BD1135" s="151"/>
      <c r="BE1135" s="33" t="s">
        <v>100</v>
      </c>
      <c r="BF1135" s="33" t="s">
        <v>98</v>
      </c>
    </row>
    <row r="1136" spans="1:58" s="160" customFormat="1" ht="78" x14ac:dyDescent="0.3">
      <c r="A1136" s="150">
        <v>4095</v>
      </c>
      <c r="B1136" s="150" t="s">
        <v>9605</v>
      </c>
      <c r="C1136" s="151" t="s">
        <v>9266</v>
      </c>
      <c r="D1136" s="151" t="s">
        <v>9636</v>
      </c>
      <c r="E1136" s="150" t="s">
        <v>35</v>
      </c>
      <c r="F1136" s="150" t="s">
        <v>97</v>
      </c>
      <c r="G1136" s="150" t="s">
        <v>225</v>
      </c>
      <c r="H1136" s="150" t="s">
        <v>125</v>
      </c>
      <c r="I1136" s="150" t="s">
        <v>113</v>
      </c>
      <c r="J1136" s="151" t="s">
        <v>24</v>
      </c>
      <c r="K1136" s="151" t="s">
        <v>9607</v>
      </c>
      <c r="L1136" s="151" t="s">
        <v>8281</v>
      </c>
      <c r="M1136" s="150" t="s">
        <v>15</v>
      </c>
      <c r="N1136" s="152" t="s">
        <v>3038</v>
      </c>
      <c r="O1136" s="153" t="s">
        <v>207</v>
      </c>
      <c r="P1136" s="342">
        <v>33238</v>
      </c>
      <c r="Q1136" s="151" t="s">
        <v>752</v>
      </c>
      <c r="R1136" s="151" t="s">
        <v>9702</v>
      </c>
      <c r="S1136" s="151" t="s">
        <v>9703</v>
      </c>
      <c r="T1136" s="168" t="s">
        <v>1219</v>
      </c>
      <c r="U1136" s="155">
        <v>11757</v>
      </c>
      <c r="V1136" s="156">
        <v>11248</v>
      </c>
      <c r="W1136" s="150" t="s">
        <v>276</v>
      </c>
      <c r="X1136" s="150" t="s">
        <v>276</v>
      </c>
      <c r="Y1136" s="150" t="s">
        <v>276</v>
      </c>
      <c r="Z1136" s="151" t="s">
        <v>1562</v>
      </c>
      <c r="AA1136" s="150" t="s">
        <v>276</v>
      </c>
      <c r="AB1136" s="151" t="s">
        <v>1562</v>
      </c>
      <c r="AC1136" s="151" t="s">
        <v>9639</v>
      </c>
      <c r="AD1136" s="151" t="s">
        <v>9337</v>
      </c>
      <c r="AE1136" s="150">
        <f>0+3+3+1+2+3+6+6+6</f>
        <v>30</v>
      </c>
      <c r="AF1136" s="150">
        <f>2+0+2+2+5+5+9+8+4</f>
        <v>37</v>
      </c>
      <c r="AG1136" s="155">
        <v>11757</v>
      </c>
      <c r="AH1136" s="156">
        <v>11248</v>
      </c>
      <c r="AI1136" s="156" t="s">
        <v>281</v>
      </c>
      <c r="AJ1136" s="159" t="s">
        <v>276</v>
      </c>
      <c r="AK1136" s="158">
        <f t="shared" si="158"/>
        <v>2.5516713447307988</v>
      </c>
      <c r="AL1136" s="159" t="s">
        <v>276</v>
      </c>
      <c r="AM1136" s="159" t="s">
        <v>276</v>
      </c>
      <c r="AN1136" s="159" t="s">
        <v>276</v>
      </c>
      <c r="AO1136" s="158">
        <f t="shared" si="159"/>
        <v>3.2894736842105261</v>
      </c>
      <c r="AP1136" s="159" t="s">
        <v>276</v>
      </c>
      <c r="AQ1136" s="159" t="s">
        <v>276</v>
      </c>
      <c r="AR1136" s="150" t="s">
        <v>268</v>
      </c>
      <c r="AS1136" s="159" t="s">
        <v>276</v>
      </c>
      <c r="AT1136" s="159">
        <f t="shared" si="157"/>
        <v>0.77570808879816289</v>
      </c>
      <c r="AU1136" s="159" t="s">
        <v>276</v>
      </c>
      <c r="AV1136" s="159" t="s">
        <v>276</v>
      </c>
      <c r="AW1136" s="159" t="s">
        <v>276</v>
      </c>
      <c r="AX1136" s="150" t="s">
        <v>282</v>
      </c>
      <c r="AY1136" s="150" t="s">
        <v>98</v>
      </c>
      <c r="AZ1136" s="150" t="s">
        <v>98</v>
      </c>
      <c r="BA1136" s="150" t="s">
        <v>98</v>
      </c>
      <c r="BB1136" s="150" t="s">
        <v>98</v>
      </c>
      <c r="BC1136" s="151" t="s">
        <v>1010</v>
      </c>
      <c r="BD1136" s="151"/>
      <c r="BE1136" s="33" t="s">
        <v>100</v>
      </c>
      <c r="BF1136" s="33" t="s">
        <v>98</v>
      </c>
    </row>
    <row r="1137" spans="1:58" s="160" customFormat="1" ht="78" x14ac:dyDescent="0.3">
      <c r="A1137" s="150">
        <v>4095</v>
      </c>
      <c r="B1137" s="150" t="s">
        <v>9605</v>
      </c>
      <c r="C1137" s="151" t="s">
        <v>9266</v>
      </c>
      <c r="D1137" s="151" t="s">
        <v>9640</v>
      </c>
      <c r="E1137" s="150" t="s">
        <v>35</v>
      </c>
      <c r="F1137" s="150" t="s">
        <v>97</v>
      </c>
      <c r="G1137" s="150" t="s">
        <v>225</v>
      </c>
      <c r="H1137" s="150" t="s">
        <v>125</v>
      </c>
      <c r="I1137" s="150" t="s">
        <v>113</v>
      </c>
      <c r="J1137" s="151" t="s">
        <v>24</v>
      </c>
      <c r="K1137" s="151" t="s">
        <v>9607</v>
      </c>
      <c r="L1137" s="151" t="s">
        <v>8281</v>
      </c>
      <c r="M1137" s="150" t="s">
        <v>15</v>
      </c>
      <c r="N1137" s="152" t="s">
        <v>3038</v>
      </c>
      <c r="O1137" s="153" t="s">
        <v>207</v>
      </c>
      <c r="P1137" s="342">
        <v>33238</v>
      </c>
      <c r="Q1137" s="151" t="s">
        <v>766</v>
      </c>
      <c r="R1137" s="151" t="s">
        <v>9704</v>
      </c>
      <c r="S1137" s="151" t="s">
        <v>9705</v>
      </c>
      <c r="T1137" s="168" t="s">
        <v>1219</v>
      </c>
      <c r="U1137" s="155">
        <v>11757</v>
      </c>
      <c r="V1137" s="156">
        <v>11248</v>
      </c>
      <c r="W1137" s="150" t="s">
        <v>276</v>
      </c>
      <c r="X1137" s="150" t="s">
        <v>276</v>
      </c>
      <c r="Y1137" s="150" t="s">
        <v>276</v>
      </c>
      <c r="Z1137" s="151" t="s">
        <v>1562</v>
      </c>
      <c r="AA1137" s="150" t="s">
        <v>276</v>
      </c>
      <c r="AB1137" s="151" t="s">
        <v>1562</v>
      </c>
      <c r="AC1137" s="151" t="s">
        <v>9643</v>
      </c>
      <c r="AD1137" s="151" t="s">
        <v>9337</v>
      </c>
      <c r="AE1137" s="150">
        <f>0+3+3+1+2+3+6+6+6+1</f>
        <v>31</v>
      </c>
      <c r="AF1137" s="150">
        <f>2+0+2+2+5+5+9+8+4+3</f>
        <v>40</v>
      </c>
      <c r="AG1137" s="155">
        <v>11757</v>
      </c>
      <c r="AH1137" s="156">
        <v>11248</v>
      </c>
      <c r="AI1137" s="156" t="s">
        <v>281</v>
      </c>
      <c r="AJ1137" s="159" t="s">
        <v>276</v>
      </c>
      <c r="AK1137" s="158">
        <f t="shared" si="158"/>
        <v>2.6367270562218255</v>
      </c>
      <c r="AL1137" s="159" t="s">
        <v>276</v>
      </c>
      <c r="AM1137" s="159" t="s">
        <v>276</v>
      </c>
      <c r="AN1137" s="159" t="s">
        <v>276</v>
      </c>
      <c r="AO1137" s="158">
        <f t="shared" si="159"/>
        <v>3.5561877667140824</v>
      </c>
      <c r="AP1137" s="159" t="s">
        <v>276</v>
      </c>
      <c r="AQ1137" s="159" t="s">
        <v>276</v>
      </c>
      <c r="AR1137" s="150" t="s">
        <v>268</v>
      </c>
      <c r="AS1137" s="159" t="s">
        <v>276</v>
      </c>
      <c r="AT1137" s="159">
        <f t="shared" si="157"/>
        <v>0.74144764820957731</v>
      </c>
      <c r="AU1137" s="159" t="s">
        <v>276</v>
      </c>
      <c r="AV1137" s="159" t="s">
        <v>276</v>
      </c>
      <c r="AW1137" s="159" t="s">
        <v>276</v>
      </c>
      <c r="AX1137" s="150" t="s">
        <v>282</v>
      </c>
      <c r="AY1137" s="150" t="s">
        <v>98</v>
      </c>
      <c r="AZ1137" s="150" t="s">
        <v>98</v>
      </c>
      <c r="BA1137" s="150" t="s">
        <v>98</v>
      </c>
      <c r="BB1137" s="150" t="s">
        <v>98</v>
      </c>
      <c r="BC1137" s="151" t="s">
        <v>1010</v>
      </c>
      <c r="BD1137" s="151"/>
      <c r="BE1137" s="33" t="s">
        <v>100</v>
      </c>
      <c r="BF1137" s="33" t="s">
        <v>98</v>
      </c>
    </row>
    <row r="1138" spans="1:58" s="160" customFormat="1" ht="78" x14ac:dyDescent="0.3">
      <c r="A1138" s="150">
        <v>4095</v>
      </c>
      <c r="B1138" s="150" t="s">
        <v>9605</v>
      </c>
      <c r="C1138" s="151" t="s">
        <v>9266</v>
      </c>
      <c r="D1138" s="151" t="s">
        <v>9644</v>
      </c>
      <c r="E1138" s="150" t="s">
        <v>35</v>
      </c>
      <c r="F1138" s="150" t="s">
        <v>97</v>
      </c>
      <c r="G1138" s="150" t="s">
        <v>225</v>
      </c>
      <c r="H1138" s="150" t="s">
        <v>125</v>
      </c>
      <c r="I1138" s="150" t="s">
        <v>113</v>
      </c>
      <c r="J1138" s="151" t="s">
        <v>24</v>
      </c>
      <c r="K1138" s="151" t="s">
        <v>9607</v>
      </c>
      <c r="L1138" s="151" t="s">
        <v>8281</v>
      </c>
      <c r="M1138" s="150" t="s">
        <v>15</v>
      </c>
      <c r="N1138" s="152" t="s">
        <v>3038</v>
      </c>
      <c r="O1138" s="153" t="s">
        <v>207</v>
      </c>
      <c r="P1138" s="342">
        <v>33238</v>
      </c>
      <c r="Q1138" s="151" t="s">
        <v>9624</v>
      </c>
      <c r="R1138" s="151" t="s">
        <v>9706</v>
      </c>
      <c r="S1138" s="151" t="s">
        <v>9707</v>
      </c>
      <c r="T1138" s="168" t="s">
        <v>1219</v>
      </c>
      <c r="U1138" s="155">
        <v>11757</v>
      </c>
      <c r="V1138" s="156">
        <v>11248</v>
      </c>
      <c r="W1138" s="150" t="s">
        <v>276</v>
      </c>
      <c r="X1138" s="150" t="s">
        <v>276</v>
      </c>
      <c r="Y1138" s="150" t="s">
        <v>276</v>
      </c>
      <c r="Z1138" s="151" t="s">
        <v>1562</v>
      </c>
      <c r="AA1138" s="150" t="s">
        <v>276</v>
      </c>
      <c r="AB1138" s="151" t="s">
        <v>1562</v>
      </c>
      <c r="AC1138" s="151" t="s">
        <v>9647</v>
      </c>
      <c r="AD1138" s="151" t="s">
        <v>9337</v>
      </c>
      <c r="AE1138" s="150">
        <f>0+3+3+1+2+3+6+6+6+1+5</f>
        <v>36</v>
      </c>
      <c r="AF1138" s="150">
        <f>2+0+2+2+5+5+9+8+4+3+2</f>
        <v>42</v>
      </c>
      <c r="AG1138" s="155">
        <v>11757</v>
      </c>
      <c r="AH1138" s="156">
        <v>11248</v>
      </c>
      <c r="AI1138" s="156" t="s">
        <v>281</v>
      </c>
      <c r="AJ1138" s="159" t="s">
        <v>276</v>
      </c>
      <c r="AK1138" s="158">
        <f t="shared" si="158"/>
        <v>3.0620056136769582</v>
      </c>
      <c r="AL1138" s="159" t="s">
        <v>276</v>
      </c>
      <c r="AM1138" s="159" t="s">
        <v>276</v>
      </c>
      <c r="AN1138" s="159" t="s">
        <v>276</v>
      </c>
      <c r="AO1138" s="158">
        <f t="shared" si="159"/>
        <v>3.7339971550497868</v>
      </c>
      <c r="AP1138" s="159" t="s">
        <v>276</v>
      </c>
      <c r="AQ1138" s="159" t="s">
        <v>276</v>
      </c>
      <c r="AR1138" s="150" t="s">
        <v>268</v>
      </c>
      <c r="AS1138" s="159" t="s">
        <v>276</v>
      </c>
      <c r="AT1138" s="159">
        <f t="shared" si="157"/>
        <v>0.82003426530091483</v>
      </c>
      <c r="AU1138" s="159" t="s">
        <v>276</v>
      </c>
      <c r="AV1138" s="159" t="s">
        <v>276</v>
      </c>
      <c r="AW1138" s="159" t="s">
        <v>276</v>
      </c>
      <c r="AX1138" s="150" t="s">
        <v>282</v>
      </c>
      <c r="AY1138" s="150" t="s">
        <v>98</v>
      </c>
      <c r="AZ1138" s="150" t="s">
        <v>98</v>
      </c>
      <c r="BA1138" s="150" t="s">
        <v>98</v>
      </c>
      <c r="BB1138" s="150" t="s">
        <v>98</v>
      </c>
      <c r="BC1138" s="151" t="s">
        <v>1010</v>
      </c>
      <c r="BD1138" s="151"/>
      <c r="BE1138" s="33" t="s">
        <v>100</v>
      </c>
      <c r="BF1138" s="33" t="s">
        <v>98</v>
      </c>
    </row>
    <row r="1139" spans="1:58" s="149" customFormat="1" ht="78" x14ac:dyDescent="0.3">
      <c r="A1139" s="126">
        <v>4095</v>
      </c>
      <c r="B1139" s="126" t="s">
        <v>9605</v>
      </c>
      <c r="C1139" s="127" t="s">
        <v>9266</v>
      </c>
      <c r="D1139" s="127" t="s">
        <v>9648</v>
      </c>
      <c r="E1139" s="126" t="s">
        <v>35</v>
      </c>
      <c r="F1139" s="126" t="s">
        <v>97</v>
      </c>
      <c r="G1139" s="126" t="s">
        <v>225</v>
      </c>
      <c r="H1139" s="126" t="s">
        <v>125</v>
      </c>
      <c r="I1139" s="126" t="s">
        <v>113</v>
      </c>
      <c r="J1139" s="127" t="s">
        <v>24</v>
      </c>
      <c r="K1139" s="127" t="s">
        <v>9607</v>
      </c>
      <c r="L1139" s="127" t="s">
        <v>8281</v>
      </c>
      <c r="M1139" s="126" t="s">
        <v>15</v>
      </c>
      <c r="N1139" s="145" t="s">
        <v>9342</v>
      </c>
      <c r="O1139" s="131" t="s">
        <v>207</v>
      </c>
      <c r="P1139" s="197" t="s">
        <v>98</v>
      </c>
      <c r="Q1139" s="127" t="s">
        <v>741</v>
      </c>
      <c r="R1139" s="127" t="s">
        <v>9708</v>
      </c>
      <c r="S1139" s="127" t="s">
        <v>9709</v>
      </c>
      <c r="T1139" s="167" t="s">
        <v>1219</v>
      </c>
      <c r="U1139" s="132">
        <v>11439</v>
      </c>
      <c r="V1139" s="134">
        <v>10714</v>
      </c>
      <c r="W1139" s="126" t="s">
        <v>276</v>
      </c>
      <c r="X1139" s="126" t="s">
        <v>276</v>
      </c>
      <c r="Y1139" s="126" t="s">
        <v>276</v>
      </c>
      <c r="Z1139" s="127" t="s">
        <v>1562</v>
      </c>
      <c r="AA1139" s="126" t="s">
        <v>276</v>
      </c>
      <c r="AB1139" s="127" t="s">
        <v>1562</v>
      </c>
      <c r="AC1139" s="127" t="s">
        <v>9651</v>
      </c>
      <c r="AD1139" s="127" t="s">
        <v>9346</v>
      </c>
      <c r="AE1139" s="126">
        <f>2+6+4+1+5+4</f>
        <v>22</v>
      </c>
      <c r="AF1139" s="126">
        <f>4+5+3+6+6+6</f>
        <v>30</v>
      </c>
      <c r="AG1139" s="132">
        <v>11439</v>
      </c>
      <c r="AH1139" s="134">
        <v>10714</v>
      </c>
      <c r="AI1139" s="134" t="s">
        <v>281</v>
      </c>
      <c r="AJ1139" s="135" t="s">
        <v>276</v>
      </c>
      <c r="AK1139" s="148">
        <f t="shared" si="158"/>
        <v>1.9232450389020019</v>
      </c>
      <c r="AL1139" s="135" t="s">
        <v>276</v>
      </c>
      <c r="AM1139" s="135" t="s">
        <v>276</v>
      </c>
      <c r="AN1139" s="135" t="s">
        <v>276</v>
      </c>
      <c r="AO1139" s="148">
        <f t="shared" si="159"/>
        <v>2.8000746686578308</v>
      </c>
      <c r="AP1139" s="135" t="s">
        <v>276</v>
      </c>
      <c r="AQ1139" s="135" t="s">
        <v>276</v>
      </c>
      <c r="AR1139" s="126" t="s">
        <v>268</v>
      </c>
      <c r="AS1139" s="135" t="s">
        <v>276</v>
      </c>
      <c r="AT1139" s="135">
        <f t="shared" si="157"/>
        <v>0.68685491155986833</v>
      </c>
      <c r="AU1139" s="135" t="s">
        <v>276</v>
      </c>
      <c r="AV1139" s="135" t="s">
        <v>276</v>
      </c>
      <c r="AW1139" s="135" t="s">
        <v>276</v>
      </c>
      <c r="AX1139" s="126" t="s">
        <v>282</v>
      </c>
      <c r="AY1139" s="126" t="s">
        <v>98</v>
      </c>
      <c r="AZ1139" s="126" t="s">
        <v>98</v>
      </c>
      <c r="BA1139" s="126" t="s">
        <v>98</v>
      </c>
      <c r="BB1139" s="126" t="s">
        <v>98</v>
      </c>
      <c r="BC1139" s="127" t="s">
        <v>1010</v>
      </c>
      <c r="BD1139" s="127"/>
      <c r="BE1139" s="33" t="s">
        <v>100</v>
      </c>
      <c r="BF1139" s="33" t="s">
        <v>98</v>
      </c>
    </row>
    <row r="1140" spans="1:58" s="149" customFormat="1" ht="78" x14ac:dyDescent="0.3">
      <c r="A1140" s="126">
        <v>4095</v>
      </c>
      <c r="B1140" s="126" t="s">
        <v>9605</v>
      </c>
      <c r="C1140" s="127" t="s">
        <v>9266</v>
      </c>
      <c r="D1140" s="127" t="s">
        <v>9652</v>
      </c>
      <c r="E1140" s="126" t="s">
        <v>35</v>
      </c>
      <c r="F1140" s="126" t="s">
        <v>97</v>
      </c>
      <c r="G1140" s="126" t="s">
        <v>225</v>
      </c>
      <c r="H1140" s="126" t="s">
        <v>125</v>
      </c>
      <c r="I1140" s="126" t="s">
        <v>113</v>
      </c>
      <c r="J1140" s="127" t="s">
        <v>24</v>
      </c>
      <c r="K1140" s="127" t="s">
        <v>9607</v>
      </c>
      <c r="L1140" s="127" t="s">
        <v>8281</v>
      </c>
      <c r="M1140" s="126" t="s">
        <v>15</v>
      </c>
      <c r="N1140" s="145" t="s">
        <v>9342</v>
      </c>
      <c r="O1140" s="131" t="s">
        <v>207</v>
      </c>
      <c r="P1140" s="197">
        <v>33238</v>
      </c>
      <c r="Q1140" s="127" t="s">
        <v>746</v>
      </c>
      <c r="R1140" s="127" t="s">
        <v>9710</v>
      </c>
      <c r="S1140" s="127" t="s">
        <v>9711</v>
      </c>
      <c r="T1140" s="167" t="s">
        <v>1219</v>
      </c>
      <c r="U1140" s="132">
        <v>11439</v>
      </c>
      <c r="V1140" s="134">
        <v>10714</v>
      </c>
      <c r="W1140" s="126" t="s">
        <v>276</v>
      </c>
      <c r="X1140" s="126" t="s">
        <v>276</v>
      </c>
      <c r="Y1140" s="126" t="s">
        <v>276</v>
      </c>
      <c r="Z1140" s="127" t="s">
        <v>1562</v>
      </c>
      <c r="AA1140" s="126" t="s">
        <v>276</v>
      </c>
      <c r="AB1140" s="127" t="s">
        <v>1562</v>
      </c>
      <c r="AC1140" s="127" t="s">
        <v>9655</v>
      </c>
      <c r="AD1140" s="127" t="s">
        <v>9346</v>
      </c>
      <c r="AE1140" s="126">
        <f>2+6+4+1+5+4+2</f>
        <v>24</v>
      </c>
      <c r="AF1140" s="126">
        <f>4+5+3+6+6+6+9</f>
        <v>39</v>
      </c>
      <c r="AG1140" s="132">
        <v>11439</v>
      </c>
      <c r="AH1140" s="134">
        <v>10714</v>
      </c>
      <c r="AI1140" s="134" t="s">
        <v>281</v>
      </c>
      <c r="AJ1140" s="135" t="s">
        <v>276</v>
      </c>
      <c r="AK1140" s="148">
        <f t="shared" si="158"/>
        <v>2.0980854969840022</v>
      </c>
      <c r="AL1140" s="135" t="s">
        <v>276</v>
      </c>
      <c r="AM1140" s="135" t="s">
        <v>276</v>
      </c>
      <c r="AN1140" s="135" t="s">
        <v>276</v>
      </c>
      <c r="AO1140" s="148">
        <f t="shared" si="159"/>
        <v>3.6400970692551802</v>
      </c>
      <c r="AP1140" s="135" t="s">
        <v>276</v>
      </c>
      <c r="AQ1140" s="135" t="s">
        <v>276</v>
      </c>
      <c r="AR1140" s="126" t="s">
        <v>268</v>
      </c>
      <c r="AS1140" s="135" t="s">
        <v>276</v>
      </c>
      <c r="AT1140" s="135">
        <f t="shared" si="157"/>
        <v>0.57638174396632302</v>
      </c>
      <c r="AU1140" s="135" t="s">
        <v>276</v>
      </c>
      <c r="AV1140" s="135" t="s">
        <v>276</v>
      </c>
      <c r="AW1140" s="135" t="s">
        <v>276</v>
      </c>
      <c r="AX1140" s="126" t="s">
        <v>282</v>
      </c>
      <c r="AY1140" s="126" t="s">
        <v>98</v>
      </c>
      <c r="AZ1140" s="126" t="s">
        <v>98</v>
      </c>
      <c r="BA1140" s="126" t="s">
        <v>98</v>
      </c>
      <c r="BB1140" s="126" t="s">
        <v>98</v>
      </c>
      <c r="BC1140" s="127" t="s">
        <v>1010</v>
      </c>
      <c r="BD1140" s="127"/>
      <c r="BE1140" s="33" t="s">
        <v>100</v>
      </c>
      <c r="BF1140" s="33" t="s">
        <v>98</v>
      </c>
    </row>
    <row r="1141" spans="1:58" s="149" customFormat="1" ht="78" x14ac:dyDescent="0.3">
      <c r="A1141" s="126">
        <v>4095</v>
      </c>
      <c r="B1141" s="126" t="s">
        <v>9605</v>
      </c>
      <c r="C1141" s="127" t="s">
        <v>9266</v>
      </c>
      <c r="D1141" s="127" t="s">
        <v>9656</v>
      </c>
      <c r="E1141" s="126" t="s">
        <v>35</v>
      </c>
      <c r="F1141" s="126" t="s">
        <v>97</v>
      </c>
      <c r="G1141" s="126" t="s">
        <v>225</v>
      </c>
      <c r="H1141" s="126" t="s">
        <v>125</v>
      </c>
      <c r="I1141" s="126" t="s">
        <v>113</v>
      </c>
      <c r="J1141" s="127" t="s">
        <v>24</v>
      </c>
      <c r="K1141" s="127" t="s">
        <v>9607</v>
      </c>
      <c r="L1141" s="127" t="s">
        <v>8281</v>
      </c>
      <c r="M1141" s="126" t="s">
        <v>15</v>
      </c>
      <c r="N1141" s="145" t="s">
        <v>9342</v>
      </c>
      <c r="O1141" s="131" t="s">
        <v>207</v>
      </c>
      <c r="P1141" s="197">
        <v>33238</v>
      </c>
      <c r="Q1141" s="127" t="s">
        <v>752</v>
      </c>
      <c r="R1141" s="127" t="s">
        <v>9712</v>
      </c>
      <c r="S1141" s="127" t="s">
        <v>9713</v>
      </c>
      <c r="T1141" s="167" t="s">
        <v>1219</v>
      </c>
      <c r="U1141" s="132">
        <v>11439</v>
      </c>
      <c r="V1141" s="134">
        <v>10714</v>
      </c>
      <c r="W1141" s="126" t="s">
        <v>276</v>
      </c>
      <c r="X1141" s="126" t="s">
        <v>276</v>
      </c>
      <c r="Y1141" s="126" t="s">
        <v>276</v>
      </c>
      <c r="Z1141" s="127" t="s">
        <v>1562</v>
      </c>
      <c r="AA1141" s="126" t="s">
        <v>276</v>
      </c>
      <c r="AB1141" s="127" t="s">
        <v>1562</v>
      </c>
      <c r="AC1141" s="127" t="s">
        <v>9659</v>
      </c>
      <c r="AD1141" s="127" t="s">
        <v>9346</v>
      </c>
      <c r="AE1141" s="126">
        <f>2+6+4+1+5+4+2+4</f>
        <v>28</v>
      </c>
      <c r="AF1141" s="126">
        <f>4+5+3+6+6+6+9+4</f>
        <v>43</v>
      </c>
      <c r="AG1141" s="132">
        <v>11439</v>
      </c>
      <c r="AH1141" s="134">
        <v>10714</v>
      </c>
      <c r="AI1141" s="134" t="s">
        <v>281</v>
      </c>
      <c r="AJ1141" s="135" t="s">
        <v>276</v>
      </c>
      <c r="AK1141" s="148">
        <f t="shared" si="158"/>
        <v>2.4477664131480026</v>
      </c>
      <c r="AL1141" s="135" t="s">
        <v>276</v>
      </c>
      <c r="AM1141" s="135" t="s">
        <v>276</v>
      </c>
      <c r="AN1141" s="135" t="s">
        <v>276</v>
      </c>
      <c r="AO1141" s="148">
        <f t="shared" si="159"/>
        <v>4.0134403584095573</v>
      </c>
      <c r="AP1141" s="135" t="s">
        <v>276</v>
      </c>
      <c r="AQ1141" s="135" t="s">
        <v>276</v>
      </c>
      <c r="AR1141" s="126" t="s">
        <v>268</v>
      </c>
      <c r="AS1141" s="135" t="s">
        <v>276</v>
      </c>
      <c r="AT1141" s="135">
        <f t="shared" si="157"/>
        <v>0.60989231047599302</v>
      </c>
      <c r="AU1141" s="135" t="s">
        <v>276</v>
      </c>
      <c r="AV1141" s="135" t="s">
        <v>276</v>
      </c>
      <c r="AW1141" s="135" t="s">
        <v>276</v>
      </c>
      <c r="AX1141" s="126" t="s">
        <v>282</v>
      </c>
      <c r="AY1141" s="126" t="s">
        <v>98</v>
      </c>
      <c r="AZ1141" s="126" t="s">
        <v>98</v>
      </c>
      <c r="BA1141" s="126" t="s">
        <v>98</v>
      </c>
      <c r="BB1141" s="126" t="s">
        <v>98</v>
      </c>
      <c r="BC1141" s="127" t="s">
        <v>1010</v>
      </c>
      <c r="BD1141" s="127"/>
      <c r="BE1141" s="33" t="s">
        <v>100</v>
      </c>
      <c r="BF1141" s="33" t="s">
        <v>98</v>
      </c>
    </row>
    <row r="1142" spans="1:58" s="149" customFormat="1" ht="78" x14ac:dyDescent="0.3">
      <c r="A1142" s="126">
        <v>4095</v>
      </c>
      <c r="B1142" s="126" t="s">
        <v>9605</v>
      </c>
      <c r="C1142" s="127" t="s">
        <v>9266</v>
      </c>
      <c r="D1142" s="127" t="s">
        <v>9660</v>
      </c>
      <c r="E1142" s="126" t="s">
        <v>35</v>
      </c>
      <c r="F1142" s="126" t="s">
        <v>97</v>
      </c>
      <c r="G1142" s="126" t="s">
        <v>225</v>
      </c>
      <c r="H1142" s="126" t="s">
        <v>125</v>
      </c>
      <c r="I1142" s="126" t="s">
        <v>113</v>
      </c>
      <c r="J1142" s="127" t="s">
        <v>24</v>
      </c>
      <c r="K1142" s="127" t="s">
        <v>9607</v>
      </c>
      <c r="L1142" s="127" t="s">
        <v>8281</v>
      </c>
      <c r="M1142" s="126" t="s">
        <v>15</v>
      </c>
      <c r="N1142" s="145" t="s">
        <v>9342</v>
      </c>
      <c r="O1142" s="131" t="s">
        <v>207</v>
      </c>
      <c r="P1142" s="197">
        <v>33238</v>
      </c>
      <c r="Q1142" s="127" t="s">
        <v>766</v>
      </c>
      <c r="R1142" s="127" t="s">
        <v>9714</v>
      </c>
      <c r="S1142" s="127" t="s">
        <v>9715</v>
      </c>
      <c r="T1142" s="167" t="s">
        <v>1219</v>
      </c>
      <c r="U1142" s="132">
        <v>11439</v>
      </c>
      <c r="V1142" s="134">
        <v>10714</v>
      </c>
      <c r="W1142" s="126" t="s">
        <v>276</v>
      </c>
      <c r="X1142" s="126" t="s">
        <v>276</v>
      </c>
      <c r="Y1142" s="126" t="s">
        <v>276</v>
      </c>
      <c r="Z1142" s="127" t="s">
        <v>1562</v>
      </c>
      <c r="AA1142" s="126" t="s">
        <v>276</v>
      </c>
      <c r="AB1142" s="127" t="s">
        <v>1562</v>
      </c>
      <c r="AC1142" s="127" t="s">
        <v>9663</v>
      </c>
      <c r="AD1142" s="127" t="s">
        <v>9346</v>
      </c>
      <c r="AE1142" s="126">
        <f>2+6+4+1+5+4+2+4+5</f>
        <v>33</v>
      </c>
      <c r="AF1142" s="126">
        <f>4+5+3+6+6+6+9+4+6</f>
        <v>49</v>
      </c>
      <c r="AG1142" s="132">
        <v>11439</v>
      </c>
      <c r="AH1142" s="134">
        <v>10714</v>
      </c>
      <c r="AI1142" s="134" t="s">
        <v>281</v>
      </c>
      <c r="AJ1142" s="135" t="s">
        <v>276</v>
      </c>
      <c r="AK1142" s="148">
        <f t="shared" si="158"/>
        <v>2.8848675583530028</v>
      </c>
      <c r="AL1142" s="135" t="s">
        <v>276</v>
      </c>
      <c r="AM1142" s="135" t="s">
        <v>276</v>
      </c>
      <c r="AN1142" s="135" t="s">
        <v>276</v>
      </c>
      <c r="AO1142" s="148">
        <f t="shared" si="159"/>
        <v>4.5734552921411238</v>
      </c>
      <c r="AP1142" s="135" t="s">
        <v>276</v>
      </c>
      <c r="AQ1142" s="135" t="s">
        <v>276</v>
      </c>
      <c r="AR1142" s="126" t="s">
        <v>268</v>
      </c>
      <c r="AS1142" s="135" t="s">
        <v>276</v>
      </c>
      <c r="AT1142" s="135">
        <f t="shared" si="157"/>
        <v>0.63078512286110355</v>
      </c>
      <c r="AU1142" s="135" t="s">
        <v>276</v>
      </c>
      <c r="AV1142" s="135" t="s">
        <v>276</v>
      </c>
      <c r="AW1142" s="135" t="s">
        <v>276</v>
      </c>
      <c r="AX1142" s="126" t="s">
        <v>282</v>
      </c>
      <c r="AY1142" s="126" t="s">
        <v>98</v>
      </c>
      <c r="AZ1142" s="126" t="s">
        <v>98</v>
      </c>
      <c r="BA1142" s="126" t="s">
        <v>98</v>
      </c>
      <c r="BB1142" s="126" t="s">
        <v>98</v>
      </c>
      <c r="BC1142" s="127" t="s">
        <v>1010</v>
      </c>
      <c r="BD1142" s="127"/>
      <c r="BE1142" s="33" t="s">
        <v>100</v>
      </c>
      <c r="BF1142" s="33" t="s">
        <v>98</v>
      </c>
    </row>
    <row r="1143" spans="1:58" s="149" customFormat="1" ht="78" x14ac:dyDescent="0.3">
      <c r="A1143" s="126">
        <v>4095</v>
      </c>
      <c r="B1143" s="126" t="s">
        <v>9605</v>
      </c>
      <c r="C1143" s="127" t="s">
        <v>9266</v>
      </c>
      <c r="D1143" s="127" t="s">
        <v>9664</v>
      </c>
      <c r="E1143" s="126" t="s">
        <v>35</v>
      </c>
      <c r="F1143" s="126" t="s">
        <v>97</v>
      </c>
      <c r="G1143" s="126" t="s">
        <v>225</v>
      </c>
      <c r="H1143" s="126" t="s">
        <v>125</v>
      </c>
      <c r="I1143" s="126" t="s">
        <v>113</v>
      </c>
      <c r="J1143" s="127" t="s">
        <v>24</v>
      </c>
      <c r="K1143" s="127" t="s">
        <v>9607</v>
      </c>
      <c r="L1143" s="127" t="s">
        <v>8281</v>
      </c>
      <c r="M1143" s="126" t="s">
        <v>15</v>
      </c>
      <c r="N1143" s="145" t="s">
        <v>9342</v>
      </c>
      <c r="O1143" s="131" t="s">
        <v>207</v>
      </c>
      <c r="P1143" s="197">
        <v>33238</v>
      </c>
      <c r="Q1143" s="127" t="s">
        <v>9624</v>
      </c>
      <c r="R1143" s="127" t="s">
        <v>9716</v>
      </c>
      <c r="S1143" s="127" t="s">
        <v>9717</v>
      </c>
      <c r="T1143" s="167" t="s">
        <v>1219</v>
      </c>
      <c r="U1143" s="132">
        <v>11439</v>
      </c>
      <c r="V1143" s="134">
        <v>10714</v>
      </c>
      <c r="W1143" s="126" t="s">
        <v>276</v>
      </c>
      <c r="X1143" s="126" t="s">
        <v>276</v>
      </c>
      <c r="Y1143" s="126" t="s">
        <v>276</v>
      </c>
      <c r="Z1143" s="127" t="s">
        <v>1562</v>
      </c>
      <c r="AA1143" s="126" t="s">
        <v>276</v>
      </c>
      <c r="AB1143" s="127" t="s">
        <v>1562</v>
      </c>
      <c r="AC1143" s="127" t="s">
        <v>9667</v>
      </c>
      <c r="AD1143" s="127" t="s">
        <v>9346</v>
      </c>
      <c r="AE1143" s="126">
        <f>2+6+4+1+5+4+2+4+5+4</f>
        <v>37</v>
      </c>
      <c r="AF1143" s="126">
        <f>4+5+3+6+6+6+9+4+6+8</f>
        <v>57</v>
      </c>
      <c r="AG1143" s="132">
        <v>11439</v>
      </c>
      <c r="AH1143" s="134">
        <v>10714</v>
      </c>
      <c r="AI1143" s="134" t="s">
        <v>281</v>
      </c>
      <c r="AJ1143" s="135" t="s">
        <v>276</v>
      </c>
      <c r="AK1143" s="148">
        <f t="shared" si="158"/>
        <v>3.2345484745170032</v>
      </c>
      <c r="AL1143" s="135" t="s">
        <v>276</v>
      </c>
      <c r="AM1143" s="135" t="s">
        <v>276</v>
      </c>
      <c r="AN1143" s="135" t="s">
        <v>276</v>
      </c>
      <c r="AO1143" s="148">
        <f t="shared" si="159"/>
        <v>5.3201418704498789</v>
      </c>
      <c r="AP1143" s="135" t="s">
        <v>276</v>
      </c>
      <c r="AQ1143" s="135" t="s">
        <v>276</v>
      </c>
      <c r="AR1143" s="126" t="s">
        <v>268</v>
      </c>
      <c r="AS1143" s="135" t="s">
        <v>276</v>
      </c>
      <c r="AT1143" s="135">
        <f t="shared" si="157"/>
        <v>0.60798162028026614</v>
      </c>
      <c r="AU1143" s="135" t="s">
        <v>276</v>
      </c>
      <c r="AV1143" s="135" t="s">
        <v>276</v>
      </c>
      <c r="AW1143" s="135" t="s">
        <v>276</v>
      </c>
      <c r="AX1143" s="126" t="s">
        <v>282</v>
      </c>
      <c r="AY1143" s="126" t="s">
        <v>98</v>
      </c>
      <c r="AZ1143" s="126" t="s">
        <v>98</v>
      </c>
      <c r="BA1143" s="126" t="s">
        <v>98</v>
      </c>
      <c r="BB1143" s="126" t="s">
        <v>98</v>
      </c>
      <c r="BC1143" s="127" t="s">
        <v>1010</v>
      </c>
      <c r="BD1143" s="127"/>
      <c r="BE1143" s="33" t="s">
        <v>100</v>
      </c>
      <c r="BF1143" s="33" t="s">
        <v>98</v>
      </c>
    </row>
    <row r="1144" spans="1:58" s="160" customFormat="1" ht="78" x14ac:dyDescent="0.3">
      <c r="A1144" s="150">
        <v>4095</v>
      </c>
      <c r="B1144" s="150" t="s">
        <v>9605</v>
      </c>
      <c r="C1144" s="151" t="s">
        <v>9266</v>
      </c>
      <c r="D1144" s="151" t="s">
        <v>9668</v>
      </c>
      <c r="E1144" s="150" t="s">
        <v>35</v>
      </c>
      <c r="F1144" s="150" t="s">
        <v>97</v>
      </c>
      <c r="G1144" s="150" t="s">
        <v>225</v>
      </c>
      <c r="H1144" s="150" t="s">
        <v>125</v>
      </c>
      <c r="I1144" s="150" t="s">
        <v>113</v>
      </c>
      <c r="J1144" s="151" t="s">
        <v>24</v>
      </c>
      <c r="K1144" s="151" t="s">
        <v>9307</v>
      </c>
      <c r="L1144" s="151" t="s">
        <v>8281</v>
      </c>
      <c r="M1144" s="150" t="s">
        <v>15</v>
      </c>
      <c r="N1144" s="152" t="s">
        <v>9350</v>
      </c>
      <c r="O1144" s="153" t="s">
        <v>207</v>
      </c>
      <c r="P1144" s="342" t="s">
        <v>98</v>
      </c>
      <c r="Q1144" s="151" t="s">
        <v>741</v>
      </c>
      <c r="R1144" s="151" t="s">
        <v>9718</v>
      </c>
      <c r="S1144" s="151" t="s">
        <v>9719</v>
      </c>
      <c r="T1144" s="168" t="s">
        <v>1191</v>
      </c>
      <c r="U1144" s="155">
        <v>5033</v>
      </c>
      <c r="V1144" s="156">
        <v>4868</v>
      </c>
      <c r="W1144" s="150" t="s">
        <v>276</v>
      </c>
      <c r="X1144" s="150" t="s">
        <v>276</v>
      </c>
      <c r="Y1144" s="150" t="s">
        <v>276</v>
      </c>
      <c r="Z1144" s="151" t="s">
        <v>1562</v>
      </c>
      <c r="AA1144" s="150" t="s">
        <v>276</v>
      </c>
      <c r="AB1144" s="151" t="s">
        <v>1562</v>
      </c>
      <c r="AC1144" s="151" t="s">
        <v>9671</v>
      </c>
      <c r="AD1144" s="151" t="s">
        <v>9354</v>
      </c>
      <c r="AE1144" s="150">
        <f>1+2+4+2+4</f>
        <v>13</v>
      </c>
      <c r="AF1144" s="150">
        <f>1+1+1+0+4+4+4</f>
        <v>15</v>
      </c>
      <c r="AG1144" s="155">
        <v>5033</v>
      </c>
      <c r="AH1144" s="156">
        <v>4868</v>
      </c>
      <c r="AI1144" s="156" t="s">
        <v>281</v>
      </c>
      <c r="AJ1144" s="159" t="s">
        <v>276</v>
      </c>
      <c r="AK1144" s="158">
        <f t="shared" si="158"/>
        <v>2.5829525134114841</v>
      </c>
      <c r="AL1144" s="159" t="s">
        <v>276</v>
      </c>
      <c r="AM1144" s="159" t="s">
        <v>276</v>
      </c>
      <c r="AN1144" s="159" t="s">
        <v>276</v>
      </c>
      <c r="AO1144" s="158">
        <f t="shared" si="159"/>
        <v>3.0813475760065736</v>
      </c>
      <c r="AP1144" s="159" t="s">
        <v>276</v>
      </c>
      <c r="AQ1144" s="159" t="s">
        <v>276</v>
      </c>
      <c r="AR1144" s="150" t="s">
        <v>268</v>
      </c>
      <c r="AS1144" s="159" t="s">
        <v>276</v>
      </c>
      <c r="AT1144" s="159">
        <f t="shared" si="157"/>
        <v>0.83825418901914028</v>
      </c>
      <c r="AU1144" s="159" t="s">
        <v>276</v>
      </c>
      <c r="AV1144" s="159" t="s">
        <v>276</v>
      </c>
      <c r="AW1144" s="159" t="s">
        <v>276</v>
      </c>
      <c r="AX1144" s="150" t="s">
        <v>282</v>
      </c>
      <c r="AY1144" s="150" t="s">
        <v>98</v>
      </c>
      <c r="AZ1144" s="150" t="s">
        <v>98</v>
      </c>
      <c r="BA1144" s="150" t="s">
        <v>98</v>
      </c>
      <c r="BB1144" s="150" t="s">
        <v>98</v>
      </c>
      <c r="BC1144" s="151" t="s">
        <v>1010</v>
      </c>
      <c r="BD1144" s="151"/>
      <c r="BE1144" s="33" t="s">
        <v>100</v>
      </c>
      <c r="BF1144" s="33" t="s">
        <v>98</v>
      </c>
    </row>
    <row r="1145" spans="1:58" s="160" customFormat="1" ht="78" x14ac:dyDescent="0.3">
      <c r="A1145" s="150">
        <v>4095</v>
      </c>
      <c r="B1145" s="150" t="s">
        <v>9605</v>
      </c>
      <c r="C1145" s="151" t="s">
        <v>9266</v>
      </c>
      <c r="D1145" s="151" t="s">
        <v>9672</v>
      </c>
      <c r="E1145" s="150" t="s">
        <v>35</v>
      </c>
      <c r="F1145" s="150" t="s">
        <v>97</v>
      </c>
      <c r="G1145" s="150" t="s">
        <v>225</v>
      </c>
      <c r="H1145" s="150" t="s">
        <v>125</v>
      </c>
      <c r="I1145" s="150" t="s">
        <v>113</v>
      </c>
      <c r="J1145" s="151" t="s">
        <v>24</v>
      </c>
      <c r="K1145" s="151" t="s">
        <v>9307</v>
      </c>
      <c r="L1145" s="151" t="s">
        <v>8281</v>
      </c>
      <c r="M1145" s="150" t="s">
        <v>15</v>
      </c>
      <c r="N1145" s="152" t="s">
        <v>9350</v>
      </c>
      <c r="O1145" s="153" t="s">
        <v>207</v>
      </c>
      <c r="P1145" s="342">
        <v>33238</v>
      </c>
      <c r="Q1145" s="151" t="s">
        <v>746</v>
      </c>
      <c r="R1145" s="151" t="s">
        <v>9720</v>
      </c>
      <c r="S1145" s="151" t="s">
        <v>9721</v>
      </c>
      <c r="T1145" s="168" t="s">
        <v>1191</v>
      </c>
      <c r="U1145" s="155">
        <v>5033</v>
      </c>
      <c r="V1145" s="156">
        <v>4868</v>
      </c>
      <c r="W1145" s="150" t="s">
        <v>276</v>
      </c>
      <c r="X1145" s="150" t="s">
        <v>276</v>
      </c>
      <c r="Y1145" s="150" t="s">
        <v>276</v>
      </c>
      <c r="Z1145" s="151" t="s">
        <v>1562</v>
      </c>
      <c r="AA1145" s="150" t="s">
        <v>276</v>
      </c>
      <c r="AB1145" s="151" t="s">
        <v>1562</v>
      </c>
      <c r="AC1145" s="151" t="s">
        <v>9675</v>
      </c>
      <c r="AD1145" s="151" t="s">
        <v>9354</v>
      </c>
      <c r="AE1145" s="150">
        <f>1+2+4+2+4+2</f>
        <v>15</v>
      </c>
      <c r="AF1145" s="150">
        <f>1+1+1+0+4+4+4+1</f>
        <v>16</v>
      </c>
      <c r="AG1145" s="155">
        <v>5033</v>
      </c>
      <c r="AH1145" s="156">
        <v>4868</v>
      </c>
      <c r="AI1145" s="156" t="s">
        <v>281</v>
      </c>
      <c r="AJ1145" s="159" t="s">
        <v>276</v>
      </c>
      <c r="AK1145" s="158">
        <f t="shared" si="158"/>
        <v>2.9803298231670974</v>
      </c>
      <c r="AL1145" s="159" t="s">
        <v>276</v>
      </c>
      <c r="AM1145" s="159" t="s">
        <v>276</v>
      </c>
      <c r="AN1145" s="159" t="s">
        <v>276</v>
      </c>
      <c r="AO1145" s="158">
        <f t="shared" si="159"/>
        <v>3.2867707477403449</v>
      </c>
      <c r="AP1145" s="159" t="s">
        <v>276</v>
      </c>
      <c r="AQ1145" s="159" t="s">
        <v>276</v>
      </c>
      <c r="AR1145" s="150" t="s">
        <v>268</v>
      </c>
      <c r="AS1145" s="159" t="s">
        <v>276</v>
      </c>
      <c r="AT1145" s="159">
        <f t="shared" si="157"/>
        <v>0.90676534869858938</v>
      </c>
      <c r="AU1145" s="159" t="s">
        <v>276</v>
      </c>
      <c r="AV1145" s="159" t="s">
        <v>276</v>
      </c>
      <c r="AW1145" s="159" t="s">
        <v>276</v>
      </c>
      <c r="AX1145" s="150" t="s">
        <v>282</v>
      </c>
      <c r="AY1145" s="150" t="s">
        <v>98</v>
      </c>
      <c r="AZ1145" s="150" t="s">
        <v>98</v>
      </c>
      <c r="BA1145" s="150" t="s">
        <v>98</v>
      </c>
      <c r="BB1145" s="150" t="s">
        <v>98</v>
      </c>
      <c r="BC1145" s="151" t="s">
        <v>1010</v>
      </c>
      <c r="BD1145" s="151"/>
      <c r="BE1145" s="33" t="s">
        <v>100</v>
      </c>
      <c r="BF1145" s="33" t="s">
        <v>98</v>
      </c>
    </row>
    <row r="1146" spans="1:58" s="160" customFormat="1" ht="78" x14ac:dyDescent="0.3">
      <c r="A1146" s="150">
        <v>4095</v>
      </c>
      <c r="B1146" s="150" t="s">
        <v>9605</v>
      </c>
      <c r="C1146" s="151" t="s">
        <v>9266</v>
      </c>
      <c r="D1146" s="151" t="s">
        <v>9676</v>
      </c>
      <c r="E1146" s="150" t="s">
        <v>35</v>
      </c>
      <c r="F1146" s="150" t="s">
        <v>97</v>
      </c>
      <c r="G1146" s="150" t="s">
        <v>225</v>
      </c>
      <c r="H1146" s="150" t="s">
        <v>125</v>
      </c>
      <c r="I1146" s="150" t="s">
        <v>113</v>
      </c>
      <c r="J1146" s="151" t="s">
        <v>24</v>
      </c>
      <c r="K1146" s="151" t="s">
        <v>9307</v>
      </c>
      <c r="L1146" s="151" t="s">
        <v>8281</v>
      </c>
      <c r="M1146" s="150" t="s">
        <v>15</v>
      </c>
      <c r="N1146" s="152" t="s">
        <v>9350</v>
      </c>
      <c r="O1146" s="153" t="s">
        <v>207</v>
      </c>
      <c r="P1146" s="342">
        <v>33238</v>
      </c>
      <c r="Q1146" s="151" t="s">
        <v>752</v>
      </c>
      <c r="R1146" s="151" t="s">
        <v>9722</v>
      </c>
      <c r="S1146" s="151" t="s">
        <v>9723</v>
      </c>
      <c r="T1146" s="168" t="s">
        <v>1191</v>
      </c>
      <c r="U1146" s="155">
        <v>5033</v>
      </c>
      <c r="V1146" s="156">
        <v>4868</v>
      </c>
      <c r="W1146" s="150" t="s">
        <v>276</v>
      </c>
      <c r="X1146" s="150" t="s">
        <v>276</v>
      </c>
      <c r="Y1146" s="150" t="s">
        <v>276</v>
      </c>
      <c r="Z1146" s="151" t="s">
        <v>1562</v>
      </c>
      <c r="AA1146" s="150" t="s">
        <v>276</v>
      </c>
      <c r="AB1146" s="151" t="s">
        <v>1562</v>
      </c>
      <c r="AC1146" s="151" t="s">
        <v>9679</v>
      </c>
      <c r="AD1146" s="151" t="s">
        <v>9354</v>
      </c>
      <c r="AE1146" s="150">
        <f>1+2+4+2+4+2+2</f>
        <v>17</v>
      </c>
      <c r="AF1146" s="150">
        <f>1+1+1+0+4+4+4+1+4</f>
        <v>20</v>
      </c>
      <c r="AG1146" s="155">
        <v>5033</v>
      </c>
      <c r="AH1146" s="156">
        <v>4868</v>
      </c>
      <c r="AI1146" s="156" t="s">
        <v>281</v>
      </c>
      <c r="AJ1146" s="159" t="s">
        <v>276</v>
      </c>
      <c r="AK1146" s="158">
        <f t="shared" si="158"/>
        <v>3.3777071329227102</v>
      </c>
      <c r="AL1146" s="159" t="s">
        <v>276</v>
      </c>
      <c r="AM1146" s="159" t="s">
        <v>276</v>
      </c>
      <c r="AN1146" s="159" t="s">
        <v>276</v>
      </c>
      <c r="AO1146" s="158">
        <f t="shared" si="159"/>
        <v>4.1084634346754312</v>
      </c>
      <c r="AP1146" s="159" t="s">
        <v>276</v>
      </c>
      <c r="AQ1146" s="159" t="s">
        <v>276</v>
      </c>
      <c r="AR1146" s="150" t="s">
        <v>268</v>
      </c>
      <c r="AS1146" s="159" t="s">
        <v>276</v>
      </c>
      <c r="AT1146" s="159">
        <f t="shared" si="157"/>
        <v>0.82213391615338771</v>
      </c>
      <c r="AU1146" s="159" t="s">
        <v>276</v>
      </c>
      <c r="AV1146" s="159" t="s">
        <v>276</v>
      </c>
      <c r="AW1146" s="159" t="s">
        <v>276</v>
      </c>
      <c r="AX1146" s="150" t="s">
        <v>282</v>
      </c>
      <c r="AY1146" s="150" t="s">
        <v>98</v>
      </c>
      <c r="AZ1146" s="150" t="s">
        <v>98</v>
      </c>
      <c r="BA1146" s="150" t="s">
        <v>98</v>
      </c>
      <c r="BB1146" s="150" t="s">
        <v>98</v>
      </c>
      <c r="BC1146" s="151" t="s">
        <v>1010</v>
      </c>
      <c r="BD1146" s="151"/>
      <c r="BE1146" s="33" t="s">
        <v>100</v>
      </c>
      <c r="BF1146" s="33" t="s">
        <v>98</v>
      </c>
    </row>
    <row r="1147" spans="1:58" s="160" customFormat="1" ht="78" x14ac:dyDescent="0.3">
      <c r="A1147" s="150">
        <v>4095</v>
      </c>
      <c r="B1147" s="150" t="s">
        <v>9605</v>
      </c>
      <c r="C1147" s="151" t="s">
        <v>9266</v>
      </c>
      <c r="D1147" s="151" t="s">
        <v>9680</v>
      </c>
      <c r="E1147" s="150" t="s">
        <v>35</v>
      </c>
      <c r="F1147" s="150" t="s">
        <v>97</v>
      </c>
      <c r="G1147" s="150" t="s">
        <v>225</v>
      </c>
      <c r="H1147" s="150" t="s">
        <v>125</v>
      </c>
      <c r="I1147" s="150" t="s">
        <v>113</v>
      </c>
      <c r="J1147" s="151" t="s">
        <v>24</v>
      </c>
      <c r="K1147" s="151" t="s">
        <v>9307</v>
      </c>
      <c r="L1147" s="151" t="s">
        <v>8281</v>
      </c>
      <c r="M1147" s="150" t="s">
        <v>15</v>
      </c>
      <c r="N1147" s="152" t="s">
        <v>9350</v>
      </c>
      <c r="O1147" s="153" t="s">
        <v>207</v>
      </c>
      <c r="P1147" s="342">
        <v>33238</v>
      </c>
      <c r="Q1147" s="151" t="s">
        <v>766</v>
      </c>
      <c r="R1147" s="151" t="s">
        <v>9724</v>
      </c>
      <c r="S1147" s="151" t="s">
        <v>9725</v>
      </c>
      <c r="T1147" s="168" t="s">
        <v>1191</v>
      </c>
      <c r="U1147" s="155">
        <v>5033</v>
      </c>
      <c r="V1147" s="156">
        <v>4868</v>
      </c>
      <c r="W1147" s="150" t="s">
        <v>276</v>
      </c>
      <c r="X1147" s="150" t="s">
        <v>276</v>
      </c>
      <c r="Y1147" s="150" t="s">
        <v>276</v>
      </c>
      <c r="Z1147" s="151" t="s">
        <v>1562</v>
      </c>
      <c r="AA1147" s="150" t="s">
        <v>276</v>
      </c>
      <c r="AB1147" s="151" t="s">
        <v>1562</v>
      </c>
      <c r="AC1147" s="151" t="s">
        <v>9683</v>
      </c>
      <c r="AD1147" s="151" t="s">
        <v>9354</v>
      </c>
      <c r="AE1147" s="150">
        <f>1+2+4+2+4+2+2+2</f>
        <v>19</v>
      </c>
      <c r="AF1147" s="150">
        <f>1+1+1+0+4+4+4+1+4+3</f>
        <v>23</v>
      </c>
      <c r="AG1147" s="155">
        <v>5033</v>
      </c>
      <c r="AH1147" s="156">
        <v>4868</v>
      </c>
      <c r="AI1147" s="156" t="s">
        <v>281</v>
      </c>
      <c r="AJ1147" s="159" t="s">
        <v>276</v>
      </c>
      <c r="AK1147" s="158">
        <f t="shared" si="158"/>
        <v>3.775084442678323</v>
      </c>
      <c r="AL1147" s="159" t="s">
        <v>276</v>
      </c>
      <c r="AM1147" s="159" t="s">
        <v>276</v>
      </c>
      <c r="AN1147" s="159" t="s">
        <v>276</v>
      </c>
      <c r="AO1147" s="158">
        <f t="shared" si="159"/>
        <v>4.7247329498767465</v>
      </c>
      <c r="AP1147" s="159" t="s">
        <v>276</v>
      </c>
      <c r="AQ1147" s="159" t="s">
        <v>276</v>
      </c>
      <c r="AR1147" s="150" t="s">
        <v>268</v>
      </c>
      <c r="AS1147" s="159" t="s">
        <v>276</v>
      </c>
      <c r="AT1147" s="159">
        <f t="shared" si="157"/>
        <v>0.79900482899817715</v>
      </c>
      <c r="AU1147" s="159" t="s">
        <v>276</v>
      </c>
      <c r="AV1147" s="159" t="s">
        <v>276</v>
      </c>
      <c r="AW1147" s="159" t="s">
        <v>276</v>
      </c>
      <c r="AX1147" s="150" t="s">
        <v>282</v>
      </c>
      <c r="AY1147" s="150" t="s">
        <v>98</v>
      </c>
      <c r="AZ1147" s="150" t="s">
        <v>98</v>
      </c>
      <c r="BA1147" s="150" t="s">
        <v>98</v>
      </c>
      <c r="BB1147" s="150" t="s">
        <v>98</v>
      </c>
      <c r="BC1147" s="151" t="s">
        <v>1010</v>
      </c>
      <c r="BD1147" s="151"/>
      <c r="BE1147" s="33" t="s">
        <v>100</v>
      </c>
      <c r="BF1147" s="33" t="s">
        <v>98</v>
      </c>
    </row>
    <row r="1148" spans="1:58" s="160" customFormat="1" ht="78" x14ac:dyDescent="0.3">
      <c r="A1148" s="150">
        <v>4095</v>
      </c>
      <c r="B1148" s="150" t="s">
        <v>9605</v>
      </c>
      <c r="C1148" s="151" t="s">
        <v>9266</v>
      </c>
      <c r="D1148" s="151" t="s">
        <v>9684</v>
      </c>
      <c r="E1148" s="150" t="s">
        <v>35</v>
      </c>
      <c r="F1148" s="150" t="s">
        <v>97</v>
      </c>
      <c r="G1148" s="150" t="s">
        <v>225</v>
      </c>
      <c r="H1148" s="150" t="s">
        <v>125</v>
      </c>
      <c r="I1148" s="150" t="s">
        <v>113</v>
      </c>
      <c r="J1148" s="151" t="s">
        <v>24</v>
      </c>
      <c r="K1148" s="151" t="s">
        <v>9307</v>
      </c>
      <c r="L1148" s="151" t="s">
        <v>8281</v>
      </c>
      <c r="M1148" s="150" t="s">
        <v>15</v>
      </c>
      <c r="N1148" s="152" t="s">
        <v>9350</v>
      </c>
      <c r="O1148" s="153" t="s">
        <v>207</v>
      </c>
      <c r="P1148" s="342">
        <v>33238</v>
      </c>
      <c r="Q1148" s="151" t="s">
        <v>9624</v>
      </c>
      <c r="R1148" s="151" t="s">
        <v>9726</v>
      </c>
      <c r="S1148" s="151" t="s">
        <v>9727</v>
      </c>
      <c r="T1148" s="168" t="s">
        <v>1191</v>
      </c>
      <c r="U1148" s="155">
        <v>5033</v>
      </c>
      <c r="V1148" s="156">
        <v>4868</v>
      </c>
      <c r="W1148" s="150" t="s">
        <v>276</v>
      </c>
      <c r="X1148" s="150" t="s">
        <v>276</v>
      </c>
      <c r="Y1148" s="150" t="s">
        <v>276</v>
      </c>
      <c r="Z1148" s="151" t="s">
        <v>1562</v>
      </c>
      <c r="AA1148" s="150" t="s">
        <v>276</v>
      </c>
      <c r="AB1148" s="151" t="s">
        <v>1562</v>
      </c>
      <c r="AC1148" s="151" t="s">
        <v>9687</v>
      </c>
      <c r="AD1148" s="151" t="s">
        <v>9354</v>
      </c>
      <c r="AE1148" s="150">
        <f>1+2+4+2+4+2+2+2+4</f>
        <v>23</v>
      </c>
      <c r="AF1148" s="150">
        <f>1+1+1+0+4+4+4+1+4+3+1</f>
        <v>24</v>
      </c>
      <c r="AG1148" s="155">
        <v>5033</v>
      </c>
      <c r="AH1148" s="156">
        <v>4868</v>
      </c>
      <c r="AI1148" s="156" t="s">
        <v>281</v>
      </c>
      <c r="AJ1148" s="159" t="s">
        <v>276</v>
      </c>
      <c r="AK1148" s="158">
        <f t="shared" si="158"/>
        <v>4.5698390621895486</v>
      </c>
      <c r="AL1148" s="159" t="s">
        <v>276</v>
      </c>
      <c r="AM1148" s="159" t="s">
        <v>276</v>
      </c>
      <c r="AN1148" s="159" t="s">
        <v>276</v>
      </c>
      <c r="AO1148" s="158">
        <f t="shared" si="159"/>
        <v>4.9301561216105174</v>
      </c>
      <c r="AP1148" s="159" t="s">
        <v>276</v>
      </c>
      <c r="AQ1148" s="159" t="s">
        <v>276</v>
      </c>
      <c r="AR1148" s="150" t="s">
        <v>268</v>
      </c>
      <c r="AS1148" s="159" t="s">
        <v>276</v>
      </c>
      <c r="AT1148" s="159">
        <f t="shared" si="157"/>
        <v>0.92691568978078021</v>
      </c>
      <c r="AU1148" s="159" t="s">
        <v>276</v>
      </c>
      <c r="AV1148" s="159" t="s">
        <v>276</v>
      </c>
      <c r="AW1148" s="159" t="s">
        <v>276</v>
      </c>
      <c r="AX1148" s="150" t="s">
        <v>282</v>
      </c>
      <c r="AY1148" s="150" t="s">
        <v>98</v>
      </c>
      <c r="AZ1148" s="150" t="s">
        <v>98</v>
      </c>
      <c r="BA1148" s="150" t="s">
        <v>98</v>
      </c>
      <c r="BB1148" s="150" t="s">
        <v>98</v>
      </c>
      <c r="BC1148" s="151" t="s">
        <v>1010</v>
      </c>
      <c r="BD1148" s="151"/>
      <c r="BE1148" s="33" t="s">
        <v>100</v>
      </c>
      <c r="BF1148" s="33" t="s">
        <v>98</v>
      </c>
    </row>
    <row r="1149" spans="1:58" s="149" customFormat="1" ht="78" x14ac:dyDescent="0.3">
      <c r="A1149" s="126">
        <v>4095</v>
      </c>
      <c r="B1149" s="126" t="s">
        <v>9605</v>
      </c>
      <c r="C1149" s="127" t="s">
        <v>62</v>
      </c>
      <c r="D1149" s="127" t="s">
        <v>9728</v>
      </c>
      <c r="E1149" s="126" t="s">
        <v>35</v>
      </c>
      <c r="F1149" s="126" t="s">
        <v>97</v>
      </c>
      <c r="G1149" s="126" t="s">
        <v>225</v>
      </c>
      <c r="H1149" s="126" t="s">
        <v>125</v>
      </c>
      <c r="I1149" s="126" t="s">
        <v>113</v>
      </c>
      <c r="J1149" s="127" t="s">
        <v>24</v>
      </c>
      <c r="K1149" s="127" t="s">
        <v>9307</v>
      </c>
      <c r="L1149" s="127" t="s">
        <v>8281</v>
      </c>
      <c r="M1149" s="126" t="s">
        <v>15</v>
      </c>
      <c r="N1149" s="145" t="s">
        <v>9254</v>
      </c>
      <c r="O1149" s="131" t="s">
        <v>207</v>
      </c>
      <c r="P1149" s="197">
        <v>33238</v>
      </c>
      <c r="Q1149" s="127" t="s">
        <v>98</v>
      </c>
      <c r="R1149" s="127" t="s">
        <v>9729</v>
      </c>
      <c r="S1149" s="127" t="s">
        <v>9729</v>
      </c>
      <c r="T1149" s="167" t="s">
        <v>1719</v>
      </c>
      <c r="U1149" s="132">
        <v>77080</v>
      </c>
      <c r="V1149" s="134">
        <v>55985</v>
      </c>
      <c r="W1149" s="126" t="s">
        <v>276</v>
      </c>
      <c r="X1149" s="126" t="s">
        <v>276</v>
      </c>
      <c r="Y1149" s="126" t="s">
        <v>276</v>
      </c>
      <c r="Z1149" s="127" t="s">
        <v>1562</v>
      </c>
      <c r="AA1149" s="126" t="s">
        <v>276</v>
      </c>
      <c r="AB1149" s="127" t="s">
        <v>1562</v>
      </c>
      <c r="AC1149" s="127" t="s">
        <v>9730</v>
      </c>
      <c r="AD1149" s="127" t="s">
        <v>9731</v>
      </c>
      <c r="AE1149" s="126" t="s">
        <v>276</v>
      </c>
      <c r="AF1149" s="126" t="s">
        <v>276</v>
      </c>
      <c r="AG1149" s="132" t="s">
        <v>276</v>
      </c>
      <c r="AH1149" s="134" t="s">
        <v>276</v>
      </c>
      <c r="AI1149" s="134" t="s">
        <v>425</v>
      </c>
      <c r="AJ1149" s="135" t="s">
        <v>276</v>
      </c>
      <c r="AK1149" s="148" t="s">
        <v>98</v>
      </c>
      <c r="AL1149" s="135" t="s">
        <v>276</v>
      </c>
      <c r="AM1149" s="135" t="s">
        <v>276</v>
      </c>
      <c r="AN1149" s="135" t="s">
        <v>276</v>
      </c>
      <c r="AO1149" s="148" t="s">
        <v>98</v>
      </c>
      <c r="AP1149" s="135" t="s">
        <v>276</v>
      </c>
      <c r="AQ1149" s="135" t="s">
        <v>276</v>
      </c>
      <c r="AR1149" s="126" t="s">
        <v>269</v>
      </c>
      <c r="AS1149" s="135" t="s">
        <v>276</v>
      </c>
      <c r="AT1149" s="135" t="s">
        <v>98</v>
      </c>
      <c r="AU1149" s="135" t="s">
        <v>276</v>
      </c>
      <c r="AV1149" s="135" t="s">
        <v>276</v>
      </c>
      <c r="AW1149" s="135" t="s">
        <v>276</v>
      </c>
      <c r="AX1149" s="126" t="s">
        <v>9732</v>
      </c>
      <c r="AY1149" s="126">
        <v>0.69</v>
      </c>
      <c r="AZ1149" s="126">
        <v>0.51</v>
      </c>
      <c r="BA1149" s="126">
        <v>0.92</v>
      </c>
      <c r="BB1149" s="126">
        <v>0.01</v>
      </c>
      <c r="BC1149" s="127" t="s">
        <v>9733</v>
      </c>
      <c r="BD1149" s="127"/>
      <c r="BE1149" s="33" t="s">
        <v>100</v>
      </c>
      <c r="BF1149" s="33" t="s">
        <v>98</v>
      </c>
    </row>
    <row r="1150" spans="1:58" s="149" customFormat="1" ht="78" x14ac:dyDescent="0.3">
      <c r="A1150" s="126">
        <v>4095</v>
      </c>
      <c r="B1150" s="126" t="s">
        <v>9605</v>
      </c>
      <c r="C1150" s="127" t="s">
        <v>62</v>
      </c>
      <c r="D1150" s="127" t="s">
        <v>9734</v>
      </c>
      <c r="E1150" s="126" t="s">
        <v>35</v>
      </c>
      <c r="F1150" s="126" t="s">
        <v>97</v>
      </c>
      <c r="G1150" s="126" t="s">
        <v>225</v>
      </c>
      <c r="H1150" s="126" t="s">
        <v>125</v>
      </c>
      <c r="I1150" s="126" t="s">
        <v>113</v>
      </c>
      <c r="J1150" s="127" t="s">
        <v>24</v>
      </c>
      <c r="K1150" s="127" t="s">
        <v>9307</v>
      </c>
      <c r="L1150" s="127" t="s">
        <v>8281</v>
      </c>
      <c r="M1150" s="126" t="s">
        <v>15</v>
      </c>
      <c r="N1150" s="145" t="s">
        <v>9254</v>
      </c>
      <c r="O1150" s="131" t="s">
        <v>207</v>
      </c>
      <c r="P1150" s="197">
        <v>33238</v>
      </c>
      <c r="Q1150" s="127" t="s">
        <v>98</v>
      </c>
      <c r="R1150" s="127" t="s">
        <v>9735</v>
      </c>
      <c r="S1150" s="127" t="s">
        <v>9735</v>
      </c>
      <c r="T1150" s="167" t="s">
        <v>1719</v>
      </c>
      <c r="U1150" s="132">
        <v>77080</v>
      </c>
      <c r="V1150" s="134">
        <v>55985</v>
      </c>
      <c r="W1150" s="126" t="s">
        <v>276</v>
      </c>
      <c r="X1150" s="126" t="s">
        <v>276</v>
      </c>
      <c r="Y1150" s="126" t="s">
        <v>276</v>
      </c>
      <c r="Z1150" s="127" t="s">
        <v>1562</v>
      </c>
      <c r="AA1150" s="126" t="s">
        <v>276</v>
      </c>
      <c r="AB1150" s="127" t="s">
        <v>1562</v>
      </c>
      <c r="AC1150" s="127" t="s">
        <v>9736</v>
      </c>
      <c r="AD1150" s="127" t="s">
        <v>9731</v>
      </c>
      <c r="AE1150" s="126" t="s">
        <v>276</v>
      </c>
      <c r="AF1150" s="126" t="s">
        <v>276</v>
      </c>
      <c r="AG1150" s="132" t="s">
        <v>276</v>
      </c>
      <c r="AH1150" s="134" t="s">
        <v>276</v>
      </c>
      <c r="AI1150" s="134" t="s">
        <v>425</v>
      </c>
      <c r="AJ1150" s="135" t="s">
        <v>276</v>
      </c>
      <c r="AK1150" s="148" t="s">
        <v>98</v>
      </c>
      <c r="AL1150" s="135" t="s">
        <v>276</v>
      </c>
      <c r="AM1150" s="135" t="s">
        <v>276</v>
      </c>
      <c r="AN1150" s="135" t="s">
        <v>276</v>
      </c>
      <c r="AO1150" s="148" t="s">
        <v>98</v>
      </c>
      <c r="AP1150" s="135" t="s">
        <v>276</v>
      </c>
      <c r="AQ1150" s="135" t="s">
        <v>276</v>
      </c>
      <c r="AR1150" s="126" t="s">
        <v>269</v>
      </c>
      <c r="AS1150" s="135" t="s">
        <v>276</v>
      </c>
      <c r="AT1150" s="135" t="s">
        <v>98</v>
      </c>
      <c r="AU1150" s="135" t="s">
        <v>276</v>
      </c>
      <c r="AV1150" s="135" t="s">
        <v>276</v>
      </c>
      <c r="AW1150" s="135" t="s">
        <v>276</v>
      </c>
      <c r="AX1150" s="126" t="s">
        <v>9732</v>
      </c>
      <c r="AY1150" s="135">
        <v>0.7</v>
      </c>
      <c r="AZ1150" s="126">
        <v>0.56000000000000005</v>
      </c>
      <c r="BA1150" s="126">
        <v>0.88</v>
      </c>
      <c r="BB1150" s="126">
        <v>1E-3</v>
      </c>
      <c r="BC1150" s="127" t="s">
        <v>9733</v>
      </c>
      <c r="BD1150" s="127"/>
      <c r="BE1150" s="33" t="s">
        <v>100</v>
      </c>
      <c r="BF1150" s="33" t="s">
        <v>98</v>
      </c>
    </row>
    <row r="1151" spans="1:58" s="149" customFormat="1" ht="91" x14ac:dyDescent="0.3">
      <c r="A1151" s="126">
        <v>4095</v>
      </c>
      <c r="B1151" s="126" t="s">
        <v>9605</v>
      </c>
      <c r="C1151" s="127" t="s">
        <v>62</v>
      </c>
      <c r="D1151" s="127" t="s">
        <v>9737</v>
      </c>
      <c r="E1151" s="126" t="s">
        <v>35</v>
      </c>
      <c r="F1151" s="126" t="s">
        <v>97</v>
      </c>
      <c r="G1151" s="126" t="s">
        <v>225</v>
      </c>
      <c r="H1151" s="126" t="s">
        <v>125</v>
      </c>
      <c r="I1151" s="126" t="s">
        <v>113</v>
      </c>
      <c r="J1151" s="127" t="s">
        <v>24</v>
      </c>
      <c r="K1151" s="127" t="s">
        <v>9307</v>
      </c>
      <c r="L1151" s="127" t="s">
        <v>8281</v>
      </c>
      <c r="M1151" s="126" t="s">
        <v>15</v>
      </c>
      <c r="N1151" s="145" t="s">
        <v>9254</v>
      </c>
      <c r="O1151" s="131" t="s">
        <v>207</v>
      </c>
      <c r="P1151" s="197">
        <v>33238</v>
      </c>
      <c r="Q1151" s="127" t="s">
        <v>98</v>
      </c>
      <c r="R1151" s="127" t="s">
        <v>9738</v>
      </c>
      <c r="S1151" s="127" t="s">
        <v>9739</v>
      </c>
      <c r="T1151" s="167" t="s">
        <v>1719</v>
      </c>
      <c r="U1151" s="132">
        <v>77080</v>
      </c>
      <c r="V1151" s="134">
        <v>55985</v>
      </c>
      <c r="W1151" s="126" t="s">
        <v>276</v>
      </c>
      <c r="X1151" s="126" t="s">
        <v>276</v>
      </c>
      <c r="Y1151" s="126" t="s">
        <v>276</v>
      </c>
      <c r="Z1151" s="127" t="s">
        <v>1562</v>
      </c>
      <c r="AA1151" s="126" t="s">
        <v>276</v>
      </c>
      <c r="AB1151" s="127" t="s">
        <v>1562</v>
      </c>
      <c r="AC1151" s="127" t="s">
        <v>9740</v>
      </c>
      <c r="AD1151" s="127" t="s">
        <v>9731</v>
      </c>
      <c r="AE1151" s="126">
        <v>232</v>
      </c>
      <c r="AF1151" s="126">
        <v>234</v>
      </c>
      <c r="AG1151" s="132">
        <v>833553</v>
      </c>
      <c r="AH1151" s="134">
        <v>605241</v>
      </c>
      <c r="AI1151" s="134" t="s">
        <v>425</v>
      </c>
      <c r="AJ1151" s="135" t="s">
        <v>276</v>
      </c>
      <c r="AK1151" s="148">
        <f t="shared" ref="AK1151:AK1163" si="160">AE1151*1000/AG1151</f>
        <v>0.27832663309951494</v>
      </c>
      <c r="AL1151" s="135" t="s">
        <v>276</v>
      </c>
      <c r="AM1151" s="135" t="s">
        <v>276</v>
      </c>
      <c r="AN1151" s="135" t="s">
        <v>276</v>
      </c>
      <c r="AO1151" s="148">
        <f t="shared" ref="AO1151:AO1163" si="161">AF1151*1000/AH1151</f>
        <v>0.38662284941040015</v>
      </c>
      <c r="AP1151" s="135" t="s">
        <v>276</v>
      </c>
      <c r="AQ1151" s="135" t="s">
        <v>276</v>
      </c>
      <c r="AR1151" s="126" t="s">
        <v>269</v>
      </c>
      <c r="AS1151" s="135" t="s">
        <v>276</v>
      </c>
      <c r="AT1151" s="135">
        <f t="shared" ref="AT1151:AT1163" si="162">AK1151/AO1151</f>
        <v>0.71989183651189537</v>
      </c>
      <c r="AU1151" s="135" t="s">
        <v>276</v>
      </c>
      <c r="AV1151" s="135" t="s">
        <v>276</v>
      </c>
      <c r="AW1151" s="135" t="s">
        <v>276</v>
      </c>
      <c r="AX1151" s="126" t="s">
        <v>9732</v>
      </c>
      <c r="AY1151" s="135">
        <v>0.71</v>
      </c>
      <c r="AZ1151" s="126">
        <v>0.59</v>
      </c>
      <c r="BA1151" s="126">
        <v>0.88</v>
      </c>
      <c r="BB1151" s="126">
        <v>2.9999999999999997E-4</v>
      </c>
      <c r="BC1151" s="127" t="s">
        <v>9741</v>
      </c>
      <c r="BD1151" s="127"/>
      <c r="BE1151" s="33" t="s">
        <v>100</v>
      </c>
      <c r="BF1151" s="33" t="s">
        <v>98</v>
      </c>
    </row>
    <row r="1152" spans="1:58" s="149" customFormat="1" ht="91" x14ac:dyDescent="0.3">
      <c r="A1152" s="126">
        <v>4095</v>
      </c>
      <c r="B1152" s="126" t="s">
        <v>9605</v>
      </c>
      <c r="C1152" s="127" t="s">
        <v>62</v>
      </c>
      <c r="D1152" s="127" t="s">
        <v>9742</v>
      </c>
      <c r="E1152" s="126" t="s">
        <v>35</v>
      </c>
      <c r="F1152" s="126" t="s">
        <v>97</v>
      </c>
      <c r="G1152" s="126" t="s">
        <v>225</v>
      </c>
      <c r="H1152" s="126" t="s">
        <v>125</v>
      </c>
      <c r="I1152" s="126" t="s">
        <v>113</v>
      </c>
      <c r="J1152" s="127" t="s">
        <v>24</v>
      </c>
      <c r="K1152" s="127" t="s">
        <v>9307</v>
      </c>
      <c r="L1152" s="127" t="s">
        <v>8281</v>
      </c>
      <c r="M1152" s="126" t="s">
        <v>15</v>
      </c>
      <c r="N1152" s="145" t="s">
        <v>9254</v>
      </c>
      <c r="O1152" s="131" t="s">
        <v>207</v>
      </c>
      <c r="P1152" s="197">
        <v>33238</v>
      </c>
      <c r="Q1152" s="127" t="s">
        <v>98</v>
      </c>
      <c r="R1152" s="127" t="s">
        <v>9738</v>
      </c>
      <c r="S1152" s="127" t="s">
        <v>9739</v>
      </c>
      <c r="T1152" s="167" t="s">
        <v>1719</v>
      </c>
      <c r="U1152" s="132">
        <v>77080</v>
      </c>
      <c r="V1152" s="134">
        <v>55985</v>
      </c>
      <c r="W1152" s="126" t="s">
        <v>276</v>
      </c>
      <c r="X1152" s="126" t="s">
        <v>276</v>
      </c>
      <c r="Y1152" s="126" t="s">
        <v>276</v>
      </c>
      <c r="Z1152" s="127" t="s">
        <v>1562</v>
      </c>
      <c r="AA1152" s="126" t="s">
        <v>276</v>
      </c>
      <c r="AB1152" s="127" t="s">
        <v>1562</v>
      </c>
      <c r="AC1152" s="127" t="s">
        <v>9740</v>
      </c>
      <c r="AD1152" s="127" t="s">
        <v>9731</v>
      </c>
      <c r="AE1152" s="126">
        <v>232</v>
      </c>
      <c r="AF1152" s="126">
        <v>234</v>
      </c>
      <c r="AG1152" s="132">
        <v>833553</v>
      </c>
      <c r="AH1152" s="134">
        <v>605241</v>
      </c>
      <c r="AI1152" s="134" t="s">
        <v>425</v>
      </c>
      <c r="AJ1152" s="135" t="s">
        <v>276</v>
      </c>
      <c r="AK1152" s="148">
        <f t="shared" si="160"/>
        <v>0.27832663309951494</v>
      </c>
      <c r="AL1152" s="135" t="s">
        <v>276</v>
      </c>
      <c r="AM1152" s="135" t="s">
        <v>276</v>
      </c>
      <c r="AN1152" s="135" t="s">
        <v>276</v>
      </c>
      <c r="AO1152" s="148">
        <f t="shared" si="161"/>
        <v>0.38662284941040015</v>
      </c>
      <c r="AP1152" s="135" t="s">
        <v>276</v>
      </c>
      <c r="AQ1152" s="135" t="s">
        <v>276</v>
      </c>
      <c r="AR1152" s="126" t="s">
        <v>269</v>
      </c>
      <c r="AS1152" s="135" t="s">
        <v>276</v>
      </c>
      <c r="AT1152" s="135">
        <f t="shared" si="162"/>
        <v>0.71989183651189537</v>
      </c>
      <c r="AU1152" s="135" t="s">
        <v>276</v>
      </c>
      <c r="AV1152" s="135" t="s">
        <v>276</v>
      </c>
      <c r="AW1152" s="135" t="s">
        <v>276</v>
      </c>
      <c r="AX1152" s="126" t="s">
        <v>9743</v>
      </c>
      <c r="AY1152" s="135">
        <v>0.7</v>
      </c>
      <c r="AZ1152" s="126">
        <v>0.57999999999999996</v>
      </c>
      <c r="BA1152" s="126">
        <v>0.85</v>
      </c>
      <c r="BB1152" s="126">
        <v>2.0000000000000001E-4</v>
      </c>
      <c r="BC1152" s="127" t="s">
        <v>9744</v>
      </c>
      <c r="BD1152" s="127"/>
      <c r="BE1152" s="33" t="s">
        <v>100</v>
      </c>
      <c r="BF1152" s="33" t="s">
        <v>98</v>
      </c>
    </row>
    <row r="1153" spans="1:58" s="160" customFormat="1" ht="78" x14ac:dyDescent="0.3">
      <c r="A1153" s="150">
        <v>4095</v>
      </c>
      <c r="B1153" s="150" t="s">
        <v>9605</v>
      </c>
      <c r="C1153" s="151" t="s">
        <v>62</v>
      </c>
      <c r="D1153" s="151" t="s">
        <v>9745</v>
      </c>
      <c r="E1153" s="150" t="s">
        <v>35</v>
      </c>
      <c r="F1153" s="150" t="s">
        <v>97</v>
      </c>
      <c r="G1153" s="150" t="s">
        <v>225</v>
      </c>
      <c r="H1153" s="150" t="s">
        <v>125</v>
      </c>
      <c r="I1153" s="150" t="s">
        <v>113</v>
      </c>
      <c r="J1153" s="151" t="s">
        <v>24</v>
      </c>
      <c r="K1153" s="151" t="s">
        <v>9307</v>
      </c>
      <c r="L1153" s="151" t="s">
        <v>8281</v>
      </c>
      <c r="M1153" s="150" t="s">
        <v>15</v>
      </c>
      <c r="N1153" s="152" t="s">
        <v>3032</v>
      </c>
      <c r="O1153" s="153" t="s">
        <v>207</v>
      </c>
      <c r="P1153" s="342">
        <v>33238</v>
      </c>
      <c r="Q1153" s="151" t="s">
        <v>98</v>
      </c>
      <c r="R1153" s="151" t="s">
        <v>9746</v>
      </c>
      <c r="S1153" s="151" t="s">
        <v>9747</v>
      </c>
      <c r="T1153" s="168" t="s">
        <v>1192</v>
      </c>
      <c r="U1153" s="155">
        <v>19844</v>
      </c>
      <c r="V1153" s="156">
        <v>15604</v>
      </c>
      <c r="W1153" s="150" t="s">
        <v>276</v>
      </c>
      <c r="X1153" s="150" t="s">
        <v>276</v>
      </c>
      <c r="Y1153" s="150" t="s">
        <v>276</v>
      </c>
      <c r="Z1153" s="151" t="s">
        <v>1562</v>
      </c>
      <c r="AA1153" s="150" t="s">
        <v>276</v>
      </c>
      <c r="AB1153" s="151" t="s">
        <v>1562</v>
      </c>
      <c r="AC1153" s="151" t="s">
        <v>9748</v>
      </c>
      <c r="AD1153" s="151" t="s">
        <v>9749</v>
      </c>
      <c r="AE1153" s="150">
        <f>20+22</f>
        <v>42</v>
      </c>
      <c r="AF1153" s="150">
        <f>18+14</f>
        <v>32</v>
      </c>
      <c r="AG1153" s="151">
        <v>225801</v>
      </c>
      <c r="AH1153" s="151">
        <v>177231</v>
      </c>
      <c r="AI1153" s="156" t="s">
        <v>425</v>
      </c>
      <c r="AJ1153" s="159" t="s">
        <v>276</v>
      </c>
      <c r="AK1153" s="158">
        <f t="shared" si="160"/>
        <v>0.18600449067984642</v>
      </c>
      <c r="AL1153" s="159" t="s">
        <v>276</v>
      </c>
      <c r="AM1153" s="159" t="s">
        <v>276</v>
      </c>
      <c r="AN1153" s="159" t="s">
        <v>276</v>
      </c>
      <c r="AO1153" s="158">
        <f t="shared" si="161"/>
        <v>0.18055532045748204</v>
      </c>
      <c r="AP1153" s="159" t="s">
        <v>276</v>
      </c>
      <c r="AQ1153" s="159" t="s">
        <v>276</v>
      </c>
      <c r="AR1153" s="150" t="s">
        <v>269</v>
      </c>
      <c r="AS1153" s="159" t="s">
        <v>276</v>
      </c>
      <c r="AT1153" s="159">
        <f t="shared" si="162"/>
        <v>1.0301800589899957</v>
      </c>
      <c r="AU1153" s="159" t="s">
        <v>276</v>
      </c>
      <c r="AV1153" s="159" t="s">
        <v>276</v>
      </c>
      <c r="AW1153" s="159" t="s">
        <v>276</v>
      </c>
      <c r="AX1153" s="150" t="s">
        <v>282</v>
      </c>
      <c r="AY1153" s="159" t="s">
        <v>98</v>
      </c>
      <c r="AZ1153" s="150" t="s">
        <v>98</v>
      </c>
      <c r="BA1153" s="150" t="s">
        <v>98</v>
      </c>
      <c r="BB1153" s="150" t="s">
        <v>98</v>
      </c>
      <c r="BC1153" s="151" t="s">
        <v>1010</v>
      </c>
      <c r="BD1153" s="151"/>
      <c r="BE1153" s="33" t="s">
        <v>100</v>
      </c>
      <c r="BF1153" s="33" t="s">
        <v>98</v>
      </c>
    </row>
    <row r="1154" spans="1:58" s="160" customFormat="1" ht="78" x14ac:dyDescent="0.3">
      <c r="A1154" s="150">
        <v>4095</v>
      </c>
      <c r="B1154" s="150" t="s">
        <v>9605</v>
      </c>
      <c r="C1154" s="151" t="s">
        <v>62</v>
      </c>
      <c r="D1154" s="151" t="s">
        <v>9750</v>
      </c>
      <c r="E1154" s="150" t="s">
        <v>35</v>
      </c>
      <c r="F1154" s="150" t="s">
        <v>97</v>
      </c>
      <c r="G1154" s="150" t="s">
        <v>225</v>
      </c>
      <c r="H1154" s="150" t="s">
        <v>125</v>
      </c>
      <c r="I1154" s="150" t="s">
        <v>113</v>
      </c>
      <c r="J1154" s="151" t="s">
        <v>24</v>
      </c>
      <c r="K1154" s="151" t="s">
        <v>9307</v>
      </c>
      <c r="L1154" s="151" t="s">
        <v>8281</v>
      </c>
      <c r="M1154" s="150" t="s">
        <v>15</v>
      </c>
      <c r="N1154" s="152" t="s">
        <v>3038</v>
      </c>
      <c r="O1154" s="153" t="s">
        <v>207</v>
      </c>
      <c r="P1154" s="342">
        <v>33238</v>
      </c>
      <c r="Q1154" s="151" t="s">
        <v>98</v>
      </c>
      <c r="R1154" s="151" t="s">
        <v>9751</v>
      </c>
      <c r="S1154" s="151" t="s">
        <v>9752</v>
      </c>
      <c r="T1154" s="168" t="s">
        <v>1219</v>
      </c>
      <c r="U1154" s="155">
        <v>23485</v>
      </c>
      <c r="V1154" s="156">
        <v>16805</v>
      </c>
      <c r="W1154" s="150" t="s">
        <v>276</v>
      </c>
      <c r="X1154" s="150" t="s">
        <v>276</v>
      </c>
      <c r="Y1154" s="150" t="s">
        <v>276</v>
      </c>
      <c r="Z1154" s="151" t="s">
        <v>1562</v>
      </c>
      <c r="AA1154" s="150" t="s">
        <v>276</v>
      </c>
      <c r="AB1154" s="151" t="s">
        <v>1562</v>
      </c>
      <c r="AC1154" s="151" t="s">
        <v>9753</v>
      </c>
      <c r="AD1154" s="151" t="s">
        <v>9754</v>
      </c>
      <c r="AE1154" s="150">
        <f>36+27</f>
        <v>63</v>
      </c>
      <c r="AF1154" s="150">
        <f>42+30</f>
        <v>72</v>
      </c>
      <c r="AG1154" s="151">
        <v>265014</v>
      </c>
      <c r="AH1154" s="151">
        <v>188327</v>
      </c>
      <c r="AI1154" s="156" t="s">
        <v>425</v>
      </c>
      <c r="AJ1154" s="159" t="s">
        <v>276</v>
      </c>
      <c r="AK1154" s="158">
        <f t="shared" si="160"/>
        <v>0.23772329009033485</v>
      </c>
      <c r="AL1154" s="159" t="s">
        <v>276</v>
      </c>
      <c r="AM1154" s="159" t="s">
        <v>276</v>
      </c>
      <c r="AN1154" s="159" t="s">
        <v>276</v>
      </c>
      <c r="AO1154" s="158">
        <f t="shared" si="161"/>
        <v>0.38231374152405123</v>
      </c>
      <c r="AP1154" s="159" t="s">
        <v>276</v>
      </c>
      <c r="AQ1154" s="159" t="s">
        <v>276</v>
      </c>
      <c r="AR1154" s="150" t="s">
        <v>269</v>
      </c>
      <c r="AS1154" s="159" t="s">
        <v>276</v>
      </c>
      <c r="AT1154" s="159">
        <f t="shared" si="162"/>
        <v>0.62180158406725683</v>
      </c>
      <c r="AU1154" s="159" t="s">
        <v>276</v>
      </c>
      <c r="AV1154" s="159" t="s">
        <v>276</v>
      </c>
      <c r="AW1154" s="159" t="s">
        <v>276</v>
      </c>
      <c r="AX1154" s="150" t="s">
        <v>282</v>
      </c>
      <c r="AY1154" s="159" t="s">
        <v>98</v>
      </c>
      <c r="AZ1154" s="150" t="s">
        <v>98</v>
      </c>
      <c r="BA1154" s="150" t="s">
        <v>98</v>
      </c>
      <c r="BB1154" s="150" t="s">
        <v>98</v>
      </c>
      <c r="BC1154" s="151" t="s">
        <v>1010</v>
      </c>
      <c r="BD1154" s="151"/>
      <c r="BE1154" s="33" t="s">
        <v>100</v>
      </c>
      <c r="BF1154" s="33" t="s">
        <v>98</v>
      </c>
    </row>
    <row r="1155" spans="1:58" s="160" customFormat="1" ht="78" x14ac:dyDescent="0.3">
      <c r="A1155" s="150">
        <v>4095</v>
      </c>
      <c r="B1155" s="150" t="s">
        <v>9605</v>
      </c>
      <c r="C1155" s="151" t="s">
        <v>62</v>
      </c>
      <c r="D1155" s="151" t="s">
        <v>9755</v>
      </c>
      <c r="E1155" s="150" t="s">
        <v>35</v>
      </c>
      <c r="F1155" s="150" t="s">
        <v>97</v>
      </c>
      <c r="G1155" s="150" t="s">
        <v>225</v>
      </c>
      <c r="H1155" s="150" t="s">
        <v>125</v>
      </c>
      <c r="I1155" s="150" t="s">
        <v>113</v>
      </c>
      <c r="J1155" s="151" t="s">
        <v>24</v>
      </c>
      <c r="K1155" s="151" t="s">
        <v>9307</v>
      </c>
      <c r="L1155" s="151" t="s">
        <v>8281</v>
      </c>
      <c r="M1155" s="150" t="s">
        <v>15</v>
      </c>
      <c r="N1155" s="152" t="s">
        <v>9342</v>
      </c>
      <c r="O1155" s="153" t="s">
        <v>207</v>
      </c>
      <c r="P1155" s="342">
        <v>33238</v>
      </c>
      <c r="Q1155" s="151" t="s">
        <v>98</v>
      </c>
      <c r="R1155" s="151" t="s">
        <v>9756</v>
      </c>
      <c r="S1155" s="151" t="s">
        <v>9757</v>
      </c>
      <c r="T1155" s="168" t="s">
        <v>1219</v>
      </c>
      <c r="U1155" s="155">
        <v>23412</v>
      </c>
      <c r="V1155" s="156">
        <v>16269</v>
      </c>
      <c r="W1155" s="150" t="s">
        <v>276</v>
      </c>
      <c r="X1155" s="150" t="s">
        <v>276</v>
      </c>
      <c r="Y1155" s="150" t="s">
        <v>276</v>
      </c>
      <c r="Z1155" s="151" t="s">
        <v>1562</v>
      </c>
      <c r="AA1155" s="150" t="s">
        <v>276</v>
      </c>
      <c r="AB1155" s="151" t="s">
        <v>1562</v>
      </c>
      <c r="AC1155" s="151" t="s">
        <v>9758</v>
      </c>
      <c r="AD1155" s="151" t="s">
        <v>9759</v>
      </c>
      <c r="AE1155" s="150">
        <f>38+37</f>
        <v>75</v>
      </c>
      <c r="AF1155" s="150">
        <f>57+33</f>
        <v>90</v>
      </c>
      <c r="AG1155" s="151">
        <v>247910</v>
      </c>
      <c r="AH1155" s="151">
        <v>171597</v>
      </c>
      <c r="AI1155" s="156" t="s">
        <v>425</v>
      </c>
      <c r="AJ1155" s="159" t="s">
        <v>276</v>
      </c>
      <c r="AK1155" s="158">
        <f t="shared" si="160"/>
        <v>0.30252914364083738</v>
      </c>
      <c r="AL1155" s="159" t="s">
        <v>276</v>
      </c>
      <c r="AM1155" s="159" t="s">
        <v>276</v>
      </c>
      <c r="AN1155" s="159" t="s">
        <v>276</v>
      </c>
      <c r="AO1155" s="158">
        <f t="shared" si="161"/>
        <v>0.52448469378835294</v>
      </c>
      <c r="AP1155" s="159" t="s">
        <v>276</v>
      </c>
      <c r="AQ1155" s="159" t="s">
        <v>276</v>
      </c>
      <c r="AR1155" s="150" t="s">
        <v>269</v>
      </c>
      <c r="AS1155" s="159" t="s">
        <v>276</v>
      </c>
      <c r="AT1155" s="159">
        <f t="shared" si="162"/>
        <v>0.57681214957040861</v>
      </c>
      <c r="AU1155" s="159" t="s">
        <v>276</v>
      </c>
      <c r="AV1155" s="159" t="s">
        <v>276</v>
      </c>
      <c r="AW1155" s="159" t="s">
        <v>276</v>
      </c>
      <c r="AX1155" s="150" t="s">
        <v>282</v>
      </c>
      <c r="AY1155" s="159" t="s">
        <v>98</v>
      </c>
      <c r="AZ1155" s="150" t="s">
        <v>98</v>
      </c>
      <c r="BA1155" s="150" t="s">
        <v>98</v>
      </c>
      <c r="BB1155" s="150" t="s">
        <v>98</v>
      </c>
      <c r="BC1155" s="151" t="s">
        <v>1010</v>
      </c>
      <c r="BD1155" s="151"/>
      <c r="BE1155" s="33" t="s">
        <v>100</v>
      </c>
      <c r="BF1155" s="33" t="s">
        <v>98</v>
      </c>
    </row>
    <row r="1156" spans="1:58" s="160" customFormat="1" ht="78" x14ac:dyDescent="0.3">
      <c r="A1156" s="150">
        <v>4095</v>
      </c>
      <c r="B1156" s="150" t="s">
        <v>9605</v>
      </c>
      <c r="C1156" s="151" t="s">
        <v>62</v>
      </c>
      <c r="D1156" s="151" t="s">
        <v>9760</v>
      </c>
      <c r="E1156" s="150" t="s">
        <v>35</v>
      </c>
      <c r="F1156" s="150" t="s">
        <v>97</v>
      </c>
      <c r="G1156" s="150" t="s">
        <v>225</v>
      </c>
      <c r="H1156" s="150" t="s">
        <v>125</v>
      </c>
      <c r="I1156" s="150" t="s">
        <v>113</v>
      </c>
      <c r="J1156" s="151" t="s">
        <v>24</v>
      </c>
      <c r="K1156" s="151" t="s">
        <v>9307</v>
      </c>
      <c r="L1156" s="151" t="s">
        <v>8281</v>
      </c>
      <c r="M1156" s="150" t="s">
        <v>15</v>
      </c>
      <c r="N1156" s="152" t="s">
        <v>9350</v>
      </c>
      <c r="O1156" s="153" t="s">
        <v>207</v>
      </c>
      <c r="P1156" s="342">
        <v>33238</v>
      </c>
      <c r="Q1156" s="151" t="s">
        <v>98</v>
      </c>
      <c r="R1156" s="151" t="s">
        <v>9761</v>
      </c>
      <c r="S1156" s="151" t="s">
        <v>9762</v>
      </c>
      <c r="T1156" s="168" t="s">
        <v>1191</v>
      </c>
      <c r="U1156" s="155">
        <v>10339</v>
      </c>
      <c r="V1156" s="156">
        <v>7307</v>
      </c>
      <c r="W1156" s="150" t="s">
        <v>276</v>
      </c>
      <c r="X1156" s="150" t="s">
        <v>276</v>
      </c>
      <c r="Y1156" s="150" t="s">
        <v>276</v>
      </c>
      <c r="Z1156" s="151" t="s">
        <v>1562</v>
      </c>
      <c r="AA1156" s="150" t="s">
        <v>276</v>
      </c>
      <c r="AB1156" s="151" t="s">
        <v>1562</v>
      </c>
      <c r="AC1156" s="151" t="s">
        <v>9763</v>
      </c>
      <c r="AD1156" s="151" t="s">
        <v>9764</v>
      </c>
      <c r="AE1156" s="150">
        <f>23+29</f>
        <v>52</v>
      </c>
      <c r="AF1156" s="150">
        <f>24+16</f>
        <v>40</v>
      </c>
      <c r="AG1156" s="151">
        <v>96783</v>
      </c>
      <c r="AH1156" s="151">
        <v>68086</v>
      </c>
      <c r="AI1156" s="156" t="s">
        <v>425</v>
      </c>
      <c r="AJ1156" s="159" t="s">
        <v>276</v>
      </c>
      <c r="AK1156" s="158">
        <f t="shared" si="160"/>
        <v>0.5372844404492525</v>
      </c>
      <c r="AL1156" s="159" t="s">
        <v>276</v>
      </c>
      <c r="AM1156" s="159" t="s">
        <v>276</v>
      </c>
      <c r="AN1156" s="159" t="s">
        <v>276</v>
      </c>
      <c r="AO1156" s="158">
        <f t="shared" si="161"/>
        <v>0.58749228916370477</v>
      </c>
      <c r="AP1156" s="159" t="s">
        <v>276</v>
      </c>
      <c r="AQ1156" s="159" t="s">
        <v>276</v>
      </c>
      <c r="AR1156" s="150" t="s">
        <v>269</v>
      </c>
      <c r="AS1156" s="159" t="s">
        <v>276</v>
      </c>
      <c r="AT1156" s="159">
        <f t="shared" si="162"/>
        <v>0.91453871031069511</v>
      </c>
      <c r="AU1156" s="159" t="s">
        <v>276</v>
      </c>
      <c r="AV1156" s="159" t="s">
        <v>276</v>
      </c>
      <c r="AW1156" s="159" t="s">
        <v>276</v>
      </c>
      <c r="AX1156" s="150" t="s">
        <v>282</v>
      </c>
      <c r="AY1156" s="159" t="s">
        <v>98</v>
      </c>
      <c r="AZ1156" s="150" t="s">
        <v>98</v>
      </c>
      <c r="BA1156" s="150" t="s">
        <v>98</v>
      </c>
      <c r="BB1156" s="150" t="s">
        <v>98</v>
      </c>
      <c r="BC1156" s="151" t="s">
        <v>1010</v>
      </c>
      <c r="BD1156" s="151"/>
      <c r="BE1156" s="33" t="s">
        <v>100</v>
      </c>
      <c r="BF1156" s="33" t="s">
        <v>98</v>
      </c>
    </row>
    <row r="1157" spans="1:58" s="7" customFormat="1" ht="78" x14ac:dyDescent="0.3">
      <c r="A1157" s="8">
        <v>4117</v>
      </c>
      <c r="B1157" s="8" t="s">
        <v>6819</v>
      </c>
      <c r="C1157" s="9" t="s">
        <v>9264</v>
      </c>
      <c r="D1157" s="9" t="s">
        <v>9765</v>
      </c>
      <c r="E1157" s="8" t="s">
        <v>35</v>
      </c>
      <c r="F1157" s="8" t="s">
        <v>97</v>
      </c>
      <c r="G1157" s="8" t="s">
        <v>225</v>
      </c>
      <c r="H1157" s="8" t="s">
        <v>125</v>
      </c>
      <c r="I1157" s="8" t="s">
        <v>113</v>
      </c>
      <c r="J1157" s="9" t="s">
        <v>24</v>
      </c>
      <c r="K1157" s="9" t="s">
        <v>6821</v>
      </c>
      <c r="L1157" s="9" t="s">
        <v>276</v>
      </c>
      <c r="M1157" s="8" t="s">
        <v>15</v>
      </c>
      <c r="N1157" s="11" t="s">
        <v>9350</v>
      </c>
      <c r="O1157" s="12" t="s">
        <v>207</v>
      </c>
      <c r="P1157" s="41">
        <v>32873</v>
      </c>
      <c r="Q1157" s="9" t="s">
        <v>276</v>
      </c>
      <c r="R1157" s="38" t="s">
        <v>9766</v>
      </c>
      <c r="S1157" s="9" t="s">
        <v>9767</v>
      </c>
      <c r="T1157" s="51" t="s">
        <v>1719</v>
      </c>
      <c r="U1157" s="13">
        <v>38562</v>
      </c>
      <c r="V1157" s="38">
        <v>18478</v>
      </c>
      <c r="W1157" s="8" t="s">
        <v>276</v>
      </c>
      <c r="X1157" s="8" t="s">
        <v>276</v>
      </c>
      <c r="Y1157" s="8" t="s">
        <v>276</v>
      </c>
      <c r="Z1157" s="9" t="s">
        <v>1562</v>
      </c>
      <c r="AA1157" s="8" t="s">
        <v>276</v>
      </c>
      <c r="AB1157" s="9" t="s">
        <v>1562</v>
      </c>
      <c r="AC1157" s="9" t="s">
        <v>8918</v>
      </c>
      <c r="AD1157" s="9" t="s">
        <v>8902</v>
      </c>
      <c r="AE1157" s="8">
        <v>132</v>
      </c>
      <c r="AF1157" s="8">
        <v>91</v>
      </c>
      <c r="AG1157" s="38">
        <v>403000</v>
      </c>
      <c r="AH1157" s="9">
        <v>192000</v>
      </c>
      <c r="AI1157" s="38" t="s">
        <v>425</v>
      </c>
      <c r="AJ1157" s="14" t="s">
        <v>276</v>
      </c>
      <c r="AK1157" s="31">
        <f t="shared" si="160"/>
        <v>0.32754342431761785</v>
      </c>
      <c r="AL1157" s="14" t="s">
        <v>276</v>
      </c>
      <c r="AM1157" s="14" t="s">
        <v>276</v>
      </c>
      <c r="AN1157" s="14" t="s">
        <v>276</v>
      </c>
      <c r="AO1157" s="31">
        <f t="shared" si="161"/>
        <v>0.47395833333333331</v>
      </c>
      <c r="AP1157" s="14" t="s">
        <v>276</v>
      </c>
      <c r="AQ1157" s="14" t="s">
        <v>276</v>
      </c>
      <c r="AR1157" s="8" t="s">
        <v>269</v>
      </c>
      <c r="AS1157" s="14" t="s">
        <v>276</v>
      </c>
      <c r="AT1157" s="31">
        <f t="shared" si="162"/>
        <v>0.69108063152728161</v>
      </c>
      <c r="AU1157" s="43" t="s">
        <v>276</v>
      </c>
      <c r="AV1157" s="43" t="s">
        <v>276</v>
      </c>
      <c r="AW1157" s="8" t="s">
        <v>276</v>
      </c>
      <c r="AX1157" s="9" t="s">
        <v>6827</v>
      </c>
      <c r="AY1157" s="14">
        <v>0.68</v>
      </c>
      <c r="AZ1157" s="8">
        <v>0.52</v>
      </c>
      <c r="BA1157" s="8">
        <v>0.89</v>
      </c>
      <c r="BB1157" s="8" t="s">
        <v>276</v>
      </c>
      <c r="BC1157" s="9" t="s">
        <v>6828</v>
      </c>
      <c r="BD1157" s="9" t="s">
        <v>6829</v>
      </c>
      <c r="BE1157" s="33" t="s">
        <v>100</v>
      </c>
      <c r="BF1157" s="33" t="s">
        <v>98</v>
      </c>
    </row>
    <row r="1158" spans="1:58" s="7" customFormat="1" ht="104" x14ac:dyDescent="0.3">
      <c r="A1158" s="8">
        <v>4117</v>
      </c>
      <c r="B1158" s="8" t="s">
        <v>6819</v>
      </c>
      <c r="C1158" s="9" t="s">
        <v>9264</v>
      </c>
      <c r="D1158" s="9" t="s">
        <v>9768</v>
      </c>
      <c r="E1158" s="8" t="s">
        <v>35</v>
      </c>
      <c r="F1158" s="8" t="s">
        <v>97</v>
      </c>
      <c r="G1158" s="8" t="s">
        <v>225</v>
      </c>
      <c r="H1158" s="8" t="s">
        <v>125</v>
      </c>
      <c r="I1158" s="8" t="s">
        <v>113</v>
      </c>
      <c r="J1158" s="9" t="s">
        <v>24</v>
      </c>
      <c r="K1158" s="9" t="s">
        <v>6821</v>
      </c>
      <c r="L1158" s="9" t="s">
        <v>276</v>
      </c>
      <c r="M1158" s="8" t="s">
        <v>15</v>
      </c>
      <c r="N1158" s="11" t="s">
        <v>9350</v>
      </c>
      <c r="O1158" s="12" t="s">
        <v>207</v>
      </c>
      <c r="P1158" s="41">
        <v>32873</v>
      </c>
      <c r="Q1158" s="9" t="s">
        <v>276</v>
      </c>
      <c r="R1158" s="38" t="s">
        <v>9766</v>
      </c>
      <c r="S1158" s="9" t="s">
        <v>9767</v>
      </c>
      <c r="T1158" s="51" t="s">
        <v>1719</v>
      </c>
      <c r="U1158" s="13">
        <v>38562</v>
      </c>
      <c r="V1158" s="38">
        <v>18478</v>
      </c>
      <c r="W1158" s="8" t="s">
        <v>276</v>
      </c>
      <c r="X1158" s="8" t="s">
        <v>276</v>
      </c>
      <c r="Y1158" s="8" t="s">
        <v>276</v>
      </c>
      <c r="Z1158" s="9" t="s">
        <v>1562</v>
      </c>
      <c r="AA1158" s="8" t="s">
        <v>276</v>
      </c>
      <c r="AB1158" s="9" t="s">
        <v>1562</v>
      </c>
      <c r="AC1158" s="9" t="s">
        <v>9769</v>
      </c>
      <c r="AD1158" s="9" t="s">
        <v>8902</v>
      </c>
      <c r="AE1158" s="8">
        <v>114</v>
      </c>
      <c r="AF1158" s="8">
        <v>79</v>
      </c>
      <c r="AG1158" s="38">
        <v>403000</v>
      </c>
      <c r="AH1158" s="9">
        <v>192000</v>
      </c>
      <c r="AI1158" s="38" t="s">
        <v>425</v>
      </c>
      <c r="AJ1158" s="14" t="s">
        <v>276</v>
      </c>
      <c r="AK1158" s="31">
        <f t="shared" si="160"/>
        <v>0.28287841191066998</v>
      </c>
      <c r="AL1158" s="14" t="s">
        <v>276</v>
      </c>
      <c r="AM1158" s="14" t="s">
        <v>276</v>
      </c>
      <c r="AN1158" s="14" t="s">
        <v>276</v>
      </c>
      <c r="AO1158" s="31">
        <f t="shared" si="161"/>
        <v>0.41145833333333331</v>
      </c>
      <c r="AP1158" s="14" t="s">
        <v>276</v>
      </c>
      <c r="AQ1158" s="14" t="s">
        <v>276</v>
      </c>
      <c r="AR1158" s="8" t="s">
        <v>269</v>
      </c>
      <c r="AS1158" s="14" t="s">
        <v>276</v>
      </c>
      <c r="AT1158" s="31">
        <f t="shared" si="162"/>
        <v>0.68750196312466627</v>
      </c>
      <c r="AU1158" s="43" t="s">
        <v>276</v>
      </c>
      <c r="AV1158" s="43" t="s">
        <v>276</v>
      </c>
      <c r="AW1158" s="8" t="s">
        <v>276</v>
      </c>
      <c r="AX1158" s="9" t="s">
        <v>6827</v>
      </c>
      <c r="AY1158" s="14">
        <v>0.68</v>
      </c>
      <c r="AZ1158" s="8">
        <v>0.51</v>
      </c>
      <c r="BA1158" s="8">
        <v>0.9</v>
      </c>
      <c r="BB1158" s="8" t="s">
        <v>276</v>
      </c>
      <c r="BC1158" s="9" t="s">
        <v>763</v>
      </c>
      <c r="BD1158" s="9" t="s">
        <v>6832</v>
      </c>
      <c r="BE1158" s="33" t="s">
        <v>100</v>
      </c>
      <c r="BF1158" s="33" t="s">
        <v>98</v>
      </c>
    </row>
    <row r="1159" spans="1:58" s="87" customFormat="1" ht="78" x14ac:dyDescent="0.3">
      <c r="A1159" s="72">
        <v>4117</v>
      </c>
      <c r="B1159" s="72" t="s">
        <v>6819</v>
      </c>
      <c r="C1159" s="73" t="s">
        <v>9266</v>
      </c>
      <c r="D1159" s="73" t="s">
        <v>9765</v>
      </c>
      <c r="E1159" s="72" t="s">
        <v>35</v>
      </c>
      <c r="F1159" s="72" t="s">
        <v>97</v>
      </c>
      <c r="G1159" s="72" t="s">
        <v>225</v>
      </c>
      <c r="H1159" s="72" t="s">
        <v>125</v>
      </c>
      <c r="I1159" s="72" t="s">
        <v>113</v>
      </c>
      <c r="J1159" s="73" t="s">
        <v>24</v>
      </c>
      <c r="K1159" s="73" t="s">
        <v>6821</v>
      </c>
      <c r="L1159" s="73" t="s">
        <v>276</v>
      </c>
      <c r="M1159" s="72" t="s">
        <v>15</v>
      </c>
      <c r="N1159" s="84" t="s">
        <v>9350</v>
      </c>
      <c r="O1159" s="85" t="s">
        <v>207</v>
      </c>
      <c r="P1159" s="88">
        <v>32873</v>
      </c>
      <c r="Q1159" s="73" t="s">
        <v>276</v>
      </c>
      <c r="R1159" s="75" t="s">
        <v>9770</v>
      </c>
      <c r="S1159" s="73" t="s">
        <v>9771</v>
      </c>
      <c r="T1159" s="89" t="s">
        <v>1719</v>
      </c>
      <c r="U1159" s="74">
        <v>38405</v>
      </c>
      <c r="V1159" s="75">
        <v>37145</v>
      </c>
      <c r="W1159" s="72" t="s">
        <v>276</v>
      </c>
      <c r="X1159" s="72" t="s">
        <v>276</v>
      </c>
      <c r="Y1159" s="72" t="s">
        <v>276</v>
      </c>
      <c r="Z1159" s="73" t="s">
        <v>1562</v>
      </c>
      <c r="AA1159" s="72" t="s">
        <v>276</v>
      </c>
      <c r="AB1159" s="73" t="s">
        <v>1562</v>
      </c>
      <c r="AC1159" s="73" t="s">
        <v>8918</v>
      </c>
      <c r="AD1159" s="73" t="s">
        <v>8902</v>
      </c>
      <c r="AE1159" s="72">
        <v>119</v>
      </c>
      <c r="AF1159" s="72">
        <v>139</v>
      </c>
      <c r="AG1159" s="75">
        <v>372000</v>
      </c>
      <c r="AH1159" s="73">
        <v>362000</v>
      </c>
      <c r="AI1159" s="75" t="s">
        <v>425</v>
      </c>
      <c r="AJ1159" s="76" t="s">
        <v>276</v>
      </c>
      <c r="AK1159" s="86">
        <f t="shared" si="160"/>
        <v>0.31989247311827956</v>
      </c>
      <c r="AL1159" s="76" t="s">
        <v>276</v>
      </c>
      <c r="AM1159" s="76" t="s">
        <v>276</v>
      </c>
      <c r="AN1159" s="76" t="s">
        <v>276</v>
      </c>
      <c r="AO1159" s="86">
        <f t="shared" si="161"/>
        <v>0.38397790055248621</v>
      </c>
      <c r="AP1159" s="76" t="s">
        <v>276</v>
      </c>
      <c r="AQ1159" s="76" t="s">
        <v>276</v>
      </c>
      <c r="AR1159" s="72" t="s">
        <v>269</v>
      </c>
      <c r="AS1159" s="76" t="s">
        <v>276</v>
      </c>
      <c r="AT1159" s="86">
        <f t="shared" si="162"/>
        <v>0.83310126092674242</v>
      </c>
      <c r="AU1159" s="93" t="s">
        <v>276</v>
      </c>
      <c r="AV1159" s="93" t="s">
        <v>276</v>
      </c>
      <c r="AW1159" s="72" t="s">
        <v>276</v>
      </c>
      <c r="AX1159" s="73" t="s">
        <v>6827</v>
      </c>
      <c r="AY1159" s="76">
        <v>0.82</v>
      </c>
      <c r="AZ1159" s="72">
        <v>0.64</v>
      </c>
      <c r="BA1159" s="72">
        <v>1.05</v>
      </c>
      <c r="BB1159" s="72" t="s">
        <v>276</v>
      </c>
      <c r="BC1159" s="73" t="s">
        <v>6828</v>
      </c>
      <c r="BD1159" s="73" t="s">
        <v>6829</v>
      </c>
      <c r="BE1159" s="33" t="s">
        <v>100</v>
      </c>
      <c r="BF1159" s="33" t="s">
        <v>98</v>
      </c>
    </row>
    <row r="1160" spans="1:58" s="87" customFormat="1" ht="104" x14ac:dyDescent="0.3">
      <c r="A1160" s="72">
        <v>4117</v>
      </c>
      <c r="B1160" s="72" t="s">
        <v>6819</v>
      </c>
      <c r="C1160" s="73" t="s">
        <v>9266</v>
      </c>
      <c r="D1160" s="73" t="s">
        <v>9768</v>
      </c>
      <c r="E1160" s="72" t="s">
        <v>35</v>
      </c>
      <c r="F1160" s="72" t="s">
        <v>97</v>
      </c>
      <c r="G1160" s="72" t="s">
        <v>225</v>
      </c>
      <c r="H1160" s="72" t="s">
        <v>125</v>
      </c>
      <c r="I1160" s="72" t="s">
        <v>113</v>
      </c>
      <c r="J1160" s="73" t="s">
        <v>24</v>
      </c>
      <c r="K1160" s="73" t="s">
        <v>6821</v>
      </c>
      <c r="L1160" s="73" t="s">
        <v>276</v>
      </c>
      <c r="M1160" s="72" t="s">
        <v>15</v>
      </c>
      <c r="N1160" s="84" t="s">
        <v>9350</v>
      </c>
      <c r="O1160" s="85" t="s">
        <v>207</v>
      </c>
      <c r="P1160" s="88">
        <v>32873</v>
      </c>
      <c r="Q1160" s="73" t="s">
        <v>276</v>
      </c>
      <c r="R1160" s="75" t="s">
        <v>9770</v>
      </c>
      <c r="S1160" s="73" t="s">
        <v>9771</v>
      </c>
      <c r="T1160" s="89" t="s">
        <v>1719</v>
      </c>
      <c r="U1160" s="74">
        <v>38405</v>
      </c>
      <c r="V1160" s="75">
        <v>37145</v>
      </c>
      <c r="W1160" s="72" t="s">
        <v>276</v>
      </c>
      <c r="X1160" s="72" t="s">
        <v>276</v>
      </c>
      <c r="Y1160" s="72" t="s">
        <v>276</v>
      </c>
      <c r="Z1160" s="73" t="s">
        <v>1562</v>
      </c>
      <c r="AA1160" s="72" t="s">
        <v>276</v>
      </c>
      <c r="AB1160" s="73" t="s">
        <v>1562</v>
      </c>
      <c r="AC1160" s="73" t="s">
        <v>9772</v>
      </c>
      <c r="AD1160" s="73" t="s">
        <v>8902</v>
      </c>
      <c r="AE1160" s="72">
        <v>113</v>
      </c>
      <c r="AF1160" s="72">
        <v>129</v>
      </c>
      <c r="AG1160" s="75">
        <v>372000</v>
      </c>
      <c r="AH1160" s="73">
        <v>362000</v>
      </c>
      <c r="AI1160" s="75" t="s">
        <v>425</v>
      </c>
      <c r="AJ1160" s="76" t="s">
        <v>276</v>
      </c>
      <c r="AK1160" s="86">
        <f t="shared" si="160"/>
        <v>0.30376344086021506</v>
      </c>
      <c r="AL1160" s="76" t="s">
        <v>276</v>
      </c>
      <c r="AM1160" s="76" t="s">
        <v>276</v>
      </c>
      <c r="AN1160" s="76" t="s">
        <v>276</v>
      </c>
      <c r="AO1160" s="86">
        <f t="shared" si="161"/>
        <v>0.35635359116022097</v>
      </c>
      <c r="AP1160" s="76" t="s">
        <v>276</v>
      </c>
      <c r="AQ1160" s="76" t="s">
        <v>276</v>
      </c>
      <c r="AR1160" s="72" t="s">
        <v>269</v>
      </c>
      <c r="AS1160" s="76" t="s">
        <v>276</v>
      </c>
      <c r="AT1160" s="86">
        <f t="shared" si="162"/>
        <v>0.85242143869300668</v>
      </c>
      <c r="AU1160" s="93" t="s">
        <v>276</v>
      </c>
      <c r="AV1160" s="93" t="s">
        <v>276</v>
      </c>
      <c r="AW1160" s="72" t="s">
        <v>276</v>
      </c>
      <c r="AX1160" s="73" t="s">
        <v>6827</v>
      </c>
      <c r="AY1160" s="76">
        <v>0.84</v>
      </c>
      <c r="AZ1160" s="72">
        <v>0.65</v>
      </c>
      <c r="BA1160" s="72">
        <v>1.08</v>
      </c>
      <c r="BB1160" s="72" t="s">
        <v>276</v>
      </c>
      <c r="BC1160" s="73" t="s">
        <v>763</v>
      </c>
      <c r="BD1160" s="73" t="s">
        <v>6832</v>
      </c>
      <c r="BE1160" s="33" t="s">
        <v>100</v>
      </c>
      <c r="BF1160" s="33" t="s">
        <v>98</v>
      </c>
    </row>
    <row r="1161" spans="1:58" s="202" customFormat="1" ht="91" x14ac:dyDescent="0.3">
      <c r="A1161" s="415">
        <v>4172</v>
      </c>
      <c r="B1161" s="175" t="s">
        <v>9773</v>
      </c>
      <c r="C1161" s="176" t="s">
        <v>62</v>
      </c>
      <c r="D1161" s="176" t="s">
        <v>9774</v>
      </c>
      <c r="E1161" s="175" t="s">
        <v>35</v>
      </c>
      <c r="F1161" s="175" t="s">
        <v>97</v>
      </c>
      <c r="G1161" s="175" t="s">
        <v>225</v>
      </c>
      <c r="H1161" s="175" t="s">
        <v>125</v>
      </c>
      <c r="I1161" s="175" t="s">
        <v>113</v>
      </c>
      <c r="J1161" s="176" t="s">
        <v>24</v>
      </c>
      <c r="K1161" s="176" t="s">
        <v>276</v>
      </c>
      <c r="L1161" s="176" t="s">
        <v>276</v>
      </c>
      <c r="M1161" s="175" t="s">
        <v>15</v>
      </c>
      <c r="N1161" s="198" t="s">
        <v>9254</v>
      </c>
      <c r="O1161" s="199" t="s">
        <v>207</v>
      </c>
      <c r="P1161" s="200">
        <v>33969</v>
      </c>
      <c r="Q1161" s="176" t="s">
        <v>276</v>
      </c>
      <c r="R1161" s="179" t="s">
        <v>9775</v>
      </c>
      <c r="S1161" s="346" t="s">
        <v>9776</v>
      </c>
      <c r="T1161" s="178" t="s">
        <v>1719</v>
      </c>
      <c r="U1161" s="180">
        <v>77080</v>
      </c>
      <c r="V1161" s="179">
        <v>55985</v>
      </c>
      <c r="W1161" s="175" t="s">
        <v>276</v>
      </c>
      <c r="X1161" s="175" t="s">
        <v>276</v>
      </c>
      <c r="Y1161" s="175" t="s">
        <v>276</v>
      </c>
      <c r="Z1161" s="176" t="s">
        <v>1562</v>
      </c>
      <c r="AA1161" s="175" t="s">
        <v>276</v>
      </c>
      <c r="AB1161" s="176" t="s">
        <v>1562</v>
      </c>
      <c r="AC1161" s="176" t="s">
        <v>9777</v>
      </c>
      <c r="AD1161" s="176" t="s">
        <v>9778</v>
      </c>
      <c r="AE1161" s="175">
        <v>269</v>
      </c>
      <c r="AF1161" s="175">
        <v>277</v>
      </c>
      <c r="AG1161" s="179">
        <v>993945</v>
      </c>
      <c r="AH1161" s="346">
        <v>603056</v>
      </c>
      <c r="AI1161" s="179" t="s">
        <v>425</v>
      </c>
      <c r="AJ1161" s="181" t="s">
        <v>276</v>
      </c>
      <c r="AK1161" s="201">
        <f t="shared" si="160"/>
        <v>0.27063871743406326</v>
      </c>
      <c r="AL1161" s="181" t="s">
        <v>276</v>
      </c>
      <c r="AM1161" s="181" t="s">
        <v>276</v>
      </c>
      <c r="AN1161" s="181" t="s">
        <v>276</v>
      </c>
      <c r="AO1161" s="201">
        <f t="shared" si="161"/>
        <v>0.45932716033005228</v>
      </c>
      <c r="AP1161" s="181" t="s">
        <v>276</v>
      </c>
      <c r="AQ1161" s="181" t="s">
        <v>276</v>
      </c>
      <c r="AR1161" s="175" t="s">
        <v>269</v>
      </c>
      <c r="AS1161" s="181" t="s">
        <v>276</v>
      </c>
      <c r="AT1161" s="788">
        <f t="shared" si="162"/>
        <v>0.5892068678011424</v>
      </c>
      <c r="AU1161" s="195" t="s">
        <v>276</v>
      </c>
      <c r="AV1161" s="195" t="s">
        <v>276</v>
      </c>
      <c r="AW1161" s="175" t="s">
        <v>276</v>
      </c>
      <c r="AX1161" s="176" t="s">
        <v>9779</v>
      </c>
      <c r="AY1161" s="181">
        <v>0.69</v>
      </c>
      <c r="AZ1161" s="175">
        <v>0.57999999999999996</v>
      </c>
      <c r="BA1161" s="175">
        <v>0.82</v>
      </c>
      <c r="BB1161" s="175" t="s">
        <v>431</v>
      </c>
      <c r="BC1161" s="176" t="s">
        <v>1358</v>
      </c>
      <c r="BD1161" s="176"/>
      <c r="BE1161" s="183" t="s">
        <v>100</v>
      </c>
      <c r="BF1161" s="183" t="s">
        <v>98</v>
      </c>
    </row>
    <row r="1162" spans="1:58" s="202" customFormat="1" ht="91" x14ac:dyDescent="0.3">
      <c r="A1162" s="175">
        <v>4172</v>
      </c>
      <c r="B1162" s="175" t="s">
        <v>9773</v>
      </c>
      <c r="C1162" s="176" t="s">
        <v>62</v>
      </c>
      <c r="D1162" s="176" t="s">
        <v>9780</v>
      </c>
      <c r="E1162" s="175" t="s">
        <v>35</v>
      </c>
      <c r="F1162" s="175" t="s">
        <v>97</v>
      </c>
      <c r="G1162" s="175" t="s">
        <v>225</v>
      </c>
      <c r="H1162" s="175" t="s">
        <v>125</v>
      </c>
      <c r="I1162" s="175" t="s">
        <v>113</v>
      </c>
      <c r="J1162" s="176" t="s">
        <v>24</v>
      </c>
      <c r="K1162" s="176" t="s">
        <v>276</v>
      </c>
      <c r="L1162" s="176" t="s">
        <v>276</v>
      </c>
      <c r="M1162" s="175" t="s">
        <v>15</v>
      </c>
      <c r="N1162" s="198" t="s">
        <v>8905</v>
      </c>
      <c r="O1162" s="199" t="s">
        <v>207</v>
      </c>
      <c r="P1162" s="200">
        <v>33969</v>
      </c>
      <c r="Q1162" s="176" t="s">
        <v>276</v>
      </c>
      <c r="R1162" s="179" t="s">
        <v>9781</v>
      </c>
      <c r="S1162" s="346" t="s">
        <v>9782</v>
      </c>
      <c r="T1162" s="178" t="s">
        <v>1219</v>
      </c>
      <c r="U1162" s="180">
        <v>35284</v>
      </c>
      <c r="V1162" s="179">
        <v>25037</v>
      </c>
      <c r="W1162" s="175" t="s">
        <v>276</v>
      </c>
      <c r="X1162" s="175" t="s">
        <v>276</v>
      </c>
      <c r="Y1162" s="175" t="s">
        <v>276</v>
      </c>
      <c r="Z1162" s="176" t="s">
        <v>1562</v>
      </c>
      <c r="AA1162" s="175" t="s">
        <v>276</v>
      </c>
      <c r="AB1162" s="176" t="s">
        <v>1562</v>
      </c>
      <c r="AC1162" s="176" t="s">
        <v>9783</v>
      </c>
      <c r="AD1162" s="176" t="s">
        <v>9784</v>
      </c>
      <c r="AE1162" s="175">
        <v>119</v>
      </c>
      <c r="AF1162" s="175">
        <v>131</v>
      </c>
      <c r="AG1162" s="179">
        <v>426269</v>
      </c>
      <c r="AH1162" s="346">
        <v>303617</v>
      </c>
      <c r="AI1162" s="179" t="s">
        <v>425</v>
      </c>
      <c r="AJ1162" s="181" t="s">
        <v>276</v>
      </c>
      <c r="AK1162" s="201">
        <f t="shared" si="160"/>
        <v>0.27916644184775341</v>
      </c>
      <c r="AL1162" s="181" t="s">
        <v>276</v>
      </c>
      <c r="AM1162" s="181" t="s">
        <v>276</v>
      </c>
      <c r="AN1162" s="181" t="s">
        <v>276</v>
      </c>
      <c r="AO1162" s="201">
        <f t="shared" si="161"/>
        <v>0.43146464130796364</v>
      </c>
      <c r="AP1162" s="181" t="s">
        <v>276</v>
      </c>
      <c r="AQ1162" s="181" t="s">
        <v>276</v>
      </c>
      <c r="AR1162" s="175" t="s">
        <v>269</v>
      </c>
      <c r="AS1162" s="181" t="s">
        <v>276</v>
      </c>
      <c r="AT1162" s="201">
        <f t="shared" si="162"/>
        <v>0.64702043949991872</v>
      </c>
      <c r="AU1162" s="195" t="s">
        <v>276</v>
      </c>
      <c r="AV1162" s="195" t="s">
        <v>276</v>
      </c>
      <c r="AW1162" s="175" t="s">
        <v>276</v>
      </c>
      <c r="AX1162" s="176" t="s">
        <v>9779</v>
      </c>
      <c r="AY1162" s="181">
        <v>0.65</v>
      </c>
      <c r="AZ1162" s="175">
        <v>0.5</v>
      </c>
      <c r="BA1162" s="175">
        <v>0.83</v>
      </c>
      <c r="BB1162" s="175" t="s">
        <v>431</v>
      </c>
      <c r="BC1162" s="176" t="s">
        <v>9785</v>
      </c>
      <c r="BD1162" s="176"/>
      <c r="BE1162" s="183" t="s">
        <v>100</v>
      </c>
      <c r="BF1162" s="183" t="s">
        <v>98</v>
      </c>
    </row>
    <row r="1163" spans="1:58" s="202" customFormat="1" ht="91" x14ac:dyDescent="0.3">
      <c r="A1163" s="175">
        <v>4172</v>
      </c>
      <c r="B1163" s="175" t="s">
        <v>9773</v>
      </c>
      <c r="C1163" s="176" t="s">
        <v>62</v>
      </c>
      <c r="D1163" s="176" t="s">
        <v>9786</v>
      </c>
      <c r="E1163" s="175" t="s">
        <v>35</v>
      </c>
      <c r="F1163" s="175" t="s">
        <v>97</v>
      </c>
      <c r="G1163" s="175" t="s">
        <v>225</v>
      </c>
      <c r="H1163" s="175" t="s">
        <v>125</v>
      </c>
      <c r="I1163" s="175" t="s">
        <v>113</v>
      </c>
      <c r="J1163" s="176" t="s">
        <v>24</v>
      </c>
      <c r="K1163" s="176" t="s">
        <v>276</v>
      </c>
      <c r="L1163" s="176" t="s">
        <v>276</v>
      </c>
      <c r="M1163" s="175" t="s">
        <v>15</v>
      </c>
      <c r="N1163" s="198" t="s">
        <v>9787</v>
      </c>
      <c r="O1163" s="199" t="s">
        <v>207</v>
      </c>
      <c r="P1163" s="200">
        <v>33969</v>
      </c>
      <c r="Q1163" s="176" t="s">
        <v>276</v>
      </c>
      <c r="R1163" s="786" t="s">
        <v>9788</v>
      </c>
      <c r="S1163" s="346" t="s">
        <v>9789</v>
      </c>
      <c r="T1163" s="178" t="s">
        <v>5401</v>
      </c>
      <c r="U1163" s="180">
        <v>21952</v>
      </c>
      <c r="V1163" s="179">
        <v>15344</v>
      </c>
      <c r="W1163" s="175" t="s">
        <v>276</v>
      </c>
      <c r="X1163" s="175" t="s">
        <v>276</v>
      </c>
      <c r="Y1163" s="175" t="s">
        <v>276</v>
      </c>
      <c r="Z1163" s="176" t="s">
        <v>1562</v>
      </c>
      <c r="AA1163" s="175" t="s">
        <v>276</v>
      </c>
      <c r="AB1163" s="176" t="s">
        <v>1562</v>
      </c>
      <c r="AC1163" s="176" t="s">
        <v>9790</v>
      </c>
      <c r="AD1163" s="176" t="s">
        <v>9791</v>
      </c>
      <c r="AE1163" s="175">
        <v>105</v>
      </c>
      <c r="AF1163" s="175">
        <v>107</v>
      </c>
      <c r="AG1163" s="786">
        <v>232784</v>
      </c>
      <c r="AH1163" s="176">
        <v>162547</v>
      </c>
      <c r="AI1163" s="179" t="s">
        <v>425</v>
      </c>
      <c r="AJ1163" s="181" t="s">
        <v>276</v>
      </c>
      <c r="AK1163" s="201">
        <f t="shared" si="160"/>
        <v>0.45106192865489037</v>
      </c>
      <c r="AL1163" s="181" t="s">
        <v>276</v>
      </c>
      <c r="AM1163" s="181" t="s">
        <v>276</v>
      </c>
      <c r="AN1163" s="181" t="s">
        <v>276</v>
      </c>
      <c r="AO1163" s="201">
        <f t="shared" si="161"/>
        <v>0.65827114619156302</v>
      </c>
      <c r="AP1163" s="181" t="s">
        <v>276</v>
      </c>
      <c r="AQ1163" s="181" t="s">
        <v>276</v>
      </c>
      <c r="AR1163" s="175" t="s">
        <v>269</v>
      </c>
      <c r="AS1163" s="181" t="s">
        <v>276</v>
      </c>
      <c r="AT1163" s="201">
        <f t="shared" si="162"/>
        <v>0.68522208707538756</v>
      </c>
      <c r="AU1163" s="195" t="s">
        <v>276</v>
      </c>
      <c r="AV1163" s="195" t="s">
        <v>276</v>
      </c>
      <c r="AW1163" s="175" t="s">
        <v>276</v>
      </c>
      <c r="AX1163" s="176" t="s">
        <v>9779</v>
      </c>
      <c r="AY1163" s="181">
        <v>0.68</v>
      </c>
      <c r="AZ1163" s="175">
        <v>0.51</v>
      </c>
      <c r="BA1163" s="175">
        <v>0.89</v>
      </c>
      <c r="BB1163" s="175" t="s">
        <v>431</v>
      </c>
      <c r="BC1163" s="176" t="s">
        <v>9785</v>
      </c>
      <c r="BD1163" s="176"/>
      <c r="BE1163" s="183" t="s">
        <v>100</v>
      </c>
      <c r="BF1163" s="183" t="s">
        <v>98</v>
      </c>
    </row>
    <row r="1164" spans="1:58" s="339" customFormat="1" ht="91" x14ac:dyDescent="0.3">
      <c r="A1164" s="184">
        <v>4172</v>
      </c>
      <c r="B1164" s="184" t="s">
        <v>9773</v>
      </c>
      <c r="C1164" s="185" t="s">
        <v>62</v>
      </c>
      <c r="D1164" s="185" t="s">
        <v>9792</v>
      </c>
      <c r="E1164" s="184" t="s">
        <v>35</v>
      </c>
      <c r="F1164" s="184" t="s">
        <v>97</v>
      </c>
      <c r="G1164" s="184" t="s">
        <v>225</v>
      </c>
      <c r="H1164" s="184" t="s">
        <v>125</v>
      </c>
      <c r="I1164" s="184" t="s">
        <v>113</v>
      </c>
      <c r="J1164" s="185" t="s">
        <v>24</v>
      </c>
      <c r="K1164" s="185" t="s">
        <v>276</v>
      </c>
      <c r="L1164" s="185" t="s">
        <v>276</v>
      </c>
      <c r="M1164" s="184" t="s">
        <v>15</v>
      </c>
      <c r="N1164" s="336" t="s">
        <v>9793</v>
      </c>
      <c r="O1164" s="337" t="s">
        <v>207</v>
      </c>
      <c r="P1164" s="322">
        <v>33969</v>
      </c>
      <c r="Q1164" s="185" t="s">
        <v>276</v>
      </c>
      <c r="R1164" s="185" t="s">
        <v>276</v>
      </c>
      <c r="S1164" s="185" t="s">
        <v>276</v>
      </c>
      <c r="T1164" s="187" t="s">
        <v>1219</v>
      </c>
      <c r="U1164" s="189" t="s">
        <v>276</v>
      </c>
      <c r="V1164" s="188" t="s">
        <v>276</v>
      </c>
      <c r="W1164" s="184" t="s">
        <v>276</v>
      </c>
      <c r="X1164" s="184" t="s">
        <v>276</v>
      </c>
      <c r="Y1164" s="184" t="s">
        <v>276</v>
      </c>
      <c r="Z1164" s="185" t="s">
        <v>1562</v>
      </c>
      <c r="AA1164" s="184" t="s">
        <v>276</v>
      </c>
      <c r="AB1164" s="185" t="s">
        <v>1562</v>
      </c>
      <c r="AC1164" s="185" t="s">
        <v>9794</v>
      </c>
      <c r="AD1164" s="185" t="s">
        <v>9795</v>
      </c>
      <c r="AE1164" s="184" t="s">
        <v>276</v>
      </c>
      <c r="AF1164" s="184" t="s">
        <v>276</v>
      </c>
      <c r="AG1164" s="184" t="s">
        <v>276</v>
      </c>
      <c r="AH1164" s="184" t="s">
        <v>276</v>
      </c>
      <c r="AI1164" s="188" t="s">
        <v>425</v>
      </c>
      <c r="AJ1164" s="192" t="s">
        <v>276</v>
      </c>
      <c r="AK1164" s="338" t="s">
        <v>98</v>
      </c>
      <c r="AL1164" s="192" t="s">
        <v>276</v>
      </c>
      <c r="AM1164" s="192" t="s">
        <v>276</v>
      </c>
      <c r="AN1164" s="192" t="s">
        <v>276</v>
      </c>
      <c r="AO1164" s="338" t="s">
        <v>98</v>
      </c>
      <c r="AP1164" s="192" t="s">
        <v>276</v>
      </c>
      <c r="AQ1164" s="192" t="s">
        <v>276</v>
      </c>
      <c r="AR1164" s="184" t="s">
        <v>269</v>
      </c>
      <c r="AS1164" s="192" t="s">
        <v>276</v>
      </c>
      <c r="AT1164" s="338" t="s">
        <v>98</v>
      </c>
      <c r="AU1164" s="190" t="s">
        <v>276</v>
      </c>
      <c r="AV1164" s="190" t="s">
        <v>276</v>
      </c>
      <c r="AW1164" s="184" t="s">
        <v>276</v>
      </c>
      <c r="AX1164" s="185" t="s">
        <v>9779</v>
      </c>
      <c r="AY1164" s="192">
        <v>0.57999999999999996</v>
      </c>
      <c r="AZ1164" s="184">
        <v>0.39</v>
      </c>
      <c r="BA1164" s="184">
        <v>0.86</v>
      </c>
      <c r="BB1164" s="184" t="s">
        <v>276</v>
      </c>
      <c r="BC1164" s="185" t="s">
        <v>9796</v>
      </c>
      <c r="BD1164" s="185"/>
      <c r="BE1164" s="33" t="s">
        <v>100</v>
      </c>
      <c r="BF1164" s="33" t="s">
        <v>98</v>
      </c>
    </row>
    <row r="1165" spans="1:58" s="339" customFormat="1" ht="91" x14ac:dyDescent="0.3">
      <c r="A1165" s="184">
        <v>4172</v>
      </c>
      <c r="B1165" s="184" t="s">
        <v>9773</v>
      </c>
      <c r="C1165" s="185" t="s">
        <v>62</v>
      </c>
      <c r="D1165" s="185" t="s">
        <v>9797</v>
      </c>
      <c r="E1165" s="184" t="s">
        <v>35</v>
      </c>
      <c r="F1165" s="184" t="s">
        <v>97</v>
      </c>
      <c r="G1165" s="184" t="s">
        <v>225</v>
      </c>
      <c r="H1165" s="184" t="s">
        <v>125</v>
      </c>
      <c r="I1165" s="184" t="s">
        <v>113</v>
      </c>
      <c r="J1165" s="185" t="s">
        <v>24</v>
      </c>
      <c r="K1165" s="185" t="s">
        <v>276</v>
      </c>
      <c r="L1165" s="185" t="s">
        <v>276</v>
      </c>
      <c r="M1165" s="184" t="s">
        <v>15</v>
      </c>
      <c r="N1165" s="336" t="s">
        <v>9350</v>
      </c>
      <c r="O1165" s="337" t="s">
        <v>207</v>
      </c>
      <c r="P1165" s="322">
        <v>33969</v>
      </c>
      <c r="Q1165" s="185" t="s">
        <v>276</v>
      </c>
      <c r="R1165" s="185" t="s">
        <v>276</v>
      </c>
      <c r="S1165" s="185" t="s">
        <v>276</v>
      </c>
      <c r="T1165" s="187" t="s">
        <v>1191</v>
      </c>
      <c r="U1165" s="189" t="s">
        <v>276</v>
      </c>
      <c r="V1165" s="188" t="s">
        <v>276</v>
      </c>
      <c r="W1165" s="184" t="s">
        <v>276</v>
      </c>
      <c r="X1165" s="184" t="s">
        <v>276</v>
      </c>
      <c r="Y1165" s="184" t="s">
        <v>276</v>
      </c>
      <c r="Z1165" s="185" t="s">
        <v>1562</v>
      </c>
      <c r="AA1165" s="184" t="s">
        <v>276</v>
      </c>
      <c r="AB1165" s="185" t="s">
        <v>1562</v>
      </c>
      <c r="AC1165" s="185" t="s">
        <v>9798</v>
      </c>
      <c r="AD1165" s="185" t="s">
        <v>9795</v>
      </c>
      <c r="AE1165" s="184" t="s">
        <v>276</v>
      </c>
      <c r="AF1165" s="184" t="s">
        <v>276</v>
      </c>
      <c r="AG1165" s="184" t="s">
        <v>276</v>
      </c>
      <c r="AH1165" s="184" t="s">
        <v>276</v>
      </c>
      <c r="AI1165" s="188" t="s">
        <v>425</v>
      </c>
      <c r="AJ1165" s="192" t="s">
        <v>276</v>
      </c>
      <c r="AK1165" s="338" t="s">
        <v>98</v>
      </c>
      <c r="AL1165" s="192" t="s">
        <v>276</v>
      </c>
      <c r="AM1165" s="192" t="s">
        <v>276</v>
      </c>
      <c r="AN1165" s="192" t="s">
        <v>276</v>
      </c>
      <c r="AO1165" s="338" t="s">
        <v>98</v>
      </c>
      <c r="AP1165" s="192" t="s">
        <v>276</v>
      </c>
      <c r="AQ1165" s="192" t="s">
        <v>276</v>
      </c>
      <c r="AR1165" s="184" t="s">
        <v>269</v>
      </c>
      <c r="AS1165" s="192" t="s">
        <v>276</v>
      </c>
      <c r="AT1165" s="338" t="s">
        <v>98</v>
      </c>
      <c r="AU1165" s="190" t="s">
        <v>276</v>
      </c>
      <c r="AV1165" s="190" t="s">
        <v>276</v>
      </c>
      <c r="AW1165" s="184" t="s">
        <v>276</v>
      </c>
      <c r="AX1165" s="185" t="s">
        <v>9779</v>
      </c>
      <c r="AY1165" s="192">
        <v>0.78</v>
      </c>
      <c r="AZ1165" s="184">
        <v>0.53</v>
      </c>
      <c r="BA1165" s="184">
        <v>1.2</v>
      </c>
      <c r="BB1165" s="184" t="s">
        <v>276</v>
      </c>
      <c r="BC1165" s="185" t="s">
        <v>9796</v>
      </c>
      <c r="BD1165" s="185"/>
      <c r="BE1165" s="33" t="s">
        <v>100</v>
      </c>
      <c r="BF1165" s="33" t="s">
        <v>98</v>
      </c>
    </row>
    <row r="1166" spans="1:58" s="103" customFormat="1" ht="91" x14ac:dyDescent="0.3">
      <c r="A1166" s="415">
        <v>4092</v>
      </c>
      <c r="B1166" s="94" t="s">
        <v>9799</v>
      </c>
      <c r="C1166" s="95" t="s">
        <v>62</v>
      </c>
      <c r="D1166" s="95" t="s">
        <v>9800</v>
      </c>
      <c r="E1166" s="94" t="s">
        <v>35</v>
      </c>
      <c r="F1166" s="94" t="s">
        <v>97</v>
      </c>
      <c r="G1166" s="94" t="s">
        <v>225</v>
      </c>
      <c r="H1166" s="94" t="s">
        <v>125</v>
      </c>
      <c r="I1166" s="94" t="s">
        <v>113</v>
      </c>
      <c r="J1166" s="95" t="s">
        <v>24</v>
      </c>
      <c r="K1166" s="95" t="s">
        <v>276</v>
      </c>
      <c r="L1166" s="95" t="s">
        <v>276</v>
      </c>
      <c r="M1166" s="94" t="s">
        <v>15</v>
      </c>
      <c r="N1166" s="144" t="s">
        <v>9254</v>
      </c>
      <c r="O1166" s="96" t="s">
        <v>207</v>
      </c>
      <c r="P1166" s="97">
        <v>33969</v>
      </c>
      <c r="Q1166" s="95" t="s">
        <v>276</v>
      </c>
      <c r="R1166" s="99" t="s">
        <v>9801</v>
      </c>
      <c r="S1166" s="95" t="s">
        <v>9802</v>
      </c>
      <c r="T1166" s="163" t="s">
        <v>1719</v>
      </c>
      <c r="U1166" s="98">
        <v>77080</v>
      </c>
      <c r="V1166" s="99">
        <v>55985</v>
      </c>
      <c r="W1166" s="94" t="s">
        <v>276</v>
      </c>
      <c r="X1166" s="94" t="s">
        <v>276</v>
      </c>
      <c r="Y1166" s="94" t="s">
        <v>276</v>
      </c>
      <c r="Z1166" s="95" t="s">
        <v>1562</v>
      </c>
      <c r="AA1166" s="94" t="s">
        <v>276</v>
      </c>
      <c r="AB1166" s="95" t="s">
        <v>1562</v>
      </c>
      <c r="AC1166" s="95" t="s">
        <v>9803</v>
      </c>
      <c r="AD1166" s="95" t="s">
        <v>9778</v>
      </c>
      <c r="AE1166" s="415">
        <v>269</v>
      </c>
      <c r="AF1166" s="94">
        <v>277</v>
      </c>
      <c r="AG1166" s="99">
        <v>965405</v>
      </c>
      <c r="AH1166" s="95">
        <v>701207</v>
      </c>
      <c r="AI1166" s="99" t="s">
        <v>425</v>
      </c>
      <c r="AJ1166" s="102" t="s">
        <v>276</v>
      </c>
      <c r="AK1166" s="101">
        <f t="shared" ref="AK1166" si="163">AE1166*1000/AG1166</f>
        <v>0.27863953470305208</v>
      </c>
      <c r="AL1166" s="102" t="s">
        <v>276</v>
      </c>
      <c r="AM1166" s="102" t="s">
        <v>276</v>
      </c>
      <c r="AN1166" s="102" t="s">
        <v>276</v>
      </c>
      <c r="AO1166" s="101">
        <f t="shared" ref="AO1166" si="164">AF1166*1000/AH1166</f>
        <v>0.3950331357216913</v>
      </c>
      <c r="AP1166" s="102" t="s">
        <v>276</v>
      </c>
      <c r="AQ1166" s="102" t="s">
        <v>276</v>
      </c>
      <c r="AR1166" s="94" t="s">
        <v>269</v>
      </c>
      <c r="AS1166" s="102" t="s">
        <v>276</v>
      </c>
      <c r="AT1166" s="101">
        <f t="shared" ref="AT1166" si="165">AK1166/AO1166</f>
        <v>0.70535737260116627</v>
      </c>
      <c r="AU1166" s="100" t="s">
        <v>276</v>
      </c>
      <c r="AV1166" s="100" t="s">
        <v>276</v>
      </c>
      <c r="AW1166" s="94" t="s">
        <v>276</v>
      </c>
      <c r="AX1166" s="95" t="s">
        <v>9804</v>
      </c>
      <c r="AY1166" s="102">
        <v>0.69</v>
      </c>
      <c r="AZ1166" s="94">
        <v>0.56999999999999995</v>
      </c>
      <c r="BA1166" s="94">
        <v>0.84</v>
      </c>
      <c r="BB1166" s="94" t="s">
        <v>844</v>
      </c>
      <c r="BC1166" s="95" t="s">
        <v>9805</v>
      </c>
      <c r="BD1166" s="95" t="s">
        <v>9806</v>
      </c>
      <c r="BE1166" s="33" t="s">
        <v>100</v>
      </c>
      <c r="BF1166" s="33" t="s">
        <v>98</v>
      </c>
    </row>
    <row r="1167" spans="1:58" s="103" customFormat="1" ht="91" x14ac:dyDescent="0.3">
      <c r="A1167" s="94">
        <v>4092</v>
      </c>
      <c r="B1167" s="94" t="s">
        <v>9799</v>
      </c>
      <c r="C1167" s="95" t="s">
        <v>62</v>
      </c>
      <c r="D1167" s="95" t="s">
        <v>9807</v>
      </c>
      <c r="E1167" s="94" t="s">
        <v>35</v>
      </c>
      <c r="F1167" s="94" t="s">
        <v>97</v>
      </c>
      <c r="G1167" s="94" t="s">
        <v>225</v>
      </c>
      <c r="H1167" s="94" t="s">
        <v>125</v>
      </c>
      <c r="I1167" s="94" t="s">
        <v>113</v>
      </c>
      <c r="J1167" s="95" t="s">
        <v>24</v>
      </c>
      <c r="K1167" s="95" t="s">
        <v>276</v>
      </c>
      <c r="L1167" s="95" t="s">
        <v>276</v>
      </c>
      <c r="M1167" s="94" t="s">
        <v>15</v>
      </c>
      <c r="N1167" s="144" t="s">
        <v>3032</v>
      </c>
      <c r="O1167" s="96" t="s">
        <v>207</v>
      </c>
      <c r="P1167" s="97">
        <v>33969</v>
      </c>
      <c r="Q1167" s="95" t="s">
        <v>276</v>
      </c>
      <c r="R1167" s="99" t="s">
        <v>276</v>
      </c>
      <c r="S1167" s="95" t="s">
        <v>276</v>
      </c>
      <c r="T1167" s="163" t="s">
        <v>1192</v>
      </c>
      <c r="U1167" s="98">
        <f>9582+10262</f>
        <v>19844</v>
      </c>
      <c r="V1167" s="99">
        <f>5031+10573</f>
        <v>15604</v>
      </c>
      <c r="W1167" s="94" t="s">
        <v>276</v>
      </c>
      <c r="X1167" s="94" t="s">
        <v>276</v>
      </c>
      <c r="Y1167" s="94" t="s">
        <v>276</v>
      </c>
      <c r="Z1167" s="95" t="s">
        <v>1562</v>
      </c>
      <c r="AA1167" s="94" t="s">
        <v>276</v>
      </c>
      <c r="AB1167" s="95" t="s">
        <v>1562</v>
      </c>
      <c r="AC1167" s="95" t="s">
        <v>9808</v>
      </c>
      <c r="AD1167" s="95" t="s">
        <v>9809</v>
      </c>
      <c r="AE1167" s="94">
        <v>45</v>
      </c>
      <c r="AF1167" s="94">
        <v>39</v>
      </c>
      <c r="AG1167" s="99" t="s">
        <v>276</v>
      </c>
      <c r="AH1167" s="95" t="s">
        <v>276</v>
      </c>
      <c r="AI1167" s="99" t="s">
        <v>425</v>
      </c>
      <c r="AJ1167" s="102" t="s">
        <v>276</v>
      </c>
      <c r="AK1167" s="101" t="s">
        <v>98</v>
      </c>
      <c r="AL1167" s="102" t="s">
        <v>276</v>
      </c>
      <c r="AM1167" s="102" t="s">
        <v>276</v>
      </c>
      <c r="AN1167" s="102" t="s">
        <v>276</v>
      </c>
      <c r="AO1167" s="101" t="s">
        <v>98</v>
      </c>
      <c r="AP1167" s="102" t="s">
        <v>276</v>
      </c>
      <c r="AQ1167" s="102" t="s">
        <v>276</v>
      </c>
      <c r="AR1167" s="94" t="s">
        <v>269</v>
      </c>
      <c r="AS1167" s="102" t="s">
        <v>276</v>
      </c>
      <c r="AT1167" s="101" t="s">
        <v>98</v>
      </c>
      <c r="AU1167" s="100" t="s">
        <v>276</v>
      </c>
      <c r="AV1167" s="100" t="s">
        <v>276</v>
      </c>
      <c r="AW1167" s="94" t="s">
        <v>276</v>
      </c>
      <c r="AX1167" s="95" t="s">
        <v>9810</v>
      </c>
      <c r="AY1167" s="102">
        <v>0.87</v>
      </c>
      <c r="AZ1167" s="94">
        <v>0.54</v>
      </c>
      <c r="BA1167" s="94">
        <v>1.41</v>
      </c>
      <c r="BB1167" s="94" t="s">
        <v>276</v>
      </c>
      <c r="BC1167" s="95" t="s">
        <v>9811</v>
      </c>
      <c r="BD1167" s="95" t="s">
        <v>9806</v>
      </c>
      <c r="BE1167" s="33" t="s">
        <v>100</v>
      </c>
      <c r="BF1167" s="33" t="s">
        <v>98</v>
      </c>
    </row>
    <row r="1168" spans="1:58" s="103" customFormat="1" ht="91" x14ac:dyDescent="0.3">
      <c r="A1168" s="94">
        <v>4092</v>
      </c>
      <c r="B1168" s="94" t="s">
        <v>9799</v>
      </c>
      <c r="C1168" s="95" t="s">
        <v>62</v>
      </c>
      <c r="D1168" s="95" t="s">
        <v>9812</v>
      </c>
      <c r="E1168" s="94" t="s">
        <v>35</v>
      </c>
      <c r="F1168" s="94" t="s">
        <v>97</v>
      </c>
      <c r="G1168" s="94" t="s">
        <v>225</v>
      </c>
      <c r="H1168" s="94" t="s">
        <v>125</v>
      </c>
      <c r="I1168" s="94" t="s">
        <v>113</v>
      </c>
      <c r="J1168" s="95" t="s">
        <v>24</v>
      </c>
      <c r="K1168" s="95" t="s">
        <v>276</v>
      </c>
      <c r="L1168" s="95" t="s">
        <v>276</v>
      </c>
      <c r="M1168" s="94" t="s">
        <v>15</v>
      </c>
      <c r="N1168" s="144" t="s">
        <v>3038</v>
      </c>
      <c r="O1168" s="96" t="s">
        <v>207</v>
      </c>
      <c r="P1168" s="97">
        <v>33969</v>
      </c>
      <c r="Q1168" s="95" t="s">
        <v>276</v>
      </c>
      <c r="R1168" s="99" t="s">
        <v>276</v>
      </c>
      <c r="S1168" s="95" t="s">
        <v>276</v>
      </c>
      <c r="T1168" s="163" t="s">
        <v>1219</v>
      </c>
      <c r="U1168" s="98">
        <f>11728+11757</f>
        <v>23485</v>
      </c>
      <c r="V1168" s="99">
        <f>5557+11248</f>
        <v>16805</v>
      </c>
      <c r="W1168" s="94" t="s">
        <v>276</v>
      </c>
      <c r="X1168" s="94" t="s">
        <v>276</v>
      </c>
      <c r="Y1168" s="94" t="s">
        <v>276</v>
      </c>
      <c r="Z1168" s="95" t="s">
        <v>1562</v>
      </c>
      <c r="AA1168" s="94" t="s">
        <v>276</v>
      </c>
      <c r="AB1168" s="95" t="s">
        <v>1562</v>
      </c>
      <c r="AC1168" s="95" t="s">
        <v>9813</v>
      </c>
      <c r="AD1168" s="95" t="s">
        <v>9814</v>
      </c>
      <c r="AE1168" s="94">
        <v>78</v>
      </c>
      <c r="AF1168" s="94">
        <v>85</v>
      </c>
      <c r="AG1168" s="99" t="s">
        <v>276</v>
      </c>
      <c r="AH1168" s="95" t="s">
        <v>276</v>
      </c>
      <c r="AI1168" s="99" t="s">
        <v>425</v>
      </c>
      <c r="AJ1168" s="102" t="s">
        <v>276</v>
      </c>
      <c r="AK1168" s="101" t="s">
        <v>98</v>
      </c>
      <c r="AL1168" s="102" t="s">
        <v>276</v>
      </c>
      <c r="AM1168" s="102" t="s">
        <v>276</v>
      </c>
      <c r="AN1168" s="102" t="s">
        <v>276</v>
      </c>
      <c r="AO1168" s="101" t="s">
        <v>98</v>
      </c>
      <c r="AP1168" s="102" t="s">
        <v>276</v>
      </c>
      <c r="AQ1168" s="102" t="s">
        <v>276</v>
      </c>
      <c r="AR1168" s="94" t="s">
        <v>269</v>
      </c>
      <c r="AS1168" s="102" t="s">
        <v>276</v>
      </c>
      <c r="AT1168" s="101" t="s">
        <v>98</v>
      </c>
      <c r="AU1168" s="100" t="s">
        <v>276</v>
      </c>
      <c r="AV1168" s="100" t="s">
        <v>276</v>
      </c>
      <c r="AW1168" s="94" t="s">
        <v>276</v>
      </c>
      <c r="AX1168" s="95" t="s">
        <v>9810</v>
      </c>
      <c r="AY1168" s="102">
        <v>0.66</v>
      </c>
      <c r="AZ1168" s="94">
        <v>0.46</v>
      </c>
      <c r="BA1168" s="94">
        <v>0.93</v>
      </c>
      <c r="BB1168" s="94" t="s">
        <v>276</v>
      </c>
      <c r="BC1168" s="95" t="s">
        <v>2473</v>
      </c>
      <c r="BD1168" s="95" t="s">
        <v>9806</v>
      </c>
      <c r="BE1168" s="33" t="s">
        <v>100</v>
      </c>
      <c r="BF1168" s="33" t="s">
        <v>98</v>
      </c>
    </row>
    <row r="1169" spans="1:58" s="103" customFormat="1" ht="91" x14ac:dyDescent="0.3">
      <c r="A1169" s="94">
        <v>4092</v>
      </c>
      <c r="B1169" s="94" t="s">
        <v>9799</v>
      </c>
      <c r="C1169" s="95" t="s">
        <v>62</v>
      </c>
      <c r="D1169" s="95" t="s">
        <v>9815</v>
      </c>
      <c r="E1169" s="94" t="s">
        <v>35</v>
      </c>
      <c r="F1169" s="94" t="s">
        <v>97</v>
      </c>
      <c r="G1169" s="94" t="s">
        <v>225</v>
      </c>
      <c r="H1169" s="94" t="s">
        <v>125</v>
      </c>
      <c r="I1169" s="94" t="s">
        <v>113</v>
      </c>
      <c r="J1169" s="95" t="s">
        <v>24</v>
      </c>
      <c r="K1169" s="95" t="s">
        <v>276</v>
      </c>
      <c r="L1169" s="95" t="s">
        <v>276</v>
      </c>
      <c r="M1169" s="94" t="s">
        <v>15</v>
      </c>
      <c r="N1169" s="144" t="s">
        <v>9342</v>
      </c>
      <c r="O1169" s="96" t="s">
        <v>207</v>
      </c>
      <c r="P1169" s="97">
        <v>33969</v>
      </c>
      <c r="Q1169" s="95" t="s">
        <v>276</v>
      </c>
      <c r="R1169" s="99" t="s">
        <v>276</v>
      </c>
      <c r="S1169" s="95" t="s">
        <v>276</v>
      </c>
      <c r="T1169" s="163" t="s">
        <v>1219</v>
      </c>
      <c r="U1169" s="98">
        <f>11973+11439</f>
        <v>23412</v>
      </c>
      <c r="V1169" s="99">
        <f>5555+10714</f>
        <v>16269</v>
      </c>
      <c r="W1169" s="94" t="s">
        <v>276</v>
      </c>
      <c r="X1169" s="94" t="s">
        <v>276</v>
      </c>
      <c r="Y1169" s="94" t="s">
        <v>276</v>
      </c>
      <c r="Z1169" s="95" t="s">
        <v>1562</v>
      </c>
      <c r="AA1169" s="94" t="s">
        <v>276</v>
      </c>
      <c r="AB1169" s="95" t="s">
        <v>1562</v>
      </c>
      <c r="AC1169" s="95" t="s">
        <v>9816</v>
      </c>
      <c r="AD1169" s="95" t="s">
        <v>9817</v>
      </c>
      <c r="AE1169" s="94">
        <v>89</v>
      </c>
      <c r="AF1169" s="94">
        <v>103</v>
      </c>
      <c r="AG1169" s="99" t="s">
        <v>276</v>
      </c>
      <c r="AH1169" s="95" t="s">
        <v>276</v>
      </c>
      <c r="AI1169" s="99" t="s">
        <v>425</v>
      </c>
      <c r="AJ1169" s="102" t="s">
        <v>276</v>
      </c>
      <c r="AK1169" s="101" t="s">
        <v>98</v>
      </c>
      <c r="AL1169" s="102" t="s">
        <v>276</v>
      </c>
      <c r="AM1169" s="102" t="s">
        <v>276</v>
      </c>
      <c r="AN1169" s="102" t="s">
        <v>276</v>
      </c>
      <c r="AO1169" s="101" t="s">
        <v>98</v>
      </c>
      <c r="AP1169" s="102" t="s">
        <v>276</v>
      </c>
      <c r="AQ1169" s="102" t="s">
        <v>276</v>
      </c>
      <c r="AR1169" s="94" t="s">
        <v>269</v>
      </c>
      <c r="AS1169" s="102" t="s">
        <v>276</v>
      </c>
      <c r="AT1169" s="101" t="s">
        <v>98</v>
      </c>
      <c r="AU1169" s="100" t="s">
        <v>276</v>
      </c>
      <c r="AV1169" s="100" t="s">
        <v>276</v>
      </c>
      <c r="AW1169" s="94" t="s">
        <v>276</v>
      </c>
      <c r="AX1169" s="95" t="s">
        <v>9810</v>
      </c>
      <c r="AY1169" s="102">
        <v>0.6</v>
      </c>
      <c r="AZ1169" s="94">
        <v>0.42</v>
      </c>
      <c r="BA1169" s="94">
        <v>0.82</v>
      </c>
      <c r="BB1169" s="94" t="s">
        <v>276</v>
      </c>
      <c r="BC1169" s="95" t="s">
        <v>2473</v>
      </c>
      <c r="BD1169" s="95" t="s">
        <v>9806</v>
      </c>
      <c r="BE1169" s="33" t="s">
        <v>100</v>
      </c>
      <c r="BF1169" s="33" t="s">
        <v>98</v>
      </c>
    </row>
    <row r="1170" spans="1:58" s="103" customFormat="1" ht="91" x14ac:dyDescent="0.3">
      <c r="A1170" s="94">
        <v>4092</v>
      </c>
      <c r="B1170" s="94" t="s">
        <v>9799</v>
      </c>
      <c r="C1170" s="95" t="s">
        <v>62</v>
      </c>
      <c r="D1170" s="95" t="s">
        <v>9818</v>
      </c>
      <c r="E1170" s="94" t="s">
        <v>35</v>
      </c>
      <c r="F1170" s="94" t="s">
        <v>97</v>
      </c>
      <c r="G1170" s="94" t="s">
        <v>225</v>
      </c>
      <c r="H1170" s="94" t="s">
        <v>125</v>
      </c>
      <c r="I1170" s="94" t="s">
        <v>113</v>
      </c>
      <c r="J1170" s="95" t="s">
        <v>24</v>
      </c>
      <c r="K1170" s="95" t="s">
        <v>276</v>
      </c>
      <c r="L1170" s="95" t="s">
        <v>276</v>
      </c>
      <c r="M1170" s="94" t="s">
        <v>15</v>
      </c>
      <c r="N1170" s="144" t="s">
        <v>9350</v>
      </c>
      <c r="O1170" s="96" t="s">
        <v>207</v>
      </c>
      <c r="P1170" s="97">
        <v>33969</v>
      </c>
      <c r="Q1170" s="95" t="s">
        <v>276</v>
      </c>
      <c r="R1170" s="99" t="s">
        <v>276</v>
      </c>
      <c r="S1170" s="95" t="s">
        <v>276</v>
      </c>
      <c r="T1170" s="163" t="s">
        <v>1191</v>
      </c>
      <c r="U1170" s="98">
        <f>5306+5033</f>
        <v>10339</v>
      </c>
      <c r="V1170" s="99">
        <f>2439+4868</f>
        <v>7307</v>
      </c>
      <c r="W1170" s="94" t="s">
        <v>276</v>
      </c>
      <c r="X1170" s="94" t="s">
        <v>276</v>
      </c>
      <c r="Y1170" s="94" t="s">
        <v>276</v>
      </c>
      <c r="Z1170" s="95" t="s">
        <v>1562</v>
      </c>
      <c r="AA1170" s="94" t="s">
        <v>276</v>
      </c>
      <c r="AB1170" s="95" t="s">
        <v>1562</v>
      </c>
      <c r="AC1170" s="95" t="s">
        <v>9819</v>
      </c>
      <c r="AD1170" s="95" t="s">
        <v>9820</v>
      </c>
      <c r="AE1170" s="94">
        <v>49</v>
      </c>
      <c r="AF1170" s="94">
        <v>50</v>
      </c>
      <c r="AG1170" s="99" t="s">
        <v>276</v>
      </c>
      <c r="AH1170" s="95" t="s">
        <v>276</v>
      </c>
      <c r="AI1170" s="99" t="s">
        <v>425</v>
      </c>
      <c r="AJ1170" s="102" t="s">
        <v>276</v>
      </c>
      <c r="AK1170" s="101" t="s">
        <v>98</v>
      </c>
      <c r="AL1170" s="102" t="s">
        <v>276</v>
      </c>
      <c r="AM1170" s="102" t="s">
        <v>276</v>
      </c>
      <c r="AN1170" s="102" t="s">
        <v>276</v>
      </c>
      <c r="AO1170" s="101" t="s">
        <v>98</v>
      </c>
      <c r="AP1170" s="102" t="s">
        <v>276</v>
      </c>
      <c r="AQ1170" s="102" t="s">
        <v>276</v>
      </c>
      <c r="AR1170" s="94" t="s">
        <v>269</v>
      </c>
      <c r="AS1170" s="102" t="s">
        <v>276</v>
      </c>
      <c r="AT1170" s="101" t="s">
        <v>98</v>
      </c>
      <c r="AU1170" s="100" t="s">
        <v>276</v>
      </c>
      <c r="AV1170" s="100" t="s">
        <v>276</v>
      </c>
      <c r="AW1170" s="94" t="s">
        <v>276</v>
      </c>
      <c r="AX1170" s="95" t="s">
        <v>9810</v>
      </c>
      <c r="AY1170" s="102">
        <v>0.79</v>
      </c>
      <c r="AZ1170" s="94">
        <v>0.51</v>
      </c>
      <c r="BA1170" s="94">
        <v>1.22</v>
      </c>
      <c r="BB1170" s="94" t="s">
        <v>276</v>
      </c>
      <c r="BC1170" s="95" t="s">
        <v>2473</v>
      </c>
      <c r="BD1170" s="95" t="s">
        <v>9806</v>
      </c>
      <c r="BE1170" s="33" t="s">
        <v>100</v>
      </c>
      <c r="BF1170" s="33" t="s">
        <v>98</v>
      </c>
    </row>
    <row r="1171" spans="1:58" s="103" customFormat="1" ht="91" x14ac:dyDescent="0.3">
      <c r="A1171" s="94">
        <v>4092</v>
      </c>
      <c r="B1171" s="94" t="s">
        <v>9799</v>
      </c>
      <c r="C1171" s="95" t="s">
        <v>62</v>
      </c>
      <c r="D1171" s="95" t="s">
        <v>9821</v>
      </c>
      <c r="E1171" s="94" t="s">
        <v>35</v>
      </c>
      <c r="F1171" s="94" t="s">
        <v>97</v>
      </c>
      <c r="G1171" s="94" t="s">
        <v>225</v>
      </c>
      <c r="H1171" s="94" t="s">
        <v>125</v>
      </c>
      <c r="I1171" s="94" t="s">
        <v>113</v>
      </c>
      <c r="J1171" s="95" t="s">
        <v>24</v>
      </c>
      <c r="K1171" s="95" t="s">
        <v>276</v>
      </c>
      <c r="L1171" s="95" t="s">
        <v>276</v>
      </c>
      <c r="M1171" s="94" t="s">
        <v>15</v>
      </c>
      <c r="N1171" s="144" t="s">
        <v>9271</v>
      </c>
      <c r="O1171" s="96" t="s">
        <v>207</v>
      </c>
      <c r="P1171" s="97">
        <v>33969</v>
      </c>
      <c r="Q1171" s="95" t="s">
        <v>276</v>
      </c>
      <c r="R1171" s="99" t="s">
        <v>276</v>
      </c>
      <c r="S1171" s="95" t="s">
        <v>276</v>
      </c>
      <c r="T1171" s="163" t="s">
        <v>5401</v>
      </c>
      <c r="U1171" s="98">
        <f>29007+28229</f>
        <v>57236</v>
      </c>
      <c r="V1171" s="99">
        <f>13551+26830</f>
        <v>40381</v>
      </c>
      <c r="W1171" s="94" t="s">
        <v>276</v>
      </c>
      <c r="X1171" s="94" t="s">
        <v>276</v>
      </c>
      <c r="Y1171" s="94" t="s">
        <v>276</v>
      </c>
      <c r="Z1171" s="95" t="s">
        <v>1562</v>
      </c>
      <c r="AA1171" s="94" t="s">
        <v>276</v>
      </c>
      <c r="AB1171" s="95" t="s">
        <v>1562</v>
      </c>
      <c r="AC1171" s="95" t="s">
        <v>9822</v>
      </c>
      <c r="AD1171" s="95" t="s">
        <v>9823</v>
      </c>
      <c r="AE1171" s="94">
        <f>49+89+78</f>
        <v>216</v>
      </c>
      <c r="AF1171" s="94">
        <f>50+103+85</f>
        <v>238</v>
      </c>
      <c r="AG1171" s="99" t="s">
        <v>276</v>
      </c>
      <c r="AH1171" s="95" t="s">
        <v>276</v>
      </c>
      <c r="AI1171" s="99" t="s">
        <v>425</v>
      </c>
      <c r="AJ1171" s="102" t="s">
        <v>276</v>
      </c>
      <c r="AK1171" s="101" t="s">
        <v>98</v>
      </c>
      <c r="AL1171" s="102" t="s">
        <v>276</v>
      </c>
      <c r="AM1171" s="102" t="s">
        <v>276</v>
      </c>
      <c r="AN1171" s="102" t="s">
        <v>276</v>
      </c>
      <c r="AO1171" s="101" t="s">
        <v>98</v>
      </c>
      <c r="AP1171" s="102" t="s">
        <v>276</v>
      </c>
      <c r="AQ1171" s="102" t="s">
        <v>276</v>
      </c>
      <c r="AR1171" s="94" t="s">
        <v>269</v>
      </c>
      <c r="AS1171" s="102" t="s">
        <v>276</v>
      </c>
      <c r="AT1171" s="101" t="s">
        <v>98</v>
      </c>
      <c r="AU1171" s="100" t="s">
        <v>276</v>
      </c>
      <c r="AV1171" s="100" t="s">
        <v>276</v>
      </c>
      <c r="AW1171" s="94" t="s">
        <v>276</v>
      </c>
      <c r="AX1171" s="95" t="s">
        <v>9810</v>
      </c>
      <c r="AY1171" s="102">
        <v>0.66</v>
      </c>
      <c r="AZ1171" s="94">
        <v>0.54</v>
      </c>
      <c r="BA1171" s="94">
        <v>0.81</v>
      </c>
      <c r="BB1171" s="94" t="s">
        <v>276</v>
      </c>
      <c r="BC1171" s="95" t="s">
        <v>9811</v>
      </c>
      <c r="BD1171" s="95" t="s">
        <v>9806</v>
      </c>
      <c r="BE1171" s="33" t="s">
        <v>100</v>
      </c>
      <c r="BF1171" s="33" t="s">
        <v>98</v>
      </c>
    </row>
    <row r="1172" spans="1:58" s="208" customFormat="1" ht="91" x14ac:dyDescent="0.3">
      <c r="A1172" s="112">
        <v>4092</v>
      </c>
      <c r="B1172" s="112" t="s">
        <v>9799</v>
      </c>
      <c r="C1172" s="113" t="s">
        <v>9264</v>
      </c>
      <c r="D1172" s="113" t="s">
        <v>9800</v>
      </c>
      <c r="E1172" s="112" t="s">
        <v>35</v>
      </c>
      <c r="F1172" s="112" t="s">
        <v>97</v>
      </c>
      <c r="G1172" s="112" t="s">
        <v>225</v>
      </c>
      <c r="H1172" s="112" t="s">
        <v>125</v>
      </c>
      <c r="I1172" s="112" t="s">
        <v>113</v>
      </c>
      <c r="J1172" s="113" t="s">
        <v>24</v>
      </c>
      <c r="K1172" s="113" t="s">
        <v>276</v>
      </c>
      <c r="L1172" s="113" t="s">
        <v>276</v>
      </c>
      <c r="M1172" s="112" t="s">
        <v>15</v>
      </c>
      <c r="N1172" s="204" t="s">
        <v>9254</v>
      </c>
      <c r="O1172" s="117" t="s">
        <v>207</v>
      </c>
      <c r="P1172" s="205">
        <v>33969</v>
      </c>
      <c r="Q1172" s="113" t="s">
        <v>276</v>
      </c>
      <c r="R1172" s="119" t="s">
        <v>276</v>
      </c>
      <c r="S1172" s="113" t="s">
        <v>276</v>
      </c>
      <c r="T1172" s="162" t="s">
        <v>1719</v>
      </c>
      <c r="U1172" s="118">
        <f>9582+29007</f>
        <v>38589</v>
      </c>
      <c r="V1172" s="119">
        <f>5031+13551</f>
        <v>18582</v>
      </c>
      <c r="W1172" s="112" t="s">
        <v>276</v>
      </c>
      <c r="X1172" s="112" t="s">
        <v>276</v>
      </c>
      <c r="Y1172" s="112" t="s">
        <v>276</v>
      </c>
      <c r="Z1172" s="113" t="s">
        <v>1562</v>
      </c>
      <c r="AA1172" s="112" t="s">
        <v>276</v>
      </c>
      <c r="AB1172" s="113" t="s">
        <v>1562</v>
      </c>
      <c r="AC1172" s="113" t="s">
        <v>9803</v>
      </c>
      <c r="AD1172" s="113" t="s">
        <v>9778</v>
      </c>
      <c r="AE1172" s="415">
        <f>22+104</f>
        <v>126</v>
      </c>
      <c r="AF1172" s="112">
        <f>16+88</f>
        <v>104</v>
      </c>
      <c r="AG1172" s="119" t="s">
        <v>276</v>
      </c>
      <c r="AH1172" s="113" t="s">
        <v>276</v>
      </c>
      <c r="AI1172" s="119" t="s">
        <v>425</v>
      </c>
      <c r="AJ1172" s="121" t="s">
        <v>276</v>
      </c>
      <c r="AK1172" s="207" t="s">
        <v>98</v>
      </c>
      <c r="AL1172" s="121" t="s">
        <v>276</v>
      </c>
      <c r="AM1172" s="121" t="s">
        <v>276</v>
      </c>
      <c r="AN1172" s="121" t="s">
        <v>276</v>
      </c>
      <c r="AO1172" s="207" t="s">
        <v>98</v>
      </c>
      <c r="AP1172" s="121" t="s">
        <v>276</v>
      </c>
      <c r="AQ1172" s="121" t="s">
        <v>276</v>
      </c>
      <c r="AR1172" s="112" t="s">
        <v>269</v>
      </c>
      <c r="AS1172" s="121" t="s">
        <v>276</v>
      </c>
      <c r="AT1172" s="207" t="s">
        <v>98</v>
      </c>
      <c r="AU1172" s="164" t="s">
        <v>276</v>
      </c>
      <c r="AV1172" s="164" t="s">
        <v>276</v>
      </c>
      <c r="AW1172" s="112" t="s">
        <v>276</v>
      </c>
      <c r="AX1172" s="113" t="s">
        <v>9824</v>
      </c>
      <c r="AY1172" s="121">
        <v>0.6</v>
      </c>
      <c r="AZ1172" s="112">
        <v>0.46</v>
      </c>
      <c r="BA1172" s="112">
        <v>0.79</v>
      </c>
      <c r="BB1172" s="112" t="s">
        <v>276</v>
      </c>
      <c r="BC1172" s="113" t="s">
        <v>2473</v>
      </c>
      <c r="BD1172" s="113" t="s">
        <v>9806</v>
      </c>
      <c r="BE1172" s="33" t="s">
        <v>100</v>
      </c>
      <c r="BF1172" s="33" t="s">
        <v>98</v>
      </c>
    </row>
    <row r="1173" spans="1:58" s="208" customFormat="1" ht="91" x14ac:dyDescent="0.3">
      <c r="A1173" s="112">
        <v>4092</v>
      </c>
      <c r="B1173" s="112" t="s">
        <v>9799</v>
      </c>
      <c r="C1173" s="113" t="s">
        <v>9264</v>
      </c>
      <c r="D1173" s="113" t="s">
        <v>9807</v>
      </c>
      <c r="E1173" s="112" t="s">
        <v>35</v>
      </c>
      <c r="F1173" s="112" t="s">
        <v>97</v>
      </c>
      <c r="G1173" s="112" t="s">
        <v>225</v>
      </c>
      <c r="H1173" s="112" t="s">
        <v>125</v>
      </c>
      <c r="I1173" s="112" t="s">
        <v>113</v>
      </c>
      <c r="J1173" s="113" t="s">
        <v>24</v>
      </c>
      <c r="K1173" s="113" t="s">
        <v>276</v>
      </c>
      <c r="L1173" s="113" t="s">
        <v>276</v>
      </c>
      <c r="M1173" s="112" t="s">
        <v>15</v>
      </c>
      <c r="N1173" s="204" t="s">
        <v>3032</v>
      </c>
      <c r="O1173" s="117" t="s">
        <v>207</v>
      </c>
      <c r="P1173" s="205">
        <v>33969</v>
      </c>
      <c r="Q1173" s="113" t="s">
        <v>276</v>
      </c>
      <c r="R1173" s="119" t="s">
        <v>276</v>
      </c>
      <c r="S1173" s="113" t="s">
        <v>276</v>
      </c>
      <c r="T1173" s="162" t="s">
        <v>1192</v>
      </c>
      <c r="U1173" s="118">
        <v>9582</v>
      </c>
      <c r="V1173" s="119">
        <v>5031</v>
      </c>
      <c r="W1173" s="112" t="s">
        <v>276</v>
      </c>
      <c r="X1173" s="112" t="s">
        <v>276</v>
      </c>
      <c r="Y1173" s="112" t="s">
        <v>276</v>
      </c>
      <c r="Z1173" s="113" t="s">
        <v>1562</v>
      </c>
      <c r="AA1173" s="112" t="s">
        <v>276</v>
      </c>
      <c r="AB1173" s="113" t="s">
        <v>1562</v>
      </c>
      <c r="AC1173" s="113" t="s">
        <v>9808</v>
      </c>
      <c r="AD1173" s="113" t="s">
        <v>9809</v>
      </c>
      <c r="AE1173" s="112">
        <v>22</v>
      </c>
      <c r="AF1173" s="112">
        <v>16</v>
      </c>
      <c r="AG1173" s="119" t="s">
        <v>276</v>
      </c>
      <c r="AH1173" s="113" t="s">
        <v>276</v>
      </c>
      <c r="AI1173" s="119" t="s">
        <v>425</v>
      </c>
      <c r="AJ1173" s="121" t="s">
        <v>276</v>
      </c>
      <c r="AK1173" s="207" t="s">
        <v>98</v>
      </c>
      <c r="AL1173" s="121" t="s">
        <v>276</v>
      </c>
      <c r="AM1173" s="121" t="s">
        <v>276</v>
      </c>
      <c r="AN1173" s="121" t="s">
        <v>276</v>
      </c>
      <c r="AO1173" s="207" t="s">
        <v>98</v>
      </c>
      <c r="AP1173" s="121" t="s">
        <v>276</v>
      </c>
      <c r="AQ1173" s="121" t="s">
        <v>276</v>
      </c>
      <c r="AR1173" s="112" t="s">
        <v>269</v>
      </c>
      <c r="AS1173" s="121" t="s">
        <v>276</v>
      </c>
      <c r="AT1173" s="207" t="s">
        <v>98</v>
      </c>
      <c r="AU1173" s="164" t="s">
        <v>276</v>
      </c>
      <c r="AV1173" s="164" t="s">
        <v>276</v>
      </c>
      <c r="AW1173" s="112" t="s">
        <v>276</v>
      </c>
      <c r="AX1173" s="113" t="s">
        <v>9825</v>
      </c>
      <c r="AY1173" s="121">
        <v>0.73</v>
      </c>
      <c r="AZ1173" s="112">
        <v>0.37</v>
      </c>
      <c r="BA1173" s="112">
        <v>1.41</v>
      </c>
      <c r="BB1173" s="112" t="s">
        <v>276</v>
      </c>
      <c r="BC1173" s="113" t="s">
        <v>2473</v>
      </c>
      <c r="BD1173" s="113" t="s">
        <v>9806</v>
      </c>
      <c r="BE1173" s="33" t="s">
        <v>100</v>
      </c>
      <c r="BF1173" s="33" t="s">
        <v>98</v>
      </c>
    </row>
    <row r="1174" spans="1:58" s="208" customFormat="1" ht="91" x14ac:dyDescent="0.3">
      <c r="A1174" s="112">
        <v>4092</v>
      </c>
      <c r="B1174" s="112" t="s">
        <v>9799</v>
      </c>
      <c r="C1174" s="113" t="s">
        <v>9264</v>
      </c>
      <c r="D1174" s="113" t="s">
        <v>9812</v>
      </c>
      <c r="E1174" s="112" t="s">
        <v>35</v>
      </c>
      <c r="F1174" s="112" t="s">
        <v>97</v>
      </c>
      <c r="G1174" s="112" t="s">
        <v>225</v>
      </c>
      <c r="H1174" s="112" t="s">
        <v>125</v>
      </c>
      <c r="I1174" s="112" t="s">
        <v>113</v>
      </c>
      <c r="J1174" s="113" t="s">
        <v>24</v>
      </c>
      <c r="K1174" s="113" t="s">
        <v>276</v>
      </c>
      <c r="L1174" s="113" t="s">
        <v>276</v>
      </c>
      <c r="M1174" s="112" t="s">
        <v>15</v>
      </c>
      <c r="N1174" s="204" t="s">
        <v>3038</v>
      </c>
      <c r="O1174" s="117" t="s">
        <v>207</v>
      </c>
      <c r="P1174" s="205">
        <v>33969</v>
      </c>
      <c r="Q1174" s="113" t="s">
        <v>276</v>
      </c>
      <c r="R1174" s="119" t="s">
        <v>276</v>
      </c>
      <c r="S1174" s="113" t="s">
        <v>276</v>
      </c>
      <c r="T1174" s="162" t="s">
        <v>1219</v>
      </c>
      <c r="U1174" s="118">
        <v>11728</v>
      </c>
      <c r="V1174" s="119">
        <v>5557</v>
      </c>
      <c r="W1174" s="112" t="s">
        <v>276</v>
      </c>
      <c r="X1174" s="112" t="s">
        <v>276</v>
      </c>
      <c r="Y1174" s="112" t="s">
        <v>276</v>
      </c>
      <c r="Z1174" s="113" t="s">
        <v>1562</v>
      </c>
      <c r="AA1174" s="112" t="s">
        <v>276</v>
      </c>
      <c r="AB1174" s="113" t="s">
        <v>1562</v>
      </c>
      <c r="AC1174" s="113" t="s">
        <v>9813</v>
      </c>
      <c r="AD1174" s="113" t="s">
        <v>9814</v>
      </c>
      <c r="AE1174" s="112">
        <v>34</v>
      </c>
      <c r="AF1174" s="112">
        <v>34</v>
      </c>
      <c r="AG1174" s="119" t="s">
        <v>276</v>
      </c>
      <c r="AH1174" s="113" t="s">
        <v>276</v>
      </c>
      <c r="AI1174" s="119" t="s">
        <v>425</v>
      </c>
      <c r="AJ1174" s="121" t="s">
        <v>276</v>
      </c>
      <c r="AK1174" s="207" t="s">
        <v>98</v>
      </c>
      <c r="AL1174" s="121" t="s">
        <v>276</v>
      </c>
      <c r="AM1174" s="121" t="s">
        <v>276</v>
      </c>
      <c r="AN1174" s="121" t="s">
        <v>276</v>
      </c>
      <c r="AO1174" s="207" t="s">
        <v>98</v>
      </c>
      <c r="AP1174" s="121" t="s">
        <v>276</v>
      </c>
      <c r="AQ1174" s="121" t="s">
        <v>276</v>
      </c>
      <c r="AR1174" s="112" t="s">
        <v>269</v>
      </c>
      <c r="AS1174" s="121" t="s">
        <v>276</v>
      </c>
      <c r="AT1174" s="207" t="s">
        <v>98</v>
      </c>
      <c r="AU1174" s="164" t="s">
        <v>276</v>
      </c>
      <c r="AV1174" s="164" t="s">
        <v>276</v>
      </c>
      <c r="AW1174" s="112" t="s">
        <v>276</v>
      </c>
      <c r="AX1174" s="113" t="s">
        <v>9825</v>
      </c>
      <c r="AY1174" s="121">
        <v>0.48</v>
      </c>
      <c r="AZ1174" s="112">
        <v>0.28999999999999998</v>
      </c>
      <c r="BA1174" s="112">
        <v>0.77</v>
      </c>
      <c r="BB1174" s="112" t="s">
        <v>276</v>
      </c>
      <c r="BC1174" s="113" t="s">
        <v>2473</v>
      </c>
      <c r="BD1174" s="113" t="s">
        <v>9806</v>
      </c>
      <c r="BE1174" s="33" t="s">
        <v>100</v>
      </c>
      <c r="BF1174" s="33" t="s">
        <v>98</v>
      </c>
    </row>
    <row r="1175" spans="1:58" s="208" customFormat="1" ht="91" x14ac:dyDescent="0.3">
      <c r="A1175" s="112">
        <v>4092</v>
      </c>
      <c r="B1175" s="112" t="s">
        <v>9799</v>
      </c>
      <c r="C1175" s="113" t="s">
        <v>9264</v>
      </c>
      <c r="D1175" s="113" t="s">
        <v>9815</v>
      </c>
      <c r="E1175" s="112" t="s">
        <v>35</v>
      </c>
      <c r="F1175" s="112" t="s">
        <v>97</v>
      </c>
      <c r="G1175" s="112" t="s">
        <v>225</v>
      </c>
      <c r="H1175" s="112" t="s">
        <v>125</v>
      </c>
      <c r="I1175" s="112" t="s">
        <v>113</v>
      </c>
      <c r="J1175" s="113" t="s">
        <v>24</v>
      </c>
      <c r="K1175" s="113" t="s">
        <v>276</v>
      </c>
      <c r="L1175" s="113" t="s">
        <v>276</v>
      </c>
      <c r="M1175" s="112" t="s">
        <v>15</v>
      </c>
      <c r="N1175" s="204" t="s">
        <v>9342</v>
      </c>
      <c r="O1175" s="117" t="s">
        <v>207</v>
      </c>
      <c r="P1175" s="205">
        <v>33969</v>
      </c>
      <c r="Q1175" s="113" t="s">
        <v>276</v>
      </c>
      <c r="R1175" s="119" t="s">
        <v>276</v>
      </c>
      <c r="S1175" s="113" t="s">
        <v>276</v>
      </c>
      <c r="T1175" s="162" t="s">
        <v>1219</v>
      </c>
      <c r="U1175" s="118">
        <v>11973</v>
      </c>
      <c r="V1175" s="119">
        <v>5555</v>
      </c>
      <c r="W1175" s="112" t="s">
        <v>276</v>
      </c>
      <c r="X1175" s="112" t="s">
        <v>276</v>
      </c>
      <c r="Y1175" s="112" t="s">
        <v>276</v>
      </c>
      <c r="Z1175" s="113" t="s">
        <v>1562</v>
      </c>
      <c r="AA1175" s="112" t="s">
        <v>276</v>
      </c>
      <c r="AB1175" s="113" t="s">
        <v>1562</v>
      </c>
      <c r="AC1175" s="113" t="s">
        <v>9816</v>
      </c>
      <c r="AD1175" s="113" t="s">
        <v>9817</v>
      </c>
      <c r="AE1175" s="112">
        <v>44</v>
      </c>
      <c r="AF1175" s="112">
        <v>35</v>
      </c>
      <c r="AG1175" s="119" t="s">
        <v>276</v>
      </c>
      <c r="AH1175" s="113" t="s">
        <v>276</v>
      </c>
      <c r="AI1175" s="119" t="s">
        <v>425</v>
      </c>
      <c r="AJ1175" s="121" t="s">
        <v>276</v>
      </c>
      <c r="AK1175" s="207" t="s">
        <v>98</v>
      </c>
      <c r="AL1175" s="121" t="s">
        <v>276</v>
      </c>
      <c r="AM1175" s="121" t="s">
        <v>276</v>
      </c>
      <c r="AN1175" s="121" t="s">
        <v>276</v>
      </c>
      <c r="AO1175" s="207" t="s">
        <v>98</v>
      </c>
      <c r="AP1175" s="121" t="s">
        <v>276</v>
      </c>
      <c r="AQ1175" s="121" t="s">
        <v>276</v>
      </c>
      <c r="AR1175" s="112" t="s">
        <v>269</v>
      </c>
      <c r="AS1175" s="121" t="s">
        <v>276</v>
      </c>
      <c r="AT1175" s="207" t="s">
        <v>98</v>
      </c>
      <c r="AU1175" s="164" t="s">
        <v>276</v>
      </c>
      <c r="AV1175" s="164" t="s">
        <v>276</v>
      </c>
      <c r="AW1175" s="112" t="s">
        <v>276</v>
      </c>
      <c r="AX1175" s="113" t="s">
        <v>9825</v>
      </c>
      <c r="AY1175" s="121">
        <v>0.57999999999999996</v>
      </c>
      <c r="AZ1175" s="112">
        <v>0.35</v>
      </c>
      <c r="BA1175" s="112">
        <v>0.96</v>
      </c>
      <c r="BB1175" s="112" t="s">
        <v>276</v>
      </c>
      <c r="BC1175" s="113" t="s">
        <v>2473</v>
      </c>
      <c r="BD1175" s="113" t="s">
        <v>9806</v>
      </c>
      <c r="BE1175" s="33" t="s">
        <v>100</v>
      </c>
      <c r="BF1175" s="33" t="s">
        <v>98</v>
      </c>
    </row>
    <row r="1176" spans="1:58" s="208" customFormat="1" ht="91" x14ac:dyDescent="0.3">
      <c r="A1176" s="112">
        <v>4092</v>
      </c>
      <c r="B1176" s="112" t="s">
        <v>9799</v>
      </c>
      <c r="C1176" s="113" t="s">
        <v>9264</v>
      </c>
      <c r="D1176" s="113" t="s">
        <v>9818</v>
      </c>
      <c r="E1176" s="112" t="s">
        <v>35</v>
      </c>
      <c r="F1176" s="112" t="s">
        <v>97</v>
      </c>
      <c r="G1176" s="112" t="s">
        <v>225</v>
      </c>
      <c r="H1176" s="112" t="s">
        <v>125</v>
      </c>
      <c r="I1176" s="112" t="s">
        <v>113</v>
      </c>
      <c r="J1176" s="113" t="s">
        <v>24</v>
      </c>
      <c r="K1176" s="113" t="s">
        <v>276</v>
      </c>
      <c r="L1176" s="113" t="s">
        <v>276</v>
      </c>
      <c r="M1176" s="112" t="s">
        <v>15</v>
      </c>
      <c r="N1176" s="204" t="s">
        <v>9350</v>
      </c>
      <c r="O1176" s="117" t="s">
        <v>207</v>
      </c>
      <c r="P1176" s="205">
        <v>33969</v>
      </c>
      <c r="Q1176" s="113" t="s">
        <v>276</v>
      </c>
      <c r="R1176" s="119" t="s">
        <v>276</v>
      </c>
      <c r="S1176" s="113" t="s">
        <v>276</v>
      </c>
      <c r="T1176" s="162" t="s">
        <v>1191</v>
      </c>
      <c r="U1176" s="118">
        <v>5306</v>
      </c>
      <c r="V1176" s="119">
        <v>2439</v>
      </c>
      <c r="W1176" s="112" t="s">
        <v>276</v>
      </c>
      <c r="X1176" s="112" t="s">
        <v>276</v>
      </c>
      <c r="Y1176" s="112" t="s">
        <v>276</v>
      </c>
      <c r="Z1176" s="113" t="s">
        <v>1562</v>
      </c>
      <c r="AA1176" s="112" t="s">
        <v>276</v>
      </c>
      <c r="AB1176" s="113" t="s">
        <v>1562</v>
      </c>
      <c r="AC1176" s="113" t="s">
        <v>9819</v>
      </c>
      <c r="AD1176" s="113" t="s">
        <v>9820</v>
      </c>
      <c r="AE1176" s="112">
        <v>26</v>
      </c>
      <c r="AF1176" s="112">
        <v>19</v>
      </c>
      <c r="AG1176" s="119" t="s">
        <v>276</v>
      </c>
      <c r="AH1176" s="113" t="s">
        <v>276</v>
      </c>
      <c r="AI1176" s="119" t="s">
        <v>425</v>
      </c>
      <c r="AJ1176" s="121" t="s">
        <v>276</v>
      </c>
      <c r="AK1176" s="207" t="s">
        <v>98</v>
      </c>
      <c r="AL1176" s="121" t="s">
        <v>276</v>
      </c>
      <c r="AM1176" s="121" t="s">
        <v>276</v>
      </c>
      <c r="AN1176" s="121" t="s">
        <v>276</v>
      </c>
      <c r="AO1176" s="207" t="s">
        <v>98</v>
      </c>
      <c r="AP1176" s="121" t="s">
        <v>276</v>
      </c>
      <c r="AQ1176" s="121" t="s">
        <v>276</v>
      </c>
      <c r="AR1176" s="112" t="s">
        <v>269</v>
      </c>
      <c r="AS1176" s="121" t="s">
        <v>276</v>
      </c>
      <c r="AT1176" s="207" t="s">
        <v>98</v>
      </c>
      <c r="AU1176" s="164" t="s">
        <v>276</v>
      </c>
      <c r="AV1176" s="164" t="s">
        <v>276</v>
      </c>
      <c r="AW1176" s="112" t="s">
        <v>276</v>
      </c>
      <c r="AX1176" s="113" t="s">
        <v>9825</v>
      </c>
      <c r="AY1176" s="121">
        <v>0.76</v>
      </c>
      <c r="AZ1176" s="112">
        <v>0.42</v>
      </c>
      <c r="BA1176" s="112">
        <v>1.36</v>
      </c>
      <c r="BB1176" s="112" t="s">
        <v>276</v>
      </c>
      <c r="BC1176" s="113" t="s">
        <v>2473</v>
      </c>
      <c r="BD1176" s="113" t="s">
        <v>9806</v>
      </c>
      <c r="BE1176" s="33" t="s">
        <v>100</v>
      </c>
      <c r="BF1176" s="33" t="s">
        <v>98</v>
      </c>
    </row>
    <row r="1177" spans="1:58" s="208" customFormat="1" ht="91" x14ac:dyDescent="0.3">
      <c r="A1177" s="112">
        <v>4092</v>
      </c>
      <c r="B1177" s="112" t="s">
        <v>9799</v>
      </c>
      <c r="C1177" s="113" t="s">
        <v>9264</v>
      </c>
      <c r="D1177" s="113" t="s">
        <v>9821</v>
      </c>
      <c r="E1177" s="112" t="s">
        <v>35</v>
      </c>
      <c r="F1177" s="112" t="s">
        <v>97</v>
      </c>
      <c r="G1177" s="112" t="s">
        <v>225</v>
      </c>
      <c r="H1177" s="112" t="s">
        <v>125</v>
      </c>
      <c r="I1177" s="112" t="s">
        <v>113</v>
      </c>
      <c r="J1177" s="113" t="s">
        <v>24</v>
      </c>
      <c r="K1177" s="113" t="s">
        <v>276</v>
      </c>
      <c r="L1177" s="113" t="s">
        <v>276</v>
      </c>
      <c r="M1177" s="112" t="s">
        <v>15</v>
      </c>
      <c r="N1177" s="204" t="s">
        <v>9271</v>
      </c>
      <c r="O1177" s="117" t="s">
        <v>207</v>
      </c>
      <c r="P1177" s="205">
        <v>33969</v>
      </c>
      <c r="Q1177" s="113" t="s">
        <v>276</v>
      </c>
      <c r="R1177" s="119" t="s">
        <v>276</v>
      </c>
      <c r="S1177" s="113" t="s">
        <v>276</v>
      </c>
      <c r="T1177" s="162" t="s">
        <v>5401</v>
      </c>
      <c r="U1177" s="118">
        <v>29007</v>
      </c>
      <c r="V1177" s="119">
        <v>13551</v>
      </c>
      <c r="W1177" s="112" t="s">
        <v>276</v>
      </c>
      <c r="X1177" s="112" t="s">
        <v>276</v>
      </c>
      <c r="Y1177" s="112" t="s">
        <v>276</v>
      </c>
      <c r="Z1177" s="113" t="s">
        <v>1562</v>
      </c>
      <c r="AA1177" s="112" t="s">
        <v>276</v>
      </c>
      <c r="AB1177" s="113" t="s">
        <v>1562</v>
      </c>
      <c r="AC1177" s="113" t="s">
        <v>9822</v>
      </c>
      <c r="AD1177" s="113" t="s">
        <v>9823</v>
      </c>
      <c r="AE1177" s="112">
        <f>26+44+34</f>
        <v>104</v>
      </c>
      <c r="AF1177" s="112">
        <f>19+35+34</f>
        <v>88</v>
      </c>
      <c r="AG1177" s="119" t="s">
        <v>276</v>
      </c>
      <c r="AH1177" s="113" t="s">
        <v>276</v>
      </c>
      <c r="AI1177" s="119" t="s">
        <v>425</v>
      </c>
      <c r="AJ1177" s="121" t="s">
        <v>276</v>
      </c>
      <c r="AK1177" s="207" t="s">
        <v>98</v>
      </c>
      <c r="AL1177" s="121" t="s">
        <v>276</v>
      </c>
      <c r="AM1177" s="121" t="s">
        <v>276</v>
      </c>
      <c r="AN1177" s="121" t="s">
        <v>276</v>
      </c>
      <c r="AO1177" s="207" t="s">
        <v>98</v>
      </c>
      <c r="AP1177" s="121" t="s">
        <v>276</v>
      </c>
      <c r="AQ1177" s="121" t="s">
        <v>276</v>
      </c>
      <c r="AR1177" s="112" t="s">
        <v>269</v>
      </c>
      <c r="AS1177" s="121" t="s">
        <v>276</v>
      </c>
      <c r="AT1177" s="207" t="s">
        <v>98</v>
      </c>
      <c r="AU1177" s="164" t="s">
        <v>276</v>
      </c>
      <c r="AV1177" s="164" t="s">
        <v>276</v>
      </c>
      <c r="AW1177" s="112" t="s">
        <v>276</v>
      </c>
      <c r="AX1177" s="113" t="s">
        <v>9825</v>
      </c>
      <c r="AY1177" s="121">
        <v>0.57999999999999996</v>
      </c>
      <c r="AZ1177" s="112">
        <v>0.43</v>
      </c>
      <c r="BA1177" s="112">
        <v>0.78</v>
      </c>
      <c r="BB1177" s="112" t="s">
        <v>276</v>
      </c>
      <c r="BC1177" s="113" t="s">
        <v>2473</v>
      </c>
      <c r="BD1177" s="113" t="s">
        <v>9806</v>
      </c>
      <c r="BE1177" s="33" t="s">
        <v>100</v>
      </c>
      <c r="BF1177" s="33" t="s">
        <v>98</v>
      </c>
    </row>
    <row r="1178" spans="1:58" s="103" customFormat="1" ht="91" x14ac:dyDescent="0.3">
      <c r="A1178" s="94">
        <v>4092</v>
      </c>
      <c r="B1178" s="94" t="s">
        <v>9799</v>
      </c>
      <c r="C1178" s="95" t="s">
        <v>9266</v>
      </c>
      <c r="D1178" s="95" t="s">
        <v>9800</v>
      </c>
      <c r="E1178" s="94" t="s">
        <v>35</v>
      </c>
      <c r="F1178" s="94" t="s">
        <v>97</v>
      </c>
      <c r="G1178" s="94" t="s">
        <v>225</v>
      </c>
      <c r="H1178" s="94" t="s">
        <v>125</v>
      </c>
      <c r="I1178" s="94" t="s">
        <v>113</v>
      </c>
      <c r="J1178" s="95" t="s">
        <v>24</v>
      </c>
      <c r="K1178" s="95" t="s">
        <v>276</v>
      </c>
      <c r="L1178" s="95" t="s">
        <v>276</v>
      </c>
      <c r="M1178" s="94" t="s">
        <v>15</v>
      </c>
      <c r="N1178" s="144" t="s">
        <v>9254</v>
      </c>
      <c r="O1178" s="96" t="s">
        <v>207</v>
      </c>
      <c r="P1178" s="97">
        <v>33969</v>
      </c>
      <c r="Q1178" s="95" t="s">
        <v>276</v>
      </c>
      <c r="R1178" s="99" t="s">
        <v>276</v>
      </c>
      <c r="S1178" s="95" t="s">
        <v>276</v>
      </c>
      <c r="T1178" s="163" t="s">
        <v>1719</v>
      </c>
      <c r="U1178" s="98">
        <f>10262+28229</f>
        <v>38491</v>
      </c>
      <c r="V1178" s="99">
        <f>10573+26830</f>
        <v>37403</v>
      </c>
      <c r="W1178" s="94" t="s">
        <v>276</v>
      </c>
      <c r="X1178" s="94" t="s">
        <v>276</v>
      </c>
      <c r="Y1178" s="94" t="s">
        <v>276</v>
      </c>
      <c r="Z1178" s="95" t="s">
        <v>1562</v>
      </c>
      <c r="AA1178" s="94" t="s">
        <v>276</v>
      </c>
      <c r="AB1178" s="95" t="s">
        <v>1562</v>
      </c>
      <c r="AC1178" s="95" t="s">
        <v>9803</v>
      </c>
      <c r="AD1178" s="95" t="s">
        <v>9778</v>
      </c>
      <c r="AE1178" s="415">
        <f>23+112</f>
        <v>135</v>
      </c>
      <c r="AF1178" s="94">
        <f>150+23</f>
        <v>173</v>
      </c>
      <c r="AG1178" s="99" t="s">
        <v>276</v>
      </c>
      <c r="AH1178" s="95" t="s">
        <v>276</v>
      </c>
      <c r="AI1178" s="99" t="s">
        <v>425</v>
      </c>
      <c r="AJ1178" s="102" t="s">
        <v>276</v>
      </c>
      <c r="AK1178" s="101" t="s">
        <v>98</v>
      </c>
      <c r="AL1178" s="102" t="s">
        <v>276</v>
      </c>
      <c r="AM1178" s="102" t="s">
        <v>276</v>
      </c>
      <c r="AN1178" s="102" t="s">
        <v>276</v>
      </c>
      <c r="AO1178" s="101" t="s">
        <v>98</v>
      </c>
      <c r="AP1178" s="102" t="s">
        <v>276</v>
      </c>
      <c r="AQ1178" s="102" t="s">
        <v>276</v>
      </c>
      <c r="AR1178" s="94" t="s">
        <v>269</v>
      </c>
      <c r="AS1178" s="102" t="s">
        <v>276</v>
      </c>
      <c r="AT1178" s="101" t="s">
        <v>98</v>
      </c>
      <c r="AU1178" s="100" t="s">
        <v>276</v>
      </c>
      <c r="AV1178" s="100" t="s">
        <v>276</v>
      </c>
      <c r="AW1178" s="94" t="s">
        <v>276</v>
      </c>
      <c r="AX1178" s="95" t="s">
        <v>9824</v>
      </c>
      <c r="AY1178" s="102">
        <v>0.78</v>
      </c>
      <c r="AZ1178" s="102">
        <v>0.6</v>
      </c>
      <c r="BA1178" s="94">
        <v>1.01</v>
      </c>
      <c r="BB1178" s="94" t="s">
        <v>276</v>
      </c>
      <c r="BC1178" s="95" t="s">
        <v>2473</v>
      </c>
      <c r="BD1178" s="95" t="s">
        <v>9806</v>
      </c>
      <c r="BE1178" s="33" t="s">
        <v>100</v>
      </c>
      <c r="BF1178" s="33" t="s">
        <v>98</v>
      </c>
    </row>
    <row r="1179" spans="1:58" s="103" customFormat="1" ht="91" x14ac:dyDescent="0.3">
      <c r="A1179" s="94">
        <v>4092</v>
      </c>
      <c r="B1179" s="94" t="s">
        <v>9799</v>
      </c>
      <c r="C1179" s="95" t="s">
        <v>9266</v>
      </c>
      <c r="D1179" s="95" t="s">
        <v>9807</v>
      </c>
      <c r="E1179" s="94" t="s">
        <v>35</v>
      </c>
      <c r="F1179" s="94" t="s">
        <v>97</v>
      </c>
      <c r="G1179" s="94" t="s">
        <v>225</v>
      </c>
      <c r="H1179" s="94" t="s">
        <v>125</v>
      </c>
      <c r="I1179" s="94" t="s">
        <v>113</v>
      </c>
      <c r="J1179" s="95" t="s">
        <v>24</v>
      </c>
      <c r="K1179" s="95" t="s">
        <v>276</v>
      </c>
      <c r="L1179" s="95" t="s">
        <v>276</v>
      </c>
      <c r="M1179" s="94" t="s">
        <v>15</v>
      </c>
      <c r="N1179" s="144" t="s">
        <v>3032</v>
      </c>
      <c r="O1179" s="96" t="s">
        <v>207</v>
      </c>
      <c r="P1179" s="97">
        <v>33969</v>
      </c>
      <c r="Q1179" s="95" t="s">
        <v>276</v>
      </c>
      <c r="R1179" s="99" t="s">
        <v>276</v>
      </c>
      <c r="S1179" s="95" t="s">
        <v>276</v>
      </c>
      <c r="T1179" s="163" t="s">
        <v>1192</v>
      </c>
      <c r="U1179" s="98">
        <v>10262</v>
      </c>
      <c r="V1179" s="99">
        <v>10573</v>
      </c>
      <c r="W1179" s="94" t="s">
        <v>276</v>
      </c>
      <c r="X1179" s="94" t="s">
        <v>276</v>
      </c>
      <c r="Y1179" s="94" t="s">
        <v>276</v>
      </c>
      <c r="Z1179" s="95" t="s">
        <v>1562</v>
      </c>
      <c r="AA1179" s="94" t="s">
        <v>276</v>
      </c>
      <c r="AB1179" s="95" t="s">
        <v>1562</v>
      </c>
      <c r="AC1179" s="95" t="s">
        <v>9808</v>
      </c>
      <c r="AD1179" s="95" t="s">
        <v>9809</v>
      </c>
      <c r="AE1179" s="94">
        <v>23</v>
      </c>
      <c r="AF1179" s="94">
        <v>23</v>
      </c>
      <c r="AG1179" s="99" t="s">
        <v>276</v>
      </c>
      <c r="AH1179" s="95" t="s">
        <v>276</v>
      </c>
      <c r="AI1179" s="99" t="s">
        <v>425</v>
      </c>
      <c r="AJ1179" s="102" t="s">
        <v>276</v>
      </c>
      <c r="AK1179" s="101" t="s">
        <v>98</v>
      </c>
      <c r="AL1179" s="102" t="s">
        <v>276</v>
      </c>
      <c r="AM1179" s="102" t="s">
        <v>276</v>
      </c>
      <c r="AN1179" s="102" t="s">
        <v>276</v>
      </c>
      <c r="AO1179" s="101" t="s">
        <v>98</v>
      </c>
      <c r="AP1179" s="102" t="s">
        <v>276</v>
      </c>
      <c r="AQ1179" s="102" t="s">
        <v>276</v>
      </c>
      <c r="AR1179" s="94" t="s">
        <v>269</v>
      </c>
      <c r="AS1179" s="102" t="s">
        <v>276</v>
      </c>
      <c r="AT1179" s="101" t="s">
        <v>98</v>
      </c>
      <c r="AU1179" s="100" t="s">
        <v>276</v>
      </c>
      <c r="AV1179" s="100" t="s">
        <v>276</v>
      </c>
      <c r="AW1179" s="94" t="s">
        <v>276</v>
      </c>
      <c r="AX1179" s="95" t="s">
        <v>9825</v>
      </c>
      <c r="AY1179" s="102">
        <v>1.02</v>
      </c>
      <c r="AZ1179" s="94">
        <v>0.52</v>
      </c>
      <c r="BA1179" s="94">
        <v>1.99</v>
      </c>
      <c r="BB1179" s="94" t="s">
        <v>276</v>
      </c>
      <c r="BC1179" s="95" t="s">
        <v>2473</v>
      </c>
      <c r="BD1179" s="95" t="s">
        <v>9806</v>
      </c>
      <c r="BE1179" s="33" t="s">
        <v>100</v>
      </c>
      <c r="BF1179" s="33" t="s">
        <v>98</v>
      </c>
    </row>
    <row r="1180" spans="1:58" s="103" customFormat="1" ht="91" x14ac:dyDescent="0.3">
      <c r="A1180" s="94">
        <v>4092</v>
      </c>
      <c r="B1180" s="94" t="s">
        <v>9799</v>
      </c>
      <c r="C1180" s="95" t="s">
        <v>9266</v>
      </c>
      <c r="D1180" s="95" t="s">
        <v>9812</v>
      </c>
      <c r="E1180" s="94" t="s">
        <v>35</v>
      </c>
      <c r="F1180" s="94" t="s">
        <v>97</v>
      </c>
      <c r="G1180" s="94" t="s">
        <v>225</v>
      </c>
      <c r="H1180" s="94" t="s">
        <v>125</v>
      </c>
      <c r="I1180" s="94" t="s">
        <v>113</v>
      </c>
      <c r="J1180" s="95" t="s">
        <v>24</v>
      </c>
      <c r="K1180" s="95" t="s">
        <v>276</v>
      </c>
      <c r="L1180" s="95" t="s">
        <v>276</v>
      </c>
      <c r="M1180" s="94" t="s">
        <v>15</v>
      </c>
      <c r="N1180" s="144" t="s">
        <v>3038</v>
      </c>
      <c r="O1180" s="96" t="s">
        <v>207</v>
      </c>
      <c r="P1180" s="97">
        <v>33969</v>
      </c>
      <c r="Q1180" s="95" t="s">
        <v>276</v>
      </c>
      <c r="R1180" s="99" t="s">
        <v>276</v>
      </c>
      <c r="S1180" s="95" t="s">
        <v>276</v>
      </c>
      <c r="T1180" s="163" t="s">
        <v>1219</v>
      </c>
      <c r="U1180" s="98">
        <v>11757</v>
      </c>
      <c r="V1180" s="99">
        <v>11248</v>
      </c>
      <c r="W1180" s="94" t="s">
        <v>276</v>
      </c>
      <c r="X1180" s="94" t="s">
        <v>276</v>
      </c>
      <c r="Y1180" s="94" t="s">
        <v>276</v>
      </c>
      <c r="Z1180" s="95" t="s">
        <v>1562</v>
      </c>
      <c r="AA1180" s="94" t="s">
        <v>276</v>
      </c>
      <c r="AB1180" s="95" t="s">
        <v>1562</v>
      </c>
      <c r="AC1180" s="95" t="s">
        <v>9813</v>
      </c>
      <c r="AD1180" s="95" t="s">
        <v>9814</v>
      </c>
      <c r="AE1180" s="94">
        <v>44</v>
      </c>
      <c r="AF1180" s="94">
        <v>51</v>
      </c>
      <c r="AG1180" s="99" t="s">
        <v>276</v>
      </c>
      <c r="AH1180" s="95" t="s">
        <v>276</v>
      </c>
      <c r="AI1180" s="99" t="s">
        <v>425</v>
      </c>
      <c r="AJ1180" s="102" t="s">
        <v>276</v>
      </c>
      <c r="AK1180" s="101" t="s">
        <v>98</v>
      </c>
      <c r="AL1180" s="102" t="s">
        <v>276</v>
      </c>
      <c r="AM1180" s="102" t="s">
        <v>276</v>
      </c>
      <c r="AN1180" s="102" t="s">
        <v>276</v>
      </c>
      <c r="AO1180" s="101" t="s">
        <v>98</v>
      </c>
      <c r="AP1180" s="102" t="s">
        <v>276</v>
      </c>
      <c r="AQ1180" s="102" t="s">
        <v>276</v>
      </c>
      <c r="AR1180" s="94" t="s">
        <v>269</v>
      </c>
      <c r="AS1180" s="102" t="s">
        <v>276</v>
      </c>
      <c r="AT1180" s="101" t="s">
        <v>98</v>
      </c>
      <c r="AU1180" s="100" t="s">
        <v>276</v>
      </c>
      <c r="AV1180" s="100" t="s">
        <v>276</v>
      </c>
      <c r="AW1180" s="94" t="s">
        <v>276</v>
      </c>
      <c r="AX1180" s="95" t="s">
        <v>9825</v>
      </c>
      <c r="AY1180" s="102">
        <v>0.85</v>
      </c>
      <c r="AZ1180" s="94">
        <v>0.52</v>
      </c>
      <c r="BA1180" s="94">
        <v>1.38</v>
      </c>
      <c r="BB1180" s="94" t="s">
        <v>276</v>
      </c>
      <c r="BC1180" s="95" t="s">
        <v>2473</v>
      </c>
      <c r="BD1180" s="95" t="s">
        <v>9806</v>
      </c>
      <c r="BE1180" s="33" t="s">
        <v>100</v>
      </c>
      <c r="BF1180" s="33" t="s">
        <v>98</v>
      </c>
    </row>
    <row r="1181" spans="1:58" s="103" customFormat="1" ht="91" x14ac:dyDescent="0.3">
      <c r="A1181" s="94">
        <v>4092</v>
      </c>
      <c r="B1181" s="94" t="s">
        <v>9799</v>
      </c>
      <c r="C1181" s="95" t="s">
        <v>9266</v>
      </c>
      <c r="D1181" s="95" t="s">
        <v>9815</v>
      </c>
      <c r="E1181" s="94" t="s">
        <v>35</v>
      </c>
      <c r="F1181" s="94" t="s">
        <v>97</v>
      </c>
      <c r="G1181" s="94" t="s">
        <v>225</v>
      </c>
      <c r="H1181" s="94" t="s">
        <v>125</v>
      </c>
      <c r="I1181" s="94" t="s">
        <v>113</v>
      </c>
      <c r="J1181" s="95" t="s">
        <v>24</v>
      </c>
      <c r="K1181" s="95" t="s">
        <v>276</v>
      </c>
      <c r="L1181" s="95" t="s">
        <v>276</v>
      </c>
      <c r="M1181" s="94" t="s">
        <v>15</v>
      </c>
      <c r="N1181" s="144" t="s">
        <v>9342</v>
      </c>
      <c r="O1181" s="96" t="s">
        <v>207</v>
      </c>
      <c r="P1181" s="97">
        <v>33969</v>
      </c>
      <c r="Q1181" s="95" t="s">
        <v>276</v>
      </c>
      <c r="R1181" s="99" t="s">
        <v>276</v>
      </c>
      <c r="S1181" s="95" t="s">
        <v>276</v>
      </c>
      <c r="T1181" s="163" t="s">
        <v>1219</v>
      </c>
      <c r="U1181" s="98">
        <v>11439</v>
      </c>
      <c r="V1181" s="99">
        <v>10714</v>
      </c>
      <c r="W1181" s="94" t="s">
        <v>276</v>
      </c>
      <c r="X1181" s="94" t="s">
        <v>276</v>
      </c>
      <c r="Y1181" s="94" t="s">
        <v>276</v>
      </c>
      <c r="Z1181" s="95" t="s">
        <v>1562</v>
      </c>
      <c r="AA1181" s="94" t="s">
        <v>276</v>
      </c>
      <c r="AB1181" s="95" t="s">
        <v>1562</v>
      </c>
      <c r="AC1181" s="95" t="s">
        <v>9816</v>
      </c>
      <c r="AD1181" s="95" t="s">
        <v>9817</v>
      </c>
      <c r="AE1181" s="94">
        <v>45</v>
      </c>
      <c r="AF1181" s="94">
        <v>68</v>
      </c>
      <c r="AG1181" s="99" t="s">
        <v>276</v>
      </c>
      <c r="AH1181" s="95" t="s">
        <v>276</v>
      </c>
      <c r="AI1181" s="99" t="s">
        <v>425</v>
      </c>
      <c r="AJ1181" s="102" t="s">
        <v>276</v>
      </c>
      <c r="AK1181" s="101" t="s">
        <v>98</v>
      </c>
      <c r="AL1181" s="102" t="s">
        <v>276</v>
      </c>
      <c r="AM1181" s="102" t="s">
        <v>276</v>
      </c>
      <c r="AN1181" s="102" t="s">
        <v>276</v>
      </c>
      <c r="AO1181" s="101" t="s">
        <v>98</v>
      </c>
      <c r="AP1181" s="102" t="s">
        <v>276</v>
      </c>
      <c r="AQ1181" s="102" t="s">
        <v>276</v>
      </c>
      <c r="AR1181" s="94" t="s">
        <v>269</v>
      </c>
      <c r="AS1181" s="102" t="s">
        <v>276</v>
      </c>
      <c r="AT1181" s="101" t="s">
        <v>98</v>
      </c>
      <c r="AU1181" s="100" t="s">
        <v>276</v>
      </c>
      <c r="AV1181" s="100" t="s">
        <v>276</v>
      </c>
      <c r="AW1181" s="94" t="s">
        <v>276</v>
      </c>
      <c r="AX1181" s="95" t="s">
        <v>9825</v>
      </c>
      <c r="AY1181" s="102">
        <v>0.62</v>
      </c>
      <c r="AZ1181" s="94">
        <v>0.43</v>
      </c>
      <c r="BA1181" s="94">
        <v>0.91</v>
      </c>
      <c r="BB1181" s="94" t="s">
        <v>276</v>
      </c>
      <c r="BC1181" s="95" t="s">
        <v>2473</v>
      </c>
      <c r="BD1181" s="95" t="s">
        <v>9806</v>
      </c>
      <c r="BE1181" s="33" t="s">
        <v>100</v>
      </c>
      <c r="BF1181" s="33" t="s">
        <v>98</v>
      </c>
    </row>
    <row r="1182" spans="1:58" s="103" customFormat="1" ht="91" x14ac:dyDescent="0.3">
      <c r="A1182" s="94">
        <v>4092</v>
      </c>
      <c r="B1182" s="94" t="s">
        <v>9799</v>
      </c>
      <c r="C1182" s="95" t="s">
        <v>9266</v>
      </c>
      <c r="D1182" s="95" t="s">
        <v>9818</v>
      </c>
      <c r="E1182" s="94" t="s">
        <v>35</v>
      </c>
      <c r="F1182" s="94" t="s">
        <v>97</v>
      </c>
      <c r="G1182" s="94" t="s">
        <v>225</v>
      </c>
      <c r="H1182" s="94" t="s">
        <v>125</v>
      </c>
      <c r="I1182" s="94" t="s">
        <v>113</v>
      </c>
      <c r="J1182" s="95" t="s">
        <v>24</v>
      </c>
      <c r="K1182" s="95" t="s">
        <v>276</v>
      </c>
      <c r="L1182" s="95" t="s">
        <v>276</v>
      </c>
      <c r="M1182" s="94" t="s">
        <v>15</v>
      </c>
      <c r="N1182" s="144" t="s">
        <v>9350</v>
      </c>
      <c r="O1182" s="96" t="s">
        <v>207</v>
      </c>
      <c r="P1182" s="97">
        <v>33969</v>
      </c>
      <c r="Q1182" s="95" t="s">
        <v>276</v>
      </c>
      <c r="R1182" s="99" t="s">
        <v>276</v>
      </c>
      <c r="S1182" s="95" t="s">
        <v>276</v>
      </c>
      <c r="T1182" s="163" t="s">
        <v>1191</v>
      </c>
      <c r="U1182" s="98">
        <v>5033</v>
      </c>
      <c r="V1182" s="99">
        <v>4868</v>
      </c>
      <c r="W1182" s="94" t="s">
        <v>276</v>
      </c>
      <c r="X1182" s="94" t="s">
        <v>276</v>
      </c>
      <c r="Y1182" s="94" t="s">
        <v>276</v>
      </c>
      <c r="Z1182" s="95" t="s">
        <v>1562</v>
      </c>
      <c r="AA1182" s="94" t="s">
        <v>276</v>
      </c>
      <c r="AB1182" s="95" t="s">
        <v>1562</v>
      </c>
      <c r="AC1182" s="95" t="s">
        <v>9819</v>
      </c>
      <c r="AD1182" s="95" t="s">
        <v>9820</v>
      </c>
      <c r="AE1182" s="94">
        <v>23</v>
      </c>
      <c r="AF1182" s="94">
        <v>31</v>
      </c>
      <c r="AG1182" s="99" t="s">
        <v>276</v>
      </c>
      <c r="AH1182" s="95" t="s">
        <v>276</v>
      </c>
      <c r="AI1182" s="99" t="s">
        <v>425</v>
      </c>
      <c r="AJ1182" s="102" t="s">
        <v>276</v>
      </c>
      <c r="AK1182" s="101" t="s">
        <v>98</v>
      </c>
      <c r="AL1182" s="102" t="s">
        <v>276</v>
      </c>
      <c r="AM1182" s="102" t="s">
        <v>276</v>
      </c>
      <c r="AN1182" s="102" t="s">
        <v>276</v>
      </c>
      <c r="AO1182" s="101" t="s">
        <v>98</v>
      </c>
      <c r="AP1182" s="102" t="s">
        <v>276</v>
      </c>
      <c r="AQ1182" s="102" t="s">
        <v>276</v>
      </c>
      <c r="AR1182" s="94" t="s">
        <v>269</v>
      </c>
      <c r="AS1182" s="102" t="s">
        <v>276</v>
      </c>
      <c r="AT1182" s="101" t="s">
        <v>98</v>
      </c>
      <c r="AU1182" s="100" t="s">
        <v>276</v>
      </c>
      <c r="AV1182" s="100" t="s">
        <v>276</v>
      </c>
      <c r="AW1182" s="94" t="s">
        <v>276</v>
      </c>
      <c r="AX1182" s="95" t="s">
        <v>9825</v>
      </c>
      <c r="AY1182" s="102">
        <v>0.82</v>
      </c>
      <c r="AZ1182" s="94">
        <v>0.43</v>
      </c>
      <c r="BA1182" s="94">
        <v>1.58</v>
      </c>
      <c r="BB1182" s="94" t="s">
        <v>276</v>
      </c>
      <c r="BC1182" s="95" t="s">
        <v>2473</v>
      </c>
      <c r="BD1182" s="95" t="s">
        <v>9806</v>
      </c>
      <c r="BE1182" s="33" t="s">
        <v>100</v>
      </c>
      <c r="BF1182" s="33" t="s">
        <v>98</v>
      </c>
    </row>
    <row r="1183" spans="1:58" s="103" customFormat="1" ht="91" x14ac:dyDescent="0.3">
      <c r="A1183" s="94">
        <v>4092</v>
      </c>
      <c r="B1183" s="94" t="s">
        <v>9799</v>
      </c>
      <c r="C1183" s="95" t="s">
        <v>9266</v>
      </c>
      <c r="D1183" s="95" t="s">
        <v>9821</v>
      </c>
      <c r="E1183" s="94" t="s">
        <v>35</v>
      </c>
      <c r="F1183" s="94" t="s">
        <v>97</v>
      </c>
      <c r="G1183" s="94" t="s">
        <v>225</v>
      </c>
      <c r="H1183" s="94" t="s">
        <v>125</v>
      </c>
      <c r="I1183" s="94" t="s">
        <v>113</v>
      </c>
      <c r="J1183" s="95" t="s">
        <v>24</v>
      </c>
      <c r="K1183" s="95" t="s">
        <v>276</v>
      </c>
      <c r="L1183" s="95" t="s">
        <v>276</v>
      </c>
      <c r="M1183" s="94" t="s">
        <v>15</v>
      </c>
      <c r="N1183" s="144" t="s">
        <v>9271</v>
      </c>
      <c r="O1183" s="96" t="s">
        <v>207</v>
      </c>
      <c r="P1183" s="97">
        <v>33969</v>
      </c>
      <c r="Q1183" s="95" t="s">
        <v>276</v>
      </c>
      <c r="R1183" s="99" t="s">
        <v>276</v>
      </c>
      <c r="S1183" s="95" t="s">
        <v>276</v>
      </c>
      <c r="T1183" s="163" t="s">
        <v>5401</v>
      </c>
      <c r="U1183" s="98">
        <f>29007+28229</f>
        <v>57236</v>
      </c>
      <c r="V1183" s="99">
        <f>13551+26830</f>
        <v>40381</v>
      </c>
      <c r="W1183" s="94" t="s">
        <v>276</v>
      </c>
      <c r="X1183" s="94" t="s">
        <v>276</v>
      </c>
      <c r="Y1183" s="94" t="s">
        <v>276</v>
      </c>
      <c r="Z1183" s="95" t="s">
        <v>1562</v>
      </c>
      <c r="AA1183" s="94" t="s">
        <v>276</v>
      </c>
      <c r="AB1183" s="95" t="s">
        <v>1562</v>
      </c>
      <c r="AC1183" s="95" t="s">
        <v>9822</v>
      </c>
      <c r="AD1183" s="95" t="s">
        <v>9823</v>
      </c>
      <c r="AE1183" s="94">
        <f>23+45+44</f>
        <v>112</v>
      </c>
      <c r="AF1183" s="94">
        <f>31+68+51</f>
        <v>150</v>
      </c>
      <c r="AG1183" s="99" t="s">
        <v>276</v>
      </c>
      <c r="AH1183" s="95" t="s">
        <v>276</v>
      </c>
      <c r="AI1183" s="99" t="s">
        <v>425</v>
      </c>
      <c r="AJ1183" s="102" t="s">
        <v>276</v>
      </c>
      <c r="AK1183" s="101" t="s">
        <v>98</v>
      </c>
      <c r="AL1183" s="102" t="s">
        <v>276</v>
      </c>
      <c r="AM1183" s="102" t="s">
        <v>276</v>
      </c>
      <c r="AN1183" s="102" t="s">
        <v>276</v>
      </c>
      <c r="AO1183" s="101" t="s">
        <v>98</v>
      </c>
      <c r="AP1183" s="102" t="s">
        <v>276</v>
      </c>
      <c r="AQ1183" s="102" t="s">
        <v>276</v>
      </c>
      <c r="AR1183" s="94" t="s">
        <v>269</v>
      </c>
      <c r="AS1183" s="102" t="s">
        <v>276</v>
      </c>
      <c r="AT1183" s="101" t="s">
        <v>98</v>
      </c>
      <c r="AU1183" s="100" t="s">
        <v>276</v>
      </c>
      <c r="AV1183" s="100" t="s">
        <v>276</v>
      </c>
      <c r="AW1183" s="94" t="s">
        <v>276</v>
      </c>
      <c r="AX1183" s="95" t="s">
        <v>9825</v>
      </c>
      <c r="AY1183" s="102">
        <v>0.73</v>
      </c>
      <c r="AZ1183" s="94">
        <v>0.56000000000000005</v>
      </c>
      <c r="BA1183" s="94">
        <v>0.79</v>
      </c>
      <c r="BB1183" s="94" t="s">
        <v>276</v>
      </c>
      <c r="BC1183" s="95" t="s">
        <v>2473</v>
      </c>
      <c r="BD1183" s="95" t="s">
        <v>9806</v>
      </c>
      <c r="BE1183" s="33" t="s">
        <v>100</v>
      </c>
      <c r="BF1183" s="33" t="s">
        <v>98</v>
      </c>
    </row>
    <row r="1184" spans="1:58" s="253" customFormat="1" ht="91" x14ac:dyDescent="0.3">
      <c r="A1184" s="244">
        <v>4129</v>
      </c>
      <c r="B1184" s="244" t="s">
        <v>6849</v>
      </c>
      <c r="C1184" s="245" t="s">
        <v>9264</v>
      </c>
      <c r="D1184" s="245" t="s">
        <v>9826</v>
      </c>
      <c r="E1184" s="244" t="s">
        <v>35</v>
      </c>
      <c r="F1184" s="245" t="s">
        <v>97</v>
      </c>
      <c r="G1184" s="244" t="s">
        <v>225</v>
      </c>
      <c r="H1184" s="244" t="s">
        <v>125</v>
      </c>
      <c r="I1184" s="244" t="s">
        <v>113</v>
      </c>
      <c r="J1184" s="245" t="s">
        <v>24</v>
      </c>
      <c r="K1184" s="245" t="s">
        <v>7755</v>
      </c>
      <c r="L1184" s="245" t="s">
        <v>276</v>
      </c>
      <c r="M1184" s="244" t="s">
        <v>15</v>
      </c>
      <c r="N1184" s="247" t="s">
        <v>3032</v>
      </c>
      <c r="O1184" s="247" t="s">
        <v>207</v>
      </c>
      <c r="P1184" s="248">
        <v>34334</v>
      </c>
      <c r="Q1184" s="245" t="s">
        <v>276</v>
      </c>
      <c r="R1184" s="245" t="s">
        <v>9827</v>
      </c>
      <c r="S1184" s="245" t="s">
        <v>9827</v>
      </c>
      <c r="T1184" s="245" t="s">
        <v>9828</v>
      </c>
      <c r="U1184" s="249">
        <v>9650</v>
      </c>
      <c r="V1184" s="250">
        <v>5009</v>
      </c>
      <c r="W1184" s="244" t="s">
        <v>276</v>
      </c>
      <c r="X1184" s="244" t="s">
        <v>276</v>
      </c>
      <c r="Y1184" s="244" t="s">
        <v>276</v>
      </c>
      <c r="Z1184" s="245" t="s">
        <v>1562</v>
      </c>
      <c r="AA1184" s="244" t="s">
        <v>276</v>
      </c>
      <c r="AB1184" s="245" t="s">
        <v>1562</v>
      </c>
      <c r="AC1184" s="245" t="s">
        <v>9829</v>
      </c>
      <c r="AD1184" s="245" t="s">
        <v>1674</v>
      </c>
      <c r="AE1184" s="244">
        <v>23</v>
      </c>
      <c r="AF1184" s="244">
        <v>18</v>
      </c>
      <c r="AG1184" s="249">
        <v>144000</v>
      </c>
      <c r="AH1184" s="249">
        <v>75000</v>
      </c>
      <c r="AI1184" s="249" t="s">
        <v>425</v>
      </c>
      <c r="AJ1184" s="251" t="s">
        <v>276</v>
      </c>
      <c r="AK1184" s="252">
        <f>AE1184*1000/AG1184</f>
        <v>0.15972222222222221</v>
      </c>
      <c r="AL1184" s="251" t="s">
        <v>276</v>
      </c>
      <c r="AM1184" s="251" t="s">
        <v>276</v>
      </c>
      <c r="AN1184" s="251" t="s">
        <v>276</v>
      </c>
      <c r="AO1184" s="252">
        <f>AF1184*1000/AH1184</f>
        <v>0.24</v>
      </c>
      <c r="AP1184" s="251" t="s">
        <v>276</v>
      </c>
      <c r="AQ1184" s="251" t="s">
        <v>276</v>
      </c>
      <c r="AR1184" s="244" t="s">
        <v>269</v>
      </c>
      <c r="AS1184" s="251" t="s">
        <v>276</v>
      </c>
      <c r="AT1184" s="252">
        <f t="shared" ref="AT1184:AT1203" si="166">AK1184/AO1184</f>
        <v>0.66550925925925919</v>
      </c>
      <c r="AU1184" s="251" t="s">
        <v>276</v>
      </c>
      <c r="AV1184" s="251" t="s">
        <v>276</v>
      </c>
      <c r="AW1184" s="244" t="s">
        <v>276</v>
      </c>
      <c r="AX1184" s="245" t="s">
        <v>7758</v>
      </c>
      <c r="AY1184" s="244">
        <v>0.67</v>
      </c>
      <c r="AZ1184" s="244">
        <v>0.37</v>
      </c>
      <c r="BA1184" s="251">
        <v>1.22</v>
      </c>
      <c r="BB1184" s="244" t="s">
        <v>276</v>
      </c>
      <c r="BC1184" s="245" t="s">
        <v>426</v>
      </c>
      <c r="BD1184" s="245"/>
      <c r="BE1184" s="33" t="s">
        <v>100</v>
      </c>
      <c r="BF1184" s="33" t="s">
        <v>98</v>
      </c>
    </row>
    <row r="1185" spans="1:58" s="253" customFormat="1" ht="91" x14ac:dyDescent="0.3">
      <c r="A1185" s="244">
        <v>4129</v>
      </c>
      <c r="B1185" s="244" t="s">
        <v>6849</v>
      </c>
      <c r="C1185" s="245" t="s">
        <v>9266</v>
      </c>
      <c r="D1185" s="245" t="s">
        <v>9826</v>
      </c>
      <c r="E1185" s="244" t="s">
        <v>35</v>
      </c>
      <c r="F1185" s="245" t="s">
        <v>97</v>
      </c>
      <c r="G1185" s="244" t="s">
        <v>225</v>
      </c>
      <c r="H1185" s="244" t="s">
        <v>125</v>
      </c>
      <c r="I1185" s="244" t="s">
        <v>113</v>
      </c>
      <c r="J1185" s="245" t="s">
        <v>24</v>
      </c>
      <c r="K1185" s="245" t="s">
        <v>7755</v>
      </c>
      <c r="L1185" s="245" t="s">
        <v>276</v>
      </c>
      <c r="M1185" s="244" t="s">
        <v>15</v>
      </c>
      <c r="N1185" s="247" t="s">
        <v>3032</v>
      </c>
      <c r="O1185" s="247" t="s">
        <v>207</v>
      </c>
      <c r="P1185" s="248">
        <v>34334</v>
      </c>
      <c r="Q1185" s="245" t="s">
        <v>276</v>
      </c>
      <c r="R1185" s="245" t="s">
        <v>9830</v>
      </c>
      <c r="S1185" s="245" t="s">
        <v>9830</v>
      </c>
      <c r="T1185" s="245" t="s">
        <v>9828</v>
      </c>
      <c r="U1185" s="249">
        <v>10240</v>
      </c>
      <c r="V1185" s="250">
        <v>10411</v>
      </c>
      <c r="W1185" s="244" t="s">
        <v>276</v>
      </c>
      <c r="X1185" s="244" t="s">
        <v>276</v>
      </c>
      <c r="Y1185" s="244" t="s">
        <v>276</v>
      </c>
      <c r="Z1185" s="245" t="s">
        <v>1562</v>
      </c>
      <c r="AA1185" s="244" t="s">
        <v>276</v>
      </c>
      <c r="AB1185" s="245" t="s">
        <v>1562</v>
      </c>
      <c r="AC1185" s="245" t="s">
        <v>9829</v>
      </c>
      <c r="AD1185" s="245" t="s">
        <v>1674</v>
      </c>
      <c r="AE1185" s="244">
        <v>27</v>
      </c>
      <c r="AF1185" s="244">
        <v>27</v>
      </c>
      <c r="AG1185" s="249">
        <v>143000</v>
      </c>
      <c r="AH1185" s="249">
        <v>147000</v>
      </c>
      <c r="AI1185" s="249" t="s">
        <v>425</v>
      </c>
      <c r="AJ1185" s="251" t="s">
        <v>276</v>
      </c>
      <c r="AK1185" s="252">
        <f>AE1185*1000/AG1185</f>
        <v>0.1888111888111888</v>
      </c>
      <c r="AL1185" s="251" t="s">
        <v>276</v>
      </c>
      <c r="AM1185" s="251" t="s">
        <v>276</v>
      </c>
      <c r="AN1185" s="251" t="s">
        <v>276</v>
      </c>
      <c r="AO1185" s="252">
        <f>AF1185*1000/AH1185</f>
        <v>0.18367346938775511</v>
      </c>
      <c r="AP1185" s="251" t="s">
        <v>276</v>
      </c>
      <c r="AQ1185" s="251" t="s">
        <v>276</v>
      </c>
      <c r="AR1185" s="244" t="s">
        <v>269</v>
      </c>
      <c r="AS1185" s="251" t="s">
        <v>276</v>
      </c>
      <c r="AT1185" s="252">
        <f t="shared" si="166"/>
        <v>1.0279720279720279</v>
      </c>
      <c r="AU1185" s="251" t="s">
        <v>276</v>
      </c>
      <c r="AV1185" s="251" t="s">
        <v>276</v>
      </c>
      <c r="AW1185" s="244" t="s">
        <v>276</v>
      </c>
      <c r="AX1185" s="245" t="s">
        <v>7758</v>
      </c>
      <c r="AY1185" s="244">
        <v>1.02</v>
      </c>
      <c r="AZ1185" s="244">
        <v>0.59</v>
      </c>
      <c r="BA1185" s="251">
        <v>1.77</v>
      </c>
      <c r="BB1185" s="244" t="s">
        <v>276</v>
      </c>
      <c r="BC1185" s="245" t="s">
        <v>426</v>
      </c>
      <c r="BD1185" s="245"/>
      <c r="BE1185" s="33" t="s">
        <v>100</v>
      </c>
      <c r="BF1185" s="33" t="s">
        <v>98</v>
      </c>
    </row>
    <row r="1186" spans="1:58" s="149" customFormat="1" ht="91" x14ac:dyDescent="0.3">
      <c r="A1186" s="126">
        <v>4088</v>
      </c>
      <c r="B1186" s="126" t="s">
        <v>9831</v>
      </c>
      <c r="C1186" s="127" t="s">
        <v>9264</v>
      </c>
      <c r="D1186" s="127" t="s">
        <v>9832</v>
      </c>
      <c r="E1186" s="126" t="s">
        <v>35</v>
      </c>
      <c r="F1186" s="126" t="s">
        <v>97</v>
      </c>
      <c r="G1186" s="126" t="s">
        <v>225</v>
      </c>
      <c r="H1186" s="126" t="s">
        <v>125</v>
      </c>
      <c r="I1186" s="126" t="s">
        <v>113</v>
      </c>
      <c r="J1186" s="127" t="s">
        <v>24</v>
      </c>
      <c r="K1186" s="127" t="s">
        <v>276</v>
      </c>
      <c r="L1186" s="127" t="s">
        <v>276</v>
      </c>
      <c r="M1186" s="126" t="s">
        <v>15</v>
      </c>
      <c r="N1186" s="145" t="s">
        <v>3032</v>
      </c>
      <c r="O1186" s="131" t="s">
        <v>207</v>
      </c>
      <c r="P1186" s="197">
        <v>35430</v>
      </c>
      <c r="Q1186" s="127" t="s">
        <v>276</v>
      </c>
      <c r="R1186" s="134" t="s">
        <v>9833</v>
      </c>
      <c r="S1186" s="127" t="s">
        <v>9834</v>
      </c>
      <c r="T1186" s="167" t="s">
        <v>1192</v>
      </c>
      <c r="U1186" s="132" t="s">
        <v>276</v>
      </c>
      <c r="V1186" s="132" t="s">
        <v>276</v>
      </c>
      <c r="W1186" s="126" t="s">
        <v>276</v>
      </c>
      <c r="X1186" s="126" t="s">
        <v>276</v>
      </c>
      <c r="Y1186" s="126" t="s">
        <v>276</v>
      </c>
      <c r="Z1186" s="127" t="s">
        <v>1562</v>
      </c>
      <c r="AA1186" s="126" t="s">
        <v>276</v>
      </c>
      <c r="AB1186" s="127" t="s">
        <v>1562</v>
      </c>
      <c r="AC1186" s="127" t="s">
        <v>9835</v>
      </c>
      <c r="AD1186" s="127" t="s">
        <v>9809</v>
      </c>
      <c r="AE1186" s="126">
        <v>26</v>
      </c>
      <c r="AF1186" s="126">
        <v>18</v>
      </c>
      <c r="AG1186" s="134">
        <v>162340</v>
      </c>
      <c r="AH1186" s="127">
        <v>85917</v>
      </c>
      <c r="AI1186" s="134" t="s">
        <v>425</v>
      </c>
      <c r="AJ1186" s="135" t="s">
        <v>276</v>
      </c>
      <c r="AK1186" s="148">
        <f>AE1186*1000/AG1186</f>
        <v>0.16015769372921029</v>
      </c>
      <c r="AL1186" s="135" t="s">
        <v>276</v>
      </c>
      <c r="AM1186" s="135" t="s">
        <v>276</v>
      </c>
      <c r="AN1186" s="135" t="s">
        <v>276</v>
      </c>
      <c r="AO1186" s="148">
        <f>AF1186*1000/AH1186</f>
        <v>0.20950452180592899</v>
      </c>
      <c r="AP1186" s="135" t="s">
        <v>276</v>
      </c>
      <c r="AQ1186" s="135" t="s">
        <v>276</v>
      </c>
      <c r="AR1186" s="126" t="s">
        <v>269</v>
      </c>
      <c r="AS1186" s="135" t="s">
        <v>276</v>
      </c>
      <c r="AT1186" s="148">
        <f t="shared" si="166"/>
        <v>0.76445936511847556</v>
      </c>
      <c r="AU1186" s="147" t="s">
        <v>276</v>
      </c>
      <c r="AV1186" s="147" t="s">
        <v>276</v>
      </c>
      <c r="AW1186" s="126" t="s">
        <v>276</v>
      </c>
      <c r="AX1186" s="127" t="s">
        <v>9825</v>
      </c>
      <c r="AY1186" s="135">
        <v>0.76</v>
      </c>
      <c r="AZ1186" s="126">
        <v>0.41</v>
      </c>
      <c r="BA1186" s="126">
        <v>1.4</v>
      </c>
      <c r="BB1186" s="126" t="s">
        <v>276</v>
      </c>
      <c r="BC1186" s="127" t="s">
        <v>6828</v>
      </c>
      <c r="BD1186" s="127"/>
      <c r="BE1186" s="33" t="s">
        <v>100</v>
      </c>
      <c r="BF1186" s="33" t="s">
        <v>98</v>
      </c>
    </row>
    <row r="1187" spans="1:58" s="149" customFormat="1" ht="91" x14ac:dyDescent="0.3">
      <c r="A1187" s="126">
        <v>4092</v>
      </c>
      <c r="B1187" s="126" t="s">
        <v>9799</v>
      </c>
      <c r="C1187" s="127" t="s">
        <v>9264</v>
      </c>
      <c r="D1187" s="127" t="s">
        <v>9836</v>
      </c>
      <c r="E1187" s="126" t="s">
        <v>35</v>
      </c>
      <c r="F1187" s="126" t="s">
        <v>97</v>
      </c>
      <c r="G1187" s="126" t="s">
        <v>225</v>
      </c>
      <c r="H1187" s="126" t="s">
        <v>125</v>
      </c>
      <c r="I1187" s="126" t="s">
        <v>113</v>
      </c>
      <c r="J1187" s="127" t="s">
        <v>24</v>
      </c>
      <c r="K1187" s="127" t="s">
        <v>276</v>
      </c>
      <c r="L1187" s="127" t="s">
        <v>276</v>
      </c>
      <c r="M1187" s="126" t="s">
        <v>15</v>
      </c>
      <c r="N1187" s="145" t="s">
        <v>3038</v>
      </c>
      <c r="O1187" s="131" t="s">
        <v>207</v>
      </c>
      <c r="P1187" s="197">
        <v>35430</v>
      </c>
      <c r="Q1187" s="127" t="s">
        <v>276</v>
      </c>
      <c r="R1187" s="134" t="s">
        <v>9837</v>
      </c>
      <c r="S1187" s="127" t="s">
        <v>9838</v>
      </c>
      <c r="T1187" s="167" t="s">
        <v>1219</v>
      </c>
      <c r="U1187" s="132" t="s">
        <v>276</v>
      </c>
      <c r="V1187" s="132" t="s">
        <v>276</v>
      </c>
      <c r="W1187" s="126" t="s">
        <v>276</v>
      </c>
      <c r="X1187" s="126" t="s">
        <v>276</v>
      </c>
      <c r="Y1187" s="126" t="s">
        <v>276</v>
      </c>
      <c r="Z1187" s="127" t="s">
        <v>1562</v>
      </c>
      <c r="AA1187" s="126" t="s">
        <v>276</v>
      </c>
      <c r="AB1187" s="127" t="s">
        <v>1562</v>
      </c>
      <c r="AC1187" s="127" t="s">
        <v>9839</v>
      </c>
      <c r="AD1187" s="127" t="s">
        <v>9814</v>
      </c>
      <c r="AE1187" s="126">
        <v>40</v>
      </c>
      <c r="AF1187" s="126">
        <v>42</v>
      </c>
      <c r="AG1187" s="134">
        <v>191500</v>
      </c>
      <c r="AH1187" s="127">
        <v>91075</v>
      </c>
      <c r="AI1187" s="134" t="s">
        <v>425</v>
      </c>
      <c r="AJ1187" s="135" t="s">
        <v>276</v>
      </c>
      <c r="AK1187" s="148">
        <f t="shared" ref="AK1187:AK1190" si="167">AE1187*1000/AG1187</f>
        <v>0.20887728459530025</v>
      </c>
      <c r="AL1187" s="135" t="s">
        <v>276</v>
      </c>
      <c r="AM1187" s="135" t="s">
        <v>276</v>
      </c>
      <c r="AN1187" s="135" t="s">
        <v>276</v>
      </c>
      <c r="AO1187" s="148">
        <f t="shared" ref="AO1187:AO1190" si="168">AF1187*1000/AH1187</f>
        <v>0.46115838594564917</v>
      </c>
      <c r="AP1187" s="135" t="s">
        <v>276</v>
      </c>
      <c r="AQ1187" s="135" t="s">
        <v>276</v>
      </c>
      <c r="AR1187" s="126" t="s">
        <v>269</v>
      </c>
      <c r="AS1187" s="135" t="s">
        <v>276</v>
      </c>
      <c r="AT1187" s="148">
        <f t="shared" si="166"/>
        <v>0.45294044510754694</v>
      </c>
      <c r="AU1187" s="147" t="s">
        <v>276</v>
      </c>
      <c r="AV1187" s="147" t="s">
        <v>276</v>
      </c>
      <c r="AW1187" s="126" t="s">
        <v>276</v>
      </c>
      <c r="AX1187" s="127" t="s">
        <v>9825</v>
      </c>
      <c r="AY1187" s="135">
        <v>0.45</v>
      </c>
      <c r="AZ1187" s="126">
        <v>0.28999999999999998</v>
      </c>
      <c r="BA1187" s="126">
        <v>0.7</v>
      </c>
      <c r="BB1187" s="126" t="s">
        <v>276</v>
      </c>
      <c r="BC1187" s="127" t="s">
        <v>6828</v>
      </c>
      <c r="BD1187" s="127"/>
      <c r="BE1187" s="33" t="s">
        <v>100</v>
      </c>
      <c r="BF1187" s="33" t="s">
        <v>98</v>
      </c>
    </row>
    <row r="1188" spans="1:58" s="149" customFormat="1" ht="91" x14ac:dyDescent="0.3">
      <c r="A1188" s="126">
        <v>4092</v>
      </c>
      <c r="B1188" s="126" t="s">
        <v>9799</v>
      </c>
      <c r="C1188" s="127" t="s">
        <v>9264</v>
      </c>
      <c r="D1188" s="127" t="s">
        <v>9840</v>
      </c>
      <c r="E1188" s="126" t="s">
        <v>35</v>
      </c>
      <c r="F1188" s="126" t="s">
        <v>97</v>
      </c>
      <c r="G1188" s="126" t="s">
        <v>225</v>
      </c>
      <c r="H1188" s="126" t="s">
        <v>125</v>
      </c>
      <c r="I1188" s="126" t="s">
        <v>113</v>
      </c>
      <c r="J1188" s="127" t="s">
        <v>24</v>
      </c>
      <c r="K1188" s="127" t="s">
        <v>276</v>
      </c>
      <c r="L1188" s="127" t="s">
        <v>276</v>
      </c>
      <c r="M1188" s="126" t="s">
        <v>15</v>
      </c>
      <c r="N1188" s="145" t="s">
        <v>9342</v>
      </c>
      <c r="O1188" s="131" t="s">
        <v>207</v>
      </c>
      <c r="P1188" s="197">
        <v>35430</v>
      </c>
      <c r="Q1188" s="127" t="s">
        <v>276</v>
      </c>
      <c r="R1188" s="134" t="s">
        <v>9841</v>
      </c>
      <c r="S1188" s="127" t="s">
        <v>9842</v>
      </c>
      <c r="T1188" s="167" t="s">
        <v>1219</v>
      </c>
      <c r="U1188" s="132" t="s">
        <v>276</v>
      </c>
      <c r="V1188" s="132" t="s">
        <v>276</v>
      </c>
      <c r="W1188" s="126" t="s">
        <v>276</v>
      </c>
      <c r="X1188" s="126" t="s">
        <v>276</v>
      </c>
      <c r="Y1188" s="126" t="s">
        <v>276</v>
      </c>
      <c r="Z1188" s="127" t="s">
        <v>1562</v>
      </c>
      <c r="AA1188" s="126" t="s">
        <v>276</v>
      </c>
      <c r="AB1188" s="127" t="s">
        <v>1562</v>
      </c>
      <c r="AC1188" s="127" t="s">
        <v>9843</v>
      </c>
      <c r="AD1188" s="127" t="s">
        <v>9817</v>
      </c>
      <c r="AE1188" s="126">
        <v>51</v>
      </c>
      <c r="AF1188" s="126">
        <v>38</v>
      </c>
      <c r="AG1188" s="134">
        <v>175358</v>
      </c>
      <c r="AH1188" s="127">
        <v>81097</v>
      </c>
      <c r="AI1188" s="134" t="s">
        <v>425</v>
      </c>
      <c r="AJ1188" s="135" t="s">
        <v>276</v>
      </c>
      <c r="AK1188" s="148">
        <f t="shared" si="167"/>
        <v>0.29083360895995619</v>
      </c>
      <c r="AL1188" s="135" t="s">
        <v>276</v>
      </c>
      <c r="AM1188" s="135" t="s">
        <v>276</v>
      </c>
      <c r="AN1188" s="135" t="s">
        <v>276</v>
      </c>
      <c r="AO1188" s="148">
        <f t="shared" si="168"/>
        <v>0.46857466983982143</v>
      </c>
      <c r="AP1188" s="135" t="s">
        <v>276</v>
      </c>
      <c r="AQ1188" s="135" t="s">
        <v>276</v>
      </c>
      <c r="AR1188" s="126" t="s">
        <v>269</v>
      </c>
      <c r="AS1188" s="135" t="s">
        <v>276</v>
      </c>
      <c r="AT1188" s="148">
        <f t="shared" si="166"/>
        <v>0.62067718910067282</v>
      </c>
      <c r="AU1188" s="147" t="s">
        <v>276</v>
      </c>
      <c r="AV1188" s="147" t="s">
        <v>276</v>
      </c>
      <c r="AW1188" s="126" t="s">
        <v>276</v>
      </c>
      <c r="AX1188" s="127" t="s">
        <v>9825</v>
      </c>
      <c r="AY1188" s="135">
        <v>0.62</v>
      </c>
      <c r="AZ1188" s="126">
        <v>0.4</v>
      </c>
      <c r="BA1188" s="126">
        <v>0.95</v>
      </c>
      <c r="BB1188" s="126" t="s">
        <v>276</v>
      </c>
      <c r="BC1188" s="127" t="s">
        <v>6828</v>
      </c>
      <c r="BD1188" s="127"/>
      <c r="BE1188" s="33" t="s">
        <v>100</v>
      </c>
      <c r="BF1188" s="33" t="s">
        <v>98</v>
      </c>
    </row>
    <row r="1189" spans="1:58" s="149" customFormat="1" ht="91" x14ac:dyDescent="0.3">
      <c r="A1189" s="126">
        <v>4092</v>
      </c>
      <c r="B1189" s="126" t="s">
        <v>9799</v>
      </c>
      <c r="C1189" s="127" t="s">
        <v>9264</v>
      </c>
      <c r="D1189" s="127" t="s">
        <v>9844</v>
      </c>
      <c r="E1189" s="126" t="s">
        <v>35</v>
      </c>
      <c r="F1189" s="126" t="s">
        <v>97</v>
      </c>
      <c r="G1189" s="126" t="s">
        <v>225</v>
      </c>
      <c r="H1189" s="126" t="s">
        <v>125</v>
      </c>
      <c r="I1189" s="126" t="s">
        <v>113</v>
      </c>
      <c r="J1189" s="127" t="s">
        <v>24</v>
      </c>
      <c r="K1189" s="127" t="s">
        <v>276</v>
      </c>
      <c r="L1189" s="127" t="s">
        <v>276</v>
      </c>
      <c r="M1189" s="126" t="s">
        <v>15</v>
      </c>
      <c r="N1189" s="145" t="s">
        <v>9350</v>
      </c>
      <c r="O1189" s="131" t="s">
        <v>207</v>
      </c>
      <c r="P1189" s="197">
        <v>35430</v>
      </c>
      <c r="Q1189" s="127" t="s">
        <v>276</v>
      </c>
      <c r="R1189" s="134" t="s">
        <v>9845</v>
      </c>
      <c r="S1189" s="127" t="s">
        <v>9846</v>
      </c>
      <c r="T1189" s="167" t="s">
        <v>1191</v>
      </c>
      <c r="U1189" s="132" t="s">
        <v>276</v>
      </c>
      <c r="V1189" s="132" t="s">
        <v>276</v>
      </c>
      <c r="W1189" s="126" t="s">
        <v>276</v>
      </c>
      <c r="X1189" s="126" t="s">
        <v>276</v>
      </c>
      <c r="Y1189" s="126" t="s">
        <v>276</v>
      </c>
      <c r="Z1189" s="127" t="s">
        <v>1562</v>
      </c>
      <c r="AA1189" s="126" t="s">
        <v>276</v>
      </c>
      <c r="AB1189" s="127" t="s">
        <v>1562</v>
      </c>
      <c r="AC1189" s="127" t="s">
        <v>9847</v>
      </c>
      <c r="AD1189" s="127" t="s">
        <v>9820</v>
      </c>
      <c r="AE1189" s="126">
        <v>33</v>
      </c>
      <c r="AF1189" s="126">
        <v>20</v>
      </c>
      <c r="AG1189" s="134">
        <v>62467</v>
      </c>
      <c r="AH1189" s="127">
        <v>28758</v>
      </c>
      <c r="AI1189" s="134" t="s">
        <v>425</v>
      </c>
      <c r="AJ1189" s="135" t="s">
        <v>276</v>
      </c>
      <c r="AK1189" s="148">
        <f t="shared" si="167"/>
        <v>0.52827893127571357</v>
      </c>
      <c r="AL1189" s="135" t="s">
        <v>276</v>
      </c>
      <c r="AM1189" s="135" t="s">
        <v>276</v>
      </c>
      <c r="AN1189" s="135" t="s">
        <v>276</v>
      </c>
      <c r="AO1189" s="148">
        <f t="shared" si="168"/>
        <v>0.69545865498296122</v>
      </c>
      <c r="AP1189" s="135" t="s">
        <v>276</v>
      </c>
      <c r="AQ1189" s="135" t="s">
        <v>276</v>
      </c>
      <c r="AR1189" s="126" t="s">
        <v>269</v>
      </c>
      <c r="AS1189" s="135" t="s">
        <v>276</v>
      </c>
      <c r="AT1189" s="148">
        <f t="shared" si="166"/>
        <v>0.75961227528134856</v>
      </c>
      <c r="AU1189" s="147" t="s">
        <v>276</v>
      </c>
      <c r="AV1189" s="147" t="s">
        <v>276</v>
      </c>
      <c r="AW1189" s="126" t="s">
        <v>276</v>
      </c>
      <c r="AX1189" s="127" t="s">
        <v>9825</v>
      </c>
      <c r="AY1189" s="135">
        <v>0.76</v>
      </c>
      <c r="AZ1189" s="126">
        <v>0.43</v>
      </c>
      <c r="BA1189" s="126">
        <v>1.33</v>
      </c>
      <c r="BB1189" s="126" t="s">
        <v>276</v>
      </c>
      <c r="BC1189" s="127" t="s">
        <v>6828</v>
      </c>
      <c r="BD1189" s="127"/>
      <c r="BE1189" s="33" t="s">
        <v>100</v>
      </c>
      <c r="BF1189" s="33" t="s">
        <v>98</v>
      </c>
    </row>
    <row r="1190" spans="1:58" s="149" customFormat="1" ht="91" x14ac:dyDescent="0.3">
      <c r="A1190" s="126">
        <v>4092</v>
      </c>
      <c r="B1190" s="126" t="s">
        <v>9799</v>
      </c>
      <c r="C1190" s="127" t="s">
        <v>9264</v>
      </c>
      <c r="D1190" s="127" t="s">
        <v>9848</v>
      </c>
      <c r="E1190" s="126" t="s">
        <v>35</v>
      </c>
      <c r="F1190" s="126" t="s">
        <v>97</v>
      </c>
      <c r="G1190" s="126" t="s">
        <v>225</v>
      </c>
      <c r="H1190" s="126" t="s">
        <v>125</v>
      </c>
      <c r="I1190" s="126" t="s">
        <v>113</v>
      </c>
      <c r="J1190" s="127" t="s">
        <v>24</v>
      </c>
      <c r="K1190" s="127" t="s">
        <v>276</v>
      </c>
      <c r="L1190" s="127" t="s">
        <v>276</v>
      </c>
      <c r="M1190" s="126" t="s">
        <v>15</v>
      </c>
      <c r="N1190" s="145" t="s">
        <v>9254</v>
      </c>
      <c r="O1190" s="131" t="s">
        <v>207</v>
      </c>
      <c r="P1190" s="197">
        <v>35430</v>
      </c>
      <c r="Q1190" s="127" t="s">
        <v>276</v>
      </c>
      <c r="R1190" s="134" t="s">
        <v>9849</v>
      </c>
      <c r="S1190" s="127" t="s">
        <v>9850</v>
      </c>
      <c r="T1190" s="167" t="s">
        <v>1719</v>
      </c>
      <c r="U1190" s="132" t="s">
        <v>276</v>
      </c>
      <c r="V1190" s="132" t="s">
        <v>276</v>
      </c>
      <c r="W1190" s="126" t="s">
        <v>276</v>
      </c>
      <c r="X1190" s="126" t="s">
        <v>276</v>
      </c>
      <c r="Y1190" s="126" t="s">
        <v>276</v>
      </c>
      <c r="Z1190" s="127" t="s">
        <v>1562</v>
      </c>
      <c r="AA1190" s="126" t="s">
        <v>276</v>
      </c>
      <c r="AB1190" s="127" t="s">
        <v>1562</v>
      </c>
      <c r="AC1190" s="127" t="s">
        <v>9851</v>
      </c>
      <c r="AD1190" s="127" t="s">
        <v>9778</v>
      </c>
      <c r="AE1190" s="126">
        <v>150</v>
      </c>
      <c r="AF1190" s="126">
        <v>118</v>
      </c>
      <c r="AG1190" s="126">
        <v>591665</v>
      </c>
      <c r="AH1190" s="126">
        <v>286847</v>
      </c>
      <c r="AI1190" s="134" t="s">
        <v>425</v>
      </c>
      <c r="AJ1190" s="135" t="s">
        <v>276</v>
      </c>
      <c r="AK1190" s="148">
        <f t="shared" si="167"/>
        <v>0.25352184090659408</v>
      </c>
      <c r="AL1190" s="135" t="s">
        <v>276</v>
      </c>
      <c r="AM1190" s="135" t="s">
        <v>276</v>
      </c>
      <c r="AN1190" s="135" t="s">
        <v>276</v>
      </c>
      <c r="AO1190" s="148">
        <f t="shared" si="168"/>
        <v>0.41136912709562939</v>
      </c>
      <c r="AP1190" s="135" t="s">
        <v>276</v>
      </c>
      <c r="AQ1190" s="135" t="s">
        <v>276</v>
      </c>
      <c r="AR1190" s="126" t="s">
        <v>269</v>
      </c>
      <c r="AS1190" s="135" t="s">
        <v>276</v>
      </c>
      <c r="AT1190" s="148">
        <f t="shared" si="166"/>
        <v>0.6162879618519812</v>
      </c>
      <c r="AU1190" s="147" t="s">
        <v>276</v>
      </c>
      <c r="AV1190" s="147" t="s">
        <v>276</v>
      </c>
      <c r="AW1190" s="126" t="s">
        <v>276</v>
      </c>
      <c r="AX1190" s="127" t="s">
        <v>9825</v>
      </c>
      <c r="AY1190" s="135">
        <v>0.61</v>
      </c>
      <c r="AZ1190" s="126">
        <v>0.47</v>
      </c>
      <c r="BA1190" s="126">
        <v>0.78</v>
      </c>
      <c r="BB1190" s="126" t="s">
        <v>276</v>
      </c>
      <c r="BC1190" s="127" t="s">
        <v>6828</v>
      </c>
      <c r="BD1190" s="127"/>
      <c r="BE1190" s="33" t="s">
        <v>100</v>
      </c>
      <c r="BF1190" s="33" t="s">
        <v>98</v>
      </c>
    </row>
    <row r="1191" spans="1:58" s="160" customFormat="1" ht="91" x14ac:dyDescent="0.3">
      <c r="A1191" s="415">
        <v>4088</v>
      </c>
      <c r="B1191" s="150" t="s">
        <v>9831</v>
      </c>
      <c r="C1191" s="151" t="s">
        <v>9266</v>
      </c>
      <c r="D1191" s="151" t="s">
        <v>9832</v>
      </c>
      <c r="E1191" s="150" t="s">
        <v>35</v>
      </c>
      <c r="F1191" s="150" t="s">
        <v>97</v>
      </c>
      <c r="G1191" s="150" t="s">
        <v>225</v>
      </c>
      <c r="H1191" s="150" t="s">
        <v>125</v>
      </c>
      <c r="I1191" s="150" t="s">
        <v>113</v>
      </c>
      <c r="J1191" s="151" t="s">
        <v>24</v>
      </c>
      <c r="K1191" s="151" t="s">
        <v>276</v>
      </c>
      <c r="L1191" s="151" t="s">
        <v>276</v>
      </c>
      <c r="M1191" s="150" t="s">
        <v>15</v>
      </c>
      <c r="N1191" s="152" t="s">
        <v>3032</v>
      </c>
      <c r="O1191" s="153" t="s">
        <v>207</v>
      </c>
      <c r="P1191" s="342">
        <v>35430</v>
      </c>
      <c r="Q1191" s="151" t="s">
        <v>276</v>
      </c>
      <c r="R1191" s="156" t="s">
        <v>9852</v>
      </c>
      <c r="S1191" s="151" t="s">
        <v>9853</v>
      </c>
      <c r="T1191" s="168" t="s">
        <v>1192</v>
      </c>
      <c r="U1191" s="155" t="s">
        <v>276</v>
      </c>
      <c r="V1191" s="155" t="s">
        <v>276</v>
      </c>
      <c r="W1191" s="150" t="s">
        <v>276</v>
      </c>
      <c r="X1191" s="150" t="s">
        <v>276</v>
      </c>
      <c r="Y1191" s="150" t="s">
        <v>276</v>
      </c>
      <c r="Z1191" s="151" t="s">
        <v>1562</v>
      </c>
      <c r="AA1191" s="150" t="s">
        <v>276</v>
      </c>
      <c r="AB1191" s="151" t="s">
        <v>1562</v>
      </c>
      <c r="AC1191" s="151" t="s">
        <v>9835</v>
      </c>
      <c r="AD1191" s="151" t="s">
        <v>9809</v>
      </c>
      <c r="AE1191" s="150">
        <v>28</v>
      </c>
      <c r="AF1191" s="150">
        <v>28</v>
      </c>
      <c r="AG1191" s="156">
        <v>174178</v>
      </c>
      <c r="AH1191" s="156">
        <v>179744</v>
      </c>
      <c r="AI1191" s="156" t="s">
        <v>425</v>
      </c>
      <c r="AJ1191" s="159" t="s">
        <v>276</v>
      </c>
      <c r="AK1191" s="158">
        <f>AE1191*1000/AG1191</f>
        <v>0.16075508962096247</v>
      </c>
      <c r="AL1191" s="159" t="s">
        <v>276</v>
      </c>
      <c r="AM1191" s="159" t="s">
        <v>276</v>
      </c>
      <c r="AN1191" s="159" t="s">
        <v>276</v>
      </c>
      <c r="AO1191" s="158">
        <f>AF1191*1000/AH1191</f>
        <v>0.15577710521630764</v>
      </c>
      <c r="AP1191" s="159" t="s">
        <v>276</v>
      </c>
      <c r="AQ1191" s="159" t="s">
        <v>276</v>
      </c>
      <c r="AR1191" s="150" t="s">
        <v>269</v>
      </c>
      <c r="AS1191" s="159" t="s">
        <v>276</v>
      </c>
      <c r="AT1191" s="158">
        <f t="shared" si="166"/>
        <v>1.031955815315367</v>
      </c>
      <c r="AU1191" s="157" t="s">
        <v>276</v>
      </c>
      <c r="AV1191" s="157" t="s">
        <v>276</v>
      </c>
      <c r="AW1191" s="150" t="s">
        <v>276</v>
      </c>
      <c r="AX1191" s="151" t="s">
        <v>9825</v>
      </c>
      <c r="AY1191" s="159">
        <v>1.03</v>
      </c>
      <c r="AZ1191" s="150">
        <v>0.61</v>
      </c>
      <c r="BA1191" s="150">
        <v>1.75</v>
      </c>
      <c r="BB1191" s="150" t="s">
        <v>276</v>
      </c>
      <c r="BC1191" s="151" t="s">
        <v>6828</v>
      </c>
      <c r="BD1191" s="151"/>
      <c r="BE1191" s="33" t="s">
        <v>100</v>
      </c>
      <c r="BF1191" s="33" t="s">
        <v>98</v>
      </c>
    </row>
    <row r="1192" spans="1:58" s="160" customFormat="1" ht="91" x14ac:dyDescent="0.3">
      <c r="A1192" s="415">
        <v>4092</v>
      </c>
      <c r="B1192" s="150" t="s">
        <v>9799</v>
      </c>
      <c r="C1192" s="151" t="s">
        <v>9266</v>
      </c>
      <c r="D1192" s="151" t="s">
        <v>9836</v>
      </c>
      <c r="E1192" s="150" t="s">
        <v>35</v>
      </c>
      <c r="F1192" s="150" t="s">
        <v>97</v>
      </c>
      <c r="G1192" s="150" t="s">
        <v>225</v>
      </c>
      <c r="H1192" s="150" t="s">
        <v>125</v>
      </c>
      <c r="I1192" s="150" t="s">
        <v>113</v>
      </c>
      <c r="J1192" s="151" t="s">
        <v>24</v>
      </c>
      <c r="K1192" s="151" t="s">
        <v>276</v>
      </c>
      <c r="L1192" s="151" t="s">
        <v>276</v>
      </c>
      <c r="M1192" s="150" t="s">
        <v>15</v>
      </c>
      <c r="N1192" s="152" t="s">
        <v>3038</v>
      </c>
      <c r="O1192" s="153" t="s">
        <v>207</v>
      </c>
      <c r="P1192" s="342">
        <v>35430</v>
      </c>
      <c r="Q1192" s="151" t="s">
        <v>276</v>
      </c>
      <c r="R1192" s="156" t="s">
        <v>9854</v>
      </c>
      <c r="S1192" s="151" t="s">
        <v>9855</v>
      </c>
      <c r="T1192" s="168" t="s">
        <v>1219</v>
      </c>
      <c r="U1192" s="155" t="s">
        <v>276</v>
      </c>
      <c r="V1192" s="155" t="s">
        <v>276</v>
      </c>
      <c r="W1192" s="150" t="s">
        <v>276</v>
      </c>
      <c r="X1192" s="150" t="s">
        <v>276</v>
      </c>
      <c r="Y1192" s="150" t="s">
        <v>276</v>
      </c>
      <c r="Z1192" s="151" t="s">
        <v>1562</v>
      </c>
      <c r="AA1192" s="150" t="s">
        <v>276</v>
      </c>
      <c r="AB1192" s="151" t="s">
        <v>1562</v>
      </c>
      <c r="AC1192" s="151" t="s">
        <v>9839</v>
      </c>
      <c r="AD1192" s="151" t="s">
        <v>9814</v>
      </c>
      <c r="AE1192" s="150">
        <v>51</v>
      </c>
      <c r="AF1192" s="150">
        <v>57</v>
      </c>
      <c r="AG1192" s="156">
        <v>193615</v>
      </c>
      <c r="AH1192" s="156">
        <v>183295</v>
      </c>
      <c r="AI1192" s="156" t="s">
        <v>425</v>
      </c>
      <c r="AJ1192" s="159" t="s">
        <v>276</v>
      </c>
      <c r="AK1192" s="158">
        <f t="shared" ref="AK1192:AK1195" si="169">AE1192*1000/AG1192</f>
        <v>0.26340934328435295</v>
      </c>
      <c r="AL1192" s="159" t="s">
        <v>276</v>
      </c>
      <c r="AM1192" s="159" t="s">
        <v>276</v>
      </c>
      <c r="AN1192" s="159" t="s">
        <v>276</v>
      </c>
      <c r="AO1192" s="158">
        <f t="shared" ref="AO1192:AO1195" si="170">AF1192*1000/AH1192</f>
        <v>0.31097411276903353</v>
      </c>
      <c r="AP1192" s="159" t="s">
        <v>276</v>
      </c>
      <c r="AQ1192" s="159" t="s">
        <v>276</v>
      </c>
      <c r="AR1192" s="150" t="s">
        <v>269</v>
      </c>
      <c r="AS1192" s="159" t="s">
        <v>276</v>
      </c>
      <c r="AT1192" s="158">
        <f t="shared" si="166"/>
        <v>0.84704588732114861</v>
      </c>
      <c r="AU1192" s="157" t="s">
        <v>276</v>
      </c>
      <c r="AV1192" s="157" t="s">
        <v>276</v>
      </c>
      <c r="AW1192" s="150" t="s">
        <v>276</v>
      </c>
      <c r="AX1192" s="151" t="s">
        <v>9825</v>
      </c>
      <c r="AY1192" s="159">
        <v>0.85</v>
      </c>
      <c r="AZ1192" s="150">
        <v>0.57999999999999996</v>
      </c>
      <c r="BA1192" s="150">
        <v>1.24</v>
      </c>
      <c r="BB1192" s="150" t="s">
        <v>276</v>
      </c>
      <c r="BC1192" s="151" t="s">
        <v>6828</v>
      </c>
      <c r="BD1192" s="151"/>
      <c r="BE1192" s="33" t="s">
        <v>100</v>
      </c>
      <c r="BF1192" s="33" t="s">
        <v>98</v>
      </c>
    </row>
    <row r="1193" spans="1:58" s="160" customFormat="1" ht="91" x14ac:dyDescent="0.3">
      <c r="A1193" s="150">
        <v>4092</v>
      </c>
      <c r="B1193" s="150" t="s">
        <v>9799</v>
      </c>
      <c r="C1193" s="151" t="s">
        <v>9266</v>
      </c>
      <c r="D1193" s="151" t="s">
        <v>9840</v>
      </c>
      <c r="E1193" s="150" t="s">
        <v>35</v>
      </c>
      <c r="F1193" s="150" t="s">
        <v>97</v>
      </c>
      <c r="G1193" s="150" t="s">
        <v>225</v>
      </c>
      <c r="H1193" s="150" t="s">
        <v>125</v>
      </c>
      <c r="I1193" s="150" t="s">
        <v>113</v>
      </c>
      <c r="J1193" s="151" t="s">
        <v>24</v>
      </c>
      <c r="K1193" s="151" t="s">
        <v>276</v>
      </c>
      <c r="L1193" s="151" t="s">
        <v>276</v>
      </c>
      <c r="M1193" s="150" t="s">
        <v>15</v>
      </c>
      <c r="N1193" s="152" t="s">
        <v>9342</v>
      </c>
      <c r="O1193" s="153" t="s">
        <v>207</v>
      </c>
      <c r="P1193" s="342">
        <v>35430</v>
      </c>
      <c r="Q1193" s="151" t="s">
        <v>276</v>
      </c>
      <c r="R1193" s="156" t="s">
        <v>9856</v>
      </c>
      <c r="S1193" s="151" t="s">
        <v>9857</v>
      </c>
      <c r="T1193" s="168" t="s">
        <v>1219</v>
      </c>
      <c r="U1193" s="155" t="s">
        <v>276</v>
      </c>
      <c r="V1193" s="155" t="s">
        <v>276</v>
      </c>
      <c r="W1193" s="150" t="s">
        <v>276</v>
      </c>
      <c r="X1193" s="150" t="s">
        <v>276</v>
      </c>
      <c r="Y1193" s="150" t="s">
        <v>276</v>
      </c>
      <c r="Z1193" s="151" t="s">
        <v>1562</v>
      </c>
      <c r="AA1193" s="150" t="s">
        <v>276</v>
      </c>
      <c r="AB1193" s="151" t="s">
        <v>1562</v>
      </c>
      <c r="AC1193" s="151" t="s">
        <v>9843</v>
      </c>
      <c r="AD1193" s="151" t="s">
        <v>9817</v>
      </c>
      <c r="AE1193" s="150">
        <v>56</v>
      </c>
      <c r="AF1193" s="150">
        <v>79</v>
      </c>
      <c r="AG1193" s="156">
        <v>169332</v>
      </c>
      <c r="AH1193" s="156">
        <v>161428</v>
      </c>
      <c r="AI1193" s="156" t="s">
        <v>425</v>
      </c>
      <c r="AJ1193" s="159" t="s">
        <v>276</v>
      </c>
      <c r="AK1193" s="158">
        <f t="shared" si="169"/>
        <v>0.33071126544303497</v>
      </c>
      <c r="AL1193" s="159" t="s">
        <v>276</v>
      </c>
      <c r="AM1193" s="159" t="s">
        <v>276</v>
      </c>
      <c r="AN1193" s="159" t="s">
        <v>276</v>
      </c>
      <c r="AO1193" s="158">
        <f t="shared" si="170"/>
        <v>0.48938226330004708</v>
      </c>
      <c r="AP1193" s="159" t="s">
        <v>276</v>
      </c>
      <c r="AQ1193" s="159" t="s">
        <v>276</v>
      </c>
      <c r="AR1193" s="150" t="s">
        <v>269</v>
      </c>
      <c r="AS1193" s="159" t="s">
        <v>276</v>
      </c>
      <c r="AT1193" s="158">
        <f t="shared" si="166"/>
        <v>0.67577288807516767</v>
      </c>
      <c r="AU1193" s="157" t="s">
        <v>276</v>
      </c>
      <c r="AV1193" s="157" t="s">
        <v>276</v>
      </c>
      <c r="AW1193" s="150" t="s">
        <v>276</v>
      </c>
      <c r="AX1193" s="151" t="s">
        <v>9825</v>
      </c>
      <c r="AY1193" s="159">
        <v>0.68</v>
      </c>
      <c r="AZ1193" s="150">
        <v>0.47</v>
      </c>
      <c r="BA1193" s="150">
        <v>0.96</v>
      </c>
      <c r="BB1193" s="150" t="s">
        <v>276</v>
      </c>
      <c r="BC1193" s="151" t="s">
        <v>6828</v>
      </c>
      <c r="BD1193" s="151"/>
      <c r="BE1193" s="33" t="s">
        <v>100</v>
      </c>
      <c r="BF1193" s="33" t="s">
        <v>98</v>
      </c>
    </row>
    <row r="1194" spans="1:58" s="160" customFormat="1" ht="91" x14ac:dyDescent="0.3">
      <c r="A1194" s="150">
        <v>4092</v>
      </c>
      <c r="B1194" s="150" t="s">
        <v>9799</v>
      </c>
      <c r="C1194" s="151" t="s">
        <v>9266</v>
      </c>
      <c r="D1194" s="151" t="s">
        <v>9844</v>
      </c>
      <c r="E1194" s="150" t="s">
        <v>35</v>
      </c>
      <c r="F1194" s="150" t="s">
        <v>97</v>
      </c>
      <c r="G1194" s="150" t="s">
        <v>225</v>
      </c>
      <c r="H1194" s="150" t="s">
        <v>125</v>
      </c>
      <c r="I1194" s="150" t="s">
        <v>113</v>
      </c>
      <c r="J1194" s="151" t="s">
        <v>24</v>
      </c>
      <c r="K1194" s="151" t="s">
        <v>276</v>
      </c>
      <c r="L1194" s="151" t="s">
        <v>276</v>
      </c>
      <c r="M1194" s="150" t="s">
        <v>15</v>
      </c>
      <c r="N1194" s="152" t="s">
        <v>9350</v>
      </c>
      <c r="O1194" s="153" t="s">
        <v>207</v>
      </c>
      <c r="P1194" s="342">
        <v>35430</v>
      </c>
      <c r="Q1194" s="151" t="s">
        <v>276</v>
      </c>
      <c r="R1194" s="156" t="s">
        <v>9858</v>
      </c>
      <c r="S1194" s="151" t="s">
        <v>9859</v>
      </c>
      <c r="T1194" s="168" t="s">
        <v>1191</v>
      </c>
      <c r="U1194" s="155" t="s">
        <v>276</v>
      </c>
      <c r="V1194" s="155" t="s">
        <v>276</v>
      </c>
      <c r="W1194" s="150" t="s">
        <v>276</v>
      </c>
      <c r="X1194" s="150" t="s">
        <v>276</v>
      </c>
      <c r="Y1194" s="150" t="s">
        <v>276</v>
      </c>
      <c r="Z1194" s="151" t="s">
        <v>1562</v>
      </c>
      <c r="AA1194" s="150" t="s">
        <v>276</v>
      </c>
      <c r="AB1194" s="151" t="s">
        <v>1562</v>
      </c>
      <c r="AC1194" s="151" t="s">
        <v>9847</v>
      </c>
      <c r="AD1194" s="151" t="s">
        <v>9820</v>
      </c>
      <c r="AE1194" s="150">
        <v>28</v>
      </c>
      <c r="AF1194" s="150">
        <v>36</v>
      </c>
      <c r="AG1194" s="156">
        <v>60248</v>
      </c>
      <c r="AH1194" s="156">
        <v>59398</v>
      </c>
      <c r="AI1194" s="156" t="s">
        <v>425</v>
      </c>
      <c r="AJ1194" s="159" t="s">
        <v>276</v>
      </c>
      <c r="AK1194" s="158">
        <f t="shared" si="169"/>
        <v>0.46474571770017264</v>
      </c>
      <c r="AL1194" s="159" t="s">
        <v>276</v>
      </c>
      <c r="AM1194" s="159" t="s">
        <v>276</v>
      </c>
      <c r="AN1194" s="159" t="s">
        <v>276</v>
      </c>
      <c r="AO1194" s="158">
        <f t="shared" si="170"/>
        <v>0.60608101282871474</v>
      </c>
      <c r="AP1194" s="159" t="s">
        <v>276</v>
      </c>
      <c r="AQ1194" s="159" t="s">
        <v>276</v>
      </c>
      <c r="AR1194" s="150" t="s">
        <v>269</v>
      </c>
      <c r="AS1194" s="159" t="s">
        <v>276</v>
      </c>
      <c r="AT1194" s="158">
        <f t="shared" si="166"/>
        <v>0.76680461499874597</v>
      </c>
      <c r="AU1194" s="157" t="s">
        <v>276</v>
      </c>
      <c r="AV1194" s="157" t="s">
        <v>276</v>
      </c>
      <c r="AW1194" s="150" t="s">
        <v>276</v>
      </c>
      <c r="AX1194" s="151" t="s">
        <v>9825</v>
      </c>
      <c r="AY1194" s="159">
        <v>0.76</v>
      </c>
      <c r="AZ1194" s="150">
        <v>0.52</v>
      </c>
      <c r="BA1194" s="150">
        <v>1.1100000000000001</v>
      </c>
      <c r="BB1194" s="150" t="s">
        <v>276</v>
      </c>
      <c r="BC1194" s="151" t="s">
        <v>6828</v>
      </c>
      <c r="BD1194" s="151"/>
      <c r="BE1194" s="33" t="s">
        <v>100</v>
      </c>
      <c r="BF1194" s="33" t="s">
        <v>98</v>
      </c>
    </row>
    <row r="1195" spans="1:58" s="160" customFormat="1" ht="91" x14ac:dyDescent="0.3">
      <c r="A1195" s="150">
        <v>4092</v>
      </c>
      <c r="B1195" s="150" t="s">
        <v>9799</v>
      </c>
      <c r="C1195" s="151" t="s">
        <v>9266</v>
      </c>
      <c r="D1195" s="151" t="s">
        <v>9848</v>
      </c>
      <c r="E1195" s="150" t="s">
        <v>35</v>
      </c>
      <c r="F1195" s="150" t="s">
        <v>97</v>
      </c>
      <c r="G1195" s="150" t="s">
        <v>225</v>
      </c>
      <c r="H1195" s="150" t="s">
        <v>125</v>
      </c>
      <c r="I1195" s="150" t="s">
        <v>113</v>
      </c>
      <c r="J1195" s="151" t="s">
        <v>24</v>
      </c>
      <c r="K1195" s="151" t="s">
        <v>276</v>
      </c>
      <c r="L1195" s="151" t="s">
        <v>276</v>
      </c>
      <c r="M1195" s="150" t="s">
        <v>15</v>
      </c>
      <c r="N1195" s="152" t="s">
        <v>9254</v>
      </c>
      <c r="O1195" s="153" t="s">
        <v>207</v>
      </c>
      <c r="P1195" s="342">
        <v>35430</v>
      </c>
      <c r="Q1195" s="151" t="s">
        <v>276</v>
      </c>
      <c r="R1195" s="156" t="s">
        <v>9860</v>
      </c>
      <c r="S1195" s="151" t="s">
        <v>9861</v>
      </c>
      <c r="T1195" s="168" t="s">
        <v>1719</v>
      </c>
      <c r="U1195" s="155" t="s">
        <v>276</v>
      </c>
      <c r="V1195" s="155" t="s">
        <v>276</v>
      </c>
      <c r="W1195" s="150" t="s">
        <v>276</v>
      </c>
      <c r="X1195" s="150" t="s">
        <v>276</v>
      </c>
      <c r="Y1195" s="150" t="s">
        <v>276</v>
      </c>
      <c r="Z1195" s="151" t="s">
        <v>1562</v>
      </c>
      <c r="AA1195" s="150" t="s">
        <v>276</v>
      </c>
      <c r="AB1195" s="151" t="s">
        <v>1562</v>
      </c>
      <c r="AC1195" s="151" t="s">
        <v>9851</v>
      </c>
      <c r="AD1195" s="151" t="s">
        <v>9778</v>
      </c>
      <c r="AE1195" s="150">
        <v>163</v>
      </c>
      <c r="AF1195" s="150">
        <v>200</v>
      </c>
      <c r="AG1195" s="150">
        <v>597373</v>
      </c>
      <c r="AH1195" s="150">
        <v>583865</v>
      </c>
      <c r="AI1195" s="156" t="s">
        <v>425</v>
      </c>
      <c r="AJ1195" s="159" t="s">
        <v>276</v>
      </c>
      <c r="AK1195" s="158">
        <f t="shared" si="169"/>
        <v>0.2728613445870503</v>
      </c>
      <c r="AL1195" s="159" t="s">
        <v>276</v>
      </c>
      <c r="AM1195" s="159" t="s">
        <v>276</v>
      </c>
      <c r="AN1195" s="159" t="s">
        <v>276</v>
      </c>
      <c r="AO1195" s="158">
        <f t="shared" si="170"/>
        <v>0.34254493761400323</v>
      </c>
      <c r="AP1195" s="159" t="s">
        <v>276</v>
      </c>
      <c r="AQ1195" s="159" t="s">
        <v>276</v>
      </c>
      <c r="AR1195" s="150" t="s">
        <v>269</v>
      </c>
      <c r="AS1195" s="159" t="s">
        <v>276</v>
      </c>
      <c r="AT1195" s="158">
        <f t="shared" si="166"/>
        <v>0.79657094478659063</v>
      </c>
      <c r="AU1195" s="157" t="s">
        <v>276</v>
      </c>
      <c r="AV1195" s="157" t="s">
        <v>276</v>
      </c>
      <c r="AW1195" s="150" t="s">
        <v>276</v>
      </c>
      <c r="AX1195" s="151" t="s">
        <v>9825</v>
      </c>
      <c r="AY1195" s="159">
        <v>0.79</v>
      </c>
      <c r="AZ1195" s="150">
        <v>0.64</v>
      </c>
      <c r="BA1195" s="150">
        <v>0.98</v>
      </c>
      <c r="BB1195" s="150" t="s">
        <v>276</v>
      </c>
      <c r="BC1195" s="151" t="s">
        <v>6828</v>
      </c>
      <c r="BD1195" s="151"/>
      <c r="BE1195" s="33" t="s">
        <v>100</v>
      </c>
      <c r="BF1195" s="33" t="s">
        <v>98</v>
      </c>
    </row>
    <row r="1196" spans="1:58" s="149" customFormat="1" ht="91" x14ac:dyDescent="0.3">
      <c r="A1196" s="126">
        <v>4088</v>
      </c>
      <c r="B1196" s="126" t="s">
        <v>9831</v>
      </c>
      <c r="C1196" s="127" t="s">
        <v>62</v>
      </c>
      <c r="D1196" s="127" t="s">
        <v>9832</v>
      </c>
      <c r="E1196" s="126" t="s">
        <v>35</v>
      </c>
      <c r="F1196" s="126" t="s">
        <v>97</v>
      </c>
      <c r="G1196" s="126" t="s">
        <v>225</v>
      </c>
      <c r="H1196" s="126" t="s">
        <v>125</v>
      </c>
      <c r="I1196" s="126" t="s">
        <v>113</v>
      </c>
      <c r="J1196" s="127" t="s">
        <v>24</v>
      </c>
      <c r="K1196" s="127" t="s">
        <v>276</v>
      </c>
      <c r="L1196" s="127" t="s">
        <v>276</v>
      </c>
      <c r="M1196" s="126" t="s">
        <v>15</v>
      </c>
      <c r="N1196" s="145" t="s">
        <v>3032</v>
      </c>
      <c r="O1196" s="131" t="s">
        <v>207</v>
      </c>
      <c r="P1196" s="197">
        <v>35430</v>
      </c>
      <c r="Q1196" s="127" t="s">
        <v>276</v>
      </c>
      <c r="R1196" s="134" t="s">
        <v>9862</v>
      </c>
      <c r="S1196" s="127" t="s">
        <v>9863</v>
      </c>
      <c r="T1196" s="167" t="s">
        <v>1192</v>
      </c>
      <c r="U1196" s="132">
        <v>19844</v>
      </c>
      <c r="V1196" s="132">
        <v>15604</v>
      </c>
      <c r="W1196" s="126" t="s">
        <v>276</v>
      </c>
      <c r="X1196" s="126" t="s">
        <v>276</v>
      </c>
      <c r="Y1196" s="126" t="s">
        <v>276</v>
      </c>
      <c r="Z1196" s="127" t="s">
        <v>1562</v>
      </c>
      <c r="AA1196" s="126" t="s">
        <v>276</v>
      </c>
      <c r="AB1196" s="127" t="s">
        <v>1562</v>
      </c>
      <c r="AC1196" s="127" t="s">
        <v>9835</v>
      </c>
      <c r="AD1196" s="127" t="s">
        <v>9809</v>
      </c>
      <c r="AE1196" s="134">
        <v>54</v>
      </c>
      <c r="AF1196" s="134">
        <v>46</v>
      </c>
      <c r="AG1196" s="134">
        <v>336518</v>
      </c>
      <c r="AH1196" s="134">
        <v>265661</v>
      </c>
      <c r="AI1196" s="134" t="s">
        <v>425</v>
      </c>
      <c r="AJ1196" s="135" t="s">
        <v>276</v>
      </c>
      <c r="AK1196" s="148">
        <f>AE1196*1000/AG1196</f>
        <v>0.16046689924461693</v>
      </c>
      <c r="AL1196" s="135" t="s">
        <v>276</v>
      </c>
      <c r="AM1196" s="135" t="s">
        <v>276</v>
      </c>
      <c r="AN1196" s="135" t="s">
        <v>276</v>
      </c>
      <c r="AO1196" s="148">
        <f>AF1196*1000/AH1196</f>
        <v>0.1731530032635577</v>
      </c>
      <c r="AP1196" s="135" t="s">
        <v>276</v>
      </c>
      <c r="AQ1196" s="135" t="s">
        <v>276</v>
      </c>
      <c r="AR1196" s="126" t="s">
        <v>269</v>
      </c>
      <c r="AS1196" s="135" t="s">
        <v>276</v>
      </c>
      <c r="AT1196" s="148">
        <f t="shared" si="166"/>
        <v>0.92673471565704735</v>
      </c>
      <c r="AU1196" s="147" t="s">
        <v>276</v>
      </c>
      <c r="AV1196" s="147" t="s">
        <v>276</v>
      </c>
      <c r="AW1196" s="126" t="s">
        <v>276</v>
      </c>
      <c r="AX1196" s="127" t="s">
        <v>9825</v>
      </c>
      <c r="AY1196" s="135">
        <v>0.91</v>
      </c>
      <c r="AZ1196" s="135">
        <v>0.6</v>
      </c>
      <c r="BA1196" s="135">
        <v>1.36</v>
      </c>
      <c r="BB1196" s="126" t="s">
        <v>276</v>
      </c>
      <c r="BC1196" s="127" t="s">
        <v>6828</v>
      </c>
      <c r="BD1196" s="127"/>
      <c r="BE1196" s="33" t="s">
        <v>100</v>
      </c>
      <c r="BF1196" s="33" t="s">
        <v>98</v>
      </c>
    </row>
    <row r="1197" spans="1:58" s="149" customFormat="1" ht="91" x14ac:dyDescent="0.3">
      <c r="A1197" s="126">
        <v>4092</v>
      </c>
      <c r="B1197" s="126" t="s">
        <v>9799</v>
      </c>
      <c r="C1197" s="127" t="s">
        <v>62</v>
      </c>
      <c r="D1197" s="127" t="s">
        <v>9836</v>
      </c>
      <c r="E1197" s="126" t="s">
        <v>35</v>
      </c>
      <c r="F1197" s="126" t="s">
        <v>97</v>
      </c>
      <c r="G1197" s="126" t="s">
        <v>225</v>
      </c>
      <c r="H1197" s="126" t="s">
        <v>125</v>
      </c>
      <c r="I1197" s="126" t="s">
        <v>113</v>
      </c>
      <c r="J1197" s="127" t="s">
        <v>24</v>
      </c>
      <c r="K1197" s="127" t="s">
        <v>276</v>
      </c>
      <c r="L1197" s="127" t="s">
        <v>276</v>
      </c>
      <c r="M1197" s="126" t="s">
        <v>15</v>
      </c>
      <c r="N1197" s="145" t="s">
        <v>3038</v>
      </c>
      <c r="O1197" s="131" t="s">
        <v>207</v>
      </c>
      <c r="P1197" s="197">
        <v>35430</v>
      </c>
      <c r="Q1197" s="127" t="s">
        <v>276</v>
      </c>
      <c r="R1197" s="134" t="s">
        <v>9864</v>
      </c>
      <c r="S1197" s="127" t="s">
        <v>9865</v>
      </c>
      <c r="T1197" s="167" t="s">
        <v>1219</v>
      </c>
      <c r="U1197" s="132">
        <v>23485</v>
      </c>
      <c r="V1197" s="132">
        <v>16805</v>
      </c>
      <c r="W1197" s="126" t="s">
        <v>276</v>
      </c>
      <c r="X1197" s="126" t="s">
        <v>276</v>
      </c>
      <c r="Y1197" s="126" t="s">
        <v>276</v>
      </c>
      <c r="Z1197" s="127" t="s">
        <v>1562</v>
      </c>
      <c r="AA1197" s="126" t="s">
        <v>276</v>
      </c>
      <c r="AB1197" s="127" t="s">
        <v>1562</v>
      </c>
      <c r="AC1197" s="127" t="s">
        <v>9839</v>
      </c>
      <c r="AD1197" s="127" t="s">
        <v>9814</v>
      </c>
      <c r="AE1197" s="126">
        <v>91</v>
      </c>
      <c r="AF1197" s="126">
        <v>99</v>
      </c>
      <c r="AG1197" s="126">
        <v>385115</v>
      </c>
      <c r="AH1197" s="126">
        <v>274370</v>
      </c>
      <c r="AI1197" s="134" t="s">
        <v>425</v>
      </c>
      <c r="AJ1197" s="135" t="s">
        <v>276</v>
      </c>
      <c r="AK1197" s="148">
        <f t="shared" ref="AK1197:AK1203" si="171">AE1197*1000/AG1197</f>
        <v>0.23629305532113784</v>
      </c>
      <c r="AL1197" s="135" t="s">
        <v>276</v>
      </c>
      <c r="AM1197" s="135" t="s">
        <v>276</v>
      </c>
      <c r="AN1197" s="135" t="s">
        <v>276</v>
      </c>
      <c r="AO1197" s="148">
        <f t="shared" ref="AO1197:AO1203" si="172">AF1197*1000/AH1197</f>
        <v>0.36082662098625945</v>
      </c>
      <c r="AP1197" s="135" t="s">
        <v>276</v>
      </c>
      <c r="AQ1197" s="135" t="s">
        <v>276</v>
      </c>
      <c r="AR1197" s="126" t="s">
        <v>269</v>
      </c>
      <c r="AS1197" s="135" t="s">
        <v>276</v>
      </c>
      <c r="AT1197" s="148">
        <f t="shared" si="166"/>
        <v>0.65486591503495539</v>
      </c>
      <c r="AU1197" s="147" t="s">
        <v>276</v>
      </c>
      <c r="AV1197" s="147" t="s">
        <v>276</v>
      </c>
      <c r="AW1197" s="126" t="s">
        <v>276</v>
      </c>
      <c r="AX1197" s="127" t="s">
        <v>9825</v>
      </c>
      <c r="AY1197" s="135">
        <v>0.65</v>
      </c>
      <c r="AZ1197" s="126">
        <v>0.48</v>
      </c>
      <c r="BA1197" s="126">
        <v>0.87</v>
      </c>
      <c r="BB1197" s="126" t="s">
        <v>276</v>
      </c>
      <c r="BC1197" s="127" t="s">
        <v>6828</v>
      </c>
      <c r="BD1197" s="127"/>
      <c r="BE1197" s="33" t="s">
        <v>100</v>
      </c>
      <c r="BF1197" s="33" t="s">
        <v>98</v>
      </c>
    </row>
    <row r="1198" spans="1:58" s="149" customFormat="1" ht="91" x14ac:dyDescent="0.3">
      <c r="A1198" s="126">
        <v>4092</v>
      </c>
      <c r="B1198" s="126" t="s">
        <v>9799</v>
      </c>
      <c r="C1198" s="127" t="s">
        <v>62</v>
      </c>
      <c r="D1198" s="127" t="s">
        <v>9840</v>
      </c>
      <c r="E1198" s="126" t="s">
        <v>35</v>
      </c>
      <c r="F1198" s="126" t="s">
        <v>97</v>
      </c>
      <c r="G1198" s="126" t="s">
        <v>225</v>
      </c>
      <c r="H1198" s="126" t="s">
        <v>125</v>
      </c>
      <c r="I1198" s="126" t="s">
        <v>113</v>
      </c>
      <c r="J1198" s="127" t="s">
        <v>24</v>
      </c>
      <c r="K1198" s="127" t="s">
        <v>276</v>
      </c>
      <c r="L1198" s="127" t="s">
        <v>276</v>
      </c>
      <c r="M1198" s="126" t="s">
        <v>15</v>
      </c>
      <c r="N1198" s="145" t="s">
        <v>9342</v>
      </c>
      <c r="O1198" s="131" t="s">
        <v>207</v>
      </c>
      <c r="P1198" s="197">
        <v>35430</v>
      </c>
      <c r="Q1198" s="127" t="s">
        <v>276</v>
      </c>
      <c r="R1198" s="134" t="s">
        <v>9866</v>
      </c>
      <c r="S1198" s="127" t="s">
        <v>9867</v>
      </c>
      <c r="T1198" s="167" t="s">
        <v>1219</v>
      </c>
      <c r="U1198" s="132">
        <v>23412</v>
      </c>
      <c r="V1198" s="132">
        <v>16269</v>
      </c>
      <c r="W1198" s="126" t="s">
        <v>276</v>
      </c>
      <c r="X1198" s="126" t="s">
        <v>276</v>
      </c>
      <c r="Y1198" s="126" t="s">
        <v>276</v>
      </c>
      <c r="Z1198" s="127" t="s">
        <v>1562</v>
      </c>
      <c r="AA1198" s="126" t="s">
        <v>276</v>
      </c>
      <c r="AB1198" s="127" t="s">
        <v>1562</v>
      </c>
      <c r="AC1198" s="127" t="s">
        <v>9843</v>
      </c>
      <c r="AD1198" s="127" t="s">
        <v>9817</v>
      </c>
      <c r="AE1198" s="134">
        <v>107</v>
      </c>
      <c r="AF1198" s="134">
        <v>117</v>
      </c>
      <c r="AG1198" s="134">
        <v>344690</v>
      </c>
      <c r="AH1198" s="134">
        <v>242525</v>
      </c>
      <c r="AI1198" s="134" t="s">
        <v>425</v>
      </c>
      <c r="AJ1198" s="135" t="s">
        <v>276</v>
      </c>
      <c r="AK1198" s="148">
        <f t="shared" si="171"/>
        <v>0.31042385911978881</v>
      </c>
      <c r="AL1198" s="135" t="s">
        <v>276</v>
      </c>
      <c r="AM1198" s="135" t="s">
        <v>276</v>
      </c>
      <c r="AN1198" s="135" t="s">
        <v>276</v>
      </c>
      <c r="AO1198" s="148">
        <f t="shared" si="172"/>
        <v>0.48242449232037932</v>
      </c>
      <c r="AP1198" s="135" t="s">
        <v>276</v>
      </c>
      <c r="AQ1198" s="135" t="s">
        <v>276</v>
      </c>
      <c r="AR1198" s="126" t="s">
        <v>269</v>
      </c>
      <c r="AS1198" s="135" t="s">
        <v>276</v>
      </c>
      <c r="AT1198" s="148">
        <f t="shared" si="166"/>
        <v>0.64346620882928873</v>
      </c>
      <c r="AU1198" s="147" t="s">
        <v>276</v>
      </c>
      <c r="AV1198" s="147" t="s">
        <v>276</v>
      </c>
      <c r="AW1198" s="126" t="s">
        <v>276</v>
      </c>
      <c r="AX1198" s="127" t="s">
        <v>9825</v>
      </c>
      <c r="AY1198" s="135">
        <v>0.65</v>
      </c>
      <c r="AZ1198" s="135">
        <v>0.5</v>
      </c>
      <c r="BA1198" s="126">
        <v>0.86</v>
      </c>
      <c r="BB1198" s="126" t="s">
        <v>276</v>
      </c>
      <c r="BC1198" s="127" t="s">
        <v>6828</v>
      </c>
      <c r="BD1198" s="127"/>
      <c r="BE1198" s="33" t="s">
        <v>100</v>
      </c>
      <c r="BF1198" s="33" t="s">
        <v>98</v>
      </c>
    </row>
    <row r="1199" spans="1:58" s="149" customFormat="1" ht="91" x14ac:dyDescent="0.3">
      <c r="A1199" s="126">
        <v>4092</v>
      </c>
      <c r="B1199" s="126" t="s">
        <v>9799</v>
      </c>
      <c r="C1199" s="127" t="s">
        <v>62</v>
      </c>
      <c r="D1199" s="127" t="s">
        <v>9844</v>
      </c>
      <c r="E1199" s="126" t="s">
        <v>35</v>
      </c>
      <c r="F1199" s="126" t="s">
        <v>97</v>
      </c>
      <c r="G1199" s="126" t="s">
        <v>225</v>
      </c>
      <c r="H1199" s="126" t="s">
        <v>125</v>
      </c>
      <c r="I1199" s="126" t="s">
        <v>113</v>
      </c>
      <c r="J1199" s="127" t="s">
        <v>24</v>
      </c>
      <c r="K1199" s="127" t="s">
        <v>276</v>
      </c>
      <c r="L1199" s="127" t="s">
        <v>276</v>
      </c>
      <c r="M1199" s="126" t="s">
        <v>15</v>
      </c>
      <c r="N1199" s="145" t="s">
        <v>9350</v>
      </c>
      <c r="O1199" s="131" t="s">
        <v>207</v>
      </c>
      <c r="P1199" s="197">
        <v>35430</v>
      </c>
      <c r="Q1199" s="127" t="s">
        <v>276</v>
      </c>
      <c r="R1199" s="134" t="s">
        <v>9868</v>
      </c>
      <c r="S1199" s="127" t="s">
        <v>9869</v>
      </c>
      <c r="T1199" s="167" t="s">
        <v>1191</v>
      </c>
      <c r="U1199" s="132">
        <v>10339</v>
      </c>
      <c r="V1199" s="132">
        <v>7307</v>
      </c>
      <c r="W1199" s="126" t="s">
        <v>276</v>
      </c>
      <c r="X1199" s="126" t="s">
        <v>276</v>
      </c>
      <c r="Y1199" s="126" t="s">
        <v>276</v>
      </c>
      <c r="Z1199" s="127" t="s">
        <v>1562</v>
      </c>
      <c r="AA1199" s="126" t="s">
        <v>276</v>
      </c>
      <c r="AB1199" s="127" t="s">
        <v>1562</v>
      </c>
      <c r="AC1199" s="127" t="s">
        <v>9847</v>
      </c>
      <c r="AD1199" s="127" t="s">
        <v>9820</v>
      </c>
      <c r="AE1199" s="134">
        <v>61</v>
      </c>
      <c r="AF1199" s="134">
        <v>56</v>
      </c>
      <c r="AG1199" s="134">
        <v>122715</v>
      </c>
      <c r="AH1199" s="134">
        <v>88156</v>
      </c>
      <c r="AI1199" s="134" t="s">
        <v>425</v>
      </c>
      <c r="AJ1199" s="135" t="s">
        <v>276</v>
      </c>
      <c r="AK1199" s="148">
        <f t="shared" si="171"/>
        <v>0.49708674571160821</v>
      </c>
      <c r="AL1199" s="135" t="s">
        <v>276</v>
      </c>
      <c r="AM1199" s="135" t="s">
        <v>276</v>
      </c>
      <c r="AN1199" s="135" t="s">
        <v>276</v>
      </c>
      <c r="AO1199" s="148">
        <f t="shared" si="172"/>
        <v>0.63523753346340583</v>
      </c>
      <c r="AP1199" s="135" t="s">
        <v>276</v>
      </c>
      <c r="AQ1199" s="135" t="s">
        <v>276</v>
      </c>
      <c r="AR1199" s="126" t="s">
        <v>269</v>
      </c>
      <c r="AS1199" s="135" t="s">
        <v>276</v>
      </c>
      <c r="AT1199" s="148">
        <f t="shared" si="166"/>
        <v>0.78252105633843805</v>
      </c>
      <c r="AU1199" s="147" t="s">
        <v>276</v>
      </c>
      <c r="AV1199" s="147" t="s">
        <v>276</v>
      </c>
      <c r="AW1199" s="126" t="s">
        <v>276</v>
      </c>
      <c r="AX1199" s="127" t="s">
        <v>9825</v>
      </c>
      <c r="AY1199" s="135">
        <v>0.76</v>
      </c>
      <c r="AZ1199" s="126">
        <v>0.43</v>
      </c>
      <c r="BA1199" s="126">
        <v>1.33</v>
      </c>
      <c r="BB1199" s="126" t="s">
        <v>276</v>
      </c>
      <c r="BC1199" s="127" t="s">
        <v>6828</v>
      </c>
      <c r="BD1199" s="127"/>
      <c r="BE1199" s="33" t="s">
        <v>100</v>
      </c>
      <c r="BF1199" s="33" t="s">
        <v>98</v>
      </c>
    </row>
    <row r="1200" spans="1:58" s="149" customFormat="1" ht="91" x14ac:dyDescent="0.3">
      <c r="A1200" s="126">
        <v>4092</v>
      </c>
      <c r="B1200" s="126" t="s">
        <v>9799</v>
      </c>
      <c r="C1200" s="127" t="s">
        <v>62</v>
      </c>
      <c r="D1200" s="127" t="s">
        <v>9848</v>
      </c>
      <c r="E1200" s="126" t="s">
        <v>35</v>
      </c>
      <c r="F1200" s="126" t="s">
        <v>97</v>
      </c>
      <c r="G1200" s="126" t="s">
        <v>225</v>
      </c>
      <c r="H1200" s="126" t="s">
        <v>125</v>
      </c>
      <c r="I1200" s="126" t="s">
        <v>113</v>
      </c>
      <c r="J1200" s="127" t="s">
        <v>24</v>
      </c>
      <c r="K1200" s="127" t="s">
        <v>276</v>
      </c>
      <c r="L1200" s="127" t="s">
        <v>276</v>
      </c>
      <c r="M1200" s="126" t="s">
        <v>15</v>
      </c>
      <c r="N1200" s="145" t="s">
        <v>9254</v>
      </c>
      <c r="O1200" s="131" t="s">
        <v>207</v>
      </c>
      <c r="P1200" s="197">
        <v>35430</v>
      </c>
      <c r="Q1200" s="127" t="s">
        <v>276</v>
      </c>
      <c r="R1200" s="134" t="s">
        <v>9870</v>
      </c>
      <c r="S1200" s="127" t="s">
        <v>9871</v>
      </c>
      <c r="T1200" s="167" t="s">
        <v>1719</v>
      </c>
      <c r="U1200" s="132">
        <v>77080</v>
      </c>
      <c r="V1200" s="132">
        <v>55985</v>
      </c>
      <c r="W1200" s="126" t="s">
        <v>276</v>
      </c>
      <c r="X1200" s="126" t="s">
        <v>276</v>
      </c>
      <c r="Y1200" s="126" t="s">
        <v>276</v>
      </c>
      <c r="Z1200" s="127" t="s">
        <v>1562</v>
      </c>
      <c r="AA1200" s="126" t="s">
        <v>276</v>
      </c>
      <c r="AB1200" s="127" t="s">
        <v>1562</v>
      </c>
      <c r="AC1200" s="127" t="s">
        <v>9851</v>
      </c>
      <c r="AD1200" s="127" t="s">
        <v>9778</v>
      </c>
      <c r="AE1200" s="132">
        <f>AE1199+AE1198+AE1197+AE1196</f>
        <v>313</v>
      </c>
      <c r="AF1200" s="132">
        <f>AF1199+AF1198+AF1197+AF1196</f>
        <v>318</v>
      </c>
      <c r="AG1200" s="126">
        <v>1189038</v>
      </c>
      <c r="AH1200" s="126">
        <v>870712</v>
      </c>
      <c r="AI1200" s="134" t="s">
        <v>425</v>
      </c>
      <c r="AJ1200" s="135" t="s">
        <v>276</v>
      </c>
      <c r="AK1200" s="148">
        <f t="shared" si="171"/>
        <v>0.26323801257823554</v>
      </c>
      <c r="AL1200" s="135" t="s">
        <v>276</v>
      </c>
      <c r="AM1200" s="135" t="s">
        <v>276</v>
      </c>
      <c r="AN1200" s="135" t="s">
        <v>276</v>
      </c>
      <c r="AO1200" s="148">
        <f t="shared" si="172"/>
        <v>0.36521835003996728</v>
      </c>
      <c r="AP1200" s="135" t="s">
        <v>276</v>
      </c>
      <c r="AQ1200" s="135" t="s">
        <v>276</v>
      </c>
      <c r="AR1200" s="126" t="s">
        <v>269</v>
      </c>
      <c r="AS1200" s="135" t="s">
        <v>276</v>
      </c>
      <c r="AT1200" s="148">
        <f t="shared" si="166"/>
        <v>0.7207688566289957</v>
      </c>
      <c r="AU1200" s="147" t="s">
        <v>276</v>
      </c>
      <c r="AV1200" s="147" t="s">
        <v>276</v>
      </c>
      <c r="AW1200" s="126" t="s">
        <v>276</v>
      </c>
      <c r="AX1200" s="127" t="s">
        <v>9825</v>
      </c>
      <c r="AY1200" s="135">
        <v>0.71</v>
      </c>
      <c r="AZ1200" s="135">
        <v>0.6</v>
      </c>
      <c r="BA1200" s="126">
        <v>0.83</v>
      </c>
      <c r="BB1200" s="126" t="s">
        <v>276</v>
      </c>
      <c r="BC1200" s="127" t="s">
        <v>9872</v>
      </c>
      <c r="BD1200" s="127"/>
      <c r="BE1200" s="33" t="s">
        <v>100</v>
      </c>
      <c r="BF1200" s="33" t="s">
        <v>98</v>
      </c>
    </row>
    <row r="1201" spans="1:58" s="7" customFormat="1" ht="91" x14ac:dyDescent="0.3">
      <c r="A1201" s="8">
        <v>4086</v>
      </c>
      <c r="B1201" s="8" t="s">
        <v>9873</v>
      </c>
      <c r="C1201" s="9" t="s">
        <v>9264</v>
      </c>
      <c r="D1201" s="9" t="s">
        <v>9874</v>
      </c>
      <c r="E1201" s="8" t="s">
        <v>35</v>
      </c>
      <c r="F1201" s="8" t="s">
        <v>97</v>
      </c>
      <c r="G1201" s="8" t="s">
        <v>225</v>
      </c>
      <c r="H1201" s="8" t="s">
        <v>125</v>
      </c>
      <c r="I1201" s="8" t="s">
        <v>113</v>
      </c>
      <c r="J1201" s="9" t="s">
        <v>24</v>
      </c>
      <c r="K1201" s="9" t="s">
        <v>9875</v>
      </c>
      <c r="L1201" s="9" t="s">
        <v>276</v>
      </c>
      <c r="M1201" s="8" t="s">
        <v>15</v>
      </c>
      <c r="N1201" s="11" t="s">
        <v>9254</v>
      </c>
      <c r="O1201" s="12" t="s">
        <v>207</v>
      </c>
      <c r="P1201" s="41">
        <v>36160</v>
      </c>
      <c r="Q1201" s="9" t="s">
        <v>2388</v>
      </c>
      <c r="R1201" s="38" t="s">
        <v>9876</v>
      </c>
      <c r="S1201" s="38" t="s">
        <v>9877</v>
      </c>
      <c r="T1201" s="51" t="s">
        <v>9878</v>
      </c>
      <c r="U1201" s="13" t="s">
        <v>276</v>
      </c>
      <c r="V1201" s="13" t="s">
        <v>276</v>
      </c>
      <c r="W1201" s="8" t="s">
        <v>276</v>
      </c>
      <c r="X1201" s="8" t="s">
        <v>276</v>
      </c>
      <c r="Y1201" s="8" t="s">
        <v>276</v>
      </c>
      <c r="Z1201" s="9" t="s">
        <v>1562</v>
      </c>
      <c r="AA1201" s="8" t="s">
        <v>276</v>
      </c>
      <c r="AB1201" s="9" t="s">
        <v>1562</v>
      </c>
      <c r="AC1201" s="9" t="s">
        <v>9879</v>
      </c>
      <c r="AD1201" s="9" t="s">
        <v>9778</v>
      </c>
      <c r="AE1201" s="8">
        <v>152</v>
      </c>
      <c r="AF1201" s="8">
        <v>121</v>
      </c>
      <c r="AG1201" s="38">
        <v>672482</v>
      </c>
      <c r="AH1201" s="38">
        <v>326091</v>
      </c>
      <c r="AI1201" s="38" t="s">
        <v>425</v>
      </c>
      <c r="AJ1201" s="14" t="s">
        <v>276</v>
      </c>
      <c r="AK1201" s="31">
        <f t="shared" si="171"/>
        <v>0.22602835466228091</v>
      </c>
      <c r="AL1201" s="14" t="s">
        <v>276</v>
      </c>
      <c r="AM1201" s="14" t="s">
        <v>276</v>
      </c>
      <c r="AN1201" s="14" t="s">
        <v>276</v>
      </c>
      <c r="AO1201" s="31">
        <f t="shared" si="172"/>
        <v>0.37106206549705451</v>
      </c>
      <c r="AP1201" s="14" t="s">
        <v>276</v>
      </c>
      <c r="AQ1201" s="14" t="s">
        <v>276</v>
      </c>
      <c r="AR1201" s="8" t="s">
        <v>269</v>
      </c>
      <c r="AS1201" s="14" t="s">
        <v>276</v>
      </c>
      <c r="AT1201" s="31">
        <f t="shared" si="166"/>
        <v>0.60913894380312272</v>
      </c>
      <c r="AU1201" s="43" t="s">
        <v>276</v>
      </c>
      <c r="AV1201" s="43" t="s">
        <v>276</v>
      </c>
      <c r="AW1201" s="8" t="s">
        <v>276</v>
      </c>
      <c r="AX1201" s="9" t="s">
        <v>282</v>
      </c>
      <c r="AY1201" s="14" t="s">
        <v>98</v>
      </c>
      <c r="AZ1201" s="14" t="s">
        <v>98</v>
      </c>
      <c r="BA1201" s="14" t="s">
        <v>98</v>
      </c>
      <c r="BB1201" s="8" t="s">
        <v>276</v>
      </c>
      <c r="BC1201" s="9" t="s">
        <v>9880</v>
      </c>
      <c r="BD1201" s="9" t="s">
        <v>9881</v>
      </c>
      <c r="BE1201" s="33" t="s">
        <v>100</v>
      </c>
      <c r="BF1201" s="33" t="s">
        <v>98</v>
      </c>
    </row>
    <row r="1202" spans="1:58" s="7" customFormat="1" ht="91" x14ac:dyDescent="0.3">
      <c r="A1202" s="8">
        <v>4086</v>
      </c>
      <c r="B1202" s="8" t="s">
        <v>9873</v>
      </c>
      <c r="C1202" s="9" t="s">
        <v>9266</v>
      </c>
      <c r="D1202" s="9" t="s">
        <v>9874</v>
      </c>
      <c r="E1202" s="8" t="s">
        <v>35</v>
      </c>
      <c r="F1202" s="8" t="s">
        <v>97</v>
      </c>
      <c r="G1202" s="8" t="s">
        <v>225</v>
      </c>
      <c r="H1202" s="8" t="s">
        <v>125</v>
      </c>
      <c r="I1202" s="8" t="s">
        <v>113</v>
      </c>
      <c r="J1202" s="9" t="s">
        <v>24</v>
      </c>
      <c r="K1202" s="9" t="s">
        <v>9875</v>
      </c>
      <c r="L1202" s="9" t="s">
        <v>276</v>
      </c>
      <c r="M1202" s="8" t="s">
        <v>15</v>
      </c>
      <c r="N1202" s="11" t="s">
        <v>9254</v>
      </c>
      <c r="O1202" s="12" t="s">
        <v>207</v>
      </c>
      <c r="P1202" s="41">
        <v>36160</v>
      </c>
      <c r="Q1202" s="9" t="s">
        <v>2388</v>
      </c>
      <c r="R1202" s="38" t="s">
        <v>9882</v>
      </c>
      <c r="S1202" s="38" t="s">
        <v>9883</v>
      </c>
      <c r="T1202" s="51" t="s">
        <v>9878</v>
      </c>
      <c r="U1202" s="13" t="s">
        <v>276</v>
      </c>
      <c r="V1202" s="13" t="s">
        <v>276</v>
      </c>
      <c r="W1202" s="8" t="s">
        <v>276</v>
      </c>
      <c r="X1202" s="8" t="s">
        <v>276</v>
      </c>
      <c r="Y1202" s="8" t="s">
        <v>276</v>
      </c>
      <c r="Z1202" s="9" t="s">
        <v>1562</v>
      </c>
      <c r="AA1202" s="8" t="s">
        <v>276</v>
      </c>
      <c r="AB1202" s="9" t="s">
        <v>1562</v>
      </c>
      <c r="AC1202" s="9" t="s">
        <v>9879</v>
      </c>
      <c r="AD1202" s="9" t="s">
        <v>9778</v>
      </c>
      <c r="AE1202" s="8">
        <v>167</v>
      </c>
      <c r="AF1202" s="8">
        <v>213</v>
      </c>
      <c r="AG1202" s="38">
        <v>660242</v>
      </c>
      <c r="AH1202" s="38">
        <v>643696</v>
      </c>
      <c r="AI1202" s="38" t="s">
        <v>425</v>
      </c>
      <c r="AJ1202" s="14" t="s">
        <v>276</v>
      </c>
      <c r="AK1202" s="31">
        <f t="shared" si="171"/>
        <v>0.25293755925857486</v>
      </c>
      <c r="AL1202" s="14" t="s">
        <v>276</v>
      </c>
      <c r="AM1202" s="14" t="s">
        <v>276</v>
      </c>
      <c r="AN1202" s="14" t="s">
        <v>276</v>
      </c>
      <c r="AO1202" s="31">
        <f t="shared" si="172"/>
        <v>0.33090154358579205</v>
      </c>
      <c r="AP1202" s="14" t="s">
        <v>276</v>
      </c>
      <c r="AQ1202" s="14" t="s">
        <v>276</v>
      </c>
      <c r="AR1202" s="8" t="s">
        <v>269</v>
      </c>
      <c r="AS1202" s="14" t="s">
        <v>276</v>
      </c>
      <c r="AT1202" s="31">
        <f t="shared" si="166"/>
        <v>0.76438917908219539</v>
      </c>
      <c r="AU1202" s="43" t="s">
        <v>276</v>
      </c>
      <c r="AV1202" s="43" t="s">
        <v>276</v>
      </c>
      <c r="AW1202" s="8" t="s">
        <v>276</v>
      </c>
      <c r="AX1202" s="9" t="s">
        <v>282</v>
      </c>
      <c r="AY1202" s="14" t="s">
        <v>98</v>
      </c>
      <c r="AZ1202" s="14" t="s">
        <v>98</v>
      </c>
      <c r="BA1202" s="14" t="s">
        <v>98</v>
      </c>
      <c r="BB1202" s="8" t="s">
        <v>276</v>
      </c>
      <c r="BC1202" s="9" t="s">
        <v>9880</v>
      </c>
      <c r="BD1202" s="9" t="s">
        <v>9881</v>
      </c>
      <c r="BE1202" s="33" t="s">
        <v>100</v>
      </c>
      <c r="BF1202" s="33" t="s">
        <v>98</v>
      </c>
    </row>
    <row r="1203" spans="1:58" s="7" customFormat="1" ht="91" x14ac:dyDescent="0.3">
      <c r="A1203" s="8">
        <v>4086</v>
      </c>
      <c r="B1203" s="8" t="s">
        <v>9873</v>
      </c>
      <c r="C1203" s="9" t="s">
        <v>62</v>
      </c>
      <c r="D1203" s="9" t="s">
        <v>9874</v>
      </c>
      <c r="E1203" s="8" t="s">
        <v>35</v>
      </c>
      <c r="F1203" s="8" t="s">
        <v>97</v>
      </c>
      <c r="G1203" s="8" t="s">
        <v>225</v>
      </c>
      <c r="H1203" s="8" t="s">
        <v>125</v>
      </c>
      <c r="I1203" s="8" t="s">
        <v>113</v>
      </c>
      <c r="J1203" s="9" t="s">
        <v>24</v>
      </c>
      <c r="K1203" s="9" t="s">
        <v>9875</v>
      </c>
      <c r="L1203" s="9" t="s">
        <v>276</v>
      </c>
      <c r="M1203" s="8" t="s">
        <v>15</v>
      </c>
      <c r="N1203" s="11" t="s">
        <v>9254</v>
      </c>
      <c r="O1203" s="12" t="s">
        <v>207</v>
      </c>
      <c r="P1203" s="41">
        <v>36160</v>
      </c>
      <c r="Q1203" s="9" t="s">
        <v>2388</v>
      </c>
      <c r="R1203" s="38" t="s">
        <v>9884</v>
      </c>
      <c r="S1203" s="38" t="s">
        <v>9885</v>
      </c>
      <c r="T1203" s="51" t="s">
        <v>9878</v>
      </c>
      <c r="U1203" s="13">
        <v>77080</v>
      </c>
      <c r="V1203" s="13">
        <v>55985</v>
      </c>
      <c r="W1203" s="8" t="s">
        <v>276</v>
      </c>
      <c r="X1203" s="8" t="s">
        <v>276</v>
      </c>
      <c r="Y1203" s="8" t="s">
        <v>276</v>
      </c>
      <c r="Z1203" s="9" t="s">
        <v>1562</v>
      </c>
      <c r="AA1203" s="8" t="s">
        <v>276</v>
      </c>
      <c r="AB1203" s="9" t="s">
        <v>1562</v>
      </c>
      <c r="AC1203" s="9" t="s">
        <v>9879</v>
      </c>
      <c r="AD1203" s="9" t="s">
        <v>9778</v>
      </c>
      <c r="AE1203" s="13">
        <f>152+167</f>
        <v>319</v>
      </c>
      <c r="AF1203" s="13">
        <f>121+213</f>
        <v>334</v>
      </c>
      <c r="AG1203" s="13">
        <v>1332724</v>
      </c>
      <c r="AH1203" s="13">
        <v>969787</v>
      </c>
      <c r="AI1203" s="38" t="s">
        <v>425</v>
      </c>
      <c r="AJ1203" s="14" t="s">
        <v>276</v>
      </c>
      <c r="AK1203" s="31">
        <f t="shared" si="171"/>
        <v>0.23935938723996866</v>
      </c>
      <c r="AL1203" s="14" t="s">
        <v>276</v>
      </c>
      <c r="AM1203" s="14" t="s">
        <v>276</v>
      </c>
      <c r="AN1203" s="14" t="s">
        <v>276</v>
      </c>
      <c r="AO1203" s="31">
        <f t="shared" si="172"/>
        <v>0.34440552409962188</v>
      </c>
      <c r="AP1203" s="14" t="s">
        <v>276</v>
      </c>
      <c r="AQ1203" s="14" t="s">
        <v>276</v>
      </c>
      <c r="AR1203" s="8" t="s">
        <v>269</v>
      </c>
      <c r="AS1203" s="14" t="s">
        <v>276</v>
      </c>
      <c r="AT1203" s="31">
        <f t="shared" si="166"/>
        <v>0.69499288045894458</v>
      </c>
      <c r="AU1203" s="43" t="s">
        <v>276</v>
      </c>
      <c r="AV1203" s="43" t="s">
        <v>276</v>
      </c>
      <c r="AW1203" s="8" t="s">
        <v>276</v>
      </c>
      <c r="AX1203" s="9" t="s">
        <v>9825</v>
      </c>
      <c r="AY1203" s="14">
        <v>0.68</v>
      </c>
      <c r="AZ1203" s="14">
        <v>0.59</v>
      </c>
      <c r="BA1203" s="8">
        <v>0.8</v>
      </c>
      <c r="BB1203" s="8" t="s">
        <v>431</v>
      </c>
      <c r="BC1203" s="9" t="s">
        <v>9886</v>
      </c>
      <c r="BD1203" s="9"/>
      <c r="BE1203" s="33" t="s">
        <v>100</v>
      </c>
      <c r="BF1203" s="33" t="s">
        <v>98</v>
      </c>
    </row>
    <row r="1204" spans="1:58" s="87" customFormat="1" ht="91" x14ac:dyDescent="0.3">
      <c r="A1204" s="72">
        <v>4086</v>
      </c>
      <c r="B1204" s="72" t="s">
        <v>9873</v>
      </c>
      <c r="C1204" s="73" t="s">
        <v>9264</v>
      </c>
      <c r="D1204" s="73" t="s">
        <v>9887</v>
      </c>
      <c r="E1204" s="72" t="s">
        <v>35</v>
      </c>
      <c r="F1204" s="72" t="s">
        <v>97</v>
      </c>
      <c r="G1204" s="72" t="s">
        <v>225</v>
      </c>
      <c r="H1204" s="72" t="s">
        <v>125</v>
      </c>
      <c r="I1204" s="72" t="s">
        <v>113</v>
      </c>
      <c r="J1204" s="73" t="s">
        <v>24</v>
      </c>
      <c r="K1204" s="73" t="s">
        <v>9875</v>
      </c>
      <c r="L1204" s="73" t="s">
        <v>276</v>
      </c>
      <c r="M1204" s="72" t="s">
        <v>15</v>
      </c>
      <c r="N1204" s="84" t="s">
        <v>3032</v>
      </c>
      <c r="O1204" s="85" t="s">
        <v>207</v>
      </c>
      <c r="P1204" s="88">
        <v>36160</v>
      </c>
      <c r="Q1204" s="73" t="s">
        <v>2388</v>
      </c>
      <c r="R1204" s="75" t="s">
        <v>276</v>
      </c>
      <c r="S1204" s="75" t="s">
        <v>276</v>
      </c>
      <c r="T1204" s="89" t="s">
        <v>1224</v>
      </c>
      <c r="U1204" s="74" t="s">
        <v>276</v>
      </c>
      <c r="V1204" s="74" t="s">
        <v>276</v>
      </c>
      <c r="W1204" s="72" t="s">
        <v>276</v>
      </c>
      <c r="X1204" s="72" t="s">
        <v>276</v>
      </c>
      <c r="Y1204" s="72" t="s">
        <v>276</v>
      </c>
      <c r="Z1204" s="73" t="s">
        <v>1562</v>
      </c>
      <c r="AA1204" s="72" t="s">
        <v>276</v>
      </c>
      <c r="AB1204" s="73" t="s">
        <v>1562</v>
      </c>
      <c r="AC1204" s="73" t="s">
        <v>9888</v>
      </c>
      <c r="AD1204" s="73" t="s">
        <v>9809</v>
      </c>
      <c r="AE1204" s="74" t="s">
        <v>276</v>
      </c>
      <c r="AF1204" s="74" t="s">
        <v>276</v>
      </c>
      <c r="AG1204" s="74" t="s">
        <v>276</v>
      </c>
      <c r="AH1204" s="74" t="s">
        <v>276</v>
      </c>
      <c r="AI1204" s="75" t="s">
        <v>425</v>
      </c>
      <c r="AJ1204" s="76" t="s">
        <v>276</v>
      </c>
      <c r="AK1204" s="86" t="s">
        <v>98</v>
      </c>
      <c r="AL1204" s="76" t="s">
        <v>276</v>
      </c>
      <c r="AM1204" s="76" t="s">
        <v>276</v>
      </c>
      <c r="AN1204" s="76" t="s">
        <v>276</v>
      </c>
      <c r="AO1204" s="86" t="s">
        <v>98</v>
      </c>
      <c r="AP1204" s="76" t="s">
        <v>276</v>
      </c>
      <c r="AQ1204" s="76" t="s">
        <v>276</v>
      </c>
      <c r="AR1204" s="72" t="s">
        <v>269</v>
      </c>
      <c r="AS1204" s="76" t="s">
        <v>276</v>
      </c>
      <c r="AT1204" s="86" t="s">
        <v>98</v>
      </c>
      <c r="AU1204" s="93" t="s">
        <v>276</v>
      </c>
      <c r="AV1204" s="93" t="s">
        <v>276</v>
      </c>
      <c r="AW1204" s="72" t="s">
        <v>276</v>
      </c>
      <c r="AX1204" s="73" t="s">
        <v>9825</v>
      </c>
      <c r="AY1204" s="76">
        <v>0.76</v>
      </c>
      <c r="AZ1204" s="76">
        <v>0.42</v>
      </c>
      <c r="BA1204" s="76">
        <v>1.4</v>
      </c>
      <c r="BB1204" s="72" t="s">
        <v>276</v>
      </c>
      <c r="BC1204" s="73" t="s">
        <v>341</v>
      </c>
      <c r="BD1204" s="73"/>
      <c r="BE1204" s="33" t="s">
        <v>100</v>
      </c>
      <c r="BF1204" s="33" t="s">
        <v>98</v>
      </c>
    </row>
    <row r="1205" spans="1:58" s="87" customFormat="1" ht="91" x14ac:dyDescent="0.3">
      <c r="A1205" s="72">
        <v>4086</v>
      </c>
      <c r="B1205" s="72" t="s">
        <v>9873</v>
      </c>
      <c r="C1205" s="73" t="s">
        <v>9264</v>
      </c>
      <c r="D1205" s="73" t="s">
        <v>9889</v>
      </c>
      <c r="E1205" s="72" t="s">
        <v>35</v>
      </c>
      <c r="F1205" s="72" t="s">
        <v>97</v>
      </c>
      <c r="G1205" s="72" t="s">
        <v>225</v>
      </c>
      <c r="H1205" s="72" t="s">
        <v>125</v>
      </c>
      <c r="I1205" s="72" t="s">
        <v>113</v>
      </c>
      <c r="J1205" s="73" t="s">
        <v>24</v>
      </c>
      <c r="K1205" s="73" t="s">
        <v>9875</v>
      </c>
      <c r="L1205" s="73" t="s">
        <v>276</v>
      </c>
      <c r="M1205" s="72" t="s">
        <v>15</v>
      </c>
      <c r="N1205" s="84" t="s">
        <v>3038</v>
      </c>
      <c r="O1205" s="85" t="s">
        <v>207</v>
      </c>
      <c r="P1205" s="88">
        <v>36160</v>
      </c>
      <c r="Q1205" s="73" t="s">
        <v>2388</v>
      </c>
      <c r="R1205" s="75" t="s">
        <v>276</v>
      </c>
      <c r="S1205" s="75" t="s">
        <v>276</v>
      </c>
      <c r="T1205" s="89" t="s">
        <v>1219</v>
      </c>
      <c r="U1205" s="74" t="s">
        <v>276</v>
      </c>
      <c r="V1205" s="74" t="s">
        <v>276</v>
      </c>
      <c r="W1205" s="72" t="s">
        <v>276</v>
      </c>
      <c r="X1205" s="72" t="s">
        <v>276</v>
      </c>
      <c r="Y1205" s="72" t="s">
        <v>276</v>
      </c>
      <c r="Z1205" s="73" t="s">
        <v>1562</v>
      </c>
      <c r="AA1205" s="72" t="s">
        <v>276</v>
      </c>
      <c r="AB1205" s="73" t="s">
        <v>1562</v>
      </c>
      <c r="AC1205" s="73" t="s">
        <v>9890</v>
      </c>
      <c r="AD1205" s="73" t="s">
        <v>9814</v>
      </c>
      <c r="AE1205" s="74" t="s">
        <v>276</v>
      </c>
      <c r="AF1205" s="74" t="s">
        <v>276</v>
      </c>
      <c r="AG1205" s="74" t="s">
        <v>276</v>
      </c>
      <c r="AH1205" s="74" t="s">
        <v>276</v>
      </c>
      <c r="AI1205" s="75" t="s">
        <v>425</v>
      </c>
      <c r="AJ1205" s="76" t="s">
        <v>276</v>
      </c>
      <c r="AK1205" s="86" t="s">
        <v>98</v>
      </c>
      <c r="AL1205" s="76" t="s">
        <v>276</v>
      </c>
      <c r="AM1205" s="76" t="s">
        <v>276</v>
      </c>
      <c r="AN1205" s="76" t="s">
        <v>276</v>
      </c>
      <c r="AO1205" s="86" t="s">
        <v>98</v>
      </c>
      <c r="AP1205" s="76" t="s">
        <v>276</v>
      </c>
      <c r="AQ1205" s="76" t="s">
        <v>276</v>
      </c>
      <c r="AR1205" s="72" t="s">
        <v>269</v>
      </c>
      <c r="AS1205" s="76" t="s">
        <v>276</v>
      </c>
      <c r="AT1205" s="86" t="s">
        <v>98</v>
      </c>
      <c r="AU1205" s="93" t="s">
        <v>276</v>
      </c>
      <c r="AV1205" s="93" t="s">
        <v>276</v>
      </c>
      <c r="AW1205" s="72" t="s">
        <v>276</v>
      </c>
      <c r="AX1205" s="73" t="s">
        <v>9825</v>
      </c>
      <c r="AY1205" s="76">
        <v>0.46</v>
      </c>
      <c r="AZ1205" s="76">
        <v>0.3</v>
      </c>
      <c r="BA1205" s="76">
        <v>0.71</v>
      </c>
      <c r="BB1205" s="72" t="s">
        <v>276</v>
      </c>
      <c r="BC1205" s="73" t="s">
        <v>9891</v>
      </c>
      <c r="BD1205" s="73"/>
      <c r="BE1205" s="33" t="s">
        <v>100</v>
      </c>
      <c r="BF1205" s="33" t="s">
        <v>98</v>
      </c>
    </row>
    <row r="1206" spans="1:58" s="87" customFormat="1" ht="91" x14ac:dyDescent="0.3">
      <c r="A1206" s="72">
        <v>4086</v>
      </c>
      <c r="B1206" s="72" t="s">
        <v>9873</v>
      </c>
      <c r="C1206" s="73" t="s">
        <v>9264</v>
      </c>
      <c r="D1206" s="73" t="s">
        <v>9892</v>
      </c>
      <c r="E1206" s="72" t="s">
        <v>35</v>
      </c>
      <c r="F1206" s="72" t="s">
        <v>97</v>
      </c>
      <c r="G1206" s="72" t="s">
        <v>225</v>
      </c>
      <c r="H1206" s="72" t="s">
        <v>125</v>
      </c>
      <c r="I1206" s="72" t="s">
        <v>113</v>
      </c>
      <c r="J1206" s="73" t="s">
        <v>24</v>
      </c>
      <c r="K1206" s="73" t="s">
        <v>9875</v>
      </c>
      <c r="L1206" s="73" t="s">
        <v>276</v>
      </c>
      <c r="M1206" s="72" t="s">
        <v>15</v>
      </c>
      <c r="N1206" s="84" t="s">
        <v>9342</v>
      </c>
      <c r="O1206" s="85" t="s">
        <v>207</v>
      </c>
      <c r="P1206" s="88">
        <v>36160</v>
      </c>
      <c r="Q1206" s="73" t="s">
        <v>2388</v>
      </c>
      <c r="R1206" s="75" t="s">
        <v>276</v>
      </c>
      <c r="S1206" s="75" t="s">
        <v>276</v>
      </c>
      <c r="T1206" s="89" t="s">
        <v>1219</v>
      </c>
      <c r="U1206" s="74" t="s">
        <v>276</v>
      </c>
      <c r="V1206" s="74" t="s">
        <v>276</v>
      </c>
      <c r="W1206" s="72" t="s">
        <v>276</v>
      </c>
      <c r="X1206" s="72" t="s">
        <v>276</v>
      </c>
      <c r="Y1206" s="72" t="s">
        <v>276</v>
      </c>
      <c r="Z1206" s="73" t="s">
        <v>1562</v>
      </c>
      <c r="AA1206" s="72" t="s">
        <v>276</v>
      </c>
      <c r="AB1206" s="73" t="s">
        <v>1562</v>
      </c>
      <c r="AC1206" s="73" t="s">
        <v>9893</v>
      </c>
      <c r="AD1206" s="73" t="s">
        <v>9817</v>
      </c>
      <c r="AE1206" s="74" t="s">
        <v>276</v>
      </c>
      <c r="AF1206" s="74" t="s">
        <v>276</v>
      </c>
      <c r="AG1206" s="74" t="s">
        <v>276</v>
      </c>
      <c r="AH1206" s="74" t="s">
        <v>276</v>
      </c>
      <c r="AI1206" s="75" t="s">
        <v>425</v>
      </c>
      <c r="AJ1206" s="76" t="s">
        <v>276</v>
      </c>
      <c r="AK1206" s="86" t="s">
        <v>98</v>
      </c>
      <c r="AL1206" s="76" t="s">
        <v>276</v>
      </c>
      <c r="AM1206" s="76" t="s">
        <v>276</v>
      </c>
      <c r="AN1206" s="76" t="s">
        <v>276</v>
      </c>
      <c r="AO1206" s="86" t="s">
        <v>98</v>
      </c>
      <c r="AP1206" s="76" t="s">
        <v>276</v>
      </c>
      <c r="AQ1206" s="76" t="s">
        <v>276</v>
      </c>
      <c r="AR1206" s="72" t="s">
        <v>269</v>
      </c>
      <c r="AS1206" s="76" t="s">
        <v>276</v>
      </c>
      <c r="AT1206" s="86" t="s">
        <v>98</v>
      </c>
      <c r="AU1206" s="93" t="s">
        <v>276</v>
      </c>
      <c r="AV1206" s="93" t="s">
        <v>276</v>
      </c>
      <c r="AW1206" s="72" t="s">
        <v>276</v>
      </c>
      <c r="AX1206" s="73" t="s">
        <v>9825</v>
      </c>
      <c r="AY1206" s="76">
        <v>0.57999999999999996</v>
      </c>
      <c r="AZ1206" s="76">
        <v>0.39</v>
      </c>
      <c r="BA1206" s="76">
        <v>0.87</v>
      </c>
      <c r="BB1206" s="72" t="s">
        <v>276</v>
      </c>
      <c r="BC1206" s="73" t="s">
        <v>9894</v>
      </c>
      <c r="BD1206" s="73"/>
      <c r="BE1206" s="33" t="s">
        <v>100</v>
      </c>
      <c r="BF1206" s="33" t="s">
        <v>98</v>
      </c>
    </row>
    <row r="1207" spans="1:58" s="87" customFormat="1" ht="91" x14ac:dyDescent="0.3">
      <c r="A1207" s="72">
        <v>4086</v>
      </c>
      <c r="B1207" s="72" t="s">
        <v>9873</v>
      </c>
      <c r="C1207" s="73" t="s">
        <v>9264</v>
      </c>
      <c r="D1207" s="73" t="s">
        <v>9895</v>
      </c>
      <c r="E1207" s="72" t="s">
        <v>35</v>
      </c>
      <c r="F1207" s="72" t="s">
        <v>97</v>
      </c>
      <c r="G1207" s="72" t="s">
        <v>225</v>
      </c>
      <c r="H1207" s="72" t="s">
        <v>125</v>
      </c>
      <c r="I1207" s="72" t="s">
        <v>113</v>
      </c>
      <c r="J1207" s="73" t="s">
        <v>24</v>
      </c>
      <c r="K1207" s="73" t="s">
        <v>9875</v>
      </c>
      <c r="L1207" s="73" t="s">
        <v>276</v>
      </c>
      <c r="M1207" s="72" t="s">
        <v>15</v>
      </c>
      <c r="N1207" s="84" t="s">
        <v>9350</v>
      </c>
      <c r="O1207" s="85" t="s">
        <v>207</v>
      </c>
      <c r="P1207" s="88">
        <v>36160</v>
      </c>
      <c r="Q1207" s="73" t="s">
        <v>2388</v>
      </c>
      <c r="R1207" s="75" t="s">
        <v>276</v>
      </c>
      <c r="S1207" s="75" t="s">
        <v>276</v>
      </c>
      <c r="T1207" s="89" t="s">
        <v>1191</v>
      </c>
      <c r="U1207" s="74" t="s">
        <v>276</v>
      </c>
      <c r="V1207" s="74" t="s">
        <v>276</v>
      </c>
      <c r="W1207" s="72" t="s">
        <v>276</v>
      </c>
      <c r="X1207" s="72" t="s">
        <v>276</v>
      </c>
      <c r="Y1207" s="72" t="s">
        <v>276</v>
      </c>
      <c r="Z1207" s="73" t="s">
        <v>1562</v>
      </c>
      <c r="AA1207" s="72" t="s">
        <v>276</v>
      </c>
      <c r="AB1207" s="73" t="s">
        <v>1562</v>
      </c>
      <c r="AC1207" s="73" t="s">
        <v>9896</v>
      </c>
      <c r="AD1207" s="73" t="s">
        <v>9820</v>
      </c>
      <c r="AE1207" s="74" t="s">
        <v>276</v>
      </c>
      <c r="AF1207" s="74" t="s">
        <v>276</v>
      </c>
      <c r="AG1207" s="74" t="s">
        <v>276</v>
      </c>
      <c r="AH1207" s="74" t="s">
        <v>276</v>
      </c>
      <c r="AI1207" s="75" t="s">
        <v>425</v>
      </c>
      <c r="AJ1207" s="76" t="s">
        <v>276</v>
      </c>
      <c r="AK1207" s="86" t="s">
        <v>98</v>
      </c>
      <c r="AL1207" s="76" t="s">
        <v>276</v>
      </c>
      <c r="AM1207" s="76" t="s">
        <v>276</v>
      </c>
      <c r="AN1207" s="76" t="s">
        <v>276</v>
      </c>
      <c r="AO1207" s="86" t="s">
        <v>98</v>
      </c>
      <c r="AP1207" s="76" t="s">
        <v>276</v>
      </c>
      <c r="AQ1207" s="76" t="s">
        <v>276</v>
      </c>
      <c r="AR1207" s="72" t="s">
        <v>269</v>
      </c>
      <c r="AS1207" s="76" t="s">
        <v>276</v>
      </c>
      <c r="AT1207" s="86" t="s">
        <v>98</v>
      </c>
      <c r="AU1207" s="93" t="s">
        <v>276</v>
      </c>
      <c r="AV1207" s="93" t="s">
        <v>276</v>
      </c>
      <c r="AW1207" s="72" t="s">
        <v>276</v>
      </c>
      <c r="AX1207" s="73" t="s">
        <v>9825</v>
      </c>
      <c r="AY1207" s="76">
        <v>0.76</v>
      </c>
      <c r="AZ1207" s="76">
        <v>0.44</v>
      </c>
      <c r="BA1207" s="76">
        <v>1.33</v>
      </c>
      <c r="BB1207" s="72" t="s">
        <v>276</v>
      </c>
      <c r="BC1207" s="73" t="s">
        <v>9897</v>
      </c>
      <c r="BD1207" s="73"/>
      <c r="BE1207" s="33" t="s">
        <v>100</v>
      </c>
      <c r="BF1207" s="33" t="s">
        <v>98</v>
      </c>
    </row>
    <row r="1208" spans="1:58" s="7" customFormat="1" ht="91" x14ac:dyDescent="0.3">
      <c r="A1208" s="8">
        <v>4086</v>
      </c>
      <c r="B1208" s="8" t="s">
        <v>9873</v>
      </c>
      <c r="C1208" s="9" t="s">
        <v>9266</v>
      </c>
      <c r="D1208" s="9" t="s">
        <v>9887</v>
      </c>
      <c r="E1208" s="8" t="s">
        <v>35</v>
      </c>
      <c r="F1208" s="8" t="s">
        <v>97</v>
      </c>
      <c r="G1208" s="8" t="s">
        <v>225</v>
      </c>
      <c r="H1208" s="8" t="s">
        <v>125</v>
      </c>
      <c r="I1208" s="8" t="s">
        <v>113</v>
      </c>
      <c r="J1208" s="9" t="s">
        <v>24</v>
      </c>
      <c r="K1208" s="9" t="s">
        <v>9875</v>
      </c>
      <c r="L1208" s="9" t="s">
        <v>276</v>
      </c>
      <c r="M1208" s="8" t="s">
        <v>15</v>
      </c>
      <c r="N1208" s="11" t="s">
        <v>3032</v>
      </c>
      <c r="O1208" s="12" t="s">
        <v>207</v>
      </c>
      <c r="P1208" s="41">
        <v>36160</v>
      </c>
      <c r="Q1208" s="9" t="s">
        <v>2388</v>
      </c>
      <c r="R1208" s="38" t="s">
        <v>276</v>
      </c>
      <c r="S1208" s="38" t="s">
        <v>276</v>
      </c>
      <c r="T1208" s="51" t="s">
        <v>1224</v>
      </c>
      <c r="U1208" s="13" t="s">
        <v>276</v>
      </c>
      <c r="V1208" s="13" t="s">
        <v>276</v>
      </c>
      <c r="W1208" s="8" t="s">
        <v>276</v>
      </c>
      <c r="X1208" s="8" t="s">
        <v>276</v>
      </c>
      <c r="Y1208" s="8" t="s">
        <v>276</v>
      </c>
      <c r="Z1208" s="9" t="s">
        <v>1562</v>
      </c>
      <c r="AA1208" s="8" t="s">
        <v>276</v>
      </c>
      <c r="AB1208" s="9" t="s">
        <v>1562</v>
      </c>
      <c r="AC1208" s="9" t="s">
        <v>9888</v>
      </c>
      <c r="AD1208" s="9" t="s">
        <v>9809</v>
      </c>
      <c r="AE1208" s="13" t="s">
        <v>276</v>
      </c>
      <c r="AF1208" s="13" t="s">
        <v>276</v>
      </c>
      <c r="AG1208" s="13" t="s">
        <v>276</v>
      </c>
      <c r="AH1208" s="13" t="s">
        <v>276</v>
      </c>
      <c r="AI1208" s="38" t="s">
        <v>425</v>
      </c>
      <c r="AJ1208" s="14" t="s">
        <v>276</v>
      </c>
      <c r="AK1208" s="31" t="s">
        <v>98</v>
      </c>
      <c r="AL1208" s="14" t="s">
        <v>276</v>
      </c>
      <c r="AM1208" s="14" t="s">
        <v>276</v>
      </c>
      <c r="AN1208" s="14" t="s">
        <v>276</v>
      </c>
      <c r="AO1208" s="31" t="s">
        <v>98</v>
      </c>
      <c r="AP1208" s="14" t="s">
        <v>276</v>
      </c>
      <c r="AQ1208" s="14" t="s">
        <v>276</v>
      </c>
      <c r="AR1208" s="8" t="s">
        <v>269</v>
      </c>
      <c r="AS1208" s="14" t="s">
        <v>276</v>
      </c>
      <c r="AT1208" s="31" t="s">
        <v>98</v>
      </c>
      <c r="AU1208" s="43" t="s">
        <v>276</v>
      </c>
      <c r="AV1208" s="43" t="s">
        <v>276</v>
      </c>
      <c r="AW1208" s="8" t="s">
        <v>276</v>
      </c>
      <c r="AX1208" s="9" t="s">
        <v>9825</v>
      </c>
      <c r="AY1208" s="14">
        <v>1.06</v>
      </c>
      <c r="AZ1208" s="14">
        <v>0.65</v>
      </c>
      <c r="BA1208" s="14">
        <v>1.76</v>
      </c>
      <c r="BB1208" s="8" t="s">
        <v>276</v>
      </c>
      <c r="BC1208" s="9" t="s">
        <v>5536</v>
      </c>
      <c r="BD1208" s="9"/>
      <c r="BE1208" s="33" t="s">
        <v>100</v>
      </c>
      <c r="BF1208" s="33" t="s">
        <v>98</v>
      </c>
    </row>
    <row r="1209" spans="1:58" s="7" customFormat="1" ht="91" x14ac:dyDescent="0.3">
      <c r="A1209" s="8">
        <v>4086</v>
      </c>
      <c r="B1209" s="8" t="s">
        <v>9873</v>
      </c>
      <c r="C1209" s="9" t="s">
        <v>9266</v>
      </c>
      <c r="D1209" s="9" t="s">
        <v>9889</v>
      </c>
      <c r="E1209" s="8" t="s">
        <v>35</v>
      </c>
      <c r="F1209" s="8" t="s">
        <v>97</v>
      </c>
      <c r="G1209" s="8" t="s">
        <v>225</v>
      </c>
      <c r="H1209" s="8" t="s">
        <v>125</v>
      </c>
      <c r="I1209" s="8" t="s">
        <v>113</v>
      </c>
      <c r="J1209" s="9" t="s">
        <v>24</v>
      </c>
      <c r="K1209" s="9" t="s">
        <v>9875</v>
      </c>
      <c r="L1209" s="9" t="s">
        <v>276</v>
      </c>
      <c r="M1209" s="8" t="s">
        <v>15</v>
      </c>
      <c r="N1209" s="11" t="s">
        <v>3038</v>
      </c>
      <c r="O1209" s="12" t="s">
        <v>207</v>
      </c>
      <c r="P1209" s="41">
        <v>36160</v>
      </c>
      <c r="Q1209" s="9" t="s">
        <v>2388</v>
      </c>
      <c r="R1209" s="38" t="s">
        <v>276</v>
      </c>
      <c r="S1209" s="38" t="s">
        <v>276</v>
      </c>
      <c r="T1209" s="51" t="s">
        <v>1219</v>
      </c>
      <c r="U1209" s="13" t="s">
        <v>276</v>
      </c>
      <c r="V1209" s="13" t="s">
        <v>276</v>
      </c>
      <c r="W1209" s="8" t="s">
        <v>276</v>
      </c>
      <c r="X1209" s="8" t="s">
        <v>276</v>
      </c>
      <c r="Y1209" s="8" t="s">
        <v>276</v>
      </c>
      <c r="Z1209" s="9" t="s">
        <v>1562</v>
      </c>
      <c r="AA1209" s="8" t="s">
        <v>276</v>
      </c>
      <c r="AB1209" s="9" t="s">
        <v>1562</v>
      </c>
      <c r="AC1209" s="9" t="s">
        <v>9890</v>
      </c>
      <c r="AD1209" s="9" t="s">
        <v>9814</v>
      </c>
      <c r="AE1209" s="13" t="s">
        <v>276</v>
      </c>
      <c r="AF1209" s="13" t="s">
        <v>276</v>
      </c>
      <c r="AG1209" s="13" t="s">
        <v>276</v>
      </c>
      <c r="AH1209" s="13" t="s">
        <v>276</v>
      </c>
      <c r="AI1209" s="38" t="s">
        <v>425</v>
      </c>
      <c r="AJ1209" s="14" t="s">
        <v>276</v>
      </c>
      <c r="AK1209" s="31" t="s">
        <v>98</v>
      </c>
      <c r="AL1209" s="14" t="s">
        <v>276</v>
      </c>
      <c r="AM1209" s="14" t="s">
        <v>276</v>
      </c>
      <c r="AN1209" s="14" t="s">
        <v>276</v>
      </c>
      <c r="AO1209" s="31" t="s">
        <v>98</v>
      </c>
      <c r="AP1209" s="14" t="s">
        <v>276</v>
      </c>
      <c r="AQ1209" s="14" t="s">
        <v>276</v>
      </c>
      <c r="AR1209" s="8" t="s">
        <v>269</v>
      </c>
      <c r="AS1209" s="14" t="s">
        <v>276</v>
      </c>
      <c r="AT1209" s="31" t="s">
        <v>98</v>
      </c>
      <c r="AU1209" s="43" t="s">
        <v>276</v>
      </c>
      <c r="AV1209" s="43" t="s">
        <v>276</v>
      </c>
      <c r="AW1209" s="8" t="s">
        <v>276</v>
      </c>
      <c r="AX1209" s="9" t="s">
        <v>9825</v>
      </c>
      <c r="AY1209" s="14">
        <v>0.76</v>
      </c>
      <c r="AZ1209" s="14">
        <v>0.53</v>
      </c>
      <c r="BA1209" s="14">
        <v>1.1000000000000001</v>
      </c>
      <c r="BB1209" s="8" t="s">
        <v>276</v>
      </c>
      <c r="BC1209" s="9" t="s">
        <v>9898</v>
      </c>
      <c r="BD1209" s="9"/>
      <c r="BE1209" s="33" t="s">
        <v>100</v>
      </c>
      <c r="BF1209" s="33" t="s">
        <v>98</v>
      </c>
    </row>
    <row r="1210" spans="1:58" s="7" customFormat="1" ht="91" x14ac:dyDescent="0.3">
      <c r="A1210" s="8">
        <v>4086</v>
      </c>
      <c r="B1210" s="8" t="s">
        <v>9873</v>
      </c>
      <c r="C1210" s="9" t="s">
        <v>9266</v>
      </c>
      <c r="D1210" s="9" t="s">
        <v>9892</v>
      </c>
      <c r="E1210" s="8" t="s">
        <v>35</v>
      </c>
      <c r="F1210" s="8" t="s">
        <v>97</v>
      </c>
      <c r="G1210" s="8" t="s">
        <v>225</v>
      </c>
      <c r="H1210" s="8" t="s">
        <v>125</v>
      </c>
      <c r="I1210" s="8" t="s">
        <v>113</v>
      </c>
      <c r="J1210" s="9" t="s">
        <v>24</v>
      </c>
      <c r="K1210" s="9" t="s">
        <v>9875</v>
      </c>
      <c r="L1210" s="9" t="s">
        <v>276</v>
      </c>
      <c r="M1210" s="8" t="s">
        <v>15</v>
      </c>
      <c r="N1210" s="11" t="s">
        <v>9342</v>
      </c>
      <c r="O1210" s="12" t="s">
        <v>207</v>
      </c>
      <c r="P1210" s="41">
        <v>36160</v>
      </c>
      <c r="Q1210" s="9" t="s">
        <v>2388</v>
      </c>
      <c r="R1210" s="38" t="s">
        <v>276</v>
      </c>
      <c r="S1210" s="38" t="s">
        <v>276</v>
      </c>
      <c r="T1210" s="51" t="s">
        <v>1219</v>
      </c>
      <c r="U1210" s="13" t="s">
        <v>276</v>
      </c>
      <c r="V1210" s="13" t="s">
        <v>276</v>
      </c>
      <c r="W1210" s="8" t="s">
        <v>276</v>
      </c>
      <c r="X1210" s="8" t="s">
        <v>276</v>
      </c>
      <c r="Y1210" s="8" t="s">
        <v>276</v>
      </c>
      <c r="Z1210" s="9" t="s">
        <v>1562</v>
      </c>
      <c r="AA1210" s="8" t="s">
        <v>276</v>
      </c>
      <c r="AB1210" s="9" t="s">
        <v>1562</v>
      </c>
      <c r="AC1210" s="9" t="s">
        <v>9893</v>
      </c>
      <c r="AD1210" s="9" t="s">
        <v>9817</v>
      </c>
      <c r="AE1210" s="13" t="s">
        <v>276</v>
      </c>
      <c r="AF1210" s="13" t="s">
        <v>276</v>
      </c>
      <c r="AG1210" s="13" t="s">
        <v>276</v>
      </c>
      <c r="AH1210" s="13" t="s">
        <v>276</v>
      </c>
      <c r="AI1210" s="38" t="s">
        <v>425</v>
      </c>
      <c r="AJ1210" s="14" t="s">
        <v>276</v>
      </c>
      <c r="AK1210" s="31" t="s">
        <v>98</v>
      </c>
      <c r="AL1210" s="14" t="s">
        <v>276</v>
      </c>
      <c r="AM1210" s="14" t="s">
        <v>276</v>
      </c>
      <c r="AN1210" s="14" t="s">
        <v>276</v>
      </c>
      <c r="AO1210" s="31" t="s">
        <v>98</v>
      </c>
      <c r="AP1210" s="14" t="s">
        <v>276</v>
      </c>
      <c r="AQ1210" s="14" t="s">
        <v>276</v>
      </c>
      <c r="AR1210" s="8" t="s">
        <v>269</v>
      </c>
      <c r="AS1210" s="14" t="s">
        <v>276</v>
      </c>
      <c r="AT1210" s="31" t="s">
        <v>98</v>
      </c>
      <c r="AU1210" s="43" t="s">
        <v>276</v>
      </c>
      <c r="AV1210" s="43" t="s">
        <v>276</v>
      </c>
      <c r="AW1210" s="8" t="s">
        <v>276</v>
      </c>
      <c r="AX1210" s="9" t="s">
        <v>9825</v>
      </c>
      <c r="AY1210" s="14">
        <v>0.65</v>
      </c>
      <c r="AZ1210" s="14">
        <v>0.46</v>
      </c>
      <c r="BA1210" s="14">
        <v>0.91</v>
      </c>
      <c r="BB1210" s="8" t="s">
        <v>276</v>
      </c>
      <c r="BC1210" s="9" t="s">
        <v>9899</v>
      </c>
      <c r="BD1210" s="9"/>
      <c r="BE1210" s="33" t="s">
        <v>100</v>
      </c>
      <c r="BF1210" s="33" t="s">
        <v>98</v>
      </c>
    </row>
    <row r="1211" spans="1:58" s="7" customFormat="1" ht="91" x14ac:dyDescent="0.3">
      <c r="A1211" s="8">
        <v>4086</v>
      </c>
      <c r="B1211" s="8" t="s">
        <v>9873</v>
      </c>
      <c r="C1211" s="9" t="s">
        <v>9266</v>
      </c>
      <c r="D1211" s="9" t="s">
        <v>9895</v>
      </c>
      <c r="E1211" s="8" t="s">
        <v>35</v>
      </c>
      <c r="F1211" s="8" t="s">
        <v>97</v>
      </c>
      <c r="G1211" s="8" t="s">
        <v>225</v>
      </c>
      <c r="H1211" s="8" t="s">
        <v>125</v>
      </c>
      <c r="I1211" s="8" t="s">
        <v>113</v>
      </c>
      <c r="J1211" s="9" t="s">
        <v>24</v>
      </c>
      <c r="K1211" s="9" t="s">
        <v>9875</v>
      </c>
      <c r="L1211" s="9" t="s">
        <v>276</v>
      </c>
      <c r="M1211" s="8" t="s">
        <v>15</v>
      </c>
      <c r="N1211" s="11" t="s">
        <v>9350</v>
      </c>
      <c r="O1211" s="12" t="s">
        <v>207</v>
      </c>
      <c r="P1211" s="41">
        <v>36160</v>
      </c>
      <c r="Q1211" s="9" t="s">
        <v>2388</v>
      </c>
      <c r="R1211" s="38" t="s">
        <v>276</v>
      </c>
      <c r="S1211" s="38" t="s">
        <v>276</v>
      </c>
      <c r="T1211" s="51" t="s">
        <v>1191</v>
      </c>
      <c r="U1211" s="13" t="s">
        <v>276</v>
      </c>
      <c r="V1211" s="13" t="s">
        <v>276</v>
      </c>
      <c r="W1211" s="8" t="s">
        <v>276</v>
      </c>
      <c r="X1211" s="8" t="s">
        <v>276</v>
      </c>
      <c r="Y1211" s="8" t="s">
        <v>276</v>
      </c>
      <c r="Z1211" s="9" t="s">
        <v>1562</v>
      </c>
      <c r="AA1211" s="8" t="s">
        <v>276</v>
      </c>
      <c r="AB1211" s="9" t="s">
        <v>1562</v>
      </c>
      <c r="AC1211" s="9" t="s">
        <v>9896</v>
      </c>
      <c r="AD1211" s="9" t="s">
        <v>9820</v>
      </c>
      <c r="AE1211" s="13" t="s">
        <v>276</v>
      </c>
      <c r="AF1211" s="13" t="s">
        <v>276</v>
      </c>
      <c r="AG1211" s="13" t="s">
        <v>276</v>
      </c>
      <c r="AH1211" s="13" t="s">
        <v>276</v>
      </c>
      <c r="AI1211" s="38" t="s">
        <v>425</v>
      </c>
      <c r="AJ1211" s="14" t="s">
        <v>276</v>
      </c>
      <c r="AK1211" s="31" t="s">
        <v>98</v>
      </c>
      <c r="AL1211" s="14" t="s">
        <v>276</v>
      </c>
      <c r="AM1211" s="14" t="s">
        <v>276</v>
      </c>
      <c r="AN1211" s="14" t="s">
        <v>276</v>
      </c>
      <c r="AO1211" s="31" t="s">
        <v>98</v>
      </c>
      <c r="AP1211" s="14" t="s">
        <v>276</v>
      </c>
      <c r="AQ1211" s="14" t="s">
        <v>276</v>
      </c>
      <c r="AR1211" s="8" t="s">
        <v>269</v>
      </c>
      <c r="AS1211" s="14" t="s">
        <v>276</v>
      </c>
      <c r="AT1211" s="31" t="s">
        <v>98</v>
      </c>
      <c r="AU1211" s="43" t="s">
        <v>276</v>
      </c>
      <c r="AV1211" s="43" t="s">
        <v>276</v>
      </c>
      <c r="AW1211" s="8" t="s">
        <v>276</v>
      </c>
      <c r="AX1211" s="9" t="s">
        <v>9825</v>
      </c>
      <c r="AY1211" s="14">
        <v>0.73</v>
      </c>
      <c r="AZ1211" s="14">
        <v>0.45</v>
      </c>
      <c r="BA1211" s="14">
        <v>1.19</v>
      </c>
      <c r="BB1211" s="8" t="s">
        <v>276</v>
      </c>
      <c r="BC1211" s="9" t="s">
        <v>9900</v>
      </c>
      <c r="BD1211" s="9"/>
      <c r="BE1211" s="33" t="s">
        <v>100</v>
      </c>
      <c r="BF1211" s="33" t="s">
        <v>98</v>
      </c>
    </row>
    <row r="1212" spans="1:58" s="149" customFormat="1" ht="91" x14ac:dyDescent="0.3">
      <c r="A1212" s="126">
        <v>4085</v>
      </c>
      <c r="B1212" s="126" t="s">
        <v>9901</v>
      </c>
      <c r="C1212" s="127" t="s">
        <v>62</v>
      </c>
      <c r="D1212" s="127" t="s">
        <v>9902</v>
      </c>
      <c r="E1212" s="126" t="s">
        <v>35</v>
      </c>
      <c r="F1212" s="126" t="s">
        <v>97</v>
      </c>
      <c r="G1212" s="126" t="s">
        <v>225</v>
      </c>
      <c r="H1212" s="126" t="s">
        <v>125</v>
      </c>
      <c r="I1212" s="126" t="s">
        <v>113</v>
      </c>
      <c r="J1212" s="127" t="s">
        <v>24</v>
      </c>
      <c r="K1212" s="127" t="s">
        <v>276</v>
      </c>
      <c r="L1212" s="127" t="s">
        <v>276</v>
      </c>
      <c r="M1212" s="126" t="s">
        <v>15</v>
      </c>
      <c r="N1212" s="145" t="s">
        <v>3032</v>
      </c>
      <c r="O1212" s="131" t="s">
        <v>207</v>
      </c>
      <c r="P1212" s="197">
        <v>36160</v>
      </c>
      <c r="Q1212" s="127" t="s">
        <v>2388</v>
      </c>
      <c r="R1212" s="134" t="s">
        <v>276</v>
      </c>
      <c r="S1212" s="134" t="s">
        <v>276</v>
      </c>
      <c r="T1212" s="167" t="s">
        <v>1224</v>
      </c>
      <c r="U1212" s="132">
        <v>19844</v>
      </c>
      <c r="V1212" s="132">
        <v>15604</v>
      </c>
      <c r="W1212" s="126" t="s">
        <v>276</v>
      </c>
      <c r="X1212" s="126" t="s">
        <v>276</v>
      </c>
      <c r="Y1212" s="126" t="s">
        <v>276</v>
      </c>
      <c r="Z1212" s="127" t="s">
        <v>1562</v>
      </c>
      <c r="AA1212" s="126" t="s">
        <v>276</v>
      </c>
      <c r="AB1212" s="127" t="s">
        <v>1562</v>
      </c>
      <c r="AC1212" s="127" t="s">
        <v>9888</v>
      </c>
      <c r="AD1212" s="127" t="s">
        <v>9903</v>
      </c>
      <c r="AE1212" s="132">
        <v>57</v>
      </c>
      <c r="AF1212" s="132">
        <v>48</v>
      </c>
      <c r="AG1212" s="132">
        <v>19844</v>
      </c>
      <c r="AH1212" s="132">
        <v>15604</v>
      </c>
      <c r="AI1212" s="134" t="s">
        <v>281</v>
      </c>
      <c r="AJ1212" s="135" t="s">
        <v>276</v>
      </c>
      <c r="AK1212" s="148">
        <f t="shared" ref="AK1212:AK1217" si="173">AE1212*1000/AG1212</f>
        <v>2.8724047571054223</v>
      </c>
      <c r="AL1212" s="135" t="s">
        <v>276</v>
      </c>
      <c r="AM1212" s="135" t="s">
        <v>276</v>
      </c>
      <c r="AN1212" s="135" t="s">
        <v>276</v>
      </c>
      <c r="AO1212" s="148">
        <f t="shared" ref="AO1212:AO1217" si="174">AF1212*1000/AH1212</f>
        <v>3.0761343245321711</v>
      </c>
      <c r="AP1212" s="135" t="s">
        <v>276</v>
      </c>
      <c r="AQ1212" s="135" t="s">
        <v>276</v>
      </c>
      <c r="AR1212" s="126" t="s">
        <v>268</v>
      </c>
      <c r="AS1212" s="135" t="s">
        <v>276</v>
      </c>
      <c r="AT1212" s="148">
        <f t="shared" ref="AT1212:AT1217" si="175">AK1212/AO1212</f>
        <v>0.93377091312235438</v>
      </c>
      <c r="AU1212" s="147" t="s">
        <v>276</v>
      </c>
      <c r="AV1212" s="147" t="s">
        <v>276</v>
      </c>
      <c r="AW1212" s="126" t="s">
        <v>276</v>
      </c>
      <c r="AX1212" s="127" t="s">
        <v>282</v>
      </c>
      <c r="AY1212" s="135" t="s">
        <v>98</v>
      </c>
      <c r="AZ1212" s="135" t="s">
        <v>98</v>
      </c>
      <c r="BA1212" s="135" t="s">
        <v>98</v>
      </c>
      <c r="BB1212" s="126" t="s">
        <v>98</v>
      </c>
      <c r="BC1212" s="127" t="s">
        <v>1358</v>
      </c>
      <c r="BD1212" s="127"/>
      <c r="BE1212" s="33" t="s">
        <v>100</v>
      </c>
      <c r="BF1212" s="33" t="s">
        <v>98</v>
      </c>
    </row>
    <row r="1213" spans="1:58" s="149" customFormat="1" ht="91" x14ac:dyDescent="0.3">
      <c r="A1213" s="126">
        <v>4085</v>
      </c>
      <c r="B1213" s="126" t="s">
        <v>9901</v>
      </c>
      <c r="C1213" s="127" t="s">
        <v>62</v>
      </c>
      <c r="D1213" s="127" t="s">
        <v>9904</v>
      </c>
      <c r="E1213" s="126" t="s">
        <v>35</v>
      </c>
      <c r="F1213" s="126" t="s">
        <v>97</v>
      </c>
      <c r="G1213" s="126" t="s">
        <v>225</v>
      </c>
      <c r="H1213" s="126" t="s">
        <v>125</v>
      </c>
      <c r="I1213" s="126" t="s">
        <v>113</v>
      </c>
      <c r="J1213" s="127" t="s">
        <v>24</v>
      </c>
      <c r="K1213" s="127" t="s">
        <v>276</v>
      </c>
      <c r="L1213" s="127" t="s">
        <v>276</v>
      </c>
      <c r="M1213" s="126" t="s">
        <v>15</v>
      </c>
      <c r="N1213" s="145" t="s">
        <v>3038</v>
      </c>
      <c r="O1213" s="131" t="s">
        <v>207</v>
      </c>
      <c r="P1213" s="197">
        <v>36160</v>
      </c>
      <c r="Q1213" s="127" t="s">
        <v>2388</v>
      </c>
      <c r="R1213" s="134" t="s">
        <v>276</v>
      </c>
      <c r="S1213" s="134" t="s">
        <v>276</v>
      </c>
      <c r="T1213" s="167" t="s">
        <v>1219</v>
      </c>
      <c r="U1213" s="132">
        <v>23485</v>
      </c>
      <c r="V1213" s="132">
        <v>16805</v>
      </c>
      <c r="W1213" s="126" t="s">
        <v>276</v>
      </c>
      <c r="X1213" s="126" t="s">
        <v>276</v>
      </c>
      <c r="Y1213" s="126" t="s">
        <v>276</v>
      </c>
      <c r="Z1213" s="127" t="s">
        <v>1562</v>
      </c>
      <c r="AA1213" s="126" t="s">
        <v>276</v>
      </c>
      <c r="AB1213" s="127" t="s">
        <v>1562</v>
      </c>
      <c r="AC1213" s="127" t="s">
        <v>9890</v>
      </c>
      <c r="AD1213" s="127" t="s">
        <v>6922</v>
      </c>
      <c r="AE1213" s="132">
        <v>92</v>
      </c>
      <c r="AF1213" s="132">
        <v>106</v>
      </c>
      <c r="AG1213" s="132">
        <v>23485</v>
      </c>
      <c r="AH1213" s="132">
        <v>16805</v>
      </c>
      <c r="AI1213" s="134" t="s">
        <v>281</v>
      </c>
      <c r="AJ1213" s="135" t="s">
        <v>276</v>
      </c>
      <c r="AK1213" s="148">
        <f t="shared" si="173"/>
        <v>3.9173940813285077</v>
      </c>
      <c r="AL1213" s="135" t="s">
        <v>276</v>
      </c>
      <c r="AM1213" s="135" t="s">
        <v>276</v>
      </c>
      <c r="AN1213" s="135" t="s">
        <v>276</v>
      </c>
      <c r="AO1213" s="148">
        <f t="shared" si="174"/>
        <v>6.3076465337697112</v>
      </c>
      <c r="AP1213" s="135" t="s">
        <v>276</v>
      </c>
      <c r="AQ1213" s="135" t="s">
        <v>276</v>
      </c>
      <c r="AR1213" s="126" t="s">
        <v>268</v>
      </c>
      <c r="AS1213" s="135" t="s">
        <v>276</v>
      </c>
      <c r="AT1213" s="148">
        <f t="shared" si="175"/>
        <v>0.62105478808231673</v>
      </c>
      <c r="AU1213" s="147" t="s">
        <v>276</v>
      </c>
      <c r="AV1213" s="147" t="s">
        <v>276</v>
      </c>
      <c r="AW1213" s="126" t="s">
        <v>276</v>
      </c>
      <c r="AX1213" s="127" t="s">
        <v>282</v>
      </c>
      <c r="AY1213" s="135" t="s">
        <v>98</v>
      </c>
      <c r="AZ1213" s="135" t="s">
        <v>98</v>
      </c>
      <c r="BA1213" s="135" t="s">
        <v>98</v>
      </c>
      <c r="BB1213" s="126" t="s">
        <v>98</v>
      </c>
      <c r="BC1213" s="127" t="s">
        <v>1358</v>
      </c>
      <c r="BD1213" s="127"/>
      <c r="BE1213" s="33" t="s">
        <v>100</v>
      </c>
      <c r="BF1213" s="33" t="s">
        <v>98</v>
      </c>
    </row>
    <row r="1214" spans="1:58" s="149" customFormat="1" ht="91" x14ac:dyDescent="0.3">
      <c r="A1214" s="126">
        <v>4085</v>
      </c>
      <c r="B1214" s="126" t="s">
        <v>9901</v>
      </c>
      <c r="C1214" s="127" t="s">
        <v>62</v>
      </c>
      <c r="D1214" s="127" t="s">
        <v>9905</v>
      </c>
      <c r="E1214" s="126" t="s">
        <v>35</v>
      </c>
      <c r="F1214" s="126" t="s">
        <v>97</v>
      </c>
      <c r="G1214" s="126" t="s">
        <v>225</v>
      </c>
      <c r="H1214" s="126" t="s">
        <v>125</v>
      </c>
      <c r="I1214" s="126" t="s">
        <v>113</v>
      </c>
      <c r="J1214" s="127" t="s">
        <v>24</v>
      </c>
      <c r="K1214" s="127" t="s">
        <v>276</v>
      </c>
      <c r="L1214" s="127" t="s">
        <v>276</v>
      </c>
      <c r="M1214" s="126" t="s">
        <v>15</v>
      </c>
      <c r="N1214" s="145" t="s">
        <v>9342</v>
      </c>
      <c r="O1214" s="131" t="s">
        <v>207</v>
      </c>
      <c r="P1214" s="197">
        <v>36160</v>
      </c>
      <c r="Q1214" s="127" t="s">
        <v>2388</v>
      </c>
      <c r="R1214" s="134" t="s">
        <v>276</v>
      </c>
      <c r="S1214" s="134" t="s">
        <v>276</v>
      </c>
      <c r="T1214" s="167" t="s">
        <v>1219</v>
      </c>
      <c r="U1214" s="132">
        <v>23412</v>
      </c>
      <c r="V1214" s="132">
        <v>16269</v>
      </c>
      <c r="W1214" s="126" t="s">
        <v>276</v>
      </c>
      <c r="X1214" s="126" t="s">
        <v>276</v>
      </c>
      <c r="Y1214" s="126" t="s">
        <v>276</v>
      </c>
      <c r="Z1214" s="127" t="s">
        <v>1562</v>
      </c>
      <c r="AA1214" s="126" t="s">
        <v>276</v>
      </c>
      <c r="AB1214" s="127" t="s">
        <v>1562</v>
      </c>
      <c r="AC1214" s="127" t="s">
        <v>9893</v>
      </c>
      <c r="AD1214" s="127" t="s">
        <v>9906</v>
      </c>
      <c r="AE1214" s="132">
        <v>109</v>
      </c>
      <c r="AF1214" s="132">
        <v>123</v>
      </c>
      <c r="AG1214" s="132">
        <v>23412</v>
      </c>
      <c r="AH1214" s="132">
        <v>16269</v>
      </c>
      <c r="AI1214" s="134" t="s">
        <v>281</v>
      </c>
      <c r="AJ1214" s="135" t="s">
        <v>276</v>
      </c>
      <c r="AK1214" s="148">
        <f t="shared" si="173"/>
        <v>4.6557321031949428</v>
      </c>
      <c r="AL1214" s="135" t="s">
        <v>276</v>
      </c>
      <c r="AM1214" s="135" t="s">
        <v>276</v>
      </c>
      <c r="AN1214" s="135" t="s">
        <v>276</v>
      </c>
      <c r="AO1214" s="148">
        <f t="shared" si="174"/>
        <v>7.5603909275308867</v>
      </c>
      <c r="AP1214" s="135" t="s">
        <v>276</v>
      </c>
      <c r="AQ1214" s="135" t="s">
        <v>276</v>
      </c>
      <c r="AR1214" s="126" t="s">
        <v>268</v>
      </c>
      <c r="AS1214" s="135" t="s">
        <v>276</v>
      </c>
      <c r="AT1214" s="148">
        <f t="shared" si="175"/>
        <v>0.61580573647868719</v>
      </c>
      <c r="AU1214" s="147" t="s">
        <v>276</v>
      </c>
      <c r="AV1214" s="147" t="s">
        <v>276</v>
      </c>
      <c r="AW1214" s="126" t="s">
        <v>276</v>
      </c>
      <c r="AX1214" s="127" t="s">
        <v>282</v>
      </c>
      <c r="AY1214" s="135" t="s">
        <v>98</v>
      </c>
      <c r="AZ1214" s="135" t="s">
        <v>98</v>
      </c>
      <c r="BA1214" s="135" t="s">
        <v>98</v>
      </c>
      <c r="BB1214" s="126" t="s">
        <v>98</v>
      </c>
      <c r="BC1214" s="127" t="s">
        <v>1358</v>
      </c>
      <c r="BD1214" s="127"/>
      <c r="BE1214" s="33" t="s">
        <v>100</v>
      </c>
      <c r="BF1214" s="33" t="s">
        <v>98</v>
      </c>
    </row>
    <row r="1215" spans="1:58" s="149" customFormat="1" ht="91" x14ac:dyDescent="0.3">
      <c r="A1215" s="126">
        <v>4085</v>
      </c>
      <c r="B1215" s="126" t="s">
        <v>9901</v>
      </c>
      <c r="C1215" s="127" t="s">
        <v>62</v>
      </c>
      <c r="D1215" s="127" t="s">
        <v>9907</v>
      </c>
      <c r="E1215" s="126" t="s">
        <v>35</v>
      </c>
      <c r="F1215" s="126" t="s">
        <v>97</v>
      </c>
      <c r="G1215" s="126" t="s">
        <v>225</v>
      </c>
      <c r="H1215" s="126" t="s">
        <v>125</v>
      </c>
      <c r="I1215" s="126" t="s">
        <v>113</v>
      </c>
      <c r="J1215" s="127" t="s">
        <v>24</v>
      </c>
      <c r="K1215" s="127" t="s">
        <v>276</v>
      </c>
      <c r="L1215" s="127" t="s">
        <v>276</v>
      </c>
      <c r="M1215" s="126" t="s">
        <v>15</v>
      </c>
      <c r="N1215" s="145" t="s">
        <v>9350</v>
      </c>
      <c r="O1215" s="131" t="s">
        <v>207</v>
      </c>
      <c r="P1215" s="197">
        <v>36160</v>
      </c>
      <c r="Q1215" s="127" t="s">
        <v>2388</v>
      </c>
      <c r="R1215" s="134" t="s">
        <v>276</v>
      </c>
      <c r="S1215" s="134" t="s">
        <v>276</v>
      </c>
      <c r="T1215" s="167" t="s">
        <v>1191</v>
      </c>
      <c r="U1215" s="132">
        <v>10339</v>
      </c>
      <c r="V1215" s="132">
        <v>7307</v>
      </c>
      <c r="W1215" s="126" t="s">
        <v>276</v>
      </c>
      <c r="X1215" s="126" t="s">
        <v>276</v>
      </c>
      <c r="Y1215" s="126" t="s">
        <v>276</v>
      </c>
      <c r="Z1215" s="127" t="s">
        <v>1562</v>
      </c>
      <c r="AA1215" s="126" t="s">
        <v>276</v>
      </c>
      <c r="AB1215" s="127" t="s">
        <v>1562</v>
      </c>
      <c r="AC1215" s="127" t="s">
        <v>9896</v>
      </c>
      <c r="AD1215" s="127" t="s">
        <v>9908</v>
      </c>
      <c r="AE1215" s="132">
        <v>61</v>
      </c>
      <c r="AF1215" s="132">
        <v>57</v>
      </c>
      <c r="AG1215" s="132">
        <v>10339</v>
      </c>
      <c r="AH1215" s="132">
        <v>7307</v>
      </c>
      <c r="AI1215" s="134" t="s">
        <v>281</v>
      </c>
      <c r="AJ1215" s="135" t="s">
        <v>276</v>
      </c>
      <c r="AK1215" s="148">
        <f t="shared" si="173"/>
        <v>5.8999903278847086</v>
      </c>
      <c r="AL1215" s="135" t="s">
        <v>276</v>
      </c>
      <c r="AM1215" s="135" t="s">
        <v>276</v>
      </c>
      <c r="AN1215" s="135" t="s">
        <v>276</v>
      </c>
      <c r="AO1215" s="148">
        <f t="shared" si="174"/>
        <v>7.8007390173805939</v>
      </c>
      <c r="AP1215" s="135" t="s">
        <v>276</v>
      </c>
      <c r="AQ1215" s="135" t="s">
        <v>276</v>
      </c>
      <c r="AR1215" s="126" t="s">
        <v>268</v>
      </c>
      <c r="AS1215" s="135" t="s">
        <v>276</v>
      </c>
      <c r="AT1215" s="148">
        <f t="shared" si="175"/>
        <v>0.75633735659392221</v>
      </c>
      <c r="AU1215" s="147" t="s">
        <v>276</v>
      </c>
      <c r="AV1215" s="147" t="s">
        <v>276</v>
      </c>
      <c r="AW1215" s="126" t="s">
        <v>276</v>
      </c>
      <c r="AX1215" s="127" t="s">
        <v>282</v>
      </c>
      <c r="AY1215" s="135" t="s">
        <v>98</v>
      </c>
      <c r="AZ1215" s="135" t="s">
        <v>98</v>
      </c>
      <c r="BA1215" s="135" t="s">
        <v>98</v>
      </c>
      <c r="BB1215" s="126" t="s">
        <v>98</v>
      </c>
      <c r="BC1215" s="127" t="s">
        <v>1358</v>
      </c>
      <c r="BD1215" s="127"/>
      <c r="BE1215" s="33" t="s">
        <v>100</v>
      </c>
      <c r="BF1215" s="33" t="s">
        <v>98</v>
      </c>
    </row>
    <row r="1216" spans="1:58" s="149" customFormat="1" ht="91" x14ac:dyDescent="0.3">
      <c r="A1216" s="126">
        <v>4085</v>
      </c>
      <c r="B1216" s="126" t="s">
        <v>9901</v>
      </c>
      <c r="C1216" s="127" t="s">
        <v>62</v>
      </c>
      <c r="D1216" s="127" t="s">
        <v>9909</v>
      </c>
      <c r="E1216" s="126" t="s">
        <v>35</v>
      </c>
      <c r="F1216" s="126" t="s">
        <v>97</v>
      </c>
      <c r="G1216" s="126" t="s">
        <v>225</v>
      </c>
      <c r="H1216" s="126" t="s">
        <v>125</v>
      </c>
      <c r="I1216" s="126" t="s">
        <v>113</v>
      </c>
      <c r="J1216" s="127" t="s">
        <v>24</v>
      </c>
      <c r="K1216" s="127" t="s">
        <v>276</v>
      </c>
      <c r="L1216" s="127" t="s">
        <v>276</v>
      </c>
      <c r="M1216" s="126" t="s">
        <v>15</v>
      </c>
      <c r="N1216" s="145" t="s">
        <v>9254</v>
      </c>
      <c r="O1216" s="131" t="s">
        <v>207</v>
      </c>
      <c r="P1216" s="197">
        <v>36160</v>
      </c>
      <c r="Q1216" s="127" t="s">
        <v>2388</v>
      </c>
      <c r="R1216" s="134" t="s">
        <v>276</v>
      </c>
      <c r="S1216" s="134" t="s">
        <v>276</v>
      </c>
      <c r="T1216" s="167" t="s">
        <v>9878</v>
      </c>
      <c r="U1216" s="132">
        <v>77080</v>
      </c>
      <c r="V1216" s="132">
        <v>55985</v>
      </c>
      <c r="W1216" s="126" t="s">
        <v>276</v>
      </c>
      <c r="X1216" s="126" t="s">
        <v>276</v>
      </c>
      <c r="Y1216" s="126" t="s">
        <v>276</v>
      </c>
      <c r="Z1216" s="127" t="s">
        <v>1562</v>
      </c>
      <c r="AA1216" s="126" t="s">
        <v>276</v>
      </c>
      <c r="AB1216" s="127" t="s">
        <v>1562</v>
      </c>
      <c r="AC1216" s="127" t="s">
        <v>9879</v>
      </c>
      <c r="AD1216" s="127" t="s">
        <v>9910</v>
      </c>
      <c r="AE1216" s="132">
        <v>319</v>
      </c>
      <c r="AF1216" s="132">
        <v>334</v>
      </c>
      <c r="AG1216" s="132">
        <v>77080</v>
      </c>
      <c r="AH1216" s="132">
        <v>55985</v>
      </c>
      <c r="AI1216" s="134" t="s">
        <v>281</v>
      </c>
      <c r="AJ1216" s="135" t="s">
        <v>276</v>
      </c>
      <c r="AK1216" s="148">
        <f t="shared" si="173"/>
        <v>4.1385573430202385</v>
      </c>
      <c r="AL1216" s="135" t="s">
        <v>276</v>
      </c>
      <c r="AM1216" s="135" t="s">
        <v>276</v>
      </c>
      <c r="AN1216" s="135" t="s">
        <v>276</v>
      </c>
      <c r="AO1216" s="148">
        <f t="shared" si="174"/>
        <v>5.9658837188532639</v>
      </c>
      <c r="AP1216" s="135" t="s">
        <v>276</v>
      </c>
      <c r="AQ1216" s="135" t="s">
        <v>276</v>
      </c>
      <c r="AR1216" s="126" t="s">
        <v>268</v>
      </c>
      <c r="AS1216" s="135" t="s">
        <v>276</v>
      </c>
      <c r="AT1216" s="148">
        <f t="shared" si="175"/>
        <v>0.69370399056583254</v>
      </c>
      <c r="AU1216" s="147" t="s">
        <v>276</v>
      </c>
      <c r="AV1216" s="147" t="s">
        <v>276</v>
      </c>
      <c r="AW1216" s="126" t="s">
        <v>276</v>
      </c>
      <c r="AX1216" s="346" t="s">
        <v>1488</v>
      </c>
      <c r="AY1216" s="787">
        <v>0.69</v>
      </c>
      <c r="AZ1216" s="787">
        <v>0.57999999999999996</v>
      </c>
      <c r="BA1216" s="787">
        <v>0.8</v>
      </c>
      <c r="BB1216" s="415" t="s">
        <v>431</v>
      </c>
      <c r="BC1216" s="127" t="s">
        <v>9911</v>
      </c>
      <c r="BD1216" s="127"/>
      <c r="BE1216" s="33" t="s">
        <v>100</v>
      </c>
      <c r="BF1216" s="33" t="s">
        <v>98</v>
      </c>
    </row>
    <row r="1217" spans="1:58" s="202" customFormat="1" ht="130" x14ac:dyDescent="0.3">
      <c r="A1217" s="175">
        <v>4083</v>
      </c>
      <c r="B1217" s="175" t="s">
        <v>9912</v>
      </c>
      <c r="C1217" s="176" t="s">
        <v>62</v>
      </c>
      <c r="D1217" s="176" t="s">
        <v>9913</v>
      </c>
      <c r="E1217" s="175" t="s">
        <v>35</v>
      </c>
      <c r="F1217" s="175" t="s">
        <v>97</v>
      </c>
      <c r="G1217" s="175" t="s">
        <v>225</v>
      </c>
      <c r="H1217" s="175" t="s">
        <v>125</v>
      </c>
      <c r="I1217" s="175" t="s">
        <v>113</v>
      </c>
      <c r="J1217" s="176" t="s">
        <v>24</v>
      </c>
      <c r="K1217" s="176" t="s">
        <v>9914</v>
      </c>
      <c r="L1217" s="176" t="s">
        <v>276</v>
      </c>
      <c r="M1217" s="175" t="s">
        <v>15</v>
      </c>
      <c r="N1217" s="198" t="s">
        <v>9254</v>
      </c>
      <c r="O1217" s="199" t="s">
        <v>207</v>
      </c>
      <c r="P1217" s="304" t="s">
        <v>9915</v>
      </c>
      <c r="Q1217" s="176" t="s">
        <v>9916</v>
      </c>
      <c r="R1217" s="179" t="s">
        <v>276</v>
      </c>
      <c r="S1217" s="179" t="s">
        <v>276</v>
      </c>
      <c r="T1217" s="178" t="s">
        <v>9878</v>
      </c>
      <c r="U1217" s="180">
        <v>77080</v>
      </c>
      <c r="V1217" s="180">
        <v>55985</v>
      </c>
      <c r="W1217" s="175" t="s">
        <v>276</v>
      </c>
      <c r="X1217" s="175" t="s">
        <v>276</v>
      </c>
      <c r="Y1217" s="175" t="s">
        <v>276</v>
      </c>
      <c r="Z1217" s="176" t="s">
        <v>1562</v>
      </c>
      <c r="AA1217" s="175" t="s">
        <v>276</v>
      </c>
      <c r="AB1217" s="176" t="s">
        <v>1562</v>
      </c>
      <c r="AC1217" s="176" t="s">
        <v>9917</v>
      </c>
      <c r="AD1217" s="176" t="s">
        <v>9910</v>
      </c>
      <c r="AE1217" s="180">
        <v>351</v>
      </c>
      <c r="AF1217" s="180">
        <v>367</v>
      </c>
      <c r="AG1217" s="180">
        <v>77080</v>
      </c>
      <c r="AH1217" s="180">
        <v>55985</v>
      </c>
      <c r="AI1217" s="179" t="s">
        <v>281</v>
      </c>
      <c r="AJ1217" s="181" t="s">
        <v>276</v>
      </c>
      <c r="AK1217" s="201">
        <f t="shared" si="173"/>
        <v>4.5537104307213285</v>
      </c>
      <c r="AL1217" s="181" t="s">
        <v>276</v>
      </c>
      <c r="AM1217" s="181" t="s">
        <v>276</v>
      </c>
      <c r="AN1217" s="181" t="s">
        <v>276</v>
      </c>
      <c r="AO1217" s="201">
        <f t="shared" si="174"/>
        <v>6.5553273198178079</v>
      </c>
      <c r="AP1217" s="181" t="s">
        <v>276</v>
      </c>
      <c r="AQ1217" s="181" t="s">
        <v>276</v>
      </c>
      <c r="AR1217" s="175" t="s">
        <v>268</v>
      </c>
      <c r="AS1217" s="181" t="s">
        <v>276</v>
      </c>
      <c r="AT1217" s="201">
        <f t="shared" si="175"/>
        <v>0.69465797946575913</v>
      </c>
      <c r="AU1217" s="195" t="s">
        <v>276</v>
      </c>
      <c r="AV1217" s="195" t="s">
        <v>276</v>
      </c>
      <c r="AW1217" s="175" t="s">
        <v>276</v>
      </c>
      <c r="AX1217" s="176" t="s">
        <v>282</v>
      </c>
      <c r="AY1217" s="181" t="s">
        <v>98</v>
      </c>
      <c r="AZ1217" s="181" t="s">
        <v>98</v>
      </c>
      <c r="BA1217" s="181" t="s">
        <v>98</v>
      </c>
      <c r="BB1217" s="175" t="s">
        <v>98</v>
      </c>
      <c r="BC1217" s="176" t="s">
        <v>9918</v>
      </c>
      <c r="BD1217" s="176"/>
      <c r="BE1217" s="33" t="s">
        <v>100</v>
      </c>
      <c r="BF1217" s="33" t="s">
        <v>98</v>
      </c>
    </row>
    <row r="1218" spans="1:58" s="202" customFormat="1" ht="130" x14ac:dyDescent="0.3">
      <c r="A1218" s="175">
        <v>4083</v>
      </c>
      <c r="B1218" s="175" t="s">
        <v>9912</v>
      </c>
      <c r="C1218" s="176" t="s">
        <v>62</v>
      </c>
      <c r="D1218" s="176" t="s">
        <v>9919</v>
      </c>
      <c r="E1218" s="175" t="s">
        <v>35</v>
      </c>
      <c r="F1218" s="175" t="s">
        <v>97</v>
      </c>
      <c r="G1218" s="175" t="s">
        <v>225</v>
      </c>
      <c r="H1218" s="175" t="s">
        <v>125</v>
      </c>
      <c r="I1218" s="175" t="s">
        <v>113</v>
      </c>
      <c r="J1218" s="176" t="s">
        <v>24</v>
      </c>
      <c r="K1218" s="176" t="s">
        <v>9914</v>
      </c>
      <c r="L1218" s="176" t="s">
        <v>276</v>
      </c>
      <c r="M1218" s="175" t="s">
        <v>15</v>
      </c>
      <c r="N1218" s="198" t="s">
        <v>9254</v>
      </c>
      <c r="O1218" s="199" t="s">
        <v>207</v>
      </c>
      <c r="P1218" s="304" t="s">
        <v>9915</v>
      </c>
      <c r="Q1218" s="176" t="s">
        <v>9916</v>
      </c>
      <c r="R1218" s="179" t="s">
        <v>276</v>
      </c>
      <c r="S1218" s="179" t="s">
        <v>276</v>
      </c>
      <c r="T1218" s="178" t="s">
        <v>9878</v>
      </c>
      <c r="U1218" s="180">
        <v>77080</v>
      </c>
      <c r="V1218" s="180">
        <v>55985</v>
      </c>
      <c r="W1218" s="175" t="s">
        <v>276</v>
      </c>
      <c r="X1218" s="175" t="s">
        <v>276</v>
      </c>
      <c r="Y1218" s="175" t="s">
        <v>276</v>
      </c>
      <c r="Z1218" s="176" t="s">
        <v>1562</v>
      </c>
      <c r="AA1218" s="175" t="s">
        <v>276</v>
      </c>
      <c r="AB1218" s="176" t="s">
        <v>1562</v>
      </c>
      <c r="AC1218" s="176" t="s">
        <v>9917</v>
      </c>
      <c r="AD1218" s="176" t="s">
        <v>9920</v>
      </c>
      <c r="AE1218" s="180">
        <v>351</v>
      </c>
      <c r="AF1218" s="180">
        <v>367</v>
      </c>
      <c r="AG1218" s="180" t="s">
        <v>276</v>
      </c>
      <c r="AH1218" s="180" t="s">
        <v>276</v>
      </c>
      <c r="AI1218" s="179" t="s">
        <v>1019</v>
      </c>
      <c r="AJ1218" s="181" t="s">
        <v>276</v>
      </c>
      <c r="AK1218" s="201" t="s">
        <v>98</v>
      </c>
      <c r="AL1218" s="181" t="s">
        <v>276</v>
      </c>
      <c r="AM1218" s="181" t="s">
        <v>276</v>
      </c>
      <c r="AN1218" s="181" t="s">
        <v>276</v>
      </c>
      <c r="AO1218" s="201" t="s">
        <v>98</v>
      </c>
      <c r="AP1218" s="181" t="s">
        <v>276</v>
      </c>
      <c r="AQ1218" s="181" t="s">
        <v>276</v>
      </c>
      <c r="AR1218" s="175" t="s">
        <v>269</v>
      </c>
      <c r="AS1218" s="181" t="s">
        <v>276</v>
      </c>
      <c r="AT1218" s="201" t="s">
        <v>98</v>
      </c>
      <c r="AU1218" s="195" t="s">
        <v>276</v>
      </c>
      <c r="AV1218" s="195" t="s">
        <v>276</v>
      </c>
      <c r="AW1218" s="175" t="s">
        <v>276</v>
      </c>
      <c r="AX1218" s="176" t="s">
        <v>9921</v>
      </c>
      <c r="AY1218" s="181">
        <v>0.69</v>
      </c>
      <c r="AZ1218" s="181">
        <v>0.56000000000000005</v>
      </c>
      <c r="BA1218" s="181">
        <v>0.85</v>
      </c>
      <c r="BB1218" s="175" t="s">
        <v>3368</v>
      </c>
      <c r="BC1218" s="176" t="s">
        <v>9922</v>
      </c>
      <c r="BD1218" s="176"/>
      <c r="BE1218" s="33" t="s">
        <v>100</v>
      </c>
      <c r="BF1218" s="33" t="s">
        <v>98</v>
      </c>
    </row>
    <row r="1219" spans="1:58" s="202" customFormat="1" ht="104" x14ac:dyDescent="0.3">
      <c r="A1219" s="175">
        <v>4083</v>
      </c>
      <c r="B1219" s="175" t="s">
        <v>9912</v>
      </c>
      <c r="C1219" s="176" t="s">
        <v>62</v>
      </c>
      <c r="D1219" s="176" t="s">
        <v>9923</v>
      </c>
      <c r="E1219" s="175" t="s">
        <v>35</v>
      </c>
      <c r="F1219" s="175" t="s">
        <v>97</v>
      </c>
      <c r="G1219" s="175" t="s">
        <v>225</v>
      </c>
      <c r="H1219" s="175" t="s">
        <v>125</v>
      </c>
      <c r="I1219" s="175" t="s">
        <v>113</v>
      </c>
      <c r="J1219" s="176" t="s">
        <v>24</v>
      </c>
      <c r="K1219" s="176" t="s">
        <v>9914</v>
      </c>
      <c r="L1219" s="176" t="s">
        <v>276</v>
      </c>
      <c r="M1219" s="175" t="s">
        <v>15</v>
      </c>
      <c r="N1219" s="198" t="s">
        <v>9254</v>
      </c>
      <c r="O1219" s="199" t="s">
        <v>207</v>
      </c>
      <c r="P1219" s="304" t="s">
        <v>98</v>
      </c>
      <c r="Q1219" s="176" t="s">
        <v>766</v>
      </c>
      <c r="R1219" s="179" t="s">
        <v>276</v>
      </c>
      <c r="S1219" s="179" t="s">
        <v>276</v>
      </c>
      <c r="T1219" s="178" t="s">
        <v>9878</v>
      </c>
      <c r="U1219" s="180">
        <v>77080</v>
      </c>
      <c r="V1219" s="180">
        <v>55985</v>
      </c>
      <c r="W1219" s="175" t="s">
        <v>276</v>
      </c>
      <c r="X1219" s="175" t="s">
        <v>276</v>
      </c>
      <c r="Y1219" s="175" t="s">
        <v>276</v>
      </c>
      <c r="Z1219" s="176" t="s">
        <v>1562</v>
      </c>
      <c r="AA1219" s="175" t="s">
        <v>276</v>
      </c>
      <c r="AB1219" s="176" t="s">
        <v>1562</v>
      </c>
      <c r="AC1219" s="176" t="s">
        <v>9924</v>
      </c>
      <c r="AD1219" s="176" t="s">
        <v>9920</v>
      </c>
      <c r="AE1219" s="180">
        <v>206</v>
      </c>
      <c r="AF1219" s="180" t="s">
        <v>276</v>
      </c>
      <c r="AG1219" s="180" t="s">
        <v>276</v>
      </c>
      <c r="AH1219" s="180" t="s">
        <v>276</v>
      </c>
      <c r="AI1219" s="179" t="s">
        <v>1019</v>
      </c>
      <c r="AJ1219" s="181" t="s">
        <v>276</v>
      </c>
      <c r="AK1219" s="201" t="s">
        <v>98</v>
      </c>
      <c r="AL1219" s="181" t="s">
        <v>276</v>
      </c>
      <c r="AM1219" s="181" t="s">
        <v>276</v>
      </c>
      <c r="AN1219" s="181" t="s">
        <v>276</v>
      </c>
      <c r="AO1219" s="201" t="s">
        <v>98</v>
      </c>
      <c r="AP1219" s="181" t="s">
        <v>276</v>
      </c>
      <c r="AQ1219" s="181" t="s">
        <v>276</v>
      </c>
      <c r="AR1219" s="175" t="s">
        <v>269</v>
      </c>
      <c r="AS1219" s="181" t="s">
        <v>276</v>
      </c>
      <c r="AT1219" s="201" t="s">
        <v>98</v>
      </c>
      <c r="AU1219" s="195" t="s">
        <v>276</v>
      </c>
      <c r="AV1219" s="195" t="s">
        <v>276</v>
      </c>
      <c r="AW1219" s="175" t="s">
        <v>276</v>
      </c>
      <c r="AX1219" s="176" t="s">
        <v>9921</v>
      </c>
      <c r="AY1219" s="181">
        <v>0.74</v>
      </c>
      <c r="AZ1219" s="181">
        <v>0.56999999999999995</v>
      </c>
      <c r="BA1219" s="181">
        <v>0.98</v>
      </c>
      <c r="BB1219" s="175" t="s">
        <v>276</v>
      </c>
      <c r="BC1219" s="176" t="s">
        <v>426</v>
      </c>
      <c r="BD1219" s="176"/>
      <c r="BE1219" s="33" t="s">
        <v>100</v>
      </c>
      <c r="BF1219" s="33" t="s">
        <v>98</v>
      </c>
    </row>
    <row r="1220" spans="1:58" s="202" customFormat="1" ht="104" x14ac:dyDescent="0.3">
      <c r="A1220" s="175">
        <v>4083</v>
      </c>
      <c r="B1220" s="175" t="s">
        <v>9912</v>
      </c>
      <c r="C1220" s="176" t="s">
        <v>62</v>
      </c>
      <c r="D1220" s="176" t="s">
        <v>9925</v>
      </c>
      <c r="E1220" s="175" t="s">
        <v>35</v>
      </c>
      <c r="F1220" s="175" t="s">
        <v>97</v>
      </c>
      <c r="G1220" s="175" t="s">
        <v>225</v>
      </c>
      <c r="H1220" s="175" t="s">
        <v>125</v>
      </c>
      <c r="I1220" s="175" t="s">
        <v>113</v>
      </c>
      <c r="J1220" s="176" t="s">
        <v>24</v>
      </c>
      <c r="K1220" s="176" t="s">
        <v>9914</v>
      </c>
      <c r="L1220" s="176" t="s">
        <v>276</v>
      </c>
      <c r="M1220" s="175" t="s">
        <v>15</v>
      </c>
      <c r="N1220" s="198" t="s">
        <v>9254</v>
      </c>
      <c r="O1220" s="199" t="s">
        <v>207</v>
      </c>
      <c r="P1220" s="304" t="s">
        <v>98</v>
      </c>
      <c r="Q1220" s="176" t="s">
        <v>782</v>
      </c>
      <c r="R1220" s="179" t="s">
        <v>276</v>
      </c>
      <c r="S1220" s="179" t="s">
        <v>276</v>
      </c>
      <c r="T1220" s="178" t="s">
        <v>9878</v>
      </c>
      <c r="U1220" s="180">
        <v>77080</v>
      </c>
      <c r="V1220" s="180">
        <v>55985</v>
      </c>
      <c r="W1220" s="175" t="s">
        <v>276</v>
      </c>
      <c r="X1220" s="175" t="s">
        <v>276</v>
      </c>
      <c r="Y1220" s="175" t="s">
        <v>276</v>
      </c>
      <c r="Z1220" s="176" t="s">
        <v>1562</v>
      </c>
      <c r="AA1220" s="175" t="s">
        <v>276</v>
      </c>
      <c r="AB1220" s="176" t="s">
        <v>1562</v>
      </c>
      <c r="AC1220" s="176" t="s">
        <v>9926</v>
      </c>
      <c r="AD1220" s="176" t="s">
        <v>9920</v>
      </c>
      <c r="AE1220" s="180">
        <v>284</v>
      </c>
      <c r="AF1220" s="180" t="s">
        <v>276</v>
      </c>
      <c r="AG1220" s="180" t="s">
        <v>276</v>
      </c>
      <c r="AH1220" s="180" t="s">
        <v>276</v>
      </c>
      <c r="AI1220" s="179" t="s">
        <v>1019</v>
      </c>
      <c r="AJ1220" s="181" t="s">
        <v>276</v>
      </c>
      <c r="AK1220" s="201" t="s">
        <v>98</v>
      </c>
      <c r="AL1220" s="181" t="s">
        <v>276</v>
      </c>
      <c r="AM1220" s="181" t="s">
        <v>276</v>
      </c>
      <c r="AN1220" s="181" t="s">
        <v>276</v>
      </c>
      <c r="AO1220" s="201" t="s">
        <v>98</v>
      </c>
      <c r="AP1220" s="181" t="s">
        <v>276</v>
      </c>
      <c r="AQ1220" s="181" t="s">
        <v>276</v>
      </c>
      <c r="AR1220" s="175" t="s">
        <v>269</v>
      </c>
      <c r="AS1220" s="181" t="s">
        <v>276</v>
      </c>
      <c r="AT1220" s="201" t="s">
        <v>98</v>
      </c>
      <c r="AU1220" s="195" t="s">
        <v>276</v>
      </c>
      <c r="AV1220" s="195" t="s">
        <v>276</v>
      </c>
      <c r="AW1220" s="175" t="s">
        <v>276</v>
      </c>
      <c r="AX1220" s="176" t="s">
        <v>9921</v>
      </c>
      <c r="AY1220" s="181">
        <v>0.7</v>
      </c>
      <c r="AZ1220" s="181">
        <v>0.56000000000000005</v>
      </c>
      <c r="BA1220" s="181">
        <v>0.87</v>
      </c>
      <c r="BB1220" s="175" t="s">
        <v>276</v>
      </c>
      <c r="BC1220" s="176" t="s">
        <v>426</v>
      </c>
      <c r="BD1220" s="176"/>
      <c r="BE1220" s="33" t="s">
        <v>100</v>
      </c>
      <c r="BF1220" s="33" t="s">
        <v>98</v>
      </c>
    </row>
    <row r="1221" spans="1:58" s="202" customFormat="1" ht="104" x14ac:dyDescent="0.3">
      <c r="A1221" s="175">
        <v>4083</v>
      </c>
      <c r="B1221" s="175" t="s">
        <v>9912</v>
      </c>
      <c r="C1221" s="176" t="s">
        <v>62</v>
      </c>
      <c r="D1221" s="176" t="s">
        <v>9927</v>
      </c>
      <c r="E1221" s="175" t="s">
        <v>35</v>
      </c>
      <c r="F1221" s="175" t="s">
        <v>97</v>
      </c>
      <c r="G1221" s="175" t="s">
        <v>225</v>
      </c>
      <c r="H1221" s="175" t="s">
        <v>125</v>
      </c>
      <c r="I1221" s="175" t="s">
        <v>113</v>
      </c>
      <c r="J1221" s="176" t="s">
        <v>24</v>
      </c>
      <c r="K1221" s="176" t="s">
        <v>9914</v>
      </c>
      <c r="L1221" s="176" t="s">
        <v>276</v>
      </c>
      <c r="M1221" s="175" t="s">
        <v>15</v>
      </c>
      <c r="N1221" s="198" t="s">
        <v>9254</v>
      </c>
      <c r="O1221" s="199" t="s">
        <v>207</v>
      </c>
      <c r="P1221" s="304" t="s">
        <v>98</v>
      </c>
      <c r="Q1221" s="176" t="s">
        <v>1080</v>
      </c>
      <c r="R1221" s="179" t="s">
        <v>276</v>
      </c>
      <c r="S1221" s="179" t="s">
        <v>276</v>
      </c>
      <c r="T1221" s="178" t="s">
        <v>9878</v>
      </c>
      <c r="U1221" s="180">
        <v>77080</v>
      </c>
      <c r="V1221" s="180">
        <v>55985</v>
      </c>
      <c r="W1221" s="175" t="s">
        <v>276</v>
      </c>
      <c r="X1221" s="175" t="s">
        <v>276</v>
      </c>
      <c r="Y1221" s="175" t="s">
        <v>276</v>
      </c>
      <c r="Z1221" s="176" t="s">
        <v>1562</v>
      </c>
      <c r="AA1221" s="175" t="s">
        <v>276</v>
      </c>
      <c r="AB1221" s="176" t="s">
        <v>1562</v>
      </c>
      <c r="AC1221" s="176" t="s">
        <v>9928</v>
      </c>
      <c r="AD1221" s="176" t="s">
        <v>9920</v>
      </c>
      <c r="AE1221" s="180">
        <v>324</v>
      </c>
      <c r="AF1221" s="180" t="s">
        <v>276</v>
      </c>
      <c r="AG1221" s="180" t="s">
        <v>276</v>
      </c>
      <c r="AH1221" s="180" t="s">
        <v>276</v>
      </c>
      <c r="AI1221" s="179" t="s">
        <v>1019</v>
      </c>
      <c r="AJ1221" s="181" t="s">
        <v>276</v>
      </c>
      <c r="AK1221" s="201" t="s">
        <v>98</v>
      </c>
      <c r="AL1221" s="181" t="s">
        <v>276</v>
      </c>
      <c r="AM1221" s="181" t="s">
        <v>276</v>
      </c>
      <c r="AN1221" s="181" t="s">
        <v>276</v>
      </c>
      <c r="AO1221" s="201" t="s">
        <v>98</v>
      </c>
      <c r="AP1221" s="181" t="s">
        <v>276</v>
      </c>
      <c r="AQ1221" s="181" t="s">
        <v>276</v>
      </c>
      <c r="AR1221" s="175" t="s">
        <v>269</v>
      </c>
      <c r="AS1221" s="181" t="s">
        <v>276</v>
      </c>
      <c r="AT1221" s="201" t="s">
        <v>98</v>
      </c>
      <c r="AU1221" s="195" t="s">
        <v>276</v>
      </c>
      <c r="AV1221" s="195" t="s">
        <v>276</v>
      </c>
      <c r="AW1221" s="175" t="s">
        <v>276</v>
      </c>
      <c r="AX1221" s="176" t="s">
        <v>9921</v>
      </c>
      <c r="AY1221" s="181">
        <v>0.7</v>
      </c>
      <c r="AZ1221" s="181">
        <v>0.56999999999999995</v>
      </c>
      <c r="BA1221" s="181">
        <v>0.85</v>
      </c>
      <c r="BB1221" s="175" t="s">
        <v>276</v>
      </c>
      <c r="BC1221" s="176" t="s">
        <v>426</v>
      </c>
      <c r="BD1221" s="176"/>
      <c r="BE1221" s="33" t="s">
        <v>100</v>
      </c>
      <c r="BF1221" s="33" t="s">
        <v>98</v>
      </c>
    </row>
    <row r="1222" spans="1:58" s="202" customFormat="1" ht="104" x14ac:dyDescent="0.3">
      <c r="A1222" s="175">
        <v>4083</v>
      </c>
      <c r="B1222" s="175" t="s">
        <v>9912</v>
      </c>
      <c r="C1222" s="176" t="s">
        <v>62</v>
      </c>
      <c r="D1222" s="176" t="s">
        <v>9929</v>
      </c>
      <c r="E1222" s="175" t="s">
        <v>35</v>
      </c>
      <c r="F1222" s="175" t="s">
        <v>97</v>
      </c>
      <c r="G1222" s="175" t="s">
        <v>225</v>
      </c>
      <c r="H1222" s="175" t="s">
        <v>125</v>
      </c>
      <c r="I1222" s="175" t="s">
        <v>113</v>
      </c>
      <c r="J1222" s="176" t="s">
        <v>24</v>
      </c>
      <c r="K1222" s="176" t="s">
        <v>9914</v>
      </c>
      <c r="L1222" s="176" t="s">
        <v>276</v>
      </c>
      <c r="M1222" s="175" t="s">
        <v>15</v>
      </c>
      <c r="N1222" s="198" t="s">
        <v>9254</v>
      </c>
      <c r="O1222" s="199" t="s">
        <v>207</v>
      </c>
      <c r="P1222" s="304" t="s">
        <v>98</v>
      </c>
      <c r="Q1222" s="176" t="s">
        <v>9930</v>
      </c>
      <c r="R1222" s="179" t="s">
        <v>276</v>
      </c>
      <c r="S1222" s="179" t="s">
        <v>276</v>
      </c>
      <c r="T1222" s="178" t="s">
        <v>9878</v>
      </c>
      <c r="U1222" s="180">
        <v>77080</v>
      </c>
      <c r="V1222" s="180">
        <v>55985</v>
      </c>
      <c r="W1222" s="175" t="s">
        <v>276</v>
      </c>
      <c r="X1222" s="175" t="s">
        <v>276</v>
      </c>
      <c r="Y1222" s="175" t="s">
        <v>276</v>
      </c>
      <c r="Z1222" s="176" t="s">
        <v>1562</v>
      </c>
      <c r="AA1222" s="175" t="s">
        <v>276</v>
      </c>
      <c r="AB1222" s="176" t="s">
        <v>1562</v>
      </c>
      <c r="AC1222" s="176" t="s">
        <v>9931</v>
      </c>
      <c r="AD1222" s="176" t="s">
        <v>9920</v>
      </c>
      <c r="AE1222" s="180">
        <v>347</v>
      </c>
      <c r="AF1222" s="180" t="s">
        <v>276</v>
      </c>
      <c r="AG1222" s="180" t="s">
        <v>276</v>
      </c>
      <c r="AH1222" s="180" t="s">
        <v>276</v>
      </c>
      <c r="AI1222" s="179" t="s">
        <v>1019</v>
      </c>
      <c r="AJ1222" s="181" t="s">
        <v>276</v>
      </c>
      <c r="AK1222" s="201" t="s">
        <v>98</v>
      </c>
      <c r="AL1222" s="181" t="s">
        <v>276</v>
      </c>
      <c r="AM1222" s="181" t="s">
        <v>276</v>
      </c>
      <c r="AN1222" s="181" t="s">
        <v>276</v>
      </c>
      <c r="AO1222" s="201" t="s">
        <v>98</v>
      </c>
      <c r="AP1222" s="181" t="s">
        <v>276</v>
      </c>
      <c r="AQ1222" s="181" t="s">
        <v>276</v>
      </c>
      <c r="AR1222" s="175" t="s">
        <v>269</v>
      </c>
      <c r="AS1222" s="181" t="s">
        <v>276</v>
      </c>
      <c r="AT1222" s="201" t="s">
        <v>98</v>
      </c>
      <c r="AU1222" s="195" t="s">
        <v>276</v>
      </c>
      <c r="AV1222" s="195" t="s">
        <v>276</v>
      </c>
      <c r="AW1222" s="175" t="s">
        <v>276</v>
      </c>
      <c r="AX1222" s="176" t="s">
        <v>9921</v>
      </c>
      <c r="AY1222" s="181">
        <v>0.7</v>
      </c>
      <c r="AZ1222" s="181">
        <v>0.56999999999999995</v>
      </c>
      <c r="BA1222" s="181">
        <v>0.85</v>
      </c>
      <c r="BB1222" s="175" t="s">
        <v>276</v>
      </c>
      <c r="BC1222" s="176" t="s">
        <v>426</v>
      </c>
      <c r="BD1222" s="176"/>
      <c r="BE1222" s="33" t="s">
        <v>100</v>
      </c>
      <c r="BF1222" s="33" t="s">
        <v>98</v>
      </c>
    </row>
    <row r="1223" spans="1:58" s="339" customFormat="1" ht="130" x14ac:dyDescent="0.3">
      <c r="A1223" s="184">
        <v>4083</v>
      </c>
      <c r="B1223" s="184" t="s">
        <v>9912</v>
      </c>
      <c r="C1223" s="185" t="s">
        <v>62</v>
      </c>
      <c r="D1223" s="185" t="s">
        <v>9932</v>
      </c>
      <c r="E1223" s="184" t="s">
        <v>35</v>
      </c>
      <c r="F1223" s="184" t="s">
        <v>97</v>
      </c>
      <c r="G1223" s="184" t="s">
        <v>225</v>
      </c>
      <c r="H1223" s="184" t="s">
        <v>125</v>
      </c>
      <c r="I1223" s="184" t="s">
        <v>113</v>
      </c>
      <c r="J1223" s="185" t="s">
        <v>24</v>
      </c>
      <c r="K1223" s="185" t="s">
        <v>9914</v>
      </c>
      <c r="L1223" s="185" t="s">
        <v>276</v>
      </c>
      <c r="M1223" s="184" t="s">
        <v>15</v>
      </c>
      <c r="N1223" s="336" t="s">
        <v>9254</v>
      </c>
      <c r="O1223" s="337" t="s">
        <v>207</v>
      </c>
      <c r="P1223" s="302" t="s">
        <v>9915</v>
      </c>
      <c r="Q1223" s="185" t="s">
        <v>9916</v>
      </c>
      <c r="R1223" s="188" t="s">
        <v>276</v>
      </c>
      <c r="S1223" s="188" t="s">
        <v>276</v>
      </c>
      <c r="T1223" s="187" t="s">
        <v>9878</v>
      </c>
      <c r="U1223" s="189">
        <v>77080</v>
      </c>
      <c r="V1223" s="189">
        <v>55985</v>
      </c>
      <c r="W1223" s="184" t="s">
        <v>276</v>
      </c>
      <c r="X1223" s="184" t="s">
        <v>276</v>
      </c>
      <c r="Y1223" s="184" t="s">
        <v>276</v>
      </c>
      <c r="Z1223" s="185" t="s">
        <v>1562</v>
      </c>
      <c r="AA1223" s="184" t="s">
        <v>276</v>
      </c>
      <c r="AB1223" s="185" t="s">
        <v>1562</v>
      </c>
      <c r="AC1223" s="185" t="s">
        <v>9933</v>
      </c>
      <c r="AD1223" s="185" t="s">
        <v>9910</v>
      </c>
      <c r="AE1223" s="189">
        <v>339</v>
      </c>
      <c r="AF1223" s="189">
        <v>339</v>
      </c>
      <c r="AG1223" s="189">
        <v>77080</v>
      </c>
      <c r="AH1223" s="189">
        <v>55985</v>
      </c>
      <c r="AI1223" s="188" t="s">
        <v>281</v>
      </c>
      <c r="AJ1223" s="192" t="s">
        <v>276</v>
      </c>
      <c r="AK1223" s="338">
        <f>AE1223*1000/AG1223</f>
        <v>4.3980280228334196</v>
      </c>
      <c r="AL1223" s="192" t="s">
        <v>276</v>
      </c>
      <c r="AM1223" s="192" t="s">
        <v>276</v>
      </c>
      <c r="AN1223" s="192" t="s">
        <v>276</v>
      </c>
      <c r="AO1223" s="338">
        <f>AF1223*1000/AH1223</f>
        <v>6.0551933553630439</v>
      </c>
      <c r="AP1223" s="192" t="s">
        <v>276</v>
      </c>
      <c r="AQ1223" s="192" t="s">
        <v>276</v>
      </c>
      <c r="AR1223" s="184" t="s">
        <v>268</v>
      </c>
      <c r="AS1223" s="192" t="s">
        <v>276</v>
      </c>
      <c r="AT1223" s="338">
        <f>AK1223/AO1223</f>
        <v>0.72632330046704718</v>
      </c>
      <c r="AU1223" s="190" t="s">
        <v>276</v>
      </c>
      <c r="AV1223" s="190" t="s">
        <v>276</v>
      </c>
      <c r="AW1223" s="184" t="s">
        <v>276</v>
      </c>
      <c r="AX1223" s="185" t="s">
        <v>282</v>
      </c>
      <c r="AY1223" s="192" t="s">
        <v>98</v>
      </c>
      <c r="AZ1223" s="192" t="s">
        <v>98</v>
      </c>
      <c r="BA1223" s="192" t="s">
        <v>98</v>
      </c>
      <c r="BB1223" s="184" t="s">
        <v>98</v>
      </c>
      <c r="BC1223" s="185" t="s">
        <v>9934</v>
      </c>
      <c r="BD1223" s="185"/>
      <c r="BE1223" s="33" t="s">
        <v>100</v>
      </c>
      <c r="BF1223" s="33" t="s">
        <v>98</v>
      </c>
    </row>
    <row r="1224" spans="1:58" s="339" customFormat="1" ht="130" x14ac:dyDescent="0.3">
      <c r="A1224" s="184">
        <v>4083</v>
      </c>
      <c r="B1224" s="184" t="s">
        <v>9912</v>
      </c>
      <c r="C1224" s="185" t="s">
        <v>62</v>
      </c>
      <c r="D1224" s="185" t="s">
        <v>9935</v>
      </c>
      <c r="E1224" s="184" t="s">
        <v>35</v>
      </c>
      <c r="F1224" s="184" t="s">
        <v>97</v>
      </c>
      <c r="G1224" s="184" t="s">
        <v>225</v>
      </c>
      <c r="H1224" s="184" t="s">
        <v>125</v>
      </c>
      <c r="I1224" s="184" t="s">
        <v>113</v>
      </c>
      <c r="J1224" s="185" t="s">
        <v>24</v>
      </c>
      <c r="K1224" s="185" t="s">
        <v>9914</v>
      </c>
      <c r="L1224" s="185" t="s">
        <v>276</v>
      </c>
      <c r="M1224" s="184" t="s">
        <v>15</v>
      </c>
      <c r="N1224" s="336" t="s">
        <v>9254</v>
      </c>
      <c r="O1224" s="337" t="s">
        <v>207</v>
      </c>
      <c r="P1224" s="302" t="s">
        <v>9915</v>
      </c>
      <c r="Q1224" s="185" t="s">
        <v>9916</v>
      </c>
      <c r="R1224" s="188" t="s">
        <v>276</v>
      </c>
      <c r="S1224" s="188" t="s">
        <v>276</v>
      </c>
      <c r="T1224" s="187" t="s">
        <v>9878</v>
      </c>
      <c r="U1224" s="189">
        <v>77080</v>
      </c>
      <c r="V1224" s="189">
        <v>55985</v>
      </c>
      <c r="W1224" s="184" t="s">
        <v>276</v>
      </c>
      <c r="X1224" s="184" t="s">
        <v>276</v>
      </c>
      <c r="Y1224" s="184" t="s">
        <v>276</v>
      </c>
      <c r="Z1224" s="185" t="s">
        <v>1562</v>
      </c>
      <c r="AA1224" s="184" t="s">
        <v>276</v>
      </c>
      <c r="AB1224" s="185" t="s">
        <v>1562</v>
      </c>
      <c r="AC1224" s="185" t="s">
        <v>9933</v>
      </c>
      <c r="AD1224" s="185" t="s">
        <v>9920</v>
      </c>
      <c r="AE1224" s="189">
        <v>339</v>
      </c>
      <c r="AF1224" s="189">
        <v>339</v>
      </c>
      <c r="AG1224" s="189" t="s">
        <v>276</v>
      </c>
      <c r="AH1224" s="189" t="s">
        <v>276</v>
      </c>
      <c r="AI1224" s="188" t="s">
        <v>1019</v>
      </c>
      <c r="AJ1224" s="192" t="s">
        <v>276</v>
      </c>
      <c r="AK1224" s="338" t="s">
        <v>98</v>
      </c>
      <c r="AL1224" s="192" t="s">
        <v>276</v>
      </c>
      <c r="AM1224" s="192" t="s">
        <v>276</v>
      </c>
      <c r="AN1224" s="192" t="s">
        <v>276</v>
      </c>
      <c r="AO1224" s="338" t="s">
        <v>98</v>
      </c>
      <c r="AP1224" s="192" t="s">
        <v>276</v>
      </c>
      <c r="AQ1224" s="192" t="s">
        <v>276</v>
      </c>
      <c r="AR1224" s="184" t="s">
        <v>269</v>
      </c>
      <c r="AS1224" s="192" t="s">
        <v>276</v>
      </c>
      <c r="AT1224" s="338" t="s">
        <v>98</v>
      </c>
      <c r="AU1224" s="190" t="s">
        <v>276</v>
      </c>
      <c r="AV1224" s="190" t="s">
        <v>276</v>
      </c>
      <c r="AW1224" s="184" t="s">
        <v>276</v>
      </c>
      <c r="AX1224" s="185" t="s">
        <v>9921</v>
      </c>
      <c r="AY1224" s="192">
        <v>0.73</v>
      </c>
      <c r="AZ1224" s="192">
        <v>0.59</v>
      </c>
      <c r="BA1224" s="192">
        <v>0.89</v>
      </c>
      <c r="BB1224" s="184">
        <v>2E-3</v>
      </c>
      <c r="BC1224" s="185" t="s">
        <v>9936</v>
      </c>
      <c r="BD1224" s="185"/>
      <c r="BE1224" s="33" t="s">
        <v>100</v>
      </c>
      <c r="BF1224" s="33" t="s">
        <v>98</v>
      </c>
    </row>
    <row r="1225" spans="1:58" s="339" customFormat="1" ht="104" x14ac:dyDescent="0.3">
      <c r="A1225" s="184">
        <v>4083</v>
      </c>
      <c r="B1225" s="184" t="s">
        <v>9912</v>
      </c>
      <c r="C1225" s="185" t="s">
        <v>62</v>
      </c>
      <c r="D1225" s="185" t="s">
        <v>9937</v>
      </c>
      <c r="E1225" s="184" t="s">
        <v>35</v>
      </c>
      <c r="F1225" s="184" t="s">
        <v>97</v>
      </c>
      <c r="G1225" s="184" t="s">
        <v>225</v>
      </c>
      <c r="H1225" s="184" t="s">
        <v>125</v>
      </c>
      <c r="I1225" s="184" t="s">
        <v>113</v>
      </c>
      <c r="J1225" s="185" t="s">
        <v>24</v>
      </c>
      <c r="K1225" s="185" t="s">
        <v>9914</v>
      </c>
      <c r="L1225" s="185" t="s">
        <v>276</v>
      </c>
      <c r="M1225" s="184" t="s">
        <v>15</v>
      </c>
      <c r="N1225" s="336" t="s">
        <v>9254</v>
      </c>
      <c r="O1225" s="337" t="s">
        <v>207</v>
      </c>
      <c r="P1225" s="302" t="s">
        <v>98</v>
      </c>
      <c r="Q1225" s="185" t="s">
        <v>766</v>
      </c>
      <c r="R1225" s="188" t="s">
        <v>276</v>
      </c>
      <c r="S1225" s="188" t="s">
        <v>276</v>
      </c>
      <c r="T1225" s="187" t="s">
        <v>9878</v>
      </c>
      <c r="U1225" s="189">
        <v>77080</v>
      </c>
      <c r="V1225" s="189">
        <v>55985</v>
      </c>
      <c r="W1225" s="184" t="s">
        <v>276</v>
      </c>
      <c r="X1225" s="184" t="s">
        <v>276</v>
      </c>
      <c r="Y1225" s="184" t="s">
        <v>276</v>
      </c>
      <c r="Z1225" s="185" t="s">
        <v>1562</v>
      </c>
      <c r="AA1225" s="184" t="s">
        <v>276</v>
      </c>
      <c r="AB1225" s="185" t="s">
        <v>1562</v>
      </c>
      <c r="AC1225" s="185" t="s">
        <v>9938</v>
      </c>
      <c r="AD1225" s="185" t="s">
        <v>9920</v>
      </c>
      <c r="AE1225" s="189">
        <v>207</v>
      </c>
      <c r="AF1225" s="189" t="s">
        <v>276</v>
      </c>
      <c r="AG1225" s="189" t="s">
        <v>276</v>
      </c>
      <c r="AH1225" s="189" t="s">
        <v>276</v>
      </c>
      <c r="AI1225" s="188" t="s">
        <v>1019</v>
      </c>
      <c r="AJ1225" s="192" t="s">
        <v>276</v>
      </c>
      <c r="AK1225" s="338" t="s">
        <v>98</v>
      </c>
      <c r="AL1225" s="192" t="s">
        <v>276</v>
      </c>
      <c r="AM1225" s="192" t="s">
        <v>276</v>
      </c>
      <c r="AN1225" s="192" t="s">
        <v>276</v>
      </c>
      <c r="AO1225" s="338" t="s">
        <v>98</v>
      </c>
      <c r="AP1225" s="192" t="s">
        <v>276</v>
      </c>
      <c r="AQ1225" s="192" t="s">
        <v>276</v>
      </c>
      <c r="AR1225" s="184" t="s">
        <v>269</v>
      </c>
      <c r="AS1225" s="192" t="s">
        <v>276</v>
      </c>
      <c r="AT1225" s="338" t="s">
        <v>98</v>
      </c>
      <c r="AU1225" s="190" t="s">
        <v>276</v>
      </c>
      <c r="AV1225" s="190" t="s">
        <v>276</v>
      </c>
      <c r="AW1225" s="184" t="s">
        <v>276</v>
      </c>
      <c r="AX1225" s="185" t="s">
        <v>9921</v>
      </c>
      <c r="AY1225" s="192">
        <v>0.8</v>
      </c>
      <c r="AZ1225" s="192">
        <v>0.62</v>
      </c>
      <c r="BA1225" s="192">
        <v>1.05</v>
      </c>
      <c r="BB1225" s="184" t="s">
        <v>276</v>
      </c>
      <c r="BC1225" s="185" t="s">
        <v>1029</v>
      </c>
      <c r="BD1225" s="185"/>
      <c r="BE1225" s="33" t="s">
        <v>100</v>
      </c>
      <c r="BF1225" s="33" t="s">
        <v>98</v>
      </c>
    </row>
    <row r="1226" spans="1:58" s="339" customFormat="1" ht="104" x14ac:dyDescent="0.3">
      <c r="A1226" s="184">
        <v>4083</v>
      </c>
      <c r="B1226" s="184" t="s">
        <v>9912</v>
      </c>
      <c r="C1226" s="185" t="s">
        <v>62</v>
      </c>
      <c r="D1226" s="185" t="s">
        <v>9939</v>
      </c>
      <c r="E1226" s="184" t="s">
        <v>35</v>
      </c>
      <c r="F1226" s="184" t="s">
        <v>97</v>
      </c>
      <c r="G1226" s="184" t="s">
        <v>225</v>
      </c>
      <c r="H1226" s="184" t="s">
        <v>125</v>
      </c>
      <c r="I1226" s="184" t="s">
        <v>113</v>
      </c>
      <c r="J1226" s="185" t="s">
        <v>24</v>
      </c>
      <c r="K1226" s="185" t="s">
        <v>9914</v>
      </c>
      <c r="L1226" s="185" t="s">
        <v>276</v>
      </c>
      <c r="M1226" s="184" t="s">
        <v>15</v>
      </c>
      <c r="N1226" s="336" t="s">
        <v>9254</v>
      </c>
      <c r="O1226" s="337" t="s">
        <v>207</v>
      </c>
      <c r="P1226" s="302" t="s">
        <v>98</v>
      </c>
      <c r="Q1226" s="185" t="s">
        <v>782</v>
      </c>
      <c r="R1226" s="188" t="s">
        <v>276</v>
      </c>
      <c r="S1226" s="188" t="s">
        <v>276</v>
      </c>
      <c r="T1226" s="187" t="s">
        <v>9878</v>
      </c>
      <c r="U1226" s="189">
        <v>77080</v>
      </c>
      <c r="V1226" s="189">
        <v>55985</v>
      </c>
      <c r="W1226" s="184" t="s">
        <v>276</v>
      </c>
      <c r="X1226" s="184" t="s">
        <v>276</v>
      </c>
      <c r="Y1226" s="184" t="s">
        <v>276</v>
      </c>
      <c r="Z1226" s="185" t="s">
        <v>1562</v>
      </c>
      <c r="AA1226" s="184" t="s">
        <v>276</v>
      </c>
      <c r="AB1226" s="185" t="s">
        <v>1562</v>
      </c>
      <c r="AC1226" s="185" t="s">
        <v>9940</v>
      </c>
      <c r="AD1226" s="185" t="s">
        <v>9920</v>
      </c>
      <c r="AE1226" s="189">
        <v>274</v>
      </c>
      <c r="AF1226" s="189" t="s">
        <v>276</v>
      </c>
      <c r="AG1226" s="189" t="s">
        <v>276</v>
      </c>
      <c r="AH1226" s="189" t="s">
        <v>276</v>
      </c>
      <c r="AI1226" s="188" t="s">
        <v>1019</v>
      </c>
      <c r="AJ1226" s="192" t="s">
        <v>276</v>
      </c>
      <c r="AK1226" s="338" t="s">
        <v>98</v>
      </c>
      <c r="AL1226" s="192" t="s">
        <v>276</v>
      </c>
      <c r="AM1226" s="192" t="s">
        <v>276</v>
      </c>
      <c r="AN1226" s="192" t="s">
        <v>276</v>
      </c>
      <c r="AO1226" s="338" t="s">
        <v>98</v>
      </c>
      <c r="AP1226" s="192" t="s">
        <v>276</v>
      </c>
      <c r="AQ1226" s="192" t="s">
        <v>276</v>
      </c>
      <c r="AR1226" s="184" t="s">
        <v>269</v>
      </c>
      <c r="AS1226" s="192" t="s">
        <v>276</v>
      </c>
      <c r="AT1226" s="338" t="s">
        <v>98</v>
      </c>
      <c r="AU1226" s="190" t="s">
        <v>276</v>
      </c>
      <c r="AV1226" s="190" t="s">
        <v>276</v>
      </c>
      <c r="AW1226" s="184" t="s">
        <v>276</v>
      </c>
      <c r="AX1226" s="185" t="s">
        <v>9921</v>
      </c>
      <c r="AY1226" s="192">
        <v>0.73</v>
      </c>
      <c r="AZ1226" s="192">
        <v>0.59</v>
      </c>
      <c r="BA1226" s="192">
        <v>0.92</v>
      </c>
      <c r="BB1226" s="184" t="s">
        <v>276</v>
      </c>
      <c r="BC1226" s="185" t="s">
        <v>1029</v>
      </c>
      <c r="BD1226" s="185"/>
      <c r="BE1226" s="33" t="s">
        <v>100</v>
      </c>
      <c r="BF1226" s="33" t="s">
        <v>98</v>
      </c>
    </row>
    <row r="1227" spans="1:58" s="339" customFormat="1" ht="104" x14ac:dyDescent="0.3">
      <c r="A1227" s="184">
        <v>4083</v>
      </c>
      <c r="B1227" s="184" t="s">
        <v>9912</v>
      </c>
      <c r="C1227" s="185" t="s">
        <v>62</v>
      </c>
      <c r="D1227" s="185" t="s">
        <v>9941</v>
      </c>
      <c r="E1227" s="184" t="s">
        <v>35</v>
      </c>
      <c r="F1227" s="184" t="s">
        <v>97</v>
      </c>
      <c r="G1227" s="184" t="s">
        <v>225</v>
      </c>
      <c r="H1227" s="184" t="s">
        <v>125</v>
      </c>
      <c r="I1227" s="184" t="s">
        <v>113</v>
      </c>
      <c r="J1227" s="185" t="s">
        <v>24</v>
      </c>
      <c r="K1227" s="185" t="s">
        <v>9914</v>
      </c>
      <c r="L1227" s="185" t="s">
        <v>276</v>
      </c>
      <c r="M1227" s="184" t="s">
        <v>15</v>
      </c>
      <c r="N1227" s="336" t="s">
        <v>9254</v>
      </c>
      <c r="O1227" s="337" t="s">
        <v>207</v>
      </c>
      <c r="P1227" s="302" t="s">
        <v>98</v>
      </c>
      <c r="Q1227" s="185" t="s">
        <v>1080</v>
      </c>
      <c r="R1227" s="188" t="s">
        <v>276</v>
      </c>
      <c r="S1227" s="188" t="s">
        <v>276</v>
      </c>
      <c r="T1227" s="187" t="s">
        <v>9878</v>
      </c>
      <c r="U1227" s="189">
        <v>77080</v>
      </c>
      <c r="V1227" s="189">
        <v>55985</v>
      </c>
      <c r="W1227" s="184" t="s">
        <v>276</v>
      </c>
      <c r="X1227" s="184" t="s">
        <v>276</v>
      </c>
      <c r="Y1227" s="184" t="s">
        <v>276</v>
      </c>
      <c r="Z1227" s="185" t="s">
        <v>1562</v>
      </c>
      <c r="AA1227" s="184" t="s">
        <v>276</v>
      </c>
      <c r="AB1227" s="185" t="s">
        <v>1562</v>
      </c>
      <c r="AC1227" s="185" t="s">
        <v>9942</v>
      </c>
      <c r="AD1227" s="185" t="s">
        <v>9920</v>
      </c>
      <c r="AE1227" s="189">
        <v>311</v>
      </c>
      <c r="AF1227" s="189" t="s">
        <v>276</v>
      </c>
      <c r="AG1227" s="189" t="s">
        <v>276</v>
      </c>
      <c r="AH1227" s="189" t="s">
        <v>276</v>
      </c>
      <c r="AI1227" s="188" t="s">
        <v>1019</v>
      </c>
      <c r="AJ1227" s="192" t="s">
        <v>276</v>
      </c>
      <c r="AK1227" s="338" t="s">
        <v>98</v>
      </c>
      <c r="AL1227" s="192" t="s">
        <v>276</v>
      </c>
      <c r="AM1227" s="192" t="s">
        <v>276</v>
      </c>
      <c r="AN1227" s="192" t="s">
        <v>276</v>
      </c>
      <c r="AO1227" s="338" t="s">
        <v>98</v>
      </c>
      <c r="AP1227" s="192" t="s">
        <v>276</v>
      </c>
      <c r="AQ1227" s="192" t="s">
        <v>276</v>
      </c>
      <c r="AR1227" s="184" t="s">
        <v>269</v>
      </c>
      <c r="AS1227" s="192" t="s">
        <v>276</v>
      </c>
      <c r="AT1227" s="338" t="s">
        <v>98</v>
      </c>
      <c r="AU1227" s="190" t="s">
        <v>276</v>
      </c>
      <c r="AV1227" s="190" t="s">
        <v>276</v>
      </c>
      <c r="AW1227" s="184" t="s">
        <v>276</v>
      </c>
      <c r="AX1227" s="185" t="s">
        <v>9921</v>
      </c>
      <c r="AY1227" s="192">
        <v>0.73</v>
      </c>
      <c r="AZ1227" s="192">
        <v>0.6</v>
      </c>
      <c r="BA1227" s="192">
        <v>0.9</v>
      </c>
      <c r="BB1227" s="184" t="s">
        <v>276</v>
      </c>
      <c r="BC1227" s="185" t="s">
        <v>1029</v>
      </c>
      <c r="BD1227" s="185"/>
      <c r="BE1227" s="33" t="s">
        <v>100</v>
      </c>
      <c r="BF1227" s="33" t="s">
        <v>98</v>
      </c>
    </row>
    <row r="1228" spans="1:58" s="339" customFormat="1" ht="104" x14ac:dyDescent="0.3">
      <c r="A1228" s="184">
        <v>4083</v>
      </c>
      <c r="B1228" s="184" t="s">
        <v>9912</v>
      </c>
      <c r="C1228" s="185" t="s">
        <v>62</v>
      </c>
      <c r="D1228" s="185" t="s">
        <v>9943</v>
      </c>
      <c r="E1228" s="184" t="s">
        <v>35</v>
      </c>
      <c r="F1228" s="184" t="s">
        <v>97</v>
      </c>
      <c r="G1228" s="184" t="s">
        <v>225</v>
      </c>
      <c r="H1228" s="184" t="s">
        <v>125</v>
      </c>
      <c r="I1228" s="184" t="s">
        <v>113</v>
      </c>
      <c r="J1228" s="185" t="s">
        <v>24</v>
      </c>
      <c r="K1228" s="185" t="s">
        <v>9914</v>
      </c>
      <c r="L1228" s="185" t="s">
        <v>276</v>
      </c>
      <c r="M1228" s="184" t="s">
        <v>15</v>
      </c>
      <c r="N1228" s="336" t="s">
        <v>9254</v>
      </c>
      <c r="O1228" s="337" t="s">
        <v>207</v>
      </c>
      <c r="P1228" s="302" t="s">
        <v>98</v>
      </c>
      <c r="Q1228" s="185" t="s">
        <v>9930</v>
      </c>
      <c r="R1228" s="188" t="s">
        <v>276</v>
      </c>
      <c r="S1228" s="188" t="s">
        <v>276</v>
      </c>
      <c r="T1228" s="187" t="s">
        <v>9878</v>
      </c>
      <c r="U1228" s="189">
        <v>77080</v>
      </c>
      <c r="V1228" s="189">
        <v>55985</v>
      </c>
      <c r="W1228" s="184" t="s">
        <v>276</v>
      </c>
      <c r="X1228" s="184" t="s">
        <v>276</v>
      </c>
      <c r="Y1228" s="184" t="s">
        <v>276</v>
      </c>
      <c r="Z1228" s="185" t="s">
        <v>1562</v>
      </c>
      <c r="AA1228" s="184" t="s">
        <v>276</v>
      </c>
      <c r="AB1228" s="185" t="s">
        <v>1562</v>
      </c>
      <c r="AC1228" s="185" t="s">
        <v>9944</v>
      </c>
      <c r="AD1228" s="185" t="s">
        <v>9920</v>
      </c>
      <c r="AE1228" s="189">
        <v>335</v>
      </c>
      <c r="AF1228" s="189" t="s">
        <v>276</v>
      </c>
      <c r="AG1228" s="189" t="s">
        <v>276</v>
      </c>
      <c r="AH1228" s="189" t="s">
        <v>276</v>
      </c>
      <c r="AI1228" s="188" t="s">
        <v>1019</v>
      </c>
      <c r="AJ1228" s="192" t="s">
        <v>276</v>
      </c>
      <c r="AK1228" s="338" t="s">
        <v>98</v>
      </c>
      <c r="AL1228" s="192" t="s">
        <v>276</v>
      </c>
      <c r="AM1228" s="192" t="s">
        <v>276</v>
      </c>
      <c r="AN1228" s="192" t="s">
        <v>276</v>
      </c>
      <c r="AO1228" s="338" t="s">
        <v>98</v>
      </c>
      <c r="AP1228" s="192" t="s">
        <v>276</v>
      </c>
      <c r="AQ1228" s="192" t="s">
        <v>276</v>
      </c>
      <c r="AR1228" s="184" t="s">
        <v>269</v>
      </c>
      <c r="AS1228" s="192" t="s">
        <v>276</v>
      </c>
      <c r="AT1228" s="338" t="s">
        <v>98</v>
      </c>
      <c r="AU1228" s="190" t="s">
        <v>276</v>
      </c>
      <c r="AV1228" s="190" t="s">
        <v>276</v>
      </c>
      <c r="AW1228" s="184" t="s">
        <v>276</v>
      </c>
      <c r="AX1228" s="185" t="s">
        <v>9921</v>
      </c>
      <c r="AY1228" s="192">
        <v>0.73</v>
      </c>
      <c r="AZ1228" s="192">
        <v>0.6</v>
      </c>
      <c r="BA1228" s="192">
        <v>0.9</v>
      </c>
      <c r="BB1228" s="184" t="s">
        <v>276</v>
      </c>
      <c r="BC1228" s="185" t="s">
        <v>1029</v>
      </c>
      <c r="BD1228" s="185"/>
      <c r="BE1228" s="33" t="s">
        <v>100</v>
      </c>
      <c r="BF1228" s="33" t="s">
        <v>98</v>
      </c>
    </row>
    <row r="1229" spans="1:58" s="7" customFormat="1" ht="143" x14ac:dyDescent="0.3">
      <c r="A1229" s="8">
        <v>11141</v>
      </c>
      <c r="B1229" s="8" t="s">
        <v>10453</v>
      </c>
      <c r="C1229" s="9" t="s">
        <v>70</v>
      </c>
      <c r="D1229" s="9" t="s">
        <v>10454</v>
      </c>
      <c r="E1229" s="8" t="s">
        <v>35</v>
      </c>
      <c r="F1229" s="346" t="s">
        <v>11436</v>
      </c>
      <c r="G1229" s="8" t="s">
        <v>225</v>
      </c>
      <c r="H1229" s="9" t="s">
        <v>10455</v>
      </c>
      <c r="I1229" s="8" t="s">
        <v>114</v>
      </c>
      <c r="J1229" s="9" t="s">
        <v>24</v>
      </c>
      <c r="K1229" s="9" t="s">
        <v>10456</v>
      </c>
      <c r="L1229" s="9" t="s">
        <v>276</v>
      </c>
      <c r="M1229" s="8" t="s">
        <v>14</v>
      </c>
      <c r="N1229" s="11" t="s">
        <v>98</v>
      </c>
      <c r="O1229" s="12" t="s">
        <v>207</v>
      </c>
      <c r="P1229" s="41">
        <v>32873</v>
      </c>
      <c r="Q1229" s="9" t="s">
        <v>98</v>
      </c>
      <c r="R1229" s="9" t="s">
        <v>276</v>
      </c>
      <c r="S1229" s="9" t="s">
        <v>276</v>
      </c>
      <c r="T1229" s="9" t="s">
        <v>98</v>
      </c>
      <c r="U1229" s="34">
        <v>133375</v>
      </c>
      <c r="V1229" s="34">
        <v>133665</v>
      </c>
      <c r="W1229" s="8" t="s">
        <v>276</v>
      </c>
      <c r="X1229" s="8" t="s">
        <v>276</v>
      </c>
      <c r="Y1229" s="8">
        <v>0</v>
      </c>
      <c r="Z1229" s="9" t="s">
        <v>1562</v>
      </c>
      <c r="AA1229" s="8">
        <v>0</v>
      </c>
      <c r="AB1229" s="9" t="s">
        <v>1562</v>
      </c>
      <c r="AC1229" s="9" t="s">
        <v>10457</v>
      </c>
      <c r="AD1229" s="9" t="s">
        <v>2034</v>
      </c>
      <c r="AE1229" s="8">
        <v>0</v>
      </c>
      <c r="AF1229" s="8">
        <v>0</v>
      </c>
      <c r="AG1229" s="34">
        <v>133375</v>
      </c>
      <c r="AH1229" s="34">
        <v>133665</v>
      </c>
      <c r="AI1229" s="38" t="s">
        <v>281</v>
      </c>
      <c r="AJ1229" s="14" t="s">
        <v>276</v>
      </c>
      <c r="AK1229" s="31">
        <f t="shared" ref="AK1229:AK1234" si="176">AE1229*1000/AG1229</f>
        <v>0</v>
      </c>
      <c r="AL1229" s="14" t="s">
        <v>276</v>
      </c>
      <c r="AM1229" s="14" t="s">
        <v>276</v>
      </c>
      <c r="AN1229" s="14" t="s">
        <v>276</v>
      </c>
      <c r="AO1229" s="31">
        <f t="shared" ref="AO1229:AO1234" si="177">AF1229*1000/AH1229</f>
        <v>0</v>
      </c>
      <c r="AP1229" s="14" t="s">
        <v>276</v>
      </c>
      <c r="AQ1229" s="14" t="s">
        <v>276</v>
      </c>
      <c r="AR1229" s="8" t="s">
        <v>268</v>
      </c>
      <c r="AS1229" s="14" t="s">
        <v>98</v>
      </c>
      <c r="AT1229" s="14" t="s">
        <v>98</v>
      </c>
      <c r="AU1229" s="14" t="s">
        <v>98</v>
      </c>
      <c r="AV1229" s="14" t="s">
        <v>98</v>
      </c>
      <c r="AW1229" s="14" t="s">
        <v>98</v>
      </c>
      <c r="AX1229" s="8" t="s">
        <v>282</v>
      </c>
      <c r="AY1229" s="8" t="s">
        <v>98</v>
      </c>
      <c r="AZ1229" s="8" t="s">
        <v>98</v>
      </c>
      <c r="BA1229" s="8" t="s">
        <v>98</v>
      </c>
      <c r="BB1229" s="8" t="s">
        <v>98</v>
      </c>
      <c r="BC1229" s="9" t="s">
        <v>1020</v>
      </c>
      <c r="BD1229" s="9"/>
      <c r="BE1229" s="33" t="s">
        <v>100</v>
      </c>
      <c r="BF1229" s="33" t="s">
        <v>98</v>
      </c>
    </row>
    <row r="1230" spans="1:58" s="7" customFormat="1" ht="143" x14ac:dyDescent="0.3">
      <c r="A1230" s="8">
        <v>11141</v>
      </c>
      <c r="B1230" s="8" t="s">
        <v>10453</v>
      </c>
      <c r="C1230" s="9" t="s">
        <v>70</v>
      </c>
      <c r="D1230" s="9" t="s">
        <v>10458</v>
      </c>
      <c r="E1230" s="8" t="s">
        <v>35</v>
      </c>
      <c r="F1230" s="346" t="s">
        <v>11436</v>
      </c>
      <c r="G1230" s="8" t="s">
        <v>225</v>
      </c>
      <c r="H1230" s="9" t="s">
        <v>10455</v>
      </c>
      <c r="I1230" s="8" t="s">
        <v>114</v>
      </c>
      <c r="J1230" s="9" t="s">
        <v>24</v>
      </c>
      <c r="K1230" s="9" t="s">
        <v>10456</v>
      </c>
      <c r="L1230" s="9" t="s">
        <v>276</v>
      </c>
      <c r="M1230" s="8" t="s">
        <v>14</v>
      </c>
      <c r="N1230" s="11" t="s">
        <v>98</v>
      </c>
      <c r="O1230" s="12" t="s">
        <v>207</v>
      </c>
      <c r="P1230" s="41">
        <v>33238</v>
      </c>
      <c r="Q1230" s="9" t="s">
        <v>98</v>
      </c>
      <c r="R1230" s="9" t="s">
        <v>276</v>
      </c>
      <c r="S1230" s="9" t="s">
        <v>276</v>
      </c>
      <c r="T1230" s="9" t="s">
        <v>98</v>
      </c>
      <c r="U1230" s="34">
        <v>133375</v>
      </c>
      <c r="V1230" s="34">
        <v>133665</v>
      </c>
      <c r="W1230" s="8" t="s">
        <v>276</v>
      </c>
      <c r="X1230" s="8" t="s">
        <v>276</v>
      </c>
      <c r="Y1230" s="8">
        <v>0</v>
      </c>
      <c r="Z1230" s="9" t="s">
        <v>1562</v>
      </c>
      <c r="AA1230" s="8">
        <v>0</v>
      </c>
      <c r="AB1230" s="9" t="s">
        <v>1562</v>
      </c>
      <c r="AC1230" s="9" t="s">
        <v>10459</v>
      </c>
      <c r="AD1230" s="9" t="s">
        <v>2034</v>
      </c>
      <c r="AE1230" s="8">
        <v>1</v>
      </c>
      <c r="AF1230" s="8">
        <v>0</v>
      </c>
      <c r="AG1230" s="34">
        <v>133375</v>
      </c>
      <c r="AH1230" s="34">
        <v>133665</v>
      </c>
      <c r="AI1230" s="38" t="s">
        <v>281</v>
      </c>
      <c r="AJ1230" s="14" t="s">
        <v>276</v>
      </c>
      <c r="AK1230" s="31">
        <f t="shared" si="176"/>
        <v>7.4976569821930648E-3</v>
      </c>
      <c r="AL1230" s="14" t="s">
        <v>276</v>
      </c>
      <c r="AM1230" s="14" t="s">
        <v>276</v>
      </c>
      <c r="AN1230" s="14" t="s">
        <v>276</v>
      </c>
      <c r="AO1230" s="31">
        <f t="shared" si="177"/>
        <v>0</v>
      </c>
      <c r="AP1230" s="14" t="s">
        <v>276</v>
      </c>
      <c r="AQ1230" s="14" t="s">
        <v>276</v>
      </c>
      <c r="AR1230" s="8" t="s">
        <v>268</v>
      </c>
      <c r="AS1230" s="14" t="s">
        <v>98</v>
      </c>
      <c r="AT1230" s="14" t="s">
        <v>98</v>
      </c>
      <c r="AU1230" s="14" t="s">
        <v>98</v>
      </c>
      <c r="AV1230" s="14" t="s">
        <v>98</v>
      </c>
      <c r="AW1230" s="14" t="s">
        <v>98</v>
      </c>
      <c r="AX1230" s="8" t="s">
        <v>282</v>
      </c>
      <c r="AY1230" s="8" t="s">
        <v>98</v>
      </c>
      <c r="AZ1230" s="8" t="s">
        <v>98</v>
      </c>
      <c r="BA1230" s="8" t="s">
        <v>98</v>
      </c>
      <c r="BB1230" s="8" t="s">
        <v>98</v>
      </c>
      <c r="BC1230" s="9" t="s">
        <v>1020</v>
      </c>
      <c r="BD1230" s="9"/>
      <c r="BE1230" s="33" t="s">
        <v>100</v>
      </c>
      <c r="BF1230" s="33" t="s">
        <v>98</v>
      </c>
    </row>
    <row r="1231" spans="1:58" s="7" customFormat="1" ht="143" x14ac:dyDescent="0.3">
      <c r="A1231" s="8">
        <v>11141</v>
      </c>
      <c r="B1231" s="8" t="s">
        <v>10453</v>
      </c>
      <c r="C1231" s="9" t="s">
        <v>70</v>
      </c>
      <c r="D1231" s="9" t="s">
        <v>10460</v>
      </c>
      <c r="E1231" s="8" t="s">
        <v>35</v>
      </c>
      <c r="F1231" s="346" t="s">
        <v>11436</v>
      </c>
      <c r="G1231" s="8" t="s">
        <v>225</v>
      </c>
      <c r="H1231" s="9" t="s">
        <v>10455</v>
      </c>
      <c r="I1231" s="8" t="s">
        <v>114</v>
      </c>
      <c r="J1231" s="9" t="s">
        <v>24</v>
      </c>
      <c r="K1231" s="9" t="s">
        <v>10456</v>
      </c>
      <c r="L1231" s="9" t="s">
        <v>276</v>
      </c>
      <c r="M1231" s="8" t="s">
        <v>14</v>
      </c>
      <c r="N1231" s="11" t="s">
        <v>98</v>
      </c>
      <c r="O1231" s="12" t="s">
        <v>207</v>
      </c>
      <c r="P1231" s="41">
        <v>33603</v>
      </c>
      <c r="Q1231" s="9" t="s">
        <v>98</v>
      </c>
      <c r="R1231" s="9" t="s">
        <v>276</v>
      </c>
      <c r="S1231" s="9" t="s">
        <v>276</v>
      </c>
      <c r="T1231" s="9" t="s">
        <v>98</v>
      </c>
      <c r="U1231" s="34">
        <v>133375</v>
      </c>
      <c r="V1231" s="34">
        <v>133665</v>
      </c>
      <c r="W1231" s="8" t="s">
        <v>276</v>
      </c>
      <c r="X1231" s="8" t="s">
        <v>276</v>
      </c>
      <c r="Y1231" s="8">
        <v>0</v>
      </c>
      <c r="Z1231" s="9" t="s">
        <v>1562</v>
      </c>
      <c r="AA1231" s="8">
        <v>0</v>
      </c>
      <c r="AB1231" s="9" t="s">
        <v>1562</v>
      </c>
      <c r="AC1231" s="9" t="s">
        <v>10461</v>
      </c>
      <c r="AD1231" s="9" t="s">
        <v>2034</v>
      </c>
      <c r="AE1231" s="8">
        <f>1+2</f>
        <v>3</v>
      </c>
      <c r="AF1231" s="8">
        <v>2</v>
      </c>
      <c r="AG1231" s="34">
        <v>133375</v>
      </c>
      <c r="AH1231" s="34">
        <v>133665</v>
      </c>
      <c r="AI1231" s="38" t="s">
        <v>281</v>
      </c>
      <c r="AJ1231" s="14" t="s">
        <v>276</v>
      </c>
      <c r="AK1231" s="31">
        <f t="shared" si="176"/>
        <v>2.2492970946579195E-2</v>
      </c>
      <c r="AL1231" s="14" t="s">
        <v>276</v>
      </c>
      <c r="AM1231" s="14" t="s">
        <v>276</v>
      </c>
      <c r="AN1231" s="14" t="s">
        <v>276</v>
      </c>
      <c r="AO1231" s="31">
        <f t="shared" si="177"/>
        <v>1.4962780084539707E-2</v>
      </c>
      <c r="AP1231" s="14" t="s">
        <v>276</v>
      </c>
      <c r="AQ1231" s="14" t="s">
        <v>276</v>
      </c>
      <c r="AR1231" s="8" t="s">
        <v>268</v>
      </c>
      <c r="AS1231" s="14" t="s">
        <v>276</v>
      </c>
      <c r="AT1231" s="14">
        <f t="shared" ref="AT1231:AT1234" si="178">AK1231/AO1231</f>
        <v>1.503261480787254</v>
      </c>
      <c r="AU1231" s="14" t="s">
        <v>276</v>
      </c>
      <c r="AV1231" s="14" t="s">
        <v>276</v>
      </c>
      <c r="AW1231" s="8" t="s">
        <v>276</v>
      </c>
      <c r="AX1231" s="8" t="s">
        <v>282</v>
      </c>
      <c r="AY1231" s="8" t="s">
        <v>98</v>
      </c>
      <c r="AZ1231" s="8" t="s">
        <v>98</v>
      </c>
      <c r="BA1231" s="8" t="s">
        <v>98</v>
      </c>
      <c r="BB1231" s="8" t="s">
        <v>98</v>
      </c>
      <c r="BC1231" s="9" t="s">
        <v>1020</v>
      </c>
      <c r="BD1231" s="9"/>
      <c r="BE1231" s="33" t="s">
        <v>100</v>
      </c>
      <c r="BF1231" s="33" t="s">
        <v>98</v>
      </c>
    </row>
    <row r="1232" spans="1:58" s="7" customFormat="1" ht="143" x14ac:dyDescent="0.3">
      <c r="A1232" s="8">
        <v>11141</v>
      </c>
      <c r="B1232" s="8" t="s">
        <v>10453</v>
      </c>
      <c r="C1232" s="9" t="s">
        <v>70</v>
      </c>
      <c r="D1232" s="9" t="s">
        <v>10462</v>
      </c>
      <c r="E1232" s="8" t="s">
        <v>35</v>
      </c>
      <c r="F1232" s="346" t="s">
        <v>11436</v>
      </c>
      <c r="G1232" s="8" t="s">
        <v>225</v>
      </c>
      <c r="H1232" s="9" t="s">
        <v>10455</v>
      </c>
      <c r="I1232" s="8" t="s">
        <v>114</v>
      </c>
      <c r="J1232" s="9" t="s">
        <v>24</v>
      </c>
      <c r="K1232" s="9" t="s">
        <v>10456</v>
      </c>
      <c r="L1232" s="9" t="s">
        <v>276</v>
      </c>
      <c r="M1232" s="8" t="s">
        <v>14</v>
      </c>
      <c r="N1232" s="11" t="s">
        <v>98</v>
      </c>
      <c r="O1232" s="12" t="s">
        <v>207</v>
      </c>
      <c r="P1232" s="41">
        <v>33969</v>
      </c>
      <c r="Q1232" s="9" t="s">
        <v>98</v>
      </c>
      <c r="R1232" s="9" t="s">
        <v>276</v>
      </c>
      <c r="S1232" s="9" t="s">
        <v>276</v>
      </c>
      <c r="T1232" s="9" t="s">
        <v>98</v>
      </c>
      <c r="U1232" s="34">
        <v>133375</v>
      </c>
      <c r="V1232" s="34">
        <v>133665</v>
      </c>
      <c r="W1232" s="8" t="s">
        <v>276</v>
      </c>
      <c r="X1232" s="8" t="s">
        <v>276</v>
      </c>
      <c r="Y1232" s="8">
        <v>0</v>
      </c>
      <c r="Z1232" s="9" t="s">
        <v>1562</v>
      </c>
      <c r="AA1232" s="8">
        <v>0</v>
      </c>
      <c r="AB1232" s="9" t="s">
        <v>1562</v>
      </c>
      <c r="AC1232" s="9" t="s">
        <v>10463</v>
      </c>
      <c r="AD1232" s="9" t="s">
        <v>2034</v>
      </c>
      <c r="AE1232" s="8">
        <f>1+2+6</f>
        <v>9</v>
      </c>
      <c r="AF1232" s="8">
        <f>2+4</f>
        <v>6</v>
      </c>
      <c r="AG1232" s="34">
        <v>133375</v>
      </c>
      <c r="AH1232" s="34">
        <v>133665</v>
      </c>
      <c r="AI1232" s="38" t="s">
        <v>281</v>
      </c>
      <c r="AJ1232" s="14" t="s">
        <v>276</v>
      </c>
      <c r="AK1232" s="31">
        <f t="shared" si="176"/>
        <v>6.7478912839737587E-2</v>
      </c>
      <c r="AL1232" s="14" t="s">
        <v>276</v>
      </c>
      <c r="AM1232" s="14" t="s">
        <v>276</v>
      </c>
      <c r="AN1232" s="14" t="s">
        <v>276</v>
      </c>
      <c r="AO1232" s="31">
        <f t="shared" si="177"/>
        <v>4.4888340253619124E-2</v>
      </c>
      <c r="AP1232" s="14" t="s">
        <v>276</v>
      </c>
      <c r="AQ1232" s="14" t="s">
        <v>276</v>
      </c>
      <c r="AR1232" s="8" t="s">
        <v>268</v>
      </c>
      <c r="AS1232" s="14" t="s">
        <v>276</v>
      </c>
      <c r="AT1232" s="14">
        <f t="shared" si="178"/>
        <v>1.503261480787254</v>
      </c>
      <c r="AU1232" s="14" t="s">
        <v>276</v>
      </c>
      <c r="AV1232" s="14" t="s">
        <v>276</v>
      </c>
      <c r="AW1232" s="8" t="s">
        <v>276</v>
      </c>
      <c r="AX1232" s="8" t="s">
        <v>282</v>
      </c>
      <c r="AY1232" s="8" t="s">
        <v>98</v>
      </c>
      <c r="AZ1232" s="8" t="s">
        <v>98</v>
      </c>
      <c r="BA1232" s="8" t="s">
        <v>98</v>
      </c>
      <c r="BB1232" s="8" t="s">
        <v>98</v>
      </c>
      <c r="BC1232" s="9" t="s">
        <v>1020</v>
      </c>
      <c r="BD1232" s="9"/>
      <c r="BE1232" s="33" t="s">
        <v>100</v>
      </c>
      <c r="BF1232" s="33" t="s">
        <v>98</v>
      </c>
    </row>
    <row r="1233" spans="1:58" s="7" customFormat="1" ht="143" x14ac:dyDescent="0.3">
      <c r="A1233" s="8">
        <v>11141</v>
      </c>
      <c r="B1233" s="8" t="s">
        <v>10453</v>
      </c>
      <c r="C1233" s="9" t="s">
        <v>70</v>
      </c>
      <c r="D1233" s="9" t="s">
        <v>10464</v>
      </c>
      <c r="E1233" s="8" t="s">
        <v>35</v>
      </c>
      <c r="F1233" s="346" t="s">
        <v>11436</v>
      </c>
      <c r="G1233" s="8" t="s">
        <v>225</v>
      </c>
      <c r="H1233" s="9" t="s">
        <v>10455</v>
      </c>
      <c r="I1233" s="8" t="s">
        <v>114</v>
      </c>
      <c r="J1233" s="9" t="s">
        <v>24</v>
      </c>
      <c r="K1233" s="9" t="s">
        <v>10456</v>
      </c>
      <c r="L1233" s="9" t="s">
        <v>276</v>
      </c>
      <c r="M1233" s="8" t="s">
        <v>14</v>
      </c>
      <c r="N1233" s="11" t="s">
        <v>98</v>
      </c>
      <c r="O1233" s="12" t="s">
        <v>207</v>
      </c>
      <c r="P1233" s="41">
        <v>34334</v>
      </c>
      <c r="Q1233" s="9" t="s">
        <v>98</v>
      </c>
      <c r="R1233" s="9" t="s">
        <v>276</v>
      </c>
      <c r="S1233" s="9" t="s">
        <v>276</v>
      </c>
      <c r="T1233" s="9" t="s">
        <v>98</v>
      </c>
      <c r="U1233" s="34">
        <v>133375</v>
      </c>
      <c r="V1233" s="34">
        <v>133665</v>
      </c>
      <c r="W1233" s="8" t="s">
        <v>276</v>
      </c>
      <c r="X1233" s="8" t="s">
        <v>276</v>
      </c>
      <c r="Y1233" s="8">
        <v>0</v>
      </c>
      <c r="Z1233" s="9" t="s">
        <v>1562</v>
      </c>
      <c r="AA1233" s="8">
        <v>0</v>
      </c>
      <c r="AB1233" s="9" t="s">
        <v>1562</v>
      </c>
      <c r="AC1233" s="9" t="s">
        <v>10465</v>
      </c>
      <c r="AD1233" s="9" t="s">
        <v>2034</v>
      </c>
      <c r="AE1233" s="8">
        <f>1+2+6+6</f>
        <v>15</v>
      </c>
      <c r="AF1233" s="8">
        <f>2+4+10</f>
        <v>16</v>
      </c>
      <c r="AG1233" s="34">
        <v>133375</v>
      </c>
      <c r="AH1233" s="34">
        <v>133665</v>
      </c>
      <c r="AI1233" s="38" t="s">
        <v>281</v>
      </c>
      <c r="AJ1233" s="14" t="s">
        <v>276</v>
      </c>
      <c r="AK1233" s="31">
        <f t="shared" si="176"/>
        <v>0.11246485473289597</v>
      </c>
      <c r="AL1233" s="14" t="s">
        <v>276</v>
      </c>
      <c r="AM1233" s="14" t="s">
        <v>276</v>
      </c>
      <c r="AN1233" s="14" t="s">
        <v>276</v>
      </c>
      <c r="AO1233" s="31">
        <f t="shared" si="177"/>
        <v>0.11970224067631766</v>
      </c>
      <c r="AP1233" s="14" t="s">
        <v>276</v>
      </c>
      <c r="AQ1233" s="14" t="s">
        <v>276</v>
      </c>
      <c r="AR1233" s="8" t="s">
        <v>268</v>
      </c>
      <c r="AS1233" s="14" t="s">
        <v>276</v>
      </c>
      <c r="AT1233" s="14">
        <f t="shared" si="178"/>
        <v>0.93953842549203381</v>
      </c>
      <c r="AU1233" s="14" t="s">
        <v>276</v>
      </c>
      <c r="AV1233" s="14" t="s">
        <v>276</v>
      </c>
      <c r="AW1233" s="8" t="s">
        <v>276</v>
      </c>
      <c r="AX1233" s="8" t="s">
        <v>282</v>
      </c>
      <c r="AY1233" s="8" t="s">
        <v>98</v>
      </c>
      <c r="AZ1233" s="8" t="s">
        <v>98</v>
      </c>
      <c r="BA1233" s="8" t="s">
        <v>98</v>
      </c>
      <c r="BB1233" s="8" t="s">
        <v>98</v>
      </c>
      <c r="BC1233" s="9" t="s">
        <v>1020</v>
      </c>
      <c r="BD1233" s="9"/>
      <c r="BE1233" s="33" t="s">
        <v>100</v>
      </c>
      <c r="BF1233" s="33" t="s">
        <v>98</v>
      </c>
    </row>
    <row r="1234" spans="1:58" s="7" customFormat="1" ht="143" x14ac:dyDescent="0.3">
      <c r="A1234" s="8">
        <v>11141</v>
      </c>
      <c r="B1234" s="8" t="s">
        <v>10453</v>
      </c>
      <c r="C1234" s="9" t="s">
        <v>70</v>
      </c>
      <c r="D1234" s="9" t="s">
        <v>10466</v>
      </c>
      <c r="E1234" s="8" t="s">
        <v>35</v>
      </c>
      <c r="F1234" s="346" t="s">
        <v>11436</v>
      </c>
      <c r="G1234" s="8" t="s">
        <v>225</v>
      </c>
      <c r="H1234" s="9" t="s">
        <v>10455</v>
      </c>
      <c r="I1234" s="8" t="s">
        <v>114</v>
      </c>
      <c r="J1234" s="9" t="s">
        <v>24</v>
      </c>
      <c r="K1234" s="9" t="s">
        <v>10456</v>
      </c>
      <c r="L1234" s="9" t="s">
        <v>276</v>
      </c>
      <c r="M1234" s="8" t="s">
        <v>14</v>
      </c>
      <c r="N1234" s="11" t="s">
        <v>98</v>
      </c>
      <c r="O1234" s="12" t="s">
        <v>207</v>
      </c>
      <c r="P1234" s="41">
        <v>34699</v>
      </c>
      <c r="Q1234" s="9" t="s">
        <v>98</v>
      </c>
      <c r="R1234" s="9" t="s">
        <v>10467</v>
      </c>
      <c r="S1234" s="9" t="s">
        <v>10468</v>
      </c>
      <c r="T1234" s="9" t="s">
        <v>98</v>
      </c>
      <c r="U1234" s="34">
        <v>133375</v>
      </c>
      <c r="V1234" s="34">
        <v>133665</v>
      </c>
      <c r="W1234" s="8" t="s">
        <v>276</v>
      </c>
      <c r="X1234" s="8" t="s">
        <v>276</v>
      </c>
      <c r="Y1234" s="8">
        <v>0</v>
      </c>
      <c r="Z1234" s="9" t="s">
        <v>1562</v>
      </c>
      <c r="AA1234" s="8">
        <v>0</v>
      </c>
      <c r="AB1234" s="9" t="s">
        <v>1562</v>
      </c>
      <c r="AC1234" s="9" t="s">
        <v>10469</v>
      </c>
      <c r="AD1234" s="9" t="s">
        <v>2034</v>
      </c>
      <c r="AE1234" s="8">
        <f>1+2+6+6+10</f>
        <v>25</v>
      </c>
      <c r="AF1234" s="8">
        <f>2+4+10+9</f>
        <v>25</v>
      </c>
      <c r="AG1234" s="34">
        <v>133375</v>
      </c>
      <c r="AH1234" s="34">
        <v>133665</v>
      </c>
      <c r="AI1234" s="38" t="s">
        <v>281</v>
      </c>
      <c r="AJ1234" s="14" t="s">
        <v>276</v>
      </c>
      <c r="AK1234" s="31">
        <f t="shared" si="176"/>
        <v>0.18744142455482662</v>
      </c>
      <c r="AL1234" s="14" t="s">
        <v>276</v>
      </c>
      <c r="AM1234" s="14" t="s">
        <v>276</v>
      </c>
      <c r="AN1234" s="14" t="s">
        <v>276</v>
      </c>
      <c r="AO1234" s="31">
        <f t="shared" si="177"/>
        <v>0.18703475105674636</v>
      </c>
      <c r="AP1234" s="14" t="s">
        <v>276</v>
      </c>
      <c r="AQ1234" s="14" t="s">
        <v>276</v>
      </c>
      <c r="AR1234" s="8" t="s">
        <v>268</v>
      </c>
      <c r="AS1234" s="14" t="s">
        <v>276</v>
      </c>
      <c r="AT1234" s="14">
        <f t="shared" si="178"/>
        <v>1.0021743205248359</v>
      </c>
      <c r="AU1234" s="14" t="s">
        <v>276</v>
      </c>
      <c r="AV1234" s="14" t="s">
        <v>276</v>
      </c>
      <c r="AW1234" s="8" t="s">
        <v>276</v>
      </c>
      <c r="AX1234" s="8" t="s">
        <v>282</v>
      </c>
      <c r="AY1234" s="8" t="s">
        <v>98</v>
      </c>
      <c r="AZ1234" s="8" t="s">
        <v>98</v>
      </c>
      <c r="BA1234" s="8" t="s">
        <v>98</v>
      </c>
      <c r="BB1234" s="8" t="s">
        <v>98</v>
      </c>
      <c r="BC1234" s="9" t="s">
        <v>1020</v>
      </c>
      <c r="BD1234" s="9"/>
      <c r="BE1234" s="33" t="s">
        <v>100</v>
      </c>
      <c r="BF1234" s="33" t="s">
        <v>98</v>
      </c>
    </row>
    <row r="1235" spans="1:58" s="87" customFormat="1" ht="143" x14ac:dyDescent="0.3">
      <c r="A1235" s="72">
        <v>11141</v>
      </c>
      <c r="B1235" s="72" t="s">
        <v>10453</v>
      </c>
      <c r="C1235" s="73" t="s">
        <v>70</v>
      </c>
      <c r="D1235" s="73" t="s">
        <v>10470</v>
      </c>
      <c r="E1235" s="72" t="s">
        <v>35</v>
      </c>
      <c r="F1235" s="346" t="s">
        <v>11436</v>
      </c>
      <c r="G1235" s="72" t="s">
        <v>225</v>
      </c>
      <c r="H1235" s="73" t="s">
        <v>10455</v>
      </c>
      <c r="I1235" s="72" t="s">
        <v>114</v>
      </c>
      <c r="J1235" s="73" t="s">
        <v>24</v>
      </c>
      <c r="K1235" s="73" t="s">
        <v>10456</v>
      </c>
      <c r="L1235" s="73" t="s">
        <v>276</v>
      </c>
      <c r="M1235" s="72" t="s">
        <v>14</v>
      </c>
      <c r="N1235" s="84" t="s">
        <v>98</v>
      </c>
      <c r="O1235" s="85" t="s">
        <v>207</v>
      </c>
      <c r="P1235" s="88" t="s">
        <v>98</v>
      </c>
      <c r="Q1235" s="73" t="s">
        <v>705</v>
      </c>
      <c r="R1235" s="73" t="s">
        <v>10471</v>
      </c>
      <c r="S1235" s="73" t="s">
        <v>10472</v>
      </c>
      <c r="T1235" s="73" t="s">
        <v>98</v>
      </c>
      <c r="U1235" s="267">
        <v>133375</v>
      </c>
      <c r="V1235" s="267">
        <v>133665</v>
      </c>
      <c r="W1235" s="72" t="s">
        <v>276</v>
      </c>
      <c r="X1235" s="72" t="s">
        <v>276</v>
      </c>
      <c r="Y1235" s="72">
        <v>0</v>
      </c>
      <c r="Z1235" s="73" t="s">
        <v>1562</v>
      </c>
      <c r="AA1235" s="72">
        <v>0</v>
      </c>
      <c r="AB1235" s="73" t="s">
        <v>1562</v>
      </c>
      <c r="AC1235" s="73" t="s">
        <v>10473</v>
      </c>
      <c r="AD1235" s="73" t="s">
        <v>1674</v>
      </c>
      <c r="AE1235" s="72">
        <v>2</v>
      </c>
      <c r="AF1235" s="72">
        <v>0</v>
      </c>
      <c r="AG1235" s="75">
        <v>133181</v>
      </c>
      <c r="AH1235" s="75">
        <v>133462</v>
      </c>
      <c r="AI1235" s="75" t="s">
        <v>1019</v>
      </c>
      <c r="AJ1235" s="93">
        <v>1.5</v>
      </c>
      <c r="AK1235" s="86">
        <f>AE1235*100000/AG1235</f>
        <v>1.5017157101989023</v>
      </c>
      <c r="AL1235" s="76" t="s">
        <v>276</v>
      </c>
      <c r="AM1235" s="76" t="s">
        <v>276</v>
      </c>
      <c r="AN1235" s="93">
        <v>0</v>
      </c>
      <c r="AO1235" s="86">
        <f>AF1235*100000/AH1235</f>
        <v>0</v>
      </c>
      <c r="AP1235" s="76" t="s">
        <v>276</v>
      </c>
      <c r="AQ1235" s="76" t="s">
        <v>276</v>
      </c>
      <c r="AR1235" s="72" t="s">
        <v>269</v>
      </c>
      <c r="AS1235" s="76" t="s">
        <v>98</v>
      </c>
      <c r="AT1235" s="76" t="s">
        <v>98</v>
      </c>
      <c r="AU1235" s="76" t="s">
        <v>98</v>
      </c>
      <c r="AV1235" s="76" t="s">
        <v>98</v>
      </c>
      <c r="AW1235" s="72" t="s">
        <v>98</v>
      </c>
      <c r="AX1235" s="72" t="s">
        <v>282</v>
      </c>
      <c r="AY1235" s="72" t="s">
        <v>98</v>
      </c>
      <c r="AZ1235" s="72" t="s">
        <v>98</v>
      </c>
      <c r="BA1235" s="72" t="s">
        <v>98</v>
      </c>
      <c r="BB1235" s="72" t="s">
        <v>98</v>
      </c>
      <c r="BC1235" s="73" t="s">
        <v>10474</v>
      </c>
      <c r="BD1235" s="73"/>
      <c r="BE1235" s="33" t="s">
        <v>100</v>
      </c>
      <c r="BF1235" s="33" t="s">
        <v>98</v>
      </c>
    </row>
    <row r="1236" spans="1:58" s="87" customFormat="1" ht="143" x14ac:dyDescent="0.3">
      <c r="A1236" s="72">
        <v>11141</v>
      </c>
      <c r="B1236" s="72" t="s">
        <v>10453</v>
      </c>
      <c r="C1236" s="73" t="s">
        <v>70</v>
      </c>
      <c r="D1236" s="73" t="s">
        <v>10475</v>
      </c>
      <c r="E1236" s="72" t="s">
        <v>35</v>
      </c>
      <c r="F1236" s="346" t="s">
        <v>11436</v>
      </c>
      <c r="G1236" s="72" t="s">
        <v>225</v>
      </c>
      <c r="H1236" s="73" t="s">
        <v>10455</v>
      </c>
      <c r="I1236" s="72" t="s">
        <v>114</v>
      </c>
      <c r="J1236" s="73" t="s">
        <v>24</v>
      </c>
      <c r="K1236" s="73" t="s">
        <v>10456</v>
      </c>
      <c r="L1236" s="73" t="s">
        <v>276</v>
      </c>
      <c r="M1236" s="72" t="s">
        <v>14</v>
      </c>
      <c r="N1236" s="84" t="s">
        <v>98</v>
      </c>
      <c r="O1236" s="85" t="s">
        <v>207</v>
      </c>
      <c r="P1236" s="88" t="s">
        <v>98</v>
      </c>
      <c r="Q1236" s="73" t="s">
        <v>710</v>
      </c>
      <c r="R1236" s="73" t="s">
        <v>10476</v>
      </c>
      <c r="S1236" s="73" t="s">
        <v>10477</v>
      </c>
      <c r="T1236" s="73" t="s">
        <v>98</v>
      </c>
      <c r="U1236" s="267">
        <v>133375</v>
      </c>
      <c r="V1236" s="267">
        <v>133665</v>
      </c>
      <c r="W1236" s="72" t="s">
        <v>276</v>
      </c>
      <c r="X1236" s="72" t="s">
        <v>276</v>
      </c>
      <c r="Y1236" s="72">
        <v>0</v>
      </c>
      <c r="Z1236" s="73" t="s">
        <v>1562</v>
      </c>
      <c r="AA1236" s="72">
        <v>0</v>
      </c>
      <c r="AB1236" s="73" t="s">
        <v>1562</v>
      </c>
      <c r="AC1236" s="73" t="s">
        <v>10478</v>
      </c>
      <c r="AD1236" s="73" t="s">
        <v>1674</v>
      </c>
      <c r="AE1236" s="72">
        <f>2+4</f>
        <v>6</v>
      </c>
      <c r="AF1236" s="72">
        <f>0+4</f>
        <v>4</v>
      </c>
      <c r="AG1236" s="75">
        <f>133181+132750</f>
        <v>265931</v>
      </c>
      <c r="AH1236" s="75">
        <f>133462+133047</f>
        <v>266509</v>
      </c>
      <c r="AI1236" s="75" t="s">
        <v>1019</v>
      </c>
      <c r="AJ1236" s="76" t="s">
        <v>276</v>
      </c>
      <c r="AK1236" s="86">
        <f>AE1236*100000/AG1236</f>
        <v>2.256224358950254</v>
      </c>
      <c r="AL1236" s="76" t="s">
        <v>276</v>
      </c>
      <c r="AM1236" s="76" t="s">
        <v>276</v>
      </c>
      <c r="AN1236" s="76" t="s">
        <v>276</v>
      </c>
      <c r="AO1236" s="86">
        <f>AF1236*100000/AH1236</f>
        <v>1.5008873996750578</v>
      </c>
      <c r="AP1236" s="76" t="s">
        <v>276</v>
      </c>
      <c r="AQ1236" s="76" t="s">
        <v>276</v>
      </c>
      <c r="AR1236" s="72" t="s">
        <v>269</v>
      </c>
      <c r="AS1236" s="76" t="s">
        <v>98</v>
      </c>
      <c r="AT1236" s="76">
        <f>AK1236/AO1236</f>
        <v>1.5032602441986831</v>
      </c>
      <c r="AU1236" s="76" t="s">
        <v>98</v>
      </c>
      <c r="AV1236" s="76" t="s">
        <v>98</v>
      </c>
      <c r="AW1236" s="72" t="s">
        <v>691</v>
      </c>
      <c r="AX1236" s="72" t="s">
        <v>282</v>
      </c>
      <c r="AY1236" s="72" t="s">
        <v>98</v>
      </c>
      <c r="AZ1236" s="72" t="s">
        <v>98</v>
      </c>
      <c r="BA1236" s="72" t="s">
        <v>98</v>
      </c>
      <c r="BB1236" s="72" t="s">
        <v>98</v>
      </c>
      <c r="BC1236" s="73" t="s">
        <v>10474</v>
      </c>
      <c r="BD1236" s="73"/>
      <c r="BE1236" s="33" t="s">
        <v>100</v>
      </c>
      <c r="BF1236" s="33" t="s">
        <v>98</v>
      </c>
    </row>
    <row r="1237" spans="1:58" s="87" customFormat="1" ht="143" x14ac:dyDescent="0.3">
      <c r="A1237" s="72">
        <v>11141</v>
      </c>
      <c r="B1237" s="72" t="s">
        <v>10453</v>
      </c>
      <c r="C1237" s="73" t="s">
        <v>70</v>
      </c>
      <c r="D1237" s="73" t="s">
        <v>10479</v>
      </c>
      <c r="E1237" s="72" t="s">
        <v>35</v>
      </c>
      <c r="F1237" s="346" t="s">
        <v>11436</v>
      </c>
      <c r="G1237" s="72" t="s">
        <v>225</v>
      </c>
      <c r="H1237" s="73" t="s">
        <v>10455</v>
      </c>
      <c r="I1237" s="72" t="s">
        <v>114</v>
      </c>
      <c r="J1237" s="73" t="s">
        <v>24</v>
      </c>
      <c r="K1237" s="73" t="s">
        <v>10456</v>
      </c>
      <c r="L1237" s="73" t="s">
        <v>276</v>
      </c>
      <c r="M1237" s="72" t="s">
        <v>14</v>
      </c>
      <c r="N1237" s="84" t="s">
        <v>98</v>
      </c>
      <c r="O1237" s="85" t="s">
        <v>207</v>
      </c>
      <c r="P1237" s="88" t="s">
        <v>98</v>
      </c>
      <c r="Q1237" s="73" t="s">
        <v>686</v>
      </c>
      <c r="R1237" s="73" t="s">
        <v>10480</v>
      </c>
      <c r="S1237" s="73" t="s">
        <v>10481</v>
      </c>
      <c r="T1237" s="73" t="s">
        <v>98</v>
      </c>
      <c r="U1237" s="267">
        <v>133375</v>
      </c>
      <c r="V1237" s="267">
        <v>133665</v>
      </c>
      <c r="W1237" s="72" t="s">
        <v>276</v>
      </c>
      <c r="X1237" s="72" t="s">
        <v>276</v>
      </c>
      <c r="Y1237" s="72">
        <v>0</v>
      </c>
      <c r="Z1237" s="73" t="s">
        <v>1562</v>
      </c>
      <c r="AA1237" s="72">
        <v>0</v>
      </c>
      <c r="AB1237" s="73" t="s">
        <v>1562</v>
      </c>
      <c r="AC1237" s="73" t="s">
        <v>10482</v>
      </c>
      <c r="AD1237" s="73" t="s">
        <v>1674</v>
      </c>
      <c r="AE1237" s="72">
        <f>2+4+7</f>
        <v>13</v>
      </c>
      <c r="AF1237" s="72">
        <f>0+4+10</f>
        <v>14</v>
      </c>
      <c r="AG1237" s="75">
        <f>133181+132750+132170</f>
        <v>398101</v>
      </c>
      <c r="AH1237" s="75">
        <f>133462+133047+132484</f>
        <v>398993</v>
      </c>
      <c r="AI1237" s="75" t="s">
        <v>1019</v>
      </c>
      <c r="AJ1237" s="76" t="s">
        <v>276</v>
      </c>
      <c r="AK1237" s="86">
        <f>AE1237*100000/AG1237</f>
        <v>3.2655029753755955</v>
      </c>
      <c r="AL1237" s="76" t="s">
        <v>276</v>
      </c>
      <c r="AM1237" s="76" t="s">
        <v>276</v>
      </c>
      <c r="AN1237" s="76" t="s">
        <v>276</v>
      </c>
      <c r="AO1237" s="86">
        <f>AF1237*100000/AH1237</f>
        <v>3.5088334883068124</v>
      </c>
      <c r="AP1237" s="76" t="s">
        <v>276</v>
      </c>
      <c r="AQ1237" s="76" t="s">
        <v>276</v>
      </c>
      <c r="AR1237" s="72" t="s">
        <v>269</v>
      </c>
      <c r="AS1237" s="76" t="s">
        <v>98</v>
      </c>
      <c r="AT1237" s="76">
        <f>AK1237/AO1237</f>
        <v>0.93065202046716788</v>
      </c>
      <c r="AU1237" s="76" t="s">
        <v>98</v>
      </c>
      <c r="AV1237" s="76" t="s">
        <v>98</v>
      </c>
      <c r="AW1237" s="72" t="s">
        <v>691</v>
      </c>
      <c r="AX1237" s="72" t="s">
        <v>282</v>
      </c>
      <c r="AY1237" s="72" t="s">
        <v>98</v>
      </c>
      <c r="AZ1237" s="72" t="s">
        <v>98</v>
      </c>
      <c r="BA1237" s="72" t="s">
        <v>98</v>
      </c>
      <c r="BB1237" s="72" t="s">
        <v>98</v>
      </c>
      <c r="BC1237" s="73" t="s">
        <v>10474</v>
      </c>
      <c r="BD1237" s="73"/>
      <c r="BE1237" s="33" t="s">
        <v>100</v>
      </c>
      <c r="BF1237" s="33" t="s">
        <v>98</v>
      </c>
    </row>
    <row r="1238" spans="1:58" s="87" customFormat="1" ht="143" x14ac:dyDescent="0.3">
      <c r="A1238" s="72">
        <v>11141</v>
      </c>
      <c r="B1238" s="72" t="s">
        <v>10453</v>
      </c>
      <c r="C1238" s="73" t="s">
        <v>70</v>
      </c>
      <c r="D1238" s="73" t="s">
        <v>10483</v>
      </c>
      <c r="E1238" s="72" t="s">
        <v>35</v>
      </c>
      <c r="F1238" s="346" t="s">
        <v>11436</v>
      </c>
      <c r="G1238" s="72" t="s">
        <v>225</v>
      </c>
      <c r="H1238" s="73" t="s">
        <v>10455</v>
      </c>
      <c r="I1238" s="72" t="s">
        <v>114</v>
      </c>
      <c r="J1238" s="73" t="s">
        <v>24</v>
      </c>
      <c r="K1238" s="73" t="s">
        <v>10456</v>
      </c>
      <c r="L1238" s="73" t="s">
        <v>276</v>
      </c>
      <c r="M1238" s="72" t="s">
        <v>14</v>
      </c>
      <c r="N1238" s="84" t="s">
        <v>98</v>
      </c>
      <c r="O1238" s="85" t="s">
        <v>207</v>
      </c>
      <c r="P1238" s="88" t="s">
        <v>98</v>
      </c>
      <c r="Q1238" s="73" t="s">
        <v>721</v>
      </c>
      <c r="R1238" s="73" t="s">
        <v>10484</v>
      </c>
      <c r="S1238" s="73" t="s">
        <v>10485</v>
      </c>
      <c r="T1238" s="73" t="s">
        <v>98</v>
      </c>
      <c r="U1238" s="267">
        <v>133375</v>
      </c>
      <c r="V1238" s="267">
        <v>133665</v>
      </c>
      <c r="W1238" s="72" t="s">
        <v>276</v>
      </c>
      <c r="X1238" s="72" t="s">
        <v>276</v>
      </c>
      <c r="Y1238" s="72">
        <v>0</v>
      </c>
      <c r="Z1238" s="73" t="s">
        <v>1562</v>
      </c>
      <c r="AA1238" s="72">
        <v>0</v>
      </c>
      <c r="AB1238" s="73" t="s">
        <v>1562</v>
      </c>
      <c r="AC1238" s="73" t="s">
        <v>10486</v>
      </c>
      <c r="AD1238" s="73" t="s">
        <v>1674</v>
      </c>
      <c r="AE1238" s="72">
        <f>2+4+7+9</f>
        <v>22</v>
      </c>
      <c r="AF1238" s="72">
        <f>0+4+10+6</f>
        <v>20</v>
      </c>
      <c r="AG1238" s="75">
        <f>133181+132750+132170+92201</f>
        <v>490302</v>
      </c>
      <c r="AH1238" s="75">
        <f>133462+133047+132484+96843</f>
        <v>495836</v>
      </c>
      <c r="AI1238" s="75" t="s">
        <v>1019</v>
      </c>
      <c r="AJ1238" s="76" t="s">
        <v>276</v>
      </c>
      <c r="AK1238" s="86">
        <f>AE1238*100000/AG1238</f>
        <v>4.4870304424619931</v>
      </c>
      <c r="AL1238" s="76" t="s">
        <v>276</v>
      </c>
      <c r="AM1238" s="76" t="s">
        <v>276</v>
      </c>
      <c r="AN1238" s="76" t="s">
        <v>276</v>
      </c>
      <c r="AO1238" s="86">
        <f>AF1238*100000/AH1238</f>
        <v>4.0335917521115849</v>
      </c>
      <c r="AP1238" s="76" t="s">
        <v>276</v>
      </c>
      <c r="AQ1238" s="76" t="s">
        <v>276</v>
      </c>
      <c r="AR1238" s="72" t="s">
        <v>269</v>
      </c>
      <c r="AS1238" s="76" t="s">
        <v>98</v>
      </c>
      <c r="AT1238" s="76">
        <f>AK1238/AO1238</f>
        <v>1.1124156132342926</v>
      </c>
      <c r="AU1238" s="76" t="s">
        <v>98</v>
      </c>
      <c r="AV1238" s="76" t="s">
        <v>98</v>
      </c>
      <c r="AW1238" s="72" t="s">
        <v>691</v>
      </c>
      <c r="AX1238" s="72" t="s">
        <v>282</v>
      </c>
      <c r="AY1238" s="72" t="s">
        <v>98</v>
      </c>
      <c r="AZ1238" s="72" t="s">
        <v>98</v>
      </c>
      <c r="BA1238" s="72" t="s">
        <v>98</v>
      </c>
      <c r="BB1238" s="72" t="s">
        <v>98</v>
      </c>
      <c r="BC1238" s="73" t="s">
        <v>10474</v>
      </c>
      <c r="BD1238" s="73" t="s">
        <v>10487</v>
      </c>
      <c r="BE1238" s="33" t="s">
        <v>100</v>
      </c>
      <c r="BF1238" s="33" t="s">
        <v>98</v>
      </c>
    </row>
    <row r="1239" spans="1:58" s="87" customFormat="1" ht="143" x14ac:dyDescent="0.3">
      <c r="A1239" s="72">
        <v>11141</v>
      </c>
      <c r="B1239" s="72" t="s">
        <v>10453</v>
      </c>
      <c r="C1239" s="73" t="s">
        <v>70</v>
      </c>
      <c r="D1239" s="73" t="s">
        <v>10488</v>
      </c>
      <c r="E1239" s="72" t="s">
        <v>35</v>
      </c>
      <c r="F1239" s="346" t="s">
        <v>11436</v>
      </c>
      <c r="G1239" s="72" t="s">
        <v>225</v>
      </c>
      <c r="H1239" s="73" t="s">
        <v>10455</v>
      </c>
      <c r="I1239" s="72" t="s">
        <v>114</v>
      </c>
      <c r="J1239" s="73" t="s">
        <v>24</v>
      </c>
      <c r="K1239" s="73" t="s">
        <v>10456</v>
      </c>
      <c r="L1239" s="73" t="s">
        <v>276</v>
      </c>
      <c r="M1239" s="72" t="s">
        <v>14</v>
      </c>
      <c r="N1239" s="84" t="s">
        <v>98</v>
      </c>
      <c r="O1239" s="85" t="s">
        <v>207</v>
      </c>
      <c r="P1239" s="88" t="s">
        <v>98</v>
      </c>
      <c r="Q1239" s="73" t="s">
        <v>728</v>
      </c>
      <c r="R1239" s="73" t="s">
        <v>10467</v>
      </c>
      <c r="S1239" s="73" t="s">
        <v>10468</v>
      </c>
      <c r="T1239" s="73" t="s">
        <v>98</v>
      </c>
      <c r="U1239" s="267">
        <v>133375</v>
      </c>
      <c r="V1239" s="267">
        <v>133665</v>
      </c>
      <c r="W1239" s="72" t="s">
        <v>276</v>
      </c>
      <c r="X1239" s="72" t="s">
        <v>276</v>
      </c>
      <c r="Y1239" s="72">
        <v>0</v>
      </c>
      <c r="Z1239" s="73" t="s">
        <v>1562</v>
      </c>
      <c r="AA1239" s="72">
        <v>0</v>
      </c>
      <c r="AB1239" s="73" t="s">
        <v>1562</v>
      </c>
      <c r="AC1239" s="73" t="s">
        <v>10489</v>
      </c>
      <c r="AD1239" s="73" t="s">
        <v>1674</v>
      </c>
      <c r="AE1239" s="72">
        <f>2+4+7+9+3</f>
        <v>25</v>
      </c>
      <c r="AF1239" s="72">
        <f>0+4+10+6+5</f>
        <v>25</v>
      </c>
      <c r="AG1239" s="75">
        <f>133181+132750+132170+92201+26582</f>
        <v>516884</v>
      </c>
      <c r="AH1239" s="75">
        <f>133462+133047+132484+96843+31330</f>
        <v>527166</v>
      </c>
      <c r="AI1239" s="75" t="s">
        <v>1019</v>
      </c>
      <c r="AJ1239" s="76" t="s">
        <v>276</v>
      </c>
      <c r="AK1239" s="86">
        <f>AE1239*100000/AG1239</f>
        <v>4.8366751534193355</v>
      </c>
      <c r="AL1239" s="76" t="s">
        <v>276</v>
      </c>
      <c r="AM1239" s="76" t="s">
        <v>276</v>
      </c>
      <c r="AN1239" s="76" t="s">
        <v>276</v>
      </c>
      <c r="AO1239" s="86">
        <f>AF1239*100000/AH1239</f>
        <v>4.7423392252155869</v>
      </c>
      <c r="AP1239" s="76" t="s">
        <v>276</v>
      </c>
      <c r="AQ1239" s="76" t="s">
        <v>276</v>
      </c>
      <c r="AR1239" s="72" t="s">
        <v>269</v>
      </c>
      <c r="AS1239" s="76" t="s">
        <v>98</v>
      </c>
      <c r="AT1239" s="76">
        <f>AK1239/AO1239</f>
        <v>1.0198922775709829</v>
      </c>
      <c r="AU1239" s="76" t="s">
        <v>98</v>
      </c>
      <c r="AV1239" s="76" t="s">
        <v>98</v>
      </c>
      <c r="AW1239" s="72" t="s">
        <v>691</v>
      </c>
      <c r="AX1239" s="72" t="s">
        <v>282</v>
      </c>
      <c r="AY1239" s="72" t="s">
        <v>98</v>
      </c>
      <c r="AZ1239" s="72" t="s">
        <v>98</v>
      </c>
      <c r="BA1239" s="72" t="s">
        <v>98</v>
      </c>
      <c r="BB1239" s="72" t="s">
        <v>98</v>
      </c>
      <c r="BC1239" s="73" t="s">
        <v>10474</v>
      </c>
      <c r="BD1239" s="73" t="s">
        <v>10490</v>
      </c>
      <c r="BE1239" s="33" t="s">
        <v>100</v>
      </c>
      <c r="BF1239" s="33" t="s">
        <v>98</v>
      </c>
    </row>
    <row r="1240" spans="1:58" s="512" customFormat="1" ht="52" x14ac:dyDescent="0.3">
      <c r="A1240" s="427">
        <v>11141</v>
      </c>
      <c r="B1240" s="427" t="s">
        <v>10453</v>
      </c>
      <c r="C1240" s="92" t="s">
        <v>70</v>
      </c>
      <c r="D1240" s="92" t="s">
        <v>10491</v>
      </c>
      <c r="E1240" s="427" t="s">
        <v>35</v>
      </c>
      <c r="F1240" s="346" t="s">
        <v>11436</v>
      </c>
      <c r="G1240" s="427" t="s">
        <v>225</v>
      </c>
      <c r="H1240" s="92" t="s">
        <v>10455</v>
      </c>
      <c r="I1240" s="427" t="s">
        <v>114</v>
      </c>
      <c r="J1240" s="92" t="s">
        <v>23</v>
      </c>
      <c r="K1240" s="9" t="s">
        <v>10492</v>
      </c>
      <c r="L1240" s="92" t="s">
        <v>276</v>
      </c>
      <c r="M1240" s="427" t="s">
        <v>14</v>
      </c>
      <c r="N1240" s="506" t="s">
        <v>98</v>
      </c>
      <c r="O1240" s="507" t="s">
        <v>207</v>
      </c>
      <c r="P1240" s="508">
        <v>34699</v>
      </c>
      <c r="Q1240" s="92" t="s">
        <v>98</v>
      </c>
      <c r="R1240" s="9" t="s">
        <v>10467</v>
      </c>
      <c r="S1240" s="9" t="s">
        <v>10468</v>
      </c>
      <c r="T1240" s="92" t="s">
        <v>98</v>
      </c>
      <c r="U1240" s="509">
        <v>133375</v>
      </c>
      <c r="V1240" s="509">
        <v>133665</v>
      </c>
      <c r="W1240" s="427" t="s">
        <v>276</v>
      </c>
      <c r="X1240" s="427" t="s">
        <v>276</v>
      </c>
      <c r="Y1240" s="427">
        <v>0</v>
      </c>
      <c r="Z1240" s="92" t="s">
        <v>98</v>
      </c>
      <c r="AA1240" s="427">
        <v>0</v>
      </c>
      <c r="AB1240" s="92" t="s">
        <v>98</v>
      </c>
      <c r="AC1240" s="92" t="s">
        <v>10493</v>
      </c>
      <c r="AD1240" s="92" t="s">
        <v>2034</v>
      </c>
      <c r="AE1240" s="427">
        <v>1436</v>
      </c>
      <c r="AF1240" s="427">
        <v>1648</v>
      </c>
      <c r="AG1240" s="509">
        <v>133375</v>
      </c>
      <c r="AH1240" s="509">
        <v>133665</v>
      </c>
      <c r="AI1240" s="430" t="s">
        <v>292</v>
      </c>
      <c r="AJ1240" s="510">
        <v>1.1000000000000001</v>
      </c>
      <c r="AK1240" s="431">
        <f>AE1240*100/AG1240</f>
        <v>1.0766635426429241</v>
      </c>
      <c r="AL1240" s="511" t="s">
        <v>276</v>
      </c>
      <c r="AM1240" s="511" t="s">
        <v>276</v>
      </c>
      <c r="AN1240" s="510">
        <v>1.2</v>
      </c>
      <c r="AO1240" s="431">
        <f>AF1240*100/AH1240</f>
        <v>1.232933078966072</v>
      </c>
      <c r="AP1240" s="511" t="s">
        <v>276</v>
      </c>
      <c r="AQ1240" s="511" t="s">
        <v>276</v>
      </c>
      <c r="AR1240" s="427" t="s">
        <v>268</v>
      </c>
      <c r="AS1240" s="511" t="s">
        <v>276</v>
      </c>
      <c r="AT1240" s="511">
        <f t="shared" ref="AT1240" si="179">AK1240/AO1240</f>
        <v>0.87325383754469932</v>
      </c>
      <c r="AU1240" s="511" t="s">
        <v>276</v>
      </c>
      <c r="AV1240" s="511" t="s">
        <v>276</v>
      </c>
      <c r="AW1240" s="427" t="s">
        <v>276</v>
      </c>
      <c r="AX1240" s="427" t="s">
        <v>282</v>
      </c>
      <c r="AY1240" s="427" t="s">
        <v>98</v>
      </c>
      <c r="AZ1240" s="427" t="s">
        <v>98</v>
      </c>
      <c r="BA1240" s="427" t="s">
        <v>98</v>
      </c>
      <c r="BB1240" s="427" t="s">
        <v>98</v>
      </c>
      <c r="BC1240" s="92" t="s">
        <v>10494</v>
      </c>
      <c r="BD1240" s="92"/>
      <c r="BE1240" s="33" t="s">
        <v>100</v>
      </c>
      <c r="BF1240" s="33" t="s">
        <v>98</v>
      </c>
    </row>
    <row r="1241" spans="1:58" s="103" customFormat="1" ht="195" x14ac:dyDescent="0.3">
      <c r="A1241" s="94">
        <v>11140</v>
      </c>
      <c r="B1241" s="94" t="s">
        <v>10495</v>
      </c>
      <c r="C1241" s="95" t="s">
        <v>70</v>
      </c>
      <c r="D1241" s="95" t="s">
        <v>10496</v>
      </c>
      <c r="E1241" s="94" t="s">
        <v>35</v>
      </c>
      <c r="F1241" s="346" t="s">
        <v>11436</v>
      </c>
      <c r="G1241" s="94" t="s">
        <v>225</v>
      </c>
      <c r="H1241" s="95" t="s">
        <v>10455</v>
      </c>
      <c r="I1241" s="94" t="s">
        <v>114</v>
      </c>
      <c r="J1241" s="95" t="s">
        <v>24</v>
      </c>
      <c r="K1241" s="95" t="s">
        <v>10497</v>
      </c>
      <c r="L1241" s="95" t="s">
        <v>10498</v>
      </c>
      <c r="M1241" s="94" t="s">
        <v>14</v>
      </c>
      <c r="N1241" s="144" t="s">
        <v>98</v>
      </c>
      <c r="O1241" s="96" t="s">
        <v>207</v>
      </c>
      <c r="P1241" s="140">
        <v>36891</v>
      </c>
      <c r="Q1241" s="95" t="s">
        <v>10499</v>
      </c>
      <c r="R1241" s="99" t="s">
        <v>10500</v>
      </c>
      <c r="S1241" s="99" t="s">
        <v>10501</v>
      </c>
      <c r="T1241" s="95" t="s">
        <v>98</v>
      </c>
      <c r="U1241" s="107">
        <v>132979</v>
      </c>
      <c r="V1241" s="107">
        <v>133085</v>
      </c>
      <c r="W1241" s="94" t="s">
        <v>276</v>
      </c>
      <c r="X1241" s="94" t="s">
        <v>276</v>
      </c>
      <c r="Y1241" s="94">
        <v>0</v>
      </c>
      <c r="Z1241" s="95" t="s">
        <v>1562</v>
      </c>
      <c r="AA1241" s="94">
        <v>0</v>
      </c>
      <c r="AB1241" s="95" t="s">
        <v>1562</v>
      </c>
      <c r="AC1241" s="95" t="s">
        <v>10502</v>
      </c>
      <c r="AD1241" s="95" t="s">
        <v>2034</v>
      </c>
      <c r="AE1241" s="94">
        <v>135</v>
      </c>
      <c r="AF1241" s="94">
        <v>131</v>
      </c>
      <c r="AG1241" s="107">
        <v>132979</v>
      </c>
      <c r="AH1241" s="107">
        <v>133085</v>
      </c>
      <c r="AI1241" s="99" t="s">
        <v>292</v>
      </c>
      <c r="AJ1241" s="102">
        <v>0.1</v>
      </c>
      <c r="AK1241" s="101">
        <f>AE1241*100/AG1241</f>
        <v>0.10151978883883922</v>
      </c>
      <c r="AL1241" s="102" t="s">
        <v>276</v>
      </c>
      <c r="AM1241" s="102" t="s">
        <v>276</v>
      </c>
      <c r="AN1241" s="102">
        <v>0.1</v>
      </c>
      <c r="AO1241" s="101">
        <f>AF1241*100/AH1241</f>
        <v>9.8433332081000857E-2</v>
      </c>
      <c r="AP1241" s="102" t="s">
        <v>276</v>
      </c>
      <c r="AQ1241" s="102" t="s">
        <v>276</v>
      </c>
      <c r="AR1241" s="94" t="s">
        <v>268</v>
      </c>
      <c r="AS1241" s="102" t="s">
        <v>98</v>
      </c>
      <c r="AT1241" s="102">
        <f>AK1241/AO1241</f>
        <v>1.0313558089783907</v>
      </c>
      <c r="AU1241" s="102" t="s">
        <v>98</v>
      </c>
      <c r="AV1241" s="102" t="s">
        <v>98</v>
      </c>
      <c r="AW1241" s="94" t="s">
        <v>276</v>
      </c>
      <c r="AX1241" s="94" t="s">
        <v>282</v>
      </c>
      <c r="AY1241" s="94" t="s">
        <v>98</v>
      </c>
      <c r="AZ1241" s="94" t="s">
        <v>98</v>
      </c>
      <c r="BA1241" s="94" t="s">
        <v>98</v>
      </c>
      <c r="BB1241" s="94" t="s">
        <v>98</v>
      </c>
      <c r="BC1241" s="95" t="s">
        <v>10503</v>
      </c>
      <c r="BD1241" s="95"/>
      <c r="BE1241" s="33" t="s">
        <v>99</v>
      </c>
      <c r="BF1241" s="33" t="s">
        <v>11558</v>
      </c>
    </row>
    <row r="1242" spans="1:58" s="103" customFormat="1" ht="195" x14ac:dyDescent="0.3">
      <c r="A1242" s="94">
        <v>11140</v>
      </c>
      <c r="B1242" s="94" t="s">
        <v>10495</v>
      </c>
      <c r="C1242" s="95" t="s">
        <v>70</v>
      </c>
      <c r="D1242" s="95" t="s">
        <v>10504</v>
      </c>
      <c r="E1242" s="94" t="s">
        <v>35</v>
      </c>
      <c r="F1242" s="346" t="s">
        <v>11436</v>
      </c>
      <c r="G1242" s="94" t="s">
        <v>225</v>
      </c>
      <c r="H1242" s="95" t="s">
        <v>10455</v>
      </c>
      <c r="I1242" s="94" t="s">
        <v>114</v>
      </c>
      <c r="J1242" s="95" t="s">
        <v>24</v>
      </c>
      <c r="K1242" s="95" t="s">
        <v>10497</v>
      </c>
      <c r="L1242" s="95" t="s">
        <v>10498</v>
      </c>
      <c r="M1242" s="94" t="s">
        <v>14</v>
      </c>
      <c r="N1242" s="144" t="s">
        <v>98</v>
      </c>
      <c r="O1242" s="96" t="s">
        <v>207</v>
      </c>
      <c r="P1242" s="140">
        <v>36891</v>
      </c>
      <c r="Q1242" s="95" t="s">
        <v>10499</v>
      </c>
      <c r="R1242" s="99" t="s">
        <v>10500</v>
      </c>
      <c r="S1242" s="99" t="s">
        <v>10501</v>
      </c>
      <c r="T1242" s="95" t="s">
        <v>98</v>
      </c>
      <c r="U1242" s="107">
        <v>132979</v>
      </c>
      <c r="V1242" s="107">
        <v>133085</v>
      </c>
      <c r="W1242" s="94" t="s">
        <v>276</v>
      </c>
      <c r="X1242" s="94" t="s">
        <v>276</v>
      </c>
      <c r="Y1242" s="94">
        <v>0</v>
      </c>
      <c r="Z1242" s="95" t="s">
        <v>1562</v>
      </c>
      <c r="AA1242" s="94">
        <v>0</v>
      </c>
      <c r="AB1242" s="95" t="s">
        <v>1562</v>
      </c>
      <c r="AC1242" s="95" t="s">
        <v>10502</v>
      </c>
      <c r="AD1242" s="95" t="s">
        <v>1674</v>
      </c>
      <c r="AE1242" s="94">
        <v>135</v>
      </c>
      <c r="AF1242" s="94">
        <v>131</v>
      </c>
      <c r="AG1242" s="99">
        <v>1276611</v>
      </c>
      <c r="AH1242" s="99">
        <v>1286678</v>
      </c>
      <c r="AI1242" s="99" t="s">
        <v>1019</v>
      </c>
      <c r="AJ1242" s="100" t="s">
        <v>276</v>
      </c>
      <c r="AK1242" s="101">
        <f>AE1242*100000/AG1242</f>
        <v>10.574873630260118</v>
      </c>
      <c r="AL1242" s="102" t="s">
        <v>276</v>
      </c>
      <c r="AM1242" s="102" t="s">
        <v>276</v>
      </c>
      <c r="AN1242" s="100" t="s">
        <v>276</v>
      </c>
      <c r="AO1242" s="101">
        <f>AF1242*100000/AH1242</f>
        <v>10.181257470789117</v>
      </c>
      <c r="AP1242" s="102" t="s">
        <v>276</v>
      </c>
      <c r="AQ1242" s="102" t="s">
        <v>276</v>
      </c>
      <c r="AR1242" s="94" t="s">
        <v>269</v>
      </c>
      <c r="AS1242" s="102">
        <v>1.04</v>
      </c>
      <c r="AT1242" s="102">
        <f>AK1242/AO1242</f>
        <v>1.0386608589951014</v>
      </c>
      <c r="AU1242" s="102">
        <v>0.82</v>
      </c>
      <c r="AV1242" s="102">
        <v>1.33</v>
      </c>
      <c r="AW1242" s="94" t="s">
        <v>276</v>
      </c>
      <c r="AX1242" s="94" t="s">
        <v>282</v>
      </c>
      <c r="AY1242" s="94" t="s">
        <v>98</v>
      </c>
      <c r="AZ1242" s="94" t="s">
        <v>98</v>
      </c>
      <c r="BA1242" s="94" t="s">
        <v>98</v>
      </c>
      <c r="BB1242" s="94" t="s">
        <v>98</v>
      </c>
      <c r="BC1242" s="95" t="s">
        <v>10505</v>
      </c>
      <c r="BD1242" s="95" t="s">
        <v>11437</v>
      </c>
      <c r="BE1242" s="33" t="s">
        <v>99</v>
      </c>
      <c r="BF1242" s="33" t="s">
        <v>11558</v>
      </c>
    </row>
    <row r="1243" spans="1:58" s="208" customFormat="1" ht="52" x14ac:dyDescent="0.3">
      <c r="A1243" s="112">
        <v>11140</v>
      </c>
      <c r="B1243" s="112" t="s">
        <v>10495</v>
      </c>
      <c r="C1243" s="113" t="s">
        <v>70</v>
      </c>
      <c r="D1243" s="113" t="s">
        <v>10506</v>
      </c>
      <c r="E1243" s="112" t="s">
        <v>35</v>
      </c>
      <c r="F1243" s="346" t="s">
        <v>11436</v>
      </c>
      <c r="G1243" s="112" t="s">
        <v>225</v>
      </c>
      <c r="H1243" s="113" t="s">
        <v>10455</v>
      </c>
      <c r="I1243" s="112" t="s">
        <v>114</v>
      </c>
      <c r="J1243" s="113" t="s">
        <v>23</v>
      </c>
      <c r="K1243" s="113" t="s">
        <v>10507</v>
      </c>
      <c r="L1243" s="113" t="s">
        <v>276</v>
      </c>
      <c r="M1243" s="112" t="s">
        <v>14</v>
      </c>
      <c r="N1243" s="204" t="s">
        <v>98</v>
      </c>
      <c r="O1243" s="117" t="s">
        <v>207</v>
      </c>
      <c r="P1243" s="205">
        <v>36891</v>
      </c>
      <c r="Q1243" s="113" t="s">
        <v>10499</v>
      </c>
      <c r="R1243" s="119" t="s">
        <v>10500</v>
      </c>
      <c r="S1243" s="119" t="s">
        <v>10501</v>
      </c>
      <c r="T1243" s="113" t="s">
        <v>98</v>
      </c>
      <c r="U1243" s="120">
        <v>132979</v>
      </c>
      <c r="V1243" s="120">
        <v>133085</v>
      </c>
      <c r="W1243" s="112">
        <v>9873</v>
      </c>
      <c r="X1243" s="112">
        <v>9997</v>
      </c>
      <c r="Y1243" s="112">
        <v>0</v>
      </c>
      <c r="Z1243" s="113" t="s">
        <v>98</v>
      </c>
      <c r="AA1243" s="112">
        <v>0</v>
      </c>
      <c r="AB1243" s="113" t="s">
        <v>98</v>
      </c>
      <c r="AC1243" s="113" t="s">
        <v>10508</v>
      </c>
      <c r="AD1243" s="113" t="s">
        <v>2034</v>
      </c>
      <c r="AE1243" s="112">
        <v>5349</v>
      </c>
      <c r="AF1243" s="112">
        <v>5939</v>
      </c>
      <c r="AG1243" s="120">
        <v>132979</v>
      </c>
      <c r="AH1243" s="120">
        <v>133085</v>
      </c>
      <c r="AI1243" s="119" t="s">
        <v>292</v>
      </c>
      <c r="AJ1243" s="164">
        <v>4</v>
      </c>
      <c r="AK1243" s="207">
        <f>AE1243*100/AG1243</f>
        <v>4.022439633325563</v>
      </c>
      <c r="AL1243" s="121" t="s">
        <v>276</v>
      </c>
      <c r="AM1243" s="121" t="s">
        <v>276</v>
      </c>
      <c r="AN1243" s="164">
        <v>4.5</v>
      </c>
      <c r="AO1243" s="207">
        <f>AF1243*100/AH1243</f>
        <v>4.4625615208325504</v>
      </c>
      <c r="AP1243" s="121" t="s">
        <v>276</v>
      </c>
      <c r="AQ1243" s="121" t="s">
        <v>276</v>
      </c>
      <c r="AR1243" s="112" t="s">
        <v>268</v>
      </c>
      <c r="AS1243" s="121" t="s">
        <v>276</v>
      </c>
      <c r="AT1243" s="121">
        <f t="shared" ref="AT1243" si="180">AK1243/AO1243</f>
        <v>0.90137460616456067</v>
      </c>
      <c r="AU1243" s="121" t="s">
        <v>276</v>
      </c>
      <c r="AV1243" s="121" t="s">
        <v>276</v>
      </c>
      <c r="AW1243" s="112" t="s">
        <v>276</v>
      </c>
      <c r="AX1243" s="112" t="s">
        <v>282</v>
      </c>
      <c r="AY1243" s="112" t="s">
        <v>98</v>
      </c>
      <c r="AZ1243" s="112" t="s">
        <v>98</v>
      </c>
      <c r="BA1243" s="112" t="s">
        <v>98</v>
      </c>
      <c r="BB1243" s="112" t="s">
        <v>98</v>
      </c>
      <c r="BC1243" s="113" t="s">
        <v>10509</v>
      </c>
      <c r="BD1243" s="113" t="s">
        <v>10510</v>
      </c>
      <c r="BE1243" s="33" t="s">
        <v>100</v>
      </c>
      <c r="BF1243" s="33" t="s">
        <v>98</v>
      </c>
    </row>
    <row r="1244" spans="1:58" s="7" customFormat="1" ht="52" x14ac:dyDescent="0.3">
      <c r="A1244" s="8">
        <v>11144</v>
      </c>
      <c r="B1244" s="9" t="s">
        <v>10550</v>
      </c>
      <c r="C1244" s="9" t="s">
        <v>10551</v>
      </c>
      <c r="D1244" s="9" t="s">
        <v>10552</v>
      </c>
      <c r="E1244" s="8" t="s">
        <v>35</v>
      </c>
      <c r="F1244" s="346" t="s">
        <v>11436</v>
      </c>
      <c r="G1244" s="8" t="s">
        <v>225</v>
      </c>
      <c r="H1244" s="8" t="s">
        <v>125</v>
      </c>
      <c r="I1244" s="8" t="s">
        <v>114</v>
      </c>
      <c r="J1244" s="9" t="s">
        <v>24</v>
      </c>
      <c r="K1244" s="9" t="s">
        <v>276</v>
      </c>
      <c r="L1244" s="9" t="s">
        <v>276</v>
      </c>
      <c r="M1244" s="9" t="s">
        <v>261</v>
      </c>
      <c r="N1244" s="12" t="s">
        <v>10553</v>
      </c>
      <c r="O1244" s="12" t="s">
        <v>207</v>
      </c>
      <c r="P1244" s="41" t="s">
        <v>98</v>
      </c>
      <c r="Q1244" s="9" t="s">
        <v>10554</v>
      </c>
      <c r="R1244" s="9" t="s">
        <v>10555</v>
      </c>
      <c r="S1244" s="9" t="s">
        <v>10555</v>
      </c>
      <c r="T1244" s="9" t="s">
        <v>98</v>
      </c>
      <c r="U1244" s="13">
        <v>31186</v>
      </c>
      <c r="V1244" s="38">
        <v>31066</v>
      </c>
      <c r="W1244" s="8" t="s">
        <v>276</v>
      </c>
      <c r="X1244" s="8" t="s">
        <v>276</v>
      </c>
      <c r="Y1244" s="8">
        <v>0</v>
      </c>
      <c r="Z1244" s="9" t="s">
        <v>1562</v>
      </c>
      <c r="AA1244" s="8">
        <v>0</v>
      </c>
      <c r="AB1244" s="9" t="s">
        <v>1562</v>
      </c>
      <c r="AC1244" s="9" t="s">
        <v>10556</v>
      </c>
      <c r="AD1244" s="9" t="s">
        <v>4658</v>
      </c>
      <c r="AE1244" s="8">
        <v>1</v>
      </c>
      <c r="AF1244" s="8">
        <v>1</v>
      </c>
      <c r="AG1244" s="13">
        <v>31186</v>
      </c>
      <c r="AH1244" s="38">
        <v>31066</v>
      </c>
      <c r="AI1244" s="38" t="s">
        <v>281</v>
      </c>
      <c r="AJ1244" s="14" t="s">
        <v>276</v>
      </c>
      <c r="AK1244" s="31">
        <f>AE1244*1000/AG1244</f>
        <v>3.2065670493170009E-2</v>
      </c>
      <c r="AL1244" s="14" t="s">
        <v>276</v>
      </c>
      <c r="AM1244" s="14" t="s">
        <v>276</v>
      </c>
      <c r="AN1244" s="14" t="s">
        <v>276</v>
      </c>
      <c r="AO1244" s="31">
        <f>AF1244*1000/AH1244</f>
        <v>3.2189531964205244E-2</v>
      </c>
      <c r="AP1244" s="14" t="s">
        <v>276</v>
      </c>
      <c r="AQ1244" s="14" t="s">
        <v>276</v>
      </c>
      <c r="AR1244" s="8" t="s">
        <v>268</v>
      </c>
      <c r="AS1244" s="14" t="s">
        <v>276</v>
      </c>
      <c r="AT1244" s="14">
        <f>AK1244/AO1244</f>
        <v>0.99615211954081939</v>
      </c>
      <c r="AU1244" s="14" t="s">
        <v>276</v>
      </c>
      <c r="AV1244" s="14" t="s">
        <v>276</v>
      </c>
      <c r="AW1244" s="8" t="s">
        <v>276</v>
      </c>
      <c r="AX1244" s="8" t="s">
        <v>282</v>
      </c>
      <c r="AY1244" s="8" t="s">
        <v>98</v>
      </c>
      <c r="AZ1244" s="8" t="s">
        <v>98</v>
      </c>
      <c r="BA1244" s="8" t="s">
        <v>98</v>
      </c>
      <c r="BB1244" s="8" t="s">
        <v>98</v>
      </c>
      <c r="BC1244" s="9" t="s">
        <v>10557</v>
      </c>
      <c r="BD1244" s="9"/>
      <c r="BE1244" s="33" t="s">
        <v>100</v>
      </c>
      <c r="BF1244" s="33" t="s">
        <v>98</v>
      </c>
    </row>
    <row r="1245" spans="1:58" s="149" customFormat="1" ht="65" x14ac:dyDescent="0.3">
      <c r="A1245" s="126">
        <v>11145</v>
      </c>
      <c r="B1245" s="127" t="s">
        <v>10558</v>
      </c>
      <c r="C1245" s="127" t="s">
        <v>10551</v>
      </c>
      <c r="D1245" s="127" t="s">
        <v>10559</v>
      </c>
      <c r="E1245" s="126" t="s">
        <v>35</v>
      </c>
      <c r="F1245" s="346" t="s">
        <v>11436</v>
      </c>
      <c r="G1245" s="126" t="s">
        <v>225</v>
      </c>
      <c r="H1245" s="126" t="s">
        <v>125</v>
      </c>
      <c r="I1245" s="126" t="s">
        <v>114</v>
      </c>
      <c r="J1245" s="127" t="s">
        <v>24</v>
      </c>
      <c r="K1245" s="127" t="s">
        <v>10560</v>
      </c>
      <c r="L1245" s="127" t="s">
        <v>276</v>
      </c>
      <c r="M1245" s="127" t="s">
        <v>261</v>
      </c>
      <c r="N1245" s="131" t="s">
        <v>10561</v>
      </c>
      <c r="O1245" s="131" t="s">
        <v>207</v>
      </c>
      <c r="P1245" s="197">
        <v>35795</v>
      </c>
      <c r="Q1245" s="127" t="s">
        <v>98</v>
      </c>
      <c r="R1245" s="127" t="s">
        <v>276</v>
      </c>
      <c r="S1245" s="127" t="s">
        <v>276</v>
      </c>
      <c r="T1245" s="346" t="s">
        <v>98</v>
      </c>
      <c r="U1245" s="132">
        <v>57712</v>
      </c>
      <c r="V1245" s="134">
        <v>64759</v>
      </c>
      <c r="W1245" s="126" t="s">
        <v>276</v>
      </c>
      <c r="X1245" s="126" t="s">
        <v>276</v>
      </c>
      <c r="Y1245" s="126" t="s">
        <v>276</v>
      </c>
      <c r="Z1245" s="127" t="s">
        <v>894</v>
      </c>
      <c r="AA1245" s="126" t="s">
        <v>276</v>
      </c>
      <c r="AB1245" s="127" t="s">
        <v>894</v>
      </c>
      <c r="AC1245" s="127" t="s">
        <v>10562</v>
      </c>
      <c r="AD1245" s="127" t="s">
        <v>4658</v>
      </c>
      <c r="AE1245" s="126">
        <v>157</v>
      </c>
      <c r="AF1245" s="126">
        <v>164</v>
      </c>
      <c r="AG1245" s="132">
        <v>57712</v>
      </c>
      <c r="AH1245" s="134">
        <v>64759</v>
      </c>
      <c r="AI1245" s="134" t="s">
        <v>281</v>
      </c>
      <c r="AJ1245" s="147">
        <v>2.7</v>
      </c>
      <c r="AK1245" s="148">
        <f>AE1245*1000/AG1245</f>
        <v>2.7204047685056834</v>
      </c>
      <c r="AL1245" s="135" t="s">
        <v>276</v>
      </c>
      <c r="AM1245" s="135" t="s">
        <v>276</v>
      </c>
      <c r="AN1245" s="147">
        <v>2.5</v>
      </c>
      <c r="AO1245" s="148">
        <f>AF1245*1000/AH1245</f>
        <v>2.5324665297487607</v>
      </c>
      <c r="AP1245" s="135" t="s">
        <v>276</v>
      </c>
      <c r="AQ1245" s="135" t="s">
        <v>276</v>
      </c>
      <c r="AR1245" s="126" t="s">
        <v>268</v>
      </c>
      <c r="AS1245" s="135" t="s">
        <v>276</v>
      </c>
      <c r="AT1245" s="135">
        <f>AK1245/AO1245</f>
        <v>1.0742115390467046</v>
      </c>
      <c r="AU1245" s="135" t="s">
        <v>276</v>
      </c>
      <c r="AV1245" s="135" t="s">
        <v>691</v>
      </c>
      <c r="AW1245" s="126" t="s">
        <v>276</v>
      </c>
      <c r="AX1245" s="126" t="s">
        <v>282</v>
      </c>
      <c r="AY1245" s="126" t="s">
        <v>98</v>
      </c>
      <c r="AZ1245" s="126" t="s">
        <v>98</v>
      </c>
      <c r="BA1245" s="126" t="s">
        <v>98</v>
      </c>
      <c r="BB1245" s="126" t="s">
        <v>98</v>
      </c>
      <c r="BC1245" s="127" t="s">
        <v>11475</v>
      </c>
      <c r="BD1245" s="127" t="s">
        <v>11476</v>
      </c>
      <c r="BE1245" s="137" t="s">
        <v>99</v>
      </c>
      <c r="BF1245" s="137" t="s">
        <v>11162</v>
      </c>
    </row>
    <row r="1246" spans="1:58" s="7" customFormat="1" ht="78" x14ac:dyDescent="0.3">
      <c r="A1246" s="8">
        <v>996</v>
      </c>
      <c r="B1246" s="8" t="s">
        <v>10625</v>
      </c>
      <c r="C1246" s="8" t="s">
        <v>11079</v>
      </c>
      <c r="D1246" s="9" t="s">
        <v>10626</v>
      </c>
      <c r="E1246" s="8" t="s">
        <v>36</v>
      </c>
      <c r="F1246" s="9" t="s">
        <v>134</v>
      </c>
      <c r="G1246" s="8" t="s">
        <v>225</v>
      </c>
      <c r="H1246" s="8" t="s">
        <v>125</v>
      </c>
      <c r="I1246" s="8" t="s">
        <v>114</v>
      </c>
      <c r="J1246" s="9" t="s">
        <v>24</v>
      </c>
      <c r="K1246" s="9" t="s">
        <v>10627</v>
      </c>
      <c r="L1246" s="9" t="s">
        <v>10628</v>
      </c>
      <c r="M1246" s="8" t="s">
        <v>1538</v>
      </c>
      <c r="N1246" s="11" t="s">
        <v>98</v>
      </c>
      <c r="O1246" s="12" t="s">
        <v>207</v>
      </c>
      <c r="P1246" s="41">
        <v>40178</v>
      </c>
      <c r="Q1246" s="9" t="s">
        <v>776</v>
      </c>
      <c r="R1246" s="9" t="s">
        <v>10629</v>
      </c>
      <c r="S1246" s="9" t="s">
        <v>10629</v>
      </c>
      <c r="T1246" s="9">
        <v>2</v>
      </c>
      <c r="U1246" s="13">
        <v>77445</v>
      </c>
      <c r="V1246" s="38">
        <v>77455</v>
      </c>
      <c r="W1246" s="8" t="s">
        <v>276</v>
      </c>
      <c r="X1246" s="8" t="s">
        <v>276</v>
      </c>
      <c r="Y1246" s="8" t="s">
        <v>276</v>
      </c>
      <c r="Z1246" s="9" t="s">
        <v>1562</v>
      </c>
      <c r="AA1246" s="8" t="s">
        <v>276</v>
      </c>
      <c r="AB1246" s="9" t="s">
        <v>1562</v>
      </c>
      <c r="AC1246" s="9" t="s">
        <v>10630</v>
      </c>
      <c r="AD1246" s="9" t="s">
        <v>1487</v>
      </c>
      <c r="AE1246" s="8">
        <v>252</v>
      </c>
      <c r="AF1246" s="8">
        <v>341</v>
      </c>
      <c r="AG1246" s="13">
        <v>871930</v>
      </c>
      <c r="AH1246" s="13">
        <v>871275</v>
      </c>
      <c r="AI1246" s="38" t="s">
        <v>4702</v>
      </c>
      <c r="AJ1246" s="43">
        <v>2.9</v>
      </c>
      <c r="AK1246" s="31">
        <f t="shared" ref="AK1246:AK1266" si="181">AE1246/AG1246*10000</f>
        <v>2.8901402635532669</v>
      </c>
      <c r="AL1246" s="43">
        <v>2.5</v>
      </c>
      <c r="AM1246" s="43">
        <v>3.2</v>
      </c>
      <c r="AN1246" s="43">
        <v>3.9</v>
      </c>
      <c r="AO1246" s="31">
        <f>AF1246/AH1246*10000</f>
        <v>3.9138044819373903</v>
      </c>
      <c r="AP1246" s="43">
        <v>3.5</v>
      </c>
      <c r="AQ1246" s="43">
        <v>4.3</v>
      </c>
      <c r="AR1246" s="8" t="s">
        <v>269</v>
      </c>
      <c r="AS1246" s="14">
        <v>0.74</v>
      </c>
      <c r="AT1246" s="14">
        <f>AK1246/AO1246</f>
        <v>0.73844778830714741</v>
      </c>
      <c r="AU1246" s="14">
        <v>0.63</v>
      </c>
      <c r="AV1246" s="14">
        <v>0.87</v>
      </c>
      <c r="AW1246" s="8" t="s">
        <v>431</v>
      </c>
      <c r="AX1246" s="8" t="s">
        <v>276</v>
      </c>
      <c r="AY1246" s="8" t="s">
        <v>98</v>
      </c>
      <c r="AZ1246" s="8" t="s">
        <v>98</v>
      </c>
      <c r="BA1246" s="8" t="s">
        <v>98</v>
      </c>
      <c r="BB1246" s="8" t="s">
        <v>98</v>
      </c>
      <c r="BC1246" s="9" t="s">
        <v>10631</v>
      </c>
      <c r="BD1246" s="9"/>
      <c r="BE1246" s="33" t="s">
        <v>99</v>
      </c>
      <c r="BF1246" s="33" t="s">
        <v>11162</v>
      </c>
    </row>
    <row r="1247" spans="1:58" s="7" customFormat="1" ht="65" x14ac:dyDescent="0.3">
      <c r="A1247" s="8">
        <v>996</v>
      </c>
      <c r="B1247" s="8" t="s">
        <v>10625</v>
      </c>
      <c r="C1247" s="8" t="s">
        <v>11079</v>
      </c>
      <c r="D1247" s="9" t="s">
        <v>10632</v>
      </c>
      <c r="E1247" s="8" t="s">
        <v>36</v>
      </c>
      <c r="F1247" s="9" t="s">
        <v>134</v>
      </c>
      <c r="G1247" s="8" t="s">
        <v>225</v>
      </c>
      <c r="H1247" s="8" t="s">
        <v>125</v>
      </c>
      <c r="I1247" s="8" t="s">
        <v>114</v>
      </c>
      <c r="J1247" s="9" t="s">
        <v>24</v>
      </c>
      <c r="K1247" s="9" t="s">
        <v>10627</v>
      </c>
      <c r="L1247" s="9" t="s">
        <v>10633</v>
      </c>
      <c r="M1247" s="8" t="s">
        <v>1538</v>
      </c>
      <c r="N1247" s="11" t="s">
        <v>98</v>
      </c>
      <c r="O1247" s="12" t="s">
        <v>207</v>
      </c>
      <c r="P1247" s="41">
        <v>40178</v>
      </c>
      <c r="Q1247" s="9" t="s">
        <v>770</v>
      </c>
      <c r="R1247" s="13" t="s">
        <v>10634</v>
      </c>
      <c r="S1247" s="13" t="s">
        <v>10635</v>
      </c>
      <c r="T1247" s="9">
        <v>2</v>
      </c>
      <c r="U1247" s="13">
        <v>77445</v>
      </c>
      <c r="V1247" s="38">
        <v>77455</v>
      </c>
      <c r="W1247" s="8" t="s">
        <v>276</v>
      </c>
      <c r="X1247" s="8" t="s">
        <v>276</v>
      </c>
      <c r="Y1247" s="8" t="s">
        <v>276</v>
      </c>
      <c r="Z1247" s="9" t="s">
        <v>1562</v>
      </c>
      <c r="AA1247" s="8" t="s">
        <v>276</v>
      </c>
      <c r="AB1247" s="9" t="s">
        <v>1562</v>
      </c>
      <c r="AC1247" s="9" t="s">
        <v>10636</v>
      </c>
      <c r="AD1247" s="9" t="s">
        <v>1487</v>
      </c>
      <c r="AE1247" s="8">
        <v>232</v>
      </c>
      <c r="AF1247" s="8">
        <v>296</v>
      </c>
      <c r="AG1247" s="13">
        <v>793203</v>
      </c>
      <c r="AH1247" s="13">
        <v>792674</v>
      </c>
      <c r="AI1247" s="38" t="s">
        <v>4702</v>
      </c>
      <c r="AJ1247" s="14" t="s">
        <v>276</v>
      </c>
      <c r="AK1247" s="31">
        <f t="shared" si="181"/>
        <v>2.92485025901314</v>
      </c>
      <c r="AL1247" s="14" t="s">
        <v>276</v>
      </c>
      <c r="AM1247" s="14" t="s">
        <v>276</v>
      </c>
      <c r="AN1247" s="14" t="s">
        <v>276</v>
      </c>
      <c r="AO1247" s="31">
        <f>AF1247/AH1247*10000</f>
        <v>3.7341958989445851</v>
      </c>
      <c r="AP1247" s="14" t="s">
        <v>276</v>
      </c>
      <c r="AQ1247" s="14" t="s">
        <v>276</v>
      </c>
      <c r="AR1247" s="8" t="s">
        <v>269</v>
      </c>
      <c r="AS1247" s="14" t="s">
        <v>276</v>
      </c>
      <c r="AT1247" s="14">
        <f>AK1247/AO1247</f>
        <v>0.78326106561249376</v>
      </c>
      <c r="AU1247" s="14" t="s">
        <v>276</v>
      </c>
      <c r="AV1247" s="14" t="s">
        <v>276</v>
      </c>
      <c r="AW1247" s="8" t="s">
        <v>276</v>
      </c>
      <c r="AX1247" s="8" t="s">
        <v>276</v>
      </c>
      <c r="AY1247" s="8" t="s">
        <v>98</v>
      </c>
      <c r="AZ1247" s="8" t="s">
        <v>98</v>
      </c>
      <c r="BA1247" s="8" t="s">
        <v>98</v>
      </c>
      <c r="BB1247" s="8" t="s">
        <v>98</v>
      </c>
      <c r="BC1247" s="9" t="s">
        <v>10637</v>
      </c>
      <c r="BD1247" s="9"/>
      <c r="BE1247" s="33" t="s">
        <v>100</v>
      </c>
      <c r="BF1247" s="33" t="s">
        <v>98</v>
      </c>
    </row>
    <row r="1248" spans="1:58" s="7" customFormat="1" ht="65" x14ac:dyDescent="0.3">
      <c r="A1248" s="8">
        <v>996</v>
      </c>
      <c r="B1248" s="8" t="s">
        <v>10625</v>
      </c>
      <c r="C1248" s="8" t="s">
        <v>11079</v>
      </c>
      <c r="D1248" s="9" t="s">
        <v>10638</v>
      </c>
      <c r="E1248" s="8" t="s">
        <v>36</v>
      </c>
      <c r="F1248" s="9" t="s">
        <v>134</v>
      </c>
      <c r="G1248" s="8" t="s">
        <v>225</v>
      </c>
      <c r="H1248" s="8" t="s">
        <v>125</v>
      </c>
      <c r="I1248" s="8" t="s">
        <v>114</v>
      </c>
      <c r="J1248" s="9" t="s">
        <v>24</v>
      </c>
      <c r="K1248" s="9" t="s">
        <v>10627</v>
      </c>
      <c r="L1248" s="9" t="s">
        <v>10633</v>
      </c>
      <c r="M1248" s="8" t="s">
        <v>1538</v>
      </c>
      <c r="N1248" s="11" t="s">
        <v>98</v>
      </c>
      <c r="O1248" s="12" t="s">
        <v>207</v>
      </c>
      <c r="P1248" s="41">
        <v>40178</v>
      </c>
      <c r="Q1248" s="9" t="s">
        <v>752</v>
      </c>
      <c r="R1248" s="13" t="s">
        <v>10639</v>
      </c>
      <c r="S1248" s="13" t="s">
        <v>10640</v>
      </c>
      <c r="T1248" s="9">
        <v>2</v>
      </c>
      <c r="U1248" s="13">
        <v>77445</v>
      </c>
      <c r="V1248" s="38">
        <v>77455</v>
      </c>
      <c r="W1248" s="8" t="s">
        <v>276</v>
      </c>
      <c r="X1248" s="8" t="s">
        <v>276</v>
      </c>
      <c r="Y1248" s="8" t="s">
        <v>276</v>
      </c>
      <c r="Z1248" s="9" t="s">
        <v>1562</v>
      </c>
      <c r="AA1248" s="8" t="s">
        <v>276</v>
      </c>
      <c r="AB1248" s="9" t="s">
        <v>1562</v>
      </c>
      <c r="AC1248" s="9" t="s">
        <v>10641</v>
      </c>
      <c r="AD1248" s="9" t="s">
        <v>1487</v>
      </c>
      <c r="AE1248" s="8">
        <v>198</v>
      </c>
      <c r="AF1248" s="8">
        <v>228</v>
      </c>
      <c r="AG1248" s="13">
        <v>670832</v>
      </c>
      <c r="AH1248" s="13">
        <v>670526</v>
      </c>
      <c r="AI1248" s="38" t="s">
        <v>4702</v>
      </c>
      <c r="AJ1248" s="14" t="s">
        <v>276</v>
      </c>
      <c r="AK1248" s="31">
        <f t="shared" si="181"/>
        <v>2.951558661483054</v>
      </c>
      <c r="AL1248" s="14" t="s">
        <v>276</v>
      </c>
      <c r="AM1248" s="14" t="s">
        <v>276</v>
      </c>
      <c r="AN1248" s="14" t="s">
        <v>276</v>
      </c>
      <c r="AO1248" s="31">
        <f t="shared" ref="AO1248:AO1252" si="182">AF1248/AH1248*10000</f>
        <v>3.4003155731470516</v>
      </c>
      <c r="AP1248" s="14" t="s">
        <v>276</v>
      </c>
      <c r="AQ1248" s="14" t="s">
        <v>276</v>
      </c>
      <c r="AR1248" s="8" t="s">
        <v>269</v>
      </c>
      <c r="AS1248" s="14" t="s">
        <v>276</v>
      </c>
      <c r="AT1248" s="14">
        <f t="shared" ref="AT1248:AT1252" si="183">AK1248/AO1248</f>
        <v>0.86802492239016948</v>
      </c>
      <c r="AU1248" s="14" t="s">
        <v>276</v>
      </c>
      <c r="AV1248" s="14" t="s">
        <v>276</v>
      </c>
      <c r="AW1248" s="8" t="s">
        <v>276</v>
      </c>
      <c r="AX1248" s="8" t="s">
        <v>276</v>
      </c>
      <c r="AY1248" s="8" t="s">
        <v>98</v>
      </c>
      <c r="AZ1248" s="8" t="s">
        <v>98</v>
      </c>
      <c r="BA1248" s="8" t="s">
        <v>98</v>
      </c>
      <c r="BB1248" s="8" t="s">
        <v>98</v>
      </c>
      <c r="BC1248" s="9" t="s">
        <v>10637</v>
      </c>
      <c r="BD1248" s="9"/>
      <c r="BE1248" s="33" t="s">
        <v>100</v>
      </c>
      <c r="BF1248" s="33" t="s">
        <v>98</v>
      </c>
    </row>
    <row r="1249" spans="1:58" s="7" customFormat="1" ht="65" x14ac:dyDescent="0.3">
      <c r="A1249" s="8">
        <v>996</v>
      </c>
      <c r="B1249" s="8" t="s">
        <v>10625</v>
      </c>
      <c r="C1249" s="8" t="s">
        <v>11079</v>
      </c>
      <c r="D1249" s="9" t="s">
        <v>10642</v>
      </c>
      <c r="E1249" s="8" t="s">
        <v>36</v>
      </c>
      <c r="F1249" s="9" t="s">
        <v>134</v>
      </c>
      <c r="G1249" s="8" t="s">
        <v>225</v>
      </c>
      <c r="H1249" s="8" t="s">
        <v>125</v>
      </c>
      <c r="I1249" s="8" t="s">
        <v>114</v>
      </c>
      <c r="J1249" s="9" t="s">
        <v>24</v>
      </c>
      <c r="K1249" s="9" t="s">
        <v>10627</v>
      </c>
      <c r="L1249" s="9" t="s">
        <v>10633</v>
      </c>
      <c r="M1249" s="8" t="s">
        <v>1538</v>
      </c>
      <c r="N1249" s="11" t="s">
        <v>98</v>
      </c>
      <c r="O1249" s="12" t="s">
        <v>207</v>
      </c>
      <c r="P1249" s="41" t="s">
        <v>98</v>
      </c>
      <c r="Q1249" s="9" t="s">
        <v>741</v>
      </c>
      <c r="R1249" s="13" t="s">
        <v>10643</v>
      </c>
      <c r="S1249" s="13" t="s">
        <v>10644</v>
      </c>
      <c r="T1249" s="9">
        <v>2</v>
      </c>
      <c r="U1249" s="13">
        <v>77445</v>
      </c>
      <c r="V1249" s="38">
        <v>77455</v>
      </c>
      <c r="W1249" s="8" t="s">
        <v>276</v>
      </c>
      <c r="X1249" s="8" t="s">
        <v>276</v>
      </c>
      <c r="Y1249" s="8" t="s">
        <v>276</v>
      </c>
      <c r="Z1249" s="9" t="s">
        <v>1562</v>
      </c>
      <c r="AA1249" s="8" t="s">
        <v>276</v>
      </c>
      <c r="AB1249" s="9" t="s">
        <v>1562</v>
      </c>
      <c r="AC1249" s="9" t="s">
        <v>10645</v>
      </c>
      <c r="AD1249" s="9" t="s">
        <v>1487</v>
      </c>
      <c r="AE1249" s="8">
        <v>135</v>
      </c>
      <c r="AF1249" s="8">
        <v>169</v>
      </c>
      <c r="AG1249" s="13">
        <v>528006</v>
      </c>
      <c r="AH1249" s="13">
        <v>527828</v>
      </c>
      <c r="AI1249" s="38" t="s">
        <v>4702</v>
      </c>
      <c r="AJ1249" s="14" t="s">
        <v>276</v>
      </c>
      <c r="AK1249" s="31">
        <f t="shared" si="181"/>
        <v>2.5567891273962799</v>
      </c>
      <c r="AL1249" s="14" t="s">
        <v>276</v>
      </c>
      <c r="AM1249" s="14" t="s">
        <v>276</v>
      </c>
      <c r="AN1249" s="14" t="s">
        <v>276</v>
      </c>
      <c r="AO1249" s="31">
        <f t="shared" si="182"/>
        <v>3.201800586554711</v>
      </c>
      <c r="AP1249" s="14" t="s">
        <v>276</v>
      </c>
      <c r="AQ1249" s="14" t="s">
        <v>276</v>
      </c>
      <c r="AR1249" s="8" t="s">
        <v>269</v>
      </c>
      <c r="AS1249" s="14" t="s">
        <v>276</v>
      </c>
      <c r="AT1249" s="14">
        <f t="shared" si="183"/>
        <v>0.79854727309782469</v>
      </c>
      <c r="AU1249" s="14" t="s">
        <v>276</v>
      </c>
      <c r="AV1249" s="14" t="s">
        <v>276</v>
      </c>
      <c r="AW1249" s="8" t="s">
        <v>276</v>
      </c>
      <c r="AX1249" s="8" t="s">
        <v>276</v>
      </c>
      <c r="AY1249" s="8" t="s">
        <v>98</v>
      </c>
      <c r="AZ1249" s="8" t="s">
        <v>98</v>
      </c>
      <c r="BA1249" s="8" t="s">
        <v>98</v>
      </c>
      <c r="BB1249" s="8" t="s">
        <v>98</v>
      </c>
      <c r="BC1249" s="9" t="s">
        <v>10637</v>
      </c>
      <c r="BD1249" s="9"/>
      <c r="BE1249" s="33" t="s">
        <v>100</v>
      </c>
      <c r="BF1249" s="33" t="s">
        <v>98</v>
      </c>
    </row>
    <row r="1250" spans="1:58" s="7" customFormat="1" ht="65" x14ac:dyDescent="0.3">
      <c r="A1250" s="8">
        <v>996</v>
      </c>
      <c r="B1250" s="8" t="s">
        <v>10625</v>
      </c>
      <c r="C1250" s="8" t="s">
        <v>11079</v>
      </c>
      <c r="D1250" s="9" t="s">
        <v>10646</v>
      </c>
      <c r="E1250" s="8" t="s">
        <v>36</v>
      </c>
      <c r="F1250" s="9" t="s">
        <v>134</v>
      </c>
      <c r="G1250" s="8" t="s">
        <v>225</v>
      </c>
      <c r="H1250" s="8" t="s">
        <v>125</v>
      </c>
      <c r="I1250" s="8" t="s">
        <v>114</v>
      </c>
      <c r="J1250" s="9" t="s">
        <v>24</v>
      </c>
      <c r="K1250" s="9" t="s">
        <v>10627</v>
      </c>
      <c r="L1250" s="9" t="s">
        <v>10633</v>
      </c>
      <c r="M1250" s="8" t="s">
        <v>1538</v>
      </c>
      <c r="N1250" s="11" t="s">
        <v>98</v>
      </c>
      <c r="O1250" s="12" t="s">
        <v>207</v>
      </c>
      <c r="P1250" s="41" t="s">
        <v>98</v>
      </c>
      <c r="Q1250" s="9" t="s">
        <v>728</v>
      </c>
      <c r="R1250" s="13" t="s">
        <v>10647</v>
      </c>
      <c r="S1250" s="13" t="s">
        <v>10648</v>
      </c>
      <c r="T1250" s="51" t="s">
        <v>2331</v>
      </c>
      <c r="U1250" s="13">
        <v>77445</v>
      </c>
      <c r="V1250" s="38">
        <v>77455</v>
      </c>
      <c r="W1250" s="8" t="s">
        <v>276</v>
      </c>
      <c r="X1250" s="8" t="s">
        <v>276</v>
      </c>
      <c r="Y1250" s="8" t="s">
        <v>276</v>
      </c>
      <c r="Z1250" s="9" t="s">
        <v>1562</v>
      </c>
      <c r="AA1250" s="8" t="s">
        <v>276</v>
      </c>
      <c r="AB1250" s="9" t="s">
        <v>1562</v>
      </c>
      <c r="AC1250" s="9" t="s">
        <v>10649</v>
      </c>
      <c r="AD1250" s="9" t="s">
        <v>1487</v>
      </c>
      <c r="AE1250" s="8">
        <v>83</v>
      </c>
      <c r="AF1250" s="8">
        <v>114</v>
      </c>
      <c r="AG1250" s="13">
        <v>380730</v>
      </c>
      <c r="AH1250" s="13">
        <v>380731</v>
      </c>
      <c r="AI1250" s="38" t="s">
        <v>4702</v>
      </c>
      <c r="AJ1250" s="14" t="s">
        <v>276</v>
      </c>
      <c r="AK1250" s="31">
        <f t="shared" si="181"/>
        <v>2.1800225881858535</v>
      </c>
      <c r="AL1250" s="14" t="s">
        <v>276</v>
      </c>
      <c r="AM1250" s="14" t="s">
        <v>276</v>
      </c>
      <c r="AN1250" s="14" t="s">
        <v>276</v>
      </c>
      <c r="AO1250" s="31">
        <f t="shared" si="182"/>
        <v>2.9942400277361183</v>
      </c>
      <c r="AP1250" s="14" t="s">
        <v>276</v>
      </c>
      <c r="AQ1250" s="14" t="s">
        <v>276</v>
      </c>
      <c r="AR1250" s="8" t="s">
        <v>269</v>
      </c>
      <c r="AS1250" s="14" t="s">
        <v>276</v>
      </c>
      <c r="AT1250" s="14">
        <f t="shared" si="183"/>
        <v>0.72807208773911236</v>
      </c>
      <c r="AU1250" s="14" t="s">
        <v>276</v>
      </c>
      <c r="AV1250" s="14" t="s">
        <v>276</v>
      </c>
      <c r="AW1250" s="8" t="s">
        <v>276</v>
      </c>
      <c r="AX1250" s="8" t="s">
        <v>276</v>
      </c>
      <c r="AY1250" s="8" t="s">
        <v>98</v>
      </c>
      <c r="AZ1250" s="8" t="s">
        <v>98</v>
      </c>
      <c r="BA1250" s="8" t="s">
        <v>98</v>
      </c>
      <c r="BB1250" s="8" t="s">
        <v>98</v>
      </c>
      <c r="BC1250" s="9" t="s">
        <v>10637</v>
      </c>
      <c r="BD1250" s="9"/>
      <c r="BE1250" s="33" t="s">
        <v>100</v>
      </c>
      <c r="BF1250" s="33" t="s">
        <v>98</v>
      </c>
    </row>
    <row r="1251" spans="1:58" s="7" customFormat="1" ht="65" x14ac:dyDescent="0.3">
      <c r="A1251" s="8">
        <v>996</v>
      </c>
      <c r="B1251" s="8" t="s">
        <v>10625</v>
      </c>
      <c r="C1251" s="8" t="s">
        <v>11079</v>
      </c>
      <c r="D1251" s="9" t="s">
        <v>10650</v>
      </c>
      <c r="E1251" s="8" t="s">
        <v>36</v>
      </c>
      <c r="F1251" s="9" t="s">
        <v>134</v>
      </c>
      <c r="G1251" s="8" t="s">
        <v>225</v>
      </c>
      <c r="H1251" s="8" t="s">
        <v>125</v>
      </c>
      <c r="I1251" s="8" t="s">
        <v>114</v>
      </c>
      <c r="J1251" s="9" t="s">
        <v>24</v>
      </c>
      <c r="K1251" s="9" t="s">
        <v>10627</v>
      </c>
      <c r="L1251" s="9" t="s">
        <v>10633</v>
      </c>
      <c r="M1251" s="8" t="s">
        <v>1538</v>
      </c>
      <c r="N1251" s="11" t="s">
        <v>98</v>
      </c>
      <c r="O1251" s="12" t="s">
        <v>207</v>
      </c>
      <c r="P1251" s="41" t="s">
        <v>98</v>
      </c>
      <c r="Q1251" s="9" t="s">
        <v>686</v>
      </c>
      <c r="R1251" s="13" t="s">
        <v>10651</v>
      </c>
      <c r="S1251" s="13" t="s">
        <v>10652</v>
      </c>
      <c r="T1251" s="51" t="s">
        <v>1212</v>
      </c>
      <c r="U1251" s="13">
        <v>77445</v>
      </c>
      <c r="V1251" s="38">
        <v>77455</v>
      </c>
      <c r="W1251" s="8" t="s">
        <v>276</v>
      </c>
      <c r="X1251" s="8" t="s">
        <v>276</v>
      </c>
      <c r="Y1251" s="8" t="s">
        <v>276</v>
      </c>
      <c r="Z1251" s="9" t="s">
        <v>1562</v>
      </c>
      <c r="AA1251" s="8" t="s">
        <v>276</v>
      </c>
      <c r="AB1251" s="9" t="s">
        <v>1562</v>
      </c>
      <c r="AC1251" s="9" t="s">
        <v>10653</v>
      </c>
      <c r="AD1251" s="9" t="s">
        <v>1487</v>
      </c>
      <c r="AE1251" s="8">
        <v>39</v>
      </c>
      <c r="AF1251" s="8">
        <v>51</v>
      </c>
      <c r="AG1251" s="13">
        <v>230295</v>
      </c>
      <c r="AH1251" s="13">
        <v>230354</v>
      </c>
      <c r="AI1251" s="38" t="s">
        <v>4702</v>
      </c>
      <c r="AJ1251" s="14" t="s">
        <v>276</v>
      </c>
      <c r="AK1251" s="31">
        <f t="shared" si="181"/>
        <v>1.6934801016088061</v>
      </c>
      <c r="AL1251" s="14" t="s">
        <v>276</v>
      </c>
      <c r="AM1251" s="14" t="s">
        <v>276</v>
      </c>
      <c r="AN1251" s="14" t="s">
        <v>276</v>
      </c>
      <c r="AO1251" s="31">
        <f t="shared" si="182"/>
        <v>2.2139836946612603</v>
      </c>
      <c r="AP1251" s="14" t="s">
        <v>276</v>
      </c>
      <c r="AQ1251" s="14" t="s">
        <v>276</v>
      </c>
      <c r="AR1251" s="8" t="s">
        <v>269</v>
      </c>
      <c r="AS1251" s="14" t="s">
        <v>276</v>
      </c>
      <c r="AT1251" s="14">
        <f t="shared" si="183"/>
        <v>0.76490179475685283</v>
      </c>
      <c r="AU1251" s="14" t="s">
        <v>276</v>
      </c>
      <c r="AV1251" s="14" t="s">
        <v>276</v>
      </c>
      <c r="AW1251" s="8" t="s">
        <v>276</v>
      </c>
      <c r="AX1251" s="8" t="s">
        <v>276</v>
      </c>
      <c r="AY1251" s="8" t="s">
        <v>98</v>
      </c>
      <c r="AZ1251" s="8" t="s">
        <v>98</v>
      </c>
      <c r="BA1251" s="8" t="s">
        <v>98</v>
      </c>
      <c r="BB1251" s="8" t="s">
        <v>98</v>
      </c>
      <c r="BC1251" s="9" t="s">
        <v>10637</v>
      </c>
      <c r="BD1251" s="9"/>
      <c r="BE1251" s="33" t="s">
        <v>100</v>
      </c>
      <c r="BF1251" s="33" t="s">
        <v>98</v>
      </c>
    </row>
    <row r="1252" spans="1:58" s="7" customFormat="1" ht="65" x14ac:dyDescent="0.3">
      <c r="A1252" s="8">
        <v>996</v>
      </c>
      <c r="B1252" s="8" t="s">
        <v>10625</v>
      </c>
      <c r="C1252" s="8" t="s">
        <v>11079</v>
      </c>
      <c r="D1252" s="9" t="s">
        <v>10654</v>
      </c>
      <c r="E1252" s="8" t="s">
        <v>36</v>
      </c>
      <c r="F1252" s="9" t="s">
        <v>134</v>
      </c>
      <c r="G1252" s="8" t="s">
        <v>225</v>
      </c>
      <c r="H1252" s="8" t="s">
        <v>125</v>
      </c>
      <c r="I1252" s="8" t="s">
        <v>114</v>
      </c>
      <c r="J1252" s="9" t="s">
        <v>24</v>
      </c>
      <c r="K1252" s="9" t="s">
        <v>10627</v>
      </c>
      <c r="L1252" s="9" t="s">
        <v>10633</v>
      </c>
      <c r="M1252" s="8" t="s">
        <v>1538</v>
      </c>
      <c r="N1252" s="11" t="s">
        <v>98</v>
      </c>
      <c r="O1252" s="12" t="s">
        <v>207</v>
      </c>
      <c r="P1252" s="41" t="s">
        <v>98</v>
      </c>
      <c r="Q1252" s="9" t="s">
        <v>705</v>
      </c>
      <c r="R1252" s="13" t="s">
        <v>10655</v>
      </c>
      <c r="S1252" s="13" t="s">
        <v>10656</v>
      </c>
      <c r="T1252" s="51" t="s">
        <v>1212</v>
      </c>
      <c r="U1252" s="13">
        <v>77445</v>
      </c>
      <c r="V1252" s="38">
        <v>77455</v>
      </c>
      <c r="W1252" s="8" t="s">
        <v>276</v>
      </c>
      <c r="X1252" s="8" t="s">
        <v>276</v>
      </c>
      <c r="Y1252" s="8" t="s">
        <v>276</v>
      </c>
      <c r="Z1252" s="9" t="s">
        <v>1562</v>
      </c>
      <c r="AA1252" s="8" t="s">
        <v>276</v>
      </c>
      <c r="AB1252" s="9" t="s">
        <v>1562</v>
      </c>
      <c r="AC1252" s="9" t="s">
        <v>10657</v>
      </c>
      <c r="AD1252" s="9" t="s">
        <v>1487</v>
      </c>
      <c r="AE1252" s="8">
        <v>6</v>
      </c>
      <c r="AF1252" s="8">
        <v>6</v>
      </c>
      <c r="AG1252" s="13">
        <v>77276</v>
      </c>
      <c r="AH1252" s="13">
        <v>77228</v>
      </c>
      <c r="AI1252" s="38" t="s">
        <v>4702</v>
      </c>
      <c r="AJ1252" s="14" t="s">
        <v>276</v>
      </c>
      <c r="AK1252" s="31">
        <f t="shared" si="181"/>
        <v>0.77643770381489718</v>
      </c>
      <c r="AL1252" s="14" t="s">
        <v>276</v>
      </c>
      <c r="AM1252" s="14" t="s">
        <v>276</v>
      </c>
      <c r="AN1252" s="14" t="s">
        <v>276</v>
      </c>
      <c r="AO1252" s="31">
        <f t="shared" si="182"/>
        <v>0.77692028797845336</v>
      </c>
      <c r="AP1252" s="14" t="s">
        <v>276</v>
      </c>
      <c r="AQ1252" s="14" t="s">
        <v>276</v>
      </c>
      <c r="AR1252" s="8" t="s">
        <v>269</v>
      </c>
      <c r="AS1252" s="14" t="s">
        <v>276</v>
      </c>
      <c r="AT1252" s="14">
        <f t="shared" si="183"/>
        <v>0.99937884983694802</v>
      </c>
      <c r="AU1252" s="14" t="s">
        <v>276</v>
      </c>
      <c r="AV1252" s="14" t="s">
        <v>276</v>
      </c>
      <c r="AW1252" s="8" t="s">
        <v>276</v>
      </c>
      <c r="AX1252" s="8" t="s">
        <v>276</v>
      </c>
      <c r="AY1252" s="8" t="s">
        <v>98</v>
      </c>
      <c r="AZ1252" s="8" t="s">
        <v>98</v>
      </c>
      <c r="BA1252" s="8" t="s">
        <v>98</v>
      </c>
      <c r="BB1252" s="8" t="s">
        <v>98</v>
      </c>
      <c r="BC1252" s="9" t="s">
        <v>10637</v>
      </c>
      <c r="BD1252" s="9"/>
      <c r="BE1252" s="33" t="s">
        <v>100</v>
      </c>
      <c r="BF1252" s="33" t="s">
        <v>98</v>
      </c>
    </row>
    <row r="1253" spans="1:58" s="7" customFormat="1" ht="65" x14ac:dyDescent="0.3">
      <c r="A1253" s="8">
        <v>996</v>
      </c>
      <c r="B1253" s="8" t="s">
        <v>10625</v>
      </c>
      <c r="C1253" s="8" t="s">
        <v>11079</v>
      </c>
      <c r="D1253" s="9" t="s">
        <v>10658</v>
      </c>
      <c r="E1253" s="8" t="s">
        <v>36</v>
      </c>
      <c r="F1253" s="9" t="s">
        <v>134</v>
      </c>
      <c r="G1253" s="8" t="s">
        <v>225</v>
      </c>
      <c r="H1253" s="8" t="s">
        <v>125</v>
      </c>
      <c r="I1253" s="8" t="s">
        <v>114</v>
      </c>
      <c r="J1253" s="9" t="s">
        <v>24</v>
      </c>
      <c r="K1253" s="9" t="s">
        <v>10627</v>
      </c>
      <c r="L1253" s="9" t="s">
        <v>10628</v>
      </c>
      <c r="M1253" s="8" t="s">
        <v>1538</v>
      </c>
      <c r="N1253" s="11" t="s">
        <v>98</v>
      </c>
      <c r="O1253" s="12" t="s">
        <v>207</v>
      </c>
      <c r="P1253" s="41">
        <v>40178</v>
      </c>
      <c r="Q1253" s="9" t="s">
        <v>776</v>
      </c>
      <c r="R1253" s="9" t="s">
        <v>10629</v>
      </c>
      <c r="S1253" s="9" t="s">
        <v>10629</v>
      </c>
      <c r="T1253" s="9">
        <v>2</v>
      </c>
      <c r="U1253" s="13">
        <v>77445</v>
      </c>
      <c r="V1253" s="38">
        <v>77455</v>
      </c>
      <c r="W1253" s="8" t="s">
        <v>276</v>
      </c>
      <c r="X1253" s="8" t="s">
        <v>276</v>
      </c>
      <c r="Y1253" s="8" t="s">
        <v>276</v>
      </c>
      <c r="Z1253" s="9" t="s">
        <v>10659</v>
      </c>
      <c r="AA1253" s="8" t="s">
        <v>276</v>
      </c>
      <c r="AB1253" s="9" t="s">
        <v>10660</v>
      </c>
      <c r="AC1253" s="9" t="s">
        <v>10661</v>
      </c>
      <c r="AD1253" s="9" t="s">
        <v>1487</v>
      </c>
      <c r="AE1253" s="8">
        <v>87</v>
      </c>
      <c r="AF1253" s="8">
        <v>175</v>
      </c>
      <c r="AG1253" s="13">
        <v>871930</v>
      </c>
      <c r="AH1253" s="13">
        <v>871275</v>
      </c>
      <c r="AI1253" s="38" t="s">
        <v>4702</v>
      </c>
      <c r="AJ1253" s="43">
        <v>1</v>
      </c>
      <c r="AK1253" s="31">
        <f t="shared" si="181"/>
        <v>0.99778651956005637</v>
      </c>
      <c r="AL1253" s="43">
        <v>0.8</v>
      </c>
      <c r="AM1253" s="43">
        <v>1.2</v>
      </c>
      <c r="AN1253" s="43">
        <v>2</v>
      </c>
      <c r="AO1253" s="31">
        <f>AF1253/AH1253*10000</f>
        <v>2.0085506872112711</v>
      </c>
      <c r="AP1253" s="43">
        <v>1.7</v>
      </c>
      <c r="AQ1253" s="43">
        <v>2.2999999999999998</v>
      </c>
      <c r="AR1253" s="8" t="s">
        <v>269</v>
      </c>
      <c r="AS1253" s="14">
        <v>0.5</v>
      </c>
      <c r="AT1253" s="14">
        <f>AK1253/AO1253</f>
        <v>0.49676939990267888</v>
      </c>
      <c r="AU1253" s="14">
        <v>0.38</v>
      </c>
      <c r="AV1253" s="14">
        <v>0.64</v>
      </c>
      <c r="AW1253" s="8" t="s">
        <v>431</v>
      </c>
      <c r="AX1253" s="8" t="s">
        <v>276</v>
      </c>
      <c r="AY1253" s="8" t="s">
        <v>98</v>
      </c>
      <c r="AZ1253" s="8" t="s">
        <v>98</v>
      </c>
      <c r="BA1253" s="8" t="s">
        <v>98</v>
      </c>
      <c r="BB1253" s="8" t="s">
        <v>98</v>
      </c>
      <c r="BC1253" s="9" t="s">
        <v>10662</v>
      </c>
      <c r="BD1253" s="9" t="s">
        <v>10663</v>
      </c>
      <c r="BE1253" s="33" t="s">
        <v>100</v>
      </c>
      <c r="BF1253" s="33" t="s">
        <v>98</v>
      </c>
    </row>
    <row r="1254" spans="1:58" s="7" customFormat="1" ht="65" x14ac:dyDescent="0.3">
      <c r="A1254" s="8">
        <v>996</v>
      </c>
      <c r="B1254" s="8" t="s">
        <v>10625</v>
      </c>
      <c r="C1254" s="8" t="s">
        <v>11079</v>
      </c>
      <c r="D1254" s="9" t="s">
        <v>10664</v>
      </c>
      <c r="E1254" s="8" t="s">
        <v>36</v>
      </c>
      <c r="F1254" s="9" t="s">
        <v>134</v>
      </c>
      <c r="G1254" s="8" t="s">
        <v>225</v>
      </c>
      <c r="H1254" s="8" t="s">
        <v>125</v>
      </c>
      <c r="I1254" s="8" t="s">
        <v>114</v>
      </c>
      <c r="J1254" s="9" t="s">
        <v>24</v>
      </c>
      <c r="K1254" s="9" t="s">
        <v>10627</v>
      </c>
      <c r="L1254" s="9" t="s">
        <v>10633</v>
      </c>
      <c r="M1254" s="8" t="s">
        <v>1538</v>
      </c>
      <c r="N1254" s="11" t="s">
        <v>98</v>
      </c>
      <c r="O1254" s="12" t="s">
        <v>207</v>
      </c>
      <c r="P1254" s="41">
        <v>40178</v>
      </c>
      <c r="Q1254" s="9" t="s">
        <v>770</v>
      </c>
      <c r="R1254" s="13" t="s">
        <v>10634</v>
      </c>
      <c r="S1254" s="13" t="s">
        <v>10635</v>
      </c>
      <c r="T1254" s="9">
        <v>2</v>
      </c>
      <c r="U1254" s="13">
        <v>77445</v>
      </c>
      <c r="V1254" s="38">
        <v>77455</v>
      </c>
      <c r="W1254" s="8" t="s">
        <v>276</v>
      </c>
      <c r="X1254" s="8" t="s">
        <v>276</v>
      </c>
      <c r="Y1254" s="8" t="s">
        <v>276</v>
      </c>
      <c r="Z1254" s="9" t="s">
        <v>1562</v>
      </c>
      <c r="AA1254" s="8" t="s">
        <v>276</v>
      </c>
      <c r="AB1254" s="9" t="s">
        <v>1562</v>
      </c>
      <c r="AC1254" s="9" t="s">
        <v>10665</v>
      </c>
      <c r="AD1254" s="9" t="s">
        <v>1487</v>
      </c>
      <c r="AE1254" s="8">
        <v>84</v>
      </c>
      <c r="AF1254" s="8">
        <v>156</v>
      </c>
      <c r="AG1254" s="13">
        <v>793203</v>
      </c>
      <c r="AH1254" s="13">
        <v>792674</v>
      </c>
      <c r="AI1254" s="38" t="s">
        <v>4702</v>
      </c>
      <c r="AJ1254" s="14" t="s">
        <v>276</v>
      </c>
      <c r="AK1254" s="31">
        <f t="shared" si="181"/>
        <v>1.0589975075737232</v>
      </c>
      <c r="AL1254" s="14" t="s">
        <v>276</v>
      </c>
      <c r="AM1254" s="14" t="s">
        <v>276</v>
      </c>
      <c r="AN1254" s="14" t="s">
        <v>276</v>
      </c>
      <c r="AO1254" s="31">
        <f>AF1254/AH1254*10000</f>
        <v>1.9680221629572812</v>
      </c>
      <c r="AP1254" s="14" t="s">
        <v>276</v>
      </c>
      <c r="AQ1254" s="14" t="s">
        <v>276</v>
      </c>
      <c r="AR1254" s="8" t="s">
        <v>269</v>
      </c>
      <c r="AS1254" s="14" t="s">
        <v>276</v>
      </c>
      <c r="AT1254" s="14">
        <f>AK1254/AO1254</f>
        <v>0.53810242969134203</v>
      </c>
      <c r="AU1254" s="14" t="s">
        <v>276</v>
      </c>
      <c r="AV1254" s="14" t="s">
        <v>276</v>
      </c>
      <c r="AW1254" s="8" t="s">
        <v>276</v>
      </c>
      <c r="AX1254" s="8" t="s">
        <v>276</v>
      </c>
      <c r="AY1254" s="8" t="s">
        <v>98</v>
      </c>
      <c r="AZ1254" s="8" t="s">
        <v>98</v>
      </c>
      <c r="BA1254" s="8" t="s">
        <v>98</v>
      </c>
      <c r="BB1254" s="8" t="s">
        <v>98</v>
      </c>
      <c r="BC1254" s="9" t="s">
        <v>10666</v>
      </c>
      <c r="BD1254" s="9"/>
      <c r="BE1254" s="33" t="s">
        <v>100</v>
      </c>
      <c r="BF1254" s="33" t="s">
        <v>98</v>
      </c>
    </row>
    <row r="1255" spans="1:58" s="7" customFormat="1" ht="65" x14ac:dyDescent="0.3">
      <c r="A1255" s="8">
        <v>996</v>
      </c>
      <c r="B1255" s="8" t="s">
        <v>10625</v>
      </c>
      <c r="C1255" s="8" t="s">
        <v>11079</v>
      </c>
      <c r="D1255" s="9" t="s">
        <v>10667</v>
      </c>
      <c r="E1255" s="8" t="s">
        <v>36</v>
      </c>
      <c r="F1255" s="9" t="s">
        <v>134</v>
      </c>
      <c r="G1255" s="8" t="s">
        <v>225</v>
      </c>
      <c r="H1255" s="8" t="s">
        <v>125</v>
      </c>
      <c r="I1255" s="8" t="s">
        <v>114</v>
      </c>
      <c r="J1255" s="9" t="s">
        <v>24</v>
      </c>
      <c r="K1255" s="9" t="s">
        <v>10627</v>
      </c>
      <c r="L1255" s="9" t="s">
        <v>10633</v>
      </c>
      <c r="M1255" s="8" t="s">
        <v>1538</v>
      </c>
      <c r="N1255" s="11" t="s">
        <v>98</v>
      </c>
      <c r="O1255" s="12" t="s">
        <v>207</v>
      </c>
      <c r="P1255" s="41">
        <v>40178</v>
      </c>
      <c r="Q1255" s="9" t="s">
        <v>752</v>
      </c>
      <c r="R1255" s="13" t="s">
        <v>10639</v>
      </c>
      <c r="S1255" s="13" t="s">
        <v>10640</v>
      </c>
      <c r="T1255" s="9">
        <v>2</v>
      </c>
      <c r="U1255" s="13">
        <v>77445</v>
      </c>
      <c r="V1255" s="38">
        <v>77455</v>
      </c>
      <c r="W1255" s="8" t="s">
        <v>276</v>
      </c>
      <c r="X1255" s="8" t="s">
        <v>276</v>
      </c>
      <c r="Y1255" s="8" t="s">
        <v>276</v>
      </c>
      <c r="Z1255" s="9" t="s">
        <v>1562</v>
      </c>
      <c r="AA1255" s="8" t="s">
        <v>276</v>
      </c>
      <c r="AB1255" s="9" t="s">
        <v>1562</v>
      </c>
      <c r="AC1255" s="9" t="s">
        <v>10668</v>
      </c>
      <c r="AD1255" s="9" t="s">
        <v>1487</v>
      </c>
      <c r="AE1255" s="8">
        <v>69</v>
      </c>
      <c r="AF1255" s="8">
        <v>123</v>
      </c>
      <c r="AG1255" s="13">
        <v>670832</v>
      </c>
      <c r="AH1255" s="13">
        <v>670526</v>
      </c>
      <c r="AI1255" s="38" t="s">
        <v>4702</v>
      </c>
      <c r="AJ1255" s="14" t="s">
        <v>276</v>
      </c>
      <c r="AK1255" s="31">
        <f t="shared" si="181"/>
        <v>1.0285734729410643</v>
      </c>
      <c r="AL1255" s="14" t="s">
        <v>276</v>
      </c>
      <c r="AM1255" s="14" t="s">
        <v>276</v>
      </c>
      <c r="AN1255" s="14" t="s">
        <v>276</v>
      </c>
      <c r="AO1255" s="31">
        <f t="shared" ref="AO1255:AO1259" si="184">AF1255/AH1255*10000</f>
        <v>1.8343807697240673</v>
      </c>
      <c r="AP1255" s="14" t="s">
        <v>276</v>
      </c>
      <c r="AQ1255" s="14" t="s">
        <v>276</v>
      </c>
      <c r="AR1255" s="8" t="s">
        <v>269</v>
      </c>
      <c r="AS1255" s="14" t="s">
        <v>276</v>
      </c>
      <c r="AT1255" s="14">
        <f t="shared" ref="AT1255:AT1259" si="185">AK1255/AO1255</f>
        <v>0.56071972074575616</v>
      </c>
      <c r="AU1255" s="14" t="s">
        <v>276</v>
      </c>
      <c r="AV1255" s="14" t="s">
        <v>276</v>
      </c>
      <c r="AW1255" s="8" t="s">
        <v>276</v>
      </c>
      <c r="AX1255" s="8" t="s">
        <v>276</v>
      </c>
      <c r="AY1255" s="8" t="s">
        <v>98</v>
      </c>
      <c r="AZ1255" s="8" t="s">
        <v>98</v>
      </c>
      <c r="BA1255" s="8" t="s">
        <v>98</v>
      </c>
      <c r="BB1255" s="8" t="s">
        <v>98</v>
      </c>
      <c r="BC1255" s="9" t="s">
        <v>10666</v>
      </c>
      <c r="BD1255" s="9"/>
      <c r="BE1255" s="33" t="s">
        <v>100</v>
      </c>
      <c r="BF1255" s="33" t="s">
        <v>98</v>
      </c>
    </row>
    <row r="1256" spans="1:58" s="7" customFormat="1" ht="65" x14ac:dyDescent="0.3">
      <c r="A1256" s="8">
        <v>996</v>
      </c>
      <c r="B1256" s="8" t="s">
        <v>10625</v>
      </c>
      <c r="C1256" s="8" t="s">
        <v>11079</v>
      </c>
      <c r="D1256" s="9" t="s">
        <v>10669</v>
      </c>
      <c r="E1256" s="8" t="s">
        <v>36</v>
      </c>
      <c r="F1256" s="9" t="s">
        <v>134</v>
      </c>
      <c r="G1256" s="8" t="s">
        <v>225</v>
      </c>
      <c r="H1256" s="8" t="s">
        <v>125</v>
      </c>
      <c r="I1256" s="8" t="s">
        <v>114</v>
      </c>
      <c r="J1256" s="9" t="s">
        <v>24</v>
      </c>
      <c r="K1256" s="9" t="s">
        <v>10627</v>
      </c>
      <c r="L1256" s="9" t="s">
        <v>10633</v>
      </c>
      <c r="M1256" s="8" t="s">
        <v>1538</v>
      </c>
      <c r="N1256" s="11" t="s">
        <v>98</v>
      </c>
      <c r="O1256" s="12" t="s">
        <v>207</v>
      </c>
      <c r="P1256" s="41" t="s">
        <v>98</v>
      </c>
      <c r="Q1256" s="9" t="s">
        <v>741</v>
      </c>
      <c r="R1256" s="13" t="s">
        <v>10643</v>
      </c>
      <c r="S1256" s="13" t="s">
        <v>10644</v>
      </c>
      <c r="T1256" s="9">
        <v>2</v>
      </c>
      <c r="U1256" s="13">
        <v>77445</v>
      </c>
      <c r="V1256" s="38">
        <v>77455</v>
      </c>
      <c r="W1256" s="8" t="s">
        <v>276</v>
      </c>
      <c r="X1256" s="8" t="s">
        <v>276</v>
      </c>
      <c r="Y1256" s="8" t="s">
        <v>276</v>
      </c>
      <c r="Z1256" s="9" t="s">
        <v>1562</v>
      </c>
      <c r="AA1256" s="8" t="s">
        <v>276</v>
      </c>
      <c r="AB1256" s="9" t="s">
        <v>1562</v>
      </c>
      <c r="AC1256" s="9" t="s">
        <v>10670</v>
      </c>
      <c r="AD1256" s="9" t="s">
        <v>1487</v>
      </c>
      <c r="AE1256" s="8">
        <v>51</v>
      </c>
      <c r="AF1256" s="8">
        <v>87</v>
      </c>
      <c r="AG1256" s="13">
        <v>528006</v>
      </c>
      <c r="AH1256" s="13">
        <v>527828</v>
      </c>
      <c r="AI1256" s="38" t="s">
        <v>4702</v>
      </c>
      <c r="AJ1256" s="14" t="s">
        <v>276</v>
      </c>
      <c r="AK1256" s="31">
        <f t="shared" si="181"/>
        <v>0.96589811479415</v>
      </c>
      <c r="AL1256" s="14" t="s">
        <v>276</v>
      </c>
      <c r="AM1256" s="14" t="s">
        <v>276</v>
      </c>
      <c r="AN1256" s="14" t="s">
        <v>276</v>
      </c>
      <c r="AO1256" s="31">
        <f t="shared" si="184"/>
        <v>1.6482642072796441</v>
      </c>
      <c r="AP1256" s="14" t="s">
        <v>276</v>
      </c>
      <c r="AQ1256" s="14" t="s">
        <v>276</v>
      </c>
      <c r="AR1256" s="8" t="s">
        <v>269</v>
      </c>
      <c r="AS1256" s="14" t="s">
        <v>276</v>
      </c>
      <c r="AT1256" s="14">
        <f t="shared" si="185"/>
        <v>0.58600927601789266</v>
      </c>
      <c r="AU1256" s="14" t="s">
        <v>276</v>
      </c>
      <c r="AV1256" s="14" t="s">
        <v>276</v>
      </c>
      <c r="AW1256" s="8" t="s">
        <v>276</v>
      </c>
      <c r="AX1256" s="8" t="s">
        <v>276</v>
      </c>
      <c r="AY1256" s="8" t="s">
        <v>98</v>
      </c>
      <c r="AZ1256" s="8" t="s">
        <v>98</v>
      </c>
      <c r="BA1256" s="8" t="s">
        <v>98</v>
      </c>
      <c r="BB1256" s="8" t="s">
        <v>98</v>
      </c>
      <c r="BC1256" s="9" t="s">
        <v>10666</v>
      </c>
      <c r="BD1256" s="9"/>
      <c r="BE1256" s="33" t="s">
        <v>100</v>
      </c>
      <c r="BF1256" s="33" t="s">
        <v>98</v>
      </c>
    </row>
    <row r="1257" spans="1:58" s="7" customFormat="1" ht="65" x14ac:dyDescent="0.3">
      <c r="A1257" s="8">
        <v>996</v>
      </c>
      <c r="B1257" s="8" t="s">
        <v>10625</v>
      </c>
      <c r="C1257" s="8" t="s">
        <v>11079</v>
      </c>
      <c r="D1257" s="9" t="s">
        <v>10671</v>
      </c>
      <c r="E1257" s="8" t="s">
        <v>36</v>
      </c>
      <c r="F1257" s="9" t="s">
        <v>134</v>
      </c>
      <c r="G1257" s="8" t="s">
        <v>225</v>
      </c>
      <c r="H1257" s="8" t="s">
        <v>125</v>
      </c>
      <c r="I1257" s="8" t="s">
        <v>114</v>
      </c>
      <c r="J1257" s="9" t="s">
        <v>24</v>
      </c>
      <c r="K1257" s="9" t="s">
        <v>10627</v>
      </c>
      <c r="L1257" s="9" t="s">
        <v>10633</v>
      </c>
      <c r="M1257" s="8" t="s">
        <v>1538</v>
      </c>
      <c r="N1257" s="11" t="s">
        <v>98</v>
      </c>
      <c r="O1257" s="12" t="s">
        <v>207</v>
      </c>
      <c r="P1257" s="41" t="s">
        <v>98</v>
      </c>
      <c r="Q1257" s="9" t="s">
        <v>728</v>
      </c>
      <c r="R1257" s="13" t="s">
        <v>10647</v>
      </c>
      <c r="S1257" s="13" t="s">
        <v>10648</v>
      </c>
      <c r="T1257" s="51" t="s">
        <v>2331</v>
      </c>
      <c r="U1257" s="13">
        <v>77445</v>
      </c>
      <c r="V1257" s="38">
        <v>77455</v>
      </c>
      <c r="W1257" s="8" t="s">
        <v>276</v>
      </c>
      <c r="X1257" s="8" t="s">
        <v>276</v>
      </c>
      <c r="Y1257" s="8" t="s">
        <v>276</v>
      </c>
      <c r="Z1257" s="9" t="s">
        <v>1562</v>
      </c>
      <c r="AA1257" s="8" t="s">
        <v>276</v>
      </c>
      <c r="AB1257" s="9" t="s">
        <v>1562</v>
      </c>
      <c r="AC1257" s="9" t="s">
        <v>10672</v>
      </c>
      <c r="AD1257" s="9" t="s">
        <v>1487</v>
      </c>
      <c r="AE1257" s="8">
        <v>27</v>
      </c>
      <c r="AF1257" s="8">
        <v>58</v>
      </c>
      <c r="AG1257" s="13">
        <v>380730</v>
      </c>
      <c r="AH1257" s="13">
        <v>380731</v>
      </c>
      <c r="AI1257" s="38" t="s">
        <v>4702</v>
      </c>
      <c r="AJ1257" s="14" t="s">
        <v>276</v>
      </c>
      <c r="AK1257" s="31">
        <f t="shared" si="181"/>
        <v>0.70916397447009694</v>
      </c>
      <c r="AL1257" s="14" t="s">
        <v>276</v>
      </c>
      <c r="AM1257" s="14" t="s">
        <v>276</v>
      </c>
      <c r="AN1257" s="14" t="s">
        <v>276</v>
      </c>
      <c r="AO1257" s="31">
        <f t="shared" si="184"/>
        <v>1.5233852772692531</v>
      </c>
      <c r="AP1257" s="14" t="s">
        <v>276</v>
      </c>
      <c r="AQ1257" s="14" t="s">
        <v>276</v>
      </c>
      <c r="AR1257" s="8" t="s">
        <v>269</v>
      </c>
      <c r="AS1257" s="14" t="s">
        <v>276</v>
      </c>
      <c r="AT1257" s="14">
        <f t="shared" si="185"/>
        <v>0.46551846407581804</v>
      </c>
      <c r="AU1257" s="14" t="s">
        <v>276</v>
      </c>
      <c r="AV1257" s="14" t="s">
        <v>276</v>
      </c>
      <c r="AW1257" s="8" t="s">
        <v>276</v>
      </c>
      <c r="AX1257" s="8" t="s">
        <v>276</v>
      </c>
      <c r="AY1257" s="8" t="s">
        <v>98</v>
      </c>
      <c r="AZ1257" s="8" t="s">
        <v>98</v>
      </c>
      <c r="BA1257" s="8" t="s">
        <v>98</v>
      </c>
      <c r="BB1257" s="8" t="s">
        <v>98</v>
      </c>
      <c r="BC1257" s="9" t="s">
        <v>10666</v>
      </c>
      <c r="BD1257" s="9"/>
      <c r="BE1257" s="33" t="s">
        <v>100</v>
      </c>
      <c r="BF1257" s="33" t="s">
        <v>98</v>
      </c>
    </row>
    <row r="1258" spans="1:58" s="7" customFormat="1" ht="65" x14ac:dyDescent="0.3">
      <c r="A1258" s="8">
        <v>996</v>
      </c>
      <c r="B1258" s="8" t="s">
        <v>10625</v>
      </c>
      <c r="C1258" s="8" t="s">
        <v>11079</v>
      </c>
      <c r="D1258" s="9" t="s">
        <v>10673</v>
      </c>
      <c r="E1258" s="8" t="s">
        <v>36</v>
      </c>
      <c r="F1258" s="9" t="s">
        <v>134</v>
      </c>
      <c r="G1258" s="8" t="s">
        <v>225</v>
      </c>
      <c r="H1258" s="8" t="s">
        <v>125</v>
      </c>
      <c r="I1258" s="8" t="s">
        <v>114</v>
      </c>
      <c r="J1258" s="9" t="s">
        <v>24</v>
      </c>
      <c r="K1258" s="9" t="s">
        <v>10627</v>
      </c>
      <c r="L1258" s="9" t="s">
        <v>10633</v>
      </c>
      <c r="M1258" s="8" t="s">
        <v>1538</v>
      </c>
      <c r="N1258" s="11" t="s">
        <v>98</v>
      </c>
      <c r="O1258" s="12" t="s">
        <v>207</v>
      </c>
      <c r="P1258" s="41" t="s">
        <v>98</v>
      </c>
      <c r="Q1258" s="9" t="s">
        <v>686</v>
      </c>
      <c r="R1258" s="13" t="s">
        <v>10651</v>
      </c>
      <c r="S1258" s="13" t="s">
        <v>10652</v>
      </c>
      <c r="T1258" s="51" t="s">
        <v>1212</v>
      </c>
      <c r="U1258" s="13">
        <v>77445</v>
      </c>
      <c r="V1258" s="38">
        <v>77455</v>
      </c>
      <c r="W1258" s="8" t="s">
        <v>276</v>
      </c>
      <c r="X1258" s="8" t="s">
        <v>276</v>
      </c>
      <c r="Y1258" s="8" t="s">
        <v>276</v>
      </c>
      <c r="Z1258" s="9" t="s">
        <v>1562</v>
      </c>
      <c r="AA1258" s="8" t="s">
        <v>276</v>
      </c>
      <c r="AB1258" s="9" t="s">
        <v>1562</v>
      </c>
      <c r="AC1258" s="9" t="s">
        <v>10674</v>
      </c>
      <c r="AD1258" s="9" t="s">
        <v>1487</v>
      </c>
      <c r="AE1258" s="8">
        <v>14</v>
      </c>
      <c r="AF1258" s="8">
        <v>30</v>
      </c>
      <c r="AG1258" s="13">
        <v>230295</v>
      </c>
      <c r="AH1258" s="13">
        <v>230354</v>
      </c>
      <c r="AI1258" s="38" t="s">
        <v>4702</v>
      </c>
      <c r="AJ1258" s="14" t="s">
        <v>276</v>
      </c>
      <c r="AK1258" s="31">
        <f t="shared" si="181"/>
        <v>0.60791593391085352</v>
      </c>
      <c r="AL1258" s="14" t="s">
        <v>276</v>
      </c>
      <c r="AM1258" s="14" t="s">
        <v>276</v>
      </c>
      <c r="AN1258" s="14" t="s">
        <v>276</v>
      </c>
      <c r="AO1258" s="31">
        <f t="shared" si="184"/>
        <v>1.3023433498007415</v>
      </c>
      <c r="AP1258" s="14" t="s">
        <v>276</v>
      </c>
      <c r="AQ1258" s="14" t="s">
        <v>276</v>
      </c>
      <c r="AR1258" s="8" t="s">
        <v>269</v>
      </c>
      <c r="AS1258" s="14" t="s">
        <v>276</v>
      </c>
      <c r="AT1258" s="14">
        <f t="shared" si="185"/>
        <v>0.46678622346700249</v>
      </c>
      <c r="AU1258" s="14" t="s">
        <v>276</v>
      </c>
      <c r="AV1258" s="14" t="s">
        <v>276</v>
      </c>
      <c r="AW1258" s="8" t="s">
        <v>276</v>
      </c>
      <c r="AX1258" s="8" t="s">
        <v>276</v>
      </c>
      <c r="AY1258" s="8" t="s">
        <v>98</v>
      </c>
      <c r="AZ1258" s="8" t="s">
        <v>98</v>
      </c>
      <c r="BA1258" s="8" t="s">
        <v>98</v>
      </c>
      <c r="BB1258" s="8" t="s">
        <v>98</v>
      </c>
      <c r="BC1258" s="9" t="s">
        <v>10666</v>
      </c>
      <c r="BD1258" s="9"/>
      <c r="BE1258" s="33" t="s">
        <v>100</v>
      </c>
      <c r="BF1258" s="33" t="s">
        <v>98</v>
      </c>
    </row>
    <row r="1259" spans="1:58" s="7" customFormat="1" ht="65" x14ac:dyDescent="0.3">
      <c r="A1259" s="8">
        <v>996</v>
      </c>
      <c r="B1259" s="8" t="s">
        <v>10625</v>
      </c>
      <c r="C1259" s="8" t="s">
        <v>11079</v>
      </c>
      <c r="D1259" s="9" t="s">
        <v>10675</v>
      </c>
      <c r="E1259" s="8" t="s">
        <v>36</v>
      </c>
      <c r="F1259" s="9" t="s">
        <v>134</v>
      </c>
      <c r="G1259" s="8" t="s">
        <v>225</v>
      </c>
      <c r="H1259" s="8" t="s">
        <v>125</v>
      </c>
      <c r="I1259" s="8" t="s">
        <v>114</v>
      </c>
      <c r="J1259" s="9" t="s">
        <v>24</v>
      </c>
      <c r="K1259" s="9" t="s">
        <v>10627</v>
      </c>
      <c r="L1259" s="9" t="s">
        <v>10633</v>
      </c>
      <c r="M1259" s="8" t="s">
        <v>1538</v>
      </c>
      <c r="N1259" s="11" t="s">
        <v>98</v>
      </c>
      <c r="O1259" s="12" t="s">
        <v>207</v>
      </c>
      <c r="P1259" s="41" t="s">
        <v>98</v>
      </c>
      <c r="Q1259" s="9" t="s">
        <v>705</v>
      </c>
      <c r="R1259" s="13" t="s">
        <v>10655</v>
      </c>
      <c r="S1259" s="13" t="s">
        <v>10656</v>
      </c>
      <c r="T1259" s="51" t="s">
        <v>1212</v>
      </c>
      <c r="U1259" s="13">
        <v>77445</v>
      </c>
      <c r="V1259" s="38">
        <v>77455</v>
      </c>
      <c r="W1259" s="8" t="s">
        <v>276</v>
      </c>
      <c r="X1259" s="8" t="s">
        <v>276</v>
      </c>
      <c r="Y1259" s="8" t="s">
        <v>276</v>
      </c>
      <c r="Z1259" s="9" t="s">
        <v>1562</v>
      </c>
      <c r="AA1259" s="8" t="s">
        <v>276</v>
      </c>
      <c r="AB1259" s="9" t="s">
        <v>1562</v>
      </c>
      <c r="AC1259" s="9" t="s">
        <v>10676</v>
      </c>
      <c r="AD1259" s="9" t="s">
        <v>1487</v>
      </c>
      <c r="AE1259" s="8">
        <v>1</v>
      </c>
      <c r="AF1259" s="8">
        <v>3</v>
      </c>
      <c r="AG1259" s="13">
        <v>77276</v>
      </c>
      <c r="AH1259" s="13">
        <v>77228</v>
      </c>
      <c r="AI1259" s="38" t="s">
        <v>4702</v>
      </c>
      <c r="AJ1259" s="14" t="s">
        <v>276</v>
      </c>
      <c r="AK1259" s="31">
        <f t="shared" si="181"/>
        <v>0.12940628396914955</v>
      </c>
      <c r="AL1259" s="14" t="s">
        <v>276</v>
      </c>
      <c r="AM1259" s="14" t="s">
        <v>276</v>
      </c>
      <c r="AN1259" s="14" t="s">
        <v>276</v>
      </c>
      <c r="AO1259" s="31">
        <f t="shared" si="184"/>
        <v>0.38846014398922668</v>
      </c>
      <c r="AP1259" s="14" t="s">
        <v>276</v>
      </c>
      <c r="AQ1259" s="14" t="s">
        <v>276</v>
      </c>
      <c r="AR1259" s="8" t="s">
        <v>269</v>
      </c>
      <c r="AS1259" s="14" t="s">
        <v>276</v>
      </c>
      <c r="AT1259" s="14">
        <f t="shared" si="185"/>
        <v>0.33312628327898275</v>
      </c>
      <c r="AU1259" s="14" t="s">
        <v>276</v>
      </c>
      <c r="AV1259" s="14" t="s">
        <v>276</v>
      </c>
      <c r="AW1259" s="8" t="s">
        <v>276</v>
      </c>
      <c r="AX1259" s="8" t="s">
        <v>276</v>
      </c>
      <c r="AY1259" s="8" t="s">
        <v>98</v>
      </c>
      <c r="AZ1259" s="8" t="s">
        <v>98</v>
      </c>
      <c r="BA1259" s="8" t="s">
        <v>98</v>
      </c>
      <c r="BB1259" s="8" t="s">
        <v>98</v>
      </c>
      <c r="BC1259" s="9" t="s">
        <v>10666</v>
      </c>
      <c r="BD1259" s="9"/>
      <c r="BE1259" s="33" t="s">
        <v>100</v>
      </c>
      <c r="BF1259" s="33" t="s">
        <v>98</v>
      </c>
    </row>
    <row r="1260" spans="1:58" s="7" customFormat="1" ht="65" x14ac:dyDescent="0.3">
      <c r="A1260" s="8">
        <v>996</v>
      </c>
      <c r="B1260" s="8" t="s">
        <v>10625</v>
      </c>
      <c r="C1260" s="8" t="s">
        <v>11079</v>
      </c>
      <c r="D1260" s="9" t="s">
        <v>10677</v>
      </c>
      <c r="E1260" s="8" t="s">
        <v>36</v>
      </c>
      <c r="F1260" s="9" t="s">
        <v>134</v>
      </c>
      <c r="G1260" s="8" t="s">
        <v>225</v>
      </c>
      <c r="H1260" s="8" t="s">
        <v>125</v>
      </c>
      <c r="I1260" s="8" t="s">
        <v>114</v>
      </c>
      <c r="J1260" s="9" t="s">
        <v>24</v>
      </c>
      <c r="K1260" s="9" t="s">
        <v>10627</v>
      </c>
      <c r="L1260" s="9" t="s">
        <v>10628</v>
      </c>
      <c r="M1260" s="8" t="s">
        <v>1538</v>
      </c>
      <c r="N1260" s="11" t="s">
        <v>98</v>
      </c>
      <c r="O1260" s="12" t="s">
        <v>207</v>
      </c>
      <c r="P1260" s="41">
        <v>40178</v>
      </c>
      <c r="Q1260" s="9" t="s">
        <v>776</v>
      </c>
      <c r="R1260" s="9" t="s">
        <v>10629</v>
      </c>
      <c r="S1260" s="9" t="s">
        <v>10629</v>
      </c>
      <c r="T1260" s="9">
        <v>2</v>
      </c>
      <c r="U1260" s="13">
        <v>77445</v>
      </c>
      <c r="V1260" s="38">
        <v>77455</v>
      </c>
      <c r="W1260" s="8" t="s">
        <v>276</v>
      </c>
      <c r="X1260" s="8" t="s">
        <v>276</v>
      </c>
      <c r="Y1260" s="8" t="s">
        <v>276</v>
      </c>
      <c r="Z1260" s="9" t="s">
        <v>10659</v>
      </c>
      <c r="AA1260" s="8" t="s">
        <v>276</v>
      </c>
      <c r="AB1260" s="9" t="s">
        <v>10660</v>
      </c>
      <c r="AC1260" s="9" t="s">
        <v>10678</v>
      </c>
      <c r="AD1260" s="9" t="s">
        <v>1487</v>
      </c>
      <c r="AE1260" s="8">
        <v>143</v>
      </c>
      <c r="AF1260" s="8">
        <v>147</v>
      </c>
      <c r="AG1260" s="13">
        <v>871930</v>
      </c>
      <c r="AH1260" s="13">
        <v>871275</v>
      </c>
      <c r="AI1260" s="38" t="s">
        <v>4702</v>
      </c>
      <c r="AJ1260" s="43">
        <v>1.6</v>
      </c>
      <c r="AK1260" s="31">
        <f t="shared" si="181"/>
        <v>1.6400399114607824</v>
      </c>
      <c r="AL1260" s="43">
        <v>1.4</v>
      </c>
      <c r="AM1260" s="43">
        <v>1.9</v>
      </c>
      <c r="AN1260" s="43">
        <v>1.7</v>
      </c>
      <c r="AO1260" s="31">
        <f>AF1260/AH1260*10000</f>
        <v>1.6871825772574673</v>
      </c>
      <c r="AP1260" s="43">
        <v>1.4</v>
      </c>
      <c r="AQ1260" s="43">
        <v>2</v>
      </c>
      <c r="AR1260" s="8" t="s">
        <v>269</v>
      </c>
      <c r="AS1260" s="14">
        <v>0.97</v>
      </c>
      <c r="AT1260" s="14">
        <f>AK1260/AO1260</f>
        <v>0.97205834956326076</v>
      </c>
      <c r="AU1260" s="14">
        <v>0.77</v>
      </c>
      <c r="AV1260" s="14">
        <v>1.22</v>
      </c>
      <c r="AW1260" s="8">
        <v>0.81</v>
      </c>
      <c r="AX1260" s="8" t="s">
        <v>276</v>
      </c>
      <c r="AY1260" s="8" t="s">
        <v>98</v>
      </c>
      <c r="AZ1260" s="8" t="s">
        <v>98</v>
      </c>
      <c r="BA1260" s="8" t="s">
        <v>98</v>
      </c>
      <c r="BB1260" s="8" t="s">
        <v>98</v>
      </c>
      <c r="BC1260" s="9" t="s">
        <v>10679</v>
      </c>
      <c r="BD1260" s="9" t="s">
        <v>10663</v>
      </c>
      <c r="BE1260" s="33" t="s">
        <v>100</v>
      </c>
      <c r="BF1260" s="33" t="s">
        <v>98</v>
      </c>
    </row>
    <row r="1261" spans="1:58" s="7" customFormat="1" ht="65" x14ac:dyDescent="0.3">
      <c r="A1261" s="8">
        <v>996</v>
      </c>
      <c r="B1261" s="8" t="s">
        <v>10625</v>
      </c>
      <c r="C1261" s="8" t="s">
        <v>11079</v>
      </c>
      <c r="D1261" s="9" t="s">
        <v>10680</v>
      </c>
      <c r="E1261" s="8" t="s">
        <v>36</v>
      </c>
      <c r="F1261" s="9" t="s">
        <v>134</v>
      </c>
      <c r="G1261" s="8" t="s">
        <v>225</v>
      </c>
      <c r="H1261" s="8" t="s">
        <v>125</v>
      </c>
      <c r="I1261" s="8" t="s">
        <v>114</v>
      </c>
      <c r="J1261" s="9" t="s">
        <v>24</v>
      </c>
      <c r="K1261" s="9" t="s">
        <v>10627</v>
      </c>
      <c r="L1261" s="9" t="s">
        <v>10633</v>
      </c>
      <c r="M1261" s="8" t="s">
        <v>1538</v>
      </c>
      <c r="N1261" s="11" t="s">
        <v>98</v>
      </c>
      <c r="O1261" s="12" t="s">
        <v>207</v>
      </c>
      <c r="P1261" s="41">
        <v>40178</v>
      </c>
      <c r="Q1261" s="9" t="s">
        <v>770</v>
      </c>
      <c r="R1261" s="13" t="s">
        <v>10634</v>
      </c>
      <c r="S1261" s="13" t="s">
        <v>10635</v>
      </c>
      <c r="T1261" s="9">
        <v>2</v>
      </c>
      <c r="U1261" s="13">
        <v>77445</v>
      </c>
      <c r="V1261" s="38">
        <v>77455</v>
      </c>
      <c r="W1261" s="8" t="s">
        <v>276</v>
      </c>
      <c r="X1261" s="8" t="s">
        <v>276</v>
      </c>
      <c r="Y1261" s="8" t="s">
        <v>276</v>
      </c>
      <c r="Z1261" s="9" t="s">
        <v>1562</v>
      </c>
      <c r="AA1261" s="8" t="s">
        <v>276</v>
      </c>
      <c r="AB1261" s="9" t="s">
        <v>1562</v>
      </c>
      <c r="AC1261" s="9" t="s">
        <v>10681</v>
      </c>
      <c r="AD1261" s="9" t="s">
        <v>1487</v>
      </c>
      <c r="AE1261" s="8">
        <v>128</v>
      </c>
      <c r="AF1261" s="8">
        <v>125</v>
      </c>
      <c r="AG1261" s="13">
        <v>793203</v>
      </c>
      <c r="AH1261" s="13">
        <v>792674</v>
      </c>
      <c r="AI1261" s="38" t="s">
        <v>4702</v>
      </c>
      <c r="AJ1261" s="14" t="s">
        <v>276</v>
      </c>
      <c r="AK1261" s="31">
        <f t="shared" si="181"/>
        <v>1.6137104877313879</v>
      </c>
      <c r="AL1261" s="14" t="s">
        <v>276</v>
      </c>
      <c r="AM1261" s="14" t="s">
        <v>276</v>
      </c>
      <c r="AN1261" s="14" t="s">
        <v>276</v>
      </c>
      <c r="AO1261" s="31">
        <f>AF1261/AH1261*10000</f>
        <v>1.5769408357029497</v>
      </c>
      <c r="AP1261" s="14" t="s">
        <v>276</v>
      </c>
      <c r="AQ1261" s="14" t="s">
        <v>276</v>
      </c>
      <c r="AR1261" s="8" t="s">
        <v>269</v>
      </c>
      <c r="AS1261" s="14" t="s">
        <v>276</v>
      </c>
      <c r="AT1261" s="14">
        <f>AK1261/AO1261</f>
        <v>1.0233170777215921</v>
      </c>
      <c r="AU1261" s="14" t="s">
        <v>276</v>
      </c>
      <c r="AV1261" s="14" t="s">
        <v>276</v>
      </c>
      <c r="AW1261" s="8" t="s">
        <v>276</v>
      </c>
      <c r="AX1261" s="8" t="s">
        <v>276</v>
      </c>
      <c r="AY1261" s="8" t="s">
        <v>98</v>
      </c>
      <c r="AZ1261" s="8" t="s">
        <v>98</v>
      </c>
      <c r="BA1261" s="8" t="s">
        <v>98</v>
      </c>
      <c r="BB1261" s="8" t="s">
        <v>98</v>
      </c>
      <c r="BC1261" s="9" t="s">
        <v>10682</v>
      </c>
      <c r="BD1261" s="9"/>
      <c r="BE1261" s="33" t="s">
        <v>100</v>
      </c>
      <c r="BF1261" s="33" t="s">
        <v>98</v>
      </c>
    </row>
    <row r="1262" spans="1:58" s="7" customFormat="1" ht="65" x14ac:dyDescent="0.3">
      <c r="A1262" s="8">
        <v>996</v>
      </c>
      <c r="B1262" s="8" t="s">
        <v>10625</v>
      </c>
      <c r="C1262" s="8" t="s">
        <v>11079</v>
      </c>
      <c r="D1262" s="9" t="s">
        <v>10683</v>
      </c>
      <c r="E1262" s="8" t="s">
        <v>36</v>
      </c>
      <c r="F1262" s="9" t="s">
        <v>134</v>
      </c>
      <c r="G1262" s="8" t="s">
        <v>225</v>
      </c>
      <c r="H1262" s="8" t="s">
        <v>125</v>
      </c>
      <c r="I1262" s="8" t="s">
        <v>114</v>
      </c>
      <c r="J1262" s="9" t="s">
        <v>24</v>
      </c>
      <c r="K1262" s="9" t="s">
        <v>10627</v>
      </c>
      <c r="L1262" s="9" t="s">
        <v>10633</v>
      </c>
      <c r="M1262" s="8" t="s">
        <v>1538</v>
      </c>
      <c r="N1262" s="11" t="s">
        <v>98</v>
      </c>
      <c r="O1262" s="12" t="s">
        <v>207</v>
      </c>
      <c r="P1262" s="41">
        <v>40178</v>
      </c>
      <c r="Q1262" s="9" t="s">
        <v>752</v>
      </c>
      <c r="R1262" s="13" t="s">
        <v>10639</v>
      </c>
      <c r="S1262" s="13" t="s">
        <v>10640</v>
      </c>
      <c r="T1262" s="9">
        <v>2</v>
      </c>
      <c r="U1262" s="13">
        <v>77445</v>
      </c>
      <c r="V1262" s="38">
        <v>77455</v>
      </c>
      <c r="W1262" s="8" t="s">
        <v>276</v>
      </c>
      <c r="X1262" s="8" t="s">
        <v>276</v>
      </c>
      <c r="Y1262" s="8" t="s">
        <v>276</v>
      </c>
      <c r="Z1262" s="9" t="s">
        <v>1562</v>
      </c>
      <c r="AA1262" s="8" t="s">
        <v>276</v>
      </c>
      <c r="AB1262" s="9" t="s">
        <v>1562</v>
      </c>
      <c r="AC1262" s="9" t="s">
        <v>10684</v>
      </c>
      <c r="AD1262" s="9" t="s">
        <v>1487</v>
      </c>
      <c r="AE1262" s="8">
        <v>111</v>
      </c>
      <c r="AF1262" s="8">
        <v>96</v>
      </c>
      <c r="AG1262" s="13">
        <v>670832</v>
      </c>
      <c r="AH1262" s="13">
        <v>670526</v>
      </c>
      <c r="AI1262" s="38" t="s">
        <v>4702</v>
      </c>
      <c r="AJ1262" s="14" t="s">
        <v>276</v>
      </c>
      <c r="AK1262" s="31">
        <f t="shared" si="181"/>
        <v>1.6546616738617121</v>
      </c>
      <c r="AL1262" s="14" t="s">
        <v>276</v>
      </c>
      <c r="AM1262" s="14" t="s">
        <v>276</v>
      </c>
      <c r="AN1262" s="14" t="s">
        <v>276</v>
      </c>
      <c r="AO1262" s="31">
        <f t="shared" ref="AO1262:AO1266" si="186">AF1262/AH1262*10000</f>
        <v>1.4317118202724428</v>
      </c>
      <c r="AP1262" s="14" t="s">
        <v>276</v>
      </c>
      <c r="AQ1262" s="14" t="s">
        <v>276</v>
      </c>
      <c r="AR1262" s="8" t="s">
        <v>269</v>
      </c>
      <c r="AS1262" s="14" t="s">
        <v>276</v>
      </c>
      <c r="AT1262" s="14">
        <f t="shared" ref="AT1262:AT1266" si="187">AK1262/AO1262</f>
        <v>1.1557225765914567</v>
      </c>
      <c r="AU1262" s="14" t="s">
        <v>276</v>
      </c>
      <c r="AV1262" s="14" t="s">
        <v>276</v>
      </c>
      <c r="AW1262" s="8" t="s">
        <v>276</v>
      </c>
      <c r="AX1262" s="8" t="s">
        <v>276</v>
      </c>
      <c r="AY1262" s="8" t="s">
        <v>98</v>
      </c>
      <c r="AZ1262" s="8" t="s">
        <v>98</v>
      </c>
      <c r="BA1262" s="8" t="s">
        <v>98</v>
      </c>
      <c r="BB1262" s="8" t="s">
        <v>98</v>
      </c>
      <c r="BC1262" s="9" t="s">
        <v>10682</v>
      </c>
      <c r="BD1262" s="9"/>
      <c r="BE1262" s="33" t="s">
        <v>100</v>
      </c>
      <c r="BF1262" s="33" t="s">
        <v>98</v>
      </c>
    </row>
    <row r="1263" spans="1:58" s="7" customFormat="1" ht="65" x14ac:dyDescent="0.3">
      <c r="A1263" s="8">
        <v>996</v>
      </c>
      <c r="B1263" s="8" t="s">
        <v>10625</v>
      </c>
      <c r="C1263" s="8" t="s">
        <v>11079</v>
      </c>
      <c r="D1263" s="9" t="s">
        <v>10685</v>
      </c>
      <c r="E1263" s="8" t="s">
        <v>36</v>
      </c>
      <c r="F1263" s="9" t="s">
        <v>134</v>
      </c>
      <c r="G1263" s="8" t="s">
        <v>225</v>
      </c>
      <c r="H1263" s="8" t="s">
        <v>125</v>
      </c>
      <c r="I1263" s="8" t="s">
        <v>114</v>
      </c>
      <c r="J1263" s="9" t="s">
        <v>24</v>
      </c>
      <c r="K1263" s="9" t="s">
        <v>10627</v>
      </c>
      <c r="L1263" s="9" t="s">
        <v>10633</v>
      </c>
      <c r="M1263" s="8" t="s">
        <v>1538</v>
      </c>
      <c r="N1263" s="11" t="s">
        <v>98</v>
      </c>
      <c r="O1263" s="12" t="s">
        <v>207</v>
      </c>
      <c r="P1263" s="41" t="s">
        <v>98</v>
      </c>
      <c r="Q1263" s="9" t="s">
        <v>741</v>
      </c>
      <c r="R1263" s="13" t="s">
        <v>10643</v>
      </c>
      <c r="S1263" s="13" t="s">
        <v>10644</v>
      </c>
      <c r="T1263" s="9">
        <v>2</v>
      </c>
      <c r="U1263" s="13">
        <v>77445</v>
      </c>
      <c r="V1263" s="38">
        <v>77455</v>
      </c>
      <c r="W1263" s="8" t="s">
        <v>276</v>
      </c>
      <c r="X1263" s="8" t="s">
        <v>276</v>
      </c>
      <c r="Y1263" s="8" t="s">
        <v>276</v>
      </c>
      <c r="Z1263" s="9" t="s">
        <v>1562</v>
      </c>
      <c r="AA1263" s="8" t="s">
        <v>276</v>
      </c>
      <c r="AB1263" s="9" t="s">
        <v>1562</v>
      </c>
      <c r="AC1263" s="9" t="s">
        <v>10686</v>
      </c>
      <c r="AD1263" s="9" t="s">
        <v>1487</v>
      </c>
      <c r="AE1263" s="8">
        <v>71</v>
      </c>
      <c r="AF1263" s="8">
        <v>73</v>
      </c>
      <c r="AG1263" s="13">
        <v>528006</v>
      </c>
      <c r="AH1263" s="13">
        <v>527828</v>
      </c>
      <c r="AI1263" s="38" t="s">
        <v>4702</v>
      </c>
      <c r="AJ1263" s="14" t="s">
        <v>276</v>
      </c>
      <c r="AK1263" s="31">
        <f t="shared" si="181"/>
        <v>1.3446816892232285</v>
      </c>
      <c r="AL1263" s="14" t="s">
        <v>276</v>
      </c>
      <c r="AM1263" s="14" t="s">
        <v>276</v>
      </c>
      <c r="AN1263" s="14" t="s">
        <v>276</v>
      </c>
      <c r="AO1263" s="31">
        <f t="shared" si="186"/>
        <v>1.3830262888668279</v>
      </c>
      <c r="AP1263" s="14" t="s">
        <v>276</v>
      </c>
      <c r="AQ1263" s="14" t="s">
        <v>276</v>
      </c>
      <c r="AR1263" s="8" t="s">
        <v>269</v>
      </c>
      <c r="AS1263" s="14" t="s">
        <v>276</v>
      </c>
      <c r="AT1263" s="14">
        <f t="shared" si="187"/>
        <v>0.97227485843742223</v>
      </c>
      <c r="AU1263" s="14" t="s">
        <v>276</v>
      </c>
      <c r="AV1263" s="14" t="s">
        <v>276</v>
      </c>
      <c r="AW1263" s="8" t="s">
        <v>276</v>
      </c>
      <c r="AX1263" s="8" t="s">
        <v>276</v>
      </c>
      <c r="AY1263" s="8" t="s">
        <v>98</v>
      </c>
      <c r="AZ1263" s="8" t="s">
        <v>98</v>
      </c>
      <c r="BA1263" s="8" t="s">
        <v>98</v>
      </c>
      <c r="BB1263" s="8" t="s">
        <v>98</v>
      </c>
      <c r="BC1263" s="9" t="s">
        <v>10682</v>
      </c>
      <c r="BD1263" s="9"/>
      <c r="BE1263" s="33" t="s">
        <v>100</v>
      </c>
      <c r="BF1263" s="33" t="s">
        <v>98</v>
      </c>
    </row>
    <row r="1264" spans="1:58" s="7" customFormat="1" ht="65" x14ac:dyDescent="0.3">
      <c r="A1264" s="8">
        <v>996</v>
      </c>
      <c r="B1264" s="8" t="s">
        <v>10625</v>
      </c>
      <c r="C1264" s="8" t="s">
        <v>11079</v>
      </c>
      <c r="D1264" s="9" t="s">
        <v>10687</v>
      </c>
      <c r="E1264" s="8" t="s">
        <v>36</v>
      </c>
      <c r="F1264" s="9" t="s">
        <v>134</v>
      </c>
      <c r="G1264" s="8" t="s">
        <v>225</v>
      </c>
      <c r="H1264" s="8" t="s">
        <v>125</v>
      </c>
      <c r="I1264" s="8" t="s">
        <v>114</v>
      </c>
      <c r="J1264" s="9" t="s">
        <v>24</v>
      </c>
      <c r="K1264" s="9" t="s">
        <v>10627</v>
      </c>
      <c r="L1264" s="9" t="s">
        <v>10633</v>
      </c>
      <c r="M1264" s="8" t="s">
        <v>1538</v>
      </c>
      <c r="N1264" s="11" t="s">
        <v>98</v>
      </c>
      <c r="O1264" s="12" t="s">
        <v>207</v>
      </c>
      <c r="P1264" s="41" t="s">
        <v>98</v>
      </c>
      <c r="Q1264" s="9" t="s">
        <v>728</v>
      </c>
      <c r="R1264" s="13" t="s">
        <v>10647</v>
      </c>
      <c r="S1264" s="13" t="s">
        <v>10648</v>
      </c>
      <c r="T1264" s="51" t="s">
        <v>2331</v>
      </c>
      <c r="U1264" s="13">
        <v>77445</v>
      </c>
      <c r="V1264" s="38">
        <v>77455</v>
      </c>
      <c r="W1264" s="8" t="s">
        <v>276</v>
      </c>
      <c r="X1264" s="8" t="s">
        <v>276</v>
      </c>
      <c r="Y1264" s="8" t="s">
        <v>276</v>
      </c>
      <c r="Z1264" s="9" t="s">
        <v>1562</v>
      </c>
      <c r="AA1264" s="8" t="s">
        <v>276</v>
      </c>
      <c r="AB1264" s="9" t="s">
        <v>1562</v>
      </c>
      <c r="AC1264" s="9" t="s">
        <v>10688</v>
      </c>
      <c r="AD1264" s="9" t="s">
        <v>1487</v>
      </c>
      <c r="AE1264" s="8">
        <v>45</v>
      </c>
      <c r="AF1264" s="8">
        <v>49</v>
      </c>
      <c r="AG1264" s="13">
        <v>380730</v>
      </c>
      <c r="AH1264" s="13">
        <v>380731</v>
      </c>
      <c r="AI1264" s="38" t="s">
        <v>4702</v>
      </c>
      <c r="AJ1264" s="14" t="s">
        <v>276</v>
      </c>
      <c r="AK1264" s="31">
        <f t="shared" si="181"/>
        <v>1.1819399574501617</v>
      </c>
      <c r="AL1264" s="14" t="s">
        <v>276</v>
      </c>
      <c r="AM1264" s="14" t="s">
        <v>276</v>
      </c>
      <c r="AN1264" s="14" t="s">
        <v>276</v>
      </c>
      <c r="AO1264" s="31">
        <f t="shared" si="186"/>
        <v>1.2869979066585069</v>
      </c>
      <c r="AP1264" s="14" t="s">
        <v>276</v>
      </c>
      <c r="AQ1264" s="14" t="s">
        <v>276</v>
      </c>
      <c r="AR1264" s="8" t="s">
        <v>269</v>
      </c>
      <c r="AS1264" s="14" t="s">
        <v>276</v>
      </c>
      <c r="AT1264" s="14">
        <f t="shared" si="187"/>
        <v>0.91836975906113782</v>
      </c>
      <c r="AU1264" s="14" t="s">
        <v>276</v>
      </c>
      <c r="AV1264" s="14" t="s">
        <v>276</v>
      </c>
      <c r="AW1264" s="8" t="s">
        <v>276</v>
      </c>
      <c r="AX1264" s="8" t="s">
        <v>276</v>
      </c>
      <c r="AY1264" s="8" t="s">
        <v>98</v>
      </c>
      <c r="AZ1264" s="8" t="s">
        <v>98</v>
      </c>
      <c r="BA1264" s="8" t="s">
        <v>98</v>
      </c>
      <c r="BB1264" s="8" t="s">
        <v>98</v>
      </c>
      <c r="BC1264" s="9" t="s">
        <v>10682</v>
      </c>
      <c r="BD1264" s="9"/>
      <c r="BE1264" s="33" t="s">
        <v>100</v>
      </c>
      <c r="BF1264" s="33" t="s">
        <v>98</v>
      </c>
    </row>
    <row r="1265" spans="1:58" s="7" customFormat="1" ht="65" x14ac:dyDescent="0.3">
      <c r="A1265" s="8">
        <v>996</v>
      </c>
      <c r="B1265" s="8" t="s">
        <v>10625</v>
      </c>
      <c r="C1265" s="8" t="s">
        <v>11079</v>
      </c>
      <c r="D1265" s="9" t="s">
        <v>10689</v>
      </c>
      <c r="E1265" s="8" t="s">
        <v>36</v>
      </c>
      <c r="F1265" s="9" t="s">
        <v>134</v>
      </c>
      <c r="G1265" s="8" t="s">
        <v>225</v>
      </c>
      <c r="H1265" s="8" t="s">
        <v>125</v>
      </c>
      <c r="I1265" s="8" t="s">
        <v>114</v>
      </c>
      <c r="J1265" s="9" t="s">
        <v>24</v>
      </c>
      <c r="K1265" s="9" t="s">
        <v>10627</v>
      </c>
      <c r="L1265" s="9" t="s">
        <v>10633</v>
      </c>
      <c r="M1265" s="8" t="s">
        <v>1538</v>
      </c>
      <c r="N1265" s="11" t="s">
        <v>98</v>
      </c>
      <c r="O1265" s="12" t="s">
        <v>207</v>
      </c>
      <c r="P1265" s="41" t="s">
        <v>98</v>
      </c>
      <c r="Q1265" s="9" t="s">
        <v>686</v>
      </c>
      <c r="R1265" s="13" t="s">
        <v>10651</v>
      </c>
      <c r="S1265" s="13" t="s">
        <v>10652</v>
      </c>
      <c r="T1265" s="51" t="s">
        <v>1212</v>
      </c>
      <c r="U1265" s="13">
        <v>77445</v>
      </c>
      <c r="V1265" s="38">
        <v>77455</v>
      </c>
      <c r="W1265" s="8" t="s">
        <v>276</v>
      </c>
      <c r="X1265" s="8" t="s">
        <v>276</v>
      </c>
      <c r="Y1265" s="8" t="s">
        <v>276</v>
      </c>
      <c r="Z1265" s="9" t="s">
        <v>1562</v>
      </c>
      <c r="AA1265" s="8" t="s">
        <v>276</v>
      </c>
      <c r="AB1265" s="9" t="s">
        <v>1562</v>
      </c>
      <c r="AC1265" s="9" t="s">
        <v>10690</v>
      </c>
      <c r="AD1265" s="9" t="s">
        <v>1487</v>
      </c>
      <c r="AE1265" s="8">
        <v>20</v>
      </c>
      <c r="AF1265" s="8">
        <v>19</v>
      </c>
      <c r="AG1265" s="13">
        <v>230295</v>
      </c>
      <c r="AH1265" s="13">
        <v>230354</v>
      </c>
      <c r="AI1265" s="38" t="s">
        <v>4702</v>
      </c>
      <c r="AJ1265" s="14" t="s">
        <v>276</v>
      </c>
      <c r="AK1265" s="31">
        <f t="shared" si="181"/>
        <v>0.86845133415836218</v>
      </c>
      <c r="AL1265" s="14" t="s">
        <v>276</v>
      </c>
      <c r="AM1265" s="14" t="s">
        <v>276</v>
      </c>
      <c r="AN1265" s="14" t="s">
        <v>276</v>
      </c>
      <c r="AO1265" s="31">
        <f t="shared" si="186"/>
        <v>0.82481745487380298</v>
      </c>
      <c r="AP1265" s="14" t="s">
        <v>276</v>
      </c>
      <c r="AQ1265" s="14" t="s">
        <v>276</v>
      </c>
      <c r="AR1265" s="8" t="s">
        <v>269</v>
      </c>
      <c r="AS1265" s="14" t="s">
        <v>276</v>
      </c>
      <c r="AT1265" s="14">
        <f t="shared" si="187"/>
        <v>1.052901255940607</v>
      </c>
      <c r="AU1265" s="14" t="s">
        <v>276</v>
      </c>
      <c r="AV1265" s="14" t="s">
        <v>276</v>
      </c>
      <c r="AW1265" s="8" t="s">
        <v>276</v>
      </c>
      <c r="AX1265" s="8" t="s">
        <v>276</v>
      </c>
      <c r="AY1265" s="8" t="s">
        <v>98</v>
      </c>
      <c r="AZ1265" s="8" t="s">
        <v>98</v>
      </c>
      <c r="BA1265" s="8" t="s">
        <v>98</v>
      </c>
      <c r="BB1265" s="8" t="s">
        <v>98</v>
      </c>
      <c r="BC1265" s="9" t="s">
        <v>10682</v>
      </c>
      <c r="BD1265" s="9"/>
      <c r="BE1265" s="33" t="s">
        <v>100</v>
      </c>
      <c r="BF1265" s="33" t="s">
        <v>98</v>
      </c>
    </row>
    <row r="1266" spans="1:58" s="7" customFormat="1" ht="65" x14ac:dyDescent="0.3">
      <c r="A1266" s="8">
        <v>996</v>
      </c>
      <c r="B1266" s="8" t="s">
        <v>10625</v>
      </c>
      <c r="C1266" s="8" t="s">
        <v>11079</v>
      </c>
      <c r="D1266" s="9" t="s">
        <v>10691</v>
      </c>
      <c r="E1266" s="8" t="s">
        <v>36</v>
      </c>
      <c r="F1266" s="9" t="s">
        <v>134</v>
      </c>
      <c r="G1266" s="8" t="s">
        <v>225</v>
      </c>
      <c r="H1266" s="8" t="s">
        <v>125</v>
      </c>
      <c r="I1266" s="8" t="s">
        <v>114</v>
      </c>
      <c r="J1266" s="9" t="s">
        <v>24</v>
      </c>
      <c r="K1266" s="9" t="s">
        <v>10627</v>
      </c>
      <c r="L1266" s="9" t="s">
        <v>10633</v>
      </c>
      <c r="M1266" s="8" t="s">
        <v>1538</v>
      </c>
      <c r="N1266" s="11" t="s">
        <v>98</v>
      </c>
      <c r="O1266" s="12" t="s">
        <v>207</v>
      </c>
      <c r="P1266" s="41" t="s">
        <v>98</v>
      </c>
      <c r="Q1266" s="9" t="s">
        <v>705</v>
      </c>
      <c r="R1266" s="13" t="s">
        <v>10655</v>
      </c>
      <c r="S1266" s="13" t="s">
        <v>10656</v>
      </c>
      <c r="T1266" s="51" t="s">
        <v>1212</v>
      </c>
      <c r="U1266" s="13">
        <v>77445</v>
      </c>
      <c r="V1266" s="38">
        <v>77455</v>
      </c>
      <c r="W1266" s="8" t="s">
        <v>276</v>
      </c>
      <c r="X1266" s="8" t="s">
        <v>276</v>
      </c>
      <c r="Y1266" s="8" t="s">
        <v>276</v>
      </c>
      <c r="Z1266" s="9" t="s">
        <v>1562</v>
      </c>
      <c r="AA1266" s="8" t="s">
        <v>276</v>
      </c>
      <c r="AB1266" s="9" t="s">
        <v>1562</v>
      </c>
      <c r="AC1266" s="9" t="s">
        <v>10692</v>
      </c>
      <c r="AD1266" s="9" t="s">
        <v>1487</v>
      </c>
      <c r="AE1266" s="8">
        <v>3</v>
      </c>
      <c r="AF1266" s="8">
        <v>3</v>
      </c>
      <c r="AG1266" s="13">
        <v>77276</v>
      </c>
      <c r="AH1266" s="13">
        <v>77228</v>
      </c>
      <c r="AI1266" s="38" t="s">
        <v>4702</v>
      </c>
      <c r="AJ1266" s="14" t="s">
        <v>276</v>
      </c>
      <c r="AK1266" s="31">
        <f t="shared" si="181"/>
        <v>0.38821885190744859</v>
      </c>
      <c r="AL1266" s="14" t="s">
        <v>276</v>
      </c>
      <c r="AM1266" s="14" t="s">
        <v>276</v>
      </c>
      <c r="AN1266" s="14" t="s">
        <v>276</v>
      </c>
      <c r="AO1266" s="31">
        <f t="shared" si="186"/>
        <v>0.38846014398922668</v>
      </c>
      <c r="AP1266" s="14" t="s">
        <v>276</v>
      </c>
      <c r="AQ1266" s="14" t="s">
        <v>276</v>
      </c>
      <c r="AR1266" s="8" t="s">
        <v>269</v>
      </c>
      <c r="AS1266" s="14" t="s">
        <v>276</v>
      </c>
      <c r="AT1266" s="14">
        <f t="shared" si="187"/>
        <v>0.99937884983694802</v>
      </c>
      <c r="AU1266" s="14" t="s">
        <v>276</v>
      </c>
      <c r="AV1266" s="14" t="s">
        <v>276</v>
      </c>
      <c r="AW1266" s="8" t="s">
        <v>276</v>
      </c>
      <c r="AX1266" s="8" t="s">
        <v>276</v>
      </c>
      <c r="AY1266" s="8" t="s">
        <v>98</v>
      </c>
      <c r="AZ1266" s="8" t="s">
        <v>98</v>
      </c>
      <c r="BA1266" s="8" t="s">
        <v>98</v>
      </c>
      <c r="BB1266" s="8" t="s">
        <v>98</v>
      </c>
      <c r="BC1266" s="9" t="s">
        <v>10682</v>
      </c>
      <c r="BD1266" s="9"/>
      <c r="BE1266" s="33" t="s">
        <v>100</v>
      </c>
      <c r="BF1266" s="33" t="s">
        <v>98</v>
      </c>
    </row>
    <row r="1267" spans="1:58" s="7" customFormat="1" ht="65" x14ac:dyDescent="0.3">
      <c r="A1267" s="8">
        <v>996</v>
      </c>
      <c r="B1267" s="8" t="s">
        <v>10625</v>
      </c>
      <c r="C1267" s="8" t="s">
        <v>11079</v>
      </c>
      <c r="D1267" s="9" t="s">
        <v>10693</v>
      </c>
      <c r="E1267" s="8" t="s">
        <v>36</v>
      </c>
      <c r="F1267" s="9" t="s">
        <v>134</v>
      </c>
      <c r="G1267" s="8" t="s">
        <v>225</v>
      </c>
      <c r="H1267" s="8" t="s">
        <v>125</v>
      </c>
      <c r="I1267" s="8" t="s">
        <v>114</v>
      </c>
      <c r="J1267" s="9" t="s">
        <v>24</v>
      </c>
      <c r="K1267" s="9" t="s">
        <v>10627</v>
      </c>
      <c r="L1267" s="9" t="s">
        <v>10628</v>
      </c>
      <c r="M1267" s="8" t="s">
        <v>16</v>
      </c>
      <c r="N1267" s="11" t="s">
        <v>170</v>
      </c>
      <c r="O1267" s="12" t="s">
        <v>207</v>
      </c>
      <c r="P1267" s="41">
        <v>40178</v>
      </c>
      <c r="Q1267" s="9" t="s">
        <v>776</v>
      </c>
      <c r="R1267" s="9" t="s">
        <v>276</v>
      </c>
      <c r="S1267" s="9" t="s">
        <v>276</v>
      </c>
      <c r="T1267" s="9">
        <v>2</v>
      </c>
      <c r="U1267" s="13">
        <v>38340</v>
      </c>
      <c r="V1267" s="38">
        <v>38344</v>
      </c>
      <c r="W1267" s="8" t="s">
        <v>276</v>
      </c>
      <c r="X1267" s="8" t="s">
        <v>276</v>
      </c>
      <c r="Y1267" s="8" t="s">
        <v>276</v>
      </c>
      <c r="Z1267" s="9" t="s">
        <v>1562</v>
      </c>
      <c r="AA1267" s="8" t="s">
        <v>276</v>
      </c>
      <c r="AB1267" s="9" t="s">
        <v>1562</v>
      </c>
      <c r="AC1267" s="9" t="s">
        <v>10694</v>
      </c>
      <c r="AD1267" s="9" t="s">
        <v>1487</v>
      </c>
      <c r="AE1267" s="8">
        <v>139</v>
      </c>
      <c r="AF1267" s="8">
        <v>211</v>
      </c>
      <c r="AG1267" s="13" t="s">
        <v>276</v>
      </c>
      <c r="AH1267" s="13" t="s">
        <v>276</v>
      </c>
      <c r="AI1267" s="38" t="s">
        <v>4702</v>
      </c>
      <c r="AJ1267" s="43">
        <v>3.2</v>
      </c>
      <c r="AK1267" s="31" t="s">
        <v>98</v>
      </c>
      <c r="AL1267" s="43">
        <v>2.7</v>
      </c>
      <c r="AM1267" s="43">
        <v>3.8</v>
      </c>
      <c r="AN1267" s="43">
        <v>4.9000000000000004</v>
      </c>
      <c r="AO1267" s="31" t="s">
        <v>98</v>
      </c>
      <c r="AP1267" s="43">
        <v>4.3</v>
      </c>
      <c r="AQ1267" s="43">
        <v>5.6</v>
      </c>
      <c r="AR1267" s="8" t="s">
        <v>269</v>
      </c>
      <c r="AS1267" s="14">
        <v>0.66</v>
      </c>
      <c r="AT1267" s="14">
        <f>AJ1267/AN1267</f>
        <v>0.65306122448979587</v>
      </c>
      <c r="AU1267" s="14">
        <v>0.53</v>
      </c>
      <c r="AV1267" s="14">
        <v>0.81</v>
      </c>
      <c r="AW1267" s="8" t="s">
        <v>431</v>
      </c>
      <c r="AX1267" s="8" t="s">
        <v>276</v>
      </c>
      <c r="AY1267" s="8" t="s">
        <v>98</v>
      </c>
      <c r="AZ1267" s="8" t="s">
        <v>98</v>
      </c>
      <c r="BA1267" s="8" t="s">
        <v>98</v>
      </c>
      <c r="BB1267" s="8" t="s">
        <v>98</v>
      </c>
      <c r="BC1267" s="9" t="s">
        <v>10695</v>
      </c>
      <c r="BD1267" s="9"/>
      <c r="BE1267" s="33" t="s">
        <v>100</v>
      </c>
      <c r="BF1267" s="33" t="s">
        <v>98</v>
      </c>
    </row>
    <row r="1268" spans="1:58" s="7" customFormat="1" ht="65" x14ac:dyDescent="0.3">
      <c r="A1268" s="8">
        <v>996</v>
      </c>
      <c r="B1268" s="8" t="s">
        <v>10625</v>
      </c>
      <c r="C1268" s="8" t="s">
        <v>11079</v>
      </c>
      <c r="D1268" s="9" t="s">
        <v>10696</v>
      </c>
      <c r="E1268" s="8" t="s">
        <v>36</v>
      </c>
      <c r="F1268" s="9" t="s">
        <v>134</v>
      </c>
      <c r="G1268" s="8" t="s">
        <v>225</v>
      </c>
      <c r="H1268" s="8" t="s">
        <v>125</v>
      </c>
      <c r="I1268" s="8" t="s">
        <v>114</v>
      </c>
      <c r="J1268" s="9" t="s">
        <v>24</v>
      </c>
      <c r="K1268" s="9" t="s">
        <v>10627</v>
      </c>
      <c r="L1268" s="9" t="s">
        <v>10628</v>
      </c>
      <c r="M1268" s="8" t="s">
        <v>16</v>
      </c>
      <c r="N1268" s="11" t="s">
        <v>171</v>
      </c>
      <c r="O1268" s="12" t="s">
        <v>207</v>
      </c>
      <c r="P1268" s="41">
        <v>40178</v>
      </c>
      <c r="Q1268" s="9" t="s">
        <v>776</v>
      </c>
      <c r="R1268" s="9" t="s">
        <v>276</v>
      </c>
      <c r="S1268" s="9" t="s">
        <v>276</v>
      </c>
      <c r="T1268" s="9">
        <v>2</v>
      </c>
      <c r="U1268" s="13">
        <v>39105</v>
      </c>
      <c r="V1268" s="38">
        <v>39111</v>
      </c>
      <c r="W1268" s="8" t="s">
        <v>276</v>
      </c>
      <c r="X1268" s="8" t="s">
        <v>276</v>
      </c>
      <c r="Y1268" s="8" t="s">
        <v>276</v>
      </c>
      <c r="Z1268" s="9" t="s">
        <v>1562</v>
      </c>
      <c r="AA1268" s="8" t="s">
        <v>276</v>
      </c>
      <c r="AB1268" s="9" t="s">
        <v>1562</v>
      </c>
      <c r="AC1268" s="9" t="s">
        <v>10697</v>
      </c>
      <c r="AD1268" s="9" t="s">
        <v>1487</v>
      </c>
      <c r="AE1268" s="8">
        <v>113</v>
      </c>
      <c r="AF1268" s="8">
        <v>130</v>
      </c>
      <c r="AG1268" s="13" t="s">
        <v>276</v>
      </c>
      <c r="AH1268" s="13" t="s">
        <v>276</v>
      </c>
      <c r="AI1268" s="38" t="s">
        <v>4702</v>
      </c>
      <c r="AJ1268" s="43">
        <v>2.6</v>
      </c>
      <c r="AK1268" s="31" t="s">
        <v>98</v>
      </c>
      <c r="AL1268" s="43">
        <v>2.1</v>
      </c>
      <c r="AM1268" s="43">
        <v>3</v>
      </c>
      <c r="AN1268" s="43">
        <v>2.9</v>
      </c>
      <c r="AO1268" s="31" t="s">
        <v>98</v>
      </c>
      <c r="AP1268" s="43">
        <v>2.4</v>
      </c>
      <c r="AQ1268" s="43">
        <v>3.4</v>
      </c>
      <c r="AR1268" s="8" t="s">
        <v>269</v>
      </c>
      <c r="AS1268" s="14">
        <v>0.87</v>
      </c>
      <c r="AT1268" s="14">
        <f>AJ1268/AN1268</f>
        <v>0.89655172413793105</v>
      </c>
      <c r="AU1268" s="14">
        <v>0.68</v>
      </c>
      <c r="AV1268" s="14">
        <v>1.1200000000000001</v>
      </c>
      <c r="AW1268" s="8">
        <v>0.28000000000000003</v>
      </c>
      <c r="AX1268" s="8" t="s">
        <v>276</v>
      </c>
      <c r="AY1268" s="8" t="s">
        <v>98</v>
      </c>
      <c r="AZ1268" s="8" t="s">
        <v>98</v>
      </c>
      <c r="BA1268" s="8" t="s">
        <v>98</v>
      </c>
      <c r="BB1268" s="8" t="s">
        <v>98</v>
      </c>
      <c r="BC1268" s="9" t="s">
        <v>10698</v>
      </c>
      <c r="BD1268" s="9"/>
      <c r="BE1268" s="33" t="s">
        <v>100</v>
      </c>
      <c r="BF1268" s="33" t="s">
        <v>98</v>
      </c>
    </row>
    <row r="1269" spans="1:58" s="7" customFormat="1" ht="65" x14ac:dyDescent="0.3">
      <c r="A1269" s="8">
        <v>996</v>
      </c>
      <c r="B1269" s="8" t="s">
        <v>10625</v>
      </c>
      <c r="C1269" s="8" t="s">
        <v>11079</v>
      </c>
      <c r="D1269" s="9" t="s">
        <v>10699</v>
      </c>
      <c r="E1269" s="8" t="s">
        <v>36</v>
      </c>
      <c r="F1269" s="9" t="s">
        <v>134</v>
      </c>
      <c r="G1269" s="8" t="s">
        <v>225</v>
      </c>
      <c r="H1269" s="8" t="s">
        <v>125</v>
      </c>
      <c r="I1269" s="8" t="s">
        <v>114</v>
      </c>
      <c r="J1269" s="9" t="s">
        <v>24</v>
      </c>
      <c r="K1269" s="9" t="s">
        <v>10627</v>
      </c>
      <c r="L1269" s="9" t="s">
        <v>10628</v>
      </c>
      <c r="M1269" s="8" t="s">
        <v>15</v>
      </c>
      <c r="N1269" s="11" t="s">
        <v>10700</v>
      </c>
      <c r="O1269" s="12" t="s">
        <v>207</v>
      </c>
      <c r="P1269" s="41">
        <v>40178</v>
      </c>
      <c r="Q1269" s="9" t="s">
        <v>776</v>
      </c>
      <c r="R1269" s="9" t="s">
        <v>276</v>
      </c>
      <c r="S1269" s="9" t="s">
        <v>276</v>
      </c>
      <c r="T1269" s="9">
        <v>2</v>
      </c>
      <c r="U1269" s="13">
        <v>49634</v>
      </c>
      <c r="V1269" s="38">
        <v>49610</v>
      </c>
      <c r="W1269" s="8" t="s">
        <v>276</v>
      </c>
      <c r="X1269" s="8" t="s">
        <v>276</v>
      </c>
      <c r="Y1269" s="8" t="s">
        <v>276</v>
      </c>
      <c r="Z1269" s="9" t="s">
        <v>1562</v>
      </c>
      <c r="AA1269" s="8" t="s">
        <v>276</v>
      </c>
      <c r="AB1269" s="9" t="s">
        <v>1562</v>
      </c>
      <c r="AC1269" s="9" t="s">
        <v>10701</v>
      </c>
      <c r="AD1269" s="9" t="s">
        <v>1487</v>
      </c>
      <c r="AE1269" s="8">
        <v>133</v>
      </c>
      <c r="AF1269" s="8">
        <v>157</v>
      </c>
      <c r="AG1269" s="13" t="s">
        <v>276</v>
      </c>
      <c r="AH1269" s="13" t="s">
        <v>276</v>
      </c>
      <c r="AI1269" s="38" t="s">
        <v>4702</v>
      </c>
      <c r="AJ1269" s="43">
        <v>2.4</v>
      </c>
      <c r="AK1269" s="31" t="s">
        <v>98</v>
      </c>
      <c r="AL1269" s="43">
        <v>2</v>
      </c>
      <c r="AM1269" s="43">
        <v>2.8</v>
      </c>
      <c r="AN1269" s="43">
        <v>2.8</v>
      </c>
      <c r="AO1269" s="31" t="s">
        <v>98</v>
      </c>
      <c r="AP1269" s="43">
        <v>2.2999999999999998</v>
      </c>
      <c r="AQ1269" s="43">
        <v>3.2</v>
      </c>
      <c r="AR1269" s="8" t="s">
        <v>269</v>
      </c>
      <c r="AS1269" s="14">
        <v>0.84</v>
      </c>
      <c r="AT1269" s="14">
        <f>AJ1269/AN1269</f>
        <v>0.85714285714285721</v>
      </c>
      <c r="AU1269" s="14">
        <v>0.67</v>
      </c>
      <c r="AV1269" s="14">
        <v>1.06</v>
      </c>
      <c r="AW1269" s="8">
        <v>0.16</v>
      </c>
      <c r="AX1269" s="8" t="s">
        <v>276</v>
      </c>
      <c r="AY1269" s="8" t="s">
        <v>98</v>
      </c>
      <c r="AZ1269" s="8" t="s">
        <v>98</v>
      </c>
      <c r="BA1269" s="8" t="s">
        <v>98</v>
      </c>
      <c r="BB1269" s="8" t="s">
        <v>98</v>
      </c>
      <c r="BC1269" s="9" t="s">
        <v>10702</v>
      </c>
      <c r="BD1269" s="9"/>
      <c r="BE1269" s="33" t="s">
        <v>100</v>
      </c>
      <c r="BF1269" s="33" t="s">
        <v>98</v>
      </c>
    </row>
    <row r="1270" spans="1:58" s="7" customFormat="1" ht="65" x14ac:dyDescent="0.3">
      <c r="A1270" s="8">
        <v>996</v>
      </c>
      <c r="B1270" s="8" t="s">
        <v>10625</v>
      </c>
      <c r="C1270" s="8" t="s">
        <v>11079</v>
      </c>
      <c r="D1270" s="9" t="s">
        <v>10703</v>
      </c>
      <c r="E1270" s="8" t="s">
        <v>36</v>
      </c>
      <c r="F1270" s="9" t="s">
        <v>134</v>
      </c>
      <c r="G1270" s="8" t="s">
        <v>225</v>
      </c>
      <c r="H1270" s="8" t="s">
        <v>125</v>
      </c>
      <c r="I1270" s="8" t="s">
        <v>114</v>
      </c>
      <c r="J1270" s="9" t="s">
        <v>24</v>
      </c>
      <c r="K1270" s="9" t="s">
        <v>10627</v>
      </c>
      <c r="L1270" s="9" t="s">
        <v>10628</v>
      </c>
      <c r="M1270" s="8" t="s">
        <v>15</v>
      </c>
      <c r="N1270" s="11" t="s">
        <v>9787</v>
      </c>
      <c r="O1270" s="12" t="s">
        <v>207</v>
      </c>
      <c r="P1270" s="41">
        <v>40178</v>
      </c>
      <c r="Q1270" s="9" t="s">
        <v>776</v>
      </c>
      <c r="R1270" s="9" t="s">
        <v>276</v>
      </c>
      <c r="S1270" s="9" t="s">
        <v>276</v>
      </c>
      <c r="T1270" s="9">
        <v>2</v>
      </c>
      <c r="U1270" s="13">
        <v>27811</v>
      </c>
      <c r="V1270" s="38">
        <v>27845</v>
      </c>
      <c r="W1270" s="8" t="s">
        <v>276</v>
      </c>
      <c r="X1270" s="8" t="s">
        <v>276</v>
      </c>
      <c r="Y1270" s="8" t="s">
        <v>276</v>
      </c>
      <c r="Z1270" s="9" t="s">
        <v>1562</v>
      </c>
      <c r="AA1270" s="8" t="s">
        <v>276</v>
      </c>
      <c r="AB1270" s="9" t="s">
        <v>1562</v>
      </c>
      <c r="AC1270" s="9" t="s">
        <v>10704</v>
      </c>
      <c r="AD1270" s="9" t="s">
        <v>1487</v>
      </c>
      <c r="AE1270" s="8">
        <v>119</v>
      </c>
      <c r="AF1270" s="8">
        <v>184</v>
      </c>
      <c r="AG1270" s="13" t="s">
        <v>276</v>
      </c>
      <c r="AH1270" s="13" t="s">
        <v>276</v>
      </c>
      <c r="AI1270" s="38" t="s">
        <v>4702</v>
      </c>
      <c r="AJ1270" s="43">
        <v>3.9</v>
      </c>
      <c r="AK1270" s="31" t="s">
        <v>98</v>
      </c>
      <c r="AL1270" s="43" t="s">
        <v>10705</v>
      </c>
      <c r="AM1270" s="43">
        <v>4.5999999999999996</v>
      </c>
      <c r="AN1270" s="43">
        <v>6</v>
      </c>
      <c r="AO1270" s="31" t="s">
        <v>98</v>
      </c>
      <c r="AP1270" s="43">
        <v>5.0999999999999996</v>
      </c>
      <c r="AQ1270" s="43">
        <v>6.9</v>
      </c>
      <c r="AR1270" s="8" t="s">
        <v>269</v>
      </c>
      <c r="AS1270" s="14">
        <v>0.65</v>
      </c>
      <c r="AT1270" s="14">
        <f>AJ1270/AN1270</f>
        <v>0.65</v>
      </c>
      <c r="AU1270" s="14">
        <v>0.52</v>
      </c>
      <c r="AV1270" s="14">
        <v>0.82</v>
      </c>
      <c r="AW1270" s="8" t="s">
        <v>431</v>
      </c>
      <c r="AX1270" s="8" t="s">
        <v>276</v>
      </c>
      <c r="AY1270" s="8" t="s">
        <v>98</v>
      </c>
      <c r="AZ1270" s="8" t="s">
        <v>98</v>
      </c>
      <c r="BA1270" s="8" t="s">
        <v>98</v>
      </c>
      <c r="BB1270" s="8" t="s">
        <v>98</v>
      </c>
      <c r="BC1270" s="9" t="s">
        <v>10702</v>
      </c>
      <c r="BD1270" s="9"/>
      <c r="BE1270" s="33" t="s">
        <v>100</v>
      </c>
      <c r="BF1270" s="33" t="s">
        <v>98</v>
      </c>
    </row>
    <row r="1271" spans="1:58" s="522" customFormat="1" ht="65" x14ac:dyDescent="0.3">
      <c r="A1271" s="513">
        <v>1042</v>
      </c>
      <c r="B1271" s="513" t="s">
        <v>1493</v>
      </c>
      <c r="C1271" s="8" t="s">
        <v>11079</v>
      </c>
      <c r="D1271" s="514" t="s">
        <v>1494</v>
      </c>
      <c r="E1271" s="513" t="s">
        <v>36</v>
      </c>
      <c r="F1271" s="514" t="s">
        <v>134</v>
      </c>
      <c r="G1271" s="513" t="s">
        <v>225</v>
      </c>
      <c r="H1271" s="513" t="s">
        <v>125</v>
      </c>
      <c r="I1271" s="513" t="s">
        <v>114</v>
      </c>
      <c r="J1271" s="514" t="s">
        <v>23</v>
      </c>
      <c r="K1271" s="514" t="s">
        <v>1484</v>
      </c>
      <c r="L1271" s="514" t="s">
        <v>1496</v>
      </c>
      <c r="M1271" s="513" t="s">
        <v>14</v>
      </c>
      <c r="N1271" s="515" t="s">
        <v>98</v>
      </c>
      <c r="O1271" s="516" t="s">
        <v>207</v>
      </c>
      <c r="P1271" s="517">
        <v>40178</v>
      </c>
      <c r="Q1271" s="514" t="s">
        <v>776</v>
      </c>
      <c r="R1271" s="518" t="s">
        <v>4160</v>
      </c>
      <c r="S1271" s="518" t="s">
        <v>4161</v>
      </c>
      <c r="T1271" s="514">
        <v>2</v>
      </c>
      <c r="U1271" s="518">
        <v>77444</v>
      </c>
      <c r="V1271" s="519">
        <v>77453</v>
      </c>
      <c r="W1271" s="513" t="s">
        <v>276</v>
      </c>
      <c r="X1271" s="513" t="s">
        <v>276</v>
      </c>
      <c r="Y1271" s="513">
        <v>0</v>
      </c>
      <c r="Z1271" s="513" t="s">
        <v>98</v>
      </c>
      <c r="AA1271" s="513">
        <v>0</v>
      </c>
      <c r="AB1271" s="513" t="s">
        <v>98</v>
      </c>
      <c r="AC1271" s="514" t="s">
        <v>1497</v>
      </c>
      <c r="AD1271" s="514" t="s">
        <v>1487</v>
      </c>
      <c r="AE1271" s="513">
        <v>11027</v>
      </c>
      <c r="AF1271" s="513">
        <v>11226</v>
      </c>
      <c r="AG1271" s="518">
        <v>870094</v>
      </c>
      <c r="AH1271" s="518">
        <v>869526</v>
      </c>
      <c r="AI1271" s="518" t="s">
        <v>4702</v>
      </c>
      <c r="AJ1271" s="520" t="s">
        <v>276</v>
      </c>
      <c r="AK1271" s="521">
        <f>AE1271*10000/AG1271</f>
        <v>126.73343339914997</v>
      </c>
      <c r="AL1271" s="520" t="s">
        <v>276</v>
      </c>
      <c r="AM1271" s="520" t="s">
        <v>276</v>
      </c>
      <c r="AN1271" s="520" t="s">
        <v>276</v>
      </c>
      <c r="AO1271" s="521">
        <f>AF1271*10000/AH1271</f>
        <v>129.10482262750051</v>
      </c>
      <c r="AP1271" s="520" t="s">
        <v>276</v>
      </c>
      <c r="AQ1271" s="520" t="s">
        <v>276</v>
      </c>
      <c r="AR1271" s="513" t="s">
        <v>269</v>
      </c>
      <c r="AS1271" s="520">
        <v>0.98</v>
      </c>
      <c r="AT1271" s="520">
        <f>AK1271/AO1271</f>
        <v>0.98163206315543627</v>
      </c>
      <c r="AU1271" s="520">
        <v>0.96</v>
      </c>
      <c r="AV1271" s="520">
        <v>1.01</v>
      </c>
      <c r="AW1271" s="513" t="s">
        <v>276</v>
      </c>
      <c r="AX1271" s="513" t="s">
        <v>98</v>
      </c>
      <c r="AY1271" s="513" t="s">
        <v>98</v>
      </c>
      <c r="AZ1271" s="513" t="s">
        <v>98</v>
      </c>
      <c r="BA1271" s="513" t="s">
        <v>98</v>
      </c>
      <c r="BB1271" s="513" t="s">
        <v>98</v>
      </c>
      <c r="BC1271" s="514" t="s">
        <v>1168</v>
      </c>
      <c r="BD1271" s="514"/>
      <c r="BE1271" s="33" t="s">
        <v>100</v>
      </c>
      <c r="BF1271" s="33" t="s">
        <v>98</v>
      </c>
    </row>
    <row r="1272" spans="1:58" s="522" customFormat="1" ht="65" x14ac:dyDescent="0.3">
      <c r="A1272" s="513">
        <v>1042</v>
      </c>
      <c r="B1272" s="513" t="s">
        <v>1493</v>
      </c>
      <c r="C1272" s="8" t="s">
        <v>11079</v>
      </c>
      <c r="D1272" s="514" t="s">
        <v>10706</v>
      </c>
      <c r="E1272" s="513" t="s">
        <v>36</v>
      </c>
      <c r="F1272" s="514" t="s">
        <v>134</v>
      </c>
      <c r="G1272" s="513" t="s">
        <v>225</v>
      </c>
      <c r="H1272" s="513" t="s">
        <v>125</v>
      </c>
      <c r="I1272" s="513" t="s">
        <v>114</v>
      </c>
      <c r="J1272" s="514" t="s">
        <v>23</v>
      </c>
      <c r="K1272" s="514" t="s">
        <v>1484</v>
      </c>
      <c r="L1272" s="514" t="s">
        <v>1496</v>
      </c>
      <c r="M1272" s="513" t="s">
        <v>16</v>
      </c>
      <c r="N1272" s="515" t="s">
        <v>170</v>
      </c>
      <c r="O1272" s="516" t="s">
        <v>207</v>
      </c>
      <c r="P1272" s="517">
        <v>40178</v>
      </c>
      <c r="Q1272" s="514" t="s">
        <v>776</v>
      </c>
      <c r="R1272" s="514" t="s">
        <v>276</v>
      </c>
      <c r="S1272" s="514" t="s">
        <v>276</v>
      </c>
      <c r="T1272" s="514">
        <v>2</v>
      </c>
      <c r="U1272" s="518" t="s">
        <v>276</v>
      </c>
      <c r="V1272" s="519" t="s">
        <v>276</v>
      </c>
      <c r="W1272" s="513" t="s">
        <v>276</v>
      </c>
      <c r="X1272" s="513" t="s">
        <v>276</v>
      </c>
      <c r="Y1272" s="513">
        <v>0</v>
      </c>
      <c r="Z1272" s="513" t="s">
        <v>98</v>
      </c>
      <c r="AA1272" s="513">
        <v>0</v>
      </c>
      <c r="AB1272" s="513" t="s">
        <v>98</v>
      </c>
      <c r="AC1272" s="514" t="s">
        <v>10707</v>
      </c>
      <c r="AD1272" s="514" t="s">
        <v>1487</v>
      </c>
      <c r="AE1272" s="513">
        <v>6941</v>
      </c>
      <c r="AF1272" s="513">
        <v>7151</v>
      </c>
      <c r="AG1272" s="518" t="s">
        <v>276</v>
      </c>
      <c r="AH1272" s="518" t="s">
        <v>276</v>
      </c>
      <c r="AI1272" s="518" t="s">
        <v>4702</v>
      </c>
      <c r="AJ1272" s="520" t="s">
        <v>276</v>
      </c>
      <c r="AK1272" s="521" t="s">
        <v>98</v>
      </c>
      <c r="AL1272" s="520" t="s">
        <v>276</v>
      </c>
      <c r="AM1272" s="520" t="s">
        <v>276</v>
      </c>
      <c r="AN1272" s="520" t="s">
        <v>276</v>
      </c>
      <c r="AO1272" s="521" t="s">
        <v>98</v>
      </c>
      <c r="AP1272" s="520" t="s">
        <v>276</v>
      </c>
      <c r="AQ1272" s="520" t="s">
        <v>276</v>
      </c>
      <c r="AR1272" s="513" t="s">
        <v>269</v>
      </c>
      <c r="AS1272" s="520">
        <v>0.97</v>
      </c>
      <c r="AT1272" s="520" t="s">
        <v>98</v>
      </c>
      <c r="AU1272" s="520">
        <v>0.94</v>
      </c>
      <c r="AV1272" s="520">
        <v>1</v>
      </c>
      <c r="AW1272" s="513" t="s">
        <v>276</v>
      </c>
      <c r="AX1272" s="513" t="s">
        <v>98</v>
      </c>
      <c r="AY1272" s="513" t="s">
        <v>98</v>
      </c>
      <c r="AZ1272" s="513" t="s">
        <v>98</v>
      </c>
      <c r="BA1272" s="513" t="s">
        <v>98</v>
      </c>
      <c r="BB1272" s="513" t="s">
        <v>98</v>
      </c>
      <c r="BC1272" s="514" t="s">
        <v>1168</v>
      </c>
      <c r="BD1272" s="514"/>
      <c r="BE1272" s="33" t="s">
        <v>100</v>
      </c>
      <c r="BF1272" s="33" t="s">
        <v>98</v>
      </c>
    </row>
    <row r="1273" spans="1:58" s="522" customFormat="1" ht="65" x14ac:dyDescent="0.3">
      <c r="A1273" s="513">
        <v>1042</v>
      </c>
      <c r="B1273" s="513" t="s">
        <v>1493</v>
      </c>
      <c r="C1273" s="8" t="s">
        <v>11079</v>
      </c>
      <c r="D1273" s="514" t="s">
        <v>10708</v>
      </c>
      <c r="E1273" s="513" t="s">
        <v>36</v>
      </c>
      <c r="F1273" s="514" t="s">
        <v>134</v>
      </c>
      <c r="G1273" s="513" t="s">
        <v>225</v>
      </c>
      <c r="H1273" s="513" t="s">
        <v>125</v>
      </c>
      <c r="I1273" s="513" t="s">
        <v>114</v>
      </c>
      <c r="J1273" s="514" t="s">
        <v>23</v>
      </c>
      <c r="K1273" s="514" t="s">
        <v>1484</v>
      </c>
      <c r="L1273" s="514" t="s">
        <v>1496</v>
      </c>
      <c r="M1273" s="513" t="s">
        <v>16</v>
      </c>
      <c r="N1273" s="515" t="s">
        <v>171</v>
      </c>
      <c r="O1273" s="516" t="s">
        <v>207</v>
      </c>
      <c r="P1273" s="517">
        <v>40178</v>
      </c>
      <c r="Q1273" s="514" t="s">
        <v>776</v>
      </c>
      <c r="R1273" s="514" t="s">
        <v>276</v>
      </c>
      <c r="S1273" s="514" t="s">
        <v>276</v>
      </c>
      <c r="T1273" s="514">
        <v>2</v>
      </c>
      <c r="U1273" s="518" t="s">
        <v>276</v>
      </c>
      <c r="V1273" s="519" t="s">
        <v>276</v>
      </c>
      <c r="W1273" s="513" t="s">
        <v>276</v>
      </c>
      <c r="X1273" s="513" t="s">
        <v>276</v>
      </c>
      <c r="Y1273" s="513">
        <v>0</v>
      </c>
      <c r="Z1273" s="513" t="s">
        <v>98</v>
      </c>
      <c r="AA1273" s="513">
        <v>0</v>
      </c>
      <c r="AB1273" s="513" t="s">
        <v>98</v>
      </c>
      <c r="AC1273" s="514" t="s">
        <v>10709</v>
      </c>
      <c r="AD1273" s="514" t="s">
        <v>1487</v>
      </c>
      <c r="AE1273" s="513">
        <v>4086</v>
      </c>
      <c r="AF1273" s="513">
        <v>4075</v>
      </c>
      <c r="AG1273" s="518" t="s">
        <v>276</v>
      </c>
      <c r="AH1273" s="518" t="s">
        <v>276</v>
      </c>
      <c r="AI1273" s="518" t="s">
        <v>4702</v>
      </c>
      <c r="AJ1273" s="520" t="s">
        <v>276</v>
      </c>
      <c r="AK1273" s="521" t="s">
        <v>98</v>
      </c>
      <c r="AL1273" s="520" t="s">
        <v>276</v>
      </c>
      <c r="AM1273" s="520" t="s">
        <v>276</v>
      </c>
      <c r="AN1273" s="520" t="s">
        <v>276</v>
      </c>
      <c r="AO1273" s="521" t="s">
        <v>98</v>
      </c>
      <c r="AP1273" s="520" t="s">
        <v>276</v>
      </c>
      <c r="AQ1273" s="520" t="s">
        <v>276</v>
      </c>
      <c r="AR1273" s="513" t="s">
        <v>269</v>
      </c>
      <c r="AS1273" s="520">
        <v>1</v>
      </c>
      <c r="AT1273" s="520" t="s">
        <v>98</v>
      </c>
      <c r="AU1273" s="520">
        <v>0.96</v>
      </c>
      <c r="AV1273" s="520">
        <v>1.05</v>
      </c>
      <c r="AW1273" s="513" t="s">
        <v>276</v>
      </c>
      <c r="AX1273" s="513" t="s">
        <v>98</v>
      </c>
      <c r="AY1273" s="513" t="s">
        <v>98</v>
      </c>
      <c r="AZ1273" s="513" t="s">
        <v>98</v>
      </c>
      <c r="BA1273" s="513" t="s">
        <v>98</v>
      </c>
      <c r="BB1273" s="513" t="s">
        <v>98</v>
      </c>
      <c r="BC1273" s="514" t="s">
        <v>1168</v>
      </c>
      <c r="BD1273" s="514"/>
      <c r="BE1273" s="33" t="s">
        <v>100</v>
      </c>
      <c r="BF1273" s="33" t="s">
        <v>98</v>
      </c>
    </row>
    <row r="1274" spans="1:58" s="7" customFormat="1" ht="91" x14ac:dyDescent="0.3">
      <c r="A1274" s="8">
        <v>1042</v>
      </c>
      <c r="B1274" s="8" t="s">
        <v>1493</v>
      </c>
      <c r="C1274" s="8" t="s">
        <v>11079</v>
      </c>
      <c r="D1274" s="9" t="s">
        <v>10710</v>
      </c>
      <c r="E1274" s="8" t="s">
        <v>36</v>
      </c>
      <c r="F1274" s="9" t="s">
        <v>134</v>
      </c>
      <c r="G1274" s="8" t="s">
        <v>225</v>
      </c>
      <c r="H1274" s="8" t="s">
        <v>125</v>
      </c>
      <c r="I1274" s="8" t="s">
        <v>114</v>
      </c>
      <c r="J1274" s="9" t="s">
        <v>24</v>
      </c>
      <c r="K1274" s="9" t="s">
        <v>1484</v>
      </c>
      <c r="L1274" s="9" t="s">
        <v>1496</v>
      </c>
      <c r="M1274" s="8" t="s">
        <v>14</v>
      </c>
      <c r="N1274" s="11" t="s">
        <v>98</v>
      </c>
      <c r="O1274" s="12" t="s">
        <v>207</v>
      </c>
      <c r="P1274" s="41">
        <v>40178</v>
      </c>
      <c r="Q1274" s="9" t="s">
        <v>776</v>
      </c>
      <c r="R1274" s="13" t="s">
        <v>4160</v>
      </c>
      <c r="S1274" s="13" t="s">
        <v>4161</v>
      </c>
      <c r="T1274" s="9">
        <v>2</v>
      </c>
      <c r="U1274" s="13">
        <v>77444</v>
      </c>
      <c r="V1274" s="38">
        <v>77453</v>
      </c>
      <c r="W1274" s="8" t="s">
        <v>276</v>
      </c>
      <c r="X1274" s="8" t="s">
        <v>276</v>
      </c>
      <c r="Y1274" s="8" t="s">
        <v>276</v>
      </c>
      <c r="Z1274" s="9" t="s">
        <v>1562</v>
      </c>
      <c r="AA1274" s="8" t="s">
        <v>276</v>
      </c>
      <c r="AB1274" s="9" t="s">
        <v>1562</v>
      </c>
      <c r="AC1274" s="9" t="s">
        <v>10711</v>
      </c>
      <c r="AD1274" s="9" t="s">
        <v>1487</v>
      </c>
      <c r="AE1274" s="8">
        <v>253</v>
      </c>
      <c r="AF1274" s="8">
        <v>351</v>
      </c>
      <c r="AG1274" s="13">
        <v>870094</v>
      </c>
      <c r="AH1274" s="13">
        <v>869526</v>
      </c>
      <c r="AI1274" s="13" t="s">
        <v>4702</v>
      </c>
      <c r="AJ1274" s="43">
        <v>2.9</v>
      </c>
      <c r="AK1274" s="31">
        <f>AE1274*10000/AG1274</f>
        <v>2.9077318082873806</v>
      </c>
      <c r="AL1274" s="14" t="s">
        <v>276</v>
      </c>
      <c r="AM1274" s="14" t="s">
        <v>276</v>
      </c>
      <c r="AN1274" s="43">
        <v>4</v>
      </c>
      <c r="AO1274" s="31">
        <f>AF1274*10000/AH1274</f>
        <v>4.0366820543606519</v>
      </c>
      <c r="AP1274" s="14" t="s">
        <v>276</v>
      </c>
      <c r="AQ1274" s="14" t="s">
        <v>276</v>
      </c>
      <c r="AR1274" s="8" t="s">
        <v>269</v>
      </c>
      <c r="AS1274" s="14">
        <v>0.72</v>
      </c>
      <c r="AT1274" s="14">
        <f>AK1274/AO1274</f>
        <v>0.72032718186122302</v>
      </c>
      <c r="AU1274" s="14">
        <v>0.61</v>
      </c>
      <c r="AV1274" s="14">
        <v>0.85</v>
      </c>
      <c r="AW1274" s="8" t="s">
        <v>276</v>
      </c>
      <c r="AX1274" s="8" t="s">
        <v>98</v>
      </c>
      <c r="AY1274" s="8" t="s">
        <v>98</v>
      </c>
      <c r="AZ1274" s="8" t="s">
        <v>98</v>
      </c>
      <c r="BA1274" s="8" t="s">
        <v>98</v>
      </c>
      <c r="BB1274" s="8" t="s">
        <v>98</v>
      </c>
      <c r="BC1274" s="9" t="s">
        <v>10712</v>
      </c>
      <c r="BD1274" s="9"/>
      <c r="BE1274" s="33" t="s">
        <v>100</v>
      </c>
      <c r="BF1274" s="33" t="s">
        <v>98</v>
      </c>
    </row>
    <row r="1275" spans="1:58" s="7" customFormat="1" ht="65" x14ac:dyDescent="0.3">
      <c r="A1275" s="8">
        <v>1042</v>
      </c>
      <c r="B1275" s="8" t="s">
        <v>1493</v>
      </c>
      <c r="C1275" s="8" t="s">
        <v>11079</v>
      </c>
      <c r="D1275" s="9" t="s">
        <v>10713</v>
      </c>
      <c r="E1275" s="8" t="s">
        <v>36</v>
      </c>
      <c r="F1275" s="9" t="s">
        <v>134</v>
      </c>
      <c r="G1275" s="8" t="s">
        <v>225</v>
      </c>
      <c r="H1275" s="8" t="s">
        <v>125</v>
      </c>
      <c r="I1275" s="8" t="s">
        <v>114</v>
      </c>
      <c r="J1275" s="9" t="s">
        <v>24</v>
      </c>
      <c r="K1275" s="9" t="s">
        <v>1484</v>
      </c>
      <c r="L1275" s="9" t="s">
        <v>1496</v>
      </c>
      <c r="M1275" s="8" t="s">
        <v>16</v>
      </c>
      <c r="N1275" s="11" t="s">
        <v>170</v>
      </c>
      <c r="O1275" s="12" t="s">
        <v>207</v>
      </c>
      <c r="P1275" s="41">
        <v>40178</v>
      </c>
      <c r="Q1275" s="9" t="s">
        <v>776</v>
      </c>
      <c r="R1275" s="9" t="s">
        <v>276</v>
      </c>
      <c r="S1275" s="9" t="s">
        <v>276</v>
      </c>
      <c r="T1275" s="9">
        <v>2</v>
      </c>
      <c r="U1275" s="13" t="s">
        <v>276</v>
      </c>
      <c r="V1275" s="38" t="s">
        <v>276</v>
      </c>
      <c r="W1275" s="8" t="s">
        <v>276</v>
      </c>
      <c r="X1275" s="8" t="s">
        <v>276</v>
      </c>
      <c r="Y1275" s="8" t="s">
        <v>276</v>
      </c>
      <c r="Z1275" s="9" t="s">
        <v>1562</v>
      </c>
      <c r="AA1275" s="8" t="s">
        <v>276</v>
      </c>
      <c r="AB1275" s="9" t="s">
        <v>1562</v>
      </c>
      <c r="AC1275" s="9" t="s">
        <v>10714</v>
      </c>
      <c r="AD1275" s="9" t="s">
        <v>1487</v>
      </c>
      <c r="AE1275" s="8">
        <v>140</v>
      </c>
      <c r="AF1275" s="8">
        <v>215</v>
      </c>
      <c r="AG1275" s="13" t="s">
        <v>276</v>
      </c>
      <c r="AH1275" s="13" t="s">
        <v>276</v>
      </c>
      <c r="AI1275" s="13" t="s">
        <v>4702</v>
      </c>
      <c r="AJ1275" s="14" t="s">
        <v>276</v>
      </c>
      <c r="AK1275" s="31" t="s">
        <v>98</v>
      </c>
      <c r="AL1275" s="14" t="s">
        <v>276</v>
      </c>
      <c r="AM1275" s="14" t="s">
        <v>276</v>
      </c>
      <c r="AN1275" s="14" t="s">
        <v>276</v>
      </c>
      <c r="AO1275" s="31" t="s">
        <v>98</v>
      </c>
      <c r="AP1275" s="14" t="s">
        <v>276</v>
      </c>
      <c r="AQ1275" s="14" t="s">
        <v>276</v>
      </c>
      <c r="AR1275" s="8" t="s">
        <v>269</v>
      </c>
      <c r="AS1275" s="14">
        <v>0.65</v>
      </c>
      <c r="AT1275" s="14" t="s">
        <v>98</v>
      </c>
      <c r="AU1275" s="14">
        <v>0.52</v>
      </c>
      <c r="AV1275" s="14">
        <v>0.8</v>
      </c>
      <c r="AW1275" s="8" t="s">
        <v>276</v>
      </c>
      <c r="AX1275" s="8" t="s">
        <v>98</v>
      </c>
      <c r="AY1275" s="8" t="s">
        <v>98</v>
      </c>
      <c r="AZ1275" s="8" t="s">
        <v>98</v>
      </c>
      <c r="BA1275" s="8" t="s">
        <v>98</v>
      </c>
      <c r="BB1275" s="8" t="s">
        <v>98</v>
      </c>
      <c r="BC1275" s="9" t="s">
        <v>1168</v>
      </c>
      <c r="BD1275" s="9"/>
      <c r="BE1275" s="33" t="s">
        <v>100</v>
      </c>
      <c r="BF1275" s="33" t="s">
        <v>98</v>
      </c>
    </row>
    <row r="1276" spans="1:58" s="7" customFormat="1" ht="65" x14ac:dyDescent="0.3">
      <c r="A1276" s="8">
        <v>1042</v>
      </c>
      <c r="B1276" s="8" t="s">
        <v>1493</v>
      </c>
      <c r="C1276" s="8" t="s">
        <v>11079</v>
      </c>
      <c r="D1276" s="9" t="s">
        <v>10715</v>
      </c>
      <c r="E1276" s="8" t="s">
        <v>36</v>
      </c>
      <c r="F1276" s="9" t="s">
        <v>134</v>
      </c>
      <c r="G1276" s="8" t="s">
        <v>225</v>
      </c>
      <c r="H1276" s="8" t="s">
        <v>125</v>
      </c>
      <c r="I1276" s="8" t="s">
        <v>114</v>
      </c>
      <c r="J1276" s="9" t="s">
        <v>24</v>
      </c>
      <c r="K1276" s="9" t="s">
        <v>1484</v>
      </c>
      <c r="L1276" s="9" t="s">
        <v>1496</v>
      </c>
      <c r="M1276" s="8" t="s">
        <v>16</v>
      </c>
      <c r="N1276" s="11" t="s">
        <v>171</v>
      </c>
      <c r="O1276" s="12" t="s">
        <v>207</v>
      </c>
      <c r="P1276" s="41">
        <v>40178</v>
      </c>
      <c r="Q1276" s="9" t="s">
        <v>776</v>
      </c>
      <c r="R1276" s="9" t="s">
        <v>276</v>
      </c>
      <c r="S1276" s="9" t="s">
        <v>276</v>
      </c>
      <c r="T1276" s="9">
        <v>2</v>
      </c>
      <c r="U1276" s="13" t="s">
        <v>276</v>
      </c>
      <c r="V1276" s="38" t="s">
        <v>276</v>
      </c>
      <c r="W1276" s="8" t="s">
        <v>276</v>
      </c>
      <c r="X1276" s="8" t="s">
        <v>276</v>
      </c>
      <c r="Y1276" s="8" t="s">
        <v>276</v>
      </c>
      <c r="Z1276" s="9" t="s">
        <v>1562</v>
      </c>
      <c r="AA1276" s="8" t="s">
        <v>276</v>
      </c>
      <c r="AB1276" s="9" t="s">
        <v>1562</v>
      </c>
      <c r="AC1276" s="9" t="s">
        <v>10716</v>
      </c>
      <c r="AD1276" s="9" t="s">
        <v>1487</v>
      </c>
      <c r="AE1276" s="8">
        <v>113</v>
      </c>
      <c r="AF1276" s="8">
        <v>136</v>
      </c>
      <c r="AG1276" s="13" t="s">
        <v>276</v>
      </c>
      <c r="AH1276" s="13" t="s">
        <v>276</v>
      </c>
      <c r="AI1276" s="13" t="s">
        <v>4702</v>
      </c>
      <c r="AJ1276" s="14" t="s">
        <v>276</v>
      </c>
      <c r="AK1276" s="31" t="s">
        <v>98</v>
      </c>
      <c r="AL1276" s="14" t="s">
        <v>276</v>
      </c>
      <c r="AM1276" s="14" t="s">
        <v>276</v>
      </c>
      <c r="AN1276" s="14" t="s">
        <v>276</v>
      </c>
      <c r="AO1276" s="31" t="s">
        <v>98</v>
      </c>
      <c r="AP1276" s="14" t="s">
        <v>276</v>
      </c>
      <c r="AQ1276" s="14" t="s">
        <v>276</v>
      </c>
      <c r="AR1276" s="8" t="s">
        <v>269</v>
      </c>
      <c r="AS1276" s="14">
        <v>0.83</v>
      </c>
      <c r="AT1276" s="14" t="s">
        <v>98</v>
      </c>
      <c r="AU1276" s="14">
        <v>0.65</v>
      </c>
      <c r="AV1276" s="14">
        <v>1.07</v>
      </c>
      <c r="AW1276" s="8" t="s">
        <v>276</v>
      </c>
      <c r="AX1276" s="8" t="s">
        <v>98</v>
      </c>
      <c r="AY1276" s="8" t="s">
        <v>98</v>
      </c>
      <c r="AZ1276" s="8" t="s">
        <v>98</v>
      </c>
      <c r="BA1276" s="8" t="s">
        <v>98</v>
      </c>
      <c r="BB1276" s="8" t="s">
        <v>98</v>
      </c>
      <c r="BC1276" s="9" t="s">
        <v>1168</v>
      </c>
      <c r="BD1276" s="9"/>
      <c r="BE1276" s="33" t="s">
        <v>100</v>
      </c>
      <c r="BF1276" s="33" t="s">
        <v>98</v>
      </c>
    </row>
    <row r="1277" spans="1:58" s="7" customFormat="1" ht="65" x14ac:dyDescent="0.3">
      <c r="A1277" s="8">
        <v>1042</v>
      </c>
      <c r="B1277" s="8" t="s">
        <v>1493</v>
      </c>
      <c r="C1277" s="8" t="s">
        <v>11079</v>
      </c>
      <c r="D1277" s="9" t="s">
        <v>10717</v>
      </c>
      <c r="E1277" s="8" t="s">
        <v>36</v>
      </c>
      <c r="F1277" s="9" t="s">
        <v>134</v>
      </c>
      <c r="G1277" s="8" t="s">
        <v>225</v>
      </c>
      <c r="H1277" s="8" t="s">
        <v>125</v>
      </c>
      <c r="I1277" s="8" t="s">
        <v>114</v>
      </c>
      <c r="J1277" s="9" t="s">
        <v>24</v>
      </c>
      <c r="K1277" s="9" t="s">
        <v>1484</v>
      </c>
      <c r="L1277" s="9" t="s">
        <v>1496</v>
      </c>
      <c r="M1277" s="8" t="s">
        <v>14</v>
      </c>
      <c r="N1277" s="11" t="s">
        <v>98</v>
      </c>
      <c r="O1277" s="12" t="s">
        <v>207</v>
      </c>
      <c r="P1277" s="41">
        <v>40178</v>
      </c>
      <c r="Q1277" s="9" t="s">
        <v>776</v>
      </c>
      <c r="R1277" s="13" t="s">
        <v>4160</v>
      </c>
      <c r="S1277" s="13" t="s">
        <v>4161</v>
      </c>
      <c r="T1277" s="9">
        <v>2</v>
      </c>
      <c r="U1277" s="13">
        <v>77444</v>
      </c>
      <c r="V1277" s="38">
        <v>77453</v>
      </c>
      <c r="W1277" s="8" t="s">
        <v>276</v>
      </c>
      <c r="X1277" s="8" t="s">
        <v>276</v>
      </c>
      <c r="Y1277" s="90" t="s">
        <v>10718</v>
      </c>
      <c r="Z1277" s="9" t="s">
        <v>10660</v>
      </c>
      <c r="AA1277" s="90" t="s">
        <v>10719</v>
      </c>
      <c r="AB1277" s="9" t="s">
        <v>10720</v>
      </c>
      <c r="AC1277" s="9" t="s">
        <v>10721</v>
      </c>
      <c r="AD1277" s="9" t="s">
        <v>1487</v>
      </c>
      <c r="AE1277" s="8">
        <v>83</v>
      </c>
      <c r="AF1277" s="8">
        <v>180</v>
      </c>
      <c r="AG1277" s="13">
        <v>870094</v>
      </c>
      <c r="AH1277" s="13">
        <v>869526</v>
      </c>
      <c r="AI1277" s="13" t="s">
        <v>4702</v>
      </c>
      <c r="AJ1277" s="14" t="s">
        <v>276</v>
      </c>
      <c r="AK1277" s="31">
        <f>AE1277*10000/AG1277</f>
        <v>0.95391992129586001</v>
      </c>
      <c r="AL1277" s="14" t="s">
        <v>276</v>
      </c>
      <c r="AM1277" s="14" t="s">
        <v>276</v>
      </c>
      <c r="AN1277" s="14" t="s">
        <v>276</v>
      </c>
      <c r="AO1277" s="31">
        <f>AF1277*10000/AH1277</f>
        <v>2.0700933612105907</v>
      </c>
      <c r="AP1277" s="14" t="s">
        <v>276</v>
      </c>
      <c r="AQ1277" s="14" t="s">
        <v>276</v>
      </c>
      <c r="AR1277" s="8" t="s">
        <v>269</v>
      </c>
      <c r="AS1277" s="14">
        <v>0.46</v>
      </c>
      <c r="AT1277" s="14">
        <f>AK1277/AO1277</f>
        <v>0.46081009638039105</v>
      </c>
      <c r="AU1277" s="14">
        <v>0.36</v>
      </c>
      <c r="AV1277" s="14">
        <v>0.6</v>
      </c>
      <c r="AW1277" s="8" t="s">
        <v>276</v>
      </c>
      <c r="AX1277" s="8" t="s">
        <v>98</v>
      </c>
      <c r="AY1277" s="8" t="s">
        <v>98</v>
      </c>
      <c r="AZ1277" s="8" t="s">
        <v>98</v>
      </c>
      <c r="BA1277" s="8" t="s">
        <v>98</v>
      </c>
      <c r="BB1277" s="8" t="s">
        <v>98</v>
      </c>
      <c r="BC1277" s="9" t="s">
        <v>10722</v>
      </c>
      <c r="BD1277" s="9"/>
      <c r="BE1277" s="33" t="s">
        <v>100</v>
      </c>
      <c r="BF1277" s="33" t="s">
        <v>98</v>
      </c>
    </row>
    <row r="1278" spans="1:58" s="7" customFormat="1" ht="65" x14ac:dyDescent="0.3">
      <c r="A1278" s="8">
        <v>1042</v>
      </c>
      <c r="B1278" s="8" t="s">
        <v>1493</v>
      </c>
      <c r="C1278" s="8" t="s">
        <v>11079</v>
      </c>
      <c r="D1278" s="9" t="s">
        <v>10723</v>
      </c>
      <c r="E1278" s="8" t="s">
        <v>36</v>
      </c>
      <c r="F1278" s="9" t="s">
        <v>134</v>
      </c>
      <c r="G1278" s="8" t="s">
        <v>225</v>
      </c>
      <c r="H1278" s="8" t="s">
        <v>125</v>
      </c>
      <c r="I1278" s="8" t="s">
        <v>114</v>
      </c>
      <c r="J1278" s="9" t="s">
        <v>24</v>
      </c>
      <c r="K1278" s="9" t="s">
        <v>1484</v>
      </c>
      <c r="L1278" s="9" t="s">
        <v>1496</v>
      </c>
      <c r="M1278" s="8" t="s">
        <v>16</v>
      </c>
      <c r="N1278" s="11" t="s">
        <v>170</v>
      </c>
      <c r="O1278" s="12" t="s">
        <v>207</v>
      </c>
      <c r="P1278" s="41">
        <v>40178</v>
      </c>
      <c r="Q1278" s="9" t="s">
        <v>776</v>
      </c>
      <c r="R1278" s="9" t="s">
        <v>276</v>
      </c>
      <c r="S1278" s="9" t="s">
        <v>276</v>
      </c>
      <c r="T1278" s="9">
        <v>2</v>
      </c>
      <c r="U1278" s="13" t="s">
        <v>276</v>
      </c>
      <c r="V1278" s="38" t="s">
        <v>276</v>
      </c>
      <c r="W1278" s="8" t="s">
        <v>276</v>
      </c>
      <c r="X1278" s="8" t="s">
        <v>276</v>
      </c>
      <c r="Y1278" s="90" t="s">
        <v>10724</v>
      </c>
      <c r="Z1278" s="9" t="s">
        <v>10725</v>
      </c>
      <c r="AA1278" s="90" t="s">
        <v>10726</v>
      </c>
      <c r="AB1278" s="9" t="s">
        <v>10727</v>
      </c>
      <c r="AC1278" s="9" t="s">
        <v>10728</v>
      </c>
      <c r="AD1278" s="9" t="s">
        <v>1487</v>
      </c>
      <c r="AE1278" s="8">
        <v>54</v>
      </c>
      <c r="AF1278" s="8">
        <v>131</v>
      </c>
      <c r="AG1278" s="13" t="s">
        <v>276</v>
      </c>
      <c r="AH1278" s="13" t="s">
        <v>276</v>
      </c>
      <c r="AI1278" s="13" t="s">
        <v>4702</v>
      </c>
      <c r="AJ1278" s="14" t="s">
        <v>276</v>
      </c>
      <c r="AK1278" s="31" t="s">
        <v>98</v>
      </c>
      <c r="AL1278" s="14" t="s">
        <v>276</v>
      </c>
      <c r="AM1278" s="14" t="s">
        <v>276</v>
      </c>
      <c r="AN1278" s="14" t="s">
        <v>276</v>
      </c>
      <c r="AO1278" s="31" t="s">
        <v>98</v>
      </c>
      <c r="AP1278" s="14" t="s">
        <v>276</v>
      </c>
      <c r="AQ1278" s="14" t="s">
        <v>276</v>
      </c>
      <c r="AR1278" s="8" t="s">
        <v>269</v>
      </c>
      <c r="AS1278" s="14">
        <v>0.41</v>
      </c>
      <c r="AT1278" s="14" t="s">
        <v>98</v>
      </c>
      <c r="AU1278" s="14">
        <v>0.3</v>
      </c>
      <c r="AV1278" s="14">
        <v>0.56000000000000005</v>
      </c>
      <c r="AW1278" s="8" t="s">
        <v>276</v>
      </c>
      <c r="AX1278" s="8" t="s">
        <v>98</v>
      </c>
      <c r="AY1278" s="8" t="s">
        <v>98</v>
      </c>
      <c r="AZ1278" s="8" t="s">
        <v>98</v>
      </c>
      <c r="BA1278" s="8" t="s">
        <v>98</v>
      </c>
      <c r="BB1278" s="8" t="s">
        <v>98</v>
      </c>
      <c r="BC1278" s="9" t="s">
        <v>10729</v>
      </c>
      <c r="BD1278" s="9"/>
      <c r="BE1278" s="33" t="s">
        <v>100</v>
      </c>
      <c r="BF1278" s="33" t="s">
        <v>98</v>
      </c>
    </row>
    <row r="1279" spans="1:58" s="7" customFormat="1" ht="65" x14ac:dyDescent="0.3">
      <c r="A1279" s="8">
        <v>1042</v>
      </c>
      <c r="B1279" s="8" t="s">
        <v>1493</v>
      </c>
      <c r="C1279" s="8" t="s">
        <v>11079</v>
      </c>
      <c r="D1279" s="9" t="s">
        <v>10730</v>
      </c>
      <c r="E1279" s="8" t="s">
        <v>36</v>
      </c>
      <c r="F1279" s="9" t="s">
        <v>134</v>
      </c>
      <c r="G1279" s="8" t="s">
        <v>225</v>
      </c>
      <c r="H1279" s="8" t="s">
        <v>125</v>
      </c>
      <c r="I1279" s="8" t="s">
        <v>114</v>
      </c>
      <c r="J1279" s="9" t="s">
        <v>24</v>
      </c>
      <c r="K1279" s="9" t="s">
        <v>1484</v>
      </c>
      <c r="L1279" s="9" t="s">
        <v>1496</v>
      </c>
      <c r="M1279" s="8" t="s">
        <v>16</v>
      </c>
      <c r="N1279" s="11" t="s">
        <v>171</v>
      </c>
      <c r="O1279" s="12" t="s">
        <v>207</v>
      </c>
      <c r="P1279" s="41">
        <v>40178</v>
      </c>
      <c r="Q1279" s="9" t="s">
        <v>776</v>
      </c>
      <c r="R1279" s="9" t="s">
        <v>276</v>
      </c>
      <c r="S1279" s="9" t="s">
        <v>276</v>
      </c>
      <c r="T1279" s="9">
        <v>2</v>
      </c>
      <c r="U1279" s="13" t="s">
        <v>276</v>
      </c>
      <c r="V1279" s="38" t="s">
        <v>276</v>
      </c>
      <c r="W1279" s="8" t="s">
        <v>276</v>
      </c>
      <c r="X1279" s="8" t="s">
        <v>276</v>
      </c>
      <c r="Y1279" s="90" t="s">
        <v>10731</v>
      </c>
      <c r="Z1279" s="9" t="s">
        <v>10732</v>
      </c>
      <c r="AA1279" s="90" t="s">
        <v>466</v>
      </c>
      <c r="AB1279" s="9" t="s">
        <v>10733</v>
      </c>
      <c r="AC1279" s="9" t="s">
        <v>10734</v>
      </c>
      <c r="AD1279" s="9" t="s">
        <v>1487</v>
      </c>
      <c r="AE1279" s="8">
        <v>29</v>
      </c>
      <c r="AF1279" s="8">
        <v>49</v>
      </c>
      <c r="AG1279" s="13" t="s">
        <v>276</v>
      </c>
      <c r="AH1279" s="13" t="s">
        <v>276</v>
      </c>
      <c r="AI1279" s="13" t="s">
        <v>4702</v>
      </c>
      <c r="AJ1279" s="14" t="s">
        <v>276</v>
      </c>
      <c r="AK1279" s="31" t="s">
        <v>98</v>
      </c>
      <c r="AL1279" s="14" t="s">
        <v>276</v>
      </c>
      <c r="AM1279" s="14" t="s">
        <v>276</v>
      </c>
      <c r="AN1279" s="14" t="s">
        <v>276</v>
      </c>
      <c r="AO1279" s="31" t="s">
        <v>98</v>
      </c>
      <c r="AP1279" s="14" t="s">
        <v>276</v>
      </c>
      <c r="AQ1279" s="14" t="s">
        <v>276</v>
      </c>
      <c r="AR1279" s="8" t="s">
        <v>269</v>
      </c>
      <c r="AS1279" s="14">
        <v>0.59</v>
      </c>
      <c r="AT1279" s="14" t="s">
        <v>98</v>
      </c>
      <c r="AU1279" s="14">
        <v>0.37</v>
      </c>
      <c r="AV1279" s="14">
        <v>0.94</v>
      </c>
      <c r="AW1279" s="8" t="s">
        <v>276</v>
      </c>
      <c r="AX1279" s="8" t="s">
        <v>98</v>
      </c>
      <c r="AY1279" s="8" t="s">
        <v>98</v>
      </c>
      <c r="AZ1279" s="8" t="s">
        <v>98</v>
      </c>
      <c r="BA1279" s="8" t="s">
        <v>98</v>
      </c>
      <c r="BB1279" s="8" t="s">
        <v>98</v>
      </c>
      <c r="BC1279" s="9" t="s">
        <v>10735</v>
      </c>
      <c r="BD1279" s="9"/>
      <c r="BE1279" s="33" t="s">
        <v>100</v>
      </c>
      <c r="BF1279" s="33" t="s">
        <v>98</v>
      </c>
    </row>
    <row r="1280" spans="1:58" s="7" customFormat="1" ht="65" x14ac:dyDescent="0.3">
      <c r="A1280" s="8">
        <v>1042</v>
      </c>
      <c r="B1280" s="8" t="s">
        <v>1493</v>
      </c>
      <c r="C1280" s="8" t="s">
        <v>11079</v>
      </c>
      <c r="D1280" s="9" t="s">
        <v>10736</v>
      </c>
      <c r="E1280" s="8" t="s">
        <v>36</v>
      </c>
      <c r="F1280" s="9" t="s">
        <v>134</v>
      </c>
      <c r="G1280" s="8" t="s">
        <v>225</v>
      </c>
      <c r="H1280" s="8" t="s">
        <v>125</v>
      </c>
      <c r="I1280" s="8" t="s">
        <v>114</v>
      </c>
      <c r="J1280" s="9" t="s">
        <v>24</v>
      </c>
      <c r="K1280" s="9" t="s">
        <v>1484</v>
      </c>
      <c r="L1280" s="9" t="s">
        <v>1496</v>
      </c>
      <c r="M1280" s="8" t="s">
        <v>14</v>
      </c>
      <c r="N1280" s="11" t="s">
        <v>98</v>
      </c>
      <c r="O1280" s="12" t="s">
        <v>207</v>
      </c>
      <c r="P1280" s="41">
        <v>40178</v>
      </c>
      <c r="Q1280" s="9" t="s">
        <v>776</v>
      </c>
      <c r="R1280" s="13" t="s">
        <v>4160</v>
      </c>
      <c r="S1280" s="13" t="s">
        <v>4161</v>
      </c>
      <c r="T1280" s="9">
        <v>2</v>
      </c>
      <c r="U1280" s="13">
        <v>77444</v>
      </c>
      <c r="V1280" s="38">
        <v>77453</v>
      </c>
      <c r="W1280" s="8" t="s">
        <v>276</v>
      </c>
      <c r="X1280" s="8" t="s">
        <v>276</v>
      </c>
      <c r="Y1280" s="90" t="s">
        <v>10718</v>
      </c>
      <c r="Z1280" s="9" t="s">
        <v>10660</v>
      </c>
      <c r="AA1280" s="90" t="s">
        <v>10719</v>
      </c>
      <c r="AB1280" s="9" t="s">
        <v>10720</v>
      </c>
      <c r="AC1280" s="9" t="s">
        <v>10737</v>
      </c>
      <c r="AD1280" s="9" t="s">
        <v>1487</v>
      </c>
      <c r="AE1280" s="8">
        <v>151</v>
      </c>
      <c r="AF1280" s="8">
        <v>149</v>
      </c>
      <c r="AG1280" s="13">
        <v>870094</v>
      </c>
      <c r="AH1280" s="13">
        <v>869526</v>
      </c>
      <c r="AI1280" s="13" t="s">
        <v>4702</v>
      </c>
      <c r="AJ1280" s="14" t="s">
        <v>276</v>
      </c>
      <c r="AK1280" s="31">
        <f>AE1280*10000/AG1280</f>
        <v>1.7354446760924682</v>
      </c>
      <c r="AL1280" s="14" t="s">
        <v>276</v>
      </c>
      <c r="AM1280" s="14" t="s">
        <v>276</v>
      </c>
      <c r="AN1280" s="14" t="s">
        <v>276</v>
      </c>
      <c r="AO1280" s="31">
        <f>AF1280*10000/AH1280</f>
        <v>1.7135772823354334</v>
      </c>
      <c r="AP1280" s="14" t="s">
        <v>276</v>
      </c>
      <c r="AQ1280" s="14" t="s">
        <v>276</v>
      </c>
      <c r="AR1280" s="8" t="s">
        <v>269</v>
      </c>
      <c r="AS1280" s="14">
        <v>1.01</v>
      </c>
      <c r="AT1280" s="14">
        <f>AK1280/AO1280</f>
        <v>1.0127612533046841</v>
      </c>
      <c r="AU1280" s="14">
        <v>0.81</v>
      </c>
      <c r="AV1280" s="14">
        <v>1.27</v>
      </c>
      <c r="AW1280" s="8" t="s">
        <v>276</v>
      </c>
      <c r="AX1280" s="8" t="s">
        <v>98</v>
      </c>
      <c r="AY1280" s="8" t="s">
        <v>98</v>
      </c>
      <c r="AZ1280" s="8" t="s">
        <v>98</v>
      </c>
      <c r="BA1280" s="8" t="s">
        <v>98</v>
      </c>
      <c r="BB1280" s="8" t="s">
        <v>98</v>
      </c>
      <c r="BC1280" s="9" t="s">
        <v>1168</v>
      </c>
      <c r="BD1280" s="9"/>
      <c r="BE1280" s="33" t="s">
        <v>100</v>
      </c>
      <c r="BF1280" s="33" t="s">
        <v>98</v>
      </c>
    </row>
    <row r="1281" spans="1:58" s="7" customFormat="1" ht="65" x14ac:dyDescent="0.3">
      <c r="A1281" s="8">
        <v>1042</v>
      </c>
      <c r="B1281" s="8" t="s">
        <v>1493</v>
      </c>
      <c r="C1281" s="8" t="s">
        <v>11079</v>
      </c>
      <c r="D1281" s="9" t="s">
        <v>10738</v>
      </c>
      <c r="E1281" s="8" t="s">
        <v>36</v>
      </c>
      <c r="F1281" s="9" t="s">
        <v>134</v>
      </c>
      <c r="G1281" s="8" t="s">
        <v>225</v>
      </c>
      <c r="H1281" s="8" t="s">
        <v>125</v>
      </c>
      <c r="I1281" s="8" t="s">
        <v>114</v>
      </c>
      <c r="J1281" s="9" t="s">
        <v>24</v>
      </c>
      <c r="K1281" s="9" t="s">
        <v>1484</v>
      </c>
      <c r="L1281" s="9" t="s">
        <v>1496</v>
      </c>
      <c r="M1281" s="8" t="s">
        <v>16</v>
      </c>
      <c r="N1281" s="11" t="s">
        <v>170</v>
      </c>
      <c r="O1281" s="12" t="s">
        <v>207</v>
      </c>
      <c r="P1281" s="41">
        <v>40178</v>
      </c>
      <c r="Q1281" s="9" t="s">
        <v>776</v>
      </c>
      <c r="R1281" s="9" t="s">
        <v>276</v>
      </c>
      <c r="S1281" s="9" t="s">
        <v>276</v>
      </c>
      <c r="T1281" s="9">
        <v>2</v>
      </c>
      <c r="U1281" s="13" t="s">
        <v>276</v>
      </c>
      <c r="V1281" s="38" t="s">
        <v>276</v>
      </c>
      <c r="W1281" s="8" t="s">
        <v>276</v>
      </c>
      <c r="X1281" s="8" t="s">
        <v>276</v>
      </c>
      <c r="Y1281" s="90" t="s">
        <v>10724</v>
      </c>
      <c r="Z1281" s="9" t="s">
        <v>10725</v>
      </c>
      <c r="AA1281" s="90" t="s">
        <v>10726</v>
      </c>
      <c r="AB1281" s="9" t="s">
        <v>10727</v>
      </c>
      <c r="AC1281" s="9" t="s">
        <v>10739</v>
      </c>
      <c r="AD1281" s="9" t="s">
        <v>1487</v>
      </c>
      <c r="AE1281" s="8">
        <v>80</v>
      </c>
      <c r="AF1281" s="8">
        <v>70</v>
      </c>
      <c r="AG1281" s="13" t="s">
        <v>276</v>
      </c>
      <c r="AH1281" s="13" t="s">
        <v>276</v>
      </c>
      <c r="AI1281" s="13" t="s">
        <v>4702</v>
      </c>
      <c r="AJ1281" s="14" t="s">
        <v>276</v>
      </c>
      <c r="AK1281" s="31" t="s">
        <v>98</v>
      </c>
      <c r="AL1281" s="14" t="s">
        <v>276</v>
      </c>
      <c r="AM1281" s="14" t="s">
        <v>276</v>
      </c>
      <c r="AN1281" s="14" t="s">
        <v>276</v>
      </c>
      <c r="AO1281" s="31" t="s">
        <v>98</v>
      </c>
      <c r="AP1281" s="14" t="s">
        <v>276</v>
      </c>
      <c r="AQ1281" s="14" t="s">
        <v>276</v>
      </c>
      <c r="AR1281" s="8" t="s">
        <v>269</v>
      </c>
      <c r="AS1281" s="14">
        <v>1.1399999999999999</v>
      </c>
      <c r="AT1281" s="14" t="s">
        <v>98</v>
      </c>
      <c r="AU1281" s="14">
        <v>0.83</v>
      </c>
      <c r="AV1281" s="14">
        <v>1.57</v>
      </c>
      <c r="AW1281" s="8" t="s">
        <v>276</v>
      </c>
      <c r="AX1281" s="8" t="s">
        <v>98</v>
      </c>
      <c r="AY1281" s="8" t="s">
        <v>98</v>
      </c>
      <c r="AZ1281" s="8" t="s">
        <v>98</v>
      </c>
      <c r="BA1281" s="8" t="s">
        <v>98</v>
      </c>
      <c r="BB1281" s="8" t="s">
        <v>98</v>
      </c>
      <c r="BC1281" s="9" t="s">
        <v>10729</v>
      </c>
      <c r="BD1281" s="9"/>
      <c r="BE1281" s="33" t="s">
        <v>100</v>
      </c>
      <c r="BF1281" s="33" t="s">
        <v>98</v>
      </c>
    </row>
    <row r="1282" spans="1:58" s="7" customFormat="1" ht="65" x14ac:dyDescent="0.3">
      <c r="A1282" s="8">
        <v>1042</v>
      </c>
      <c r="B1282" s="8" t="s">
        <v>1493</v>
      </c>
      <c r="C1282" s="8" t="s">
        <v>11079</v>
      </c>
      <c r="D1282" s="9" t="s">
        <v>10740</v>
      </c>
      <c r="E1282" s="8" t="s">
        <v>36</v>
      </c>
      <c r="F1282" s="9" t="s">
        <v>134</v>
      </c>
      <c r="G1282" s="8" t="s">
        <v>225</v>
      </c>
      <c r="H1282" s="8" t="s">
        <v>125</v>
      </c>
      <c r="I1282" s="8" t="s">
        <v>114</v>
      </c>
      <c r="J1282" s="9" t="s">
        <v>24</v>
      </c>
      <c r="K1282" s="9" t="s">
        <v>1484</v>
      </c>
      <c r="L1282" s="9" t="s">
        <v>1496</v>
      </c>
      <c r="M1282" s="8" t="s">
        <v>16</v>
      </c>
      <c r="N1282" s="11" t="s">
        <v>171</v>
      </c>
      <c r="O1282" s="12" t="s">
        <v>207</v>
      </c>
      <c r="P1282" s="41">
        <v>40178</v>
      </c>
      <c r="Q1282" s="9" t="s">
        <v>776</v>
      </c>
      <c r="R1282" s="9" t="s">
        <v>276</v>
      </c>
      <c r="S1282" s="9" t="s">
        <v>276</v>
      </c>
      <c r="T1282" s="9">
        <v>2</v>
      </c>
      <c r="U1282" s="13" t="s">
        <v>276</v>
      </c>
      <c r="V1282" s="38" t="s">
        <v>276</v>
      </c>
      <c r="W1282" s="8" t="s">
        <v>276</v>
      </c>
      <c r="X1282" s="8" t="s">
        <v>276</v>
      </c>
      <c r="Y1282" s="90" t="s">
        <v>10731</v>
      </c>
      <c r="Z1282" s="9" t="s">
        <v>10732</v>
      </c>
      <c r="AA1282" s="90" t="s">
        <v>466</v>
      </c>
      <c r="AB1282" s="9" t="s">
        <v>10733</v>
      </c>
      <c r="AC1282" s="9" t="s">
        <v>10741</v>
      </c>
      <c r="AD1282" s="9" t="s">
        <v>1487</v>
      </c>
      <c r="AE1282" s="8">
        <v>71</v>
      </c>
      <c r="AF1282" s="8">
        <v>79</v>
      </c>
      <c r="AG1282" s="13" t="s">
        <v>276</v>
      </c>
      <c r="AH1282" s="13" t="s">
        <v>276</v>
      </c>
      <c r="AI1282" s="13" t="s">
        <v>4702</v>
      </c>
      <c r="AJ1282" s="14" t="s">
        <v>276</v>
      </c>
      <c r="AK1282" s="31" t="s">
        <v>98</v>
      </c>
      <c r="AL1282" s="14" t="s">
        <v>276</v>
      </c>
      <c r="AM1282" s="14" t="s">
        <v>276</v>
      </c>
      <c r="AN1282" s="14" t="s">
        <v>276</v>
      </c>
      <c r="AO1282" s="31" t="s">
        <v>98</v>
      </c>
      <c r="AP1282" s="14" t="s">
        <v>276</v>
      </c>
      <c r="AQ1282" s="14" t="s">
        <v>276</v>
      </c>
      <c r="AR1282" s="8" t="s">
        <v>269</v>
      </c>
      <c r="AS1282" s="14">
        <v>0.9</v>
      </c>
      <c r="AT1282" s="14" t="s">
        <v>98</v>
      </c>
      <c r="AU1282" s="14">
        <v>0.65</v>
      </c>
      <c r="AV1282" s="14">
        <v>1.24</v>
      </c>
      <c r="AW1282" s="8" t="s">
        <v>276</v>
      </c>
      <c r="AX1282" s="8" t="s">
        <v>98</v>
      </c>
      <c r="AY1282" s="8" t="s">
        <v>98</v>
      </c>
      <c r="AZ1282" s="8" t="s">
        <v>98</v>
      </c>
      <c r="BA1282" s="8" t="s">
        <v>98</v>
      </c>
      <c r="BB1282" s="8" t="s">
        <v>98</v>
      </c>
      <c r="BC1282" s="9" t="s">
        <v>1168</v>
      </c>
      <c r="BD1282" s="9"/>
      <c r="BE1282" s="33" t="s">
        <v>100</v>
      </c>
      <c r="BF1282" s="33" t="s">
        <v>98</v>
      </c>
    </row>
    <row r="1283" spans="1:58" s="7" customFormat="1" ht="130" x14ac:dyDescent="0.3">
      <c r="A1283" s="8">
        <v>1169</v>
      </c>
      <c r="B1283" s="8" t="s">
        <v>10742</v>
      </c>
      <c r="C1283" s="8" t="s">
        <v>11079</v>
      </c>
      <c r="D1283" s="9" t="s">
        <v>10743</v>
      </c>
      <c r="E1283" s="8" t="s">
        <v>36</v>
      </c>
      <c r="F1283" s="9" t="s">
        <v>134</v>
      </c>
      <c r="G1283" s="8" t="s">
        <v>225</v>
      </c>
      <c r="H1283" s="8" t="s">
        <v>125</v>
      </c>
      <c r="I1283" s="8" t="s">
        <v>114</v>
      </c>
      <c r="J1283" s="9" t="s">
        <v>24</v>
      </c>
      <c r="K1283" s="9" t="s">
        <v>10744</v>
      </c>
      <c r="L1283" s="9" t="s">
        <v>10745</v>
      </c>
      <c r="M1283" s="8" t="s">
        <v>14</v>
      </c>
      <c r="N1283" s="11" t="s">
        <v>98</v>
      </c>
      <c r="O1283" s="12" t="s">
        <v>207</v>
      </c>
      <c r="P1283" s="41">
        <v>42369</v>
      </c>
      <c r="Q1283" s="9" t="s">
        <v>1686</v>
      </c>
      <c r="R1283" s="9" t="s">
        <v>10746</v>
      </c>
      <c r="S1283" s="9" t="s">
        <v>10747</v>
      </c>
      <c r="T1283" s="9">
        <v>2</v>
      </c>
      <c r="U1283" s="13">
        <v>77443</v>
      </c>
      <c r="V1283" s="38">
        <v>77444</v>
      </c>
      <c r="W1283" s="8" t="s">
        <v>276</v>
      </c>
      <c r="X1283" s="8" t="s">
        <v>276</v>
      </c>
      <c r="Y1283" s="8" t="s">
        <v>276</v>
      </c>
      <c r="Z1283" s="9" t="s">
        <v>894</v>
      </c>
      <c r="AA1283" s="8" t="s">
        <v>276</v>
      </c>
      <c r="AB1283" s="9" t="s">
        <v>894</v>
      </c>
      <c r="AC1283" s="9" t="s">
        <v>10748</v>
      </c>
      <c r="AD1283" s="9" t="s">
        <v>1487</v>
      </c>
      <c r="AE1283" s="8">
        <v>417</v>
      </c>
      <c r="AF1283" s="8">
        <v>549</v>
      </c>
      <c r="AG1283" s="13" t="s">
        <v>276</v>
      </c>
      <c r="AH1283" s="13" t="s">
        <v>276</v>
      </c>
      <c r="AI1283" s="13" t="s">
        <v>4702</v>
      </c>
      <c r="AJ1283" s="14">
        <v>3.37</v>
      </c>
      <c r="AK1283" s="31" t="s">
        <v>98</v>
      </c>
      <c r="AL1283" s="14" t="s">
        <v>276</v>
      </c>
      <c r="AM1283" s="14" t="s">
        <v>276</v>
      </c>
      <c r="AN1283" s="14">
        <v>4.4800000000000004</v>
      </c>
      <c r="AO1283" s="31" t="s">
        <v>276</v>
      </c>
      <c r="AP1283" s="14" t="s">
        <v>276</v>
      </c>
      <c r="AQ1283" s="14" t="s">
        <v>276</v>
      </c>
      <c r="AR1283" s="8" t="s">
        <v>269</v>
      </c>
      <c r="AS1283" s="14">
        <v>0.75</v>
      </c>
      <c r="AT1283" s="14">
        <f>AJ1283/AN1283</f>
        <v>0.75223214285714279</v>
      </c>
      <c r="AU1283" s="14">
        <v>0.66</v>
      </c>
      <c r="AV1283" s="14">
        <v>0.85</v>
      </c>
      <c r="AW1283" s="8" t="s">
        <v>276</v>
      </c>
      <c r="AX1283" s="8" t="s">
        <v>282</v>
      </c>
      <c r="AY1283" s="8" t="s">
        <v>98</v>
      </c>
      <c r="AZ1283" s="8" t="s">
        <v>98</v>
      </c>
      <c r="BA1283" s="8" t="s">
        <v>98</v>
      </c>
      <c r="BB1283" s="8" t="s">
        <v>98</v>
      </c>
      <c r="BC1283" s="9" t="s">
        <v>10749</v>
      </c>
      <c r="BD1283" s="9"/>
      <c r="BE1283" s="33" t="s">
        <v>100</v>
      </c>
      <c r="BF1283" s="33" t="s">
        <v>98</v>
      </c>
    </row>
    <row r="1284" spans="1:58" s="7" customFormat="1" ht="130" x14ac:dyDescent="0.3">
      <c r="A1284" s="8">
        <v>1169</v>
      </c>
      <c r="B1284" s="8" t="s">
        <v>10742</v>
      </c>
      <c r="C1284" s="8" t="s">
        <v>11079</v>
      </c>
      <c r="D1284" s="9" t="s">
        <v>10750</v>
      </c>
      <c r="E1284" s="8" t="s">
        <v>36</v>
      </c>
      <c r="F1284" s="9" t="s">
        <v>134</v>
      </c>
      <c r="G1284" s="8" t="s">
        <v>225</v>
      </c>
      <c r="H1284" s="8" t="s">
        <v>125</v>
      </c>
      <c r="I1284" s="8" t="s">
        <v>114</v>
      </c>
      <c r="J1284" s="9" t="s">
        <v>24</v>
      </c>
      <c r="K1284" s="9" t="s">
        <v>10744</v>
      </c>
      <c r="L1284" s="9" t="s">
        <v>10751</v>
      </c>
      <c r="M1284" s="8" t="s">
        <v>14</v>
      </c>
      <c r="N1284" s="11" t="s">
        <v>98</v>
      </c>
      <c r="O1284" s="12" t="s">
        <v>207</v>
      </c>
      <c r="P1284" s="41" t="s">
        <v>98</v>
      </c>
      <c r="Q1284" s="9" t="s">
        <v>705</v>
      </c>
      <c r="R1284" s="9" t="s">
        <v>276</v>
      </c>
      <c r="S1284" s="9" t="s">
        <v>276</v>
      </c>
      <c r="T1284" s="9">
        <v>1</v>
      </c>
      <c r="U1284" s="13">
        <v>77443</v>
      </c>
      <c r="V1284" s="38">
        <v>77444</v>
      </c>
      <c r="W1284" s="8" t="s">
        <v>276</v>
      </c>
      <c r="X1284" s="8" t="s">
        <v>276</v>
      </c>
      <c r="Y1284" s="8" t="s">
        <v>276</v>
      </c>
      <c r="Z1284" s="9" t="s">
        <v>894</v>
      </c>
      <c r="AA1284" s="8" t="s">
        <v>276</v>
      </c>
      <c r="AB1284" s="9" t="s">
        <v>894</v>
      </c>
      <c r="AC1284" s="9" t="s">
        <v>10752</v>
      </c>
      <c r="AD1284" s="9" t="s">
        <v>6506</v>
      </c>
      <c r="AE1284" s="8">
        <v>3</v>
      </c>
      <c r="AF1284" s="8">
        <v>1</v>
      </c>
      <c r="AG1284" s="13">
        <v>77443</v>
      </c>
      <c r="AH1284" s="38">
        <v>77444</v>
      </c>
      <c r="AI1284" s="38" t="s">
        <v>2047</v>
      </c>
      <c r="AJ1284" s="14" t="s">
        <v>276</v>
      </c>
      <c r="AK1284" s="31">
        <f t="shared" ref="AK1284:AK1304" si="188">AE1284*1000/AG1284</f>
        <v>3.8738168717637488E-2</v>
      </c>
      <c r="AL1284" s="14" t="s">
        <v>276</v>
      </c>
      <c r="AM1284" s="14" t="s">
        <v>276</v>
      </c>
      <c r="AN1284" s="14" t="s">
        <v>276</v>
      </c>
      <c r="AO1284" s="31">
        <f t="shared" ref="AO1284:AO1304" si="189">AF1284*1000/AH1284</f>
        <v>1.2912556169619338E-2</v>
      </c>
      <c r="AP1284" s="14" t="s">
        <v>276</v>
      </c>
      <c r="AQ1284" s="14" t="s">
        <v>276</v>
      </c>
      <c r="AR1284" s="8" t="s">
        <v>268</v>
      </c>
      <c r="AS1284" s="14" t="s">
        <v>276</v>
      </c>
      <c r="AT1284" s="14">
        <f t="shared" ref="AT1284:AT1304" si="190">AK1284/AO1284</f>
        <v>3.0000387381687177</v>
      </c>
      <c r="AU1284" s="14" t="s">
        <v>276</v>
      </c>
      <c r="AV1284" s="14" t="s">
        <v>276</v>
      </c>
      <c r="AW1284" s="8" t="s">
        <v>276</v>
      </c>
      <c r="AX1284" s="8" t="s">
        <v>282</v>
      </c>
      <c r="AY1284" s="8" t="s">
        <v>98</v>
      </c>
      <c r="AZ1284" s="8" t="s">
        <v>98</v>
      </c>
      <c r="BA1284" s="8" t="s">
        <v>98</v>
      </c>
      <c r="BB1284" s="8" t="s">
        <v>98</v>
      </c>
      <c r="BC1284" s="9" t="s">
        <v>341</v>
      </c>
      <c r="BD1284" s="9"/>
      <c r="BE1284" s="33" t="s">
        <v>100</v>
      </c>
      <c r="BF1284" s="33" t="s">
        <v>98</v>
      </c>
    </row>
    <row r="1285" spans="1:58" s="7" customFormat="1" ht="130" x14ac:dyDescent="0.3">
      <c r="A1285" s="8">
        <v>1169</v>
      </c>
      <c r="B1285" s="8" t="s">
        <v>10742</v>
      </c>
      <c r="C1285" s="8" t="s">
        <v>11079</v>
      </c>
      <c r="D1285" s="9" t="s">
        <v>10753</v>
      </c>
      <c r="E1285" s="8" t="s">
        <v>36</v>
      </c>
      <c r="F1285" s="9" t="s">
        <v>134</v>
      </c>
      <c r="G1285" s="8" t="s">
        <v>225</v>
      </c>
      <c r="H1285" s="8" t="s">
        <v>125</v>
      </c>
      <c r="I1285" s="8" t="s">
        <v>114</v>
      </c>
      <c r="J1285" s="9" t="s">
        <v>24</v>
      </c>
      <c r="K1285" s="9" t="s">
        <v>10744</v>
      </c>
      <c r="L1285" s="9" t="s">
        <v>10754</v>
      </c>
      <c r="M1285" s="8" t="s">
        <v>14</v>
      </c>
      <c r="N1285" s="11" t="s">
        <v>98</v>
      </c>
      <c r="O1285" s="12" t="s">
        <v>207</v>
      </c>
      <c r="P1285" s="41" t="s">
        <v>98</v>
      </c>
      <c r="Q1285" s="9" t="s">
        <v>710</v>
      </c>
      <c r="R1285" s="9" t="s">
        <v>276</v>
      </c>
      <c r="S1285" s="9" t="s">
        <v>276</v>
      </c>
      <c r="T1285" s="9">
        <v>1</v>
      </c>
      <c r="U1285" s="13">
        <v>77443</v>
      </c>
      <c r="V1285" s="38">
        <v>77444</v>
      </c>
      <c r="W1285" s="8" t="s">
        <v>276</v>
      </c>
      <c r="X1285" s="8" t="s">
        <v>276</v>
      </c>
      <c r="Y1285" s="8" t="s">
        <v>276</v>
      </c>
      <c r="Z1285" s="9" t="s">
        <v>894</v>
      </c>
      <c r="AA1285" s="8" t="s">
        <v>276</v>
      </c>
      <c r="AB1285" s="9" t="s">
        <v>894</v>
      </c>
      <c r="AC1285" s="9" t="s">
        <v>10755</v>
      </c>
      <c r="AD1285" s="9" t="s">
        <v>6506</v>
      </c>
      <c r="AE1285" s="8">
        <v>14</v>
      </c>
      <c r="AF1285" s="8">
        <v>17</v>
      </c>
      <c r="AG1285" s="13">
        <v>77443</v>
      </c>
      <c r="AH1285" s="38">
        <v>77444</v>
      </c>
      <c r="AI1285" s="38" t="s">
        <v>2047</v>
      </c>
      <c r="AJ1285" s="14" t="s">
        <v>276</v>
      </c>
      <c r="AK1285" s="31">
        <f t="shared" si="188"/>
        <v>0.18077812068230828</v>
      </c>
      <c r="AL1285" s="14" t="s">
        <v>276</v>
      </c>
      <c r="AM1285" s="14" t="s">
        <v>276</v>
      </c>
      <c r="AN1285" s="14" t="s">
        <v>276</v>
      </c>
      <c r="AO1285" s="31">
        <f t="shared" si="189"/>
        <v>0.21951345488352875</v>
      </c>
      <c r="AP1285" s="14" t="s">
        <v>276</v>
      </c>
      <c r="AQ1285" s="14" t="s">
        <v>276</v>
      </c>
      <c r="AR1285" s="8" t="s">
        <v>268</v>
      </c>
      <c r="AS1285" s="14" t="s">
        <v>276</v>
      </c>
      <c r="AT1285" s="14">
        <f t="shared" si="190"/>
        <v>0.82354004577180484</v>
      </c>
      <c r="AU1285" s="14" t="s">
        <v>276</v>
      </c>
      <c r="AV1285" s="14" t="s">
        <v>276</v>
      </c>
      <c r="AW1285" s="8" t="s">
        <v>276</v>
      </c>
      <c r="AX1285" s="8" t="s">
        <v>282</v>
      </c>
      <c r="AY1285" s="8" t="s">
        <v>98</v>
      </c>
      <c r="AZ1285" s="8" t="s">
        <v>98</v>
      </c>
      <c r="BA1285" s="8" t="s">
        <v>98</v>
      </c>
      <c r="BB1285" s="8" t="s">
        <v>98</v>
      </c>
      <c r="BC1285" s="9" t="s">
        <v>341</v>
      </c>
      <c r="BD1285" s="9"/>
      <c r="BE1285" s="33" t="s">
        <v>100</v>
      </c>
      <c r="BF1285" s="33" t="s">
        <v>98</v>
      </c>
    </row>
    <row r="1286" spans="1:58" s="7" customFormat="1" ht="130" x14ac:dyDescent="0.3">
      <c r="A1286" s="8">
        <v>1169</v>
      </c>
      <c r="B1286" s="8" t="s">
        <v>10742</v>
      </c>
      <c r="C1286" s="8" t="s">
        <v>11079</v>
      </c>
      <c r="D1286" s="9" t="s">
        <v>10756</v>
      </c>
      <c r="E1286" s="8" t="s">
        <v>36</v>
      </c>
      <c r="F1286" s="9" t="s">
        <v>134</v>
      </c>
      <c r="G1286" s="8" t="s">
        <v>225</v>
      </c>
      <c r="H1286" s="8" t="s">
        <v>125</v>
      </c>
      <c r="I1286" s="8" t="s">
        <v>114</v>
      </c>
      <c r="J1286" s="9" t="s">
        <v>24</v>
      </c>
      <c r="K1286" s="9" t="s">
        <v>10744</v>
      </c>
      <c r="L1286" s="9" t="s">
        <v>10757</v>
      </c>
      <c r="M1286" s="8" t="s">
        <v>14</v>
      </c>
      <c r="N1286" s="11" t="s">
        <v>98</v>
      </c>
      <c r="O1286" s="12" t="s">
        <v>207</v>
      </c>
      <c r="P1286" s="41" t="s">
        <v>98</v>
      </c>
      <c r="Q1286" s="9" t="s">
        <v>686</v>
      </c>
      <c r="R1286" s="9" t="s">
        <v>276</v>
      </c>
      <c r="S1286" s="9" t="s">
        <v>276</v>
      </c>
      <c r="T1286" s="9">
        <v>1</v>
      </c>
      <c r="U1286" s="13">
        <v>77443</v>
      </c>
      <c r="V1286" s="38">
        <v>77444</v>
      </c>
      <c r="W1286" s="8" t="s">
        <v>276</v>
      </c>
      <c r="X1286" s="8" t="s">
        <v>276</v>
      </c>
      <c r="Y1286" s="8" t="s">
        <v>276</v>
      </c>
      <c r="Z1286" s="9" t="s">
        <v>894</v>
      </c>
      <c r="AA1286" s="8" t="s">
        <v>276</v>
      </c>
      <c r="AB1286" s="9" t="s">
        <v>894</v>
      </c>
      <c r="AC1286" s="9" t="s">
        <v>10758</v>
      </c>
      <c r="AD1286" s="9" t="s">
        <v>6506</v>
      </c>
      <c r="AE1286" s="8">
        <v>29</v>
      </c>
      <c r="AF1286" s="8">
        <v>36</v>
      </c>
      <c r="AG1286" s="13">
        <v>77443</v>
      </c>
      <c r="AH1286" s="38">
        <v>77444</v>
      </c>
      <c r="AI1286" s="38" t="s">
        <v>2047</v>
      </c>
      <c r="AJ1286" s="14" t="s">
        <v>276</v>
      </c>
      <c r="AK1286" s="31">
        <f t="shared" si="188"/>
        <v>0.3744689642704957</v>
      </c>
      <c r="AL1286" s="14" t="s">
        <v>276</v>
      </c>
      <c r="AM1286" s="14" t="s">
        <v>276</v>
      </c>
      <c r="AN1286" s="14" t="s">
        <v>276</v>
      </c>
      <c r="AO1286" s="31">
        <f t="shared" si="189"/>
        <v>0.46485202210629617</v>
      </c>
      <c r="AP1286" s="14" t="s">
        <v>276</v>
      </c>
      <c r="AQ1286" s="14" t="s">
        <v>276</v>
      </c>
      <c r="AR1286" s="8" t="s">
        <v>268</v>
      </c>
      <c r="AS1286" s="14" t="s">
        <v>276</v>
      </c>
      <c r="AT1286" s="14">
        <f t="shared" si="190"/>
        <v>0.80556595747122972</v>
      </c>
      <c r="AU1286" s="14" t="s">
        <v>276</v>
      </c>
      <c r="AV1286" s="14" t="s">
        <v>276</v>
      </c>
      <c r="AW1286" s="8" t="s">
        <v>276</v>
      </c>
      <c r="AX1286" s="8" t="s">
        <v>282</v>
      </c>
      <c r="AY1286" s="8" t="s">
        <v>98</v>
      </c>
      <c r="AZ1286" s="8" t="s">
        <v>98</v>
      </c>
      <c r="BA1286" s="8" t="s">
        <v>98</v>
      </c>
      <c r="BB1286" s="8" t="s">
        <v>98</v>
      </c>
      <c r="BC1286" s="9" t="s">
        <v>341</v>
      </c>
      <c r="BD1286" s="9"/>
      <c r="BE1286" s="33" t="s">
        <v>100</v>
      </c>
      <c r="BF1286" s="33" t="s">
        <v>98</v>
      </c>
    </row>
    <row r="1287" spans="1:58" s="7" customFormat="1" ht="130" x14ac:dyDescent="0.3">
      <c r="A1287" s="8">
        <v>1169</v>
      </c>
      <c r="B1287" s="8" t="s">
        <v>10742</v>
      </c>
      <c r="C1287" s="8" t="s">
        <v>11079</v>
      </c>
      <c r="D1287" s="9" t="s">
        <v>10759</v>
      </c>
      <c r="E1287" s="8" t="s">
        <v>36</v>
      </c>
      <c r="F1287" s="9" t="s">
        <v>134</v>
      </c>
      <c r="G1287" s="8" t="s">
        <v>225</v>
      </c>
      <c r="H1287" s="8" t="s">
        <v>125</v>
      </c>
      <c r="I1287" s="8" t="s">
        <v>114</v>
      </c>
      <c r="J1287" s="9" t="s">
        <v>24</v>
      </c>
      <c r="K1287" s="9" t="s">
        <v>10744</v>
      </c>
      <c r="L1287" s="9" t="s">
        <v>10760</v>
      </c>
      <c r="M1287" s="8" t="s">
        <v>14</v>
      </c>
      <c r="N1287" s="11" t="s">
        <v>98</v>
      </c>
      <c r="O1287" s="12" t="s">
        <v>207</v>
      </c>
      <c r="P1287" s="41" t="s">
        <v>98</v>
      </c>
      <c r="Q1287" s="9" t="s">
        <v>721</v>
      </c>
      <c r="R1287" s="9" t="s">
        <v>276</v>
      </c>
      <c r="S1287" s="9" t="s">
        <v>276</v>
      </c>
      <c r="T1287" s="51" t="s">
        <v>2331</v>
      </c>
      <c r="U1287" s="13">
        <v>77443</v>
      </c>
      <c r="V1287" s="38">
        <v>77444</v>
      </c>
      <c r="W1287" s="8" t="s">
        <v>276</v>
      </c>
      <c r="X1287" s="8" t="s">
        <v>276</v>
      </c>
      <c r="Y1287" s="8" t="s">
        <v>276</v>
      </c>
      <c r="Z1287" s="9" t="s">
        <v>894</v>
      </c>
      <c r="AA1287" s="8" t="s">
        <v>276</v>
      </c>
      <c r="AB1287" s="9" t="s">
        <v>894</v>
      </c>
      <c r="AC1287" s="9" t="s">
        <v>10761</v>
      </c>
      <c r="AD1287" s="9" t="s">
        <v>6506</v>
      </c>
      <c r="AE1287" s="8">
        <v>51</v>
      </c>
      <c r="AF1287" s="8">
        <v>63</v>
      </c>
      <c r="AG1287" s="13">
        <v>77443</v>
      </c>
      <c r="AH1287" s="38">
        <v>77444</v>
      </c>
      <c r="AI1287" s="38" t="s">
        <v>2047</v>
      </c>
      <c r="AJ1287" s="14" t="s">
        <v>276</v>
      </c>
      <c r="AK1287" s="31">
        <f t="shared" si="188"/>
        <v>0.65854886819983727</v>
      </c>
      <c r="AL1287" s="14" t="s">
        <v>276</v>
      </c>
      <c r="AM1287" s="14" t="s">
        <v>276</v>
      </c>
      <c r="AN1287" s="14" t="s">
        <v>276</v>
      </c>
      <c r="AO1287" s="31">
        <f t="shared" si="189"/>
        <v>0.81349103868601824</v>
      </c>
      <c r="AP1287" s="14" t="s">
        <v>276</v>
      </c>
      <c r="AQ1287" s="14" t="s">
        <v>276</v>
      </c>
      <c r="AR1287" s="8" t="s">
        <v>268</v>
      </c>
      <c r="AS1287" s="14" t="s">
        <v>276</v>
      </c>
      <c r="AT1287" s="14">
        <f t="shared" si="190"/>
        <v>0.80953426268044759</v>
      </c>
      <c r="AU1287" s="14" t="s">
        <v>276</v>
      </c>
      <c r="AV1287" s="14" t="s">
        <v>276</v>
      </c>
      <c r="AW1287" s="8" t="s">
        <v>276</v>
      </c>
      <c r="AX1287" s="8" t="s">
        <v>282</v>
      </c>
      <c r="AY1287" s="8" t="s">
        <v>98</v>
      </c>
      <c r="AZ1287" s="8" t="s">
        <v>98</v>
      </c>
      <c r="BA1287" s="8" t="s">
        <v>98</v>
      </c>
      <c r="BB1287" s="8" t="s">
        <v>98</v>
      </c>
      <c r="BC1287" s="9" t="s">
        <v>341</v>
      </c>
      <c r="BD1287" s="9"/>
      <c r="BE1287" s="33" t="s">
        <v>100</v>
      </c>
      <c r="BF1287" s="33" t="s">
        <v>98</v>
      </c>
    </row>
    <row r="1288" spans="1:58" s="7" customFormat="1" ht="130" x14ac:dyDescent="0.3">
      <c r="A1288" s="8">
        <v>1169</v>
      </c>
      <c r="B1288" s="8" t="s">
        <v>10742</v>
      </c>
      <c r="C1288" s="8" t="s">
        <v>11079</v>
      </c>
      <c r="D1288" s="9" t="s">
        <v>10762</v>
      </c>
      <c r="E1288" s="8" t="s">
        <v>36</v>
      </c>
      <c r="F1288" s="9" t="s">
        <v>134</v>
      </c>
      <c r="G1288" s="8" t="s">
        <v>225</v>
      </c>
      <c r="H1288" s="8" t="s">
        <v>125</v>
      </c>
      <c r="I1288" s="8" t="s">
        <v>114</v>
      </c>
      <c r="J1288" s="9" t="s">
        <v>24</v>
      </c>
      <c r="K1288" s="9" t="s">
        <v>10744</v>
      </c>
      <c r="L1288" s="9" t="s">
        <v>10760</v>
      </c>
      <c r="M1288" s="8" t="s">
        <v>14</v>
      </c>
      <c r="N1288" s="11" t="s">
        <v>98</v>
      </c>
      <c r="O1288" s="12" t="s">
        <v>207</v>
      </c>
      <c r="P1288" s="41" t="s">
        <v>98</v>
      </c>
      <c r="Q1288" s="9" t="s">
        <v>728</v>
      </c>
      <c r="R1288" s="9" t="s">
        <v>276</v>
      </c>
      <c r="S1288" s="9" t="s">
        <v>276</v>
      </c>
      <c r="T1288" s="51" t="s">
        <v>2331</v>
      </c>
      <c r="U1288" s="13">
        <v>77443</v>
      </c>
      <c r="V1288" s="38">
        <v>77444</v>
      </c>
      <c r="W1288" s="8" t="s">
        <v>276</v>
      </c>
      <c r="X1288" s="8" t="s">
        <v>276</v>
      </c>
      <c r="Y1288" s="8" t="s">
        <v>276</v>
      </c>
      <c r="Z1288" s="9" t="s">
        <v>894</v>
      </c>
      <c r="AA1288" s="8" t="s">
        <v>276</v>
      </c>
      <c r="AB1288" s="9" t="s">
        <v>894</v>
      </c>
      <c r="AC1288" s="9" t="s">
        <v>10763</v>
      </c>
      <c r="AD1288" s="9" t="s">
        <v>6506</v>
      </c>
      <c r="AE1288" s="8">
        <v>75</v>
      </c>
      <c r="AF1288" s="8">
        <v>93</v>
      </c>
      <c r="AG1288" s="13">
        <v>77443</v>
      </c>
      <c r="AH1288" s="38">
        <v>77444</v>
      </c>
      <c r="AI1288" s="38" t="s">
        <v>2047</v>
      </c>
      <c r="AJ1288" s="14" t="s">
        <v>276</v>
      </c>
      <c r="AK1288" s="31">
        <f t="shared" si="188"/>
        <v>0.96845421794093722</v>
      </c>
      <c r="AL1288" s="14" t="s">
        <v>276</v>
      </c>
      <c r="AM1288" s="14" t="s">
        <v>276</v>
      </c>
      <c r="AN1288" s="14" t="s">
        <v>276</v>
      </c>
      <c r="AO1288" s="31">
        <f t="shared" si="189"/>
        <v>1.2008677237745984</v>
      </c>
      <c r="AP1288" s="14" t="s">
        <v>276</v>
      </c>
      <c r="AQ1288" s="14" t="s">
        <v>276</v>
      </c>
      <c r="AR1288" s="8" t="s">
        <v>268</v>
      </c>
      <c r="AS1288" s="14" t="s">
        <v>276</v>
      </c>
      <c r="AT1288" s="14">
        <f t="shared" si="190"/>
        <v>0.80646202638944031</v>
      </c>
      <c r="AU1288" s="14" t="s">
        <v>276</v>
      </c>
      <c r="AV1288" s="14" t="s">
        <v>276</v>
      </c>
      <c r="AW1288" s="8" t="s">
        <v>276</v>
      </c>
      <c r="AX1288" s="8" t="s">
        <v>282</v>
      </c>
      <c r="AY1288" s="8" t="s">
        <v>98</v>
      </c>
      <c r="AZ1288" s="8" t="s">
        <v>98</v>
      </c>
      <c r="BA1288" s="8" t="s">
        <v>98</v>
      </c>
      <c r="BB1288" s="8" t="s">
        <v>98</v>
      </c>
      <c r="BC1288" s="9" t="s">
        <v>341</v>
      </c>
      <c r="BD1288" s="9"/>
      <c r="BE1288" s="33" t="s">
        <v>100</v>
      </c>
      <c r="BF1288" s="33" t="s">
        <v>98</v>
      </c>
    </row>
    <row r="1289" spans="1:58" s="7" customFormat="1" ht="130" x14ac:dyDescent="0.3">
      <c r="A1289" s="8">
        <v>1169</v>
      </c>
      <c r="B1289" s="8" t="s">
        <v>10742</v>
      </c>
      <c r="C1289" s="8" t="s">
        <v>11079</v>
      </c>
      <c r="D1289" s="9" t="s">
        <v>10764</v>
      </c>
      <c r="E1289" s="8" t="s">
        <v>36</v>
      </c>
      <c r="F1289" s="9" t="s">
        <v>134</v>
      </c>
      <c r="G1289" s="8" t="s">
        <v>225</v>
      </c>
      <c r="H1289" s="8" t="s">
        <v>125</v>
      </c>
      <c r="I1289" s="8" t="s">
        <v>114</v>
      </c>
      <c r="J1289" s="9" t="s">
        <v>24</v>
      </c>
      <c r="K1289" s="9" t="s">
        <v>10744</v>
      </c>
      <c r="L1289" s="9" t="s">
        <v>10760</v>
      </c>
      <c r="M1289" s="8" t="s">
        <v>14</v>
      </c>
      <c r="N1289" s="11" t="s">
        <v>98</v>
      </c>
      <c r="O1289" s="12" t="s">
        <v>207</v>
      </c>
      <c r="P1289" s="41" t="s">
        <v>98</v>
      </c>
      <c r="Q1289" s="9" t="s">
        <v>733</v>
      </c>
      <c r="R1289" s="9" t="s">
        <v>276</v>
      </c>
      <c r="S1289" s="9" t="s">
        <v>276</v>
      </c>
      <c r="T1289" s="51" t="s">
        <v>1191</v>
      </c>
      <c r="U1289" s="13">
        <v>77443</v>
      </c>
      <c r="V1289" s="38">
        <v>77444</v>
      </c>
      <c r="W1289" s="8" t="s">
        <v>276</v>
      </c>
      <c r="X1289" s="8" t="s">
        <v>276</v>
      </c>
      <c r="Y1289" s="8" t="s">
        <v>276</v>
      </c>
      <c r="Z1289" s="9" t="s">
        <v>894</v>
      </c>
      <c r="AA1289" s="8" t="s">
        <v>276</v>
      </c>
      <c r="AB1289" s="9" t="s">
        <v>894</v>
      </c>
      <c r="AC1289" s="9" t="s">
        <v>10765</v>
      </c>
      <c r="AD1289" s="9" t="s">
        <v>6506</v>
      </c>
      <c r="AE1289" s="8">
        <v>96</v>
      </c>
      <c r="AF1289" s="8">
        <v>121</v>
      </c>
      <c r="AG1289" s="13">
        <v>77443</v>
      </c>
      <c r="AH1289" s="38">
        <v>77444</v>
      </c>
      <c r="AI1289" s="38" t="s">
        <v>2047</v>
      </c>
      <c r="AJ1289" s="14" t="s">
        <v>276</v>
      </c>
      <c r="AK1289" s="31">
        <f t="shared" si="188"/>
        <v>1.2396213989643996</v>
      </c>
      <c r="AL1289" s="14" t="s">
        <v>276</v>
      </c>
      <c r="AM1289" s="14" t="s">
        <v>276</v>
      </c>
      <c r="AN1289" s="14" t="s">
        <v>276</v>
      </c>
      <c r="AO1289" s="31">
        <f t="shared" si="189"/>
        <v>1.5624192965239398</v>
      </c>
      <c r="AP1289" s="14" t="s">
        <v>276</v>
      </c>
      <c r="AQ1289" s="14" t="s">
        <v>276</v>
      </c>
      <c r="AR1289" s="8" t="s">
        <v>268</v>
      </c>
      <c r="AS1289" s="14" t="s">
        <v>276</v>
      </c>
      <c r="AT1289" s="14">
        <f t="shared" si="190"/>
        <v>0.79339867455701618</v>
      </c>
      <c r="AU1289" s="14" t="s">
        <v>276</v>
      </c>
      <c r="AV1289" s="14" t="s">
        <v>276</v>
      </c>
      <c r="AW1289" s="8" t="s">
        <v>276</v>
      </c>
      <c r="AX1289" s="8" t="s">
        <v>282</v>
      </c>
      <c r="AY1289" s="8" t="s">
        <v>98</v>
      </c>
      <c r="AZ1289" s="8" t="s">
        <v>98</v>
      </c>
      <c r="BA1289" s="8" t="s">
        <v>98</v>
      </c>
      <c r="BB1289" s="8" t="s">
        <v>98</v>
      </c>
      <c r="BC1289" s="9" t="s">
        <v>341</v>
      </c>
      <c r="BD1289" s="9"/>
      <c r="BE1289" s="33" t="s">
        <v>100</v>
      </c>
      <c r="BF1289" s="33" t="s">
        <v>98</v>
      </c>
    </row>
    <row r="1290" spans="1:58" s="7" customFormat="1" ht="130" x14ac:dyDescent="0.3">
      <c r="A1290" s="8">
        <v>1169</v>
      </c>
      <c r="B1290" s="8" t="s">
        <v>10742</v>
      </c>
      <c r="C1290" s="8" t="s">
        <v>11079</v>
      </c>
      <c r="D1290" s="9" t="s">
        <v>10766</v>
      </c>
      <c r="E1290" s="8" t="s">
        <v>36</v>
      </c>
      <c r="F1290" s="9" t="s">
        <v>134</v>
      </c>
      <c r="G1290" s="8" t="s">
        <v>225</v>
      </c>
      <c r="H1290" s="8" t="s">
        <v>125</v>
      </c>
      <c r="I1290" s="8" t="s">
        <v>114</v>
      </c>
      <c r="J1290" s="9" t="s">
        <v>24</v>
      </c>
      <c r="K1290" s="9" t="s">
        <v>10744</v>
      </c>
      <c r="L1290" s="9" t="s">
        <v>10760</v>
      </c>
      <c r="M1290" s="8" t="s">
        <v>14</v>
      </c>
      <c r="N1290" s="11" t="s">
        <v>98</v>
      </c>
      <c r="O1290" s="12" t="s">
        <v>207</v>
      </c>
      <c r="P1290" s="41" t="s">
        <v>98</v>
      </c>
      <c r="Q1290" s="9" t="s">
        <v>741</v>
      </c>
      <c r="R1290" s="9" t="s">
        <v>276</v>
      </c>
      <c r="S1290" s="9" t="s">
        <v>276</v>
      </c>
      <c r="T1290" s="51" t="s">
        <v>1191</v>
      </c>
      <c r="U1290" s="13">
        <v>77443</v>
      </c>
      <c r="V1290" s="38">
        <v>77444</v>
      </c>
      <c r="W1290" s="8" t="s">
        <v>276</v>
      </c>
      <c r="X1290" s="8" t="s">
        <v>276</v>
      </c>
      <c r="Y1290" s="8" t="s">
        <v>276</v>
      </c>
      <c r="Z1290" s="9" t="s">
        <v>894</v>
      </c>
      <c r="AA1290" s="8" t="s">
        <v>276</v>
      </c>
      <c r="AB1290" s="9" t="s">
        <v>894</v>
      </c>
      <c r="AC1290" s="9" t="s">
        <v>10767</v>
      </c>
      <c r="AD1290" s="9" t="s">
        <v>6506</v>
      </c>
      <c r="AE1290" s="8">
        <v>120</v>
      </c>
      <c r="AF1290" s="8">
        <v>151</v>
      </c>
      <c r="AG1290" s="13">
        <v>77443</v>
      </c>
      <c r="AH1290" s="38">
        <v>77444</v>
      </c>
      <c r="AI1290" s="38" t="s">
        <v>2047</v>
      </c>
      <c r="AJ1290" s="14" t="s">
        <v>276</v>
      </c>
      <c r="AK1290" s="31">
        <f t="shared" si="188"/>
        <v>1.5495267487054996</v>
      </c>
      <c r="AL1290" s="14" t="s">
        <v>276</v>
      </c>
      <c r="AM1290" s="14" t="s">
        <v>276</v>
      </c>
      <c r="AN1290" s="14" t="s">
        <v>276</v>
      </c>
      <c r="AO1290" s="31">
        <f t="shared" si="189"/>
        <v>1.9497959816125201</v>
      </c>
      <c r="AP1290" s="14" t="s">
        <v>276</v>
      </c>
      <c r="AQ1290" s="14" t="s">
        <v>276</v>
      </c>
      <c r="AR1290" s="8" t="s">
        <v>268</v>
      </c>
      <c r="AS1290" s="14" t="s">
        <v>276</v>
      </c>
      <c r="AT1290" s="14">
        <f t="shared" si="190"/>
        <v>0.79471224852151456</v>
      </c>
      <c r="AU1290" s="14" t="s">
        <v>276</v>
      </c>
      <c r="AV1290" s="14" t="s">
        <v>276</v>
      </c>
      <c r="AW1290" s="8" t="s">
        <v>276</v>
      </c>
      <c r="AX1290" s="8" t="s">
        <v>282</v>
      </c>
      <c r="AY1290" s="8" t="s">
        <v>98</v>
      </c>
      <c r="AZ1290" s="8" t="s">
        <v>98</v>
      </c>
      <c r="BA1290" s="8" t="s">
        <v>98</v>
      </c>
      <c r="BB1290" s="8" t="s">
        <v>98</v>
      </c>
      <c r="BC1290" s="9" t="s">
        <v>341</v>
      </c>
      <c r="BD1290" s="9"/>
      <c r="BE1290" s="33" t="s">
        <v>100</v>
      </c>
      <c r="BF1290" s="33" t="s">
        <v>98</v>
      </c>
    </row>
    <row r="1291" spans="1:58" s="7" customFormat="1" ht="130" x14ac:dyDescent="0.3">
      <c r="A1291" s="8">
        <v>1169</v>
      </c>
      <c r="B1291" s="8" t="s">
        <v>10742</v>
      </c>
      <c r="C1291" s="8" t="s">
        <v>11079</v>
      </c>
      <c r="D1291" s="9" t="s">
        <v>10768</v>
      </c>
      <c r="E1291" s="8" t="s">
        <v>36</v>
      </c>
      <c r="F1291" s="9" t="s">
        <v>134</v>
      </c>
      <c r="G1291" s="8" t="s">
        <v>225</v>
      </c>
      <c r="H1291" s="8" t="s">
        <v>125</v>
      </c>
      <c r="I1291" s="8" t="s">
        <v>114</v>
      </c>
      <c r="J1291" s="9" t="s">
        <v>24</v>
      </c>
      <c r="K1291" s="9" t="s">
        <v>10744</v>
      </c>
      <c r="L1291" s="9" t="s">
        <v>10760</v>
      </c>
      <c r="M1291" s="8" t="s">
        <v>14</v>
      </c>
      <c r="N1291" s="11" t="s">
        <v>98</v>
      </c>
      <c r="O1291" s="12" t="s">
        <v>207</v>
      </c>
      <c r="P1291" s="41" t="s">
        <v>98</v>
      </c>
      <c r="Q1291" s="9" t="s">
        <v>746</v>
      </c>
      <c r="R1291" s="9" t="s">
        <v>276</v>
      </c>
      <c r="S1291" s="9" t="s">
        <v>276</v>
      </c>
      <c r="T1291" s="51" t="s">
        <v>1191</v>
      </c>
      <c r="U1291" s="13">
        <v>77443</v>
      </c>
      <c r="V1291" s="38">
        <v>77444</v>
      </c>
      <c r="W1291" s="8" t="s">
        <v>276</v>
      </c>
      <c r="X1291" s="8" t="s">
        <v>276</v>
      </c>
      <c r="Y1291" s="8" t="s">
        <v>276</v>
      </c>
      <c r="Z1291" s="9" t="s">
        <v>894</v>
      </c>
      <c r="AA1291" s="8" t="s">
        <v>276</v>
      </c>
      <c r="AB1291" s="9" t="s">
        <v>894</v>
      </c>
      <c r="AC1291" s="9" t="s">
        <v>10769</v>
      </c>
      <c r="AD1291" s="9" t="s">
        <v>6506</v>
      </c>
      <c r="AE1291" s="8">
        <v>152</v>
      </c>
      <c r="AF1291" s="8">
        <v>182</v>
      </c>
      <c r="AG1291" s="13">
        <v>77443</v>
      </c>
      <c r="AH1291" s="38">
        <v>77444</v>
      </c>
      <c r="AI1291" s="38" t="s">
        <v>2047</v>
      </c>
      <c r="AJ1291" s="14" t="s">
        <v>276</v>
      </c>
      <c r="AK1291" s="31">
        <f t="shared" si="188"/>
        <v>1.9627338816936328</v>
      </c>
      <c r="AL1291" s="14" t="s">
        <v>276</v>
      </c>
      <c r="AM1291" s="14" t="s">
        <v>276</v>
      </c>
      <c r="AN1291" s="14" t="s">
        <v>276</v>
      </c>
      <c r="AO1291" s="31">
        <f t="shared" si="189"/>
        <v>2.3500852228707196</v>
      </c>
      <c r="AP1291" s="14" t="s">
        <v>276</v>
      </c>
      <c r="AQ1291" s="14" t="s">
        <v>276</v>
      </c>
      <c r="AR1291" s="8" t="s">
        <v>268</v>
      </c>
      <c r="AS1291" s="14" t="s">
        <v>276</v>
      </c>
      <c r="AT1291" s="14">
        <f t="shared" si="190"/>
        <v>0.83517561941693241</v>
      </c>
      <c r="AU1291" s="14" t="s">
        <v>276</v>
      </c>
      <c r="AV1291" s="14" t="s">
        <v>276</v>
      </c>
      <c r="AW1291" s="8" t="s">
        <v>276</v>
      </c>
      <c r="AX1291" s="8" t="s">
        <v>282</v>
      </c>
      <c r="AY1291" s="8" t="s">
        <v>98</v>
      </c>
      <c r="AZ1291" s="8" t="s">
        <v>98</v>
      </c>
      <c r="BA1291" s="8" t="s">
        <v>98</v>
      </c>
      <c r="BB1291" s="8" t="s">
        <v>98</v>
      </c>
      <c r="BC1291" s="9" t="s">
        <v>341</v>
      </c>
      <c r="BD1291" s="9"/>
      <c r="BE1291" s="33" t="s">
        <v>100</v>
      </c>
      <c r="BF1291" s="33" t="s">
        <v>98</v>
      </c>
    </row>
    <row r="1292" spans="1:58" s="7" customFormat="1" ht="130" x14ac:dyDescent="0.3">
      <c r="A1292" s="8">
        <v>1169</v>
      </c>
      <c r="B1292" s="8" t="s">
        <v>10742</v>
      </c>
      <c r="C1292" s="8" t="s">
        <v>11079</v>
      </c>
      <c r="D1292" s="9" t="s">
        <v>10770</v>
      </c>
      <c r="E1292" s="8" t="s">
        <v>36</v>
      </c>
      <c r="F1292" s="9" t="s">
        <v>134</v>
      </c>
      <c r="G1292" s="8" t="s">
        <v>225</v>
      </c>
      <c r="H1292" s="8" t="s">
        <v>125</v>
      </c>
      <c r="I1292" s="8" t="s">
        <v>114</v>
      </c>
      <c r="J1292" s="9" t="s">
        <v>24</v>
      </c>
      <c r="K1292" s="9" t="s">
        <v>10744</v>
      </c>
      <c r="L1292" s="9" t="s">
        <v>10760</v>
      </c>
      <c r="M1292" s="8" t="s">
        <v>14</v>
      </c>
      <c r="N1292" s="11" t="s">
        <v>98</v>
      </c>
      <c r="O1292" s="12" t="s">
        <v>207</v>
      </c>
      <c r="P1292" s="41" t="s">
        <v>98</v>
      </c>
      <c r="Q1292" s="9" t="s">
        <v>752</v>
      </c>
      <c r="R1292" s="9" t="s">
        <v>276</v>
      </c>
      <c r="S1292" s="9" t="s">
        <v>276</v>
      </c>
      <c r="T1292" s="51" t="s">
        <v>1191</v>
      </c>
      <c r="U1292" s="13">
        <v>77443</v>
      </c>
      <c r="V1292" s="38">
        <v>77444</v>
      </c>
      <c r="W1292" s="8" t="s">
        <v>276</v>
      </c>
      <c r="X1292" s="8" t="s">
        <v>276</v>
      </c>
      <c r="Y1292" s="8" t="s">
        <v>276</v>
      </c>
      <c r="Z1292" s="9" t="s">
        <v>894</v>
      </c>
      <c r="AA1292" s="8" t="s">
        <v>276</v>
      </c>
      <c r="AB1292" s="9" t="s">
        <v>894</v>
      </c>
      <c r="AC1292" s="9" t="s">
        <v>10771</v>
      </c>
      <c r="AD1292" s="9" t="s">
        <v>6506</v>
      </c>
      <c r="AE1292" s="8">
        <v>181</v>
      </c>
      <c r="AF1292" s="8">
        <v>217</v>
      </c>
      <c r="AG1292" s="13">
        <v>77443</v>
      </c>
      <c r="AH1292" s="38">
        <v>77444</v>
      </c>
      <c r="AI1292" s="38" t="s">
        <v>2047</v>
      </c>
      <c r="AJ1292" s="14" t="s">
        <v>276</v>
      </c>
      <c r="AK1292" s="31">
        <f t="shared" si="188"/>
        <v>2.3372028459641285</v>
      </c>
      <c r="AL1292" s="14" t="s">
        <v>276</v>
      </c>
      <c r="AM1292" s="14" t="s">
        <v>276</v>
      </c>
      <c r="AN1292" s="14" t="s">
        <v>276</v>
      </c>
      <c r="AO1292" s="31">
        <f t="shared" si="189"/>
        <v>2.8020246888073963</v>
      </c>
      <c r="AP1292" s="14" t="s">
        <v>276</v>
      </c>
      <c r="AQ1292" s="14" t="s">
        <v>276</v>
      </c>
      <c r="AR1292" s="8" t="s">
        <v>268</v>
      </c>
      <c r="AS1292" s="14" t="s">
        <v>276</v>
      </c>
      <c r="AT1292" s="14">
        <f t="shared" si="190"/>
        <v>0.83411215300850683</v>
      </c>
      <c r="AU1292" s="14" t="s">
        <v>276</v>
      </c>
      <c r="AV1292" s="14" t="s">
        <v>276</v>
      </c>
      <c r="AW1292" s="8" t="s">
        <v>276</v>
      </c>
      <c r="AX1292" s="8" t="s">
        <v>282</v>
      </c>
      <c r="AY1292" s="8" t="s">
        <v>98</v>
      </c>
      <c r="AZ1292" s="8" t="s">
        <v>98</v>
      </c>
      <c r="BA1292" s="8" t="s">
        <v>98</v>
      </c>
      <c r="BB1292" s="8" t="s">
        <v>98</v>
      </c>
      <c r="BC1292" s="9" t="s">
        <v>341</v>
      </c>
      <c r="BD1292" s="9"/>
      <c r="BE1292" s="33" t="s">
        <v>100</v>
      </c>
      <c r="BF1292" s="33" t="s">
        <v>98</v>
      </c>
    </row>
    <row r="1293" spans="1:58" s="7" customFormat="1" ht="130" x14ac:dyDescent="0.3">
      <c r="A1293" s="8">
        <v>1169</v>
      </c>
      <c r="B1293" s="8" t="s">
        <v>10742</v>
      </c>
      <c r="C1293" s="8" t="s">
        <v>11079</v>
      </c>
      <c r="D1293" s="9" t="s">
        <v>10772</v>
      </c>
      <c r="E1293" s="8" t="s">
        <v>36</v>
      </c>
      <c r="F1293" s="9" t="s">
        <v>134</v>
      </c>
      <c r="G1293" s="8" t="s">
        <v>225</v>
      </c>
      <c r="H1293" s="8" t="s">
        <v>125</v>
      </c>
      <c r="I1293" s="8" t="s">
        <v>114</v>
      </c>
      <c r="J1293" s="9" t="s">
        <v>24</v>
      </c>
      <c r="K1293" s="9" t="s">
        <v>10744</v>
      </c>
      <c r="L1293" s="9" t="s">
        <v>10760</v>
      </c>
      <c r="M1293" s="8" t="s">
        <v>14</v>
      </c>
      <c r="N1293" s="11" t="s">
        <v>98</v>
      </c>
      <c r="O1293" s="12" t="s">
        <v>207</v>
      </c>
      <c r="P1293" s="41" t="s">
        <v>98</v>
      </c>
      <c r="Q1293" s="9" t="s">
        <v>766</v>
      </c>
      <c r="R1293" s="9" t="s">
        <v>276</v>
      </c>
      <c r="S1293" s="9" t="s">
        <v>276</v>
      </c>
      <c r="T1293" s="51" t="s">
        <v>1191</v>
      </c>
      <c r="U1293" s="13">
        <v>77443</v>
      </c>
      <c r="V1293" s="38">
        <v>77444</v>
      </c>
      <c r="W1293" s="8" t="s">
        <v>276</v>
      </c>
      <c r="X1293" s="8" t="s">
        <v>276</v>
      </c>
      <c r="Y1293" s="8" t="s">
        <v>276</v>
      </c>
      <c r="Z1293" s="9" t="s">
        <v>894</v>
      </c>
      <c r="AA1293" s="8" t="s">
        <v>276</v>
      </c>
      <c r="AB1293" s="9" t="s">
        <v>894</v>
      </c>
      <c r="AC1293" s="9" t="s">
        <v>10773</v>
      </c>
      <c r="AD1293" s="9" t="s">
        <v>6506</v>
      </c>
      <c r="AE1293" s="8">
        <v>211</v>
      </c>
      <c r="AF1293" s="8">
        <v>249</v>
      </c>
      <c r="AG1293" s="13">
        <v>77443</v>
      </c>
      <c r="AH1293" s="38">
        <v>77444</v>
      </c>
      <c r="AI1293" s="38" t="s">
        <v>2047</v>
      </c>
      <c r="AJ1293" s="14" t="s">
        <v>276</v>
      </c>
      <c r="AK1293" s="31">
        <f t="shared" si="188"/>
        <v>2.7245845331405034</v>
      </c>
      <c r="AL1293" s="14" t="s">
        <v>276</v>
      </c>
      <c r="AM1293" s="14" t="s">
        <v>276</v>
      </c>
      <c r="AN1293" s="14" t="s">
        <v>276</v>
      </c>
      <c r="AO1293" s="31">
        <f t="shared" si="189"/>
        <v>3.2152264862352151</v>
      </c>
      <c r="AP1293" s="14" t="s">
        <v>276</v>
      </c>
      <c r="AQ1293" s="14" t="s">
        <v>276</v>
      </c>
      <c r="AR1293" s="8" t="s">
        <v>268</v>
      </c>
      <c r="AS1293" s="14" t="s">
        <v>276</v>
      </c>
      <c r="AT1293" s="14">
        <f t="shared" si="190"/>
        <v>0.84740050033949055</v>
      </c>
      <c r="AU1293" s="14" t="s">
        <v>276</v>
      </c>
      <c r="AV1293" s="14" t="s">
        <v>276</v>
      </c>
      <c r="AW1293" s="8" t="s">
        <v>276</v>
      </c>
      <c r="AX1293" s="8" t="s">
        <v>282</v>
      </c>
      <c r="AY1293" s="8" t="s">
        <v>98</v>
      </c>
      <c r="AZ1293" s="8" t="s">
        <v>98</v>
      </c>
      <c r="BA1293" s="8" t="s">
        <v>98</v>
      </c>
      <c r="BB1293" s="8" t="s">
        <v>98</v>
      </c>
      <c r="BC1293" s="9" t="s">
        <v>341</v>
      </c>
      <c r="BD1293" s="9"/>
      <c r="BE1293" s="33" t="s">
        <v>100</v>
      </c>
      <c r="BF1293" s="33" t="s">
        <v>98</v>
      </c>
    </row>
    <row r="1294" spans="1:58" s="7" customFormat="1" ht="130" x14ac:dyDescent="0.3">
      <c r="A1294" s="8">
        <v>1169</v>
      </c>
      <c r="B1294" s="8" t="s">
        <v>10742</v>
      </c>
      <c r="C1294" s="8" t="s">
        <v>11079</v>
      </c>
      <c r="D1294" s="9" t="s">
        <v>10774</v>
      </c>
      <c r="E1294" s="8" t="s">
        <v>36</v>
      </c>
      <c r="F1294" s="9" t="s">
        <v>134</v>
      </c>
      <c r="G1294" s="8" t="s">
        <v>225</v>
      </c>
      <c r="H1294" s="8" t="s">
        <v>125</v>
      </c>
      <c r="I1294" s="8" t="s">
        <v>114</v>
      </c>
      <c r="J1294" s="9" t="s">
        <v>24</v>
      </c>
      <c r="K1294" s="9" t="s">
        <v>10744</v>
      </c>
      <c r="L1294" s="9" t="s">
        <v>10760</v>
      </c>
      <c r="M1294" s="8" t="s">
        <v>14</v>
      </c>
      <c r="N1294" s="11" t="s">
        <v>98</v>
      </c>
      <c r="O1294" s="12" t="s">
        <v>207</v>
      </c>
      <c r="P1294" s="41" t="s">
        <v>98</v>
      </c>
      <c r="Q1294" s="9" t="s">
        <v>770</v>
      </c>
      <c r="R1294" s="9" t="s">
        <v>276</v>
      </c>
      <c r="S1294" s="9" t="s">
        <v>276</v>
      </c>
      <c r="T1294" s="51" t="s">
        <v>1191</v>
      </c>
      <c r="U1294" s="13">
        <v>77443</v>
      </c>
      <c r="V1294" s="38">
        <v>77444</v>
      </c>
      <c r="W1294" s="8" t="s">
        <v>276</v>
      </c>
      <c r="X1294" s="8" t="s">
        <v>276</v>
      </c>
      <c r="Y1294" s="8" t="s">
        <v>276</v>
      </c>
      <c r="Z1294" s="9" t="s">
        <v>894</v>
      </c>
      <c r="AA1294" s="8" t="s">
        <v>276</v>
      </c>
      <c r="AB1294" s="9" t="s">
        <v>894</v>
      </c>
      <c r="AC1294" s="9" t="s">
        <v>10775</v>
      </c>
      <c r="AD1294" s="9" t="s">
        <v>6506</v>
      </c>
      <c r="AE1294" s="8">
        <v>230</v>
      </c>
      <c r="AF1294" s="8">
        <v>294</v>
      </c>
      <c r="AG1294" s="13">
        <v>77443</v>
      </c>
      <c r="AH1294" s="38">
        <v>77444</v>
      </c>
      <c r="AI1294" s="38" t="s">
        <v>2047</v>
      </c>
      <c r="AJ1294" s="14" t="s">
        <v>276</v>
      </c>
      <c r="AK1294" s="31">
        <f t="shared" si="188"/>
        <v>2.9699262683522076</v>
      </c>
      <c r="AL1294" s="14" t="s">
        <v>276</v>
      </c>
      <c r="AM1294" s="14" t="s">
        <v>276</v>
      </c>
      <c r="AN1294" s="14" t="s">
        <v>276</v>
      </c>
      <c r="AO1294" s="31">
        <f t="shared" si="189"/>
        <v>3.7962915138680855</v>
      </c>
      <c r="AP1294" s="14" t="s">
        <v>276</v>
      </c>
      <c r="AQ1294" s="14" t="s">
        <v>276</v>
      </c>
      <c r="AR1294" s="8" t="s">
        <v>268</v>
      </c>
      <c r="AS1294" s="14" t="s">
        <v>276</v>
      </c>
      <c r="AT1294" s="14">
        <f t="shared" si="190"/>
        <v>0.78232302696009648</v>
      </c>
      <c r="AU1294" s="14" t="s">
        <v>276</v>
      </c>
      <c r="AV1294" s="14" t="s">
        <v>276</v>
      </c>
      <c r="AW1294" s="8" t="s">
        <v>276</v>
      </c>
      <c r="AX1294" s="8" t="s">
        <v>282</v>
      </c>
      <c r="AY1294" s="8" t="s">
        <v>98</v>
      </c>
      <c r="AZ1294" s="8" t="s">
        <v>98</v>
      </c>
      <c r="BA1294" s="8" t="s">
        <v>98</v>
      </c>
      <c r="BB1294" s="8" t="s">
        <v>98</v>
      </c>
      <c r="BC1294" s="9" t="s">
        <v>341</v>
      </c>
      <c r="BD1294" s="9"/>
      <c r="BE1294" s="33" t="s">
        <v>100</v>
      </c>
      <c r="BF1294" s="33" t="s">
        <v>98</v>
      </c>
    </row>
    <row r="1295" spans="1:58" s="7" customFormat="1" ht="130" x14ac:dyDescent="0.3">
      <c r="A1295" s="8">
        <v>1169</v>
      </c>
      <c r="B1295" s="8" t="s">
        <v>10742</v>
      </c>
      <c r="C1295" s="8" t="s">
        <v>11079</v>
      </c>
      <c r="D1295" s="9" t="s">
        <v>10776</v>
      </c>
      <c r="E1295" s="8" t="s">
        <v>36</v>
      </c>
      <c r="F1295" s="9" t="s">
        <v>134</v>
      </c>
      <c r="G1295" s="8" t="s">
        <v>225</v>
      </c>
      <c r="H1295" s="8" t="s">
        <v>125</v>
      </c>
      <c r="I1295" s="8" t="s">
        <v>114</v>
      </c>
      <c r="J1295" s="9" t="s">
        <v>24</v>
      </c>
      <c r="K1295" s="9" t="s">
        <v>10744</v>
      </c>
      <c r="L1295" s="9" t="s">
        <v>10760</v>
      </c>
      <c r="M1295" s="8" t="s">
        <v>14</v>
      </c>
      <c r="N1295" s="11" t="s">
        <v>98</v>
      </c>
      <c r="O1295" s="12" t="s">
        <v>207</v>
      </c>
      <c r="P1295" s="41" t="s">
        <v>98</v>
      </c>
      <c r="Q1295" s="9" t="s">
        <v>773</v>
      </c>
      <c r="R1295" s="9" t="s">
        <v>276</v>
      </c>
      <c r="S1295" s="9" t="s">
        <v>276</v>
      </c>
      <c r="T1295" s="51" t="s">
        <v>1191</v>
      </c>
      <c r="U1295" s="13">
        <v>77443</v>
      </c>
      <c r="V1295" s="38">
        <v>77444</v>
      </c>
      <c r="W1295" s="8" t="s">
        <v>276</v>
      </c>
      <c r="X1295" s="8" t="s">
        <v>276</v>
      </c>
      <c r="Y1295" s="8" t="s">
        <v>276</v>
      </c>
      <c r="Z1295" s="9" t="s">
        <v>894</v>
      </c>
      <c r="AA1295" s="8" t="s">
        <v>276</v>
      </c>
      <c r="AB1295" s="9" t="s">
        <v>894</v>
      </c>
      <c r="AC1295" s="9" t="s">
        <v>10777</v>
      </c>
      <c r="AD1295" s="9" t="s">
        <v>6506</v>
      </c>
      <c r="AE1295" s="8">
        <v>252</v>
      </c>
      <c r="AF1295" s="8">
        <v>322</v>
      </c>
      <c r="AG1295" s="13">
        <v>77443</v>
      </c>
      <c r="AH1295" s="38">
        <v>77444</v>
      </c>
      <c r="AI1295" s="38" t="s">
        <v>2047</v>
      </c>
      <c r="AJ1295" s="14" t="s">
        <v>276</v>
      </c>
      <c r="AK1295" s="31">
        <f t="shared" si="188"/>
        <v>3.254006172281549</v>
      </c>
      <c r="AL1295" s="14" t="s">
        <v>276</v>
      </c>
      <c r="AM1295" s="14" t="s">
        <v>276</v>
      </c>
      <c r="AN1295" s="14" t="s">
        <v>276</v>
      </c>
      <c r="AO1295" s="31">
        <f t="shared" si="189"/>
        <v>4.1578430866174267</v>
      </c>
      <c r="AP1295" s="14" t="s">
        <v>276</v>
      </c>
      <c r="AQ1295" s="14" t="s">
        <v>276</v>
      </c>
      <c r="AR1295" s="8" t="s">
        <v>268</v>
      </c>
      <c r="AS1295" s="14" t="s">
        <v>276</v>
      </c>
      <c r="AT1295" s="14">
        <f t="shared" si="190"/>
        <v>0.7826188012614046</v>
      </c>
      <c r="AU1295" s="14" t="s">
        <v>276</v>
      </c>
      <c r="AV1295" s="14" t="s">
        <v>276</v>
      </c>
      <c r="AW1295" s="8" t="s">
        <v>276</v>
      </c>
      <c r="AX1295" s="8" t="s">
        <v>282</v>
      </c>
      <c r="AY1295" s="8" t="s">
        <v>98</v>
      </c>
      <c r="AZ1295" s="8" t="s">
        <v>98</v>
      </c>
      <c r="BA1295" s="8" t="s">
        <v>98</v>
      </c>
      <c r="BB1295" s="8" t="s">
        <v>98</v>
      </c>
      <c r="BC1295" s="9" t="s">
        <v>341</v>
      </c>
      <c r="BD1295" s="9"/>
      <c r="BE1295" s="33" t="s">
        <v>100</v>
      </c>
      <c r="BF1295" s="33" t="s">
        <v>98</v>
      </c>
    </row>
    <row r="1296" spans="1:58" s="7" customFormat="1" ht="130" x14ac:dyDescent="0.3">
      <c r="A1296" s="8">
        <v>1169</v>
      </c>
      <c r="B1296" s="8" t="s">
        <v>10742</v>
      </c>
      <c r="C1296" s="8" t="s">
        <v>11079</v>
      </c>
      <c r="D1296" s="9" t="s">
        <v>10778</v>
      </c>
      <c r="E1296" s="8" t="s">
        <v>36</v>
      </c>
      <c r="F1296" s="9" t="s">
        <v>134</v>
      </c>
      <c r="G1296" s="8" t="s">
        <v>225</v>
      </c>
      <c r="H1296" s="8" t="s">
        <v>125</v>
      </c>
      <c r="I1296" s="8" t="s">
        <v>114</v>
      </c>
      <c r="J1296" s="9" t="s">
        <v>24</v>
      </c>
      <c r="K1296" s="9" t="s">
        <v>10744</v>
      </c>
      <c r="L1296" s="9" t="s">
        <v>10760</v>
      </c>
      <c r="M1296" s="8" t="s">
        <v>14</v>
      </c>
      <c r="N1296" s="11" t="s">
        <v>98</v>
      </c>
      <c r="O1296" s="12" t="s">
        <v>207</v>
      </c>
      <c r="P1296" s="41" t="s">
        <v>98</v>
      </c>
      <c r="Q1296" s="9" t="s">
        <v>776</v>
      </c>
      <c r="R1296" s="9" t="s">
        <v>276</v>
      </c>
      <c r="S1296" s="9" t="s">
        <v>276</v>
      </c>
      <c r="T1296" s="51" t="s">
        <v>1191</v>
      </c>
      <c r="U1296" s="13">
        <v>77443</v>
      </c>
      <c r="V1296" s="38">
        <v>77444</v>
      </c>
      <c r="W1296" s="8" t="s">
        <v>276</v>
      </c>
      <c r="X1296" s="8" t="s">
        <v>276</v>
      </c>
      <c r="Y1296" s="8" t="s">
        <v>276</v>
      </c>
      <c r="Z1296" s="9" t="s">
        <v>894</v>
      </c>
      <c r="AA1296" s="8" t="s">
        <v>276</v>
      </c>
      <c r="AB1296" s="9" t="s">
        <v>894</v>
      </c>
      <c r="AC1296" s="9" t="s">
        <v>10779</v>
      </c>
      <c r="AD1296" s="9" t="s">
        <v>6506</v>
      </c>
      <c r="AE1296" s="8">
        <v>275</v>
      </c>
      <c r="AF1296" s="8">
        <v>362</v>
      </c>
      <c r="AG1296" s="13">
        <v>77443</v>
      </c>
      <c r="AH1296" s="38">
        <v>77444</v>
      </c>
      <c r="AI1296" s="38" t="s">
        <v>2047</v>
      </c>
      <c r="AJ1296" s="14" t="s">
        <v>276</v>
      </c>
      <c r="AK1296" s="31">
        <f t="shared" si="188"/>
        <v>3.55099879911677</v>
      </c>
      <c r="AL1296" s="14" t="s">
        <v>276</v>
      </c>
      <c r="AM1296" s="14" t="s">
        <v>276</v>
      </c>
      <c r="AN1296" s="14" t="s">
        <v>276</v>
      </c>
      <c r="AO1296" s="31">
        <f t="shared" si="189"/>
        <v>4.6743453334022007</v>
      </c>
      <c r="AP1296" s="14" t="s">
        <v>276</v>
      </c>
      <c r="AQ1296" s="14" t="s">
        <v>276</v>
      </c>
      <c r="AR1296" s="8" t="s">
        <v>268</v>
      </c>
      <c r="AS1296" s="14" t="s">
        <v>276</v>
      </c>
      <c r="AT1296" s="14">
        <f t="shared" si="190"/>
        <v>0.75967831767624061</v>
      </c>
      <c r="AU1296" s="14" t="s">
        <v>276</v>
      </c>
      <c r="AV1296" s="14" t="s">
        <v>276</v>
      </c>
      <c r="AW1296" s="8" t="s">
        <v>276</v>
      </c>
      <c r="AX1296" s="8" t="s">
        <v>282</v>
      </c>
      <c r="AY1296" s="8" t="s">
        <v>98</v>
      </c>
      <c r="AZ1296" s="8" t="s">
        <v>98</v>
      </c>
      <c r="BA1296" s="8" t="s">
        <v>98</v>
      </c>
      <c r="BB1296" s="8" t="s">
        <v>98</v>
      </c>
      <c r="BC1296" s="9" t="s">
        <v>341</v>
      </c>
      <c r="BD1296" s="9"/>
      <c r="BE1296" s="33" t="s">
        <v>100</v>
      </c>
      <c r="BF1296" s="33" t="s">
        <v>98</v>
      </c>
    </row>
    <row r="1297" spans="1:58" s="7" customFormat="1" ht="130" x14ac:dyDescent="0.3">
      <c r="A1297" s="8">
        <v>1169</v>
      </c>
      <c r="B1297" s="8" t="s">
        <v>10742</v>
      </c>
      <c r="C1297" s="8" t="s">
        <v>11079</v>
      </c>
      <c r="D1297" s="9" t="s">
        <v>10780</v>
      </c>
      <c r="E1297" s="8" t="s">
        <v>36</v>
      </c>
      <c r="F1297" s="9" t="s">
        <v>134</v>
      </c>
      <c r="G1297" s="8" t="s">
        <v>225</v>
      </c>
      <c r="H1297" s="8" t="s">
        <v>125</v>
      </c>
      <c r="I1297" s="8" t="s">
        <v>114</v>
      </c>
      <c r="J1297" s="9" t="s">
        <v>24</v>
      </c>
      <c r="K1297" s="9" t="s">
        <v>10744</v>
      </c>
      <c r="L1297" s="9" t="s">
        <v>10760</v>
      </c>
      <c r="M1297" s="8" t="s">
        <v>14</v>
      </c>
      <c r="N1297" s="11" t="s">
        <v>98</v>
      </c>
      <c r="O1297" s="12" t="s">
        <v>207</v>
      </c>
      <c r="P1297" s="41" t="s">
        <v>98</v>
      </c>
      <c r="Q1297" s="9" t="s">
        <v>779</v>
      </c>
      <c r="R1297" s="9" t="s">
        <v>276</v>
      </c>
      <c r="S1297" s="9" t="s">
        <v>276</v>
      </c>
      <c r="T1297" s="51" t="s">
        <v>1191</v>
      </c>
      <c r="U1297" s="13">
        <v>77443</v>
      </c>
      <c r="V1297" s="38">
        <v>77444</v>
      </c>
      <c r="W1297" s="8" t="s">
        <v>276</v>
      </c>
      <c r="X1297" s="8" t="s">
        <v>276</v>
      </c>
      <c r="Y1297" s="8" t="s">
        <v>276</v>
      </c>
      <c r="Z1297" s="9" t="s">
        <v>894</v>
      </c>
      <c r="AA1297" s="8" t="s">
        <v>276</v>
      </c>
      <c r="AB1297" s="9" t="s">
        <v>894</v>
      </c>
      <c r="AC1297" s="9" t="s">
        <v>10781</v>
      </c>
      <c r="AD1297" s="9" t="s">
        <v>6506</v>
      </c>
      <c r="AE1297" s="8">
        <v>298</v>
      </c>
      <c r="AF1297" s="8">
        <v>390</v>
      </c>
      <c r="AG1297" s="13">
        <v>77443</v>
      </c>
      <c r="AH1297" s="38">
        <v>77444</v>
      </c>
      <c r="AI1297" s="38" t="s">
        <v>2047</v>
      </c>
      <c r="AJ1297" s="14" t="s">
        <v>276</v>
      </c>
      <c r="AK1297" s="31">
        <f t="shared" si="188"/>
        <v>3.8479914259519905</v>
      </c>
      <c r="AL1297" s="14" t="s">
        <v>276</v>
      </c>
      <c r="AM1297" s="14" t="s">
        <v>276</v>
      </c>
      <c r="AN1297" s="14" t="s">
        <v>276</v>
      </c>
      <c r="AO1297" s="31">
        <f t="shared" si="189"/>
        <v>5.0358969061515415</v>
      </c>
      <c r="AP1297" s="14" t="s">
        <v>276</v>
      </c>
      <c r="AQ1297" s="14" t="s">
        <v>276</v>
      </c>
      <c r="AR1297" s="8" t="s">
        <v>268</v>
      </c>
      <c r="AS1297" s="14" t="s">
        <v>276</v>
      </c>
      <c r="AT1297" s="14">
        <f t="shared" si="190"/>
        <v>0.76411243074724611</v>
      </c>
      <c r="AU1297" s="14" t="s">
        <v>276</v>
      </c>
      <c r="AV1297" s="14" t="s">
        <v>276</v>
      </c>
      <c r="AW1297" s="8" t="s">
        <v>276</v>
      </c>
      <c r="AX1297" s="8" t="s">
        <v>282</v>
      </c>
      <c r="AY1297" s="8" t="s">
        <v>98</v>
      </c>
      <c r="AZ1297" s="8" t="s">
        <v>98</v>
      </c>
      <c r="BA1297" s="8" t="s">
        <v>98</v>
      </c>
      <c r="BB1297" s="8" t="s">
        <v>98</v>
      </c>
      <c r="BC1297" s="9" t="s">
        <v>341</v>
      </c>
      <c r="BD1297" s="9"/>
      <c r="BE1297" s="33" t="s">
        <v>100</v>
      </c>
      <c r="BF1297" s="33" t="s">
        <v>98</v>
      </c>
    </row>
    <row r="1298" spans="1:58" s="7" customFormat="1" ht="130" x14ac:dyDescent="0.3">
      <c r="A1298" s="8">
        <v>1169</v>
      </c>
      <c r="B1298" s="8" t="s">
        <v>10742</v>
      </c>
      <c r="C1298" s="8" t="s">
        <v>11079</v>
      </c>
      <c r="D1298" s="9" t="s">
        <v>10782</v>
      </c>
      <c r="E1298" s="8" t="s">
        <v>36</v>
      </c>
      <c r="F1298" s="9" t="s">
        <v>134</v>
      </c>
      <c r="G1298" s="8" t="s">
        <v>225</v>
      </c>
      <c r="H1298" s="8" t="s">
        <v>125</v>
      </c>
      <c r="I1298" s="8" t="s">
        <v>114</v>
      </c>
      <c r="J1298" s="9" t="s">
        <v>24</v>
      </c>
      <c r="K1298" s="9" t="s">
        <v>10744</v>
      </c>
      <c r="L1298" s="9" t="s">
        <v>10760</v>
      </c>
      <c r="M1298" s="8" t="s">
        <v>14</v>
      </c>
      <c r="N1298" s="11" t="s">
        <v>98</v>
      </c>
      <c r="O1298" s="12" t="s">
        <v>207</v>
      </c>
      <c r="P1298" s="41" t="s">
        <v>98</v>
      </c>
      <c r="Q1298" s="9" t="s">
        <v>782</v>
      </c>
      <c r="R1298" s="9" t="s">
        <v>276</v>
      </c>
      <c r="S1298" s="9" t="s">
        <v>276</v>
      </c>
      <c r="T1298" s="51" t="s">
        <v>1191</v>
      </c>
      <c r="U1298" s="13">
        <v>77443</v>
      </c>
      <c r="V1298" s="38">
        <v>77444</v>
      </c>
      <c r="W1298" s="8" t="s">
        <v>276</v>
      </c>
      <c r="X1298" s="8" t="s">
        <v>276</v>
      </c>
      <c r="Y1298" s="8" t="s">
        <v>276</v>
      </c>
      <c r="Z1298" s="9" t="s">
        <v>894</v>
      </c>
      <c r="AA1298" s="8" t="s">
        <v>276</v>
      </c>
      <c r="AB1298" s="9" t="s">
        <v>894</v>
      </c>
      <c r="AC1298" s="9" t="s">
        <v>10783</v>
      </c>
      <c r="AD1298" s="9" t="s">
        <v>6506</v>
      </c>
      <c r="AE1298" s="8">
        <v>318</v>
      </c>
      <c r="AF1298" s="8">
        <v>415</v>
      </c>
      <c r="AG1298" s="13">
        <v>77443</v>
      </c>
      <c r="AH1298" s="38">
        <v>77444</v>
      </c>
      <c r="AI1298" s="38" t="s">
        <v>2047</v>
      </c>
      <c r="AJ1298" s="14" t="s">
        <v>276</v>
      </c>
      <c r="AK1298" s="31">
        <f t="shared" si="188"/>
        <v>4.1062458840695735</v>
      </c>
      <c r="AL1298" s="14" t="s">
        <v>276</v>
      </c>
      <c r="AM1298" s="14" t="s">
        <v>276</v>
      </c>
      <c r="AN1298" s="14" t="s">
        <v>276</v>
      </c>
      <c r="AO1298" s="31">
        <f t="shared" si="189"/>
        <v>5.3587108103920249</v>
      </c>
      <c r="AP1298" s="14" t="s">
        <v>276</v>
      </c>
      <c r="AQ1298" s="14" t="s">
        <v>276</v>
      </c>
      <c r="AR1298" s="8" t="s">
        <v>268</v>
      </c>
      <c r="AS1298" s="14" t="s">
        <v>276</v>
      </c>
      <c r="AT1298" s="14">
        <f t="shared" si="190"/>
        <v>0.76627495480935914</v>
      </c>
      <c r="AU1298" s="14" t="s">
        <v>276</v>
      </c>
      <c r="AV1298" s="14" t="s">
        <v>276</v>
      </c>
      <c r="AW1298" s="8" t="s">
        <v>276</v>
      </c>
      <c r="AX1298" s="8" t="s">
        <v>282</v>
      </c>
      <c r="AY1298" s="8" t="s">
        <v>98</v>
      </c>
      <c r="AZ1298" s="8" t="s">
        <v>98</v>
      </c>
      <c r="BA1298" s="8" t="s">
        <v>98</v>
      </c>
      <c r="BB1298" s="8" t="s">
        <v>98</v>
      </c>
      <c r="BC1298" s="9" t="s">
        <v>341</v>
      </c>
      <c r="BD1298" s="9"/>
      <c r="BE1298" s="33" t="s">
        <v>100</v>
      </c>
      <c r="BF1298" s="33" t="s">
        <v>98</v>
      </c>
    </row>
    <row r="1299" spans="1:58" s="7" customFormat="1" ht="130" x14ac:dyDescent="0.3">
      <c r="A1299" s="8">
        <v>1169</v>
      </c>
      <c r="B1299" s="8" t="s">
        <v>10742</v>
      </c>
      <c r="C1299" s="8" t="s">
        <v>11079</v>
      </c>
      <c r="D1299" s="9" t="s">
        <v>10784</v>
      </c>
      <c r="E1299" s="8" t="s">
        <v>36</v>
      </c>
      <c r="F1299" s="9" t="s">
        <v>134</v>
      </c>
      <c r="G1299" s="8" t="s">
        <v>225</v>
      </c>
      <c r="H1299" s="8" t="s">
        <v>125</v>
      </c>
      <c r="I1299" s="8" t="s">
        <v>114</v>
      </c>
      <c r="J1299" s="9" t="s">
        <v>24</v>
      </c>
      <c r="K1299" s="9" t="s">
        <v>10744</v>
      </c>
      <c r="L1299" s="9" t="s">
        <v>10760</v>
      </c>
      <c r="M1299" s="8" t="s">
        <v>14</v>
      </c>
      <c r="N1299" s="11" t="s">
        <v>98</v>
      </c>
      <c r="O1299" s="12" t="s">
        <v>207</v>
      </c>
      <c r="P1299" s="41" t="s">
        <v>98</v>
      </c>
      <c r="Q1299" s="9" t="s">
        <v>1252</v>
      </c>
      <c r="R1299" s="9" t="s">
        <v>276</v>
      </c>
      <c r="S1299" s="9" t="s">
        <v>276</v>
      </c>
      <c r="T1299" s="51" t="s">
        <v>1191</v>
      </c>
      <c r="U1299" s="13">
        <v>77443</v>
      </c>
      <c r="V1299" s="38">
        <v>77444</v>
      </c>
      <c r="W1299" s="8" t="s">
        <v>276</v>
      </c>
      <c r="X1299" s="8" t="s">
        <v>276</v>
      </c>
      <c r="Y1299" s="8" t="s">
        <v>276</v>
      </c>
      <c r="Z1299" s="9" t="s">
        <v>894</v>
      </c>
      <c r="AA1299" s="8" t="s">
        <v>276</v>
      </c>
      <c r="AB1299" s="9" t="s">
        <v>894</v>
      </c>
      <c r="AC1299" s="9" t="s">
        <v>10785</v>
      </c>
      <c r="AD1299" s="9" t="s">
        <v>6506</v>
      </c>
      <c r="AE1299" s="8">
        <v>340</v>
      </c>
      <c r="AF1299" s="8">
        <v>451</v>
      </c>
      <c r="AG1299" s="13">
        <v>77443</v>
      </c>
      <c r="AH1299" s="38">
        <v>77444</v>
      </c>
      <c r="AI1299" s="38" t="s">
        <v>2047</v>
      </c>
      <c r="AJ1299" s="14" t="s">
        <v>276</v>
      </c>
      <c r="AK1299" s="31">
        <f t="shared" si="188"/>
        <v>4.3903257879989157</v>
      </c>
      <c r="AL1299" s="14" t="s">
        <v>276</v>
      </c>
      <c r="AM1299" s="14" t="s">
        <v>276</v>
      </c>
      <c r="AN1299" s="14" t="s">
        <v>276</v>
      </c>
      <c r="AO1299" s="31">
        <f t="shared" si="189"/>
        <v>5.8235628324983217</v>
      </c>
      <c r="AP1299" s="14" t="s">
        <v>276</v>
      </c>
      <c r="AQ1299" s="14" t="s">
        <v>276</v>
      </c>
      <c r="AR1299" s="8" t="s">
        <v>268</v>
      </c>
      <c r="AS1299" s="14" t="s">
        <v>276</v>
      </c>
      <c r="AT1299" s="14">
        <f t="shared" si="190"/>
        <v>0.75389000072236811</v>
      </c>
      <c r="AU1299" s="14" t="s">
        <v>276</v>
      </c>
      <c r="AV1299" s="14" t="s">
        <v>276</v>
      </c>
      <c r="AW1299" s="8" t="s">
        <v>276</v>
      </c>
      <c r="AX1299" s="8" t="s">
        <v>282</v>
      </c>
      <c r="AY1299" s="8" t="s">
        <v>98</v>
      </c>
      <c r="AZ1299" s="8" t="s">
        <v>98</v>
      </c>
      <c r="BA1299" s="8" t="s">
        <v>98</v>
      </c>
      <c r="BB1299" s="8" t="s">
        <v>98</v>
      </c>
      <c r="BC1299" s="9" t="s">
        <v>341</v>
      </c>
      <c r="BD1299" s="9"/>
      <c r="BE1299" s="33" t="s">
        <v>100</v>
      </c>
      <c r="BF1299" s="33" t="s">
        <v>98</v>
      </c>
    </row>
    <row r="1300" spans="1:58" s="7" customFormat="1" ht="130" x14ac:dyDescent="0.3">
      <c r="A1300" s="8">
        <v>1169</v>
      </c>
      <c r="B1300" s="8" t="s">
        <v>10742</v>
      </c>
      <c r="C1300" s="8" t="s">
        <v>11079</v>
      </c>
      <c r="D1300" s="9" t="s">
        <v>10786</v>
      </c>
      <c r="E1300" s="8" t="s">
        <v>36</v>
      </c>
      <c r="F1300" s="9" t="s">
        <v>134</v>
      </c>
      <c r="G1300" s="8" t="s">
        <v>225</v>
      </c>
      <c r="H1300" s="8" t="s">
        <v>125</v>
      </c>
      <c r="I1300" s="8" t="s">
        <v>114</v>
      </c>
      <c r="J1300" s="9" t="s">
        <v>24</v>
      </c>
      <c r="K1300" s="9" t="s">
        <v>10744</v>
      </c>
      <c r="L1300" s="9" t="s">
        <v>10760</v>
      </c>
      <c r="M1300" s="8" t="s">
        <v>14</v>
      </c>
      <c r="N1300" s="11" t="s">
        <v>98</v>
      </c>
      <c r="O1300" s="12" t="s">
        <v>207</v>
      </c>
      <c r="P1300" s="41" t="s">
        <v>98</v>
      </c>
      <c r="Q1300" s="9" t="s">
        <v>1255</v>
      </c>
      <c r="R1300" s="9" t="s">
        <v>276</v>
      </c>
      <c r="S1300" s="9" t="s">
        <v>276</v>
      </c>
      <c r="T1300" s="51" t="s">
        <v>1191</v>
      </c>
      <c r="U1300" s="13">
        <v>77443</v>
      </c>
      <c r="V1300" s="38">
        <v>77444</v>
      </c>
      <c r="W1300" s="8" t="s">
        <v>276</v>
      </c>
      <c r="X1300" s="8" t="s">
        <v>276</v>
      </c>
      <c r="Y1300" s="8" t="s">
        <v>276</v>
      </c>
      <c r="Z1300" s="9" t="s">
        <v>894</v>
      </c>
      <c r="AA1300" s="8" t="s">
        <v>276</v>
      </c>
      <c r="AB1300" s="9" t="s">
        <v>894</v>
      </c>
      <c r="AC1300" s="9" t="s">
        <v>10787</v>
      </c>
      <c r="AD1300" s="9" t="s">
        <v>6506</v>
      </c>
      <c r="AE1300" s="8">
        <v>361</v>
      </c>
      <c r="AF1300" s="8">
        <v>476</v>
      </c>
      <c r="AG1300" s="13">
        <v>77443</v>
      </c>
      <c r="AH1300" s="38">
        <v>77444</v>
      </c>
      <c r="AI1300" s="38" t="s">
        <v>2047</v>
      </c>
      <c r="AJ1300" s="14" t="s">
        <v>276</v>
      </c>
      <c r="AK1300" s="31">
        <f t="shared" si="188"/>
        <v>4.6614929690223779</v>
      </c>
      <c r="AL1300" s="14" t="s">
        <v>276</v>
      </c>
      <c r="AM1300" s="14" t="s">
        <v>276</v>
      </c>
      <c r="AN1300" s="14" t="s">
        <v>276</v>
      </c>
      <c r="AO1300" s="31">
        <f t="shared" si="189"/>
        <v>6.1463767367388051</v>
      </c>
      <c r="AP1300" s="14" t="s">
        <v>276</v>
      </c>
      <c r="AQ1300" s="14" t="s">
        <v>276</v>
      </c>
      <c r="AR1300" s="8" t="s">
        <v>268</v>
      </c>
      <c r="AS1300" s="14" t="s">
        <v>276</v>
      </c>
      <c r="AT1300" s="14">
        <f t="shared" si="190"/>
        <v>0.75841315439699375</v>
      </c>
      <c r="AU1300" s="14" t="s">
        <v>276</v>
      </c>
      <c r="AV1300" s="14" t="s">
        <v>276</v>
      </c>
      <c r="AW1300" s="8" t="s">
        <v>276</v>
      </c>
      <c r="AX1300" s="8" t="s">
        <v>282</v>
      </c>
      <c r="AY1300" s="8" t="s">
        <v>98</v>
      </c>
      <c r="AZ1300" s="8" t="s">
        <v>98</v>
      </c>
      <c r="BA1300" s="8" t="s">
        <v>98</v>
      </c>
      <c r="BB1300" s="8" t="s">
        <v>98</v>
      </c>
      <c r="BC1300" s="9" t="s">
        <v>341</v>
      </c>
      <c r="BD1300" s="9"/>
      <c r="BE1300" s="33" t="s">
        <v>100</v>
      </c>
      <c r="BF1300" s="33" t="s">
        <v>98</v>
      </c>
    </row>
    <row r="1301" spans="1:58" s="7" customFormat="1" ht="130" x14ac:dyDescent="0.3">
      <c r="A1301" s="8">
        <v>1169</v>
      </c>
      <c r="B1301" s="8" t="s">
        <v>10742</v>
      </c>
      <c r="C1301" s="8" t="s">
        <v>11079</v>
      </c>
      <c r="D1301" s="9" t="s">
        <v>10788</v>
      </c>
      <c r="E1301" s="8" t="s">
        <v>36</v>
      </c>
      <c r="F1301" s="9" t="s">
        <v>134</v>
      </c>
      <c r="G1301" s="8" t="s">
        <v>225</v>
      </c>
      <c r="H1301" s="8" t="s">
        <v>125</v>
      </c>
      <c r="I1301" s="8" t="s">
        <v>114</v>
      </c>
      <c r="J1301" s="9" t="s">
        <v>24</v>
      </c>
      <c r="K1301" s="9" t="s">
        <v>10744</v>
      </c>
      <c r="L1301" s="9" t="s">
        <v>10760</v>
      </c>
      <c r="M1301" s="8" t="s">
        <v>14</v>
      </c>
      <c r="N1301" s="11" t="s">
        <v>98</v>
      </c>
      <c r="O1301" s="12" t="s">
        <v>207</v>
      </c>
      <c r="P1301" s="41" t="s">
        <v>98</v>
      </c>
      <c r="Q1301" s="9" t="s">
        <v>1258</v>
      </c>
      <c r="R1301" s="9" t="s">
        <v>276</v>
      </c>
      <c r="S1301" s="9" t="s">
        <v>276</v>
      </c>
      <c r="T1301" s="51" t="s">
        <v>1191</v>
      </c>
      <c r="U1301" s="13">
        <v>77443</v>
      </c>
      <c r="V1301" s="38">
        <v>77444</v>
      </c>
      <c r="W1301" s="8" t="s">
        <v>276</v>
      </c>
      <c r="X1301" s="8" t="s">
        <v>276</v>
      </c>
      <c r="Y1301" s="8" t="s">
        <v>276</v>
      </c>
      <c r="Z1301" s="9" t="s">
        <v>894</v>
      </c>
      <c r="AA1301" s="8" t="s">
        <v>276</v>
      </c>
      <c r="AB1301" s="9" t="s">
        <v>894</v>
      </c>
      <c r="AC1301" s="9" t="s">
        <v>10789</v>
      </c>
      <c r="AD1301" s="9" t="s">
        <v>6506</v>
      </c>
      <c r="AE1301" s="8">
        <v>378</v>
      </c>
      <c r="AF1301" s="8">
        <v>497</v>
      </c>
      <c r="AG1301" s="13">
        <v>77443</v>
      </c>
      <c r="AH1301" s="38">
        <v>77444</v>
      </c>
      <c r="AI1301" s="38" t="s">
        <v>2047</v>
      </c>
      <c r="AJ1301" s="14" t="s">
        <v>276</v>
      </c>
      <c r="AK1301" s="31">
        <f t="shared" si="188"/>
        <v>4.8810092584223232</v>
      </c>
      <c r="AL1301" s="14" t="s">
        <v>276</v>
      </c>
      <c r="AM1301" s="14" t="s">
        <v>276</v>
      </c>
      <c r="AN1301" s="14" t="s">
        <v>276</v>
      </c>
      <c r="AO1301" s="31">
        <f t="shared" si="189"/>
        <v>6.4175404163008105</v>
      </c>
      <c r="AP1301" s="14" t="s">
        <v>276</v>
      </c>
      <c r="AQ1301" s="14" t="s">
        <v>276</v>
      </c>
      <c r="AR1301" s="8" t="s">
        <v>268</v>
      </c>
      <c r="AS1301" s="14" t="s">
        <v>276</v>
      </c>
      <c r="AT1301" s="14">
        <f t="shared" si="190"/>
        <v>0.76057320122587213</v>
      </c>
      <c r="AU1301" s="14" t="s">
        <v>276</v>
      </c>
      <c r="AV1301" s="14" t="s">
        <v>276</v>
      </c>
      <c r="AW1301" s="8" t="s">
        <v>276</v>
      </c>
      <c r="AX1301" s="8" t="s">
        <v>282</v>
      </c>
      <c r="AY1301" s="8" t="s">
        <v>98</v>
      </c>
      <c r="AZ1301" s="8" t="s">
        <v>98</v>
      </c>
      <c r="BA1301" s="8" t="s">
        <v>98</v>
      </c>
      <c r="BB1301" s="8" t="s">
        <v>98</v>
      </c>
      <c r="BC1301" s="9" t="s">
        <v>341</v>
      </c>
      <c r="BD1301" s="9"/>
      <c r="BE1301" s="33" t="s">
        <v>100</v>
      </c>
      <c r="BF1301" s="33" t="s">
        <v>98</v>
      </c>
    </row>
    <row r="1302" spans="1:58" s="7" customFormat="1" ht="130" x14ac:dyDescent="0.3">
      <c r="A1302" s="8">
        <v>1169</v>
      </c>
      <c r="B1302" s="8" t="s">
        <v>10742</v>
      </c>
      <c r="C1302" s="8" t="s">
        <v>11079</v>
      </c>
      <c r="D1302" s="9" t="s">
        <v>10790</v>
      </c>
      <c r="E1302" s="8" t="s">
        <v>36</v>
      </c>
      <c r="F1302" s="9" t="s">
        <v>134</v>
      </c>
      <c r="G1302" s="8" t="s">
        <v>225</v>
      </c>
      <c r="H1302" s="8" t="s">
        <v>125</v>
      </c>
      <c r="I1302" s="8" t="s">
        <v>114</v>
      </c>
      <c r="J1302" s="9" t="s">
        <v>24</v>
      </c>
      <c r="K1302" s="9" t="s">
        <v>10744</v>
      </c>
      <c r="L1302" s="9" t="s">
        <v>10760</v>
      </c>
      <c r="M1302" s="8" t="s">
        <v>14</v>
      </c>
      <c r="N1302" s="11" t="s">
        <v>98</v>
      </c>
      <c r="O1302" s="12" t="s">
        <v>207</v>
      </c>
      <c r="P1302" s="41" t="s">
        <v>98</v>
      </c>
      <c r="Q1302" s="9" t="s">
        <v>1261</v>
      </c>
      <c r="R1302" s="9" t="s">
        <v>276</v>
      </c>
      <c r="S1302" s="9" t="s">
        <v>276</v>
      </c>
      <c r="T1302" s="51" t="s">
        <v>1191</v>
      </c>
      <c r="U1302" s="13">
        <v>77443</v>
      </c>
      <c r="V1302" s="38">
        <v>77444</v>
      </c>
      <c r="W1302" s="8" t="s">
        <v>276</v>
      </c>
      <c r="X1302" s="8" t="s">
        <v>276</v>
      </c>
      <c r="Y1302" s="8" t="s">
        <v>276</v>
      </c>
      <c r="Z1302" s="9" t="s">
        <v>894</v>
      </c>
      <c r="AA1302" s="8" t="s">
        <v>276</v>
      </c>
      <c r="AB1302" s="9" t="s">
        <v>894</v>
      </c>
      <c r="AC1302" s="9" t="s">
        <v>10791</v>
      </c>
      <c r="AD1302" s="9" t="s">
        <v>6506</v>
      </c>
      <c r="AE1302" s="8">
        <v>388</v>
      </c>
      <c r="AF1302" s="8">
        <v>516</v>
      </c>
      <c r="AG1302" s="13">
        <v>77443</v>
      </c>
      <c r="AH1302" s="38">
        <v>77444</v>
      </c>
      <c r="AI1302" s="38" t="s">
        <v>2047</v>
      </c>
      <c r="AJ1302" s="14" t="s">
        <v>276</v>
      </c>
      <c r="AK1302" s="31">
        <f t="shared" si="188"/>
        <v>5.0101364874811152</v>
      </c>
      <c r="AL1302" s="14" t="s">
        <v>276</v>
      </c>
      <c r="AM1302" s="14" t="s">
        <v>276</v>
      </c>
      <c r="AN1302" s="14" t="s">
        <v>276</v>
      </c>
      <c r="AO1302" s="31">
        <f t="shared" si="189"/>
        <v>6.6628789835235782</v>
      </c>
      <c r="AP1302" s="14" t="s">
        <v>276</v>
      </c>
      <c r="AQ1302" s="14" t="s">
        <v>276</v>
      </c>
      <c r="AR1302" s="8" t="s">
        <v>268</v>
      </c>
      <c r="AS1302" s="14" t="s">
        <v>276</v>
      </c>
      <c r="AT1302" s="14">
        <f t="shared" si="190"/>
        <v>0.75194769406296025</v>
      </c>
      <c r="AU1302" s="14" t="s">
        <v>276</v>
      </c>
      <c r="AV1302" s="14" t="s">
        <v>276</v>
      </c>
      <c r="AW1302" s="8" t="s">
        <v>276</v>
      </c>
      <c r="AX1302" s="8" t="s">
        <v>282</v>
      </c>
      <c r="AY1302" s="8" t="s">
        <v>98</v>
      </c>
      <c r="AZ1302" s="8" t="s">
        <v>98</v>
      </c>
      <c r="BA1302" s="8" t="s">
        <v>98</v>
      </c>
      <c r="BB1302" s="8" t="s">
        <v>98</v>
      </c>
      <c r="BC1302" s="9" t="s">
        <v>341</v>
      </c>
      <c r="BD1302" s="9"/>
      <c r="BE1302" s="33" t="s">
        <v>100</v>
      </c>
      <c r="BF1302" s="33" t="s">
        <v>98</v>
      </c>
    </row>
    <row r="1303" spans="1:58" s="7" customFormat="1" ht="130" x14ac:dyDescent="0.3">
      <c r="A1303" s="8">
        <v>1169</v>
      </c>
      <c r="B1303" s="8" t="s">
        <v>10742</v>
      </c>
      <c r="C1303" s="8" t="s">
        <v>11079</v>
      </c>
      <c r="D1303" s="9" t="s">
        <v>10792</v>
      </c>
      <c r="E1303" s="8" t="s">
        <v>36</v>
      </c>
      <c r="F1303" s="9" t="s">
        <v>134</v>
      </c>
      <c r="G1303" s="8" t="s">
        <v>225</v>
      </c>
      <c r="H1303" s="8" t="s">
        <v>125</v>
      </c>
      <c r="I1303" s="8" t="s">
        <v>114</v>
      </c>
      <c r="J1303" s="9" t="s">
        <v>24</v>
      </c>
      <c r="K1303" s="9" t="s">
        <v>10744</v>
      </c>
      <c r="L1303" s="9" t="s">
        <v>10760</v>
      </c>
      <c r="M1303" s="8" t="s">
        <v>14</v>
      </c>
      <c r="N1303" s="11" t="s">
        <v>98</v>
      </c>
      <c r="O1303" s="12" t="s">
        <v>207</v>
      </c>
      <c r="P1303" s="41" t="s">
        <v>98</v>
      </c>
      <c r="Q1303" s="9" t="s">
        <v>1080</v>
      </c>
      <c r="R1303" s="9" t="s">
        <v>276</v>
      </c>
      <c r="S1303" s="9" t="s">
        <v>276</v>
      </c>
      <c r="T1303" s="51" t="s">
        <v>1191</v>
      </c>
      <c r="U1303" s="13">
        <v>77443</v>
      </c>
      <c r="V1303" s="38">
        <v>77444</v>
      </c>
      <c r="W1303" s="8" t="s">
        <v>276</v>
      </c>
      <c r="X1303" s="8" t="s">
        <v>276</v>
      </c>
      <c r="Y1303" s="8" t="s">
        <v>276</v>
      </c>
      <c r="Z1303" s="9" t="s">
        <v>894</v>
      </c>
      <c r="AA1303" s="8" t="s">
        <v>276</v>
      </c>
      <c r="AB1303" s="9" t="s">
        <v>894</v>
      </c>
      <c r="AC1303" s="9" t="s">
        <v>10793</v>
      </c>
      <c r="AD1303" s="9" t="s">
        <v>6506</v>
      </c>
      <c r="AE1303" s="8">
        <v>400</v>
      </c>
      <c r="AF1303" s="8">
        <v>531</v>
      </c>
      <c r="AG1303" s="13">
        <v>77443</v>
      </c>
      <c r="AH1303" s="38">
        <v>77444</v>
      </c>
      <c r="AI1303" s="38" t="s">
        <v>2047</v>
      </c>
      <c r="AJ1303" s="14" t="s">
        <v>276</v>
      </c>
      <c r="AK1303" s="31">
        <f t="shared" si="188"/>
        <v>5.1650891623516655</v>
      </c>
      <c r="AL1303" s="14" t="s">
        <v>276</v>
      </c>
      <c r="AM1303" s="14" t="s">
        <v>276</v>
      </c>
      <c r="AN1303" s="14" t="s">
        <v>276</v>
      </c>
      <c r="AO1303" s="31">
        <f t="shared" si="189"/>
        <v>6.8565673260678688</v>
      </c>
      <c r="AP1303" s="14" t="s">
        <v>276</v>
      </c>
      <c r="AQ1303" s="14" t="s">
        <v>276</v>
      </c>
      <c r="AR1303" s="8" t="s">
        <v>268</v>
      </c>
      <c r="AS1303" s="14" t="s">
        <v>276</v>
      </c>
      <c r="AT1303" s="14">
        <f t="shared" si="190"/>
        <v>0.75330539564814003</v>
      </c>
      <c r="AU1303" s="14" t="s">
        <v>276</v>
      </c>
      <c r="AV1303" s="14" t="s">
        <v>276</v>
      </c>
      <c r="AW1303" s="8" t="s">
        <v>276</v>
      </c>
      <c r="AX1303" s="8" t="s">
        <v>282</v>
      </c>
      <c r="AY1303" s="8" t="s">
        <v>98</v>
      </c>
      <c r="AZ1303" s="8" t="s">
        <v>98</v>
      </c>
      <c r="BA1303" s="8" t="s">
        <v>98</v>
      </c>
      <c r="BB1303" s="8" t="s">
        <v>98</v>
      </c>
      <c r="BC1303" s="9" t="s">
        <v>341</v>
      </c>
      <c r="BD1303" s="9"/>
      <c r="BE1303" s="33" t="s">
        <v>100</v>
      </c>
      <c r="BF1303" s="33" t="s">
        <v>98</v>
      </c>
    </row>
    <row r="1304" spans="1:58" s="7" customFormat="1" ht="130" x14ac:dyDescent="0.3">
      <c r="A1304" s="8">
        <v>1169</v>
      </c>
      <c r="B1304" s="8" t="s">
        <v>10742</v>
      </c>
      <c r="C1304" s="8" t="s">
        <v>11079</v>
      </c>
      <c r="D1304" s="9" t="s">
        <v>10794</v>
      </c>
      <c r="E1304" s="8" t="s">
        <v>36</v>
      </c>
      <c r="F1304" s="9" t="s">
        <v>134</v>
      </c>
      <c r="G1304" s="8" t="s">
        <v>225</v>
      </c>
      <c r="H1304" s="8" t="s">
        <v>125</v>
      </c>
      <c r="I1304" s="8" t="s">
        <v>114</v>
      </c>
      <c r="J1304" s="9" t="s">
        <v>24</v>
      </c>
      <c r="K1304" s="9" t="s">
        <v>10744</v>
      </c>
      <c r="L1304" s="9" t="s">
        <v>10760</v>
      </c>
      <c r="M1304" s="8" t="s">
        <v>14</v>
      </c>
      <c r="N1304" s="11" t="s">
        <v>98</v>
      </c>
      <c r="O1304" s="12" t="s">
        <v>207</v>
      </c>
      <c r="P1304" s="41" t="s">
        <v>98</v>
      </c>
      <c r="Q1304" s="9" t="s">
        <v>10795</v>
      </c>
      <c r="R1304" s="9" t="s">
        <v>276</v>
      </c>
      <c r="S1304" s="9" t="s">
        <v>276</v>
      </c>
      <c r="T1304" s="51" t="s">
        <v>1191</v>
      </c>
      <c r="U1304" s="13">
        <v>77443</v>
      </c>
      <c r="V1304" s="38">
        <v>77444</v>
      </c>
      <c r="W1304" s="8" t="s">
        <v>276</v>
      </c>
      <c r="X1304" s="8" t="s">
        <v>276</v>
      </c>
      <c r="Y1304" s="8" t="s">
        <v>276</v>
      </c>
      <c r="Z1304" s="9" t="s">
        <v>894</v>
      </c>
      <c r="AA1304" s="8" t="s">
        <v>276</v>
      </c>
      <c r="AB1304" s="9" t="s">
        <v>894</v>
      </c>
      <c r="AC1304" s="9" t="s">
        <v>10796</v>
      </c>
      <c r="AD1304" s="9" t="s">
        <v>6506</v>
      </c>
      <c r="AE1304" s="8">
        <v>412</v>
      </c>
      <c r="AF1304" s="8">
        <v>542</v>
      </c>
      <c r="AG1304" s="13">
        <v>77443</v>
      </c>
      <c r="AH1304" s="38">
        <v>77444</v>
      </c>
      <c r="AI1304" s="38" t="s">
        <v>2047</v>
      </c>
      <c r="AJ1304" s="14" t="s">
        <v>276</v>
      </c>
      <c r="AK1304" s="31">
        <f t="shared" si="188"/>
        <v>5.3200418372222149</v>
      </c>
      <c r="AL1304" s="14" t="s">
        <v>276</v>
      </c>
      <c r="AM1304" s="14" t="s">
        <v>276</v>
      </c>
      <c r="AN1304" s="14" t="s">
        <v>276</v>
      </c>
      <c r="AO1304" s="31">
        <f t="shared" si="189"/>
        <v>6.9986054439336813</v>
      </c>
      <c r="AP1304" s="14" t="s">
        <v>276</v>
      </c>
      <c r="AQ1304" s="14" t="s">
        <v>276</v>
      </c>
      <c r="AR1304" s="8" t="s">
        <v>268</v>
      </c>
      <c r="AS1304" s="14" t="s">
        <v>276</v>
      </c>
      <c r="AT1304" s="14">
        <f t="shared" si="190"/>
        <v>0.7601574170513602</v>
      </c>
      <c r="AU1304" s="14" t="s">
        <v>276</v>
      </c>
      <c r="AV1304" s="14" t="s">
        <v>276</v>
      </c>
      <c r="AW1304" s="8" t="s">
        <v>276</v>
      </c>
      <c r="AX1304" s="8" t="s">
        <v>282</v>
      </c>
      <c r="AY1304" s="8" t="s">
        <v>98</v>
      </c>
      <c r="AZ1304" s="8" t="s">
        <v>98</v>
      </c>
      <c r="BA1304" s="8" t="s">
        <v>98</v>
      </c>
      <c r="BB1304" s="8" t="s">
        <v>98</v>
      </c>
      <c r="BC1304" s="9" t="s">
        <v>341</v>
      </c>
      <c r="BD1304" s="9"/>
      <c r="BE1304" s="33" t="s">
        <v>100</v>
      </c>
      <c r="BF1304" s="33" t="s">
        <v>98</v>
      </c>
    </row>
    <row r="1305" spans="1:58" s="7" customFormat="1" ht="130" x14ac:dyDescent="0.3">
      <c r="A1305" s="8">
        <v>1169</v>
      </c>
      <c r="B1305" s="8" t="s">
        <v>10742</v>
      </c>
      <c r="C1305" s="8" t="s">
        <v>11079</v>
      </c>
      <c r="D1305" s="9" t="s">
        <v>10797</v>
      </c>
      <c r="E1305" s="8" t="s">
        <v>36</v>
      </c>
      <c r="F1305" s="9" t="s">
        <v>134</v>
      </c>
      <c r="G1305" s="8" t="s">
        <v>225</v>
      </c>
      <c r="H1305" s="8" t="s">
        <v>125</v>
      </c>
      <c r="I1305" s="8" t="s">
        <v>114</v>
      </c>
      <c r="J1305" s="9" t="s">
        <v>24</v>
      </c>
      <c r="K1305" s="9" t="s">
        <v>10744</v>
      </c>
      <c r="L1305" s="9" t="s">
        <v>10745</v>
      </c>
      <c r="M1305" s="8" t="s">
        <v>14</v>
      </c>
      <c r="N1305" s="11" t="s">
        <v>98</v>
      </c>
      <c r="O1305" s="12" t="s">
        <v>207</v>
      </c>
      <c r="P1305" s="41">
        <v>42369</v>
      </c>
      <c r="Q1305" s="9" t="s">
        <v>1686</v>
      </c>
      <c r="R1305" s="9" t="s">
        <v>10746</v>
      </c>
      <c r="S1305" s="9" t="s">
        <v>10747</v>
      </c>
      <c r="T1305" s="9">
        <v>2</v>
      </c>
      <c r="U1305" s="13">
        <v>77443</v>
      </c>
      <c r="V1305" s="38">
        <v>77444</v>
      </c>
      <c r="W1305" s="8" t="s">
        <v>276</v>
      </c>
      <c r="X1305" s="8" t="s">
        <v>276</v>
      </c>
      <c r="Y1305" s="90" t="s">
        <v>10798</v>
      </c>
      <c r="Z1305" s="9" t="s">
        <v>10799</v>
      </c>
      <c r="AA1305" s="90" t="s">
        <v>10800</v>
      </c>
      <c r="AB1305" s="9" t="s">
        <v>10801</v>
      </c>
      <c r="AC1305" s="9" t="s">
        <v>10802</v>
      </c>
      <c r="AD1305" s="9" t="s">
        <v>1487</v>
      </c>
      <c r="AE1305" s="8">
        <v>135</v>
      </c>
      <c r="AF1305" s="8">
        <v>262</v>
      </c>
      <c r="AG1305" s="13" t="s">
        <v>276</v>
      </c>
      <c r="AH1305" s="13" t="s">
        <v>276</v>
      </c>
      <c r="AI1305" s="13" t="s">
        <v>4702</v>
      </c>
      <c r="AJ1305" s="14">
        <v>1.0900000000000001</v>
      </c>
      <c r="AK1305" s="31" t="s">
        <v>98</v>
      </c>
      <c r="AL1305" s="14" t="s">
        <v>276</v>
      </c>
      <c r="AM1305" s="14" t="s">
        <v>276</v>
      </c>
      <c r="AN1305" s="14">
        <v>2.14</v>
      </c>
      <c r="AO1305" s="31" t="s">
        <v>276</v>
      </c>
      <c r="AP1305" s="14" t="s">
        <v>276</v>
      </c>
      <c r="AQ1305" s="14" t="s">
        <v>276</v>
      </c>
      <c r="AR1305" s="8" t="s">
        <v>269</v>
      </c>
      <c r="AS1305" s="14">
        <v>0.51</v>
      </c>
      <c r="AT1305" s="14">
        <f>AJ1305/AN1305</f>
        <v>0.50934579439252337</v>
      </c>
      <c r="AU1305" s="14">
        <v>0.41</v>
      </c>
      <c r="AV1305" s="14">
        <v>0.63</v>
      </c>
      <c r="AW1305" s="8" t="s">
        <v>276</v>
      </c>
      <c r="AX1305" s="8" t="s">
        <v>282</v>
      </c>
      <c r="AY1305" s="8" t="s">
        <v>98</v>
      </c>
      <c r="AZ1305" s="8" t="s">
        <v>98</v>
      </c>
      <c r="BA1305" s="8" t="s">
        <v>98</v>
      </c>
      <c r="BB1305" s="8" t="s">
        <v>98</v>
      </c>
      <c r="BC1305" s="9" t="s">
        <v>10803</v>
      </c>
      <c r="BD1305" s="9"/>
      <c r="BE1305" s="33" t="s">
        <v>100</v>
      </c>
      <c r="BF1305" s="33" t="s">
        <v>98</v>
      </c>
    </row>
    <row r="1306" spans="1:58" s="7" customFormat="1" ht="130" x14ac:dyDescent="0.3">
      <c r="A1306" s="8">
        <v>1169</v>
      </c>
      <c r="B1306" s="8" t="s">
        <v>10742</v>
      </c>
      <c r="C1306" s="8" t="s">
        <v>11079</v>
      </c>
      <c r="D1306" s="9" t="s">
        <v>10804</v>
      </c>
      <c r="E1306" s="8" t="s">
        <v>36</v>
      </c>
      <c r="F1306" s="9" t="s">
        <v>134</v>
      </c>
      <c r="G1306" s="8" t="s">
        <v>225</v>
      </c>
      <c r="H1306" s="8" t="s">
        <v>125</v>
      </c>
      <c r="I1306" s="8" t="s">
        <v>114</v>
      </c>
      <c r="J1306" s="9" t="s">
        <v>24</v>
      </c>
      <c r="K1306" s="9" t="s">
        <v>10744</v>
      </c>
      <c r="L1306" s="9" t="s">
        <v>10751</v>
      </c>
      <c r="M1306" s="8" t="s">
        <v>14</v>
      </c>
      <c r="N1306" s="11" t="s">
        <v>98</v>
      </c>
      <c r="O1306" s="12" t="s">
        <v>207</v>
      </c>
      <c r="P1306" s="41" t="s">
        <v>98</v>
      </c>
      <c r="Q1306" s="9" t="s">
        <v>705</v>
      </c>
      <c r="R1306" s="9" t="s">
        <v>276</v>
      </c>
      <c r="S1306" s="9" t="s">
        <v>276</v>
      </c>
      <c r="T1306" s="9">
        <v>1</v>
      </c>
      <c r="U1306" s="13">
        <v>77443</v>
      </c>
      <c r="V1306" s="38">
        <v>77444</v>
      </c>
      <c r="W1306" s="8" t="s">
        <v>276</v>
      </c>
      <c r="X1306" s="8" t="s">
        <v>276</v>
      </c>
      <c r="Y1306" s="8" t="s">
        <v>276</v>
      </c>
      <c r="Z1306" s="9" t="s">
        <v>10805</v>
      </c>
      <c r="AA1306" s="8" t="s">
        <v>276</v>
      </c>
      <c r="AB1306" s="9" t="s">
        <v>10805</v>
      </c>
      <c r="AC1306" s="9" t="s">
        <v>10806</v>
      </c>
      <c r="AD1306" s="9" t="s">
        <v>6506</v>
      </c>
      <c r="AE1306" s="8">
        <v>2</v>
      </c>
      <c r="AF1306" s="8">
        <v>0</v>
      </c>
      <c r="AG1306" s="13">
        <v>77443</v>
      </c>
      <c r="AH1306" s="38">
        <v>77444</v>
      </c>
      <c r="AI1306" s="38" t="s">
        <v>2047</v>
      </c>
      <c r="AJ1306" s="14" t="s">
        <v>276</v>
      </c>
      <c r="AK1306" s="31">
        <f t="shared" ref="AK1306:AK1326" si="191">AE1306*1000/AG1306</f>
        <v>2.5825445811758326E-2</v>
      </c>
      <c r="AL1306" s="14" t="s">
        <v>276</v>
      </c>
      <c r="AM1306" s="14" t="s">
        <v>276</v>
      </c>
      <c r="AN1306" s="14" t="s">
        <v>276</v>
      </c>
      <c r="AO1306" s="31">
        <f t="shared" ref="AO1306:AO1326" si="192">AF1306*1000/AH1306</f>
        <v>0</v>
      </c>
      <c r="AP1306" s="14" t="s">
        <v>276</v>
      </c>
      <c r="AQ1306" s="14" t="s">
        <v>276</v>
      </c>
      <c r="AR1306" s="8" t="s">
        <v>268</v>
      </c>
      <c r="AS1306" s="14" t="s">
        <v>276</v>
      </c>
      <c r="AT1306" s="14" t="e">
        <f t="shared" ref="AT1306:AT1326" si="193">AK1306/AO1306</f>
        <v>#DIV/0!</v>
      </c>
      <c r="AU1306" s="14" t="s">
        <v>276</v>
      </c>
      <c r="AV1306" s="14" t="s">
        <v>276</v>
      </c>
      <c r="AW1306" s="8" t="s">
        <v>276</v>
      </c>
      <c r="AX1306" s="8" t="s">
        <v>282</v>
      </c>
      <c r="AY1306" s="8" t="s">
        <v>98</v>
      </c>
      <c r="AZ1306" s="8" t="s">
        <v>98</v>
      </c>
      <c r="BA1306" s="8" t="s">
        <v>98</v>
      </c>
      <c r="BB1306" s="8" t="s">
        <v>98</v>
      </c>
      <c r="BC1306" s="9" t="s">
        <v>5536</v>
      </c>
      <c r="BD1306" s="9"/>
      <c r="BE1306" s="33" t="s">
        <v>100</v>
      </c>
      <c r="BF1306" s="33" t="s">
        <v>98</v>
      </c>
    </row>
    <row r="1307" spans="1:58" s="7" customFormat="1" ht="130" x14ac:dyDescent="0.3">
      <c r="A1307" s="8">
        <v>1169</v>
      </c>
      <c r="B1307" s="8" t="s">
        <v>10742</v>
      </c>
      <c r="C1307" s="8" t="s">
        <v>11079</v>
      </c>
      <c r="D1307" s="9" t="s">
        <v>10807</v>
      </c>
      <c r="E1307" s="8" t="s">
        <v>36</v>
      </c>
      <c r="F1307" s="9" t="s">
        <v>134</v>
      </c>
      <c r="G1307" s="8" t="s">
        <v>225</v>
      </c>
      <c r="H1307" s="8" t="s">
        <v>125</v>
      </c>
      <c r="I1307" s="8" t="s">
        <v>114</v>
      </c>
      <c r="J1307" s="9" t="s">
        <v>24</v>
      </c>
      <c r="K1307" s="9" t="s">
        <v>10744</v>
      </c>
      <c r="L1307" s="9" t="s">
        <v>10754</v>
      </c>
      <c r="M1307" s="8" t="s">
        <v>14</v>
      </c>
      <c r="N1307" s="11" t="s">
        <v>98</v>
      </c>
      <c r="O1307" s="12" t="s">
        <v>207</v>
      </c>
      <c r="P1307" s="41" t="s">
        <v>98</v>
      </c>
      <c r="Q1307" s="9" t="s">
        <v>710</v>
      </c>
      <c r="R1307" s="9" t="s">
        <v>276</v>
      </c>
      <c r="S1307" s="9" t="s">
        <v>276</v>
      </c>
      <c r="T1307" s="9">
        <v>1</v>
      </c>
      <c r="U1307" s="13">
        <v>77443</v>
      </c>
      <c r="V1307" s="38">
        <v>77444</v>
      </c>
      <c r="W1307" s="8" t="s">
        <v>276</v>
      </c>
      <c r="X1307" s="8" t="s">
        <v>276</v>
      </c>
      <c r="Y1307" s="90" t="s">
        <v>10808</v>
      </c>
      <c r="Z1307" s="9" t="s">
        <v>10809</v>
      </c>
      <c r="AA1307" s="8" t="s">
        <v>276</v>
      </c>
      <c r="AB1307" s="9" t="s">
        <v>10805</v>
      </c>
      <c r="AC1307" s="9" t="s">
        <v>10810</v>
      </c>
      <c r="AD1307" s="9" t="s">
        <v>6506</v>
      </c>
      <c r="AE1307" s="8">
        <v>7</v>
      </c>
      <c r="AF1307" s="8">
        <v>10</v>
      </c>
      <c r="AG1307" s="13">
        <v>77443</v>
      </c>
      <c r="AH1307" s="38">
        <v>77444</v>
      </c>
      <c r="AI1307" s="38" t="s">
        <v>2047</v>
      </c>
      <c r="AJ1307" s="14" t="s">
        <v>276</v>
      </c>
      <c r="AK1307" s="31">
        <f t="shared" si="191"/>
        <v>9.038906034115414E-2</v>
      </c>
      <c r="AL1307" s="14" t="s">
        <v>276</v>
      </c>
      <c r="AM1307" s="14" t="s">
        <v>276</v>
      </c>
      <c r="AN1307" s="14" t="s">
        <v>276</v>
      </c>
      <c r="AO1307" s="31">
        <f t="shared" si="192"/>
        <v>0.12912556169619338</v>
      </c>
      <c r="AP1307" s="14" t="s">
        <v>276</v>
      </c>
      <c r="AQ1307" s="14" t="s">
        <v>276</v>
      </c>
      <c r="AR1307" s="8" t="s">
        <v>268</v>
      </c>
      <c r="AS1307" s="14" t="s">
        <v>276</v>
      </c>
      <c r="AT1307" s="14">
        <f t="shared" si="193"/>
        <v>0.70000903890603416</v>
      </c>
      <c r="AU1307" s="14" t="s">
        <v>276</v>
      </c>
      <c r="AV1307" s="14" t="s">
        <v>276</v>
      </c>
      <c r="AW1307" s="8" t="s">
        <v>276</v>
      </c>
      <c r="AX1307" s="8" t="s">
        <v>282</v>
      </c>
      <c r="AY1307" s="8" t="s">
        <v>98</v>
      </c>
      <c r="AZ1307" s="8" t="s">
        <v>98</v>
      </c>
      <c r="BA1307" s="8" t="s">
        <v>98</v>
      </c>
      <c r="BB1307" s="8" t="s">
        <v>98</v>
      </c>
      <c r="BC1307" s="9" t="s">
        <v>5536</v>
      </c>
      <c r="BD1307" s="9"/>
      <c r="BE1307" s="33" t="s">
        <v>100</v>
      </c>
      <c r="BF1307" s="33" t="s">
        <v>98</v>
      </c>
    </row>
    <row r="1308" spans="1:58" s="7" customFormat="1" ht="130" x14ac:dyDescent="0.3">
      <c r="A1308" s="8">
        <v>1169</v>
      </c>
      <c r="B1308" s="8" t="s">
        <v>10742</v>
      </c>
      <c r="C1308" s="8" t="s">
        <v>11079</v>
      </c>
      <c r="D1308" s="9" t="s">
        <v>10811</v>
      </c>
      <c r="E1308" s="8" t="s">
        <v>36</v>
      </c>
      <c r="F1308" s="9" t="s">
        <v>134</v>
      </c>
      <c r="G1308" s="8" t="s">
        <v>225</v>
      </c>
      <c r="H1308" s="8" t="s">
        <v>125</v>
      </c>
      <c r="I1308" s="8" t="s">
        <v>114</v>
      </c>
      <c r="J1308" s="9" t="s">
        <v>24</v>
      </c>
      <c r="K1308" s="9" t="s">
        <v>10744</v>
      </c>
      <c r="L1308" s="9" t="s">
        <v>10757</v>
      </c>
      <c r="M1308" s="8" t="s">
        <v>14</v>
      </c>
      <c r="N1308" s="11" t="s">
        <v>98</v>
      </c>
      <c r="O1308" s="12" t="s">
        <v>207</v>
      </c>
      <c r="P1308" s="41" t="s">
        <v>98</v>
      </c>
      <c r="Q1308" s="9" t="s">
        <v>686</v>
      </c>
      <c r="R1308" s="9" t="s">
        <v>276</v>
      </c>
      <c r="S1308" s="9" t="s">
        <v>276</v>
      </c>
      <c r="T1308" s="9">
        <v>1</v>
      </c>
      <c r="U1308" s="13">
        <v>77443</v>
      </c>
      <c r="V1308" s="38">
        <v>77444</v>
      </c>
      <c r="W1308" s="8" t="s">
        <v>276</v>
      </c>
      <c r="X1308" s="8" t="s">
        <v>276</v>
      </c>
      <c r="Y1308" s="90" t="s">
        <v>10808</v>
      </c>
      <c r="Z1308" s="9" t="s">
        <v>10809</v>
      </c>
      <c r="AA1308" s="90" t="s">
        <v>10812</v>
      </c>
      <c r="AB1308" s="9" t="s">
        <v>10813</v>
      </c>
      <c r="AC1308" s="9" t="s">
        <v>10814</v>
      </c>
      <c r="AD1308" s="9" t="s">
        <v>6506</v>
      </c>
      <c r="AE1308" s="8">
        <v>12</v>
      </c>
      <c r="AF1308" s="8">
        <v>21</v>
      </c>
      <c r="AG1308" s="13">
        <v>77443</v>
      </c>
      <c r="AH1308" s="38">
        <v>77444</v>
      </c>
      <c r="AI1308" s="38" t="s">
        <v>2047</v>
      </c>
      <c r="AJ1308" s="14" t="s">
        <v>276</v>
      </c>
      <c r="AK1308" s="31">
        <f t="shared" si="191"/>
        <v>0.15495267487054995</v>
      </c>
      <c r="AL1308" s="14" t="s">
        <v>276</v>
      </c>
      <c r="AM1308" s="14" t="s">
        <v>276</v>
      </c>
      <c r="AN1308" s="14" t="s">
        <v>276</v>
      </c>
      <c r="AO1308" s="31">
        <f t="shared" si="192"/>
        <v>0.2711636795620061</v>
      </c>
      <c r="AP1308" s="14" t="s">
        <v>276</v>
      </c>
      <c r="AQ1308" s="14" t="s">
        <v>276</v>
      </c>
      <c r="AR1308" s="8" t="s">
        <v>268</v>
      </c>
      <c r="AS1308" s="14" t="s">
        <v>276</v>
      </c>
      <c r="AT1308" s="14">
        <f t="shared" si="193"/>
        <v>0.5714359501273748</v>
      </c>
      <c r="AU1308" s="14" t="s">
        <v>276</v>
      </c>
      <c r="AV1308" s="14" t="s">
        <v>276</v>
      </c>
      <c r="AW1308" s="8" t="s">
        <v>276</v>
      </c>
      <c r="AX1308" s="8" t="s">
        <v>282</v>
      </c>
      <c r="AY1308" s="8" t="s">
        <v>98</v>
      </c>
      <c r="AZ1308" s="8" t="s">
        <v>98</v>
      </c>
      <c r="BA1308" s="8" t="s">
        <v>98</v>
      </c>
      <c r="BB1308" s="8" t="s">
        <v>98</v>
      </c>
      <c r="BC1308" s="9" t="s">
        <v>5536</v>
      </c>
      <c r="BD1308" s="9"/>
      <c r="BE1308" s="33" t="s">
        <v>100</v>
      </c>
      <c r="BF1308" s="33" t="s">
        <v>98</v>
      </c>
    </row>
    <row r="1309" spans="1:58" s="7" customFormat="1" ht="130" x14ac:dyDescent="0.3">
      <c r="A1309" s="8">
        <v>1169</v>
      </c>
      <c r="B1309" s="8" t="s">
        <v>10742</v>
      </c>
      <c r="C1309" s="8" t="s">
        <v>11079</v>
      </c>
      <c r="D1309" s="9" t="s">
        <v>10815</v>
      </c>
      <c r="E1309" s="8" t="s">
        <v>36</v>
      </c>
      <c r="F1309" s="9" t="s">
        <v>134</v>
      </c>
      <c r="G1309" s="8" t="s">
        <v>225</v>
      </c>
      <c r="H1309" s="8" t="s">
        <v>125</v>
      </c>
      <c r="I1309" s="8" t="s">
        <v>114</v>
      </c>
      <c r="J1309" s="9" t="s">
        <v>24</v>
      </c>
      <c r="K1309" s="9" t="s">
        <v>10744</v>
      </c>
      <c r="L1309" s="9" t="s">
        <v>10760</v>
      </c>
      <c r="M1309" s="8" t="s">
        <v>14</v>
      </c>
      <c r="N1309" s="11" t="s">
        <v>98</v>
      </c>
      <c r="O1309" s="12" t="s">
        <v>207</v>
      </c>
      <c r="P1309" s="41" t="s">
        <v>98</v>
      </c>
      <c r="Q1309" s="9" t="s">
        <v>721</v>
      </c>
      <c r="R1309" s="9" t="s">
        <v>276</v>
      </c>
      <c r="S1309" s="9" t="s">
        <v>276</v>
      </c>
      <c r="T1309" s="51" t="s">
        <v>2331</v>
      </c>
      <c r="U1309" s="13">
        <v>77443</v>
      </c>
      <c r="V1309" s="38">
        <v>77444</v>
      </c>
      <c r="W1309" s="8" t="s">
        <v>276</v>
      </c>
      <c r="X1309" s="8" t="s">
        <v>276</v>
      </c>
      <c r="Y1309" s="90" t="s">
        <v>10816</v>
      </c>
      <c r="Z1309" s="9" t="s">
        <v>10817</v>
      </c>
      <c r="AA1309" s="90" t="s">
        <v>10808</v>
      </c>
      <c r="AB1309" s="9" t="s">
        <v>10809</v>
      </c>
      <c r="AC1309" s="9" t="s">
        <v>10818</v>
      </c>
      <c r="AD1309" s="9" t="s">
        <v>6506</v>
      </c>
      <c r="AE1309" s="8">
        <v>18</v>
      </c>
      <c r="AF1309" s="8">
        <v>35</v>
      </c>
      <c r="AG1309" s="13">
        <v>77443</v>
      </c>
      <c r="AH1309" s="38">
        <v>77444</v>
      </c>
      <c r="AI1309" s="38" t="s">
        <v>2047</v>
      </c>
      <c r="AJ1309" s="14" t="s">
        <v>276</v>
      </c>
      <c r="AK1309" s="31">
        <f t="shared" si="191"/>
        <v>0.23242901230582494</v>
      </c>
      <c r="AL1309" s="14" t="s">
        <v>276</v>
      </c>
      <c r="AM1309" s="14" t="s">
        <v>276</v>
      </c>
      <c r="AN1309" s="14" t="s">
        <v>276</v>
      </c>
      <c r="AO1309" s="31">
        <f t="shared" si="192"/>
        <v>0.45193946593667683</v>
      </c>
      <c r="AP1309" s="14" t="s">
        <v>276</v>
      </c>
      <c r="AQ1309" s="14" t="s">
        <v>276</v>
      </c>
      <c r="AR1309" s="8" t="s">
        <v>268</v>
      </c>
      <c r="AS1309" s="14" t="s">
        <v>276</v>
      </c>
      <c r="AT1309" s="14">
        <f t="shared" si="193"/>
        <v>0.51429235511463733</v>
      </c>
      <c r="AU1309" s="14" t="s">
        <v>276</v>
      </c>
      <c r="AV1309" s="14" t="s">
        <v>276</v>
      </c>
      <c r="AW1309" s="8" t="s">
        <v>276</v>
      </c>
      <c r="AX1309" s="8" t="s">
        <v>282</v>
      </c>
      <c r="AY1309" s="8" t="s">
        <v>98</v>
      </c>
      <c r="AZ1309" s="8" t="s">
        <v>98</v>
      </c>
      <c r="BA1309" s="8" t="s">
        <v>98</v>
      </c>
      <c r="BB1309" s="8" t="s">
        <v>98</v>
      </c>
      <c r="BC1309" s="9" t="s">
        <v>5536</v>
      </c>
      <c r="BD1309" s="9"/>
      <c r="BE1309" s="33" t="s">
        <v>100</v>
      </c>
      <c r="BF1309" s="33" t="s">
        <v>98</v>
      </c>
    </row>
    <row r="1310" spans="1:58" s="7" customFormat="1" ht="130" x14ac:dyDescent="0.3">
      <c r="A1310" s="8">
        <v>1169</v>
      </c>
      <c r="B1310" s="8" t="s">
        <v>10742</v>
      </c>
      <c r="C1310" s="8" t="s">
        <v>11079</v>
      </c>
      <c r="D1310" s="9" t="s">
        <v>10819</v>
      </c>
      <c r="E1310" s="8" t="s">
        <v>36</v>
      </c>
      <c r="F1310" s="9" t="s">
        <v>134</v>
      </c>
      <c r="G1310" s="8" t="s">
        <v>225</v>
      </c>
      <c r="H1310" s="8" t="s">
        <v>125</v>
      </c>
      <c r="I1310" s="8" t="s">
        <v>114</v>
      </c>
      <c r="J1310" s="9" t="s">
        <v>24</v>
      </c>
      <c r="K1310" s="9" t="s">
        <v>10744</v>
      </c>
      <c r="L1310" s="9" t="s">
        <v>10760</v>
      </c>
      <c r="M1310" s="8" t="s">
        <v>14</v>
      </c>
      <c r="N1310" s="11" t="s">
        <v>98</v>
      </c>
      <c r="O1310" s="12" t="s">
        <v>207</v>
      </c>
      <c r="P1310" s="41" t="s">
        <v>98</v>
      </c>
      <c r="Q1310" s="9" t="s">
        <v>728</v>
      </c>
      <c r="R1310" s="9" t="s">
        <v>276</v>
      </c>
      <c r="S1310" s="9" t="s">
        <v>276</v>
      </c>
      <c r="T1310" s="51" t="s">
        <v>2331</v>
      </c>
      <c r="U1310" s="13">
        <v>77443</v>
      </c>
      <c r="V1310" s="38">
        <v>77444</v>
      </c>
      <c r="W1310" s="8" t="s">
        <v>276</v>
      </c>
      <c r="X1310" s="8" t="s">
        <v>276</v>
      </c>
      <c r="Y1310" s="90" t="s">
        <v>10820</v>
      </c>
      <c r="Z1310" s="9" t="s">
        <v>10821</v>
      </c>
      <c r="AA1310" s="90" t="s">
        <v>10822</v>
      </c>
      <c r="AB1310" s="9" t="s">
        <v>10823</v>
      </c>
      <c r="AC1310" s="9" t="s">
        <v>10824</v>
      </c>
      <c r="AD1310" s="9" t="s">
        <v>6506</v>
      </c>
      <c r="AE1310" s="8">
        <v>25</v>
      </c>
      <c r="AF1310" s="8">
        <v>48</v>
      </c>
      <c r="AG1310" s="13">
        <v>77443</v>
      </c>
      <c r="AH1310" s="38">
        <v>77444</v>
      </c>
      <c r="AI1310" s="38" t="s">
        <v>2047</v>
      </c>
      <c r="AJ1310" s="14" t="s">
        <v>276</v>
      </c>
      <c r="AK1310" s="31">
        <f t="shared" si="191"/>
        <v>0.32281807264697909</v>
      </c>
      <c r="AL1310" s="14" t="s">
        <v>276</v>
      </c>
      <c r="AM1310" s="14" t="s">
        <v>276</v>
      </c>
      <c r="AN1310" s="14" t="s">
        <v>276</v>
      </c>
      <c r="AO1310" s="31">
        <f t="shared" si="192"/>
        <v>0.61980269614172823</v>
      </c>
      <c r="AP1310" s="14" t="s">
        <v>276</v>
      </c>
      <c r="AQ1310" s="14" t="s">
        <v>276</v>
      </c>
      <c r="AR1310" s="8" t="s">
        <v>268</v>
      </c>
      <c r="AS1310" s="14" t="s">
        <v>276</v>
      </c>
      <c r="AT1310" s="14">
        <f t="shared" si="193"/>
        <v>0.52084005870984684</v>
      </c>
      <c r="AU1310" s="14" t="s">
        <v>276</v>
      </c>
      <c r="AV1310" s="14" t="s">
        <v>276</v>
      </c>
      <c r="AW1310" s="8" t="s">
        <v>276</v>
      </c>
      <c r="AX1310" s="8" t="s">
        <v>282</v>
      </c>
      <c r="AY1310" s="8" t="s">
        <v>98</v>
      </c>
      <c r="AZ1310" s="8" t="s">
        <v>98</v>
      </c>
      <c r="BA1310" s="8" t="s">
        <v>98</v>
      </c>
      <c r="BB1310" s="8" t="s">
        <v>98</v>
      </c>
      <c r="BC1310" s="9" t="s">
        <v>5536</v>
      </c>
      <c r="BD1310" s="9"/>
      <c r="BE1310" s="33" t="s">
        <v>100</v>
      </c>
      <c r="BF1310" s="33" t="s">
        <v>98</v>
      </c>
    </row>
    <row r="1311" spans="1:58" s="7" customFormat="1" ht="130" x14ac:dyDescent="0.3">
      <c r="A1311" s="8">
        <v>1169</v>
      </c>
      <c r="B1311" s="8" t="s">
        <v>10742</v>
      </c>
      <c r="C1311" s="8" t="s">
        <v>11079</v>
      </c>
      <c r="D1311" s="9" t="s">
        <v>10825</v>
      </c>
      <c r="E1311" s="8" t="s">
        <v>36</v>
      </c>
      <c r="F1311" s="9" t="s">
        <v>134</v>
      </c>
      <c r="G1311" s="8" t="s">
        <v>225</v>
      </c>
      <c r="H1311" s="8" t="s">
        <v>125</v>
      </c>
      <c r="I1311" s="8" t="s">
        <v>114</v>
      </c>
      <c r="J1311" s="9" t="s">
        <v>24</v>
      </c>
      <c r="K1311" s="9" t="s">
        <v>10744</v>
      </c>
      <c r="L1311" s="9" t="s">
        <v>10760</v>
      </c>
      <c r="M1311" s="8" t="s">
        <v>14</v>
      </c>
      <c r="N1311" s="11" t="s">
        <v>98</v>
      </c>
      <c r="O1311" s="12" t="s">
        <v>207</v>
      </c>
      <c r="P1311" s="41" t="s">
        <v>98</v>
      </c>
      <c r="Q1311" s="9" t="s">
        <v>733</v>
      </c>
      <c r="R1311" s="9" t="s">
        <v>276</v>
      </c>
      <c r="S1311" s="9" t="s">
        <v>276</v>
      </c>
      <c r="T1311" s="51" t="s">
        <v>1191</v>
      </c>
      <c r="U1311" s="13">
        <v>77443</v>
      </c>
      <c r="V1311" s="38">
        <v>77444</v>
      </c>
      <c r="W1311" s="8" t="s">
        <v>276</v>
      </c>
      <c r="X1311" s="8" t="s">
        <v>276</v>
      </c>
      <c r="Y1311" s="90" t="s">
        <v>10826</v>
      </c>
      <c r="Z1311" s="9" t="s">
        <v>10827</v>
      </c>
      <c r="AA1311" s="90" t="s">
        <v>10816</v>
      </c>
      <c r="AB1311" s="9" t="s">
        <v>10817</v>
      </c>
      <c r="AC1311" s="9" t="s">
        <v>10828</v>
      </c>
      <c r="AD1311" s="9" t="s">
        <v>6506</v>
      </c>
      <c r="AE1311" s="8">
        <v>33</v>
      </c>
      <c r="AF1311" s="8">
        <v>63</v>
      </c>
      <c r="AG1311" s="13">
        <v>77443</v>
      </c>
      <c r="AH1311" s="38">
        <v>77444</v>
      </c>
      <c r="AI1311" s="38" t="s">
        <v>2047</v>
      </c>
      <c r="AJ1311" s="14" t="s">
        <v>276</v>
      </c>
      <c r="AK1311" s="31">
        <f t="shared" si="191"/>
        <v>0.42611985589401236</v>
      </c>
      <c r="AL1311" s="14" t="s">
        <v>276</v>
      </c>
      <c r="AM1311" s="14" t="s">
        <v>276</v>
      </c>
      <c r="AN1311" s="14" t="s">
        <v>276</v>
      </c>
      <c r="AO1311" s="31">
        <f t="shared" si="192"/>
        <v>0.81349103868601824</v>
      </c>
      <c r="AP1311" s="14" t="s">
        <v>276</v>
      </c>
      <c r="AQ1311" s="14" t="s">
        <v>276</v>
      </c>
      <c r="AR1311" s="8" t="s">
        <v>268</v>
      </c>
      <c r="AS1311" s="14" t="s">
        <v>276</v>
      </c>
      <c r="AT1311" s="14">
        <f t="shared" si="193"/>
        <v>0.52381628761676025</v>
      </c>
      <c r="AU1311" s="14" t="s">
        <v>276</v>
      </c>
      <c r="AV1311" s="14" t="s">
        <v>276</v>
      </c>
      <c r="AW1311" s="8" t="s">
        <v>276</v>
      </c>
      <c r="AX1311" s="8" t="s">
        <v>282</v>
      </c>
      <c r="AY1311" s="8" t="s">
        <v>98</v>
      </c>
      <c r="AZ1311" s="8" t="s">
        <v>98</v>
      </c>
      <c r="BA1311" s="8" t="s">
        <v>98</v>
      </c>
      <c r="BB1311" s="8" t="s">
        <v>98</v>
      </c>
      <c r="BC1311" s="9" t="s">
        <v>5536</v>
      </c>
      <c r="BD1311" s="9"/>
      <c r="BE1311" s="33" t="s">
        <v>100</v>
      </c>
      <c r="BF1311" s="33" t="s">
        <v>98</v>
      </c>
    </row>
    <row r="1312" spans="1:58" s="7" customFormat="1" ht="130" x14ac:dyDescent="0.3">
      <c r="A1312" s="8">
        <v>1169</v>
      </c>
      <c r="B1312" s="8" t="s">
        <v>10742</v>
      </c>
      <c r="C1312" s="8" t="s">
        <v>11079</v>
      </c>
      <c r="D1312" s="9" t="s">
        <v>10829</v>
      </c>
      <c r="E1312" s="8" t="s">
        <v>36</v>
      </c>
      <c r="F1312" s="9" t="s">
        <v>134</v>
      </c>
      <c r="G1312" s="8" t="s">
        <v>225</v>
      </c>
      <c r="H1312" s="8" t="s">
        <v>125</v>
      </c>
      <c r="I1312" s="8" t="s">
        <v>114</v>
      </c>
      <c r="J1312" s="9" t="s">
        <v>24</v>
      </c>
      <c r="K1312" s="9" t="s">
        <v>10744</v>
      </c>
      <c r="L1312" s="9" t="s">
        <v>10760</v>
      </c>
      <c r="M1312" s="8" t="s">
        <v>14</v>
      </c>
      <c r="N1312" s="11" t="s">
        <v>98</v>
      </c>
      <c r="O1312" s="12" t="s">
        <v>207</v>
      </c>
      <c r="P1312" s="41" t="s">
        <v>98</v>
      </c>
      <c r="Q1312" s="9" t="s">
        <v>741</v>
      </c>
      <c r="R1312" s="9" t="s">
        <v>276</v>
      </c>
      <c r="S1312" s="9" t="s">
        <v>276</v>
      </c>
      <c r="T1312" s="51" t="s">
        <v>1191</v>
      </c>
      <c r="U1312" s="13">
        <v>77443</v>
      </c>
      <c r="V1312" s="38">
        <v>77444</v>
      </c>
      <c r="W1312" s="8" t="s">
        <v>276</v>
      </c>
      <c r="X1312" s="8" t="s">
        <v>276</v>
      </c>
      <c r="Y1312" s="90" t="s">
        <v>10826</v>
      </c>
      <c r="Z1312" s="9" t="s">
        <v>10827</v>
      </c>
      <c r="AA1312" s="90" t="s">
        <v>10820</v>
      </c>
      <c r="AB1312" s="9" t="s">
        <v>10821</v>
      </c>
      <c r="AC1312" s="9" t="s">
        <v>10830</v>
      </c>
      <c r="AD1312" s="9" t="s">
        <v>6506</v>
      </c>
      <c r="AE1312" s="8">
        <v>45</v>
      </c>
      <c r="AF1312" s="8">
        <v>80</v>
      </c>
      <c r="AG1312" s="13">
        <v>77443</v>
      </c>
      <c r="AH1312" s="38">
        <v>77444</v>
      </c>
      <c r="AI1312" s="38" t="s">
        <v>2047</v>
      </c>
      <c r="AJ1312" s="14" t="s">
        <v>276</v>
      </c>
      <c r="AK1312" s="31">
        <f t="shared" si="191"/>
        <v>0.58107253076456233</v>
      </c>
      <c r="AL1312" s="14" t="s">
        <v>276</v>
      </c>
      <c r="AM1312" s="14" t="s">
        <v>276</v>
      </c>
      <c r="AN1312" s="14" t="s">
        <v>276</v>
      </c>
      <c r="AO1312" s="31">
        <f t="shared" si="192"/>
        <v>1.033004493569547</v>
      </c>
      <c r="AP1312" s="14" t="s">
        <v>276</v>
      </c>
      <c r="AQ1312" s="14" t="s">
        <v>276</v>
      </c>
      <c r="AR1312" s="8" t="s">
        <v>268</v>
      </c>
      <c r="AS1312" s="14" t="s">
        <v>276</v>
      </c>
      <c r="AT1312" s="14">
        <f t="shared" si="193"/>
        <v>0.56250726340663459</v>
      </c>
      <c r="AU1312" s="14" t="s">
        <v>276</v>
      </c>
      <c r="AV1312" s="14" t="s">
        <v>276</v>
      </c>
      <c r="AW1312" s="8" t="s">
        <v>276</v>
      </c>
      <c r="AX1312" s="8" t="s">
        <v>282</v>
      </c>
      <c r="AY1312" s="8" t="s">
        <v>98</v>
      </c>
      <c r="AZ1312" s="8" t="s">
        <v>98</v>
      </c>
      <c r="BA1312" s="8" t="s">
        <v>98</v>
      </c>
      <c r="BB1312" s="8" t="s">
        <v>98</v>
      </c>
      <c r="BC1312" s="9" t="s">
        <v>5536</v>
      </c>
      <c r="BD1312" s="9"/>
      <c r="BE1312" s="33" t="s">
        <v>100</v>
      </c>
      <c r="BF1312" s="33" t="s">
        <v>98</v>
      </c>
    </row>
    <row r="1313" spans="1:58" s="7" customFormat="1" ht="130" x14ac:dyDescent="0.3">
      <c r="A1313" s="8">
        <v>1169</v>
      </c>
      <c r="B1313" s="8" t="s">
        <v>10742</v>
      </c>
      <c r="C1313" s="8" t="s">
        <v>11079</v>
      </c>
      <c r="D1313" s="9" t="s">
        <v>10831</v>
      </c>
      <c r="E1313" s="8" t="s">
        <v>36</v>
      </c>
      <c r="F1313" s="9" t="s">
        <v>134</v>
      </c>
      <c r="G1313" s="8" t="s">
        <v>225</v>
      </c>
      <c r="H1313" s="8" t="s">
        <v>125</v>
      </c>
      <c r="I1313" s="8" t="s">
        <v>114</v>
      </c>
      <c r="J1313" s="9" t="s">
        <v>24</v>
      </c>
      <c r="K1313" s="9" t="s">
        <v>10744</v>
      </c>
      <c r="L1313" s="9" t="s">
        <v>10760</v>
      </c>
      <c r="M1313" s="8" t="s">
        <v>14</v>
      </c>
      <c r="N1313" s="11" t="s">
        <v>98</v>
      </c>
      <c r="O1313" s="12" t="s">
        <v>207</v>
      </c>
      <c r="P1313" s="41" t="s">
        <v>98</v>
      </c>
      <c r="Q1313" s="9" t="s">
        <v>746</v>
      </c>
      <c r="R1313" s="9" t="s">
        <v>276</v>
      </c>
      <c r="S1313" s="9" t="s">
        <v>276</v>
      </c>
      <c r="T1313" s="51" t="s">
        <v>1191</v>
      </c>
      <c r="U1313" s="13">
        <v>77443</v>
      </c>
      <c r="V1313" s="38">
        <v>77444</v>
      </c>
      <c r="W1313" s="8" t="s">
        <v>276</v>
      </c>
      <c r="X1313" s="8" t="s">
        <v>276</v>
      </c>
      <c r="Y1313" s="90" t="s">
        <v>10826</v>
      </c>
      <c r="Z1313" s="9" t="s">
        <v>10827</v>
      </c>
      <c r="AA1313" s="90" t="s">
        <v>10724</v>
      </c>
      <c r="AB1313" s="9" t="s">
        <v>10832</v>
      </c>
      <c r="AC1313" s="9" t="s">
        <v>10833</v>
      </c>
      <c r="AD1313" s="9" t="s">
        <v>6506</v>
      </c>
      <c r="AE1313" s="8">
        <v>53</v>
      </c>
      <c r="AF1313" s="8">
        <v>100</v>
      </c>
      <c r="AG1313" s="13">
        <v>77443</v>
      </c>
      <c r="AH1313" s="38">
        <v>77444</v>
      </c>
      <c r="AI1313" s="38" t="s">
        <v>2047</v>
      </c>
      <c r="AJ1313" s="14" t="s">
        <v>276</v>
      </c>
      <c r="AK1313" s="31">
        <f t="shared" si="191"/>
        <v>0.68437431401159565</v>
      </c>
      <c r="AL1313" s="14" t="s">
        <v>276</v>
      </c>
      <c r="AM1313" s="14" t="s">
        <v>276</v>
      </c>
      <c r="AN1313" s="14" t="s">
        <v>276</v>
      </c>
      <c r="AO1313" s="31">
        <f t="shared" si="192"/>
        <v>1.2912556169619338</v>
      </c>
      <c r="AP1313" s="14" t="s">
        <v>276</v>
      </c>
      <c r="AQ1313" s="14" t="s">
        <v>276</v>
      </c>
      <c r="AR1313" s="8" t="s">
        <v>268</v>
      </c>
      <c r="AS1313" s="14" t="s">
        <v>276</v>
      </c>
      <c r="AT1313" s="14">
        <f t="shared" si="193"/>
        <v>0.53000684374314011</v>
      </c>
      <c r="AU1313" s="14" t="s">
        <v>276</v>
      </c>
      <c r="AV1313" s="14" t="s">
        <v>276</v>
      </c>
      <c r="AW1313" s="8" t="s">
        <v>276</v>
      </c>
      <c r="AX1313" s="8" t="s">
        <v>282</v>
      </c>
      <c r="AY1313" s="8" t="s">
        <v>98</v>
      </c>
      <c r="AZ1313" s="8" t="s">
        <v>98</v>
      </c>
      <c r="BA1313" s="8" t="s">
        <v>98</v>
      </c>
      <c r="BB1313" s="8" t="s">
        <v>98</v>
      </c>
      <c r="BC1313" s="9" t="s">
        <v>5536</v>
      </c>
      <c r="BD1313" s="9"/>
      <c r="BE1313" s="33" t="s">
        <v>100</v>
      </c>
      <c r="BF1313" s="33" t="s">
        <v>98</v>
      </c>
    </row>
    <row r="1314" spans="1:58" s="7" customFormat="1" ht="130" x14ac:dyDescent="0.3">
      <c r="A1314" s="8">
        <v>1169</v>
      </c>
      <c r="B1314" s="8" t="s">
        <v>10742</v>
      </c>
      <c r="C1314" s="8" t="s">
        <v>11079</v>
      </c>
      <c r="D1314" s="9" t="s">
        <v>10834</v>
      </c>
      <c r="E1314" s="8" t="s">
        <v>36</v>
      </c>
      <c r="F1314" s="9" t="s">
        <v>134</v>
      </c>
      <c r="G1314" s="8" t="s">
        <v>225</v>
      </c>
      <c r="H1314" s="8" t="s">
        <v>125</v>
      </c>
      <c r="I1314" s="8" t="s">
        <v>114</v>
      </c>
      <c r="J1314" s="9" t="s">
        <v>24</v>
      </c>
      <c r="K1314" s="9" t="s">
        <v>10744</v>
      </c>
      <c r="L1314" s="9" t="s">
        <v>10760</v>
      </c>
      <c r="M1314" s="8" t="s">
        <v>14</v>
      </c>
      <c r="N1314" s="11" t="s">
        <v>98</v>
      </c>
      <c r="O1314" s="12" t="s">
        <v>207</v>
      </c>
      <c r="P1314" s="41" t="s">
        <v>98</v>
      </c>
      <c r="Q1314" s="9" t="s">
        <v>752</v>
      </c>
      <c r="R1314" s="9" t="s">
        <v>276</v>
      </c>
      <c r="S1314" s="9" t="s">
        <v>276</v>
      </c>
      <c r="T1314" s="51" t="s">
        <v>1191</v>
      </c>
      <c r="U1314" s="13">
        <v>77443</v>
      </c>
      <c r="V1314" s="38">
        <v>77444</v>
      </c>
      <c r="W1314" s="8" t="s">
        <v>276</v>
      </c>
      <c r="X1314" s="8" t="s">
        <v>276</v>
      </c>
      <c r="Y1314" s="90" t="s">
        <v>10835</v>
      </c>
      <c r="Z1314" s="9" t="s">
        <v>10836</v>
      </c>
      <c r="AA1314" s="90" t="s">
        <v>10724</v>
      </c>
      <c r="AB1314" s="9" t="s">
        <v>10832</v>
      </c>
      <c r="AC1314" s="9" t="s">
        <v>10837</v>
      </c>
      <c r="AD1314" s="9" t="s">
        <v>6506</v>
      </c>
      <c r="AE1314" s="8">
        <v>64</v>
      </c>
      <c r="AF1314" s="8">
        <v>117</v>
      </c>
      <c r="AG1314" s="13">
        <v>77443</v>
      </c>
      <c r="AH1314" s="38">
        <v>77444</v>
      </c>
      <c r="AI1314" s="38" t="s">
        <v>2047</v>
      </c>
      <c r="AJ1314" s="14" t="s">
        <v>276</v>
      </c>
      <c r="AK1314" s="31">
        <f t="shared" si="191"/>
        <v>0.82641426597626644</v>
      </c>
      <c r="AL1314" s="14" t="s">
        <v>276</v>
      </c>
      <c r="AM1314" s="14" t="s">
        <v>276</v>
      </c>
      <c r="AN1314" s="14" t="s">
        <v>276</v>
      </c>
      <c r="AO1314" s="31">
        <f t="shared" si="192"/>
        <v>1.5107690718454625</v>
      </c>
      <c r="AP1314" s="14" t="s">
        <v>276</v>
      </c>
      <c r="AQ1314" s="14" t="s">
        <v>276</v>
      </c>
      <c r="AR1314" s="8" t="s">
        <v>268</v>
      </c>
      <c r="AS1314" s="14" t="s">
        <v>276</v>
      </c>
      <c r="AT1314" s="14">
        <f t="shared" si="193"/>
        <v>0.54701561037834168</v>
      </c>
      <c r="AU1314" s="14" t="s">
        <v>276</v>
      </c>
      <c r="AV1314" s="14" t="s">
        <v>276</v>
      </c>
      <c r="AW1314" s="8" t="s">
        <v>276</v>
      </c>
      <c r="AX1314" s="8" t="s">
        <v>282</v>
      </c>
      <c r="AY1314" s="8" t="s">
        <v>98</v>
      </c>
      <c r="AZ1314" s="8" t="s">
        <v>98</v>
      </c>
      <c r="BA1314" s="8" t="s">
        <v>98</v>
      </c>
      <c r="BB1314" s="8" t="s">
        <v>98</v>
      </c>
      <c r="BC1314" s="9" t="s">
        <v>5536</v>
      </c>
      <c r="BD1314" s="9"/>
      <c r="BE1314" s="33" t="s">
        <v>100</v>
      </c>
      <c r="BF1314" s="33" t="s">
        <v>98</v>
      </c>
    </row>
    <row r="1315" spans="1:58" s="7" customFormat="1" ht="130" x14ac:dyDescent="0.3">
      <c r="A1315" s="8">
        <v>1169</v>
      </c>
      <c r="B1315" s="8" t="s">
        <v>10742</v>
      </c>
      <c r="C1315" s="8" t="s">
        <v>11079</v>
      </c>
      <c r="D1315" s="9" t="s">
        <v>10838</v>
      </c>
      <c r="E1315" s="8" t="s">
        <v>36</v>
      </c>
      <c r="F1315" s="9" t="s">
        <v>134</v>
      </c>
      <c r="G1315" s="8" t="s">
        <v>225</v>
      </c>
      <c r="H1315" s="8" t="s">
        <v>125</v>
      </c>
      <c r="I1315" s="8" t="s">
        <v>114</v>
      </c>
      <c r="J1315" s="9" t="s">
        <v>24</v>
      </c>
      <c r="K1315" s="9" t="s">
        <v>10744</v>
      </c>
      <c r="L1315" s="9" t="s">
        <v>10760</v>
      </c>
      <c r="M1315" s="8" t="s">
        <v>14</v>
      </c>
      <c r="N1315" s="11" t="s">
        <v>98</v>
      </c>
      <c r="O1315" s="12" t="s">
        <v>207</v>
      </c>
      <c r="P1315" s="41" t="s">
        <v>98</v>
      </c>
      <c r="Q1315" s="9" t="s">
        <v>766</v>
      </c>
      <c r="R1315" s="9" t="s">
        <v>276</v>
      </c>
      <c r="S1315" s="9" t="s">
        <v>276</v>
      </c>
      <c r="T1315" s="51" t="s">
        <v>1191</v>
      </c>
      <c r="U1315" s="13">
        <v>77443</v>
      </c>
      <c r="V1315" s="38">
        <v>77444</v>
      </c>
      <c r="W1315" s="8" t="s">
        <v>276</v>
      </c>
      <c r="X1315" s="8" t="s">
        <v>276</v>
      </c>
      <c r="Y1315" s="90" t="s">
        <v>10839</v>
      </c>
      <c r="Z1315" s="9" t="s">
        <v>10840</v>
      </c>
      <c r="AA1315" s="90" t="s">
        <v>10724</v>
      </c>
      <c r="AB1315" s="9" t="s">
        <v>10832</v>
      </c>
      <c r="AC1315" s="9" t="s">
        <v>10841</v>
      </c>
      <c r="AD1315" s="9" t="s">
        <v>6506</v>
      </c>
      <c r="AE1315" s="8">
        <v>74</v>
      </c>
      <c r="AF1315" s="8">
        <v>134</v>
      </c>
      <c r="AG1315" s="13">
        <v>77443</v>
      </c>
      <c r="AH1315" s="38">
        <v>77444</v>
      </c>
      <c r="AI1315" s="38" t="s">
        <v>2047</v>
      </c>
      <c r="AJ1315" s="14" t="s">
        <v>276</v>
      </c>
      <c r="AK1315" s="31">
        <f t="shared" si="191"/>
        <v>0.95554149503505803</v>
      </c>
      <c r="AL1315" s="14" t="s">
        <v>276</v>
      </c>
      <c r="AM1315" s="14" t="s">
        <v>276</v>
      </c>
      <c r="AN1315" s="14" t="s">
        <v>276</v>
      </c>
      <c r="AO1315" s="31">
        <f t="shared" si="192"/>
        <v>1.7302825267289912</v>
      </c>
      <c r="AP1315" s="14" t="s">
        <v>276</v>
      </c>
      <c r="AQ1315" s="14" t="s">
        <v>276</v>
      </c>
      <c r="AR1315" s="8" t="s">
        <v>268</v>
      </c>
      <c r="AS1315" s="14" t="s">
        <v>276</v>
      </c>
      <c r="AT1315" s="14">
        <f t="shared" si="193"/>
        <v>0.55224593687682866</v>
      </c>
      <c r="AU1315" s="14" t="s">
        <v>276</v>
      </c>
      <c r="AV1315" s="14" t="s">
        <v>276</v>
      </c>
      <c r="AW1315" s="8" t="s">
        <v>276</v>
      </c>
      <c r="AX1315" s="8" t="s">
        <v>282</v>
      </c>
      <c r="AY1315" s="8" t="s">
        <v>98</v>
      </c>
      <c r="AZ1315" s="8" t="s">
        <v>98</v>
      </c>
      <c r="BA1315" s="8" t="s">
        <v>98</v>
      </c>
      <c r="BB1315" s="8" t="s">
        <v>98</v>
      </c>
      <c r="BC1315" s="9" t="s">
        <v>5536</v>
      </c>
      <c r="BD1315" s="9"/>
      <c r="BE1315" s="33" t="s">
        <v>100</v>
      </c>
      <c r="BF1315" s="33" t="s">
        <v>98</v>
      </c>
    </row>
    <row r="1316" spans="1:58" s="7" customFormat="1" ht="130" x14ac:dyDescent="0.3">
      <c r="A1316" s="8">
        <v>1169</v>
      </c>
      <c r="B1316" s="8" t="s">
        <v>10742</v>
      </c>
      <c r="C1316" s="8" t="s">
        <v>11079</v>
      </c>
      <c r="D1316" s="9" t="s">
        <v>10842</v>
      </c>
      <c r="E1316" s="8" t="s">
        <v>36</v>
      </c>
      <c r="F1316" s="9" t="s">
        <v>134</v>
      </c>
      <c r="G1316" s="8" t="s">
        <v>225</v>
      </c>
      <c r="H1316" s="8" t="s">
        <v>125</v>
      </c>
      <c r="I1316" s="8" t="s">
        <v>114</v>
      </c>
      <c r="J1316" s="9" t="s">
        <v>24</v>
      </c>
      <c r="K1316" s="9" t="s">
        <v>10744</v>
      </c>
      <c r="L1316" s="9" t="s">
        <v>10760</v>
      </c>
      <c r="M1316" s="8" t="s">
        <v>14</v>
      </c>
      <c r="N1316" s="11" t="s">
        <v>98</v>
      </c>
      <c r="O1316" s="12" t="s">
        <v>207</v>
      </c>
      <c r="P1316" s="41" t="s">
        <v>98</v>
      </c>
      <c r="Q1316" s="9" t="s">
        <v>770</v>
      </c>
      <c r="R1316" s="9" t="s">
        <v>276</v>
      </c>
      <c r="S1316" s="9" t="s">
        <v>276</v>
      </c>
      <c r="T1316" s="51" t="s">
        <v>1191</v>
      </c>
      <c r="U1316" s="13">
        <v>77443</v>
      </c>
      <c r="V1316" s="38">
        <v>77444</v>
      </c>
      <c r="W1316" s="8" t="s">
        <v>276</v>
      </c>
      <c r="X1316" s="8" t="s">
        <v>276</v>
      </c>
      <c r="Y1316" s="90" t="s">
        <v>10839</v>
      </c>
      <c r="Z1316" s="9" t="s">
        <v>10840</v>
      </c>
      <c r="AA1316" s="90" t="s">
        <v>10843</v>
      </c>
      <c r="AB1316" s="9" t="s">
        <v>10844</v>
      </c>
      <c r="AC1316" s="9" t="s">
        <v>10845</v>
      </c>
      <c r="AD1316" s="9" t="s">
        <v>6506</v>
      </c>
      <c r="AE1316" s="8">
        <v>83</v>
      </c>
      <c r="AF1316" s="8">
        <v>158</v>
      </c>
      <c r="AG1316" s="13">
        <v>77443</v>
      </c>
      <c r="AH1316" s="38">
        <v>77444</v>
      </c>
      <c r="AI1316" s="38" t="s">
        <v>2047</v>
      </c>
      <c r="AJ1316" s="14" t="s">
        <v>276</v>
      </c>
      <c r="AK1316" s="31">
        <f t="shared" si="191"/>
        <v>1.0717560011879705</v>
      </c>
      <c r="AL1316" s="14" t="s">
        <v>276</v>
      </c>
      <c r="AM1316" s="14" t="s">
        <v>276</v>
      </c>
      <c r="AN1316" s="14" t="s">
        <v>276</v>
      </c>
      <c r="AO1316" s="31">
        <f t="shared" si="192"/>
        <v>2.0401838747998555</v>
      </c>
      <c r="AP1316" s="14" t="s">
        <v>276</v>
      </c>
      <c r="AQ1316" s="14" t="s">
        <v>276</v>
      </c>
      <c r="AR1316" s="8" t="s">
        <v>268</v>
      </c>
      <c r="AS1316" s="14" t="s">
        <v>276</v>
      </c>
      <c r="AT1316" s="14">
        <f t="shared" si="193"/>
        <v>0.52532323896203281</v>
      </c>
      <c r="AU1316" s="14" t="s">
        <v>276</v>
      </c>
      <c r="AV1316" s="14" t="s">
        <v>276</v>
      </c>
      <c r="AW1316" s="8" t="s">
        <v>276</v>
      </c>
      <c r="AX1316" s="8" t="s">
        <v>282</v>
      </c>
      <c r="AY1316" s="8" t="s">
        <v>98</v>
      </c>
      <c r="AZ1316" s="8" t="s">
        <v>98</v>
      </c>
      <c r="BA1316" s="8" t="s">
        <v>98</v>
      </c>
      <c r="BB1316" s="8" t="s">
        <v>98</v>
      </c>
      <c r="BC1316" s="9" t="s">
        <v>5536</v>
      </c>
      <c r="BD1316" s="9"/>
      <c r="BE1316" s="33" t="s">
        <v>100</v>
      </c>
      <c r="BF1316" s="33" t="s">
        <v>98</v>
      </c>
    </row>
    <row r="1317" spans="1:58" s="7" customFormat="1" ht="130" x14ac:dyDescent="0.3">
      <c r="A1317" s="8">
        <v>1169</v>
      </c>
      <c r="B1317" s="8" t="s">
        <v>10742</v>
      </c>
      <c r="C1317" s="8" t="s">
        <v>11079</v>
      </c>
      <c r="D1317" s="9" t="s">
        <v>10846</v>
      </c>
      <c r="E1317" s="8" t="s">
        <v>36</v>
      </c>
      <c r="F1317" s="9" t="s">
        <v>134</v>
      </c>
      <c r="G1317" s="8" t="s">
        <v>225</v>
      </c>
      <c r="H1317" s="8" t="s">
        <v>125</v>
      </c>
      <c r="I1317" s="8" t="s">
        <v>114</v>
      </c>
      <c r="J1317" s="9" t="s">
        <v>24</v>
      </c>
      <c r="K1317" s="9" t="s">
        <v>10744</v>
      </c>
      <c r="L1317" s="9" t="s">
        <v>10760</v>
      </c>
      <c r="M1317" s="8" t="s">
        <v>14</v>
      </c>
      <c r="N1317" s="11" t="s">
        <v>98</v>
      </c>
      <c r="O1317" s="12" t="s">
        <v>207</v>
      </c>
      <c r="P1317" s="41" t="s">
        <v>98</v>
      </c>
      <c r="Q1317" s="9" t="s">
        <v>773</v>
      </c>
      <c r="R1317" s="9" t="s">
        <v>276</v>
      </c>
      <c r="S1317" s="9" t="s">
        <v>276</v>
      </c>
      <c r="T1317" s="51" t="s">
        <v>1191</v>
      </c>
      <c r="U1317" s="13">
        <v>77443</v>
      </c>
      <c r="V1317" s="38">
        <v>77444</v>
      </c>
      <c r="W1317" s="8" t="s">
        <v>276</v>
      </c>
      <c r="X1317" s="8" t="s">
        <v>276</v>
      </c>
      <c r="Y1317" s="90" t="s">
        <v>10847</v>
      </c>
      <c r="Z1317" s="9" t="s">
        <v>10848</v>
      </c>
      <c r="AA1317" s="90" t="s">
        <v>10826</v>
      </c>
      <c r="AB1317" s="9" t="s">
        <v>10827</v>
      </c>
      <c r="AC1317" s="9" t="s">
        <v>10849</v>
      </c>
      <c r="AD1317" s="9" t="s">
        <v>6506</v>
      </c>
      <c r="AE1317" s="8">
        <v>90</v>
      </c>
      <c r="AF1317" s="8">
        <v>172</v>
      </c>
      <c r="AG1317" s="13">
        <v>77443</v>
      </c>
      <c r="AH1317" s="38">
        <v>77444</v>
      </c>
      <c r="AI1317" s="38" t="s">
        <v>2047</v>
      </c>
      <c r="AJ1317" s="14" t="s">
        <v>276</v>
      </c>
      <c r="AK1317" s="31">
        <f t="shared" si="191"/>
        <v>1.1621450615291247</v>
      </c>
      <c r="AL1317" s="14" t="s">
        <v>276</v>
      </c>
      <c r="AM1317" s="14" t="s">
        <v>276</v>
      </c>
      <c r="AN1317" s="14" t="s">
        <v>276</v>
      </c>
      <c r="AO1317" s="31">
        <f t="shared" si="192"/>
        <v>2.2209596611745259</v>
      </c>
      <c r="AP1317" s="14" t="s">
        <v>276</v>
      </c>
      <c r="AQ1317" s="14" t="s">
        <v>276</v>
      </c>
      <c r="AR1317" s="8" t="s">
        <v>268</v>
      </c>
      <c r="AS1317" s="14" t="s">
        <v>276</v>
      </c>
      <c r="AT1317" s="14">
        <f t="shared" si="193"/>
        <v>0.52326257061082293</v>
      </c>
      <c r="AU1317" s="14" t="s">
        <v>276</v>
      </c>
      <c r="AV1317" s="14" t="s">
        <v>276</v>
      </c>
      <c r="AW1317" s="8" t="s">
        <v>276</v>
      </c>
      <c r="AX1317" s="8" t="s">
        <v>282</v>
      </c>
      <c r="AY1317" s="8" t="s">
        <v>98</v>
      </c>
      <c r="AZ1317" s="8" t="s">
        <v>98</v>
      </c>
      <c r="BA1317" s="8" t="s">
        <v>98</v>
      </c>
      <c r="BB1317" s="8" t="s">
        <v>98</v>
      </c>
      <c r="BC1317" s="9" t="s">
        <v>5536</v>
      </c>
      <c r="BD1317" s="9"/>
      <c r="BE1317" s="33" t="s">
        <v>100</v>
      </c>
      <c r="BF1317" s="33" t="s">
        <v>98</v>
      </c>
    </row>
    <row r="1318" spans="1:58" s="7" customFormat="1" ht="130" x14ac:dyDescent="0.3">
      <c r="A1318" s="8">
        <v>1169</v>
      </c>
      <c r="B1318" s="8" t="s">
        <v>10742</v>
      </c>
      <c r="C1318" s="8" t="s">
        <v>11079</v>
      </c>
      <c r="D1318" s="9" t="s">
        <v>10850</v>
      </c>
      <c r="E1318" s="8" t="s">
        <v>36</v>
      </c>
      <c r="F1318" s="9" t="s">
        <v>134</v>
      </c>
      <c r="G1318" s="8" t="s">
        <v>225</v>
      </c>
      <c r="H1318" s="8" t="s">
        <v>125</v>
      </c>
      <c r="I1318" s="8" t="s">
        <v>114</v>
      </c>
      <c r="J1318" s="9" t="s">
        <v>24</v>
      </c>
      <c r="K1318" s="9" t="s">
        <v>10744</v>
      </c>
      <c r="L1318" s="9" t="s">
        <v>10760</v>
      </c>
      <c r="M1318" s="8" t="s">
        <v>14</v>
      </c>
      <c r="N1318" s="11" t="s">
        <v>98</v>
      </c>
      <c r="O1318" s="12" t="s">
        <v>207</v>
      </c>
      <c r="P1318" s="41" t="s">
        <v>98</v>
      </c>
      <c r="Q1318" s="9" t="s">
        <v>776</v>
      </c>
      <c r="R1318" s="9" t="s">
        <v>276</v>
      </c>
      <c r="S1318" s="9" t="s">
        <v>276</v>
      </c>
      <c r="T1318" s="51" t="s">
        <v>1191</v>
      </c>
      <c r="U1318" s="13">
        <v>77443</v>
      </c>
      <c r="V1318" s="38">
        <v>77444</v>
      </c>
      <c r="W1318" s="8" t="s">
        <v>276</v>
      </c>
      <c r="X1318" s="8" t="s">
        <v>276</v>
      </c>
      <c r="Y1318" s="90" t="s">
        <v>10718</v>
      </c>
      <c r="Z1318" s="9" t="s">
        <v>10851</v>
      </c>
      <c r="AA1318" s="90" t="s">
        <v>10839</v>
      </c>
      <c r="AB1318" s="9" t="s">
        <v>10840</v>
      </c>
      <c r="AC1318" s="9" t="s">
        <v>10852</v>
      </c>
      <c r="AD1318" s="9" t="s">
        <v>6506</v>
      </c>
      <c r="AE1318" s="8">
        <v>94</v>
      </c>
      <c r="AF1318" s="8">
        <v>192</v>
      </c>
      <c r="AG1318" s="13">
        <v>77443</v>
      </c>
      <c r="AH1318" s="38">
        <v>77444</v>
      </c>
      <c r="AI1318" s="38" t="s">
        <v>2047</v>
      </c>
      <c r="AJ1318" s="14" t="s">
        <v>276</v>
      </c>
      <c r="AK1318" s="31">
        <f t="shared" si="191"/>
        <v>1.2137959531526412</v>
      </c>
      <c r="AL1318" s="14" t="s">
        <v>276</v>
      </c>
      <c r="AM1318" s="14" t="s">
        <v>276</v>
      </c>
      <c r="AN1318" s="14" t="s">
        <v>276</v>
      </c>
      <c r="AO1318" s="31">
        <f t="shared" si="192"/>
        <v>2.4792107845669129</v>
      </c>
      <c r="AP1318" s="14" t="s">
        <v>276</v>
      </c>
      <c r="AQ1318" s="14" t="s">
        <v>276</v>
      </c>
      <c r="AR1318" s="8" t="s">
        <v>268</v>
      </c>
      <c r="AS1318" s="14" t="s">
        <v>276</v>
      </c>
      <c r="AT1318" s="14">
        <f t="shared" si="193"/>
        <v>0.48958965518725595</v>
      </c>
      <c r="AU1318" s="14" t="s">
        <v>276</v>
      </c>
      <c r="AV1318" s="14" t="s">
        <v>276</v>
      </c>
      <c r="AW1318" s="8" t="s">
        <v>276</v>
      </c>
      <c r="AX1318" s="8" t="s">
        <v>282</v>
      </c>
      <c r="AY1318" s="8" t="s">
        <v>98</v>
      </c>
      <c r="AZ1318" s="8" t="s">
        <v>98</v>
      </c>
      <c r="BA1318" s="8" t="s">
        <v>98</v>
      </c>
      <c r="BB1318" s="8" t="s">
        <v>98</v>
      </c>
      <c r="BC1318" s="9" t="s">
        <v>5536</v>
      </c>
      <c r="BD1318" s="9"/>
      <c r="BE1318" s="33" t="s">
        <v>100</v>
      </c>
      <c r="BF1318" s="33" t="s">
        <v>98</v>
      </c>
    </row>
    <row r="1319" spans="1:58" s="7" customFormat="1" ht="130" x14ac:dyDescent="0.3">
      <c r="A1319" s="8">
        <v>1169</v>
      </c>
      <c r="B1319" s="8" t="s">
        <v>10742</v>
      </c>
      <c r="C1319" s="8" t="s">
        <v>11079</v>
      </c>
      <c r="D1319" s="9" t="s">
        <v>10853</v>
      </c>
      <c r="E1319" s="8" t="s">
        <v>36</v>
      </c>
      <c r="F1319" s="9" t="s">
        <v>134</v>
      </c>
      <c r="G1319" s="8" t="s">
        <v>225</v>
      </c>
      <c r="H1319" s="8" t="s">
        <v>125</v>
      </c>
      <c r="I1319" s="8" t="s">
        <v>114</v>
      </c>
      <c r="J1319" s="9" t="s">
        <v>24</v>
      </c>
      <c r="K1319" s="9" t="s">
        <v>10744</v>
      </c>
      <c r="L1319" s="9" t="s">
        <v>10760</v>
      </c>
      <c r="M1319" s="8" t="s">
        <v>14</v>
      </c>
      <c r="N1319" s="11" t="s">
        <v>98</v>
      </c>
      <c r="O1319" s="12" t="s">
        <v>207</v>
      </c>
      <c r="P1319" s="41" t="s">
        <v>98</v>
      </c>
      <c r="Q1319" s="9" t="s">
        <v>779</v>
      </c>
      <c r="R1319" s="9" t="s">
        <v>276</v>
      </c>
      <c r="S1319" s="9" t="s">
        <v>276</v>
      </c>
      <c r="T1319" s="51" t="s">
        <v>1191</v>
      </c>
      <c r="U1319" s="13">
        <v>77443</v>
      </c>
      <c r="V1319" s="38">
        <v>77444</v>
      </c>
      <c r="W1319" s="8" t="s">
        <v>276</v>
      </c>
      <c r="X1319" s="8" t="s">
        <v>276</v>
      </c>
      <c r="Y1319" s="90" t="s">
        <v>10719</v>
      </c>
      <c r="Z1319" s="9" t="s">
        <v>10854</v>
      </c>
      <c r="AA1319" s="90" t="s">
        <v>10855</v>
      </c>
      <c r="AB1319" s="9" t="s">
        <v>10856</v>
      </c>
      <c r="AC1319" s="9" t="s">
        <v>10857</v>
      </c>
      <c r="AD1319" s="9" t="s">
        <v>6506</v>
      </c>
      <c r="AE1319" s="8">
        <v>102</v>
      </c>
      <c r="AF1319" s="8">
        <v>200</v>
      </c>
      <c r="AG1319" s="13">
        <v>77443</v>
      </c>
      <c r="AH1319" s="38">
        <v>77444</v>
      </c>
      <c r="AI1319" s="38" t="s">
        <v>2047</v>
      </c>
      <c r="AJ1319" s="14" t="s">
        <v>276</v>
      </c>
      <c r="AK1319" s="31">
        <f t="shared" si="191"/>
        <v>1.3170977363996745</v>
      </c>
      <c r="AL1319" s="14" t="s">
        <v>276</v>
      </c>
      <c r="AM1319" s="14" t="s">
        <v>276</v>
      </c>
      <c r="AN1319" s="14" t="s">
        <v>276</v>
      </c>
      <c r="AO1319" s="31">
        <f t="shared" si="192"/>
        <v>2.5825112339238676</v>
      </c>
      <c r="AP1319" s="14" t="s">
        <v>276</v>
      </c>
      <c r="AQ1319" s="14" t="s">
        <v>276</v>
      </c>
      <c r="AR1319" s="8" t="s">
        <v>268</v>
      </c>
      <c r="AS1319" s="14" t="s">
        <v>276</v>
      </c>
      <c r="AT1319" s="14">
        <f t="shared" si="193"/>
        <v>0.51000658548868194</v>
      </c>
      <c r="AU1319" s="14" t="s">
        <v>276</v>
      </c>
      <c r="AV1319" s="14" t="s">
        <v>276</v>
      </c>
      <c r="AW1319" s="8" t="s">
        <v>276</v>
      </c>
      <c r="AX1319" s="8" t="s">
        <v>282</v>
      </c>
      <c r="AY1319" s="8" t="s">
        <v>98</v>
      </c>
      <c r="AZ1319" s="8" t="s">
        <v>98</v>
      </c>
      <c r="BA1319" s="8" t="s">
        <v>98</v>
      </c>
      <c r="BB1319" s="8" t="s">
        <v>98</v>
      </c>
      <c r="BC1319" s="9" t="s">
        <v>5536</v>
      </c>
      <c r="BD1319" s="9"/>
      <c r="BE1319" s="33" t="s">
        <v>100</v>
      </c>
      <c r="BF1319" s="33" t="s">
        <v>98</v>
      </c>
    </row>
    <row r="1320" spans="1:58" s="7" customFormat="1" ht="130" x14ac:dyDescent="0.3">
      <c r="A1320" s="8">
        <v>1169</v>
      </c>
      <c r="B1320" s="8" t="s">
        <v>10742</v>
      </c>
      <c r="C1320" s="8" t="s">
        <v>11079</v>
      </c>
      <c r="D1320" s="9" t="s">
        <v>10858</v>
      </c>
      <c r="E1320" s="8" t="s">
        <v>36</v>
      </c>
      <c r="F1320" s="9" t="s">
        <v>134</v>
      </c>
      <c r="G1320" s="8" t="s">
        <v>225</v>
      </c>
      <c r="H1320" s="8" t="s">
        <v>125</v>
      </c>
      <c r="I1320" s="8" t="s">
        <v>114</v>
      </c>
      <c r="J1320" s="9" t="s">
        <v>24</v>
      </c>
      <c r="K1320" s="9" t="s">
        <v>10744</v>
      </c>
      <c r="L1320" s="9" t="s">
        <v>10760</v>
      </c>
      <c r="M1320" s="8" t="s">
        <v>14</v>
      </c>
      <c r="N1320" s="11" t="s">
        <v>98</v>
      </c>
      <c r="O1320" s="12" t="s">
        <v>207</v>
      </c>
      <c r="P1320" s="41" t="s">
        <v>98</v>
      </c>
      <c r="Q1320" s="9" t="s">
        <v>782</v>
      </c>
      <c r="R1320" s="9" t="s">
        <v>276</v>
      </c>
      <c r="S1320" s="9" t="s">
        <v>276</v>
      </c>
      <c r="T1320" s="51" t="s">
        <v>1191</v>
      </c>
      <c r="U1320" s="13">
        <v>77443</v>
      </c>
      <c r="V1320" s="38">
        <v>77444</v>
      </c>
      <c r="W1320" s="8" t="s">
        <v>276</v>
      </c>
      <c r="X1320" s="8" t="s">
        <v>276</v>
      </c>
      <c r="Y1320" s="90" t="s">
        <v>10859</v>
      </c>
      <c r="Z1320" s="9" t="s">
        <v>10860</v>
      </c>
      <c r="AA1320" s="90" t="s">
        <v>10861</v>
      </c>
      <c r="AB1320" s="9" t="s">
        <v>10862</v>
      </c>
      <c r="AC1320" s="9" t="s">
        <v>10863</v>
      </c>
      <c r="AD1320" s="9" t="s">
        <v>6506</v>
      </c>
      <c r="AE1320" s="8">
        <v>108</v>
      </c>
      <c r="AF1320" s="8">
        <v>213</v>
      </c>
      <c r="AG1320" s="13">
        <v>77443</v>
      </c>
      <c r="AH1320" s="38">
        <v>77444</v>
      </c>
      <c r="AI1320" s="38" t="s">
        <v>2047</v>
      </c>
      <c r="AJ1320" s="14" t="s">
        <v>276</v>
      </c>
      <c r="AK1320" s="31">
        <f t="shared" si="191"/>
        <v>1.3945740738349495</v>
      </c>
      <c r="AL1320" s="14" t="s">
        <v>276</v>
      </c>
      <c r="AM1320" s="14" t="s">
        <v>276</v>
      </c>
      <c r="AN1320" s="14" t="s">
        <v>276</v>
      </c>
      <c r="AO1320" s="31">
        <f t="shared" si="192"/>
        <v>2.7503744641289192</v>
      </c>
      <c r="AP1320" s="14" t="s">
        <v>276</v>
      </c>
      <c r="AQ1320" s="14" t="s">
        <v>276</v>
      </c>
      <c r="AR1320" s="8" t="s">
        <v>268</v>
      </c>
      <c r="AS1320" s="14" t="s">
        <v>276</v>
      </c>
      <c r="AT1320" s="14">
        <f t="shared" si="193"/>
        <v>0.50704880081724801</v>
      </c>
      <c r="AU1320" s="14" t="s">
        <v>276</v>
      </c>
      <c r="AV1320" s="14" t="s">
        <v>276</v>
      </c>
      <c r="AW1320" s="8" t="s">
        <v>276</v>
      </c>
      <c r="AX1320" s="8" t="s">
        <v>282</v>
      </c>
      <c r="AY1320" s="8" t="s">
        <v>98</v>
      </c>
      <c r="AZ1320" s="8" t="s">
        <v>98</v>
      </c>
      <c r="BA1320" s="8" t="s">
        <v>98</v>
      </c>
      <c r="BB1320" s="8" t="s">
        <v>98</v>
      </c>
      <c r="BC1320" s="9" t="s">
        <v>5536</v>
      </c>
      <c r="BD1320" s="9"/>
      <c r="BE1320" s="33" t="s">
        <v>100</v>
      </c>
      <c r="BF1320" s="33" t="s">
        <v>98</v>
      </c>
    </row>
    <row r="1321" spans="1:58" s="7" customFormat="1" ht="130" x14ac:dyDescent="0.3">
      <c r="A1321" s="8">
        <v>1169</v>
      </c>
      <c r="B1321" s="8" t="s">
        <v>10742</v>
      </c>
      <c r="C1321" s="8" t="s">
        <v>11079</v>
      </c>
      <c r="D1321" s="9" t="s">
        <v>10864</v>
      </c>
      <c r="E1321" s="8" t="s">
        <v>36</v>
      </c>
      <c r="F1321" s="9" t="s">
        <v>134</v>
      </c>
      <c r="G1321" s="8" t="s">
        <v>225</v>
      </c>
      <c r="H1321" s="8" t="s">
        <v>125</v>
      </c>
      <c r="I1321" s="8" t="s">
        <v>114</v>
      </c>
      <c r="J1321" s="9" t="s">
        <v>24</v>
      </c>
      <c r="K1321" s="9" t="s">
        <v>10744</v>
      </c>
      <c r="L1321" s="9" t="s">
        <v>10760</v>
      </c>
      <c r="M1321" s="8" t="s">
        <v>14</v>
      </c>
      <c r="N1321" s="11" t="s">
        <v>98</v>
      </c>
      <c r="O1321" s="12" t="s">
        <v>207</v>
      </c>
      <c r="P1321" s="41" t="s">
        <v>98</v>
      </c>
      <c r="Q1321" s="9" t="s">
        <v>1252</v>
      </c>
      <c r="R1321" s="9" t="s">
        <v>276</v>
      </c>
      <c r="S1321" s="9" t="s">
        <v>276</v>
      </c>
      <c r="T1321" s="51" t="s">
        <v>1191</v>
      </c>
      <c r="U1321" s="13">
        <v>77443</v>
      </c>
      <c r="V1321" s="38">
        <v>77444</v>
      </c>
      <c r="W1321" s="8" t="s">
        <v>276</v>
      </c>
      <c r="X1321" s="8" t="s">
        <v>276</v>
      </c>
      <c r="Y1321" s="90" t="s">
        <v>10865</v>
      </c>
      <c r="Z1321" s="9" t="s">
        <v>10866</v>
      </c>
      <c r="AA1321" s="90" t="s">
        <v>10719</v>
      </c>
      <c r="AB1321" s="9" t="s">
        <v>10854</v>
      </c>
      <c r="AC1321" s="9" t="s">
        <v>10867</v>
      </c>
      <c r="AD1321" s="9" t="s">
        <v>6506</v>
      </c>
      <c r="AE1321" s="8">
        <v>113</v>
      </c>
      <c r="AF1321" s="8">
        <v>226</v>
      </c>
      <c r="AG1321" s="13">
        <v>77443</v>
      </c>
      <c r="AH1321" s="38">
        <v>77444</v>
      </c>
      <c r="AI1321" s="38" t="s">
        <v>2047</v>
      </c>
      <c r="AJ1321" s="14" t="s">
        <v>276</v>
      </c>
      <c r="AK1321" s="31">
        <f t="shared" si="191"/>
        <v>1.4591376883643454</v>
      </c>
      <c r="AL1321" s="14" t="s">
        <v>276</v>
      </c>
      <c r="AM1321" s="14" t="s">
        <v>276</v>
      </c>
      <c r="AN1321" s="14" t="s">
        <v>276</v>
      </c>
      <c r="AO1321" s="31">
        <f t="shared" si="192"/>
        <v>2.9182376943339703</v>
      </c>
      <c r="AP1321" s="14" t="s">
        <v>276</v>
      </c>
      <c r="AQ1321" s="14" t="s">
        <v>276</v>
      </c>
      <c r="AR1321" s="8" t="s">
        <v>268</v>
      </c>
      <c r="AS1321" s="14" t="s">
        <v>276</v>
      </c>
      <c r="AT1321" s="14">
        <f t="shared" si="193"/>
        <v>0.50000645636145291</v>
      </c>
      <c r="AU1321" s="14" t="s">
        <v>276</v>
      </c>
      <c r="AV1321" s="14" t="s">
        <v>276</v>
      </c>
      <c r="AW1321" s="8" t="s">
        <v>276</v>
      </c>
      <c r="AX1321" s="8" t="s">
        <v>282</v>
      </c>
      <c r="AY1321" s="8" t="s">
        <v>98</v>
      </c>
      <c r="AZ1321" s="8" t="s">
        <v>98</v>
      </c>
      <c r="BA1321" s="8" t="s">
        <v>98</v>
      </c>
      <c r="BB1321" s="8" t="s">
        <v>98</v>
      </c>
      <c r="BC1321" s="9" t="s">
        <v>5536</v>
      </c>
      <c r="BD1321" s="9"/>
      <c r="BE1321" s="33" t="s">
        <v>100</v>
      </c>
      <c r="BF1321" s="33" t="s">
        <v>98</v>
      </c>
    </row>
    <row r="1322" spans="1:58" s="7" customFormat="1" ht="130" x14ac:dyDescent="0.3">
      <c r="A1322" s="8">
        <v>1169</v>
      </c>
      <c r="B1322" s="8" t="s">
        <v>10742</v>
      </c>
      <c r="C1322" s="8" t="s">
        <v>11079</v>
      </c>
      <c r="D1322" s="9" t="s">
        <v>10868</v>
      </c>
      <c r="E1322" s="8" t="s">
        <v>36</v>
      </c>
      <c r="F1322" s="9" t="s">
        <v>134</v>
      </c>
      <c r="G1322" s="8" t="s">
        <v>225</v>
      </c>
      <c r="H1322" s="8" t="s">
        <v>125</v>
      </c>
      <c r="I1322" s="8" t="s">
        <v>114</v>
      </c>
      <c r="J1322" s="9" t="s">
        <v>24</v>
      </c>
      <c r="K1322" s="9" t="s">
        <v>10744</v>
      </c>
      <c r="L1322" s="9" t="s">
        <v>10760</v>
      </c>
      <c r="M1322" s="8" t="s">
        <v>14</v>
      </c>
      <c r="N1322" s="11" t="s">
        <v>98</v>
      </c>
      <c r="O1322" s="12" t="s">
        <v>207</v>
      </c>
      <c r="P1322" s="41" t="s">
        <v>98</v>
      </c>
      <c r="Q1322" s="9" t="s">
        <v>1255</v>
      </c>
      <c r="R1322" s="9" t="s">
        <v>276</v>
      </c>
      <c r="S1322" s="9" t="s">
        <v>276</v>
      </c>
      <c r="T1322" s="51" t="s">
        <v>1191</v>
      </c>
      <c r="U1322" s="13">
        <v>77443</v>
      </c>
      <c r="V1322" s="38">
        <v>77444</v>
      </c>
      <c r="W1322" s="8" t="s">
        <v>276</v>
      </c>
      <c r="X1322" s="8" t="s">
        <v>276</v>
      </c>
      <c r="Y1322" s="90" t="s">
        <v>10869</v>
      </c>
      <c r="Z1322" s="9" t="s">
        <v>10870</v>
      </c>
      <c r="AA1322" s="90" t="s">
        <v>10859</v>
      </c>
      <c r="AB1322" s="9" t="s">
        <v>10860</v>
      </c>
      <c r="AC1322" s="9" t="s">
        <v>10871</v>
      </c>
      <c r="AD1322" s="9" t="s">
        <v>6506</v>
      </c>
      <c r="AE1322" s="8">
        <v>119</v>
      </c>
      <c r="AF1322" s="8">
        <v>236</v>
      </c>
      <c r="AG1322" s="13">
        <v>77443</v>
      </c>
      <c r="AH1322" s="38">
        <v>77444</v>
      </c>
      <c r="AI1322" s="38" t="s">
        <v>2047</v>
      </c>
      <c r="AJ1322" s="14" t="s">
        <v>276</v>
      </c>
      <c r="AK1322" s="31">
        <f t="shared" si="191"/>
        <v>1.5366140257996204</v>
      </c>
      <c r="AL1322" s="14" t="s">
        <v>276</v>
      </c>
      <c r="AM1322" s="14" t="s">
        <v>276</v>
      </c>
      <c r="AN1322" s="14" t="s">
        <v>276</v>
      </c>
      <c r="AO1322" s="31">
        <f t="shared" si="192"/>
        <v>3.0473632560301636</v>
      </c>
      <c r="AP1322" s="14" t="s">
        <v>276</v>
      </c>
      <c r="AQ1322" s="14" t="s">
        <v>276</v>
      </c>
      <c r="AR1322" s="8" t="s">
        <v>268</v>
      </c>
      <c r="AS1322" s="14" t="s">
        <v>276</v>
      </c>
      <c r="AT1322" s="14">
        <f t="shared" si="193"/>
        <v>0.50424379921197371</v>
      </c>
      <c r="AU1322" s="14" t="s">
        <v>276</v>
      </c>
      <c r="AV1322" s="14" t="s">
        <v>276</v>
      </c>
      <c r="AW1322" s="8" t="s">
        <v>276</v>
      </c>
      <c r="AX1322" s="8" t="s">
        <v>282</v>
      </c>
      <c r="AY1322" s="8" t="s">
        <v>98</v>
      </c>
      <c r="AZ1322" s="8" t="s">
        <v>98</v>
      </c>
      <c r="BA1322" s="8" t="s">
        <v>98</v>
      </c>
      <c r="BB1322" s="8" t="s">
        <v>98</v>
      </c>
      <c r="BC1322" s="9" t="s">
        <v>5536</v>
      </c>
      <c r="BD1322" s="9"/>
      <c r="BE1322" s="33" t="s">
        <v>100</v>
      </c>
      <c r="BF1322" s="33" t="s">
        <v>98</v>
      </c>
    </row>
    <row r="1323" spans="1:58" s="7" customFormat="1" ht="130" x14ac:dyDescent="0.3">
      <c r="A1323" s="8">
        <v>1169</v>
      </c>
      <c r="B1323" s="8" t="s">
        <v>10742</v>
      </c>
      <c r="C1323" s="8" t="s">
        <v>11079</v>
      </c>
      <c r="D1323" s="9" t="s">
        <v>10872</v>
      </c>
      <c r="E1323" s="8" t="s">
        <v>36</v>
      </c>
      <c r="F1323" s="9" t="s">
        <v>134</v>
      </c>
      <c r="G1323" s="8" t="s">
        <v>225</v>
      </c>
      <c r="H1323" s="8" t="s">
        <v>125</v>
      </c>
      <c r="I1323" s="8" t="s">
        <v>114</v>
      </c>
      <c r="J1323" s="9" t="s">
        <v>24</v>
      </c>
      <c r="K1323" s="9" t="s">
        <v>10744</v>
      </c>
      <c r="L1323" s="9" t="s">
        <v>10760</v>
      </c>
      <c r="M1323" s="8" t="s">
        <v>14</v>
      </c>
      <c r="N1323" s="11" t="s">
        <v>98</v>
      </c>
      <c r="O1323" s="12" t="s">
        <v>207</v>
      </c>
      <c r="P1323" s="41" t="s">
        <v>98</v>
      </c>
      <c r="Q1323" s="9" t="s">
        <v>1258</v>
      </c>
      <c r="R1323" s="9" t="s">
        <v>276</v>
      </c>
      <c r="S1323" s="9" t="s">
        <v>276</v>
      </c>
      <c r="T1323" s="51" t="s">
        <v>1191</v>
      </c>
      <c r="U1323" s="13">
        <v>77443</v>
      </c>
      <c r="V1323" s="38">
        <v>77444</v>
      </c>
      <c r="W1323" s="8" t="s">
        <v>276</v>
      </c>
      <c r="X1323" s="8" t="s">
        <v>276</v>
      </c>
      <c r="Y1323" s="90" t="s">
        <v>10873</v>
      </c>
      <c r="Z1323" s="9" t="s">
        <v>10874</v>
      </c>
      <c r="AA1323" s="90" t="s">
        <v>10875</v>
      </c>
      <c r="AB1323" s="9" t="s">
        <v>10876</v>
      </c>
      <c r="AC1323" s="9" t="s">
        <v>10877</v>
      </c>
      <c r="AD1323" s="9" t="s">
        <v>6506</v>
      </c>
      <c r="AE1323" s="8">
        <v>123</v>
      </c>
      <c r="AF1323" s="8">
        <v>242</v>
      </c>
      <c r="AG1323" s="13">
        <v>77443</v>
      </c>
      <c r="AH1323" s="38">
        <v>77444</v>
      </c>
      <c r="AI1323" s="38" t="s">
        <v>2047</v>
      </c>
      <c r="AJ1323" s="14" t="s">
        <v>276</v>
      </c>
      <c r="AK1323" s="31">
        <f t="shared" si="191"/>
        <v>1.5882649174231369</v>
      </c>
      <c r="AL1323" s="14" t="s">
        <v>276</v>
      </c>
      <c r="AM1323" s="14" t="s">
        <v>276</v>
      </c>
      <c r="AN1323" s="14" t="s">
        <v>276</v>
      </c>
      <c r="AO1323" s="31">
        <f t="shared" si="192"/>
        <v>3.1248385930478797</v>
      </c>
      <c r="AP1323" s="14" t="s">
        <v>276</v>
      </c>
      <c r="AQ1323" s="14" t="s">
        <v>276</v>
      </c>
      <c r="AR1323" s="8" t="s">
        <v>268</v>
      </c>
      <c r="AS1323" s="14" t="s">
        <v>276</v>
      </c>
      <c r="AT1323" s="14">
        <f t="shared" si="193"/>
        <v>0.50827102588808848</v>
      </c>
      <c r="AU1323" s="14" t="s">
        <v>276</v>
      </c>
      <c r="AV1323" s="14" t="s">
        <v>276</v>
      </c>
      <c r="AW1323" s="8" t="s">
        <v>276</v>
      </c>
      <c r="AX1323" s="8" t="s">
        <v>282</v>
      </c>
      <c r="AY1323" s="8" t="s">
        <v>98</v>
      </c>
      <c r="AZ1323" s="8" t="s">
        <v>98</v>
      </c>
      <c r="BA1323" s="8" t="s">
        <v>98</v>
      </c>
      <c r="BB1323" s="8" t="s">
        <v>98</v>
      </c>
      <c r="BC1323" s="9" t="s">
        <v>5536</v>
      </c>
      <c r="BD1323" s="9"/>
      <c r="BE1323" s="33" t="s">
        <v>100</v>
      </c>
      <c r="BF1323" s="33" t="s">
        <v>98</v>
      </c>
    </row>
    <row r="1324" spans="1:58" s="7" customFormat="1" ht="130" x14ac:dyDescent="0.3">
      <c r="A1324" s="8">
        <v>1169</v>
      </c>
      <c r="B1324" s="8" t="s">
        <v>10742</v>
      </c>
      <c r="C1324" s="8" t="s">
        <v>11079</v>
      </c>
      <c r="D1324" s="9" t="s">
        <v>10878</v>
      </c>
      <c r="E1324" s="8" t="s">
        <v>36</v>
      </c>
      <c r="F1324" s="9" t="s">
        <v>134</v>
      </c>
      <c r="G1324" s="8" t="s">
        <v>225</v>
      </c>
      <c r="H1324" s="8" t="s">
        <v>125</v>
      </c>
      <c r="I1324" s="8" t="s">
        <v>114</v>
      </c>
      <c r="J1324" s="9" t="s">
        <v>24</v>
      </c>
      <c r="K1324" s="9" t="s">
        <v>10744</v>
      </c>
      <c r="L1324" s="9" t="s">
        <v>10760</v>
      </c>
      <c r="M1324" s="8" t="s">
        <v>14</v>
      </c>
      <c r="N1324" s="11" t="s">
        <v>98</v>
      </c>
      <c r="O1324" s="12" t="s">
        <v>207</v>
      </c>
      <c r="P1324" s="41" t="s">
        <v>98</v>
      </c>
      <c r="Q1324" s="9" t="s">
        <v>1261</v>
      </c>
      <c r="R1324" s="9" t="s">
        <v>276</v>
      </c>
      <c r="S1324" s="9" t="s">
        <v>276</v>
      </c>
      <c r="T1324" s="51" t="s">
        <v>1191</v>
      </c>
      <c r="U1324" s="13">
        <v>77443</v>
      </c>
      <c r="V1324" s="38">
        <v>77444</v>
      </c>
      <c r="W1324" s="8" t="s">
        <v>276</v>
      </c>
      <c r="X1324" s="8" t="s">
        <v>276</v>
      </c>
      <c r="Y1324" s="90" t="s">
        <v>10879</v>
      </c>
      <c r="Z1324" s="9" t="s">
        <v>10799</v>
      </c>
      <c r="AA1324" s="90" t="s">
        <v>10880</v>
      </c>
      <c r="AB1324" s="9" t="s">
        <v>10881</v>
      </c>
      <c r="AC1324" s="9" t="s">
        <v>10882</v>
      </c>
      <c r="AD1324" s="9" t="s">
        <v>6506</v>
      </c>
      <c r="AE1324" s="8">
        <v>125</v>
      </c>
      <c r="AF1324" s="8">
        <v>249</v>
      </c>
      <c r="AG1324" s="13">
        <v>77443</v>
      </c>
      <c r="AH1324" s="38">
        <v>77444</v>
      </c>
      <c r="AI1324" s="38" t="s">
        <v>2047</v>
      </c>
      <c r="AJ1324" s="14" t="s">
        <v>276</v>
      </c>
      <c r="AK1324" s="31">
        <f t="shared" si="191"/>
        <v>1.6140903632348953</v>
      </c>
      <c r="AL1324" s="14" t="s">
        <v>276</v>
      </c>
      <c r="AM1324" s="14" t="s">
        <v>276</v>
      </c>
      <c r="AN1324" s="14" t="s">
        <v>276</v>
      </c>
      <c r="AO1324" s="31">
        <f t="shared" si="192"/>
        <v>3.2152264862352151</v>
      </c>
      <c r="AP1324" s="14" t="s">
        <v>276</v>
      </c>
      <c r="AQ1324" s="14" t="s">
        <v>276</v>
      </c>
      <c r="AR1324" s="8" t="s">
        <v>268</v>
      </c>
      <c r="AS1324" s="14" t="s">
        <v>276</v>
      </c>
      <c r="AT1324" s="14">
        <f t="shared" si="193"/>
        <v>0.50201451441912948</v>
      </c>
      <c r="AU1324" s="14" t="s">
        <v>276</v>
      </c>
      <c r="AV1324" s="14" t="s">
        <v>276</v>
      </c>
      <c r="AW1324" s="8" t="s">
        <v>276</v>
      </c>
      <c r="AX1324" s="8" t="s">
        <v>282</v>
      </c>
      <c r="AY1324" s="8" t="s">
        <v>98</v>
      </c>
      <c r="AZ1324" s="8" t="s">
        <v>98</v>
      </c>
      <c r="BA1324" s="8" t="s">
        <v>98</v>
      </c>
      <c r="BB1324" s="8" t="s">
        <v>98</v>
      </c>
      <c r="BC1324" s="9" t="s">
        <v>5536</v>
      </c>
      <c r="BD1324" s="9"/>
      <c r="BE1324" s="33" t="s">
        <v>100</v>
      </c>
      <c r="BF1324" s="33" t="s">
        <v>98</v>
      </c>
    </row>
    <row r="1325" spans="1:58" s="7" customFormat="1" ht="130" x14ac:dyDescent="0.3">
      <c r="A1325" s="8">
        <v>1169</v>
      </c>
      <c r="B1325" s="8" t="s">
        <v>10742</v>
      </c>
      <c r="C1325" s="8" t="s">
        <v>11079</v>
      </c>
      <c r="D1325" s="9" t="s">
        <v>10883</v>
      </c>
      <c r="E1325" s="8" t="s">
        <v>36</v>
      </c>
      <c r="F1325" s="9" t="s">
        <v>134</v>
      </c>
      <c r="G1325" s="8" t="s">
        <v>225</v>
      </c>
      <c r="H1325" s="8" t="s">
        <v>125</v>
      </c>
      <c r="I1325" s="8" t="s">
        <v>114</v>
      </c>
      <c r="J1325" s="9" t="s">
        <v>24</v>
      </c>
      <c r="K1325" s="9" t="s">
        <v>10744</v>
      </c>
      <c r="L1325" s="9" t="s">
        <v>10760</v>
      </c>
      <c r="M1325" s="8" t="s">
        <v>14</v>
      </c>
      <c r="N1325" s="11" t="s">
        <v>98</v>
      </c>
      <c r="O1325" s="12" t="s">
        <v>207</v>
      </c>
      <c r="P1325" s="41" t="s">
        <v>98</v>
      </c>
      <c r="Q1325" s="9" t="s">
        <v>1080</v>
      </c>
      <c r="R1325" s="9" t="s">
        <v>276</v>
      </c>
      <c r="S1325" s="9" t="s">
        <v>276</v>
      </c>
      <c r="T1325" s="51" t="s">
        <v>1191</v>
      </c>
      <c r="U1325" s="13">
        <v>77443</v>
      </c>
      <c r="V1325" s="38">
        <v>77444</v>
      </c>
      <c r="W1325" s="8" t="s">
        <v>276</v>
      </c>
      <c r="X1325" s="8" t="s">
        <v>276</v>
      </c>
      <c r="Y1325" s="90" t="s">
        <v>10884</v>
      </c>
      <c r="Z1325" s="9" t="s">
        <v>10885</v>
      </c>
      <c r="AA1325" s="90" t="s">
        <v>10879</v>
      </c>
      <c r="AB1325" s="9" t="s">
        <v>10799</v>
      </c>
      <c r="AC1325" s="9" t="s">
        <v>10886</v>
      </c>
      <c r="AD1325" s="9" t="s">
        <v>6506</v>
      </c>
      <c r="AE1325" s="8">
        <v>127</v>
      </c>
      <c r="AF1325" s="8">
        <v>252</v>
      </c>
      <c r="AG1325" s="13">
        <v>77443</v>
      </c>
      <c r="AH1325" s="38">
        <v>77444</v>
      </c>
      <c r="AI1325" s="38" t="s">
        <v>2047</v>
      </c>
      <c r="AJ1325" s="14" t="s">
        <v>276</v>
      </c>
      <c r="AK1325" s="31">
        <f t="shared" si="191"/>
        <v>1.6399158090466537</v>
      </c>
      <c r="AL1325" s="14" t="s">
        <v>276</v>
      </c>
      <c r="AM1325" s="14" t="s">
        <v>276</v>
      </c>
      <c r="AN1325" s="14" t="s">
        <v>276</v>
      </c>
      <c r="AO1325" s="31">
        <f t="shared" si="192"/>
        <v>3.253964154744073</v>
      </c>
      <c r="AP1325" s="14" t="s">
        <v>276</v>
      </c>
      <c r="AQ1325" s="14" t="s">
        <v>276</v>
      </c>
      <c r="AR1325" s="8" t="s">
        <v>268</v>
      </c>
      <c r="AS1325" s="14" t="s">
        <v>276</v>
      </c>
      <c r="AT1325" s="14">
        <f t="shared" si="193"/>
        <v>0.50397476157067089</v>
      </c>
      <c r="AU1325" s="14" t="s">
        <v>276</v>
      </c>
      <c r="AV1325" s="14" t="s">
        <v>276</v>
      </c>
      <c r="AW1325" s="8" t="s">
        <v>276</v>
      </c>
      <c r="AX1325" s="8" t="s">
        <v>282</v>
      </c>
      <c r="AY1325" s="8" t="s">
        <v>98</v>
      </c>
      <c r="AZ1325" s="8" t="s">
        <v>98</v>
      </c>
      <c r="BA1325" s="8" t="s">
        <v>98</v>
      </c>
      <c r="BB1325" s="8" t="s">
        <v>98</v>
      </c>
      <c r="BC1325" s="9" t="s">
        <v>5536</v>
      </c>
      <c r="BD1325" s="9"/>
      <c r="BE1325" s="33" t="s">
        <v>100</v>
      </c>
      <c r="BF1325" s="33" t="s">
        <v>98</v>
      </c>
    </row>
    <row r="1326" spans="1:58" s="7" customFormat="1" ht="130" x14ac:dyDescent="0.3">
      <c r="A1326" s="8">
        <v>1169</v>
      </c>
      <c r="B1326" s="8" t="s">
        <v>10742</v>
      </c>
      <c r="C1326" s="8" t="s">
        <v>11079</v>
      </c>
      <c r="D1326" s="9" t="s">
        <v>10887</v>
      </c>
      <c r="E1326" s="8" t="s">
        <v>36</v>
      </c>
      <c r="F1326" s="9" t="s">
        <v>134</v>
      </c>
      <c r="G1326" s="8" t="s">
        <v>225</v>
      </c>
      <c r="H1326" s="8" t="s">
        <v>125</v>
      </c>
      <c r="I1326" s="8" t="s">
        <v>114</v>
      </c>
      <c r="J1326" s="9" t="s">
        <v>24</v>
      </c>
      <c r="K1326" s="9" t="s">
        <v>10744</v>
      </c>
      <c r="L1326" s="9" t="s">
        <v>10760</v>
      </c>
      <c r="M1326" s="8" t="s">
        <v>14</v>
      </c>
      <c r="N1326" s="11" t="s">
        <v>98</v>
      </c>
      <c r="O1326" s="12" t="s">
        <v>207</v>
      </c>
      <c r="P1326" s="41" t="s">
        <v>98</v>
      </c>
      <c r="Q1326" s="9" t="s">
        <v>10795</v>
      </c>
      <c r="R1326" s="9" t="s">
        <v>276</v>
      </c>
      <c r="S1326" s="9" t="s">
        <v>276</v>
      </c>
      <c r="T1326" s="51" t="s">
        <v>1191</v>
      </c>
      <c r="U1326" s="13">
        <v>77443</v>
      </c>
      <c r="V1326" s="38">
        <v>77444</v>
      </c>
      <c r="W1326" s="8" t="s">
        <v>276</v>
      </c>
      <c r="X1326" s="8" t="s">
        <v>276</v>
      </c>
      <c r="Y1326" s="90" t="s">
        <v>10888</v>
      </c>
      <c r="Z1326" s="9" t="s">
        <v>10889</v>
      </c>
      <c r="AA1326" s="90" t="s">
        <v>10884</v>
      </c>
      <c r="AB1326" s="9" t="s">
        <v>10885</v>
      </c>
      <c r="AC1326" s="9" t="s">
        <v>10890</v>
      </c>
      <c r="AD1326" s="9" t="s">
        <v>6506</v>
      </c>
      <c r="AE1326" s="8">
        <v>127</v>
      </c>
      <c r="AF1326" s="8">
        <v>255</v>
      </c>
      <c r="AG1326" s="13">
        <v>77443</v>
      </c>
      <c r="AH1326" s="38">
        <v>77444</v>
      </c>
      <c r="AI1326" s="38" t="s">
        <v>2047</v>
      </c>
      <c r="AJ1326" s="14" t="s">
        <v>276</v>
      </c>
      <c r="AK1326" s="31">
        <f t="shared" si="191"/>
        <v>1.6399158090466537</v>
      </c>
      <c r="AL1326" s="14" t="s">
        <v>276</v>
      </c>
      <c r="AM1326" s="14" t="s">
        <v>276</v>
      </c>
      <c r="AN1326" s="14" t="s">
        <v>276</v>
      </c>
      <c r="AO1326" s="31">
        <f t="shared" si="192"/>
        <v>3.2927018232529313</v>
      </c>
      <c r="AP1326" s="14" t="s">
        <v>276</v>
      </c>
      <c r="AQ1326" s="14" t="s">
        <v>276</v>
      </c>
      <c r="AR1326" s="8" t="s">
        <v>268</v>
      </c>
      <c r="AS1326" s="14" t="s">
        <v>276</v>
      </c>
      <c r="AT1326" s="14">
        <f t="shared" si="193"/>
        <v>0.49804564672866292</v>
      </c>
      <c r="AU1326" s="14" t="s">
        <v>276</v>
      </c>
      <c r="AV1326" s="14" t="s">
        <v>276</v>
      </c>
      <c r="AW1326" s="8" t="s">
        <v>276</v>
      </c>
      <c r="AX1326" s="8" t="s">
        <v>282</v>
      </c>
      <c r="AY1326" s="8" t="s">
        <v>98</v>
      </c>
      <c r="AZ1326" s="8" t="s">
        <v>98</v>
      </c>
      <c r="BA1326" s="8" t="s">
        <v>98</v>
      </c>
      <c r="BB1326" s="8" t="s">
        <v>98</v>
      </c>
      <c r="BC1326" s="9" t="s">
        <v>5536</v>
      </c>
      <c r="BD1326" s="9"/>
      <c r="BE1326" s="33" t="s">
        <v>100</v>
      </c>
      <c r="BF1326" s="33" t="s">
        <v>98</v>
      </c>
    </row>
    <row r="1327" spans="1:58" s="7" customFormat="1" ht="130" x14ac:dyDescent="0.3">
      <c r="A1327" s="8">
        <v>1169</v>
      </c>
      <c r="B1327" s="8" t="s">
        <v>10742</v>
      </c>
      <c r="C1327" s="8" t="s">
        <v>11079</v>
      </c>
      <c r="D1327" s="9" t="s">
        <v>10891</v>
      </c>
      <c r="E1327" s="8" t="s">
        <v>36</v>
      </c>
      <c r="F1327" s="9" t="s">
        <v>134</v>
      </c>
      <c r="G1327" s="8" t="s">
        <v>225</v>
      </c>
      <c r="H1327" s="8" t="s">
        <v>125</v>
      </c>
      <c r="I1327" s="8" t="s">
        <v>114</v>
      </c>
      <c r="J1327" s="9" t="s">
        <v>24</v>
      </c>
      <c r="K1327" s="9" t="s">
        <v>10744</v>
      </c>
      <c r="L1327" s="9" t="s">
        <v>10745</v>
      </c>
      <c r="M1327" s="8" t="s">
        <v>16</v>
      </c>
      <c r="N1327" s="11" t="s">
        <v>170</v>
      </c>
      <c r="O1327" s="12" t="s">
        <v>207</v>
      </c>
      <c r="P1327" s="41">
        <v>42369</v>
      </c>
      <c r="Q1327" s="9" t="s">
        <v>1686</v>
      </c>
      <c r="R1327" s="9" t="s">
        <v>276</v>
      </c>
      <c r="S1327" s="9" t="s">
        <v>276</v>
      </c>
      <c r="T1327" s="9">
        <v>2</v>
      </c>
      <c r="U1327" s="13">
        <v>38340</v>
      </c>
      <c r="V1327" s="38">
        <v>38338</v>
      </c>
      <c r="W1327" s="8" t="s">
        <v>276</v>
      </c>
      <c r="X1327" s="8" t="s">
        <v>276</v>
      </c>
      <c r="Y1327" s="90" t="s">
        <v>10892</v>
      </c>
      <c r="Z1327" s="9" t="s">
        <v>10893</v>
      </c>
      <c r="AA1327" s="90" t="s">
        <v>10894</v>
      </c>
      <c r="AB1327" s="9" t="s">
        <v>10895</v>
      </c>
      <c r="AC1327" s="9" t="s">
        <v>10896</v>
      </c>
      <c r="AD1327" s="9" t="s">
        <v>1487</v>
      </c>
      <c r="AE1327" s="8">
        <v>90</v>
      </c>
      <c r="AF1327" s="8">
        <v>182</v>
      </c>
      <c r="AG1327" s="13" t="s">
        <v>276</v>
      </c>
      <c r="AH1327" s="13" t="s">
        <v>276</v>
      </c>
      <c r="AI1327" s="13" t="s">
        <v>4702</v>
      </c>
      <c r="AJ1327" s="14">
        <v>1.49</v>
      </c>
      <c r="AK1327" s="31" t="s">
        <v>98</v>
      </c>
      <c r="AL1327" s="14" t="s">
        <v>276</v>
      </c>
      <c r="AM1327" s="14" t="s">
        <v>276</v>
      </c>
      <c r="AN1327" s="14">
        <v>3.06</v>
      </c>
      <c r="AO1327" s="31" t="s">
        <v>276</v>
      </c>
      <c r="AP1327" s="14" t="s">
        <v>276</v>
      </c>
      <c r="AQ1327" s="14" t="s">
        <v>276</v>
      </c>
      <c r="AR1327" s="8" t="s">
        <v>269</v>
      </c>
      <c r="AS1327" s="14">
        <v>0.49</v>
      </c>
      <c r="AT1327" s="14">
        <f>AJ1327/AN1327</f>
        <v>0.48692810457516339</v>
      </c>
      <c r="AU1327" s="14">
        <v>0.38</v>
      </c>
      <c r="AV1327" s="14">
        <v>0.63</v>
      </c>
      <c r="AW1327" s="8" t="s">
        <v>844</v>
      </c>
      <c r="AX1327" s="8" t="s">
        <v>282</v>
      </c>
      <c r="AY1327" s="8" t="s">
        <v>98</v>
      </c>
      <c r="AZ1327" s="8" t="s">
        <v>98</v>
      </c>
      <c r="BA1327" s="8" t="s">
        <v>98</v>
      </c>
      <c r="BB1327" s="8" t="s">
        <v>98</v>
      </c>
      <c r="BC1327" s="9" t="s">
        <v>10897</v>
      </c>
      <c r="BD1327" s="9"/>
      <c r="BE1327" s="33" t="s">
        <v>100</v>
      </c>
      <c r="BF1327" s="33" t="s">
        <v>98</v>
      </c>
    </row>
    <row r="1328" spans="1:58" s="7" customFormat="1" ht="130" x14ac:dyDescent="0.3">
      <c r="A1328" s="8">
        <v>1169</v>
      </c>
      <c r="B1328" s="8" t="s">
        <v>10742</v>
      </c>
      <c r="C1328" s="8" t="s">
        <v>11079</v>
      </c>
      <c r="D1328" s="9" t="s">
        <v>10898</v>
      </c>
      <c r="E1328" s="8" t="s">
        <v>36</v>
      </c>
      <c r="F1328" s="9" t="s">
        <v>134</v>
      </c>
      <c r="G1328" s="8" t="s">
        <v>225</v>
      </c>
      <c r="H1328" s="8" t="s">
        <v>125</v>
      </c>
      <c r="I1328" s="8" t="s">
        <v>114</v>
      </c>
      <c r="J1328" s="9" t="s">
        <v>24</v>
      </c>
      <c r="K1328" s="9" t="s">
        <v>10744</v>
      </c>
      <c r="L1328" s="9" t="s">
        <v>10745</v>
      </c>
      <c r="M1328" s="8" t="s">
        <v>16</v>
      </c>
      <c r="N1328" s="11" t="s">
        <v>171</v>
      </c>
      <c r="O1328" s="12" t="s">
        <v>207</v>
      </c>
      <c r="P1328" s="41">
        <v>42369</v>
      </c>
      <c r="Q1328" s="9" t="s">
        <v>1686</v>
      </c>
      <c r="R1328" s="9" t="s">
        <v>276</v>
      </c>
      <c r="S1328" s="9" t="s">
        <v>276</v>
      </c>
      <c r="T1328" s="9">
        <v>2</v>
      </c>
      <c r="U1328" s="13">
        <v>39103</v>
      </c>
      <c r="V1328" s="38">
        <v>39106</v>
      </c>
      <c r="W1328" s="8" t="s">
        <v>276</v>
      </c>
      <c r="X1328" s="8" t="s">
        <v>276</v>
      </c>
      <c r="Y1328" s="90" t="s">
        <v>10719</v>
      </c>
      <c r="Z1328" s="9" t="s">
        <v>10854</v>
      </c>
      <c r="AA1328" s="90" t="s">
        <v>10899</v>
      </c>
      <c r="AB1328" s="9" t="s">
        <v>10900</v>
      </c>
      <c r="AC1328" s="9" t="s">
        <v>10901</v>
      </c>
      <c r="AD1328" s="9" t="s">
        <v>1487</v>
      </c>
      <c r="AE1328" s="8">
        <v>45</v>
      </c>
      <c r="AF1328" s="8">
        <v>80</v>
      </c>
      <c r="AG1328" s="13" t="s">
        <v>276</v>
      </c>
      <c r="AH1328" s="13" t="s">
        <v>276</v>
      </c>
      <c r="AI1328" s="13" t="s">
        <v>4702</v>
      </c>
      <c r="AJ1328" s="14">
        <v>0.71</v>
      </c>
      <c r="AK1328" s="31" t="s">
        <v>98</v>
      </c>
      <c r="AL1328" s="14" t="s">
        <v>276</v>
      </c>
      <c r="AM1328" s="14" t="s">
        <v>276</v>
      </c>
      <c r="AN1328" s="14">
        <v>1.27</v>
      </c>
      <c r="AO1328" s="31" t="s">
        <v>276</v>
      </c>
      <c r="AP1328" s="14" t="s">
        <v>276</v>
      </c>
      <c r="AQ1328" s="14" t="s">
        <v>276</v>
      </c>
      <c r="AR1328" s="8" t="s">
        <v>269</v>
      </c>
      <c r="AS1328" s="14">
        <v>0.56000000000000005</v>
      </c>
      <c r="AT1328" s="14">
        <f>AJ1328/AN1328</f>
        <v>0.55905511811023623</v>
      </c>
      <c r="AU1328" s="14">
        <v>0.39</v>
      </c>
      <c r="AV1328" s="14">
        <v>0.8</v>
      </c>
      <c r="AW1328" s="8" t="s">
        <v>844</v>
      </c>
      <c r="AX1328" s="8" t="s">
        <v>282</v>
      </c>
      <c r="AY1328" s="8" t="s">
        <v>98</v>
      </c>
      <c r="AZ1328" s="8" t="s">
        <v>98</v>
      </c>
      <c r="BA1328" s="8" t="s">
        <v>98</v>
      </c>
      <c r="BB1328" s="8" t="s">
        <v>98</v>
      </c>
      <c r="BC1328" s="9" t="s">
        <v>10897</v>
      </c>
      <c r="BD1328" s="9"/>
      <c r="BE1328" s="33" t="s">
        <v>100</v>
      </c>
      <c r="BF1328" s="33" t="s">
        <v>98</v>
      </c>
    </row>
    <row r="1329" spans="1:58" s="7" customFormat="1" ht="130" x14ac:dyDescent="0.3">
      <c r="A1329" s="8">
        <v>1169</v>
      </c>
      <c r="B1329" s="8" t="s">
        <v>10742</v>
      </c>
      <c r="C1329" s="8" t="s">
        <v>11079</v>
      </c>
      <c r="D1329" s="9" t="s">
        <v>10902</v>
      </c>
      <c r="E1329" s="8" t="s">
        <v>36</v>
      </c>
      <c r="F1329" s="9" t="s">
        <v>134</v>
      </c>
      <c r="G1329" s="8" t="s">
        <v>225</v>
      </c>
      <c r="H1329" s="8" t="s">
        <v>125</v>
      </c>
      <c r="I1329" s="8" t="s">
        <v>114</v>
      </c>
      <c r="J1329" s="9" t="s">
        <v>24</v>
      </c>
      <c r="K1329" s="9" t="s">
        <v>10744</v>
      </c>
      <c r="L1329" s="9" t="s">
        <v>10745</v>
      </c>
      <c r="M1329" s="8" t="s">
        <v>14</v>
      </c>
      <c r="N1329" s="11" t="s">
        <v>98</v>
      </c>
      <c r="O1329" s="12" t="s">
        <v>207</v>
      </c>
      <c r="P1329" s="41">
        <v>42369</v>
      </c>
      <c r="Q1329" s="9" t="s">
        <v>1686</v>
      </c>
      <c r="R1329" s="9" t="s">
        <v>10746</v>
      </c>
      <c r="S1329" s="9" t="s">
        <v>10747</v>
      </c>
      <c r="T1329" s="9">
        <v>2</v>
      </c>
      <c r="U1329" s="13">
        <v>77443</v>
      </c>
      <c r="V1329" s="38">
        <v>77444</v>
      </c>
      <c r="W1329" s="8" t="s">
        <v>276</v>
      </c>
      <c r="X1329" s="8" t="s">
        <v>276</v>
      </c>
      <c r="Y1329" s="90" t="s">
        <v>10798</v>
      </c>
      <c r="Z1329" s="9" t="s">
        <v>10799</v>
      </c>
      <c r="AA1329" s="90" t="s">
        <v>10800</v>
      </c>
      <c r="AB1329" s="9" t="s">
        <v>10801</v>
      </c>
      <c r="AC1329" s="9" t="s">
        <v>10903</v>
      </c>
      <c r="AD1329" s="9" t="s">
        <v>1487</v>
      </c>
      <c r="AE1329" s="8">
        <v>233</v>
      </c>
      <c r="AF1329" s="8">
        <v>242</v>
      </c>
      <c r="AG1329" s="13" t="s">
        <v>276</v>
      </c>
      <c r="AH1329" s="13" t="s">
        <v>276</v>
      </c>
      <c r="AI1329" s="13" t="s">
        <v>4702</v>
      </c>
      <c r="AJ1329" s="14">
        <v>1.88</v>
      </c>
      <c r="AK1329" s="31" t="s">
        <v>98</v>
      </c>
      <c r="AL1329" s="14" t="s">
        <v>276</v>
      </c>
      <c r="AM1329" s="14" t="s">
        <v>276</v>
      </c>
      <c r="AN1329" s="14">
        <v>1.97</v>
      </c>
      <c r="AO1329" s="31" t="s">
        <v>276</v>
      </c>
      <c r="AP1329" s="14" t="s">
        <v>276</v>
      </c>
      <c r="AQ1329" s="14" t="s">
        <v>276</v>
      </c>
      <c r="AR1329" s="8" t="s">
        <v>269</v>
      </c>
      <c r="AS1329" s="14">
        <v>0.95</v>
      </c>
      <c r="AT1329" s="14">
        <f>AJ1329/AN1329</f>
        <v>0.95431472081218272</v>
      </c>
      <c r="AU1329" s="14">
        <v>0.79</v>
      </c>
      <c r="AV1329" s="14">
        <v>1.1399999999999999</v>
      </c>
      <c r="AW1329" s="8" t="s">
        <v>276</v>
      </c>
      <c r="AX1329" s="8" t="s">
        <v>282</v>
      </c>
      <c r="AY1329" s="8" t="s">
        <v>98</v>
      </c>
      <c r="AZ1329" s="8" t="s">
        <v>98</v>
      </c>
      <c r="BA1329" s="8" t="s">
        <v>98</v>
      </c>
      <c r="BB1329" s="8" t="s">
        <v>98</v>
      </c>
      <c r="BC1329" s="9" t="s">
        <v>10904</v>
      </c>
      <c r="BD1329" s="9"/>
      <c r="BE1329" s="33" t="s">
        <v>100</v>
      </c>
      <c r="BF1329" s="33" t="s">
        <v>98</v>
      </c>
    </row>
    <row r="1330" spans="1:58" s="7" customFormat="1" ht="130" x14ac:dyDescent="0.3">
      <c r="A1330" s="8">
        <v>1169</v>
      </c>
      <c r="B1330" s="8" t="s">
        <v>10742</v>
      </c>
      <c r="C1330" s="8" t="s">
        <v>11079</v>
      </c>
      <c r="D1330" s="9" t="s">
        <v>10905</v>
      </c>
      <c r="E1330" s="8" t="s">
        <v>36</v>
      </c>
      <c r="F1330" s="9" t="s">
        <v>134</v>
      </c>
      <c r="G1330" s="8" t="s">
        <v>225</v>
      </c>
      <c r="H1330" s="8" t="s">
        <v>125</v>
      </c>
      <c r="I1330" s="8" t="s">
        <v>114</v>
      </c>
      <c r="J1330" s="9" t="s">
        <v>24</v>
      </c>
      <c r="K1330" s="9" t="s">
        <v>10744</v>
      </c>
      <c r="L1330" s="9" t="s">
        <v>10751</v>
      </c>
      <c r="M1330" s="8" t="s">
        <v>14</v>
      </c>
      <c r="N1330" s="11" t="s">
        <v>98</v>
      </c>
      <c r="O1330" s="12" t="s">
        <v>207</v>
      </c>
      <c r="P1330" s="41" t="s">
        <v>98</v>
      </c>
      <c r="Q1330" s="9" t="s">
        <v>705</v>
      </c>
      <c r="R1330" s="9" t="s">
        <v>276</v>
      </c>
      <c r="S1330" s="9" t="s">
        <v>276</v>
      </c>
      <c r="T1330" s="9">
        <v>1</v>
      </c>
      <c r="U1330" s="13">
        <v>77443</v>
      </c>
      <c r="V1330" s="38">
        <v>77444</v>
      </c>
      <c r="W1330" s="8" t="s">
        <v>276</v>
      </c>
      <c r="X1330" s="8" t="s">
        <v>276</v>
      </c>
      <c r="Y1330" s="8" t="s">
        <v>276</v>
      </c>
      <c r="Z1330" s="9" t="s">
        <v>10805</v>
      </c>
      <c r="AA1330" s="8" t="s">
        <v>276</v>
      </c>
      <c r="AB1330" s="9" t="s">
        <v>10805</v>
      </c>
      <c r="AC1330" s="9" t="s">
        <v>10906</v>
      </c>
      <c r="AD1330" s="9" t="s">
        <v>6506</v>
      </c>
      <c r="AE1330" s="8">
        <v>1</v>
      </c>
      <c r="AF1330" s="8">
        <v>1</v>
      </c>
      <c r="AG1330" s="13">
        <v>77443</v>
      </c>
      <c r="AH1330" s="38">
        <v>77444</v>
      </c>
      <c r="AI1330" s="38" t="s">
        <v>2047</v>
      </c>
      <c r="AJ1330" s="14" t="s">
        <v>276</v>
      </c>
      <c r="AK1330" s="31">
        <f t="shared" ref="AK1330:AK1350" si="194">AE1330*1000/AG1330</f>
        <v>1.2912722905879163E-2</v>
      </c>
      <c r="AL1330" s="14" t="s">
        <v>276</v>
      </c>
      <c r="AM1330" s="14" t="s">
        <v>276</v>
      </c>
      <c r="AN1330" s="14" t="s">
        <v>276</v>
      </c>
      <c r="AO1330" s="31">
        <f t="shared" ref="AO1330:AO1350" si="195">AF1330*1000/AH1330</f>
        <v>1.2912556169619338E-2</v>
      </c>
      <c r="AP1330" s="14" t="s">
        <v>276</v>
      </c>
      <c r="AQ1330" s="14" t="s">
        <v>276</v>
      </c>
      <c r="AR1330" s="8" t="s">
        <v>268</v>
      </c>
      <c r="AS1330" s="14" t="s">
        <v>276</v>
      </c>
      <c r="AT1330" s="14">
        <f t="shared" ref="AT1330:AT1350" si="196">AK1330/AO1330</f>
        <v>1.0000129127229058</v>
      </c>
      <c r="AU1330" s="14" t="s">
        <v>276</v>
      </c>
      <c r="AV1330" s="14" t="s">
        <v>276</v>
      </c>
      <c r="AW1330" s="8" t="s">
        <v>276</v>
      </c>
      <c r="AX1330" s="8" t="s">
        <v>282</v>
      </c>
      <c r="AY1330" s="8" t="s">
        <v>98</v>
      </c>
      <c r="AZ1330" s="8" t="s">
        <v>98</v>
      </c>
      <c r="BA1330" s="8" t="s">
        <v>98</v>
      </c>
      <c r="BB1330" s="8" t="s">
        <v>98</v>
      </c>
      <c r="BC1330" s="9" t="s">
        <v>9891</v>
      </c>
      <c r="BD1330" s="9"/>
      <c r="BE1330" s="33" t="s">
        <v>100</v>
      </c>
      <c r="BF1330" s="33" t="s">
        <v>98</v>
      </c>
    </row>
    <row r="1331" spans="1:58" s="7" customFormat="1" ht="130" x14ac:dyDescent="0.3">
      <c r="A1331" s="8">
        <v>1169</v>
      </c>
      <c r="B1331" s="8" t="s">
        <v>10742</v>
      </c>
      <c r="C1331" s="8" t="s">
        <v>11079</v>
      </c>
      <c r="D1331" s="9" t="s">
        <v>10907</v>
      </c>
      <c r="E1331" s="8" t="s">
        <v>36</v>
      </c>
      <c r="F1331" s="9" t="s">
        <v>134</v>
      </c>
      <c r="G1331" s="8" t="s">
        <v>225</v>
      </c>
      <c r="H1331" s="8" t="s">
        <v>125</v>
      </c>
      <c r="I1331" s="8" t="s">
        <v>114</v>
      </c>
      <c r="J1331" s="9" t="s">
        <v>24</v>
      </c>
      <c r="K1331" s="9" t="s">
        <v>10744</v>
      </c>
      <c r="L1331" s="9" t="s">
        <v>10754</v>
      </c>
      <c r="M1331" s="8" t="s">
        <v>14</v>
      </c>
      <c r="N1331" s="11" t="s">
        <v>98</v>
      </c>
      <c r="O1331" s="12" t="s">
        <v>207</v>
      </c>
      <c r="P1331" s="41" t="s">
        <v>98</v>
      </c>
      <c r="Q1331" s="9" t="s">
        <v>710</v>
      </c>
      <c r="R1331" s="9" t="s">
        <v>276</v>
      </c>
      <c r="S1331" s="9" t="s">
        <v>276</v>
      </c>
      <c r="T1331" s="9">
        <v>1</v>
      </c>
      <c r="U1331" s="13">
        <v>77443</v>
      </c>
      <c r="V1331" s="38">
        <v>77444</v>
      </c>
      <c r="W1331" s="8" t="s">
        <v>276</v>
      </c>
      <c r="X1331" s="8" t="s">
        <v>276</v>
      </c>
      <c r="Y1331" s="90" t="s">
        <v>10808</v>
      </c>
      <c r="Z1331" s="9" t="s">
        <v>10809</v>
      </c>
      <c r="AA1331" s="8" t="s">
        <v>276</v>
      </c>
      <c r="AB1331" s="9" t="s">
        <v>10805</v>
      </c>
      <c r="AC1331" s="9" t="s">
        <v>10908</v>
      </c>
      <c r="AD1331" s="9" t="s">
        <v>6506</v>
      </c>
      <c r="AE1331" s="8">
        <v>5</v>
      </c>
      <c r="AF1331" s="8">
        <v>7</v>
      </c>
      <c r="AG1331" s="13">
        <v>77443</v>
      </c>
      <c r="AH1331" s="38">
        <v>77444</v>
      </c>
      <c r="AI1331" s="38" t="s">
        <v>2047</v>
      </c>
      <c r="AJ1331" s="14" t="s">
        <v>276</v>
      </c>
      <c r="AK1331" s="31">
        <f t="shared" si="194"/>
        <v>6.456361452939581E-2</v>
      </c>
      <c r="AL1331" s="14" t="s">
        <v>276</v>
      </c>
      <c r="AM1331" s="14" t="s">
        <v>276</v>
      </c>
      <c r="AN1331" s="14" t="s">
        <v>276</v>
      </c>
      <c r="AO1331" s="31">
        <f t="shared" si="195"/>
        <v>9.0387893187335366E-2</v>
      </c>
      <c r="AP1331" s="14" t="s">
        <v>276</v>
      </c>
      <c r="AQ1331" s="14" t="s">
        <v>276</v>
      </c>
      <c r="AR1331" s="8" t="s">
        <v>268</v>
      </c>
      <c r="AS1331" s="14" t="s">
        <v>276</v>
      </c>
      <c r="AT1331" s="14">
        <f t="shared" si="196"/>
        <v>0.71429493765921848</v>
      </c>
      <c r="AU1331" s="14" t="s">
        <v>276</v>
      </c>
      <c r="AV1331" s="14" t="s">
        <v>276</v>
      </c>
      <c r="AW1331" s="8" t="s">
        <v>276</v>
      </c>
      <c r="AX1331" s="8" t="s">
        <v>282</v>
      </c>
      <c r="AY1331" s="8" t="s">
        <v>98</v>
      </c>
      <c r="AZ1331" s="8" t="s">
        <v>98</v>
      </c>
      <c r="BA1331" s="8" t="s">
        <v>98</v>
      </c>
      <c r="BB1331" s="8" t="s">
        <v>98</v>
      </c>
      <c r="BC1331" s="9" t="s">
        <v>9891</v>
      </c>
      <c r="BD1331" s="9"/>
      <c r="BE1331" s="33" t="s">
        <v>100</v>
      </c>
      <c r="BF1331" s="33" t="s">
        <v>98</v>
      </c>
    </row>
    <row r="1332" spans="1:58" s="7" customFormat="1" ht="130" x14ac:dyDescent="0.3">
      <c r="A1332" s="8">
        <v>1169</v>
      </c>
      <c r="B1332" s="8" t="s">
        <v>10742</v>
      </c>
      <c r="C1332" s="8" t="s">
        <v>11079</v>
      </c>
      <c r="D1332" s="9" t="s">
        <v>10909</v>
      </c>
      <c r="E1332" s="8" t="s">
        <v>36</v>
      </c>
      <c r="F1332" s="9" t="s">
        <v>134</v>
      </c>
      <c r="G1332" s="8" t="s">
        <v>225</v>
      </c>
      <c r="H1332" s="8" t="s">
        <v>125</v>
      </c>
      <c r="I1332" s="8" t="s">
        <v>114</v>
      </c>
      <c r="J1332" s="9" t="s">
        <v>24</v>
      </c>
      <c r="K1332" s="9" t="s">
        <v>10744</v>
      </c>
      <c r="L1332" s="9" t="s">
        <v>10757</v>
      </c>
      <c r="M1332" s="8" t="s">
        <v>14</v>
      </c>
      <c r="N1332" s="11" t="s">
        <v>98</v>
      </c>
      <c r="O1332" s="12" t="s">
        <v>207</v>
      </c>
      <c r="P1332" s="41" t="s">
        <v>98</v>
      </c>
      <c r="Q1332" s="9" t="s">
        <v>686</v>
      </c>
      <c r="R1332" s="9" t="s">
        <v>276</v>
      </c>
      <c r="S1332" s="9" t="s">
        <v>276</v>
      </c>
      <c r="T1332" s="9">
        <v>1</v>
      </c>
      <c r="U1332" s="13">
        <v>77443</v>
      </c>
      <c r="V1332" s="38">
        <v>77444</v>
      </c>
      <c r="W1332" s="8" t="s">
        <v>276</v>
      </c>
      <c r="X1332" s="8" t="s">
        <v>276</v>
      </c>
      <c r="Y1332" s="90" t="s">
        <v>10808</v>
      </c>
      <c r="Z1332" s="9" t="s">
        <v>10809</v>
      </c>
      <c r="AA1332" s="90" t="s">
        <v>10812</v>
      </c>
      <c r="AB1332" s="9" t="s">
        <v>10813</v>
      </c>
      <c r="AC1332" s="9" t="s">
        <v>10910</v>
      </c>
      <c r="AD1332" s="9" t="s">
        <v>6506</v>
      </c>
      <c r="AE1332" s="8">
        <v>15</v>
      </c>
      <c r="AF1332" s="8">
        <v>14</v>
      </c>
      <c r="AG1332" s="13">
        <v>77443</v>
      </c>
      <c r="AH1332" s="38">
        <v>77444</v>
      </c>
      <c r="AI1332" s="38" t="s">
        <v>2047</v>
      </c>
      <c r="AJ1332" s="14" t="s">
        <v>276</v>
      </c>
      <c r="AK1332" s="31">
        <f t="shared" si="194"/>
        <v>0.19369084358818744</v>
      </c>
      <c r="AL1332" s="14" t="s">
        <v>276</v>
      </c>
      <c r="AM1332" s="14" t="s">
        <v>276</v>
      </c>
      <c r="AN1332" s="14" t="s">
        <v>276</v>
      </c>
      <c r="AO1332" s="31">
        <f t="shared" si="195"/>
        <v>0.18077578637467073</v>
      </c>
      <c r="AP1332" s="14" t="s">
        <v>276</v>
      </c>
      <c r="AQ1332" s="14" t="s">
        <v>276</v>
      </c>
      <c r="AR1332" s="8" t="s">
        <v>268</v>
      </c>
      <c r="AS1332" s="14" t="s">
        <v>276</v>
      </c>
      <c r="AT1332" s="14">
        <f t="shared" si="196"/>
        <v>1.0714424064888277</v>
      </c>
      <c r="AU1332" s="14" t="s">
        <v>276</v>
      </c>
      <c r="AV1332" s="14" t="s">
        <v>276</v>
      </c>
      <c r="AW1332" s="8" t="s">
        <v>276</v>
      </c>
      <c r="AX1332" s="8" t="s">
        <v>282</v>
      </c>
      <c r="AY1332" s="8" t="s">
        <v>98</v>
      </c>
      <c r="AZ1332" s="8" t="s">
        <v>98</v>
      </c>
      <c r="BA1332" s="8" t="s">
        <v>98</v>
      </c>
      <c r="BB1332" s="8" t="s">
        <v>98</v>
      </c>
      <c r="BC1332" s="9" t="s">
        <v>9891</v>
      </c>
      <c r="BD1332" s="9"/>
      <c r="BE1332" s="33" t="s">
        <v>100</v>
      </c>
      <c r="BF1332" s="33" t="s">
        <v>98</v>
      </c>
    </row>
    <row r="1333" spans="1:58" s="7" customFormat="1" ht="130" x14ac:dyDescent="0.3">
      <c r="A1333" s="8">
        <v>1169</v>
      </c>
      <c r="B1333" s="8" t="s">
        <v>10742</v>
      </c>
      <c r="C1333" s="8" t="s">
        <v>11079</v>
      </c>
      <c r="D1333" s="9" t="s">
        <v>10911</v>
      </c>
      <c r="E1333" s="8" t="s">
        <v>36</v>
      </c>
      <c r="F1333" s="9" t="s">
        <v>134</v>
      </c>
      <c r="G1333" s="8" t="s">
        <v>225</v>
      </c>
      <c r="H1333" s="8" t="s">
        <v>125</v>
      </c>
      <c r="I1333" s="8" t="s">
        <v>114</v>
      </c>
      <c r="J1333" s="9" t="s">
        <v>24</v>
      </c>
      <c r="K1333" s="9" t="s">
        <v>10744</v>
      </c>
      <c r="L1333" s="9" t="s">
        <v>10760</v>
      </c>
      <c r="M1333" s="8" t="s">
        <v>14</v>
      </c>
      <c r="N1333" s="11" t="s">
        <v>98</v>
      </c>
      <c r="O1333" s="12" t="s">
        <v>207</v>
      </c>
      <c r="P1333" s="41" t="s">
        <v>98</v>
      </c>
      <c r="Q1333" s="9" t="s">
        <v>721</v>
      </c>
      <c r="R1333" s="9" t="s">
        <v>276</v>
      </c>
      <c r="S1333" s="9" t="s">
        <v>276</v>
      </c>
      <c r="T1333" s="51" t="s">
        <v>2331</v>
      </c>
      <c r="U1333" s="13">
        <v>77443</v>
      </c>
      <c r="V1333" s="38">
        <v>77444</v>
      </c>
      <c r="W1333" s="8" t="s">
        <v>276</v>
      </c>
      <c r="X1333" s="8" t="s">
        <v>276</v>
      </c>
      <c r="Y1333" s="90" t="s">
        <v>10816</v>
      </c>
      <c r="Z1333" s="9" t="s">
        <v>10817</v>
      </c>
      <c r="AA1333" s="90" t="s">
        <v>10808</v>
      </c>
      <c r="AB1333" s="9" t="s">
        <v>10809</v>
      </c>
      <c r="AC1333" s="9" t="s">
        <v>10912</v>
      </c>
      <c r="AD1333" s="9" t="s">
        <v>6506</v>
      </c>
      <c r="AE1333" s="8">
        <v>29</v>
      </c>
      <c r="AF1333" s="8">
        <v>26</v>
      </c>
      <c r="AG1333" s="13">
        <v>77443</v>
      </c>
      <c r="AH1333" s="38">
        <v>77444</v>
      </c>
      <c r="AI1333" s="38" t="s">
        <v>2047</v>
      </c>
      <c r="AJ1333" s="14" t="s">
        <v>276</v>
      </c>
      <c r="AK1333" s="31">
        <f t="shared" si="194"/>
        <v>0.3744689642704957</v>
      </c>
      <c r="AL1333" s="14" t="s">
        <v>276</v>
      </c>
      <c r="AM1333" s="14" t="s">
        <v>276</v>
      </c>
      <c r="AN1333" s="14" t="s">
        <v>276</v>
      </c>
      <c r="AO1333" s="31">
        <f t="shared" si="195"/>
        <v>0.33572646041010279</v>
      </c>
      <c r="AP1333" s="14" t="s">
        <v>276</v>
      </c>
      <c r="AQ1333" s="14" t="s">
        <v>276</v>
      </c>
      <c r="AR1333" s="8" t="s">
        <v>268</v>
      </c>
      <c r="AS1333" s="14" t="s">
        <v>276</v>
      </c>
      <c r="AT1333" s="14">
        <f t="shared" si="196"/>
        <v>1.1153990180370872</v>
      </c>
      <c r="AU1333" s="14" t="s">
        <v>276</v>
      </c>
      <c r="AV1333" s="14" t="s">
        <v>276</v>
      </c>
      <c r="AW1333" s="8" t="s">
        <v>276</v>
      </c>
      <c r="AX1333" s="8" t="s">
        <v>282</v>
      </c>
      <c r="AY1333" s="8" t="s">
        <v>98</v>
      </c>
      <c r="AZ1333" s="8" t="s">
        <v>98</v>
      </c>
      <c r="BA1333" s="8" t="s">
        <v>98</v>
      </c>
      <c r="BB1333" s="8" t="s">
        <v>98</v>
      </c>
      <c r="BC1333" s="9" t="s">
        <v>9891</v>
      </c>
      <c r="BD1333" s="9"/>
      <c r="BE1333" s="33" t="s">
        <v>100</v>
      </c>
      <c r="BF1333" s="33" t="s">
        <v>98</v>
      </c>
    </row>
    <row r="1334" spans="1:58" s="7" customFormat="1" ht="130" x14ac:dyDescent="0.3">
      <c r="A1334" s="8">
        <v>1169</v>
      </c>
      <c r="B1334" s="8" t="s">
        <v>10742</v>
      </c>
      <c r="C1334" s="8" t="s">
        <v>11079</v>
      </c>
      <c r="D1334" s="9" t="s">
        <v>10913</v>
      </c>
      <c r="E1334" s="8" t="s">
        <v>36</v>
      </c>
      <c r="F1334" s="9" t="s">
        <v>134</v>
      </c>
      <c r="G1334" s="8" t="s">
        <v>225</v>
      </c>
      <c r="H1334" s="8" t="s">
        <v>125</v>
      </c>
      <c r="I1334" s="8" t="s">
        <v>114</v>
      </c>
      <c r="J1334" s="9" t="s">
        <v>24</v>
      </c>
      <c r="K1334" s="9" t="s">
        <v>10744</v>
      </c>
      <c r="L1334" s="9" t="s">
        <v>10760</v>
      </c>
      <c r="M1334" s="8" t="s">
        <v>14</v>
      </c>
      <c r="N1334" s="11" t="s">
        <v>98</v>
      </c>
      <c r="O1334" s="12" t="s">
        <v>207</v>
      </c>
      <c r="P1334" s="41" t="s">
        <v>98</v>
      </c>
      <c r="Q1334" s="9" t="s">
        <v>728</v>
      </c>
      <c r="R1334" s="9" t="s">
        <v>276</v>
      </c>
      <c r="S1334" s="9" t="s">
        <v>276</v>
      </c>
      <c r="T1334" s="51" t="s">
        <v>2331</v>
      </c>
      <c r="U1334" s="13">
        <v>77443</v>
      </c>
      <c r="V1334" s="38">
        <v>77444</v>
      </c>
      <c r="W1334" s="8" t="s">
        <v>276</v>
      </c>
      <c r="X1334" s="8" t="s">
        <v>276</v>
      </c>
      <c r="Y1334" s="90" t="s">
        <v>10820</v>
      </c>
      <c r="Z1334" s="9" t="s">
        <v>10821</v>
      </c>
      <c r="AA1334" s="90" t="s">
        <v>10822</v>
      </c>
      <c r="AB1334" s="9" t="s">
        <v>10823</v>
      </c>
      <c r="AC1334" s="9" t="s">
        <v>10914</v>
      </c>
      <c r="AD1334" s="9" t="s">
        <v>6506</v>
      </c>
      <c r="AE1334" s="8">
        <v>45</v>
      </c>
      <c r="AF1334" s="8">
        <v>42</v>
      </c>
      <c r="AG1334" s="13">
        <v>77443</v>
      </c>
      <c r="AH1334" s="38">
        <v>77444</v>
      </c>
      <c r="AI1334" s="38" t="s">
        <v>2047</v>
      </c>
      <c r="AJ1334" s="14" t="s">
        <v>276</v>
      </c>
      <c r="AK1334" s="31">
        <f t="shared" si="194"/>
        <v>0.58107253076456233</v>
      </c>
      <c r="AL1334" s="14" t="s">
        <v>276</v>
      </c>
      <c r="AM1334" s="14" t="s">
        <v>276</v>
      </c>
      <c r="AN1334" s="14" t="s">
        <v>276</v>
      </c>
      <c r="AO1334" s="31">
        <f t="shared" si="195"/>
        <v>0.5423273591240122</v>
      </c>
      <c r="AP1334" s="14" t="s">
        <v>276</v>
      </c>
      <c r="AQ1334" s="14" t="s">
        <v>276</v>
      </c>
      <c r="AR1334" s="8" t="s">
        <v>268</v>
      </c>
      <c r="AS1334" s="14" t="s">
        <v>276</v>
      </c>
      <c r="AT1334" s="14">
        <f t="shared" si="196"/>
        <v>1.0714424064888277</v>
      </c>
      <c r="AU1334" s="14" t="s">
        <v>276</v>
      </c>
      <c r="AV1334" s="14" t="s">
        <v>276</v>
      </c>
      <c r="AW1334" s="8" t="s">
        <v>276</v>
      </c>
      <c r="AX1334" s="8" t="s">
        <v>282</v>
      </c>
      <c r="AY1334" s="8" t="s">
        <v>98</v>
      </c>
      <c r="AZ1334" s="8" t="s">
        <v>98</v>
      </c>
      <c r="BA1334" s="8" t="s">
        <v>98</v>
      </c>
      <c r="BB1334" s="8" t="s">
        <v>98</v>
      </c>
      <c r="BC1334" s="9" t="s">
        <v>9891</v>
      </c>
      <c r="BD1334" s="9"/>
      <c r="BE1334" s="33" t="s">
        <v>100</v>
      </c>
      <c r="BF1334" s="33" t="s">
        <v>98</v>
      </c>
    </row>
    <row r="1335" spans="1:58" s="7" customFormat="1" ht="130" x14ac:dyDescent="0.3">
      <c r="A1335" s="8">
        <v>1169</v>
      </c>
      <c r="B1335" s="8" t="s">
        <v>10742</v>
      </c>
      <c r="C1335" s="8" t="s">
        <v>11079</v>
      </c>
      <c r="D1335" s="9" t="s">
        <v>10915</v>
      </c>
      <c r="E1335" s="8" t="s">
        <v>36</v>
      </c>
      <c r="F1335" s="9" t="s">
        <v>134</v>
      </c>
      <c r="G1335" s="8" t="s">
        <v>225</v>
      </c>
      <c r="H1335" s="8" t="s">
        <v>125</v>
      </c>
      <c r="I1335" s="8" t="s">
        <v>114</v>
      </c>
      <c r="J1335" s="9" t="s">
        <v>24</v>
      </c>
      <c r="K1335" s="9" t="s">
        <v>10744</v>
      </c>
      <c r="L1335" s="9" t="s">
        <v>10760</v>
      </c>
      <c r="M1335" s="8" t="s">
        <v>14</v>
      </c>
      <c r="N1335" s="11" t="s">
        <v>98</v>
      </c>
      <c r="O1335" s="12" t="s">
        <v>207</v>
      </c>
      <c r="P1335" s="41" t="s">
        <v>98</v>
      </c>
      <c r="Q1335" s="9" t="s">
        <v>733</v>
      </c>
      <c r="R1335" s="9" t="s">
        <v>276</v>
      </c>
      <c r="S1335" s="9" t="s">
        <v>276</v>
      </c>
      <c r="T1335" s="51" t="s">
        <v>1191</v>
      </c>
      <c r="U1335" s="13">
        <v>77443</v>
      </c>
      <c r="V1335" s="38">
        <v>77444</v>
      </c>
      <c r="W1335" s="8" t="s">
        <v>276</v>
      </c>
      <c r="X1335" s="8" t="s">
        <v>276</v>
      </c>
      <c r="Y1335" s="90" t="s">
        <v>10826</v>
      </c>
      <c r="Z1335" s="9" t="s">
        <v>10827</v>
      </c>
      <c r="AA1335" s="90" t="s">
        <v>10816</v>
      </c>
      <c r="AB1335" s="9" t="s">
        <v>10817</v>
      </c>
      <c r="AC1335" s="9" t="s">
        <v>10916</v>
      </c>
      <c r="AD1335" s="9" t="s">
        <v>6506</v>
      </c>
      <c r="AE1335" s="8">
        <v>54</v>
      </c>
      <c r="AF1335" s="8">
        <v>54</v>
      </c>
      <c r="AG1335" s="13">
        <v>77443</v>
      </c>
      <c r="AH1335" s="38">
        <v>77444</v>
      </c>
      <c r="AI1335" s="38" t="s">
        <v>2047</v>
      </c>
      <c r="AJ1335" s="14" t="s">
        <v>276</v>
      </c>
      <c r="AK1335" s="31">
        <f t="shared" si="194"/>
        <v>0.69728703691747473</v>
      </c>
      <c r="AL1335" s="14" t="s">
        <v>276</v>
      </c>
      <c r="AM1335" s="14" t="s">
        <v>276</v>
      </c>
      <c r="AN1335" s="14" t="s">
        <v>276</v>
      </c>
      <c r="AO1335" s="31">
        <f t="shared" si="195"/>
        <v>0.69727803315944425</v>
      </c>
      <c r="AP1335" s="14" t="s">
        <v>276</v>
      </c>
      <c r="AQ1335" s="14" t="s">
        <v>276</v>
      </c>
      <c r="AR1335" s="8" t="s">
        <v>268</v>
      </c>
      <c r="AS1335" s="14" t="s">
        <v>276</v>
      </c>
      <c r="AT1335" s="14">
        <f t="shared" si="196"/>
        <v>1.0000129127229058</v>
      </c>
      <c r="AU1335" s="14" t="s">
        <v>276</v>
      </c>
      <c r="AV1335" s="14" t="s">
        <v>276</v>
      </c>
      <c r="AW1335" s="8" t="s">
        <v>276</v>
      </c>
      <c r="AX1335" s="8" t="s">
        <v>282</v>
      </c>
      <c r="AY1335" s="8" t="s">
        <v>98</v>
      </c>
      <c r="AZ1335" s="8" t="s">
        <v>98</v>
      </c>
      <c r="BA1335" s="8" t="s">
        <v>98</v>
      </c>
      <c r="BB1335" s="8" t="s">
        <v>98</v>
      </c>
      <c r="BC1335" s="9" t="s">
        <v>9891</v>
      </c>
      <c r="BD1335" s="9"/>
      <c r="BE1335" s="33" t="s">
        <v>100</v>
      </c>
      <c r="BF1335" s="33" t="s">
        <v>98</v>
      </c>
    </row>
    <row r="1336" spans="1:58" s="7" customFormat="1" ht="130" x14ac:dyDescent="0.3">
      <c r="A1336" s="8">
        <v>1169</v>
      </c>
      <c r="B1336" s="8" t="s">
        <v>10742</v>
      </c>
      <c r="C1336" s="8" t="s">
        <v>11079</v>
      </c>
      <c r="D1336" s="9" t="s">
        <v>10917</v>
      </c>
      <c r="E1336" s="8" t="s">
        <v>36</v>
      </c>
      <c r="F1336" s="9" t="s">
        <v>134</v>
      </c>
      <c r="G1336" s="8" t="s">
        <v>225</v>
      </c>
      <c r="H1336" s="8" t="s">
        <v>125</v>
      </c>
      <c r="I1336" s="8" t="s">
        <v>114</v>
      </c>
      <c r="J1336" s="9" t="s">
        <v>24</v>
      </c>
      <c r="K1336" s="9" t="s">
        <v>10744</v>
      </c>
      <c r="L1336" s="9" t="s">
        <v>10760</v>
      </c>
      <c r="M1336" s="8" t="s">
        <v>14</v>
      </c>
      <c r="N1336" s="11" t="s">
        <v>98</v>
      </c>
      <c r="O1336" s="12" t="s">
        <v>207</v>
      </c>
      <c r="P1336" s="41" t="s">
        <v>98</v>
      </c>
      <c r="Q1336" s="9" t="s">
        <v>741</v>
      </c>
      <c r="R1336" s="9" t="s">
        <v>276</v>
      </c>
      <c r="S1336" s="9" t="s">
        <v>276</v>
      </c>
      <c r="T1336" s="51" t="s">
        <v>1191</v>
      </c>
      <c r="U1336" s="13">
        <v>77443</v>
      </c>
      <c r="V1336" s="38">
        <v>77444</v>
      </c>
      <c r="W1336" s="8" t="s">
        <v>276</v>
      </c>
      <c r="X1336" s="8" t="s">
        <v>276</v>
      </c>
      <c r="Y1336" s="90" t="s">
        <v>10826</v>
      </c>
      <c r="Z1336" s="9" t="s">
        <v>10827</v>
      </c>
      <c r="AA1336" s="90" t="s">
        <v>10820</v>
      </c>
      <c r="AB1336" s="9" t="s">
        <v>10821</v>
      </c>
      <c r="AC1336" s="9" t="s">
        <v>10918</v>
      </c>
      <c r="AD1336" s="9" t="s">
        <v>6506</v>
      </c>
      <c r="AE1336" s="8">
        <v>66</v>
      </c>
      <c r="AF1336" s="8">
        <v>66</v>
      </c>
      <c r="AG1336" s="13">
        <v>77443</v>
      </c>
      <c r="AH1336" s="38">
        <v>77444</v>
      </c>
      <c r="AI1336" s="38" t="s">
        <v>2047</v>
      </c>
      <c r="AJ1336" s="14" t="s">
        <v>276</v>
      </c>
      <c r="AK1336" s="31">
        <f t="shared" si="194"/>
        <v>0.85223971178802471</v>
      </c>
      <c r="AL1336" s="14" t="s">
        <v>276</v>
      </c>
      <c r="AM1336" s="14" t="s">
        <v>276</v>
      </c>
      <c r="AN1336" s="14" t="s">
        <v>276</v>
      </c>
      <c r="AO1336" s="31">
        <f t="shared" si="195"/>
        <v>0.85222870719487631</v>
      </c>
      <c r="AP1336" s="14" t="s">
        <v>276</v>
      </c>
      <c r="AQ1336" s="14" t="s">
        <v>276</v>
      </c>
      <c r="AR1336" s="8" t="s">
        <v>268</v>
      </c>
      <c r="AS1336" s="14" t="s">
        <v>276</v>
      </c>
      <c r="AT1336" s="14">
        <f t="shared" si="196"/>
        <v>1.0000129127229058</v>
      </c>
      <c r="AU1336" s="14" t="s">
        <v>276</v>
      </c>
      <c r="AV1336" s="14" t="s">
        <v>276</v>
      </c>
      <c r="AW1336" s="8" t="s">
        <v>276</v>
      </c>
      <c r="AX1336" s="8" t="s">
        <v>282</v>
      </c>
      <c r="AY1336" s="8" t="s">
        <v>98</v>
      </c>
      <c r="AZ1336" s="8" t="s">
        <v>98</v>
      </c>
      <c r="BA1336" s="8" t="s">
        <v>98</v>
      </c>
      <c r="BB1336" s="8" t="s">
        <v>98</v>
      </c>
      <c r="BC1336" s="9" t="s">
        <v>9891</v>
      </c>
      <c r="BD1336" s="9"/>
      <c r="BE1336" s="33" t="s">
        <v>100</v>
      </c>
      <c r="BF1336" s="33" t="s">
        <v>98</v>
      </c>
    </row>
    <row r="1337" spans="1:58" s="7" customFormat="1" ht="130" x14ac:dyDescent="0.3">
      <c r="A1337" s="8">
        <v>1169</v>
      </c>
      <c r="B1337" s="8" t="s">
        <v>10742</v>
      </c>
      <c r="C1337" s="8" t="s">
        <v>11079</v>
      </c>
      <c r="D1337" s="9" t="s">
        <v>10919</v>
      </c>
      <c r="E1337" s="8" t="s">
        <v>36</v>
      </c>
      <c r="F1337" s="9" t="s">
        <v>134</v>
      </c>
      <c r="G1337" s="8" t="s">
        <v>225</v>
      </c>
      <c r="H1337" s="8" t="s">
        <v>125</v>
      </c>
      <c r="I1337" s="8" t="s">
        <v>114</v>
      </c>
      <c r="J1337" s="9" t="s">
        <v>24</v>
      </c>
      <c r="K1337" s="9" t="s">
        <v>10744</v>
      </c>
      <c r="L1337" s="9" t="s">
        <v>10760</v>
      </c>
      <c r="M1337" s="8" t="s">
        <v>14</v>
      </c>
      <c r="N1337" s="11" t="s">
        <v>98</v>
      </c>
      <c r="O1337" s="12" t="s">
        <v>207</v>
      </c>
      <c r="P1337" s="41" t="s">
        <v>98</v>
      </c>
      <c r="Q1337" s="9" t="s">
        <v>746</v>
      </c>
      <c r="R1337" s="9" t="s">
        <v>276</v>
      </c>
      <c r="S1337" s="9" t="s">
        <v>276</v>
      </c>
      <c r="T1337" s="51" t="s">
        <v>1191</v>
      </c>
      <c r="U1337" s="13">
        <v>77443</v>
      </c>
      <c r="V1337" s="38">
        <v>77444</v>
      </c>
      <c r="W1337" s="8" t="s">
        <v>276</v>
      </c>
      <c r="X1337" s="8" t="s">
        <v>276</v>
      </c>
      <c r="Y1337" s="90" t="s">
        <v>10826</v>
      </c>
      <c r="Z1337" s="9" t="s">
        <v>10827</v>
      </c>
      <c r="AA1337" s="90" t="s">
        <v>10724</v>
      </c>
      <c r="AB1337" s="9" t="s">
        <v>10832</v>
      </c>
      <c r="AC1337" s="9" t="s">
        <v>10920</v>
      </c>
      <c r="AD1337" s="9" t="s">
        <v>6506</v>
      </c>
      <c r="AE1337" s="8">
        <v>90</v>
      </c>
      <c r="AF1337" s="8">
        <v>76</v>
      </c>
      <c r="AG1337" s="13">
        <v>77443</v>
      </c>
      <c r="AH1337" s="38">
        <v>77444</v>
      </c>
      <c r="AI1337" s="38" t="s">
        <v>2047</v>
      </c>
      <c r="AJ1337" s="14" t="s">
        <v>276</v>
      </c>
      <c r="AK1337" s="31">
        <f t="shared" si="194"/>
        <v>1.1621450615291247</v>
      </c>
      <c r="AL1337" s="14" t="s">
        <v>276</v>
      </c>
      <c r="AM1337" s="14" t="s">
        <v>276</v>
      </c>
      <c r="AN1337" s="14" t="s">
        <v>276</v>
      </c>
      <c r="AO1337" s="31">
        <f t="shared" si="195"/>
        <v>0.98135426889106969</v>
      </c>
      <c r="AP1337" s="14" t="s">
        <v>276</v>
      </c>
      <c r="AQ1337" s="14" t="s">
        <v>276</v>
      </c>
      <c r="AR1337" s="8" t="s">
        <v>268</v>
      </c>
      <c r="AS1337" s="14" t="s">
        <v>276</v>
      </c>
      <c r="AT1337" s="14">
        <f t="shared" si="196"/>
        <v>1.1842258176981779</v>
      </c>
      <c r="AU1337" s="14" t="s">
        <v>276</v>
      </c>
      <c r="AV1337" s="14" t="s">
        <v>276</v>
      </c>
      <c r="AW1337" s="8" t="s">
        <v>276</v>
      </c>
      <c r="AX1337" s="8" t="s">
        <v>282</v>
      </c>
      <c r="AY1337" s="8" t="s">
        <v>98</v>
      </c>
      <c r="AZ1337" s="8" t="s">
        <v>98</v>
      </c>
      <c r="BA1337" s="8" t="s">
        <v>98</v>
      </c>
      <c r="BB1337" s="8" t="s">
        <v>98</v>
      </c>
      <c r="BC1337" s="9" t="s">
        <v>9891</v>
      </c>
      <c r="BD1337" s="9"/>
      <c r="BE1337" s="33" t="s">
        <v>100</v>
      </c>
      <c r="BF1337" s="33" t="s">
        <v>98</v>
      </c>
    </row>
    <row r="1338" spans="1:58" s="7" customFormat="1" ht="130" x14ac:dyDescent="0.3">
      <c r="A1338" s="8">
        <v>1169</v>
      </c>
      <c r="B1338" s="8" t="s">
        <v>10742</v>
      </c>
      <c r="C1338" s="8" t="s">
        <v>11079</v>
      </c>
      <c r="D1338" s="9" t="s">
        <v>10921</v>
      </c>
      <c r="E1338" s="8" t="s">
        <v>36</v>
      </c>
      <c r="F1338" s="9" t="s">
        <v>134</v>
      </c>
      <c r="G1338" s="8" t="s">
        <v>225</v>
      </c>
      <c r="H1338" s="8" t="s">
        <v>125</v>
      </c>
      <c r="I1338" s="8" t="s">
        <v>114</v>
      </c>
      <c r="J1338" s="9" t="s">
        <v>24</v>
      </c>
      <c r="K1338" s="9" t="s">
        <v>10744</v>
      </c>
      <c r="L1338" s="9" t="s">
        <v>10760</v>
      </c>
      <c r="M1338" s="8" t="s">
        <v>14</v>
      </c>
      <c r="N1338" s="11" t="s">
        <v>98</v>
      </c>
      <c r="O1338" s="12" t="s">
        <v>207</v>
      </c>
      <c r="P1338" s="41" t="s">
        <v>98</v>
      </c>
      <c r="Q1338" s="9" t="s">
        <v>752</v>
      </c>
      <c r="R1338" s="9" t="s">
        <v>276</v>
      </c>
      <c r="S1338" s="9" t="s">
        <v>276</v>
      </c>
      <c r="T1338" s="51" t="s">
        <v>1191</v>
      </c>
      <c r="U1338" s="13">
        <v>77443</v>
      </c>
      <c r="V1338" s="38">
        <v>77444</v>
      </c>
      <c r="W1338" s="8" t="s">
        <v>276</v>
      </c>
      <c r="X1338" s="8" t="s">
        <v>276</v>
      </c>
      <c r="Y1338" s="90" t="s">
        <v>10835</v>
      </c>
      <c r="Z1338" s="9" t="s">
        <v>10836</v>
      </c>
      <c r="AA1338" s="90" t="s">
        <v>10724</v>
      </c>
      <c r="AB1338" s="9" t="s">
        <v>10832</v>
      </c>
      <c r="AC1338" s="9" t="s">
        <v>10922</v>
      </c>
      <c r="AD1338" s="9" t="s">
        <v>6506</v>
      </c>
      <c r="AE1338" s="8">
        <v>107</v>
      </c>
      <c r="AF1338" s="8">
        <v>94</v>
      </c>
      <c r="AG1338" s="13">
        <v>77443</v>
      </c>
      <c r="AH1338" s="38">
        <v>77444</v>
      </c>
      <c r="AI1338" s="38" t="s">
        <v>2047</v>
      </c>
      <c r="AJ1338" s="14" t="s">
        <v>276</v>
      </c>
      <c r="AK1338" s="31">
        <f t="shared" si="194"/>
        <v>1.3816613509290705</v>
      </c>
      <c r="AL1338" s="14" t="s">
        <v>276</v>
      </c>
      <c r="AM1338" s="14" t="s">
        <v>276</v>
      </c>
      <c r="AN1338" s="14" t="s">
        <v>276</v>
      </c>
      <c r="AO1338" s="31">
        <f t="shared" si="195"/>
        <v>1.2137802799442177</v>
      </c>
      <c r="AP1338" s="14" t="s">
        <v>276</v>
      </c>
      <c r="AQ1338" s="14" t="s">
        <v>276</v>
      </c>
      <c r="AR1338" s="8" t="s">
        <v>268</v>
      </c>
      <c r="AS1338" s="14" t="s">
        <v>276</v>
      </c>
      <c r="AT1338" s="14">
        <f t="shared" si="196"/>
        <v>1.1383125708654356</v>
      </c>
      <c r="AU1338" s="14" t="s">
        <v>276</v>
      </c>
      <c r="AV1338" s="14" t="s">
        <v>276</v>
      </c>
      <c r="AW1338" s="8" t="s">
        <v>276</v>
      </c>
      <c r="AX1338" s="8" t="s">
        <v>282</v>
      </c>
      <c r="AY1338" s="8" t="s">
        <v>98</v>
      </c>
      <c r="AZ1338" s="8" t="s">
        <v>98</v>
      </c>
      <c r="BA1338" s="8" t="s">
        <v>98</v>
      </c>
      <c r="BB1338" s="8" t="s">
        <v>98</v>
      </c>
      <c r="BC1338" s="9" t="s">
        <v>9891</v>
      </c>
      <c r="BD1338" s="9"/>
      <c r="BE1338" s="33" t="s">
        <v>100</v>
      </c>
      <c r="BF1338" s="33" t="s">
        <v>98</v>
      </c>
    </row>
    <row r="1339" spans="1:58" s="7" customFormat="1" ht="130" x14ac:dyDescent="0.3">
      <c r="A1339" s="8">
        <v>1169</v>
      </c>
      <c r="B1339" s="8" t="s">
        <v>10742</v>
      </c>
      <c r="C1339" s="8" t="s">
        <v>11079</v>
      </c>
      <c r="D1339" s="9" t="s">
        <v>10923</v>
      </c>
      <c r="E1339" s="8" t="s">
        <v>36</v>
      </c>
      <c r="F1339" s="9" t="s">
        <v>134</v>
      </c>
      <c r="G1339" s="8" t="s">
        <v>225</v>
      </c>
      <c r="H1339" s="8" t="s">
        <v>125</v>
      </c>
      <c r="I1339" s="8" t="s">
        <v>114</v>
      </c>
      <c r="J1339" s="9" t="s">
        <v>24</v>
      </c>
      <c r="K1339" s="9" t="s">
        <v>10744</v>
      </c>
      <c r="L1339" s="9" t="s">
        <v>10760</v>
      </c>
      <c r="M1339" s="8" t="s">
        <v>14</v>
      </c>
      <c r="N1339" s="11" t="s">
        <v>98</v>
      </c>
      <c r="O1339" s="12" t="s">
        <v>207</v>
      </c>
      <c r="P1339" s="41" t="s">
        <v>98</v>
      </c>
      <c r="Q1339" s="9" t="s">
        <v>766</v>
      </c>
      <c r="R1339" s="9" t="s">
        <v>276</v>
      </c>
      <c r="S1339" s="9" t="s">
        <v>276</v>
      </c>
      <c r="T1339" s="51" t="s">
        <v>1191</v>
      </c>
      <c r="U1339" s="13">
        <v>77443</v>
      </c>
      <c r="V1339" s="38">
        <v>77444</v>
      </c>
      <c r="W1339" s="8" t="s">
        <v>276</v>
      </c>
      <c r="X1339" s="8" t="s">
        <v>276</v>
      </c>
      <c r="Y1339" s="90" t="s">
        <v>10839</v>
      </c>
      <c r="Z1339" s="9" t="s">
        <v>10840</v>
      </c>
      <c r="AA1339" s="90" t="s">
        <v>10724</v>
      </c>
      <c r="AB1339" s="9" t="s">
        <v>10832</v>
      </c>
      <c r="AC1339" s="9" t="s">
        <v>10924</v>
      </c>
      <c r="AD1339" s="9" t="s">
        <v>6506</v>
      </c>
      <c r="AE1339" s="8">
        <v>125</v>
      </c>
      <c r="AF1339" s="8">
        <v>109</v>
      </c>
      <c r="AG1339" s="13">
        <v>77443</v>
      </c>
      <c r="AH1339" s="38">
        <v>77444</v>
      </c>
      <c r="AI1339" s="38" t="s">
        <v>2047</v>
      </c>
      <c r="AJ1339" s="14" t="s">
        <v>276</v>
      </c>
      <c r="AK1339" s="31">
        <f t="shared" si="194"/>
        <v>1.6140903632348953</v>
      </c>
      <c r="AL1339" s="14" t="s">
        <v>276</v>
      </c>
      <c r="AM1339" s="14" t="s">
        <v>276</v>
      </c>
      <c r="AN1339" s="14" t="s">
        <v>276</v>
      </c>
      <c r="AO1339" s="31">
        <f t="shared" si="195"/>
        <v>1.4074686224885078</v>
      </c>
      <c r="AP1339" s="14" t="s">
        <v>276</v>
      </c>
      <c r="AQ1339" s="14" t="s">
        <v>276</v>
      </c>
      <c r="AR1339" s="8" t="s">
        <v>268</v>
      </c>
      <c r="AS1339" s="14" t="s">
        <v>276</v>
      </c>
      <c r="AT1339" s="14">
        <f t="shared" si="196"/>
        <v>1.1468037989941582</v>
      </c>
      <c r="AU1339" s="14" t="s">
        <v>276</v>
      </c>
      <c r="AV1339" s="14" t="s">
        <v>276</v>
      </c>
      <c r="AW1339" s="8" t="s">
        <v>276</v>
      </c>
      <c r="AX1339" s="8" t="s">
        <v>282</v>
      </c>
      <c r="AY1339" s="8" t="s">
        <v>98</v>
      </c>
      <c r="AZ1339" s="8" t="s">
        <v>98</v>
      </c>
      <c r="BA1339" s="8" t="s">
        <v>98</v>
      </c>
      <c r="BB1339" s="8" t="s">
        <v>98</v>
      </c>
      <c r="BC1339" s="9" t="s">
        <v>9891</v>
      </c>
      <c r="BD1339" s="9"/>
      <c r="BE1339" s="33" t="s">
        <v>100</v>
      </c>
      <c r="BF1339" s="33" t="s">
        <v>98</v>
      </c>
    </row>
    <row r="1340" spans="1:58" s="7" customFormat="1" ht="130" x14ac:dyDescent="0.3">
      <c r="A1340" s="8">
        <v>1169</v>
      </c>
      <c r="B1340" s="8" t="s">
        <v>10742</v>
      </c>
      <c r="C1340" s="8" t="s">
        <v>11079</v>
      </c>
      <c r="D1340" s="9" t="s">
        <v>10925</v>
      </c>
      <c r="E1340" s="8" t="s">
        <v>36</v>
      </c>
      <c r="F1340" s="9" t="s">
        <v>134</v>
      </c>
      <c r="G1340" s="8" t="s">
        <v>225</v>
      </c>
      <c r="H1340" s="8" t="s">
        <v>125</v>
      </c>
      <c r="I1340" s="8" t="s">
        <v>114</v>
      </c>
      <c r="J1340" s="9" t="s">
        <v>24</v>
      </c>
      <c r="K1340" s="9" t="s">
        <v>10744</v>
      </c>
      <c r="L1340" s="9" t="s">
        <v>10760</v>
      </c>
      <c r="M1340" s="8" t="s">
        <v>14</v>
      </c>
      <c r="N1340" s="11" t="s">
        <v>98</v>
      </c>
      <c r="O1340" s="12" t="s">
        <v>207</v>
      </c>
      <c r="P1340" s="41" t="s">
        <v>98</v>
      </c>
      <c r="Q1340" s="9" t="s">
        <v>770</v>
      </c>
      <c r="R1340" s="9" t="s">
        <v>276</v>
      </c>
      <c r="S1340" s="9" t="s">
        <v>276</v>
      </c>
      <c r="T1340" s="51" t="s">
        <v>1191</v>
      </c>
      <c r="U1340" s="13">
        <v>77443</v>
      </c>
      <c r="V1340" s="38">
        <v>77444</v>
      </c>
      <c r="W1340" s="8" t="s">
        <v>276</v>
      </c>
      <c r="X1340" s="8" t="s">
        <v>276</v>
      </c>
      <c r="Y1340" s="90" t="s">
        <v>10839</v>
      </c>
      <c r="Z1340" s="9" t="s">
        <v>10840</v>
      </c>
      <c r="AA1340" s="90" t="s">
        <v>10843</v>
      </c>
      <c r="AB1340" s="9" t="s">
        <v>10844</v>
      </c>
      <c r="AC1340" s="9" t="s">
        <v>10926</v>
      </c>
      <c r="AD1340" s="9" t="s">
        <v>6506</v>
      </c>
      <c r="AE1340" s="8">
        <v>135</v>
      </c>
      <c r="AF1340" s="8">
        <v>129</v>
      </c>
      <c r="AG1340" s="13">
        <v>77443</v>
      </c>
      <c r="AH1340" s="38">
        <v>77444</v>
      </c>
      <c r="AI1340" s="38" t="s">
        <v>2047</v>
      </c>
      <c r="AJ1340" s="14" t="s">
        <v>276</v>
      </c>
      <c r="AK1340" s="31">
        <f t="shared" si="194"/>
        <v>1.743217592293687</v>
      </c>
      <c r="AL1340" s="14" t="s">
        <v>276</v>
      </c>
      <c r="AM1340" s="14" t="s">
        <v>276</v>
      </c>
      <c r="AN1340" s="14" t="s">
        <v>276</v>
      </c>
      <c r="AO1340" s="31">
        <f t="shared" si="195"/>
        <v>1.6657197458808946</v>
      </c>
      <c r="AP1340" s="14" t="s">
        <v>276</v>
      </c>
      <c r="AQ1340" s="14" t="s">
        <v>276</v>
      </c>
      <c r="AR1340" s="8" t="s">
        <v>268</v>
      </c>
      <c r="AS1340" s="14" t="s">
        <v>276</v>
      </c>
      <c r="AT1340" s="14">
        <f t="shared" si="196"/>
        <v>1.0465251412216456</v>
      </c>
      <c r="AU1340" s="14" t="s">
        <v>276</v>
      </c>
      <c r="AV1340" s="14" t="s">
        <v>276</v>
      </c>
      <c r="AW1340" s="8" t="s">
        <v>276</v>
      </c>
      <c r="AX1340" s="8" t="s">
        <v>282</v>
      </c>
      <c r="AY1340" s="8" t="s">
        <v>98</v>
      </c>
      <c r="AZ1340" s="8" t="s">
        <v>98</v>
      </c>
      <c r="BA1340" s="8" t="s">
        <v>98</v>
      </c>
      <c r="BB1340" s="8" t="s">
        <v>98</v>
      </c>
      <c r="BC1340" s="9" t="s">
        <v>9891</v>
      </c>
      <c r="BD1340" s="9"/>
      <c r="BE1340" s="33" t="s">
        <v>100</v>
      </c>
      <c r="BF1340" s="33" t="s">
        <v>98</v>
      </c>
    </row>
    <row r="1341" spans="1:58" s="7" customFormat="1" ht="130" x14ac:dyDescent="0.3">
      <c r="A1341" s="8">
        <v>1169</v>
      </c>
      <c r="B1341" s="8" t="s">
        <v>10742</v>
      </c>
      <c r="C1341" s="8" t="s">
        <v>11079</v>
      </c>
      <c r="D1341" s="9" t="s">
        <v>10927</v>
      </c>
      <c r="E1341" s="8" t="s">
        <v>36</v>
      </c>
      <c r="F1341" s="9" t="s">
        <v>134</v>
      </c>
      <c r="G1341" s="8" t="s">
        <v>225</v>
      </c>
      <c r="H1341" s="8" t="s">
        <v>125</v>
      </c>
      <c r="I1341" s="8" t="s">
        <v>114</v>
      </c>
      <c r="J1341" s="9" t="s">
        <v>24</v>
      </c>
      <c r="K1341" s="9" t="s">
        <v>10744</v>
      </c>
      <c r="L1341" s="9" t="s">
        <v>10760</v>
      </c>
      <c r="M1341" s="8" t="s">
        <v>14</v>
      </c>
      <c r="N1341" s="11" t="s">
        <v>98</v>
      </c>
      <c r="O1341" s="12" t="s">
        <v>207</v>
      </c>
      <c r="P1341" s="41" t="s">
        <v>98</v>
      </c>
      <c r="Q1341" s="9" t="s">
        <v>773</v>
      </c>
      <c r="R1341" s="9" t="s">
        <v>276</v>
      </c>
      <c r="S1341" s="9" t="s">
        <v>276</v>
      </c>
      <c r="T1341" s="51" t="s">
        <v>1191</v>
      </c>
      <c r="U1341" s="13">
        <v>77443</v>
      </c>
      <c r="V1341" s="38">
        <v>77444</v>
      </c>
      <c r="W1341" s="8" t="s">
        <v>276</v>
      </c>
      <c r="X1341" s="8" t="s">
        <v>276</v>
      </c>
      <c r="Y1341" s="90" t="s">
        <v>10847</v>
      </c>
      <c r="Z1341" s="9" t="s">
        <v>10848</v>
      </c>
      <c r="AA1341" s="90" t="s">
        <v>10826</v>
      </c>
      <c r="AB1341" s="9" t="s">
        <v>10827</v>
      </c>
      <c r="AC1341" s="9" t="s">
        <v>10928</v>
      </c>
      <c r="AD1341" s="9" t="s">
        <v>6506</v>
      </c>
      <c r="AE1341" s="8">
        <v>147</v>
      </c>
      <c r="AF1341" s="8">
        <v>141</v>
      </c>
      <c r="AG1341" s="13">
        <v>77443</v>
      </c>
      <c r="AH1341" s="38">
        <v>77444</v>
      </c>
      <c r="AI1341" s="38" t="s">
        <v>2047</v>
      </c>
      <c r="AJ1341" s="14" t="s">
        <v>276</v>
      </c>
      <c r="AK1341" s="31">
        <f t="shared" si="194"/>
        <v>1.8981702671642369</v>
      </c>
      <c r="AL1341" s="14" t="s">
        <v>276</v>
      </c>
      <c r="AM1341" s="14" t="s">
        <v>276</v>
      </c>
      <c r="AN1341" s="14" t="s">
        <v>276</v>
      </c>
      <c r="AO1341" s="31">
        <f t="shared" si="195"/>
        <v>1.8206704199163266</v>
      </c>
      <c r="AP1341" s="14" t="s">
        <v>276</v>
      </c>
      <c r="AQ1341" s="14" t="s">
        <v>276</v>
      </c>
      <c r="AR1341" s="8" t="s">
        <v>268</v>
      </c>
      <c r="AS1341" s="14" t="s">
        <v>276</v>
      </c>
      <c r="AT1341" s="14">
        <f t="shared" si="196"/>
        <v>1.0425666536898379</v>
      </c>
      <c r="AU1341" s="14" t="s">
        <v>276</v>
      </c>
      <c r="AV1341" s="14" t="s">
        <v>276</v>
      </c>
      <c r="AW1341" s="8" t="s">
        <v>276</v>
      </c>
      <c r="AX1341" s="8" t="s">
        <v>282</v>
      </c>
      <c r="AY1341" s="8" t="s">
        <v>98</v>
      </c>
      <c r="AZ1341" s="8" t="s">
        <v>98</v>
      </c>
      <c r="BA1341" s="8" t="s">
        <v>98</v>
      </c>
      <c r="BB1341" s="8" t="s">
        <v>98</v>
      </c>
      <c r="BC1341" s="9" t="s">
        <v>9891</v>
      </c>
      <c r="BD1341" s="9"/>
      <c r="BE1341" s="33" t="s">
        <v>100</v>
      </c>
      <c r="BF1341" s="33" t="s">
        <v>98</v>
      </c>
    </row>
    <row r="1342" spans="1:58" s="7" customFormat="1" ht="130" x14ac:dyDescent="0.3">
      <c r="A1342" s="8">
        <v>1169</v>
      </c>
      <c r="B1342" s="8" t="s">
        <v>10742</v>
      </c>
      <c r="C1342" s="8" t="s">
        <v>11079</v>
      </c>
      <c r="D1342" s="9" t="s">
        <v>10929</v>
      </c>
      <c r="E1342" s="8" t="s">
        <v>36</v>
      </c>
      <c r="F1342" s="9" t="s">
        <v>134</v>
      </c>
      <c r="G1342" s="8" t="s">
        <v>225</v>
      </c>
      <c r="H1342" s="8" t="s">
        <v>125</v>
      </c>
      <c r="I1342" s="8" t="s">
        <v>114</v>
      </c>
      <c r="J1342" s="9" t="s">
        <v>24</v>
      </c>
      <c r="K1342" s="9" t="s">
        <v>10744</v>
      </c>
      <c r="L1342" s="9" t="s">
        <v>10760</v>
      </c>
      <c r="M1342" s="8" t="s">
        <v>14</v>
      </c>
      <c r="N1342" s="11" t="s">
        <v>98</v>
      </c>
      <c r="O1342" s="12" t="s">
        <v>207</v>
      </c>
      <c r="P1342" s="41" t="s">
        <v>98</v>
      </c>
      <c r="Q1342" s="9" t="s">
        <v>776</v>
      </c>
      <c r="R1342" s="9" t="s">
        <v>276</v>
      </c>
      <c r="S1342" s="9" t="s">
        <v>276</v>
      </c>
      <c r="T1342" s="51" t="s">
        <v>1191</v>
      </c>
      <c r="U1342" s="13">
        <v>77443</v>
      </c>
      <c r="V1342" s="38">
        <v>77444</v>
      </c>
      <c r="W1342" s="8" t="s">
        <v>276</v>
      </c>
      <c r="X1342" s="8" t="s">
        <v>276</v>
      </c>
      <c r="Y1342" s="90" t="s">
        <v>10718</v>
      </c>
      <c r="Z1342" s="9" t="s">
        <v>10851</v>
      </c>
      <c r="AA1342" s="90" t="s">
        <v>10839</v>
      </c>
      <c r="AB1342" s="9" t="s">
        <v>10840</v>
      </c>
      <c r="AC1342" s="9" t="s">
        <v>10930</v>
      </c>
      <c r="AD1342" s="9" t="s">
        <v>6506</v>
      </c>
      <c r="AE1342" s="8">
        <v>162</v>
      </c>
      <c r="AF1342" s="8">
        <v>158</v>
      </c>
      <c r="AG1342" s="13">
        <v>77443</v>
      </c>
      <c r="AH1342" s="38">
        <v>77444</v>
      </c>
      <c r="AI1342" s="38" t="s">
        <v>2047</v>
      </c>
      <c r="AJ1342" s="14" t="s">
        <v>276</v>
      </c>
      <c r="AK1342" s="31">
        <f t="shared" si="194"/>
        <v>2.0918611107524243</v>
      </c>
      <c r="AL1342" s="14" t="s">
        <v>276</v>
      </c>
      <c r="AM1342" s="14" t="s">
        <v>276</v>
      </c>
      <c r="AN1342" s="14" t="s">
        <v>276</v>
      </c>
      <c r="AO1342" s="31">
        <f t="shared" si="195"/>
        <v>2.0401838747998555</v>
      </c>
      <c r="AP1342" s="14" t="s">
        <v>276</v>
      </c>
      <c r="AQ1342" s="14" t="s">
        <v>276</v>
      </c>
      <c r="AR1342" s="8" t="s">
        <v>268</v>
      </c>
      <c r="AS1342" s="14" t="s">
        <v>276</v>
      </c>
      <c r="AT1342" s="14">
        <f t="shared" si="196"/>
        <v>1.0253296953234856</v>
      </c>
      <c r="AU1342" s="14" t="s">
        <v>276</v>
      </c>
      <c r="AV1342" s="14" t="s">
        <v>276</v>
      </c>
      <c r="AW1342" s="8" t="s">
        <v>276</v>
      </c>
      <c r="AX1342" s="8" t="s">
        <v>282</v>
      </c>
      <c r="AY1342" s="8" t="s">
        <v>98</v>
      </c>
      <c r="AZ1342" s="8" t="s">
        <v>98</v>
      </c>
      <c r="BA1342" s="8" t="s">
        <v>98</v>
      </c>
      <c r="BB1342" s="8" t="s">
        <v>98</v>
      </c>
      <c r="BC1342" s="9" t="s">
        <v>9891</v>
      </c>
      <c r="BD1342" s="9"/>
      <c r="BE1342" s="33" t="s">
        <v>100</v>
      </c>
      <c r="BF1342" s="33" t="s">
        <v>98</v>
      </c>
    </row>
    <row r="1343" spans="1:58" s="7" customFormat="1" ht="130" x14ac:dyDescent="0.3">
      <c r="A1343" s="8">
        <v>1169</v>
      </c>
      <c r="B1343" s="8" t="s">
        <v>10742</v>
      </c>
      <c r="C1343" s="8" t="s">
        <v>11079</v>
      </c>
      <c r="D1343" s="9" t="s">
        <v>10931</v>
      </c>
      <c r="E1343" s="8" t="s">
        <v>36</v>
      </c>
      <c r="F1343" s="9" t="s">
        <v>134</v>
      </c>
      <c r="G1343" s="8" t="s">
        <v>225</v>
      </c>
      <c r="H1343" s="8" t="s">
        <v>125</v>
      </c>
      <c r="I1343" s="8" t="s">
        <v>114</v>
      </c>
      <c r="J1343" s="9" t="s">
        <v>24</v>
      </c>
      <c r="K1343" s="9" t="s">
        <v>10744</v>
      </c>
      <c r="L1343" s="9" t="s">
        <v>10760</v>
      </c>
      <c r="M1343" s="8" t="s">
        <v>14</v>
      </c>
      <c r="N1343" s="11" t="s">
        <v>98</v>
      </c>
      <c r="O1343" s="12" t="s">
        <v>207</v>
      </c>
      <c r="P1343" s="41" t="s">
        <v>98</v>
      </c>
      <c r="Q1343" s="9" t="s">
        <v>779</v>
      </c>
      <c r="R1343" s="9" t="s">
        <v>276</v>
      </c>
      <c r="S1343" s="9" t="s">
        <v>276</v>
      </c>
      <c r="T1343" s="51" t="s">
        <v>1191</v>
      </c>
      <c r="U1343" s="13">
        <v>77443</v>
      </c>
      <c r="V1343" s="38">
        <v>77444</v>
      </c>
      <c r="W1343" s="8" t="s">
        <v>276</v>
      </c>
      <c r="X1343" s="8" t="s">
        <v>276</v>
      </c>
      <c r="Y1343" s="90" t="s">
        <v>10719</v>
      </c>
      <c r="Z1343" s="9" t="s">
        <v>10854</v>
      </c>
      <c r="AA1343" s="90" t="s">
        <v>10855</v>
      </c>
      <c r="AB1343" s="9" t="s">
        <v>10856</v>
      </c>
      <c r="AC1343" s="9" t="s">
        <v>10932</v>
      </c>
      <c r="AD1343" s="9" t="s">
        <v>6506</v>
      </c>
      <c r="AE1343" s="8">
        <v>174</v>
      </c>
      <c r="AF1343" s="8">
        <v>173</v>
      </c>
      <c r="AG1343" s="13">
        <v>77443</v>
      </c>
      <c r="AH1343" s="38">
        <v>77444</v>
      </c>
      <c r="AI1343" s="38" t="s">
        <v>2047</v>
      </c>
      <c r="AJ1343" s="14" t="s">
        <v>276</v>
      </c>
      <c r="AK1343" s="31">
        <f t="shared" si="194"/>
        <v>2.2468137856229742</v>
      </c>
      <c r="AL1343" s="14" t="s">
        <v>276</v>
      </c>
      <c r="AM1343" s="14" t="s">
        <v>276</v>
      </c>
      <c r="AN1343" s="14" t="s">
        <v>276</v>
      </c>
      <c r="AO1343" s="31">
        <f t="shared" si="195"/>
        <v>2.2338722173441456</v>
      </c>
      <c r="AP1343" s="14" t="s">
        <v>276</v>
      </c>
      <c r="AQ1343" s="14" t="s">
        <v>276</v>
      </c>
      <c r="AR1343" s="8" t="s">
        <v>268</v>
      </c>
      <c r="AS1343" s="14" t="s">
        <v>276</v>
      </c>
      <c r="AT1343" s="14">
        <f t="shared" si="196"/>
        <v>1.0057933341837317</v>
      </c>
      <c r="AU1343" s="14" t="s">
        <v>276</v>
      </c>
      <c r="AV1343" s="14" t="s">
        <v>276</v>
      </c>
      <c r="AW1343" s="8" t="s">
        <v>276</v>
      </c>
      <c r="AX1343" s="8" t="s">
        <v>282</v>
      </c>
      <c r="AY1343" s="8" t="s">
        <v>98</v>
      </c>
      <c r="AZ1343" s="8" t="s">
        <v>98</v>
      </c>
      <c r="BA1343" s="8" t="s">
        <v>98</v>
      </c>
      <c r="BB1343" s="8" t="s">
        <v>98</v>
      </c>
      <c r="BC1343" s="9" t="s">
        <v>9891</v>
      </c>
      <c r="BD1343" s="9"/>
      <c r="BE1343" s="33" t="s">
        <v>100</v>
      </c>
      <c r="BF1343" s="33" t="s">
        <v>98</v>
      </c>
    </row>
    <row r="1344" spans="1:58" s="7" customFormat="1" ht="130" x14ac:dyDescent="0.3">
      <c r="A1344" s="8">
        <v>1169</v>
      </c>
      <c r="B1344" s="8" t="s">
        <v>10742</v>
      </c>
      <c r="C1344" s="8" t="s">
        <v>11079</v>
      </c>
      <c r="D1344" s="9" t="s">
        <v>10933</v>
      </c>
      <c r="E1344" s="8" t="s">
        <v>36</v>
      </c>
      <c r="F1344" s="9" t="s">
        <v>134</v>
      </c>
      <c r="G1344" s="8" t="s">
        <v>225</v>
      </c>
      <c r="H1344" s="8" t="s">
        <v>125</v>
      </c>
      <c r="I1344" s="8" t="s">
        <v>114</v>
      </c>
      <c r="J1344" s="9" t="s">
        <v>24</v>
      </c>
      <c r="K1344" s="9" t="s">
        <v>10744</v>
      </c>
      <c r="L1344" s="9" t="s">
        <v>10760</v>
      </c>
      <c r="M1344" s="8" t="s">
        <v>14</v>
      </c>
      <c r="N1344" s="11" t="s">
        <v>98</v>
      </c>
      <c r="O1344" s="12" t="s">
        <v>207</v>
      </c>
      <c r="P1344" s="41" t="s">
        <v>98</v>
      </c>
      <c r="Q1344" s="9" t="s">
        <v>782</v>
      </c>
      <c r="R1344" s="9" t="s">
        <v>276</v>
      </c>
      <c r="S1344" s="9" t="s">
        <v>276</v>
      </c>
      <c r="T1344" s="51" t="s">
        <v>1191</v>
      </c>
      <c r="U1344" s="13">
        <v>77443</v>
      </c>
      <c r="V1344" s="38">
        <v>77444</v>
      </c>
      <c r="W1344" s="8" t="s">
        <v>276</v>
      </c>
      <c r="X1344" s="8" t="s">
        <v>276</v>
      </c>
      <c r="Y1344" s="90" t="s">
        <v>10859</v>
      </c>
      <c r="Z1344" s="9" t="s">
        <v>10860</v>
      </c>
      <c r="AA1344" s="90" t="s">
        <v>10861</v>
      </c>
      <c r="AB1344" s="9" t="s">
        <v>10862</v>
      </c>
      <c r="AC1344" s="9" t="s">
        <v>10934</v>
      </c>
      <c r="AD1344" s="9" t="s">
        <v>6506</v>
      </c>
      <c r="AE1344" s="8">
        <v>182</v>
      </c>
      <c r="AF1344" s="8">
        <v>184</v>
      </c>
      <c r="AG1344" s="13">
        <v>77443</v>
      </c>
      <c r="AH1344" s="38">
        <v>77444</v>
      </c>
      <c r="AI1344" s="38" t="s">
        <v>2047</v>
      </c>
      <c r="AJ1344" s="14" t="s">
        <v>276</v>
      </c>
      <c r="AK1344" s="31">
        <f t="shared" si="194"/>
        <v>2.3501155688700077</v>
      </c>
      <c r="AL1344" s="14" t="s">
        <v>276</v>
      </c>
      <c r="AM1344" s="14" t="s">
        <v>276</v>
      </c>
      <c r="AN1344" s="14" t="s">
        <v>276</v>
      </c>
      <c r="AO1344" s="31">
        <f t="shared" si="195"/>
        <v>2.3759103352099582</v>
      </c>
      <c r="AP1344" s="14" t="s">
        <v>276</v>
      </c>
      <c r="AQ1344" s="14" t="s">
        <v>276</v>
      </c>
      <c r="AR1344" s="8" t="s">
        <v>268</v>
      </c>
      <c r="AS1344" s="14" t="s">
        <v>276</v>
      </c>
      <c r="AT1344" s="14">
        <f t="shared" si="196"/>
        <v>0.98914320714983084</v>
      </c>
      <c r="AU1344" s="14" t="s">
        <v>276</v>
      </c>
      <c r="AV1344" s="14" t="s">
        <v>276</v>
      </c>
      <c r="AW1344" s="8" t="s">
        <v>276</v>
      </c>
      <c r="AX1344" s="8" t="s">
        <v>282</v>
      </c>
      <c r="AY1344" s="8" t="s">
        <v>98</v>
      </c>
      <c r="AZ1344" s="8" t="s">
        <v>98</v>
      </c>
      <c r="BA1344" s="8" t="s">
        <v>98</v>
      </c>
      <c r="BB1344" s="8" t="s">
        <v>98</v>
      </c>
      <c r="BC1344" s="9" t="s">
        <v>9891</v>
      </c>
      <c r="BD1344" s="9"/>
      <c r="BE1344" s="33" t="s">
        <v>100</v>
      </c>
      <c r="BF1344" s="33" t="s">
        <v>98</v>
      </c>
    </row>
    <row r="1345" spans="1:58" s="7" customFormat="1" ht="130" x14ac:dyDescent="0.3">
      <c r="A1345" s="8">
        <v>1169</v>
      </c>
      <c r="B1345" s="8" t="s">
        <v>10742</v>
      </c>
      <c r="C1345" s="8" t="s">
        <v>11079</v>
      </c>
      <c r="D1345" s="9" t="s">
        <v>10935</v>
      </c>
      <c r="E1345" s="8" t="s">
        <v>36</v>
      </c>
      <c r="F1345" s="9" t="s">
        <v>134</v>
      </c>
      <c r="G1345" s="8" t="s">
        <v>225</v>
      </c>
      <c r="H1345" s="8" t="s">
        <v>125</v>
      </c>
      <c r="I1345" s="8" t="s">
        <v>114</v>
      </c>
      <c r="J1345" s="9" t="s">
        <v>24</v>
      </c>
      <c r="K1345" s="9" t="s">
        <v>10744</v>
      </c>
      <c r="L1345" s="9" t="s">
        <v>10760</v>
      </c>
      <c r="M1345" s="8" t="s">
        <v>14</v>
      </c>
      <c r="N1345" s="11" t="s">
        <v>98</v>
      </c>
      <c r="O1345" s="12" t="s">
        <v>207</v>
      </c>
      <c r="P1345" s="41" t="s">
        <v>98</v>
      </c>
      <c r="Q1345" s="9" t="s">
        <v>1252</v>
      </c>
      <c r="R1345" s="9" t="s">
        <v>276</v>
      </c>
      <c r="S1345" s="9" t="s">
        <v>276</v>
      </c>
      <c r="T1345" s="51" t="s">
        <v>1191</v>
      </c>
      <c r="U1345" s="13">
        <v>77443</v>
      </c>
      <c r="V1345" s="38">
        <v>77444</v>
      </c>
      <c r="W1345" s="8" t="s">
        <v>276</v>
      </c>
      <c r="X1345" s="8" t="s">
        <v>276</v>
      </c>
      <c r="Y1345" s="90" t="s">
        <v>10865</v>
      </c>
      <c r="Z1345" s="9" t="s">
        <v>10866</v>
      </c>
      <c r="AA1345" s="90" t="s">
        <v>10719</v>
      </c>
      <c r="AB1345" s="9" t="s">
        <v>10854</v>
      </c>
      <c r="AC1345" s="9" t="s">
        <v>10936</v>
      </c>
      <c r="AD1345" s="9" t="s">
        <v>6506</v>
      </c>
      <c r="AE1345" s="8">
        <v>195</v>
      </c>
      <c r="AF1345" s="8">
        <v>203</v>
      </c>
      <c r="AG1345" s="13">
        <v>77443</v>
      </c>
      <c r="AH1345" s="38">
        <v>77444</v>
      </c>
      <c r="AI1345" s="38" t="s">
        <v>2047</v>
      </c>
      <c r="AJ1345" s="14" t="s">
        <v>276</v>
      </c>
      <c r="AK1345" s="31">
        <f t="shared" si="194"/>
        <v>2.5179809666464368</v>
      </c>
      <c r="AL1345" s="14" t="s">
        <v>276</v>
      </c>
      <c r="AM1345" s="14" t="s">
        <v>276</v>
      </c>
      <c r="AN1345" s="14" t="s">
        <v>276</v>
      </c>
      <c r="AO1345" s="31">
        <f t="shared" si="195"/>
        <v>2.6212489024327255</v>
      </c>
      <c r="AP1345" s="14" t="s">
        <v>276</v>
      </c>
      <c r="AQ1345" s="14" t="s">
        <v>276</v>
      </c>
      <c r="AR1345" s="8" t="s">
        <v>268</v>
      </c>
      <c r="AS1345" s="14" t="s">
        <v>276</v>
      </c>
      <c r="AT1345" s="14">
        <f t="shared" si="196"/>
        <v>0.96060353685205246</v>
      </c>
      <c r="AU1345" s="14" t="s">
        <v>276</v>
      </c>
      <c r="AV1345" s="14" t="s">
        <v>276</v>
      </c>
      <c r="AW1345" s="8" t="s">
        <v>276</v>
      </c>
      <c r="AX1345" s="8" t="s">
        <v>282</v>
      </c>
      <c r="AY1345" s="8" t="s">
        <v>98</v>
      </c>
      <c r="AZ1345" s="8" t="s">
        <v>98</v>
      </c>
      <c r="BA1345" s="8" t="s">
        <v>98</v>
      </c>
      <c r="BB1345" s="8" t="s">
        <v>98</v>
      </c>
      <c r="BC1345" s="9" t="s">
        <v>9891</v>
      </c>
      <c r="BD1345" s="9"/>
      <c r="BE1345" s="33" t="s">
        <v>100</v>
      </c>
      <c r="BF1345" s="33" t="s">
        <v>98</v>
      </c>
    </row>
    <row r="1346" spans="1:58" s="7" customFormat="1" ht="130" x14ac:dyDescent="0.3">
      <c r="A1346" s="8">
        <v>1169</v>
      </c>
      <c r="B1346" s="8" t="s">
        <v>10742</v>
      </c>
      <c r="C1346" s="8" t="s">
        <v>11079</v>
      </c>
      <c r="D1346" s="9" t="s">
        <v>10937</v>
      </c>
      <c r="E1346" s="8" t="s">
        <v>36</v>
      </c>
      <c r="F1346" s="9" t="s">
        <v>134</v>
      </c>
      <c r="G1346" s="8" t="s">
        <v>225</v>
      </c>
      <c r="H1346" s="8" t="s">
        <v>125</v>
      </c>
      <c r="I1346" s="8" t="s">
        <v>114</v>
      </c>
      <c r="J1346" s="9" t="s">
        <v>24</v>
      </c>
      <c r="K1346" s="9" t="s">
        <v>10744</v>
      </c>
      <c r="L1346" s="9" t="s">
        <v>10760</v>
      </c>
      <c r="M1346" s="8" t="s">
        <v>14</v>
      </c>
      <c r="N1346" s="11" t="s">
        <v>98</v>
      </c>
      <c r="O1346" s="12" t="s">
        <v>207</v>
      </c>
      <c r="P1346" s="41" t="s">
        <v>98</v>
      </c>
      <c r="Q1346" s="9" t="s">
        <v>1255</v>
      </c>
      <c r="R1346" s="9" t="s">
        <v>276</v>
      </c>
      <c r="S1346" s="9" t="s">
        <v>276</v>
      </c>
      <c r="T1346" s="51" t="s">
        <v>1191</v>
      </c>
      <c r="U1346" s="13">
        <v>77443</v>
      </c>
      <c r="V1346" s="38">
        <v>77444</v>
      </c>
      <c r="W1346" s="8" t="s">
        <v>276</v>
      </c>
      <c r="X1346" s="8" t="s">
        <v>276</v>
      </c>
      <c r="Y1346" s="90" t="s">
        <v>10869</v>
      </c>
      <c r="Z1346" s="9" t="s">
        <v>10870</v>
      </c>
      <c r="AA1346" s="90" t="s">
        <v>10859</v>
      </c>
      <c r="AB1346" s="9" t="s">
        <v>10860</v>
      </c>
      <c r="AC1346" s="9" t="s">
        <v>10938</v>
      </c>
      <c r="AD1346" s="9" t="s">
        <v>6506</v>
      </c>
      <c r="AE1346" s="8">
        <v>204</v>
      </c>
      <c r="AF1346" s="8">
        <v>212</v>
      </c>
      <c r="AG1346" s="13">
        <v>77443</v>
      </c>
      <c r="AH1346" s="38">
        <v>77444</v>
      </c>
      <c r="AI1346" s="38" t="s">
        <v>2047</v>
      </c>
      <c r="AJ1346" s="14" t="s">
        <v>276</v>
      </c>
      <c r="AK1346" s="31">
        <f t="shared" si="194"/>
        <v>2.6341954727993491</v>
      </c>
      <c r="AL1346" s="14" t="s">
        <v>276</v>
      </c>
      <c r="AM1346" s="14" t="s">
        <v>276</v>
      </c>
      <c r="AN1346" s="14" t="s">
        <v>276</v>
      </c>
      <c r="AO1346" s="31">
        <f t="shared" si="195"/>
        <v>2.7374619079592994</v>
      </c>
      <c r="AP1346" s="14" t="s">
        <v>276</v>
      </c>
      <c r="AQ1346" s="14" t="s">
        <v>276</v>
      </c>
      <c r="AR1346" s="8" t="s">
        <v>268</v>
      </c>
      <c r="AS1346" s="14" t="s">
        <v>276</v>
      </c>
      <c r="AT1346" s="14">
        <f t="shared" si="196"/>
        <v>0.96227657639373965</v>
      </c>
      <c r="AU1346" s="14" t="s">
        <v>276</v>
      </c>
      <c r="AV1346" s="14" t="s">
        <v>276</v>
      </c>
      <c r="AW1346" s="8" t="s">
        <v>276</v>
      </c>
      <c r="AX1346" s="8" t="s">
        <v>282</v>
      </c>
      <c r="AY1346" s="8" t="s">
        <v>98</v>
      </c>
      <c r="AZ1346" s="8" t="s">
        <v>98</v>
      </c>
      <c r="BA1346" s="8" t="s">
        <v>98</v>
      </c>
      <c r="BB1346" s="8" t="s">
        <v>98</v>
      </c>
      <c r="BC1346" s="9" t="s">
        <v>9891</v>
      </c>
      <c r="BD1346" s="9"/>
      <c r="BE1346" s="33" t="s">
        <v>100</v>
      </c>
      <c r="BF1346" s="33" t="s">
        <v>98</v>
      </c>
    </row>
    <row r="1347" spans="1:58" s="7" customFormat="1" ht="130" x14ac:dyDescent="0.3">
      <c r="A1347" s="8">
        <v>1169</v>
      </c>
      <c r="B1347" s="8" t="s">
        <v>10742</v>
      </c>
      <c r="C1347" s="8" t="s">
        <v>11079</v>
      </c>
      <c r="D1347" s="9" t="s">
        <v>10939</v>
      </c>
      <c r="E1347" s="8" t="s">
        <v>36</v>
      </c>
      <c r="F1347" s="9" t="s">
        <v>134</v>
      </c>
      <c r="G1347" s="8" t="s">
        <v>225</v>
      </c>
      <c r="H1347" s="8" t="s">
        <v>125</v>
      </c>
      <c r="I1347" s="8" t="s">
        <v>114</v>
      </c>
      <c r="J1347" s="9" t="s">
        <v>24</v>
      </c>
      <c r="K1347" s="9" t="s">
        <v>10744</v>
      </c>
      <c r="L1347" s="9" t="s">
        <v>10760</v>
      </c>
      <c r="M1347" s="8" t="s">
        <v>14</v>
      </c>
      <c r="N1347" s="11" t="s">
        <v>98</v>
      </c>
      <c r="O1347" s="12" t="s">
        <v>207</v>
      </c>
      <c r="P1347" s="41" t="s">
        <v>98</v>
      </c>
      <c r="Q1347" s="9" t="s">
        <v>1258</v>
      </c>
      <c r="R1347" s="9" t="s">
        <v>276</v>
      </c>
      <c r="S1347" s="9" t="s">
        <v>276</v>
      </c>
      <c r="T1347" s="51" t="s">
        <v>1191</v>
      </c>
      <c r="U1347" s="13">
        <v>77443</v>
      </c>
      <c r="V1347" s="38">
        <v>77444</v>
      </c>
      <c r="W1347" s="8" t="s">
        <v>276</v>
      </c>
      <c r="X1347" s="8" t="s">
        <v>276</v>
      </c>
      <c r="Y1347" s="90" t="s">
        <v>10873</v>
      </c>
      <c r="Z1347" s="9" t="s">
        <v>10874</v>
      </c>
      <c r="AA1347" s="90" t="s">
        <v>10875</v>
      </c>
      <c r="AB1347" s="9" t="s">
        <v>10876</v>
      </c>
      <c r="AC1347" s="9" t="s">
        <v>10940</v>
      </c>
      <c r="AD1347" s="9" t="s">
        <v>6506</v>
      </c>
      <c r="AE1347" s="8">
        <v>211</v>
      </c>
      <c r="AF1347" s="8">
        <v>220</v>
      </c>
      <c r="AG1347" s="13">
        <v>77443</v>
      </c>
      <c r="AH1347" s="38">
        <v>77444</v>
      </c>
      <c r="AI1347" s="38" t="s">
        <v>2047</v>
      </c>
      <c r="AJ1347" s="14" t="s">
        <v>276</v>
      </c>
      <c r="AK1347" s="31">
        <f t="shared" si="194"/>
        <v>2.7245845331405034</v>
      </c>
      <c r="AL1347" s="14" t="s">
        <v>276</v>
      </c>
      <c r="AM1347" s="14" t="s">
        <v>276</v>
      </c>
      <c r="AN1347" s="14" t="s">
        <v>276</v>
      </c>
      <c r="AO1347" s="31">
        <f t="shared" si="195"/>
        <v>2.8407623573162541</v>
      </c>
      <c r="AP1347" s="14" t="s">
        <v>276</v>
      </c>
      <c r="AQ1347" s="14" t="s">
        <v>276</v>
      </c>
      <c r="AR1347" s="8" t="s">
        <v>268</v>
      </c>
      <c r="AS1347" s="14" t="s">
        <v>276</v>
      </c>
      <c r="AT1347" s="14">
        <f t="shared" si="196"/>
        <v>0.95910329356605983</v>
      </c>
      <c r="AU1347" s="14" t="s">
        <v>276</v>
      </c>
      <c r="AV1347" s="14" t="s">
        <v>276</v>
      </c>
      <c r="AW1347" s="8" t="s">
        <v>276</v>
      </c>
      <c r="AX1347" s="8" t="s">
        <v>282</v>
      </c>
      <c r="AY1347" s="8" t="s">
        <v>98</v>
      </c>
      <c r="AZ1347" s="8" t="s">
        <v>98</v>
      </c>
      <c r="BA1347" s="8" t="s">
        <v>98</v>
      </c>
      <c r="BB1347" s="8" t="s">
        <v>98</v>
      </c>
      <c r="BC1347" s="9" t="s">
        <v>9891</v>
      </c>
      <c r="BD1347" s="9"/>
      <c r="BE1347" s="33" t="s">
        <v>100</v>
      </c>
      <c r="BF1347" s="33" t="s">
        <v>98</v>
      </c>
    </row>
    <row r="1348" spans="1:58" s="7" customFormat="1" ht="130" x14ac:dyDescent="0.3">
      <c r="A1348" s="8">
        <v>1169</v>
      </c>
      <c r="B1348" s="8" t="s">
        <v>10742</v>
      </c>
      <c r="C1348" s="8" t="s">
        <v>11079</v>
      </c>
      <c r="D1348" s="9" t="s">
        <v>10941</v>
      </c>
      <c r="E1348" s="8" t="s">
        <v>36</v>
      </c>
      <c r="F1348" s="9" t="s">
        <v>134</v>
      </c>
      <c r="G1348" s="8" t="s">
        <v>225</v>
      </c>
      <c r="H1348" s="8" t="s">
        <v>125</v>
      </c>
      <c r="I1348" s="8" t="s">
        <v>114</v>
      </c>
      <c r="J1348" s="9" t="s">
        <v>24</v>
      </c>
      <c r="K1348" s="9" t="s">
        <v>10744</v>
      </c>
      <c r="L1348" s="9" t="s">
        <v>10760</v>
      </c>
      <c r="M1348" s="8" t="s">
        <v>14</v>
      </c>
      <c r="N1348" s="11" t="s">
        <v>98</v>
      </c>
      <c r="O1348" s="12" t="s">
        <v>207</v>
      </c>
      <c r="P1348" s="41" t="s">
        <v>98</v>
      </c>
      <c r="Q1348" s="9" t="s">
        <v>1261</v>
      </c>
      <c r="R1348" s="9" t="s">
        <v>276</v>
      </c>
      <c r="S1348" s="9" t="s">
        <v>276</v>
      </c>
      <c r="T1348" s="51" t="s">
        <v>1191</v>
      </c>
      <c r="U1348" s="13">
        <v>77443</v>
      </c>
      <c r="V1348" s="38">
        <v>77444</v>
      </c>
      <c r="W1348" s="8" t="s">
        <v>276</v>
      </c>
      <c r="X1348" s="8" t="s">
        <v>276</v>
      </c>
      <c r="Y1348" s="90" t="s">
        <v>10879</v>
      </c>
      <c r="Z1348" s="9" t="s">
        <v>10799</v>
      </c>
      <c r="AA1348" s="90" t="s">
        <v>10880</v>
      </c>
      <c r="AB1348" s="9" t="s">
        <v>10881</v>
      </c>
      <c r="AC1348" s="9" t="s">
        <v>10942</v>
      </c>
      <c r="AD1348" s="9" t="s">
        <v>6506</v>
      </c>
      <c r="AE1348" s="8">
        <v>214</v>
      </c>
      <c r="AF1348" s="8">
        <v>226</v>
      </c>
      <c r="AG1348" s="13">
        <v>77443</v>
      </c>
      <c r="AH1348" s="38">
        <v>77444</v>
      </c>
      <c r="AI1348" s="38" t="s">
        <v>2047</v>
      </c>
      <c r="AJ1348" s="14" t="s">
        <v>276</v>
      </c>
      <c r="AK1348" s="31">
        <f t="shared" si="194"/>
        <v>2.763322701858141</v>
      </c>
      <c r="AL1348" s="14" t="s">
        <v>276</v>
      </c>
      <c r="AM1348" s="14" t="s">
        <v>276</v>
      </c>
      <c r="AN1348" s="14" t="s">
        <v>276</v>
      </c>
      <c r="AO1348" s="31">
        <f t="shared" si="195"/>
        <v>2.9182376943339703</v>
      </c>
      <c r="AP1348" s="14" t="s">
        <v>276</v>
      </c>
      <c r="AQ1348" s="14" t="s">
        <v>276</v>
      </c>
      <c r="AR1348" s="8" t="s">
        <v>268</v>
      </c>
      <c r="AS1348" s="14" t="s">
        <v>276</v>
      </c>
      <c r="AT1348" s="14">
        <f t="shared" si="196"/>
        <v>0.94691488195885787</v>
      </c>
      <c r="AU1348" s="14" t="s">
        <v>276</v>
      </c>
      <c r="AV1348" s="14" t="s">
        <v>276</v>
      </c>
      <c r="AW1348" s="8" t="s">
        <v>276</v>
      </c>
      <c r="AX1348" s="8" t="s">
        <v>282</v>
      </c>
      <c r="AY1348" s="8" t="s">
        <v>98</v>
      </c>
      <c r="AZ1348" s="8" t="s">
        <v>98</v>
      </c>
      <c r="BA1348" s="8" t="s">
        <v>98</v>
      </c>
      <c r="BB1348" s="8" t="s">
        <v>98</v>
      </c>
      <c r="BC1348" s="9" t="s">
        <v>9891</v>
      </c>
      <c r="BD1348" s="9"/>
      <c r="BE1348" s="33" t="s">
        <v>100</v>
      </c>
      <c r="BF1348" s="33" t="s">
        <v>98</v>
      </c>
    </row>
    <row r="1349" spans="1:58" s="7" customFormat="1" ht="130" x14ac:dyDescent="0.3">
      <c r="A1349" s="8">
        <v>1169</v>
      </c>
      <c r="B1349" s="8" t="s">
        <v>10742</v>
      </c>
      <c r="C1349" s="8" t="s">
        <v>11079</v>
      </c>
      <c r="D1349" s="9" t="s">
        <v>10943</v>
      </c>
      <c r="E1349" s="8" t="s">
        <v>36</v>
      </c>
      <c r="F1349" s="9" t="s">
        <v>134</v>
      </c>
      <c r="G1349" s="8" t="s">
        <v>225</v>
      </c>
      <c r="H1349" s="8" t="s">
        <v>125</v>
      </c>
      <c r="I1349" s="8" t="s">
        <v>114</v>
      </c>
      <c r="J1349" s="9" t="s">
        <v>24</v>
      </c>
      <c r="K1349" s="9" t="s">
        <v>10744</v>
      </c>
      <c r="L1349" s="9" t="s">
        <v>10760</v>
      </c>
      <c r="M1349" s="8" t="s">
        <v>14</v>
      </c>
      <c r="N1349" s="11" t="s">
        <v>98</v>
      </c>
      <c r="O1349" s="12" t="s">
        <v>207</v>
      </c>
      <c r="P1349" s="41" t="s">
        <v>98</v>
      </c>
      <c r="Q1349" s="9" t="s">
        <v>1080</v>
      </c>
      <c r="R1349" s="9" t="s">
        <v>276</v>
      </c>
      <c r="S1349" s="9" t="s">
        <v>276</v>
      </c>
      <c r="T1349" s="51" t="s">
        <v>1191</v>
      </c>
      <c r="U1349" s="13">
        <v>77443</v>
      </c>
      <c r="V1349" s="38">
        <v>77444</v>
      </c>
      <c r="W1349" s="8" t="s">
        <v>276</v>
      </c>
      <c r="X1349" s="8" t="s">
        <v>276</v>
      </c>
      <c r="Y1349" s="90" t="s">
        <v>10884</v>
      </c>
      <c r="Z1349" s="9" t="s">
        <v>10885</v>
      </c>
      <c r="AA1349" s="90" t="s">
        <v>10879</v>
      </c>
      <c r="AB1349" s="9" t="s">
        <v>10799</v>
      </c>
      <c r="AC1349" s="9" t="s">
        <v>10944</v>
      </c>
      <c r="AD1349" s="9" t="s">
        <v>6506</v>
      </c>
      <c r="AE1349" s="8">
        <v>217</v>
      </c>
      <c r="AF1349" s="8">
        <v>230</v>
      </c>
      <c r="AG1349" s="13">
        <v>77443</v>
      </c>
      <c r="AH1349" s="38">
        <v>77444</v>
      </c>
      <c r="AI1349" s="38" t="s">
        <v>2047</v>
      </c>
      <c r="AJ1349" s="14" t="s">
        <v>276</v>
      </c>
      <c r="AK1349" s="31">
        <f t="shared" si="194"/>
        <v>2.8020608705757781</v>
      </c>
      <c r="AL1349" s="14" t="s">
        <v>276</v>
      </c>
      <c r="AM1349" s="14" t="s">
        <v>276</v>
      </c>
      <c r="AN1349" s="14" t="s">
        <v>276</v>
      </c>
      <c r="AO1349" s="31">
        <f t="shared" si="195"/>
        <v>2.9698879190124479</v>
      </c>
      <c r="AP1349" s="14" t="s">
        <v>276</v>
      </c>
      <c r="AQ1349" s="14" t="s">
        <v>276</v>
      </c>
      <c r="AR1349" s="8" t="s">
        <v>268</v>
      </c>
      <c r="AS1349" s="14" t="s">
        <v>276</v>
      </c>
      <c r="AT1349" s="14">
        <f t="shared" si="196"/>
        <v>0.94349044374291546</v>
      </c>
      <c r="AU1349" s="14" t="s">
        <v>276</v>
      </c>
      <c r="AV1349" s="14" t="s">
        <v>276</v>
      </c>
      <c r="AW1349" s="8" t="s">
        <v>276</v>
      </c>
      <c r="AX1349" s="8" t="s">
        <v>282</v>
      </c>
      <c r="AY1349" s="8" t="s">
        <v>98</v>
      </c>
      <c r="AZ1349" s="8" t="s">
        <v>98</v>
      </c>
      <c r="BA1349" s="8" t="s">
        <v>98</v>
      </c>
      <c r="BB1349" s="8" t="s">
        <v>98</v>
      </c>
      <c r="BC1349" s="9" t="s">
        <v>9891</v>
      </c>
      <c r="BD1349" s="9"/>
      <c r="BE1349" s="33" t="s">
        <v>100</v>
      </c>
      <c r="BF1349" s="33" t="s">
        <v>98</v>
      </c>
    </row>
    <row r="1350" spans="1:58" s="7" customFormat="1" ht="130" x14ac:dyDescent="0.3">
      <c r="A1350" s="8">
        <v>1169</v>
      </c>
      <c r="B1350" s="8" t="s">
        <v>10742</v>
      </c>
      <c r="C1350" s="8" t="s">
        <v>11079</v>
      </c>
      <c r="D1350" s="9" t="s">
        <v>10945</v>
      </c>
      <c r="E1350" s="8" t="s">
        <v>36</v>
      </c>
      <c r="F1350" s="9" t="s">
        <v>134</v>
      </c>
      <c r="G1350" s="8" t="s">
        <v>225</v>
      </c>
      <c r="H1350" s="8" t="s">
        <v>125</v>
      </c>
      <c r="I1350" s="8" t="s">
        <v>114</v>
      </c>
      <c r="J1350" s="9" t="s">
        <v>24</v>
      </c>
      <c r="K1350" s="9" t="s">
        <v>10744</v>
      </c>
      <c r="L1350" s="9" t="s">
        <v>10760</v>
      </c>
      <c r="M1350" s="8" t="s">
        <v>14</v>
      </c>
      <c r="N1350" s="11" t="s">
        <v>98</v>
      </c>
      <c r="O1350" s="12" t="s">
        <v>207</v>
      </c>
      <c r="P1350" s="41" t="s">
        <v>98</v>
      </c>
      <c r="Q1350" s="9" t="s">
        <v>10795</v>
      </c>
      <c r="R1350" s="9" t="s">
        <v>276</v>
      </c>
      <c r="S1350" s="9" t="s">
        <v>276</v>
      </c>
      <c r="T1350" s="51" t="s">
        <v>1191</v>
      </c>
      <c r="U1350" s="13">
        <v>77443</v>
      </c>
      <c r="V1350" s="38">
        <v>77444</v>
      </c>
      <c r="W1350" s="8" t="s">
        <v>276</v>
      </c>
      <c r="X1350" s="8" t="s">
        <v>276</v>
      </c>
      <c r="Y1350" s="90" t="s">
        <v>10888</v>
      </c>
      <c r="Z1350" s="9" t="s">
        <v>10889</v>
      </c>
      <c r="AA1350" s="90" t="s">
        <v>10884</v>
      </c>
      <c r="AB1350" s="9" t="s">
        <v>10885</v>
      </c>
      <c r="AC1350" s="9" t="s">
        <v>10946</v>
      </c>
      <c r="AD1350" s="9" t="s">
        <v>6506</v>
      </c>
      <c r="AE1350" s="8">
        <v>223</v>
      </c>
      <c r="AF1350" s="8">
        <v>231</v>
      </c>
      <c r="AG1350" s="13">
        <v>77443</v>
      </c>
      <c r="AH1350" s="38">
        <v>77444</v>
      </c>
      <c r="AI1350" s="38" t="s">
        <v>2047</v>
      </c>
      <c r="AJ1350" s="14" t="s">
        <v>276</v>
      </c>
      <c r="AK1350" s="31">
        <f t="shared" si="194"/>
        <v>2.8795372080110533</v>
      </c>
      <c r="AL1350" s="14" t="s">
        <v>276</v>
      </c>
      <c r="AM1350" s="14" t="s">
        <v>276</v>
      </c>
      <c r="AN1350" s="14" t="s">
        <v>276</v>
      </c>
      <c r="AO1350" s="31">
        <f t="shared" si="195"/>
        <v>2.9828004751820671</v>
      </c>
      <c r="AP1350" s="14" t="s">
        <v>276</v>
      </c>
      <c r="AQ1350" s="14" t="s">
        <v>276</v>
      </c>
      <c r="AR1350" s="8" t="s">
        <v>268</v>
      </c>
      <c r="AS1350" s="14" t="s">
        <v>276</v>
      </c>
      <c r="AT1350" s="14">
        <f t="shared" si="196"/>
        <v>0.96538043089700432</v>
      </c>
      <c r="AU1350" s="14" t="s">
        <v>276</v>
      </c>
      <c r="AV1350" s="14" t="s">
        <v>276</v>
      </c>
      <c r="AW1350" s="8" t="s">
        <v>276</v>
      </c>
      <c r="AX1350" s="8" t="s">
        <v>282</v>
      </c>
      <c r="AY1350" s="8" t="s">
        <v>98</v>
      </c>
      <c r="AZ1350" s="8" t="s">
        <v>98</v>
      </c>
      <c r="BA1350" s="8" t="s">
        <v>98</v>
      </c>
      <c r="BB1350" s="8" t="s">
        <v>98</v>
      </c>
      <c r="BC1350" s="9" t="s">
        <v>9891</v>
      </c>
      <c r="BD1350" s="9"/>
      <c r="BE1350" s="33" t="s">
        <v>100</v>
      </c>
      <c r="BF1350" s="33" t="s">
        <v>98</v>
      </c>
    </row>
    <row r="1351" spans="1:58" s="7" customFormat="1" ht="130" x14ac:dyDescent="0.3">
      <c r="A1351" s="8">
        <v>1169</v>
      </c>
      <c r="B1351" s="8" t="s">
        <v>10742</v>
      </c>
      <c r="C1351" s="8" t="s">
        <v>11079</v>
      </c>
      <c r="D1351" s="9" t="s">
        <v>10947</v>
      </c>
      <c r="E1351" s="8" t="s">
        <v>36</v>
      </c>
      <c r="F1351" s="9" t="s">
        <v>134</v>
      </c>
      <c r="G1351" s="8" t="s">
        <v>225</v>
      </c>
      <c r="H1351" s="8" t="s">
        <v>125</v>
      </c>
      <c r="I1351" s="8" t="s">
        <v>114</v>
      </c>
      <c r="J1351" s="9" t="s">
        <v>24</v>
      </c>
      <c r="K1351" s="9" t="s">
        <v>10744</v>
      </c>
      <c r="L1351" s="9" t="s">
        <v>10745</v>
      </c>
      <c r="M1351" s="8" t="s">
        <v>16</v>
      </c>
      <c r="N1351" s="11" t="s">
        <v>170</v>
      </c>
      <c r="O1351" s="12" t="s">
        <v>207</v>
      </c>
      <c r="P1351" s="41">
        <v>42369</v>
      </c>
      <c r="Q1351" s="9" t="s">
        <v>1686</v>
      </c>
      <c r="R1351" s="9" t="s">
        <v>276</v>
      </c>
      <c r="S1351" s="9" t="s">
        <v>276</v>
      </c>
      <c r="T1351" s="9">
        <v>2</v>
      </c>
      <c r="U1351" s="13">
        <v>38340</v>
      </c>
      <c r="V1351" s="38">
        <v>38338</v>
      </c>
      <c r="W1351" s="8" t="s">
        <v>276</v>
      </c>
      <c r="X1351" s="8" t="s">
        <v>276</v>
      </c>
      <c r="Y1351" s="90" t="s">
        <v>10892</v>
      </c>
      <c r="Z1351" s="9" t="s">
        <v>10893</v>
      </c>
      <c r="AA1351" s="90" t="s">
        <v>10894</v>
      </c>
      <c r="AB1351" s="9" t="s">
        <v>10895</v>
      </c>
      <c r="AC1351" s="9" t="s">
        <v>10948</v>
      </c>
      <c r="AD1351" s="9" t="s">
        <v>1487</v>
      </c>
      <c r="AE1351" s="8">
        <v>117</v>
      </c>
      <c r="AF1351" s="8">
        <v>130</v>
      </c>
      <c r="AG1351" s="13" t="s">
        <v>276</v>
      </c>
      <c r="AH1351" s="13" t="s">
        <v>276</v>
      </c>
      <c r="AI1351" s="13" t="s">
        <v>4702</v>
      </c>
      <c r="AJ1351" s="14">
        <v>1.94</v>
      </c>
      <c r="AK1351" s="31" t="s">
        <v>98</v>
      </c>
      <c r="AL1351" s="14" t="s">
        <v>276</v>
      </c>
      <c r="AM1351" s="14" t="s">
        <v>276</v>
      </c>
      <c r="AN1351" s="14">
        <v>2.1800000000000002</v>
      </c>
      <c r="AO1351" s="31" t="s">
        <v>276</v>
      </c>
      <c r="AP1351" s="14" t="s">
        <v>276</v>
      </c>
      <c r="AQ1351" s="14" t="s">
        <v>276</v>
      </c>
      <c r="AR1351" s="8" t="s">
        <v>269</v>
      </c>
      <c r="AS1351" s="14">
        <v>0.89</v>
      </c>
      <c r="AT1351" s="14">
        <f t="shared" ref="AT1351:AT1362" si="197">AJ1351/AN1351</f>
        <v>0.88990825688073383</v>
      </c>
      <c r="AU1351" s="14">
        <v>0.69</v>
      </c>
      <c r="AV1351" s="14">
        <v>1.1399999999999999</v>
      </c>
      <c r="AW1351" s="8" t="s">
        <v>691</v>
      </c>
      <c r="AX1351" s="8" t="s">
        <v>282</v>
      </c>
      <c r="AY1351" s="8" t="s">
        <v>98</v>
      </c>
      <c r="AZ1351" s="8" t="s">
        <v>98</v>
      </c>
      <c r="BA1351" s="8" t="s">
        <v>98</v>
      </c>
      <c r="BB1351" s="8" t="s">
        <v>98</v>
      </c>
      <c r="BC1351" s="9" t="s">
        <v>10949</v>
      </c>
      <c r="BD1351" s="9"/>
      <c r="BE1351" s="33" t="s">
        <v>100</v>
      </c>
      <c r="BF1351" s="33" t="s">
        <v>98</v>
      </c>
    </row>
    <row r="1352" spans="1:58" s="7" customFormat="1" ht="130" x14ac:dyDescent="0.3">
      <c r="A1352" s="8">
        <v>1169</v>
      </c>
      <c r="B1352" s="8" t="s">
        <v>10742</v>
      </c>
      <c r="C1352" s="8" t="s">
        <v>11079</v>
      </c>
      <c r="D1352" s="9" t="s">
        <v>10950</v>
      </c>
      <c r="E1352" s="8" t="s">
        <v>36</v>
      </c>
      <c r="F1352" s="9" t="s">
        <v>134</v>
      </c>
      <c r="G1352" s="8" t="s">
        <v>225</v>
      </c>
      <c r="H1352" s="8" t="s">
        <v>125</v>
      </c>
      <c r="I1352" s="8" t="s">
        <v>114</v>
      </c>
      <c r="J1352" s="9" t="s">
        <v>24</v>
      </c>
      <c r="K1352" s="9" t="s">
        <v>10744</v>
      </c>
      <c r="L1352" s="9" t="s">
        <v>10745</v>
      </c>
      <c r="M1352" s="8" t="s">
        <v>16</v>
      </c>
      <c r="N1352" s="11" t="s">
        <v>171</v>
      </c>
      <c r="O1352" s="12" t="s">
        <v>207</v>
      </c>
      <c r="P1352" s="41">
        <v>42369</v>
      </c>
      <c r="Q1352" s="9" t="s">
        <v>1686</v>
      </c>
      <c r="R1352" s="9" t="s">
        <v>276</v>
      </c>
      <c r="S1352" s="9" t="s">
        <v>276</v>
      </c>
      <c r="T1352" s="9">
        <v>2</v>
      </c>
      <c r="U1352" s="13">
        <v>39103</v>
      </c>
      <c r="V1352" s="38">
        <v>39106</v>
      </c>
      <c r="W1352" s="8" t="s">
        <v>276</v>
      </c>
      <c r="X1352" s="8" t="s">
        <v>276</v>
      </c>
      <c r="Y1352" s="90" t="s">
        <v>10719</v>
      </c>
      <c r="Z1352" s="9" t="s">
        <v>10854</v>
      </c>
      <c r="AA1352" s="90" t="s">
        <v>10899</v>
      </c>
      <c r="AB1352" s="9" t="s">
        <v>10900</v>
      </c>
      <c r="AC1352" s="9" t="s">
        <v>10951</v>
      </c>
      <c r="AD1352" s="9" t="s">
        <v>1487</v>
      </c>
      <c r="AE1352" s="8">
        <v>116</v>
      </c>
      <c r="AF1352" s="8">
        <v>112</v>
      </c>
      <c r="AG1352" s="13" t="s">
        <v>276</v>
      </c>
      <c r="AH1352" s="13" t="s">
        <v>276</v>
      </c>
      <c r="AI1352" s="13" t="s">
        <v>4702</v>
      </c>
      <c r="AJ1352" s="14">
        <v>1.83</v>
      </c>
      <c r="AK1352" s="31" t="s">
        <v>98</v>
      </c>
      <c r="AL1352" s="14" t="s">
        <v>276</v>
      </c>
      <c r="AM1352" s="14" t="s">
        <v>276</v>
      </c>
      <c r="AN1352" s="14">
        <v>1.79</v>
      </c>
      <c r="AO1352" s="31" t="s">
        <v>276</v>
      </c>
      <c r="AP1352" s="14" t="s">
        <v>276</v>
      </c>
      <c r="AQ1352" s="14" t="s">
        <v>276</v>
      </c>
      <c r="AR1352" s="8" t="s">
        <v>269</v>
      </c>
      <c r="AS1352" s="14">
        <v>1.03</v>
      </c>
      <c r="AT1352" s="14">
        <f t="shared" si="197"/>
        <v>1.0223463687150838</v>
      </c>
      <c r="AU1352" s="14">
        <v>0.79</v>
      </c>
      <c r="AV1352" s="14">
        <v>1.33</v>
      </c>
      <c r="AW1352" s="8" t="s">
        <v>691</v>
      </c>
      <c r="AX1352" s="8" t="s">
        <v>282</v>
      </c>
      <c r="AY1352" s="8" t="s">
        <v>98</v>
      </c>
      <c r="AZ1352" s="8" t="s">
        <v>98</v>
      </c>
      <c r="BA1352" s="8" t="s">
        <v>98</v>
      </c>
      <c r="BB1352" s="8" t="s">
        <v>98</v>
      </c>
      <c r="BC1352" s="9" t="s">
        <v>10949</v>
      </c>
      <c r="BD1352" s="9"/>
      <c r="BE1352" s="33" t="s">
        <v>100</v>
      </c>
      <c r="BF1352" s="33" t="s">
        <v>98</v>
      </c>
    </row>
    <row r="1353" spans="1:58" s="7" customFormat="1" ht="130" x14ac:dyDescent="0.3">
      <c r="A1353" s="8">
        <v>1169</v>
      </c>
      <c r="B1353" s="8" t="s">
        <v>10742</v>
      </c>
      <c r="C1353" s="8" t="s">
        <v>11079</v>
      </c>
      <c r="D1353" s="9" t="s">
        <v>10952</v>
      </c>
      <c r="E1353" s="8" t="s">
        <v>36</v>
      </c>
      <c r="F1353" s="9" t="s">
        <v>134</v>
      </c>
      <c r="G1353" s="8" t="s">
        <v>225</v>
      </c>
      <c r="H1353" s="8" t="s">
        <v>125</v>
      </c>
      <c r="I1353" s="8" t="s">
        <v>114</v>
      </c>
      <c r="J1353" s="9" t="s">
        <v>24</v>
      </c>
      <c r="K1353" s="9" t="s">
        <v>10744</v>
      </c>
      <c r="L1353" s="9" t="s">
        <v>10745</v>
      </c>
      <c r="M1353" s="8" t="s">
        <v>16</v>
      </c>
      <c r="N1353" s="11" t="s">
        <v>170</v>
      </c>
      <c r="O1353" s="12" t="s">
        <v>207</v>
      </c>
      <c r="P1353" s="41">
        <v>42369</v>
      </c>
      <c r="Q1353" s="9" t="s">
        <v>1686</v>
      </c>
      <c r="R1353" s="9" t="s">
        <v>276</v>
      </c>
      <c r="S1353" s="9" t="s">
        <v>276</v>
      </c>
      <c r="T1353" s="9">
        <v>2</v>
      </c>
      <c r="U1353" s="13">
        <v>38340</v>
      </c>
      <c r="V1353" s="38">
        <v>38338</v>
      </c>
      <c r="W1353" s="8" t="s">
        <v>276</v>
      </c>
      <c r="X1353" s="8" t="s">
        <v>276</v>
      </c>
      <c r="Y1353" s="90" t="s">
        <v>276</v>
      </c>
      <c r="Z1353" s="9" t="s">
        <v>894</v>
      </c>
      <c r="AA1353" s="90" t="s">
        <v>276</v>
      </c>
      <c r="AB1353" s="9" t="s">
        <v>894</v>
      </c>
      <c r="AC1353" s="9" t="s">
        <v>10953</v>
      </c>
      <c r="AD1353" s="9" t="s">
        <v>1487</v>
      </c>
      <c r="AE1353" s="8">
        <v>234</v>
      </c>
      <c r="AF1353" s="8">
        <v>341</v>
      </c>
      <c r="AG1353" s="13" t="s">
        <v>276</v>
      </c>
      <c r="AH1353" s="13" t="s">
        <v>276</v>
      </c>
      <c r="AI1353" s="13" t="s">
        <v>4702</v>
      </c>
      <c r="AJ1353" s="14">
        <v>3.88</v>
      </c>
      <c r="AK1353" s="31" t="s">
        <v>98</v>
      </c>
      <c r="AL1353" s="14" t="s">
        <v>276</v>
      </c>
      <c r="AM1353" s="14" t="s">
        <v>276</v>
      </c>
      <c r="AN1353" s="14">
        <v>5.73</v>
      </c>
      <c r="AO1353" s="31" t="s">
        <v>276</v>
      </c>
      <c r="AP1353" s="14" t="s">
        <v>276</v>
      </c>
      <c r="AQ1353" s="14" t="s">
        <v>276</v>
      </c>
      <c r="AR1353" s="8" t="s">
        <v>269</v>
      </c>
      <c r="AS1353" s="14">
        <v>0.68</v>
      </c>
      <c r="AT1353" s="14">
        <f t="shared" si="197"/>
        <v>0.67713787085514832</v>
      </c>
      <c r="AU1353" s="14">
        <v>0.56999999999999995</v>
      </c>
      <c r="AV1353" s="14">
        <v>0.8</v>
      </c>
      <c r="AW1353" s="8" t="s">
        <v>844</v>
      </c>
      <c r="AX1353" s="8" t="s">
        <v>282</v>
      </c>
      <c r="AY1353" s="8" t="s">
        <v>98</v>
      </c>
      <c r="AZ1353" s="8" t="s">
        <v>98</v>
      </c>
      <c r="BA1353" s="8" t="s">
        <v>98</v>
      </c>
      <c r="BB1353" s="8" t="s">
        <v>98</v>
      </c>
      <c r="BC1353" s="9" t="s">
        <v>10954</v>
      </c>
      <c r="BD1353" s="9"/>
      <c r="BE1353" s="33" t="s">
        <v>100</v>
      </c>
      <c r="BF1353" s="33" t="s">
        <v>98</v>
      </c>
    </row>
    <row r="1354" spans="1:58" s="7" customFormat="1" ht="130" x14ac:dyDescent="0.3">
      <c r="A1354" s="8">
        <v>1169</v>
      </c>
      <c r="B1354" s="8" t="s">
        <v>10742</v>
      </c>
      <c r="C1354" s="8" t="s">
        <v>11079</v>
      </c>
      <c r="D1354" s="9" t="s">
        <v>10955</v>
      </c>
      <c r="E1354" s="8" t="s">
        <v>36</v>
      </c>
      <c r="F1354" s="9" t="s">
        <v>134</v>
      </c>
      <c r="G1354" s="8" t="s">
        <v>225</v>
      </c>
      <c r="H1354" s="8" t="s">
        <v>125</v>
      </c>
      <c r="I1354" s="8" t="s">
        <v>114</v>
      </c>
      <c r="J1354" s="9" t="s">
        <v>24</v>
      </c>
      <c r="K1354" s="9" t="s">
        <v>10744</v>
      </c>
      <c r="L1354" s="9" t="s">
        <v>10745</v>
      </c>
      <c r="M1354" s="8" t="s">
        <v>16</v>
      </c>
      <c r="N1354" s="11" t="s">
        <v>171</v>
      </c>
      <c r="O1354" s="12" t="s">
        <v>207</v>
      </c>
      <c r="P1354" s="41">
        <v>42369</v>
      </c>
      <c r="Q1354" s="9" t="s">
        <v>1686</v>
      </c>
      <c r="R1354" s="9" t="s">
        <v>276</v>
      </c>
      <c r="S1354" s="9" t="s">
        <v>276</v>
      </c>
      <c r="T1354" s="9">
        <v>2</v>
      </c>
      <c r="U1354" s="13">
        <v>39103</v>
      </c>
      <c r="V1354" s="38">
        <v>39106</v>
      </c>
      <c r="W1354" s="8" t="s">
        <v>276</v>
      </c>
      <c r="X1354" s="8" t="s">
        <v>276</v>
      </c>
      <c r="Y1354" s="90" t="s">
        <v>276</v>
      </c>
      <c r="Z1354" s="9" t="s">
        <v>894</v>
      </c>
      <c r="AA1354" s="90" t="s">
        <v>276</v>
      </c>
      <c r="AB1354" s="9" t="s">
        <v>894</v>
      </c>
      <c r="AC1354" s="9" t="s">
        <v>10956</v>
      </c>
      <c r="AD1354" s="9" t="s">
        <v>1487</v>
      </c>
      <c r="AE1354" s="8">
        <v>183</v>
      </c>
      <c r="AF1354" s="8">
        <v>208</v>
      </c>
      <c r="AG1354" s="13" t="s">
        <v>276</v>
      </c>
      <c r="AH1354" s="13" t="s">
        <v>276</v>
      </c>
      <c r="AI1354" s="13" t="s">
        <v>4702</v>
      </c>
      <c r="AJ1354" s="14">
        <v>2.88</v>
      </c>
      <c r="AK1354" s="31" t="s">
        <v>98</v>
      </c>
      <c r="AL1354" s="14" t="s">
        <v>276</v>
      </c>
      <c r="AM1354" s="14" t="s">
        <v>276</v>
      </c>
      <c r="AN1354" s="14">
        <v>3.3</v>
      </c>
      <c r="AO1354" s="31" t="s">
        <v>276</v>
      </c>
      <c r="AP1354" s="14" t="s">
        <v>276</v>
      </c>
      <c r="AQ1354" s="14" t="s">
        <v>276</v>
      </c>
      <c r="AR1354" s="8" t="s">
        <v>269</v>
      </c>
      <c r="AS1354" s="14">
        <v>0.87</v>
      </c>
      <c r="AT1354" s="14">
        <f t="shared" si="197"/>
        <v>0.8727272727272728</v>
      </c>
      <c r="AU1354" s="14">
        <v>0.71</v>
      </c>
      <c r="AV1354" s="14">
        <v>1.06</v>
      </c>
      <c r="AW1354" s="8" t="s">
        <v>691</v>
      </c>
      <c r="AX1354" s="8" t="s">
        <v>282</v>
      </c>
      <c r="AY1354" s="8" t="s">
        <v>98</v>
      </c>
      <c r="AZ1354" s="8" t="s">
        <v>98</v>
      </c>
      <c r="BA1354" s="8" t="s">
        <v>98</v>
      </c>
      <c r="BB1354" s="8" t="s">
        <v>98</v>
      </c>
      <c r="BC1354" s="9" t="s">
        <v>10954</v>
      </c>
      <c r="BD1354" s="9"/>
      <c r="BE1354" s="33" t="s">
        <v>100</v>
      </c>
      <c r="BF1354" s="33" t="s">
        <v>98</v>
      </c>
    </row>
    <row r="1355" spans="1:58" s="7" customFormat="1" ht="130" x14ac:dyDescent="0.3">
      <c r="A1355" s="8">
        <v>1169</v>
      </c>
      <c r="B1355" s="8" t="s">
        <v>10742</v>
      </c>
      <c r="C1355" s="8" t="s">
        <v>11079</v>
      </c>
      <c r="D1355" s="9" t="s">
        <v>10957</v>
      </c>
      <c r="E1355" s="8" t="s">
        <v>36</v>
      </c>
      <c r="F1355" s="9" t="s">
        <v>134</v>
      </c>
      <c r="G1355" s="8" t="s">
        <v>225</v>
      </c>
      <c r="H1355" s="8" t="s">
        <v>125</v>
      </c>
      <c r="I1355" s="8" t="s">
        <v>114</v>
      </c>
      <c r="J1355" s="9" t="s">
        <v>24</v>
      </c>
      <c r="K1355" s="9" t="s">
        <v>10744</v>
      </c>
      <c r="L1355" s="9" t="s">
        <v>10745</v>
      </c>
      <c r="M1355" s="8" t="s">
        <v>15</v>
      </c>
      <c r="N1355" s="11" t="s">
        <v>10700</v>
      </c>
      <c r="O1355" s="12" t="s">
        <v>207</v>
      </c>
      <c r="P1355" s="41">
        <v>42369</v>
      </c>
      <c r="Q1355" s="9" t="s">
        <v>1686</v>
      </c>
      <c r="R1355" s="9" t="s">
        <v>276</v>
      </c>
      <c r="S1355" s="9" t="s">
        <v>276</v>
      </c>
      <c r="T1355" s="9">
        <v>2</v>
      </c>
      <c r="U1355" s="13">
        <v>49632</v>
      </c>
      <c r="V1355" s="38">
        <v>49603</v>
      </c>
      <c r="W1355" s="8" t="s">
        <v>276</v>
      </c>
      <c r="X1355" s="8" t="s">
        <v>276</v>
      </c>
      <c r="Y1355" s="90" t="s">
        <v>276</v>
      </c>
      <c r="Z1355" s="9" t="s">
        <v>894</v>
      </c>
      <c r="AA1355" s="90" t="s">
        <v>276</v>
      </c>
      <c r="AB1355" s="9" t="s">
        <v>894</v>
      </c>
      <c r="AC1355" s="9" t="s">
        <v>10958</v>
      </c>
      <c r="AD1355" s="9" t="s">
        <v>1487</v>
      </c>
      <c r="AE1355" s="8">
        <v>230</v>
      </c>
      <c r="AF1355" s="8">
        <v>259</v>
      </c>
      <c r="AG1355" s="13" t="s">
        <v>276</v>
      </c>
      <c r="AH1355" s="13" t="s">
        <v>276</v>
      </c>
      <c r="AI1355" s="13" t="s">
        <v>4702</v>
      </c>
      <c r="AJ1355" s="14">
        <v>2.81</v>
      </c>
      <c r="AK1355" s="31" t="s">
        <v>98</v>
      </c>
      <c r="AL1355" s="14" t="s">
        <v>276</v>
      </c>
      <c r="AM1355" s="14" t="s">
        <v>276</v>
      </c>
      <c r="AN1355" s="14">
        <v>3.2</v>
      </c>
      <c r="AO1355" s="31" t="s">
        <v>276</v>
      </c>
      <c r="AP1355" s="14" t="s">
        <v>276</v>
      </c>
      <c r="AQ1355" s="14" t="s">
        <v>276</v>
      </c>
      <c r="AR1355" s="8" t="s">
        <v>269</v>
      </c>
      <c r="AS1355" s="14">
        <v>0.88</v>
      </c>
      <c r="AT1355" s="14">
        <f t="shared" si="197"/>
        <v>0.87812499999999993</v>
      </c>
      <c r="AU1355" s="14">
        <v>0.73</v>
      </c>
      <c r="AV1355" s="14">
        <v>1.05</v>
      </c>
      <c r="AW1355" s="8" t="s">
        <v>691</v>
      </c>
      <c r="AX1355" s="8" t="s">
        <v>282</v>
      </c>
      <c r="AY1355" s="8" t="s">
        <v>98</v>
      </c>
      <c r="AZ1355" s="8" t="s">
        <v>98</v>
      </c>
      <c r="BA1355" s="8" t="s">
        <v>98</v>
      </c>
      <c r="BB1355" s="8" t="s">
        <v>98</v>
      </c>
      <c r="BC1355" s="9" t="s">
        <v>10959</v>
      </c>
      <c r="BD1355" s="9"/>
      <c r="BE1355" s="33" t="s">
        <v>100</v>
      </c>
      <c r="BF1355" s="33" t="s">
        <v>98</v>
      </c>
    </row>
    <row r="1356" spans="1:58" s="7" customFormat="1" ht="130" x14ac:dyDescent="0.3">
      <c r="A1356" s="8">
        <v>1169</v>
      </c>
      <c r="B1356" s="8" t="s">
        <v>10742</v>
      </c>
      <c r="C1356" s="8" t="s">
        <v>11079</v>
      </c>
      <c r="D1356" s="9" t="s">
        <v>10960</v>
      </c>
      <c r="E1356" s="8" t="s">
        <v>36</v>
      </c>
      <c r="F1356" s="9" t="s">
        <v>134</v>
      </c>
      <c r="G1356" s="8" t="s">
        <v>225</v>
      </c>
      <c r="H1356" s="8" t="s">
        <v>125</v>
      </c>
      <c r="I1356" s="8" t="s">
        <v>114</v>
      </c>
      <c r="J1356" s="9" t="s">
        <v>24</v>
      </c>
      <c r="K1356" s="9" t="s">
        <v>10744</v>
      </c>
      <c r="L1356" s="9" t="s">
        <v>10745</v>
      </c>
      <c r="M1356" s="8" t="s">
        <v>15</v>
      </c>
      <c r="N1356" s="11" t="s">
        <v>9787</v>
      </c>
      <c r="O1356" s="12" t="s">
        <v>207</v>
      </c>
      <c r="P1356" s="41">
        <v>42369</v>
      </c>
      <c r="Q1356" s="9" t="s">
        <v>1686</v>
      </c>
      <c r="R1356" s="9" t="s">
        <v>276</v>
      </c>
      <c r="S1356" s="9" t="s">
        <v>276</v>
      </c>
      <c r="T1356" s="9">
        <v>2</v>
      </c>
      <c r="U1356" s="13">
        <v>27811</v>
      </c>
      <c r="V1356" s="38">
        <v>27841</v>
      </c>
      <c r="W1356" s="8" t="s">
        <v>276</v>
      </c>
      <c r="X1356" s="8" t="s">
        <v>276</v>
      </c>
      <c r="Y1356" s="90" t="s">
        <v>276</v>
      </c>
      <c r="Z1356" s="9" t="s">
        <v>894</v>
      </c>
      <c r="AA1356" s="90" t="s">
        <v>276</v>
      </c>
      <c r="AB1356" s="9" t="s">
        <v>894</v>
      </c>
      <c r="AC1356" s="9" t="s">
        <v>10961</v>
      </c>
      <c r="AD1356" s="9" t="s">
        <v>1487</v>
      </c>
      <c r="AE1356" s="8">
        <v>186</v>
      </c>
      <c r="AF1356" s="8">
        <v>290</v>
      </c>
      <c r="AG1356" s="13" t="s">
        <v>276</v>
      </c>
      <c r="AH1356" s="13" t="s">
        <v>276</v>
      </c>
      <c r="AI1356" s="13" t="s">
        <v>4702</v>
      </c>
      <c r="AJ1356" s="14">
        <v>4.4400000000000004</v>
      </c>
      <c r="AK1356" s="31" t="s">
        <v>98</v>
      </c>
      <c r="AL1356" s="14" t="s">
        <v>276</v>
      </c>
      <c r="AM1356" s="14" t="s">
        <v>276</v>
      </c>
      <c r="AN1356" s="14">
        <v>6.96</v>
      </c>
      <c r="AO1356" s="31" t="s">
        <v>276</v>
      </c>
      <c r="AP1356" s="14" t="s">
        <v>276</v>
      </c>
      <c r="AQ1356" s="14" t="s">
        <v>276</v>
      </c>
      <c r="AR1356" s="8" t="s">
        <v>269</v>
      </c>
      <c r="AS1356" s="14">
        <v>0.64</v>
      </c>
      <c r="AT1356" s="31">
        <f t="shared" si="197"/>
        <v>0.63793103448275867</v>
      </c>
      <c r="AU1356" s="14">
        <v>0.53</v>
      </c>
      <c r="AV1356" s="14">
        <v>0.77</v>
      </c>
      <c r="AW1356" s="8" t="s">
        <v>844</v>
      </c>
      <c r="AX1356" s="8" t="s">
        <v>282</v>
      </c>
      <c r="AY1356" s="8" t="s">
        <v>98</v>
      </c>
      <c r="AZ1356" s="8" t="s">
        <v>98</v>
      </c>
      <c r="BA1356" s="8" t="s">
        <v>98</v>
      </c>
      <c r="BB1356" s="8" t="s">
        <v>98</v>
      </c>
      <c r="BC1356" s="9" t="s">
        <v>10959</v>
      </c>
      <c r="BD1356" s="9"/>
      <c r="BE1356" s="33" t="s">
        <v>100</v>
      </c>
      <c r="BF1356" s="33" t="s">
        <v>98</v>
      </c>
    </row>
    <row r="1357" spans="1:58" s="522" customFormat="1" ht="104" x14ac:dyDescent="0.3">
      <c r="A1357" s="513">
        <v>1055</v>
      </c>
      <c r="B1357" s="513" t="s">
        <v>1482</v>
      </c>
      <c r="C1357" s="8" t="s">
        <v>11079</v>
      </c>
      <c r="D1357" s="514" t="s">
        <v>10962</v>
      </c>
      <c r="E1357" s="513" t="s">
        <v>36</v>
      </c>
      <c r="F1357" s="514" t="s">
        <v>134</v>
      </c>
      <c r="G1357" s="513" t="s">
        <v>225</v>
      </c>
      <c r="H1357" s="513" t="s">
        <v>125</v>
      </c>
      <c r="I1357" s="513" t="s">
        <v>114</v>
      </c>
      <c r="J1357" s="514" t="s">
        <v>24</v>
      </c>
      <c r="K1357" s="514" t="s">
        <v>10963</v>
      </c>
      <c r="L1357" s="514" t="s">
        <v>1485</v>
      </c>
      <c r="M1357" s="513" t="s">
        <v>14</v>
      </c>
      <c r="N1357" s="515" t="s">
        <v>98</v>
      </c>
      <c r="O1357" s="516" t="s">
        <v>207</v>
      </c>
      <c r="P1357" s="517">
        <v>42369</v>
      </c>
      <c r="Q1357" s="514" t="s">
        <v>276</v>
      </c>
      <c r="R1357" s="514" t="s">
        <v>276</v>
      </c>
      <c r="S1357" s="514" t="s">
        <v>276</v>
      </c>
      <c r="T1357" s="514">
        <v>2</v>
      </c>
      <c r="U1357" s="518">
        <v>77443</v>
      </c>
      <c r="V1357" s="519">
        <v>77444</v>
      </c>
      <c r="W1357" s="513" t="s">
        <v>276</v>
      </c>
      <c r="X1357" s="513" t="s">
        <v>276</v>
      </c>
      <c r="Y1357" s="513">
        <v>10</v>
      </c>
      <c r="Z1357" s="514" t="s">
        <v>894</v>
      </c>
      <c r="AA1357" s="513">
        <v>21</v>
      </c>
      <c r="AB1357" s="514" t="s">
        <v>894</v>
      </c>
      <c r="AC1357" s="514" t="s">
        <v>10748</v>
      </c>
      <c r="AD1357" s="514" t="s">
        <v>1487</v>
      </c>
      <c r="AE1357" s="513">
        <v>416</v>
      </c>
      <c r="AF1357" s="513">
        <v>546</v>
      </c>
      <c r="AG1357" s="518" t="s">
        <v>276</v>
      </c>
      <c r="AH1357" s="518" t="s">
        <v>276</v>
      </c>
      <c r="AI1357" s="518" t="s">
        <v>4702</v>
      </c>
      <c r="AJ1357" s="523">
        <v>3.4</v>
      </c>
      <c r="AK1357" s="521" t="s">
        <v>98</v>
      </c>
      <c r="AL1357" s="520" t="s">
        <v>276</v>
      </c>
      <c r="AM1357" s="520" t="s">
        <v>276</v>
      </c>
      <c r="AN1357" s="523">
        <v>4.5</v>
      </c>
      <c r="AO1357" s="521" t="s">
        <v>276</v>
      </c>
      <c r="AP1357" s="520" t="s">
        <v>276</v>
      </c>
      <c r="AQ1357" s="520" t="s">
        <v>276</v>
      </c>
      <c r="AR1357" s="513" t="s">
        <v>269</v>
      </c>
      <c r="AS1357" s="520">
        <v>0.75</v>
      </c>
      <c r="AT1357" s="521">
        <f t="shared" si="197"/>
        <v>0.75555555555555554</v>
      </c>
      <c r="AU1357" s="520">
        <v>0.66</v>
      </c>
      <c r="AV1357" s="520">
        <v>0.85</v>
      </c>
      <c r="AW1357" s="513" t="s">
        <v>10964</v>
      </c>
      <c r="AX1357" s="513" t="s">
        <v>10965</v>
      </c>
      <c r="AY1357" s="513">
        <v>0.75</v>
      </c>
      <c r="AZ1357" s="513">
        <v>0.66</v>
      </c>
      <c r="BA1357" s="513">
        <v>0.86</v>
      </c>
      <c r="BB1357" s="513" t="s">
        <v>431</v>
      </c>
      <c r="BC1357" s="514" t="s">
        <v>298</v>
      </c>
      <c r="BD1357" s="514"/>
      <c r="BE1357" s="33" t="s">
        <v>100</v>
      </c>
      <c r="BF1357" s="33" t="s">
        <v>98</v>
      </c>
    </row>
    <row r="1358" spans="1:58" s="522" customFormat="1" ht="104" x14ac:dyDescent="0.3">
      <c r="A1358" s="513">
        <v>1055</v>
      </c>
      <c r="B1358" s="513" t="s">
        <v>1482</v>
      </c>
      <c r="C1358" s="8" t="s">
        <v>11079</v>
      </c>
      <c r="D1358" s="514" t="s">
        <v>10966</v>
      </c>
      <c r="E1358" s="513" t="s">
        <v>36</v>
      </c>
      <c r="F1358" s="514" t="s">
        <v>134</v>
      </c>
      <c r="G1358" s="513" t="s">
        <v>225</v>
      </c>
      <c r="H1358" s="513" t="s">
        <v>125</v>
      </c>
      <c r="I1358" s="513" t="s">
        <v>114</v>
      </c>
      <c r="J1358" s="514" t="s">
        <v>24</v>
      </c>
      <c r="K1358" s="514" t="s">
        <v>10963</v>
      </c>
      <c r="L1358" s="514" t="s">
        <v>1485</v>
      </c>
      <c r="M1358" s="513" t="s">
        <v>16</v>
      </c>
      <c r="N1358" s="515" t="s">
        <v>170</v>
      </c>
      <c r="O1358" s="516" t="s">
        <v>207</v>
      </c>
      <c r="P1358" s="517">
        <v>42369</v>
      </c>
      <c r="Q1358" s="514" t="s">
        <v>276</v>
      </c>
      <c r="R1358" s="514" t="s">
        <v>276</v>
      </c>
      <c r="S1358" s="514" t="s">
        <v>276</v>
      </c>
      <c r="T1358" s="514">
        <v>2</v>
      </c>
      <c r="U1358" s="518">
        <v>38340</v>
      </c>
      <c r="V1358" s="519">
        <v>38338</v>
      </c>
      <c r="W1358" s="513" t="s">
        <v>276</v>
      </c>
      <c r="X1358" s="513" t="s">
        <v>276</v>
      </c>
      <c r="Y1358" s="513">
        <v>7</v>
      </c>
      <c r="Z1358" s="514" t="s">
        <v>894</v>
      </c>
      <c r="AA1358" s="513">
        <v>12</v>
      </c>
      <c r="AB1358" s="514" t="s">
        <v>894</v>
      </c>
      <c r="AC1358" s="514" t="s">
        <v>10967</v>
      </c>
      <c r="AD1358" s="514" t="s">
        <v>1487</v>
      </c>
      <c r="AE1358" s="513">
        <v>234</v>
      </c>
      <c r="AF1358" s="513">
        <v>339</v>
      </c>
      <c r="AG1358" s="518" t="s">
        <v>276</v>
      </c>
      <c r="AH1358" s="518" t="s">
        <v>276</v>
      </c>
      <c r="AI1358" s="518" t="s">
        <v>4702</v>
      </c>
      <c r="AJ1358" s="523">
        <v>3.9</v>
      </c>
      <c r="AK1358" s="521" t="s">
        <v>98</v>
      </c>
      <c r="AL1358" s="520" t="s">
        <v>276</v>
      </c>
      <c r="AM1358" s="520" t="s">
        <v>276</v>
      </c>
      <c r="AN1358" s="523">
        <v>5.7</v>
      </c>
      <c r="AO1358" s="521" t="s">
        <v>276</v>
      </c>
      <c r="AP1358" s="520" t="s">
        <v>276</v>
      </c>
      <c r="AQ1358" s="520" t="s">
        <v>276</v>
      </c>
      <c r="AR1358" s="513" t="s">
        <v>269</v>
      </c>
      <c r="AS1358" s="520" t="s">
        <v>276</v>
      </c>
      <c r="AT1358" s="521">
        <f t="shared" si="197"/>
        <v>0.68421052631578949</v>
      </c>
      <c r="AU1358" s="520" t="s">
        <v>276</v>
      </c>
      <c r="AV1358" s="520" t="s">
        <v>276</v>
      </c>
      <c r="AW1358" s="520" t="s">
        <v>276</v>
      </c>
      <c r="AX1358" s="513" t="s">
        <v>10965</v>
      </c>
      <c r="AY1358" s="513">
        <v>0.68</v>
      </c>
      <c r="AZ1358" s="513">
        <v>0.56999999999999995</v>
      </c>
      <c r="BA1358" s="520">
        <v>0.8</v>
      </c>
      <c r="BB1358" s="513" t="s">
        <v>431</v>
      </c>
      <c r="BC1358" s="514" t="s">
        <v>298</v>
      </c>
      <c r="BD1358" s="514"/>
      <c r="BE1358" s="33" t="s">
        <v>100</v>
      </c>
      <c r="BF1358" s="33" t="s">
        <v>98</v>
      </c>
    </row>
    <row r="1359" spans="1:58" s="522" customFormat="1" ht="104" x14ac:dyDescent="0.3">
      <c r="A1359" s="513">
        <v>1055</v>
      </c>
      <c r="B1359" s="513" t="s">
        <v>1482</v>
      </c>
      <c r="C1359" s="8" t="s">
        <v>11079</v>
      </c>
      <c r="D1359" s="514" t="s">
        <v>10968</v>
      </c>
      <c r="E1359" s="513" t="s">
        <v>36</v>
      </c>
      <c r="F1359" s="514" t="s">
        <v>134</v>
      </c>
      <c r="G1359" s="513" t="s">
        <v>225</v>
      </c>
      <c r="H1359" s="513" t="s">
        <v>125</v>
      </c>
      <c r="I1359" s="513" t="s">
        <v>114</v>
      </c>
      <c r="J1359" s="514" t="s">
        <v>24</v>
      </c>
      <c r="K1359" s="514" t="s">
        <v>10963</v>
      </c>
      <c r="L1359" s="514" t="s">
        <v>1485</v>
      </c>
      <c r="M1359" s="513" t="s">
        <v>16</v>
      </c>
      <c r="N1359" s="515" t="s">
        <v>171</v>
      </c>
      <c r="O1359" s="516" t="s">
        <v>207</v>
      </c>
      <c r="P1359" s="517">
        <v>42369</v>
      </c>
      <c r="Q1359" s="514" t="s">
        <v>276</v>
      </c>
      <c r="R1359" s="514" t="s">
        <v>276</v>
      </c>
      <c r="S1359" s="514" t="s">
        <v>276</v>
      </c>
      <c r="T1359" s="514">
        <v>2</v>
      </c>
      <c r="U1359" s="518">
        <v>39103</v>
      </c>
      <c r="V1359" s="519">
        <v>39106</v>
      </c>
      <c r="W1359" s="513" t="s">
        <v>276</v>
      </c>
      <c r="X1359" s="513" t="s">
        <v>276</v>
      </c>
      <c r="Y1359" s="513">
        <v>3</v>
      </c>
      <c r="Z1359" s="514" t="s">
        <v>894</v>
      </c>
      <c r="AA1359" s="513">
        <v>9</v>
      </c>
      <c r="AB1359" s="514" t="s">
        <v>894</v>
      </c>
      <c r="AC1359" s="514" t="s">
        <v>10967</v>
      </c>
      <c r="AD1359" s="514" t="s">
        <v>1487</v>
      </c>
      <c r="AE1359" s="513">
        <v>182</v>
      </c>
      <c r="AF1359" s="513">
        <v>207</v>
      </c>
      <c r="AG1359" s="518" t="s">
        <v>276</v>
      </c>
      <c r="AH1359" s="518" t="s">
        <v>276</v>
      </c>
      <c r="AI1359" s="518" t="s">
        <v>4702</v>
      </c>
      <c r="AJ1359" s="523">
        <v>2.9</v>
      </c>
      <c r="AK1359" s="521" t="s">
        <v>98</v>
      </c>
      <c r="AL1359" s="520" t="s">
        <v>276</v>
      </c>
      <c r="AM1359" s="520" t="s">
        <v>276</v>
      </c>
      <c r="AN1359" s="523">
        <v>3.3</v>
      </c>
      <c r="AO1359" s="521" t="s">
        <v>276</v>
      </c>
      <c r="AP1359" s="520" t="s">
        <v>276</v>
      </c>
      <c r="AQ1359" s="520" t="s">
        <v>276</v>
      </c>
      <c r="AR1359" s="513" t="s">
        <v>269</v>
      </c>
      <c r="AS1359" s="520" t="s">
        <v>276</v>
      </c>
      <c r="AT1359" s="521">
        <f t="shared" si="197"/>
        <v>0.87878787878787878</v>
      </c>
      <c r="AU1359" s="520" t="s">
        <v>276</v>
      </c>
      <c r="AV1359" s="520" t="s">
        <v>276</v>
      </c>
      <c r="AW1359" s="520" t="s">
        <v>276</v>
      </c>
      <c r="AX1359" s="513" t="s">
        <v>10965</v>
      </c>
      <c r="AY1359" s="513">
        <v>0.87</v>
      </c>
      <c r="AZ1359" s="513">
        <v>0.71</v>
      </c>
      <c r="BA1359" s="520">
        <v>1.06</v>
      </c>
      <c r="BB1359" s="513">
        <v>0.17</v>
      </c>
      <c r="BC1359" s="514" t="s">
        <v>298</v>
      </c>
      <c r="BD1359" s="514"/>
      <c r="BE1359" s="33" t="s">
        <v>100</v>
      </c>
      <c r="BF1359" s="33" t="s">
        <v>98</v>
      </c>
    </row>
    <row r="1360" spans="1:58" s="522" customFormat="1" ht="65" x14ac:dyDescent="0.3">
      <c r="A1360" s="513">
        <v>1055</v>
      </c>
      <c r="B1360" s="513" t="s">
        <v>1482</v>
      </c>
      <c r="C1360" s="8" t="s">
        <v>11079</v>
      </c>
      <c r="D1360" s="514" t="s">
        <v>10969</v>
      </c>
      <c r="E1360" s="513" t="s">
        <v>36</v>
      </c>
      <c r="F1360" s="514" t="s">
        <v>134</v>
      </c>
      <c r="G1360" s="513" t="s">
        <v>225</v>
      </c>
      <c r="H1360" s="513" t="s">
        <v>125</v>
      </c>
      <c r="I1360" s="513" t="s">
        <v>114</v>
      </c>
      <c r="J1360" s="514" t="s">
        <v>23</v>
      </c>
      <c r="K1360" s="514" t="s">
        <v>1484</v>
      </c>
      <c r="L1360" s="514" t="s">
        <v>1485</v>
      </c>
      <c r="M1360" s="513" t="s">
        <v>14</v>
      </c>
      <c r="N1360" s="515" t="s">
        <v>98</v>
      </c>
      <c r="O1360" s="516" t="s">
        <v>207</v>
      </c>
      <c r="P1360" s="517">
        <v>42369</v>
      </c>
      <c r="Q1360" s="514" t="s">
        <v>276</v>
      </c>
      <c r="R1360" s="514" t="s">
        <v>276</v>
      </c>
      <c r="S1360" s="514" t="s">
        <v>276</v>
      </c>
      <c r="T1360" s="514">
        <v>2</v>
      </c>
      <c r="U1360" s="518">
        <v>77443</v>
      </c>
      <c r="V1360" s="519">
        <v>77444</v>
      </c>
      <c r="W1360" s="513" t="s">
        <v>276</v>
      </c>
      <c r="X1360" s="513" t="s">
        <v>276</v>
      </c>
      <c r="Y1360" s="513">
        <v>0</v>
      </c>
      <c r="Z1360" s="513" t="s">
        <v>98</v>
      </c>
      <c r="AA1360" s="513">
        <v>0</v>
      </c>
      <c r="AB1360" s="513" t="s">
        <v>98</v>
      </c>
      <c r="AC1360" s="514" t="s">
        <v>1486</v>
      </c>
      <c r="AD1360" s="514" t="s">
        <v>1487</v>
      </c>
      <c r="AE1360" s="513">
        <v>22562</v>
      </c>
      <c r="AF1360" s="513">
        <v>22652</v>
      </c>
      <c r="AG1360" s="518" t="s">
        <v>276</v>
      </c>
      <c r="AH1360" s="518" t="s">
        <v>276</v>
      </c>
      <c r="AI1360" s="518" t="s">
        <v>4702</v>
      </c>
      <c r="AJ1360" s="523">
        <v>182.7</v>
      </c>
      <c r="AK1360" s="521" t="s">
        <v>98</v>
      </c>
      <c r="AL1360" s="520" t="s">
        <v>276</v>
      </c>
      <c r="AM1360" s="520" t="s">
        <v>276</v>
      </c>
      <c r="AN1360" s="523">
        <v>185.3</v>
      </c>
      <c r="AO1360" s="521" t="s">
        <v>98</v>
      </c>
      <c r="AP1360" s="520" t="s">
        <v>276</v>
      </c>
      <c r="AQ1360" s="520" t="s">
        <v>276</v>
      </c>
      <c r="AR1360" s="513" t="s">
        <v>269</v>
      </c>
      <c r="AS1360" s="520" t="s">
        <v>276</v>
      </c>
      <c r="AT1360" s="521">
        <f t="shared" si="197"/>
        <v>0.98596869940636789</v>
      </c>
      <c r="AU1360" s="520" t="s">
        <v>276</v>
      </c>
      <c r="AV1360" s="520" t="s">
        <v>276</v>
      </c>
      <c r="AW1360" s="513" t="s">
        <v>276</v>
      </c>
      <c r="AX1360" s="513" t="s">
        <v>10965</v>
      </c>
      <c r="AY1360" s="521">
        <v>0.98</v>
      </c>
      <c r="AZ1360" s="513">
        <v>0.96299999999999997</v>
      </c>
      <c r="BA1360" s="513">
        <v>0.999</v>
      </c>
      <c r="BB1360" s="513">
        <v>3.5999999999999997E-2</v>
      </c>
      <c r="BC1360" s="514" t="s">
        <v>298</v>
      </c>
      <c r="BD1360" s="514"/>
      <c r="BE1360" s="33" t="s">
        <v>100</v>
      </c>
      <c r="BF1360" s="33" t="s">
        <v>98</v>
      </c>
    </row>
    <row r="1361" spans="1:58" s="522" customFormat="1" ht="65" x14ac:dyDescent="0.3">
      <c r="A1361" s="513">
        <v>1055</v>
      </c>
      <c r="B1361" s="513" t="s">
        <v>1482</v>
      </c>
      <c r="C1361" s="8" t="s">
        <v>11079</v>
      </c>
      <c r="D1361" s="514" t="s">
        <v>10970</v>
      </c>
      <c r="E1361" s="513" t="s">
        <v>36</v>
      </c>
      <c r="F1361" s="514" t="s">
        <v>134</v>
      </c>
      <c r="G1361" s="513" t="s">
        <v>225</v>
      </c>
      <c r="H1361" s="513" t="s">
        <v>125</v>
      </c>
      <c r="I1361" s="513" t="s">
        <v>114</v>
      </c>
      <c r="J1361" s="514" t="s">
        <v>23</v>
      </c>
      <c r="K1361" s="514" t="s">
        <v>1484</v>
      </c>
      <c r="L1361" s="514" t="s">
        <v>1485</v>
      </c>
      <c r="M1361" s="513" t="s">
        <v>16</v>
      </c>
      <c r="N1361" s="515" t="s">
        <v>170</v>
      </c>
      <c r="O1361" s="516" t="s">
        <v>207</v>
      </c>
      <c r="P1361" s="517">
        <v>42369</v>
      </c>
      <c r="Q1361" s="514" t="s">
        <v>276</v>
      </c>
      <c r="R1361" s="514" t="s">
        <v>276</v>
      </c>
      <c r="S1361" s="514" t="s">
        <v>276</v>
      </c>
      <c r="T1361" s="514">
        <v>2</v>
      </c>
      <c r="U1361" s="518">
        <v>38340</v>
      </c>
      <c r="V1361" s="519">
        <v>38338</v>
      </c>
      <c r="W1361" s="513" t="s">
        <v>276</v>
      </c>
      <c r="X1361" s="513" t="s">
        <v>276</v>
      </c>
      <c r="Y1361" s="513">
        <v>0</v>
      </c>
      <c r="Z1361" s="513" t="s">
        <v>98</v>
      </c>
      <c r="AA1361" s="513">
        <v>0</v>
      </c>
      <c r="AB1361" s="513" t="s">
        <v>98</v>
      </c>
      <c r="AC1361" s="514" t="s">
        <v>10971</v>
      </c>
      <c r="AD1361" s="514" t="s">
        <v>1487</v>
      </c>
      <c r="AE1361" s="513">
        <v>13609</v>
      </c>
      <c r="AF1361" s="513">
        <v>13842</v>
      </c>
      <c r="AG1361" s="518" t="s">
        <v>276</v>
      </c>
      <c r="AH1361" s="518" t="s">
        <v>276</v>
      </c>
      <c r="AI1361" s="518" t="s">
        <v>4702</v>
      </c>
      <c r="AJ1361" s="523">
        <v>226.3</v>
      </c>
      <c r="AK1361" s="521" t="s">
        <v>98</v>
      </c>
      <c r="AL1361" s="520" t="s">
        <v>276</v>
      </c>
      <c r="AM1361" s="520" t="s">
        <v>276</v>
      </c>
      <c r="AN1361" s="523">
        <v>233</v>
      </c>
      <c r="AO1361" s="521" t="s">
        <v>98</v>
      </c>
      <c r="AP1361" s="520" t="s">
        <v>276</v>
      </c>
      <c r="AQ1361" s="520" t="s">
        <v>276</v>
      </c>
      <c r="AR1361" s="513" t="s">
        <v>269</v>
      </c>
      <c r="AS1361" s="520">
        <v>0.97099999999999997</v>
      </c>
      <c r="AT1361" s="521">
        <f t="shared" si="197"/>
        <v>0.97124463519313309</v>
      </c>
      <c r="AU1361" s="521">
        <v>0.94899999999999995</v>
      </c>
      <c r="AV1361" s="521">
        <v>0.99399999999999999</v>
      </c>
      <c r="AW1361" s="521">
        <v>1.6E-2</v>
      </c>
      <c r="AX1361" s="513" t="s">
        <v>10965</v>
      </c>
      <c r="AY1361" s="521">
        <v>0.96599999999999997</v>
      </c>
      <c r="AZ1361" s="513">
        <v>0.94299999999999995</v>
      </c>
      <c r="BA1361" s="513">
        <v>0.98899999999999999</v>
      </c>
      <c r="BB1361" s="513">
        <v>4.0000000000000001E-3</v>
      </c>
      <c r="BC1361" s="514" t="s">
        <v>10972</v>
      </c>
      <c r="BD1361" s="514"/>
      <c r="BE1361" s="33" t="s">
        <v>100</v>
      </c>
      <c r="BF1361" s="33" t="s">
        <v>98</v>
      </c>
    </row>
    <row r="1362" spans="1:58" s="522" customFormat="1" ht="65" x14ac:dyDescent="0.3">
      <c r="A1362" s="513">
        <v>1055</v>
      </c>
      <c r="B1362" s="513" t="s">
        <v>1482</v>
      </c>
      <c r="C1362" s="8" t="s">
        <v>11079</v>
      </c>
      <c r="D1362" s="514" t="s">
        <v>10973</v>
      </c>
      <c r="E1362" s="513" t="s">
        <v>36</v>
      </c>
      <c r="F1362" s="514" t="s">
        <v>134</v>
      </c>
      <c r="G1362" s="513" t="s">
        <v>225</v>
      </c>
      <c r="H1362" s="513" t="s">
        <v>125</v>
      </c>
      <c r="I1362" s="513" t="s">
        <v>114</v>
      </c>
      <c r="J1362" s="514" t="s">
        <v>23</v>
      </c>
      <c r="K1362" s="514" t="s">
        <v>1484</v>
      </c>
      <c r="L1362" s="514" t="s">
        <v>1485</v>
      </c>
      <c r="M1362" s="513" t="s">
        <v>16</v>
      </c>
      <c r="N1362" s="515" t="s">
        <v>171</v>
      </c>
      <c r="O1362" s="516" t="s">
        <v>207</v>
      </c>
      <c r="P1362" s="517">
        <v>42369</v>
      </c>
      <c r="Q1362" s="514" t="s">
        <v>276</v>
      </c>
      <c r="R1362" s="514" t="s">
        <v>276</v>
      </c>
      <c r="S1362" s="514" t="s">
        <v>276</v>
      </c>
      <c r="T1362" s="514">
        <v>2</v>
      </c>
      <c r="U1362" s="518">
        <v>39103</v>
      </c>
      <c r="V1362" s="519">
        <v>39106</v>
      </c>
      <c r="W1362" s="513" t="s">
        <v>276</v>
      </c>
      <c r="X1362" s="513" t="s">
        <v>276</v>
      </c>
      <c r="Y1362" s="513">
        <v>0</v>
      </c>
      <c r="Z1362" s="513" t="s">
        <v>98</v>
      </c>
      <c r="AA1362" s="513">
        <v>0</v>
      </c>
      <c r="AB1362" s="513" t="s">
        <v>98</v>
      </c>
      <c r="AC1362" s="514" t="s">
        <v>10974</v>
      </c>
      <c r="AD1362" s="514" t="s">
        <v>1487</v>
      </c>
      <c r="AE1362" s="513">
        <v>8953</v>
      </c>
      <c r="AF1362" s="513">
        <v>8810</v>
      </c>
      <c r="AG1362" s="518" t="s">
        <v>276</v>
      </c>
      <c r="AH1362" s="518" t="s">
        <v>276</v>
      </c>
      <c r="AI1362" s="518" t="s">
        <v>4702</v>
      </c>
      <c r="AJ1362" s="523">
        <v>141.30000000000001</v>
      </c>
      <c r="AK1362" s="521" t="s">
        <v>98</v>
      </c>
      <c r="AL1362" s="520" t="s">
        <v>276</v>
      </c>
      <c r="AM1362" s="520" t="s">
        <v>276</v>
      </c>
      <c r="AN1362" s="523">
        <v>140.1</v>
      </c>
      <c r="AO1362" s="521" t="s">
        <v>98</v>
      </c>
      <c r="AP1362" s="520" t="s">
        <v>276</v>
      </c>
      <c r="AQ1362" s="520" t="s">
        <v>276</v>
      </c>
      <c r="AR1362" s="513" t="s">
        <v>269</v>
      </c>
      <c r="AS1362" s="520" t="s">
        <v>276</v>
      </c>
      <c r="AT1362" s="521">
        <f t="shared" si="197"/>
        <v>1.0085653104925054</v>
      </c>
      <c r="AU1362" s="520" t="s">
        <v>276</v>
      </c>
      <c r="AV1362" s="520" t="s">
        <v>276</v>
      </c>
      <c r="AW1362" s="513" t="s">
        <v>276</v>
      </c>
      <c r="AX1362" s="513" t="s">
        <v>10965</v>
      </c>
      <c r="AY1362" s="521">
        <v>1.002</v>
      </c>
      <c r="AZ1362" s="513">
        <v>0.97299999999999998</v>
      </c>
      <c r="BA1362" s="513">
        <v>1.0309999999999999</v>
      </c>
      <c r="BB1362" s="513">
        <v>0.91</v>
      </c>
      <c r="BC1362" s="514" t="s">
        <v>298</v>
      </c>
      <c r="BD1362" s="514"/>
      <c r="BE1362" s="33" t="s">
        <v>100</v>
      </c>
      <c r="BF1362" s="33" t="s">
        <v>98</v>
      </c>
    </row>
    <row r="1363" spans="1:58" s="7" customFormat="1" ht="104" x14ac:dyDescent="0.3">
      <c r="A1363" s="8">
        <v>670</v>
      </c>
      <c r="B1363" s="8" t="s">
        <v>7578</v>
      </c>
      <c r="C1363" s="8" t="s">
        <v>76</v>
      </c>
      <c r="D1363" s="9" t="s">
        <v>7579</v>
      </c>
      <c r="E1363" s="8" t="s">
        <v>39</v>
      </c>
      <c r="F1363" s="8" t="s">
        <v>143</v>
      </c>
      <c r="G1363" s="8" t="s">
        <v>225</v>
      </c>
      <c r="H1363" s="8" t="s">
        <v>125</v>
      </c>
      <c r="I1363" s="8" t="s">
        <v>114</v>
      </c>
      <c r="J1363" s="9" t="s">
        <v>23</v>
      </c>
      <c r="K1363" s="9" t="s">
        <v>7580</v>
      </c>
      <c r="L1363" s="9" t="s">
        <v>7581</v>
      </c>
      <c r="M1363" s="8" t="s">
        <v>14</v>
      </c>
      <c r="N1363" s="11" t="s">
        <v>98</v>
      </c>
      <c r="O1363" s="12" t="s">
        <v>207</v>
      </c>
      <c r="P1363" s="41">
        <v>42004</v>
      </c>
      <c r="Q1363" s="9" t="s">
        <v>766</v>
      </c>
      <c r="R1363" s="9" t="s">
        <v>7582</v>
      </c>
      <c r="S1363" s="9" t="s">
        <v>7582</v>
      </c>
      <c r="T1363" s="48">
        <v>4</v>
      </c>
      <c r="U1363" s="13">
        <v>1613</v>
      </c>
      <c r="V1363" s="38">
        <v>1593</v>
      </c>
      <c r="W1363" s="8" t="s">
        <v>276</v>
      </c>
      <c r="X1363" s="8" t="s">
        <v>276</v>
      </c>
      <c r="Y1363" s="8">
        <v>0</v>
      </c>
      <c r="Z1363" s="8" t="s">
        <v>98</v>
      </c>
      <c r="AA1363" s="8">
        <v>0</v>
      </c>
      <c r="AB1363" s="8" t="s">
        <v>98</v>
      </c>
      <c r="AC1363" s="9" t="s">
        <v>7583</v>
      </c>
      <c r="AD1363" s="9" t="s">
        <v>866</v>
      </c>
      <c r="AE1363" s="8">
        <v>154</v>
      </c>
      <c r="AF1363" s="8">
        <v>181</v>
      </c>
      <c r="AG1363" s="13">
        <v>1613</v>
      </c>
      <c r="AH1363" s="13">
        <v>1593</v>
      </c>
      <c r="AI1363" s="13" t="s">
        <v>292</v>
      </c>
      <c r="AJ1363" s="14" t="s">
        <v>276</v>
      </c>
      <c r="AK1363" s="14">
        <f>AE1363*100/AG1363</f>
        <v>9.5474271543707374</v>
      </c>
      <c r="AL1363" s="14" t="s">
        <v>276</v>
      </c>
      <c r="AM1363" s="14" t="s">
        <v>276</v>
      </c>
      <c r="AN1363" s="14" t="s">
        <v>276</v>
      </c>
      <c r="AO1363" s="14">
        <f>AF1363*100/AH1363</f>
        <v>11.362209667294414</v>
      </c>
      <c r="AP1363" s="14" t="s">
        <v>276</v>
      </c>
      <c r="AQ1363" s="14" t="s">
        <v>276</v>
      </c>
      <c r="AR1363" s="8" t="s">
        <v>268</v>
      </c>
      <c r="AS1363" s="14" t="s">
        <v>276</v>
      </c>
      <c r="AT1363" s="14">
        <f t="shared" ref="AT1363:AT1384" si="198">AK1363/AO1363</f>
        <v>0.84027908601726986</v>
      </c>
      <c r="AU1363" s="14" t="s">
        <v>276</v>
      </c>
      <c r="AV1363" s="14" t="s">
        <v>276</v>
      </c>
      <c r="AW1363" s="8" t="s">
        <v>276</v>
      </c>
      <c r="AX1363" s="8" t="s">
        <v>282</v>
      </c>
      <c r="AY1363" s="8" t="s">
        <v>276</v>
      </c>
      <c r="AZ1363" s="8" t="s">
        <v>276</v>
      </c>
      <c r="BA1363" s="8" t="s">
        <v>276</v>
      </c>
      <c r="BB1363" s="8" t="s">
        <v>276</v>
      </c>
      <c r="BC1363" s="9" t="s">
        <v>7584</v>
      </c>
      <c r="BD1363" s="9" t="s">
        <v>7585</v>
      </c>
      <c r="BE1363" s="33" t="s">
        <v>100</v>
      </c>
      <c r="BF1363" s="33" t="s">
        <v>98</v>
      </c>
    </row>
    <row r="1364" spans="1:58" s="7" customFormat="1" ht="104" x14ac:dyDescent="0.3">
      <c r="A1364" s="8">
        <v>670</v>
      </c>
      <c r="B1364" s="8" t="s">
        <v>7578</v>
      </c>
      <c r="C1364" s="8" t="s">
        <v>76</v>
      </c>
      <c r="D1364" s="9" t="s">
        <v>7586</v>
      </c>
      <c r="E1364" s="8" t="s">
        <v>39</v>
      </c>
      <c r="F1364" s="8" t="s">
        <v>143</v>
      </c>
      <c r="G1364" s="8" t="s">
        <v>225</v>
      </c>
      <c r="H1364" s="8" t="s">
        <v>125</v>
      </c>
      <c r="I1364" s="8" t="s">
        <v>114</v>
      </c>
      <c r="J1364" s="9" t="s">
        <v>23</v>
      </c>
      <c r="K1364" s="9" t="s">
        <v>7580</v>
      </c>
      <c r="L1364" s="9" t="s">
        <v>7581</v>
      </c>
      <c r="M1364" s="8" t="s">
        <v>14</v>
      </c>
      <c r="N1364" s="11" t="s">
        <v>98</v>
      </c>
      <c r="O1364" s="12" t="s">
        <v>207</v>
      </c>
      <c r="P1364" s="41">
        <v>42004</v>
      </c>
      <c r="Q1364" s="9" t="s">
        <v>766</v>
      </c>
      <c r="R1364" s="9" t="s">
        <v>7582</v>
      </c>
      <c r="S1364" s="9" t="s">
        <v>7582</v>
      </c>
      <c r="T1364" s="48">
        <v>4</v>
      </c>
      <c r="U1364" s="13">
        <v>1613</v>
      </c>
      <c r="V1364" s="38">
        <v>1593</v>
      </c>
      <c r="W1364" s="8" t="s">
        <v>276</v>
      </c>
      <c r="X1364" s="8" t="s">
        <v>276</v>
      </c>
      <c r="Y1364" s="8">
        <v>0</v>
      </c>
      <c r="Z1364" s="8" t="s">
        <v>98</v>
      </c>
      <c r="AA1364" s="8">
        <v>0</v>
      </c>
      <c r="AB1364" s="8" t="s">
        <v>98</v>
      </c>
      <c r="AC1364" s="9" t="s">
        <v>7583</v>
      </c>
      <c r="AD1364" s="9" t="s">
        <v>7587</v>
      </c>
      <c r="AE1364" s="8">
        <v>154</v>
      </c>
      <c r="AF1364" s="8">
        <v>181</v>
      </c>
      <c r="AG1364" s="13">
        <v>14658</v>
      </c>
      <c r="AH1364" s="13">
        <v>14247</v>
      </c>
      <c r="AI1364" s="38" t="s">
        <v>4702</v>
      </c>
      <c r="AJ1364" s="43">
        <v>105.1</v>
      </c>
      <c r="AK1364" s="14">
        <f>AE1364*10000/AG1364</f>
        <v>105.06208213944603</v>
      </c>
      <c r="AL1364" s="14" t="s">
        <v>276</v>
      </c>
      <c r="AM1364" s="14" t="s">
        <v>276</v>
      </c>
      <c r="AN1364" s="43">
        <v>127</v>
      </c>
      <c r="AO1364" s="14">
        <f>AF1364*10000/AH1364</f>
        <v>127.04429002597038</v>
      </c>
      <c r="AP1364" s="14" t="s">
        <v>276</v>
      </c>
      <c r="AQ1364" s="14" t="s">
        <v>276</v>
      </c>
      <c r="AR1364" s="8" t="s">
        <v>269</v>
      </c>
      <c r="AS1364" s="14">
        <v>0.83</v>
      </c>
      <c r="AT1364" s="14">
        <f t="shared" si="198"/>
        <v>0.82697209074071143</v>
      </c>
      <c r="AU1364" s="14">
        <v>0.67</v>
      </c>
      <c r="AV1364" s="14">
        <v>1.03</v>
      </c>
      <c r="AW1364" s="8">
        <v>0.08</v>
      </c>
      <c r="AX1364" s="8" t="s">
        <v>282</v>
      </c>
      <c r="AY1364" s="8" t="s">
        <v>276</v>
      </c>
      <c r="AZ1364" s="8" t="s">
        <v>276</v>
      </c>
      <c r="BA1364" s="8" t="s">
        <v>276</v>
      </c>
      <c r="BB1364" s="8" t="s">
        <v>276</v>
      </c>
      <c r="BC1364" s="9" t="s">
        <v>7584</v>
      </c>
      <c r="BD1364" s="9" t="s">
        <v>7585</v>
      </c>
      <c r="BE1364" s="33" t="s">
        <v>100</v>
      </c>
      <c r="BF1364" s="33" t="s">
        <v>98</v>
      </c>
    </row>
    <row r="1365" spans="1:58" s="7" customFormat="1" ht="39" x14ac:dyDescent="0.3">
      <c r="A1365" s="8">
        <v>670</v>
      </c>
      <c r="B1365" s="8" t="s">
        <v>7578</v>
      </c>
      <c r="C1365" s="8" t="s">
        <v>76</v>
      </c>
      <c r="D1365" s="9" t="s">
        <v>7588</v>
      </c>
      <c r="E1365" s="8" t="s">
        <v>39</v>
      </c>
      <c r="F1365" s="8" t="s">
        <v>143</v>
      </c>
      <c r="G1365" s="8" t="s">
        <v>225</v>
      </c>
      <c r="H1365" s="8" t="s">
        <v>125</v>
      </c>
      <c r="I1365" s="8" t="s">
        <v>114</v>
      </c>
      <c r="J1365" s="9" t="s">
        <v>23</v>
      </c>
      <c r="K1365" s="9" t="s">
        <v>7580</v>
      </c>
      <c r="L1365" s="9" t="s">
        <v>7581</v>
      </c>
      <c r="M1365" s="8" t="s">
        <v>14</v>
      </c>
      <c r="N1365" s="11" t="s">
        <v>98</v>
      </c>
      <c r="O1365" s="12" t="s">
        <v>207</v>
      </c>
      <c r="P1365" s="41" t="s">
        <v>276</v>
      </c>
      <c r="Q1365" s="9" t="s">
        <v>705</v>
      </c>
      <c r="R1365" s="9" t="s">
        <v>276</v>
      </c>
      <c r="S1365" s="9" t="s">
        <v>276</v>
      </c>
      <c r="T1365" s="48">
        <v>1</v>
      </c>
      <c r="U1365" s="13">
        <v>1613</v>
      </c>
      <c r="V1365" s="38">
        <v>1593</v>
      </c>
      <c r="W1365" s="8" t="s">
        <v>276</v>
      </c>
      <c r="X1365" s="8" t="s">
        <v>276</v>
      </c>
      <c r="Y1365" s="8">
        <v>0</v>
      </c>
      <c r="Z1365" s="8" t="s">
        <v>98</v>
      </c>
      <c r="AA1365" s="8">
        <v>0</v>
      </c>
      <c r="AB1365" s="8" t="s">
        <v>98</v>
      </c>
      <c r="AC1365" s="9" t="s">
        <v>7589</v>
      </c>
      <c r="AD1365" s="9" t="s">
        <v>866</v>
      </c>
      <c r="AE1365" s="8">
        <v>4</v>
      </c>
      <c r="AF1365" s="8">
        <v>12</v>
      </c>
      <c r="AG1365" s="13">
        <v>1613</v>
      </c>
      <c r="AH1365" s="13">
        <v>1593</v>
      </c>
      <c r="AI1365" s="13" t="s">
        <v>292</v>
      </c>
      <c r="AJ1365" s="14" t="s">
        <v>276</v>
      </c>
      <c r="AK1365" s="14">
        <f t="shared" ref="AK1365:AK1374" si="199">AE1365*100/AG1365</f>
        <v>0.24798512089274644</v>
      </c>
      <c r="AL1365" s="14" t="s">
        <v>276</v>
      </c>
      <c r="AM1365" s="14" t="s">
        <v>276</v>
      </c>
      <c r="AN1365" s="14" t="s">
        <v>276</v>
      </c>
      <c r="AO1365" s="14">
        <f t="shared" ref="AO1365:AO1374" si="200">AF1365*100/AH1365</f>
        <v>0.75329566854990582</v>
      </c>
      <c r="AP1365" s="14" t="s">
        <v>276</v>
      </c>
      <c r="AQ1365" s="14" t="s">
        <v>276</v>
      </c>
      <c r="AR1365" s="8" t="s">
        <v>268</v>
      </c>
      <c r="AS1365" s="14" t="s">
        <v>276</v>
      </c>
      <c r="AT1365" s="14">
        <f t="shared" si="198"/>
        <v>0.32920024798512088</v>
      </c>
      <c r="AU1365" s="14" t="s">
        <v>276</v>
      </c>
      <c r="AV1365" s="14" t="s">
        <v>276</v>
      </c>
      <c r="AW1365" s="8" t="s">
        <v>276</v>
      </c>
      <c r="AX1365" s="8" t="s">
        <v>282</v>
      </c>
      <c r="AY1365" s="8" t="s">
        <v>276</v>
      </c>
      <c r="AZ1365" s="8" t="s">
        <v>276</v>
      </c>
      <c r="BA1365" s="8" t="s">
        <v>276</v>
      </c>
      <c r="BB1365" s="8" t="s">
        <v>276</v>
      </c>
      <c r="BC1365" s="9" t="s">
        <v>7590</v>
      </c>
      <c r="BD1365" s="9" t="s">
        <v>7591</v>
      </c>
      <c r="BE1365" s="33" t="s">
        <v>100</v>
      </c>
      <c r="BF1365" s="33" t="s">
        <v>98</v>
      </c>
    </row>
    <row r="1366" spans="1:58" s="7" customFormat="1" ht="39" x14ac:dyDescent="0.3">
      <c r="A1366" s="8">
        <v>670</v>
      </c>
      <c r="B1366" s="8" t="s">
        <v>7578</v>
      </c>
      <c r="C1366" s="8" t="s">
        <v>76</v>
      </c>
      <c r="D1366" s="9" t="s">
        <v>7592</v>
      </c>
      <c r="E1366" s="8" t="s">
        <v>39</v>
      </c>
      <c r="F1366" s="8" t="s">
        <v>143</v>
      </c>
      <c r="G1366" s="8" t="s">
        <v>225</v>
      </c>
      <c r="H1366" s="8" t="s">
        <v>125</v>
      </c>
      <c r="I1366" s="8" t="s">
        <v>114</v>
      </c>
      <c r="J1366" s="9" t="s">
        <v>23</v>
      </c>
      <c r="K1366" s="9" t="s">
        <v>7580</v>
      </c>
      <c r="L1366" s="9" t="s">
        <v>7581</v>
      </c>
      <c r="M1366" s="8" t="s">
        <v>14</v>
      </c>
      <c r="N1366" s="11" t="s">
        <v>98</v>
      </c>
      <c r="O1366" s="12" t="s">
        <v>207</v>
      </c>
      <c r="P1366" s="41" t="s">
        <v>276</v>
      </c>
      <c r="Q1366" s="9" t="s">
        <v>710</v>
      </c>
      <c r="R1366" s="9" t="s">
        <v>276</v>
      </c>
      <c r="S1366" s="9" t="s">
        <v>276</v>
      </c>
      <c r="T1366" s="48">
        <v>2</v>
      </c>
      <c r="U1366" s="13">
        <v>1613</v>
      </c>
      <c r="V1366" s="38">
        <v>1593</v>
      </c>
      <c r="W1366" s="8" t="s">
        <v>276</v>
      </c>
      <c r="X1366" s="8" t="s">
        <v>276</v>
      </c>
      <c r="Y1366" s="8">
        <v>0</v>
      </c>
      <c r="Z1366" s="8" t="s">
        <v>98</v>
      </c>
      <c r="AA1366" s="8">
        <v>0</v>
      </c>
      <c r="AB1366" s="8" t="s">
        <v>98</v>
      </c>
      <c r="AC1366" s="9" t="s">
        <v>7593</v>
      </c>
      <c r="AD1366" s="9" t="s">
        <v>866</v>
      </c>
      <c r="AE1366" s="8">
        <f>4+16</f>
        <v>20</v>
      </c>
      <c r="AF1366" s="8">
        <f>12+11</f>
        <v>23</v>
      </c>
      <c r="AG1366" s="13">
        <v>1613</v>
      </c>
      <c r="AH1366" s="13">
        <v>1593</v>
      </c>
      <c r="AI1366" s="13" t="s">
        <v>292</v>
      </c>
      <c r="AJ1366" s="14" t="s">
        <v>276</v>
      </c>
      <c r="AK1366" s="14">
        <f t="shared" si="199"/>
        <v>1.2399256044637321</v>
      </c>
      <c r="AL1366" s="14" t="s">
        <v>276</v>
      </c>
      <c r="AM1366" s="14" t="s">
        <v>276</v>
      </c>
      <c r="AN1366" s="14" t="s">
        <v>276</v>
      </c>
      <c r="AO1366" s="14">
        <f t="shared" si="200"/>
        <v>1.4438166980539862</v>
      </c>
      <c r="AP1366" s="14" t="s">
        <v>276</v>
      </c>
      <c r="AQ1366" s="14" t="s">
        <v>276</v>
      </c>
      <c r="AR1366" s="8" t="s">
        <v>268</v>
      </c>
      <c r="AS1366" s="14" t="s">
        <v>276</v>
      </c>
      <c r="AT1366" s="14">
        <f t="shared" si="198"/>
        <v>0.85878325561335889</v>
      </c>
      <c r="AU1366" s="14" t="s">
        <v>276</v>
      </c>
      <c r="AV1366" s="14" t="s">
        <v>276</v>
      </c>
      <c r="AW1366" s="8" t="s">
        <v>276</v>
      </c>
      <c r="AX1366" s="8" t="s">
        <v>282</v>
      </c>
      <c r="AY1366" s="8" t="s">
        <v>276</v>
      </c>
      <c r="AZ1366" s="8" t="s">
        <v>276</v>
      </c>
      <c r="BA1366" s="8" t="s">
        <v>276</v>
      </c>
      <c r="BB1366" s="8" t="s">
        <v>276</v>
      </c>
      <c r="BC1366" s="9" t="s">
        <v>7590</v>
      </c>
      <c r="BD1366" s="9" t="s">
        <v>7591</v>
      </c>
      <c r="BE1366" s="33" t="s">
        <v>100</v>
      </c>
      <c r="BF1366" s="33" t="s">
        <v>98</v>
      </c>
    </row>
    <row r="1367" spans="1:58" s="7" customFormat="1" ht="39" x14ac:dyDescent="0.3">
      <c r="A1367" s="8">
        <v>670</v>
      </c>
      <c r="B1367" s="8" t="s">
        <v>7578</v>
      </c>
      <c r="C1367" s="8" t="s">
        <v>76</v>
      </c>
      <c r="D1367" s="9" t="s">
        <v>7594</v>
      </c>
      <c r="E1367" s="8" t="s">
        <v>39</v>
      </c>
      <c r="F1367" s="8" t="s">
        <v>143</v>
      </c>
      <c r="G1367" s="8" t="s">
        <v>225</v>
      </c>
      <c r="H1367" s="8" t="s">
        <v>125</v>
      </c>
      <c r="I1367" s="8" t="s">
        <v>114</v>
      </c>
      <c r="J1367" s="9" t="s">
        <v>23</v>
      </c>
      <c r="K1367" s="9" t="s">
        <v>7580</v>
      </c>
      <c r="L1367" s="9" t="s">
        <v>7581</v>
      </c>
      <c r="M1367" s="8" t="s">
        <v>14</v>
      </c>
      <c r="N1367" s="11" t="s">
        <v>98</v>
      </c>
      <c r="O1367" s="12" t="s">
        <v>207</v>
      </c>
      <c r="P1367" s="41" t="s">
        <v>276</v>
      </c>
      <c r="Q1367" s="9" t="s">
        <v>686</v>
      </c>
      <c r="R1367" s="9" t="s">
        <v>276</v>
      </c>
      <c r="S1367" s="9" t="s">
        <v>276</v>
      </c>
      <c r="T1367" s="48">
        <v>3</v>
      </c>
      <c r="U1367" s="13">
        <v>1613</v>
      </c>
      <c r="V1367" s="38">
        <v>1593</v>
      </c>
      <c r="W1367" s="8" t="s">
        <v>276</v>
      </c>
      <c r="X1367" s="8" t="s">
        <v>276</v>
      </c>
      <c r="Y1367" s="8">
        <v>0</v>
      </c>
      <c r="Z1367" s="8" t="s">
        <v>98</v>
      </c>
      <c r="AA1367" s="8">
        <v>0</v>
      </c>
      <c r="AB1367" s="8" t="s">
        <v>98</v>
      </c>
      <c r="AC1367" s="9" t="s">
        <v>7595</v>
      </c>
      <c r="AD1367" s="9" t="s">
        <v>866</v>
      </c>
      <c r="AE1367" s="8">
        <f>4+16+17</f>
        <v>37</v>
      </c>
      <c r="AF1367" s="8">
        <f>12+11+14</f>
        <v>37</v>
      </c>
      <c r="AG1367" s="13">
        <v>1613</v>
      </c>
      <c r="AH1367" s="13">
        <v>1593</v>
      </c>
      <c r="AI1367" s="13" t="s">
        <v>292</v>
      </c>
      <c r="AJ1367" s="14" t="s">
        <v>276</v>
      </c>
      <c r="AK1367" s="14">
        <f t="shared" si="199"/>
        <v>2.2938623682579045</v>
      </c>
      <c r="AL1367" s="14" t="s">
        <v>276</v>
      </c>
      <c r="AM1367" s="14" t="s">
        <v>276</v>
      </c>
      <c r="AN1367" s="14" t="s">
        <v>276</v>
      </c>
      <c r="AO1367" s="14">
        <f t="shared" si="200"/>
        <v>2.3226616446955428</v>
      </c>
      <c r="AP1367" s="14" t="s">
        <v>276</v>
      </c>
      <c r="AQ1367" s="14" t="s">
        <v>276</v>
      </c>
      <c r="AR1367" s="8" t="s">
        <v>268</v>
      </c>
      <c r="AS1367" s="14" t="s">
        <v>276</v>
      </c>
      <c r="AT1367" s="14">
        <f t="shared" si="198"/>
        <v>0.98760074395536268</v>
      </c>
      <c r="AU1367" s="14" t="s">
        <v>276</v>
      </c>
      <c r="AV1367" s="14" t="s">
        <v>276</v>
      </c>
      <c r="AW1367" s="8" t="s">
        <v>276</v>
      </c>
      <c r="AX1367" s="8" t="s">
        <v>282</v>
      </c>
      <c r="AY1367" s="8" t="s">
        <v>276</v>
      </c>
      <c r="AZ1367" s="8" t="s">
        <v>276</v>
      </c>
      <c r="BA1367" s="8" t="s">
        <v>276</v>
      </c>
      <c r="BB1367" s="8" t="s">
        <v>276</v>
      </c>
      <c r="BC1367" s="9" t="s">
        <v>7590</v>
      </c>
      <c r="BD1367" s="9" t="s">
        <v>7591</v>
      </c>
      <c r="BE1367" s="33" t="s">
        <v>100</v>
      </c>
      <c r="BF1367" s="33" t="s">
        <v>98</v>
      </c>
    </row>
    <row r="1368" spans="1:58" s="7" customFormat="1" ht="52" x14ac:dyDescent="0.3">
      <c r="A1368" s="8">
        <v>670</v>
      </c>
      <c r="B1368" s="8" t="s">
        <v>7578</v>
      </c>
      <c r="C1368" s="8" t="s">
        <v>76</v>
      </c>
      <c r="D1368" s="9" t="s">
        <v>7596</v>
      </c>
      <c r="E1368" s="8" t="s">
        <v>39</v>
      </c>
      <c r="F1368" s="8" t="s">
        <v>143</v>
      </c>
      <c r="G1368" s="8" t="s">
        <v>225</v>
      </c>
      <c r="H1368" s="8" t="s">
        <v>125</v>
      </c>
      <c r="I1368" s="8" t="s">
        <v>114</v>
      </c>
      <c r="J1368" s="9" t="s">
        <v>23</v>
      </c>
      <c r="K1368" s="9" t="s">
        <v>7580</v>
      </c>
      <c r="L1368" s="9" t="s">
        <v>7581</v>
      </c>
      <c r="M1368" s="8" t="s">
        <v>14</v>
      </c>
      <c r="N1368" s="11" t="s">
        <v>98</v>
      </c>
      <c r="O1368" s="12" t="s">
        <v>207</v>
      </c>
      <c r="P1368" s="41" t="s">
        <v>276</v>
      </c>
      <c r="Q1368" s="9" t="s">
        <v>721</v>
      </c>
      <c r="R1368" s="9" t="s">
        <v>276</v>
      </c>
      <c r="S1368" s="9" t="s">
        <v>276</v>
      </c>
      <c r="T1368" s="48">
        <v>4</v>
      </c>
      <c r="U1368" s="13">
        <v>1613</v>
      </c>
      <c r="V1368" s="38">
        <v>1593</v>
      </c>
      <c r="W1368" s="8" t="s">
        <v>276</v>
      </c>
      <c r="X1368" s="8" t="s">
        <v>276</v>
      </c>
      <c r="Y1368" s="8">
        <v>0</v>
      </c>
      <c r="Z1368" s="8" t="s">
        <v>98</v>
      </c>
      <c r="AA1368" s="8">
        <v>0</v>
      </c>
      <c r="AB1368" s="8" t="s">
        <v>98</v>
      </c>
      <c r="AC1368" s="9" t="s">
        <v>7597</v>
      </c>
      <c r="AD1368" s="9" t="s">
        <v>866</v>
      </c>
      <c r="AE1368" s="8">
        <f>4+16+17+12</f>
        <v>49</v>
      </c>
      <c r="AF1368" s="8">
        <f>12+11+14+13</f>
        <v>50</v>
      </c>
      <c r="AG1368" s="13">
        <v>1613</v>
      </c>
      <c r="AH1368" s="13">
        <v>1593</v>
      </c>
      <c r="AI1368" s="13" t="s">
        <v>292</v>
      </c>
      <c r="AJ1368" s="14" t="s">
        <v>276</v>
      </c>
      <c r="AK1368" s="14">
        <f t="shared" si="199"/>
        <v>3.037817730936144</v>
      </c>
      <c r="AL1368" s="14" t="s">
        <v>276</v>
      </c>
      <c r="AM1368" s="14" t="s">
        <v>276</v>
      </c>
      <c r="AN1368" s="14" t="s">
        <v>276</v>
      </c>
      <c r="AO1368" s="14">
        <f t="shared" si="200"/>
        <v>3.1387319522912742</v>
      </c>
      <c r="AP1368" s="14" t="s">
        <v>276</v>
      </c>
      <c r="AQ1368" s="14" t="s">
        <v>276</v>
      </c>
      <c r="AR1368" s="8" t="s">
        <v>268</v>
      </c>
      <c r="AS1368" s="14">
        <v>0.97</v>
      </c>
      <c r="AT1368" s="14">
        <f t="shared" si="198"/>
        <v>0.96784872907625552</v>
      </c>
      <c r="AU1368" s="14" t="s">
        <v>276</v>
      </c>
      <c r="AV1368" s="14" t="s">
        <v>276</v>
      </c>
      <c r="AW1368" s="8">
        <v>0.86</v>
      </c>
      <c r="AX1368" s="8" t="s">
        <v>282</v>
      </c>
      <c r="AY1368" s="8" t="s">
        <v>276</v>
      </c>
      <c r="AZ1368" s="8" t="s">
        <v>276</v>
      </c>
      <c r="BA1368" s="8" t="s">
        <v>276</v>
      </c>
      <c r="BB1368" s="8" t="s">
        <v>276</v>
      </c>
      <c r="BC1368" s="9" t="s">
        <v>7598</v>
      </c>
      <c r="BD1368" s="9" t="s">
        <v>7591</v>
      </c>
      <c r="BE1368" s="33" t="s">
        <v>100</v>
      </c>
      <c r="BF1368" s="33" t="s">
        <v>98</v>
      </c>
    </row>
    <row r="1369" spans="1:58" s="7" customFormat="1" ht="39" x14ac:dyDescent="0.3">
      <c r="A1369" s="8">
        <v>670</v>
      </c>
      <c r="B1369" s="8" t="s">
        <v>7578</v>
      </c>
      <c r="C1369" s="8" t="s">
        <v>76</v>
      </c>
      <c r="D1369" s="9" t="s">
        <v>7599</v>
      </c>
      <c r="E1369" s="8" t="s">
        <v>39</v>
      </c>
      <c r="F1369" s="8" t="s">
        <v>143</v>
      </c>
      <c r="G1369" s="8" t="s">
        <v>225</v>
      </c>
      <c r="H1369" s="8" t="s">
        <v>125</v>
      </c>
      <c r="I1369" s="8" t="s">
        <v>114</v>
      </c>
      <c r="J1369" s="9" t="s">
        <v>23</v>
      </c>
      <c r="K1369" s="9" t="s">
        <v>7580</v>
      </c>
      <c r="L1369" s="9" t="s">
        <v>7581</v>
      </c>
      <c r="M1369" s="8" t="s">
        <v>14</v>
      </c>
      <c r="N1369" s="11" t="s">
        <v>98</v>
      </c>
      <c r="O1369" s="12" t="s">
        <v>207</v>
      </c>
      <c r="P1369" s="41" t="s">
        <v>276</v>
      </c>
      <c r="Q1369" s="9" t="s">
        <v>728</v>
      </c>
      <c r="R1369" s="9" t="s">
        <v>276</v>
      </c>
      <c r="S1369" s="9" t="s">
        <v>276</v>
      </c>
      <c r="T1369" s="48">
        <v>4</v>
      </c>
      <c r="U1369" s="13">
        <v>1613</v>
      </c>
      <c r="V1369" s="38">
        <v>1593</v>
      </c>
      <c r="W1369" s="8" t="s">
        <v>276</v>
      </c>
      <c r="X1369" s="8" t="s">
        <v>276</v>
      </c>
      <c r="Y1369" s="8">
        <v>0</v>
      </c>
      <c r="Z1369" s="8" t="s">
        <v>98</v>
      </c>
      <c r="AA1369" s="8">
        <v>0</v>
      </c>
      <c r="AB1369" s="8" t="s">
        <v>98</v>
      </c>
      <c r="AC1369" s="9" t="s">
        <v>7600</v>
      </c>
      <c r="AD1369" s="9" t="s">
        <v>866</v>
      </c>
      <c r="AE1369" s="8">
        <f>4+16+17+12+15</f>
        <v>64</v>
      </c>
      <c r="AF1369" s="8">
        <f>12+11+14+13+19</f>
        <v>69</v>
      </c>
      <c r="AG1369" s="13">
        <v>1613</v>
      </c>
      <c r="AH1369" s="13">
        <v>1593</v>
      </c>
      <c r="AI1369" s="13" t="s">
        <v>292</v>
      </c>
      <c r="AJ1369" s="14" t="s">
        <v>276</v>
      </c>
      <c r="AK1369" s="14">
        <f t="shared" si="199"/>
        <v>3.967761934283943</v>
      </c>
      <c r="AL1369" s="14" t="s">
        <v>276</v>
      </c>
      <c r="AM1369" s="14" t="s">
        <v>276</v>
      </c>
      <c r="AN1369" s="14" t="s">
        <v>276</v>
      </c>
      <c r="AO1369" s="14">
        <f t="shared" si="200"/>
        <v>4.3314500941619585</v>
      </c>
      <c r="AP1369" s="14" t="s">
        <v>276</v>
      </c>
      <c r="AQ1369" s="14" t="s">
        <v>276</v>
      </c>
      <c r="AR1369" s="8" t="s">
        <v>268</v>
      </c>
      <c r="AS1369" s="14" t="s">
        <v>276</v>
      </c>
      <c r="AT1369" s="14">
        <f t="shared" si="198"/>
        <v>0.91603547265424945</v>
      </c>
      <c r="AU1369" s="14" t="s">
        <v>276</v>
      </c>
      <c r="AV1369" s="14" t="s">
        <v>276</v>
      </c>
      <c r="AW1369" s="8" t="s">
        <v>276</v>
      </c>
      <c r="AX1369" s="8" t="s">
        <v>282</v>
      </c>
      <c r="AY1369" s="8" t="s">
        <v>276</v>
      </c>
      <c r="AZ1369" s="8" t="s">
        <v>276</v>
      </c>
      <c r="BA1369" s="8" t="s">
        <v>276</v>
      </c>
      <c r="BB1369" s="8" t="s">
        <v>276</v>
      </c>
      <c r="BC1369" s="9" t="s">
        <v>7590</v>
      </c>
      <c r="BD1369" s="9" t="s">
        <v>7585</v>
      </c>
      <c r="BE1369" s="33" t="s">
        <v>100</v>
      </c>
      <c r="BF1369" s="33" t="s">
        <v>98</v>
      </c>
    </row>
    <row r="1370" spans="1:58" s="7" customFormat="1" ht="39" x14ac:dyDescent="0.3">
      <c r="A1370" s="8">
        <v>670</v>
      </c>
      <c r="B1370" s="8" t="s">
        <v>7578</v>
      </c>
      <c r="C1370" s="8" t="s">
        <v>76</v>
      </c>
      <c r="D1370" s="9" t="s">
        <v>7601</v>
      </c>
      <c r="E1370" s="8" t="s">
        <v>39</v>
      </c>
      <c r="F1370" s="8" t="s">
        <v>143</v>
      </c>
      <c r="G1370" s="8" t="s">
        <v>225</v>
      </c>
      <c r="H1370" s="8" t="s">
        <v>125</v>
      </c>
      <c r="I1370" s="8" t="s">
        <v>114</v>
      </c>
      <c r="J1370" s="9" t="s">
        <v>23</v>
      </c>
      <c r="K1370" s="9" t="s">
        <v>7580</v>
      </c>
      <c r="L1370" s="9" t="s">
        <v>7581</v>
      </c>
      <c r="M1370" s="8" t="s">
        <v>14</v>
      </c>
      <c r="N1370" s="11" t="s">
        <v>98</v>
      </c>
      <c r="O1370" s="12" t="s">
        <v>207</v>
      </c>
      <c r="P1370" s="41" t="s">
        <v>276</v>
      </c>
      <c r="Q1370" s="9" t="s">
        <v>733</v>
      </c>
      <c r="R1370" s="9" t="s">
        <v>276</v>
      </c>
      <c r="S1370" s="9" t="s">
        <v>276</v>
      </c>
      <c r="T1370" s="48">
        <v>4</v>
      </c>
      <c r="U1370" s="13">
        <v>1613</v>
      </c>
      <c r="V1370" s="38">
        <v>1593</v>
      </c>
      <c r="W1370" s="8" t="s">
        <v>276</v>
      </c>
      <c r="X1370" s="8" t="s">
        <v>276</v>
      </c>
      <c r="Y1370" s="8">
        <v>0</v>
      </c>
      <c r="Z1370" s="8" t="s">
        <v>98</v>
      </c>
      <c r="AA1370" s="8">
        <v>0</v>
      </c>
      <c r="AB1370" s="8" t="s">
        <v>98</v>
      </c>
      <c r="AC1370" s="9" t="s">
        <v>7602</v>
      </c>
      <c r="AD1370" s="9" t="s">
        <v>866</v>
      </c>
      <c r="AE1370" s="8">
        <f>4+16+17+12+15+13</f>
        <v>77</v>
      </c>
      <c r="AF1370" s="8">
        <f>12+11+14+13+19+17</f>
        <v>86</v>
      </c>
      <c r="AG1370" s="13">
        <v>1613</v>
      </c>
      <c r="AH1370" s="13">
        <v>1593</v>
      </c>
      <c r="AI1370" s="13" t="s">
        <v>292</v>
      </c>
      <c r="AJ1370" s="14" t="s">
        <v>276</v>
      </c>
      <c r="AK1370" s="14">
        <f t="shared" si="199"/>
        <v>4.7737135771853687</v>
      </c>
      <c r="AL1370" s="14" t="s">
        <v>276</v>
      </c>
      <c r="AM1370" s="14" t="s">
        <v>276</v>
      </c>
      <c r="AN1370" s="14" t="s">
        <v>276</v>
      </c>
      <c r="AO1370" s="14">
        <f t="shared" si="200"/>
        <v>5.3986189579409922</v>
      </c>
      <c r="AP1370" s="14" t="s">
        <v>276</v>
      </c>
      <c r="AQ1370" s="14" t="s">
        <v>276</v>
      </c>
      <c r="AR1370" s="8" t="s">
        <v>268</v>
      </c>
      <c r="AS1370" s="14" t="s">
        <v>276</v>
      </c>
      <c r="AT1370" s="14">
        <f t="shared" si="198"/>
        <v>0.88424717772747574</v>
      </c>
      <c r="AU1370" s="14" t="s">
        <v>276</v>
      </c>
      <c r="AV1370" s="14" t="s">
        <v>276</v>
      </c>
      <c r="AW1370" s="8" t="s">
        <v>276</v>
      </c>
      <c r="AX1370" s="8" t="s">
        <v>282</v>
      </c>
      <c r="AY1370" s="8" t="s">
        <v>276</v>
      </c>
      <c r="AZ1370" s="8" t="s">
        <v>276</v>
      </c>
      <c r="BA1370" s="8" t="s">
        <v>276</v>
      </c>
      <c r="BB1370" s="8" t="s">
        <v>276</v>
      </c>
      <c r="BC1370" s="9" t="s">
        <v>7590</v>
      </c>
      <c r="BD1370" s="9" t="s">
        <v>7585</v>
      </c>
      <c r="BE1370" s="33" t="s">
        <v>100</v>
      </c>
      <c r="BF1370" s="33" t="s">
        <v>98</v>
      </c>
    </row>
    <row r="1371" spans="1:58" s="7" customFormat="1" ht="39" x14ac:dyDescent="0.3">
      <c r="A1371" s="8">
        <v>670</v>
      </c>
      <c r="B1371" s="8" t="s">
        <v>7578</v>
      </c>
      <c r="C1371" s="8" t="s">
        <v>76</v>
      </c>
      <c r="D1371" s="9" t="s">
        <v>7603</v>
      </c>
      <c r="E1371" s="8" t="s">
        <v>39</v>
      </c>
      <c r="F1371" s="8" t="s">
        <v>143</v>
      </c>
      <c r="G1371" s="8" t="s">
        <v>225</v>
      </c>
      <c r="H1371" s="8" t="s">
        <v>125</v>
      </c>
      <c r="I1371" s="8" t="s">
        <v>114</v>
      </c>
      <c r="J1371" s="9" t="s">
        <v>23</v>
      </c>
      <c r="K1371" s="9" t="s">
        <v>7580</v>
      </c>
      <c r="L1371" s="9" t="s">
        <v>7581</v>
      </c>
      <c r="M1371" s="8" t="s">
        <v>14</v>
      </c>
      <c r="N1371" s="11" t="s">
        <v>98</v>
      </c>
      <c r="O1371" s="12" t="s">
        <v>207</v>
      </c>
      <c r="P1371" s="41" t="s">
        <v>276</v>
      </c>
      <c r="Q1371" s="9" t="s">
        <v>741</v>
      </c>
      <c r="R1371" s="9" t="s">
        <v>276</v>
      </c>
      <c r="S1371" s="9" t="s">
        <v>276</v>
      </c>
      <c r="T1371" s="48">
        <v>4</v>
      </c>
      <c r="U1371" s="13">
        <v>1613</v>
      </c>
      <c r="V1371" s="38">
        <v>1593</v>
      </c>
      <c r="W1371" s="8" t="s">
        <v>276</v>
      </c>
      <c r="X1371" s="8" t="s">
        <v>276</v>
      </c>
      <c r="Y1371" s="8">
        <v>0</v>
      </c>
      <c r="Z1371" s="8" t="s">
        <v>98</v>
      </c>
      <c r="AA1371" s="8">
        <v>0</v>
      </c>
      <c r="AB1371" s="8" t="s">
        <v>98</v>
      </c>
      <c r="AC1371" s="9" t="s">
        <v>7604</v>
      </c>
      <c r="AD1371" s="9" t="s">
        <v>866</v>
      </c>
      <c r="AE1371" s="8">
        <f>4+16+17+12+15+13+14</f>
        <v>91</v>
      </c>
      <c r="AF1371" s="8">
        <f>12+11+14+13+19+17+28</f>
        <v>114</v>
      </c>
      <c r="AG1371" s="13">
        <v>1613</v>
      </c>
      <c r="AH1371" s="13">
        <v>1593</v>
      </c>
      <c r="AI1371" s="13" t="s">
        <v>292</v>
      </c>
      <c r="AJ1371" s="14" t="s">
        <v>276</v>
      </c>
      <c r="AK1371" s="14">
        <f t="shared" si="199"/>
        <v>5.641661500309981</v>
      </c>
      <c r="AL1371" s="14" t="s">
        <v>276</v>
      </c>
      <c r="AM1371" s="14" t="s">
        <v>276</v>
      </c>
      <c r="AN1371" s="14" t="s">
        <v>276</v>
      </c>
      <c r="AO1371" s="14">
        <f t="shared" si="200"/>
        <v>7.1563088512241055</v>
      </c>
      <c r="AP1371" s="14" t="s">
        <v>276</v>
      </c>
      <c r="AQ1371" s="14" t="s">
        <v>276</v>
      </c>
      <c r="AR1371" s="8" t="s">
        <v>268</v>
      </c>
      <c r="AS1371" s="14" t="s">
        <v>276</v>
      </c>
      <c r="AT1371" s="14">
        <f t="shared" si="198"/>
        <v>0.78834796228015791</v>
      </c>
      <c r="AU1371" s="14" t="s">
        <v>276</v>
      </c>
      <c r="AV1371" s="14" t="s">
        <v>276</v>
      </c>
      <c r="AW1371" s="8" t="s">
        <v>276</v>
      </c>
      <c r="AX1371" s="8" t="s">
        <v>282</v>
      </c>
      <c r="AY1371" s="8" t="s">
        <v>276</v>
      </c>
      <c r="AZ1371" s="8" t="s">
        <v>276</v>
      </c>
      <c r="BA1371" s="8" t="s">
        <v>276</v>
      </c>
      <c r="BB1371" s="8" t="s">
        <v>276</v>
      </c>
      <c r="BC1371" s="9" t="s">
        <v>7590</v>
      </c>
      <c r="BD1371" s="9" t="s">
        <v>7585</v>
      </c>
      <c r="BE1371" s="33" t="s">
        <v>100</v>
      </c>
      <c r="BF1371" s="33" t="s">
        <v>98</v>
      </c>
    </row>
    <row r="1372" spans="1:58" s="7" customFormat="1" ht="39" x14ac:dyDescent="0.3">
      <c r="A1372" s="8">
        <v>670</v>
      </c>
      <c r="B1372" s="8" t="s">
        <v>7578</v>
      </c>
      <c r="C1372" s="8" t="s">
        <v>76</v>
      </c>
      <c r="D1372" s="9" t="s">
        <v>7605</v>
      </c>
      <c r="E1372" s="8" t="s">
        <v>39</v>
      </c>
      <c r="F1372" s="8" t="s">
        <v>143</v>
      </c>
      <c r="G1372" s="8" t="s">
        <v>225</v>
      </c>
      <c r="H1372" s="8" t="s">
        <v>125</v>
      </c>
      <c r="I1372" s="8" t="s">
        <v>114</v>
      </c>
      <c r="J1372" s="9" t="s">
        <v>23</v>
      </c>
      <c r="K1372" s="9" t="s">
        <v>7580</v>
      </c>
      <c r="L1372" s="9" t="s">
        <v>7581</v>
      </c>
      <c r="M1372" s="8" t="s">
        <v>14</v>
      </c>
      <c r="N1372" s="11" t="s">
        <v>98</v>
      </c>
      <c r="O1372" s="12" t="s">
        <v>207</v>
      </c>
      <c r="P1372" s="41" t="s">
        <v>276</v>
      </c>
      <c r="Q1372" s="9" t="s">
        <v>746</v>
      </c>
      <c r="R1372" s="9" t="s">
        <v>276</v>
      </c>
      <c r="S1372" s="9" t="s">
        <v>276</v>
      </c>
      <c r="T1372" s="48">
        <v>4</v>
      </c>
      <c r="U1372" s="13">
        <v>1613</v>
      </c>
      <c r="V1372" s="38">
        <v>1593</v>
      </c>
      <c r="W1372" s="8" t="s">
        <v>276</v>
      </c>
      <c r="X1372" s="8" t="s">
        <v>276</v>
      </c>
      <c r="Y1372" s="8">
        <v>0</v>
      </c>
      <c r="Z1372" s="8" t="s">
        <v>98</v>
      </c>
      <c r="AA1372" s="8">
        <v>0</v>
      </c>
      <c r="AB1372" s="8" t="s">
        <v>98</v>
      </c>
      <c r="AC1372" s="9" t="s">
        <v>7606</v>
      </c>
      <c r="AD1372" s="9" t="s">
        <v>866</v>
      </c>
      <c r="AE1372" s="8">
        <f>4+16+17+12+15+13+14+22</f>
        <v>113</v>
      </c>
      <c r="AF1372" s="8">
        <f>12+11+14+13+19+17+28+28</f>
        <v>142</v>
      </c>
      <c r="AG1372" s="13">
        <v>1613</v>
      </c>
      <c r="AH1372" s="13">
        <v>1593</v>
      </c>
      <c r="AI1372" s="13" t="s">
        <v>292</v>
      </c>
      <c r="AJ1372" s="14" t="s">
        <v>276</v>
      </c>
      <c r="AK1372" s="14">
        <f t="shared" si="199"/>
        <v>7.005579665220087</v>
      </c>
      <c r="AL1372" s="14" t="s">
        <v>276</v>
      </c>
      <c r="AM1372" s="14" t="s">
        <v>276</v>
      </c>
      <c r="AN1372" s="14" t="s">
        <v>276</v>
      </c>
      <c r="AO1372" s="14">
        <f t="shared" si="200"/>
        <v>8.9139987445072197</v>
      </c>
      <c r="AP1372" s="14" t="s">
        <v>276</v>
      </c>
      <c r="AQ1372" s="14" t="s">
        <v>276</v>
      </c>
      <c r="AR1372" s="8" t="s">
        <v>268</v>
      </c>
      <c r="AS1372" s="14" t="s">
        <v>276</v>
      </c>
      <c r="AT1372" s="14">
        <f t="shared" si="198"/>
        <v>0.78590763427433785</v>
      </c>
      <c r="AU1372" s="14" t="s">
        <v>276</v>
      </c>
      <c r="AV1372" s="14" t="s">
        <v>276</v>
      </c>
      <c r="AW1372" s="8" t="s">
        <v>276</v>
      </c>
      <c r="AX1372" s="8" t="s">
        <v>282</v>
      </c>
      <c r="AY1372" s="8" t="s">
        <v>276</v>
      </c>
      <c r="AZ1372" s="8" t="s">
        <v>276</v>
      </c>
      <c r="BA1372" s="8" t="s">
        <v>276</v>
      </c>
      <c r="BB1372" s="8" t="s">
        <v>276</v>
      </c>
      <c r="BC1372" s="9" t="s">
        <v>7590</v>
      </c>
      <c r="BD1372" s="9" t="s">
        <v>7585</v>
      </c>
      <c r="BE1372" s="33" t="s">
        <v>100</v>
      </c>
      <c r="BF1372" s="33" t="s">
        <v>98</v>
      </c>
    </row>
    <row r="1373" spans="1:58" s="7" customFormat="1" ht="39" x14ac:dyDescent="0.3">
      <c r="A1373" s="8">
        <v>670</v>
      </c>
      <c r="B1373" s="8" t="s">
        <v>7578</v>
      </c>
      <c r="C1373" s="8" t="s">
        <v>76</v>
      </c>
      <c r="D1373" s="9" t="s">
        <v>7607</v>
      </c>
      <c r="E1373" s="8" t="s">
        <v>39</v>
      </c>
      <c r="F1373" s="8" t="s">
        <v>143</v>
      </c>
      <c r="G1373" s="8" t="s">
        <v>225</v>
      </c>
      <c r="H1373" s="8" t="s">
        <v>125</v>
      </c>
      <c r="I1373" s="8" t="s">
        <v>114</v>
      </c>
      <c r="J1373" s="9" t="s">
        <v>23</v>
      </c>
      <c r="K1373" s="9" t="s">
        <v>7580</v>
      </c>
      <c r="L1373" s="9" t="s">
        <v>7581</v>
      </c>
      <c r="M1373" s="8" t="s">
        <v>14</v>
      </c>
      <c r="N1373" s="11" t="s">
        <v>98</v>
      </c>
      <c r="O1373" s="12" t="s">
        <v>207</v>
      </c>
      <c r="P1373" s="41" t="s">
        <v>276</v>
      </c>
      <c r="Q1373" s="9" t="s">
        <v>752</v>
      </c>
      <c r="R1373" s="9" t="s">
        <v>276</v>
      </c>
      <c r="S1373" s="9" t="s">
        <v>276</v>
      </c>
      <c r="T1373" s="48">
        <v>4</v>
      </c>
      <c r="U1373" s="13">
        <v>1613</v>
      </c>
      <c r="V1373" s="38">
        <v>1593</v>
      </c>
      <c r="W1373" s="8" t="s">
        <v>276</v>
      </c>
      <c r="X1373" s="8" t="s">
        <v>276</v>
      </c>
      <c r="Y1373" s="8">
        <v>0</v>
      </c>
      <c r="Z1373" s="8" t="s">
        <v>98</v>
      </c>
      <c r="AA1373" s="8">
        <v>0</v>
      </c>
      <c r="AB1373" s="8" t="s">
        <v>98</v>
      </c>
      <c r="AC1373" s="9" t="s">
        <v>7608</v>
      </c>
      <c r="AD1373" s="9" t="s">
        <v>866</v>
      </c>
      <c r="AE1373" s="8">
        <f>4+16+17+12+15+13+14+22+27</f>
        <v>140</v>
      </c>
      <c r="AF1373" s="8">
        <f>12+11+14+13+19+17+28+28+29</f>
        <v>171</v>
      </c>
      <c r="AG1373" s="13">
        <v>1613</v>
      </c>
      <c r="AH1373" s="13">
        <v>1593</v>
      </c>
      <c r="AI1373" s="13" t="s">
        <v>292</v>
      </c>
      <c r="AJ1373" s="14" t="s">
        <v>276</v>
      </c>
      <c r="AK1373" s="14">
        <f t="shared" si="199"/>
        <v>8.6794792312461251</v>
      </c>
      <c r="AL1373" s="14" t="s">
        <v>276</v>
      </c>
      <c r="AM1373" s="14" t="s">
        <v>276</v>
      </c>
      <c r="AN1373" s="14" t="s">
        <v>276</v>
      </c>
      <c r="AO1373" s="14">
        <f t="shared" si="200"/>
        <v>10.734463276836157</v>
      </c>
      <c r="AP1373" s="14" t="s">
        <v>276</v>
      </c>
      <c r="AQ1373" s="14" t="s">
        <v>276</v>
      </c>
      <c r="AR1373" s="8" t="s">
        <v>268</v>
      </c>
      <c r="AS1373" s="14" t="s">
        <v>276</v>
      </c>
      <c r="AT1373" s="14">
        <f t="shared" si="198"/>
        <v>0.8085620125950338</v>
      </c>
      <c r="AU1373" s="14" t="s">
        <v>276</v>
      </c>
      <c r="AV1373" s="14" t="s">
        <v>276</v>
      </c>
      <c r="AW1373" s="8" t="s">
        <v>276</v>
      </c>
      <c r="AX1373" s="8" t="s">
        <v>282</v>
      </c>
      <c r="AY1373" s="8" t="s">
        <v>276</v>
      </c>
      <c r="AZ1373" s="8" t="s">
        <v>276</v>
      </c>
      <c r="BA1373" s="8" t="s">
        <v>276</v>
      </c>
      <c r="BB1373" s="8" t="s">
        <v>276</v>
      </c>
      <c r="BC1373" s="9" t="s">
        <v>7590</v>
      </c>
      <c r="BD1373" s="9" t="s">
        <v>7585</v>
      </c>
      <c r="BE1373" s="33" t="s">
        <v>100</v>
      </c>
      <c r="BF1373" s="33" t="s">
        <v>98</v>
      </c>
    </row>
    <row r="1374" spans="1:58" s="87" customFormat="1" ht="91" x14ac:dyDescent="0.3">
      <c r="A1374" s="72">
        <v>670</v>
      </c>
      <c r="B1374" s="72" t="s">
        <v>7578</v>
      </c>
      <c r="C1374" s="72" t="s">
        <v>76</v>
      </c>
      <c r="D1374" s="73" t="s">
        <v>7609</v>
      </c>
      <c r="E1374" s="72" t="s">
        <v>39</v>
      </c>
      <c r="F1374" s="72" t="s">
        <v>143</v>
      </c>
      <c r="G1374" s="72" t="s">
        <v>225</v>
      </c>
      <c r="H1374" s="72" t="s">
        <v>125</v>
      </c>
      <c r="I1374" s="72" t="s">
        <v>114</v>
      </c>
      <c r="J1374" s="73" t="s">
        <v>24</v>
      </c>
      <c r="K1374" s="73" t="s">
        <v>7610</v>
      </c>
      <c r="L1374" s="73" t="s">
        <v>7581</v>
      </c>
      <c r="M1374" s="72" t="s">
        <v>14</v>
      </c>
      <c r="N1374" s="84" t="s">
        <v>98</v>
      </c>
      <c r="O1374" s="85" t="s">
        <v>207</v>
      </c>
      <c r="P1374" s="88">
        <v>42004</v>
      </c>
      <c r="Q1374" s="73" t="s">
        <v>766</v>
      </c>
      <c r="R1374" s="73" t="s">
        <v>7582</v>
      </c>
      <c r="S1374" s="73" t="s">
        <v>7582</v>
      </c>
      <c r="T1374" s="443">
        <v>4</v>
      </c>
      <c r="U1374" s="74">
        <v>1613</v>
      </c>
      <c r="V1374" s="75">
        <v>1593</v>
      </c>
      <c r="W1374" s="72" t="s">
        <v>276</v>
      </c>
      <c r="X1374" s="72" t="s">
        <v>276</v>
      </c>
      <c r="Y1374" s="72">
        <v>0</v>
      </c>
      <c r="Z1374" s="72" t="s">
        <v>98</v>
      </c>
      <c r="AA1374" s="72">
        <v>0</v>
      </c>
      <c r="AB1374" s="72" t="s">
        <v>98</v>
      </c>
      <c r="AC1374" s="73" t="s">
        <v>7611</v>
      </c>
      <c r="AD1374" s="73" t="s">
        <v>866</v>
      </c>
      <c r="AE1374" s="72">
        <v>43</v>
      </c>
      <c r="AF1374" s="72">
        <v>60</v>
      </c>
      <c r="AG1374" s="74">
        <v>1613</v>
      </c>
      <c r="AH1374" s="74">
        <v>1593</v>
      </c>
      <c r="AI1374" s="74" t="s">
        <v>292</v>
      </c>
      <c r="AJ1374" s="76" t="s">
        <v>276</v>
      </c>
      <c r="AK1374" s="76">
        <f t="shared" si="199"/>
        <v>2.665840049597024</v>
      </c>
      <c r="AL1374" s="76" t="s">
        <v>276</v>
      </c>
      <c r="AM1374" s="76" t="s">
        <v>276</v>
      </c>
      <c r="AN1374" s="76" t="s">
        <v>276</v>
      </c>
      <c r="AO1374" s="76">
        <f t="shared" si="200"/>
        <v>3.766478342749529</v>
      </c>
      <c r="AP1374" s="76" t="s">
        <v>276</v>
      </c>
      <c r="AQ1374" s="76" t="s">
        <v>276</v>
      </c>
      <c r="AR1374" s="72" t="s">
        <v>268</v>
      </c>
      <c r="AS1374" s="76" t="s">
        <v>276</v>
      </c>
      <c r="AT1374" s="76">
        <f t="shared" si="198"/>
        <v>0.70778053316800993</v>
      </c>
      <c r="AU1374" s="76" t="s">
        <v>276</v>
      </c>
      <c r="AV1374" s="76" t="s">
        <v>276</v>
      </c>
      <c r="AW1374" s="72" t="s">
        <v>276</v>
      </c>
      <c r="AX1374" s="72" t="s">
        <v>282</v>
      </c>
      <c r="AY1374" s="72" t="s">
        <v>276</v>
      </c>
      <c r="AZ1374" s="72" t="s">
        <v>276</v>
      </c>
      <c r="BA1374" s="72" t="s">
        <v>276</v>
      </c>
      <c r="BB1374" s="72" t="s">
        <v>276</v>
      </c>
      <c r="BC1374" s="73" t="s">
        <v>7612</v>
      </c>
      <c r="BD1374" s="73" t="s">
        <v>7585</v>
      </c>
      <c r="BE1374" s="33" t="s">
        <v>99</v>
      </c>
      <c r="BF1374" s="33" t="s">
        <v>11163</v>
      </c>
    </row>
    <row r="1375" spans="1:58" s="87" customFormat="1" ht="91" x14ac:dyDescent="0.3">
      <c r="A1375" s="72">
        <v>670</v>
      </c>
      <c r="B1375" s="72" t="s">
        <v>7578</v>
      </c>
      <c r="C1375" s="72" t="s">
        <v>76</v>
      </c>
      <c r="D1375" s="73" t="s">
        <v>7613</v>
      </c>
      <c r="E1375" s="72" t="s">
        <v>39</v>
      </c>
      <c r="F1375" s="72" t="s">
        <v>143</v>
      </c>
      <c r="G1375" s="72" t="s">
        <v>225</v>
      </c>
      <c r="H1375" s="72" t="s">
        <v>125</v>
      </c>
      <c r="I1375" s="72" t="s">
        <v>114</v>
      </c>
      <c r="J1375" s="73" t="s">
        <v>24</v>
      </c>
      <c r="K1375" s="73" t="s">
        <v>7610</v>
      </c>
      <c r="L1375" s="73" t="s">
        <v>7581</v>
      </c>
      <c r="M1375" s="72" t="s">
        <v>14</v>
      </c>
      <c r="N1375" s="84" t="s">
        <v>98</v>
      </c>
      <c r="O1375" s="85" t="s">
        <v>207</v>
      </c>
      <c r="P1375" s="88">
        <v>42004</v>
      </c>
      <c r="Q1375" s="73" t="s">
        <v>766</v>
      </c>
      <c r="R1375" s="73" t="s">
        <v>7582</v>
      </c>
      <c r="S1375" s="73" t="s">
        <v>7582</v>
      </c>
      <c r="T1375" s="443">
        <v>4</v>
      </c>
      <c r="U1375" s="74">
        <v>1613</v>
      </c>
      <c r="V1375" s="75">
        <v>1593</v>
      </c>
      <c r="W1375" s="72" t="s">
        <v>276</v>
      </c>
      <c r="X1375" s="72" t="s">
        <v>276</v>
      </c>
      <c r="Y1375" s="72">
        <v>0</v>
      </c>
      <c r="Z1375" s="72" t="s">
        <v>98</v>
      </c>
      <c r="AA1375" s="72">
        <v>0</v>
      </c>
      <c r="AB1375" s="72" t="s">
        <v>98</v>
      </c>
      <c r="AC1375" s="73" t="s">
        <v>7611</v>
      </c>
      <c r="AD1375" s="73" t="s">
        <v>7587</v>
      </c>
      <c r="AE1375" s="72">
        <v>43</v>
      </c>
      <c r="AF1375" s="72">
        <v>60</v>
      </c>
      <c r="AG1375" s="74">
        <v>14658</v>
      </c>
      <c r="AH1375" s="74">
        <v>14247</v>
      </c>
      <c r="AI1375" s="75" t="s">
        <v>4702</v>
      </c>
      <c r="AJ1375" s="93">
        <v>29.3</v>
      </c>
      <c r="AK1375" s="76">
        <f>AE1375*10000/AG1375</f>
        <v>29.335516441533635</v>
      </c>
      <c r="AL1375" s="76" t="s">
        <v>276</v>
      </c>
      <c r="AM1375" s="76" t="s">
        <v>276</v>
      </c>
      <c r="AN1375" s="93">
        <v>42.1</v>
      </c>
      <c r="AO1375" s="76">
        <f>AF1375*10000/AH1375</f>
        <v>42.114129290376923</v>
      </c>
      <c r="AP1375" s="76" t="s">
        <v>276</v>
      </c>
      <c r="AQ1375" s="76" t="s">
        <v>276</v>
      </c>
      <c r="AR1375" s="72" t="s">
        <v>269</v>
      </c>
      <c r="AS1375" s="76">
        <v>0.7</v>
      </c>
      <c r="AT1375" s="76">
        <f t="shared" si="198"/>
        <v>0.69657183790421617</v>
      </c>
      <c r="AU1375" s="76">
        <v>0.47</v>
      </c>
      <c r="AV1375" s="76">
        <v>1.03</v>
      </c>
      <c r="AW1375" s="72">
        <v>7.0000000000000007E-2</v>
      </c>
      <c r="AX1375" s="72" t="s">
        <v>282</v>
      </c>
      <c r="AY1375" s="72" t="s">
        <v>276</v>
      </c>
      <c r="AZ1375" s="72" t="s">
        <v>276</v>
      </c>
      <c r="BA1375" s="72" t="s">
        <v>276</v>
      </c>
      <c r="BB1375" s="72" t="s">
        <v>276</v>
      </c>
      <c r="BC1375" s="73" t="s">
        <v>7612</v>
      </c>
      <c r="BD1375" s="73" t="s">
        <v>7585</v>
      </c>
      <c r="BE1375" s="33" t="s">
        <v>99</v>
      </c>
      <c r="BF1375" s="33" t="s">
        <v>11163</v>
      </c>
    </row>
    <row r="1376" spans="1:58" s="87" customFormat="1" ht="39" x14ac:dyDescent="0.3">
      <c r="A1376" s="72">
        <v>670</v>
      </c>
      <c r="B1376" s="72" t="s">
        <v>7578</v>
      </c>
      <c r="C1376" s="72" t="s">
        <v>76</v>
      </c>
      <c r="D1376" s="73" t="s">
        <v>7614</v>
      </c>
      <c r="E1376" s="72" t="s">
        <v>39</v>
      </c>
      <c r="F1376" s="72" t="s">
        <v>143</v>
      </c>
      <c r="G1376" s="72" t="s">
        <v>225</v>
      </c>
      <c r="H1376" s="72" t="s">
        <v>125</v>
      </c>
      <c r="I1376" s="72" t="s">
        <v>114</v>
      </c>
      <c r="J1376" s="73" t="s">
        <v>24</v>
      </c>
      <c r="K1376" s="73" t="s">
        <v>7610</v>
      </c>
      <c r="L1376" s="73" t="s">
        <v>7581</v>
      </c>
      <c r="M1376" s="72" t="s">
        <v>14</v>
      </c>
      <c r="N1376" s="84" t="s">
        <v>98</v>
      </c>
      <c r="O1376" s="85" t="s">
        <v>207</v>
      </c>
      <c r="P1376" s="88" t="s">
        <v>276</v>
      </c>
      <c r="Q1376" s="73" t="s">
        <v>705</v>
      </c>
      <c r="R1376" s="73" t="s">
        <v>276</v>
      </c>
      <c r="S1376" s="73" t="s">
        <v>276</v>
      </c>
      <c r="T1376" s="425" t="s">
        <v>276</v>
      </c>
      <c r="U1376" s="74">
        <v>1613</v>
      </c>
      <c r="V1376" s="75">
        <v>1593</v>
      </c>
      <c r="W1376" s="72" t="s">
        <v>276</v>
      </c>
      <c r="X1376" s="72" t="s">
        <v>276</v>
      </c>
      <c r="Y1376" s="72">
        <v>0</v>
      </c>
      <c r="Z1376" s="72" t="s">
        <v>98</v>
      </c>
      <c r="AA1376" s="72">
        <v>0</v>
      </c>
      <c r="AB1376" s="72" t="s">
        <v>98</v>
      </c>
      <c r="AC1376" s="73" t="s">
        <v>7615</v>
      </c>
      <c r="AD1376" s="73" t="s">
        <v>866</v>
      </c>
      <c r="AE1376" s="72">
        <v>1</v>
      </c>
      <c r="AF1376" s="72">
        <v>1</v>
      </c>
      <c r="AG1376" s="74">
        <v>1613</v>
      </c>
      <c r="AH1376" s="74">
        <v>1593</v>
      </c>
      <c r="AI1376" s="74" t="s">
        <v>292</v>
      </c>
      <c r="AJ1376" s="76" t="s">
        <v>276</v>
      </c>
      <c r="AK1376" s="76">
        <f t="shared" ref="AK1376:AK1384" si="201">AE1376*100/AG1376</f>
        <v>6.1996280223186609E-2</v>
      </c>
      <c r="AL1376" s="76" t="s">
        <v>276</v>
      </c>
      <c r="AM1376" s="76" t="s">
        <v>276</v>
      </c>
      <c r="AN1376" s="76" t="s">
        <v>276</v>
      </c>
      <c r="AO1376" s="76">
        <f t="shared" ref="AO1376:AO1384" si="202">AF1376*100/AH1376</f>
        <v>6.2774639045825489E-2</v>
      </c>
      <c r="AP1376" s="76" t="s">
        <v>276</v>
      </c>
      <c r="AQ1376" s="76" t="s">
        <v>276</v>
      </c>
      <c r="AR1376" s="72" t="s">
        <v>268</v>
      </c>
      <c r="AS1376" s="76" t="s">
        <v>276</v>
      </c>
      <c r="AT1376" s="76">
        <f t="shared" si="198"/>
        <v>0.98760074395536268</v>
      </c>
      <c r="AU1376" s="76" t="s">
        <v>276</v>
      </c>
      <c r="AV1376" s="76" t="s">
        <v>276</v>
      </c>
      <c r="AW1376" s="72" t="s">
        <v>276</v>
      </c>
      <c r="AX1376" s="72" t="s">
        <v>282</v>
      </c>
      <c r="AY1376" s="72" t="s">
        <v>276</v>
      </c>
      <c r="AZ1376" s="72" t="s">
        <v>276</v>
      </c>
      <c r="BA1376" s="72" t="s">
        <v>276</v>
      </c>
      <c r="BB1376" s="72" t="s">
        <v>276</v>
      </c>
      <c r="BC1376" s="73" t="s">
        <v>7616</v>
      </c>
      <c r="BD1376" s="73" t="s">
        <v>7591</v>
      </c>
      <c r="BE1376" s="33" t="s">
        <v>100</v>
      </c>
      <c r="BF1376" s="33" t="s">
        <v>98</v>
      </c>
    </row>
    <row r="1377" spans="1:58" s="87" customFormat="1" ht="39" x14ac:dyDescent="0.3">
      <c r="A1377" s="72">
        <v>670</v>
      </c>
      <c r="B1377" s="72" t="s">
        <v>7578</v>
      </c>
      <c r="C1377" s="72" t="s">
        <v>76</v>
      </c>
      <c r="D1377" s="73" t="s">
        <v>7617</v>
      </c>
      <c r="E1377" s="72" t="s">
        <v>39</v>
      </c>
      <c r="F1377" s="72" t="s">
        <v>143</v>
      </c>
      <c r="G1377" s="72" t="s">
        <v>225</v>
      </c>
      <c r="H1377" s="72" t="s">
        <v>125</v>
      </c>
      <c r="I1377" s="72" t="s">
        <v>114</v>
      </c>
      <c r="J1377" s="73" t="s">
        <v>24</v>
      </c>
      <c r="K1377" s="73" t="s">
        <v>7610</v>
      </c>
      <c r="L1377" s="73" t="s">
        <v>7581</v>
      </c>
      <c r="M1377" s="72" t="s">
        <v>14</v>
      </c>
      <c r="N1377" s="84" t="s">
        <v>98</v>
      </c>
      <c r="O1377" s="85" t="s">
        <v>207</v>
      </c>
      <c r="P1377" s="88" t="s">
        <v>276</v>
      </c>
      <c r="Q1377" s="73" t="s">
        <v>710</v>
      </c>
      <c r="R1377" s="73" t="s">
        <v>276</v>
      </c>
      <c r="S1377" s="73" t="s">
        <v>276</v>
      </c>
      <c r="T1377" s="425" t="s">
        <v>276</v>
      </c>
      <c r="U1377" s="74">
        <v>1613</v>
      </c>
      <c r="V1377" s="75">
        <v>1593</v>
      </c>
      <c r="W1377" s="72" t="s">
        <v>276</v>
      </c>
      <c r="X1377" s="72" t="s">
        <v>276</v>
      </c>
      <c r="Y1377" s="72">
        <v>0</v>
      </c>
      <c r="Z1377" s="72" t="s">
        <v>98</v>
      </c>
      <c r="AA1377" s="72">
        <v>0</v>
      </c>
      <c r="AB1377" s="72" t="s">
        <v>98</v>
      </c>
      <c r="AC1377" s="73" t="s">
        <v>7618</v>
      </c>
      <c r="AD1377" s="73" t="s">
        <v>866</v>
      </c>
      <c r="AE1377" s="72">
        <f>1+8</f>
        <v>9</v>
      </c>
      <c r="AF1377" s="72">
        <f>1+2</f>
        <v>3</v>
      </c>
      <c r="AG1377" s="74">
        <v>1613</v>
      </c>
      <c r="AH1377" s="74">
        <v>1593</v>
      </c>
      <c r="AI1377" s="74" t="s">
        <v>292</v>
      </c>
      <c r="AJ1377" s="76" t="s">
        <v>276</v>
      </c>
      <c r="AK1377" s="76">
        <f t="shared" si="201"/>
        <v>0.55796652200867947</v>
      </c>
      <c r="AL1377" s="76" t="s">
        <v>276</v>
      </c>
      <c r="AM1377" s="76" t="s">
        <v>276</v>
      </c>
      <c r="AN1377" s="76" t="s">
        <v>276</v>
      </c>
      <c r="AO1377" s="76">
        <f t="shared" si="202"/>
        <v>0.18832391713747645</v>
      </c>
      <c r="AP1377" s="76" t="s">
        <v>276</v>
      </c>
      <c r="AQ1377" s="76" t="s">
        <v>276</v>
      </c>
      <c r="AR1377" s="72" t="s">
        <v>268</v>
      </c>
      <c r="AS1377" s="76" t="s">
        <v>276</v>
      </c>
      <c r="AT1377" s="76">
        <f t="shared" si="198"/>
        <v>2.962802231866088</v>
      </c>
      <c r="AU1377" s="76" t="s">
        <v>276</v>
      </c>
      <c r="AV1377" s="76" t="s">
        <v>276</v>
      </c>
      <c r="AW1377" s="72" t="s">
        <v>276</v>
      </c>
      <c r="AX1377" s="72" t="s">
        <v>282</v>
      </c>
      <c r="AY1377" s="72" t="s">
        <v>276</v>
      </c>
      <c r="AZ1377" s="72" t="s">
        <v>276</v>
      </c>
      <c r="BA1377" s="72" t="s">
        <v>276</v>
      </c>
      <c r="BB1377" s="72" t="s">
        <v>276</v>
      </c>
      <c r="BC1377" s="73" t="s">
        <v>7616</v>
      </c>
      <c r="BD1377" s="73" t="s">
        <v>7591</v>
      </c>
      <c r="BE1377" s="33" t="s">
        <v>100</v>
      </c>
      <c r="BF1377" s="33" t="s">
        <v>98</v>
      </c>
    </row>
    <row r="1378" spans="1:58" s="87" customFormat="1" ht="39" x14ac:dyDescent="0.3">
      <c r="A1378" s="72">
        <v>670</v>
      </c>
      <c r="B1378" s="72" t="s">
        <v>7578</v>
      </c>
      <c r="C1378" s="72" t="s">
        <v>76</v>
      </c>
      <c r="D1378" s="73" t="s">
        <v>7619</v>
      </c>
      <c r="E1378" s="72" t="s">
        <v>39</v>
      </c>
      <c r="F1378" s="72" t="s">
        <v>143</v>
      </c>
      <c r="G1378" s="72" t="s">
        <v>225</v>
      </c>
      <c r="H1378" s="72" t="s">
        <v>125</v>
      </c>
      <c r="I1378" s="72" t="s">
        <v>114</v>
      </c>
      <c r="J1378" s="73" t="s">
        <v>24</v>
      </c>
      <c r="K1378" s="73" t="s">
        <v>7610</v>
      </c>
      <c r="L1378" s="73" t="s">
        <v>7581</v>
      </c>
      <c r="M1378" s="72" t="s">
        <v>14</v>
      </c>
      <c r="N1378" s="84" t="s">
        <v>98</v>
      </c>
      <c r="O1378" s="85" t="s">
        <v>207</v>
      </c>
      <c r="P1378" s="88" t="s">
        <v>276</v>
      </c>
      <c r="Q1378" s="73" t="s">
        <v>686</v>
      </c>
      <c r="R1378" s="73" t="s">
        <v>276</v>
      </c>
      <c r="S1378" s="73" t="s">
        <v>276</v>
      </c>
      <c r="T1378" s="425" t="s">
        <v>276</v>
      </c>
      <c r="U1378" s="74">
        <v>1613</v>
      </c>
      <c r="V1378" s="75">
        <v>1593</v>
      </c>
      <c r="W1378" s="72" t="s">
        <v>276</v>
      </c>
      <c r="X1378" s="72" t="s">
        <v>276</v>
      </c>
      <c r="Y1378" s="72">
        <v>0</v>
      </c>
      <c r="Z1378" s="72" t="s">
        <v>98</v>
      </c>
      <c r="AA1378" s="72">
        <v>0</v>
      </c>
      <c r="AB1378" s="72" t="s">
        <v>98</v>
      </c>
      <c r="AC1378" s="73" t="s">
        <v>7620</v>
      </c>
      <c r="AD1378" s="73" t="s">
        <v>866</v>
      </c>
      <c r="AE1378" s="72">
        <f>1+8+6</f>
        <v>15</v>
      </c>
      <c r="AF1378" s="72">
        <f>1+2+6</f>
        <v>9</v>
      </c>
      <c r="AG1378" s="74">
        <v>1613</v>
      </c>
      <c r="AH1378" s="74">
        <v>1593</v>
      </c>
      <c r="AI1378" s="74" t="s">
        <v>292</v>
      </c>
      <c r="AJ1378" s="76" t="s">
        <v>276</v>
      </c>
      <c r="AK1378" s="76">
        <f t="shared" si="201"/>
        <v>0.92994420334779915</v>
      </c>
      <c r="AL1378" s="76" t="s">
        <v>276</v>
      </c>
      <c r="AM1378" s="76" t="s">
        <v>276</v>
      </c>
      <c r="AN1378" s="76" t="s">
        <v>276</v>
      </c>
      <c r="AO1378" s="76">
        <f t="shared" si="202"/>
        <v>0.56497175141242939</v>
      </c>
      <c r="AP1378" s="76" t="s">
        <v>276</v>
      </c>
      <c r="AQ1378" s="76" t="s">
        <v>276</v>
      </c>
      <c r="AR1378" s="72" t="s">
        <v>268</v>
      </c>
      <c r="AS1378" s="76" t="s">
        <v>276</v>
      </c>
      <c r="AT1378" s="76">
        <f t="shared" si="198"/>
        <v>1.6460012399256045</v>
      </c>
      <c r="AU1378" s="76" t="s">
        <v>276</v>
      </c>
      <c r="AV1378" s="76" t="s">
        <v>276</v>
      </c>
      <c r="AW1378" s="72" t="s">
        <v>276</v>
      </c>
      <c r="AX1378" s="72" t="s">
        <v>282</v>
      </c>
      <c r="AY1378" s="72" t="s">
        <v>276</v>
      </c>
      <c r="AZ1378" s="72" t="s">
        <v>276</v>
      </c>
      <c r="BA1378" s="72" t="s">
        <v>276</v>
      </c>
      <c r="BB1378" s="72" t="s">
        <v>276</v>
      </c>
      <c r="BC1378" s="73" t="s">
        <v>7616</v>
      </c>
      <c r="BD1378" s="73" t="s">
        <v>7591</v>
      </c>
      <c r="BE1378" s="33" t="s">
        <v>100</v>
      </c>
      <c r="BF1378" s="33" t="s">
        <v>98</v>
      </c>
    </row>
    <row r="1379" spans="1:58" s="87" customFormat="1" ht="39" x14ac:dyDescent="0.3">
      <c r="A1379" s="72">
        <v>670</v>
      </c>
      <c r="B1379" s="72" t="s">
        <v>7578</v>
      </c>
      <c r="C1379" s="72" t="s">
        <v>76</v>
      </c>
      <c r="D1379" s="73" t="s">
        <v>7621</v>
      </c>
      <c r="E1379" s="72" t="s">
        <v>39</v>
      </c>
      <c r="F1379" s="72" t="s">
        <v>143</v>
      </c>
      <c r="G1379" s="72" t="s">
        <v>225</v>
      </c>
      <c r="H1379" s="72" t="s">
        <v>125</v>
      </c>
      <c r="I1379" s="72" t="s">
        <v>114</v>
      </c>
      <c r="J1379" s="73" t="s">
        <v>24</v>
      </c>
      <c r="K1379" s="73" t="s">
        <v>7610</v>
      </c>
      <c r="L1379" s="73" t="s">
        <v>7581</v>
      </c>
      <c r="M1379" s="72" t="s">
        <v>14</v>
      </c>
      <c r="N1379" s="84" t="s">
        <v>98</v>
      </c>
      <c r="O1379" s="85" t="s">
        <v>207</v>
      </c>
      <c r="P1379" s="88" t="s">
        <v>276</v>
      </c>
      <c r="Q1379" s="73" t="s">
        <v>721</v>
      </c>
      <c r="R1379" s="73" t="s">
        <v>276</v>
      </c>
      <c r="S1379" s="73" t="s">
        <v>276</v>
      </c>
      <c r="T1379" s="443">
        <v>4</v>
      </c>
      <c r="U1379" s="74">
        <v>1613</v>
      </c>
      <c r="V1379" s="75">
        <v>1593</v>
      </c>
      <c r="W1379" s="72" t="s">
        <v>276</v>
      </c>
      <c r="X1379" s="72" t="s">
        <v>276</v>
      </c>
      <c r="Y1379" s="72">
        <v>0</v>
      </c>
      <c r="Z1379" s="72" t="s">
        <v>98</v>
      </c>
      <c r="AA1379" s="72">
        <v>0</v>
      </c>
      <c r="AB1379" s="72" t="s">
        <v>98</v>
      </c>
      <c r="AC1379" s="73" t="s">
        <v>7622</v>
      </c>
      <c r="AD1379" s="73" t="s">
        <v>866</v>
      </c>
      <c r="AE1379" s="72">
        <f>1+8+6+2</f>
        <v>17</v>
      </c>
      <c r="AF1379" s="72">
        <f>1+2+6+5</f>
        <v>14</v>
      </c>
      <c r="AG1379" s="74">
        <v>1613</v>
      </c>
      <c r="AH1379" s="74">
        <v>1593</v>
      </c>
      <c r="AI1379" s="74" t="s">
        <v>292</v>
      </c>
      <c r="AJ1379" s="76" t="s">
        <v>276</v>
      </c>
      <c r="AK1379" s="76">
        <f t="shared" si="201"/>
        <v>1.0539367637941723</v>
      </c>
      <c r="AL1379" s="76" t="s">
        <v>276</v>
      </c>
      <c r="AM1379" s="76" t="s">
        <v>276</v>
      </c>
      <c r="AN1379" s="76" t="s">
        <v>276</v>
      </c>
      <c r="AO1379" s="76">
        <f t="shared" si="202"/>
        <v>0.87884494664155677</v>
      </c>
      <c r="AP1379" s="76" t="s">
        <v>276</v>
      </c>
      <c r="AQ1379" s="76" t="s">
        <v>276</v>
      </c>
      <c r="AR1379" s="72" t="s">
        <v>268</v>
      </c>
      <c r="AS1379" s="76">
        <v>1.2</v>
      </c>
      <c r="AT1379" s="76">
        <f t="shared" si="198"/>
        <v>1.1992294748029404</v>
      </c>
      <c r="AU1379" s="76" t="s">
        <v>276</v>
      </c>
      <c r="AV1379" s="76" t="s">
        <v>276</v>
      </c>
      <c r="AW1379" s="72">
        <v>0.62</v>
      </c>
      <c r="AX1379" s="72" t="s">
        <v>282</v>
      </c>
      <c r="AY1379" s="72" t="s">
        <v>276</v>
      </c>
      <c r="AZ1379" s="72" t="s">
        <v>276</v>
      </c>
      <c r="BA1379" s="72" t="s">
        <v>276</v>
      </c>
      <c r="BB1379" s="72" t="s">
        <v>276</v>
      </c>
      <c r="BC1379" s="73" t="s">
        <v>7623</v>
      </c>
      <c r="BD1379" s="73" t="s">
        <v>7591</v>
      </c>
      <c r="BE1379" s="33" t="s">
        <v>100</v>
      </c>
      <c r="BF1379" s="33" t="s">
        <v>98</v>
      </c>
    </row>
    <row r="1380" spans="1:58" s="87" customFormat="1" ht="39" x14ac:dyDescent="0.3">
      <c r="A1380" s="72">
        <v>670</v>
      </c>
      <c r="B1380" s="72" t="s">
        <v>7578</v>
      </c>
      <c r="C1380" s="72" t="s">
        <v>76</v>
      </c>
      <c r="D1380" s="73" t="s">
        <v>7624</v>
      </c>
      <c r="E1380" s="72" t="s">
        <v>39</v>
      </c>
      <c r="F1380" s="72" t="s">
        <v>143</v>
      </c>
      <c r="G1380" s="72" t="s">
        <v>225</v>
      </c>
      <c r="H1380" s="72" t="s">
        <v>125</v>
      </c>
      <c r="I1380" s="72" t="s">
        <v>114</v>
      </c>
      <c r="J1380" s="73" t="s">
        <v>24</v>
      </c>
      <c r="K1380" s="73" t="s">
        <v>7610</v>
      </c>
      <c r="L1380" s="73" t="s">
        <v>7581</v>
      </c>
      <c r="M1380" s="72" t="s">
        <v>14</v>
      </c>
      <c r="N1380" s="84" t="s">
        <v>98</v>
      </c>
      <c r="O1380" s="85" t="s">
        <v>207</v>
      </c>
      <c r="P1380" s="88" t="s">
        <v>276</v>
      </c>
      <c r="Q1380" s="73" t="s">
        <v>728</v>
      </c>
      <c r="R1380" s="73" t="s">
        <v>276</v>
      </c>
      <c r="S1380" s="73" t="s">
        <v>276</v>
      </c>
      <c r="T1380" s="443">
        <v>4</v>
      </c>
      <c r="U1380" s="74">
        <v>1613</v>
      </c>
      <c r="V1380" s="75">
        <v>1593</v>
      </c>
      <c r="W1380" s="72" t="s">
        <v>276</v>
      </c>
      <c r="X1380" s="72" t="s">
        <v>276</v>
      </c>
      <c r="Y1380" s="72">
        <v>0</v>
      </c>
      <c r="Z1380" s="72" t="s">
        <v>98</v>
      </c>
      <c r="AA1380" s="72">
        <v>0</v>
      </c>
      <c r="AB1380" s="72" t="s">
        <v>98</v>
      </c>
      <c r="AC1380" s="73" t="s">
        <v>7625</v>
      </c>
      <c r="AD1380" s="73" t="s">
        <v>866</v>
      </c>
      <c r="AE1380" s="72">
        <f>1+8+6+2+4</f>
        <v>21</v>
      </c>
      <c r="AF1380" s="72">
        <f>1+2+6+5+9</f>
        <v>23</v>
      </c>
      <c r="AG1380" s="74">
        <v>1613</v>
      </c>
      <c r="AH1380" s="74">
        <v>1593</v>
      </c>
      <c r="AI1380" s="74" t="s">
        <v>292</v>
      </c>
      <c r="AJ1380" s="76" t="s">
        <v>276</v>
      </c>
      <c r="AK1380" s="76">
        <f t="shared" si="201"/>
        <v>1.3019218846869187</v>
      </c>
      <c r="AL1380" s="76" t="s">
        <v>276</v>
      </c>
      <c r="AM1380" s="76" t="s">
        <v>276</v>
      </c>
      <c r="AN1380" s="76" t="s">
        <v>276</v>
      </c>
      <c r="AO1380" s="76">
        <f t="shared" si="202"/>
        <v>1.4438166980539862</v>
      </c>
      <c r="AP1380" s="76" t="s">
        <v>276</v>
      </c>
      <c r="AQ1380" s="76" t="s">
        <v>276</v>
      </c>
      <c r="AR1380" s="72" t="s">
        <v>268</v>
      </c>
      <c r="AS1380" s="76" t="s">
        <v>276</v>
      </c>
      <c r="AT1380" s="76">
        <f t="shared" si="198"/>
        <v>0.90172241839402678</v>
      </c>
      <c r="AU1380" s="76" t="s">
        <v>276</v>
      </c>
      <c r="AV1380" s="76" t="s">
        <v>276</v>
      </c>
      <c r="AW1380" s="72" t="s">
        <v>276</v>
      </c>
      <c r="AX1380" s="72" t="s">
        <v>282</v>
      </c>
      <c r="AY1380" s="72" t="s">
        <v>276</v>
      </c>
      <c r="AZ1380" s="72" t="s">
        <v>276</v>
      </c>
      <c r="BA1380" s="72" t="s">
        <v>276</v>
      </c>
      <c r="BB1380" s="72" t="s">
        <v>276</v>
      </c>
      <c r="BC1380" s="73" t="s">
        <v>7626</v>
      </c>
      <c r="BD1380" s="73" t="s">
        <v>7585</v>
      </c>
      <c r="BE1380" s="33" t="s">
        <v>100</v>
      </c>
      <c r="BF1380" s="33" t="s">
        <v>98</v>
      </c>
    </row>
    <row r="1381" spans="1:58" s="87" customFormat="1" ht="39" x14ac:dyDescent="0.3">
      <c r="A1381" s="72">
        <v>670</v>
      </c>
      <c r="B1381" s="72" t="s">
        <v>7578</v>
      </c>
      <c r="C1381" s="72" t="s">
        <v>76</v>
      </c>
      <c r="D1381" s="73" t="s">
        <v>7627</v>
      </c>
      <c r="E1381" s="72" t="s">
        <v>39</v>
      </c>
      <c r="F1381" s="72" t="s">
        <v>143</v>
      </c>
      <c r="G1381" s="72" t="s">
        <v>225</v>
      </c>
      <c r="H1381" s="72" t="s">
        <v>125</v>
      </c>
      <c r="I1381" s="72" t="s">
        <v>114</v>
      </c>
      <c r="J1381" s="73" t="s">
        <v>24</v>
      </c>
      <c r="K1381" s="73" t="s">
        <v>7610</v>
      </c>
      <c r="L1381" s="73" t="s">
        <v>7581</v>
      </c>
      <c r="M1381" s="72" t="s">
        <v>14</v>
      </c>
      <c r="N1381" s="84" t="s">
        <v>98</v>
      </c>
      <c r="O1381" s="85" t="s">
        <v>207</v>
      </c>
      <c r="P1381" s="88" t="s">
        <v>276</v>
      </c>
      <c r="Q1381" s="73" t="s">
        <v>733</v>
      </c>
      <c r="R1381" s="73" t="s">
        <v>276</v>
      </c>
      <c r="S1381" s="73" t="s">
        <v>276</v>
      </c>
      <c r="T1381" s="443">
        <v>4</v>
      </c>
      <c r="U1381" s="74">
        <v>1613</v>
      </c>
      <c r="V1381" s="75">
        <v>1593</v>
      </c>
      <c r="W1381" s="72" t="s">
        <v>276</v>
      </c>
      <c r="X1381" s="72" t="s">
        <v>276</v>
      </c>
      <c r="Y1381" s="72">
        <v>0</v>
      </c>
      <c r="Z1381" s="72" t="s">
        <v>98</v>
      </c>
      <c r="AA1381" s="72">
        <v>0</v>
      </c>
      <c r="AB1381" s="72" t="s">
        <v>98</v>
      </c>
      <c r="AC1381" s="73" t="s">
        <v>7628</v>
      </c>
      <c r="AD1381" s="73" t="s">
        <v>866</v>
      </c>
      <c r="AE1381" s="72">
        <f>1+8+6+2+4+5</f>
        <v>26</v>
      </c>
      <c r="AF1381" s="72">
        <f>1+2+6+5+9+5</f>
        <v>28</v>
      </c>
      <c r="AG1381" s="74">
        <v>1613</v>
      </c>
      <c r="AH1381" s="74">
        <v>1593</v>
      </c>
      <c r="AI1381" s="74" t="s">
        <v>292</v>
      </c>
      <c r="AJ1381" s="76" t="s">
        <v>276</v>
      </c>
      <c r="AK1381" s="76">
        <f t="shared" si="201"/>
        <v>1.6119032858028519</v>
      </c>
      <c r="AL1381" s="76" t="s">
        <v>276</v>
      </c>
      <c r="AM1381" s="76" t="s">
        <v>276</v>
      </c>
      <c r="AN1381" s="76" t="s">
        <v>276</v>
      </c>
      <c r="AO1381" s="76">
        <f t="shared" si="202"/>
        <v>1.7576898932831135</v>
      </c>
      <c r="AP1381" s="76" t="s">
        <v>276</v>
      </c>
      <c r="AQ1381" s="76" t="s">
        <v>276</v>
      </c>
      <c r="AR1381" s="72" t="s">
        <v>268</v>
      </c>
      <c r="AS1381" s="76" t="s">
        <v>276</v>
      </c>
      <c r="AT1381" s="76">
        <f t="shared" si="198"/>
        <v>0.91705783367283689</v>
      </c>
      <c r="AU1381" s="76" t="s">
        <v>276</v>
      </c>
      <c r="AV1381" s="76" t="s">
        <v>276</v>
      </c>
      <c r="AW1381" s="72" t="s">
        <v>276</v>
      </c>
      <c r="AX1381" s="72" t="s">
        <v>282</v>
      </c>
      <c r="AY1381" s="72" t="s">
        <v>276</v>
      </c>
      <c r="AZ1381" s="72" t="s">
        <v>276</v>
      </c>
      <c r="BA1381" s="72" t="s">
        <v>276</v>
      </c>
      <c r="BB1381" s="72" t="s">
        <v>276</v>
      </c>
      <c r="BC1381" s="73" t="s">
        <v>7616</v>
      </c>
      <c r="BD1381" s="73" t="s">
        <v>7585</v>
      </c>
      <c r="BE1381" s="33" t="s">
        <v>100</v>
      </c>
      <c r="BF1381" s="33" t="s">
        <v>98</v>
      </c>
    </row>
    <row r="1382" spans="1:58" s="87" customFormat="1" ht="39" x14ac:dyDescent="0.3">
      <c r="A1382" s="72">
        <v>670</v>
      </c>
      <c r="B1382" s="72" t="s">
        <v>7578</v>
      </c>
      <c r="C1382" s="72" t="s">
        <v>76</v>
      </c>
      <c r="D1382" s="73" t="s">
        <v>7629</v>
      </c>
      <c r="E1382" s="72" t="s">
        <v>39</v>
      </c>
      <c r="F1382" s="72" t="s">
        <v>143</v>
      </c>
      <c r="G1382" s="72" t="s">
        <v>225</v>
      </c>
      <c r="H1382" s="72" t="s">
        <v>125</v>
      </c>
      <c r="I1382" s="72" t="s">
        <v>114</v>
      </c>
      <c r="J1382" s="73" t="s">
        <v>24</v>
      </c>
      <c r="K1382" s="73" t="s">
        <v>7610</v>
      </c>
      <c r="L1382" s="73" t="s">
        <v>7581</v>
      </c>
      <c r="M1382" s="72" t="s">
        <v>14</v>
      </c>
      <c r="N1382" s="84" t="s">
        <v>98</v>
      </c>
      <c r="O1382" s="85" t="s">
        <v>207</v>
      </c>
      <c r="P1382" s="88" t="s">
        <v>276</v>
      </c>
      <c r="Q1382" s="73" t="s">
        <v>741</v>
      </c>
      <c r="R1382" s="73" t="s">
        <v>276</v>
      </c>
      <c r="S1382" s="73" t="s">
        <v>276</v>
      </c>
      <c r="T1382" s="443">
        <v>4</v>
      </c>
      <c r="U1382" s="74">
        <v>1613</v>
      </c>
      <c r="V1382" s="75">
        <v>1593</v>
      </c>
      <c r="W1382" s="72" t="s">
        <v>276</v>
      </c>
      <c r="X1382" s="72" t="s">
        <v>276</v>
      </c>
      <c r="Y1382" s="72">
        <v>0</v>
      </c>
      <c r="Z1382" s="72" t="s">
        <v>98</v>
      </c>
      <c r="AA1382" s="72">
        <v>0</v>
      </c>
      <c r="AB1382" s="72" t="s">
        <v>98</v>
      </c>
      <c r="AC1382" s="73" t="s">
        <v>7630</v>
      </c>
      <c r="AD1382" s="73" t="s">
        <v>866</v>
      </c>
      <c r="AE1382" s="72">
        <f>1+8+6+2+4+5+4</f>
        <v>30</v>
      </c>
      <c r="AF1382" s="72">
        <f>1+2+6+5+9+5+10</f>
        <v>38</v>
      </c>
      <c r="AG1382" s="74">
        <v>1613</v>
      </c>
      <c r="AH1382" s="74">
        <v>1593</v>
      </c>
      <c r="AI1382" s="74" t="s">
        <v>292</v>
      </c>
      <c r="AJ1382" s="76" t="s">
        <v>276</v>
      </c>
      <c r="AK1382" s="76">
        <f t="shared" si="201"/>
        <v>1.8598884066955983</v>
      </c>
      <c r="AL1382" s="76" t="s">
        <v>276</v>
      </c>
      <c r="AM1382" s="76" t="s">
        <v>276</v>
      </c>
      <c r="AN1382" s="76" t="s">
        <v>276</v>
      </c>
      <c r="AO1382" s="76">
        <f t="shared" si="202"/>
        <v>2.3854362837413685</v>
      </c>
      <c r="AP1382" s="76" t="s">
        <v>276</v>
      </c>
      <c r="AQ1382" s="76" t="s">
        <v>276</v>
      </c>
      <c r="AR1382" s="72" t="s">
        <v>268</v>
      </c>
      <c r="AS1382" s="76" t="s">
        <v>276</v>
      </c>
      <c r="AT1382" s="76">
        <f t="shared" si="198"/>
        <v>0.77968479785949685</v>
      </c>
      <c r="AU1382" s="76" t="s">
        <v>276</v>
      </c>
      <c r="AV1382" s="76" t="s">
        <v>276</v>
      </c>
      <c r="AW1382" s="72" t="s">
        <v>276</v>
      </c>
      <c r="AX1382" s="72" t="s">
        <v>282</v>
      </c>
      <c r="AY1382" s="72" t="s">
        <v>276</v>
      </c>
      <c r="AZ1382" s="72" t="s">
        <v>276</v>
      </c>
      <c r="BA1382" s="72" t="s">
        <v>276</v>
      </c>
      <c r="BB1382" s="72" t="s">
        <v>276</v>
      </c>
      <c r="BC1382" s="73" t="s">
        <v>7616</v>
      </c>
      <c r="BD1382" s="73" t="s">
        <v>7585</v>
      </c>
      <c r="BE1382" s="33" t="s">
        <v>100</v>
      </c>
      <c r="BF1382" s="33" t="s">
        <v>98</v>
      </c>
    </row>
    <row r="1383" spans="1:58" s="87" customFormat="1" ht="39" x14ac:dyDescent="0.3">
      <c r="A1383" s="72">
        <v>670</v>
      </c>
      <c r="B1383" s="72" t="s">
        <v>7578</v>
      </c>
      <c r="C1383" s="72" t="s">
        <v>76</v>
      </c>
      <c r="D1383" s="73" t="s">
        <v>7631</v>
      </c>
      <c r="E1383" s="72" t="s">
        <v>39</v>
      </c>
      <c r="F1383" s="72" t="s">
        <v>143</v>
      </c>
      <c r="G1383" s="72" t="s">
        <v>225</v>
      </c>
      <c r="H1383" s="72" t="s">
        <v>125</v>
      </c>
      <c r="I1383" s="72" t="s">
        <v>114</v>
      </c>
      <c r="J1383" s="73" t="s">
        <v>24</v>
      </c>
      <c r="K1383" s="73" t="s">
        <v>7610</v>
      </c>
      <c r="L1383" s="73" t="s">
        <v>7581</v>
      </c>
      <c r="M1383" s="72" t="s">
        <v>14</v>
      </c>
      <c r="N1383" s="84" t="s">
        <v>98</v>
      </c>
      <c r="O1383" s="85" t="s">
        <v>207</v>
      </c>
      <c r="P1383" s="88" t="s">
        <v>276</v>
      </c>
      <c r="Q1383" s="73" t="s">
        <v>746</v>
      </c>
      <c r="R1383" s="73" t="s">
        <v>276</v>
      </c>
      <c r="S1383" s="73" t="s">
        <v>276</v>
      </c>
      <c r="T1383" s="443">
        <v>4</v>
      </c>
      <c r="U1383" s="74">
        <v>1613</v>
      </c>
      <c r="V1383" s="75">
        <v>1593</v>
      </c>
      <c r="W1383" s="72" t="s">
        <v>276</v>
      </c>
      <c r="X1383" s="72" t="s">
        <v>276</v>
      </c>
      <c r="Y1383" s="72">
        <v>0</v>
      </c>
      <c r="Z1383" s="72" t="s">
        <v>98</v>
      </c>
      <c r="AA1383" s="72">
        <v>0</v>
      </c>
      <c r="AB1383" s="72" t="s">
        <v>98</v>
      </c>
      <c r="AC1383" s="73" t="s">
        <v>7632</v>
      </c>
      <c r="AD1383" s="73" t="s">
        <v>866</v>
      </c>
      <c r="AE1383" s="72">
        <f>1+8+6+2+4+5+4+3</f>
        <v>33</v>
      </c>
      <c r="AF1383" s="72">
        <f>1+2+6+5+9+5+10+9</f>
        <v>47</v>
      </c>
      <c r="AG1383" s="74">
        <v>1613</v>
      </c>
      <c r="AH1383" s="74">
        <v>1593</v>
      </c>
      <c r="AI1383" s="74" t="s">
        <v>292</v>
      </c>
      <c r="AJ1383" s="76" t="s">
        <v>276</v>
      </c>
      <c r="AK1383" s="76">
        <f t="shared" si="201"/>
        <v>2.0458772473651581</v>
      </c>
      <c r="AL1383" s="76" t="s">
        <v>276</v>
      </c>
      <c r="AM1383" s="76" t="s">
        <v>276</v>
      </c>
      <c r="AN1383" s="76" t="s">
        <v>276</v>
      </c>
      <c r="AO1383" s="76">
        <f t="shared" si="202"/>
        <v>2.950408035153798</v>
      </c>
      <c r="AP1383" s="76" t="s">
        <v>276</v>
      </c>
      <c r="AQ1383" s="76" t="s">
        <v>276</v>
      </c>
      <c r="AR1383" s="72" t="s">
        <v>268</v>
      </c>
      <c r="AS1383" s="76" t="s">
        <v>276</v>
      </c>
      <c r="AT1383" s="76">
        <f t="shared" si="198"/>
        <v>0.69342179894738232</v>
      </c>
      <c r="AU1383" s="76" t="s">
        <v>276</v>
      </c>
      <c r="AV1383" s="76" t="s">
        <v>276</v>
      </c>
      <c r="AW1383" s="72" t="s">
        <v>276</v>
      </c>
      <c r="AX1383" s="72" t="s">
        <v>282</v>
      </c>
      <c r="AY1383" s="72" t="s">
        <v>276</v>
      </c>
      <c r="AZ1383" s="72" t="s">
        <v>276</v>
      </c>
      <c r="BA1383" s="72" t="s">
        <v>276</v>
      </c>
      <c r="BB1383" s="72" t="s">
        <v>276</v>
      </c>
      <c r="BC1383" s="73" t="s">
        <v>7616</v>
      </c>
      <c r="BD1383" s="73" t="s">
        <v>7585</v>
      </c>
      <c r="BE1383" s="33" t="s">
        <v>100</v>
      </c>
      <c r="BF1383" s="33" t="s">
        <v>98</v>
      </c>
    </row>
    <row r="1384" spans="1:58" s="87" customFormat="1" ht="39" x14ac:dyDescent="0.3">
      <c r="A1384" s="72">
        <v>670</v>
      </c>
      <c r="B1384" s="72" t="s">
        <v>7578</v>
      </c>
      <c r="C1384" s="72" t="s">
        <v>76</v>
      </c>
      <c r="D1384" s="73" t="s">
        <v>7633</v>
      </c>
      <c r="E1384" s="72" t="s">
        <v>39</v>
      </c>
      <c r="F1384" s="72" t="s">
        <v>143</v>
      </c>
      <c r="G1384" s="72" t="s">
        <v>225</v>
      </c>
      <c r="H1384" s="72" t="s">
        <v>125</v>
      </c>
      <c r="I1384" s="72" t="s">
        <v>114</v>
      </c>
      <c r="J1384" s="73" t="s">
        <v>24</v>
      </c>
      <c r="K1384" s="73" t="s">
        <v>7610</v>
      </c>
      <c r="L1384" s="73" t="s">
        <v>7581</v>
      </c>
      <c r="M1384" s="72" t="s">
        <v>14</v>
      </c>
      <c r="N1384" s="84" t="s">
        <v>98</v>
      </c>
      <c r="O1384" s="85" t="s">
        <v>207</v>
      </c>
      <c r="P1384" s="88" t="s">
        <v>276</v>
      </c>
      <c r="Q1384" s="73" t="s">
        <v>752</v>
      </c>
      <c r="R1384" s="73" t="s">
        <v>276</v>
      </c>
      <c r="S1384" s="73" t="s">
        <v>276</v>
      </c>
      <c r="T1384" s="443">
        <v>4</v>
      </c>
      <c r="U1384" s="74">
        <v>1613</v>
      </c>
      <c r="V1384" s="75">
        <v>1593</v>
      </c>
      <c r="W1384" s="72" t="s">
        <v>276</v>
      </c>
      <c r="X1384" s="72" t="s">
        <v>276</v>
      </c>
      <c r="Y1384" s="72">
        <v>0</v>
      </c>
      <c r="Z1384" s="72" t="s">
        <v>98</v>
      </c>
      <c r="AA1384" s="72">
        <v>0</v>
      </c>
      <c r="AB1384" s="72" t="s">
        <v>98</v>
      </c>
      <c r="AC1384" s="73" t="s">
        <v>7634</v>
      </c>
      <c r="AD1384" s="73" t="s">
        <v>866</v>
      </c>
      <c r="AE1384" s="72">
        <f>1+8+6+2+4+5+4+3+10</f>
        <v>43</v>
      </c>
      <c r="AF1384" s="72">
        <f>1+2+6+5+9+5+10+9+11</f>
        <v>58</v>
      </c>
      <c r="AG1384" s="74">
        <v>1613</v>
      </c>
      <c r="AH1384" s="74">
        <v>1593</v>
      </c>
      <c r="AI1384" s="74" t="s">
        <v>292</v>
      </c>
      <c r="AJ1384" s="76" t="s">
        <v>276</v>
      </c>
      <c r="AK1384" s="76">
        <f t="shared" si="201"/>
        <v>2.665840049597024</v>
      </c>
      <c r="AL1384" s="76" t="s">
        <v>276</v>
      </c>
      <c r="AM1384" s="76" t="s">
        <v>276</v>
      </c>
      <c r="AN1384" s="76" t="s">
        <v>276</v>
      </c>
      <c r="AO1384" s="76">
        <f t="shared" si="202"/>
        <v>3.640929064657878</v>
      </c>
      <c r="AP1384" s="76" t="s">
        <v>276</v>
      </c>
      <c r="AQ1384" s="76" t="s">
        <v>276</v>
      </c>
      <c r="AR1384" s="72" t="s">
        <v>268</v>
      </c>
      <c r="AS1384" s="76" t="s">
        <v>276</v>
      </c>
      <c r="AT1384" s="76">
        <f t="shared" si="198"/>
        <v>0.73218675844966541</v>
      </c>
      <c r="AU1384" s="76" t="s">
        <v>276</v>
      </c>
      <c r="AV1384" s="76" t="s">
        <v>276</v>
      </c>
      <c r="AW1384" s="72" t="s">
        <v>276</v>
      </c>
      <c r="AX1384" s="72" t="s">
        <v>282</v>
      </c>
      <c r="AY1384" s="72" t="s">
        <v>276</v>
      </c>
      <c r="AZ1384" s="72" t="s">
        <v>276</v>
      </c>
      <c r="BA1384" s="72" t="s">
        <v>276</v>
      </c>
      <c r="BB1384" s="72" t="s">
        <v>276</v>
      </c>
      <c r="BC1384" s="73" t="s">
        <v>7616</v>
      </c>
      <c r="BD1384" s="73" t="s">
        <v>7585</v>
      </c>
      <c r="BE1384" s="33" t="s">
        <v>100</v>
      </c>
      <c r="BF1384" s="33" t="s">
        <v>98</v>
      </c>
    </row>
    <row r="1385" spans="1:58" s="103" customFormat="1" ht="91" x14ac:dyDescent="0.3">
      <c r="A1385" s="94">
        <v>662</v>
      </c>
      <c r="B1385" s="94" t="s">
        <v>7635</v>
      </c>
      <c r="C1385" s="94" t="s">
        <v>76</v>
      </c>
      <c r="D1385" s="95" t="s">
        <v>7636</v>
      </c>
      <c r="E1385" s="94" t="s">
        <v>39</v>
      </c>
      <c r="F1385" s="94" t="s">
        <v>143</v>
      </c>
      <c r="G1385" s="94" t="s">
        <v>225</v>
      </c>
      <c r="H1385" s="94" t="s">
        <v>125</v>
      </c>
      <c r="I1385" s="94" t="s">
        <v>114</v>
      </c>
      <c r="J1385" s="95" t="s">
        <v>24</v>
      </c>
      <c r="K1385" s="95" t="s">
        <v>7637</v>
      </c>
      <c r="L1385" s="95" t="s">
        <v>276</v>
      </c>
      <c r="M1385" s="94" t="s">
        <v>14</v>
      </c>
      <c r="N1385" s="144" t="s">
        <v>98</v>
      </c>
      <c r="O1385" s="96" t="s">
        <v>207</v>
      </c>
      <c r="P1385" s="97">
        <v>42735</v>
      </c>
      <c r="Q1385" s="95" t="s">
        <v>276</v>
      </c>
      <c r="R1385" s="95" t="s">
        <v>7638</v>
      </c>
      <c r="S1385" s="95" t="s">
        <v>7638</v>
      </c>
      <c r="T1385" s="444">
        <v>4</v>
      </c>
      <c r="U1385" s="98">
        <v>1613</v>
      </c>
      <c r="V1385" s="99">
        <v>1593</v>
      </c>
      <c r="W1385" s="94" t="s">
        <v>276</v>
      </c>
      <c r="X1385" s="94" t="s">
        <v>276</v>
      </c>
      <c r="Y1385" s="94">
        <v>0</v>
      </c>
      <c r="Z1385" s="94" t="s">
        <v>98</v>
      </c>
      <c r="AA1385" s="94">
        <v>0</v>
      </c>
      <c r="AB1385" s="94" t="s">
        <v>98</v>
      </c>
      <c r="AC1385" s="95" t="s">
        <v>7639</v>
      </c>
      <c r="AD1385" s="95" t="s">
        <v>7640</v>
      </c>
      <c r="AE1385" s="94">
        <v>58</v>
      </c>
      <c r="AF1385" s="94">
        <v>74</v>
      </c>
      <c r="AG1385" s="98">
        <v>17587</v>
      </c>
      <c r="AH1385" s="98">
        <v>17051</v>
      </c>
      <c r="AI1385" s="98" t="s">
        <v>4702</v>
      </c>
      <c r="AJ1385" s="100">
        <v>33</v>
      </c>
      <c r="AK1385" s="102">
        <f>AE1385*10000/AG1385</f>
        <v>32.978904872917497</v>
      </c>
      <c r="AL1385" s="102" t="s">
        <v>276</v>
      </c>
      <c r="AM1385" s="102" t="s">
        <v>276</v>
      </c>
      <c r="AN1385" s="102">
        <v>43.4</v>
      </c>
      <c r="AO1385" s="102">
        <f>AF1385*10000/AH1385</f>
        <v>43.399214122338869</v>
      </c>
      <c r="AP1385" s="102" t="s">
        <v>276</v>
      </c>
      <c r="AQ1385" s="102" t="s">
        <v>276</v>
      </c>
      <c r="AR1385" s="94" t="s">
        <v>269</v>
      </c>
      <c r="AS1385" s="102">
        <v>0.76</v>
      </c>
      <c r="AT1385" s="102">
        <f t="shared" ref="AT1385:AT1392" si="203">AK1385/AO1385</f>
        <v>0.75989636079475165</v>
      </c>
      <c r="AU1385" s="102">
        <v>0.54</v>
      </c>
      <c r="AV1385" s="102">
        <v>1.07</v>
      </c>
      <c r="AW1385" s="94">
        <v>0.12</v>
      </c>
      <c r="AX1385" s="94" t="s">
        <v>282</v>
      </c>
      <c r="AY1385" s="94" t="s">
        <v>276</v>
      </c>
      <c r="AZ1385" s="94" t="s">
        <v>276</v>
      </c>
      <c r="BA1385" s="94" t="s">
        <v>276</v>
      </c>
      <c r="BB1385" s="94" t="s">
        <v>276</v>
      </c>
      <c r="BC1385" s="95" t="s">
        <v>7641</v>
      </c>
      <c r="BD1385" s="95" t="s">
        <v>7585</v>
      </c>
      <c r="BE1385" s="33" t="s">
        <v>100</v>
      </c>
      <c r="BF1385" s="33" t="s">
        <v>98</v>
      </c>
    </row>
    <row r="1386" spans="1:58" s="103" customFormat="1" ht="39" x14ac:dyDescent="0.3">
      <c r="A1386" s="94">
        <v>662</v>
      </c>
      <c r="B1386" s="94" t="s">
        <v>7635</v>
      </c>
      <c r="C1386" s="94" t="s">
        <v>76</v>
      </c>
      <c r="D1386" s="95" t="s">
        <v>7642</v>
      </c>
      <c r="E1386" s="94" t="s">
        <v>39</v>
      </c>
      <c r="F1386" s="94" t="s">
        <v>143</v>
      </c>
      <c r="G1386" s="94" t="s">
        <v>225</v>
      </c>
      <c r="H1386" s="94" t="s">
        <v>125</v>
      </c>
      <c r="I1386" s="94" t="s">
        <v>114</v>
      </c>
      <c r="J1386" s="95" t="s">
        <v>24</v>
      </c>
      <c r="K1386" s="95" t="s">
        <v>7637</v>
      </c>
      <c r="L1386" s="95" t="s">
        <v>276</v>
      </c>
      <c r="M1386" s="94" t="s">
        <v>14</v>
      </c>
      <c r="N1386" s="144" t="s">
        <v>98</v>
      </c>
      <c r="O1386" s="96" t="s">
        <v>207</v>
      </c>
      <c r="P1386" s="97">
        <v>42735</v>
      </c>
      <c r="Q1386" s="95" t="s">
        <v>276</v>
      </c>
      <c r="R1386" s="95" t="s">
        <v>7638</v>
      </c>
      <c r="S1386" s="95" t="s">
        <v>7638</v>
      </c>
      <c r="T1386" s="444">
        <v>4</v>
      </c>
      <c r="U1386" s="98">
        <v>1613</v>
      </c>
      <c r="V1386" s="99">
        <v>1593</v>
      </c>
      <c r="W1386" s="94" t="s">
        <v>276</v>
      </c>
      <c r="X1386" s="94" t="s">
        <v>276</v>
      </c>
      <c r="Y1386" s="94">
        <v>0</v>
      </c>
      <c r="Z1386" s="94" t="s">
        <v>98</v>
      </c>
      <c r="AA1386" s="94">
        <v>0</v>
      </c>
      <c r="AB1386" s="94" t="s">
        <v>98</v>
      </c>
      <c r="AC1386" s="95" t="s">
        <v>7639</v>
      </c>
      <c r="AD1386" s="95" t="s">
        <v>866</v>
      </c>
      <c r="AE1386" s="94">
        <v>58</v>
      </c>
      <c r="AF1386" s="94">
        <v>74</v>
      </c>
      <c r="AG1386" s="98">
        <v>1613</v>
      </c>
      <c r="AH1386" s="98">
        <v>1593</v>
      </c>
      <c r="AI1386" s="98" t="s">
        <v>292</v>
      </c>
      <c r="AJ1386" s="100" t="s">
        <v>276</v>
      </c>
      <c r="AK1386" s="102">
        <f>AE1386*100/AG1386</f>
        <v>3.5957842529448234</v>
      </c>
      <c r="AL1386" s="102" t="s">
        <v>276</v>
      </c>
      <c r="AM1386" s="102" t="s">
        <v>276</v>
      </c>
      <c r="AN1386" s="102" t="s">
        <v>276</v>
      </c>
      <c r="AO1386" s="102">
        <f>AF1386*100/AH1386</f>
        <v>4.6453232893910856</v>
      </c>
      <c r="AP1386" s="102" t="s">
        <v>276</v>
      </c>
      <c r="AQ1386" s="102" t="s">
        <v>276</v>
      </c>
      <c r="AR1386" s="94" t="s">
        <v>268</v>
      </c>
      <c r="AS1386" s="102" t="s">
        <v>276</v>
      </c>
      <c r="AT1386" s="102">
        <f t="shared" si="203"/>
        <v>0.77406544796501409</v>
      </c>
      <c r="AU1386" s="102" t="s">
        <v>276</v>
      </c>
      <c r="AV1386" s="102" t="s">
        <v>276</v>
      </c>
      <c r="AW1386" s="94" t="s">
        <v>276</v>
      </c>
      <c r="AX1386" s="94" t="s">
        <v>282</v>
      </c>
      <c r="AY1386" s="94" t="s">
        <v>276</v>
      </c>
      <c r="AZ1386" s="94" t="s">
        <v>276</v>
      </c>
      <c r="BA1386" s="94" t="s">
        <v>276</v>
      </c>
      <c r="BB1386" s="94" t="s">
        <v>276</v>
      </c>
      <c r="BC1386" s="95" t="s">
        <v>1358</v>
      </c>
      <c r="BD1386" s="95" t="s">
        <v>7585</v>
      </c>
      <c r="BE1386" s="33" t="s">
        <v>100</v>
      </c>
      <c r="BF1386" s="33" t="s">
        <v>98</v>
      </c>
    </row>
    <row r="1387" spans="1:58" s="208" customFormat="1" ht="78" x14ac:dyDescent="0.3">
      <c r="A1387" s="112">
        <v>662</v>
      </c>
      <c r="B1387" s="112" t="s">
        <v>7635</v>
      </c>
      <c r="C1387" s="112" t="s">
        <v>76</v>
      </c>
      <c r="D1387" s="113" t="s">
        <v>7643</v>
      </c>
      <c r="E1387" s="112" t="s">
        <v>39</v>
      </c>
      <c r="F1387" s="112" t="s">
        <v>143</v>
      </c>
      <c r="G1387" s="112" t="s">
        <v>225</v>
      </c>
      <c r="H1387" s="112" t="s">
        <v>125</v>
      </c>
      <c r="I1387" s="112" t="s">
        <v>114</v>
      </c>
      <c r="J1387" s="113" t="s">
        <v>23</v>
      </c>
      <c r="K1387" s="113" t="s">
        <v>7637</v>
      </c>
      <c r="L1387" s="113" t="s">
        <v>276</v>
      </c>
      <c r="M1387" s="112" t="s">
        <v>14</v>
      </c>
      <c r="N1387" s="204" t="s">
        <v>98</v>
      </c>
      <c r="O1387" s="117" t="s">
        <v>207</v>
      </c>
      <c r="P1387" s="205">
        <v>42735</v>
      </c>
      <c r="Q1387" s="113" t="s">
        <v>276</v>
      </c>
      <c r="R1387" s="113" t="s">
        <v>7638</v>
      </c>
      <c r="S1387" s="113" t="s">
        <v>7638</v>
      </c>
      <c r="T1387" s="445">
        <v>4</v>
      </c>
      <c r="U1387" s="118">
        <v>1613</v>
      </c>
      <c r="V1387" s="119">
        <v>1593</v>
      </c>
      <c r="W1387" s="112" t="s">
        <v>276</v>
      </c>
      <c r="X1387" s="112" t="s">
        <v>276</v>
      </c>
      <c r="Y1387" s="112">
        <v>0</v>
      </c>
      <c r="Z1387" s="112" t="s">
        <v>98</v>
      </c>
      <c r="AA1387" s="112">
        <v>0</v>
      </c>
      <c r="AB1387" s="112" t="s">
        <v>98</v>
      </c>
      <c r="AC1387" s="113" t="s">
        <v>7644</v>
      </c>
      <c r="AD1387" s="113" t="s">
        <v>7640</v>
      </c>
      <c r="AE1387" s="112">
        <v>203</v>
      </c>
      <c r="AF1387" s="112">
        <v>246</v>
      </c>
      <c r="AG1387" s="118">
        <v>17587</v>
      </c>
      <c r="AH1387" s="118">
        <v>17051</v>
      </c>
      <c r="AI1387" s="118" t="s">
        <v>4702</v>
      </c>
      <c r="AJ1387" s="164">
        <v>115.4</v>
      </c>
      <c r="AK1387" s="121">
        <f>AE1387*10000/AG1387</f>
        <v>115.42616705521124</v>
      </c>
      <c r="AL1387" s="121" t="s">
        <v>276</v>
      </c>
      <c r="AM1387" s="121" t="s">
        <v>276</v>
      </c>
      <c r="AN1387" s="164">
        <v>144.30000000000001</v>
      </c>
      <c r="AO1387" s="121">
        <f>AF1387*10000/AH1387</f>
        <v>144.27306316345081</v>
      </c>
      <c r="AP1387" s="121" t="s">
        <v>276</v>
      </c>
      <c r="AQ1387" s="121" t="s">
        <v>276</v>
      </c>
      <c r="AR1387" s="112" t="s">
        <v>269</v>
      </c>
      <c r="AS1387" s="121">
        <v>0.8</v>
      </c>
      <c r="AT1387" s="121">
        <f t="shared" si="203"/>
        <v>0.80005348555219791</v>
      </c>
      <c r="AU1387" s="121">
        <v>0.66</v>
      </c>
      <c r="AV1387" s="121">
        <v>0.96</v>
      </c>
      <c r="AW1387" s="112">
        <v>1.7999999999999999E-2</v>
      </c>
      <c r="AX1387" s="112" t="s">
        <v>282</v>
      </c>
      <c r="AY1387" s="112" t="s">
        <v>276</v>
      </c>
      <c r="AZ1387" s="112" t="s">
        <v>276</v>
      </c>
      <c r="BA1387" s="112" t="s">
        <v>276</v>
      </c>
      <c r="BB1387" s="112" t="s">
        <v>276</v>
      </c>
      <c r="BC1387" s="113" t="s">
        <v>7645</v>
      </c>
      <c r="BD1387" s="113" t="s">
        <v>7585</v>
      </c>
      <c r="BE1387" s="33" t="s">
        <v>100</v>
      </c>
      <c r="BF1387" s="33" t="s">
        <v>98</v>
      </c>
    </row>
    <row r="1388" spans="1:58" s="208" customFormat="1" ht="39" x14ac:dyDescent="0.3">
      <c r="A1388" s="112">
        <v>662</v>
      </c>
      <c r="B1388" s="112" t="s">
        <v>7635</v>
      </c>
      <c r="C1388" s="112" t="s">
        <v>76</v>
      </c>
      <c r="D1388" s="113" t="s">
        <v>7646</v>
      </c>
      <c r="E1388" s="112" t="s">
        <v>39</v>
      </c>
      <c r="F1388" s="112" t="s">
        <v>143</v>
      </c>
      <c r="G1388" s="112" t="s">
        <v>225</v>
      </c>
      <c r="H1388" s="112" t="s">
        <v>125</v>
      </c>
      <c r="I1388" s="112" t="s">
        <v>114</v>
      </c>
      <c r="J1388" s="113" t="s">
        <v>23</v>
      </c>
      <c r="K1388" s="113" t="s">
        <v>7637</v>
      </c>
      <c r="L1388" s="113" t="s">
        <v>276</v>
      </c>
      <c r="M1388" s="112" t="s">
        <v>14</v>
      </c>
      <c r="N1388" s="204" t="s">
        <v>98</v>
      </c>
      <c r="O1388" s="117" t="s">
        <v>207</v>
      </c>
      <c r="P1388" s="205">
        <v>42735</v>
      </c>
      <c r="Q1388" s="113" t="s">
        <v>276</v>
      </c>
      <c r="R1388" s="113" t="s">
        <v>7638</v>
      </c>
      <c r="S1388" s="113" t="s">
        <v>7638</v>
      </c>
      <c r="T1388" s="445">
        <v>4</v>
      </c>
      <c r="U1388" s="118">
        <v>1613</v>
      </c>
      <c r="V1388" s="119">
        <v>1593</v>
      </c>
      <c r="W1388" s="112" t="s">
        <v>276</v>
      </c>
      <c r="X1388" s="112" t="s">
        <v>276</v>
      </c>
      <c r="Y1388" s="112">
        <v>0</v>
      </c>
      <c r="Z1388" s="112" t="s">
        <v>98</v>
      </c>
      <c r="AA1388" s="112">
        <v>0</v>
      </c>
      <c r="AB1388" s="112" t="s">
        <v>98</v>
      </c>
      <c r="AC1388" s="113" t="s">
        <v>7644</v>
      </c>
      <c r="AD1388" s="113" t="s">
        <v>866</v>
      </c>
      <c r="AE1388" s="112">
        <v>203</v>
      </c>
      <c r="AF1388" s="112">
        <v>246</v>
      </c>
      <c r="AG1388" s="118">
        <v>1613</v>
      </c>
      <c r="AH1388" s="118">
        <v>1593</v>
      </c>
      <c r="AI1388" s="118" t="s">
        <v>292</v>
      </c>
      <c r="AJ1388" s="164" t="s">
        <v>276</v>
      </c>
      <c r="AK1388" s="121">
        <f>AE1388*100/AG1388</f>
        <v>12.585244885306881</v>
      </c>
      <c r="AL1388" s="121" t="s">
        <v>276</v>
      </c>
      <c r="AM1388" s="121" t="s">
        <v>276</v>
      </c>
      <c r="AN1388" s="164" t="s">
        <v>276</v>
      </c>
      <c r="AO1388" s="121">
        <f>AF1388*100/AH1388</f>
        <v>15.442561205273069</v>
      </c>
      <c r="AP1388" s="121" t="s">
        <v>276</v>
      </c>
      <c r="AQ1388" s="121" t="s">
        <v>276</v>
      </c>
      <c r="AR1388" s="112" t="s">
        <v>268</v>
      </c>
      <c r="AS1388" s="121" t="s">
        <v>276</v>
      </c>
      <c r="AT1388" s="121">
        <f t="shared" si="203"/>
        <v>0.8149713456217017</v>
      </c>
      <c r="AU1388" s="121" t="s">
        <v>276</v>
      </c>
      <c r="AV1388" s="121" t="s">
        <v>276</v>
      </c>
      <c r="AW1388" s="112" t="s">
        <v>276</v>
      </c>
      <c r="AX1388" s="112" t="s">
        <v>282</v>
      </c>
      <c r="AY1388" s="112" t="s">
        <v>276</v>
      </c>
      <c r="AZ1388" s="112" t="s">
        <v>276</v>
      </c>
      <c r="BA1388" s="112" t="s">
        <v>276</v>
      </c>
      <c r="BB1388" s="112" t="s">
        <v>276</v>
      </c>
      <c r="BC1388" s="113" t="s">
        <v>1358</v>
      </c>
      <c r="BD1388" s="113" t="s">
        <v>7585</v>
      </c>
      <c r="BE1388" s="33" t="s">
        <v>100</v>
      </c>
      <c r="BF1388" s="33" t="s">
        <v>98</v>
      </c>
    </row>
    <row r="1389" spans="1:58" s="7" customFormat="1" ht="52" x14ac:dyDescent="0.3">
      <c r="A1389" s="8">
        <v>727</v>
      </c>
      <c r="B1389" s="8" t="s">
        <v>8106</v>
      </c>
      <c r="C1389" s="8" t="s">
        <v>77</v>
      </c>
      <c r="D1389" s="9" t="s">
        <v>8107</v>
      </c>
      <c r="E1389" s="8" t="s">
        <v>39</v>
      </c>
      <c r="F1389" s="9" t="s">
        <v>8108</v>
      </c>
      <c r="G1389" s="9" t="s">
        <v>225</v>
      </c>
      <c r="H1389" s="8" t="s">
        <v>125</v>
      </c>
      <c r="I1389" s="8" t="s">
        <v>114</v>
      </c>
      <c r="J1389" s="9" t="s">
        <v>24</v>
      </c>
      <c r="K1389" s="9" t="s">
        <v>8109</v>
      </c>
      <c r="L1389" s="9" t="s">
        <v>8110</v>
      </c>
      <c r="M1389" s="9" t="s">
        <v>261</v>
      </c>
      <c r="N1389" s="11" t="s">
        <v>8111</v>
      </c>
      <c r="O1389" s="12" t="s">
        <v>207</v>
      </c>
      <c r="P1389" s="51" t="s">
        <v>8112</v>
      </c>
      <c r="Q1389" s="9" t="s">
        <v>728</v>
      </c>
      <c r="R1389" s="9" t="s">
        <v>5633</v>
      </c>
      <c r="S1389" s="9" t="s">
        <v>5633</v>
      </c>
      <c r="T1389" s="9">
        <v>6</v>
      </c>
      <c r="U1389" s="13">
        <v>1190</v>
      </c>
      <c r="V1389" s="38">
        <v>1723</v>
      </c>
      <c r="W1389" s="9" t="s">
        <v>276</v>
      </c>
      <c r="X1389" s="9" t="s">
        <v>276</v>
      </c>
      <c r="Y1389" s="8">
        <v>0</v>
      </c>
      <c r="Z1389" s="8" t="s">
        <v>98</v>
      </c>
      <c r="AA1389" s="8">
        <v>0</v>
      </c>
      <c r="AB1389" s="8" t="s">
        <v>98</v>
      </c>
      <c r="AC1389" s="9" t="s">
        <v>8113</v>
      </c>
      <c r="AD1389" s="9" t="s">
        <v>8114</v>
      </c>
      <c r="AE1389" s="8">
        <v>12</v>
      </c>
      <c r="AF1389" s="8">
        <v>7</v>
      </c>
      <c r="AG1389" s="71">
        <v>5556.7</v>
      </c>
      <c r="AH1389" s="71">
        <v>6449.5</v>
      </c>
      <c r="AI1389" s="38" t="s">
        <v>1019</v>
      </c>
      <c r="AJ1389" s="43">
        <v>216</v>
      </c>
      <c r="AK1389" s="31">
        <f>AE1389*100000/AG1389</f>
        <v>215.95551316428816</v>
      </c>
      <c r="AL1389" s="14" t="s">
        <v>276</v>
      </c>
      <c r="AM1389" s="14" t="s">
        <v>276</v>
      </c>
      <c r="AN1389" s="43">
        <v>108.5</v>
      </c>
      <c r="AO1389" s="31">
        <f>AF1389*100000/AH1389</f>
        <v>108.53554539111559</v>
      </c>
      <c r="AP1389" s="14" t="s">
        <v>276</v>
      </c>
      <c r="AQ1389" s="14" t="s">
        <v>276</v>
      </c>
      <c r="AR1389" s="8" t="s">
        <v>269</v>
      </c>
      <c r="AS1389" s="14" t="s">
        <v>276</v>
      </c>
      <c r="AT1389" s="14">
        <f t="shared" si="203"/>
        <v>1.9897215459329665</v>
      </c>
      <c r="AU1389" s="14" t="s">
        <v>276</v>
      </c>
      <c r="AV1389" s="14" t="s">
        <v>276</v>
      </c>
      <c r="AW1389" s="8" t="s">
        <v>276</v>
      </c>
      <c r="AX1389" s="8" t="s">
        <v>282</v>
      </c>
      <c r="AY1389" s="8" t="s">
        <v>276</v>
      </c>
      <c r="AZ1389" s="8" t="s">
        <v>276</v>
      </c>
      <c r="BA1389" s="8" t="s">
        <v>276</v>
      </c>
      <c r="BB1389" s="8" t="s">
        <v>276</v>
      </c>
      <c r="BC1389" s="9" t="s">
        <v>8115</v>
      </c>
      <c r="BD1389" s="9" t="s">
        <v>8116</v>
      </c>
      <c r="BE1389" s="33" t="s">
        <v>100</v>
      </c>
      <c r="BF1389" s="33" t="s">
        <v>98</v>
      </c>
    </row>
    <row r="1390" spans="1:58" s="7" customFormat="1" ht="52" x14ac:dyDescent="0.3">
      <c r="A1390" s="8">
        <v>727</v>
      </c>
      <c r="B1390" s="8" t="s">
        <v>8106</v>
      </c>
      <c r="C1390" s="8" t="s">
        <v>77</v>
      </c>
      <c r="D1390" s="9" t="s">
        <v>8117</v>
      </c>
      <c r="E1390" s="8" t="s">
        <v>39</v>
      </c>
      <c r="F1390" s="9" t="s">
        <v>8108</v>
      </c>
      <c r="G1390" s="9" t="s">
        <v>225</v>
      </c>
      <c r="H1390" s="8" t="s">
        <v>125</v>
      </c>
      <c r="I1390" s="8" t="s">
        <v>114</v>
      </c>
      <c r="J1390" s="9" t="s">
        <v>24</v>
      </c>
      <c r="K1390" s="9" t="s">
        <v>8109</v>
      </c>
      <c r="L1390" s="9" t="s">
        <v>8110</v>
      </c>
      <c r="M1390" s="9" t="s">
        <v>261</v>
      </c>
      <c r="N1390" s="11" t="s">
        <v>8111</v>
      </c>
      <c r="O1390" s="12" t="s">
        <v>207</v>
      </c>
      <c r="P1390" s="51" t="s">
        <v>8112</v>
      </c>
      <c r="Q1390" s="9" t="s">
        <v>728</v>
      </c>
      <c r="R1390" s="9" t="s">
        <v>5633</v>
      </c>
      <c r="S1390" s="9" t="s">
        <v>5633</v>
      </c>
      <c r="T1390" s="9">
        <v>6</v>
      </c>
      <c r="U1390" s="13">
        <v>1190</v>
      </c>
      <c r="V1390" s="38">
        <v>1723</v>
      </c>
      <c r="W1390" s="9" t="s">
        <v>276</v>
      </c>
      <c r="X1390" s="9" t="s">
        <v>276</v>
      </c>
      <c r="Y1390" s="8">
        <v>0</v>
      </c>
      <c r="Z1390" s="8" t="s">
        <v>98</v>
      </c>
      <c r="AA1390" s="8">
        <v>0</v>
      </c>
      <c r="AB1390" s="8" t="s">
        <v>98</v>
      </c>
      <c r="AC1390" s="9" t="s">
        <v>8113</v>
      </c>
      <c r="AD1390" s="9" t="s">
        <v>866</v>
      </c>
      <c r="AE1390" s="8">
        <v>12</v>
      </c>
      <c r="AF1390" s="8">
        <v>7</v>
      </c>
      <c r="AG1390" s="13">
        <v>1190</v>
      </c>
      <c r="AH1390" s="13">
        <v>1723</v>
      </c>
      <c r="AI1390" s="38" t="s">
        <v>292</v>
      </c>
      <c r="AJ1390" s="43" t="s">
        <v>276</v>
      </c>
      <c r="AK1390" s="31">
        <f>AE1390*100/AG1390</f>
        <v>1.0084033613445378</v>
      </c>
      <c r="AL1390" s="14" t="s">
        <v>276</v>
      </c>
      <c r="AM1390" s="14" t="s">
        <v>276</v>
      </c>
      <c r="AN1390" s="43" t="s">
        <v>276</v>
      </c>
      <c r="AO1390" s="31">
        <f>AF1390*100/AH1390</f>
        <v>0.40626813697040048</v>
      </c>
      <c r="AP1390" s="14" t="s">
        <v>276</v>
      </c>
      <c r="AQ1390" s="14" t="s">
        <v>276</v>
      </c>
      <c r="AR1390" s="8" t="s">
        <v>268</v>
      </c>
      <c r="AS1390" s="14" t="s">
        <v>276</v>
      </c>
      <c r="AT1390" s="14">
        <f t="shared" si="203"/>
        <v>2.482112845138055</v>
      </c>
      <c r="AU1390" s="14" t="s">
        <v>276</v>
      </c>
      <c r="AV1390" s="14" t="s">
        <v>276</v>
      </c>
      <c r="AW1390" s="8" t="s">
        <v>276</v>
      </c>
      <c r="AX1390" s="8" t="s">
        <v>282</v>
      </c>
      <c r="AY1390" s="8" t="s">
        <v>276</v>
      </c>
      <c r="AZ1390" s="8" t="s">
        <v>276</v>
      </c>
      <c r="BA1390" s="8" t="s">
        <v>276</v>
      </c>
      <c r="BB1390" s="8" t="s">
        <v>276</v>
      </c>
      <c r="BC1390" s="9" t="s">
        <v>8115</v>
      </c>
      <c r="BD1390" s="9"/>
      <c r="BE1390" s="33" t="s">
        <v>100</v>
      </c>
      <c r="BF1390" s="33" t="s">
        <v>98</v>
      </c>
    </row>
    <row r="1391" spans="1:58" s="87" customFormat="1" ht="52" x14ac:dyDescent="0.3">
      <c r="A1391" s="72">
        <v>727</v>
      </c>
      <c r="B1391" s="72" t="s">
        <v>8106</v>
      </c>
      <c r="C1391" s="72" t="s">
        <v>77</v>
      </c>
      <c r="D1391" s="73" t="s">
        <v>8118</v>
      </c>
      <c r="E1391" s="72" t="s">
        <v>39</v>
      </c>
      <c r="F1391" s="73" t="s">
        <v>8119</v>
      </c>
      <c r="G1391" s="73" t="s">
        <v>225</v>
      </c>
      <c r="H1391" s="72" t="s">
        <v>125</v>
      </c>
      <c r="I1391" s="72" t="s">
        <v>114</v>
      </c>
      <c r="J1391" s="73" t="s">
        <v>24</v>
      </c>
      <c r="K1391" s="73" t="s">
        <v>8109</v>
      </c>
      <c r="L1391" s="73" t="s">
        <v>8110</v>
      </c>
      <c r="M1391" s="73" t="s">
        <v>261</v>
      </c>
      <c r="N1391" s="84" t="s">
        <v>8111</v>
      </c>
      <c r="O1391" s="85" t="s">
        <v>207</v>
      </c>
      <c r="P1391" s="89" t="s">
        <v>8112</v>
      </c>
      <c r="Q1391" s="73" t="s">
        <v>728</v>
      </c>
      <c r="R1391" s="73" t="s">
        <v>5633</v>
      </c>
      <c r="S1391" s="73" t="s">
        <v>5633</v>
      </c>
      <c r="T1391" s="73">
        <v>3</v>
      </c>
      <c r="U1391" s="74">
        <v>1186</v>
      </c>
      <c r="V1391" s="75">
        <v>1723</v>
      </c>
      <c r="W1391" s="73" t="s">
        <v>276</v>
      </c>
      <c r="X1391" s="73" t="s">
        <v>276</v>
      </c>
      <c r="Y1391" s="72">
        <v>0</v>
      </c>
      <c r="Z1391" s="72" t="s">
        <v>98</v>
      </c>
      <c r="AA1391" s="72">
        <v>0</v>
      </c>
      <c r="AB1391" s="72" t="s">
        <v>98</v>
      </c>
      <c r="AC1391" s="73" t="s">
        <v>8113</v>
      </c>
      <c r="AD1391" s="73" t="s">
        <v>8114</v>
      </c>
      <c r="AE1391" s="72">
        <v>6</v>
      </c>
      <c r="AF1391" s="72">
        <v>7</v>
      </c>
      <c r="AG1391" s="451">
        <v>5516.8</v>
      </c>
      <c r="AH1391" s="451">
        <v>6449.5</v>
      </c>
      <c r="AI1391" s="75" t="s">
        <v>1019</v>
      </c>
      <c r="AJ1391" s="93">
        <v>108.8</v>
      </c>
      <c r="AK1391" s="86">
        <f>AE1391*100000/AG1391</f>
        <v>108.75870069605568</v>
      </c>
      <c r="AL1391" s="76" t="s">
        <v>276</v>
      </c>
      <c r="AM1391" s="76" t="s">
        <v>276</v>
      </c>
      <c r="AN1391" s="93">
        <v>108.5</v>
      </c>
      <c r="AO1391" s="86">
        <f>AF1391*100000/AH1391</f>
        <v>108.53554539111559</v>
      </c>
      <c r="AP1391" s="76" t="s">
        <v>276</v>
      </c>
      <c r="AQ1391" s="76" t="s">
        <v>276</v>
      </c>
      <c r="AR1391" s="72" t="s">
        <v>269</v>
      </c>
      <c r="AS1391" s="76" t="s">
        <v>276</v>
      </c>
      <c r="AT1391" s="76">
        <f t="shared" si="203"/>
        <v>1.0020560573417301</v>
      </c>
      <c r="AU1391" s="76" t="s">
        <v>276</v>
      </c>
      <c r="AV1391" s="76" t="s">
        <v>276</v>
      </c>
      <c r="AW1391" s="72" t="s">
        <v>276</v>
      </c>
      <c r="AX1391" s="72" t="s">
        <v>282</v>
      </c>
      <c r="AY1391" s="72" t="s">
        <v>276</v>
      </c>
      <c r="AZ1391" s="72" t="s">
        <v>276</v>
      </c>
      <c r="BA1391" s="72" t="s">
        <v>276</v>
      </c>
      <c r="BB1391" s="72" t="s">
        <v>276</v>
      </c>
      <c r="BC1391" s="73" t="s">
        <v>8115</v>
      </c>
      <c r="BD1391" s="73" t="s">
        <v>8116</v>
      </c>
      <c r="BE1391" s="33" t="s">
        <v>100</v>
      </c>
      <c r="BF1391" s="33" t="s">
        <v>98</v>
      </c>
    </row>
    <row r="1392" spans="1:58" s="87" customFormat="1" ht="52" x14ac:dyDescent="0.3">
      <c r="A1392" s="72">
        <v>727</v>
      </c>
      <c r="B1392" s="72" t="s">
        <v>8106</v>
      </c>
      <c r="C1392" s="72" t="s">
        <v>77</v>
      </c>
      <c r="D1392" s="73" t="s">
        <v>8120</v>
      </c>
      <c r="E1392" s="72" t="s">
        <v>39</v>
      </c>
      <c r="F1392" s="73" t="s">
        <v>8119</v>
      </c>
      <c r="G1392" s="73" t="s">
        <v>225</v>
      </c>
      <c r="H1392" s="72" t="s">
        <v>125</v>
      </c>
      <c r="I1392" s="72" t="s">
        <v>114</v>
      </c>
      <c r="J1392" s="73" t="s">
        <v>24</v>
      </c>
      <c r="K1392" s="73" t="s">
        <v>8109</v>
      </c>
      <c r="L1392" s="73" t="s">
        <v>8110</v>
      </c>
      <c r="M1392" s="73" t="s">
        <v>261</v>
      </c>
      <c r="N1392" s="84" t="s">
        <v>8111</v>
      </c>
      <c r="O1392" s="85" t="s">
        <v>207</v>
      </c>
      <c r="P1392" s="89" t="s">
        <v>8112</v>
      </c>
      <c r="Q1392" s="73" t="s">
        <v>728</v>
      </c>
      <c r="R1392" s="73" t="s">
        <v>5633</v>
      </c>
      <c r="S1392" s="73" t="s">
        <v>5633</v>
      </c>
      <c r="T1392" s="73">
        <v>3</v>
      </c>
      <c r="U1392" s="74">
        <v>1186</v>
      </c>
      <c r="V1392" s="75">
        <v>1723</v>
      </c>
      <c r="W1392" s="73" t="s">
        <v>276</v>
      </c>
      <c r="X1392" s="73" t="s">
        <v>276</v>
      </c>
      <c r="Y1392" s="72">
        <v>0</v>
      </c>
      <c r="Z1392" s="72" t="s">
        <v>98</v>
      </c>
      <c r="AA1392" s="72">
        <v>0</v>
      </c>
      <c r="AB1392" s="72" t="s">
        <v>98</v>
      </c>
      <c r="AC1392" s="73" t="s">
        <v>8113</v>
      </c>
      <c r="AD1392" s="73" t="s">
        <v>866</v>
      </c>
      <c r="AE1392" s="72">
        <v>6</v>
      </c>
      <c r="AF1392" s="72">
        <v>7</v>
      </c>
      <c r="AG1392" s="74">
        <v>1186</v>
      </c>
      <c r="AH1392" s="74">
        <v>1723</v>
      </c>
      <c r="AI1392" s="75" t="s">
        <v>292</v>
      </c>
      <c r="AJ1392" s="93" t="s">
        <v>276</v>
      </c>
      <c r="AK1392" s="86">
        <f>AE1392*100/AG1392</f>
        <v>0.50590219224283306</v>
      </c>
      <c r="AL1392" s="76" t="s">
        <v>276</v>
      </c>
      <c r="AM1392" s="76" t="s">
        <v>276</v>
      </c>
      <c r="AN1392" s="93" t="s">
        <v>276</v>
      </c>
      <c r="AO1392" s="86">
        <f>AF1392*100/AH1392</f>
        <v>0.40626813697040048</v>
      </c>
      <c r="AP1392" s="76" t="s">
        <v>276</v>
      </c>
      <c r="AQ1392" s="76" t="s">
        <v>276</v>
      </c>
      <c r="AR1392" s="72" t="s">
        <v>268</v>
      </c>
      <c r="AS1392" s="76" t="s">
        <v>276</v>
      </c>
      <c r="AT1392" s="76">
        <f t="shared" si="203"/>
        <v>1.245242110334859</v>
      </c>
      <c r="AU1392" s="76" t="s">
        <v>276</v>
      </c>
      <c r="AV1392" s="76" t="s">
        <v>276</v>
      </c>
      <c r="AW1392" s="72" t="s">
        <v>276</v>
      </c>
      <c r="AX1392" s="72" t="s">
        <v>282</v>
      </c>
      <c r="AY1392" s="72" t="s">
        <v>276</v>
      </c>
      <c r="AZ1392" s="72" t="s">
        <v>276</v>
      </c>
      <c r="BA1392" s="72" t="s">
        <v>276</v>
      </c>
      <c r="BB1392" s="72" t="s">
        <v>276</v>
      </c>
      <c r="BC1392" s="73" t="s">
        <v>8115</v>
      </c>
      <c r="BD1392" s="73"/>
      <c r="BE1392" s="33" t="s">
        <v>100</v>
      </c>
      <c r="BF1392" s="33" t="s">
        <v>98</v>
      </c>
    </row>
    <row r="1393" spans="1:58" s="7" customFormat="1" ht="91" x14ac:dyDescent="0.3">
      <c r="A1393" s="8">
        <v>727</v>
      </c>
      <c r="B1393" s="8" t="s">
        <v>8106</v>
      </c>
      <c r="C1393" s="8" t="s">
        <v>77</v>
      </c>
      <c r="D1393" s="9" t="s">
        <v>8121</v>
      </c>
      <c r="E1393" s="8" t="s">
        <v>39</v>
      </c>
      <c r="F1393" s="9" t="s">
        <v>143</v>
      </c>
      <c r="G1393" s="9" t="s">
        <v>225</v>
      </c>
      <c r="H1393" s="8" t="s">
        <v>125</v>
      </c>
      <c r="I1393" s="8" t="s">
        <v>114</v>
      </c>
      <c r="J1393" s="9" t="s">
        <v>24</v>
      </c>
      <c r="K1393" s="9" t="s">
        <v>8109</v>
      </c>
      <c r="L1393" s="9" t="s">
        <v>8110</v>
      </c>
      <c r="M1393" s="9" t="s">
        <v>261</v>
      </c>
      <c r="N1393" s="11" t="s">
        <v>8111</v>
      </c>
      <c r="O1393" s="12" t="s">
        <v>207</v>
      </c>
      <c r="P1393" s="51" t="s">
        <v>8112</v>
      </c>
      <c r="Q1393" s="9" t="s">
        <v>728</v>
      </c>
      <c r="R1393" s="9" t="s">
        <v>5633</v>
      </c>
      <c r="S1393" s="9" t="s">
        <v>5633</v>
      </c>
      <c r="T1393" s="9" t="s">
        <v>8122</v>
      </c>
      <c r="U1393" s="13">
        <v>2376</v>
      </c>
      <c r="V1393" s="38">
        <v>1723</v>
      </c>
      <c r="W1393" s="9" t="s">
        <v>276</v>
      </c>
      <c r="X1393" s="9" t="s">
        <v>276</v>
      </c>
      <c r="Y1393" s="8">
        <v>0</v>
      </c>
      <c r="Z1393" s="8" t="s">
        <v>98</v>
      </c>
      <c r="AA1393" s="8">
        <v>0</v>
      </c>
      <c r="AB1393" s="8" t="s">
        <v>98</v>
      </c>
      <c r="AC1393" s="9" t="s">
        <v>8113</v>
      </c>
      <c r="AD1393" s="9" t="s">
        <v>8114</v>
      </c>
      <c r="AE1393" s="8">
        <f>6+12</f>
        <v>18</v>
      </c>
      <c r="AF1393" s="8">
        <v>7</v>
      </c>
      <c r="AG1393" s="71">
        <f>5556.7+5516.8</f>
        <v>11073.5</v>
      </c>
      <c r="AH1393" s="71">
        <v>6449.5</v>
      </c>
      <c r="AI1393" s="38" t="s">
        <v>1019</v>
      </c>
      <c r="AJ1393" s="43" t="s">
        <v>276</v>
      </c>
      <c r="AK1393" s="31">
        <f>AE1393*100000/AG1393</f>
        <v>162.55023253713821</v>
      </c>
      <c r="AL1393" s="14" t="s">
        <v>276</v>
      </c>
      <c r="AM1393" s="14" t="s">
        <v>276</v>
      </c>
      <c r="AN1393" s="43">
        <v>108.5</v>
      </c>
      <c r="AO1393" s="31">
        <f>AF1393*100000/AH1393</f>
        <v>108.53554539111559</v>
      </c>
      <c r="AP1393" s="14" t="s">
        <v>276</v>
      </c>
      <c r="AQ1393" s="14" t="s">
        <v>276</v>
      </c>
      <c r="AR1393" s="8" t="s">
        <v>270</v>
      </c>
      <c r="AS1393" s="14">
        <v>1.52</v>
      </c>
      <c r="AT1393" s="14" t="s">
        <v>276</v>
      </c>
      <c r="AU1393" s="14">
        <v>0.63</v>
      </c>
      <c r="AV1393" s="14">
        <v>3.65</v>
      </c>
      <c r="AW1393" s="8" t="s">
        <v>276</v>
      </c>
      <c r="AX1393" s="8" t="s">
        <v>8123</v>
      </c>
      <c r="AY1393" s="8">
        <v>1.64</v>
      </c>
      <c r="AZ1393" s="8">
        <v>0.67</v>
      </c>
      <c r="BA1393" s="8">
        <v>4.01</v>
      </c>
      <c r="BB1393" s="8" t="s">
        <v>276</v>
      </c>
      <c r="BC1393" s="9" t="s">
        <v>8124</v>
      </c>
      <c r="BD1393" s="9"/>
      <c r="BE1393" s="33" t="s">
        <v>100</v>
      </c>
      <c r="BF1393" s="33" t="s">
        <v>98</v>
      </c>
    </row>
    <row r="1394" spans="1:58" s="7" customFormat="1" ht="65" x14ac:dyDescent="0.3">
      <c r="A1394" s="8">
        <v>727</v>
      </c>
      <c r="B1394" s="8" t="s">
        <v>8106</v>
      </c>
      <c r="C1394" s="8" t="s">
        <v>77</v>
      </c>
      <c r="D1394" s="9" t="s">
        <v>8125</v>
      </c>
      <c r="E1394" s="8" t="s">
        <v>39</v>
      </c>
      <c r="F1394" s="9" t="s">
        <v>143</v>
      </c>
      <c r="G1394" s="9" t="s">
        <v>225</v>
      </c>
      <c r="H1394" s="8" t="s">
        <v>125</v>
      </c>
      <c r="I1394" s="8" t="s">
        <v>114</v>
      </c>
      <c r="J1394" s="9" t="s">
        <v>24</v>
      </c>
      <c r="K1394" s="9" t="s">
        <v>8109</v>
      </c>
      <c r="L1394" s="9" t="s">
        <v>8110</v>
      </c>
      <c r="M1394" s="9" t="s">
        <v>261</v>
      </c>
      <c r="N1394" s="11" t="s">
        <v>8111</v>
      </c>
      <c r="O1394" s="12" t="s">
        <v>207</v>
      </c>
      <c r="P1394" s="51" t="s">
        <v>8112</v>
      </c>
      <c r="Q1394" s="9" t="s">
        <v>728</v>
      </c>
      <c r="R1394" s="9" t="s">
        <v>5633</v>
      </c>
      <c r="S1394" s="9" t="s">
        <v>5633</v>
      </c>
      <c r="T1394" s="9" t="s">
        <v>8122</v>
      </c>
      <c r="U1394" s="13">
        <v>2376</v>
      </c>
      <c r="V1394" s="38">
        <v>1723</v>
      </c>
      <c r="W1394" s="9" t="s">
        <v>276</v>
      </c>
      <c r="X1394" s="9" t="s">
        <v>276</v>
      </c>
      <c r="Y1394" s="8">
        <v>0</v>
      </c>
      <c r="Z1394" s="8" t="s">
        <v>98</v>
      </c>
      <c r="AA1394" s="8">
        <v>0</v>
      </c>
      <c r="AB1394" s="8" t="s">
        <v>98</v>
      </c>
      <c r="AC1394" s="9" t="s">
        <v>8113</v>
      </c>
      <c r="AD1394" s="9" t="s">
        <v>8114</v>
      </c>
      <c r="AE1394" s="8">
        <f>6+12</f>
        <v>18</v>
      </c>
      <c r="AF1394" s="8">
        <v>7</v>
      </c>
      <c r="AG1394" s="71">
        <f>5556.7+5516.8</f>
        <v>11073.5</v>
      </c>
      <c r="AH1394" s="71">
        <v>6449.5</v>
      </c>
      <c r="AI1394" s="38" t="s">
        <v>1019</v>
      </c>
      <c r="AJ1394" s="43" t="s">
        <v>276</v>
      </c>
      <c r="AK1394" s="31">
        <f>AE1394*100000/AG1394</f>
        <v>162.55023253713821</v>
      </c>
      <c r="AL1394" s="14" t="s">
        <v>276</v>
      </c>
      <c r="AM1394" s="14" t="s">
        <v>276</v>
      </c>
      <c r="AN1394" s="43">
        <v>108.5</v>
      </c>
      <c r="AO1394" s="31">
        <f>AF1394*100000/AH1394</f>
        <v>108.53554539111559</v>
      </c>
      <c r="AP1394" s="14" t="s">
        <v>276</v>
      </c>
      <c r="AQ1394" s="14" t="s">
        <v>276</v>
      </c>
      <c r="AR1394" s="8" t="s">
        <v>269</v>
      </c>
      <c r="AS1394" s="14" t="s">
        <v>276</v>
      </c>
      <c r="AT1394" s="14">
        <f t="shared" ref="AT1394:AT1401" si="204">AK1394/AO1394</f>
        <v>1.4976681782118184</v>
      </c>
      <c r="AU1394" s="14" t="s">
        <v>276</v>
      </c>
      <c r="AV1394" s="14" t="s">
        <v>276</v>
      </c>
      <c r="AW1394" s="8" t="s">
        <v>276</v>
      </c>
      <c r="AX1394" s="8" t="s">
        <v>282</v>
      </c>
      <c r="AY1394" s="8" t="s">
        <v>276</v>
      </c>
      <c r="AZ1394" s="8" t="s">
        <v>276</v>
      </c>
      <c r="BA1394" s="8" t="s">
        <v>276</v>
      </c>
      <c r="BB1394" s="8" t="s">
        <v>276</v>
      </c>
      <c r="BC1394" s="9" t="s">
        <v>8115</v>
      </c>
      <c r="BD1394" s="9"/>
      <c r="BE1394" s="33" t="s">
        <v>100</v>
      </c>
      <c r="BF1394" s="33" t="s">
        <v>98</v>
      </c>
    </row>
    <row r="1395" spans="1:58" s="7" customFormat="1" ht="52" x14ac:dyDescent="0.3">
      <c r="A1395" s="8">
        <v>727</v>
      </c>
      <c r="B1395" s="8" t="s">
        <v>8106</v>
      </c>
      <c r="C1395" s="8" t="s">
        <v>77</v>
      </c>
      <c r="D1395" s="9" t="s">
        <v>8126</v>
      </c>
      <c r="E1395" s="8" t="s">
        <v>39</v>
      </c>
      <c r="F1395" s="9" t="s">
        <v>143</v>
      </c>
      <c r="G1395" s="9" t="s">
        <v>225</v>
      </c>
      <c r="H1395" s="8" t="s">
        <v>125</v>
      </c>
      <c r="I1395" s="8" t="s">
        <v>114</v>
      </c>
      <c r="J1395" s="9" t="s">
        <v>24</v>
      </c>
      <c r="K1395" s="9" t="s">
        <v>8109</v>
      </c>
      <c r="L1395" s="9" t="s">
        <v>8110</v>
      </c>
      <c r="M1395" s="9" t="s">
        <v>261</v>
      </c>
      <c r="N1395" s="11" t="s">
        <v>8111</v>
      </c>
      <c r="O1395" s="12" t="s">
        <v>207</v>
      </c>
      <c r="P1395" s="51" t="s">
        <v>8112</v>
      </c>
      <c r="Q1395" s="9" t="s">
        <v>728</v>
      </c>
      <c r="R1395" s="9" t="s">
        <v>5633</v>
      </c>
      <c r="S1395" s="9" t="s">
        <v>5633</v>
      </c>
      <c r="T1395" s="9" t="s">
        <v>8122</v>
      </c>
      <c r="U1395" s="13">
        <v>2376</v>
      </c>
      <c r="V1395" s="38">
        <v>1723</v>
      </c>
      <c r="W1395" s="9" t="s">
        <v>276</v>
      </c>
      <c r="X1395" s="9" t="s">
        <v>276</v>
      </c>
      <c r="Y1395" s="8">
        <v>0</v>
      </c>
      <c r="Z1395" s="8" t="s">
        <v>98</v>
      </c>
      <c r="AA1395" s="8">
        <v>0</v>
      </c>
      <c r="AB1395" s="8" t="s">
        <v>98</v>
      </c>
      <c r="AC1395" s="9" t="s">
        <v>8113</v>
      </c>
      <c r="AD1395" s="9" t="s">
        <v>866</v>
      </c>
      <c r="AE1395" s="8">
        <f>6+12</f>
        <v>18</v>
      </c>
      <c r="AF1395" s="8">
        <v>7</v>
      </c>
      <c r="AG1395" s="13">
        <v>2376</v>
      </c>
      <c r="AH1395" s="13">
        <v>1723</v>
      </c>
      <c r="AI1395" s="38" t="s">
        <v>292</v>
      </c>
      <c r="AJ1395" s="43" t="s">
        <v>276</v>
      </c>
      <c r="AK1395" s="31">
        <f>AE1395*100/AG1395</f>
        <v>0.75757575757575757</v>
      </c>
      <c r="AL1395" s="14" t="s">
        <v>276</v>
      </c>
      <c r="AM1395" s="14" t="s">
        <v>276</v>
      </c>
      <c r="AN1395" s="43" t="s">
        <v>276</v>
      </c>
      <c r="AO1395" s="31">
        <f>AF1395*100/AH1395</f>
        <v>0.40626813697040048</v>
      </c>
      <c r="AP1395" s="14" t="s">
        <v>276</v>
      </c>
      <c r="AQ1395" s="14" t="s">
        <v>276</v>
      </c>
      <c r="AR1395" s="8" t="s">
        <v>268</v>
      </c>
      <c r="AS1395" s="14" t="s">
        <v>276</v>
      </c>
      <c r="AT1395" s="14">
        <f t="shared" si="204"/>
        <v>1.8647186147186146</v>
      </c>
      <c r="AU1395" s="14" t="s">
        <v>276</v>
      </c>
      <c r="AV1395" s="14" t="s">
        <v>276</v>
      </c>
      <c r="AW1395" s="8" t="s">
        <v>276</v>
      </c>
      <c r="AX1395" s="8" t="s">
        <v>282</v>
      </c>
      <c r="AY1395" s="8" t="s">
        <v>276</v>
      </c>
      <c r="AZ1395" s="8" t="s">
        <v>276</v>
      </c>
      <c r="BA1395" s="8" t="s">
        <v>276</v>
      </c>
      <c r="BB1395" s="8" t="s">
        <v>276</v>
      </c>
      <c r="BC1395" s="9" t="s">
        <v>8115</v>
      </c>
      <c r="BD1395" s="9"/>
      <c r="BE1395" s="33" t="s">
        <v>100</v>
      </c>
      <c r="BF1395" s="33" t="s">
        <v>98</v>
      </c>
    </row>
    <row r="1396" spans="1:58" s="87" customFormat="1" ht="52" x14ac:dyDescent="0.3">
      <c r="A1396" s="72">
        <v>727</v>
      </c>
      <c r="B1396" s="72" t="s">
        <v>8106</v>
      </c>
      <c r="C1396" s="72" t="s">
        <v>77</v>
      </c>
      <c r="D1396" s="73" t="s">
        <v>8127</v>
      </c>
      <c r="E1396" s="72" t="s">
        <v>39</v>
      </c>
      <c r="F1396" s="73" t="s">
        <v>8108</v>
      </c>
      <c r="G1396" s="73" t="s">
        <v>8119</v>
      </c>
      <c r="H1396" s="72" t="s">
        <v>225</v>
      </c>
      <c r="I1396" s="72" t="s">
        <v>98</v>
      </c>
      <c r="J1396" s="73" t="s">
        <v>24</v>
      </c>
      <c r="K1396" s="73" t="s">
        <v>8109</v>
      </c>
      <c r="L1396" s="73" t="s">
        <v>8110</v>
      </c>
      <c r="M1396" s="73" t="s">
        <v>261</v>
      </c>
      <c r="N1396" s="84" t="s">
        <v>8111</v>
      </c>
      <c r="O1396" s="85" t="s">
        <v>208</v>
      </c>
      <c r="P1396" s="89" t="s">
        <v>8112</v>
      </c>
      <c r="Q1396" s="73" t="s">
        <v>728</v>
      </c>
      <c r="R1396" s="73" t="s">
        <v>5633</v>
      </c>
      <c r="S1396" s="73" t="s">
        <v>5633</v>
      </c>
      <c r="T1396" s="73" t="s">
        <v>8122</v>
      </c>
      <c r="U1396" s="74">
        <v>1190</v>
      </c>
      <c r="V1396" s="75">
        <v>1186</v>
      </c>
      <c r="W1396" s="73" t="s">
        <v>276</v>
      </c>
      <c r="X1396" s="73" t="s">
        <v>276</v>
      </c>
      <c r="Y1396" s="72">
        <v>0</v>
      </c>
      <c r="Z1396" s="72" t="s">
        <v>98</v>
      </c>
      <c r="AA1396" s="72">
        <v>0</v>
      </c>
      <c r="AB1396" s="72" t="s">
        <v>98</v>
      </c>
      <c r="AC1396" s="73" t="s">
        <v>8113</v>
      </c>
      <c r="AD1396" s="73" t="s">
        <v>8114</v>
      </c>
      <c r="AE1396" s="72">
        <v>12</v>
      </c>
      <c r="AF1396" s="72">
        <v>6</v>
      </c>
      <c r="AG1396" s="451">
        <v>5556.7</v>
      </c>
      <c r="AH1396" s="451">
        <v>5516.8</v>
      </c>
      <c r="AI1396" s="75" t="s">
        <v>1019</v>
      </c>
      <c r="AJ1396" s="93">
        <v>216</v>
      </c>
      <c r="AK1396" s="86">
        <f>AE1396*100000/AG1396</f>
        <v>215.95551316428816</v>
      </c>
      <c r="AL1396" s="76" t="s">
        <v>276</v>
      </c>
      <c r="AM1396" s="76" t="s">
        <v>276</v>
      </c>
      <c r="AN1396" s="93">
        <v>108.8</v>
      </c>
      <c r="AO1396" s="86">
        <f>AF1396*100000/AH1396</f>
        <v>108.75870069605568</v>
      </c>
      <c r="AP1396" s="76" t="s">
        <v>276</v>
      </c>
      <c r="AQ1396" s="76" t="s">
        <v>276</v>
      </c>
      <c r="AR1396" s="72" t="s">
        <v>269</v>
      </c>
      <c r="AS1396" s="76" t="s">
        <v>276</v>
      </c>
      <c r="AT1396" s="76">
        <f t="shared" si="204"/>
        <v>1.9856389583745748</v>
      </c>
      <c r="AU1396" s="76" t="s">
        <v>276</v>
      </c>
      <c r="AV1396" s="76" t="s">
        <v>276</v>
      </c>
      <c r="AW1396" s="72" t="s">
        <v>276</v>
      </c>
      <c r="AX1396" s="72" t="s">
        <v>282</v>
      </c>
      <c r="AY1396" s="72" t="s">
        <v>276</v>
      </c>
      <c r="AZ1396" s="72" t="s">
        <v>276</v>
      </c>
      <c r="BA1396" s="72" t="s">
        <v>276</v>
      </c>
      <c r="BB1396" s="72" t="s">
        <v>276</v>
      </c>
      <c r="BC1396" s="73" t="s">
        <v>8115</v>
      </c>
      <c r="BD1396" s="73" t="s">
        <v>8116</v>
      </c>
      <c r="BE1396" s="33" t="s">
        <v>100</v>
      </c>
      <c r="BF1396" s="33" t="s">
        <v>98</v>
      </c>
    </row>
    <row r="1397" spans="1:58" s="87" customFormat="1" ht="52" x14ac:dyDescent="0.3">
      <c r="A1397" s="72">
        <v>727</v>
      </c>
      <c r="B1397" s="72" t="s">
        <v>8106</v>
      </c>
      <c r="C1397" s="72" t="s">
        <v>77</v>
      </c>
      <c r="D1397" s="73" t="s">
        <v>8128</v>
      </c>
      <c r="E1397" s="72" t="s">
        <v>39</v>
      </c>
      <c r="F1397" s="73" t="s">
        <v>8108</v>
      </c>
      <c r="G1397" s="73" t="s">
        <v>8119</v>
      </c>
      <c r="H1397" s="72" t="s">
        <v>225</v>
      </c>
      <c r="I1397" s="72" t="s">
        <v>98</v>
      </c>
      <c r="J1397" s="73" t="s">
        <v>24</v>
      </c>
      <c r="K1397" s="73" t="s">
        <v>8109</v>
      </c>
      <c r="L1397" s="73" t="s">
        <v>8110</v>
      </c>
      <c r="M1397" s="73" t="s">
        <v>261</v>
      </c>
      <c r="N1397" s="84" t="s">
        <v>8111</v>
      </c>
      <c r="O1397" s="85" t="s">
        <v>208</v>
      </c>
      <c r="P1397" s="89" t="s">
        <v>8112</v>
      </c>
      <c r="Q1397" s="73" t="s">
        <v>728</v>
      </c>
      <c r="R1397" s="73" t="s">
        <v>5633</v>
      </c>
      <c r="S1397" s="73" t="s">
        <v>5633</v>
      </c>
      <c r="T1397" s="73" t="s">
        <v>8122</v>
      </c>
      <c r="U1397" s="74">
        <v>1190</v>
      </c>
      <c r="V1397" s="75">
        <v>1186</v>
      </c>
      <c r="W1397" s="73" t="s">
        <v>276</v>
      </c>
      <c r="X1397" s="73" t="s">
        <v>276</v>
      </c>
      <c r="Y1397" s="72">
        <v>0</v>
      </c>
      <c r="Z1397" s="72" t="s">
        <v>98</v>
      </c>
      <c r="AA1397" s="72">
        <v>0</v>
      </c>
      <c r="AB1397" s="72" t="s">
        <v>98</v>
      </c>
      <c r="AC1397" s="73" t="s">
        <v>8113</v>
      </c>
      <c r="AD1397" s="73" t="s">
        <v>866</v>
      </c>
      <c r="AE1397" s="72">
        <v>12</v>
      </c>
      <c r="AF1397" s="72">
        <v>6</v>
      </c>
      <c r="AG1397" s="74">
        <v>1190</v>
      </c>
      <c r="AH1397" s="74">
        <v>1186</v>
      </c>
      <c r="AI1397" s="75" t="s">
        <v>292</v>
      </c>
      <c r="AJ1397" s="93" t="s">
        <v>276</v>
      </c>
      <c r="AK1397" s="86">
        <f>AE1397*100/AG1397</f>
        <v>1.0084033613445378</v>
      </c>
      <c r="AL1397" s="76" t="s">
        <v>276</v>
      </c>
      <c r="AM1397" s="76" t="s">
        <v>276</v>
      </c>
      <c r="AN1397" s="93" t="s">
        <v>276</v>
      </c>
      <c r="AO1397" s="86">
        <f>AF1397*100/AH1397</f>
        <v>0.50590219224283306</v>
      </c>
      <c r="AP1397" s="76" t="s">
        <v>276</v>
      </c>
      <c r="AQ1397" s="76" t="s">
        <v>276</v>
      </c>
      <c r="AR1397" s="72" t="s">
        <v>268</v>
      </c>
      <c r="AS1397" s="76" t="s">
        <v>276</v>
      </c>
      <c r="AT1397" s="76">
        <f t="shared" si="204"/>
        <v>1.9932773109243695</v>
      </c>
      <c r="AU1397" s="76" t="s">
        <v>276</v>
      </c>
      <c r="AV1397" s="76" t="s">
        <v>276</v>
      </c>
      <c r="AW1397" s="72" t="s">
        <v>276</v>
      </c>
      <c r="AX1397" s="72" t="s">
        <v>282</v>
      </c>
      <c r="AY1397" s="72" t="s">
        <v>276</v>
      </c>
      <c r="AZ1397" s="72" t="s">
        <v>276</v>
      </c>
      <c r="BA1397" s="72" t="s">
        <v>276</v>
      </c>
      <c r="BB1397" s="72" t="s">
        <v>276</v>
      </c>
      <c r="BC1397" s="73" t="s">
        <v>8115</v>
      </c>
      <c r="BD1397" s="73"/>
      <c r="BE1397" s="33" t="s">
        <v>100</v>
      </c>
      <c r="BF1397" s="33" t="s">
        <v>98</v>
      </c>
    </row>
    <row r="1398" spans="1:58" s="103" customFormat="1" ht="65" x14ac:dyDescent="0.3">
      <c r="A1398" s="94">
        <v>727</v>
      </c>
      <c r="B1398" s="94" t="s">
        <v>8106</v>
      </c>
      <c r="C1398" s="94" t="s">
        <v>77</v>
      </c>
      <c r="D1398" s="95" t="s">
        <v>8129</v>
      </c>
      <c r="E1398" s="94" t="s">
        <v>39</v>
      </c>
      <c r="F1398" s="95" t="s">
        <v>8108</v>
      </c>
      <c r="G1398" s="95" t="s">
        <v>225</v>
      </c>
      <c r="H1398" s="94" t="s">
        <v>125</v>
      </c>
      <c r="I1398" s="94" t="s">
        <v>114</v>
      </c>
      <c r="J1398" s="95" t="s">
        <v>23</v>
      </c>
      <c r="K1398" s="95" t="s">
        <v>8109</v>
      </c>
      <c r="L1398" s="95" t="s">
        <v>8110</v>
      </c>
      <c r="M1398" s="95" t="s">
        <v>261</v>
      </c>
      <c r="N1398" s="144" t="s">
        <v>8111</v>
      </c>
      <c r="O1398" s="96" t="s">
        <v>207</v>
      </c>
      <c r="P1398" s="163" t="s">
        <v>8112</v>
      </c>
      <c r="Q1398" s="95" t="s">
        <v>728</v>
      </c>
      <c r="R1398" s="95" t="s">
        <v>5633</v>
      </c>
      <c r="S1398" s="95" t="s">
        <v>5633</v>
      </c>
      <c r="T1398" s="95">
        <v>6</v>
      </c>
      <c r="U1398" s="98">
        <v>1190</v>
      </c>
      <c r="V1398" s="99">
        <v>1723</v>
      </c>
      <c r="W1398" s="95" t="s">
        <v>276</v>
      </c>
      <c r="X1398" s="95" t="s">
        <v>276</v>
      </c>
      <c r="Y1398" s="94">
        <v>0</v>
      </c>
      <c r="Z1398" s="94" t="s">
        <v>98</v>
      </c>
      <c r="AA1398" s="94">
        <v>0</v>
      </c>
      <c r="AB1398" s="94" t="s">
        <v>98</v>
      </c>
      <c r="AC1398" s="95" t="s">
        <v>8130</v>
      </c>
      <c r="AD1398" s="95" t="s">
        <v>8114</v>
      </c>
      <c r="AE1398" s="94">
        <v>31</v>
      </c>
      <c r="AF1398" s="94">
        <v>20</v>
      </c>
      <c r="AG1398" s="312">
        <v>5556.7</v>
      </c>
      <c r="AH1398" s="312">
        <v>6449.5</v>
      </c>
      <c r="AI1398" s="99" t="s">
        <v>1019</v>
      </c>
      <c r="AJ1398" s="100">
        <v>557.9</v>
      </c>
      <c r="AK1398" s="101">
        <f>AE1398*100000/AG1398</f>
        <v>557.88507567441104</v>
      </c>
      <c r="AL1398" s="102" t="s">
        <v>276</v>
      </c>
      <c r="AM1398" s="102" t="s">
        <v>276</v>
      </c>
      <c r="AN1398" s="100">
        <v>310.10000000000002</v>
      </c>
      <c r="AO1398" s="101">
        <f>AF1398*100000/AH1398</f>
        <v>310.10155826033025</v>
      </c>
      <c r="AP1398" s="102" t="s">
        <v>276</v>
      </c>
      <c r="AQ1398" s="102" t="s">
        <v>276</v>
      </c>
      <c r="AR1398" s="94" t="s">
        <v>269</v>
      </c>
      <c r="AS1398" s="102" t="s">
        <v>276</v>
      </c>
      <c r="AT1398" s="102">
        <f t="shared" si="204"/>
        <v>1.7990398977810571</v>
      </c>
      <c r="AU1398" s="102" t="s">
        <v>276</v>
      </c>
      <c r="AV1398" s="102" t="s">
        <v>276</v>
      </c>
      <c r="AW1398" s="94" t="s">
        <v>276</v>
      </c>
      <c r="AX1398" s="94" t="s">
        <v>282</v>
      </c>
      <c r="AY1398" s="94" t="s">
        <v>276</v>
      </c>
      <c r="AZ1398" s="94" t="s">
        <v>276</v>
      </c>
      <c r="BA1398" s="94" t="s">
        <v>276</v>
      </c>
      <c r="BB1398" s="94" t="s">
        <v>276</v>
      </c>
      <c r="BC1398" s="95" t="s">
        <v>8131</v>
      </c>
      <c r="BD1398" s="95" t="s">
        <v>8132</v>
      </c>
      <c r="BE1398" s="33" t="s">
        <v>100</v>
      </c>
      <c r="BF1398" s="33" t="s">
        <v>98</v>
      </c>
    </row>
    <row r="1399" spans="1:58" s="103" customFormat="1" ht="65" x14ac:dyDescent="0.3">
      <c r="A1399" s="94">
        <v>727</v>
      </c>
      <c r="B1399" s="94" t="s">
        <v>8106</v>
      </c>
      <c r="C1399" s="94" t="s">
        <v>77</v>
      </c>
      <c r="D1399" s="95" t="s">
        <v>8133</v>
      </c>
      <c r="E1399" s="94" t="s">
        <v>39</v>
      </c>
      <c r="F1399" s="95" t="s">
        <v>8108</v>
      </c>
      <c r="G1399" s="95" t="s">
        <v>225</v>
      </c>
      <c r="H1399" s="94" t="s">
        <v>125</v>
      </c>
      <c r="I1399" s="94" t="s">
        <v>114</v>
      </c>
      <c r="J1399" s="95" t="s">
        <v>23</v>
      </c>
      <c r="K1399" s="95" t="s">
        <v>8109</v>
      </c>
      <c r="L1399" s="95" t="s">
        <v>8110</v>
      </c>
      <c r="M1399" s="95" t="s">
        <v>261</v>
      </c>
      <c r="N1399" s="144" t="s">
        <v>8111</v>
      </c>
      <c r="O1399" s="96" t="s">
        <v>207</v>
      </c>
      <c r="P1399" s="163" t="s">
        <v>8112</v>
      </c>
      <c r="Q1399" s="95" t="s">
        <v>728</v>
      </c>
      <c r="R1399" s="95" t="s">
        <v>5633</v>
      </c>
      <c r="S1399" s="95" t="s">
        <v>5633</v>
      </c>
      <c r="T1399" s="95">
        <v>6</v>
      </c>
      <c r="U1399" s="98">
        <v>1190</v>
      </c>
      <c r="V1399" s="99">
        <v>1723</v>
      </c>
      <c r="W1399" s="95" t="s">
        <v>276</v>
      </c>
      <c r="X1399" s="95" t="s">
        <v>276</v>
      </c>
      <c r="Y1399" s="94">
        <v>0</v>
      </c>
      <c r="Z1399" s="94" t="s">
        <v>98</v>
      </c>
      <c r="AA1399" s="94">
        <v>0</v>
      </c>
      <c r="AB1399" s="94" t="s">
        <v>98</v>
      </c>
      <c r="AC1399" s="95" t="s">
        <v>8130</v>
      </c>
      <c r="AD1399" s="95" t="s">
        <v>866</v>
      </c>
      <c r="AE1399" s="94">
        <v>31</v>
      </c>
      <c r="AF1399" s="94">
        <v>20</v>
      </c>
      <c r="AG1399" s="98">
        <v>1190</v>
      </c>
      <c r="AH1399" s="98">
        <v>1723</v>
      </c>
      <c r="AI1399" s="99" t="s">
        <v>292</v>
      </c>
      <c r="AJ1399" s="100" t="s">
        <v>276</v>
      </c>
      <c r="AK1399" s="101">
        <f>AE1399*100/AG1399</f>
        <v>2.6050420168067228</v>
      </c>
      <c r="AL1399" s="102" t="s">
        <v>276</v>
      </c>
      <c r="AM1399" s="102" t="s">
        <v>276</v>
      </c>
      <c r="AN1399" s="100" t="s">
        <v>276</v>
      </c>
      <c r="AO1399" s="101">
        <f>AF1399*100/AH1399</f>
        <v>1.1607661056297156</v>
      </c>
      <c r="AP1399" s="102" t="s">
        <v>276</v>
      </c>
      <c r="AQ1399" s="102" t="s">
        <v>276</v>
      </c>
      <c r="AR1399" s="94" t="s">
        <v>268</v>
      </c>
      <c r="AS1399" s="102" t="s">
        <v>276</v>
      </c>
      <c r="AT1399" s="102">
        <f t="shared" si="204"/>
        <v>2.2442436974789919</v>
      </c>
      <c r="AU1399" s="102" t="s">
        <v>276</v>
      </c>
      <c r="AV1399" s="102" t="s">
        <v>276</v>
      </c>
      <c r="AW1399" s="94" t="s">
        <v>276</v>
      </c>
      <c r="AX1399" s="94" t="s">
        <v>282</v>
      </c>
      <c r="AY1399" s="94" t="s">
        <v>276</v>
      </c>
      <c r="AZ1399" s="94" t="s">
        <v>276</v>
      </c>
      <c r="BA1399" s="94" t="s">
        <v>276</v>
      </c>
      <c r="BB1399" s="94" t="s">
        <v>276</v>
      </c>
      <c r="BC1399" s="95" t="s">
        <v>8131</v>
      </c>
      <c r="BD1399" s="95"/>
      <c r="BE1399" s="33" t="s">
        <v>100</v>
      </c>
      <c r="BF1399" s="33" t="s">
        <v>98</v>
      </c>
    </row>
    <row r="1400" spans="1:58" s="7" customFormat="1" ht="65" x14ac:dyDescent="0.3">
      <c r="A1400" s="8">
        <v>727</v>
      </c>
      <c r="B1400" s="8" t="s">
        <v>8106</v>
      </c>
      <c r="C1400" s="8" t="s">
        <v>77</v>
      </c>
      <c r="D1400" s="9" t="s">
        <v>8134</v>
      </c>
      <c r="E1400" s="8" t="s">
        <v>39</v>
      </c>
      <c r="F1400" s="9" t="s">
        <v>8119</v>
      </c>
      <c r="G1400" s="9" t="s">
        <v>225</v>
      </c>
      <c r="H1400" s="8" t="s">
        <v>125</v>
      </c>
      <c r="I1400" s="8" t="s">
        <v>114</v>
      </c>
      <c r="J1400" s="9" t="s">
        <v>23</v>
      </c>
      <c r="K1400" s="9" t="s">
        <v>8109</v>
      </c>
      <c r="L1400" s="9" t="s">
        <v>8110</v>
      </c>
      <c r="M1400" s="9" t="s">
        <v>261</v>
      </c>
      <c r="N1400" s="11" t="s">
        <v>8111</v>
      </c>
      <c r="O1400" s="12" t="s">
        <v>207</v>
      </c>
      <c r="P1400" s="51" t="s">
        <v>8112</v>
      </c>
      <c r="Q1400" s="9" t="s">
        <v>728</v>
      </c>
      <c r="R1400" s="9" t="s">
        <v>5633</v>
      </c>
      <c r="S1400" s="9" t="s">
        <v>5633</v>
      </c>
      <c r="T1400" s="9">
        <v>3</v>
      </c>
      <c r="U1400" s="13">
        <v>1186</v>
      </c>
      <c r="V1400" s="38">
        <v>1723</v>
      </c>
      <c r="W1400" s="9" t="s">
        <v>276</v>
      </c>
      <c r="X1400" s="9" t="s">
        <v>276</v>
      </c>
      <c r="Y1400" s="8">
        <v>0</v>
      </c>
      <c r="Z1400" s="8" t="s">
        <v>98</v>
      </c>
      <c r="AA1400" s="8">
        <v>0</v>
      </c>
      <c r="AB1400" s="8" t="s">
        <v>98</v>
      </c>
      <c r="AC1400" s="9" t="s">
        <v>8130</v>
      </c>
      <c r="AD1400" s="9" t="s">
        <v>8114</v>
      </c>
      <c r="AE1400" s="8">
        <v>20</v>
      </c>
      <c r="AF1400" s="8">
        <v>20</v>
      </c>
      <c r="AG1400" s="71">
        <v>5516.8</v>
      </c>
      <c r="AH1400" s="71">
        <v>6449.5</v>
      </c>
      <c r="AI1400" s="38" t="s">
        <v>1019</v>
      </c>
      <c r="AJ1400" s="43">
        <v>362.5</v>
      </c>
      <c r="AK1400" s="31">
        <f>AE1400*100000/AG1400</f>
        <v>362.52900232018561</v>
      </c>
      <c r="AL1400" s="14" t="s">
        <v>276</v>
      </c>
      <c r="AM1400" s="14" t="s">
        <v>276</v>
      </c>
      <c r="AN1400" s="43">
        <v>310.10000000000002</v>
      </c>
      <c r="AO1400" s="31">
        <f>AF1400*100000/AH1400</f>
        <v>310.10155826033025</v>
      </c>
      <c r="AP1400" s="14" t="s">
        <v>276</v>
      </c>
      <c r="AQ1400" s="14" t="s">
        <v>276</v>
      </c>
      <c r="AR1400" s="8" t="s">
        <v>269</v>
      </c>
      <c r="AS1400" s="14" t="s">
        <v>276</v>
      </c>
      <c r="AT1400" s="14">
        <f t="shared" si="204"/>
        <v>1.1690654002320187</v>
      </c>
      <c r="AU1400" s="14" t="s">
        <v>276</v>
      </c>
      <c r="AV1400" s="14" t="s">
        <v>276</v>
      </c>
      <c r="AW1400" s="8" t="s">
        <v>276</v>
      </c>
      <c r="AX1400" s="8" t="s">
        <v>282</v>
      </c>
      <c r="AY1400" s="8" t="s">
        <v>276</v>
      </c>
      <c r="AZ1400" s="8" t="s">
        <v>276</v>
      </c>
      <c r="BA1400" s="8" t="s">
        <v>276</v>
      </c>
      <c r="BB1400" s="8" t="s">
        <v>276</v>
      </c>
      <c r="BC1400" s="9" t="s">
        <v>8131</v>
      </c>
      <c r="BD1400" s="9" t="s">
        <v>8132</v>
      </c>
      <c r="BE1400" s="33" t="s">
        <v>100</v>
      </c>
      <c r="BF1400" s="33" t="s">
        <v>98</v>
      </c>
    </row>
    <row r="1401" spans="1:58" s="7" customFormat="1" ht="65" x14ac:dyDescent="0.3">
      <c r="A1401" s="8">
        <v>727</v>
      </c>
      <c r="B1401" s="8" t="s">
        <v>8106</v>
      </c>
      <c r="C1401" s="8" t="s">
        <v>77</v>
      </c>
      <c r="D1401" s="9" t="s">
        <v>8135</v>
      </c>
      <c r="E1401" s="8" t="s">
        <v>39</v>
      </c>
      <c r="F1401" s="9" t="s">
        <v>8119</v>
      </c>
      <c r="G1401" s="9" t="s">
        <v>225</v>
      </c>
      <c r="H1401" s="8" t="s">
        <v>125</v>
      </c>
      <c r="I1401" s="8" t="s">
        <v>114</v>
      </c>
      <c r="J1401" s="9" t="s">
        <v>23</v>
      </c>
      <c r="K1401" s="9" t="s">
        <v>8109</v>
      </c>
      <c r="L1401" s="9" t="s">
        <v>8110</v>
      </c>
      <c r="M1401" s="9" t="s">
        <v>261</v>
      </c>
      <c r="N1401" s="11" t="s">
        <v>8111</v>
      </c>
      <c r="O1401" s="12" t="s">
        <v>207</v>
      </c>
      <c r="P1401" s="51" t="s">
        <v>8112</v>
      </c>
      <c r="Q1401" s="9" t="s">
        <v>728</v>
      </c>
      <c r="R1401" s="9" t="s">
        <v>5633</v>
      </c>
      <c r="S1401" s="9" t="s">
        <v>5633</v>
      </c>
      <c r="T1401" s="9">
        <v>3</v>
      </c>
      <c r="U1401" s="13">
        <v>1186</v>
      </c>
      <c r="V1401" s="38">
        <v>1723</v>
      </c>
      <c r="W1401" s="9" t="s">
        <v>276</v>
      </c>
      <c r="X1401" s="9" t="s">
        <v>276</v>
      </c>
      <c r="Y1401" s="8">
        <v>0</v>
      </c>
      <c r="Z1401" s="8" t="s">
        <v>98</v>
      </c>
      <c r="AA1401" s="8">
        <v>0</v>
      </c>
      <c r="AB1401" s="8" t="s">
        <v>98</v>
      </c>
      <c r="AC1401" s="9" t="s">
        <v>8130</v>
      </c>
      <c r="AD1401" s="9" t="s">
        <v>866</v>
      </c>
      <c r="AE1401" s="8">
        <v>20</v>
      </c>
      <c r="AF1401" s="8">
        <v>20</v>
      </c>
      <c r="AG1401" s="13">
        <v>1186</v>
      </c>
      <c r="AH1401" s="13">
        <v>1723</v>
      </c>
      <c r="AI1401" s="38" t="s">
        <v>292</v>
      </c>
      <c r="AJ1401" s="43" t="s">
        <v>276</v>
      </c>
      <c r="AK1401" s="31">
        <f>AE1401*100/AG1401</f>
        <v>1.6863406408094435</v>
      </c>
      <c r="AL1401" s="14" t="s">
        <v>276</v>
      </c>
      <c r="AM1401" s="14" t="s">
        <v>276</v>
      </c>
      <c r="AN1401" s="43" t="s">
        <v>276</v>
      </c>
      <c r="AO1401" s="31">
        <f>AF1401*100/AH1401</f>
        <v>1.1607661056297156</v>
      </c>
      <c r="AP1401" s="14" t="s">
        <v>276</v>
      </c>
      <c r="AQ1401" s="14" t="s">
        <v>276</v>
      </c>
      <c r="AR1401" s="8" t="s">
        <v>268</v>
      </c>
      <c r="AS1401" s="14" t="s">
        <v>276</v>
      </c>
      <c r="AT1401" s="14">
        <f t="shared" si="204"/>
        <v>1.4527824620573355</v>
      </c>
      <c r="AU1401" s="14" t="s">
        <v>276</v>
      </c>
      <c r="AV1401" s="14" t="s">
        <v>276</v>
      </c>
      <c r="AW1401" s="8" t="s">
        <v>276</v>
      </c>
      <c r="AX1401" s="8" t="s">
        <v>282</v>
      </c>
      <c r="AY1401" s="8" t="s">
        <v>276</v>
      </c>
      <c r="AZ1401" s="8" t="s">
        <v>276</v>
      </c>
      <c r="BA1401" s="8" t="s">
        <v>276</v>
      </c>
      <c r="BB1401" s="8" t="s">
        <v>276</v>
      </c>
      <c r="BC1401" s="9" t="s">
        <v>8131</v>
      </c>
      <c r="BD1401" s="9"/>
      <c r="BE1401" s="33" t="s">
        <v>100</v>
      </c>
      <c r="BF1401" s="33" t="s">
        <v>98</v>
      </c>
    </row>
    <row r="1402" spans="1:58" s="103" customFormat="1" ht="117" x14ac:dyDescent="0.3">
      <c r="A1402" s="94">
        <v>727</v>
      </c>
      <c r="B1402" s="94" t="s">
        <v>8106</v>
      </c>
      <c r="C1402" s="94" t="s">
        <v>77</v>
      </c>
      <c r="D1402" s="95" t="s">
        <v>8136</v>
      </c>
      <c r="E1402" s="94" t="s">
        <v>39</v>
      </c>
      <c r="F1402" s="95" t="s">
        <v>143</v>
      </c>
      <c r="G1402" s="95" t="s">
        <v>225</v>
      </c>
      <c r="H1402" s="94" t="s">
        <v>125</v>
      </c>
      <c r="I1402" s="94" t="s">
        <v>114</v>
      </c>
      <c r="J1402" s="95" t="s">
        <v>23</v>
      </c>
      <c r="K1402" s="95" t="s">
        <v>8109</v>
      </c>
      <c r="L1402" s="95" t="s">
        <v>8110</v>
      </c>
      <c r="M1402" s="95" t="s">
        <v>261</v>
      </c>
      <c r="N1402" s="144" t="s">
        <v>8111</v>
      </c>
      <c r="O1402" s="96" t="s">
        <v>207</v>
      </c>
      <c r="P1402" s="163" t="s">
        <v>8112</v>
      </c>
      <c r="Q1402" s="95" t="s">
        <v>728</v>
      </c>
      <c r="R1402" s="95" t="s">
        <v>5633</v>
      </c>
      <c r="S1402" s="95" t="s">
        <v>5633</v>
      </c>
      <c r="T1402" s="95" t="s">
        <v>8122</v>
      </c>
      <c r="U1402" s="98">
        <v>2376</v>
      </c>
      <c r="V1402" s="99">
        <v>1723</v>
      </c>
      <c r="W1402" s="95" t="s">
        <v>276</v>
      </c>
      <c r="X1402" s="95" t="s">
        <v>276</v>
      </c>
      <c r="Y1402" s="94">
        <v>0</v>
      </c>
      <c r="Z1402" s="94" t="s">
        <v>98</v>
      </c>
      <c r="AA1402" s="94">
        <v>0</v>
      </c>
      <c r="AB1402" s="94" t="s">
        <v>98</v>
      </c>
      <c r="AC1402" s="95" t="s">
        <v>8130</v>
      </c>
      <c r="AD1402" s="95" t="s">
        <v>8114</v>
      </c>
      <c r="AE1402" s="94">
        <v>51</v>
      </c>
      <c r="AF1402" s="94">
        <v>20</v>
      </c>
      <c r="AG1402" s="312">
        <f>5556.7+5516.8</f>
        <v>11073.5</v>
      </c>
      <c r="AH1402" s="312">
        <v>6449.5</v>
      </c>
      <c r="AI1402" s="99" t="s">
        <v>1019</v>
      </c>
      <c r="AJ1402" s="100" t="s">
        <v>276</v>
      </c>
      <c r="AK1402" s="101">
        <f>AE1402*100000/AG1402</f>
        <v>460.55899218855825</v>
      </c>
      <c r="AL1402" s="102" t="s">
        <v>276</v>
      </c>
      <c r="AM1402" s="102" t="s">
        <v>276</v>
      </c>
      <c r="AN1402" s="100">
        <v>310.10000000000002</v>
      </c>
      <c r="AO1402" s="101">
        <f>AF1402*100000/AH1402</f>
        <v>310.10155826033025</v>
      </c>
      <c r="AP1402" s="102" t="s">
        <v>276</v>
      </c>
      <c r="AQ1402" s="102" t="s">
        <v>276</v>
      </c>
      <c r="AR1402" s="94" t="s">
        <v>270</v>
      </c>
      <c r="AS1402" s="102">
        <v>1.39</v>
      </c>
      <c r="AT1402" s="102" t="s">
        <v>276</v>
      </c>
      <c r="AU1402" s="102">
        <v>0.83</v>
      </c>
      <c r="AV1402" s="102">
        <v>2.34</v>
      </c>
      <c r="AW1402" s="94" t="s">
        <v>276</v>
      </c>
      <c r="AX1402" s="94" t="s">
        <v>8123</v>
      </c>
      <c r="AY1402" s="94">
        <v>1.4</v>
      </c>
      <c r="AZ1402" s="94">
        <v>0.82</v>
      </c>
      <c r="BA1402" s="94">
        <v>2.38</v>
      </c>
      <c r="BB1402" s="94" t="s">
        <v>276</v>
      </c>
      <c r="BC1402" s="95" t="s">
        <v>8137</v>
      </c>
      <c r="BD1402" s="95"/>
      <c r="BE1402" s="33" t="s">
        <v>100</v>
      </c>
      <c r="BF1402" s="33" t="s">
        <v>98</v>
      </c>
    </row>
    <row r="1403" spans="1:58" s="103" customFormat="1" ht="65" x14ac:dyDescent="0.3">
      <c r="A1403" s="94">
        <v>727</v>
      </c>
      <c r="B1403" s="94" t="s">
        <v>8106</v>
      </c>
      <c r="C1403" s="94" t="s">
        <v>77</v>
      </c>
      <c r="D1403" s="95" t="s">
        <v>8138</v>
      </c>
      <c r="E1403" s="94" t="s">
        <v>39</v>
      </c>
      <c r="F1403" s="95" t="s">
        <v>143</v>
      </c>
      <c r="G1403" s="95" t="s">
        <v>225</v>
      </c>
      <c r="H1403" s="94" t="s">
        <v>125</v>
      </c>
      <c r="I1403" s="94" t="s">
        <v>114</v>
      </c>
      <c r="J1403" s="95" t="s">
        <v>23</v>
      </c>
      <c r="K1403" s="95" t="s">
        <v>8109</v>
      </c>
      <c r="L1403" s="95" t="s">
        <v>8110</v>
      </c>
      <c r="M1403" s="95" t="s">
        <v>261</v>
      </c>
      <c r="N1403" s="144" t="s">
        <v>8111</v>
      </c>
      <c r="O1403" s="96" t="s">
        <v>207</v>
      </c>
      <c r="P1403" s="163" t="s">
        <v>8112</v>
      </c>
      <c r="Q1403" s="95" t="s">
        <v>728</v>
      </c>
      <c r="R1403" s="95" t="s">
        <v>5633</v>
      </c>
      <c r="S1403" s="95" t="s">
        <v>5633</v>
      </c>
      <c r="T1403" s="95" t="s">
        <v>8122</v>
      </c>
      <c r="U1403" s="98">
        <v>2376</v>
      </c>
      <c r="V1403" s="99">
        <v>1723</v>
      </c>
      <c r="W1403" s="95" t="s">
        <v>276</v>
      </c>
      <c r="X1403" s="95" t="s">
        <v>276</v>
      </c>
      <c r="Y1403" s="94">
        <v>0</v>
      </c>
      <c r="Z1403" s="94" t="s">
        <v>98</v>
      </c>
      <c r="AA1403" s="94">
        <v>0</v>
      </c>
      <c r="AB1403" s="94" t="s">
        <v>98</v>
      </c>
      <c r="AC1403" s="95" t="s">
        <v>8130</v>
      </c>
      <c r="AD1403" s="95" t="s">
        <v>8114</v>
      </c>
      <c r="AE1403" s="94">
        <v>51</v>
      </c>
      <c r="AF1403" s="94">
        <v>20</v>
      </c>
      <c r="AG1403" s="312">
        <f>5556.7+5516.8</f>
        <v>11073.5</v>
      </c>
      <c r="AH1403" s="312">
        <v>6449.5</v>
      </c>
      <c r="AI1403" s="99" t="s">
        <v>1019</v>
      </c>
      <c r="AJ1403" s="100" t="s">
        <v>276</v>
      </c>
      <c r="AK1403" s="101">
        <f>AE1403*100000/AG1403</f>
        <v>460.55899218855825</v>
      </c>
      <c r="AL1403" s="102" t="s">
        <v>276</v>
      </c>
      <c r="AM1403" s="102" t="s">
        <v>276</v>
      </c>
      <c r="AN1403" s="100">
        <v>310.10000000000002</v>
      </c>
      <c r="AO1403" s="101">
        <f>AF1403*100000/AH1403</f>
        <v>310.10155826033025</v>
      </c>
      <c r="AP1403" s="102" t="s">
        <v>276</v>
      </c>
      <c r="AQ1403" s="102" t="s">
        <v>276</v>
      </c>
      <c r="AR1403" s="94" t="s">
        <v>269</v>
      </c>
      <c r="AS1403" s="102" t="s">
        <v>276</v>
      </c>
      <c r="AT1403" s="102">
        <f>AK1403/AO1403</f>
        <v>1.4851876100600532</v>
      </c>
      <c r="AU1403" s="102" t="s">
        <v>276</v>
      </c>
      <c r="AV1403" s="102" t="s">
        <v>276</v>
      </c>
      <c r="AW1403" s="94" t="s">
        <v>276</v>
      </c>
      <c r="AX1403" s="94" t="s">
        <v>282</v>
      </c>
      <c r="AY1403" s="94" t="s">
        <v>276</v>
      </c>
      <c r="AZ1403" s="94" t="s">
        <v>276</v>
      </c>
      <c r="BA1403" s="94" t="s">
        <v>276</v>
      </c>
      <c r="BB1403" s="94" t="s">
        <v>276</v>
      </c>
      <c r="BC1403" s="95" t="s">
        <v>8131</v>
      </c>
      <c r="BD1403" s="95"/>
      <c r="BE1403" s="33" t="s">
        <v>100</v>
      </c>
      <c r="BF1403" s="33" t="s">
        <v>98</v>
      </c>
    </row>
    <row r="1404" spans="1:58" s="103" customFormat="1" ht="65" x14ac:dyDescent="0.3">
      <c r="A1404" s="94">
        <v>727</v>
      </c>
      <c r="B1404" s="94" t="s">
        <v>8106</v>
      </c>
      <c r="C1404" s="94" t="s">
        <v>77</v>
      </c>
      <c r="D1404" s="95" t="s">
        <v>8139</v>
      </c>
      <c r="E1404" s="94" t="s">
        <v>39</v>
      </c>
      <c r="F1404" s="95" t="s">
        <v>143</v>
      </c>
      <c r="G1404" s="95" t="s">
        <v>225</v>
      </c>
      <c r="H1404" s="94" t="s">
        <v>125</v>
      </c>
      <c r="I1404" s="94" t="s">
        <v>114</v>
      </c>
      <c r="J1404" s="95" t="s">
        <v>23</v>
      </c>
      <c r="K1404" s="95" t="s">
        <v>8109</v>
      </c>
      <c r="L1404" s="95" t="s">
        <v>8110</v>
      </c>
      <c r="M1404" s="95" t="s">
        <v>261</v>
      </c>
      <c r="N1404" s="144" t="s">
        <v>8111</v>
      </c>
      <c r="O1404" s="96" t="s">
        <v>207</v>
      </c>
      <c r="P1404" s="163" t="s">
        <v>8112</v>
      </c>
      <c r="Q1404" s="95" t="s">
        <v>728</v>
      </c>
      <c r="R1404" s="95" t="s">
        <v>5633</v>
      </c>
      <c r="S1404" s="95" t="s">
        <v>5633</v>
      </c>
      <c r="T1404" s="95" t="s">
        <v>8122</v>
      </c>
      <c r="U1404" s="98">
        <v>2376</v>
      </c>
      <c r="V1404" s="99">
        <v>1723</v>
      </c>
      <c r="W1404" s="95" t="s">
        <v>276</v>
      </c>
      <c r="X1404" s="95" t="s">
        <v>276</v>
      </c>
      <c r="Y1404" s="94">
        <v>0</v>
      </c>
      <c r="Z1404" s="94" t="s">
        <v>98</v>
      </c>
      <c r="AA1404" s="94">
        <v>0</v>
      </c>
      <c r="AB1404" s="94" t="s">
        <v>98</v>
      </c>
      <c r="AC1404" s="95" t="s">
        <v>8130</v>
      </c>
      <c r="AD1404" s="95" t="s">
        <v>866</v>
      </c>
      <c r="AE1404" s="94">
        <f>31+20</f>
        <v>51</v>
      </c>
      <c r="AF1404" s="94">
        <v>20</v>
      </c>
      <c r="AG1404" s="98">
        <v>2376</v>
      </c>
      <c r="AH1404" s="98">
        <v>1723</v>
      </c>
      <c r="AI1404" s="99" t="s">
        <v>292</v>
      </c>
      <c r="AJ1404" s="100" t="s">
        <v>276</v>
      </c>
      <c r="AK1404" s="101">
        <f>AE1404*100/AG1404</f>
        <v>2.1464646464646466</v>
      </c>
      <c r="AL1404" s="102" t="s">
        <v>276</v>
      </c>
      <c r="AM1404" s="102" t="s">
        <v>276</v>
      </c>
      <c r="AN1404" s="100" t="s">
        <v>276</v>
      </c>
      <c r="AO1404" s="101">
        <f>AF1404*100/AH1404</f>
        <v>1.1607661056297156</v>
      </c>
      <c r="AP1404" s="102" t="s">
        <v>276</v>
      </c>
      <c r="AQ1404" s="102" t="s">
        <v>276</v>
      </c>
      <c r="AR1404" s="94" t="s">
        <v>268</v>
      </c>
      <c r="AS1404" s="102" t="s">
        <v>276</v>
      </c>
      <c r="AT1404" s="102">
        <f>AK1404/AO1404</f>
        <v>1.8491792929292932</v>
      </c>
      <c r="AU1404" s="102" t="s">
        <v>276</v>
      </c>
      <c r="AV1404" s="102" t="s">
        <v>276</v>
      </c>
      <c r="AW1404" s="94" t="s">
        <v>276</v>
      </c>
      <c r="AX1404" s="94" t="s">
        <v>282</v>
      </c>
      <c r="AY1404" s="94" t="s">
        <v>276</v>
      </c>
      <c r="AZ1404" s="94" t="s">
        <v>276</v>
      </c>
      <c r="BA1404" s="94" t="s">
        <v>276</v>
      </c>
      <c r="BB1404" s="94" t="s">
        <v>276</v>
      </c>
      <c r="BC1404" s="95" t="s">
        <v>8131</v>
      </c>
      <c r="BD1404" s="95"/>
      <c r="BE1404" s="33" t="s">
        <v>100</v>
      </c>
      <c r="BF1404" s="33" t="s">
        <v>98</v>
      </c>
    </row>
    <row r="1405" spans="1:58" s="7" customFormat="1" ht="65" x14ac:dyDescent="0.3">
      <c r="A1405" s="8">
        <v>727</v>
      </c>
      <c r="B1405" s="8" t="s">
        <v>8106</v>
      </c>
      <c r="C1405" s="8" t="s">
        <v>77</v>
      </c>
      <c r="D1405" s="9" t="s">
        <v>8140</v>
      </c>
      <c r="E1405" s="8" t="s">
        <v>39</v>
      </c>
      <c r="F1405" s="9" t="s">
        <v>8108</v>
      </c>
      <c r="G1405" s="9" t="s">
        <v>8119</v>
      </c>
      <c r="H1405" s="8" t="s">
        <v>225</v>
      </c>
      <c r="I1405" s="8" t="s">
        <v>98</v>
      </c>
      <c r="J1405" s="9" t="s">
        <v>23</v>
      </c>
      <c r="K1405" s="9" t="s">
        <v>8109</v>
      </c>
      <c r="L1405" s="9" t="s">
        <v>8110</v>
      </c>
      <c r="M1405" s="9" t="s">
        <v>261</v>
      </c>
      <c r="N1405" s="11" t="s">
        <v>8111</v>
      </c>
      <c r="O1405" s="12" t="s">
        <v>208</v>
      </c>
      <c r="P1405" s="51" t="s">
        <v>8112</v>
      </c>
      <c r="Q1405" s="9" t="s">
        <v>728</v>
      </c>
      <c r="R1405" s="9" t="s">
        <v>5633</v>
      </c>
      <c r="S1405" s="9" t="s">
        <v>5633</v>
      </c>
      <c r="T1405" s="9" t="s">
        <v>8122</v>
      </c>
      <c r="U1405" s="13">
        <v>1190</v>
      </c>
      <c r="V1405" s="38">
        <v>1186</v>
      </c>
      <c r="W1405" s="9" t="s">
        <v>276</v>
      </c>
      <c r="X1405" s="9" t="s">
        <v>276</v>
      </c>
      <c r="Y1405" s="8">
        <v>0</v>
      </c>
      <c r="Z1405" s="8" t="s">
        <v>98</v>
      </c>
      <c r="AA1405" s="8">
        <v>0</v>
      </c>
      <c r="AB1405" s="8" t="s">
        <v>98</v>
      </c>
      <c r="AC1405" s="9" t="s">
        <v>8130</v>
      </c>
      <c r="AD1405" s="9" t="s">
        <v>8114</v>
      </c>
      <c r="AE1405" s="8">
        <v>31</v>
      </c>
      <c r="AF1405" s="8">
        <v>20</v>
      </c>
      <c r="AG1405" s="71">
        <v>5556.7</v>
      </c>
      <c r="AH1405" s="71">
        <v>5516.8</v>
      </c>
      <c r="AI1405" s="38" t="s">
        <v>1019</v>
      </c>
      <c r="AJ1405" s="43">
        <v>557.9</v>
      </c>
      <c r="AK1405" s="31">
        <f>AE1405*100000/AG1405</f>
        <v>557.88507567441104</v>
      </c>
      <c r="AL1405" s="14" t="s">
        <v>276</v>
      </c>
      <c r="AM1405" s="14" t="s">
        <v>276</v>
      </c>
      <c r="AN1405" s="43">
        <v>362.5</v>
      </c>
      <c r="AO1405" s="31">
        <f>AF1405*100000/AH1405</f>
        <v>362.52900232018561</v>
      </c>
      <c r="AP1405" s="14" t="s">
        <v>276</v>
      </c>
      <c r="AQ1405" s="14" t="s">
        <v>276</v>
      </c>
      <c r="AR1405" s="8" t="s">
        <v>269</v>
      </c>
      <c r="AS1405" s="14" t="s">
        <v>276</v>
      </c>
      <c r="AT1405" s="14">
        <f>AK1405/AO1405</f>
        <v>1.5388701927402955</v>
      </c>
      <c r="AU1405" s="14" t="s">
        <v>276</v>
      </c>
      <c r="AV1405" s="14" t="s">
        <v>276</v>
      </c>
      <c r="AW1405" s="8" t="s">
        <v>276</v>
      </c>
      <c r="AX1405" s="8" t="s">
        <v>282</v>
      </c>
      <c r="AY1405" s="8" t="s">
        <v>276</v>
      </c>
      <c r="AZ1405" s="8" t="s">
        <v>276</v>
      </c>
      <c r="BA1405" s="8" t="s">
        <v>276</v>
      </c>
      <c r="BB1405" s="8" t="s">
        <v>276</v>
      </c>
      <c r="BC1405" s="9" t="s">
        <v>8131</v>
      </c>
      <c r="BD1405" s="9" t="s">
        <v>8132</v>
      </c>
      <c r="BE1405" s="33" t="s">
        <v>100</v>
      </c>
      <c r="BF1405" s="33" t="s">
        <v>98</v>
      </c>
    </row>
    <row r="1406" spans="1:58" s="7" customFormat="1" ht="65" x14ac:dyDescent="0.3">
      <c r="A1406" s="8">
        <v>727</v>
      </c>
      <c r="B1406" s="8" t="s">
        <v>8106</v>
      </c>
      <c r="C1406" s="8" t="s">
        <v>77</v>
      </c>
      <c r="D1406" s="9" t="s">
        <v>8141</v>
      </c>
      <c r="E1406" s="8" t="s">
        <v>39</v>
      </c>
      <c r="F1406" s="9" t="s">
        <v>8108</v>
      </c>
      <c r="G1406" s="9" t="s">
        <v>8119</v>
      </c>
      <c r="H1406" s="8" t="s">
        <v>225</v>
      </c>
      <c r="I1406" s="8" t="s">
        <v>98</v>
      </c>
      <c r="J1406" s="9" t="s">
        <v>23</v>
      </c>
      <c r="K1406" s="9" t="s">
        <v>8109</v>
      </c>
      <c r="L1406" s="9" t="s">
        <v>8110</v>
      </c>
      <c r="M1406" s="9" t="s">
        <v>261</v>
      </c>
      <c r="N1406" s="11" t="s">
        <v>8111</v>
      </c>
      <c r="O1406" s="12" t="s">
        <v>208</v>
      </c>
      <c r="P1406" s="51" t="s">
        <v>8112</v>
      </c>
      <c r="Q1406" s="9" t="s">
        <v>728</v>
      </c>
      <c r="R1406" s="9" t="s">
        <v>5633</v>
      </c>
      <c r="S1406" s="9" t="s">
        <v>5633</v>
      </c>
      <c r="T1406" s="9" t="s">
        <v>8122</v>
      </c>
      <c r="U1406" s="13">
        <v>1190</v>
      </c>
      <c r="V1406" s="38">
        <v>1186</v>
      </c>
      <c r="W1406" s="9" t="s">
        <v>276</v>
      </c>
      <c r="X1406" s="9" t="s">
        <v>276</v>
      </c>
      <c r="Y1406" s="8">
        <v>0</v>
      </c>
      <c r="Z1406" s="8" t="s">
        <v>98</v>
      </c>
      <c r="AA1406" s="8">
        <v>0</v>
      </c>
      <c r="AB1406" s="8" t="s">
        <v>98</v>
      </c>
      <c r="AC1406" s="9" t="s">
        <v>8130</v>
      </c>
      <c r="AD1406" s="9" t="s">
        <v>866</v>
      </c>
      <c r="AE1406" s="8">
        <v>31</v>
      </c>
      <c r="AF1406" s="8">
        <v>20</v>
      </c>
      <c r="AG1406" s="13">
        <v>1190</v>
      </c>
      <c r="AH1406" s="13">
        <v>1186</v>
      </c>
      <c r="AI1406" s="38" t="s">
        <v>292</v>
      </c>
      <c r="AJ1406" s="43" t="s">
        <v>276</v>
      </c>
      <c r="AK1406" s="31">
        <f>AE1406*100/AG1406</f>
        <v>2.6050420168067228</v>
      </c>
      <c r="AL1406" s="14" t="s">
        <v>276</v>
      </c>
      <c r="AM1406" s="14" t="s">
        <v>276</v>
      </c>
      <c r="AN1406" s="43" t="s">
        <v>276</v>
      </c>
      <c r="AO1406" s="31">
        <f>AF1406*100/AH1406</f>
        <v>1.6863406408094435</v>
      </c>
      <c r="AP1406" s="14" t="s">
        <v>276</v>
      </c>
      <c r="AQ1406" s="14" t="s">
        <v>276</v>
      </c>
      <c r="AR1406" s="8" t="s">
        <v>268</v>
      </c>
      <c r="AS1406" s="14" t="s">
        <v>276</v>
      </c>
      <c r="AT1406" s="14">
        <f>AK1406/AO1406</f>
        <v>1.5447899159663867</v>
      </c>
      <c r="AU1406" s="14" t="s">
        <v>276</v>
      </c>
      <c r="AV1406" s="14" t="s">
        <v>276</v>
      </c>
      <c r="AW1406" s="8" t="s">
        <v>276</v>
      </c>
      <c r="AX1406" s="8" t="s">
        <v>282</v>
      </c>
      <c r="AY1406" s="8" t="s">
        <v>276</v>
      </c>
      <c r="AZ1406" s="8" t="s">
        <v>276</v>
      </c>
      <c r="BA1406" s="8" t="s">
        <v>276</v>
      </c>
      <c r="BB1406" s="8" t="s">
        <v>276</v>
      </c>
      <c r="BC1406" s="9" t="s">
        <v>8131</v>
      </c>
      <c r="BD1406" s="9"/>
      <c r="BE1406" s="33" t="s">
        <v>100</v>
      </c>
      <c r="BF1406" s="33" t="s">
        <v>98</v>
      </c>
    </row>
    <row r="1407" spans="1:58" s="149" customFormat="1" ht="52" x14ac:dyDescent="0.3">
      <c r="A1407" s="126">
        <v>735</v>
      </c>
      <c r="B1407" s="126" t="s">
        <v>8142</v>
      </c>
      <c r="C1407" s="126" t="s">
        <v>77</v>
      </c>
      <c r="D1407" s="127" t="s">
        <v>8143</v>
      </c>
      <c r="E1407" s="126" t="s">
        <v>39</v>
      </c>
      <c r="F1407" s="127" t="s">
        <v>143</v>
      </c>
      <c r="G1407" s="127" t="s">
        <v>225</v>
      </c>
      <c r="H1407" s="126" t="s">
        <v>125</v>
      </c>
      <c r="I1407" s="126" t="s">
        <v>114</v>
      </c>
      <c r="J1407" s="127" t="s">
        <v>24</v>
      </c>
      <c r="K1407" s="127" t="s">
        <v>8144</v>
      </c>
      <c r="L1407" s="127" t="s">
        <v>8145</v>
      </c>
      <c r="M1407" s="127" t="s">
        <v>261</v>
      </c>
      <c r="N1407" s="145" t="s">
        <v>8111</v>
      </c>
      <c r="O1407" s="131" t="s">
        <v>207</v>
      </c>
      <c r="P1407" s="167" t="s">
        <v>8146</v>
      </c>
      <c r="Q1407" s="127" t="s">
        <v>746</v>
      </c>
      <c r="R1407" s="127" t="s">
        <v>8147</v>
      </c>
      <c r="S1407" s="127" t="s">
        <v>8148</v>
      </c>
      <c r="T1407" s="127" t="s">
        <v>276</v>
      </c>
      <c r="U1407" s="132">
        <v>2376</v>
      </c>
      <c r="V1407" s="134">
        <v>1723</v>
      </c>
      <c r="W1407" s="126" t="s">
        <v>276</v>
      </c>
      <c r="X1407" s="126" t="s">
        <v>276</v>
      </c>
      <c r="Y1407" s="126" t="s">
        <v>276</v>
      </c>
      <c r="Z1407" s="126" t="s">
        <v>276</v>
      </c>
      <c r="AA1407" s="126" t="s">
        <v>276</v>
      </c>
      <c r="AB1407" s="126" t="s">
        <v>276</v>
      </c>
      <c r="AC1407" s="127" t="s">
        <v>8149</v>
      </c>
      <c r="AD1407" s="127" t="s">
        <v>8150</v>
      </c>
      <c r="AE1407" s="126">
        <v>32</v>
      </c>
      <c r="AF1407" s="126">
        <v>24</v>
      </c>
      <c r="AG1407" s="132">
        <v>19605</v>
      </c>
      <c r="AH1407" s="132">
        <v>12053</v>
      </c>
      <c r="AI1407" s="134" t="s">
        <v>1019</v>
      </c>
      <c r="AJ1407" s="477">
        <v>163</v>
      </c>
      <c r="AK1407" s="148">
        <f>AE1407*100000/AG1407</f>
        <v>163.22366743177761</v>
      </c>
      <c r="AL1407" s="135" t="s">
        <v>276</v>
      </c>
      <c r="AM1407" s="135" t="s">
        <v>276</v>
      </c>
      <c r="AN1407" s="477">
        <v>199</v>
      </c>
      <c r="AO1407" s="148">
        <f>AF1407*100000/AH1407</f>
        <v>199.12055090019084</v>
      </c>
      <c r="AP1407" s="135" t="s">
        <v>276</v>
      </c>
      <c r="AQ1407" s="135" t="s">
        <v>276</v>
      </c>
      <c r="AR1407" s="126" t="s">
        <v>269</v>
      </c>
      <c r="AS1407" s="135" t="s">
        <v>276</v>
      </c>
      <c r="AT1407" s="135" t="s">
        <v>276</v>
      </c>
      <c r="AU1407" s="135">
        <f>AK1407/AO1407</f>
        <v>0.81972285981467308</v>
      </c>
      <c r="AV1407" s="135" t="s">
        <v>276</v>
      </c>
      <c r="AW1407" s="126" t="s">
        <v>276</v>
      </c>
      <c r="AX1407" s="126" t="s">
        <v>282</v>
      </c>
      <c r="AY1407" s="126" t="s">
        <v>276</v>
      </c>
      <c r="AZ1407" s="126" t="s">
        <v>276</v>
      </c>
      <c r="BA1407" s="126" t="s">
        <v>276</v>
      </c>
      <c r="BB1407" s="126" t="s">
        <v>276</v>
      </c>
      <c r="BC1407" s="127" t="s">
        <v>4275</v>
      </c>
      <c r="BD1407" s="127"/>
      <c r="BE1407" s="33" t="s">
        <v>100</v>
      </c>
      <c r="BF1407" s="33" t="s">
        <v>98</v>
      </c>
    </row>
    <row r="1408" spans="1:58" s="149" customFormat="1" ht="65" x14ac:dyDescent="0.3">
      <c r="A1408" s="126">
        <v>735</v>
      </c>
      <c r="B1408" s="126" t="s">
        <v>8142</v>
      </c>
      <c r="C1408" s="126" t="s">
        <v>77</v>
      </c>
      <c r="D1408" s="127" t="s">
        <v>8151</v>
      </c>
      <c r="E1408" s="126" t="s">
        <v>39</v>
      </c>
      <c r="F1408" s="127" t="s">
        <v>143</v>
      </c>
      <c r="G1408" s="127" t="s">
        <v>225</v>
      </c>
      <c r="H1408" s="126" t="s">
        <v>125</v>
      </c>
      <c r="I1408" s="126" t="s">
        <v>114</v>
      </c>
      <c r="J1408" s="127" t="s">
        <v>24</v>
      </c>
      <c r="K1408" s="127" t="s">
        <v>8144</v>
      </c>
      <c r="L1408" s="127" t="s">
        <v>8145</v>
      </c>
      <c r="M1408" s="127" t="s">
        <v>261</v>
      </c>
      <c r="N1408" s="145" t="s">
        <v>8111</v>
      </c>
      <c r="O1408" s="131" t="s">
        <v>207</v>
      </c>
      <c r="P1408" s="167" t="s">
        <v>8146</v>
      </c>
      <c r="Q1408" s="127" t="s">
        <v>746</v>
      </c>
      <c r="R1408" s="127" t="s">
        <v>8147</v>
      </c>
      <c r="S1408" s="127" t="s">
        <v>8148</v>
      </c>
      <c r="T1408" s="127" t="s">
        <v>276</v>
      </c>
      <c r="U1408" s="132">
        <v>2376</v>
      </c>
      <c r="V1408" s="134">
        <v>1723</v>
      </c>
      <c r="W1408" s="126" t="s">
        <v>276</v>
      </c>
      <c r="X1408" s="126" t="s">
        <v>276</v>
      </c>
      <c r="Y1408" s="126" t="s">
        <v>276</v>
      </c>
      <c r="Z1408" s="126" t="s">
        <v>276</v>
      </c>
      <c r="AA1408" s="126" t="s">
        <v>276</v>
      </c>
      <c r="AB1408" s="126" t="s">
        <v>276</v>
      </c>
      <c r="AC1408" s="127" t="s">
        <v>8149</v>
      </c>
      <c r="AD1408" s="127" t="s">
        <v>866</v>
      </c>
      <c r="AE1408" s="126">
        <v>32</v>
      </c>
      <c r="AF1408" s="126">
        <v>24</v>
      </c>
      <c r="AG1408" s="132">
        <v>2376</v>
      </c>
      <c r="AH1408" s="132">
        <v>1723</v>
      </c>
      <c r="AI1408" s="134" t="s">
        <v>292</v>
      </c>
      <c r="AJ1408" s="477" t="s">
        <v>276</v>
      </c>
      <c r="AK1408" s="148">
        <f>AE1408*100/AG1408</f>
        <v>1.3468013468013469</v>
      </c>
      <c r="AL1408" s="135" t="s">
        <v>276</v>
      </c>
      <c r="AM1408" s="135" t="s">
        <v>276</v>
      </c>
      <c r="AN1408" s="477" t="s">
        <v>276</v>
      </c>
      <c r="AO1408" s="148">
        <f>AF1408*100/AH1408</f>
        <v>1.3929193267556588</v>
      </c>
      <c r="AP1408" s="135" t="s">
        <v>276</v>
      </c>
      <c r="AQ1408" s="135" t="s">
        <v>276</v>
      </c>
      <c r="AR1408" s="126" t="s">
        <v>268</v>
      </c>
      <c r="AS1408" s="135" t="s">
        <v>276</v>
      </c>
      <c r="AT1408" s="135" t="s">
        <v>276</v>
      </c>
      <c r="AU1408" s="135">
        <f>AK1408/AO1408</f>
        <v>0.96689113355780021</v>
      </c>
      <c r="AV1408" s="135" t="s">
        <v>276</v>
      </c>
      <c r="AW1408" s="126" t="s">
        <v>276</v>
      </c>
      <c r="AX1408" s="126" t="s">
        <v>282</v>
      </c>
      <c r="AY1408" s="126" t="s">
        <v>276</v>
      </c>
      <c r="AZ1408" s="126" t="s">
        <v>276</v>
      </c>
      <c r="BA1408" s="126" t="s">
        <v>276</v>
      </c>
      <c r="BB1408" s="126" t="s">
        <v>276</v>
      </c>
      <c r="BC1408" s="127" t="s">
        <v>4275</v>
      </c>
      <c r="BD1408" s="127"/>
      <c r="BE1408" s="33" t="s">
        <v>100</v>
      </c>
      <c r="BF1408" s="33" t="s">
        <v>98</v>
      </c>
    </row>
    <row r="1409" spans="1:58" s="160" customFormat="1" ht="52" x14ac:dyDescent="0.3">
      <c r="A1409" s="150">
        <v>735</v>
      </c>
      <c r="B1409" s="150" t="s">
        <v>8142</v>
      </c>
      <c r="C1409" s="150" t="s">
        <v>77</v>
      </c>
      <c r="D1409" s="151" t="s">
        <v>8152</v>
      </c>
      <c r="E1409" s="150" t="s">
        <v>39</v>
      </c>
      <c r="F1409" s="151" t="s">
        <v>143</v>
      </c>
      <c r="G1409" s="151" t="s">
        <v>225</v>
      </c>
      <c r="H1409" s="150" t="s">
        <v>125</v>
      </c>
      <c r="I1409" s="150" t="s">
        <v>114</v>
      </c>
      <c r="J1409" s="151" t="s">
        <v>23</v>
      </c>
      <c r="K1409" s="151" t="s">
        <v>8144</v>
      </c>
      <c r="L1409" s="151" t="s">
        <v>8145</v>
      </c>
      <c r="M1409" s="151" t="s">
        <v>261</v>
      </c>
      <c r="N1409" s="152" t="s">
        <v>8111</v>
      </c>
      <c r="O1409" s="153" t="s">
        <v>207</v>
      </c>
      <c r="P1409" s="168" t="s">
        <v>8146</v>
      </c>
      <c r="Q1409" s="151" t="s">
        <v>746</v>
      </c>
      <c r="R1409" s="151" t="s">
        <v>8147</v>
      </c>
      <c r="S1409" s="151" t="s">
        <v>8148</v>
      </c>
      <c r="T1409" s="151" t="s">
        <v>276</v>
      </c>
      <c r="U1409" s="155">
        <v>2376</v>
      </c>
      <c r="V1409" s="156">
        <v>1723</v>
      </c>
      <c r="W1409" s="150" t="s">
        <v>276</v>
      </c>
      <c r="X1409" s="150" t="s">
        <v>276</v>
      </c>
      <c r="Y1409" s="150" t="s">
        <v>276</v>
      </c>
      <c r="Z1409" s="150" t="s">
        <v>276</v>
      </c>
      <c r="AA1409" s="150" t="s">
        <v>276</v>
      </c>
      <c r="AB1409" s="150" t="s">
        <v>276</v>
      </c>
      <c r="AC1409" s="151" t="s">
        <v>8149</v>
      </c>
      <c r="AD1409" s="151" t="s">
        <v>8150</v>
      </c>
      <c r="AE1409" s="150">
        <v>102</v>
      </c>
      <c r="AF1409" s="150">
        <v>62</v>
      </c>
      <c r="AG1409" s="155">
        <v>19605</v>
      </c>
      <c r="AH1409" s="155">
        <v>12053</v>
      </c>
      <c r="AI1409" s="156" t="s">
        <v>1019</v>
      </c>
      <c r="AJ1409" s="478">
        <v>520</v>
      </c>
      <c r="AK1409" s="158">
        <f>AE1409*100000/AG1409</f>
        <v>520.27543993879112</v>
      </c>
      <c r="AL1409" s="159" t="s">
        <v>276</v>
      </c>
      <c r="AM1409" s="159" t="s">
        <v>276</v>
      </c>
      <c r="AN1409" s="478">
        <v>514</v>
      </c>
      <c r="AO1409" s="158">
        <f>AF1409*100000/AH1409</f>
        <v>514.39475649215967</v>
      </c>
      <c r="AP1409" s="159" t="s">
        <v>276</v>
      </c>
      <c r="AQ1409" s="159" t="s">
        <v>276</v>
      </c>
      <c r="AR1409" s="150" t="s">
        <v>269</v>
      </c>
      <c r="AS1409" s="159" t="s">
        <v>276</v>
      </c>
      <c r="AT1409" s="159" t="s">
        <v>276</v>
      </c>
      <c r="AU1409" s="159">
        <f>AK1409/AO1409</f>
        <v>1.0114322383197176</v>
      </c>
      <c r="AV1409" s="159" t="s">
        <v>276</v>
      </c>
      <c r="AW1409" s="150" t="s">
        <v>276</v>
      </c>
      <c r="AX1409" s="150" t="s">
        <v>282</v>
      </c>
      <c r="AY1409" s="150" t="s">
        <v>276</v>
      </c>
      <c r="AZ1409" s="150" t="s">
        <v>276</v>
      </c>
      <c r="BA1409" s="150" t="s">
        <v>276</v>
      </c>
      <c r="BB1409" s="150" t="s">
        <v>276</v>
      </c>
      <c r="BC1409" s="151" t="s">
        <v>4275</v>
      </c>
      <c r="BD1409" s="151"/>
      <c r="BE1409" s="33" t="s">
        <v>100</v>
      </c>
      <c r="BF1409" s="33" t="s">
        <v>98</v>
      </c>
    </row>
    <row r="1410" spans="1:58" s="160" customFormat="1" ht="65" x14ac:dyDescent="0.3">
      <c r="A1410" s="150">
        <v>735</v>
      </c>
      <c r="B1410" s="150" t="s">
        <v>8142</v>
      </c>
      <c r="C1410" s="150" t="s">
        <v>77</v>
      </c>
      <c r="D1410" s="151" t="s">
        <v>8153</v>
      </c>
      <c r="E1410" s="150" t="s">
        <v>39</v>
      </c>
      <c r="F1410" s="151" t="s">
        <v>143</v>
      </c>
      <c r="G1410" s="151" t="s">
        <v>225</v>
      </c>
      <c r="H1410" s="150" t="s">
        <v>125</v>
      </c>
      <c r="I1410" s="150" t="s">
        <v>114</v>
      </c>
      <c r="J1410" s="151" t="s">
        <v>23</v>
      </c>
      <c r="K1410" s="151" t="s">
        <v>8144</v>
      </c>
      <c r="L1410" s="151" t="s">
        <v>8145</v>
      </c>
      <c r="M1410" s="151" t="s">
        <v>261</v>
      </c>
      <c r="N1410" s="152" t="s">
        <v>8111</v>
      </c>
      <c r="O1410" s="153" t="s">
        <v>207</v>
      </c>
      <c r="P1410" s="168" t="s">
        <v>8146</v>
      </c>
      <c r="Q1410" s="151" t="s">
        <v>746</v>
      </c>
      <c r="R1410" s="151" t="s">
        <v>8147</v>
      </c>
      <c r="S1410" s="151" t="s">
        <v>8148</v>
      </c>
      <c r="T1410" s="151" t="s">
        <v>276</v>
      </c>
      <c r="U1410" s="155">
        <v>2376</v>
      </c>
      <c r="V1410" s="156">
        <v>1723</v>
      </c>
      <c r="W1410" s="150" t="s">
        <v>276</v>
      </c>
      <c r="X1410" s="150" t="s">
        <v>276</v>
      </c>
      <c r="Y1410" s="150" t="s">
        <v>276</v>
      </c>
      <c r="Z1410" s="150" t="s">
        <v>276</v>
      </c>
      <c r="AA1410" s="150" t="s">
        <v>276</v>
      </c>
      <c r="AB1410" s="150" t="s">
        <v>276</v>
      </c>
      <c r="AC1410" s="151" t="s">
        <v>8149</v>
      </c>
      <c r="AD1410" s="151" t="s">
        <v>866</v>
      </c>
      <c r="AE1410" s="150">
        <v>102</v>
      </c>
      <c r="AF1410" s="150">
        <v>62</v>
      </c>
      <c r="AG1410" s="155">
        <v>2376</v>
      </c>
      <c r="AH1410" s="155">
        <v>1723</v>
      </c>
      <c r="AI1410" s="156" t="s">
        <v>292</v>
      </c>
      <c r="AJ1410" s="478" t="s">
        <v>276</v>
      </c>
      <c r="AK1410" s="158">
        <f>AE1410*100/AG1410</f>
        <v>4.2929292929292933</v>
      </c>
      <c r="AL1410" s="159" t="s">
        <v>276</v>
      </c>
      <c r="AM1410" s="159" t="s">
        <v>276</v>
      </c>
      <c r="AN1410" s="478" t="s">
        <v>276</v>
      </c>
      <c r="AO1410" s="158">
        <f>AF1410*100/AH1410</f>
        <v>3.5983749274521184</v>
      </c>
      <c r="AP1410" s="159" t="s">
        <v>276</v>
      </c>
      <c r="AQ1410" s="159" t="s">
        <v>276</v>
      </c>
      <c r="AR1410" s="150" t="s">
        <v>268</v>
      </c>
      <c r="AS1410" s="159" t="s">
        <v>276</v>
      </c>
      <c r="AT1410" s="159" t="s">
        <v>276</v>
      </c>
      <c r="AU1410" s="159">
        <f>AK1410/AO1410</f>
        <v>1.19301889866406</v>
      </c>
      <c r="AV1410" s="159" t="s">
        <v>276</v>
      </c>
      <c r="AW1410" s="150" t="s">
        <v>276</v>
      </c>
      <c r="AX1410" s="150" t="s">
        <v>282</v>
      </c>
      <c r="AY1410" s="150" t="s">
        <v>276</v>
      </c>
      <c r="AZ1410" s="150" t="s">
        <v>276</v>
      </c>
      <c r="BA1410" s="150" t="s">
        <v>276</v>
      </c>
      <c r="BB1410" s="150" t="s">
        <v>276</v>
      </c>
      <c r="BC1410" s="151" t="s">
        <v>4275</v>
      </c>
      <c r="BD1410" s="151"/>
      <c r="BE1410" s="33" t="s">
        <v>100</v>
      </c>
      <c r="BF1410" s="33" t="s">
        <v>98</v>
      </c>
    </row>
    <row r="1411" spans="1:58" s="103" customFormat="1" ht="78" x14ac:dyDescent="0.3">
      <c r="A1411" s="94">
        <v>725</v>
      </c>
      <c r="B1411" s="94" t="s">
        <v>8154</v>
      </c>
      <c r="C1411" s="94" t="s">
        <v>77</v>
      </c>
      <c r="D1411" s="95" t="s">
        <v>8155</v>
      </c>
      <c r="E1411" s="94" t="s">
        <v>39</v>
      </c>
      <c r="F1411" s="95" t="s">
        <v>143</v>
      </c>
      <c r="G1411" s="95" t="s">
        <v>225</v>
      </c>
      <c r="H1411" s="94" t="s">
        <v>125</v>
      </c>
      <c r="I1411" s="94" t="s">
        <v>114</v>
      </c>
      <c r="J1411" s="95" t="s">
        <v>24</v>
      </c>
      <c r="K1411" s="95" t="s">
        <v>8156</v>
      </c>
      <c r="L1411" s="95" t="s">
        <v>8157</v>
      </c>
      <c r="M1411" s="95" t="s">
        <v>261</v>
      </c>
      <c r="N1411" s="144" t="s">
        <v>8111</v>
      </c>
      <c r="O1411" s="96" t="s">
        <v>207</v>
      </c>
      <c r="P1411" s="287" t="s">
        <v>8158</v>
      </c>
      <c r="Q1411" s="95" t="s">
        <v>766</v>
      </c>
      <c r="R1411" s="95" t="s">
        <v>11088</v>
      </c>
      <c r="S1411" s="95" t="s">
        <v>8159</v>
      </c>
      <c r="T1411" s="95" t="s">
        <v>276</v>
      </c>
      <c r="U1411" s="98">
        <v>2376</v>
      </c>
      <c r="V1411" s="99">
        <v>1723</v>
      </c>
      <c r="W1411" s="94" t="s">
        <v>276</v>
      </c>
      <c r="X1411" s="94" t="s">
        <v>276</v>
      </c>
      <c r="Y1411" s="94">
        <v>3</v>
      </c>
      <c r="Z1411" s="94" t="s">
        <v>4059</v>
      </c>
      <c r="AA1411" s="94">
        <v>7</v>
      </c>
      <c r="AB1411" s="94" t="s">
        <v>4059</v>
      </c>
      <c r="AC1411" s="95" t="s">
        <v>8160</v>
      </c>
      <c r="AD1411" s="95" t="s">
        <v>8161</v>
      </c>
      <c r="AE1411" s="94">
        <v>40</v>
      </c>
      <c r="AF1411" s="94">
        <v>40</v>
      </c>
      <c r="AG1411" s="98">
        <v>23083</v>
      </c>
      <c r="AH1411" s="98">
        <v>16210</v>
      </c>
      <c r="AI1411" s="99" t="s">
        <v>1019</v>
      </c>
      <c r="AJ1411" s="100">
        <v>173.3</v>
      </c>
      <c r="AK1411" s="101">
        <f>AE1411*100000/AG1411</f>
        <v>173.28770090542824</v>
      </c>
      <c r="AL1411" s="102" t="s">
        <v>276</v>
      </c>
      <c r="AM1411" s="102" t="s">
        <v>276</v>
      </c>
      <c r="AN1411" s="100">
        <v>246.8</v>
      </c>
      <c r="AO1411" s="101">
        <f>AF1411*100000/AH1411</f>
        <v>246.76125848241827</v>
      </c>
      <c r="AP1411" s="102" t="s">
        <v>276</v>
      </c>
      <c r="AQ1411" s="102" t="s">
        <v>276</v>
      </c>
      <c r="AR1411" s="94" t="s">
        <v>270</v>
      </c>
      <c r="AS1411" s="102">
        <v>0.68</v>
      </c>
      <c r="AT1411" s="102" t="s">
        <v>276</v>
      </c>
      <c r="AU1411" s="102">
        <v>0.44</v>
      </c>
      <c r="AV1411" s="102">
        <v>1.06</v>
      </c>
      <c r="AW1411" s="94">
        <v>0.09</v>
      </c>
      <c r="AX1411" s="94" t="s">
        <v>8162</v>
      </c>
      <c r="AY1411" s="94">
        <v>0.61</v>
      </c>
      <c r="AZ1411" s="94">
        <v>0.39</v>
      </c>
      <c r="BA1411" s="94">
        <v>0.95</v>
      </c>
      <c r="BB1411" s="94">
        <v>0.02</v>
      </c>
      <c r="BC1411" s="95" t="s">
        <v>8163</v>
      </c>
      <c r="BD1411" s="95" t="s">
        <v>8164</v>
      </c>
      <c r="BE1411" s="33" t="s">
        <v>99</v>
      </c>
      <c r="BF1411" s="33" t="s">
        <v>11162</v>
      </c>
    </row>
    <row r="1412" spans="1:58" s="103" customFormat="1" ht="52" x14ac:dyDescent="0.3">
      <c r="A1412" s="94">
        <v>725</v>
      </c>
      <c r="B1412" s="94" t="s">
        <v>8154</v>
      </c>
      <c r="C1412" s="94" t="s">
        <v>77</v>
      </c>
      <c r="D1412" s="95" t="s">
        <v>8165</v>
      </c>
      <c r="E1412" s="94" t="s">
        <v>39</v>
      </c>
      <c r="F1412" s="95" t="s">
        <v>143</v>
      </c>
      <c r="G1412" s="95" t="s">
        <v>225</v>
      </c>
      <c r="H1412" s="94" t="s">
        <v>125</v>
      </c>
      <c r="I1412" s="94" t="s">
        <v>114</v>
      </c>
      <c r="J1412" s="95" t="s">
        <v>24</v>
      </c>
      <c r="K1412" s="95" t="s">
        <v>8156</v>
      </c>
      <c r="L1412" s="95" t="s">
        <v>8157</v>
      </c>
      <c r="M1412" s="95" t="s">
        <v>261</v>
      </c>
      <c r="N1412" s="144" t="s">
        <v>8111</v>
      </c>
      <c r="O1412" s="96" t="s">
        <v>207</v>
      </c>
      <c r="P1412" s="287" t="s">
        <v>8158</v>
      </c>
      <c r="Q1412" s="95" t="s">
        <v>766</v>
      </c>
      <c r="R1412" s="95" t="s">
        <v>11088</v>
      </c>
      <c r="S1412" s="95" t="s">
        <v>8159</v>
      </c>
      <c r="T1412" s="95" t="s">
        <v>276</v>
      </c>
      <c r="U1412" s="98">
        <v>2376</v>
      </c>
      <c r="V1412" s="99">
        <v>1723</v>
      </c>
      <c r="W1412" s="94" t="s">
        <v>276</v>
      </c>
      <c r="X1412" s="94" t="s">
        <v>276</v>
      </c>
      <c r="Y1412" s="94">
        <v>3</v>
      </c>
      <c r="Z1412" s="94" t="s">
        <v>4059</v>
      </c>
      <c r="AA1412" s="94">
        <v>7</v>
      </c>
      <c r="AB1412" s="94" t="s">
        <v>4059</v>
      </c>
      <c r="AC1412" s="95" t="s">
        <v>8160</v>
      </c>
      <c r="AD1412" s="95" t="s">
        <v>8161</v>
      </c>
      <c r="AE1412" s="94">
        <v>40</v>
      </c>
      <c r="AF1412" s="94">
        <v>40</v>
      </c>
      <c r="AG1412" s="98">
        <v>23083</v>
      </c>
      <c r="AH1412" s="98">
        <v>16210</v>
      </c>
      <c r="AI1412" s="99" t="s">
        <v>1019</v>
      </c>
      <c r="AJ1412" s="100">
        <v>173.3</v>
      </c>
      <c r="AK1412" s="101">
        <f>AE1412*100000/AG1412</f>
        <v>173.28770090542824</v>
      </c>
      <c r="AL1412" s="102" t="s">
        <v>276</v>
      </c>
      <c r="AM1412" s="102" t="s">
        <v>276</v>
      </c>
      <c r="AN1412" s="100">
        <v>246.8</v>
      </c>
      <c r="AO1412" s="101">
        <f>AF1412*100000/AH1412</f>
        <v>246.76125848241827</v>
      </c>
      <c r="AP1412" s="102" t="s">
        <v>276</v>
      </c>
      <c r="AQ1412" s="102" t="s">
        <v>276</v>
      </c>
      <c r="AR1412" s="94" t="s">
        <v>269</v>
      </c>
      <c r="AS1412" s="102" t="s">
        <v>276</v>
      </c>
      <c r="AT1412" s="102">
        <f>AK1412/AO1412</f>
        <v>0.70224840791924792</v>
      </c>
      <c r="AU1412" s="102" t="s">
        <v>276</v>
      </c>
      <c r="AV1412" s="102" t="s">
        <v>276</v>
      </c>
      <c r="AW1412" s="94" t="s">
        <v>276</v>
      </c>
      <c r="AX1412" s="94" t="s">
        <v>282</v>
      </c>
      <c r="AY1412" s="94" t="s">
        <v>276</v>
      </c>
      <c r="AZ1412" s="94" t="s">
        <v>276</v>
      </c>
      <c r="BA1412" s="94" t="s">
        <v>276</v>
      </c>
      <c r="BB1412" s="94" t="s">
        <v>276</v>
      </c>
      <c r="BC1412" s="95" t="s">
        <v>8166</v>
      </c>
      <c r="BD1412" s="95" t="s">
        <v>8164</v>
      </c>
      <c r="BE1412" s="33" t="s">
        <v>99</v>
      </c>
      <c r="BF1412" s="33" t="s">
        <v>11162</v>
      </c>
    </row>
    <row r="1413" spans="1:58" s="103" customFormat="1" ht="52" x14ac:dyDescent="0.3">
      <c r="A1413" s="94">
        <v>725</v>
      </c>
      <c r="B1413" s="94" t="s">
        <v>8154</v>
      </c>
      <c r="C1413" s="94" t="s">
        <v>77</v>
      </c>
      <c r="D1413" s="95" t="s">
        <v>8167</v>
      </c>
      <c r="E1413" s="94" t="s">
        <v>39</v>
      </c>
      <c r="F1413" s="95" t="s">
        <v>143</v>
      </c>
      <c r="G1413" s="95" t="s">
        <v>225</v>
      </c>
      <c r="H1413" s="94" t="s">
        <v>125</v>
      </c>
      <c r="I1413" s="94" t="s">
        <v>114</v>
      </c>
      <c r="J1413" s="95" t="s">
        <v>24</v>
      </c>
      <c r="K1413" s="95" t="s">
        <v>8156</v>
      </c>
      <c r="L1413" s="95" t="s">
        <v>8157</v>
      </c>
      <c r="M1413" s="95" t="s">
        <v>261</v>
      </c>
      <c r="N1413" s="144" t="s">
        <v>8111</v>
      </c>
      <c r="O1413" s="96" t="s">
        <v>207</v>
      </c>
      <c r="P1413" s="287" t="s">
        <v>8158</v>
      </c>
      <c r="Q1413" s="95" t="s">
        <v>766</v>
      </c>
      <c r="R1413" s="95" t="s">
        <v>11088</v>
      </c>
      <c r="S1413" s="95" t="s">
        <v>8159</v>
      </c>
      <c r="T1413" s="95" t="s">
        <v>276</v>
      </c>
      <c r="U1413" s="98">
        <v>2376</v>
      </c>
      <c r="V1413" s="99">
        <v>1723</v>
      </c>
      <c r="W1413" s="94" t="s">
        <v>276</v>
      </c>
      <c r="X1413" s="94" t="s">
        <v>276</v>
      </c>
      <c r="Y1413" s="94">
        <v>3</v>
      </c>
      <c r="Z1413" s="94" t="s">
        <v>4059</v>
      </c>
      <c r="AA1413" s="94">
        <v>7</v>
      </c>
      <c r="AB1413" s="94" t="s">
        <v>4059</v>
      </c>
      <c r="AC1413" s="95" t="s">
        <v>8160</v>
      </c>
      <c r="AD1413" s="95" t="s">
        <v>866</v>
      </c>
      <c r="AE1413" s="94">
        <v>40</v>
      </c>
      <c r="AF1413" s="94">
        <v>40</v>
      </c>
      <c r="AG1413" s="98">
        <v>2376</v>
      </c>
      <c r="AH1413" s="98">
        <v>1723</v>
      </c>
      <c r="AI1413" s="99" t="s">
        <v>292</v>
      </c>
      <c r="AJ1413" s="100">
        <v>1.7</v>
      </c>
      <c r="AK1413" s="101">
        <f>AE1413*100/AG1413</f>
        <v>1.6835016835016836</v>
      </c>
      <c r="AL1413" s="102" t="s">
        <v>276</v>
      </c>
      <c r="AM1413" s="102" t="s">
        <v>276</v>
      </c>
      <c r="AN1413" s="100">
        <v>2.2999999999999998</v>
      </c>
      <c r="AO1413" s="101">
        <f>AF1413*100/AH1413</f>
        <v>2.3215322112594312</v>
      </c>
      <c r="AP1413" s="102" t="s">
        <v>276</v>
      </c>
      <c r="AQ1413" s="102" t="s">
        <v>276</v>
      </c>
      <c r="AR1413" s="94" t="s">
        <v>268</v>
      </c>
      <c r="AS1413" s="102" t="s">
        <v>276</v>
      </c>
      <c r="AT1413" s="102">
        <f>AK1413/AO1413</f>
        <v>0.72516835016835024</v>
      </c>
      <c r="AU1413" s="102" t="s">
        <v>276</v>
      </c>
      <c r="AV1413" s="102" t="s">
        <v>276</v>
      </c>
      <c r="AW1413" s="94" t="s">
        <v>276</v>
      </c>
      <c r="AX1413" s="94" t="s">
        <v>282</v>
      </c>
      <c r="AY1413" s="94" t="s">
        <v>276</v>
      </c>
      <c r="AZ1413" s="94" t="s">
        <v>276</v>
      </c>
      <c r="BA1413" s="94" t="s">
        <v>276</v>
      </c>
      <c r="BB1413" s="94" t="s">
        <v>276</v>
      </c>
      <c r="BC1413" s="95" t="s">
        <v>8168</v>
      </c>
      <c r="BD1413" s="95" t="s">
        <v>8164</v>
      </c>
      <c r="BE1413" s="33" t="s">
        <v>99</v>
      </c>
      <c r="BF1413" s="33" t="s">
        <v>11162</v>
      </c>
    </row>
    <row r="1414" spans="1:58" s="208" customFormat="1" ht="78" x14ac:dyDescent="0.3">
      <c r="A1414" s="112">
        <v>725</v>
      </c>
      <c r="B1414" s="112" t="s">
        <v>8154</v>
      </c>
      <c r="C1414" s="112" t="s">
        <v>77</v>
      </c>
      <c r="D1414" s="113" t="s">
        <v>8169</v>
      </c>
      <c r="E1414" s="112" t="s">
        <v>39</v>
      </c>
      <c r="F1414" s="113" t="s">
        <v>143</v>
      </c>
      <c r="G1414" s="113" t="s">
        <v>225</v>
      </c>
      <c r="H1414" s="112" t="s">
        <v>125</v>
      </c>
      <c r="I1414" s="112" t="s">
        <v>114</v>
      </c>
      <c r="J1414" s="113" t="s">
        <v>23</v>
      </c>
      <c r="K1414" s="113" t="s">
        <v>8156</v>
      </c>
      <c r="L1414" s="113" t="s">
        <v>8170</v>
      </c>
      <c r="M1414" s="113" t="s">
        <v>261</v>
      </c>
      <c r="N1414" s="204" t="s">
        <v>8111</v>
      </c>
      <c r="O1414" s="117" t="s">
        <v>207</v>
      </c>
      <c r="P1414" s="301" t="s">
        <v>8158</v>
      </c>
      <c r="Q1414" s="113" t="s">
        <v>766</v>
      </c>
      <c r="R1414" s="113" t="s">
        <v>11088</v>
      </c>
      <c r="S1414" s="113" t="s">
        <v>8159</v>
      </c>
      <c r="T1414" s="113" t="s">
        <v>276</v>
      </c>
      <c r="U1414" s="118">
        <v>2376</v>
      </c>
      <c r="V1414" s="119">
        <v>1723</v>
      </c>
      <c r="W1414" s="112" t="s">
        <v>276</v>
      </c>
      <c r="X1414" s="112" t="s">
        <v>276</v>
      </c>
      <c r="Y1414" s="112">
        <v>0</v>
      </c>
      <c r="Z1414" s="112" t="s">
        <v>98</v>
      </c>
      <c r="AA1414" s="112">
        <v>0</v>
      </c>
      <c r="AB1414" s="112" t="s">
        <v>98</v>
      </c>
      <c r="AC1414" s="113" t="s">
        <v>8171</v>
      </c>
      <c r="AD1414" s="113" t="s">
        <v>8161</v>
      </c>
      <c r="AE1414" s="112">
        <v>137</v>
      </c>
      <c r="AF1414" s="112">
        <v>106</v>
      </c>
      <c r="AG1414" s="118">
        <v>23083</v>
      </c>
      <c r="AH1414" s="118">
        <v>16210</v>
      </c>
      <c r="AI1414" s="119" t="s">
        <v>1019</v>
      </c>
      <c r="AJ1414" s="164">
        <v>593.5</v>
      </c>
      <c r="AK1414" s="207">
        <f>AE1414*100000/AG1414</f>
        <v>593.51037560109171</v>
      </c>
      <c r="AL1414" s="121" t="s">
        <v>276</v>
      </c>
      <c r="AM1414" s="121" t="s">
        <v>276</v>
      </c>
      <c r="AN1414" s="164">
        <v>653.9</v>
      </c>
      <c r="AO1414" s="207">
        <f>AF1414*100000/AH1414</f>
        <v>653.91733497840835</v>
      </c>
      <c r="AP1414" s="121" t="s">
        <v>276</v>
      </c>
      <c r="AQ1414" s="121" t="s">
        <v>276</v>
      </c>
      <c r="AR1414" s="112" t="s">
        <v>270</v>
      </c>
      <c r="AS1414" s="121">
        <v>0.89</v>
      </c>
      <c r="AT1414" s="121" t="s">
        <v>276</v>
      </c>
      <c r="AU1414" s="121">
        <v>0.69</v>
      </c>
      <c r="AV1414" s="121">
        <v>1.1399999999999999</v>
      </c>
      <c r="AW1414" s="112">
        <v>0.35</v>
      </c>
      <c r="AX1414" s="112" t="s">
        <v>8162</v>
      </c>
      <c r="AY1414" s="121">
        <v>0.8</v>
      </c>
      <c r="AZ1414" s="112">
        <v>0.62</v>
      </c>
      <c r="BA1414" s="112">
        <v>1.03</v>
      </c>
      <c r="BB1414" s="112">
        <v>7.0000000000000007E-2</v>
      </c>
      <c r="BC1414" s="113" t="s">
        <v>8172</v>
      </c>
      <c r="BD1414" s="113" t="s">
        <v>8173</v>
      </c>
      <c r="BE1414" s="33" t="s">
        <v>100</v>
      </c>
      <c r="BF1414" s="33" t="s">
        <v>98</v>
      </c>
    </row>
    <row r="1415" spans="1:58" s="208" customFormat="1" ht="52" x14ac:dyDescent="0.3">
      <c r="A1415" s="112">
        <v>725</v>
      </c>
      <c r="B1415" s="112" t="s">
        <v>8154</v>
      </c>
      <c r="C1415" s="112" t="s">
        <v>77</v>
      </c>
      <c r="D1415" s="113" t="s">
        <v>8174</v>
      </c>
      <c r="E1415" s="112" t="s">
        <v>39</v>
      </c>
      <c r="F1415" s="113" t="s">
        <v>143</v>
      </c>
      <c r="G1415" s="113" t="s">
        <v>225</v>
      </c>
      <c r="H1415" s="112" t="s">
        <v>125</v>
      </c>
      <c r="I1415" s="112" t="s">
        <v>114</v>
      </c>
      <c r="J1415" s="113" t="s">
        <v>23</v>
      </c>
      <c r="K1415" s="113" t="s">
        <v>8156</v>
      </c>
      <c r="L1415" s="113" t="s">
        <v>8170</v>
      </c>
      <c r="M1415" s="113" t="s">
        <v>261</v>
      </c>
      <c r="N1415" s="204" t="s">
        <v>8111</v>
      </c>
      <c r="O1415" s="117" t="s">
        <v>207</v>
      </c>
      <c r="P1415" s="301" t="s">
        <v>8158</v>
      </c>
      <c r="Q1415" s="113" t="s">
        <v>766</v>
      </c>
      <c r="R1415" s="113" t="s">
        <v>11088</v>
      </c>
      <c r="S1415" s="113" t="s">
        <v>8159</v>
      </c>
      <c r="T1415" s="113" t="s">
        <v>276</v>
      </c>
      <c r="U1415" s="118">
        <v>2376</v>
      </c>
      <c r="V1415" s="119">
        <v>1723</v>
      </c>
      <c r="W1415" s="112" t="s">
        <v>276</v>
      </c>
      <c r="X1415" s="112" t="s">
        <v>276</v>
      </c>
      <c r="Y1415" s="112">
        <v>0</v>
      </c>
      <c r="Z1415" s="112" t="s">
        <v>98</v>
      </c>
      <c r="AA1415" s="112">
        <v>0</v>
      </c>
      <c r="AB1415" s="112" t="s">
        <v>98</v>
      </c>
      <c r="AC1415" s="113" t="s">
        <v>8171</v>
      </c>
      <c r="AD1415" s="113" t="s">
        <v>8161</v>
      </c>
      <c r="AE1415" s="112">
        <v>137</v>
      </c>
      <c r="AF1415" s="112">
        <v>106</v>
      </c>
      <c r="AG1415" s="118">
        <v>23083</v>
      </c>
      <c r="AH1415" s="118">
        <v>16210</v>
      </c>
      <c r="AI1415" s="119" t="s">
        <v>1019</v>
      </c>
      <c r="AJ1415" s="164">
        <v>593.5</v>
      </c>
      <c r="AK1415" s="207">
        <f>AE1415*100000/AG1415</f>
        <v>593.51037560109171</v>
      </c>
      <c r="AL1415" s="121" t="s">
        <v>276</v>
      </c>
      <c r="AM1415" s="121" t="s">
        <v>276</v>
      </c>
      <c r="AN1415" s="164">
        <v>653.9</v>
      </c>
      <c r="AO1415" s="207">
        <f>AF1415*100000/AH1415</f>
        <v>653.91733497840835</v>
      </c>
      <c r="AP1415" s="121" t="s">
        <v>276</v>
      </c>
      <c r="AQ1415" s="121" t="s">
        <v>276</v>
      </c>
      <c r="AR1415" s="112" t="s">
        <v>269</v>
      </c>
      <c r="AS1415" s="121" t="s">
        <v>276</v>
      </c>
      <c r="AT1415" s="121">
        <f>AK1415/AO1415</f>
        <v>0.90762294231072616</v>
      </c>
      <c r="AU1415" s="121" t="s">
        <v>276</v>
      </c>
      <c r="AV1415" s="121" t="s">
        <v>276</v>
      </c>
      <c r="AW1415" s="112" t="s">
        <v>276</v>
      </c>
      <c r="AX1415" s="112" t="s">
        <v>282</v>
      </c>
      <c r="AY1415" s="121" t="s">
        <v>276</v>
      </c>
      <c r="AZ1415" s="112" t="s">
        <v>276</v>
      </c>
      <c r="BA1415" s="112" t="s">
        <v>276</v>
      </c>
      <c r="BB1415" s="112" t="s">
        <v>276</v>
      </c>
      <c r="BC1415" s="113" t="s">
        <v>8175</v>
      </c>
      <c r="BD1415" s="113" t="s">
        <v>8173</v>
      </c>
      <c r="BE1415" s="33" t="s">
        <v>100</v>
      </c>
      <c r="BF1415" s="33" t="s">
        <v>98</v>
      </c>
    </row>
    <row r="1416" spans="1:58" s="208" customFormat="1" ht="52" x14ac:dyDescent="0.3">
      <c r="A1416" s="112">
        <v>725</v>
      </c>
      <c r="B1416" s="112" t="s">
        <v>8154</v>
      </c>
      <c r="C1416" s="112" t="s">
        <v>77</v>
      </c>
      <c r="D1416" s="113" t="s">
        <v>8176</v>
      </c>
      <c r="E1416" s="112" t="s">
        <v>39</v>
      </c>
      <c r="F1416" s="113" t="s">
        <v>143</v>
      </c>
      <c r="G1416" s="113" t="s">
        <v>225</v>
      </c>
      <c r="H1416" s="112" t="s">
        <v>125</v>
      </c>
      <c r="I1416" s="112" t="s">
        <v>114</v>
      </c>
      <c r="J1416" s="113" t="s">
        <v>23</v>
      </c>
      <c r="K1416" s="113" t="s">
        <v>8156</v>
      </c>
      <c r="L1416" s="113" t="s">
        <v>8170</v>
      </c>
      <c r="M1416" s="113" t="s">
        <v>261</v>
      </c>
      <c r="N1416" s="204" t="s">
        <v>8111</v>
      </c>
      <c r="O1416" s="117" t="s">
        <v>207</v>
      </c>
      <c r="P1416" s="301" t="s">
        <v>8158</v>
      </c>
      <c r="Q1416" s="113" t="s">
        <v>766</v>
      </c>
      <c r="R1416" s="113" t="s">
        <v>11088</v>
      </c>
      <c r="S1416" s="113" t="s">
        <v>8159</v>
      </c>
      <c r="T1416" s="113" t="s">
        <v>276</v>
      </c>
      <c r="U1416" s="118">
        <v>2376</v>
      </c>
      <c r="V1416" s="119">
        <v>1723</v>
      </c>
      <c r="W1416" s="112" t="s">
        <v>276</v>
      </c>
      <c r="X1416" s="112" t="s">
        <v>276</v>
      </c>
      <c r="Y1416" s="112">
        <v>0</v>
      </c>
      <c r="Z1416" s="112" t="s">
        <v>98</v>
      </c>
      <c r="AA1416" s="112">
        <v>0</v>
      </c>
      <c r="AB1416" s="112" t="s">
        <v>98</v>
      </c>
      <c r="AC1416" s="113" t="s">
        <v>8171</v>
      </c>
      <c r="AD1416" s="113" t="s">
        <v>866</v>
      </c>
      <c r="AE1416" s="112">
        <v>137</v>
      </c>
      <c r="AF1416" s="112">
        <v>106</v>
      </c>
      <c r="AG1416" s="118">
        <v>2376</v>
      </c>
      <c r="AH1416" s="118">
        <v>1723</v>
      </c>
      <c r="AI1416" s="119" t="s">
        <v>292</v>
      </c>
      <c r="AJ1416" s="164">
        <v>5.8</v>
      </c>
      <c r="AK1416" s="207">
        <f>AE1416*100/AG1416</f>
        <v>5.7659932659932656</v>
      </c>
      <c r="AL1416" s="121" t="s">
        <v>276</v>
      </c>
      <c r="AM1416" s="121" t="s">
        <v>276</v>
      </c>
      <c r="AN1416" s="164">
        <v>6.2</v>
      </c>
      <c r="AO1416" s="207">
        <f>AF1416*100/AH1416</f>
        <v>6.1520603598374928</v>
      </c>
      <c r="AP1416" s="121" t="s">
        <v>276</v>
      </c>
      <c r="AQ1416" s="121" t="s">
        <v>276</v>
      </c>
      <c r="AR1416" s="112" t="s">
        <v>268</v>
      </c>
      <c r="AS1416" s="121" t="s">
        <v>276</v>
      </c>
      <c r="AT1416" s="121">
        <f>AK1416/AO1416</f>
        <v>0.93724588653833929</v>
      </c>
      <c r="AU1416" s="121" t="s">
        <v>276</v>
      </c>
      <c r="AV1416" s="121" t="s">
        <v>276</v>
      </c>
      <c r="AW1416" s="112" t="s">
        <v>276</v>
      </c>
      <c r="AX1416" s="112" t="s">
        <v>282</v>
      </c>
      <c r="AY1416" s="121" t="s">
        <v>276</v>
      </c>
      <c r="AZ1416" s="112" t="s">
        <v>276</v>
      </c>
      <c r="BA1416" s="112" t="s">
        <v>276</v>
      </c>
      <c r="BB1416" s="112" t="s">
        <v>276</v>
      </c>
      <c r="BC1416" s="113" t="s">
        <v>8177</v>
      </c>
      <c r="BD1416" s="113" t="s">
        <v>8173</v>
      </c>
      <c r="BE1416" s="33" t="s">
        <v>100</v>
      </c>
      <c r="BF1416" s="33" t="s">
        <v>98</v>
      </c>
    </row>
    <row r="1417" spans="1:58" s="149" customFormat="1" ht="65" x14ac:dyDescent="0.3">
      <c r="A1417" s="126">
        <v>724</v>
      </c>
      <c r="B1417" s="126" t="s">
        <v>8154</v>
      </c>
      <c r="C1417" s="126" t="s">
        <v>77</v>
      </c>
      <c r="D1417" s="127" t="s">
        <v>11089</v>
      </c>
      <c r="E1417" s="126" t="s">
        <v>39</v>
      </c>
      <c r="F1417" s="127" t="s">
        <v>8108</v>
      </c>
      <c r="G1417" s="127" t="s">
        <v>8119</v>
      </c>
      <c r="H1417" s="126" t="s">
        <v>225</v>
      </c>
      <c r="I1417" s="126" t="s">
        <v>98</v>
      </c>
      <c r="J1417" s="127" t="s">
        <v>24</v>
      </c>
      <c r="K1417" s="127" t="s">
        <v>8178</v>
      </c>
      <c r="L1417" s="127" t="s">
        <v>8157</v>
      </c>
      <c r="M1417" s="127" t="s">
        <v>261</v>
      </c>
      <c r="N1417" s="145" t="s">
        <v>8111</v>
      </c>
      <c r="O1417" s="131" t="s">
        <v>208</v>
      </c>
      <c r="P1417" s="288" t="s">
        <v>8158</v>
      </c>
      <c r="Q1417" s="127" t="s">
        <v>766</v>
      </c>
      <c r="R1417" s="127" t="s">
        <v>8180</v>
      </c>
      <c r="S1417" s="127" t="s">
        <v>8179</v>
      </c>
      <c r="T1417" s="127" t="s">
        <v>276</v>
      </c>
      <c r="U1417" s="132">
        <v>1190</v>
      </c>
      <c r="V1417" s="134">
        <v>1186</v>
      </c>
      <c r="W1417" s="126" t="s">
        <v>276</v>
      </c>
      <c r="X1417" s="126" t="s">
        <v>276</v>
      </c>
      <c r="Y1417" s="126">
        <v>1</v>
      </c>
      <c r="Z1417" s="127" t="s">
        <v>1562</v>
      </c>
      <c r="AA1417" s="126">
        <v>2</v>
      </c>
      <c r="AB1417" s="127" t="s">
        <v>1562</v>
      </c>
      <c r="AC1417" s="127" t="s">
        <v>8160</v>
      </c>
      <c r="AD1417" s="127" t="s">
        <v>8161</v>
      </c>
      <c r="AE1417" s="126">
        <v>19</v>
      </c>
      <c r="AF1417" s="126">
        <v>21</v>
      </c>
      <c r="AG1417" s="132">
        <v>11521</v>
      </c>
      <c r="AH1417" s="132">
        <v>11562</v>
      </c>
      <c r="AI1417" s="134" t="s">
        <v>1019</v>
      </c>
      <c r="AJ1417" s="147">
        <v>164.9</v>
      </c>
      <c r="AK1417" s="148">
        <f>AE1417*100000/AG1417</f>
        <v>164.91623990973005</v>
      </c>
      <c r="AL1417" s="135" t="s">
        <v>276</v>
      </c>
      <c r="AM1417" s="135" t="s">
        <v>276</v>
      </c>
      <c r="AN1417" s="147">
        <v>181.6</v>
      </c>
      <c r="AO1417" s="148">
        <f>AF1417*100000/AH1417</f>
        <v>181.62947586922678</v>
      </c>
      <c r="AP1417" s="135" t="s">
        <v>276</v>
      </c>
      <c r="AQ1417" s="135" t="s">
        <v>276</v>
      </c>
      <c r="AR1417" s="126" t="s">
        <v>270</v>
      </c>
      <c r="AS1417" s="135" t="s">
        <v>276</v>
      </c>
      <c r="AT1417" s="135">
        <f>1/1.1</f>
        <v>0.90909090909090906</v>
      </c>
      <c r="AU1417" s="135">
        <f>1/2.05</f>
        <v>0.48780487804878053</v>
      </c>
      <c r="AV1417" s="135">
        <f>1/0.59</f>
        <v>1.6949152542372883</v>
      </c>
      <c r="AW1417" s="126">
        <v>0.75980000000000003</v>
      </c>
      <c r="AX1417" s="126" t="s">
        <v>282</v>
      </c>
      <c r="AY1417" s="126" t="s">
        <v>276</v>
      </c>
      <c r="AZ1417" s="126" t="s">
        <v>276</v>
      </c>
      <c r="BA1417" s="126" t="s">
        <v>276</v>
      </c>
      <c r="BB1417" s="126" t="s">
        <v>276</v>
      </c>
      <c r="BC1417" s="127" t="s">
        <v>8181</v>
      </c>
      <c r="BD1417" s="127" t="s">
        <v>11090</v>
      </c>
      <c r="BE1417" s="33" t="s">
        <v>100</v>
      </c>
      <c r="BF1417" s="33" t="s">
        <v>98</v>
      </c>
    </row>
    <row r="1418" spans="1:58" s="149" customFormat="1" ht="52" x14ac:dyDescent="0.3">
      <c r="A1418" s="126">
        <v>724</v>
      </c>
      <c r="B1418" s="126" t="s">
        <v>8154</v>
      </c>
      <c r="C1418" s="126" t="s">
        <v>77</v>
      </c>
      <c r="D1418" s="127" t="s">
        <v>11091</v>
      </c>
      <c r="E1418" s="126" t="s">
        <v>39</v>
      </c>
      <c r="F1418" s="127" t="s">
        <v>8108</v>
      </c>
      <c r="G1418" s="127" t="s">
        <v>8119</v>
      </c>
      <c r="H1418" s="126" t="s">
        <v>225</v>
      </c>
      <c r="I1418" s="126" t="s">
        <v>98</v>
      </c>
      <c r="J1418" s="127" t="s">
        <v>24</v>
      </c>
      <c r="K1418" s="127" t="s">
        <v>8178</v>
      </c>
      <c r="L1418" s="127" t="s">
        <v>8157</v>
      </c>
      <c r="M1418" s="127" t="s">
        <v>261</v>
      </c>
      <c r="N1418" s="145" t="s">
        <v>8111</v>
      </c>
      <c r="O1418" s="131" t="s">
        <v>208</v>
      </c>
      <c r="P1418" s="288" t="s">
        <v>8158</v>
      </c>
      <c r="Q1418" s="127" t="s">
        <v>766</v>
      </c>
      <c r="R1418" s="127" t="s">
        <v>8180</v>
      </c>
      <c r="S1418" s="127" t="s">
        <v>8179</v>
      </c>
      <c r="T1418" s="127" t="s">
        <v>276</v>
      </c>
      <c r="U1418" s="132">
        <v>1190</v>
      </c>
      <c r="V1418" s="134">
        <v>1186</v>
      </c>
      <c r="W1418" s="126" t="s">
        <v>276</v>
      </c>
      <c r="X1418" s="126" t="s">
        <v>276</v>
      </c>
      <c r="Y1418" s="126">
        <v>1</v>
      </c>
      <c r="Z1418" s="127" t="s">
        <v>1562</v>
      </c>
      <c r="AA1418" s="126">
        <v>2</v>
      </c>
      <c r="AB1418" s="127" t="s">
        <v>1562</v>
      </c>
      <c r="AC1418" s="127" t="s">
        <v>8160</v>
      </c>
      <c r="AD1418" s="127" t="s">
        <v>8161</v>
      </c>
      <c r="AE1418" s="126">
        <v>19</v>
      </c>
      <c r="AF1418" s="126">
        <v>21</v>
      </c>
      <c r="AG1418" s="132">
        <v>11521</v>
      </c>
      <c r="AH1418" s="132">
        <v>11562</v>
      </c>
      <c r="AI1418" s="134" t="s">
        <v>1019</v>
      </c>
      <c r="AJ1418" s="147">
        <v>164.9</v>
      </c>
      <c r="AK1418" s="148">
        <f>AE1418*100000/AG1418</f>
        <v>164.91623990973005</v>
      </c>
      <c r="AL1418" s="135" t="s">
        <v>276</v>
      </c>
      <c r="AM1418" s="135" t="s">
        <v>276</v>
      </c>
      <c r="AN1418" s="147">
        <v>164.9</v>
      </c>
      <c r="AO1418" s="148">
        <f>AF1418*100000/AH1418</f>
        <v>181.62947586922678</v>
      </c>
      <c r="AP1418" s="135" t="s">
        <v>276</v>
      </c>
      <c r="AQ1418" s="135" t="s">
        <v>276</v>
      </c>
      <c r="AR1418" s="126" t="s">
        <v>269</v>
      </c>
      <c r="AS1418" s="135" t="s">
        <v>276</v>
      </c>
      <c r="AT1418" s="135">
        <f>AK1418/AO1418</f>
        <v>0.90798169801728512</v>
      </c>
      <c r="AU1418" s="135" t="s">
        <v>276</v>
      </c>
      <c r="AV1418" s="135" t="s">
        <v>276</v>
      </c>
      <c r="AW1418" s="126" t="s">
        <v>276</v>
      </c>
      <c r="AX1418" s="126" t="s">
        <v>282</v>
      </c>
      <c r="AY1418" s="126" t="s">
        <v>276</v>
      </c>
      <c r="AZ1418" s="126" t="s">
        <v>276</v>
      </c>
      <c r="BA1418" s="126" t="s">
        <v>276</v>
      </c>
      <c r="BB1418" s="126" t="s">
        <v>276</v>
      </c>
      <c r="BC1418" s="127" t="s">
        <v>8183</v>
      </c>
      <c r="BD1418" s="127" t="s">
        <v>8182</v>
      </c>
      <c r="BE1418" s="33" t="s">
        <v>100</v>
      </c>
      <c r="BF1418" s="33" t="s">
        <v>98</v>
      </c>
    </row>
    <row r="1419" spans="1:58" s="149" customFormat="1" ht="52" x14ac:dyDescent="0.3">
      <c r="A1419" s="126">
        <v>724</v>
      </c>
      <c r="B1419" s="126" t="s">
        <v>8154</v>
      </c>
      <c r="C1419" s="126" t="s">
        <v>77</v>
      </c>
      <c r="D1419" s="127" t="s">
        <v>11092</v>
      </c>
      <c r="E1419" s="126" t="s">
        <v>39</v>
      </c>
      <c r="F1419" s="127" t="s">
        <v>8108</v>
      </c>
      <c r="G1419" s="127" t="s">
        <v>8119</v>
      </c>
      <c r="H1419" s="126" t="s">
        <v>225</v>
      </c>
      <c r="I1419" s="126" t="s">
        <v>98</v>
      </c>
      <c r="J1419" s="127" t="s">
        <v>24</v>
      </c>
      <c r="K1419" s="127" t="s">
        <v>8178</v>
      </c>
      <c r="L1419" s="127" t="s">
        <v>8157</v>
      </c>
      <c r="M1419" s="127" t="s">
        <v>261</v>
      </c>
      <c r="N1419" s="145" t="s">
        <v>8111</v>
      </c>
      <c r="O1419" s="131" t="s">
        <v>208</v>
      </c>
      <c r="P1419" s="288" t="s">
        <v>8158</v>
      </c>
      <c r="Q1419" s="127" t="s">
        <v>766</v>
      </c>
      <c r="R1419" s="127" t="s">
        <v>8180</v>
      </c>
      <c r="S1419" s="127" t="s">
        <v>8179</v>
      </c>
      <c r="T1419" s="127" t="s">
        <v>276</v>
      </c>
      <c r="U1419" s="132">
        <v>1190</v>
      </c>
      <c r="V1419" s="134">
        <v>1186</v>
      </c>
      <c r="W1419" s="126" t="s">
        <v>276</v>
      </c>
      <c r="X1419" s="126" t="s">
        <v>276</v>
      </c>
      <c r="Y1419" s="126">
        <v>1</v>
      </c>
      <c r="Z1419" s="127" t="s">
        <v>1562</v>
      </c>
      <c r="AA1419" s="126">
        <v>2</v>
      </c>
      <c r="AB1419" s="127" t="s">
        <v>1562</v>
      </c>
      <c r="AC1419" s="127" t="s">
        <v>8160</v>
      </c>
      <c r="AD1419" s="127" t="s">
        <v>866</v>
      </c>
      <c r="AE1419" s="126">
        <v>19</v>
      </c>
      <c r="AF1419" s="126">
        <v>21</v>
      </c>
      <c r="AG1419" s="132">
        <v>1190</v>
      </c>
      <c r="AH1419" s="132">
        <v>1186</v>
      </c>
      <c r="AI1419" s="134" t="s">
        <v>292</v>
      </c>
      <c r="AJ1419" s="147" t="s">
        <v>276</v>
      </c>
      <c r="AK1419" s="148">
        <f>AE1419*100/AG1419</f>
        <v>1.596638655462185</v>
      </c>
      <c r="AL1419" s="135" t="s">
        <v>276</v>
      </c>
      <c r="AM1419" s="135" t="s">
        <v>276</v>
      </c>
      <c r="AN1419" s="147" t="s">
        <v>276</v>
      </c>
      <c r="AO1419" s="148">
        <f>AF1419*100/AH1419</f>
        <v>1.7706576728499157</v>
      </c>
      <c r="AP1419" s="135" t="s">
        <v>276</v>
      </c>
      <c r="AQ1419" s="135" t="s">
        <v>276</v>
      </c>
      <c r="AR1419" s="126" t="s">
        <v>268</v>
      </c>
      <c r="AS1419" s="135" t="s">
        <v>276</v>
      </c>
      <c r="AT1419" s="135">
        <f>AK1419/AO1419</f>
        <v>0.90172068827531016</v>
      </c>
      <c r="AU1419" s="135" t="s">
        <v>276</v>
      </c>
      <c r="AV1419" s="135" t="s">
        <v>276</v>
      </c>
      <c r="AW1419" s="126" t="s">
        <v>276</v>
      </c>
      <c r="AX1419" s="126" t="s">
        <v>282</v>
      </c>
      <c r="AY1419" s="126" t="s">
        <v>276</v>
      </c>
      <c r="AZ1419" s="126" t="s">
        <v>276</v>
      </c>
      <c r="BA1419" s="126" t="s">
        <v>276</v>
      </c>
      <c r="BB1419" s="126" t="s">
        <v>276</v>
      </c>
      <c r="BC1419" s="127" t="s">
        <v>8183</v>
      </c>
      <c r="BD1419" s="127" t="s">
        <v>8182</v>
      </c>
      <c r="BE1419" s="33" t="s">
        <v>100</v>
      </c>
      <c r="BF1419" s="33" t="s">
        <v>98</v>
      </c>
    </row>
    <row r="1420" spans="1:58" s="160" customFormat="1" ht="78" x14ac:dyDescent="0.3">
      <c r="A1420" s="150">
        <v>724</v>
      </c>
      <c r="B1420" s="150" t="s">
        <v>8154</v>
      </c>
      <c r="C1420" s="150" t="s">
        <v>77</v>
      </c>
      <c r="D1420" s="151" t="s">
        <v>11093</v>
      </c>
      <c r="E1420" s="150" t="s">
        <v>39</v>
      </c>
      <c r="F1420" s="151" t="s">
        <v>8108</v>
      </c>
      <c r="G1420" s="151" t="s">
        <v>8119</v>
      </c>
      <c r="H1420" s="150" t="s">
        <v>225</v>
      </c>
      <c r="I1420" s="150" t="s">
        <v>98</v>
      </c>
      <c r="J1420" s="151" t="s">
        <v>23</v>
      </c>
      <c r="K1420" s="151" t="s">
        <v>8178</v>
      </c>
      <c r="L1420" s="151" t="s">
        <v>8157</v>
      </c>
      <c r="M1420" s="151" t="s">
        <v>261</v>
      </c>
      <c r="N1420" s="152" t="s">
        <v>8111</v>
      </c>
      <c r="O1420" s="153" t="s">
        <v>208</v>
      </c>
      <c r="P1420" s="479" t="s">
        <v>8158</v>
      </c>
      <c r="Q1420" s="151" t="s">
        <v>766</v>
      </c>
      <c r="R1420" s="151" t="s">
        <v>8180</v>
      </c>
      <c r="S1420" s="151" t="s">
        <v>8179</v>
      </c>
      <c r="T1420" s="151" t="s">
        <v>276</v>
      </c>
      <c r="U1420" s="155">
        <v>1190</v>
      </c>
      <c r="V1420" s="156">
        <v>1186</v>
      </c>
      <c r="W1420" s="150" t="s">
        <v>276</v>
      </c>
      <c r="X1420" s="150" t="s">
        <v>276</v>
      </c>
      <c r="Y1420" s="150">
        <v>0</v>
      </c>
      <c r="Z1420" s="151" t="s">
        <v>98</v>
      </c>
      <c r="AA1420" s="150">
        <v>0</v>
      </c>
      <c r="AB1420" s="151" t="s">
        <v>98</v>
      </c>
      <c r="AC1420" s="151" t="s">
        <v>8171</v>
      </c>
      <c r="AD1420" s="151" t="s">
        <v>8161</v>
      </c>
      <c r="AE1420" s="150">
        <v>76</v>
      </c>
      <c r="AF1420" s="150">
        <v>61</v>
      </c>
      <c r="AG1420" s="155">
        <v>11521</v>
      </c>
      <c r="AH1420" s="155">
        <v>11562</v>
      </c>
      <c r="AI1420" s="156" t="s">
        <v>1019</v>
      </c>
      <c r="AJ1420" s="157">
        <v>659.7</v>
      </c>
      <c r="AK1420" s="158">
        <f>AE1420*100000/AG1420</f>
        <v>659.66495963892021</v>
      </c>
      <c r="AL1420" s="159" t="s">
        <v>276</v>
      </c>
      <c r="AM1420" s="159" t="s">
        <v>276</v>
      </c>
      <c r="AN1420" s="157">
        <v>527.6</v>
      </c>
      <c r="AO1420" s="158">
        <f>AF1420*100000/AH1420</f>
        <v>527.59038228680163</v>
      </c>
      <c r="AP1420" s="159" t="s">
        <v>276</v>
      </c>
      <c r="AQ1420" s="159" t="s">
        <v>276</v>
      </c>
      <c r="AR1420" s="150" t="s">
        <v>270</v>
      </c>
      <c r="AS1420" s="159" t="s">
        <v>276</v>
      </c>
      <c r="AT1420" s="159">
        <f>1/0.8</f>
        <v>1.25</v>
      </c>
      <c r="AU1420" s="159">
        <f>1/1.12</f>
        <v>0.89285714285714279</v>
      </c>
      <c r="AV1420" s="159">
        <f>1/0.57</f>
        <v>1.7543859649122808</v>
      </c>
      <c r="AW1420" s="150">
        <v>0.1905</v>
      </c>
      <c r="AX1420" s="150" t="s">
        <v>282</v>
      </c>
      <c r="AY1420" s="150" t="s">
        <v>276</v>
      </c>
      <c r="AZ1420" s="150" t="s">
        <v>276</v>
      </c>
      <c r="BA1420" s="150" t="s">
        <v>276</v>
      </c>
      <c r="BB1420" s="150" t="s">
        <v>276</v>
      </c>
      <c r="BC1420" s="151" t="s">
        <v>8184</v>
      </c>
      <c r="BD1420" s="151" t="s">
        <v>11094</v>
      </c>
      <c r="BE1420" s="33" t="s">
        <v>100</v>
      </c>
      <c r="BF1420" s="33" t="s">
        <v>98</v>
      </c>
    </row>
    <row r="1421" spans="1:58" s="160" customFormat="1" ht="52" x14ac:dyDescent="0.3">
      <c r="A1421" s="150">
        <v>724</v>
      </c>
      <c r="B1421" s="150" t="s">
        <v>8154</v>
      </c>
      <c r="C1421" s="150" t="s">
        <v>77</v>
      </c>
      <c r="D1421" s="151" t="s">
        <v>11095</v>
      </c>
      <c r="E1421" s="150" t="s">
        <v>39</v>
      </c>
      <c r="F1421" s="151" t="s">
        <v>8108</v>
      </c>
      <c r="G1421" s="151" t="s">
        <v>8119</v>
      </c>
      <c r="H1421" s="150" t="s">
        <v>225</v>
      </c>
      <c r="I1421" s="150" t="s">
        <v>98</v>
      </c>
      <c r="J1421" s="151" t="s">
        <v>23</v>
      </c>
      <c r="K1421" s="151" t="s">
        <v>8178</v>
      </c>
      <c r="L1421" s="151" t="s">
        <v>8157</v>
      </c>
      <c r="M1421" s="151" t="s">
        <v>261</v>
      </c>
      <c r="N1421" s="152" t="s">
        <v>8111</v>
      </c>
      <c r="O1421" s="153" t="s">
        <v>208</v>
      </c>
      <c r="P1421" s="479" t="s">
        <v>8158</v>
      </c>
      <c r="Q1421" s="151" t="s">
        <v>766</v>
      </c>
      <c r="R1421" s="151" t="s">
        <v>8180</v>
      </c>
      <c r="S1421" s="151" t="s">
        <v>8179</v>
      </c>
      <c r="T1421" s="151" t="s">
        <v>276</v>
      </c>
      <c r="U1421" s="155">
        <v>1190</v>
      </c>
      <c r="V1421" s="156">
        <v>1186</v>
      </c>
      <c r="W1421" s="150" t="s">
        <v>276</v>
      </c>
      <c r="X1421" s="150" t="s">
        <v>276</v>
      </c>
      <c r="Y1421" s="150">
        <v>0</v>
      </c>
      <c r="Z1421" s="151" t="s">
        <v>98</v>
      </c>
      <c r="AA1421" s="150">
        <v>0</v>
      </c>
      <c r="AB1421" s="151" t="s">
        <v>98</v>
      </c>
      <c r="AC1421" s="151" t="s">
        <v>8171</v>
      </c>
      <c r="AD1421" s="151" t="s">
        <v>8161</v>
      </c>
      <c r="AE1421" s="150">
        <v>76</v>
      </c>
      <c r="AF1421" s="150">
        <v>61</v>
      </c>
      <c r="AG1421" s="155">
        <v>11521</v>
      </c>
      <c r="AH1421" s="155">
        <v>11562</v>
      </c>
      <c r="AI1421" s="156" t="s">
        <v>1019</v>
      </c>
      <c r="AJ1421" s="157">
        <v>659.7</v>
      </c>
      <c r="AK1421" s="158">
        <f>AE1421*100000/AG1421</f>
        <v>659.66495963892021</v>
      </c>
      <c r="AL1421" s="159" t="s">
        <v>276</v>
      </c>
      <c r="AM1421" s="159" t="s">
        <v>276</v>
      </c>
      <c r="AN1421" s="157">
        <v>527.6</v>
      </c>
      <c r="AO1421" s="158">
        <f>AF1421*100000/AH1421</f>
        <v>527.59038228680163</v>
      </c>
      <c r="AP1421" s="159" t="s">
        <v>276</v>
      </c>
      <c r="AQ1421" s="159" t="s">
        <v>276</v>
      </c>
      <c r="AR1421" s="150" t="s">
        <v>269</v>
      </c>
      <c r="AS1421" s="159" t="s">
        <v>276</v>
      </c>
      <c r="AT1421" s="159">
        <f>AK1421/AO1421</f>
        <v>1.2503354530074091</v>
      </c>
      <c r="AU1421" s="159" t="s">
        <v>276</v>
      </c>
      <c r="AV1421" s="159" t="s">
        <v>276</v>
      </c>
      <c r="AW1421" s="150" t="s">
        <v>276</v>
      </c>
      <c r="AX1421" s="150" t="s">
        <v>282</v>
      </c>
      <c r="AY1421" s="150" t="s">
        <v>276</v>
      </c>
      <c r="AZ1421" s="150" t="s">
        <v>276</v>
      </c>
      <c r="BA1421" s="150" t="s">
        <v>276</v>
      </c>
      <c r="BB1421" s="150" t="s">
        <v>276</v>
      </c>
      <c r="BC1421" s="151" t="s">
        <v>8185</v>
      </c>
      <c r="BD1421" s="151"/>
      <c r="BE1421" s="33" t="s">
        <v>100</v>
      </c>
      <c r="BF1421" s="33" t="s">
        <v>98</v>
      </c>
    </row>
    <row r="1422" spans="1:58" s="160" customFormat="1" ht="52" x14ac:dyDescent="0.3">
      <c r="A1422" s="150">
        <v>724</v>
      </c>
      <c r="B1422" s="150" t="s">
        <v>8154</v>
      </c>
      <c r="C1422" s="150" t="s">
        <v>77</v>
      </c>
      <c r="D1422" s="151" t="s">
        <v>11096</v>
      </c>
      <c r="E1422" s="150" t="s">
        <v>39</v>
      </c>
      <c r="F1422" s="151" t="s">
        <v>8108</v>
      </c>
      <c r="G1422" s="151" t="s">
        <v>8119</v>
      </c>
      <c r="H1422" s="150" t="s">
        <v>225</v>
      </c>
      <c r="I1422" s="150" t="s">
        <v>98</v>
      </c>
      <c r="J1422" s="151" t="s">
        <v>23</v>
      </c>
      <c r="K1422" s="151" t="s">
        <v>8178</v>
      </c>
      <c r="L1422" s="151" t="s">
        <v>8157</v>
      </c>
      <c r="M1422" s="151" t="s">
        <v>261</v>
      </c>
      <c r="N1422" s="152" t="s">
        <v>8111</v>
      </c>
      <c r="O1422" s="153" t="s">
        <v>208</v>
      </c>
      <c r="P1422" s="479" t="s">
        <v>8158</v>
      </c>
      <c r="Q1422" s="151" t="s">
        <v>766</v>
      </c>
      <c r="R1422" s="151" t="s">
        <v>8180</v>
      </c>
      <c r="S1422" s="151" t="s">
        <v>8179</v>
      </c>
      <c r="T1422" s="151" t="s">
        <v>276</v>
      </c>
      <c r="U1422" s="155">
        <v>1190</v>
      </c>
      <c r="V1422" s="156">
        <v>1186</v>
      </c>
      <c r="W1422" s="150" t="s">
        <v>276</v>
      </c>
      <c r="X1422" s="150" t="s">
        <v>276</v>
      </c>
      <c r="Y1422" s="150">
        <v>0</v>
      </c>
      <c r="Z1422" s="151" t="s">
        <v>98</v>
      </c>
      <c r="AA1422" s="150">
        <v>0</v>
      </c>
      <c r="AB1422" s="151" t="s">
        <v>98</v>
      </c>
      <c r="AC1422" s="151" t="s">
        <v>8171</v>
      </c>
      <c r="AD1422" s="151" t="s">
        <v>866</v>
      </c>
      <c r="AE1422" s="150">
        <v>76</v>
      </c>
      <c r="AF1422" s="150">
        <v>61</v>
      </c>
      <c r="AG1422" s="155">
        <v>1190</v>
      </c>
      <c r="AH1422" s="155">
        <v>1186</v>
      </c>
      <c r="AI1422" s="156" t="s">
        <v>292</v>
      </c>
      <c r="AJ1422" s="157" t="s">
        <v>276</v>
      </c>
      <c r="AK1422" s="158">
        <f>AE1422*100/AG1422</f>
        <v>6.3865546218487399</v>
      </c>
      <c r="AL1422" s="159" t="s">
        <v>276</v>
      </c>
      <c r="AM1422" s="159" t="s">
        <v>276</v>
      </c>
      <c r="AN1422" s="157" t="s">
        <v>276</v>
      </c>
      <c r="AO1422" s="158">
        <f>AF1422*100/AH1422</f>
        <v>5.1433389544688026</v>
      </c>
      <c r="AP1422" s="159" t="s">
        <v>276</v>
      </c>
      <c r="AQ1422" s="159" t="s">
        <v>276</v>
      </c>
      <c r="AR1422" s="150" t="s">
        <v>268</v>
      </c>
      <c r="AS1422" s="159" t="s">
        <v>276</v>
      </c>
      <c r="AT1422" s="159">
        <f>AK1422/AO1422</f>
        <v>1.2417137346741975</v>
      </c>
      <c r="AU1422" s="159" t="s">
        <v>276</v>
      </c>
      <c r="AV1422" s="159" t="s">
        <v>276</v>
      </c>
      <c r="AW1422" s="150" t="s">
        <v>276</v>
      </c>
      <c r="AX1422" s="150" t="s">
        <v>282</v>
      </c>
      <c r="AY1422" s="150" t="s">
        <v>276</v>
      </c>
      <c r="AZ1422" s="150" t="s">
        <v>276</v>
      </c>
      <c r="BA1422" s="150" t="s">
        <v>276</v>
      </c>
      <c r="BB1422" s="150" t="s">
        <v>276</v>
      </c>
      <c r="BC1422" s="151" t="s">
        <v>8185</v>
      </c>
      <c r="BD1422" s="151"/>
      <c r="BE1422" s="33" t="s">
        <v>100</v>
      </c>
      <c r="BF1422" s="33" t="s">
        <v>98</v>
      </c>
    </row>
    <row r="1423" spans="1:58" s="149" customFormat="1" ht="39" x14ac:dyDescent="0.3">
      <c r="A1423" s="126">
        <v>3852</v>
      </c>
      <c r="B1423" s="127" t="s">
        <v>7696</v>
      </c>
      <c r="C1423" s="126" t="s">
        <v>7697</v>
      </c>
      <c r="D1423" s="127" t="s">
        <v>7698</v>
      </c>
      <c r="E1423" s="126" t="s">
        <v>35</v>
      </c>
      <c r="F1423" s="126" t="s">
        <v>97</v>
      </c>
      <c r="G1423" s="126" t="s">
        <v>225</v>
      </c>
      <c r="H1423" s="126" t="s">
        <v>125</v>
      </c>
      <c r="I1423" s="126" t="s">
        <v>114</v>
      </c>
      <c r="J1423" s="127" t="s">
        <v>23</v>
      </c>
      <c r="K1423" s="127" t="s">
        <v>7699</v>
      </c>
      <c r="L1423" s="127" t="s">
        <v>276</v>
      </c>
      <c r="M1423" s="126" t="s">
        <v>14</v>
      </c>
      <c r="N1423" s="145" t="s">
        <v>98</v>
      </c>
      <c r="O1423" s="131" t="s">
        <v>207</v>
      </c>
      <c r="P1423" s="197">
        <v>31412</v>
      </c>
      <c r="Q1423" s="127" t="s">
        <v>276</v>
      </c>
      <c r="R1423" s="134" t="s">
        <v>7700</v>
      </c>
      <c r="S1423" s="134" t="s">
        <v>7701</v>
      </c>
      <c r="T1423" s="167" t="s">
        <v>1716</v>
      </c>
      <c r="U1423" s="132">
        <v>21088</v>
      </c>
      <c r="V1423" s="127">
        <v>21195</v>
      </c>
      <c r="W1423" s="126" t="s">
        <v>276</v>
      </c>
      <c r="X1423" s="126" t="s">
        <v>276</v>
      </c>
      <c r="Y1423" s="126">
        <v>0</v>
      </c>
      <c r="Z1423" s="127" t="s">
        <v>98</v>
      </c>
      <c r="AA1423" s="126">
        <v>0</v>
      </c>
      <c r="AB1423" s="126" t="s">
        <v>98</v>
      </c>
      <c r="AC1423" s="127" t="s">
        <v>7702</v>
      </c>
      <c r="AD1423" s="127" t="s">
        <v>7703</v>
      </c>
      <c r="AE1423" s="126">
        <v>1777</v>
      </c>
      <c r="AF1423" s="126">
        <v>1809</v>
      </c>
      <c r="AG1423" s="132">
        <v>21088</v>
      </c>
      <c r="AH1423" s="127">
        <v>21195</v>
      </c>
      <c r="AI1423" s="132" t="s">
        <v>292</v>
      </c>
      <c r="AJ1423" s="135">
        <v>8.42</v>
      </c>
      <c r="AK1423" s="148">
        <f>AE1423*100/AG1423</f>
        <v>8.4265933232169949</v>
      </c>
      <c r="AL1423" s="135" t="s">
        <v>276</v>
      </c>
      <c r="AM1423" s="135" t="s">
        <v>276</v>
      </c>
      <c r="AN1423" s="135">
        <v>8.5399999999999991</v>
      </c>
      <c r="AO1423" s="148">
        <f>AF1423*100/AH1423</f>
        <v>8.5350318471337587</v>
      </c>
      <c r="AP1423" s="135" t="s">
        <v>276</v>
      </c>
      <c r="AQ1423" s="135" t="s">
        <v>276</v>
      </c>
      <c r="AR1423" s="126" t="s">
        <v>268</v>
      </c>
      <c r="AS1423" s="135" t="s">
        <v>276</v>
      </c>
      <c r="AT1423" s="135">
        <f>AK1423/AO1423</f>
        <v>0.98729488936199106</v>
      </c>
      <c r="AU1423" s="135" t="s">
        <v>276</v>
      </c>
      <c r="AV1423" s="135" t="s">
        <v>276</v>
      </c>
      <c r="AW1423" s="126" t="s">
        <v>276</v>
      </c>
      <c r="AX1423" s="126" t="s">
        <v>282</v>
      </c>
      <c r="AY1423" s="126" t="s">
        <v>98</v>
      </c>
      <c r="AZ1423" s="126" t="s">
        <v>98</v>
      </c>
      <c r="BA1423" s="126" t="s">
        <v>98</v>
      </c>
      <c r="BB1423" s="126" t="s">
        <v>98</v>
      </c>
      <c r="BC1423" s="127" t="s">
        <v>6697</v>
      </c>
      <c r="BD1423" s="127"/>
      <c r="BE1423" s="33" t="s">
        <v>114</v>
      </c>
      <c r="BF1423" s="33" t="s">
        <v>98</v>
      </c>
    </row>
    <row r="1424" spans="1:58" s="160" customFormat="1" ht="65" x14ac:dyDescent="0.3">
      <c r="A1424" s="150">
        <v>3852</v>
      </c>
      <c r="B1424" s="151" t="s">
        <v>7696</v>
      </c>
      <c r="C1424" s="150" t="s">
        <v>7697</v>
      </c>
      <c r="D1424" s="151" t="s">
        <v>7704</v>
      </c>
      <c r="E1424" s="150" t="s">
        <v>35</v>
      </c>
      <c r="F1424" s="150" t="s">
        <v>97</v>
      </c>
      <c r="G1424" s="150" t="s">
        <v>225</v>
      </c>
      <c r="H1424" s="150" t="s">
        <v>125</v>
      </c>
      <c r="I1424" s="150" t="s">
        <v>114</v>
      </c>
      <c r="J1424" s="151" t="s">
        <v>24</v>
      </c>
      <c r="K1424" s="151" t="s">
        <v>7705</v>
      </c>
      <c r="L1424" s="151" t="s">
        <v>276</v>
      </c>
      <c r="M1424" s="150" t="s">
        <v>14</v>
      </c>
      <c r="N1424" s="152" t="s">
        <v>98</v>
      </c>
      <c r="O1424" s="153" t="s">
        <v>207</v>
      </c>
      <c r="P1424" s="342">
        <v>31777</v>
      </c>
      <c r="Q1424" s="151" t="s">
        <v>276</v>
      </c>
      <c r="R1424" s="156" t="s">
        <v>7700</v>
      </c>
      <c r="S1424" s="156" t="s">
        <v>7701</v>
      </c>
      <c r="T1424" s="168" t="s">
        <v>1716</v>
      </c>
      <c r="U1424" s="155">
        <v>21088</v>
      </c>
      <c r="V1424" s="151">
        <v>21195</v>
      </c>
      <c r="W1424" s="150" t="s">
        <v>276</v>
      </c>
      <c r="X1424" s="150" t="s">
        <v>276</v>
      </c>
      <c r="Y1424" s="150">
        <v>89</v>
      </c>
      <c r="Z1424" s="151" t="s">
        <v>7706</v>
      </c>
      <c r="AA1424" s="150">
        <v>102</v>
      </c>
      <c r="AB1424" s="151" t="s">
        <v>7706</v>
      </c>
      <c r="AC1424" s="151" t="s">
        <v>7707</v>
      </c>
      <c r="AD1424" s="151" t="s">
        <v>1674</v>
      </c>
      <c r="AE1424" s="150">
        <v>63</v>
      </c>
      <c r="AF1424" s="150">
        <v>66</v>
      </c>
      <c r="AG1424" s="156">
        <v>186297</v>
      </c>
      <c r="AH1424" s="156">
        <v>187016</v>
      </c>
      <c r="AI1424" s="156" t="s">
        <v>1019</v>
      </c>
      <c r="AJ1424" s="159" t="s">
        <v>276</v>
      </c>
      <c r="AK1424" s="158">
        <f>AE1424*100000/AG1424</f>
        <v>33.816969677450523</v>
      </c>
      <c r="AL1424" s="159" t="s">
        <v>276</v>
      </c>
      <c r="AM1424" s="159" t="s">
        <v>276</v>
      </c>
      <c r="AN1424" s="159" t="s">
        <v>276</v>
      </c>
      <c r="AO1424" s="158">
        <f>AF1424*100000/AH1424</f>
        <v>35.291098087864142</v>
      </c>
      <c r="AP1424" s="159" t="s">
        <v>276</v>
      </c>
      <c r="AQ1424" s="159" t="s">
        <v>276</v>
      </c>
      <c r="AR1424" s="150" t="s">
        <v>269</v>
      </c>
      <c r="AS1424" s="159">
        <v>0.96</v>
      </c>
      <c r="AT1424" s="159">
        <f>AK1424/AO1424</f>
        <v>0.95822945472698284</v>
      </c>
      <c r="AU1424" s="159">
        <v>0.68</v>
      </c>
      <c r="AV1424" s="159">
        <v>1.35</v>
      </c>
      <c r="AW1424" s="150" t="s">
        <v>691</v>
      </c>
      <c r="AX1424" s="150" t="s">
        <v>282</v>
      </c>
      <c r="AY1424" s="150" t="s">
        <v>98</v>
      </c>
      <c r="AZ1424" s="150" t="s">
        <v>98</v>
      </c>
      <c r="BA1424" s="150" t="s">
        <v>98</v>
      </c>
      <c r="BB1424" s="150" t="s">
        <v>98</v>
      </c>
      <c r="BC1424" s="151" t="s">
        <v>7708</v>
      </c>
      <c r="BD1424" s="151"/>
      <c r="BE1424" s="33" t="s">
        <v>113</v>
      </c>
      <c r="BF1424" s="33" t="s">
        <v>11162</v>
      </c>
    </row>
    <row r="1425" spans="1:58" s="160" customFormat="1" ht="78" x14ac:dyDescent="0.3">
      <c r="A1425" s="150">
        <v>3852</v>
      </c>
      <c r="B1425" s="151" t="s">
        <v>7696</v>
      </c>
      <c r="C1425" s="150" t="s">
        <v>7697</v>
      </c>
      <c r="D1425" s="151" t="s">
        <v>7709</v>
      </c>
      <c r="E1425" s="150" t="s">
        <v>35</v>
      </c>
      <c r="F1425" s="150" t="s">
        <v>97</v>
      </c>
      <c r="G1425" s="150" t="s">
        <v>225</v>
      </c>
      <c r="H1425" s="150" t="s">
        <v>125</v>
      </c>
      <c r="I1425" s="150" t="s">
        <v>114</v>
      </c>
      <c r="J1425" s="151" t="s">
        <v>24</v>
      </c>
      <c r="K1425" s="151" t="s">
        <v>7710</v>
      </c>
      <c r="L1425" s="151" t="s">
        <v>276</v>
      </c>
      <c r="M1425" s="150" t="s">
        <v>14</v>
      </c>
      <c r="N1425" s="152" t="s">
        <v>98</v>
      </c>
      <c r="O1425" s="153" t="s">
        <v>207</v>
      </c>
      <c r="P1425" s="342" t="s">
        <v>98</v>
      </c>
      <c r="Q1425" s="151" t="s">
        <v>705</v>
      </c>
      <c r="R1425" s="156" t="s">
        <v>276</v>
      </c>
      <c r="S1425" s="156" t="s">
        <v>276</v>
      </c>
      <c r="T1425" s="168" t="s">
        <v>1212</v>
      </c>
      <c r="U1425" s="155">
        <v>21088</v>
      </c>
      <c r="V1425" s="151">
        <v>21195</v>
      </c>
      <c r="W1425" s="150" t="s">
        <v>276</v>
      </c>
      <c r="X1425" s="150" t="s">
        <v>276</v>
      </c>
      <c r="Y1425" s="150" t="s">
        <v>276</v>
      </c>
      <c r="Z1425" s="151" t="s">
        <v>894</v>
      </c>
      <c r="AA1425" s="150" t="s">
        <v>276</v>
      </c>
      <c r="AB1425" s="151" t="s">
        <v>894</v>
      </c>
      <c r="AC1425" s="151" t="s">
        <v>7711</v>
      </c>
      <c r="AD1425" s="151" t="s">
        <v>1674</v>
      </c>
      <c r="AE1425" s="150">
        <v>1</v>
      </c>
      <c r="AF1425" s="150">
        <v>0</v>
      </c>
      <c r="AG1425" s="156" t="s">
        <v>276</v>
      </c>
      <c r="AH1425" s="156" t="s">
        <v>276</v>
      </c>
      <c r="AI1425" s="156" t="s">
        <v>1019</v>
      </c>
      <c r="AJ1425" s="157">
        <v>4.8</v>
      </c>
      <c r="AK1425" s="157" t="s">
        <v>98</v>
      </c>
      <c r="AL1425" s="159" t="s">
        <v>276</v>
      </c>
      <c r="AM1425" s="159" t="s">
        <v>276</v>
      </c>
      <c r="AN1425" s="159">
        <v>0</v>
      </c>
      <c r="AO1425" s="158" t="s">
        <v>98</v>
      </c>
      <c r="AP1425" s="159" t="s">
        <v>98</v>
      </c>
      <c r="AQ1425" s="159" t="s">
        <v>98</v>
      </c>
      <c r="AR1425" s="150" t="s">
        <v>269</v>
      </c>
      <c r="AS1425" s="159" t="s">
        <v>276</v>
      </c>
      <c r="AT1425" s="159" t="s">
        <v>98</v>
      </c>
      <c r="AU1425" s="159" t="s">
        <v>276</v>
      </c>
      <c r="AV1425" s="159" t="s">
        <v>276</v>
      </c>
      <c r="AW1425" s="150" t="s">
        <v>276</v>
      </c>
      <c r="AX1425" s="150" t="s">
        <v>282</v>
      </c>
      <c r="AY1425" s="150" t="s">
        <v>98</v>
      </c>
      <c r="AZ1425" s="150" t="s">
        <v>98</v>
      </c>
      <c r="BA1425" s="150" t="s">
        <v>98</v>
      </c>
      <c r="BB1425" s="150" t="s">
        <v>98</v>
      </c>
      <c r="BC1425" s="151" t="s">
        <v>6627</v>
      </c>
      <c r="BD1425" s="151"/>
      <c r="BE1425" s="33" t="s">
        <v>114</v>
      </c>
      <c r="BF1425" s="33" t="s">
        <v>98</v>
      </c>
    </row>
    <row r="1426" spans="1:58" s="160" customFormat="1" ht="78" x14ac:dyDescent="0.3">
      <c r="A1426" s="150">
        <v>3852</v>
      </c>
      <c r="B1426" s="151" t="s">
        <v>7696</v>
      </c>
      <c r="C1426" s="150" t="s">
        <v>7697</v>
      </c>
      <c r="D1426" s="151" t="s">
        <v>7712</v>
      </c>
      <c r="E1426" s="150" t="s">
        <v>35</v>
      </c>
      <c r="F1426" s="150" t="s">
        <v>97</v>
      </c>
      <c r="G1426" s="150" t="s">
        <v>225</v>
      </c>
      <c r="H1426" s="150" t="s">
        <v>125</v>
      </c>
      <c r="I1426" s="150" t="s">
        <v>114</v>
      </c>
      <c r="J1426" s="151" t="s">
        <v>24</v>
      </c>
      <c r="K1426" s="151" t="s">
        <v>7710</v>
      </c>
      <c r="L1426" s="151" t="s">
        <v>276</v>
      </c>
      <c r="M1426" s="150" t="s">
        <v>14</v>
      </c>
      <c r="N1426" s="152" t="s">
        <v>98</v>
      </c>
      <c r="O1426" s="153" t="s">
        <v>207</v>
      </c>
      <c r="P1426" s="342" t="s">
        <v>98</v>
      </c>
      <c r="Q1426" s="151" t="s">
        <v>710</v>
      </c>
      <c r="R1426" s="156" t="s">
        <v>276</v>
      </c>
      <c r="S1426" s="156" t="s">
        <v>276</v>
      </c>
      <c r="T1426" s="168" t="s">
        <v>1191</v>
      </c>
      <c r="U1426" s="155">
        <v>21088</v>
      </c>
      <c r="V1426" s="151">
        <v>21195</v>
      </c>
      <c r="W1426" s="150" t="s">
        <v>276</v>
      </c>
      <c r="X1426" s="150" t="s">
        <v>276</v>
      </c>
      <c r="Y1426" s="150" t="s">
        <v>276</v>
      </c>
      <c r="Z1426" s="151" t="s">
        <v>894</v>
      </c>
      <c r="AA1426" s="150" t="s">
        <v>276</v>
      </c>
      <c r="AB1426" s="151" t="s">
        <v>894</v>
      </c>
      <c r="AC1426" s="151" t="s">
        <v>7713</v>
      </c>
      <c r="AD1426" s="151" t="s">
        <v>1674</v>
      </c>
      <c r="AE1426" s="150">
        <f>1+4</f>
        <v>5</v>
      </c>
      <c r="AF1426" s="150">
        <v>6</v>
      </c>
      <c r="AG1426" s="156" t="s">
        <v>276</v>
      </c>
      <c r="AH1426" s="156" t="s">
        <v>276</v>
      </c>
      <c r="AI1426" s="156" t="s">
        <v>1019</v>
      </c>
      <c r="AJ1426" s="157">
        <v>24</v>
      </c>
      <c r="AK1426" s="157" t="s">
        <v>98</v>
      </c>
      <c r="AL1426" s="159" t="s">
        <v>276</v>
      </c>
      <c r="AM1426" s="159" t="s">
        <v>276</v>
      </c>
      <c r="AN1426" s="157">
        <v>28.7</v>
      </c>
      <c r="AO1426" s="158" t="s">
        <v>98</v>
      </c>
      <c r="AP1426" s="159" t="s">
        <v>276</v>
      </c>
      <c r="AQ1426" s="159" t="s">
        <v>276</v>
      </c>
      <c r="AR1426" s="150" t="s">
        <v>269</v>
      </c>
      <c r="AS1426" s="159" t="s">
        <v>276</v>
      </c>
      <c r="AT1426" s="159">
        <f t="shared" ref="AT1426:AT1434" si="205">AJ1426/AN1426</f>
        <v>0.83623693379790942</v>
      </c>
      <c r="AU1426" s="159" t="s">
        <v>276</v>
      </c>
      <c r="AV1426" s="159" t="s">
        <v>276</v>
      </c>
      <c r="AW1426" s="150" t="s">
        <v>276</v>
      </c>
      <c r="AX1426" s="150" t="s">
        <v>282</v>
      </c>
      <c r="AY1426" s="150" t="s">
        <v>98</v>
      </c>
      <c r="AZ1426" s="150" t="s">
        <v>98</v>
      </c>
      <c r="BA1426" s="150" t="s">
        <v>98</v>
      </c>
      <c r="BB1426" s="150" t="s">
        <v>98</v>
      </c>
      <c r="BC1426" s="151" t="s">
        <v>6627</v>
      </c>
      <c r="BD1426" s="151"/>
      <c r="BE1426" s="33" t="s">
        <v>114</v>
      </c>
      <c r="BF1426" s="33" t="s">
        <v>98</v>
      </c>
    </row>
    <row r="1427" spans="1:58" s="160" customFormat="1" ht="78" x14ac:dyDescent="0.3">
      <c r="A1427" s="150">
        <v>3852</v>
      </c>
      <c r="B1427" s="151" t="s">
        <v>7696</v>
      </c>
      <c r="C1427" s="150" t="s">
        <v>7697</v>
      </c>
      <c r="D1427" s="151" t="s">
        <v>7714</v>
      </c>
      <c r="E1427" s="150" t="s">
        <v>35</v>
      </c>
      <c r="F1427" s="150" t="s">
        <v>97</v>
      </c>
      <c r="G1427" s="150" t="s">
        <v>225</v>
      </c>
      <c r="H1427" s="150" t="s">
        <v>125</v>
      </c>
      <c r="I1427" s="150" t="s">
        <v>114</v>
      </c>
      <c r="J1427" s="151" t="s">
        <v>24</v>
      </c>
      <c r="K1427" s="151" t="s">
        <v>7710</v>
      </c>
      <c r="L1427" s="151" t="s">
        <v>276</v>
      </c>
      <c r="M1427" s="150" t="s">
        <v>14</v>
      </c>
      <c r="N1427" s="152" t="s">
        <v>98</v>
      </c>
      <c r="O1427" s="153" t="s">
        <v>207</v>
      </c>
      <c r="P1427" s="342" t="s">
        <v>98</v>
      </c>
      <c r="Q1427" s="151" t="s">
        <v>686</v>
      </c>
      <c r="R1427" s="156" t="s">
        <v>276</v>
      </c>
      <c r="S1427" s="156" t="s">
        <v>276</v>
      </c>
      <c r="T1427" s="168" t="s">
        <v>1191</v>
      </c>
      <c r="U1427" s="155">
        <v>21088</v>
      </c>
      <c r="V1427" s="151">
        <v>21195</v>
      </c>
      <c r="W1427" s="150" t="s">
        <v>276</v>
      </c>
      <c r="X1427" s="150" t="s">
        <v>276</v>
      </c>
      <c r="Y1427" s="150" t="s">
        <v>276</v>
      </c>
      <c r="Z1427" s="151" t="s">
        <v>894</v>
      </c>
      <c r="AA1427" s="150" t="s">
        <v>276</v>
      </c>
      <c r="AB1427" s="151" t="s">
        <v>894</v>
      </c>
      <c r="AC1427" s="151" t="s">
        <v>7715</v>
      </c>
      <c r="AD1427" s="151" t="s">
        <v>1674</v>
      </c>
      <c r="AE1427" s="150">
        <f>1+4+3</f>
        <v>8</v>
      </c>
      <c r="AF1427" s="150">
        <f>6+1</f>
        <v>7</v>
      </c>
      <c r="AG1427" s="156" t="s">
        <v>276</v>
      </c>
      <c r="AH1427" s="156" t="s">
        <v>276</v>
      </c>
      <c r="AI1427" s="156" t="s">
        <v>1019</v>
      </c>
      <c r="AJ1427" s="157">
        <v>38.5</v>
      </c>
      <c r="AK1427" s="157" t="s">
        <v>98</v>
      </c>
      <c r="AL1427" s="159" t="s">
        <v>276</v>
      </c>
      <c r="AM1427" s="159" t="s">
        <v>276</v>
      </c>
      <c r="AN1427" s="157">
        <v>33.5</v>
      </c>
      <c r="AO1427" s="158" t="s">
        <v>98</v>
      </c>
      <c r="AP1427" s="159" t="s">
        <v>276</v>
      </c>
      <c r="AQ1427" s="159" t="s">
        <v>276</v>
      </c>
      <c r="AR1427" s="150" t="s">
        <v>269</v>
      </c>
      <c r="AS1427" s="159" t="s">
        <v>276</v>
      </c>
      <c r="AT1427" s="159">
        <f t="shared" si="205"/>
        <v>1.1492537313432836</v>
      </c>
      <c r="AU1427" s="159" t="s">
        <v>276</v>
      </c>
      <c r="AV1427" s="159" t="s">
        <v>276</v>
      </c>
      <c r="AW1427" s="150" t="s">
        <v>276</v>
      </c>
      <c r="AX1427" s="150" t="s">
        <v>282</v>
      </c>
      <c r="AY1427" s="150" t="s">
        <v>98</v>
      </c>
      <c r="AZ1427" s="150" t="s">
        <v>98</v>
      </c>
      <c r="BA1427" s="150" t="s">
        <v>98</v>
      </c>
      <c r="BB1427" s="150" t="s">
        <v>98</v>
      </c>
      <c r="BC1427" s="151" t="s">
        <v>6627</v>
      </c>
      <c r="BD1427" s="151"/>
      <c r="BE1427" s="33" t="s">
        <v>114</v>
      </c>
      <c r="BF1427" s="33" t="s">
        <v>98</v>
      </c>
    </row>
    <row r="1428" spans="1:58" s="160" customFormat="1" ht="78" x14ac:dyDescent="0.3">
      <c r="A1428" s="150">
        <v>3852</v>
      </c>
      <c r="B1428" s="151" t="s">
        <v>7696</v>
      </c>
      <c r="C1428" s="150" t="s">
        <v>7697</v>
      </c>
      <c r="D1428" s="151" t="s">
        <v>7716</v>
      </c>
      <c r="E1428" s="150" t="s">
        <v>35</v>
      </c>
      <c r="F1428" s="150" t="s">
        <v>97</v>
      </c>
      <c r="G1428" s="150" t="s">
        <v>225</v>
      </c>
      <c r="H1428" s="150" t="s">
        <v>125</v>
      </c>
      <c r="I1428" s="150" t="s">
        <v>114</v>
      </c>
      <c r="J1428" s="151" t="s">
        <v>24</v>
      </c>
      <c r="K1428" s="151" t="s">
        <v>7710</v>
      </c>
      <c r="L1428" s="151" t="s">
        <v>276</v>
      </c>
      <c r="M1428" s="150" t="s">
        <v>14</v>
      </c>
      <c r="N1428" s="152" t="s">
        <v>98</v>
      </c>
      <c r="O1428" s="153" t="s">
        <v>207</v>
      </c>
      <c r="P1428" s="342" t="s">
        <v>98</v>
      </c>
      <c r="Q1428" s="151" t="s">
        <v>721</v>
      </c>
      <c r="R1428" s="156" t="s">
        <v>276</v>
      </c>
      <c r="S1428" s="156" t="s">
        <v>276</v>
      </c>
      <c r="T1428" s="168" t="s">
        <v>1219</v>
      </c>
      <c r="U1428" s="155">
        <v>21088</v>
      </c>
      <c r="V1428" s="151">
        <v>21195</v>
      </c>
      <c r="W1428" s="150" t="s">
        <v>276</v>
      </c>
      <c r="X1428" s="150" t="s">
        <v>276</v>
      </c>
      <c r="Y1428" s="150" t="s">
        <v>276</v>
      </c>
      <c r="Z1428" s="151" t="s">
        <v>894</v>
      </c>
      <c r="AA1428" s="150" t="s">
        <v>276</v>
      </c>
      <c r="AB1428" s="151" t="s">
        <v>894</v>
      </c>
      <c r="AC1428" s="151" t="s">
        <v>7717</v>
      </c>
      <c r="AD1428" s="151" t="s">
        <v>1674</v>
      </c>
      <c r="AE1428" s="150">
        <f>1+4+3+7</f>
        <v>15</v>
      </c>
      <c r="AF1428" s="150">
        <f>6+1+3</f>
        <v>10</v>
      </c>
      <c r="AG1428" s="156" t="s">
        <v>276</v>
      </c>
      <c r="AH1428" s="156" t="s">
        <v>276</v>
      </c>
      <c r="AI1428" s="156" t="s">
        <v>1019</v>
      </c>
      <c r="AJ1428" s="157">
        <v>72.599999999999994</v>
      </c>
      <c r="AK1428" s="157" t="s">
        <v>98</v>
      </c>
      <c r="AL1428" s="159" t="s">
        <v>276</v>
      </c>
      <c r="AM1428" s="159" t="s">
        <v>276</v>
      </c>
      <c r="AN1428" s="157">
        <v>48.1</v>
      </c>
      <c r="AO1428" s="158" t="s">
        <v>98</v>
      </c>
      <c r="AP1428" s="159" t="s">
        <v>276</v>
      </c>
      <c r="AQ1428" s="159" t="s">
        <v>276</v>
      </c>
      <c r="AR1428" s="150" t="s">
        <v>269</v>
      </c>
      <c r="AS1428" s="159" t="s">
        <v>276</v>
      </c>
      <c r="AT1428" s="159">
        <f t="shared" si="205"/>
        <v>1.5093555093555091</v>
      </c>
      <c r="AU1428" s="159" t="s">
        <v>276</v>
      </c>
      <c r="AV1428" s="159" t="s">
        <v>276</v>
      </c>
      <c r="AW1428" s="150" t="s">
        <v>276</v>
      </c>
      <c r="AX1428" s="150" t="s">
        <v>282</v>
      </c>
      <c r="AY1428" s="150" t="s">
        <v>98</v>
      </c>
      <c r="AZ1428" s="150" t="s">
        <v>98</v>
      </c>
      <c r="BA1428" s="150" t="s">
        <v>98</v>
      </c>
      <c r="BB1428" s="150" t="s">
        <v>98</v>
      </c>
      <c r="BC1428" s="151" t="s">
        <v>6627</v>
      </c>
      <c r="BD1428" s="151"/>
      <c r="BE1428" s="33" t="s">
        <v>114</v>
      </c>
      <c r="BF1428" s="33" t="s">
        <v>98</v>
      </c>
    </row>
    <row r="1429" spans="1:58" s="160" customFormat="1" ht="78" x14ac:dyDescent="0.3">
      <c r="A1429" s="150">
        <v>3852</v>
      </c>
      <c r="B1429" s="151" t="s">
        <v>7696</v>
      </c>
      <c r="C1429" s="150" t="s">
        <v>7697</v>
      </c>
      <c r="D1429" s="151" t="s">
        <v>7718</v>
      </c>
      <c r="E1429" s="150" t="s">
        <v>35</v>
      </c>
      <c r="F1429" s="150" t="s">
        <v>97</v>
      </c>
      <c r="G1429" s="150" t="s">
        <v>225</v>
      </c>
      <c r="H1429" s="150" t="s">
        <v>125</v>
      </c>
      <c r="I1429" s="150" t="s">
        <v>114</v>
      </c>
      <c r="J1429" s="151" t="s">
        <v>24</v>
      </c>
      <c r="K1429" s="151" t="s">
        <v>7710</v>
      </c>
      <c r="L1429" s="151" t="s">
        <v>276</v>
      </c>
      <c r="M1429" s="150" t="s">
        <v>14</v>
      </c>
      <c r="N1429" s="152" t="s">
        <v>98</v>
      </c>
      <c r="O1429" s="153" t="s">
        <v>207</v>
      </c>
      <c r="P1429" s="342" t="s">
        <v>98</v>
      </c>
      <c r="Q1429" s="151" t="s">
        <v>728</v>
      </c>
      <c r="R1429" s="156" t="s">
        <v>276</v>
      </c>
      <c r="S1429" s="156" t="s">
        <v>276</v>
      </c>
      <c r="T1429" s="168" t="s">
        <v>1219</v>
      </c>
      <c r="U1429" s="155">
        <v>21088</v>
      </c>
      <c r="V1429" s="151">
        <v>21195</v>
      </c>
      <c r="W1429" s="150" t="s">
        <v>276</v>
      </c>
      <c r="X1429" s="150" t="s">
        <v>276</v>
      </c>
      <c r="Y1429" s="150" t="s">
        <v>276</v>
      </c>
      <c r="Z1429" s="151" t="s">
        <v>894</v>
      </c>
      <c r="AA1429" s="150" t="s">
        <v>276</v>
      </c>
      <c r="AB1429" s="151" t="s">
        <v>894</v>
      </c>
      <c r="AC1429" s="151" t="s">
        <v>7719</v>
      </c>
      <c r="AD1429" s="151" t="s">
        <v>1674</v>
      </c>
      <c r="AE1429" s="150">
        <f>1+4+3+7+11</f>
        <v>26</v>
      </c>
      <c r="AF1429" s="150">
        <f>6+1+3+7</f>
        <v>17</v>
      </c>
      <c r="AG1429" s="156" t="s">
        <v>276</v>
      </c>
      <c r="AH1429" s="156" t="s">
        <v>276</v>
      </c>
      <c r="AI1429" s="156" t="s">
        <v>1019</v>
      </c>
      <c r="AJ1429" s="157">
        <v>126.9</v>
      </c>
      <c r="AK1429" s="157" t="s">
        <v>98</v>
      </c>
      <c r="AL1429" s="159" t="s">
        <v>276</v>
      </c>
      <c r="AM1429" s="159" t="s">
        <v>276</v>
      </c>
      <c r="AN1429" s="157">
        <v>82.5</v>
      </c>
      <c r="AO1429" s="158" t="s">
        <v>98</v>
      </c>
      <c r="AP1429" s="159" t="s">
        <v>276</v>
      </c>
      <c r="AQ1429" s="159" t="s">
        <v>276</v>
      </c>
      <c r="AR1429" s="150" t="s">
        <v>269</v>
      </c>
      <c r="AS1429" s="159" t="s">
        <v>276</v>
      </c>
      <c r="AT1429" s="159">
        <f t="shared" si="205"/>
        <v>1.5381818181818183</v>
      </c>
      <c r="AU1429" s="159" t="s">
        <v>276</v>
      </c>
      <c r="AV1429" s="159" t="s">
        <v>276</v>
      </c>
      <c r="AW1429" s="150" t="s">
        <v>276</v>
      </c>
      <c r="AX1429" s="150" t="s">
        <v>282</v>
      </c>
      <c r="AY1429" s="150" t="s">
        <v>98</v>
      </c>
      <c r="AZ1429" s="150" t="s">
        <v>98</v>
      </c>
      <c r="BA1429" s="150" t="s">
        <v>98</v>
      </c>
      <c r="BB1429" s="150" t="s">
        <v>98</v>
      </c>
      <c r="BC1429" s="151" t="s">
        <v>6627</v>
      </c>
      <c r="BD1429" s="151"/>
      <c r="BE1429" s="33" t="s">
        <v>114</v>
      </c>
      <c r="BF1429" s="33" t="s">
        <v>98</v>
      </c>
    </row>
    <row r="1430" spans="1:58" s="160" customFormat="1" ht="78" x14ac:dyDescent="0.3">
      <c r="A1430" s="150">
        <v>3852</v>
      </c>
      <c r="B1430" s="151" t="s">
        <v>7696</v>
      </c>
      <c r="C1430" s="150" t="s">
        <v>7697</v>
      </c>
      <c r="D1430" s="151" t="s">
        <v>7720</v>
      </c>
      <c r="E1430" s="150" t="s">
        <v>35</v>
      </c>
      <c r="F1430" s="150" t="s">
        <v>97</v>
      </c>
      <c r="G1430" s="150" t="s">
        <v>225</v>
      </c>
      <c r="H1430" s="150" t="s">
        <v>125</v>
      </c>
      <c r="I1430" s="150" t="s">
        <v>114</v>
      </c>
      <c r="J1430" s="151" t="s">
        <v>24</v>
      </c>
      <c r="K1430" s="151" t="s">
        <v>7710</v>
      </c>
      <c r="L1430" s="151" t="s">
        <v>276</v>
      </c>
      <c r="M1430" s="150" t="s">
        <v>14</v>
      </c>
      <c r="N1430" s="152" t="s">
        <v>98</v>
      </c>
      <c r="O1430" s="153" t="s">
        <v>207</v>
      </c>
      <c r="P1430" s="342" t="s">
        <v>98</v>
      </c>
      <c r="Q1430" s="151" t="s">
        <v>733</v>
      </c>
      <c r="R1430" s="156" t="s">
        <v>276</v>
      </c>
      <c r="S1430" s="156" t="s">
        <v>276</v>
      </c>
      <c r="T1430" s="168" t="s">
        <v>1192</v>
      </c>
      <c r="U1430" s="155">
        <v>21088</v>
      </c>
      <c r="V1430" s="151">
        <v>21195</v>
      </c>
      <c r="W1430" s="150" t="s">
        <v>276</v>
      </c>
      <c r="X1430" s="150" t="s">
        <v>276</v>
      </c>
      <c r="Y1430" s="150" t="s">
        <v>276</v>
      </c>
      <c r="Z1430" s="151" t="s">
        <v>894</v>
      </c>
      <c r="AA1430" s="150" t="s">
        <v>276</v>
      </c>
      <c r="AB1430" s="151" t="s">
        <v>894</v>
      </c>
      <c r="AC1430" s="151" t="s">
        <v>7721</v>
      </c>
      <c r="AD1430" s="151" t="s">
        <v>1674</v>
      </c>
      <c r="AE1430" s="150">
        <f>1+4+3+7+11+9</f>
        <v>35</v>
      </c>
      <c r="AF1430" s="150">
        <f>6+1+3+7+8</f>
        <v>25</v>
      </c>
      <c r="AG1430" s="156" t="s">
        <v>276</v>
      </c>
      <c r="AH1430" s="156" t="s">
        <v>276</v>
      </c>
      <c r="AI1430" s="156" t="s">
        <v>1019</v>
      </c>
      <c r="AJ1430" s="157">
        <v>171.6</v>
      </c>
      <c r="AK1430" s="157" t="s">
        <v>98</v>
      </c>
      <c r="AL1430" s="159" t="s">
        <v>276</v>
      </c>
      <c r="AM1430" s="159" t="s">
        <v>276</v>
      </c>
      <c r="AN1430" s="157">
        <v>122.1</v>
      </c>
      <c r="AO1430" s="158" t="s">
        <v>98</v>
      </c>
      <c r="AP1430" s="159" t="s">
        <v>276</v>
      </c>
      <c r="AQ1430" s="159" t="s">
        <v>276</v>
      </c>
      <c r="AR1430" s="150" t="s">
        <v>269</v>
      </c>
      <c r="AS1430" s="159" t="s">
        <v>276</v>
      </c>
      <c r="AT1430" s="159">
        <f t="shared" si="205"/>
        <v>1.4054054054054055</v>
      </c>
      <c r="AU1430" s="159" t="s">
        <v>276</v>
      </c>
      <c r="AV1430" s="159" t="s">
        <v>276</v>
      </c>
      <c r="AW1430" s="150" t="s">
        <v>276</v>
      </c>
      <c r="AX1430" s="150" t="s">
        <v>282</v>
      </c>
      <c r="AY1430" s="150" t="s">
        <v>98</v>
      </c>
      <c r="AZ1430" s="150" t="s">
        <v>98</v>
      </c>
      <c r="BA1430" s="150" t="s">
        <v>98</v>
      </c>
      <c r="BB1430" s="150" t="s">
        <v>98</v>
      </c>
      <c r="BC1430" s="151" t="s">
        <v>6627</v>
      </c>
      <c r="BD1430" s="151"/>
      <c r="BE1430" s="33" t="s">
        <v>114</v>
      </c>
      <c r="BF1430" s="33" t="s">
        <v>98</v>
      </c>
    </row>
    <row r="1431" spans="1:58" s="160" customFormat="1" ht="78" x14ac:dyDescent="0.3">
      <c r="A1431" s="150">
        <v>3852</v>
      </c>
      <c r="B1431" s="151" t="s">
        <v>7696</v>
      </c>
      <c r="C1431" s="150" t="s">
        <v>7697</v>
      </c>
      <c r="D1431" s="151" t="s">
        <v>7722</v>
      </c>
      <c r="E1431" s="150" t="s">
        <v>35</v>
      </c>
      <c r="F1431" s="150" t="s">
        <v>97</v>
      </c>
      <c r="G1431" s="150" t="s">
        <v>225</v>
      </c>
      <c r="H1431" s="150" t="s">
        <v>125</v>
      </c>
      <c r="I1431" s="150" t="s">
        <v>114</v>
      </c>
      <c r="J1431" s="151" t="s">
        <v>24</v>
      </c>
      <c r="K1431" s="151" t="s">
        <v>7710</v>
      </c>
      <c r="L1431" s="151" t="s">
        <v>276</v>
      </c>
      <c r="M1431" s="150" t="s">
        <v>14</v>
      </c>
      <c r="N1431" s="152" t="s">
        <v>98</v>
      </c>
      <c r="O1431" s="153" t="s">
        <v>207</v>
      </c>
      <c r="P1431" s="342" t="s">
        <v>98</v>
      </c>
      <c r="Q1431" s="151" t="s">
        <v>741</v>
      </c>
      <c r="R1431" s="156" t="s">
        <v>276</v>
      </c>
      <c r="S1431" s="156" t="s">
        <v>276</v>
      </c>
      <c r="T1431" s="168" t="s">
        <v>1192</v>
      </c>
      <c r="U1431" s="155">
        <v>21088</v>
      </c>
      <c r="V1431" s="151">
        <v>21195</v>
      </c>
      <c r="W1431" s="150" t="s">
        <v>276</v>
      </c>
      <c r="X1431" s="150" t="s">
        <v>276</v>
      </c>
      <c r="Y1431" s="150" t="s">
        <v>276</v>
      </c>
      <c r="Z1431" s="151" t="s">
        <v>894</v>
      </c>
      <c r="AA1431" s="150" t="s">
        <v>276</v>
      </c>
      <c r="AB1431" s="151" t="s">
        <v>894</v>
      </c>
      <c r="AC1431" s="151" t="s">
        <v>7723</v>
      </c>
      <c r="AD1431" s="151" t="s">
        <v>1674</v>
      </c>
      <c r="AE1431" s="150">
        <f>1+4+3+7+11+9+9</f>
        <v>44</v>
      </c>
      <c r="AF1431" s="150">
        <f>6+1+3+7+8+13</f>
        <v>38</v>
      </c>
      <c r="AG1431" s="156" t="s">
        <v>276</v>
      </c>
      <c r="AH1431" s="156" t="s">
        <v>276</v>
      </c>
      <c r="AI1431" s="156" t="s">
        <v>1019</v>
      </c>
      <c r="AJ1431" s="157">
        <v>216.8</v>
      </c>
      <c r="AK1431" s="157" t="s">
        <v>98</v>
      </c>
      <c r="AL1431" s="159" t="s">
        <v>276</v>
      </c>
      <c r="AM1431" s="159" t="s">
        <v>276</v>
      </c>
      <c r="AN1431" s="157">
        <v>187.1</v>
      </c>
      <c r="AO1431" s="158" t="s">
        <v>98</v>
      </c>
      <c r="AP1431" s="159" t="s">
        <v>276</v>
      </c>
      <c r="AQ1431" s="159" t="s">
        <v>276</v>
      </c>
      <c r="AR1431" s="150" t="s">
        <v>269</v>
      </c>
      <c r="AS1431" s="159" t="s">
        <v>276</v>
      </c>
      <c r="AT1431" s="159">
        <f t="shared" si="205"/>
        <v>1.1587386424371995</v>
      </c>
      <c r="AU1431" s="159" t="s">
        <v>276</v>
      </c>
      <c r="AV1431" s="159" t="s">
        <v>276</v>
      </c>
      <c r="AW1431" s="150" t="s">
        <v>276</v>
      </c>
      <c r="AX1431" s="150" t="s">
        <v>282</v>
      </c>
      <c r="AY1431" s="150" t="s">
        <v>98</v>
      </c>
      <c r="AZ1431" s="150" t="s">
        <v>98</v>
      </c>
      <c r="BA1431" s="150" t="s">
        <v>98</v>
      </c>
      <c r="BB1431" s="150" t="s">
        <v>98</v>
      </c>
      <c r="BC1431" s="151" t="s">
        <v>6627</v>
      </c>
      <c r="BD1431" s="151"/>
      <c r="BE1431" s="33" t="s">
        <v>114</v>
      </c>
      <c r="BF1431" s="33" t="s">
        <v>98</v>
      </c>
    </row>
    <row r="1432" spans="1:58" s="160" customFormat="1" ht="78" x14ac:dyDescent="0.3">
      <c r="A1432" s="150">
        <v>3852</v>
      </c>
      <c r="B1432" s="151" t="s">
        <v>7696</v>
      </c>
      <c r="C1432" s="150" t="s">
        <v>7697</v>
      </c>
      <c r="D1432" s="151" t="s">
        <v>7724</v>
      </c>
      <c r="E1432" s="150" t="s">
        <v>35</v>
      </c>
      <c r="F1432" s="150" t="s">
        <v>97</v>
      </c>
      <c r="G1432" s="150" t="s">
        <v>225</v>
      </c>
      <c r="H1432" s="150" t="s">
        <v>125</v>
      </c>
      <c r="I1432" s="150" t="s">
        <v>114</v>
      </c>
      <c r="J1432" s="151" t="s">
        <v>24</v>
      </c>
      <c r="K1432" s="151" t="s">
        <v>7710</v>
      </c>
      <c r="L1432" s="151" t="s">
        <v>276</v>
      </c>
      <c r="M1432" s="150" t="s">
        <v>14</v>
      </c>
      <c r="N1432" s="152" t="s">
        <v>98</v>
      </c>
      <c r="O1432" s="153" t="s">
        <v>207</v>
      </c>
      <c r="P1432" s="342" t="s">
        <v>98</v>
      </c>
      <c r="Q1432" s="151" t="s">
        <v>746</v>
      </c>
      <c r="R1432" s="156" t="s">
        <v>276</v>
      </c>
      <c r="S1432" s="156" t="s">
        <v>276</v>
      </c>
      <c r="T1432" s="168" t="s">
        <v>1224</v>
      </c>
      <c r="U1432" s="155">
        <v>21088</v>
      </c>
      <c r="V1432" s="151">
        <v>21195</v>
      </c>
      <c r="W1432" s="150" t="s">
        <v>276</v>
      </c>
      <c r="X1432" s="150" t="s">
        <v>276</v>
      </c>
      <c r="Y1432" s="150" t="s">
        <v>276</v>
      </c>
      <c r="Z1432" s="151" t="s">
        <v>894</v>
      </c>
      <c r="AA1432" s="150" t="s">
        <v>276</v>
      </c>
      <c r="AB1432" s="151" t="s">
        <v>894</v>
      </c>
      <c r="AC1432" s="151" t="s">
        <v>7725</v>
      </c>
      <c r="AD1432" s="151" t="s">
        <v>1674</v>
      </c>
      <c r="AE1432" s="150">
        <f>1+4+3+7+11+9+9+10</f>
        <v>54</v>
      </c>
      <c r="AF1432" s="150">
        <f>6+1+3+7+8+13+13</f>
        <v>51</v>
      </c>
      <c r="AG1432" s="156" t="s">
        <v>276</v>
      </c>
      <c r="AH1432" s="156" t="s">
        <v>276</v>
      </c>
      <c r="AI1432" s="156" t="s">
        <v>1019</v>
      </c>
      <c r="AJ1432" s="157">
        <v>267.60000000000002</v>
      </c>
      <c r="AK1432" s="157" t="s">
        <v>98</v>
      </c>
      <c r="AL1432" s="159" t="s">
        <v>276</v>
      </c>
      <c r="AM1432" s="159" t="s">
        <v>276</v>
      </c>
      <c r="AN1432" s="157">
        <v>253</v>
      </c>
      <c r="AO1432" s="158" t="s">
        <v>98</v>
      </c>
      <c r="AP1432" s="159" t="s">
        <v>276</v>
      </c>
      <c r="AQ1432" s="159" t="s">
        <v>276</v>
      </c>
      <c r="AR1432" s="150" t="s">
        <v>269</v>
      </c>
      <c r="AS1432" s="159" t="s">
        <v>276</v>
      </c>
      <c r="AT1432" s="159">
        <f t="shared" si="205"/>
        <v>1.057707509881423</v>
      </c>
      <c r="AU1432" s="159" t="s">
        <v>276</v>
      </c>
      <c r="AV1432" s="159" t="s">
        <v>276</v>
      </c>
      <c r="AW1432" s="150" t="s">
        <v>276</v>
      </c>
      <c r="AX1432" s="150" t="s">
        <v>282</v>
      </c>
      <c r="AY1432" s="150" t="s">
        <v>98</v>
      </c>
      <c r="AZ1432" s="150" t="s">
        <v>98</v>
      </c>
      <c r="BA1432" s="150" t="s">
        <v>98</v>
      </c>
      <c r="BB1432" s="150" t="s">
        <v>98</v>
      </c>
      <c r="BC1432" s="151" t="s">
        <v>6627</v>
      </c>
      <c r="BD1432" s="151"/>
      <c r="BE1432" s="33" t="s">
        <v>114</v>
      </c>
      <c r="BF1432" s="33" t="s">
        <v>98</v>
      </c>
    </row>
    <row r="1433" spans="1:58" s="160" customFormat="1" ht="78" x14ac:dyDescent="0.3">
      <c r="A1433" s="150">
        <v>3852</v>
      </c>
      <c r="B1433" s="151" t="s">
        <v>7696</v>
      </c>
      <c r="C1433" s="150" t="s">
        <v>7697</v>
      </c>
      <c r="D1433" s="151" t="s">
        <v>7726</v>
      </c>
      <c r="E1433" s="150" t="s">
        <v>35</v>
      </c>
      <c r="F1433" s="150" t="s">
        <v>97</v>
      </c>
      <c r="G1433" s="150" t="s">
        <v>225</v>
      </c>
      <c r="H1433" s="150" t="s">
        <v>125</v>
      </c>
      <c r="I1433" s="150" t="s">
        <v>114</v>
      </c>
      <c r="J1433" s="151" t="s">
        <v>24</v>
      </c>
      <c r="K1433" s="151" t="s">
        <v>7710</v>
      </c>
      <c r="L1433" s="151" t="s">
        <v>276</v>
      </c>
      <c r="M1433" s="150" t="s">
        <v>14</v>
      </c>
      <c r="N1433" s="152" t="s">
        <v>98</v>
      </c>
      <c r="O1433" s="153" t="s">
        <v>207</v>
      </c>
      <c r="P1433" s="342" t="s">
        <v>98</v>
      </c>
      <c r="Q1433" s="151" t="s">
        <v>752</v>
      </c>
      <c r="R1433" s="156" t="s">
        <v>276</v>
      </c>
      <c r="S1433" s="156" t="s">
        <v>276</v>
      </c>
      <c r="T1433" s="168" t="s">
        <v>1224</v>
      </c>
      <c r="U1433" s="155">
        <v>21088</v>
      </c>
      <c r="V1433" s="151">
        <v>21195</v>
      </c>
      <c r="W1433" s="150" t="s">
        <v>276</v>
      </c>
      <c r="X1433" s="150" t="s">
        <v>276</v>
      </c>
      <c r="Y1433" s="150" t="s">
        <v>276</v>
      </c>
      <c r="Z1433" s="151" t="s">
        <v>894</v>
      </c>
      <c r="AA1433" s="150" t="s">
        <v>276</v>
      </c>
      <c r="AB1433" s="151" t="s">
        <v>894</v>
      </c>
      <c r="AC1433" s="151" t="s">
        <v>7727</v>
      </c>
      <c r="AD1433" s="151" t="s">
        <v>1674</v>
      </c>
      <c r="AE1433" s="150">
        <f>1+4+3+7+11+9+9+10+7</f>
        <v>61</v>
      </c>
      <c r="AF1433" s="150">
        <f>6+1+3+7+8+13+13+13</f>
        <v>64</v>
      </c>
      <c r="AG1433" s="156" t="s">
        <v>276</v>
      </c>
      <c r="AH1433" s="156" t="s">
        <v>276</v>
      </c>
      <c r="AI1433" s="156" t="s">
        <v>1019</v>
      </c>
      <c r="AJ1433" s="157">
        <v>308.7</v>
      </c>
      <c r="AK1433" s="157" t="s">
        <v>98</v>
      </c>
      <c r="AL1433" s="159" t="s">
        <v>276</v>
      </c>
      <c r="AM1433" s="159" t="s">
        <v>276</v>
      </c>
      <c r="AN1433" s="157">
        <v>329</v>
      </c>
      <c r="AO1433" s="158" t="s">
        <v>98</v>
      </c>
      <c r="AP1433" s="159" t="s">
        <v>276</v>
      </c>
      <c r="AQ1433" s="159" t="s">
        <v>276</v>
      </c>
      <c r="AR1433" s="150" t="s">
        <v>269</v>
      </c>
      <c r="AS1433" s="159" t="s">
        <v>276</v>
      </c>
      <c r="AT1433" s="159">
        <f t="shared" si="205"/>
        <v>0.9382978723404255</v>
      </c>
      <c r="AU1433" s="159" t="s">
        <v>276</v>
      </c>
      <c r="AV1433" s="159" t="s">
        <v>276</v>
      </c>
      <c r="AW1433" s="150" t="s">
        <v>276</v>
      </c>
      <c r="AX1433" s="150" t="s">
        <v>282</v>
      </c>
      <c r="AY1433" s="150" t="s">
        <v>98</v>
      </c>
      <c r="AZ1433" s="150" t="s">
        <v>98</v>
      </c>
      <c r="BA1433" s="150" t="s">
        <v>98</v>
      </c>
      <c r="BB1433" s="150" t="s">
        <v>98</v>
      </c>
      <c r="BC1433" s="151" t="s">
        <v>6627</v>
      </c>
      <c r="BD1433" s="151"/>
      <c r="BE1433" s="33" t="s">
        <v>114</v>
      </c>
      <c r="BF1433" s="33" t="s">
        <v>98</v>
      </c>
    </row>
    <row r="1434" spans="1:58" s="160" customFormat="1" ht="78" x14ac:dyDescent="0.3">
      <c r="A1434" s="150">
        <v>3852</v>
      </c>
      <c r="B1434" s="151" t="s">
        <v>7696</v>
      </c>
      <c r="C1434" s="150" t="s">
        <v>7697</v>
      </c>
      <c r="D1434" s="151" t="s">
        <v>7728</v>
      </c>
      <c r="E1434" s="150" t="s">
        <v>35</v>
      </c>
      <c r="F1434" s="150" t="s">
        <v>97</v>
      </c>
      <c r="G1434" s="150" t="s">
        <v>225</v>
      </c>
      <c r="H1434" s="150" t="s">
        <v>125</v>
      </c>
      <c r="I1434" s="150" t="s">
        <v>114</v>
      </c>
      <c r="J1434" s="151" t="s">
        <v>24</v>
      </c>
      <c r="K1434" s="151" t="s">
        <v>7710</v>
      </c>
      <c r="L1434" s="151" t="s">
        <v>276</v>
      </c>
      <c r="M1434" s="150" t="s">
        <v>14</v>
      </c>
      <c r="N1434" s="152" t="s">
        <v>98</v>
      </c>
      <c r="O1434" s="153" t="s">
        <v>207</v>
      </c>
      <c r="P1434" s="342" t="s">
        <v>98</v>
      </c>
      <c r="Q1434" s="151" t="s">
        <v>766</v>
      </c>
      <c r="R1434" s="156" t="s">
        <v>276</v>
      </c>
      <c r="S1434" s="156" t="s">
        <v>276</v>
      </c>
      <c r="T1434" s="168" t="s">
        <v>1193</v>
      </c>
      <c r="U1434" s="155">
        <v>21088</v>
      </c>
      <c r="V1434" s="151">
        <v>21195</v>
      </c>
      <c r="W1434" s="150" t="s">
        <v>276</v>
      </c>
      <c r="X1434" s="150" t="s">
        <v>276</v>
      </c>
      <c r="Y1434" s="150">
        <v>89</v>
      </c>
      <c r="Z1434" s="151" t="s">
        <v>7706</v>
      </c>
      <c r="AA1434" s="150">
        <v>102</v>
      </c>
      <c r="AB1434" s="151" t="s">
        <v>7706</v>
      </c>
      <c r="AC1434" s="151" t="s">
        <v>7729</v>
      </c>
      <c r="AD1434" s="151" t="s">
        <v>1674</v>
      </c>
      <c r="AE1434" s="150">
        <f>1+4+3+7+11+9+9+10+7+2</f>
        <v>63</v>
      </c>
      <c r="AF1434" s="150">
        <f>6+1+3+7+8+13+13+13+2</f>
        <v>66</v>
      </c>
      <c r="AG1434" s="156" t="s">
        <v>276</v>
      </c>
      <c r="AH1434" s="156" t="s">
        <v>276</v>
      </c>
      <c r="AI1434" s="156" t="s">
        <v>1019</v>
      </c>
      <c r="AJ1434" s="157">
        <v>341.6</v>
      </c>
      <c r="AK1434" s="157" t="s">
        <v>98</v>
      </c>
      <c r="AL1434" s="159" t="s">
        <v>276</v>
      </c>
      <c r="AM1434" s="159" t="s">
        <v>276</v>
      </c>
      <c r="AN1434" s="157">
        <v>361.8</v>
      </c>
      <c r="AO1434" s="158" t="s">
        <v>98</v>
      </c>
      <c r="AP1434" s="159" t="s">
        <v>276</v>
      </c>
      <c r="AQ1434" s="159" t="s">
        <v>276</v>
      </c>
      <c r="AR1434" s="150" t="s">
        <v>269</v>
      </c>
      <c r="AS1434" s="159" t="s">
        <v>276</v>
      </c>
      <c r="AT1434" s="159">
        <f t="shared" si="205"/>
        <v>0.94416804864566062</v>
      </c>
      <c r="AU1434" s="159" t="s">
        <v>276</v>
      </c>
      <c r="AV1434" s="159" t="s">
        <v>276</v>
      </c>
      <c r="AW1434" s="150" t="s">
        <v>276</v>
      </c>
      <c r="AX1434" s="150" t="s">
        <v>282</v>
      </c>
      <c r="AY1434" s="150" t="s">
        <v>98</v>
      </c>
      <c r="AZ1434" s="150" t="s">
        <v>98</v>
      </c>
      <c r="BA1434" s="150" t="s">
        <v>98</v>
      </c>
      <c r="BB1434" s="150" t="s">
        <v>98</v>
      </c>
      <c r="BC1434" s="151" t="s">
        <v>6627</v>
      </c>
      <c r="BD1434" s="151"/>
      <c r="BE1434" s="33" t="s">
        <v>114</v>
      </c>
      <c r="BF1434" s="33" t="s">
        <v>98</v>
      </c>
    </row>
    <row r="1435" spans="1:58" s="149" customFormat="1" ht="78" x14ac:dyDescent="0.3">
      <c r="A1435" s="126">
        <v>3852</v>
      </c>
      <c r="B1435" s="127" t="s">
        <v>7696</v>
      </c>
      <c r="C1435" s="126" t="s">
        <v>7697</v>
      </c>
      <c r="D1435" s="127" t="s">
        <v>7730</v>
      </c>
      <c r="E1435" s="126" t="s">
        <v>35</v>
      </c>
      <c r="F1435" s="126" t="s">
        <v>97</v>
      </c>
      <c r="G1435" s="126" t="s">
        <v>225</v>
      </c>
      <c r="H1435" s="126" t="s">
        <v>125</v>
      </c>
      <c r="I1435" s="126" t="s">
        <v>114</v>
      </c>
      <c r="J1435" s="127" t="s">
        <v>24</v>
      </c>
      <c r="K1435" s="127" t="s">
        <v>7710</v>
      </c>
      <c r="L1435" s="127" t="s">
        <v>276</v>
      </c>
      <c r="M1435" s="126" t="s">
        <v>14</v>
      </c>
      <c r="N1435" s="145" t="s">
        <v>98</v>
      </c>
      <c r="O1435" s="131" t="s">
        <v>207</v>
      </c>
      <c r="P1435" s="197">
        <v>28855</v>
      </c>
      <c r="Q1435" s="127" t="s">
        <v>276</v>
      </c>
      <c r="R1435" s="134" t="s">
        <v>276</v>
      </c>
      <c r="S1435" s="134" t="s">
        <v>276</v>
      </c>
      <c r="T1435" s="167" t="s">
        <v>1212</v>
      </c>
      <c r="U1435" s="132">
        <v>21088</v>
      </c>
      <c r="V1435" s="127">
        <v>21195</v>
      </c>
      <c r="W1435" s="126" t="s">
        <v>276</v>
      </c>
      <c r="X1435" s="126" t="s">
        <v>276</v>
      </c>
      <c r="Y1435" s="126" t="s">
        <v>276</v>
      </c>
      <c r="Z1435" s="127" t="s">
        <v>894</v>
      </c>
      <c r="AA1435" s="126" t="s">
        <v>276</v>
      </c>
      <c r="AB1435" s="127" t="s">
        <v>894</v>
      </c>
      <c r="AC1435" s="127" t="s">
        <v>7731</v>
      </c>
      <c r="AD1435" s="127" t="s">
        <v>7703</v>
      </c>
      <c r="AE1435" s="126">
        <v>1</v>
      </c>
      <c r="AF1435" s="126">
        <v>1</v>
      </c>
      <c r="AG1435" s="132">
        <v>21088</v>
      </c>
      <c r="AH1435" s="127">
        <v>21195</v>
      </c>
      <c r="AI1435" s="134" t="s">
        <v>281</v>
      </c>
      <c r="AJ1435" s="135" t="s">
        <v>276</v>
      </c>
      <c r="AK1435" s="148">
        <f t="shared" ref="AK1435:AK1445" si="206">AE1435*1000/AG1435</f>
        <v>4.742033383915023E-2</v>
      </c>
      <c r="AL1435" s="135" t="s">
        <v>276</v>
      </c>
      <c r="AM1435" s="135" t="s">
        <v>276</v>
      </c>
      <c r="AN1435" s="135" t="s">
        <v>276</v>
      </c>
      <c r="AO1435" s="148">
        <f t="shared" ref="AO1435:AO1452" si="207">AF1435*1000/AH1435</f>
        <v>4.7180938900684123E-2</v>
      </c>
      <c r="AP1435" s="135" t="s">
        <v>276</v>
      </c>
      <c r="AQ1435" s="135" t="s">
        <v>276</v>
      </c>
      <c r="AR1435" s="126" t="s">
        <v>268</v>
      </c>
      <c r="AS1435" s="135" t="s">
        <v>276</v>
      </c>
      <c r="AT1435" s="135">
        <f t="shared" ref="AT1435:AT1452" si="208">AK1435/AO1435</f>
        <v>1.0050739757207892</v>
      </c>
      <c r="AU1435" s="135" t="s">
        <v>276</v>
      </c>
      <c r="AV1435" s="135" t="s">
        <v>276</v>
      </c>
      <c r="AW1435" s="126" t="s">
        <v>276</v>
      </c>
      <c r="AX1435" s="126" t="s">
        <v>282</v>
      </c>
      <c r="AY1435" s="126" t="s">
        <v>98</v>
      </c>
      <c r="AZ1435" s="126" t="s">
        <v>98</v>
      </c>
      <c r="BA1435" s="126" t="s">
        <v>98</v>
      </c>
      <c r="BB1435" s="126" t="s">
        <v>98</v>
      </c>
      <c r="BC1435" s="127" t="s">
        <v>7732</v>
      </c>
      <c r="BD1435" s="127"/>
      <c r="BE1435" s="33" t="s">
        <v>114</v>
      </c>
      <c r="BF1435" s="33" t="s">
        <v>98</v>
      </c>
    </row>
    <row r="1436" spans="1:58" s="149" customFormat="1" ht="78" x14ac:dyDescent="0.3">
      <c r="A1436" s="126">
        <v>3852</v>
      </c>
      <c r="B1436" s="127" t="s">
        <v>7696</v>
      </c>
      <c r="C1436" s="126" t="s">
        <v>7697</v>
      </c>
      <c r="D1436" s="127" t="s">
        <v>7733</v>
      </c>
      <c r="E1436" s="126" t="s">
        <v>35</v>
      </c>
      <c r="F1436" s="126" t="s">
        <v>97</v>
      </c>
      <c r="G1436" s="126" t="s">
        <v>225</v>
      </c>
      <c r="H1436" s="126" t="s">
        <v>125</v>
      </c>
      <c r="I1436" s="126" t="s">
        <v>114</v>
      </c>
      <c r="J1436" s="127" t="s">
        <v>24</v>
      </c>
      <c r="K1436" s="127" t="s">
        <v>7710</v>
      </c>
      <c r="L1436" s="127" t="s">
        <v>276</v>
      </c>
      <c r="M1436" s="126" t="s">
        <v>14</v>
      </c>
      <c r="N1436" s="145" t="s">
        <v>98</v>
      </c>
      <c r="O1436" s="131" t="s">
        <v>207</v>
      </c>
      <c r="P1436" s="197">
        <v>29220</v>
      </c>
      <c r="Q1436" s="127" t="s">
        <v>276</v>
      </c>
      <c r="R1436" s="134" t="s">
        <v>276</v>
      </c>
      <c r="S1436" s="134" t="s">
        <v>276</v>
      </c>
      <c r="T1436" s="167" t="s">
        <v>2331</v>
      </c>
      <c r="U1436" s="132">
        <v>21088</v>
      </c>
      <c r="V1436" s="127">
        <v>21195</v>
      </c>
      <c r="W1436" s="126" t="s">
        <v>276</v>
      </c>
      <c r="X1436" s="126" t="s">
        <v>276</v>
      </c>
      <c r="Y1436" s="126" t="s">
        <v>276</v>
      </c>
      <c r="Z1436" s="127" t="s">
        <v>894</v>
      </c>
      <c r="AA1436" s="126" t="s">
        <v>276</v>
      </c>
      <c r="AB1436" s="127" t="s">
        <v>894</v>
      </c>
      <c r="AC1436" s="127" t="s">
        <v>7734</v>
      </c>
      <c r="AD1436" s="127" t="s">
        <v>7703</v>
      </c>
      <c r="AE1436" s="126">
        <v>7</v>
      </c>
      <c r="AF1436" s="126">
        <v>4</v>
      </c>
      <c r="AG1436" s="132">
        <v>21088</v>
      </c>
      <c r="AH1436" s="127">
        <v>21195</v>
      </c>
      <c r="AI1436" s="134" t="s">
        <v>281</v>
      </c>
      <c r="AJ1436" s="135" t="s">
        <v>276</v>
      </c>
      <c r="AK1436" s="148">
        <f t="shared" si="206"/>
        <v>0.33194233687405161</v>
      </c>
      <c r="AL1436" s="135" t="s">
        <v>276</v>
      </c>
      <c r="AM1436" s="135" t="s">
        <v>276</v>
      </c>
      <c r="AN1436" s="135" t="s">
        <v>276</v>
      </c>
      <c r="AO1436" s="148">
        <f t="shared" si="207"/>
        <v>0.18872375560273649</v>
      </c>
      <c r="AP1436" s="135" t="s">
        <v>276</v>
      </c>
      <c r="AQ1436" s="135" t="s">
        <v>276</v>
      </c>
      <c r="AR1436" s="126" t="s">
        <v>268</v>
      </c>
      <c r="AS1436" s="135" t="s">
        <v>276</v>
      </c>
      <c r="AT1436" s="135">
        <f t="shared" si="208"/>
        <v>1.7588794575113811</v>
      </c>
      <c r="AU1436" s="135" t="s">
        <v>276</v>
      </c>
      <c r="AV1436" s="135" t="s">
        <v>276</v>
      </c>
      <c r="AW1436" s="126" t="s">
        <v>276</v>
      </c>
      <c r="AX1436" s="126" t="s">
        <v>282</v>
      </c>
      <c r="AY1436" s="126" t="s">
        <v>98</v>
      </c>
      <c r="AZ1436" s="126" t="s">
        <v>98</v>
      </c>
      <c r="BA1436" s="126" t="s">
        <v>98</v>
      </c>
      <c r="BB1436" s="126" t="s">
        <v>98</v>
      </c>
      <c r="BC1436" s="127" t="s">
        <v>7732</v>
      </c>
      <c r="BD1436" s="127"/>
      <c r="BE1436" s="33" t="s">
        <v>114</v>
      </c>
      <c r="BF1436" s="33" t="s">
        <v>98</v>
      </c>
    </row>
    <row r="1437" spans="1:58" s="149" customFormat="1" ht="78" x14ac:dyDescent="0.3">
      <c r="A1437" s="126">
        <v>3852</v>
      </c>
      <c r="B1437" s="127" t="s">
        <v>7696</v>
      </c>
      <c r="C1437" s="126" t="s">
        <v>7697</v>
      </c>
      <c r="D1437" s="127" t="s">
        <v>7735</v>
      </c>
      <c r="E1437" s="126" t="s">
        <v>35</v>
      </c>
      <c r="F1437" s="126" t="s">
        <v>97</v>
      </c>
      <c r="G1437" s="126" t="s">
        <v>225</v>
      </c>
      <c r="H1437" s="126" t="s">
        <v>125</v>
      </c>
      <c r="I1437" s="126" t="s">
        <v>114</v>
      </c>
      <c r="J1437" s="127" t="s">
        <v>24</v>
      </c>
      <c r="K1437" s="127" t="s">
        <v>7710</v>
      </c>
      <c r="L1437" s="127" t="s">
        <v>276</v>
      </c>
      <c r="M1437" s="126" t="s">
        <v>14</v>
      </c>
      <c r="N1437" s="145" t="s">
        <v>98</v>
      </c>
      <c r="O1437" s="131" t="s">
        <v>207</v>
      </c>
      <c r="P1437" s="197">
        <v>29586</v>
      </c>
      <c r="Q1437" s="127" t="s">
        <v>276</v>
      </c>
      <c r="R1437" s="134" t="s">
        <v>276</v>
      </c>
      <c r="S1437" s="134" t="s">
        <v>276</v>
      </c>
      <c r="T1437" s="167" t="s">
        <v>5401</v>
      </c>
      <c r="U1437" s="132">
        <v>21088</v>
      </c>
      <c r="V1437" s="127">
        <v>21195</v>
      </c>
      <c r="W1437" s="126" t="s">
        <v>276</v>
      </c>
      <c r="X1437" s="126" t="s">
        <v>276</v>
      </c>
      <c r="Y1437" s="126" t="s">
        <v>276</v>
      </c>
      <c r="Z1437" s="127" t="s">
        <v>894</v>
      </c>
      <c r="AA1437" s="126" t="s">
        <v>276</v>
      </c>
      <c r="AB1437" s="127" t="s">
        <v>894</v>
      </c>
      <c r="AC1437" s="127" t="s">
        <v>7736</v>
      </c>
      <c r="AD1437" s="127" t="s">
        <v>7703</v>
      </c>
      <c r="AE1437" s="126">
        <v>12</v>
      </c>
      <c r="AF1437" s="126">
        <v>7</v>
      </c>
      <c r="AG1437" s="132">
        <v>21088</v>
      </c>
      <c r="AH1437" s="127">
        <v>21195</v>
      </c>
      <c r="AI1437" s="134" t="s">
        <v>281</v>
      </c>
      <c r="AJ1437" s="135" t="s">
        <v>276</v>
      </c>
      <c r="AK1437" s="148">
        <f t="shared" si="206"/>
        <v>0.56904400606980277</v>
      </c>
      <c r="AL1437" s="135" t="s">
        <v>276</v>
      </c>
      <c r="AM1437" s="135" t="s">
        <v>276</v>
      </c>
      <c r="AN1437" s="135" t="s">
        <v>276</v>
      </c>
      <c r="AO1437" s="148">
        <f t="shared" si="207"/>
        <v>0.33026657230478884</v>
      </c>
      <c r="AP1437" s="135" t="s">
        <v>276</v>
      </c>
      <c r="AQ1437" s="135" t="s">
        <v>276</v>
      </c>
      <c r="AR1437" s="126" t="s">
        <v>268</v>
      </c>
      <c r="AS1437" s="135" t="s">
        <v>276</v>
      </c>
      <c r="AT1437" s="135">
        <f t="shared" si="208"/>
        <v>1.7229839583784958</v>
      </c>
      <c r="AU1437" s="135" t="s">
        <v>276</v>
      </c>
      <c r="AV1437" s="135" t="s">
        <v>276</v>
      </c>
      <c r="AW1437" s="126" t="s">
        <v>276</v>
      </c>
      <c r="AX1437" s="126" t="s">
        <v>282</v>
      </c>
      <c r="AY1437" s="126" t="s">
        <v>98</v>
      </c>
      <c r="AZ1437" s="126" t="s">
        <v>98</v>
      </c>
      <c r="BA1437" s="126" t="s">
        <v>98</v>
      </c>
      <c r="BB1437" s="126" t="s">
        <v>98</v>
      </c>
      <c r="BC1437" s="127" t="s">
        <v>7732</v>
      </c>
      <c r="BD1437" s="127"/>
      <c r="BE1437" s="33" t="s">
        <v>114</v>
      </c>
      <c r="BF1437" s="33" t="s">
        <v>98</v>
      </c>
    </row>
    <row r="1438" spans="1:58" s="149" customFormat="1" ht="78" x14ac:dyDescent="0.3">
      <c r="A1438" s="126">
        <v>3852</v>
      </c>
      <c r="B1438" s="127" t="s">
        <v>7696</v>
      </c>
      <c r="C1438" s="126" t="s">
        <v>7697</v>
      </c>
      <c r="D1438" s="127" t="s">
        <v>7737</v>
      </c>
      <c r="E1438" s="126" t="s">
        <v>35</v>
      </c>
      <c r="F1438" s="126" t="s">
        <v>97</v>
      </c>
      <c r="G1438" s="126" t="s">
        <v>225</v>
      </c>
      <c r="H1438" s="126" t="s">
        <v>125</v>
      </c>
      <c r="I1438" s="126" t="s">
        <v>114</v>
      </c>
      <c r="J1438" s="127" t="s">
        <v>24</v>
      </c>
      <c r="K1438" s="127" t="s">
        <v>7710</v>
      </c>
      <c r="L1438" s="127" t="s">
        <v>276</v>
      </c>
      <c r="M1438" s="126" t="s">
        <v>14</v>
      </c>
      <c r="N1438" s="145" t="s">
        <v>98</v>
      </c>
      <c r="O1438" s="131" t="s">
        <v>207</v>
      </c>
      <c r="P1438" s="197">
        <v>29951</v>
      </c>
      <c r="Q1438" s="127" t="s">
        <v>276</v>
      </c>
      <c r="R1438" s="134" t="s">
        <v>276</v>
      </c>
      <c r="S1438" s="134" t="s">
        <v>276</v>
      </c>
      <c r="T1438" s="167" t="s">
        <v>5401</v>
      </c>
      <c r="U1438" s="132">
        <v>21088</v>
      </c>
      <c r="V1438" s="127">
        <v>21195</v>
      </c>
      <c r="W1438" s="126" t="s">
        <v>276</v>
      </c>
      <c r="X1438" s="126" t="s">
        <v>276</v>
      </c>
      <c r="Y1438" s="126" t="s">
        <v>276</v>
      </c>
      <c r="Z1438" s="127" t="s">
        <v>894</v>
      </c>
      <c r="AA1438" s="126" t="s">
        <v>276</v>
      </c>
      <c r="AB1438" s="127" t="s">
        <v>894</v>
      </c>
      <c r="AC1438" s="127" t="s">
        <v>7738</v>
      </c>
      <c r="AD1438" s="127" t="s">
        <v>7703</v>
      </c>
      <c r="AE1438" s="126">
        <v>18</v>
      </c>
      <c r="AF1438" s="126">
        <v>12</v>
      </c>
      <c r="AG1438" s="132">
        <v>21088</v>
      </c>
      <c r="AH1438" s="127">
        <v>21195</v>
      </c>
      <c r="AI1438" s="134" t="s">
        <v>281</v>
      </c>
      <c r="AJ1438" s="135" t="s">
        <v>276</v>
      </c>
      <c r="AK1438" s="148">
        <f t="shared" si="206"/>
        <v>0.85356600910470415</v>
      </c>
      <c r="AL1438" s="135" t="s">
        <v>276</v>
      </c>
      <c r="AM1438" s="135" t="s">
        <v>276</v>
      </c>
      <c r="AN1438" s="135" t="s">
        <v>276</v>
      </c>
      <c r="AO1438" s="148">
        <f t="shared" si="207"/>
        <v>0.56617126680820951</v>
      </c>
      <c r="AP1438" s="135" t="s">
        <v>276</v>
      </c>
      <c r="AQ1438" s="135" t="s">
        <v>276</v>
      </c>
      <c r="AR1438" s="126" t="s">
        <v>268</v>
      </c>
      <c r="AS1438" s="135" t="s">
        <v>276</v>
      </c>
      <c r="AT1438" s="135">
        <f t="shared" si="208"/>
        <v>1.5076109635811836</v>
      </c>
      <c r="AU1438" s="135" t="s">
        <v>276</v>
      </c>
      <c r="AV1438" s="135" t="s">
        <v>276</v>
      </c>
      <c r="AW1438" s="126" t="s">
        <v>276</v>
      </c>
      <c r="AX1438" s="126" t="s">
        <v>282</v>
      </c>
      <c r="AY1438" s="126" t="s">
        <v>98</v>
      </c>
      <c r="AZ1438" s="126" t="s">
        <v>98</v>
      </c>
      <c r="BA1438" s="126" t="s">
        <v>98</v>
      </c>
      <c r="BB1438" s="126" t="s">
        <v>98</v>
      </c>
      <c r="BC1438" s="127" t="s">
        <v>7732</v>
      </c>
      <c r="BD1438" s="127"/>
      <c r="BE1438" s="33" t="s">
        <v>114</v>
      </c>
      <c r="BF1438" s="33" t="s">
        <v>98</v>
      </c>
    </row>
    <row r="1439" spans="1:58" s="149" customFormat="1" ht="78" x14ac:dyDescent="0.3">
      <c r="A1439" s="126">
        <v>3852</v>
      </c>
      <c r="B1439" s="127" t="s">
        <v>7696</v>
      </c>
      <c r="C1439" s="126" t="s">
        <v>7697</v>
      </c>
      <c r="D1439" s="127" t="s">
        <v>7739</v>
      </c>
      <c r="E1439" s="126" t="s">
        <v>35</v>
      </c>
      <c r="F1439" s="126" t="s">
        <v>97</v>
      </c>
      <c r="G1439" s="126" t="s">
        <v>225</v>
      </c>
      <c r="H1439" s="126" t="s">
        <v>125</v>
      </c>
      <c r="I1439" s="126" t="s">
        <v>114</v>
      </c>
      <c r="J1439" s="127" t="s">
        <v>24</v>
      </c>
      <c r="K1439" s="127" t="s">
        <v>7710</v>
      </c>
      <c r="L1439" s="127" t="s">
        <v>276</v>
      </c>
      <c r="M1439" s="126" t="s">
        <v>14</v>
      </c>
      <c r="N1439" s="145" t="s">
        <v>98</v>
      </c>
      <c r="O1439" s="131" t="s">
        <v>207</v>
      </c>
      <c r="P1439" s="197">
        <v>30316</v>
      </c>
      <c r="Q1439" s="127" t="s">
        <v>276</v>
      </c>
      <c r="R1439" s="134" t="s">
        <v>276</v>
      </c>
      <c r="S1439" s="134" t="s">
        <v>276</v>
      </c>
      <c r="T1439" s="167" t="s">
        <v>6411</v>
      </c>
      <c r="U1439" s="132">
        <v>21088</v>
      </c>
      <c r="V1439" s="127">
        <v>21195</v>
      </c>
      <c r="W1439" s="126" t="s">
        <v>276</v>
      </c>
      <c r="X1439" s="126" t="s">
        <v>276</v>
      </c>
      <c r="Y1439" s="126" t="s">
        <v>276</v>
      </c>
      <c r="Z1439" s="127" t="s">
        <v>894</v>
      </c>
      <c r="AA1439" s="126" t="s">
        <v>276</v>
      </c>
      <c r="AB1439" s="127" t="s">
        <v>894</v>
      </c>
      <c r="AC1439" s="127" t="s">
        <v>7740</v>
      </c>
      <c r="AD1439" s="127" t="s">
        <v>7703</v>
      </c>
      <c r="AE1439" s="126">
        <v>29</v>
      </c>
      <c r="AF1439" s="126">
        <v>18</v>
      </c>
      <c r="AG1439" s="132">
        <v>21088</v>
      </c>
      <c r="AH1439" s="127">
        <v>21195</v>
      </c>
      <c r="AI1439" s="134" t="s">
        <v>281</v>
      </c>
      <c r="AJ1439" s="135" t="s">
        <v>276</v>
      </c>
      <c r="AK1439" s="148">
        <f t="shared" si="206"/>
        <v>1.3751896813353566</v>
      </c>
      <c r="AL1439" s="135" t="s">
        <v>276</v>
      </c>
      <c r="AM1439" s="135" t="s">
        <v>276</v>
      </c>
      <c r="AN1439" s="135" t="s">
        <v>276</v>
      </c>
      <c r="AO1439" s="148">
        <f t="shared" si="207"/>
        <v>0.84925690021231426</v>
      </c>
      <c r="AP1439" s="135" t="s">
        <v>276</v>
      </c>
      <c r="AQ1439" s="135" t="s">
        <v>276</v>
      </c>
      <c r="AR1439" s="126" t="s">
        <v>268</v>
      </c>
      <c r="AS1439" s="135" t="s">
        <v>276</v>
      </c>
      <c r="AT1439" s="135">
        <f t="shared" si="208"/>
        <v>1.6192858497723823</v>
      </c>
      <c r="AU1439" s="135" t="s">
        <v>276</v>
      </c>
      <c r="AV1439" s="135" t="s">
        <v>276</v>
      </c>
      <c r="AW1439" s="126" t="s">
        <v>276</v>
      </c>
      <c r="AX1439" s="126" t="s">
        <v>282</v>
      </c>
      <c r="AY1439" s="126" t="s">
        <v>98</v>
      </c>
      <c r="AZ1439" s="126" t="s">
        <v>98</v>
      </c>
      <c r="BA1439" s="126" t="s">
        <v>98</v>
      </c>
      <c r="BB1439" s="126" t="s">
        <v>98</v>
      </c>
      <c r="BC1439" s="127" t="s">
        <v>7732</v>
      </c>
      <c r="BD1439" s="127"/>
      <c r="BE1439" s="33" t="s">
        <v>114</v>
      </c>
      <c r="BF1439" s="33" t="s">
        <v>98</v>
      </c>
    </row>
    <row r="1440" spans="1:58" s="149" customFormat="1" ht="78" x14ac:dyDescent="0.3">
      <c r="A1440" s="126">
        <v>3852</v>
      </c>
      <c r="B1440" s="127" t="s">
        <v>7696</v>
      </c>
      <c r="C1440" s="126" t="s">
        <v>7697</v>
      </c>
      <c r="D1440" s="127" t="s">
        <v>7741</v>
      </c>
      <c r="E1440" s="126" t="s">
        <v>35</v>
      </c>
      <c r="F1440" s="126" t="s">
        <v>97</v>
      </c>
      <c r="G1440" s="126" t="s">
        <v>225</v>
      </c>
      <c r="H1440" s="126" t="s">
        <v>125</v>
      </c>
      <c r="I1440" s="126" t="s">
        <v>114</v>
      </c>
      <c r="J1440" s="127" t="s">
        <v>24</v>
      </c>
      <c r="K1440" s="127" t="s">
        <v>7710</v>
      </c>
      <c r="L1440" s="127" t="s">
        <v>276</v>
      </c>
      <c r="M1440" s="126" t="s">
        <v>14</v>
      </c>
      <c r="N1440" s="145" t="s">
        <v>98</v>
      </c>
      <c r="O1440" s="131" t="s">
        <v>207</v>
      </c>
      <c r="P1440" s="197">
        <v>30681</v>
      </c>
      <c r="Q1440" s="127" t="s">
        <v>276</v>
      </c>
      <c r="R1440" s="134" t="s">
        <v>276</v>
      </c>
      <c r="S1440" s="134" t="s">
        <v>276</v>
      </c>
      <c r="T1440" s="167" t="s">
        <v>6411</v>
      </c>
      <c r="U1440" s="132">
        <v>21088</v>
      </c>
      <c r="V1440" s="127">
        <v>21195</v>
      </c>
      <c r="W1440" s="126" t="s">
        <v>276</v>
      </c>
      <c r="X1440" s="126" t="s">
        <v>276</v>
      </c>
      <c r="Y1440" s="126" t="s">
        <v>276</v>
      </c>
      <c r="Z1440" s="127" t="s">
        <v>894</v>
      </c>
      <c r="AA1440" s="126" t="s">
        <v>276</v>
      </c>
      <c r="AB1440" s="127" t="s">
        <v>894</v>
      </c>
      <c r="AC1440" s="127" t="s">
        <v>7742</v>
      </c>
      <c r="AD1440" s="127" t="s">
        <v>7703</v>
      </c>
      <c r="AE1440" s="126">
        <v>36</v>
      </c>
      <c r="AF1440" s="126">
        <v>26</v>
      </c>
      <c r="AG1440" s="132">
        <v>21088</v>
      </c>
      <c r="AH1440" s="127">
        <v>21195</v>
      </c>
      <c r="AI1440" s="134" t="s">
        <v>281</v>
      </c>
      <c r="AJ1440" s="135" t="s">
        <v>276</v>
      </c>
      <c r="AK1440" s="148">
        <f t="shared" si="206"/>
        <v>1.7071320182094083</v>
      </c>
      <c r="AL1440" s="135" t="s">
        <v>276</v>
      </c>
      <c r="AM1440" s="135" t="s">
        <v>276</v>
      </c>
      <c r="AN1440" s="135" t="s">
        <v>276</v>
      </c>
      <c r="AO1440" s="148">
        <f t="shared" si="207"/>
        <v>1.2267044114177872</v>
      </c>
      <c r="AP1440" s="135" t="s">
        <v>276</v>
      </c>
      <c r="AQ1440" s="135" t="s">
        <v>276</v>
      </c>
      <c r="AR1440" s="126" t="s">
        <v>268</v>
      </c>
      <c r="AS1440" s="135" t="s">
        <v>276</v>
      </c>
      <c r="AT1440" s="135">
        <f t="shared" si="208"/>
        <v>1.3916408894595542</v>
      </c>
      <c r="AU1440" s="135" t="s">
        <v>276</v>
      </c>
      <c r="AV1440" s="135" t="s">
        <v>276</v>
      </c>
      <c r="AW1440" s="126" t="s">
        <v>276</v>
      </c>
      <c r="AX1440" s="126" t="s">
        <v>282</v>
      </c>
      <c r="AY1440" s="126" t="s">
        <v>98</v>
      </c>
      <c r="AZ1440" s="126" t="s">
        <v>98</v>
      </c>
      <c r="BA1440" s="126" t="s">
        <v>98</v>
      </c>
      <c r="BB1440" s="126" t="s">
        <v>98</v>
      </c>
      <c r="BC1440" s="127" t="s">
        <v>7732</v>
      </c>
      <c r="BD1440" s="127"/>
      <c r="BE1440" s="33" t="s">
        <v>114</v>
      </c>
      <c r="BF1440" s="33" t="s">
        <v>98</v>
      </c>
    </row>
    <row r="1441" spans="1:58" s="149" customFormat="1" ht="78" x14ac:dyDescent="0.3">
      <c r="A1441" s="126">
        <v>3852</v>
      </c>
      <c r="B1441" s="127" t="s">
        <v>7696</v>
      </c>
      <c r="C1441" s="126" t="s">
        <v>7697</v>
      </c>
      <c r="D1441" s="127" t="s">
        <v>7743</v>
      </c>
      <c r="E1441" s="126" t="s">
        <v>35</v>
      </c>
      <c r="F1441" s="126" t="s">
        <v>97</v>
      </c>
      <c r="G1441" s="126" t="s">
        <v>225</v>
      </c>
      <c r="H1441" s="126" t="s">
        <v>125</v>
      </c>
      <c r="I1441" s="126" t="s">
        <v>114</v>
      </c>
      <c r="J1441" s="127" t="s">
        <v>24</v>
      </c>
      <c r="K1441" s="127" t="s">
        <v>7710</v>
      </c>
      <c r="L1441" s="127" t="s">
        <v>276</v>
      </c>
      <c r="M1441" s="126" t="s">
        <v>14</v>
      </c>
      <c r="N1441" s="145" t="s">
        <v>98</v>
      </c>
      <c r="O1441" s="131" t="s">
        <v>207</v>
      </c>
      <c r="P1441" s="197">
        <v>31047</v>
      </c>
      <c r="Q1441" s="127" t="s">
        <v>276</v>
      </c>
      <c r="R1441" s="134" t="s">
        <v>276</v>
      </c>
      <c r="S1441" s="134" t="s">
        <v>276</v>
      </c>
      <c r="T1441" s="167" t="s">
        <v>4284</v>
      </c>
      <c r="U1441" s="132">
        <v>21088</v>
      </c>
      <c r="V1441" s="127">
        <v>21195</v>
      </c>
      <c r="W1441" s="126" t="s">
        <v>276</v>
      </c>
      <c r="X1441" s="126" t="s">
        <v>276</v>
      </c>
      <c r="Y1441" s="126" t="s">
        <v>276</v>
      </c>
      <c r="Z1441" s="127" t="s">
        <v>894</v>
      </c>
      <c r="AA1441" s="126" t="s">
        <v>276</v>
      </c>
      <c r="AB1441" s="127" t="s">
        <v>894</v>
      </c>
      <c r="AC1441" s="127" t="s">
        <v>7744</v>
      </c>
      <c r="AD1441" s="127" t="s">
        <v>7703</v>
      </c>
      <c r="AE1441" s="126">
        <v>45</v>
      </c>
      <c r="AF1441" s="126">
        <v>42</v>
      </c>
      <c r="AG1441" s="132">
        <v>21088</v>
      </c>
      <c r="AH1441" s="127">
        <v>21195</v>
      </c>
      <c r="AI1441" s="134" t="s">
        <v>281</v>
      </c>
      <c r="AJ1441" s="135" t="s">
        <v>276</v>
      </c>
      <c r="AK1441" s="148">
        <f t="shared" si="206"/>
        <v>2.13391502276176</v>
      </c>
      <c r="AL1441" s="135" t="s">
        <v>276</v>
      </c>
      <c r="AM1441" s="135" t="s">
        <v>276</v>
      </c>
      <c r="AN1441" s="135" t="s">
        <v>276</v>
      </c>
      <c r="AO1441" s="148">
        <f t="shared" si="207"/>
        <v>1.9815994338287333</v>
      </c>
      <c r="AP1441" s="135" t="s">
        <v>276</v>
      </c>
      <c r="AQ1441" s="135" t="s">
        <v>276</v>
      </c>
      <c r="AR1441" s="126" t="s">
        <v>268</v>
      </c>
      <c r="AS1441" s="135" t="s">
        <v>276</v>
      </c>
      <c r="AT1441" s="135">
        <f t="shared" si="208"/>
        <v>1.0768649739865597</v>
      </c>
      <c r="AU1441" s="135" t="s">
        <v>276</v>
      </c>
      <c r="AV1441" s="135" t="s">
        <v>276</v>
      </c>
      <c r="AW1441" s="126" t="s">
        <v>276</v>
      </c>
      <c r="AX1441" s="126" t="s">
        <v>282</v>
      </c>
      <c r="AY1441" s="126" t="s">
        <v>98</v>
      </c>
      <c r="AZ1441" s="126" t="s">
        <v>98</v>
      </c>
      <c r="BA1441" s="126" t="s">
        <v>98</v>
      </c>
      <c r="BB1441" s="126" t="s">
        <v>98</v>
      </c>
      <c r="BC1441" s="127" t="s">
        <v>7732</v>
      </c>
      <c r="BD1441" s="127"/>
      <c r="BE1441" s="33" t="s">
        <v>114</v>
      </c>
      <c r="BF1441" s="33" t="s">
        <v>98</v>
      </c>
    </row>
    <row r="1442" spans="1:58" s="149" customFormat="1" ht="78" x14ac:dyDescent="0.3">
      <c r="A1442" s="126">
        <v>3852</v>
      </c>
      <c r="B1442" s="127" t="s">
        <v>7696</v>
      </c>
      <c r="C1442" s="126" t="s">
        <v>7697</v>
      </c>
      <c r="D1442" s="127" t="s">
        <v>7745</v>
      </c>
      <c r="E1442" s="126" t="s">
        <v>35</v>
      </c>
      <c r="F1442" s="126" t="s">
        <v>97</v>
      </c>
      <c r="G1442" s="126" t="s">
        <v>225</v>
      </c>
      <c r="H1442" s="126" t="s">
        <v>125</v>
      </c>
      <c r="I1442" s="126" t="s">
        <v>114</v>
      </c>
      <c r="J1442" s="127" t="s">
        <v>24</v>
      </c>
      <c r="K1442" s="127" t="s">
        <v>7710</v>
      </c>
      <c r="L1442" s="127" t="s">
        <v>276</v>
      </c>
      <c r="M1442" s="126" t="s">
        <v>14</v>
      </c>
      <c r="N1442" s="145" t="s">
        <v>98</v>
      </c>
      <c r="O1442" s="131" t="s">
        <v>207</v>
      </c>
      <c r="P1442" s="197">
        <v>31412</v>
      </c>
      <c r="Q1442" s="127" t="s">
        <v>276</v>
      </c>
      <c r="R1442" s="134" t="s">
        <v>276</v>
      </c>
      <c r="S1442" s="134" t="s">
        <v>276</v>
      </c>
      <c r="T1442" s="167" t="s">
        <v>4284</v>
      </c>
      <c r="U1442" s="132">
        <v>21088</v>
      </c>
      <c r="V1442" s="127">
        <v>21195</v>
      </c>
      <c r="W1442" s="126" t="s">
        <v>276</v>
      </c>
      <c r="X1442" s="126" t="s">
        <v>276</v>
      </c>
      <c r="Y1442" s="126" t="s">
        <v>276</v>
      </c>
      <c r="Z1442" s="127" t="s">
        <v>894</v>
      </c>
      <c r="AA1442" s="126" t="s">
        <v>276</v>
      </c>
      <c r="AB1442" s="127" t="s">
        <v>894</v>
      </c>
      <c r="AC1442" s="127" t="s">
        <v>7746</v>
      </c>
      <c r="AD1442" s="127" t="s">
        <v>7703</v>
      </c>
      <c r="AE1442" s="126">
        <v>56</v>
      </c>
      <c r="AF1442" s="126">
        <v>56</v>
      </c>
      <c r="AG1442" s="132">
        <v>21088</v>
      </c>
      <c r="AH1442" s="127">
        <v>21195</v>
      </c>
      <c r="AI1442" s="134" t="s">
        <v>281</v>
      </c>
      <c r="AJ1442" s="135" t="s">
        <v>276</v>
      </c>
      <c r="AK1442" s="148">
        <f t="shared" si="206"/>
        <v>2.6555386949924129</v>
      </c>
      <c r="AL1442" s="135" t="s">
        <v>276</v>
      </c>
      <c r="AM1442" s="135" t="s">
        <v>276</v>
      </c>
      <c r="AN1442" s="135" t="s">
        <v>276</v>
      </c>
      <c r="AO1442" s="148">
        <f t="shared" si="207"/>
        <v>2.6421325784383107</v>
      </c>
      <c r="AP1442" s="135" t="s">
        <v>276</v>
      </c>
      <c r="AQ1442" s="135" t="s">
        <v>276</v>
      </c>
      <c r="AR1442" s="126" t="s">
        <v>268</v>
      </c>
      <c r="AS1442" s="135" t="s">
        <v>276</v>
      </c>
      <c r="AT1442" s="135">
        <f t="shared" si="208"/>
        <v>1.0050739757207892</v>
      </c>
      <c r="AU1442" s="135" t="s">
        <v>276</v>
      </c>
      <c r="AV1442" s="135" t="s">
        <v>276</v>
      </c>
      <c r="AW1442" s="126" t="s">
        <v>276</v>
      </c>
      <c r="AX1442" s="126" t="s">
        <v>282</v>
      </c>
      <c r="AY1442" s="126" t="s">
        <v>98</v>
      </c>
      <c r="AZ1442" s="126" t="s">
        <v>98</v>
      </c>
      <c r="BA1442" s="126" t="s">
        <v>98</v>
      </c>
      <c r="BB1442" s="126" t="s">
        <v>98</v>
      </c>
      <c r="BC1442" s="127" t="s">
        <v>7747</v>
      </c>
      <c r="BD1442" s="127"/>
      <c r="BE1442" s="33" t="s">
        <v>114</v>
      </c>
      <c r="BF1442" s="33" t="s">
        <v>98</v>
      </c>
    </row>
    <row r="1443" spans="1:58" s="149" customFormat="1" ht="78" x14ac:dyDescent="0.3">
      <c r="A1443" s="126">
        <v>3852</v>
      </c>
      <c r="B1443" s="127" t="s">
        <v>7696</v>
      </c>
      <c r="C1443" s="126" t="s">
        <v>7697</v>
      </c>
      <c r="D1443" s="127" t="s">
        <v>7748</v>
      </c>
      <c r="E1443" s="126" t="s">
        <v>35</v>
      </c>
      <c r="F1443" s="126" t="s">
        <v>97</v>
      </c>
      <c r="G1443" s="126" t="s">
        <v>225</v>
      </c>
      <c r="H1443" s="126" t="s">
        <v>125</v>
      </c>
      <c r="I1443" s="126" t="s">
        <v>114</v>
      </c>
      <c r="J1443" s="127" t="s">
        <v>24</v>
      </c>
      <c r="K1443" s="127" t="s">
        <v>7710</v>
      </c>
      <c r="L1443" s="127" t="s">
        <v>276</v>
      </c>
      <c r="M1443" s="126" t="s">
        <v>14</v>
      </c>
      <c r="N1443" s="145" t="s">
        <v>98</v>
      </c>
      <c r="O1443" s="131" t="s">
        <v>207</v>
      </c>
      <c r="P1443" s="197">
        <v>31777</v>
      </c>
      <c r="Q1443" s="127" t="s">
        <v>276</v>
      </c>
      <c r="R1443" s="134" t="s">
        <v>276</v>
      </c>
      <c r="S1443" s="134" t="s">
        <v>276</v>
      </c>
      <c r="T1443" s="167" t="s">
        <v>1716</v>
      </c>
      <c r="U1443" s="132">
        <v>21088</v>
      </c>
      <c r="V1443" s="127">
        <v>21195</v>
      </c>
      <c r="W1443" s="126" t="s">
        <v>276</v>
      </c>
      <c r="X1443" s="126" t="s">
        <v>276</v>
      </c>
      <c r="Y1443" s="126" t="s">
        <v>276</v>
      </c>
      <c r="Z1443" s="127" t="s">
        <v>894</v>
      </c>
      <c r="AA1443" s="126" t="s">
        <v>276</v>
      </c>
      <c r="AB1443" s="127" t="s">
        <v>894</v>
      </c>
      <c r="AC1443" s="127" t="s">
        <v>7707</v>
      </c>
      <c r="AD1443" s="127" t="s">
        <v>7703</v>
      </c>
      <c r="AE1443" s="126">
        <v>63</v>
      </c>
      <c r="AF1443" s="126">
        <v>66</v>
      </c>
      <c r="AG1443" s="132">
        <v>21088</v>
      </c>
      <c r="AH1443" s="127">
        <v>21195</v>
      </c>
      <c r="AI1443" s="134" t="s">
        <v>281</v>
      </c>
      <c r="AJ1443" s="135" t="s">
        <v>276</v>
      </c>
      <c r="AK1443" s="148">
        <f t="shared" si="206"/>
        <v>2.9874810318664644</v>
      </c>
      <c r="AL1443" s="135" t="s">
        <v>276</v>
      </c>
      <c r="AM1443" s="135" t="s">
        <v>276</v>
      </c>
      <c r="AN1443" s="135" t="s">
        <v>276</v>
      </c>
      <c r="AO1443" s="148">
        <f t="shared" si="207"/>
        <v>3.1139419674451521</v>
      </c>
      <c r="AP1443" s="135" t="s">
        <v>276</v>
      </c>
      <c r="AQ1443" s="135" t="s">
        <v>276</v>
      </c>
      <c r="AR1443" s="126" t="s">
        <v>268</v>
      </c>
      <c r="AS1443" s="135" t="s">
        <v>276</v>
      </c>
      <c r="AT1443" s="135">
        <f t="shared" si="208"/>
        <v>0.95938879500620777</v>
      </c>
      <c r="AU1443" s="135" t="s">
        <v>276</v>
      </c>
      <c r="AV1443" s="135" t="s">
        <v>276</v>
      </c>
      <c r="AW1443" s="126" t="s">
        <v>276</v>
      </c>
      <c r="AX1443" s="126" t="s">
        <v>282</v>
      </c>
      <c r="AY1443" s="126" t="s">
        <v>98</v>
      </c>
      <c r="AZ1443" s="126" t="s">
        <v>98</v>
      </c>
      <c r="BA1443" s="126" t="s">
        <v>98</v>
      </c>
      <c r="BB1443" s="126" t="s">
        <v>98</v>
      </c>
      <c r="BC1443" s="127" t="s">
        <v>7732</v>
      </c>
      <c r="BD1443" s="127"/>
      <c r="BE1443" s="33" t="s">
        <v>113</v>
      </c>
      <c r="BF1443" s="33" t="s">
        <v>11162</v>
      </c>
    </row>
    <row r="1444" spans="1:58" s="149" customFormat="1" ht="78" x14ac:dyDescent="0.3">
      <c r="A1444" s="126">
        <v>3852</v>
      </c>
      <c r="B1444" s="127" t="s">
        <v>7696</v>
      </c>
      <c r="C1444" s="126" t="s">
        <v>7697</v>
      </c>
      <c r="D1444" s="127" t="s">
        <v>7749</v>
      </c>
      <c r="E1444" s="126" t="s">
        <v>35</v>
      </c>
      <c r="F1444" s="126" t="s">
        <v>97</v>
      </c>
      <c r="G1444" s="126" t="s">
        <v>225</v>
      </c>
      <c r="H1444" s="126" t="s">
        <v>125</v>
      </c>
      <c r="I1444" s="126" t="s">
        <v>114</v>
      </c>
      <c r="J1444" s="127" t="s">
        <v>24</v>
      </c>
      <c r="K1444" s="127" t="s">
        <v>7710</v>
      </c>
      <c r="L1444" s="127" t="s">
        <v>276</v>
      </c>
      <c r="M1444" s="126" t="s">
        <v>14</v>
      </c>
      <c r="N1444" s="145" t="s">
        <v>98</v>
      </c>
      <c r="O1444" s="131" t="s">
        <v>207</v>
      </c>
      <c r="P1444" s="197">
        <v>32142</v>
      </c>
      <c r="Q1444" s="127" t="s">
        <v>276</v>
      </c>
      <c r="R1444" s="134" t="s">
        <v>276</v>
      </c>
      <c r="S1444" s="134" t="s">
        <v>276</v>
      </c>
      <c r="T1444" s="167" t="s">
        <v>1716</v>
      </c>
      <c r="U1444" s="132">
        <v>21088</v>
      </c>
      <c r="V1444" s="127">
        <v>21195</v>
      </c>
      <c r="W1444" s="126" t="s">
        <v>276</v>
      </c>
      <c r="X1444" s="126" t="s">
        <v>276</v>
      </c>
      <c r="Y1444" s="126" t="s">
        <v>276</v>
      </c>
      <c r="Z1444" s="127" t="s">
        <v>894</v>
      </c>
      <c r="AA1444" s="126" t="s">
        <v>276</v>
      </c>
      <c r="AB1444" s="127" t="s">
        <v>894</v>
      </c>
      <c r="AC1444" s="127" t="s">
        <v>7750</v>
      </c>
      <c r="AD1444" s="127" t="s">
        <v>7703</v>
      </c>
      <c r="AE1444" s="126">
        <v>69</v>
      </c>
      <c r="AF1444" s="126">
        <v>84</v>
      </c>
      <c r="AG1444" s="132">
        <v>21088</v>
      </c>
      <c r="AH1444" s="127">
        <v>21195</v>
      </c>
      <c r="AI1444" s="134" t="s">
        <v>281</v>
      </c>
      <c r="AJ1444" s="135" t="s">
        <v>276</v>
      </c>
      <c r="AK1444" s="148">
        <f t="shared" si="206"/>
        <v>3.2720030349013656</v>
      </c>
      <c r="AL1444" s="135" t="s">
        <v>276</v>
      </c>
      <c r="AM1444" s="135" t="s">
        <v>276</v>
      </c>
      <c r="AN1444" s="135" t="s">
        <v>276</v>
      </c>
      <c r="AO1444" s="148">
        <f t="shared" si="207"/>
        <v>3.9631988676574665</v>
      </c>
      <c r="AP1444" s="135" t="s">
        <v>276</v>
      </c>
      <c r="AQ1444" s="135" t="s">
        <v>276</v>
      </c>
      <c r="AR1444" s="126" t="s">
        <v>268</v>
      </c>
      <c r="AS1444" s="135" t="s">
        <v>276</v>
      </c>
      <c r="AT1444" s="135">
        <f t="shared" si="208"/>
        <v>0.82559648005636244</v>
      </c>
      <c r="AU1444" s="135" t="s">
        <v>276</v>
      </c>
      <c r="AV1444" s="135" t="s">
        <v>276</v>
      </c>
      <c r="AW1444" s="126" t="s">
        <v>276</v>
      </c>
      <c r="AX1444" s="126" t="s">
        <v>282</v>
      </c>
      <c r="AY1444" s="126" t="s">
        <v>98</v>
      </c>
      <c r="AZ1444" s="126" t="s">
        <v>98</v>
      </c>
      <c r="BA1444" s="126" t="s">
        <v>98</v>
      </c>
      <c r="BB1444" s="126" t="s">
        <v>98</v>
      </c>
      <c r="BC1444" s="127" t="s">
        <v>7732</v>
      </c>
      <c r="BD1444" s="127" t="s">
        <v>7751</v>
      </c>
      <c r="BE1444" s="33" t="s">
        <v>114</v>
      </c>
      <c r="BF1444" s="33" t="s">
        <v>98</v>
      </c>
    </row>
    <row r="1445" spans="1:58" s="202" customFormat="1" ht="78" x14ac:dyDescent="0.3">
      <c r="A1445" s="175">
        <v>3811</v>
      </c>
      <c r="B1445" s="176" t="s">
        <v>6819</v>
      </c>
      <c r="C1445" s="175" t="s">
        <v>7697</v>
      </c>
      <c r="D1445" s="176" t="s">
        <v>6820</v>
      </c>
      <c r="E1445" s="175" t="s">
        <v>35</v>
      </c>
      <c r="F1445" s="176" t="s">
        <v>97</v>
      </c>
      <c r="G1445" s="175" t="s">
        <v>225</v>
      </c>
      <c r="H1445" s="175" t="s">
        <v>125</v>
      </c>
      <c r="I1445" s="175" t="s">
        <v>114</v>
      </c>
      <c r="J1445" s="176" t="s">
        <v>24</v>
      </c>
      <c r="K1445" s="176" t="s">
        <v>6821</v>
      </c>
      <c r="L1445" s="176" t="s">
        <v>276</v>
      </c>
      <c r="M1445" s="175" t="s">
        <v>14</v>
      </c>
      <c r="N1445" s="199" t="s">
        <v>98</v>
      </c>
      <c r="O1445" s="199" t="s">
        <v>207</v>
      </c>
      <c r="P1445" s="200">
        <v>32873</v>
      </c>
      <c r="Q1445" s="176" t="s">
        <v>276</v>
      </c>
      <c r="R1445" s="179" t="s">
        <v>7752</v>
      </c>
      <c r="S1445" s="179" t="s">
        <v>7753</v>
      </c>
      <c r="T1445" s="178" t="s">
        <v>1716</v>
      </c>
      <c r="U1445" s="317">
        <v>20695</v>
      </c>
      <c r="V1445" s="317">
        <v>20783</v>
      </c>
      <c r="W1445" s="175" t="s">
        <v>276</v>
      </c>
      <c r="X1445" s="175" t="s">
        <v>276</v>
      </c>
      <c r="Y1445" s="175" t="s">
        <v>276</v>
      </c>
      <c r="Z1445" s="176" t="s">
        <v>1562</v>
      </c>
      <c r="AA1445" s="175" t="s">
        <v>276</v>
      </c>
      <c r="AB1445" s="176" t="s">
        <v>1562</v>
      </c>
      <c r="AC1445" s="176" t="s">
        <v>6826</v>
      </c>
      <c r="AD1445" s="176" t="s">
        <v>1674</v>
      </c>
      <c r="AE1445" s="175">
        <v>87</v>
      </c>
      <c r="AF1445" s="175">
        <v>108</v>
      </c>
      <c r="AG1445" s="317">
        <v>239000</v>
      </c>
      <c r="AH1445" s="317">
        <v>240000</v>
      </c>
      <c r="AI1445" s="180" t="s">
        <v>425</v>
      </c>
      <c r="AJ1445" s="181" t="s">
        <v>276</v>
      </c>
      <c r="AK1445" s="201">
        <f t="shared" si="206"/>
        <v>0.36401673640167365</v>
      </c>
      <c r="AL1445" s="181" t="s">
        <v>276</v>
      </c>
      <c r="AM1445" s="181" t="s">
        <v>276</v>
      </c>
      <c r="AN1445" s="181" t="s">
        <v>276</v>
      </c>
      <c r="AO1445" s="201">
        <f t="shared" si="207"/>
        <v>0.45</v>
      </c>
      <c r="AP1445" s="181" t="s">
        <v>276</v>
      </c>
      <c r="AQ1445" s="181" t="s">
        <v>276</v>
      </c>
      <c r="AR1445" s="175" t="s">
        <v>269</v>
      </c>
      <c r="AS1445" s="181">
        <v>0.81</v>
      </c>
      <c r="AT1445" s="201">
        <f t="shared" si="208"/>
        <v>0.80892608089260809</v>
      </c>
      <c r="AU1445" s="181">
        <v>0.62</v>
      </c>
      <c r="AV1445" s="181">
        <v>1.07</v>
      </c>
      <c r="AW1445" s="175" t="s">
        <v>276</v>
      </c>
      <c r="AX1445" s="346" t="s">
        <v>282</v>
      </c>
      <c r="AY1445" s="181" t="s">
        <v>98</v>
      </c>
      <c r="AZ1445" s="181" t="s">
        <v>98</v>
      </c>
      <c r="BA1445" s="181" t="s">
        <v>98</v>
      </c>
      <c r="BB1445" s="181" t="s">
        <v>98</v>
      </c>
      <c r="BC1445" s="176" t="s">
        <v>6828</v>
      </c>
      <c r="BD1445" s="176" t="s">
        <v>6829</v>
      </c>
      <c r="BE1445" s="33" t="s">
        <v>114</v>
      </c>
      <c r="BF1445" s="33" t="s">
        <v>98</v>
      </c>
    </row>
    <row r="1446" spans="1:58" s="253" customFormat="1" ht="78" x14ac:dyDescent="0.3">
      <c r="A1446" s="244">
        <v>3815</v>
      </c>
      <c r="B1446" s="244" t="s">
        <v>6849</v>
      </c>
      <c r="C1446" s="244" t="s">
        <v>7697</v>
      </c>
      <c r="D1446" s="245" t="s">
        <v>7754</v>
      </c>
      <c r="E1446" s="244" t="s">
        <v>35</v>
      </c>
      <c r="F1446" s="245" t="s">
        <v>97</v>
      </c>
      <c r="G1446" s="244" t="s">
        <v>225</v>
      </c>
      <c r="H1446" s="244" t="s">
        <v>125</v>
      </c>
      <c r="I1446" s="244" t="s">
        <v>105</v>
      </c>
      <c r="J1446" s="245" t="s">
        <v>24</v>
      </c>
      <c r="K1446" s="245" t="s">
        <v>7755</v>
      </c>
      <c r="L1446" s="245" t="s">
        <v>276</v>
      </c>
      <c r="M1446" s="244" t="s">
        <v>15</v>
      </c>
      <c r="N1446" s="247" t="s">
        <v>6876</v>
      </c>
      <c r="O1446" s="247" t="s">
        <v>207</v>
      </c>
      <c r="P1446" s="248">
        <v>34334</v>
      </c>
      <c r="Q1446" s="245" t="s">
        <v>276</v>
      </c>
      <c r="R1446" s="245" t="s">
        <v>11143</v>
      </c>
      <c r="S1446" s="245" t="s">
        <v>11143</v>
      </c>
      <c r="T1446" s="245" t="s">
        <v>7756</v>
      </c>
      <c r="U1446" s="249">
        <v>3945</v>
      </c>
      <c r="V1446" s="250">
        <v>4017</v>
      </c>
      <c r="W1446" s="244" t="s">
        <v>276</v>
      </c>
      <c r="X1446" s="244" t="s">
        <v>276</v>
      </c>
      <c r="Y1446" s="244" t="s">
        <v>276</v>
      </c>
      <c r="Z1446" s="245" t="s">
        <v>1562</v>
      </c>
      <c r="AA1446" s="244" t="s">
        <v>276</v>
      </c>
      <c r="AB1446" s="245" t="s">
        <v>1562</v>
      </c>
      <c r="AC1446" s="245" t="s">
        <v>7757</v>
      </c>
      <c r="AD1446" s="245" t="s">
        <v>1674</v>
      </c>
      <c r="AE1446" s="244">
        <v>15</v>
      </c>
      <c r="AF1446" s="244">
        <v>23</v>
      </c>
      <c r="AG1446" s="249">
        <v>61000</v>
      </c>
      <c r="AH1446" s="249">
        <v>62000</v>
      </c>
      <c r="AI1446" s="249" t="s">
        <v>425</v>
      </c>
      <c r="AJ1446" s="251" t="s">
        <v>276</v>
      </c>
      <c r="AK1446" s="252">
        <f>AE1446*1000/AG1446</f>
        <v>0.24590163934426229</v>
      </c>
      <c r="AL1446" s="251" t="s">
        <v>276</v>
      </c>
      <c r="AM1446" s="251" t="s">
        <v>276</v>
      </c>
      <c r="AN1446" s="251" t="s">
        <v>276</v>
      </c>
      <c r="AO1446" s="252">
        <f t="shared" si="207"/>
        <v>0.37096774193548387</v>
      </c>
      <c r="AP1446" s="251" t="s">
        <v>276</v>
      </c>
      <c r="AQ1446" s="251" t="s">
        <v>276</v>
      </c>
      <c r="AR1446" s="244" t="s">
        <v>269</v>
      </c>
      <c r="AS1446" s="244">
        <v>0.67</v>
      </c>
      <c r="AT1446" s="252">
        <f t="shared" si="208"/>
        <v>0.66286528866714178</v>
      </c>
      <c r="AU1446" s="244">
        <v>0.35</v>
      </c>
      <c r="AV1446" s="251">
        <v>1.27</v>
      </c>
      <c r="AW1446" s="244" t="s">
        <v>276</v>
      </c>
      <c r="AX1446" s="346" t="s">
        <v>282</v>
      </c>
      <c r="AY1446" s="251" t="s">
        <v>98</v>
      </c>
      <c r="AZ1446" s="251" t="s">
        <v>98</v>
      </c>
      <c r="BA1446" s="251" t="s">
        <v>98</v>
      </c>
      <c r="BB1446" s="251" t="s">
        <v>98</v>
      </c>
      <c r="BC1446" s="245" t="s">
        <v>426</v>
      </c>
      <c r="BD1446" s="245" t="s">
        <v>11160</v>
      </c>
      <c r="BE1446" s="33" t="s">
        <v>114</v>
      </c>
      <c r="BF1446" s="33" t="s">
        <v>98</v>
      </c>
    </row>
    <row r="1447" spans="1:58" s="103" customFormat="1" ht="130" x14ac:dyDescent="0.3">
      <c r="A1447" s="94">
        <v>3809</v>
      </c>
      <c r="B1447" s="95" t="s">
        <v>6854</v>
      </c>
      <c r="C1447" s="94" t="s">
        <v>7697</v>
      </c>
      <c r="D1447" s="95" t="s">
        <v>7760</v>
      </c>
      <c r="E1447" s="94" t="s">
        <v>35</v>
      </c>
      <c r="F1447" s="95" t="s">
        <v>97</v>
      </c>
      <c r="G1447" s="94" t="s">
        <v>225</v>
      </c>
      <c r="H1447" s="94" t="s">
        <v>125</v>
      </c>
      <c r="I1447" s="94" t="s">
        <v>105</v>
      </c>
      <c r="J1447" s="95" t="s">
        <v>24</v>
      </c>
      <c r="K1447" s="95" t="s">
        <v>6856</v>
      </c>
      <c r="L1447" s="95" t="s">
        <v>276</v>
      </c>
      <c r="M1447" s="94" t="s">
        <v>14</v>
      </c>
      <c r="N1447" s="96" t="s">
        <v>98</v>
      </c>
      <c r="O1447" s="96" t="s">
        <v>207</v>
      </c>
      <c r="P1447" s="97">
        <v>35430</v>
      </c>
      <c r="Q1447" s="95" t="s">
        <v>276</v>
      </c>
      <c r="R1447" s="95" t="s">
        <v>11144</v>
      </c>
      <c r="S1447" s="95" t="s">
        <v>11144</v>
      </c>
      <c r="T1447" s="95" t="s">
        <v>7761</v>
      </c>
      <c r="U1447" s="98">
        <v>21088</v>
      </c>
      <c r="V1447" s="98">
        <v>21195</v>
      </c>
      <c r="W1447" s="94" t="s">
        <v>276</v>
      </c>
      <c r="X1447" s="94" t="s">
        <v>276</v>
      </c>
      <c r="Y1447" s="94" t="s">
        <v>276</v>
      </c>
      <c r="Z1447" s="95" t="s">
        <v>1562</v>
      </c>
      <c r="AA1447" s="94" t="s">
        <v>276</v>
      </c>
      <c r="AB1447" s="95" t="s">
        <v>1562</v>
      </c>
      <c r="AC1447" s="95" t="s">
        <v>7762</v>
      </c>
      <c r="AD1447" s="95" t="s">
        <v>1674</v>
      </c>
      <c r="AE1447" s="98">
        <v>161</v>
      </c>
      <c r="AF1447" s="98">
        <v>198</v>
      </c>
      <c r="AG1447" s="98">
        <v>360000</v>
      </c>
      <c r="AH1447" s="98">
        <v>362000</v>
      </c>
      <c r="AI1447" s="98" t="s">
        <v>425</v>
      </c>
      <c r="AJ1447" s="102" t="s">
        <v>276</v>
      </c>
      <c r="AK1447" s="101">
        <f t="shared" ref="AK1447:AK1450" si="209">AE1447*1000/AG1447</f>
        <v>0.44722222222222224</v>
      </c>
      <c r="AL1447" s="102" t="s">
        <v>276</v>
      </c>
      <c r="AM1447" s="102" t="s">
        <v>276</v>
      </c>
      <c r="AN1447" s="102">
        <v>0.82</v>
      </c>
      <c r="AO1447" s="101">
        <f t="shared" si="207"/>
        <v>0.54696132596685088</v>
      </c>
      <c r="AP1447" s="102" t="s">
        <v>276</v>
      </c>
      <c r="AQ1447" s="102" t="s">
        <v>276</v>
      </c>
      <c r="AR1447" s="94" t="s">
        <v>269</v>
      </c>
      <c r="AS1447" s="102">
        <v>0.82</v>
      </c>
      <c r="AT1447" s="101">
        <f t="shared" si="208"/>
        <v>0.81764870931537592</v>
      </c>
      <c r="AU1447" s="102">
        <v>0.67</v>
      </c>
      <c r="AV1447" s="102">
        <v>1</v>
      </c>
      <c r="AW1447" s="94" t="s">
        <v>276</v>
      </c>
      <c r="AX1447" s="346" t="s">
        <v>5414</v>
      </c>
      <c r="AY1447" s="102">
        <v>0.81</v>
      </c>
      <c r="AZ1447" s="102">
        <v>0.66</v>
      </c>
      <c r="BA1447" s="102">
        <v>1</v>
      </c>
      <c r="BB1447" s="94" t="s">
        <v>276</v>
      </c>
      <c r="BC1447" s="95" t="s">
        <v>1020</v>
      </c>
      <c r="BD1447" s="95" t="s">
        <v>11161</v>
      </c>
      <c r="BE1447" s="33" t="s">
        <v>114</v>
      </c>
      <c r="BF1447" s="33" t="s">
        <v>98</v>
      </c>
    </row>
    <row r="1448" spans="1:58" s="103" customFormat="1" ht="39" x14ac:dyDescent="0.3">
      <c r="A1448" s="94">
        <v>3809</v>
      </c>
      <c r="B1448" s="95" t="s">
        <v>6854</v>
      </c>
      <c r="C1448" s="94" t="s">
        <v>7697</v>
      </c>
      <c r="D1448" s="95" t="s">
        <v>7763</v>
      </c>
      <c r="E1448" s="94" t="s">
        <v>35</v>
      </c>
      <c r="F1448" s="95" t="s">
        <v>97</v>
      </c>
      <c r="G1448" s="94" t="s">
        <v>225</v>
      </c>
      <c r="H1448" s="94" t="s">
        <v>125</v>
      </c>
      <c r="I1448" s="94" t="s">
        <v>105</v>
      </c>
      <c r="J1448" s="95" t="s">
        <v>23</v>
      </c>
      <c r="K1448" s="95" t="s">
        <v>6862</v>
      </c>
      <c r="L1448" s="95" t="s">
        <v>276</v>
      </c>
      <c r="M1448" s="94" t="s">
        <v>14</v>
      </c>
      <c r="N1448" s="96" t="s">
        <v>98</v>
      </c>
      <c r="O1448" s="96" t="s">
        <v>207</v>
      </c>
      <c r="P1448" s="97">
        <v>35430</v>
      </c>
      <c r="Q1448" s="95" t="s">
        <v>276</v>
      </c>
      <c r="R1448" s="95" t="s">
        <v>11144</v>
      </c>
      <c r="S1448" s="95" t="s">
        <v>11144</v>
      </c>
      <c r="T1448" s="95" t="s">
        <v>7761</v>
      </c>
      <c r="U1448" s="98">
        <v>21088</v>
      </c>
      <c r="V1448" s="98">
        <v>21195</v>
      </c>
      <c r="W1448" s="94" t="s">
        <v>276</v>
      </c>
      <c r="X1448" s="94" t="s">
        <v>276</v>
      </c>
      <c r="Y1448" s="94">
        <v>0</v>
      </c>
      <c r="Z1448" s="95" t="s">
        <v>98</v>
      </c>
      <c r="AA1448" s="94">
        <v>0</v>
      </c>
      <c r="AB1448" s="95" t="s">
        <v>98</v>
      </c>
      <c r="AC1448" s="95" t="s">
        <v>6863</v>
      </c>
      <c r="AD1448" s="95" t="s">
        <v>1674</v>
      </c>
      <c r="AE1448" s="94">
        <v>5672</v>
      </c>
      <c r="AF1448" s="94">
        <v>5796</v>
      </c>
      <c r="AG1448" s="98">
        <v>360000</v>
      </c>
      <c r="AH1448" s="98">
        <v>362000</v>
      </c>
      <c r="AI1448" s="98" t="s">
        <v>425</v>
      </c>
      <c r="AJ1448" s="102" t="s">
        <v>276</v>
      </c>
      <c r="AK1448" s="101">
        <f t="shared" si="209"/>
        <v>15.755555555555556</v>
      </c>
      <c r="AL1448" s="102" t="s">
        <v>276</v>
      </c>
      <c r="AM1448" s="102" t="s">
        <v>276</v>
      </c>
      <c r="AN1448" s="102" t="s">
        <v>276</v>
      </c>
      <c r="AO1448" s="101">
        <f t="shared" si="207"/>
        <v>16.011049723756905</v>
      </c>
      <c r="AP1448" s="102" t="s">
        <v>276</v>
      </c>
      <c r="AQ1448" s="102" t="s">
        <v>276</v>
      </c>
      <c r="AR1448" s="94" t="s">
        <v>269</v>
      </c>
      <c r="AS1448" s="102">
        <v>0.99</v>
      </c>
      <c r="AT1448" s="101">
        <f t="shared" si="208"/>
        <v>0.98404263476727261</v>
      </c>
      <c r="AU1448" s="94">
        <v>0.97</v>
      </c>
      <c r="AV1448" s="94">
        <v>1.01</v>
      </c>
      <c r="AW1448" s="94" t="s">
        <v>276</v>
      </c>
      <c r="AX1448" s="346" t="s">
        <v>282</v>
      </c>
      <c r="AY1448" s="94" t="s">
        <v>98</v>
      </c>
      <c r="AZ1448" s="94" t="s">
        <v>98</v>
      </c>
      <c r="BA1448" s="94" t="s">
        <v>98</v>
      </c>
      <c r="BB1448" s="94" t="s">
        <v>276</v>
      </c>
      <c r="BC1448" s="95" t="s">
        <v>3834</v>
      </c>
      <c r="BD1448" s="95" t="s">
        <v>6827</v>
      </c>
      <c r="BE1448" s="33" t="s">
        <v>114</v>
      </c>
      <c r="BF1448" s="33" t="s">
        <v>98</v>
      </c>
    </row>
    <row r="1449" spans="1:58" s="7" customFormat="1" ht="65" x14ac:dyDescent="0.3">
      <c r="A1449" s="8">
        <v>3779</v>
      </c>
      <c r="B1449" s="9" t="s">
        <v>7764</v>
      </c>
      <c r="C1449" s="8" t="s">
        <v>7697</v>
      </c>
      <c r="D1449" s="9" t="s">
        <v>7765</v>
      </c>
      <c r="E1449" s="8" t="s">
        <v>35</v>
      </c>
      <c r="F1449" s="9" t="s">
        <v>97</v>
      </c>
      <c r="G1449" s="8" t="s">
        <v>225</v>
      </c>
      <c r="H1449" s="8" t="s">
        <v>125</v>
      </c>
      <c r="I1449" s="8" t="s">
        <v>105</v>
      </c>
      <c r="J1449" s="9" t="s">
        <v>24</v>
      </c>
      <c r="K1449" s="9" t="s">
        <v>6856</v>
      </c>
      <c r="L1449" s="9" t="s">
        <v>276</v>
      </c>
      <c r="M1449" s="8" t="s">
        <v>14</v>
      </c>
      <c r="N1449" s="12" t="s">
        <v>98</v>
      </c>
      <c r="O1449" s="12" t="s">
        <v>207</v>
      </c>
      <c r="P1449" s="41">
        <v>37256</v>
      </c>
      <c r="Q1449" s="9" t="s">
        <v>276</v>
      </c>
      <c r="R1449" s="9" t="s">
        <v>7766</v>
      </c>
      <c r="S1449" s="9" t="s">
        <v>7767</v>
      </c>
      <c r="T1449" s="9" t="s">
        <v>7761</v>
      </c>
      <c r="U1449" s="13">
        <v>21088</v>
      </c>
      <c r="V1449" s="13">
        <v>21195</v>
      </c>
      <c r="W1449" s="8" t="s">
        <v>276</v>
      </c>
      <c r="X1449" s="8" t="s">
        <v>276</v>
      </c>
      <c r="Y1449" s="8" t="s">
        <v>276</v>
      </c>
      <c r="Z1449" s="9" t="s">
        <v>1562</v>
      </c>
      <c r="AA1449" s="8" t="s">
        <v>276</v>
      </c>
      <c r="AB1449" s="9" t="s">
        <v>1562</v>
      </c>
      <c r="AC1449" s="9" t="s">
        <v>7768</v>
      </c>
      <c r="AD1449" s="9" t="s">
        <v>1674</v>
      </c>
      <c r="AE1449" s="13">
        <v>212</v>
      </c>
      <c r="AF1449" s="13">
        <v>274</v>
      </c>
      <c r="AG1449" s="13">
        <v>426812</v>
      </c>
      <c r="AH1449" s="13">
        <v>429033</v>
      </c>
      <c r="AI1449" s="13" t="s">
        <v>425</v>
      </c>
      <c r="AJ1449" s="14" t="s">
        <v>276</v>
      </c>
      <c r="AK1449" s="31">
        <f t="shared" si="209"/>
        <v>0.4967058095836106</v>
      </c>
      <c r="AL1449" s="14" t="s">
        <v>276</v>
      </c>
      <c r="AM1449" s="14" t="s">
        <v>276</v>
      </c>
      <c r="AN1449" s="14" t="s">
        <v>276</v>
      </c>
      <c r="AO1449" s="31">
        <f t="shared" si="207"/>
        <v>0.63864551211678355</v>
      </c>
      <c r="AP1449" s="14" t="s">
        <v>276</v>
      </c>
      <c r="AQ1449" s="14" t="s">
        <v>276</v>
      </c>
      <c r="AR1449" s="8" t="s">
        <v>269</v>
      </c>
      <c r="AS1449" s="14" t="s">
        <v>276</v>
      </c>
      <c r="AT1449" s="31">
        <f t="shared" si="208"/>
        <v>0.77774884526673438</v>
      </c>
      <c r="AU1449" s="14" t="s">
        <v>276</v>
      </c>
      <c r="AV1449" s="14" t="s">
        <v>276</v>
      </c>
      <c r="AW1449" s="8" t="s">
        <v>276</v>
      </c>
      <c r="AX1449" s="9" t="s">
        <v>282</v>
      </c>
      <c r="AY1449" s="14" t="s">
        <v>98</v>
      </c>
      <c r="AZ1449" s="14" t="s">
        <v>98</v>
      </c>
      <c r="BA1449" s="14" t="s">
        <v>98</v>
      </c>
      <c r="BB1449" s="8" t="s">
        <v>98</v>
      </c>
      <c r="BC1449" s="9" t="s">
        <v>7769</v>
      </c>
      <c r="BD1449" s="9" t="s">
        <v>7759</v>
      </c>
      <c r="BE1449" s="33" t="s">
        <v>114</v>
      </c>
      <c r="BF1449" s="33" t="s">
        <v>98</v>
      </c>
    </row>
    <row r="1450" spans="1:58" s="7" customFormat="1" ht="52" x14ac:dyDescent="0.3">
      <c r="A1450" s="8">
        <v>3779</v>
      </c>
      <c r="B1450" s="9" t="s">
        <v>7764</v>
      </c>
      <c r="C1450" s="8" t="s">
        <v>7697</v>
      </c>
      <c r="D1450" s="9" t="s">
        <v>7770</v>
      </c>
      <c r="E1450" s="8" t="s">
        <v>35</v>
      </c>
      <c r="F1450" s="9" t="s">
        <v>97</v>
      </c>
      <c r="G1450" s="8" t="s">
        <v>225</v>
      </c>
      <c r="H1450" s="8" t="s">
        <v>125</v>
      </c>
      <c r="I1450" s="8" t="s">
        <v>105</v>
      </c>
      <c r="J1450" s="9" t="s">
        <v>23</v>
      </c>
      <c r="K1450" s="9" t="s">
        <v>6856</v>
      </c>
      <c r="L1450" s="9" t="s">
        <v>276</v>
      </c>
      <c r="M1450" s="8" t="s">
        <v>14</v>
      </c>
      <c r="N1450" s="12" t="s">
        <v>98</v>
      </c>
      <c r="O1450" s="12" t="s">
        <v>207</v>
      </c>
      <c r="P1450" s="41">
        <v>37256</v>
      </c>
      <c r="Q1450" s="9" t="s">
        <v>276</v>
      </c>
      <c r="R1450" s="9" t="s">
        <v>7766</v>
      </c>
      <c r="S1450" s="9" t="s">
        <v>7767</v>
      </c>
      <c r="T1450" s="9" t="s">
        <v>7761</v>
      </c>
      <c r="U1450" s="13">
        <v>21088</v>
      </c>
      <c r="V1450" s="13">
        <v>21195</v>
      </c>
      <c r="W1450" s="8" t="s">
        <v>276</v>
      </c>
      <c r="X1450" s="8" t="s">
        <v>276</v>
      </c>
      <c r="Y1450" s="8">
        <v>0</v>
      </c>
      <c r="Z1450" s="9" t="s">
        <v>98</v>
      </c>
      <c r="AA1450" s="8">
        <v>0</v>
      </c>
      <c r="AB1450" s="9" t="s">
        <v>98</v>
      </c>
      <c r="AC1450" s="9" t="s">
        <v>7771</v>
      </c>
      <c r="AD1450" s="9" t="s">
        <v>1674</v>
      </c>
      <c r="AE1450" s="13">
        <v>9279</v>
      </c>
      <c r="AF1450" s="13">
        <v>9514</v>
      </c>
      <c r="AG1450" s="13">
        <v>426812</v>
      </c>
      <c r="AH1450" s="13">
        <v>429033</v>
      </c>
      <c r="AI1450" s="13" t="s">
        <v>425</v>
      </c>
      <c r="AJ1450" s="14" t="s">
        <v>276</v>
      </c>
      <c r="AK1450" s="31">
        <f t="shared" si="209"/>
        <v>21.740250977010955</v>
      </c>
      <c r="AL1450" s="14" t="s">
        <v>276</v>
      </c>
      <c r="AM1450" s="14" t="s">
        <v>276</v>
      </c>
      <c r="AN1450" s="14" t="s">
        <v>276</v>
      </c>
      <c r="AO1450" s="31">
        <f t="shared" si="207"/>
        <v>22.175450373281308</v>
      </c>
      <c r="AP1450" s="14" t="s">
        <v>276</v>
      </c>
      <c r="AQ1450" s="14" t="s">
        <v>276</v>
      </c>
      <c r="AR1450" s="8" t="s">
        <v>269</v>
      </c>
      <c r="AS1450" s="14" t="s">
        <v>276</v>
      </c>
      <c r="AT1450" s="31">
        <f t="shared" si="208"/>
        <v>0.98037472119192159</v>
      </c>
      <c r="AU1450" s="14" t="s">
        <v>276</v>
      </c>
      <c r="AV1450" s="14" t="s">
        <v>276</v>
      </c>
      <c r="AW1450" s="8" t="s">
        <v>276</v>
      </c>
      <c r="AX1450" s="9" t="s">
        <v>282</v>
      </c>
      <c r="AY1450" s="14" t="s">
        <v>98</v>
      </c>
      <c r="AZ1450" s="14" t="s">
        <v>98</v>
      </c>
      <c r="BA1450" s="14" t="s">
        <v>98</v>
      </c>
      <c r="BB1450" s="8" t="s">
        <v>98</v>
      </c>
      <c r="BC1450" s="9" t="s">
        <v>7772</v>
      </c>
      <c r="BD1450" s="9"/>
      <c r="BE1450" s="33" t="s">
        <v>114</v>
      </c>
      <c r="BF1450" s="33" t="s">
        <v>98</v>
      </c>
    </row>
    <row r="1451" spans="1:58" s="149" customFormat="1" ht="82" customHeight="1" x14ac:dyDescent="0.3">
      <c r="A1451" s="126">
        <v>11129</v>
      </c>
      <c r="B1451" s="126" t="s">
        <v>7773</v>
      </c>
      <c r="C1451" s="126" t="s">
        <v>7697</v>
      </c>
      <c r="D1451" s="127" t="s">
        <v>7774</v>
      </c>
      <c r="E1451" s="126" t="s">
        <v>35</v>
      </c>
      <c r="F1451" s="127" t="s">
        <v>97</v>
      </c>
      <c r="G1451" s="126" t="s">
        <v>225</v>
      </c>
      <c r="H1451" s="126" t="s">
        <v>125</v>
      </c>
      <c r="I1451" s="126" t="s">
        <v>105</v>
      </c>
      <c r="J1451" s="127" t="s">
        <v>24</v>
      </c>
      <c r="K1451" s="127" t="s">
        <v>7775</v>
      </c>
      <c r="L1451" s="127" t="s">
        <v>276</v>
      </c>
      <c r="M1451" s="126" t="s">
        <v>14</v>
      </c>
      <c r="N1451" s="145" t="s">
        <v>98</v>
      </c>
      <c r="O1451" s="131" t="s">
        <v>207</v>
      </c>
      <c r="P1451" s="197">
        <v>39447</v>
      </c>
      <c r="Q1451" s="127" t="s">
        <v>276</v>
      </c>
      <c r="R1451" s="127" t="s">
        <v>7776</v>
      </c>
      <c r="S1451" s="127" t="s">
        <v>7776</v>
      </c>
      <c r="T1451" s="127" t="s">
        <v>7761</v>
      </c>
      <c r="U1451" s="132">
        <v>21088</v>
      </c>
      <c r="V1451" s="132">
        <v>21195</v>
      </c>
      <c r="W1451" s="126" t="s">
        <v>276</v>
      </c>
      <c r="X1451" s="126" t="s">
        <v>276</v>
      </c>
      <c r="Y1451" s="126" t="s">
        <v>276</v>
      </c>
      <c r="Z1451" s="127" t="s">
        <v>1562</v>
      </c>
      <c r="AA1451" s="126" t="s">
        <v>276</v>
      </c>
      <c r="AB1451" s="127" t="s">
        <v>1562</v>
      </c>
      <c r="AC1451" s="127" t="s">
        <v>7777</v>
      </c>
      <c r="AD1451" s="127" t="s">
        <v>1674</v>
      </c>
      <c r="AE1451" s="126">
        <v>130</v>
      </c>
      <c r="AF1451" s="126">
        <v>147</v>
      </c>
      <c r="AG1451" s="132">
        <v>493000</v>
      </c>
      <c r="AH1451" s="132">
        <v>493000</v>
      </c>
      <c r="AI1451" s="132" t="s">
        <v>425</v>
      </c>
      <c r="AJ1451" s="135" t="s">
        <v>276</v>
      </c>
      <c r="AK1451" s="148">
        <f>AE1451*1000/AG1451</f>
        <v>0.26369168356997974</v>
      </c>
      <c r="AL1451" s="135" t="s">
        <v>276</v>
      </c>
      <c r="AM1451" s="135" t="s">
        <v>276</v>
      </c>
      <c r="AN1451" s="135" t="s">
        <v>276</v>
      </c>
      <c r="AO1451" s="148">
        <f t="shared" si="207"/>
        <v>0.29817444219066935</v>
      </c>
      <c r="AP1451" s="135" t="s">
        <v>276</v>
      </c>
      <c r="AQ1451" s="135" t="s">
        <v>276</v>
      </c>
      <c r="AR1451" s="126" t="s">
        <v>269</v>
      </c>
      <c r="AS1451" s="135" t="s">
        <v>276</v>
      </c>
      <c r="AT1451" s="148">
        <f t="shared" si="208"/>
        <v>0.88435374149659873</v>
      </c>
      <c r="AU1451" s="135" t="s">
        <v>276</v>
      </c>
      <c r="AV1451" s="135" t="s">
        <v>276</v>
      </c>
      <c r="AW1451" s="126" t="s">
        <v>276</v>
      </c>
      <c r="AX1451" s="126" t="s">
        <v>2593</v>
      </c>
      <c r="AY1451" s="126">
        <v>0.88200000000000001</v>
      </c>
      <c r="AZ1451" s="135">
        <v>0.7</v>
      </c>
      <c r="BA1451" s="126">
        <v>1.1200000000000001</v>
      </c>
      <c r="BB1451" s="126" t="s">
        <v>276</v>
      </c>
      <c r="BC1451" s="127" t="s">
        <v>7778</v>
      </c>
      <c r="BD1451" s="127" t="s">
        <v>7779</v>
      </c>
      <c r="BE1451" s="33" t="s">
        <v>114</v>
      </c>
      <c r="BF1451" s="33" t="s">
        <v>98</v>
      </c>
    </row>
    <row r="1452" spans="1:58" s="149" customFormat="1" ht="82" customHeight="1" x14ac:dyDescent="0.3">
      <c r="A1452" s="126">
        <v>11129</v>
      </c>
      <c r="B1452" s="126" t="s">
        <v>7773</v>
      </c>
      <c r="C1452" s="126" t="s">
        <v>7697</v>
      </c>
      <c r="D1452" s="127" t="s">
        <v>11145</v>
      </c>
      <c r="E1452" s="126" t="s">
        <v>35</v>
      </c>
      <c r="F1452" s="127" t="s">
        <v>97</v>
      </c>
      <c r="G1452" s="126" t="s">
        <v>225</v>
      </c>
      <c r="H1452" s="126" t="s">
        <v>125</v>
      </c>
      <c r="I1452" s="126" t="s">
        <v>105</v>
      </c>
      <c r="J1452" s="127" t="s">
        <v>24</v>
      </c>
      <c r="K1452" s="127" t="s">
        <v>7775</v>
      </c>
      <c r="L1452" s="127" t="s">
        <v>276</v>
      </c>
      <c r="M1452" s="126" t="s">
        <v>14</v>
      </c>
      <c r="N1452" s="145" t="s">
        <v>98</v>
      </c>
      <c r="O1452" s="131" t="s">
        <v>207</v>
      </c>
      <c r="P1452" s="197">
        <v>39447</v>
      </c>
      <c r="Q1452" s="127" t="s">
        <v>276</v>
      </c>
      <c r="R1452" s="127" t="s">
        <v>7776</v>
      </c>
      <c r="S1452" s="127" t="s">
        <v>7776</v>
      </c>
      <c r="T1452" s="127" t="s">
        <v>7761</v>
      </c>
      <c r="U1452" s="132">
        <v>21088</v>
      </c>
      <c r="V1452" s="132">
        <v>21195</v>
      </c>
      <c r="W1452" s="126" t="s">
        <v>276</v>
      </c>
      <c r="X1452" s="126" t="s">
        <v>276</v>
      </c>
      <c r="Y1452" s="126" t="s">
        <v>276</v>
      </c>
      <c r="Z1452" s="127" t="s">
        <v>1562</v>
      </c>
      <c r="AA1452" s="126" t="s">
        <v>276</v>
      </c>
      <c r="AB1452" s="127" t="s">
        <v>1562</v>
      </c>
      <c r="AC1452" s="127" t="s">
        <v>11146</v>
      </c>
      <c r="AD1452" s="127" t="s">
        <v>1674</v>
      </c>
      <c r="AE1452" s="126">
        <v>146</v>
      </c>
      <c r="AF1452" s="126">
        <v>157</v>
      </c>
      <c r="AG1452" s="132">
        <v>493000</v>
      </c>
      <c r="AH1452" s="132">
        <v>493000</v>
      </c>
      <c r="AI1452" s="132" t="s">
        <v>425</v>
      </c>
      <c r="AJ1452" s="135" t="s">
        <v>276</v>
      </c>
      <c r="AK1452" s="148">
        <f>AE1452*1000/AG1452</f>
        <v>0.29614604462474647</v>
      </c>
      <c r="AL1452" s="135" t="s">
        <v>276</v>
      </c>
      <c r="AM1452" s="135" t="s">
        <v>276</v>
      </c>
      <c r="AN1452" s="135" t="s">
        <v>276</v>
      </c>
      <c r="AO1452" s="148">
        <f t="shared" si="207"/>
        <v>0.31845841784989859</v>
      </c>
      <c r="AP1452" s="135" t="s">
        <v>276</v>
      </c>
      <c r="AQ1452" s="135" t="s">
        <v>276</v>
      </c>
      <c r="AR1452" s="126" t="s">
        <v>269</v>
      </c>
      <c r="AS1452" s="135" t="s">
        <v>276</v>
      </c>
      <c r="AT1452" s="148">
        <f t="shared" si="208"/>
        <v>0.92993630573248409</v>
      </c>
      <c r="AU1452" s="135" t="s">
        <v>276</v>
      </c>
      <c r="AV1452" s="135" t="s">
        <v>276</v>
      </c>
      <c r="AW1452" s="126" t="s">
        <v>276</v>
      </c>
      <c r="AX1452" s="126" t="s">
        <v>2593</v>
      </c>
      <c r="AY1452" s="126">
        <v>0.93</v>
      </c>
      <c r="AZ1452" s="135">
        <v>0.74</v>
      </c>
      <c r="BA1452" s="126">
        <v>1.2</v>
      </c>
      <c r="BB1452" s="126" t="s">
        <v>276</v>
      </c>
      <c r="BC1452" s="127" t="s">
        <v>1029</v>
      </c>
      <c r="BD1452" s="127" t="s">
        <v>7779</v>
      </c>
      <c r="BE1452" s="33" t="s">
        <v>114</v>
      </c>
      <c r="BF1452" s="33" t="s">
        <v>98</v>
      </c>
    </row>
    <row r="1453" spans="1:58" s="149" customFormat="1" ht="91" x14ac:dyDescent="0.3">
      <c r="A1453" s="126">
        <v>4672</v>
      </c>
      <c r="B1453" s="126" t="s">
        <v>11137</v>
      </c>
      <c r="C1453" s="126" t="s">
        <v>7697</v>
      </c>
      <c r="D1453" s="127" t="s">
        <v>11147</v>
      </c>
      <c r="E1453" s="126" t="s">
        <v>35</v>
      </c>
      <c r="F1453" s="126" t="s">
        <v>97</v>
      </c>
      <c r="G1453" s="126" t="s">
        <v>225</v>
      </c>
      <c r="H1453" s="126" t="s">
        <v>125</v>
      </c>
      <c r="I1453" s="126" t="s">
        <v>114</v>
      </c>
      <c r="J1453" s="127" t="s">
        <v>24</v>
      </c>
      <c r="K1453" s="127" t="s">
        <v>276</v>
      </c>
      <c r="L1453" s="127" t="s">
        <v>276</v>
      </c>
      <c r="M1453" s="126" t="s">
        <v>14</v>
      </c>
      <c r="N1453" s="145" t="s">
        <v>98</v>
      </c>
      <c r="O1453" s="131" t="s">
        <v>207</v>
      </c>
      <c r="P1453" s="197" t="s">
        <v>276</v>
      </c>
      <c r="Q1453" s="127" t="s">
        <v>276</v>
      </c>
      <c r="R1453" s="127" t="s">
        <v>276</v>
      </c>
      <c r="S1453" s="127" t="s">
        <v>276</v>
      </c>
      <c r="T1453" s="167" t="s">
        <v>11140</v>
      </c>
      <c r="U1453" s="132">
        <v>21088</v>
      </c>
      <c r="V1453" s="134">
        <v>21195</v>
      </c>
      <c r="W1453" s="126" t="s">
        <v>276</v>
      </c>
      <c r="X1453" s="126" t="s">
        <v>276</v>
      </c>
      <c r="Y1453" s="126" t="s">
        <v>276</v>
      </c>
      <c r="Z1453" s="127" t="s">
        <v>1562</v>
      </c>
      <c r="AA1453" s="127" t="s">
        <v>276</v>
      </c>
      <c r="AB1453" s="127" t="s">
        <v>1562</v>
      </c>
      <c r="AC1453" s="127" t="s">
        <v>11148</v>
      </c>
      <c r="AD1453" s="127" t="s">
        <v>7703</v>
      </c>
      <c r="AE1453" s="126" t="s">
        <v>276</v>
      </c>
      <c r="AF1453" s="126" t="s">
        <v>276</v>
      </c>
      <c r="AG1453" s="132">
        <v>21088</v>
      </c>
      <c r="AH1453" s="134">
        <v>21195</v>
      </c>
      <c r="AI1453" s="134" t="s">
        <v>281</v>
      </c>
      <c r="AJ1453" s="135" t="s">
        <v>276</v>
      </c>
      <c r="AK1453" s="148" t="s">
        <v>98</v>
      </c>
      <c r="AL1453" s="135" t="s">
        <v>276</v>
      </c>
      <c r="AM1453" s="135" t="s">
        <v>276</v>
      </c>
      <c r="AN1453" s="135" t="s">
        <v>276</v>
      </c>
      <c r="AO1453" s="148" t="s">
        <v>98</v>
      </c>
      <c r="AP1453" s="135" t="s">
        <v>276</v>
      </c>
      <c r="AQ1453" s="135" t="s">
        <v>276</v>
      </c>
      <c r="AR1453" s="126" t="s">
        <v>268</v>
      </c>
      <c r="AS1453" s="135">
        <v>0.82</v>
      </c>
      <c r="AT1453" s="135" t="s">
        <v>98</v>
      </c>
      <c r="AU1453" s="135">
        <v>0.67</v>
      </c>
      <c r="AV1453" s="135">
        <v>1</v>
      </c>
      <c r="AW1453" s="126" t="s">
        <v>276</v>
      </c>
      <c r="AX1453" s="126" t="s">
        <v>282</v>
      </c>
      <c r="AY1453" s="126" t="s">
        <v>98</v>
      </c>
      <c r="AZ1453" s="126" t="s">
        <v>98</v>
      </c>
      <c r="BA1453" s="126" t="s">
        <v>98</v>
      </c>
      <c r="BB1453" s="126" t="s">
        <v>98</v>
      </c>
      <c r="BC1453" s="127" t="s">
        <v>298</v>
      </c>
      <c r="BD1453" s="127" t="s">
        <v>11149</v>
      </c>
      <c r="BE1453" s="33" t="s">
        <v>114</v>
      </c>
      <c r="BF1453" s="33" t="s">
        <v>98</v>
      </c>
    </row>
    <row r="1454" spans="1:58" x14ac:dyDescent="0.35">
      <c r="BE1454" s="33"/>
      <c r="BF1454" s="33"/>
    </row>
    <row r="1455" spans="1:58" x14ac:dyDescent="0.35">
      <c r="BF1455" s="2"/>
    </row>
    <row r="1456" spans="1:58" x14ac:dyDescent="0.35">
      <c r="BF1456" s="2"/>
    </row>
    <row r="1457" spans="58:58" x14ac:dyDescent="0.35">
      <c r="BF1457" s="2"/>
    </row>
  </sheetData>
  <autoFilter ref="A1:BF1453" xr:uid="{1163EA49-1E58-4148-9D50-87FEAFC357B2}"/>
  <mergeCells count="3">
    <mergeCell ref="R625:S625"/>
    <mergeCell ref="R626:S626"/>
    <mergeCell ref="R627:S627"/>
  </mergeCells>
  <pageMargins left="0.7" right="0.7" top="0.75" bottom="0.75" header="0.3" footer="0.3"/>
  <pageSetup paperSize="9" orientation="portrait" horizontalDpi="360" verticalDpi="360"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857A5A68-5084-444A-B252-491BBBB56BF6}">
          <x14:formula1>
            <xm:f>'Dropdown lists'!$P$2:$P$3</xm:f>
          </x14:formula1>
          <xm:sqref>BE165:BE305 BE3:BE163</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EED61C-2787-4D67-8E9C-4CE132E72072}">
  <dimension ref="A1:X54"/>
  <sheetViews>
    <sheetView topLeftCell="L1" workbookViewId="0">
      <pane ySplit="1" topLeftCell="A2" activePane="bottomLeft" state="frozen"/>
      <selection pane="bottomLeft" activeCell="U5" sqref="U5"/>
    </sheetView>
  </sheetViews>
  <sheetFormatPr defaultRowHeight="14.5" x14ac:dyDescent="0.35"/>
  <cols>
    <col min="2" max="2" width="13.453125" customWidth="1"/>
    <col min="3" max="4" width="23.453125" customWidth="1"/>
    <col min="5" max="5" width="28.1796875" customWidth="1"/>
    <col min="6" max="6" width="19.453125" customWidth="1"/>
    <col min="7" max="7" width="13.1796875" customWidth="1"/>
    <col min="8" max="9" width="17.1796875" customWidth="1"/>
    <col min="10" max="10" width="12.54296875" customWidth="1"/>
    <col min="11" max="11" width="17.1796875" customWidth="1"/>
    <col min="12" max="15" width="12" customWidth="1"/>
    <col min="16" max="16" width="11.1796875" customWidth="1"/>
    <col min="17" max="17" width="13.453125" customWidth="1"/>
    <col min="18" max="18" width="20.54296875" customWidth="1"/>
    <col min="19" max="19" width="17.453125" customWidth="1"/>
    <col min="20" max="20" width="11" customWidth="1"/>
    <col min="21" max="21" width="34.54296875" customWidth="1"/>
    <col min="22" max="22" width="14" style="5" customWidth="1"/>
    <col min="23" max="23" width="13.1796875" customWidth="1"/>
    <col min="24" max="24" width="20.1796875" customWidth="1"/>
  </cols>
  <sheetData>
    <row r="1" spans="1:24" s="3" customFormat="1" ht="39" x14ac:dyDescent="0.35">
      <c r="A1" s="3" t="s">
        <v>5</v>
      </c>
      <c r="B1" s="3" t="s">
        <v>2</v>
      </c>
      <c r="C1" s="3" t="s">
        <v>3</v>
      </c>
      <c r="D1" s="3" t="s">
        <v>4</v>
      </c>
      <c r="E1" s="3" t="s">
        <v>124</v>
      </c>
      <c r="F1" s="3" t="s">
        <v>151</v>
      </c>
      <c r="G1" s="3" t="s">
        <v>152</v>
      </c>
      <c r="H1" s="3" t="s">
        <v>158</v>
      </c>
      <c r="I1" s="3" t="s">
        <v>161</v>
      </c>
      <c r="J1" s="3" t="s">
        <v>164</v>
      </c>
      <c r="K1" s="3" t="s">
        <v>106</v>
      </c>
      <c r="L1" s="3" t="s">
        <v>169</v>
      </c>
      <c r="M1" s="3" t="s">
        <v>173</v>
      </c>
      <c r="N1" s="3" t="s">
        <v>177</v>
      </c>
      <c r="O1" s="3" t="s">
        <v>180</v>
      </c>
      <c r="P1" s="3" t="s">
        <v>231</v>
      </c>
      <c r="Q1" s="3" t="s">
        <v>17</v>
      </c>
      <c r="R1" s="3" t="s">
        <v>13</v>
      </c>
      <c r="S1" s="3" t="s">
        <v>9</v>
      </c>
      <c r="T1" s="3" t="s">
        <v>19</v>
      </c>
      <c r="U1" s="15" t="s">
        <v>111</v>
      </c>
      <c r="V1" s="16" t="s">
        <v>112</v>
      </c>
      <c r="W1" s="3" t="s">
        <v>7</v>
      </c>
      <c r="X1" s="3" t="s">
        <v>244</v>
      </c>
    </row>
    <row r="2" spans="1:24" s="1" customFormat="1" ht="13" x14ac:dyDescent="0.3">
      <c r="A2" s="1" t="s">
        <v>118</v>
      </c>
      <c r="B2" s="1" t="s">
        <v>36</v>
      </c>
      <c r="C2" s="1" t="s">
        <v>48</v>
      </c>
      <c r="D2" s="1" t="s">
        <v>133</v>
      </c>
      <c r="E2" s="1" t="s">
        <v>183</v>
      </c>
      <c r="F2" s="1" t="s">
        <v>149</v>
      </c>
      <c r="G2" s="1" t="s">
        <v>153</v>
      </c>
      <c r="H2" s="1" t="s">
        <v>159</v>
      </c>
      <c r="I2" s="1" t="s">
        <v>162</v>
      </c>
      <c r="J2" s="1" t="s">
        <v>165</v>
      </c>
      <c r="K2" s="1" t="s">
        <v>167</v>
      </c>
      <c r="L2" s="1" t="s">
        <v>170</v>
      </c>
      <c r="M2" s="1" t="s">
        <v>174</v>
      </c>
      <c r="N2" s="1" t="s">
        <v>178</v>
      </c>
      <c r="O2" s="1" t="s">
        <v>181</v>
      </c>
      <c r="P2" s="1" t="s">
        <v>99</v>
      </c>
      <c r="Q2" s="1" t="s">
        <v>23</v>
      </c>
      <c r="R2" s="1" t="s">
        <v>14</v>
      </c>
      <c r="S2" s="1" t="s">
        <v>207</v>
      </c>
      <c r="T2" s="1" t="s">
        <v>268</v>
      </c>
      <c r="U2" s="1" t="s">
        <v>239</v>
      </c>
      <c r="V2" s="4" t="s">
        <v>25</v>
      </c>
      <c r="W2" s="1" t="s">
        <v>113</v>
      </c>
      <c r="X2" s="1" t="s">
        <v>245</v>
      </c>
    </row>
    <row r="3" spans="1:24" s="1" customFormat="1" ht="13" x14ac:dyDescent="0.3">
      <c r="A3" s="1" t="s">
        <v>119</v>
      </c>
      <c r="B3" s="1" t="s">
        <v>35</v>
      </c>
      <c r="C3" s="1" t="s">
        <v>56</v>
      </c>
      <c r="D3" s="1" t="s">
        <v>142</v>
      </c>
      <c r="E3" s="1" t="s">
        <v>184</v>
      </c>
      <c r="F3" s="1" t="s">
        <v>150</v>
      </c>
      <c r="G3" s="1" t="s">
        <v>154</v>
      </c>
      <c r="H3" s="1" t="s">
        <v>160</v>
      </c>
      <c r="I3" s="1" t="s">
        <v>163</v>
      </c>
      <c r="J3" s="1" t="s">
        <v>166</v>
      </c>
      <c r="K3" s="1" t="s">
        <v>168</v>
      </c>
      <c r="L3" s="1" t="s">
        <v>171</v>
      </c>
      <c r="M3" s="1" t="s">
        <v>175</v>
      </c>
      <c r="N3" s="1" t="s">
        <v>179</v>
      </c>
      <c r="O3" s="1" t="s">
        <v>182</v>
      </c>
      <c r="P3" s="1" t="s">
        <v>100</v>
      </c>
      <c r="Q3" s="1" t="s">
        <v>24</v>
      </c>
      <c r="R3" s="1" t="s">
        <v>261</v>
      </c>
      <c r="S3" s="1" t="s">
        <v>208</v>
      </c>
      <c r="T3" s="1" t="s">
        <v>269</v>
      </c>
      <c r="U3" s="1" t="s">
        <v>234</v>
      </c>
      <c r="V3" s="4" t="s">
        <v>26</v>
      </c>
      <c r="W3" s="1" t="s">
        <v>114</v>
      </c>
      <c r="X3" s="1" t="s">
        <v>252</v>
      </c>
    </row>
    <row r="4" spans="1:24" s="1" customFormat="1" ht="13" x14ac:dyDescent="0.3">
      <c r="A4" s="1" t="s">
        <v>120</v>
      </c>
      <c r="B4" s="1" t="s">
        <v>45</v>
      </c>
      <c r="C4" s="1" t="s">
        <v>72</v>
      </c>
      <c r="D4" s="1" t="s">
        <v>141</v>
      </c>
      <c r="E4" s="1" t="s">
        <v>125</v>
      </c>
      <c r="F4" s="1" t="s">
        <v>11</v>
      </c>
      <c r="G4" s="1" t="s">
        <v>155</v>
      </c>
      <c r="H4" s="1" t="s">
        <v>150</v>
      </c>
      <c r="I4" s="1" t="s">
        <v>10</v>
      </c>
      <c r="J4" s="1" t="s">
        <v>11</v>
      </c>
      <c r="K4" s="1" t="s">
        <v>11</v>
      </c>
      <c r="L4" s="1" t="s">
        <v>172</v>
      </c>
      <c r="M4" s="1" t="s">
        <v>176</v>
      </c>
      <c r="N4" s="1" t="s">
        <v>210</v>
      </c>
      <c r="O4" s="1" t="s">
        <v>11</v>
      </c>
      <c r="P4" s="1" t="s">
        <v>211</v>
      </c>
      <c r="R4" s="1" t="s">
        <v>15</v>
      </c>
      <c r="S4" s="1" t="s">
        <v>209</v>
      </c>
      <c r="T4" s="1" t="s">
        <v>270</v>
      </c>
      <c r="U4" s="1" t="s">
        <v>235</v>
      </c>
      <c r="V4" s="4" t="s">
        <v>27</v>
      </c>
      <c r="W4" s="1" t="s">
        <v>105</v>
      </c>
      <c r="X4" s="1" t="s">
        <v>246</v>
      </c>
    </row>
    <row r="5" spans="1:24" s="1" customFormat="1" ht="13" x14ac:dyDescent="0.3">
      <c r="A5" s="1" t="s">
        <v>121</v>
      </c>
      <c r="B5" s="1" t="s">
        <v>37</v>
      </c>
      <c r="C5" s="1" t="s">
        <v>75</v>
      </c>
      <c r="D5" s="1" t="s">
        <v>145</v>
      </c>
      <c r="E5" s="1" t="s">
        <v>132</v>
      </c>
      <c r="G5" s="1" t="s">
        <v>156</v>
      </c>
      <c r="H5" s="1" t="s">
        <v>11</v>
      </c>
      <c r="I5" s="1" t="s">
        <v>11</v>
      </c>
      <c r="M5" s="1" t="s">
        <v>11</v>
      </c>
      <c r="P5" s="1" t="s">
        <v>98</v>
      </c>
      <c r="R5" s="1" t="s">
        <v>16</v>
      </c>
      <c r="T5" s="1" t="s">
        <v>271</v>
      </c>
      <c r="U5" s="1" t="s">
        <v>236</v>
      </c>
      <c r="V5" s="4" t="s">
        <v>31</v>
      </c>
      <c r="W5" s="1" t="s">
        <v>11</v>
      </c>
      <c r="X5" s="1" t="s">
        <v>98</v>
      </c>
    </row>
    <row r="6" spans="1:24" s="1" customFormat="1" ht="13" x14ac:dyDescent="0.3">
      <c r="A6" s="1" t="s">
        <v>122</v>
      </c>
      <c r="B6" s="1" t="s">
        <v>38</v>
      </c>
      <c r="C6" s="1" t="s">
        <v>73</v>
      </c>
      <c r="D6" s="1" t="s">
        <v>128</v>
      </c>
      <c r="E6" s="1" t="s">
        <v>225</v>
      </c>
      <c r="G6" s="1" t="s">
        <v>157</v>
      </c>
      <c r="R6" s="1" t="s">
        <v>259</v>
      </c>
      <c r="T6" s="1" t="s">
        <v>98</v>
      </c>
      <c r="U6" s="1" t="s">
        <v>237</v>
      </c>
      <c r="V6" s="4" t="s">
        <v>32</v>
      </c>
      <c r="W6" s="1" t="s">
        <v>98</v>
      </c>
    </row>
    <row r="7" spans="1:24" x14ac:dyDescent="0.35">
      <c r="A7" s="1" t="s">
        <v>242</v>
      </c>
      <c r="B7" s="1" t="s">
        <v>39</v>
      </c>
      <c r="C7" s="1" t="s">
        <v>63</v>
      </c>
      <c r="D7" s="1" t="s">
        <v>138</v>
      </c>
      <c r="E7" s="1"/>
      <c r="F7" s="1"/>
      <c r="G7" s="1" t="s">
        <v>11</v>
      </c>
      <c r="H7" s="1"/>
      <c r="I7" s="1"/>
      <c r="J7" s="1"/>
      <c r="K7" s="1"/>
      <c r="L7" s="1"/>
      <c r="M7" s="1"/>
      <c r="N7" s="1"/>
      <c r="O7" s="1"/>
      <c r="P7" s="1"/>
      <c r="Q7" s="1"/>
      <c r="R7" s="1" t="s">
        <v>260</v>
      </c>
      <c r="U7" s="1" t="s">
        <v>238</v>
      </c>
      <c r="V7" s="4" t="s">
        <v>117</v>
      </c>
    </row>
    <row r="8" spans="1:24" x14ac:dyDescent="0.35">
      <c r="A8" s="1" t="s">
        <v>250</v>
      </c>
      <c r="B8" s="1" t="s">
        <v>40</v>
      </c>
      <c r="C8" s="1" t="s">
        <v>88</v>
      </c>
      <c r="D8" s="1" t="s">
        <v>139</v>
      </c>
      <c r="E8" s="1"/>
      <c r="F8" s="1"/>
      <c r="G8" s="1"/>
      <c r="H8" s="1"/>
      <c r="I8" s="1"/>
      <c r="J8" s="1"/>
      <c r="K8" s="1"/>
      <c r="L8" s="1"/>
      <c r="M8" s="1"/>
      <c r="N8" s="1"/>
      <c r="O8" s="1"/>
      <c r="P8" s="1"/>
      <c r="R8" s="1"/>
      <c r="V8" s="4" t="s">
        <v>33</v>
      </c>
    </row>
    <row r="9" spans="1:24" x14ac:dyDescent="0.35">
      <c r="A9" s="1" t="s">
        <v>251</v>
      </c>
      <c r="B9" s="1" t="s">
        <v>96</v>
      </c>
      <c r="C9" s="1" t="s">
        <v>67</v>
      </c>
      <c r="D9" s="1" t="s">
        <v>147</v>
      </c>
      <c r="E9" s="1"/>
      <c r="F9" s="1"/>
      <c r="G9" s="1"/>
      <c r="H9" s="1"/>
      <c r="I9" s="1"/>
      <c r="J9" s="1"/>
      <c r="K9" s="1"/>
      <c r="L9" s="1"/>
      <c r="M9" s="1"/>
      <c r="N9" s="1"/>
      <c r="O9" s="1"/>
      <c r="P9" s="1"/>
      <c r="R9" s="1"/>
      <c r="U9" s="1"/>
      <c r="V9" s="4" t="s">
        <v>28</v>
      </c>
    </row>
    <row r="10" spans="1:24" x14ac:dyDescent="0.35">
      <c r="A10" s="1" t="s">
        <v>6</v>
      </c>
      <c r="B10" s="1" t="s">
        <v>41</v>
      </c>
      <c r="C10" s="1" t="s">
        <v>47</v>
      </c>
      <c r="D10" s="1" t="s">
        <v>140</v>
      </c>
      <c r="E10" s="1"/>
      <c r="F10" s="1"/>
      <c r="G10" s="1"/>
      <c r="H10" s="1"/>
      <c r="I10" s="1"/>
      <c r="J10" s="1"/>
      <c r="K10" s="1"/>
      <c r="L10" s="1"/>
      <c r="M10" s="1"/>
      <c r="N10" s="1"/>
      <c r="O10" s="1"/>
      <c r="P10" s="1"/>
      <c r="R10" s="1"/>
      <c r="U10" s="1"/>
      <c r="V10" s="4" t="s">
        <v>29</v>
      </c>
    </row>
    <row r="11" spans="1:24" x14ac:dyDescent="0.35">
      <c r="A11" s="1"/>
      <c r="B11" s="1" t="s">
        <v>42</v>
      </c>
      <c r="C11" s="1" t="s">
        <v>89</v>
      </c>
      <c r="D11" s="1" t="s">
        <v>262</v>
      </c>
      <c r="E11" s="1"/>
      <c r="F11" s="1"/>
      <c r="G11" s="1"/>
      <c r="H11" s="1"/>
      <c r="I11" s="1"/>
      <c r="J11" s="1"/>
      <c r="K11" s="1"/>
      <c r="L11" s="1"/>
      <c r="M11" s="1"/>
      <c r="N11" s="1"/>
      <c r="O11" s="1"/>
      <c r="P11" s="1"/>
      <c r="R11" s="1"/>
      <c r="U11" s="1"/>
      <c r="V11" s="4" t="s">
        <v>30</v>
      </c>
    </row>
    <row r="12" spans="1:24" x14ac:dyDescent="0.35">
      <c r="B12" s="1" t="s">
        <v>43</v>
      </c>
      <c r="C12" s="1" t="s">
        <v>46</v>
      </c>
      <c r="D12" s="1" t="s">
        <v>263</v>
      </c>
      <c r="E12" s="1"/>
      <c r="F12" s="1"/>
      <c r="G12" s="1"/>
      <c r="H12" s="1"/>
      <c r="I12" s="1"/>
      <c r="J12" s="1"/>
      <c r="K12" s="1"/>
      <c r="L12" s="1"/>
      <c r="M12" s="1"/>
      <c r="N12" s="1"/>
      <c r="O12" s="1"/>
      <c r="P12" s="1"/>
      <c r="R12" s="1"/>
      <c r="V12" s="4" t="s">
        <v>104</v>
      </c>
    </row>
    <row r="13" spans="1:24" x14ac:dyDescent="0.35">
      <c r="B13" s="1" t="s">
        <v>44</v>
      </c>
      <c r="C13" s="1" t="s">
        <v>90</v>
      </c>
      <c r="D13" s="1" t="s">
        <v>264</v>
      </c>
      <c r="E13" s="1"/>
      <c r="F13" s="1"/>
      <c r="G13" s="1"/>
      <c r="H13" s="1"/>
      <c r="I13" s="1"/>
      <c r="J13" s="1"/>
      <c r="K13" s="1"/>
      <c r="L13" s="1"/>
      <c r="M13" s="1"/>
      <c r="N13" s="1"/>
      <c r="O13" s="1"/>
      <c r="P13" s="1"/>
      <c r="R13" s="1"/>
      <c r="V13" s="4" t="s">
        <v>103</v>
      </c>
    </row>
    <row r="14" spans="1:24" x14ac:dyDescent="0.35">
      <c r="C14" s="1" t="s">
        <v>58</v>
      </c>
      <c r="D14" s="1" t="s">
        <v>265</v>
      </c>
      <c r="E14" s="1"/>
      <c r="F14" s="1"/>
      <c r="G14" s="1"/>
      <c r="H14" s="1"/>
      <c r="I14" s="1"/>
      <c r="J14" s="1"/>
      <c r="K14" s="1"/>
      <c r="L14" s="1"/>
      <c r="M14" s="1"/>
      <c r="N14" s="1"/>
      <c r="O14" s="1"/>
      <c r="P14" s="1"/>
      <c r="V14" s="4" t="s">
        <v>98</v>
      </c>
    </row>
    <row r="15" spans="1:24" x14ac:dyDescent="0.35">
      <c r="C15" s="1" t="s">
        <v>59</v>
      </c>
      <c r="D15" s="1" t="s">
        <v>130</v>
      </c>
      <c r="E15" s="1"/>
      <c r="F15" s="1"/>
      <c r="G15" s="1"/>
      <c r="H15" s="1"/>
      <c r="I15" s="1"/>
      <c r="J15" s="1"/>
      <c r="K15" s="1"/>
      <c r="L15" s="1"/>
      <c r="M15" s="1"/>
      <c r="N15" s="1"/>
      <c r="O15" s="1"/>
      <c r="P15" s="1"/>
      <c r="V15" s="4"/>
    </row>
    <row r="16" spans="1:24" x14ac:dyDescent="0.35">
      <c r="C16" s="1" t="s">
        <v>64</v>
      </c>
      <c r="D16" s="1" t="s">
        <v>135</v>
      </c>
      <c r="E16" s="1"/>
      <c r="F16" s="1"/>
      <c r="G16" s="1"/>
      <c r="H16" s="1"/>
      <c r="I16" s="1"/>
      <c r="J16" s="1"/>
      <c r="K16" s="1"/>
      <c r="L16" s="1"/>
      <c r="M16" s="1"/>
      <c r="N16" s="1"/>
      <c r="O16" s="1"/>
      <c r="P16" s="1"/>
      <c r="V16" s="4"/>
    </row>
    <row r="17" spans="3:22" x14ac:dyDescent="0.35">
      <c r="C17" s="1" t="s">
        <v>76</v>
      </c>
      <c r="D17" s="1" t="s">
        <v>129</v>
      </c>
      <c r="E17" s="1"/>
      <c r="F17" s="1"/>
      <c r="G17" s="1"/>
      <c r="H17" s="1"/>
      <c r="I17" s="1"/>
      <c r="J17" s="1"/>
      <c r="K17" s="1"/>
      <c r="L17" s="1"/>
      <c r="M17" s="1"/>
      <c r="N17" s="1"/>
      <c r="O17" s="1"/>
      <c r="P17" s="1"/>
      <c r="V17" s="4"/>
    </row>
    <row r="18" spans="3:22" x14ac:dyDescent="0.35">
      <c r="C18" s="1" t="s">
        <v>54</v>
      </c>
      <c r="D18" s="1" t="s">
        <v>126</v>
      </c>
      <c r="E18" s="1"/>
      <c r="F18" s="1"/>
      <c r="G18" s="1"/>
      <c r="H18" s="1"/>
      <c r="I18" s="1"/>
      <c r="J18" s="1"/>
      <c r="K18" s="1"/>
      <c r="L18" s="1"/>
      <c r="M18" s="1"/>
      <c r="N18" s="1"/>
      <c r="O18" s="1"/>
      <c r="P18" s="1"/>
    </row>
    <row r="19" spans="3:22" x14ac:dyDescent="0.35">
      <c r="C19" s="1" t="s">
        <v>79</v>
      </c>
      <c r="D19" s="1" t="s">
        <v>134</v>
      </c>
      <c r="E19" s="1"/>
      <c r="F19" s="1"/>
      <c r="G19" s="1"/>
      <c r="H19" s="1"/>
      <c r="I19" s="1"/>
      <c r="J19" s="1"/>
      <c r="K19" s="1"/>
      <c r="L19" s="1"/>
      <c r="M19" s="1"/>
      <c r="N19" s="1"/>
      <c r="O19" s="1"/>
      <c r="P19" s="1"/>
    </row>
    <row r="20" spans="3:22" x14ac:dyDescent="0.35">
      <c r="C20" s="1" t="s">
        <v>80</v>
      </c>
      <c r="D20" s="1" t="s">
        <v>123</v>
      </c>
      <c r="E20" s="1"/>
      <c r="F20" s="1"/>
      <c r="G20" s="1"/>
      <c r="H20" s="1"/>
      <c r="I20" s="1"/>
      <c r="J20" s="1"/>
      <c r="K20" s="1"/>
      <c r="L20" s="1"/>
      <c r="M20" s="1"/>
      <c r="N20" s="1"/>
      <c r="O20" s="1"/>
      <c r="P20" s="1"/>
    </row>
    <row r="21" spans="3:22" x14ac:dyDescent="0.35">
      <c r="C21" s="1" t="s">
        <v>74</v>
      </c>
      <c r="D21" s="1" t="s">
        <v>143</v>
      </c>
      <c r="E21" s="1"/>
      <c r="F21" s="1"/>
      <c r="G21" s="1"/>
      <c r="H21" s="1"/>
      <c r="I21" s="1"/>
      <c r="J21" s="1"/>
      <c r="K21" s="1"/>
      <c r="L21" s="1"/>
      <c r="M21" s="1"/>
      <c r="N21" s="1"/>
      <c r="O21" s="1"/>
      <c r="P21" s="1"/>
    </row>
    <row r="22" spans="3:22" x14ac:dyDescent="0.35">
      <c r="C22" s="1" t="s">
        <v>60</v>
      </c>
      <c r="D22" s="1" t="s">
        <v>97</v>
      </c>
      <c r="E22" s="1"/>
      <c r="F22" s="1"/>
      <c r="G22" s="1"/>
      <c r="H22" s="1"/>
      <c r="I22" s="1"/>
      <c r="J22" s="1"/>
      <c r="K22" s="1"/>
      <c r="L22" s="1"/>
      <c r="M22" s="1"/>
      <c r="N22" s="1"/>
      <c r="O22" s="1"/>
      <c r="P22" s="1"/>
    </row>
    <row r="23" spans="3:22" x14ac:dyDescent="0.35">
      <c r="C23" s="1" t="s">
        <v>81</v>
      </c>
      <c r="D23" s="1" t="s">
        <v>131</v>
      </c>
      <c r="E23" s="1"/>
      <c r="F23" s="1"/>
      <c r="G23" s="1"/>
      <c r="H23" s="1"/>
      <c r="I23" s="1"/>
      <c r="J23" s="1"/>
      <c r="K23" s="1"/>
      <c r="L23" s="1"/>
      <c r="M23" s="1"/>
      <c r="N23" s="1"/>
      <c r="O23" s="1"/>
      <c r="P23" s="1"/>
    </row>
    <row r="24" spans="3:22" x14ac:dyDescent="0.35">
      <c r="C24" s="1" t="s">
        <v>82</v>
      </c>
      <c r="D24" s="1" t="s">
        <v>127</v>
      </c>
      <c r="E24" s="1"/>
      <c r="F24" s="1"/>
      <c r="G24" s="1"/>
      <c r="H24" s="1"/>
      <c r="I24" s="1"/>
      <c r="J24" s="1"/>
      <c r="K24" s="1"/>
      <c r="L24" s="1"/>
      <c r="M24" s="1"/>
      <c r="N24" s="1"/>
      <c r="O24" s="1"/>
      <c r="P24" s="1"/>
    </row>
    <row r="25" spans="3:22" x14ac:dyDescent="0.35">
      <c r="C25" s="1" t="s">
        <v>77</v>
      </c>
      <c r="D25" s="1" t="s">
        <v>225</v>
      </c>
      <c r="E25" s="1"/>
      <c r="F25" s="1"/>
      <c r="G25" s="1"/>
      <c r="H25" s="1"/>
      <c r="I25" s="1"/>
      <c r="J25" s="1"/>
      <c r="K25" s="1"/>
      <c r="L25" s="1"/>
      <c r="M25" s="1"/>
      <c r="N25" s="1"/>
      <c r="O25" s="1"/>
      <c r="P25" s="1"/>
    </row>
    <row r="26" spans="3:22" x14ac:dyDescent="0.35">
      <c r="C26" s="1" t="s">
        <v>55</v>
      </c>
      <c r="D26" s="1" t="s">
        <v>144</v>
      </c>
      <c r="E26" s="1"/>
      <c r="F26" s="1"/>
      <c r="G26" s="1"/>
      <c r="H26" s="1"/>
      <c r="I26" s="1"/>
      <c r="J26" s="1"/>
      <c r="K26" s="1"/>
      <c r="L26" s="1"/>
      <c r="M26" s="1"/>
      <c r="N26" s="1"/>
      <c r="O26" s="1"/>
      <c r="P26" s="1"/>
    </row>
    <row r="27" spans="3:22" x14ac:dyDescent="0.35">
      <c r="C27" s="1" t="s">
        <v>95</v>
      </c>
      <c r="D27" s="1" t="s">
        <v>148</v>
      </c>
      <c r="E27" s="1"/>
      <c r="F27" s="1"/>
      <c r="G27" s="1"/>
      <c r="H27" s="1"/>
      <c r="I27" s="1"/>
      <c r="J27" s="1"/>
      <c r="K27" s="1"/>
      <c r="L27" s="1"/>
      <c r="M27" s="1"/>
      <c r="N27" s="1"/>
      <c r="O27" s="1"/>
      <c r="P27" s="1"/>
    </row>
    <row r="28" spans="3:22" x14ac:dyDescent="0.35">
      <c r="C28" s="1" t="s">
        <v>71</v>
      </c>
      <c r="D28" s="1" t="s">
        <v>136</v>
      </c>
      <c r="E28" s="1"/>
      <c r="F28" s="1"/>
      <c r="G28" s="1"/>
      <c r="H28" s="1"/>
      <c r="I28" s="1"/>
      <c r="J28" s="1"/>
      <c r="K28" s="1"/>
      <c r="L28" s="1"/>
      <c r="M28" s="1"/>
      <c r="N28" s="1"/>
      <c r="O28" s="1"/>
      <c r="P28" s="1"/>
    </row>
    <row r="29" spans="3:22" x14ac:dyDescent="0.35">
      <c r="C29" s="1" t="s">
        <v>83</v>
      </c>
      <c r="D29" s="1" t="s">
        <v>137</v>
      </c>
      <c r="E29" s="1"/>
      <c r="F29" s="1"/>
      <c r="G29" s="1"/>
      <c r="H29" s="1"/>
      <c r="I29" s="1"/>
      <c r="J29" s="1"/>
      <c r="K29" s="1"/>
      <c r="L29" s="1"/>
      <c r="M29" s="1"/>
      <c r="N29" s="1"/>
      <c r="O29" s="1"/>
      <c r="P29" s="1"/>
    </row>
    <row r="30" spans="3:22" x14ac:dyDescent="0.35">
      <c r="C30" s="1" t="s">
        <v>50</v>
      </c>
      <c r="D30" s="1" t="s">
        <v>146</v>
      </c>
      <c r="E30" s="1"/>
      <c r="F30" s="1"/>
      <c r="G30" s="1"/>
      <c r="H30" s="1"/>
      <c r="I30" s="1"/>
      <c r="J30" s="1"/>
      <c r="K30" s="1"/>
      <c r="L30" s="1"/>
      <c r="M30" s="1"/>
      <c r="N30" s="1"/>
      <c r="O30" s="1"/>
      <c r="P30" s="1"/>
    </row>
    <row r="31" spans="3:22" x14ac:dyDescent="0.35">
      <c r="C31" s="1" t="s">
        <v>91</v>
      </c>
      <c r="D31" s="1"/>
      <c r="E31" s="1"/>
      <c r="F31" s="1"/>
      <c r="G31" s="1"/>
      <c r="H31" s="1"/>
      <c r="I31" s="1"/>
      <c r="J31" s="1"/>
      <c r="K31" s="1"/>
      <c r="L31" s="1"/>
      <c r="M31" s="1"/>
      <c r="N31" s="1"/>
      <c r="O31" s="1"/>
      <c r="P31" s="1"/>
    </row>
    <row r="32" spans="3:22" x14ac:dyDescent="0.35">
      <c r="C32" s="1" t="s">
        <v>52</v>
      </c>
      <c r="D32" s="1"/>
      <c r="E32" s="1"/>
      <c r="F32" s="1"/>
      <c r="G32" s="1"/>
      <c r="H32" s="1"/>
      <c r="I32" s="1"/>
      <c r="J32" s="1"/>
      <c r="K32" s="1"/>
      <c r="L32" s="1"/>
      <c r="M32" s="1"/>
      <c r="N32" s="1"/>
      <c r="O32" s="1"/>
      <c r="P32" s="1"/>
    </row>
    <row r="33" spans="3:16" x14ac:dyDescent="0.35">
      <c r="C33" s="1" t="s">
        <v>65</v>
      </c>
      <c r="D33" s="1"/>
      <c r="E33" s="1"/>
      <c r="F33" s="1"/>
      <c r="G33" s="1"/>
      <c r="H33" s="1"/>
      <c r="I33" s="1"/>
      <c r="J33" s="1"/>
      <c r="K33" s="1"/>
      <c r="L33" s="1"/>
      <c r="M33" s="1"/>
      <c r="N33" s="1"/>
      <c r="O33" s="1"/>
      <c r="P33" s="1"/>
    </row>
    <row r="34" spans="3:16" x14ac:dyDescent="0.35">
      <c r="C34" s="1" t="s">
        <v>11079</v>
      </c>
      <c r="D34" s="1"/>
      <c r="E34" s="1"/>
      <c r="F34" s="1"/>
      <c r="G34" s="1"/>
      <c r="H34" s="1"/>
      <c r="I34" s="1"/>
      <c r="J34" s="1"/>
      <c r="K34" s="1"/>
      <c r="L34" s="1"/>
      <c r="M34" s="1"/>
      <c r="N34" s="1"/>
      <c r="O34" s="1"/>
      <c r="P34" s="1"/>
    </row>
    <row r="35" spans="3:16" x14ac:dyDescent="0.35">
      <c r="C35" s="1" t="s">
        <v>84</v>
      </c>
      <c r="D35" s="1"/>
      <c r="E35" s="1"/>
      <c r="F35" s="1"/>
      <c r="G35" s="1"/>
      <c r="H35" s="1"/>
      <c r="I35" s="1"/>
      <c r="J35" s="1"/>
      <c r="K35" s="1"/>
      <c r="L35" s="1"/>
      <c r="M35" s="1"/>
      <c r="N35" s="1"/>
      <c r="O35" s="1"/>
      <c r="P35" s="1"/>
    </row>
    <row r="36" spans="3:16" x14ac:dyDescent="0.35">
      <c r="C36" s="1" t="s">
        <v>68</v>
      </c>
      <c r="D36" s="1"/>
      <c r="E36" s="1"/>
      <c r="F36" s="1"/>
      <c r="G36" s="1"/>
      <c r="H36" s="1"/>
      <c r="I36" s="1"/>
      <c r="J36" s="1"/>
      <c r="K36" s="1"/>
      <c r="L36" s="1"/>
      <c r="M36" s="1"/>
      <c r="N36" s="1"/>
      <c r="O36" s="1"/>
      <c r="P36" s="1"/>
    </row>
    <row r="37" spans="3:16" x14ac:dyDescent="0.35">
      <c r="C37" s="1" t="s">
        <v>87</v>
      </c>
      <c r="D37" s="1"/>
      <c r="E37" s="1"/>
      <c r="F37" s="1"/>
      <c r="G37" s="1"/>
      <c r="H37" s="1"/>
      <c r="I37" s="1"/>
      <c r="J37" s="1"/>
      <c r="K37" s="1"/>
      <c r="L37" s="1"/>
      <c r="M37" s="1"/>
      <c r="N37" s="1"/>
      <c r="O37" s="1"/>
      <c r="P37" s="1"/>
    </row>
    <row r="38" spans="3:16" x14ac:dyDescent="0.35">
      <c r="C38" s="1" t="s">
        <v>49</v>
      </c>
      <c r="D38" s="1"/>
      <c r="E38" s="1"/>
      <c r="F38" s="1"/>
      <c r="G38" s="1"/>
      <c r="H38" s="1"/>
      <c r="I38" s="1"/>
      <c r="J38" s="1"/>
      <c r="K38" s="1"/>
      <c r="L38" s="1"/>
      <c r="M38" s="1"/>
      <c r="N38" s="1"/>
      <c r="O38" s="1"/>
      <c r="P38" s="1"/>
    </row>
    <row r="39" spans="3:16" x14ac:dyDescent="0.35">
      <c r="C39" s="1" t="s">
        <v>70</v>
      </c>
      <c r="D39" s="1"/>
      <c r="E39" s="1"/>
      <c r="F39" s="1"/>
      <c r="G39" s="1"/>
      <c r="H39" s="1"/>
      <c r="I39" s="1"/>
      <c r="J39" s="1"/>
      <c r="K39" s="1"/>
      <c r="L39" s="1"/>
      <c r="M39" s="1"/>
      <c r="N39" s="1"/>
      <c r="O39" s="1"/>
      <c r="P39" s="1"/>
    </row>
    <row r="40" spans="3:16" x14ac:dyDescent="0.35">
      <c r="C40" s="1" t="s">
        <v>69</v>
      </c>
      <c r="D40" s="1"/>
      <c r="E40" s="1"/>
      <c r="F40" s="1"/>
      <c r="G40" s="1"/>
      <c r="H40" s="1"/>
      <c r="I40" s="1"/>
      <c r="J40" s="1"/>
      <c r="K40" s="1"/>
      <c r="L40" s="1"/>
      <c r="M40" s="1"/>
      <c r="N40" s="1"/>
      <c r="O40" s="1"/>
      <c r="P40" s="1"/>
    </row>
    <row r="41" spans="3:16" x14ac:dyDescent="0.35">
      <c r="C41" s="1" t="s">
        <v>94</v>
      </c>
      <c r="D41" s="1"/>
      <c r="E41" s="1"/>
      <c r="F41" s="1"/>
      <c r="G41" s="1"/>
      <c r="H41" s="1"/>
      <c r="I41" s="1"/>
      <c r="J41" s="1"/>
      <c r="K41" s="1"/>
      <c r="L41" s="1"/>
      <c r="M41" s="1"/>
      <c r="N41" s="1"/>
      <c r="O41" s="1"/>
      <c r="P41" s="1"/>
    </row>
    <row r="42" spans="3:16" x14ac:dyDescent="0.35">
      <c r="C42" s="1" t="s">
        <v>93</v>
      </c>
      <c r="D42" s="1"/>
      <c r="E42" s="1"/>
      <c r="F42" s="1"/>
      <c r="G42" s="1"/>
      <c r="H42" s="1"/>
      <c r="I42" s="1"/>
      <c r="J42" s="1"/>
      <c r="K42" s="1"/>
      <c r="L42" s="1"/>
      <c r="M42" s="1"/>
      <c r="N42" s="1"/>
      <c r="O42" s="1"/>
      <c r="P42" s="1"/>
    </row>
    <row r="43" spans="3:16" x14ac:dyDescent="0.35">
      <c r="C43" s="1" t="s">
        <v>61</v>
      </c>
      <c r="D43" s="1"/>
      <c r="E43" s="1"/>
      <c r="F43" s="1"/>
      <c r="G43" s="1"/>
      <c r="H43" s="1"/>
      <c r="I43" s="1"/>
      <c r="J43" s="1"/>
      <c r="K43" s="1"/>
      <c r="L43" s="1"/>
      <c r="M43" s="1"/>
      <c r="N43" s="1"/>
      <c r="O43" s="1"/>
      <c r="P43" s="1"/>
    </row>
    <row r="44" spans="3:16" x14ac:dyDescent="0.35">
      <c r="C44" s="1" t="s">
        <v>66</v>
      </c>
      <c r="D44" s="1"/>
      <c r="E44" s="1"/>
      <c r="F44" s="1"/>
      <c r="G44" s="1"/>
      <c r="H44" s="1"/>
      <c r="I44" s="1"/>
      <c r="J44" s="1"/>
      <c r="K44" s="1"/>
      <c r="L44" s="1"/>
      <c r="M44" s="1"/>
      <c r="N44" s="1"/>
      <c r="O44" s="1"/>
      <c r="P44" s="1"/>
    </row>
    <row r="45" spans="3:16" x14ac:dyDescent="0.35">
      <c r="C45" s="1" t="s">
        <v>51</v>
      </c>
      <c r="D45" s="1"/>
      <c r="E45" s="1"/>
      <c r="F45" s="1"/>
      <c r="G45" s="1"/>
      <c r="H45" s="1"/>
      <c r="I45" s="1"/>
      <c r="J45" s="1"/>
      <c r="K45" s="1"/>
      <c r="L45" s="1"/>
      <c r="M45" s="1"/>
      <c r="N45" s="1"/>
      <c r="O45" s="1"/>
      <c r="P45" s="1"/>
    </row>
    <row r="46" spans="3:16" x14ac:dyDescent="0.35">
      <c r="C46" s="1" t="s">
        <v>57</v>
      </c>
      <c r="D46" s="1"/>
      <c r="E46" s="1"/>
      <c r="F46" s="1"/>
      <c r="G46" s="1"/>
      <c r="H46" s="1"/>
      <c r="I46" s="1"/>
      <c r="J46" s="1"/>
      <c r="K46" s="1"/>
      <c r="L46" s="1"/>
      <c r="M46" s="1"/>
      <c r="N46" s="1"/>
      <c r="O46" s="1"/>
      <c r="P46" s="1"/>
    </row>
    <row r="47" spans="3:16" x14ac:dyDescent="0.35">
      <c r="C47" s="1" t="s">
        <v>85</v>
      </c>
      <c r="D47" s="1"/>
      <c r="E47" s="1"/>
      <c r="F47" s="1"/>
      <c r="G47" s="1"/>
      <c r="H47" s="1"/>
      <c r="I47" s="1"/>
      <c r="J47" s="1"/>
      <c r="K47" s="1"/>
      <c r="L47" s="1"/>
      <c r="M47" s="1"/>
      <c r="N47" s="1"/>
      <c r="O47" s="1"/>
      <c r="P47" s="1"/>
    </row>
    <row r="48" spans="3:16" x14ac:dyDescent="0.35">
      <c r="C48" s="1" t="s">
        <v>62</v>
      </c>
      <c r="D48" s="1"/>
      <c r="E48" s="1"/>
      <c r="F48" s="1"/>
      <c r="G48" s="1"/>
      <c r="H48" s="1"/>
      <c r="I48" s="1"/>
      <c r="J48" s="1"/>
      <c r="K48" s="1"/>
      <c r="L48" s="1"/>
      <c r="M48" s="1"/>
      <c r="N48" s="1"/>
      <c r="O48" s="1"/>
      <c r="P48" s="1"/>
    </row>
    <row r="49" spans="3:16" x14ac:dyDescent="0.35">
      <c r="C49" s="1" t="s">
        <v>34</v>
      </c>
      <c r="D49" s="1"/>
      <c r="E49" s="1"/>
      <c r="F49" s="1"/>
      <c r="G49" s="1"/>
      <c r="H49" s="1"/>
      <c r="I49" s="1"/>
      <c r="J49" s="1"/>
      <c r="K49" s="1"/>
      <c r="L49" s="1"/>
      <c r="M49" s="1"/>
      <c r="N49" s="1"/>
      <c r="O49" s="1"/>
      <c r="P49" s="1"/>
    </row>
    <row r="50" spans="3:16" x14ac:dyDescent="0.35">
      <c r="C50" s="1" t="s">
        <v>92</v>
      </c>
      <c r="D50" s="1"/>
      <c r="E50" s="1"/>
      <c r="F50" s="1"/>
      <c r="G50" s="1"/>
      <c r="H50" s="1"/>
      <c r="I50" s="1"/>
      <c r="J50" s="1"/>
      <c r="K50" s="1"/>
      <c r="L50" s="1"/>
      <c r="M50" s="1"/>
      <c r="N50" s="1"/>
      <c r="O50" s="1"/>
      <c r="P50" s="1"/>
    </row>
    <row r="51" spans="3:16" x14ac:dyDescent="0.35">
      <c r="C51" s="1" t="s">
        <v>2036</v>
      </c>
      <c r="D51" s="1"/>
      <c r="E51" s="1"/>
      <c r="F51" s="1"/>
      <c r="G51" s="1"/>
      <c r="H51" s="1"/>
      <c r="I51" s="1"/>
      <c r="J51" s="1"/>
      <c r="K51" s="1"/>
      <c r="L51" s="1"/>
      <c r="M51" s="1"/>
      <c r="N51" s="1"/>
      <c r="O51" s="1"/>
      <c r="P51" s="1"/>
    </row>
    <row r="52" spans="3:16" x14ac:dyDescent="0.35">
      <c r="C52" s="1" t="s">
        <v>86</v>
      </c>
      <c r="D52" s="1"/>
      <c r="F52" s="1"/>
      <c r="G52" s="1"/>
      <c r="H52" s="1"/>
      <c r="I52" s="1"/>
      <c r="J52" s="1"/>
      <c r="K52" s="1"/>
      <c r="L52" s="1"/>
      <c r="M52" s="1"/>
      <c r="N52" s="1"/>
      <c r="O52" s="1"/>
      <c r="P52" s="1"/>
    </row>
    <row r="53" spans="3:16" x14ac:dyDescent="0.35">
      <c r="C53" s="1" t="s">
        <v>53</v>
      </c>
      <c r="D53" s="1"/>
      <c r="F53" s="1"/>
      <c r="G53" s="1"/>
      <c r="H53" s="1"/>
      <c r="I53" s="1"/>
      <c r="J53" s="1"/>
      <c r="K53" s="1"/>
      <c r="L53" s="1"/>
      <c r="M53" s="1"/>
      <c r="N53" s="1"/>
      <c r="O53" s="1"/>
      <c r="P53" s="1"/>
    </row>
    <row r="54" spans="3:16" x14ac:dyDescent="0.35">
      <c r="C54" s="1" t="s">
        <v>78</v>
      </c>
      <c r="F54" s="1"/>
      <c r="G54" s="1"/>
      <c r="H54" s="1"/>
      <c r="I54" s="1"/>
      <c r="J54" s="1"/>
      <c r="K54" s="1"/>
      <c r="L54" s="1"/>
      <c r="M54" s="1"/>
      <c r="N54" s="1"/>
      <c r="O54" s="1"/>
      <c r="P54" s="1"/>
    </row>
  </sheetData>
  <sortState xmlns:xlrd2="http://schemas.microsoft.com/office/spreadsheetml/2017/richdata2" ref="E2:E52">
    <sortCondition ref="E2:E52"/>
  </sortState>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SharedWithUsers xmlns="ff24349b-2c1d-458e-b8a3-f1a26dbb529b">
      <UserInfo>
        <DisplayName>Shinkins, Bethany</DisplayName>
        <AccountId>24</AccountId>
        <AccountType/>
      </UserInfo>
      <UserInfo>
        <DisplayName>Stinton, Chris</DisplayName>
        <AccountId>14</AccountId>
        <AccountType/>
      </UserInfo>
      <UserInfo>
        <DisplayName>Freeman, Karoline</DisplayName>
        <AccountId>12</AccountId>
        <AccountType/>
      </UserInfo>
      <UserInfo>
        <DisplayName>Taylor-Phillips, Sian</DisplayName>
        <AccountId>30</AccountId>
        <AccountType/>
      </UserInfo>
      <UserInfo>
        <DisplayName>Williams, Hannah</DisplayName>
        <AccountId>9</AccountId>
        <AccountType/>
      </UserInfo>
      <UserInfo>
        <DisplayName>Geppert, Julia</DisplayName>
        <AccountId>13</AccountId>
        <AccountType/>
      </UserInfo>
    </SharedWithUsers>
    <lcf76f155ced4ddcb4097134ff3c332f xmlns="f5843ced-f5ce-4470-9424-1394ee6d3bcc">
      <Terms xmlns="http://schemas.microsoft.com/office/infopath/2007/PartnerControls"/>
    </lcf76f155ced4ddcb4097134ff3c332f>
    <TaxCatchAll xmlns="ff24349b-2c1d-458e-b8a3-f1a26dbb529b"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9CEFA695CFA5234BB287DC5E36078814" ma:contentTypeVersion="13" ma:contentTypeDescription="Create a new document." ma:contentTypeScope="" ma:versionID="08f49e75caf22d7b1623516ed2a8cc0f">
  <xsd:schema xmlns:xsd="http://www.w3.org/2001/XMLSchema" xmlns:xs="http://www.w3.org/2001/XMLSchema" xmlns:p="http://schemas.microsoft.com/office/2006/metadata/properties" xmlns:ns2="f5843ced-f5ce-4470-9424-1394ee6d3bcc" xmlns:ns3="ff24349b-2c1d-458e-b8a3-f1a26dbb529b" targetNamespace="http://schemas.microsoft.com/office/2006/metadata/properties" ma:root="true" ma:fieldsID="7ed5d713180b9df398ec737bfe66288e" ns2:_="" ns3:_="">
    <xsd:import namespace="f5843ced-f5ce-4470-9424-1394ee6d3bcc"/>
    <xsd:import namespace="ff24349b-2c1d-458e-b8a3-f1a26dbb529b"/>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5843ced-f5ce-4470-9424-1394ee6d3bc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955cd427-a42c-44c8-816a-2405638e27c4"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f24349b-2c1d-458e-b8a3-f1a26dbb529b"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a8d81e03-e07f-4181-bf0f-a1c09026ba71}" ma:internalName="TaxCatchAll" ma:showField="CatchAllData" ma:web="ff24349b-2c1d-458e-b8a3-f1a26dbb529b">
      <xsd:complexType>
        <xsd:complexContent>
          <xsd:extension base="dms:MultiChoiceLookup">
            <xsd:sequence>
              <xsd:element name="Value" type="dms:Lookup" maxOccurs="unbounded" minOccurs="0" nillable="true"/>
            </xsd:sequence>
          </xsd:extension>
        </xsd:complexContent>
      </xsd:complexType>
    </xsd:element>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42A5938-FC79-43E2-9F1A-A6A79E27FBB9}">
  <ds:schemaRefs>
    <ds:schemaRef ds:uri="http://purl.org/dc/terms/"/>
    <ds:schemaRef ds:uri="http://schemas.microsoft.com/office/2006/documentManagement/types"/>
    <ds:schemaRef ds:uri="http://www.w3.org/XML/1998/namespace"/>
    <ds:schemaRef ds:uri="f5843ced-f5ce-4470-9424-1394ee6d3bcc"/>
    <ds:schemaRef ds:uri="http://schemas.microsoft.com/office/infopath/2007/PartnerControls"/>
    <ds:schemaRef ds:uri="ff24349b-2c1d-458e-b8a3-f1a26dbb529b"/>
    <ds:schemaRef ds:uri="http://purl.org/dc/elements/1.1/"/>
    <ds:schemaRef ds:uri="http://schemas.openxmlformats.org/package/2006/metadata/core-properties"/>
    <ds:schemaRef ds:uri="http://schemas.microsoft.com/office/2006/metadata/properties"/>
    <ds:schemaRef ds:uri="http://purl.org/dc/dcmitype/"/>
  </ds:schemaRefs>
</ds:datastoreItem>
</file>

<file path=customXml/itemProps2.xml><?xml version="1.0" encoding="utf-8"?>
<ds:datastoreItem xmlns:ds="http://schemas.openxmlformats.org/officeDocument/2006/customXml" ds:itemID="{CE0EE844-6141-4CFF-9FB2-06614BC9E75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5843ced-f5ce-4470-9424-1394ee6d3bcc"/>
    <ds:schemaRef ds:uri="ff24349b-2c1d-458e-b8a3-f1a26dbb529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7CD23426-F10B-4B1D-BFC2-1A832C9FF659}">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Master_Surrogate_Results</vt:lpstr>
      <vt:lpstr>Master_Mortality_Results</vt:lpstr>
      <vt:lpstr>Dropdown lists</vt:lpstr>
    </vt:vector>
  </TitlesOfParts>
  <Company>University of Warwick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Geppert, Julia</dc:creator>
  <cp:lastModifiedBy>Geppert, Julia</cp:lastModifiedBy>
  <dcterms:created xsi:type="dcterms:W3CDTF">2023-01-27T12:33:09Z</dcterms:created>
  <dcterms:modified xsi:type="dcterms:W3CDTF">2025-03-31T14:00:46Z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0x0101009CEFA695CFA5234BB287DC5E36078814</vt:lpwstr>
  </property>
</Properties>
</file>